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externalLinks/externalLink10.xml" ContentType="application/vnd.openxmlformats-officedocument.spreadsheetml.externalLink+xml"/>
  <Override PartName="/xl/externalLinks/externalLink11.xml" ContentType="application/vnd.openxmlformats-officedocument.spreadsheetml.externalLink+xml"/>
  <Override PartName="/xl/externalLinks/externalLink12.xml" ContentType="application/vnd.openxmlformats-officedocument.spreadsheetml.externalLink+xml"/>
  <Override PartName="/xl/externalLinks/externalLink13.xml" ContentType="application/vnd.openxmlformats-officedocument.spreadsheetml.externalLink+xml"/>
  <Override PartName="/xl/externalLinks/externalLink14.xml" ContentType="application/vnd.openxmlformats-officedocument.spreadsheetml.externalLink+xml"/>
  <Override PartName="/xl/externalLinks/externalLink15.xml" ContentType="application/vnd.openxmlformats-officedocument.spreadsheetml.externalLink+xml"/>
  <Override PartName="/xl/externalLinks/externalLink16.xml" ContentType="application/vnd.openxmlformats-officedocument.spreadsheetml.externalLink+xml"/>
  <Override PartName="/xl/externalLinks/externalLink17.xml" ContentType="application/vnd.openxmlformats-officedocument.spreadsheetml.externalLink+xml"/>
  <Override PartName="/xl/externalLinks/externalLink18.xml" ContentType="application/vnd.openxmlformats-officedocument.spreadsheetml.externalLink+xml"/>
  <Override PartName="/xl/externalLinks/externalLink19.xml" ContentType="application/vnd.openxmlformats-officedocument.spreadsheetml.externalLink+xml"/>
  <Override PartName="/xl/externalLinks/externalLink20.xml" ContentType="application/vnd.openxmlformats-officedocument.spreadsheetml.externalLink+xml"/>
  <Override PartName="/xl/externalLinks/externalLink21.xml" ContentType="application/vnd.openxmlformats-officedocument.spreadsheetml.externalLink+xml"/>
  <Override PartName="/xl/externalLinks/externalLink22.xml" ContentType="application/vnd.openxmlformats-officedocument.spreadsheetml.externalLink+xml"/>
  <Override PartName="/xl/externalLinks/externalLink23.xml" ContentType="application/vnd.openxmlformats-officedocument.spreadsheetml.externalLink+xml"/>
  <Override PartName="/xl/externalLinks/externalLink24.xml" ContentType="application/vnd.openxmlformats-officedocument.spreadsheetml.externalLink+xml"/>
  <Override PartName="/xl/externalLinks/externalLink25.xml" ContentType="application/vnd.openxmlformats-officedocument.spreadsheetml.externalLink+xml"/>
  <Override PartName="/xl/externalLinks/externalLink26.xml" ContentType="application/vnd.openxmlformats-officedocument.spreadsheetml.externalLink+xml"/>
  <Override PartName="/xl/externalLinks/externalLink27.xml" ContentType="application/vnd.openxmlformats-officedocument.spreadsheetml.externalLink+xml"/>
  <Override PartName="/xl/externalLinks/externalLink28.xml" ContentType="application/vnd.openxmlformats-officedocument.spreadsheetml.externalLink+xml"/>
  <Override PartName="/xl/externalLinks/externalLink29.xml" ContentType="application/vnd.openxmlformats-officedocument.spreadsheetml.externalLink+xml"/>
  <Override PartName="/xl/externalLinks/externalLink30.xml" ContentType="application/vnd.openxmlformats-officedocument.spreadsheetml.externalLink+xml"/>
  <Override PartName="/xl/externalLinks/externalLink31.xml" ContentType="application/vnd.openxmlformats-officedocument.spreadsheetml.externalLink+xml"/>
  <Override PartName="/xl/externalLinks/externalLink32.xml" ContentType="application/vnd.openxmlformats-officedocument.spreadsheetml.externalLink+xml"/>
  <Override PartName="/xl/externalLinks/externalLink33.xml" ContentType="application/vnd.openxmlformats-officedocument.spreadsheetml.externalLink+xml"/>
  <Override PartName="/xl/externalLinks/externalLink34.xml" ContentType="application/vnd.openxmlformats-officedocument.spreadsheetml.externalLink+xml"/>
  <Override PartName="/xl/externalLinks/externalLink35.xml" ContentType="application/vnd.openxmlformats-officedocument.spreadsheetml.externalLink+xml"/>
  <Override PartName="/xl/externalLinks/externalLink36.xml" ContentType="application/vnd.openxmlformats-officedocument.spreadsheetml.externalLink+xml"/>
  <Override PartName="/xl/externalLinks/externalLink37.xml" ContentType="application/vnd.openxmlformats-officedocument.spreadsheetml.externalLink+xml"/>
  <Override PartName="/xl/externalLinks/externalLink38.xml" ContentType="application/vnd.openxmlformats-officedocument.spreadsheetml.externalLink+xml"/>
  <Override PartName="/xl/externalLinks/externalLink39.xml" ContentType="application/vnd.openxmlformats-officedocument.spreadsheetml.externalLink+xml"/>
  <Override PartName="/xl/externalLinks/externalLink40.xml" ContentType="application/vnd.openxmlformats-officedocument.spreadsheetml.externalLink+xml"/>
  <Override PartName="/xl/externalLinks/externalLink41.xml" ContentType="application/vnd.openxmlformats-officedocument.spreadsheetml.externalLink+xml"/>
  <Override PartName="/xl/externalLinks/externalLink42.xml" ContentType="application/vnd.openxmlformats-officedocument.spreadsheetml.externalLink+xml"/>
  <Override PartName="/xl/externalLinks/externalLink43.xml" ContentType="application/vnd.openxmlformats-officedocument.spreadsheetml.externalLink+xml"/>
  <Override PartName="/xl/externalLinks/externalLink44.xml" ContentType="application/vnd.openxmlformats-officedocument.spreadsheetml.externalLink+xml"/>
  <Override PartName="/xl/externalLinks/externalLink45.xml" ContentType="application/vnd.openxmlformats-officedocument.spreadsheetml.externalLink+xml"/>
  <Override PartName="/xl/externalLinks/externalLink46.xml" ContentType="application/vnd.openxmlformats-officedocument.spreadsheetml.externalLink+xml"/>
  <Override PartName="/xl/externalLinks/externalLink47.xml" ContentType="application/vnd.openxmlformats-officedocument.spreadsheetml.externalLink+xml"/>
  <Override PartName="/xl/externalLinks/externalLink48.xml" ContentType="application/vnd.openxmlformats-officedocument.spreadsheetml.externalLink+xml"/>
  <Override PartName="/xl/externalLinks/externalLink49.xml" ContentType="application/vnd.openxmlformats-officedocument.spreadsheetml.externalLink+xml"/>
  <Override PartName="/xl/externalLinks/externalLink50.xml" ContentType="application/vnd.openxmlformats-officedocument.spreadsheetml.externalLink+xml"/>
  <Override PartName="/xl/externalLinks/externalLink51.xml" ContentType="application/vnd.openxmlformats-officedocument.spreadsheetml.externalLink+xml"/>
  <Override PartName="/xl/externalLinks/externalLink52.xml" ContentType="application/vnd.openxmlformats-officedocument.spreadsheetml.externalLink+xml"/>
  <Override PartName="/xl/externalLinks/externalLink53.xml" ContentType="application/vnd.openxmlformats-officedocument.spreadsheetml.externalLink+xml"/>
  <Override PartName="/xl/externalLinks/externalLink54.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ustomProperty1.bin" ContentType="application/vnd.openxmlformats-officedocument.spreadsheetml.customProperty"/>
  <Override PartName="/xl/customProperty2.bin" ContentType="application/vnd.openxmlformats-officedocument.spreadsheetml.customProperty"/>
  <Override PartName="/xl/customProperty3.bin" ContentType="application/vnd.openxmlformats-officedocument.spreadsheetml.customProperty"/>
  <Override PartName="/xl/customProperty4.bin" ContentType="application/vnd.openxmlformats-officedocument.spreadsheetml.customProperty"/>
  <Override PartName="/xl/customProperty5.bin" ContentType="application/vnd.openxmlformats-officedocument.spreadsheetml.customProperty"/>
  <Override PartName="/xl/customProperty6.bin" ContentType="application/vnd.openxmlformats-officedocument.spreadsheetml.customProperty"/>
  <Override PartName="/xl/customProperty7.bin" ContentType="application/vnd.openxmlformats-officedocument.spreadsheetml.customProperty"/>
  <Override PartName="/xl/customProperty8.bin" ContentType="application/vnd.openxmlformats-officedocument.spreadsheetml.customProperty"/>
  <Override PartName="/xl/customProperty9.bin" ContentType="application/vnd.openxmlformats-officedocument.spreadsheetml.customProperty"/>
  <Override PartName="/xl/customProperty10.bin" ContentType="application/vnd.openxmlformats-officedocument.spreadsheetml.customProperty"/>
  <Override PartName="/xl/customProperty11.bin" ContentType="application/vnd.openxmlformats-officedocument.spreadsheetml.customProperty"/>
  <Override PartName="/xl/customProperty12.bin" ContentType="application/vnd.openxmlformats-officedocument.spreadsheetml.customProperty"/>
  <Override PartName="/xl/drawings/drawing1.xml" ContentType="application/vnd.openxmlformats-officedocument.drawing+xml"/>
  <Override PartName="/xl/comments1.xml" ContentType="application/vnd.openxmlformats-officedocument.spreadsheetml.comments+xml"/>
  <Override PartName="/xl/customProperty13.bin" ContentType="application/vnd.openxmlformats-officedocument.spreadsheetml.customProperty"/>
  <Override PartName="/xl/customProperty14.bin" ContentType="application/vnd.openxmlformats-officedocument.spreadsheetml.customProperty"/>
  <Override PartName="/xl/customProperty15.bin" ContentType="application/vnd.openxmlformats-officedocument.spreadsheetml.customProperty"/>
  <Override PartName="/xl/customProperty16.bin" ContentType="application/vnd.openxmlformats-officedocument.spreadsheetml.customProperty"/>
  <Override PartName="/xl/drawings/drawing2.xml" ContentType="application/vnd.openxmlformats-officedocument.drawing+xml"/>
  <Override PartName="/xl/customProperty17.bin" ContentType="application/vnd.openxmlformats-officedocument.spreadsheetml.customProperty"/>
  <Override PartName="/xl/drawings/drawing3.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6731"/>
  <workbookPr codeName="ThisWorkbook"/>
  <mc:AlternateContent xmlns:mc="http://schemas.openxmlformats.org/markup-compatibility/2006">
    <mc:Choice Requires="x15">
      <x15ac:absPath xmlns:x15ac="http://schemas.microsoft.com/office/spreadsheetml/2010/11/ac" url="https://cnpassurancesfr-my.sharepoint.com/personal/franck_menneret_cnp_fr/Documents/Documents/"/>
    </mc:Choice>
  </mc:AlternateContent>
  <xr:revisionPtr revIDLastSave="0" documentId="8_{4A330D13-7FE5-4476-8164-99EAE1F0B2B1}" xr6:coauthVersionLast="47" xr6:coauthVersionMax="47" xr10:uidLastSave="{00000000-0000-0000-0000-000000000000}"/>
  <bookViews>
    <workbookView xWindow="-110" yWindow="-110" windowWidth="19420" windowHeight="11500" tabRatio="711" firstSheet="6" activeTab="6" xr2:uid="{00000000-000D-0000-FFFF-FFFF00000000}"/>
  </bookViews>
  <sheets>
    <sheet name="9.5.4 (2)" sheetId="1" state="hidden" r:id="rId1"/>
    <sheet name="9.5.5 (2)" sheetId="2" state="hidden" r:id="rId2"/>
    <sheet name="A-DET" sheetId="3" state="hidden" r:id="rId3"/>
    <sheet name="L-DET" sheetId="4" state="hidden" r:id="rId4"/>
    <sheet name="R-DET" sheetId="5" state="hidden" r:id="rId5"/>
    <sheet name="Evolution" sheetId="7" state="hidden" r:id="rId6"/>
    <sheet name="Actif" sheetId="10" r:id="rId7"/>
    <sheet name="Passif" sheetId="11" r:id="rId8"/>
    <sheet name="Résultat" sheetId="12" r:id="rId9"/>
    <sheet name="Etat OCI" sheetId="14" r:id="rId10"/>
    <sheet name="TVCP" sheetId="13" r:id="rId11"/>
    <sheet name="5.7 old" sheetId="25" state="hidden" r:id="rId12"/>
    <sheet name="Formule Compilation" sheetId="26" state="hidden" r:id="rId13"/>
    <sheet name="Controle note 20" sheetId="146" state="hidden" r:id="rId14"/>
    <sheet name="Rapprochement TFT 2023" sheetId="152" state="hidden" r:id="rId15"/>
    <sheet name="Note 6.4.1" sheetId="166" state="hidden" r:id="rId16"/>
    <sheet name="Note 6.4.2" sheetId="167" state="hidden" r:id="rId17"/>
  </sheets>
  <externalReferences>
    <externalReference r:id="rId18"/>
    <externalReference r:id="rId19"/>
    <externalReference r:id="rId20"/>
    <externalReference r:id="rId21"/>
    <externalReference r:id="rId22"/>
    <externalReference r:id="rId23"/>
    <externalReference r:id="rId24"/>
    <externalReference r:id="rId25"/>
    <externalReference r:id="rId26"/>
    <externalReference r:id="rId27"/>
    <externalReference r:id="rId28"/>
    <externalReference r:id="rId29"/>
    <externalReference r:id="rId30"/>
    <externalReference r:id="rId31"/>
    <externalReference r:id="rId32"/>
    <externalReference r:id="rId33"/>
    <externalReference r:id="rId34"/>
    <externalReference r:id="rId35"/>
    <externalReference r:id="rId36"/>
    <externalReference r:id="rId37"/>
    <externalReference r:id="rId38"/>
    <externalReference r:id="rId39"/>
    <externalReference r:id="rId40"/>
    <externalReference r:id="rId41"/>
    <externalReference r:id="rId42"/>
    <externalReference r:id="rId43"/>
    <externalReference r:id="rId44"/>
    <externalReference r:id="rId45"/>
    <externalReference r:id="rId46"/>
    <externalReference r:id="rId47"/>
    <externalReference r:id="rId48"/>
    <externalReference r:id="rId49"/>
    <externalReference r:id="rId50"/>
    <externalReference r:id="rId51"/>
    <externalReference r:id="rId52"/>
    <externalReference r:id="rId53"/>
    <externalReference r:id="rId54"/>
    <externalReference r:id="rId55"/>
    <externalReference r:id="rId56"/>
    <externalReference r:id="rId57"/>
    <externalReference r:id="rId58"/>
    <externalReference r:id="rId59"/>
    <externalReference r:id="rId60"/>
    <externalReference r:id="rId61"/>
    <externalReference r:id="rId62"/>
    <externalReference r:id="rId63"/>
    <externalReference r:id="rId64"/>
    <externalReference r:id="rId65"/>
    <externalReference r:id="rId66"/>
    <externalReference r:id="rId67"/>
    <externalReference r:id="rId68"/>
    <externalReference r:id="rId69"/>
    <externalReference r:id="rId70"/>
    <externalReference r:id="rId71"/>
  </externalReferences>
  <definedNames>
    <definedName name="\h">#N/A</definedName>
    <definedName name="\i">#N/A</definedName>
    <definedName name="_" hidden="1">{"résultats",#N/A,FALSE,"résultats SFS";"indicateurs",#N/A,FALSE,"résultats SFS";"commentaires",#N/A,FALSE,"commentaires SFS";"graphiques",#N/A,FALSE,"graphiques SFS"}</definedName>
    <definedName name="______CPT10645">#N/A</definedName>
    <definedName name="______CPT615480" localSheetId="5">[1]DETCONSO!#REF!</definedName>
    <definedName name="______CPT615480">[1]DETCONSO!#REF!</definedName>
    <definedName name="______CPT715480" localSheetId="5">[1]DETCONSO!#REF!</definedName>
    <definedName name="______CPT715480">[1]DETCONSO!#REF!</definedName>
    <definedName name="______CPT715570" localSheetId="5">[1]DETCONSO!#REF!</definedName>
    <definedName name="______CPT715570">[1]DETCONSO!#REF!</definedName>
    <definedName name="______CPT715725" localSheetId="5">[1]DETCONSO!#REF!</definedName>
    <definedName name="______CPT715725">[1]DETCONSO!#REF!</definedName>
    <definedName name="______CPT715770" localSheetId="5">[1]DETCONSO!#REF!</definedName>
    <definedName name="______CPT715770">[1]DETCONSO!#REF!</definedName>
    <definedName name="______CPT719125" localSheetId="5">[1]DETCONSO!#REF!</definedName>
    <definedName name="______CPT719125">[1]DETCONSO!#REF!</definedName>
    <definedName name="______CPT753708" localSheetId="5">[1]DETCONSO!#REF!</definedName>
    <definedName name="______CPT753708">[1]DETCONSO!#REF!</definedName>
    <definedName name="______IAM10645" localSheetId="5">#REF!</definedName>
    <definedName name="______IAM10645">#REF!</definedName>
    <definedName name="______IMM2" localSheetId="5">[2]EXPERTISE!#REF!</definedName>
    <definedName name="______IMM2">[2]EXPERTISE!#REF!</definedName>
    <definedName name="______MEQ2661" localSheetId="5">#REF!</definedName>
    <definedName name="______MEQ2661">#REF!</definedName>
    <definedName name="______MEQ2663" localSheetId="5">#REF!</definedName>
    <definedName name="______MEQ2663">#REF!</definedName>
    <definedName name="______PPA01" localSheetId="5">[3]PORT_HORS_CONSO!#REF!</definedName>
    <definedName name="______PPA01">[3]PORT_HORS_CONSO!#REF!</definedName>
    <definedName name="______ste2" localSheetId="5">[2]EXPERTISE!#REF!</definedName>
    <definedName name="______ste2">[2]EXPERTISE!#REF!</definedName>
    <definedName name="_____CDC3036" localSheetId="5">#REF!</definedName>
    <definedName name="_____CDC3036">#REF!</definedName>
    <definedName name="_____cdc36564" localSheetId="5">#REF!</definedName>
    <definedName name="_____cdc36564">#REF!</definedName>
    <definedName name="_____CDC36566" localSheetId="5">#REF!</definedName>
    <definedName name="_____CDC36566">#REF!</definedName>
    <definedName name="_____cdc365662" localSheetId="5">#REF!</definedName>
    <definedName name="_____cdc365662">#REF!</definedName>
    <definedName name="_____CDC36568" localSheetId="5">#REF!</definedName>
    <definedName name="_____CDC36568">#REF!</definedName>
    <definedName name="_____cdc6311" localSheetId="5">#REF!</definedName>
    <definedName name="_____cdc6311">#REF!</definedName>
    <definedName name="_____CDC6321" localSheetId="5">#REF!</definedName>
    <definedName name="_____CDC6321">#REF!</definedName>
    <definedName name="_____CDC6332" localSheetId="5">#REF!</definedName>
    <definedName name="_____CDC6332">#REF!</definedName>
    <definedName name="_____CDC635" localSheetId="5">#REF!</definedName>
    <definedName name="_____CDC635">#REF!</definedName>
    <definedName name="_____CDC63911" localSheetId="5">#REF!</definedName>
    <definedName name="_____CDC63911">#REF!</definedName>
    <definedName name="_____cdc63915" localSheetId="5">#REF!</definedName>
    <definedName name="_____cdc63915">#REF!</definedName>
    <definedName name="_____cdc63916" localSheetId="5">#REF!</definedName>
    <definedName name="_____cdc63916">#REF!</definedName>
    <definedName name="_____CDC63925" localSheetId="5">#REF!</definedName>
    <definedName name="_____CDC63925">#REF!</definedName>
    <definedName name="_____CDC63928" localSheetId="5">#REF!</definedName>
    <definedName name="_____CDC63928">#REF!</definedName>
    <definedName name="_____CDC928" localSheetId="5">#REF!</definedName>
    <definedName name="_____CDC928">#REF!</definedName>
    <definedName name="_____CDC94311" localSheetId="5">#REF!</definedName>
    <definedName name="_____CDC94311">#REF!</definedName>
    <definedName name="_____CDC943211" localSheetId="5">#REF!</definedName>
    <definedName name="_____CDC943211">#REF!</definedName>
    <definedName name="_____CDC943212" localSheetId="5">#REF!</definedName>
    <definedName name="_____CDC943212">#REF!</definedName>
    <definedName name="_____CDC943222" localSheetId="5">#REF!</definedName>
    <definedName name="_____CDC943222">#REF!</definedName>
    <definedName name="_____CDC94411" localSheetId="5">#REF!</definedName>
    <definedName name="_____CDC94411">#REF!</definedName>
    <definedName name="_____CDC94821" localSheetId="5">#REF!</definedName>
    <definedName name="_____CDC94821">#REF!</definedName>
    <definedName name="_____CDC94822" localSheetId="5">#REF!</definedName>
    <definedName name="_____CDC94822">#REF!</definedName>
    <definedName name="_____CDC95199" localSheetId="5">#REF!</definedName>
    <definedName name="_____CDC95199">#REF!</definedName>
    <definedName name="_____CDC95299" localSheetId="5">#REF!</definedName>
    <definedName name="_____CDC95299">#REF!</definedName>
    <definedName name="_____CPT10645">#N/A</definedName>
    <definedName name="_____CPT611200" localSheetId="5">#REF!</definedName>
    <definedName name="_____CPT611200">#REF!</definedName>
    <definedName name="_____CPT611310" localSheetId="5">#REF!</definedName>
    <definedName name="_____CPT611310">#REF!</definedName>
    <definedName name="_____CPT611317" localSheetId="5">#REF!</definedName>
    <definedName name="_____CPT611317">#REF!</definedName>
    <definedName name="_____CPT611318" localSheetId="5">#REF!</definedName>
    <definedName name="_____CPT611318">#REF!</definedName>
    <definedName name="_____CPT611320" localSheetId="5">#REF!</definedName>
    <definedName name="_____CPT611320">#REF!</definedName>
    <definedName name="_____CPT611328" localSheetId="5">#REF!</definedName>
    <definedName name="_____CPT611328">#REF!</definedName>
    <definedName name="_____CPT611600" localSheetId="5">#REF!</definedName>
    <definedName name="_____CPT611600">#REF!</definedName>
    <definedName name="_____CPT611610" localSheetId="5">#REF!</definedName>
    <definedName name="_____CPT611610">#REF!</definedName>
    <definedName name="_____CPT611615" localSheetId="5">#REF!</definedName>
    <definedName name="_____CPT611615">#REF!</definedName>
    <definedName name="_____CPT611620" localSheetId="5">#REF!</definedName>
    <definedName name="_____CPT611620">#REF!</definedName>
    <definedName name="_____CPT611625" localSheetId="5">#REF!</definedName>
    <definedName name="_____CPT611625">#REF!</definedName>
    <definedName name="_____CPT611630" localSheetId="5">#REF!</definedName>
    <definedName name="_____CPT611630">#REF!</definedName>
    <definedName name="_____CPT611635" localSheetId="5">#REF!</definedName>
    <definedName name="_____CPT611635">#REF!</definedName>
    <definedName name="_____CPT611640" localSheetId="5">#REF!</definedName>
    <definedName name="_____CPT611640">#REF!</definedName>
    <definedName name="_____CPT611650" localSheetId="5">#REF!</definedName>
    <definedName name="_____CPT611650">#REF!</definedName>
    <definedName name="_____CPT611655" localSheetId="5">#REF!</definedName>
    <definedName name="_____CPT611655">#REF!</definedName>
    <definedName name="_____CPT611660" localSheetId="5">#REF!</definedName>
    <definedName name="_____CPT611660">#REF!</definedName>
    <definedName name="_____CPT611665" localSheetId="5">#REF!</definedName>
    <definedName name="_____CPT611665">#REF!</definedName>
    <definedName name="_____CPT611670" localSheetId="5">#REF!</definedName>
    <definedName name="_____CPT611670">#REF!</definedName>
    <definedName name="_____CPT611675" localSheetId="5">#REF!</definedName>
    <definedName name="_____CPT611675">#REF!</definedName>
    <definedName name="_____CPT611700" localSheetId="5">#REF!</definedName>
    <definedName name="_____CPT611700">#REF!</definedName>
    <definedName name="_____CPT611701" localSheetId="5">#REF!</definedName>
    <definedName name="_____CPT611701">#REF!</definedName>
    <definedName name="_____CPT611702" localSheetId="5">#REF!</definedName>
    <definedName name="_____CPT611702">#REF!</definedName>
    <definedName name="_____CPT611710" localSheetId="5">#REF!</definedName>
    <definedName name="_____CPT611710">#REF!</definedName>
    <definedName name="_____CPT611715" localSheetId="5">#REF!</definedName>
    <definedName name="_____CPT611715">#REF!</definedName>
    <definedName name="_____CPT611720" localSheetId="5">#REF!</definedName>
    <definedName name="_____CPT611720">#REF!</definedName>
    <definedName name="_____CPT611725" localSheetId="5">#REF!</definedName>
    <definedName name="_____CPT611725">#REF!</definedName>
    <definedName name="_____CPT611730" localSheetId="5">#REF!</definedName>
    <definedName name="_____CPT611730">#REF!</definedName>
    <definedName name="_____CPT611735" localSheetId="5">#REF!</definedName>
    <definedName name="_____CPT611735">#REF!</definedName>
    <definedName name="_____CPT611740" localSheetId="5">#REF!</definedName>
    <definedName name="_____CPT611740">#REF!</definedName>
    <definedName name="_____CPT611745" localSheetId="5">#REF!</definedName>
    <definedName name="_____CPT611745">#REF!</definedName>
    <definedName name="_____CPT611750" localSheetId="5">#REF!</definedName>
    <definedName name="_____CPT611750">#REF!</definedName>
    <definedName name="_____CPT611755" localSheetId="5">#REF!</definedName>
    <definedName name="_____CPT611755">#REF!</definedName>
    <definedName name="_____CPT611760" localSheetId="5">#REF!</definedName>
    <definedName name="_____CPT611760">#REF!</definedName>
    <definedName name="_____CPT611765" localSheetId="5">#REF!</definedName>
    <definedName name="_____CPT611765">#REF!</definedName>
    <definedName name="_____CPT611770" localSheetId="5">#REF!</definedName>
    <definedName name="_____CPT611770">#REF!</definedName>
    <definedName name="_____CPT611775" localSheetId="5">#REF!</definedName>
    <definedName name="_____CPT611775">#REF!</definedName>
    <definedName name="_____CPT611780" localSheetId="5">#REF!</definedName>
    <definedName name="_____CPT611780">#REF!</definedName>
    <definedName name="_____CPT611785" localSheetId="5">#REF!</definedName>
    <definedName name="_____CPT611785">#REF!</definedName>
    <definedName name="_____CPT611790" localSheetId="5">#REF!</definedName>
    <definedName name="_____CPT611790">#REF!</definedName>
    <definedName name="_____CPT611795" localSheetId="5">#REF!</definedName>
    <definedName name="_____CPT611795">#REF!</definedName>
    <definedName name="_____CPT611800" localSheetId="5">#REF!</definedName>
    <definedName name="_____CPT611800">#REF!</definedName>
    <definedName name="_____CPT611801" localSheetId="5">#REF!</definedName>
    <definedName name="_____CPT611801">#REF!</definedName>
    <definedName name="_____CPT611802" localSheetId="5">#REF!</definedName>
    <definedName name="_____CPT611802">#REF!</definedName>
    <definedName name="_____CPT611804" localSheetId="5">#REF!</definedName>
    <definedName name="_____CPT611804">#REF!</definedName>
    <definedName name="_____CPT611840" localSheetId="5">#REF!</definedName>
    <definedName name="_____CPT611840">#REF!</definedName>
    <definedName name="_____CPT611890" localSheetId="5">#REF!</definedName>
    <definedName name="_____CPT611890">#REF!</definedName>
    <definedName name="_____CPT611900" localSheetId="5">#REF!</definedName>
    <definedName name="_____CPT611900">#REF!</definedName>
    <definedName name="_____CPT612160" localSheetId="5">#REF!</definedName>
    <definedName name="_____CPT612160">#REF!</definedName>
    <definedName name="_____CPT612180" localSheetId="5">#REF!</definedName>
    <definedName name="_____CPT612180">#REF!</definedName>
    <definedName name="_____CPT612210" localSheetId="5">#REF!</definedName>
    <definedName name="_____CPT612210">#REF!</definedName>
    <definedName name="_____CPT612250" localSheetId="5">#REF!</definedName>
    <definedName name="_____CPT612250">#REF!</definedName>
    <definedName name="_____CPT612260" localSheetId="5">#REF!</definedName>
    <definedName name="_____CPT612260">#REF!</definedName>
    <definedName name="_____CPT612500" localSheetId="5">#REF!</definedName>
    <definedName name="_____CPT612500">#REF!</definedName>
    <definedName name="_____CPT613150" localSheetId="5">#REF!</definedName>
    <definedName name="_____CPT613150">#REF!</definedName>
    <definedName name="_____CPT613160" localSheetId="5">#REF!</definedName>
    <definedName name="_____CPT613160">#REF!</definedName>
    <definedName name="_____CPT613170" localSheetId="5">#REF!</definedName>
    <definedName name="_____CPT613170">#REF!</definedName>
    <definedName name="_____CPT613180" localSheetId="5">#REF!</definedName>
    <definedName name="_____CPT613180">#REF!</definedName>
    <definedName name="_____CPT613530" localSheetId="5">#REF!</definedName>
    <definedName name="_____CPT613530">#REF!</definedName>
    <definedName name="_____CPT613535" localSheetId="5">#REF!</definedName>
    <definedName name="_____CPT613535">#REF!</definedName>
    <definedName name="_____CPT613540" localSheetId="5">#REF!</definedName>
    <definedName name="_____CPT613540">#REF!</definedName>
    <definedName name="_____CPT613550" localSheetId="5">#REF!</definedName>
    <definedName name="_____CPT613550">#REF!</definedName>
    <definedName name="_____CPT615200" localSheetId="5">#REF!</definedName>
    <definedName name="_____CPT615200">#REF!</definedName>
    <definedName name="_____CPT615450" localSheetId="5">#REF!</definedName>
    <definedName name="_____CPT615450">#REF!</definedName>
    <definedName name="_____CPT615490" localSheetId="5">#REF!</definedName>
    <definedName name="_____CPT615490">#REF!</definedName>
    <definedName name="_____CPT615510" localSheetId="5">#REF!</definedName>
    <definedName name="_____CPT615510">#REF!</definedName>
    <definedName name="_____CPT615515" localSheetId="5">#REF!</definedName>
    <definedName name="_____CPT615515">#REF!</definedName>
    <definedName name="_____CPT615520" localSheetId="5">#REF!</definedName>
    <definedName name="_____CPT615520">#REF!</definedName>
    <definedName name="_____CPT615525" localSheetId="5">#REF!</definedName>
    <definedName name="_____CPT615525">#REF!</definedName>
    <definedName name="_____CPT615530" localSheetId="5">#REF!</definedName>
    <definedName name="_____CPT615530">#REF!</definedName>
    <definedName name="_____CPT615600" localSheetId="5">#REF!</definedName>
    <definedName name="_____CPT615600">#REF!</definedName>
    <definedName name="_____CPT615610" localSheetId="5">#REF!</definedName>
    <definedName name="_____CPT615610">#REF!</definedName>
    <definedName name="_____CPT615620" localSheetId="5">#REF!</definedName>
    <definedName name="_____CPT615620">#REF!</definedName>
    <definedName name="_____CPT615640" localSheetId="5">#REF!</definedName>
    <definedName name="_____CPT615640">#REF!</definedName>
    <definedName name="_____CPT615730" localSheetId="5">#REF!</definedName>
    <definedName name="_____CPT615730">#REF!</definedName>
    <definedName name="_____CPT615760" localSheetId="5">#REF!</definedName>
    <definedName name="_____CPT615760">#REF!</definedName>
    <definedName name="_____CPT615780" localSheetId="5">#REF!</definedName>
    <definedName name="_____CPT615780">#REF!</definedName>
    <definedName name="_____CPT615790" localSheetId="5">#REF!</definedName>
    <definedName name="_____CPT615790">#REF!</definedName>
    <definedName name="_____CPT615800" localSheetId="5">#REF!</definedName>
    <definedName name="_____CPT615800">#REF!</definedName>
    <definedName name="_____CPT615805" localSheetId="5">#REF!</definedName>
    <definedName name="_____CPT615805">#REF!</definedName>
    <definedName name="_____CPT615810" localSheetId="5">#REF!</definedName>
    <definedName name="_____CPT615810">#REF!</definedName>
    <definedName name="_____CPT615815" localSheetId="5">#REF!</definedName>
    <definedName name="_____CPT615815">#REF!</definedName>
    <definedName name="_____CPT616100" localSheetId="5">#REF!</definedName>
    <definedName name="_____CPT616100">#REF!</definedName>
    <definedName name="_____CPT616106" localSheetId="5">#REF!</definedName>
    <definedName name="_____CPT616106">#REF!</definedName>
    <definedName name="_____CPT616107" localSheetId="5">#REF!</definedName>
    <definedName name="_____CPT616107">#REF!</definedName>
    <definedName name="_____CPT616120" localSheetId="5">#REF!</definedName>
    <definedName name="_____CPT616120">#REF!</definedName>
    <definedName name="_____CPT616125" localSheetId="5">#REF!</definedName>
    <definedName name="_____CPT616125">#REF!</definedName>
    <definedName name="_____CPT616190" localSheetId="5">#REF!</definedName>
    <definedName name="_____CPT616190">#REF!</definedName>
    <definedName name="_____CPT616200" localSheetId="5">#REF!</definedName>
    <definedName name="_____CPT616200">#REF!</definedName>
    <definedName name="_____CPT616210" localSheetId="5">#REF!</definedName>
    <definedName name="_____CPT616210">#REF!</definedName>
    <definedName name="_____CPT619220" localSheetId="5">#REF!</definedName>
    <definedName name="_____CPT619220">#REF!</definedName>
    <definedName name="_____CPT619240" localSheetId="5">#REF!</definedName>
    <definedName name="_____CPT619240">#REF!</definedName>
    <definedName name="_____CPT619260" localSheetId="5">#REF!</definedName>
    <definedName name="_____CPT619260">#REF!</definedName>
    <definedName name="_____CPT621000" localSheetId="5">#REF!</definedName>
    <definedName name="_____CPT621000">#REF!</definedName>
    <definedName name="_____CPT621100" localSheetId="5">#REF!</definedName>
    <definedName name="_____CPT621100">#REF!</definedName>
    <definedName name="_____CPT621200" localSheetId="5">#REF!</definedName>
    <definedName name="_____CPT621200">#REF!</definedName>
    <definedName name="_____CPT621300" localSheetId="5">#REF!</definedName>
    <definedName name="_____CPT621300">#REF!</definedName>
    <definedName name="_____CPT623000" localSheetId="5">#REF!</definedName>
    <definedName name="_____CPT623000">#REF!</definedName>
    <definedName name="_____CPT623100" localSheetId="5">#REF!</definedName>
    <definedName name="_____CPT623100">#REF!</definedName>
    <definedName name="_____CPT624000" localSheetId="5">#REF!</definedName>
    <definedName name="_____CPT624000">#REF!</definedName>
    <definedName name="_____CPT625000" localSheetId="5">#REF!</definedName>
    <definedName name="_____CPT625000">#REF!</definedName>
    <definedName name="_____CPT631000" localSheetId="5">#REF!</definedName>
    <definedName name="_____CPT631000">#REF!</definedName>
    <definedName name="_____CPT637000" localSheetId="5">#REF!</definedName>
    <definedName name="_____CPT637000">#REF!</definedName>
    <definedName name="_____CPT641705" localSheetId="5">#REF!</definedName>
    <definedName name="_____CPT641705">#REF!</definedName>
    <definedName name="_____CPT641708" localSheetId="5">#REF!</definedName>
    <definedName name="_____CPT641708">#REF!</definedName>
    <definedName name="_____CPT641709" localSheetId="5">#REF!</definedName>
    <definedName name="_____CPT641709">#REF!</definedName>
    <definedName name="_____CPT641710" localSheetId="5">#REF!</definedName>
    <definedName name="_____CPT641710">#REF!</definedName>
    <definedName name="_____CPT641720" localSheetId="5">#REF!</definedName>
    <definedName name="_____CPT641720">#REF!</definedName>
    <definedName name="_____CPT641723" localSheetId="5">#REF!</definedName>
    <definedName name="_____CPT641723">#REF!</definedName>
    <definedName name="_____CPT641725" localSheetId="5">#REF!</definedName>
    <definedName name="_____CPT641725">#REF!</definedName>
    <definedName name="_____CPT641738" localSheetId="5">#REF!</definedName>
    <definedName name="_____CPT641738">#REF!</definedName>
    <definedName name="_____CPT641739" localSheetId="5">#REF!</definedName>
    <definedName name="_____CPT641739">#REF!</definedName>
    <definedName name="_____CPT641740" localSheetId="5">#REF!</definedName>
    <definedName name="_____CPT641740">#REF!</definedName>
    <definedName name="_____CPT641759" localSheetId="5">#REF!</definedName>
    <definedName name="_____CPT641759">#REF!</definedName>
    <definedName name="_____CPT641770" localSheetId="5">#REF!</definedName>
    <definedName name="_____CPT641770">#REF!</definedName>
    <definedName name="_____CPT641780" localSheetId="5">#REF!</definedName>
    <definedName name="_____CPT641780">#REF!</definedName>
    <definedName name="_____CPT641790" localSheetId="5">#REF!</definedName>
    <definedName name="_____CPT641790">#REF!</definedName>
    <definedName name="_____CPT642000" localSheetId="5">#REF!</definedName>
    <definedName name="_____CPT642000">#REF!</definedName>
    <definedName name="_____CPT642100" localSheetId="5">#REF!</definedName>
    <definedName name="_____CPT642100">#REF!</definedName>
    <definedName name="_____CPT642400" localSheetId="5">#REF!</definedName>
    <definedName name="_____CPT642400">#REF!</definedName>
    <definedName name="_____CPT643900" localSheetId="5">#REF!</definedName>
    <definedName name="_____CPT643900">#REF!</definedName>
    <definedName name="_____CPT643908" localSheetId="5">#REF!</definedName>
    <definedName name="_____CPT643908">#REF!</definedName>
    <definedName name="_____CPT645000" localSheetId="5">#REF!</definedName>
    <definedName name="_____CPT645000">#REF!</definedName>
    <definedName name="_____CPT646000" localSheetId="5">#REF!</definedName>
    <definedName name="_____CPT646000">#REF!</definedName>
    <definedName name="_____CPT649000" localSheetId="5">#REF!</definedName>
    <definedName name="_____CPT649000">#REF!</definedName>
    <definedName name="_____CPT649050" localSheetId="5">#REF!</definedName>
    <definedName name="_____CPT649050">#REF!</definedName>
    <definedName name="_____CPT649100" localSheetId="5">#REF!</definedName>
    <definedName name="_____CPT649100">#REF!</definedName>
    <definedName name="_____CPT649200" localSheetId="5">#REF!</definedName>
    <definedName name="_____CPT649200">#REF!</definedName>
    <definedName name="_____CPT649300" localSheetId="5">#REF!</definedName>
    <definedName name="_____CPT649300">#REF!</definedName>
    <definedName name="_____CPT649350" localSheetId="5">#REF!</definedName>
    <definedName name="_____CPT649350">#REF!</definedName>
    <definedName name="_____CPT649400" localSheetId="5">#REF!</definedName>
    <definedName name="_____CPT649400">#REF!</definedName>
    <definedName name="_____CPT649450" localSheetId="5">#REF!</definedName>
    <definedName name="_____CPT649450">#REF!</definedName>
    <definedName name="_____CPT649500" localSheetId="5">#REF!</definedName>
    <definedName name="_____CPT649500">#REF!</definedName>
    <definedName name="_____CPT651000" localSheetId="5">#REF!</definedName>
    <definedName name="_____CPT651000">#REF!</definedName>
    <definedName name="_____CPT65110" localSheetId="5">#REF!</definedName>
    <definedName name="_____CPT65110">#REF!</definedName>
    <definedName name="_____CPT651100" localSheetId="5">#REF!</definedName>
    <definedName name="_____CPT651100">#REF!</definedName>
    <definedName name="_____CPT651105" localSheetId="5">#REF!</definedName>
    <definedName name="_____CPT651105">#REF!</definedName>
    <definedName name="_____CPT652000" localSheetId="5">#REF!</definedName>
    <definedName name="_____CPT652000">#REF!</definedName>
    <definedName name="_____CPT652100" localSheetId="5">#REF!</definedName>
    <definedName name="_____CPT652100">#REF!</definedName>
    <definedName name="_____CPT652200" localSheetId="5">#REF!</definedName>
    <definedName name="_____CPT652200">#REF!</definedName>
    <definedName name="_____CPT653100" localSheetId="5">#REF!</definedName>
    <definedName name="_____CPT653100">#REF!</definedName>
    <definedName name="_____CPT653150" localSheetId="5">#REF!</definedName>
    <definedName name="_____CPT653150">#REF!</definedName>
    <definedName name="_____CPT653160" localSheetId="5">#REF!</definedName>
    <definedName name="_____CPT653160">#REF!</definedName>
    <definedName name="_____CPT653200" localSheetId="5">#REF!</definedName>
    <definedName name="_____CPT653200">#REF!</definedName>
    <definedName name="_____CPT653250" localSheetId="5">#REF!</definedName>
    <definedName name="_____CPT653250">#REF!</definedName>
    <definedName name="_____CPT653280" localSheetId="5">#REF!</definedName>
    <definedName name="_____CPT653280">#REF!</definedName>
    <definedName name="_____CPT653300" localSheetId="5">#REF!</definedName>
    <definedName name="_____CPT653300">#REF!</definedName>
    <definedName name="_____CPT653310" localSheetId="5">#REF!</definedName>
    <definedName name="_____CPT653310">#REF!</definedName>
    <definedName name="_____CPT653320" localSheetId="5">#REF!</definedName>
    <definedName name="_____CPT653320">#REF!</definedName>
    <definedName name="_____CPT653350" localSheetId="5">#REF!</definedName>
    <definedName name="_____CPT653350">#REF!</definedName>
    <definedName name="_____CPT653380" localSheetId="5">#REF!</definedName>
    <definedName name="_____CPT653380">#REF!</definedName>
    <definedName name="_____cpt653390" localSheetId="5">#REF!</definedName>
    <definedName name="_____cpt653390">#REF!</definedName>
    <definedName name="_____CPT653400" localSheetId="5">#REF!</definedName>
    <definedName name="_____CPT653400">#REF!</definedName>
    <definedName name="_____CPT653410" localSheetId="5">#REF!</definedName>
    <definedName name="_____CPT653410">#REF!</definedName>
    <definedName name="_____CPT653420" localSheetId="5">#REF!</definedName>
    <definedName name="_____CPT653420">#REF!</definedName>
    <definedName name="_____CPT653430" localSheetId="5">#REF!</definedName>
    <definedName name="_____CPT653430">#REF!</definedName>
    <definedName name="_____CPT653450" localSheetId="5">#REF!</definedName>
    <definedName name="_____CPT653450">#REF!</definedName>
    <definedName name="_____CPT653500" localSheetId="5">#REF!</definedName>
    <definedName name="_____CPT653500">#REF!</definedName>
    <definedName name="_____CPT653600" localSheetId="5">#REF!</definedName>
    <definedName name="_____CPT653600">#REF!</definedName>
    <definedName name="_____CPT653610" localSheetId="5">#REF!</definedName>
    <definedName name="_____CPT653610">#REF!</definedName>
    <definedName name="_____CPT653620" localSheetId="5">#REF!</definedName>
    <definedName name="_____CPT653620">#REF!</definedName>
    <definedName name="_____CPT653630" localSheetId="5">#REF!</definedName>
    <definedName name="_____CPT653630">#REF!</definedName>
    <definedName name="_____CPT653640" localSheetId="5">#REF!</definedName>
    <definedName name="_____CPT653640">#REF!</definedName>
    <definedName name="_____CPT653650" localSheetId="5">#REF!</definedName>
    <definedName name="_____CPT653650">#REF!</definedName>
    <definedName name="_____CPT653700" localSheetId="5">#REF!</definedName>
    <definedName name="_____CPT653700">#REF!</definedName>
    <definedName name="_____CPT653750" localSheetId="5">#REF!</definedName>
    <definedName name="_____CPT653750">#REF!</definedName>
    <definedName name="_____CPT653755" localSheetId="5">#REF!</definedName>
    <definedName name="_____CPT653755">#REF!</definedName>
    <definedName name="_____CPT653760" localSheetId="5">#REF!</definedName>
    <definedName name="_____CPT653760">#REF!</definedName>
    <definedName name="_____CPT653761" localSheetId="5">#REF!</definedName>
    <definedName name="_____CPT653761">#REF!</definedName>
    <definedName name="_____CPT653762" localSheetId="5">#REF!</definedName>
    <definedName name="_____CPT653762">#REF!</definedName>
    <definedName name="_____CPT653770" localSheetId="5">#REF!</definedName>
    <definedName name="_____CPT653770">#REF!</definedName>
    <definedName name="_____CPT653780" localSheetId="5">#REF!</definedName>
    <definedName name="_____CPT653780">#REF!</definedName>
    <definedName name="_____CPT653800" localSheetId="5">#REF!</definedName>
    <definedName name="_____CPT653800">#REF!</definedName>
    <definedName name="_____CPT657000" localSheetId="5">#REF!</definedName>
    <definedName name="_____CPT657000">#REF!</definedName>
    <definedName name="_____CPT661000" localSheetId="5">#REF!</definedName>
    <definedName name="_____CPT661000">#REF!</definedName>
    <definedName name="_____CPT661010" localSheetId="5">#REF!</definedName>
    <definedName name="_____CPT661010">#REF!</definedName>
    <definedName name="_____CPT661020" localSheetId="5">#REF!</definedName>
    <definedName name="_____CPT661020">#REF!</definedName>
    <definedName name="_____CPT661030" localSheetId="5">#REF!</definedName>
    <definedName name="_____CPT661030">#REF!</definedName>
    <definedName name="_____CPT661100" localSheetId="5">#REF!</definedName>
    <definedName name="_____CPT661100">#REF!</definedName>
    <definedName name="_____CPT661200" localSheetId="5">#REF!</definedName>
    <definedName name="_____CPT661200">#REF!</definedName>
    <definedName name="_____CPT661450" localSheetId="5">#REF!</definedName>
    <definedName name="_____CPT661450">#REF!</definedName>
    <definedName name="_____CPT664000" localSheetId="5">#REF!</definedName>
    <definedName name="_____CPT664000">#REF!</definedName>
    <definedName name="_____CPT664100" localSheetId="5">#REF!</definedName>
    <definedName name="_____CPT664100">#REF!</definedName>
    <definedName name="_____CPT664200" localSheetId="5">#REF!</definedName>
    <definedName name="_____CPT664200">#REF!</definedName>
    <definedName name="_____CPT665000" localSheetId="5">#REF!</definedName>
    <definedName name="_____CPT665000">#REF!</definedName>
    <definedName name="_____CPT665150" localSheetId="5">#REF!</definedName>
    <definedName name="_____CPT665150">#REF!</definedName>
    <definedName name="_____CPT665350" localSheetId="5">#REF!</definedName>
    <definedName name="_____CPT665350">#REF!</definedName>
    <definedName name="_____CPT665500" localSheetId="5">#REF!</definedName>
    <definedName name="_____CPT665500">#REF!</definedName>
    <definedName name="_____CPT666000" localSheetId="5">#REF!</definedName>
    <definedName name="_____CPT666000">#REF!</definedName>
    <definedName name="_____CPT666100" localSheetId="5">#REF!</definedName>
    <definedName name="_____CPT666100">#REF!</definedName>
    <definedName name="_____CPT670000" localSheetId="5">#REF!</definedName>
    <definedName name="_____CPT670000">#REF!</definedName>
    <definedName name="_____CPT681000" localSheetId="5">#REF!</definedName>
    <definedName name="_____CPT681000">#REF!</definedName>
    <definedName name="_____CPT681100" localSheetId="5">#REF!</definedName>
    <definedName name="_____CPT681100">#REF!</definedName>
    <definedName name="_____CPT682000" localSheetId="5">#REF!</definedName>
    <definedName name="_____CPT682000">#REF!</definedName>
    <definedName name="_____CPT682100" localSheetId="5">#REF!</definedName>
    <definedName name="_____CPT682100">#REF!</definedName>
    <definedName name="_____CPT701" localSheetId="5">#REF!</definedName>
    <definedName name="_____CPT701">#REF!</definedName>
    <definedName name="_____CPT711200" localSheetId="5">#REF!</definedName>
    <definedName name="_____CPT711200">#REF!</definedName>
    <definedName name="_____CPT711310" localSheetId="5">#REF!</definedName>
    <definedName name="_____CPT711310">#REF!</definedName>
    <definedName name="_____CPT711317" localSheetId="5">#REF!</definedName>
    <definedName name="_____CPT711317">#REF!</definedName>
    <definedName name="_____CPT711318" localSheetId="5">#REF!</definedName>
    <definedName name="_____CPT711318">#REF!</definedName>
    <definedName name="_____CPT711320" localSheetId="5">#REF!</definedName>
    <definedName name="_____CPT711320">#REF!</definedName>
    <definedName name="_____CPT711328" localSheetId="5">#REF!</definedName>
    <definedName name="_____CPT711328">#REF!</definedName>
    <definedName name="_____CPT711330" localSheetId="5">#REF!</definedName>
    <definedName name="_____CPT711330">#REF!</definedName>
    <definedName name="_____CPT711600" localSheetId="5">#REF!</definedName>
    <definedName name="_____CPT711600">#REF!</definedName>
    <definedName name="_____CPT711610" localSheetId="5">#REF!</definedName>
    <definedName name="_____CPT711610">#REF!</definedName>
    <definedName name="_____CPT711615" localSheetId="5">#REF!</definedName>
    <definedName name="_____CPT711615">#REF!</definedName>
    <definedName name="_____CPT711620" localSheetId="5">#REF!</definedName>
    <definedName name="_____CPT711620">#REF!</definedName>
    <definedName name="_____CPT711625" localSheetId="5">#REF!</definedName>
    <definedName name="_____CPT711625">#REF!</definedName>
    <definedName name="_____CPT711630" localSheetId="5">#REF!</definedName>
    <definedName name="_____CPT711630">#REF!</definedName>
    <definedName name="_____CPT711635" localSheetId="5">#REF!</definedName>
    <definedName name="_____CPT711635">#REF!</definedName>
    <definedName name="_____CPT711640" localSheetId="5">#REF!</definedName>
    <definedName name="_____CPT711640">#REF!</definedName>
    <definedName name="_____CPT711650" localSheetId="5">#REF!</definedName>
    <definedName name="_____CPT711650">#REF!</definedName>
    <definedName name="_____CPT711655" localSheetId="5">#REF!</definedName>
    <definedName name="_____CPT711655">#REF!</definedName>
    <definedName name="_____CPT711660" localSheetId="5">#REF!</definedName>
    <definedName name="_____CPT711660">#REF!</definedName>
    <definedName name="_____CPT711665" localSheetId="5">#REF!</definedName>
    <definedName name="_____CPT711665">#REF!</definedName>
    <definedName name="_____CPT711670" localSheetId="5">#REF!</definedName>
    <definedName name="_____CPT711670">#REF!</definedName>
    <definedName name="_____CPT711675" localSheetId="5">#REF!</definedName>
    <definedName name="_____CPT711675">#REF!</definedName>
    <definedName name="_____CPT711700" localSheetId="5">#REF!</definedName>
    <definedName name="_____CPT711700">#REF!</definedName>
    <definedName name="_____CPT711701" localSheetId="5">#REF!</definedName>
    <definedName name="_____CPT711701">#REF!</definedName>
    <definedName name="_____CPT711702" localSheetId="5">#REF!</definedName>
    <definedName name="_____CPT711702">#REF!</definedName>
    <definedName name="_____CPT711710" localSheetId="5">#REF!</definedName>
    <definedName name="_____CPT711710">#REF!</definedName>
    <definedName name="_____CPT711715" localSheetId="5">#REF!</definedName>
    <definedName name="_____CPT711715">#REF!</definedName>
    <definedName name="_____CPT711720" localSheetId="5">#REF!</definedName>
    <definedName name="_____CPT711720">#REF!</definedName>
    <definedName name="_____CPT711725" localSheetId="5">#REF!</definedName>
    <definedName name="_____CPT711725">#REF!</definedName>
    <definedName name="_____CPT711730" localSheetId="5">#REF!</definedName>
    <definedName name="_____CPT711730">#REF!</definedName>
    <definedName name="_____CPT711735" localSheetId="5">#REF!</definedName>
    <definedName name="_____CPT711735">#REF!</definedName>
    <definedName name="_____CPT711740" localSheetId="5">#REF!</definedName>
    <definedName name="_____CPT711740">#REF!</definedName>
    <definedName name="_____CPT711745" localSheetId="5">#REF!</definedName>
    <definedName name="_____CPT711745">#REF!</definedName>
    <definedName name="_____CPT711750" localSheetId="5">#REF!</definedName>
    <definedName name="_____CPT711750">#REF!</definedName>
    <definedName name="_____CPT711755" localSheetId="5">#REF!</definedName>
    <definedName name="_____CPT711755">#REF!</definedName>
    <definedName name="_____CPT711760" localSheetId="5">#REF!</definedName>
    <definedName name="_____CPT711760">#REF!</definedName>
    <definedName name="_____CPT711765" localSheetId="5">#REF!</definedName>
    <definedName name="_____CPT711765">#REF!</definedName>
    <definedName name="_____CPT711770" localSheetId="5">#REF!</definedName>
    <definedName name="_____CPT711770">#REF!</definedName>
    <definedName name="_____CPT711775" localSheetId="5">#REF!</definedName>
    <definedName name="_____CPT711775">#REF!</definedName>
    <definedName name="_____CPT711780" localSheetId="5">#REF!</definedName>
    <definedName name="_____CPT711780">#REF!</definedName>
    <definedName name="_____CPT711785" localSheetId="5">#REF!</definedName>
    <definedName name="_____CPT711785">#REF!</definedName>
    <definedName name="_____CPT711790" localSheetId="5">#REF!</definedName>
    <definedName name="_____CPT711790">#REF!</definedName>
    <definedName name="_____CPT711795" localSheetId="5">#REF!</definedName>
    <definedName name="_____CPT711795">#REF!</definedName>
    <definedName name="_____CPT711800" localSheetId="5">#REF!</definedName>
    <definedName name="_____CPT711800">#REF!</definedName>
    <definedName name="_____CPT711801" localSheetId="5">#REF!</definedName>
    <definedName name="_____CPT711801">#REF!</definedName>
    <definedName name="_____CPT711802" localSheetId="5">#REF!</definedName>
    <definedName name="_____CPT711802">#REF!</definedName>
    <definedName name="_____CPT711804" localSheetId="5">#REF!</definedName>
    <definedName name="_____CPT711804">#REF!</definedName>
    <definedName name="_____CPT711840" localSheetId="5">#REF!</definedName>
    <definedName name="_____CPT711840">#REF!</definedName>
    <definedName name="_____CPT711890" localSheetId="5">#REF!</definedName>
    <definedName name="_____CPT711890">#REF!</definedName>
    <definedName name="_____CPT711900" localSheetId="5">#REF!</definedName>
    <definedName name="_____CPT711900">#REF!</definedName>
    <definedName name="_____CPT712110" localSheetId="5">#REF!</definedName>
    <definedName name="_____CPT712110">#REF!</definedName>
    <definedName name="_____CPT712138" localSheetId="5">#REF!</definedName>
    <definedName name="_____CPT712138">#REF!</definedName>
    <definedName name="_____CPT712139" localSheetId="5">#REF!</definedName>
    <definedName name="_____CPT712139">#REF!</definedName>
    <definedName name="_____CPT712148" localSheetId="5">#REF!</definedName>
    <definedName name="_____CPT712148">#REF!</definedName>
    <definedName name="_____CPT712149" localSheetId="5">#REF!</definedName>
    <definedName name="_____CPT712149">#REF!</definedName>
    <definedName name="_____CPT712159" localSheetId="5">#REF!</definedName>
    <definedName name="_____CPT712159">#REF!</definedName>
    <definedName name="_____CPT712160" localSheetId="5">#REF!</definedName>
    <definedName name="_____CPT712160">#REF!</definedName>
    <definedName name="_____CPT712180" localSheetId="5">#REF!</definedName>
    <definedName name="_____CPT712180">#REF!</definedName>
    <definedName name="_____CPT712200" localSheetId="5">#REF!</definedName>
    <definedName name="_____CPT712200">#REF!</definedName>
    <definedName name="_____CPT712800" localSheetId="5">#REF!</definedName>
    <definedName name="_____CPT712800">#REF!</definedName>
    <definedName name="_____CPT712900" localSheetId="5">#REF!</definedName>
    <definedName name="_____CPT712900">#REF!</definedName>
    <definedName name="_____CPT713100" localSheetId="5">#REF!</definedName>
    <definedName name="_____CPT713100">#REF!</definedName>
    <definedName name="_____CPT713110" localSheetId="5">#REF!</definedName>
    <definedName name="_____CPT713110">#REF!</definedName>
    <definedName name="_____CPT713190" localSheetId="5">#REF!</definedName>
    <definedName name="_____CPT713190">#REF!</definedName>
    <definedName name="_____CPT713200" localSheetId="5">#REF!</definedName>
    <definedName name="_____CPT713200">#REF!</definedName>
    <definedName name="_____CPT713210" localSheetId="5">#REF!</definedName>
    <definedName name="_____CPT713210">#REF!</definedName>
    <definedName name="_____CPT713290" localSheetId="5">#REF!</definedName>
    <definedName name="_____CPT713290">#REF!</definedName>
    <definedName name="_____CPT713300" localSheetId="5">#REF!</definedName>
    <definedName name="_____CPT713300">#REF!</definedName>
    <definedName name="_____CPT713310" localSheetId="5">#REF!</definedName>
    <definedName name="_____CPT713310">#REF!</definedName>
    <definedName name="_____CPT713350" localSheetId="5">#REF!</definedName>
    <definedName name="_____CPT713350">#REF!</definedName>
    <definedName name="_____CPT713360" localSheetId="5">#REF!</definedName>
    <definedName name="_____CPT713360">#REF!</definedName>
    <definedName name="_____CPT713370" localSheetId="5">#REF!</definedName>
    <definedName name="_____CPT713370">#REF!</definedName>
    <definedName name="_____CPT713390" localSheetId="5">#REF!</definedName>
    <definedName name="_____CPT713390">#REF!</definedName>
    <definedName name="_____CPT713400" localSheetId="5">#REF!</definedName>
    <definedName name="_____CPT713400">#REF!</definedName>
    <definedName name="_____CPT713410" localSheetId="5">#REF!</definedName>
    <definedName name="_____CPT713410">#REF!</definedName>
    <definedName name="_____CPT713490" localSheetId="5">#REF!</definedName>
    <definedName name="_____CPT713490">#REF!</definedName>
    <definedName name="_____cpt713508" localSheetId="5">#REF!</definedName>
    <definedName name="_____cpt713508">#REF!</definedName>
    <definedName name="_____CPT713509" localSheetId="5">#REF!</definedName>
    <definedName name="_____CPT713509">#REF!</definedName>
    <definedName name="_____CPT715200" localSheetId="5">#REF!</definedName>
    <definedName name="_____CPT715200">#REF!</definedName>
    <definedName name="_____CPT715320" localSheetId="5">#REF!</definedName>
    <definedName name="_____CPT715320">#REF!</definedName>
    <definedName name="_____CPT715325" localSheetId="5">#REF!</definedName>
    <definedName name="_____CPT715325">#REF!</definedName>
    <definedName name="_____CPT715410" localSheetId="5">#REF!</definedName>
    <definedName name="_____CPT715410">#REF!</definedName>
    <definedName name="_____CPT715420" localSheetId="5">#REF!</definedName>
    <definedName name="_____CPT715420">#REF!</definedName>
    <definedName name="_____CPT715430" localSheetId="5">#REF!</definedName>
    <definedName name="_____CPT715430">#REF!</definedName>
    <definedName name="_____CPT715450" localSheetId="5">#REF!</definedName>
    <definedName name="_____CPT715450">#REF!</definedName>
    <definedName name="_____CPT715490" localSheetId="5">#REF!</definedName>
    <definedName name="_____CPT715490">#REF!</definedName>
    <definedName name="_____CPT715510" localSheetId="5">#REF!</definedName>
    <definedName name="_____CPT715510">#REF!</definedName>
    <definedName name="_____CPT715515" localSheetId="5">#REF!</definedName>
    <definedName name="_____CPT715515">#REF!</definedName>
    <definedName name="_____CPT715520" localSheetId="5">#REF!</definedName>
    <definedName name="_____CPT715520">#REF!</definedName>
    <definedName name="_____CPT715525" localSheetId="5">#REF!</definedName>
    <definedName name="_____CPT715525">#REF!</definedName>
    <definedName name="_____CPT715530" localSheetId="5">#REF!</definedName>
    <definedName name="_____CPT715530">#REF!</definedName>
    <definedName name="_____CPT715550" localSheetId="5">#REF!</definedName>
    <definedName name="_____CPT715550">#REF!</definedName>
    <definedName name="_____CPT715600" localSheetId="5">#REF!</definedName>
    <definedName name="_____CPT715600">#REF!</definedName>
    <definedName name="_____CPT715610" localSheetId="5">#REF!</definedName>
    <definedName name="_____CPT715610">#REF!</definedName>
    <definedName name="_____CPT715620" localSheetId="5">#REF!</definedName>
    <definedName name="_____CPT715620">#REF!</definedName>
    <definedName name="_____CPT715630" localSheetId="5">#REF!</definedName>
    <definedName name="_____CPT715630">#REF!</definedName>
    <definedName name="_____CPT715640" localSheetId="5">#REF!</definedName>
    <definedName name="_____CPT715640">#REF!</definedName>
    <definedName name="_____CPT715701" localSheetId="5">#REF!</definedName>
    <definedName name="_____CPT715701">#REF!</definedName>
    <definedName name="_____CPT715702" localSheetId="5">#REF!</definedName>
    <definedName name="_____CPT715702">#REF!</definedName>
    <definedName name="_____CPT715703" localSheetId="5">#REF!</definedName>
    <definedName name="_____CPT715703">#REF!</definedName>
    <definedName name="_____CPT715704" localSheetId="5">#REF!</definedName>
    <definedName name="_____CPT715704">#REF!</definedName>
    <definedName name="_____CPT715705" localSheetId="5">#REF!</definedName>
    <definedName name="_____CPT715705">#REF!</definedName>
    <definedName name="_____CPT715706" localSheetId="5">#REF!</definedName>
    <definedName name="_____CPT715706">#REF!</definedName>
    <definedName name="_____CPT715720" localSheetId="5">#REF!</definedName>
    <definedName name="_____CPT715720">#REF!</definedName>
    <definedName name="_____CPT715730" localSheetId="5">#REF!</definedName>
    <definedName name="_____CPT715730">#REF!</definedName>
    <definedName name="_____CPT715740" localSheetId="5">#REF!</definedName>
    <definedName name="_____CPT715740">#REF!</definedName>
    <definedName name="_____CPT715760" localSheetId="5">#REF!</definedName>
    <definedName name="_____CPT715760">#REF!</definedName>
    <definedName name="_____CPT715790" localSheetId="5">#REF!</definedName>
    <definedName name="_____CPT715790">#REF!</definedName>
    <definedName name="_____CPT715795" localSheetId="5">#REF!</definedName>
    <definedName name="_____CPT715795">#REF!</definedName>
    <definedName name="_____CPT715800" localSheetId="5">#REF!</definedName>
    <definedName name="_____CPT715800">#REF!</definedName>
    <definedName name="_____CPT715805" localSheetId="5">#REF!</definedName>
    <definedName name="_____CPT715805">#REF!</definedName>
    <definedName name="_____CPT715810" localSheetId="5">#REF!</definedName>
    <definedName name="_____CPT715810">#REF!</definedName>
    <definedName name="_____CPT715815" localSheetId="5">#REF!</definedName>
    <definedName name="_____CPT715815">#REF!</definedName>
    <definedName name="_____CPT715900" localSheetId="5">#REF!</definedName>
    <definedName name="_____CPT715900">#REF!</definedName>
    <definedName name="_____CPT715905" localSheetId="5">#REF!</definedName>
    <definedName name="_____CPT715905">#REF!</definedName>
    <definedName name="_____CPT715910" localSheetId="5">#REF!</definedName>
    <definedName name="_____CPT715910">#REF!</definedName>
    <definedName name="_____CPT719100" localSheetId="5">#REF!</definedName>
    <definedName name="_____CPT719100">#REF!</definedName>
    <definedName name="_____CPT719105" localSheetId="5">#REF!</definedName>
    <definedName name="_____CPT719105">#REF!</definedName>
    <definedName name="_____CPT719110" localSheetId="5">#REF!</definedName>
    <definedName name="_____CPT719110">#REF!</definedName>
    <definedName name="_____CPT719115" localSheetId="5">#REF!</definedName>
    <definedName name="_____CPT719115">#REF!</definedName>
    <definedName name="_____CPT719120" localSheetId="5">#REF!</definedName>
    <definedName name="_____CPT719120">#REF!</definedName>
    <definedName name="_____CPT719130" localSheetId="5">#REF!</definedName>
    <definedName name="_____CPT719130">#REF!</definedName>
    <definedName name="_____CPT719135" localSheetId="5">#REF!</definedName>
    <definedName name="_____CPT719135">#REF!</definedName>
    <definedName name="_____CPT719140" localSheetId="5">#REF!</definedName>
    <definedName name="_____CPT719140">#REF!</definedName>
    <definedName name="_____CPT719145" localSheetId="5">#REF!</definedName>
    <definedName name="_____CPT719145">#REF!</definedName>
    <definedName name="_____CPT719150" localSheetId="5">#REF!</definedName>
    <definedName name="_____CPT719150">#REF!</definedName>
    <definedName name="_____CPT719155" localSheetId="5">#REF!</definedName>
    <definedName name="_____CPT719155">#REF!</definedName>
    <definedName name="_____CPT719160" localSheetId="5">#REF!</definedName>
    <definedName name="_____CPT719160">#REF!</definedName>
    <definedName name="_____CPT719220" localSheetId="5">#REF!</definedName>
    <definedName name="_____CPT719220">#REF!</definedName>
    <definedName name="_____CPT719240" localSheetId="5">#REF!</definedName>
    <definedName name="_____CPT719240">#REF!</definedName>
    <definedName name="_____CPT719260" localSheetId="5">#REF!</definedName>
    <definedName name="_____CPT719260">#REF!</definedName>
    <definedName name="_____CPT721000" localSheetId="5">#REF!</definedName>
    <definedName name="_____CPT721000">#REF!</definedName>
    <definedName name="_____CPT721770" localSheetId="5">#REF!</definedName>
    <definedName name="_____CPT721770">#REF!</definedName>
    <definedName name="_____CPT721780" localSheetId="5">#REF!</definedName>
    <definedName name="_____CPT721780">#REF!</definedName>
    <definedName name="_____CPT726000" localSheetId="5">#REF!</definedName>
    <definedName name="_____CPT726000">#REF!</definedName>
    <definedName name="_____CPT727000" localSheetId="5">#REF!</definedName>
    <definedName name="_____CPT727000">#REF!</definedName>
    <definedName name="_____CPT728000" localSheetId="5">#REF!</definedName>
    <definedName name="_____CPT728000">#REF!</definedName>
    <definedName name="_____CPT728008" localSheetId="5">#REF!</definedName>
    <definedName name="_____CPT728008">#REF!</definedName>
    <definedName name="_____CPT728018" localSheetId="5">#REF!</definedName>
    <definedName name="_____CPT728018">#REF!</definedName>
    <definedName name="_____CPT729000" localSheetId="5">#REF!</definedName>
    <definedName name="_____CPT729000">#REF!</definedName>
    <definedName name="_____CPT729100" localSheetId="5">#REF!</definedName>
    <definedName name="_____CPT729100">#REF!</definedName>
    <definedName name="_____CPT729200" localSheetId="5">#REF!</definedName>
    <definedName name="_____CPT729200">#REF!</definedName>
    <definedName name="_____CPT732000" localSheetId="5">#REF!</definedName>
    <definedName name="_____CPT732000">#REF!</definedName>
    <definedName name="_____CPT732100" localSheetId="5">#REF!</definedName>
    <definedName name="_____CPT732100">#REF!</definedName>
    <definedName name="_____CPT732200" localSheetId="5">#REF!</definedName>
    <definedName name="_____CPT732200">#REF!</definedName>
    <definedName name="_____CPT749200" localSheetId="5">#REF!</definedName>
    <definedName name="_____CPT749200">#REF!</definedName>
    <definedName name="_____CPT749250" localSheetId="5">#REF!</definedName>
    <definedName name="_____CPT749250">#REF!</definedName>
    <definedName name="_____cpt749350" localSheetId="5">#REF!</definedName>
    <definedName name="_____cpt749350">#REF!</definedName>
    <definedName name="_____CPT753100" localSheetId="5">#REF!</definedName>
    <definedName name="_____CPT753100">#REF!</definedName>
    <definedName name="_____CPT753150" localSheetId="5">#REF!</definedName>
    <definedName name="_____CPT753150">#REF!</definedName>
    <definedName name="_____CPT753160" localSheetId="5">#REF!</definedName>
    <definedName name="_____CPT753160">#REF!</definedName>
    <definedName name="_____CPT753200" localSheetId="5">#REF!</definedName>
    <definedName name="_____CPT753200">#REF!</definedName>
    <definedName name="_____CPT753250" localSheetId="5">#REF!</definedName>
    <definedName name="_____CPT753250">#REF!</definedName>
    <definedName name="_____CPT753280" localSheetId="5">#REF!</definedName>
    <definedName name="_____CPT753280">#REF!</definedName>
    <definedName name="_____CPT753300" localSheetId="5">#REF!</definedName>
    <definedName name="_____CPT753300">#REF!</definedName>
    <definedName name="_____CPT753310" localSheetId="5">#REF!</definedName>
    <definedName name="_____CPT753310">#REF!</definedName>
    <definedName name="_____CPT753320" localSheetId="5">#REF!</definedName>
    <definedName name="_____CPT753320">#REF!</definedName>
    <definedName name="_____CPT753350" localSheetId="5">#REF!</definedName>
    <definedName name="_____CPT753350">#REF!</definedName>
    <definedName name="_____CPT753380" localSheetId="5">#REF!</definedName>
    <definedName name="_____CPT753380">#REF!</definedName>
    <definedName name="_____CPT753390" localSheetId="5">#REF!</definedName>
    <definedName name="_____CPT753390">#REF!</definedName>
    <definedName name="_____CPT753400" localSheetId="5">#REF!</definedName>
    <definedName name="_____CPT753400">#REF!</definedName>
    <definedName name="_____CPT753410" localSheetId="5">#REF!</definedName>
    <definedName name="_____CPT753410">#REF!</definedName>
    <definedName name="_____CPT753420" localSheetId="5">#REF!</definedName>
    <definedName name="_____CPT753420">#REF!</definedName>
    <definedName name="_____CPT753430" localSheetId="5">#REF!</definedName>
    <definedName name="_____CPT753430">#REF!</definedName>
    <definedName name="_____CPT753450" localSheetId="5">#REF!</definedName>
    <definedName name="_____CPT753450">#REF!</definedName>
    <definedName name="_____CPT753500" localSheetId="5">#REF!</definedName>
    <definedName name="_____CPT753500">#REF!</definedName>
    <definedName name="_____CPT753600" localSheetId="5">#REF!</definedName>
    <definedName name="_____CPT753600">#REF!</definedName>
    <definedName name="_____CPT753610" localSheetId="5">#REF!</definedName>
    <definedName name="_____CPT753610">#REF!</definedName>
    <definedName name="_____CPT753620" localSheetId="5">#REF!</definedName>
    <definedName name="_____CPT753620">#REF!</definedName>
    <definedName name="_____CPT753630" localSheetId="5">#REF!</definedName>
    <definedName name="_____CPT753630">#REF!</definedName>
    <definedName name="_____CPT753640" localSheetId="5">#REF!</definedName>
    <definedName name="_____CPT753640">#REF!</definedName>
    <definedName name="_____CPT753650" localSheetId="5">#REF!</definedName>
    <definedName name="_____CPT753650">#REF!</definedName>
    <definedName name="_____CPT753700" localSheetId="5">#REF!</definedName>
    <definedName name="_____CPT753700">#REF!</definedName>
    <definedName name="_____CPT753750" localSheetId="5">#REF!</definedName>
    <definedName name="_____CPT753750">#REF!</definedName>
    <definedName name="_____CPT753755" localSheetId="5">#REF!</definedName>
    <definedName name="_____CPT753755">#REF!</definedName>
    <definedName name="_____CPT753760" localSheetId="5">#REF!</definedName>
    <definedName name="_____CPT753760">#REF!</definedName>
    <definedName name="_____CPT753761" localSheetId="5">#REF!</definedName>
    <definedName name="_____CPT753761">#REF!</definedName>
    <definedName name="_____CPT753762" localSheetId="5">#REF!</definedName>
    <definedName name="_____CPT753762">#REF!</definedName>
    <definedName name="_____CPT753770" localSheetId="5">#REF!</definedName>
    <definedName name="_____CPT753770">#REF!</definedName>
    <definedName name="_____CPT753780" localSheetId="5">#REF!</definedName>
    <definedName name="_____CPT753780">#REF!</definedName>
    <definedName name="_____CPT753800" localSheetId="5">#REF!</definedName>
    <definedName name="_____CPT753800">#REF!</definedName>
    <definedName name="_____CPT757000" localSheetId="5">#REF!</definedName>
    <definedName name="_____CPT757000">#REF!</definedName>
    <definedName name="_____CPT763000" localSheetId="5">#REF!</definedName>
    <definedName name="_____CPT763000">#REF!</definedName>
    <definedName name="_____CPT763010" localSheetId="5">#REF!</definedName>
    <definedName name="_____CPT763010">#REF!</definedName>
    <definedName name="_____CPT763020" localSheetId="5">#REF!</definedName>
    <definedName name="_____CPT763020">#REF!</definedName>
    <definedName name="_____CPT763030" localSheetId="5">#REF!</definedName>
    <definedName name="_____CPT763030">#REF!</definedName>
    <definedName name="_____CPT763100" localSheetId="5">#REF!</definedName>
    <definedName name="_____CPT763100">#REF!</definedName>
    <definedName name="_____CPT763200" localSheetId="5">#REF!</definedName>
    <definedName name="_____CPT763200">#REF!</definedName>
    <definedName name="_____CPT763450" localSheetId="5">#REF!</definedName>
    <definedName name="_____CPT763450">#REF!</definedName>
    <definedName name="_____CPT764000" localSheetId="5">#REF!</definedName>
    <definedName name="_____CPT764000">#REF!</definedName>
    <definedName name="_____CPT764100" localSheetId="5">#REF!</definedName>
    <definedName name="_____CPT764100">#REF!</definedName>
    <definedName name="_____CPT764200" localSheetId="5">#REF!</definedName>
    <definedName name="_____CPT764200">#REF!</definedName>
    <definedName name="_____CPT765000" localSheetId="5">#REF!</definedName>
    <definedName name="_____CPT765000">#REF!</definedName>
    <definedName name="_____CPT765150" localSheetId="5">#REF!</definedName>
    <definedName name="_____CPT765150">#REF!</definedName>
    <definedName name="_____CPT765350" localSheetId="5">#REF!</definedName>
    <definedName name="_____CPT765350">#REF!</definedName>
    <definedName name="_____CPT765500" localSheetId="5">#REF!</definedName>
    <definedName name="_____CPT765500">#REF!</definedName>
    <definedName name="_____CPT766000" localSheetId="5">#REF!</definedName>
    <definedName name="_____CPT766000">#REF!</definedName>
    <definedName name="_____CPT766100" localSheetId="5">#REF!</definedName>
    <definedName name="_____CPT766100">#REF!</definedName>
    <definedName name="_____CPT80101" localSheetId="5">#REF!</definedName>
    <definedName name="_____CPT80101">#REF!</definedName>
    <definedName name="_____CPT80102" localSheetId="5">#REF!</definedName>
    <definedName name="_____CPT80102">#REF!</definedName>
    <definedName name="_____CPT80103" localSheetId="5">#REF!</definedName>
    <definedName name="_____CPT80103">#REF!</definedName>
    <definedName name="_____CPT80104" localSheetId="5">#REF!</definedName>
    <definedName name="_____CPT80104">#REF!</definedName>
    <definedName name="_____CPT80105" localSheetId="5">#REF!</definedName>
    <definedName name="_____CPT80105">#REF!</definedName>
    <definedName name="_____CPT80106" localSheetId="5">#REF!</definedName>
    <definedName name="_____CPT80106">#REF!</definedName>
    <definedName name="_____CPT80107" localSheetId="5">#REF!</definedName>
    <definedName name="_____CPT80107">#REF!</definedName>
    <definedName name="_____CPT80109" localSheetId="5">#REF!</definedName>
    <definedName name="_____CPT80109">#REF!</definedName>
    <definedName name="_____CPT80110" localSheetId="5">#REF!</definedName>
    <definedName name="_____CPT80110">#REF!</definedName>
    <definedName name="_____CPT80130" localSheetId="5">#REF!</definedName>
    <definedName name="_____CPT80130">#REF!</definedName>
    <definedName name="_____CPT83101" localSheetId="5">#REF!</definedName>
    <definedName name="_____CPT83101">#REF!</definedName>
    <definedName name="_____CPT83102" localSheetId="5">#REF!</definedName>
    <definedName name="_____CPT83102">#REF!</definedName>
    <definedName name="_____CPT83103" localSheetId="5">#REF!</definedName>
    <definedName name="_____CPT83103">#REF!</definedName>
    <definedName name="_____CPT83104" localSheetId="5">#REF!</definedName>
    <definedName name="_____CPT83104">#REF!</definedName>
    <definedName name="_____CPT83106" localSheetId="5">#REF!</definedName>
    <definedName name="_____CPT83106">#REF!</definedName>
    <definedName name="_____CPT83107" localSheetId="5">#REF!</definedName>
    <definedName name="_____CPT83107">#REF!</definedName>
    <definedName name="_____CPT83109" localSheetId="5">#REF!</definedName>
    <definedName name="_____CPT83109">#REF!</definedName>
    <definedName name="_____CUC1" localSheetId="5">#REF!</definedName>
    <definedName name="_____CUC1">#REF!</definedName>
    <definedName name="_____MEQ2662" localSheetId="5">#REF!</definedName>
    <definedName name="_____MEQ2662">#REF!</definedName>
    <definedName name="_____MEQ2664" localSheetId="5">#REF!</definedName>
    <definedName name="_____MEQ2664">#REF!</definedName>
    <definedName name="_____MEQ2665" localSheetId="5">#REF!</definedName>
    <definedName name="_____MEQ2665">#REF!</definedName>
    <definedName name="_____MEQ2666" localSheetId="5">#REF!</definedName>
    <definedName name="_____MEQ2666">#REF!</definedName>
    <definedName name="_____MEQ2667" localSheetId="5">#REF!</definedName>
    <definedName name="_____MEQ2667">#REF!</definedName>
    <definedName name="_____MEQ2668" localSheetId="5">#REF!</definedName>
    <definedName name="_____MEQ2668">#REF!</definedName>
    <definedName name="_____MEQ671004" localSheetId="5">#REF!</definedName>
    <definedName name="_____MEQ671004">#REF!</definedName>
    <definedName name="_____MEQ769004" localSheetId="5">#REF!</definedName>
    <definedName name="_____MEQ769004">#REF!</definedName>
    <definedName name="_____MEQ769005" localSheetId="5">#REF!</definedName>
    <definedName name="_____MEQ769005">#REF!</definedName>
    <definedName name="_____MEQ769006" localSheetId="5">#REF!</definedName>
    <definedName name="_____MEQ769006">#REF!</definedName>
    <definedName name="_____MEQ769007" localSheetId="5">#REF!</definedName>
    <definedName name="_____MEQ769007">#REF!</definedName>
    <definedName name="_____MEQ769008" localSheetId="5">#REF!</definedName>
    <definedName name="_____MEQ769008">#REF!</definedName>
    <definedName name="_____MEQ769300" localSheetId="5">#REF!</definedName>
    <definedName name="_____MEQ769300">#REF!</definedName>
    <definedName name="_____PBA1" localSheetId="5">#REF!</definedName>
    <definedName name="_____PBA1">#REF!</definedName>
    <definedName name="_____PBA2" localSheetId="5">#REF!</definedName>
    <definedName name="_____PBA2">#REF!</definedName>
    <definedName name="_____RE119" localSheetId="5">#REF!</definedName>
    <definedName name="_____RE119">#REF!</definedName>
    <definedName name="_____RE120" localSheetId="5">#REF!</definedName>
    <definedName name="_____RE120">#REF!</definedName>
    <definedName name="_____RE129" localSheetId="5">#REF!</definedName>
    <definedName name="_____RE129">#REF!</definedName>
    <definedName name="_____RE689" localSheetId="5">#REF!</definedName>
    <definedName name="_____RE689">#REF!</definedName>
    <definedName name="_____RE699" localSheetId="5">#REF!</definedName>
    <definedName name="_____RE699">#REF!</definedName>
    <definedName name="_____Z649600" localSheetId="5">#REF!</definedName>
    <definedName name="_____Z649600">#REF!</definedName>
    <definedName name="_____Z715570" localSheetId="5">#REF!</definedName>
    <definedName name="_____Z715570">#REF!</definedName>
    <definedName name="_____Z715725" localSheetId="5">#REF!</definedName>
    <definedName name="_____Z715725">#REF!</definedName>
    <definedName name="_____Z715770" localSheetId="5">#REF!</definedName>
    <definedName name="_____Z715770">#REF!</definedName>
    <definedName name="____CDC3036" localSheetId="5">#REF!</definedName>
    <definedName name="____CDC3036">#REF!</definedName>
    <definedName name="____cdc36564" localSheetId="5">#REF!</definedName>
    <definedName name="____cdc36564">#REF!</definedName>
    <definedName name="____CDC36566" localSheetId="5">#REF!</definedName>
    <definedName name="____CDC36566">#REF!</definedName>
    <definedName name="____cdc365662" localSheetId="5">#REF!</definedName>
    <definedName name="____cdc365662">#REF!</definedName>
    <definedName name="____CDC36568" localSheetId="5">#REF!</definedName>
    <definedName name="____CDC36568">#REF!</definedName>
    <definedName name="____cdc6311" localSheetId="5">#REF!</definedName>
    <definedName name="____cdc6311">#REF!</definedName>
    <definedName name="____CDC6321" localSheetId="5">#REF!</definedName>
    <definedName name="____CDC6321">#REF!</definedName>
    <definedName name="____CDC6332" localSheetId="5">#REF!</definedName>
    <definedName name="____CDC6332">#REF!</definedName>
    <definedName name="____CDC635" localSheetId="5">#REF!</definedName>
    <definedName name="____CDC635">#REF!</definedName>
    <definedName name="____CDC63911" localSheetId="5">#REF!</definedName>
    <definedName name="____CDC63911">#REF!</definedName>
    <definedName name="____cdc63915" localSheetId="5">#REF!</definedName>
    <definedName name="____cdc63915">#REF!</definedName>
    <definedName name="____cdc63916" localSheetId="5">#REF!</definedName>
    <definedName name="____cdc63916">#REF!</definedName>
    <definedName name="____CDC63925" localSheetId="5">#REF!</definedName>
    <definedName name="____CDC63925">#REF!</definedName>
    <definedName name="____CDC63928" localSheetId="5">#REF!</definedName>
    <definedName name="____CDC63928">#REF!</definedName>
    <definedName name="____CDC928" localSheetId="5">#REF!</definedName>
    <definedName name="____CDC928">#REF!</definedName>
    <definedName name="____CDC94311" localSheetId="5">#REF!</definedName>
    <definedName name="____CDC94311">#REF!</definedName>
    <definedName name="____CDC943211" localSheetId="5">#REF!</definedName>
    <definedName name="____CDC943211">#REF!</definedName>
    <definedName name="____CDC943212" localSheetId="5">#REF!</definedName>
    <definedName name="____CDC943212">#REF!</definedName>
    <definedName name="____CDC943222" localSheetId="5">#REF!</definedName>
    <definedName name="____CDC943222">#REF!</definedName>
    <definedName name="____CDC94411" localSheetId="5">#REF!</definedName>
    <definedName name="____CDC94411">#REF!</definedName>
    <definedName name="____CDC94821" localSheetId="5">#REF!</definedName>
    <definedName name="____CDC94821">#REF!</definedName>
    <definedName name="____CDC94822" localSheetId="5">#REF!</definedName>
    <definedName name="____CDC94822">#REF!</definedName>
    <definedName name="____CDC95199" localSheetId="5">#REF!</definedName>
    <definedName name="____CDC95199">#REF!</definedName>
    <definedName name="____CDC95299" localSheetId="5">#REF!</definedName>
    <definedName name="____CDC95299">#REF!</definedName>
    <definedName name="____CPT611200" localSheetId="5">#REF!</definedName>
    <definedName name="____CPT611200">#REF!</definedName>
    <definedName name="____CPT611310" localSheetId="5">#REF!</definedName>
    <definedName name="____CPT611310">#REF!</definedName>
    <definedName name="____CPT611317" localSheetId="5">#REF!</definedName>
    <definedName name="____CPT611317">#REF!</definedName>
    <definedName name="____CPT611318" localSheetId="5">#REF!</definedName>
    <definedName name="____CPT611318">#REF!</definedName>
    <definedName name="____CPT611320" localSheetId="5">#REF!</definedName>
    <definedName name="____CPT611320">#REF!</definedName>
    <definedName name="____CPT611328" localSheetId="5">#REF!</definedName>
    <definedName name="____CPT611328">#REF!</definedName>
    <definedName name="____CPT611600" localSheetId="5">#REF!</definedName>
    <definedName name="____CPT611600">#REF!</definedName>
    <definedName name="____CPT611610" localSheetId="5">#REF!</definedName>
    <definedName name="____CPT611610">#REF!</definedName>
    <definedName name="____CPT611615" localSheetId="5">#REF!</definedName>
    <definedName name="____CPT611615">#REF!</definedName>
    <definedName name="____CPT611620" localSheetId="5">#REF!</definedName>
    <definedName name="____CPT611620">#REF!</definedName>
    <definedName name="____CPT611625" localSheetId="5">#REF!</definedName>
    <definedName name="____CPT611625">#REF!</definedName>
    <definedName name="____CPT611630" localSheetId="5">#REF!</definedName>
    <definedName name="____CPT611630">#REF!</definedName>
    <definedName name="____CPT611635" localSheetId="5">#REF!</definedName>
    <definedName name="____CPT611635">#REF!</definedName>
    <definedName name="____CPT611640" localSheetId="5">#REF!</definedName>
    <definedName name="____CPT611640">#REF!</definedName>
    <definedName name="____CPT611650" localSheetId="5">#REF!</definedName>
    <definedName name="____CPT611650">#REF!</definedName>
    <definedName name="____CPT611655" localSheetId="5">#REF!</definedName>
    <definedName name="____CPT611655">#REF!</definedName>
    <definedName name="____CPT611660" localSheetId="5">#REF!</definedName>
    <definedName name="____CPT611660">#REF!</definedName>
    <definedName name="____CPT611665" localSheetId="5">#REF!</definedName>
    <definedName name="____CPT611665">#REF!</definedName>
    <definedName name="____CPT611670" localSheetId="5">#REF!</definedName>
    <definedName name="____CPT611670">#REF!</definedName>
    <definedName name="____CPT611675" localSheetId="5">#REF!</definedName>
    <definedName name="____CPT611675">#REF!</definedName>
    <definedName name="____CPT611700" localSheetId="5">#REF!</definedName>
    <definedName name="____CPT611700">#REF!</definedName>
    <definedName name="____CPT611701" localSheetId="5">#REF!</definedName>
    <definedName name="____CPT611701">#REF!</definedName>
    <definedName name="____CPT611702" localSheetId="5">#REF!</definedName>
    <definedName name="____CPT611702">#REF!</definedName>
    <definedName name="____CPT611710" localSheetId="5">#REF!</definedName>
    <definedName name="____CPT611710">#REF!</definedName>
    <definedName name="____CPT611715" localSheetId="5">#REF!</definedName>
    <definedName name="____CPT611715">#REF!</definedName>
    <definedName name="____CPT611720" localSheetId="5">#REF!</definedName>
    <definedName name="____CPT611720">#REF!</definedName>
    <definedName name="____CPT611725" localSheetId="5">#REF!</definedName>
    <definedName name="____CPT611725">#REF!</definedName>
    <definedName name="____CPT611730" localSheetId="5">#REF!</definedName>
    <definedName name="____CPT611730">#REF!</definedName>
    <definedName name="____CPT611735" localSheetId="5">#REF!</definedName>
    <definedName name="____CPT611735">#REF!</definedName>
    <definedName name="____CPT611740" localSheetId="5">#REF!</definedName>
    <definedName name="____CPT611740">#REF!</definedName>
    <definedName name="____CPT611745" localSheetId="5">#REF!</definedName>
    <definedName name="____CPT611745">#REF!</definedName>
    <definedName name="____CPT611750" localSheetId="5">#REF!</definedName>
    <definedName name="____CPT611750">#REF!</definedName>
    <definedName name="____CPT611755" localSheetId="5">#REF!</definedName>
    <definedName name="____CPT611755">#REF!</definedName>
    <definedName name="____CPT611760" localSheetId="5">#REF!</definedName>
    <definedName name="____CPT611760">#REF!</definedName>
    <definedName name="____CPT611765" localSheetId="5">#REF!</definedName>
    <definedName name="____CPT611765">#REF!</definedName>
    <definedName name="____CPT611770" localSheetId="5">#REF!</definedName>
    <definedName name="____CPT611770">#REF!</definedName>
    <definedName name="____CPT611775" localSheetId="5">#REF!</definedName>
    <definedName name="____CPT611775">#REF!</definedName>
    <definedName name="____CPT611780" localSheetId="5">#REF!</definedName>
    <definedName name="____CPT611780">#REF!</definedName>
    <definedName name="____CPT611785" localSheetId="5">#REF!</definedName>
    <definedName name="____CPT611785">#REF!</definedName>
    <definedName name="____CPT611790" localSheetId="5">#REF!</definedName>
    <definedName name="____CPT611790">#REF!</definedName>
    <definedName name="____CPT611795" localSheetId="5">#REF!</definedName>
    <definedName name="____CPT611795">#REF!</definedName>
    <definedName name="____CPT611800" localSheetId="5">#REF!</definedName>
    <definedName name="____CPT611800">#REF!</definedName>
    <definedName name="____CPT611801" localSheetId="5">#REF!</definedName>
    <definedName name="____CPT611801">#REF!</definedName>
    <definedName name="____CPT611802" localSheetId="5">#REF!</definedName>
    <definedName name="____CPT611802">#REF!</definedName>
    <definedName name="____CPT611804" localSheetId="5">#REF!</definedName>
    <definedName name="____CPT611804">#REF!</definedName>
    <definedName name="____CPT611840" localSheetId="5">#REF!</definedName>
    <definedName name="____CPT611840">#REF!</definedName>
    <definedName name="____CPT611890" localSheetId="5">#REF!</definedName>
    <definedName name="____CPT611890">#REF!</definedName>
    <definedName name="____CPT611900" localSheetId="5">#REF!</definedName>
    <definedName name="____CPT611900">#REF!</definedName>
    <definedName name="____CPT612160" localSheetId="5">#REF!</definedName>
    <definedName name="____CPT612160">#REF!</definedName>
    <definedName name="____CPT612180" localSheetId="5">#REF!</definedName>
    <definedName name="____CPT612180">#REF!</definedName>
    <definedName name="____CPT612210" localSheetId="5">#REF!</definedName>
    <definedName name="____CPT612210">#REF!</definedName>
    <definedName name="____CPT612250" localSheetId="5">#REF!</definedName>
    <definedName name="____CPT612250">#REF!</definedName>
    <definedName name="____CPT612260" localSheetId="5">#REF!</definedName>
    <definedName name="____CPT612260">#REF!</definedName>
    <definedName name="____CPT612500" localSheetId="5">#REF!</definedName>
    <definedName name="____CPT612500">#REF!</definedName>
    <definedName name="____CPT613150" localSheetId="5">#REF!</definedName>
    <definedName name="____CPT613150">#REF!</definedName>
    <definedName name="____CPT613160" localSheetId="5">#REF!</definedName>
    <definedName name="____CPT613160">#REF!</definedName>
    <definedName name="____CPT613170" localSheetId="5">#REF!</definedName>
    <definedName name="____CPT613170">#REF!</definedName>
    <definedName name="____CPT613180" localSheetId="5">#REF!</definedName>
    <definedName name="____CPT613180">#REF!</definedName>
    <definedName name="____CPT613530" localSheetId="5">#REF!</definedName>
    <definedName name="____CPT613530">#REF!</definedName>
    <definedName name="____CPT613535" localSheetId="5">#REF!</definedName>
    <definedName name="____CPT613535">#REF!</definedName>
    <definedName name="____CPT613540" localSheetId="5">#REF!</definedName>
    <definedName name="____CPT613540">#REF!</definedName>
    <definedName name="____CPT613550" localSheetId="5">#REF!</definedName>
    <definedName name="____CPT613550">#REF!</definedName>
    <definedName name="____CPT615200" localSheetId="5">#REF!</definedName>
    <definedName name="____CPT615200">#REF!</definedName>
    <definedName name="____CPT615450" localSheetId="5">#REF!</definedName>
    <definedName name="____CPT615450">#REF!</definedName>
    <definedName name="____CPT615480" localSheetId="5">[1]DETCONSO!#REF!</definedName>
    <definedName name="____CPT615480">[1]DETCONSO!#REF!</definedName>
    <definedName name="____CPT615490" localSheetId="5">#REF!</definedName>
    <definedName name="____CPT615490">#REF!</definedName>
    <definedName name="____CPT615510" localSheetId="5">#REF!</definedName>
    <definedName name="____CPT615510">#REF!</definedName>
    <definedName name="____CPT615515" localSheetId="5">#REF!</definedName>
    <definedName name="____CPT615515">#REF!</definedName>
    <definedName name="____CPT615520" localSheetId="5">#REF!</definedName>
    <definedName name="____CPT615520">#REF!</definedName>
    <definedName name="____CPT615525" localSheetId="5">#REF!</definedName>
    <definedName name="____CPT615525">#REF!</definedName>
    <definedName name="____CPT615530" localSheetId="5">#REF!</definedName>
    <definedName name="____CPT615530">#REF!</definedName>
    <definedName name="____CPT615600" localSheetId="5">#REF!</definedName>
    <definedName name="____CPT615600">#REF!</definedName>
    <definedName name="____CPT615610" localSheetId="5">#REF!</definedName>
    <definedName name="____CPT615610">#REF!</definedName>
    <definedName name="____CPT615620" localSheetId="5">#REF!</definedName>
    <definedName name="____CPT615620">#REF!</definedName>
    <definedName name="____CPT615640" localSheetId="5">#REF!</definedName>
    <definedName name="____CPT615640">#REF!</definedName>
    <definedName name="____CPT615730" localSheetId="5">#REF!</definedName>
    <definedName name="____CPT615730">#REF!</definedName>
    <definedName name="____CPT615760" localSheetId="5">#REF!</definedName>
    <definedName name="____CPT615760">#REF!</definedName>
    <definedName name="____CPT615780" localSheetId="5">#REF!</definedName>
    <definedName name="____CPT615780">#REF!</definedName>
    <definedName name="____CPT615790" localSheetId="5">#REF!</definedName>
    <definedName name="____CPT615790">#REF!</definedName>
    <definedName name="____CPT615800" localSheetId="5">#REF!</definedName>
    <definedName name="____CPT615800">#REF!</definedName>
    <definedName name="____CPT615805" localSheetId="5">#REF!</definedName>
    <definedName name="____CPT615805">#REF!</definedName>
    <definedName name="____CPT615810" localSheetId="5">#REF!</definedName>
    <definedName name="____CPT615810">#REF!</definedName>
    <definedName name="____CPT615815" localSheetId="5">#REF!</definedName>
    <definedName name="____CPT615815">#REF!</definedName>
    <definedName name="____CPT616100" localSheetId="5">#REF!</definedName>
    <definedName name="____CPT616100">#REF!</definedName>
    <definedName name="____CPT616106" localSheetId="5">#REF!</definedName>
    <definedName name="____CPT616106">#REF!</definedName>
    <definedName name="____CPT616107" localSheetId="5">#REF!</definedName>
    <definedName name="____CPT616107">#REF!</definedName>
    <definedName name="____CPT616120" localSheetId="5">#REF!</definedName>
    <definedName name="____CPT616120">#REF!</definedName>
    <definedName name="____CPT616125" localSheetId="5">#REF!</definedName>
    <definedName name="____CPT616125">#REF!</definedName>
    <definedName name="____CPT616190" localSheetId="5">#REF!</definedName>
    <definedName name="____CPT616190">#REF!</definedName>
    <definedName name="____CPT616200" localSheetId="5">#REF!</definedName>
    <definedName name="____CPT616200">#REF!</definedName>
    <definedName name="____CPT616210" localSheetId="5">#REF!</definedName>
    <definedName name="____CPT616210">#REF!</definedName>
    <definedName name="____CPT619220" localSheetId="5">#REF!</definedName>
    <definedName name="____CPT619220">#REF!</definedName>
    <definedName name="____CPT619240" localSheetId="5">#REF!</definedName>
    <definedName name="____CPT619240">#REF!</definedName>
    <definedName name="____CPT619260" localSheetId="5">#REF!</definedName>
    <definedName name="____CPT619260">#REF!</definedName>
    <definedName name="____CPT621000" localSheetId="5">#REF!</definedName>
    <definedName name="____CPT621000">#REF!</definedName>
    <definedName name="____CPT621100" localSheetId="5">#REF!</definedName>
    <definedName name="____CPT621100">#REF!</definedName>
    <definedName name="____CPT621200" localSheetId="5">#REF!</definedName>
    <definedName name="____CPT621200">#REF!</definedName>
    <definedName name="____CPT621300" localSheetId="5">#REF!</definedName>
    <definedName name="____CPT621300">#REF!</definedName>
    <definedName name="____CPT623000" localSheetId="5">#REF!</definedName>
    <definedName name="____CPT623000">#REF!</definedName>
    <definedName name="____CPT623100" localSheetId="5">#REF!</definedName>
    <definedName name="____CPT623100">#REF!</definedName>
    <definedName name="____CPT624000" localSheetId="5">#REF!</definedName>
    <definedName name="____CPT624000">#REF!</definedName>
    <definedName name="____CPT625000" localSheetId="5">#REF!</definedName>
    <definedName name="____CPT625000">#REF!</definedName>
    <definedName name="____CPT631000" localSheetId="5">#REF!</definedName>
    <definedName name="____CPT631000">#REF!</definedName>
    <definedName name="____CPT637000" localSheetId="5">#REF!</definedName>
    <definedName name="____CPT637000">#REF!</definedName>
    <definedName name="____CPT641705" localSheetId="5">#REF!</definedName>
    <definedName name="____CPT641705">#REF!</definedName>
    <definedName name="____CPT641708" localSheetId="5">#REF!</definedName>
    <definedName name="____CPT641708">#REF!</definedName>
    <definedName name="____CPT641709" localSheetId="5">#REF!</definedName>
    <definedName name="____CPT641709">#REF!</definedName>
    <definedName name="____CPT641710" localSheetId="5">#REF!</definedName>
    <definedName name="____CPT641710">#REF!</definedName>
    <definedName name="____CPT641720" localSheetId="5">#REF!</definedName>
    <definedName name="____CPT641720">#REF!</definedName>
    <definedName name="____CPT641723" localSheetId="5">#REF!</definedName>
    <definedName name="____CPT641723">#REF!</definedName>
    <definedName name="____CPT641725" localSheetId="5">#REF!</definedName>
    <definedName name="____CPT641725">#REF!</definedName>
    <definedName name="____CPT641738" localSheetId="5">#REF!</definedName>
    <definedName name="____CPT641738">#REF!</definedName>
    <definedName name="____CPT641739" localSheetId="5">#REF!</definedName>
    <definedName name="____CPT641739">#REF!</definedName>
    <definedName name="____CPT641740" localSheetId="5">#REF!</definedName>
    <definedName name="____CPT641740">#REF!</definedName>
    <definedName name="____CPT641759" localSheetId="5">#REF!</definedName>
    <definedName name="____CPT641759">#REF!</definedName>
    <definedName name="____CPT641770" localSheetId="5">#REF!</definedName>
    <definedName name="____CPT641770">#REF!</definedName>
    <definedName name="____CPT641780" localSheetId="5">#REF!</definedName>
    <definedName name="____CPT641780">#REF!</definedName>
    <definedName name="____CPT641790" localSheetId="5">#REF!</definedName>
    <definedName name="____CPT641790">#REF!</definedName>
    <definedName name="____CPT642000" localSheetId="5">#REF!</definedName>
    <definedName name="____CPT642000">#REF!</definedName>
    <definedName name="____CPT642100" localSheetId="5">#REF!</definedName>
    <definedName name="____CPT642100">#REF!</definedName>
    <definedName name="____CPT642400" localSheetId="5">#REF!</definedName>
    <definedName name="____CPT642400">#REF!</definedName>
    <definedName name="____CPT643900" localSheetId="5">#REF!</definedName>
    <definedName name="____CPT643900">#REF!</definedName>
    <definedName name="____CPT643908" localSheetId="5">#REF!</definedName>
    <definedName name="____CPT643908">#REF!</definedName>
    <definedName name="____CPT645000" localSheetId="5">#REF!</definedName>
    <definedName name="____CPT645000">#REF!</definedName>
    <definedName name="____CPT646000" localSheetId="5">#REF!</definedName>
    <definedName name="____CPT646000">#REF!</definedName>
    <definedName name="____CPT649000" localSheetId="5">#REF!</definedName>
    <definedName name="____CPT649000">#REF!</definedName>
    <definedName name="____CPT649050" localSheetId="5">#REF!</definedName>
    <definedName name="____CPT649050">#REF!</definedName>
    <definedName name="____CPT649100" localSheetId="5">#REF!</definedName>
    <definedName name="____CPT649100">#REF!</definedName>
    <definedName name="____CPT649200" localSheetId="5">#REF!</definedName>
    <definedName name="____CPT649200">#REF!</definedName>
    <definedName name="____CPT649300" localSheetId="5">#REF!</definedName>
    <definedName name="____CPT649300">#REF!</definedName>
    <definedName name="____CPT649350" localSheetId="5">#REF!</definedName>
    <definedName name="____CPT649350">#REF!</definedName>
    <definedName name="____CPT649400" localSheetId="5">#REF!</definedName>
    <definedName name="____CPT649400">#REF!</definedName>
    <definedName name="____CPT649450" localSheetId="5">#REF!</definedName>
    <definedName name="____CPT649450">#REF!</definedName>
    <definedName name="____CPT649500" localSheetId="5">#REF!</definedName>
    <definedName name="____CPT649500">#REF!</definedName>
    <definedName name="____CPT651000" localSheetId="5">#REF!</definedName>
    <definedName name="____CPT651000">#REF!</definedName>
    <definedName name="____CPT65110" localSheetId="5">#REF!</definedName>
    <definedName name="____CPT65110">#REF!</definedName>
    <definedName name="____CPT651100" localSheetId="5">#REF!</definedName>
    <definedName name="____CPT651100">#REF!</definedName>
    <definedName name="____CPT651105" localSheetId="5">#REF!</definedName>
    <definedName name="____CPT651105">#REF!</definedName>
    <definedName name="____CPT652000" localSheetId="5">#REF!</definedName>
    <definedName name="____CPT652000">#REF!</definedName>
    <definedName name="____CPT652100" localSheetId="5">#REF!</definedName>
    <definedName name="____CPT652100">#REF!</definedName>
    <definedName name="____CPT652200" localSheetId="5">#REF!</definedName>
    <definedName name="____CPT652200">#REF!</definedName>
    <definedName name="____CPT653100" localSheetId="5">#REF!</definedName>
    <definedName name="____CPT653100">#REF!</definedName>
    <definedName name="____CPT653150" localSheetId="5">#REF!</definedName>
    <definedName name="____CPT653150">#REF!</definedName>
    <definedName name="____CPT653160" localSheetId="5">#REF!</definedName>
    <definedName name="____CPT653160">#REF!</definedName>
    <definedName name="____CPT653200" localSheetId="5">#REF!</definedName>
    <definedName name="____CPT653200">#REF!</definedName>
    <definedName name="____CPT653250" localSheetId="5">#REF!</definedName>
    <definedName name="____CPT653250">#REF!</definedName>
    <definedName name="____CPT653280" localSheetId="5">#REF!</definedName>
    <definedName name="____CPT653280">#REF!</definedName>
    <definedName name="____CPT653300" localSheetId="5">#REF!</definedName>
    <definedName name="____CPT653300">#REF!</definedName>
    <definedName name="____CPT653310" localSheetId="5">#REF!</definedName>
    <definedName name="____CPT653310">#REF!</definedName>
    <definedName name="____CPT653320" localSheetId="5">#REF!</definedName>
    <definedName name="____CPT653320">#REF!</definedName>
    <definedName name="____CPT653350" localSheetId="5">#REF!</definedName>
    <definedName name="____CPT653350">#REF!</definedName>
    <definedName name="____CPT653380" localSheetId="5">#REF!</definedName>
    <definedName name="____CPT653380">#REF!</definedName>
    <definedName name="____cpt653390" localSheetId="5">#REF!</definedName>
    <definedName name="____cpt653390">#REF!</definedName>
    <definedName name="____CPT653400" localSheetId="5">#REF!</definedName>
    <definedName name="____CPT653400">#REF!</definedName>
    <definedName name="____CPT653410" localSheetId="5">#REF!</definedName>
    <definedName name="____CPT653410">#REF!</definedName>
    <definedName name="____CPT653420" localSheetId="5">#REF!</definedName>
    <definedName name="____CPT653420">#REF!</definedName>
    <definedName name="____CPT653430" localSheetId="5">#REF!</definedName>
    <definedName name="____CPT653430">#REF!</definedName>
    <definedName name="____CPT653450" localSheetId="5">#REF!</definedName>
    <definedName name="____CPT653450">#REF!</definedName>
    <definedName name="____CPT653500" localSheetId="5">#REF!</definedName>
    <definedName name="____CPT653500">#REF!</definedName>
    <definedName name="____CPT653600" localSheetId="5">#REF!</definedName>
    <definedName name="____CPT653600">#REF!</definedName>
    <definedName name="____CPT653610" localSheetId="5">#REF!</definedName>
    <definedName name="____CPT653610">#REF!</definedName>
    <definedName name="____CPT653620" localSheetId="5">#REF!</definedName>
    <definedName name="____CPT653620">#REF!</definedName>
    <definedName name="____CPT653630" localSheetId="5">#REF!</definedName>
    <definedName name="____CPT653630">#REF!</definedName>
    <definedName name="____CPT653640" localSheetId="5">#REF!</definedName>
    <definedName name="____CPT653640">#REF!</definedName>
    <definedName name="____CPT653650" localSheetId="5">#REF!</definedName>
    <definedName name="____CPT653650">#REF!</definedName>
    <definedName name="____CPT653700" localSheetId="5">#REF!</definedName>
    <definedName name="____CPT653700">#REF!</definedName>
    <definedName name="____CPT653750" localSheetId="5">#REF!</definedName>
    <definedName name="____CPT653750">#REF!</definedName>
    <definedName name="____CPT653755" localSheetId="5">#REF!</definedName>
    <definedName name="____CPT653755">#REF!</definedName>
    <definedName name="____CPT653760" localSheetId="5">#REF!</definedName>
    <definedName name="____CPT653760">#REF!</definedName>
    <definedName name="____CPT653761" localSheetId="5">#REF!</definedName>
    <definedName name="____CPT653761">#REF!</definedName>
    <definedName name="____CPT653762" localSheetId="5">#REF!</definedName>
    <definedName name="____CPT653762">#REF!</definedName>
    <definedName name="____CPT653770" localSheetId="5">#REF!</definedName>
    <definedName name="____CPT653770">#REF!</definedName>
    <definedName name="____CPT653780" localSheetId="5">#REF!</definedName>
    <definedName name="____CPT653780">#REF!</definedName>
    <definedName name="____CPT653800" localSheetId="5">#REF!</definedName>
    <definedName name="____CPT653800">#REF!</definedName>
    <definedName name="____CPT657000" localSheetId="5">#REF!</definedName>
    <definedName name="____CPT657000">#REF!</definedName>
    <definedName name="____CPT661000" localSheetId="5">#REF!</definedName>
    <definedName name="____CPT661000">#REF!</definedName>
    <definedName name="____CPT661010" localSheetId="5">#REF!</definedName>
    <definedName name="____CPT661010">#REF!</definedName>
    <definedName name="____CPT661020" localSheetId="5">#REF!</definedName>
    <definedName name="____CPT661020">#REF!</definedName>
    <definedName name="____CPT661030" localSheetId="5">#REF!</definedName>
    <definedName name="____CPT661030">#REF!</definedName>
    <definedName name="____CPT661100" localSheetId="5">#REF!</definedName>
    <definedName name="____CPT661100">#REF!</definedName>
    <definedName name="____CPT661200" localSheetId="5">#REF!</definedName>
    <definedName name="____CPT661200">#REF!</definedName>
    <definedName name="____CPT661450" localSheetId="5">#REF!</definedName>
    <definedName name="____CPT661450">#REF!</definedName>
    <definedName name="____CPT664000" localSheetId="5">#REF!</definedName>
    <definedName name="____CPT664000">#REF!</definedName>
    <definedName name="____CPT664100" localSheetId="5">#REF!</definedName>
    <definedName name="____CPT664100">#REF!</definedName>
    <definedName name="____CPT664200" localSheetId="5">#REF!</definedName>
    <definedName name="____CPT664200">#REF!</definedName>
    <definedName name="____CPT665000" localSheetId="5">#REF!</definedName>
    <definedName name="____CPT665000">#REF!</definedName>
    <definedName name="____CPT665150" localSheetId="5">#REF!</definedName>
    <definedName name="____CPT665150">#REF!</definedName>
    <definedName name="____CPT665350" localSheetId="5">#REF!</definedName>
    <definedName name="____CPT665350">#REF!</definedName>
    <definedName name="____CPT665500" localSheetId="5">#REF!</definedName>
    <definedName name="____CPT665500">#REF!</definedName>
    <definedName name="____CPT666000" localSheetId="5">#REF!</definedName>
    <definedName name="____CPT666000">#REF!</definedName>
    <definedName name="____CPT666100" localSheetId="5">#REF!</definedName>
    <definedName name="____CPT666100">#REF!</definedName>
    <definedName name="____CPT670000" localSheetId="5">#REF!</definedName>
    <definedName name="____CPT670000">#REF!</definedName>
    <definedName name="____CPT681000" localSheetId="5">#REF!</definedName>
    <definedName name="____CPT681000">#REF!</definedName>
    <definedName name="____CPT681100" localSheetId="5">#REF!</definedName>
    <definedName name="____CPT681100">#REF!</definedName>
    <definedName name="____CPT682000" localSheetId="5">#REF!</definedName>
    <definedName name="____CPT682000">#REF!</definedName>
    <definedName name="____CPT682100" localSheetId="5">#REF!</definedName>
    <definedName name="____CPT682100">#REF!</definedName>
    <definedName name="____CPT701" localSheetId="5">#REF!</definedName>
    <definedName name="____CPT701">#REF!</definedName>
    <definedName name="____CPT711200" localSheetId="5">#REF!</definedName>
    <definedName name="____CPT711200">#REF!</definedName>
    <definedName name="____CPT711310" localSheetId="5">#REF!</definedName>
    <definedName name="____CPT711310">#REF!</definedName>
    <definedName name="____CPT711317" localSheetId="5">#REF!</definedName>
    <definedName name="____CPT711317">#REF!</definedName>
    <definedName name="____CPT711318" localSheetId="5">#REF!</definedName>
    <definedName name="____CPT711318">#REF!</definedName>
    <definedName name="____CPT711320" localSheetId="5">#REF!</definedName>
    <definedName name="____CPT711320">#REF!</definedName>
    <definedName name="____CPT711328" localSheetId="5">#REF!</definedName>
    <definedName name="____CPT711328">#REF!</definedName>
    <definedName name="____CPT711330" localSheetId="5">#REF!</definedName>
    <definedName name="____CPT711330">#REF!</definedName>
    <definedName name="____CPT711600" localSheetId="5">#REF!</definedName>
    <definedName name="____CPT711600">#REF!</definedName>
    <definedName name="____CPT711610" localSheetId="5">#REF!</definedName>
    <definedName name="____CPT711610">#REF!</definedName>
    <definedName name="____CPT711615" localSheetId="5">#REF!</definedName>
    <definedName name="____CPT711615">#REF!</definedName>
    <definedName name="____CPT711620" localSheetId="5">#REF!</definedName>
    <definedName name="____CPT711620">#REF!</definedName>
    <definedName name="____CPT711625" localSheetId="5">#REF!</definedName>
    <definedName name="____CPT711625">#REF!</definedName>
    <definedName name="____CPT711630" localSheetId="5">#REF!</definedName>
    <definedName name="____CPT711630">#REF!</definedName>
    <definedName name="____CPT711635" localSheetId="5">#REF!</definedName>
    <definedName name="____CPT711635">#REF!</definedName>
    <definedName name="____CPT711640" localSheetId="5">#REF!</definedName>
    <definedName name="____CPT711640">#REF!</definedName>
    <definedName name="____CPT711650" localSheetId="5">#REF!</definedName>
    <definedName name="____CPT711650">#REF!</definedName>
    <definedName name="____CPT711655" localSheetId="5">#REF!</definedName>
    <definedName name="____CPT711655">#REF!</definedName>
    <definedName name="____CPT711660" localSheetId="5">#REF!</definedName>
    <definedName name="____CPT711660">#REF!</definedName>
    <definedName name="____CPT711665" localSheetId="5">#REF!</definedName>
    <definedName name="____CPT711665">#REF!</definedName>
    <definedName name="____CPT711670" localSheetId="5">#REF!</definedName>
    <definedName name="____CPT711670">#REF!</definedName>
    <definedName name="____CPT711675" localSheetId="5">#REF!</definedName>
    <definedName name="____CPT711675">#REF!</definedName>
    <definedName name="____CPT711700" localSheetId="5">#REF!</definedName>
    <definedName name="____CPT711700">#REF!</definedName>
    <definedName name="____CPT711701" localSheetId="5">#REF!</definedName>
    <definedName name="____CPT711701">#REF!</definedName>
    <definedName name="____CPT711702" localSheetId="5">#REF!</definedName>
    <definedName name="____CPT711702">#REF!</definedName>
    <definedName name="____CPT711710" localSheetId="5">#REF!</definedName>
    <definedName name="____CPT711710">#REF!</definedName>
    <definedName name="____CPT711715" localSheetId="5">#REF!</definedName>
    <definedName name="____CPT711715">#REF!</definedName>
    <definedName name="____CPT711720" localSheetId="5">#REF!</definedName>
    <definedName name="____CPT711720">#REF!</definedName>
    <definedName name="____CPT711725" localSheetId="5">#REF!</definedName>
    <definedName name="____CPT711725">#REF!</definedName>
    <definedName name="____CPT711730" localSheetId="5">#REF!</definedName>
    <definedName name="____CPT711730">#REF!</definedName>
    <definedName name="____CPT711735" localSheetId="5">#REF!</definedName>
    <definedName name="____CPT711735">#REF!</definedName>
    <definedName name="____CPT711740" localSheetId="5">#REF!</definedName>
    <definedName name="____CPT711740">#REF!</definedName>
    <definedName name="____CPT711745" localSheetId="5">#REF!</definedName>
    <definedName name="____CPT711745">#REF!</definedName>
    <definedName name="____CPT711750" localSheetId="5">#REF!</definedName>
    <definedName name="____CPT711750">#REF!</definedName>
    <definedName name="____CPT711755" localSheetId="5">#REF!</definedName>
    <definedName name="____CPT711755">#REF!</definedName>
    <definedName name="____CPT711760" localSheetId="5">#REF!</definedName>
    <definedName name="____CPT711760">#REF!</definedName>
    <definedName name="____CPT711765" localSheetId="5">#REF!</definedName>
    <definedName name="____CPT711765">#REF!</definedName>
    <definedName name="____CPT711770" localSheetId="5">#REF!</definedName>
    <definedName name="____CPT711770">#REF!</definedName>
    <definedName name="____CPT711775" localSheetId="5">#REF!</definedName>
    <definedName name="____CPT711775">#REF!</definedName>
    <definedName name="____CPT711780" localSheetId="5">#REF!</definedName>
    <definedName name="____CPT711780">#REF!</definedName>
    <definedName name="____CPT711785" localSheetId="5">#REF!</definedName>
    <definedName name="____CPT711785">#REF!</definedName>
    <definedName name="____CPT711790" localSheetId="5">#REF!</definedName>
    <definedName name="____CPT711790">#REF!</definedName>
    <definedName name="____CPT711795" localSheetId="5">#REF!</definedName>
    <definedName name="____CPT711795">#REF!</definedName>
    <definedName name="____CPT711800" localSheetId="5">#REF!</definedName>
    <definedName name="____CPT711800">#REF!</definedName>
    <definedName name="____CPT711801" localSheetId="5">#REF!</definedName>
    <definedName name="____CPT711801">#REF!</definedName>
    <definedName name="____CPT711802" localSheetId="5">#REF!</definedName>
    <definedName name="____CPT711802">#REF!</definedName>
    <definedName name="____CPT711804" localSheetId="5">#REF!</definedName>
    <definedName name="____CPT711804">#REF!</definedName>
    <definedName name="____CPT711840" localSheetId="5">#REF!</definedName>
    <definedName name="____CPT711840">#REF!</definedName>
    <definedName name="____CPT711890" localSheetId="5">#REF!</definedName>
    <definedName name="____CPT711890">#REF!</definedName>
    <definedName name="____CPT711900" localSheetId="5">#REF!</definedName>
    <definedName name="____CPT711900">#REF!</definedName>
    <definedName name="____CPT712110" localSheetId="5">#REF!</definedName>
    <definedName name="____CPT712110">#REF!</definedName>
    <definedName name="____CPT712138" localSheetId="5">#REF!</definedName>
    <definedName name="____CPT712138">#REF!</definedName>
    <definedName name="____CPT712139" localSheetId="5">#REF!</definedName>
    <definedName name="____CPT712139">#REF!</definedName>
    <definedName name="____CPT712148" localSheetId="5">#REF!</definedName>
    <definedName name="____CPT712148">#REF!</definedName>
    <definedName name="____CPT712149" localSheetId="5">#REF!</definedName>
    <definedName name="____CPT712149">#REF!</definedName>
    <definedName name="____CPT712159" localSheetId="5">#REF!</definedName>
    <definedName name="____CPT712159">#REF!</definedName>
    <definedName name="____CPT712160" localSheetId="5">#REF!</definedName>
    <definedName name="____CPT712160">#REF!</definedName>
    <definedName name="____CPT712180" localSheetId="5">#REF!</definedName>
    <definedName name="____CPT712180">#REF!</definedName>
    <definedName name="____CPT712200" localSheetId="5">#REF!</definedName>
    <definedName name="____CPT712200">#REF!</definedName>
    <definedName name="____CPT712800" localSheetId="5">#REF!</definedName>
    <definedName name="____CPT712800">#REF!</definedName>
    <definedName name="____CPT712900" localSheetId="5">#REF!</definedName>
    <definedName name="____CPT712900">#REF!</definedName>
    <definedName name="____CPT713100" localSheetId="5">#REF!</definedName>
    <definedName name="____CPT713100">#REF!</definedName>
    <definedName name="____CPT713110" localSheetId="5">#REF!</definedName>
    <definedName name="____CPT713110">#REF!</definedName>
    <definedName name="____CPT713190" localSheetId="5">#REF!</definedName>
    <definedName name="____CPT713190">#REF!</definedName>
    <definedName name="____CPT713200" localSheetId="5">#REF!</definedName>
    <definedName name="____CPT713200">#REF!</definedName>
    <definedName name="____CPT713210" localSheetId="5">#REF!</definedName>
    <definedName name="____CPT713210">#REF!</definedName>
    <definedName name="____CPT713290" localSheetId="5">#REF!</definedName>
    <definedName name="____CPT713290">#REF!</definedName>
    <definedName name="____CPT713300" localSheetId="5">#REF!</definedName>
    <definedName name="____CPT713300">#REF!</definedName>
    <definedName name="____CPT713310" localSheetId="5">#REF!</definedName>
    <definedName name="____CPT713310">#REF!</definedName>
    <definedName name="____CPT713350" localSheetId="5">#REF!</definedName>
    <definedName name="____CPT713350">#REF!</definedName>
    <definedName name="____CPT713360" localSheetId="5">#REF!</definedName>
    <definedName name="____CPT713360">#REF!</definedName>
    <definedName name="____CPT713370" localSheetId="5">#REF!</definedName>
    <definedName name="____CPT713370">#REF!</definedName>
    <definedName name="____CPT713390" localSheetId="5">#REF!</definedName>
    <definedName name="____CPT713390">#REF!</definedName>
    <definedName name="____CPT713400" localSheetId="5">#REF!</definedName>
    <definedName name="____CPT713400">#REF!</definedName>
    <definedName name="____CPT713410" localSheetId="5">#REF!</definedName>
    <definedName name="____CPT713410">#REF!</definedName>
    <definedName name="____CPT713490" localSheetId="5">#REF!</definedName>
    <definedName name="____CPT713490">#REF!</definedName>
    <definedName name="____cpt713508" localSheetId="5">#REF!</definedName>
    <definedName name="____cpt713508">#REF!</definedName>
    <definedName name="____CPT713509" localSheetId="5">#REF!</definedName>
    <definedName name="____CPT713509">#REF!</definedName>
    <definedName name="____CPT715200" localSheetId="5">#REF!</definedName>
    <definedName name="____CPT715200">#REF!</definedName>
    <definedName name="____CPT715320" localSheetId="5">#REF!</definedName>
    <definedName name="____CPT715320">#REF!</definedName>
    <definedName name="____CPT715325" localSheetId="5">#REF!</definedName>
    <definedName name="____CPT715325">#REF!</definedName>
    <definedName name="____CPT715410" localSheetId="5">#REF!</definedName>
    <definedName name="____CPT715410">#REF!</definedName>
    <definedName name="____CPT715420" localSheetId="5">#REF!</definedName>
    <definedName name="____CPT715420">#REF!</definedName>
    <definedName name="____CPT715430" localSheetId="5">#REF!</definedName>
    <definedName name="____CPT715430">#REF!</definedName>
    <definedName name="____CPT715450" localSheetId="5">#REF!</definedName>
    <definedName name="____CPT715450">#REF!</definedName>
    <definedName name="____CPT715480" localSheetId="5">[1]DETCONSO!#REF!</definedName>
    <definedName name="____CPT715480">[1]DETCONSO!#REF!</definedName>
    <definedName name="____CPT715490" localSheetId="5">#REF!</definedName>
    <definedName name="____CPT715490">#REF!</definedName>
    <definedName name="____CPT715510" localSheetId="5">#REF!</definedName>
    <definedName name="____CPT715510">#REF!</definedName>
    <definedName name="____CPT715515" localSheetId="5">#REF!</definedName>
    <definedName name="____CPT715515">#REF!</definedName>
    <definedName name="____CPT715520" localSheetId="5">#REF!</definedName>
    <definedName name="____CPT715520">#REF!</definedName>
    <definedName name="____CPT715525" localSheetId="5">#REF!</definedName>
    <definedName name="____CPT715525">#REF!</definedName>
    <definedName name="____CPT715530" localSheetId="5">#REF!</definedName>
    <definedName name="____CPT715530">#REF!</definedName>
    <definedName name="____CPT715550" localSheetId="5">#REF!</definedName>
    <definedName name="____CPT715550">#REF!</definedName>
    <definedName name="____CPT715570" localSheetId="5">[1]DETCONSO!#REF!</definedName>
    <definedName name="____CPT715570">[1]DETCONSO!#REF!</definedName>
    <definedName name="____CPT715600" localSheetId="5">#REF!</definedName>
    <definedName name="____CPT715600">#REF!</definedName>
    <definedName name="____CPT715610" localSheetId="5">#REF!</definedName>
    <definedName name="____CPT715610">#REF!</definedName>
    <definedName name="____CPT715620" localSheetId="5">#REF!</definedName>
    <definedName name="____CPT715620">#REF!</definedName>
    <definedName name="____CPT715630" localSheetId="5">#REF!</definedName>
    <definedName name="____CPT715630">#REF!</definedName>
    <definedName name="____CPT715640" localSheetId="5">#REF!</definedName>
    <definedName name="____CPT715640">#REF!</definedName>
    <definedName name="____CPT715701" localSheetId="5">#REF!</definedName>
    <definedName name="____CPT715701">#REF!</definedName>
    <definedName name="____CPT715702" localSheetId="5">#REF!</definedName>
    <definedName name="____CPT715702">#REF!</definedName>
    <definedName name="____CPT715703" localSheetId="5">#REF!</definedName>
    <definedName name="____CPT715703">#REF!</definedName>
    <definedName name="____CPT715704" localSheetId="5">#REF!</definedName>
    <definedName name="____CPT715704">#REF!</definedName>
    <definedName name="____CPT715705" localSheetId="5">#REF!</definedName>
    <definedName name="____CPT715705">#REF!</definedName>
    <definedName name="____CPT715706" localSheetId="5">#REF!</definedName>
    <definedName name="____CPT715706">#REF!</definedName>
    <definedName name="____CPT715720" localSheetId="5">#REF!</definedName>
    <definedName name="____CPT715720">#REF!</definedName>
    <definedName name="____CPT715725" localSheetId="5">[1]DETCONSO!#REF!</definedName>
    <definedName name="____CPT715725">[1]DETCONSO!#REF!</definedName>
    <definedName name="____CPT715730" localSheetId="5">#REF!</definedName>
    <definedName name="____CPT715730">#REF!</definedName>
    <definedName name="____CPT715740" localSheetId="5">#REF!</definedName>
    <definedName name="____CPT715740">#REF!</definedName>
    <definedName name="____CPT715760" localSheetId="5">#REF!</definedName>
    <definedName name="____CPT715760">#REF!</definedName>
    <definedName name="____CPT715770" localSheetId="5">[1]DETCONSO!#REF!</definedName>
    <definedName name="____CPT715770">[1]DETCONSO!#REF!</definedName>
    <definedName name="____CPT715790" localSheetId="5">#REF!</definedName>
    <definedName name="____CPT715790">#REF!</definedName>
    <definedName name="____CPT715795" localSheetId="5">#REF!</definedName>
    <definedName name="____CPT715795">#REF!</definedName>
    <definedName name="____CPT715800" localSheetId="5">#REF!</definedName>
    <definedName name="____CPT715800">#REF!</definedName>
    <definedName name="____CPT715805" localSheetId="5">#REF!</definedName>
    <definedName name="____CPT715805">#REF!</definedName>
    <definedName name="____CPT715810" localSheetId="5">#REF!</definedName>
    <definedName name="____CPT715810">#REF!</definedName>
    <definedName name="____CPT715815" localSheetId="5">#REF!</definedName>
    <definedName name="____CPT715815">#REF!</definedName>
    <definedName name="____CPT715900" localSheetId="5">#REF!</definedName>
    <definedName name="____CPT715900">#REF!</definedName>
    <definedName name="____CPT715905" localSheetId="5">#REF!</definedName>
    <definedName name="____CPT715905">#REF!</definedName>
    <definedName name="____CPT715910" localSheetId="5">#REF!</definedName>
    <definedName name="____CPT715910">#REF!</definedName>
    <definedName name="____CPT719100" localSheetId="5">#REF!</definedName>
    <definedName name="____CPT719100">#REF!</definedName>
    <definedName name="____CPT719105" localSheetId="5">#REF!</definedName>
    <definedName name="____CPT719105">#REF!</definedName>
    <definedName name="____CPT719110" localSheetId="5">#REF!</definedName>
    <definedName name="____CPT719110">#REF!</definedName>
    <definedName name="____CPT719115" localSheetId="5">#REF!</definedName>
    <definedName name="____CPT719115">#REF!</definedName>
    <definedName name="____CPT719120" localSheetId="5">#REF!</definedName>
    <definedName name="____CPT719120">#REF!</definedName>
    <definedName name="____CPT719125" localSheetId="5">[1]DETCONSO!#REF!</definedName>
    <definedName name="____CPT719125">[1]DETCONSO!#REF!</definedName>
    <definedName name="____CPT719130" localSheetId="5">#REF!</definedName>
    <definedName name="____CPT719130">#REF!</definedName>
    <definedName name="____CPT719135" localSheetId="5">#REF!</definedName>
    <definedName name="____CPT719135">#REF!</definedName>
    <definedName name="____CPT719140" localSheetId="5">#REF!</definedName>
    <definedName name="____CPT719140">#REF!</definedName>
    <definedName name="____CPT719145" localSheetId="5">#REF!</definedName>
    <definedName name="____CPT719145">#REF!</definedName>
    <definedName name="____CPT719150" localSheetId="5">#REF!</definedName>
    <definedName name="____CPT719150">#REF!</definedName>
    <definedName name="____CPT719155" localSheetId="5">#REF!</definedName>
    <definedName name="____CPT719155">#REF!</definedName>
    <definedName name="____CPT719160" localSheetId="5">#REF!</definedName>
    <definedName name="____CPT719160">#REF!</definedName>
    <definedName name="____CPT719220" localSheetId="5">#REF!</definedName>
    <definedName name="____CPT719220">#REF!</definedName>
    <definedName name="____CPT719240" localSheetId="5">#REF!</definedName>
    <definedName name="____CPT719240">#REF!</definedName>
    <definedName name="____CPT719260" localSheetId="5">#REF!</definedName>
    <definedName name="____CPT719260">#REF!</definedName>
    <definedName name="____CPT721000" localSheetId="5">#REF!</definedName>
    <definedName name="____CPT721000">#REF!</definedName>
    <definedName name="____CPT721770" localSheetId="5">#REF!</definedName>
    <definedName name="____CPT721770">#REF!</definedName>
    <definedName name="____CPT721780" localSheetId="5">#REF!</definedName>
    <definedName name="____CPT721780">#REF!</definedName>
    <definedName name="____CPT726000" localSheetId="5">#REF!</definedName>
    <definedName name="____CPT726000">#REF!</definedName>
    <definedName name="____CPT727000" localSheetId="5">#REF!</definedName>
    <definedName name="____CPT727000">#REF!</definedName>
    <definedName name="____CPT728000" localSheetId="5">#REF!</definedName>
    <definedName name="____CPT728000">#REF!</definedName>
    <definedName name="____CPT728008" localSheetId="5">#REF!</definedName>
    <definedName name="____CPT728008">#REF!</definedName>
    <definedName name="____CPT728018" localSheetId="5">#REF!</definedName>
    <definedName name="____CPT728018">#REF!</definedName>
    <definedName name="____CPT729000" localSheetId="5">#REF!</definedName>
    <definedName name="____CPT729000">#REF!</definedName>
    <definedName name="____CPT729100" localSheetId="5">#REF!</definedName>
    <definedName name="____CPT729100">#REF!</definedName>
    <definedName name="____CPT729200" localSheetId="5">#REF!</definedName>
    <definedName name="____CPT729200">#REF!</definedName>
    <definedName name="____CPT732000" localSheetId="5">#REF!</definedName>
    <definedName name="____CPT732000">#REF!</definedName>
    <definedName name="____CPT732100" localSheetId="5">#REF!</definedName>
    <definedName name="____CPT732100">#REF!</definedName>
    <definedName name="____CPT732200" localSheetId="5">#REF!</definedName>
    <definedName name="____CPT732200">#REF!</definedName>
    <definedName name="____CPT749200" localSheetId="5">#REF!</definedName>
    <definedName name="____CPT749200">#REF!</definedName>
    <definedName name="____CPT749250" localSheetId="5">#REF!</definedName>
    <definedName name="____CPT749250">#REF!</definedName>
    <definedName name="____cpt749350" localSheetId="5">#REF!</definedName>
    <definedName name="____cpt749350">#REF!</definedName>
    <definedName name="____CPT753100" localSheetId="5">#REF!</definedName>
    <definedName name="____CPT753100">#REF!</definedName>
    <definedName name="____CPT753150" localSheetId="5">#REF!</definedName>
    <definedName name="____CPT753150">#REF!</definedName>
    <definedName name="____CPT753160" localSheetId="5">#REF!</definedName>
    <definedName name="____CPT753160">#REF!</definedName>
    <definedName name="____CPT753200" localSheetId="5">#REF!</definedName>
    <definedName name="____CPT753200">#REF!</definedName>
    <definedName name="____CPT753250" localSheetId="5">#REF!</definedName>
    <definedName name="____CPT753250">#REF!</definedName>
    <definedName name="____CPT753280" localSheetId="5">#REF!</definedName>
    <definedName name="____CPT753280">#REF!</definedName>
    <definedName name="____CPT753300" localSheetId="5">#REF!</definedName>
    <definedName name="____CPT753300">#REF!</definedName>
    <definedName name="____CPT753310" localSheetId="5">#REF!</definedName>
    <definedName name="____CPT753310">#REF!</definedName>
    <definedName name="____CPT753320" localSheetId="5">#REF!</definedName>
    <definedName name="____CPT753320">#REF!</definedName>
    <definedName name="____CPT753350" localSheetId="5">#REF!</definedName>
    <definedName name="____CPT753350">#REF!</definedName>
    <definedName name="____CPT753380" localSheetId="5">#REF!</definedName>
    <definedName name="____CPT753380">#REF!</definedName>
    <definedName name="____CPT753390" localSheetId="5">#REF!</definedName>
    <definedName name="____CPT753390">#REF!</definedName>
    <definedName name="____CPT753400" localSheetId="5">#REF!</definedName>
    <definedName name="____CPT753400">#REF!</definedName>
    <definedName name="____CPT753410" localSheetId="5">#REF!</definedName>
    <definedName name="____CPT753410">#REF!</definedName>
    <definedName name="____CPT753420" localSheetId="5">#REF!</definedName>
    <definedName name="____CPT753420">#REF!</definedName>
    <definedName name="____CPT753430" localSheetId="5">#REF!</definedName>
    <definedName name="____CPT753430">#REF!</definedName>
    <definedName name="____CPT753450" localSheetId="5">#REF!</definedName>
    <definedName name="____CPT753450">#REF!</definedName>
    <definedName name="____CPT753500" localSheetId="5">#REF!</definedName>
    <definedName name="____CPT753500">#REF!</definedName>
    <definedName name="____CPT753600" localSheetId="5">#REF!</definedName>
    <definedName name="____CPT753600">#REF!</definedName>
    <definedName name="____CPT753610" localSheetId="5">#REF!</definedName>
    <definedName name="____CPT753610">#REF!</definedName>
    <definedName name="____CPT753620" localSheetId="5">#REF!</definedName>
    <definedName name="____CPT753620">#REF!</definedName>
    <definedName name="____CPT753630" localSheetId="5">#REF!</definedName>
    <definedName name="____CPT753630">#REF!</definedName>
    <definedName name="____CPT753640" localSheetId="5">#REF!</definedName>
    <definedName name="____CPT753640">#REF!</definedName>
    <definedName name="____CPT753650" localSheetId="5">#REF!</definedName>
    <definedName name="____CPT753650">#REF!</definedName>
    <definedName name="____CPT753700" localSheetId="5">#REF!</definedName>
    <definedName name="____CPT753700">#REF!</definedName>
    <definedName name="____CPT753708" localSheetId="5">[1]DETCONSO!#REF!</definedName>
    <definedName name="____CPT753708">[1]DETCONSO!#REF!</definedName>
    <definedName name="____CPT753750" localSheetId="5">#REF!</definedName>
    <definedName name="____CPT753750">#REF!</definedName>
    <definedName name="____CPT753755" localSheetId="5">#REF!</definedName>
    <definedName name="____CPT753755">#REF!</definedName>
    <definedName name="____CPT753760" localSheetId="5">#REF!</definedName>
    <definedName name="____CPT753760">#REF!</definedName>
    <definedName name="____CPT753761" localSheetId="5">#REF!</definedName>
    <definedName name="____CPT753761">#REF!</definedName>
    <definedName name="____CPT753762" localSheetId="5">#REF!</definedName>
    <definedName name="____CPT753762">#REF!</definedName>
    <definedName name="____CPT753770" localSheetId="5">#REF!</definedName>
    <definedName name="____CPT753770">#REF!</definedName>
    <definedName name="____CPT753780" localSheetId="5">#REF!</definedName>
    <definedName name="____CPT753780">#REF!</definedName>
    <definedName name="____CPT753800" localSheetId="5">#REF!</definedName>
    <definedName name="____CPT753800">#REF!</definedName>
    <definedName name="____CPT757000" localSheetId="5">#REF!</definedName>
    <definedName name="____CPT757000">#REF!</definedName>
    <definedName name="____CPT763000" localSheetId="5">#REF!</definedName>
    <definedName name="____CPT763000">#REF!</definedName>
    <definedName name="____CPT763010" localSheetId="5">#REF!</definedName>
    <definedName name="____CPT763010">#REF!</definedName>
    <definedName name="____CPT763020" localSheetId="5">#REF!</definedName>
    <definedName name="____CPT763020">#REF!</definedName>
    <definedName name="____CPT763030" localSheetId="5">#REF!</definedName>
    <definedName name="____CPT763030">#REF!</definedName>
    <definedName name="____CPT763100" localSheetId="5">#REF!</definedName>
    <definedName name="____CPT763100">#REF!</definedName>
    <definedName name="____CPT763200" localSheetId="5">#REF!</definedName>
    <definedName name="____CPT763200">#REF!</definedName>
    <definedName name="____CPT763450" localSheetId="5">#REF!</definedName>
    <definedName name="____CPT763450">#REF!</definedName>
    <definedName name="____CPT764000" localSheetId="5">#REF!</definedName>
    <definedName name="____CPT764000">#REF!</definedName>
    <definedName name="____CPT764100" localSheetId="5">#REF!</definedName>
    <definedName name="____CPT764100">#REF!</definedName>
    <definedName name="____CPT764200" localSheetId="5">#REF!</definedName>
    <definedName name="____CPT764200">#REF!</definedName>
    <definedName name="____CPT765000" localSheetId="5">#REF!</definedName>
    <definedName name="____CPT765000">#REF!</definedName>
    <definedName name="____CPT765150" localSheetId="5">#REF!</definedName>
    <definedName name="____CPT765150">#REF!</definedName>
    <definedName name="____CPT765350" localSheetId="5">#REF!</definedName>
    <definedName name="____CPT765350">#REF!</definedName>
    <definedName name="____CPT765500" localSheetId="5">#REF!</definedName>
    <definedName name="____CPT765500">#REF!</definedName>
    <definedName name="____CPT766000" localSheetId="5">#REF!</definedName>
    <definedName name="____CPT766000">#REF!</definedName>
    <definedName name="____CPT766100" localSheetId="5">#REF!</definedName>
    <definedName name="____CPT766100">#REF!</definedName>
    <definedName name="____CPT80101" localSheetId="5">#REF!</definedName>
    <definedName name="____CPT80101">#REF!</definedName>
    <definedName name="____CPT80102" localSheetId="5">#REF!</definedName>
    <definedName name="____CPT80102">#REF!</definedName>
    <definedName name="____CPT80103" localSheetId="5">#REF!</definedName>
    <definedName name="____CPT80103">#REF!</definedName>
    <definedName name="____CPT80104" localSheetId="5">#REF!</definedName>
    <definedName name="____CPT80104">#REF!</definedName>
    <definedName name="____CPT80105" localSheetId="5">#REF!</definedName>
    <definedName name="____CPT80105">#REF!</definedName>
    <definedName name="____CPT80106" localSheetId="5">#REF!</definedName>
    <definedName name="____CPT80106">#REF!</definedName>
    <definedName name="____CPT80107" localSheetId="5">#REF!</definedName>
    <definedName name="____CPT80107">#REF!</definedName>
    <definedName name="____CPT80109" localSheetId="5">#REF!</definedName>
    <definedName name="____CPT80109">#REF!</definedName>
    <definedName name="____CPT80110" localSheetId="5">#REF!</definedName>
    <definedName name="____CPT80110">#REF!</definedName>
    <definedName name="____CPT80130" localSheetId="5">#REF!</definedName>
    <definedName name="____CPT80130">#REF!</definedName>
    <definedName name="____CPT83101" localSheetId="5">#REF!</definedName>
    <definedName name="____CPT83101">#REF!</definedName>
    <definedName name="____CPT83102" localSheetId="5">#REF!</definedName>
    <definedName name="____CPT83102">#REF!</definedName>
    <definedName name="____CPT83103" localSheetId="5">#REF!</definedName>
    <definedName name="____CPT83103">#REF!</definedName>
    <definedName name="____CPT83104" localSheetId="5">#REF!</definedName>
    <definedName name="____CPT83104">#REF!</definedName>
    <definedName name="____CPT83106" localSheetId="5">#REF!</definedName>
    <definedName name="____CPT83106">#REF!</definedName>
    <definedName name="____CPT83107" localSheetId="5">#REF!</definedName>
    <definedName name="____CPT83107">#REF!</definedName>
    <definedName name="____CPT83109" localSheetId="5">#REF!</definedName>
    <definedName name="____CPT83109">#REF!</definedName>
    <definedName name="____CUC1" localSheetId="5">#REF!</definedName>
    <definedName name="____CUC1">#REF!</definedName>
    <definedName name="____IAM10645" localSheetId="5">#REF!</definedName>
    <definedName name="____IAM10645">#REF!</definedName>
    <definedName name="____IMM2" localSheetId="5">[2]EXPERTISE!#REF!</definedName>
    <definedName name="____IMM2">[2]EXPERTISE!#REF!</definedName>
    <definedName name="____MEQ2661" localSheetId="5">#REF!</definedName>
    <definedName name="____MEQ2661">#REF!</definedName>
    <definedName name="____MEQ2662" localSheetId="5">#REF!</definedName>
    <definedName name="____MEQ2662">#REF!</definedName>
    <definedName name="____MEQ2663" localSheetId="5">#REF!</definedName>
    <definedName name="____MEQ2663">#REF!</definedName>
    <definedName name="____MEQ2664" localSheetId="5">#REF!</definedName>
    <definedName name="____MEQ2664">#REF!</definedName>
    <definedName name="____MEQ2665" localSheetId="5">#REF!</definedName>
    <definedName name="____MEQ2665">#REF!</definedName>
    <definedName name="____MEQ2666" localSheetId="5">#REF!</definedName>
    <definedName name="____MEQ2666">#REF!</definedName>
    <definedName name="____MEQ2667" localSheetId="5">#REF!</definedName>
    <definedName name="____MEQ2667">#REF!</definedName>
    <definedName name="____MEQ2668" localSheetId="5">#REF!</definedName>
    <definedName name="____MEQ2668">#REF!</definedName>
    <definedName name="____MEQ671004" localSheetId="5">#REF!</definedName>
    <definedName name="____MEQ671004">#REF!</definedName>
    <definedName name="____MEQ769004" localSheetId="5">#REF!</definedName>
    <definedName name="____MEQ769004">#REF!</definedName>
    <definedName name="____MEQ769005" localSheetId="5">#REF!</definedName>
    <definedName name="____MEQ769005">#REF!</definedName>
    <definedName name="____MEQ769006" localSheetId="5">#REF!</definedName>
    <definedName name="____MEQ769006">#REF!</definedName>
    <definedName name="____MEQ769007" localSheetId="5">#REF!</definedName>
    <definedName name="____MEQ769007">#REF!</definedName>
    <definedName name="____MEQ769008" localSheetId="5">#REF!</definedName>
    <definedName name="____MEQ769008">#REF!</definedName>
    <definedName name="____MEQ769300" localSheetId="5">#REF!</definedName>
    <definedName name="____MEQ769300">#REF!</definedName>
    <definedName name="____PBA1" localSheetId="5">#REF!</definedName>
    <definedName name="____PBA1">#REF!</definedName>
    <definedName name="____PBA2" localSheetId="5">#REF!</definedName>
    <definedName name="____PBA2">#REF!</definedName>
    <definedName name="____PPA01" localSheetId="5">[3]PORT_HORS_CONSO!#REF!</definedName>
    <definedName name="____PPA01">[3]PORT_HORS_CONSO!#REF!</definedName>
    <definedName name="____RE119" localSheetId="5">#REF!</definedName>
    <definedName name="____RE119">#REF!</definedName>
    <definedName name="____RE120" localSheetId="5">#REF!</definedName>
    <definedName name="____RE120">#REF!</definedName>
    <definedName name="____RE129" localSheetId="5">#REF!</definedName>
    <definedName name="____RE129">#REF!</definedName>
    <definedName name="____RE689" localSheetId="5">#REF!</definedName>
    <definedName name="____RE689">#REF!</definedName>
    <definedName name="____RE699" localSheetId="5">#REF!</definedName>
    <definedName name="____RE699">#REF!</definedName>
    <definedName name="____ste2" localSheetId="5">[2]EXPERTISE!#REF!</definedName>
    <definedName name="____ste2">[2]EXPERTISE!#REF!</definedName>
    <definedName name="____Z649600" localSheetId="5">#REF!</definedName>
    <definedName name="____Z649600">#REF!</definedName>
    <definedName name="____Z715570" localSheetId="5">#REF!</definedName>
    <definedName name="____Z715570">#REF!</definedName>
    <definedName name="____Z715725" localSheetId="5">#REF!</definedName>
    <definedName name="____Z715725">#REF!</definedName>
    <definedName name="____Z715770" localSheetId="5">#REF!</definedName>
    <definedName name="____Z715770">#REF!</definedName>
    <definedName name="___CDC3036" localSheetId="5">#REF!</definedName>
    <definedName name="___CDC3036">#REF!</definedName>
    <definedName name="___cdc36564" localSheetId="5">#REF!</definedName>
    <definedName name="___cdc36564">#REF!</definedName>
    <definedName name="___CDC36566" localSheetId="5">#REF!</definedName>
    <definedName name="___CDC36566">#REF!</definedName>
    <definedName name="___cdc365662" localSheetId="5">#REF!</definedName>
    <definedName name="___cdc365662">#REF!</definedName>
    <definedName name="___CDC36568" localSheetId="5">#REF!</definedName>
    <definedName name="___CDC36568">#REF!</definedName>
    <definedName name="___cdc6311" localSheetId="5">#REF!</definedName>
    <definedName name="___cdc6311">#REF!</definedName>
    <definedName name="___CDC6321" localSheetId="5">#REF!</definedName>
    <definedName name="___CDC6321">#REF!</definedName>
    <definedName name="___CDC6332" localSheetId="5">#REF!</definedName>
    <definedName name="___CDC6332">#REF!</definedName>
    <definedName name="___CDC635" localSheetId="5">#REF!</definedName>
    <definedName name="___CDC635">#REF!</definedName>
    <definedName name="___CDC63911" localSheetId="5">#REF!</definedName>
    <definedName name="___CDC63911">#REF!</definedName>
    <definedName name="___cdc63915" localSheetId="5">#REF!</definedName>
    <definedName name="___cdc63915">#REF!</definedName>
    <definedName name="___cdc63916" localSheetId="5">#REF!</definedName>
    <definedName name="___cdc63916">#REF!</definedName>
    <definedName name="___CDC63925" localSheetId="5">#REF!</definedName>
    <definedName name="___CDC63925">#REF!</definedName>
    <definedName name="___CDC63928" localSheetId="5">#REF!</definedName>
    <definedName name="___CDC63928">#REF!</definedName>
    <definedName name="___CDC928" localSheetId="5">#REF!</definedName>
    <definedName name="___CDC928">#REF!</definedName>
    <definedName name="___CDC94311" localSheetId="5">#REF!</definedName>
    <definedName name="___CDC94311">#REF!</definedName>
    <definedName name="___CDC943211" localSheetId="5">#REF!</definedName>
    <definedName name="___CDC943211">#REF!</definedName>
    <definedName name="___CDC943212" localSheetId="5">#REF!</definedName>
    <definedName name="___CDC943212">#REF!</definedName>
    <definedName name="___CDC943222" localSheetId="5">#REF!</definedName>
    <definedName name="___CDC943222">#REF!</definedName>
    <definedName name="___CDC94411" localSheetId="5">#REF!</definedName>
    <definedName name="___CDC94411">#REF!</definedName>
    <definedName name="___CDC94821" localSheetId="5">#REF!</definedName>
    <definedName name="___CDC94821">#REF!</definedName>
    <definedName name="___CDC94822" localSheetId="5">#REF!</definedName>
    <definedName name="___CDC94822">#REF!</definedName>
    <definedName name="___CDC95199" localSheetId="5">#REF!</definedName>
    <definedName name="___CDC95199">#REF!</definedName>
    <definedName name="___CDC95299" localSheetId="5">#REF!</definedName>
    <definedName name="___CDC95299">#REF!</definedName>
    <definedName name="___CPT10645">[4]!COMPTE10645</definedName>
    <definedName name="___CPT611200" localSheetId="5">#REF!</definedName>
    <definedName name="___CPT611200">#REF!</definedName>
    <definedName name="___CPT611310" localSheetId="5">#REF!</definedName>
    <definedName name="___CPT611310">#REF!</definedName>
    <definedName name="___CPT611317" localSheetId="5">#REF!</definedName>
    <definedName name="___CPT611317">#REF!</definedName>
    <definedName name="___CPT611318" localSheetId="5">#REF!</definedName>
    <definedName name="___CPT611318">#REF!</definedName>
    <definedName name="___CPT611320" localSheetId="5">#REF!</definedName>
    <definedName name="___CPT611320">#REF!</definedName>
    <definedName name="___CPT611328" localSheetId="5">#REF!</definedName>
    <definedName name="___CPT611328">#REF!</definedName>
    <definedName name="___CPT611600" localSheetId="5">#REF!</definedName>
    <definedName name="___CPT611600">#REF!</definedName>
    <definedName name="___CPT611610" localSheetId="5">#REF!</definedName>
    <definedName name="___CPT611610">#REF!</definedName>
    <definedName name="___CPT611615" localSheetId="5">#REF!</definedName>
    <definedName name="___CPT611615">#REF!</definedName>
    <definedName name="___CPT611620" localSheetId="5">#REF!</definedName>
    <definedName name="___CPT611620">#REF!</definedName>
    <definedName name="___CPT611625" localSheetId="5">#REF!</definedName>
    <definedName name="___CPT611625">#REF!</definedName>
    <definedName name="___CPT611630" localSheetId="5">#REF!</definedName>
    <definedName name="___CPT611630">#REF!</definedName>
    <definedName name="___CPT611635" localSheetId="5">#REF!</definedName>
    <definedName name="___CPT611635">#REF!</definedName>
    <definedName name="___CPT611640" localSheetId="5">#REF!</definedName>
    <definedName name="___CPT611640">#REF!</definedName>
    <definedName name="___CPT611650" localSheetId="5">#REF!</definedName>
    <definedName name="___CPT611650">#REF!</definedName>
    <definedName name="___CPT611655" localSheetId="5">#REF!</definedName>
    <definedName name="___CPT611655">#REF!</definedName>
    <definedName name="___CPT611660" localSheetId="5">#REF!</definedName>
    <definedName name="___CPT611660">#REF!</definedName>
    <definedName name="___CPT611665" localSheetId="5">#REF!</definedName>
    <definedName name="___CPT611665">#REF!</definedName>
    <definedName name="___CPT611670" localSheetId="5">#REF!</definedName>
    <definedName name="___CPT611670">#REF!</definedName>
    <definedName name="___CPT611675" localSheetId="5">#REF!</definedName>
    <definedName name="___CPT611675">#REF!</definedName>
    <definedName name="___CPT611700" localSheetId="5">#REF!</definedName>
    <definedName name="___CPT611700">#REF!</definedName>
    <definedName name="___CPT611701" localSheetId="5">#REF!</definedName>
    <definedName name="___CPT611701">#REF!</definedName>
    <definedName name="___CPT611702" localSheetId="5">#REF!</definedName>
    <definedName name="___CPT611702">#REF!</definedName>
    <definedName name="___CPT611710" localSheetId="5">#REF!</definedName>
    <definedName name="___CPT611710">#REF!</definedName>
    <definedName name="___CPT611715" localSheetId="5">#REF!</definedName>
    <definedName name="___CPT611715">#REF!</definedName>
    <definedName name="___CPT611720" localSheetId="5">#REF!</definedName>
    <definedName name="___CPT611720">#REF!</definedName>
    <definedName name="___CPT611725" localSheetId="5">#REF!</definedName>
    <definedName name="___CPT611725">#REF!</definedName>
    <definedName name="___CPT611730" localSheetId="5">#REF!</definedName>
    <definedName name="___CPT611730">#REF!</definedName>
    <definedName name="___CPT611735" localSheetId="5">#REF!</definedName>
    <definedName name="___CPT611735">#REF!</definedName>
    <definedName name="___CPT611740" localSheetId="5">#REF!</definedName>
    <definedName name="___CPT611740">#REF!</definedName>
    <definedName name="___CPT611745" localSheetId="5">#REF!</definedName>
    <definedName name="___CPT611745">#REF!</definedName>
    <definedName name="___CPT611750" localSheetId="5">#REF!</definedName>
    <definedName name="___CPT611750">#REF!</definedName>
    <definedName name="___CPT611755" localSheetId="5">#REF!</definedName>
    <definedName name="___CPT611755">#REF!</definedName>
    <definedName name="___CPT611760" localSheetId="5">#REF!</definedName>
    <definedName name="___CPT611760">#REF!</definedName>
    <definedName name="___CPT611765" localSheetId="5">#REF!</definedName>
    <definedName name="___CPT611765">#REF!</definedName>
    <definedName name="___CPT611770" localSheetId="5">#REF!</definedName>
    <definedName name="___CPT611770">#REF!</definedName>
    <definedName name="___CPT611775" localSheetId="5">#REF!</definedName>
    <definedName name="___CPT611775">#REF!</definedName>
    <definedName name="___CPT611780" localSheetId="5">#REF!</definedName>
    <definedName name="___CPT611780">#REF!</definedName>
    <definedName name="___CPT611785" localSheetId="5">#REF!</definedName>
    <definedName name="___CPT611785">#REF!</definedName>
    <definedName name="___CPT611790" localSheetId="5">#REF!</definedName>
    <definedName name="___CPT611790">#REF!</definedName>
    <definedName name="___CPT611795" localSheetId="5">#REF!</definedName>
    <definedName name="___CPT611795">#REF!</definedName>
    <definedName name="___CPT611800" localSheetId="5">#REF!</definedName>
    <definedName name="___CPT611800">#REF!</definedName>
    <definedName name="___CPT611801" localSheetId="5">#REF!</definedName>
    <definedName name="___CPT611801">#REF!</definedName>
    <definedName name="___CPT611802" localSheetId="5">#REF!</definedName>
    <definedName name="___CPT611802">#REF!</definedName>
    <definedName name="___CPT611804" localSheetId="5">#REF!</definedName>
    <definedName name="___CPT611804">#REF!</definedName>
    <definedName name="___CPT611840" localSheetId="5">#REF!</definedName>
    <definedName name="___CPT611840">#REF!</definedName>
    <definedName name="___CPT611890" localSheetId="5">#REF!</definedName>
    <definedName name="___CPT611890">#REF!</definedName>
    <definedName name="___CPT611900" localSheetId="5">#REF!</definedName>
    <definedName name="___CPT611900">#REF!</definedName>
    <definedName name="___CPT612160" localSheetId="5">#REF!</definedName>
    <definedName name="___CPT612160">#REF!</definedName>
    <definedName name="___CPT612180" localSheetId="5">#REF!</definedName>
    <definedName name="___CPT612180">#REF!</definedName>
    <definedName name="___CPT612210" localSheetId="5">#REF!</definedName>
    <definedName name="___CPT612210">#REF!</definedName>
    <definedName name="___CPT612250" localSheetId="5">#REF!</definedName>
    <definedName name="___CPT612250">#REF!</definedName>
    <definedName name="___CPT612260" localSheetId="5">#REF!</definedName>
    <definedName name="___CPT612260">#REF!</definedName>
    <definedName name="___CPT612500" localSheetId="5">#REF!</definedName>
    <definedName name="___CPT612500">#REF!</definedName>
    <definedName name="___CPT613150" localSheetId="5">#REF!</definedName>
    <definedName name="___CPT613150">#REF!</definedName>
    <definedName name="___CPT613160" localSheetId="5">#REF!</definedName>
    <definedName name="___CPT613160">#REF!</definedName>
    <definedName name="___CPT613170" localSheetId="5">#REF!</definedName>
    <definedName name="___CPT613170">#REF!</definedName>
    <definedName name="___CPT613180" localSheetId="5">#REF!</definedName>
    <definedName name="___CPT613180">#REF!</definedName>
    <definedName name="___CPT613530" localSheetId="5">#REF!</definedName>
    <definedName name="___CPT613530">#REF!</definedName>
    <definedName name="___CPT613535" localSheetId="5">#REF!</definedName>
    <definedName name="___CPT613535">#REF!</definedName>
    <definedName name="___CPT613540" localSheetId="5">#REF!</definedName>
    <definedName name="___CPT613540">#REF!</definedName>
    <definedName name="___CPT613550" localSheetId="5">#REF!</definedName>
    <definedName name="___CPT613550">#REF!</definedName>
    <definedName name="___CPT615200" localSheetId="5">#REF!</definedName>
    <definedName name="___CPT615200">#REF!</definedName>
    <definedName name="___CPT615450" localSheetId="5">#REF!</definedName>
    <definedName name="___CPT615450">#REF!</definedName>
    <definedName name="___CPT615480" localSheetId="5">[1]DETCONSO!#REF!</definedName>
    <definedName name="___CPT615480">[1]DETCONSO!#REF!</definedName>
    <definedName name="___CPT615490" localSheetId="5">#REF!</definedName>
    <definedName name="___CPT615490">#REF!</definedName>
    <definedName name="___CPT615510" localSheetId="5">#REF!</definedName>
    <definedName name="___CPT615510">#REF!</definedName>
    <definedName name="___CPT615515" localSheetId="5">#REF!</definedName>
    <definedName name="___CPT615515">#REF!</definedName>
    <definedName name="___CPT615520" localSheetId="5">#REF!</definedName>
    <definedName name="___CPT615520">#REF!</definedName>
    <definedName name="___CPT615525" localSheetId="5">#REF!</definedName>
    <definedName name="___CPT615525">#REF!</definedName>
    <definedName name="___CPT615530" localSheetId="5">#REF!</definedName>
    <definedName name="___CPT615530">#REF!</definedName>
    <definedName name="___CPT615600" localSheetId="5">#REF!</definedName>
    <definedName name="___CPT615600">#REF!</definedName>
    <definedName name="___CPT615610" localSheetId="5">#REF!</definedName>
    <definedName name="___CPT615610">#REF!</definedName>
    <definedName name="___CPT615620" localSheetId="5">#REF!</definedName>
    <definedName name="___CPT615620">#REF!</definedName>
    <definedName name="___CPT615640" localSheetId="5">#REF!</definedName>
    <definedName name="___CPT615640">#REF!</definedName>
    <definedName name="___CPT615730" localSheetId="5">#REF!</definedName>
    <definedName name="___CPT615730">#REF!</definedName>
    <definedName name="___CPT615760" localSheetId="5">#REF!</definedName>
    <definedName name="___CPT615760">#REF!</definedName>
    <definedName name="___CPT615780" localSheetId="5">#REF!</definedName>
    <definedName name="___CPT615780">#REF!</definedName>
    <definedName name="___CPT615790" localSheetId="5">#REF!</definedName>
    <definedName name="___CPT615790">#REF!</definedName>
    <definedName name="___CPT615800" localSheetId="5">#REF!</definedName>
    <definedName name="___CPT615800">#REF!</definedName>
    <definedName name="___CPT615805" localSheetId="5">#REF!</definedName>
    <definedName name="___CPT615805">#REF!</definedName>
    <definedName name="___CPT615810" localSheetId="5">#REF!</definedName>
    <definedName name="___CPT615810">#REF!</definedName>
    <definedName name="___CPT615815" localSheetId="5">#REF!</definedName>
    <definedName name="___CPT615815">#REF!</definedName>
    <definedName name="___CPT616100" localSheetId="5">#REF!</definedName>
    <definedName name="___CPT616100">#REF!</definedName>
    <definedName name="___CPT616106" localSheetId="5">#REF!</definedName>
    <definedName name="___CPT616106">#REF!</definedName>
    <definedName name="___CPT616107" localSheetId="5">#REF!</definedName>
    <definedName name="___CPT616107">#REF!</definedName>
    <definedName name="___CPT616120" localSheetId="5">#REF!</definedName>
    <definedName name="___CPT616120">#REF!</definedName>
    <definedName name="___CPT616125" localSheetId="5">#REF!</definedName>
    <definedName name="___CPT616125">#REF!</definedName>
    <definedName name="___CPT616190" localSheetId="5">#REF!</definedName>
    <definedName name="___CPT616190">#REF!</definedName>
    <definedName name="___CPT616200" localSheetId="5">#REF!</definedName>
    <definedName name="___CPT616200">#REF!</definedName>
    <definedName name="___CPT616210" localSheetId="5">#REF!</definedName>
    <definedName name="___CPT616210">#REF!</definedName>
    <definedName name="___CPT619220" localSheetId="5">#REF!</definedName>
    <definedName name="___CPT619220">#REF!</definedName>
    <definedName name="___CPT619240" localSheetId="5">#REF!</definedName>
    <definedName name="___CPT619240">#REF!</definedName>
    <definedName name="___CPT619260" localSheetId="5">#REF!</definedName>
    <definedName name="___CPT619260">#REF!</definedName>
    <definedName name="___CPT621000" localSheetId="5">#REF!</definedName>
    <definedName name="___CPT621000">#REF!</definedName>
    <definedName name="___CPT621100" localSheetId="5">#REF!</definedName>
    <definedName name="___CPT621100">#REF!</definedName>
    <definedName name="___CPT621200" localSheetId="5">#REF!</definedName>
    <definedName name="___CPT621200">#REF!</definedName>
    <definedName name="___CPT621300" localSheetId="5">#REF!</definedName>
    <definedName name="___CPT621300">#REF!</definedName>
    <definedName name="___CPT623000" localSheetId="5">#REF!</definedName>
    <definedName name="___CPT623000">#REF!</definedName>
    <definedName name="___CPT623100" localSheetId="5">#REF!</definedName>
    <definedName name="___CPT623100">#REF!</definedName>
    <definedName name="___CPT624000" localSheetId="5">#REF!</definedName>
    <definedName name="___CPT624000">#REF!</definedName>
    <definedName name="___CPT625000" localSheetId="5">#REF!</definedName>
    <definedName name="___CPT625000">#REF!</definedName>
    <definedName name="___CPT631000" localSheetId="5">#REF!</definedName>
    <definedName name="___CPT631000">#REF!</definedName>
    <definedName name="___CPT637000" localSheetId="5">#REF!</definedName>
    <definedName name="___CPT637000">#REF!</definedName>
    <definedName name="___CPT641705" localSheetId="5">#REF!</definedName>
    <definedName name="___CPT641705">#REF!</definedName>
    <definedName name="___CPT641708" localSheetId="5">#REF!</definedName>
    <definedName name="___CPT641708">#REF!</definedName>
    <definedName name="___CPT641709" localSheetId="5">#REF!</definedName>
    <definedName name="___CPT641709">#REF!</definedName>
    <definedName name="___CPT641710" localSheetId="5">#REF!</definedName>
    <definedName name="___CPT641710">#REF!</definedName>
    <definedName name="___CPT641720" localSheetId="5">#REF!</definedName>
    <definedName name="___CPT641720">#REF!</definedName>
    <definedName name="___CPT641723" localSheetId="5">#REF!</definedName>
    <definedName name="___CPT641723">#REF!</definedName>
    <definedName name="___CPT641725" localSheetId="5">#REF!</definedName>
    <definedName name="___CPT641725">#REF!</definedName>
    <definedName name="___CPT641738" localSheetId="5">#REF!</definedName>
    <definedName name="___CPT641738">#REF!</definedName>
    <definedName name="___CPT641739" localSheetId="5">#REF!</definedName>
    <definedName name="___CPT641739">#REF!</definedName>
    <definedName name="___CPT641740" localSheetId="5">#REF!</definedName>
    <definedName name="___CPT641740">#REF!</definedName>
    <definedName name="___CPT641759" localSheetId="5">#REF!</definedName>
    <definedName name="___CPT641759">#REF!</definedName>
    <definedName name="___CPT641770" localSheetId="5">#REF!</definedName>
    <definedName name="___CPT641770">#REF!</definedName>
    <definedName name="___CPT641780" localSheetId="5">#REF!</definedName>
    <definedName name="___CPT641780">#REF!</definedName>
    <definedName name="___CPT641790" localSheetId="5">#REF!</definedName>
    <definedName name="___CPT641790">#REF!</definedName>
    <definedName name="___CPT642000" localSheetId="5">#REF!</definedName>
    <definedName name="___CPT642000">#REF!</definedName>
    <definedName name="___CPT642100" localSheetId="5">#REF!</definedName>
    <definedName name="___CPT642100">#REF!</definedName>
    <definedName name="___CPT642400" localSheetId="5">#REF!</definedName>
    <definedName name="___CPT642400">#REF!</definedName>
    <definedName name="___CPT643900" localSheetId="5">#REF!</definedName>
    <definedName name="___CPT643900">#REF!</definedName>
    <definedName name="___CPT643908" localSheetId="5">#REF!</definedName>
    <definedName name="___CPT643908">#REF!</definedName>
    <definedName name="___CPT645000" localSheetId="5">#REF!</definedName>
    <definedName name="___CPT645000">#REF!</definedName>
    <definedName name="___CPT646000" localSheetId="5">#REF!</definedName>
    <definedName name="___CPT646000">#REF!</definedName>
    <definedName name="___CPT649000" localSheetId="5">#REF!</definedName>
    <definedName name="___CPT649000">#REF!</definedName>
    <definedName name="___CPT649050" localSheetId="5">#REF!</definedName>
    <definedName name="___CPT649050">#REF!</definedName>
    <definedName name="___CPT649100" localSheetId="5">#REF!</definedName>
    <definedName name="___CPT649100">#REF!</definedName>
    <definedName name="___CPT649200" localSheetId="5">#REF!</definedName>
    <definedName name="___CPT649200">#REF!</definedName>
    <definedName name="___CPT649300" localSheetId="5">#REF!</definedName>
    <definedName name="___CPT649300">#REF!</definedName>
    <definedName name="___CPT649350" localSheetId="5">#REF!</definedName>
    <definedName name="___CPT649350">#REF!</definedName>
    <definedName name="___CPT649400" localSheetId="5">#REF!</definedName>
    <definedName name="___CPT649400">#REF!</definedName>
    <definedName name="___CPT649450" localSheetId="5">#REF!</definedName>
    <definedName name="___CPT649450">#REF!</definedName>
    <definedName name="___CPT649500" localSheetId="5">#REF!</definedName>
    <definedName name="___CPT649500">#REF!</definedName>
    <definedName name="___CPT651000" localSheetId="5">#REF!</definedName>
    <definedName name="___CPT651000">#REF!</definedName>
    <definedName name="___CPT65110" localSheetId="5">#REF!</definedName>
    <definedName name="___CPT65110">#REF!</definedName>
    <definedName name="___CPT651100" localSheetId="5">#REF!</definedName>
    <definedName name="___CPT651100">#REF!</definedName>
    <definedName name="___CPT651105" localSheetId="5">#REF!</definedName>
    <definedName name="___CPT651105">#REF!</definedName>
    <definedName name="___CPT652000" localSheetId="5">#REF!</definedName>
    <definedName name="___CPT652000">#REF!</definedName>
    <definedName name="___CPT652100" localSheetId="5">#REF!</definedName>
    <definedName name="___CPT652100">#REF!</definedName>
    <definedName name="___CPT652200" localSheetId="5">#REF!</definedName>
    <definedName name="___CPT652200">#REF!</definedName>
    <definedName name="___CPT653100" localSheetId="5">#REF!</definedName>
    <definedName name="___CPT653100">#REF!</definedName>
    <definedName name="___CPT653150" localSheetId="5">#REF!</definedName>
    <definedName name="___CPT653150">#REF!</definedName>
    <definedName name="___CPT653160" localSheetId="5">#REF!</definedName>
    <definedName name="___CPT653160">#REF!</definedName>
    <definedName name="___CPT653200" localSheetId="5">#REF!</definedName>
    <definedName name="___CPT653200">#REF!</definedName>
    <definedName name="___CPT653250" localSheetId="5">#REF!</definedName>
    <definedName name="___CPT653250">#REF!</definedName>
    <definedName name="___CPT653280" localSheetId="5">#REF!</definedName>
    <definedName name="___CPT653280">#REF!</definedName>
    <definedName name="___CPT653300" localSheetId="5">#REF!</definedName>
    <definedName name="___CPT653300">#REF!</definedName>
    <definedName name="___CPT653310" localSheetId="5">#REF!</definedName>
    <definedName name="___CPT653310">#REF!</definedName>
    <definedName name="___CPT653320" localSheetId="5">#REF!</definedName>
    <definedName name="___CPT653320">#REF!</definedName>
    <definedName name="___CPT653350" localSheetId="5">#REF!</definedName>
    <definedName name="___CPT653350">#REF!</definedName>
    <definedName name="___CPT653380" localSheetId="5">#REF!</definedName>
    <definedName name="___CPT653380">#REF!</definedName>
    <definedName name="___cpt653390" localSheetId="5">#REF!</definedName>
    <definedName name="___cpt653390">#REF!</definedName>
    <definedName name="___CPT653400" localSheetId="5">#REF!</definedName>
    <definedName name="___CPT653400">#REF!</definedName>
    <definedName name="___CPT653410" localSheetId="5">#REF!</definedName>
    <definedName name="___CPT653410">#REF!</definedName>
    <definedName name="___CPT653420" localSheetId="5">#REF!</definedName>
    <definedName name="___CPT653420">#REF!</definedName>
    <definedName name="___CPT653430" localSheetId="5">#REF!</definedName>
    <definedName name="___CPT653430">#REF!</definedName>
    <definedName name="___CPT653450" localSheetId="5">#REF!</definedName>
    <definedName name="___CPT653450">#REF!</definedName>
    <definedName name="___CPT653500" localSheetId="5">#REF!</definedName>
    <definedName name="___CPT653500">#REF!</definedName>
    <definedName name="___CPT653600" localSheetId="5">#REF!</definedName>
    <definedName name="___CPT653600">#REF!</definedName>
    <definedName name="___CPT653610" localSheetId="5">#REF!</definedName>
    <definedName name="___CPT653610">#REF!</definedName>
    <definedName name="___CPT653620" localSheetId="5">#REF!</definedName>
    <definedName name="___CPT653620">#REF!</definedName>
    <definedName name="___CPT653630" localSheetId="5">#REF!</definedName>
    <definedName name="___CPT653630">#REF!</definedName>
    <definedName name="___CPT653640" localSheetId="5">#REF!</definedName>
    <definedName name="___CPT653640">#REF!</definedName>
    <definedName name="___CPT653650" localSheetId="5">#REF!</definedName>
    <definedName name="___CPT653650">#REF!</definedName>
    <definedName name="___CPT653700" localSheetId="5">#REF!</definedName>
    <definedName name="___CPT653700">#REF!</definedName>
    <definedName name="___CPT653750" localSheetId="5">#REF!</definedName>
    <definedName name="___CPT653750">#REF!</definedName>
    <definedName name="___CPT653755" localSheetId="5">#REF!</definedName>
    <definedName name="___CPT653755">#REF!</definedName>
    <definedName name="___CPT653760" localSheetId="5">#REF!</definedName>
    <definedName name="___CPT653760">#REF!</definedName>
    <definedName name="___CPT653761" localSheetId="5">#REF!</definedName>
    <definedName name="___CPT653761">#REF!</definedName>
    <definedName name="___CPT653762" localSheetId="5">#REF!</definedName>
    <definedName name="___CPT653762">#REF!</definedName>
    <definedName name="___CPT653770" localSheetId="5">#REF!</definedName>
    <definedName name="___CPT653770">#REF!</definedName>
    <definedName name="___CPT653780" localSheetId="5">#REF!</definedName>
    <definedName name="___CPT653780">#REF!</definedName>
    <definedName name="___CPT653800" localSheetId="5">#REF!</definedName>
    <definedName name="___CPT653800">#REF!</definedName>
    <definedName name="___CPT657000" localSheetId="5">#REF!</definedName>
    <definedName name="___CPT657000">#REF!</definedName>
    <definedName name="___CPT661000" localSheetId="5">#REF!</definedName>
    <definedName name="___CPT661000">#REF!</definedName>
    <definedName name="___CPT661010" localSheetId="5">#REF!</definedName>
    <definedName name="___CPT661010">#REF!</definedName>
    <definedName name="___CPT661020" localSheetId="5">#REF!</definedName>
    <definedName name="___CPT661020">#REF!</definedName>
    <definedName name="___CPT661030" localSheetId="5">#REF!</definedName>
    <definedName name="___CPT661030">#REF!</definedName>
    <definedName name="___CPT661100" localSheetId="5">#REF!</definedName>
    <definedName name="___CPT661100">#REF!</definedName>
    <definedName name="___CPT661200" localSheetId="5">#REF!</definedName>
    <definedName name="___CPT661200">#REF!</definedName>
    <definedName name="___CPT661450" localSheetId="5">#REF!</definedName>
    <definedName name="___CPT661450">#REF!</definedName>
    <definedName name="___CPT664000" localSheetId="5">#REF!</definedName>
    <definedName name="___CPT664000">#REF!</definedName>
    <definedName name="___CPT664100" localSheetId="5">#REF!</definedName>
    <definedName name="___CPT664100">#REF!</definedName>
    <definedName name="___CPT664200" localSheetId="5">#REF!</definedName>
    <definedName name="___CPT664200">#REF!</definedName>
    <definedName name="___CPT665000" localSheetId="5">#REF!</definedName>
    <definedName name="___CPT665000">#REF!</definedName>
    <definedName name="___CPT665150" localSheetId="5">#REF!</definedName>
    <definedName name="___CPT665150">#REF!</definedName>
    <definedName name="___CPT665350" localSheetId="5">#REF!</definedName>
    <definedName name="___CPT665350">#REF!</definedName>
    <definedName name="___CPT665500" localSheetId="5">#REF!</definedName>
    <definedName name="___CPT665500">#REF!</definedName>
    <definedName name="___CPT666000" localSheetId="5">#REF!</definedName>
    <definedName name="___CPT666000">#REF!</definedName>
    <definedName name="___CPT666100" localSheetId="5">#REF!</definedName>
    <definedName name="___CPT666100">#REF!</definedName>
    <definedName name="___CPT670000" localSheetId="5">#REF!</definedName>
    <definedName name="___CPT670000">#REF!</definedName>
    <definedName name="___CPT681000" localSheetId="5">#REF!</definedName>
    <definedName name="___CPT681000">#REF!</definedName>
    <definedName name="___CPT681100" localSheetId="5">#REF!</definedName>
    <definedName name="___CPT681100">#REF!</definedName>
    <definedName name="___CPT682000" localSheetId="5">#REF!</definedName>
    <definedName name="___CPT682000">#REF!</definedName>
    <definedName name="___CPT682100" localSheetId="5">#REF!</definedName>
    <definedName name="___CPT682100">#REF!</definedName>
    <definedName name="___CPT701" localSheetId="5">#REF!</definedName>
    <definedName name="___CPT701">#REF!</definedName>
    <definedName name="___CPT711200" localSheetId="5">#REF!</definedName>
    <definedName name="___CPT711200">#REF!</definedName>
    <definedName name="___CPT711310" localSheetId="5">#REF!</definedName>
    <definedName name="___CPT711310">#REF!</definedName>
    <definedName name="___CPT711317" localSheetId="5">#REF!</definedName>
    <definedName name="___CPT711317">#REF!</definedName>
    <definedName name="___CPT711318" localSheetId="5">#REF!</definedName>
    <definedName name="___CPT711318">#REF!</definedName>
    <definedName name="___CPT711320" localSheetId="5">#REF!</definedName>
    <definedName name="___CPT711320">#REF!</definedName>
    <definedName name="___CPT711328" localSheetId="5">#REF!</definedName>
    <definedName name="___CPT711328">#REF!</definedName>
    <definedName name="___CPT711330" localSheetId="5">#REF!</definedName>
    <definedName name="___CPT711330">#REF!</definedName>
    <definedName name="___CPT711600" localSheetId="5">#REF!</definedName>
    <definedName name="___CPT711600">#REF!</definedName>
    <definedName name="___CPT711610" localSheetId="5">#REF!</definedName>
    <definedName name="___CPT711610">#REF!</definedName>
    <definedName name="___CPT711615" localSheetId="5">#REF!</definedName>
    <definedName name="___CPT711615">#REF!</definedName>
    <definedName name="___CPT711620" localSheetId="5">#REF!</definedName>
    <definedName name="___CPT711620">#REF!</definedName>
    <definedName name="___CPT711625" localSheetId="5">#REF!</definedName>
    <definedName name="___CPT711625">#REF!</definedName>
    <definedName name="___CPT711630" localSheetId="5">#REF!</definedName>
    <definedName name="___CPT711630">#REF!</definedName>
    <definedName name="___CPT711635" localSheetId="5">#REF!</definedName>
    <definedName name="___CPT711635">#REF!</definedName>
    <definedName name="___CPT711640" localSheetId="5">#REF!</definedName>
    <definedName name="___CPT711640">#REF!</definedName>
    <definedName name="___CPT711650" localSheetId="5">#REF!</definedName>
    <definedName name="___CPT711650">#REF!</definedName>
    <definedName name="___CPT711655" localSheetId="5">#REF!</definedName>
    <definedName name="___CPT711655">#REF!</definedName>
    <definedName name="___CPT711660" localSheetId="5">#REF!</definedName>
    <definedName name="___CPT711660">#REF!</definedName>
    <definedName name="___CPT711665" localSheetId="5">#REF!</definedName>
    <definedName name="___CPT711665">#REF!</definedName>
    <definedName name="___CPT711670" localSheetId="5">#REF!</definedName>
    <definedName name="___CPT711670">#REF!</definedName>
    <definedName name="___CPT711675" localSheetId="5">#REF!</definedName>
    <definedName name="___CPT711675">#REF!</definedName>
    <definedName name="___CPT711700" localSheetId="5">#REF!</definedName>
    <definedName name="___CPT711700">#REF!</definedName>
    <definedName name="___CPT711701" localSheetId="5">#REF!</definedName>
    <definedName name="___CPT711701">#REF!</definedName>
    <definedName name="___CPT711702" localSheetId="5">#REF!</definedName>
    <definedName name="___CPT711702">#REF!</definedName>
    <definedName name="___CPT711710" localSheetId="5">#REF!</definedName>
    <definedName name="___CPT711710">#REF!</definedName>
    <definedName name="___CPT711715" localSheetId="5">#REF!</definedName>
    <definedName name="___CPT711715">#REF!</definedName>
    <definedName name="___CPT711720" localSheetId="5">#REF!</definedName>
    <definedName name="___CPT711720">#REF!</definedName>
    <definedName name="___CPT711725" localSheetId="5">#REF!</definedName>
    <definedName name="___CPT711725">#REF!</definedName>
    <definedName name="___CPT711730" localSheetId="5">#REF!</definedName>
    <definedName name="___CPT711730">#REF!</definedName>
    <definedName name="___CPT711735" localSheetId="5">#REF!</definedName>
    <definedName name="___CPT711735">#REF!</definedName>
    <definedName name="___CPT711740" localSheetId="5">#REF!</definedName>
    <definedName name="___CPT711740">#REF!</definedName>
    <definedName name="___CPT711745" localSheetId="5">#REF!</definedName>
    <definedName name="___CPT711745">#REF!</definedName>
    <definedName name="___CPT711750" localSheetId="5">#REF!</definedName>
    <definedName name="___CPT711750">#REF!</definedName>
    <definedName name="___CPT711755" localSheetId="5">#REF!</definedName>
    <definedName name="___CPT711755">#REF!</definedName>
    <definedName name="___CPT711760" localSheetId="5">#REF!</definedName>
    <definedName name="___CPT711760">#REF!</definedName>
    <definedName name="___CPT711765" localSheetId="5">#REF!</definedName>
    <definedName name="___CPT711765">#REF!</definedName>
    <definedName name="___CPT711770" localSheetId="5">#REF!</definedName>
    <definedName name="___CPT711770">#REF!</definedName>
    <definedName name="___CPT711775" localSheetId="5">#REF!</definedName>
    <definedName name="___CPT711775">#REF!</definedName>
    <definedName name="___CPT711780" localSheetId="5">#REF!</definedName>
    <definedName name="___CPT711780">#REF!</definedName>
    <definedName name="___CPT711785" localSheetId="5">#REF!</definedName>
    <definedName name="___CPT711785">#REF!</definedName>
    <definedName name="___CPT711790" localSheetId="5">#REF!</definedName>
    <definedName name="___CPT711790">#REF!</definedName>
    <definedName name="___CPT711795" localSheetId="5">#REF!</definedName>
    <definedName name="___CPT711795">#REF!</definedName>
    <definedName name="___CPT711800" localSheetId="5">#REF!</definedName>
    <definedName name="___CPT711800">#REF!</definedName>
    <definedName name="___CPT711801" localSheetId="5">#REF!</definedName>
    <definedName name="___CPT711801">#REF!</definedName>
    <definedName name="___CPT711802" localSheetId="5">#REF!</definedName>
    <definedName name="___CPT711802">#REF!</definedName>
    <definedName name="___CPT711804" localSheetId="5">#REF!</definedName>
    <definedName name="___CPT711804">#REF!</definedName>
    <definedName name="___CPT711840" localSheetId="5">#REF!</definedName>
    <definedName name="___CPT711840">#REF!</definedName>
    <definedName name="___CPT711890" localSheetId="5">#REF!</definedName>
    <definedName name="___CPT711890">#REF!</definedName>
    <definedName name="___CPT711900" localSheetId="5">#REF!</definedName>
    <definedName name="___CPT711900">#REF!</definedName>
    <definedName name="___CPT712110" localSheetId="5">#REF!</definedName>
    <definedName name="___CPT712110">#REF!</definedName>
    <definedName name="___CPT712138" localSheetId="5">#REF!</definedName>
    <definedName name="___CPT712138">#REF!</definedName>
    <definedName name="___CPT712139" localSheetId="5">#REF!</definedName>
    <definedName name="___CPT712139">#REF!</definedName>
    <definedName name="___CPT712148" localSheetId="5">#REF!</definedName>
    <definedName name="___CPT712148">#REF!</definedName>
    <definedName name="___CPT712149" localSheetId="5">#REF!</definedName>
    <definedName name="___CPT712149">#REF!</definedName>
    <definedName name="___CPT712159" localSheetId="5">#REF!</definedName>
    <definedName name="___CPT712159">#REF!</definedName>
    <definedName name="___CPT712160" localSheetId="5">#REF!</definedName>
    <definedName name="___CPT712160">#REF!</definedName>
    <definedName name="___CPT712180" localSheetId="5">#REF!</definedName>
    <definedName name="___CPT712180">#REF!</definedName>
    <definedName name="___CPT712200" localSheetId="5">#REF!</definedName>
    <definedName name="___CPT712200">#REF!</definedName>
    <definedName name="___CPT712800" localSheetId="5">#REF!</definedName>
    <definedName name="___CPT712800">#REF!</definedName>
    <definedName name="___CPT712900" localSheetId="5">#REF!</definedName>
    <definedName name="___CPT712900">#REF!</definedName>
    <definedName name="___CPT713100" localSheetId="5">#REF!</definedName>
    <definedName name="___CPT713100">#REF!</definedName>
    <definedName name="___CPT713110" localSheetId="5">#REF!</definedName>
    <definedName name="___CPT713110">#REF!</definedName>
    <definedName name="___CPT713190" localSheetId="5">#REF!</definedName>
    <definedName name="___CPT713190">#REF!</definedName>
    <definedName name="___CPT713200" localSheetId="5">#REF!</definedName>
    <definedName name="___CPT713200">#REF!</definedName>
    <definedName name="___CPT713210" localSheetId="5">#REF!</definedName>
    <definedName name="___CPT713210">#REF!</definedName>
    <definedName name="___CPT713290" localSheetId="5">#REF!</definedName>
    <definedName name="___CPT713290">#REF!</definedName>
    <definedName name="___CPT713300" localSheetId="5">#REF!</definedName>
    <definedName name="___CPT713300">#REF!</definedName>
    <definedName name="___CPT713310" localSheetId="5">#REF!</definedName>
    <definedName name="___CPT713310">#REF!</definedName>
    <definedName name="___CPT713350" localSheetId="5">#REF!</definedName>
    <definedName name="___CPT713350">#REF!</definedName>
    <definedName name="___CPT713360" localSheetId="5">#REF!</definedName>
    <definedName name="___CPT713360">#REF!</definedName>
    <definedName name="___CPT713370" localSheetId="5">#REF!</definedName>
    <definedName name="___CPT713370">#REF!</definedName>
    <definedName name="___CPT713390" localSheetId="5">#REF!</definedName>
    <definedName name="___CPT713390">#REF!</definedName>
    <definedName name="___CPT713400" localSheetId="5">#REF!</definedName>
    <definedName name="___CPT713400">#REF!</definedName>
    <definedName name="___CPT713410" localSheetId="5">#REF!</definedName>
    <definedName name="___CPT713410">#REF!</definedName>
    <definedName name="___CPT713490" localSheetId="5">#REF!</definedName>
    <definedName name="___CPT713490">#REF!</definedName>
    <definedName name="___cpt713508" localSheetId="5">#REF!</definedName>
    <definedName name="___cpt713508">#REF!</definedName>
    <definedName name="___CPT713509" localSheetId="5">#REF!</definedName>
    <definedName name="___CPT713509">#REF!</definedName>
    <definedName name="___CPT715200" localSheetId="5">#REF!</definedName>
    <definedName name="___CPT715200">#REF!</definedName>
    <definedName name="___CPT715320" localSheetId="5">#REF!</definedName>
    <definedName name="___CPT715320">#REF!</definedName>
    <definedName name="___CPT715325" localSheetId="5">#REF!</definedName>
    <definedName name="___CPT715325">#REF!</definedName>
    <definedName name="___CPT715410" localSheetId="5">#REF!</definedName>
    <definedName name="___CPT715410">#REF!</definedName>
    <definedName name="___CPT715420" localSheetId="5">#REF!</definedName>
    <definedName name="___CPT715420">#REF!</definedName>
    <definedName name="___CPT715430" localSheetId="5">#REF!</definedName>
    <definedName name="___CPT715430">#REF!</definedName>
    <definedName name="___CPT715450" localSheetId="5">#REF!</definedName>
    <definedName name="___CPT715450">#REF!</definedName>
    <definedName name="___CPT715480" localSheetId="5">[1]DETCONSO!#REF!</definedName>
    <definedName name="___CPT715480">[1]DETCONSO!#REF!</definedName>
    <definedName name="___CPT715490" localSheetId="5">#REF!</definedName>
    <definedName name="___CPT715490">#REF!</definedName>
    <definedName name="___CPT715510" localSheetId="5">#REF!</definedName>
    <definedName name="___CPT715510">#REF!</definedName>
    <definedName name="___CPT715515" localSheetId="5">#REF!</definedName>
    <definedName name="___CPT715515">#REF!</definedName>
    <definedName name="___CPT715520" localSheetId="5">#REF!</definedName>
    <definedName name="___CPT715520">#REF!</definedName>
    <definedName name="___CPT715525" localSheetId="5">#REF!</definedName>
    <definedName name="___CPT715525">#REF!</definedName>
    <definedName name="___CPT715530" localSheetId="5">#REF!</definedName>
    <definedName name="___CPT715530">#REF!</definedName>
    <definedName name="___CPT715550" localSheetId="5">#REF!</definedName>
    <definedName name="___CPT715550">#REF!</definedName>
    <definedName name="___CPT715570" localSheetId="5">[1]DETCONSO!#REF!</definedName>
    <definedName name="___CPT715570">[1]DETCONSO!#REF!</definedName>
    <definedName name="___CPT715600" localSheetId="5">#REF!</definedName>
    <definedName name="___CPT715600">#REF!</definedName>
    <definedName name="___CPT715610" localSheetId="5">#REF!</definedName>
    <definedName name="___CPT715610">#REF!</definedName>
    <definedName name="___CPT715620" localSheetId="5">#REF!</definedName>
    <definedName name="___CPT715620">#REF!</definedName>
    <definedName name="___CPT715630" localSheetId="5">#REF!</definedName>
    <definedName name="___CPT715630">#REF!</definedName>
    <definedName name="___CPT715640" localSheetId="5">#REF!</definedName>
    <definedName name="___CPT715640">#REF!</definedName>
    <definedName name="___CPT715701" localSheetId="5">#REF!</definedName>
    <definedName name="___CPT715701">#REF!</definedName>
    <definedName name="___CPT715702" localSheetId="5">#REF!</definedName>
    <definedName name="___CPT715702">#REF!</definedName>
    <definedName name="___CPT715703" localSheetId="5">#REF!</definedName>
    <definedName name="___CPT715703">#REF!</definedName>
    <definedName name="___CPT715704" localSheetId="5">#REF!</definedName>
    <definedName name="___CPT715704">#REF!</definedName>
    <definedName name="___CPT715705" localSheetId="5">#REF!</definedName>
    <definedName name="___CPT715705">#REF!</definedName>
    <definedName name="___CPT715706" localSheetId="5">#REF!</definedName>
    <definedName name="___CPT715706">#REF!</definedName>
    <definedName name="___CPT715720" localSheetId="5">#REF!</definedName>
    <definedName name="___CPT715720">#REF!</definedName>
    <definedName name="___CPT715725" localSheetId="5">[1]DETCONSO!#REF!</definedName>
    <definedName name="___CPT715725">[1]DETCONSO!#REF!</definedName>
    <definedName name="___CPT715730" localSheetId="5">#REF!</definedName>
    <definedName name="___CPT715730">#REF!</definedName>
    <definedName name="___CPT715740" localSheetId="5">#REF!</definedName>
    <definedName name="___CPT715740">#REF!</definedName>
    <definedName name="___CPT715760" localSheetId="5">#REF!</definedName>
    <definedName name="___CPT715760">#REF!</definedName>
    <definedName name="___CPT715770" localSheetId="5">[1]DETCONSO!#REF!</definedName>
    <definedName name="___CPT715770">[1]DETCONSO!#REF!</definedName>
    <definedName name="___CPT715790" localSheetId="5">#REF!</definedName>
    <definedName name="___CPT715790">#REF!</definedName>
    <definedName name="___CPT715795" localSheetId="5">#REF!</definedName>
    <definedName name="___CPT715795">#REF!</definedName>
    <definedName name="___CPT715800" localSheetId="5">#REF!</definedName>
    <definedName name="___CPT715800">#REF!</definedName>
    <definedName name="___CPT715805" localSheetId="5">#REF!</definedName>
    <definedName name="___CPT715805">#REF!</definedName>
    <definedName name="___CPT715810" localSheetId="5">#REF!</definedName>
    <definedName name="___CPT715810">#REF!</definedName>
    <definedName name="___CPT715815" localSheetId="5">#REF!</definedName>
    <definedName name="___CPT715815">#REF!</definedName>
    <definedName name="___CPT715900" localSheetId="5">#REF!</definedName>
    <definedName name="___CPT715900">#REF!</definedName>
    <definedName name="___CPT715905" localSheetId="5">#REF!</definedName>
    <definedName name="___CPT715905">#REF!</definedName>
    <definedName name="___CPT715910" localSheetId="5">#REF!</definedName>
    <definedName name="___CPT715910">#REF!</definedName>
    <definedName name="___CPT719100" localSheetId="5">#REF!</definedName>
    <definedName name="___CPT719100">#REF!</definedName>
    <definedName name="___CPT719105" localSheetId="5">#REF!</definedName>
    <definedName name="___CPT719105">#REF!</definedName>
    <definedName name="___CPT719110" localSheetId="5">#REF!</definedName>
    <definedName name="___CPT719110">#REF!</definedName>
    <definedName name="___CPT719115" localSheetId="5">#REF!</definedName>
    <definedName name="___CPT719115">#REF!</definedName>
    <definedName name="___CPT719120" localSheetId="5">#REF!</definedName>
    <definedName name="___CPT719120">#REF!</definedName>
    <definedName name="___CPT719125" localSheetId="5">[1]DETCONSO!#REF!</definedName>
    <definedName name="___CPT719125">[1]DETCONSO!#REF!</definedName>
    <definedName name="___CPT719130" localSheetId="5">#REF!</definedName>
    <definedName name="___CPT719130">#REF!</definedName>
    <definedName name="___CPT719135" localSheetId="5">#REF!</definedName>
    <definedName name="___CPT719135">#REF!</definedName>
    <definedName name="___CPT719140" localSheetId="5">#REF!</definedName>
    <definedName name="___CPT719140">#REF!</definedName>
    <definedName name="___CPT719145" localSheetId="5">#REF!</definedName>
    <definedName name="___CPT719145">#REF!</definedName>
    <definedName name="___CPT719150" localSheetId="5">#REF!</definedName>
    <definedName name="___CPT719150">#REF!</definedName>
    <definedName name="___CPT719155" localSheetId="5">#REF!</definedName>
    <definedName name="___CPT719155">#REF!</definedName>
    <definedName name="___CPT719160" localSheetId="5">#REF!</definedName>
    <definedName name="___CPT719160">#REF!</definedName>
    <definedName name="___CPT719220" localSheetId="5">#REF!</definedName>
    <definedName name="___CPT719220">#REF!</definedName>
    <definedName name="___CPT719240" localSheetId="5">#REF!</definedName>
    <definedName name="___CPT719240">#REF!</definedName>
    <definedName name="___CPT719260" localSheetId="5">#REF!</definedName>
    <definedName name="___CPT719260">#REF!</definedName>
    <definedName name="___CPT721000" localSheetId="5">#REF!</definedName>
    <definedName name="___CPT721000">#REF!</definedName>
    <definedName name="___CPT721770" localSheetId="5">#REF!</definedName>
    <definedName name="___CPT721770">#REF!</definedName>
    <definedName name="___CPT721780" localSheetId="5">#REF!</definedName>
    <definedName name="___CPT721780">#REF!</definedName>
    <definedName name="___CPT726000" localSheetId="5">#REF!</definedName>
    <definedName name="___CPT726000">#REF!</definedName>
    <definedName name="___CPT727000" localSheetId="5">#REF!</definedName>
    <definedName name="___CPT727000">#REF!</definedName>
    <definedName name="___CPT728000" localSheetId="5">#REF!</definedName>
    <definedName name="___CPT728000">#REF!</definedName>
    <definedName name="___CPT728008" localSheetId="5">#REF!</definedName>
    <definedName name="___CPT728008">#REF!</definedName>
    <definedName name="___CPT728018" localSheetId="5">#REF!</definedName>
    <definedName name="___CPT728018">#REF!</definedName>
    <definedName name="___CPT729000" localSheetId="5">#REF!</definedName>
    <definedName name="___CPT729000">#REF!</definedName>
    <definedName name="___CPT729100" localSheetId="5">#REF!</definedName>
    <definedName name="___CPT729100">#REF!</definedName>
    <definedName name="___CPT729200" localSheetId="5">#REF!</definedName>
    <definedName name="___CPT729200">#REF!</definedName>
    <definedName name="___CPT732000" localSheetId="5">#REF!</definedName>
    <definedName name="___CPT732000">#REF!</definedName>
    <definedName name="___CPT732100" localSheetId="5">#REF!</definedName>
    <definedName name="___CPT732100">#REF!</definedName>
    <definedName name="___CPT732200" localSheetId="5">#REF!</definedName>
    <definedName name="___CPT732200">#REF!</definedName>
    <definedName name="___CPT749200" localSheetId="5">#REF!</definedName>
    <definedName name="___CPT749200">#REF!</definedName>
    <definedName name="___CPT749250" localSheetId="5">#REF!</definedName>
    <definedName name="___CPT749250">#REF!</definedName>
    <definedName name="___cpt749350" localSheetId="5">#REF!</definedName>
    <definedName name="___cpt749350">#REF!</definedName>
    <definedName name="___CPT753100" localSheetId="5">#REF!</definedName>
    <definedName name="___CPT753100">#REF!</definedName>
    <definedName name="___CPT753150" localSheetId="5">#REF!</definedName>
    <definedName name="___CPT753150">#REF!</definedName>
    <definedName name="___CPT753160" localSheetId="5">#REF!</definedName>
    <definedName name="___CPT753160">#REF!</definedName>
    <definedName name="___CPT753200" localSheetId="5">#REF!</definedName>
    <definedName name="___CPT753200">#REF!</definedName>
    <definedName name="___CPT753250" localSheetId="5">#REF!</definedName>
    <definedName name="___CPT753250">#REF!</definedName>
    <definedName name="___CPT753280" localSheetId="5">#REF!</definedName>
    <definedName name="___CPT753280">#REF!</definedName>
    <definedName name="___CPT753300" localSheetId="5">#REF!</definedName>
    <definedName name="___CPT753300">#REF!</definedName>
    <definedName name="___CPT753310" localSheetId="5">#REF!</definedName>
    <definedName name="___CPT753310">#REF!</definedName>
    <definedName name="___CPT753320" localSheetId="5">#REF!</definedName>
    <definedName name="___CPT753320">#REF!</definedName>
    <definedName name="___CPT753350" localSheetId="5">#REF!</definedName>
    <definedName name="___CPT753350">#REF!</definedName>
    <definedName name="___CPT753380" localSheetId="5">#REF!</definedName>
    <definedName name="___CPT753380">#REF!</definedName>
    <definedName name="___CPT753390" localSheetId="5">#REF!</definedName>
    <definedName name="___CPT753390">#REF!</definedName>
    <definedName name="___CPT753400" localSheetId="5">#REF!</definedName>
    <definedName name="___CPT753400">#REF!</definedName>
    <definedName name="___CPT753410" localSheetId="5">#REF!</definedName>
    <definedName name="___CPT753410">#REF!</definedName>
    <definedName name="___CPT753420" localSheetId="5">#REF!</definedName>
    <definedName name="___CPT753420">#REF!</definedName>
    <definedName name="___CPT753430" localSheetId="5">#REF!</definedName>
    <definedName name="___CPT753430">#REF!</definedName>
    <definedName name="___CPT753450" localSheetId="5">#REF!</definedName>
    <definedName name="___CPT753450">#REF!</definedName>
    <definedName name="___CPT753500" localSheetId="5">#REF!</definedName>
    <definedName name="___CPT753500">#REF!</definedName>
    <definedName name="___CPT753600" localSheetId="5">#REF!</definedName>
    <definedName name="___CPT753600">#REF!</definedName>
    <definedName name="___CPT753610" localSheetId="5">#REF!</definedName>
    <definedName name="___CPT753610">#REF!</definedName>
    <definedName name="___CPT753620" localSheetId="5">#REF!</definedName>
    <definedName name="___CPT753620">#REF!</definedName>
    <definedName name="___CPT753630" localSheetId="5">#REF!</definedName>
    <definedName name="___CPT753630">#REF!</definedName>
    <definedName name="___CPT753640" localSheetId="5">#REF!</definedName>
    <definedName name="___CPT753640">#REF!</definedName>
    <definedName name="___CPT753650" localSheetId="5">#REF!</definedName>
    <definedName name="___CPT753650">#REF!</definedName>
    <definedName name="___CPT753700" localSheetId="5">#REF!</definedName>
    <definedName name="___CPT753700">#REF!</definedName>
    <definedName name="___CPT753708" localSheetId="5">[1]DETCONSO!#REF!</definedName>
    <definedName name="___CPT753708">[1]DETCONSO!#REF!</definedName>
    <definedName name="___CPT753750" localSheetId="5">#REF!</definedName>
    <definedName name="___CPT753750">#REF!</definedName>
    <definedName name="___CPT753755" localSheetId="5">#REF!</definedName>
    <definedName name="___CPT753755">#REF!</definedName>
    <definedName name="___CPT753760" localSheetId="5">#REF!</definedName>
    <definedName name="___CPT753760">#REF!</definedName>
    <definedName name="___CPT753761" localSheetId="5">#REF!</definedName>
    <definedName name="___CPT753761">#REF!</definedName>
    <definedName name="___CPT753762" localSheetId="5">#REF!</definedName>
    <definedName name="___CPT753762">#REF!</definedName>
    <definedName name="___CPT753770" localSheetId="5">#REF!</definedName>
    <definedName name="___CPT753770">#REF!</definedName>
    <definedName name="___CPT753780" localSheetId="5">#REF!</definedName>
    <definedName name="___CPT753780">#REF!</definedName>
    <definedName name="___CPT753800" localSheetId="5">#REF!</definedName>
    <definedName name="___CPT753800">#REF!</definedName>
    <definedName name="___CPT757000" localSheetId="5">#REF!</definedName>
    <definedName name="___CPT757000">#REF!</definedName>
    <definedName name="___CPT763000" localSheetId="5">#REF!</definedName>
    <definedName name="___CPT763000">#REF!</definedName>
    <definedName name="___CPT763010" localSheetId="5">#REF!</definedName>
    <definedName name="___CPT763010">#REF!</definedName>
    <definedName name="___CPT763020" localSheetId="5">#REF!</definedName>
    <definedName name="___CPT763020">#REF!</definedName>
    <definedName name="___CPT763030" localSheetId="5">#REF!</definedName>
    <definedName name="___CPT763030">#REF!</definedName>
    <definedName name="___CPT763100" localSheetId="5">#REF!</definedName>
    <definedName name="___CPT763100">#REF!</definedName>
    <definedName name="___CPT763200" localSheetId="5">#REF!</definedName>
    <definedName name="___CPT763200">#REF!</definedName>
    <definedName name="___CPT763450" localSheetId="5">#REF!</definedName>
    <definedName name="___CPT763450">#REF!</definedName>
    <definedName name="___CPT764000" localSheetId="5">#REF!</definedName>
    <definedName name="___CPT764000">#REF!</definedName>
    <definedName name="___CPT764100" localSheetId="5">#REF!</definedName>
    <definedName name="___CPT764100">#REF!</definedName>
    <definedName name="___CPT764200" localSheetId="5">#REF!</definedName>
    <definedName name="___CPT764200">#REF!</definedName>
    <definedName name="___CPT765000" localSheetId="5">#REF!</definedName>
    <definedName name="___CPT765000">#REF!</definedName>
    <definedName name="___CPT765150" localSheetId="5">#REF!</definedName>
    <definedName name="___CPT765150">#REF!</definedName>
    <definedName name="___CPT765350" localSheetId="5">#REF!</definedName>
    <definedName name="___CPT765350">#REF!</definedName>
    <definedName name="___CPT765500" localSheetId="5">#REF!</definedName>
    <definedName name="___CPT765500">#REF!</definedName>
    <definedName name="___CPT766000" localSheetId="5">#REF!</definedName>
    <definedName name="___CPT766000">#REF!</definedName>
    <definedName name="___CPT766100" localSheetId="5">#REF!</definedName>
    <definedName name="___CPT766100">#REF!</definedName>
    <definedName name="___CPT80101" localSheetId="5">#REF!</definedName>
    <definedName name="___CPT80101">#REF!</definedName>
    <definedName name="___CPT80102" localSheetId="5">#REF!</definedName>
    <definedName name="___CPT80102">#REF!</definedName>
    <definedName name="___CPT80103" localSheetId="5">#REF!</definedName>
    <definedName name="___CPT80103">#REF!</definedName>
    <definedName name="___CPT80104" localSheetId="5">#REF!</definedName>
    <definedName name="___CPT80104">#REF!</definedName>
    <definedName name="___CPT80105" localSheetId="5">#REF!</definedName>
    <definedName name="___CPT80105">#REF!</definedName>
    <definedName name="___CPT80106" localSheetId="5">#REF!</definedName>
    <definedName name="___CPT80106">#REF!</definedName>
    <definedName name="___CPT80107" localSheetId="5">#REF!</definedName>
    <definedName name="___CPT80107">#REF!</definedName>
    <definedName name="___CPT80109" localSheetId="5">#REF!</definedName>
    <definedName name="___CPT80109">#REF!</definedName>
    <definedName name="___CPT80110" localSheetId="5">#REF!</definedName>
    <definedName name="___CPT80110">#REF!</definedName>
    <definedName name="___CPT80130" localSheetId="5">#REF!</definedName>
    <definedName name="___CPT80130">#REF!</definedName>
    <definedName name="___CPT83101" localSheetId="5">#REF!</definedName>
    <definedName name="___CPT83101">#REF!</definedName>
    <definedName name="___CPT83102" localSheetId="5">#REF!</definedName>
    <definedName name="___CPT83102">#REF!</definedName>
    <definedName name="___CPT83103" localSheetId="5">#REF!</definedName>
    <definedName name="___CPT83103">#REF!</definedName>
    <definedName name="___CPT83104" localSheetId="5">#REF!</definedName>
    <definedName name="___CPT83104">#REF!</definedName>
    <definedName name="___CPT83106" localSheetId="5">#REF!</definedName>
    <definedName name="___CPT83106">#REF!</definedName>
    <definedName name="___CPT83107" localSheetId="5">#REF!</definedName>
    <definedName name="___CPT83107">#REF!</definedName>
    <definedName name="___CPT83109" localSheetId="5">#REF!</definedName>
    <definedName name="___CPT83109">#REF!</definedName>
    <definedName name="___CUC1" localSheetId="5">#REF!</definedName>
    <definedName name="___CUC1">#REF!</definedName>
    <definedName name="___IAM10645" localSheetId="5">#REF!</definedName>
    <definedName name="___IAM10645">#REF!</definedName>
    <definedName name="___IMM2" localSheetId="5">[2]EXPERTISE!#REF!</definedName>
    <definedName name="___IMM2">[2]EXPERTISE!#REF!</definedName>
    <definedName name="___MEQ2661" localSheetId="5">#REF!</definedName>
    <definedName name="___MEQ2661">#REF!</definedName>
    <definedName name="___MEQ2662" localSheetId="5">#REF!</definedName>
    <definedName name="___MEQ2662">#REF!</definedName>
    <definedName name="___MEQ2663" localSheetId="5">#REF!</definedName>
    <definedName name="___MEQ2663">#REF!</definedName>
    <definedName name="___MEQ2664" localSheetId="5">#REF!</definedName>
    <definedName name="___MEQ2664">#REF!</definedName>
    <definedName name="___MEQ2665" localSheetId="5">#REF!</definedName>
    <definedName name="___MEQ2665">#REF!</definedName>
    <definedName name="___MEQ2666" localSheetId="5">#REF!</definedName>
    <definedName name="___MEQ2666">#REF!</definedName>
    <definedName name="___MEQ2667" localSheetId="5">#REF!</definedName>
    <definedName name="___MEQ2667">#REF!</definedName>
    <definedName name="___MEQ2668" localSheetId="5">#REF!</definedName>
    <definedName name="___MEQ2668">#REF!</definedName>
    <definedName name="___MEQ671004" localSheetId="5">#REF!</definedName>
    <definedName name="___MEQ671004">#REF!</definedName>
    <definedName name="___MEQ769004" localSheetId="5">#REF!</definedName>
    <definedName name="___MEQ769004">#REF!</definedName>
    <definedName name="___MEQ769005" localSheetId="5">#REF!</definedName>
    <definedName name="___MEQ769005">#REF!</definedName>
    <definedName name="___MEQ769006" localSheetId="5">#REF!</definedName>
    <definedName name="___MEQ769006">#REF!</definedName>
    <definedName name="___MEQ769007" localSheetId="5">#REF!</definedName>
    <definedName name="___MEQ769007">#REF!</definedName>
    <definedName name="___MEQ769008" localSheetId="5">#REF!</definedName>
    <definedName name="___MEQ769008">#REF!</definedName>
    <definedName name="___MEQ769300" localSheetId="5">#REF!</definedName>
    <definedName name="___MEQ769300">#REF!</definedName>
    <definedName name="___PBA1" localSheetId="5">#REF!</definedName>
    <definedName name="___PBA1">#REF!</definedName>
    <definedName name="___PBA2" localSheetId="5">#REF!</definedName>
    <definedName name="___PBA2">#REF!</definedName>
    <definedName name="___PPA01" localSheetId="5">[3]PORT_HORS_CONSO!#REF!</definedName>
    <definedName name="___PPA01">[3]PORT_HORS_CONSO!#REF!</definedName>
    <definedName name="___RE119" localSheetId="5">#REF!</definedName>
    <definedName name="___RE119">#REF!</definedName>
    <definedName name="___RE120" localSheetId="5">#REF!</definedName>
    <definedName name="___RE120">#REF!</definedName>
    <definedName name="___RE129" localSheetId="5">#REF!</definedName>
    <definedName name="___RE129">#REF!</definedName>
    <definedName name="___RE689" localSheetId="5">#REF!</definedName>
    <definedName name="___RE689">#REF!</definedName>
    <definedName name="___RE699" localSheetId="5">#REF!</definedName>
    <definedName name="___RE699">#REF!</definedName>
    <definedName name="___ste2" localSheetId="5">[2]EXPERTISE!#REF!</definedName>
    <definedName name="___ste2">[2]EXPERTISE!#REF!</definedName>
    <definedName name="___Z649600" localSheetId="5">#REF!</definedName>
    <definedName name="___Z649600">#REF!</definedName>
    <definedName name="___Z715570" localSheetId="5">#REF!</definedName>
    <definedName name="___Z715570">#REF!</definedName>
    <definedName name="___Z715725" localSheetId="5">#REF!</definedName>
    <definedName name="___Z715725">#REF!</definedName>
    <definedName name="___Z715770" localSheetId="5">#REF!</definedName>
    <definedName name="___Z715770">#REF!</definedName>
    <definedName name="__CDC3036" localSheetId="5">#REF!</definedName>
    <definedName name="__CDC3036">#REF!</definedName>
    <definedName name="__cdc36564" localSheetId="5">#REF!</definedName>
    <definedName name="__cdc36564">#REF!</definedName>
    <definedName name="__CDC36566" localSheetId="5">#REF!</definedName>
    <definedName name="__CDC36566">#REF!</definedName>
    <definedName name="__cdc365662" localSheetId="5">#REF!</definedName>
    <definedName name="__cdc365662">#REF!</definedName>
    <definedName name="__CDC36568" localSheetId="5">#REF!</definedName>
    <definedName name="__CDC36568">#REF!</definedName>
    <definedName name="__cdc6311" localSheetId="5">#REF!</definedName>
    <definedName name="__cdc6311">#REF!</definedName>
    <definedName name="__CDC6321" localSheetId="5">#REF!</definedName>
    <definedName name="__CDC6321">#REF!</definedName>
    <definedName name="__CDC6332" localSheetId="5">#REF!</definedName>
    <definedName name="__CDC6332">#REF!</definedName>
    <definedName name="__CDC635" localSheetId="5">#REF!</definedName>
    <definedName name="__CDC635">#REF!</definedName>
    <definedName name="__CDC63911" localSheetId="5">#REF!</definedName>
    <definedName name="__CDC63911">#REF!</definedName>
    <definedName name="__cdc63915" localSheetId="5">#REF!</definedName>
    <definedName name="__cdc63915">#REF!</definedName>
    <definedName name="__cdc63916" localSheetId="5">#REF!</definedName>
    <definedName name="__cdc63916">#REF!</definedName>
    <definedName name="__CDC63925" localSheetId="5">#REF!</definedName>
    <definedName name="__CDC63925">#REF!</definedName>
    <definedName name="__CDC63928" localSheetId="5">#REF!</definedName>
    <definedName name="__CDC63928">#REF!</definedName>
    <definedName name="__CDC928" localSheetId="5">#REF!</definedName>
    <definedName name="__CDC928">#REF!</definedName>
    <definedName name="__CDC94311" localSheetId="5">#REF!</definedName>
    <definedName name="__CDC94311">#REF!</definedName>
    <definedName name="__CDC943211" localSheetId="5">#REF!</definedName>
    <definedName name="__CDC943211">#REF!</definedName>
    <definedName name="__CDC943212" localSheetId="5">#REF!</definedName>
    <definedName name="__CDC943212">#REF!</definedName>
    <definedName name="__CDC943222" localSheetId="5">#REF!</definedName>
    <definedName name="__CDC943222">#REF!</definedName>
    <definedName name="__CDC94411" localSheetId="5">#REF!</definedName>
    <definedName name="__CDC94411">#REF!</definedName>
    <definedName name="__CDC94821" localSheetId="5">#REF!</definedName>
    <definedName name="__CDC94821">#REF!</definedName>
    <definedName name="__CDC94822" localSheetId="5">#REF!</definedName>
    <definedName name="__CDC94822">#REF!</definedName>
    <definedName name="__CDC95199" localSheetId="5">#REF!</definedName>
    <definedName name="__CDC95199">#REF!</definedName>
    <definedName name="__CDC95299" localSheetId="5">#REF!</definedName>
    <definedName name="__CDC95299">#REF!</definedName>
    <definedName name="__CPT10645">#N/A</definedName>
    <definedName name="__CPT611200" localSheetId="5">#REF!</definedName>
    <definedName name="__CPT611200">#REF!</definedName>
    <definedName name="__CPT611310" localSheetId="5">#REF!</definedName>
    <definedName name="__CPT611310">#REF!</definedName>
    <definedName name="__CPT611317" localSheetId="5">#REF!</definedName>
    <definedName name="__CPT611317">#REF!</definedName>
    <definedName name="__CPT611318" localSheetId="5">#REF!</definedName>
    <definedName name="__CPT611318">#REF!</definedName>
    <definedName name="__CPT611320" localSheetId="5">#REF!</definedName>
    <definedName name="__CPT611320">#REF!</definedName>
    <definedName name="__CPT611328" localSheetId="5">#REF!</definedName>
    <definedName name="__CPT611328">#REF!</definedName>
    <definedName name="__CPT611600" localSheetId="5">#REF!</definedName>
    <definedName name="__CPT611600">#REF!</definedName>
    <definedName name="__CPT611610" localSheetId="5">#REF!</definedName>
    <definedName name="__CPT611610">#REF!</definedName>
    <definedName name="__CPT611615" localSheetId="5">#REF!</definedName>
    <definedName name="__CPT611615">#REF!</definedName>
    <definedName name="__CPT611620" localSheetId="5">#REF!</definedName>
    <definedName name="__CPT611620">#REF!</definedName>
    <definedName name="__CPT611625" localSheetId="5">#REF!</definedName>
    <definedName name="__CPT611625">#REF!</definedName>
    <definedName name="__CPT611630" localSheetId="5">#REF!</definedName>
    <definedName name="__CPT611630">#REF!</definedName>
    <definedName name="__CPT611635" localSheetId="5">#REF!</definedName>
    <definedName name="__CPT611635">#REF!</definedName>
    <definedName name="__CPT611640" localSheetId="5">#REF!</definedName>
    <definedName name="__CPT611640">#REF!</definedName>
    <definedName name="__CPT611650" localSheetId="5">#REF!</definedName>
    <definedName name="__CPT611650">#REF!</definedName>
    <definedName name="__CPT611655" localSheetId="5">#REF!</definedName>
    <definedName name="__CPT611655">#REF!</definedName>
    <definedName name="__CPT611660" localSheetId="5">#REF!</definedName>
    <definedName name="__CPT611660">#REF!</definedName>
    <definedName name="__CPT611665" localSheetId="5">#REF!</definedName>
    <definedName name="__CPT611665">#REF!</definedName>
    <definedName name="__CPT611670" localSheetId="5">#REF!</definedName>
    <definedName name="__CPT611670">#REF!</definedName>
    <definedName name="__CPT611675" localSheetId="5">#REF!</definedName>
    <definedName name="__CPT611675">#REF!</definedName>
    <definedName name="__CPT611700" localSheetId="5">#REF!</definedName>
    <definedName name="__CPT611700">#REF!</definedName>
    <definedName name="__CPT611701" localSheetId="5">#REF!</definedName>
    <definedName name="__CPT611701">#REF!</definedName>
    <definedName name="__CPT611702" localSheetId="5">#REF!</definedName>
    <definedName name="__CPT611702">#REF!</definedName>
    <definedName name="__CPT611710" localSheetId="5">#REF!</definedName>
    <definedName name="__CPT611710">#REF!</definedName>
    <definedName name="__CPT611715" localSheetId="5">#REF!</definedName>
    <definedName name="__CPT611715">#REF!</definedName>
    <definedName name="__CPT611720" localSheetId="5">#REF!</definedName>
    <definedName name="__CPT611720">#REF!</definedName>
    <definedName name="__CPT611725" localSheetId="5">#REF!</definedName>
    <definedName name="__CPT611725">#REF!</definedName>
    <definedName name="__CPT611730" localSheetId="5">#REF!</definedName>
    <definedName name="__CPT611730">#REF!</definedName>
    <definedName name="__CPT611735" localSheetId="5">#REF!</definedName>
    <definedName name="__CPT611735">#REF!</definedName>
    <definedName name="__CPT611740" localSheetId="5">#REF!</definedName>
    <definedName name="__CPT611740">#REF!</definedName>
    <definedName name="__CPT611745" localSheetId="5">#REF!</definedName>
    <definedName name="__CPT611745">#REF!</definedName>
    <definedName name="__CPT611750" localSheetId="5">#REF!</definedName>
    <definedName name="__CPT611750">#REF!</definedName>
    <definedName name="__CPT611755" localSheetId="5">#REF!</definedName>
    <definedName name="__CPT611755">#REF!</definedName>
    <definedName name="__CPT611760" localSheetId="5">#REF!</definedName>
    <definedName name="__CPT611760">#REF!</definedName>
    <definedName name="__CPT611765" localSheetId="5">#REF!</definedName>
    <definedName name="__CPT611765">#REF!</definedName>
    <definedName name="__CPT611770" localSheetId="5">#REF!</definedName>
    <definedName name="__CPT611770">#REF!</definedName>
    <definedName name="__CPT611775" localSheetId="5">#REF!</definedName>
    <definedName name="__CPT611775">#REF!</definedName>
    <definedName name="__CPT611780" localSheetId="5">#REF!</definedName>
    <definedName name="__CPT611780">#REF!</definedName>
    <definedName name="__CPT611785" localSheetId="5">#REF!</definedName>
    <definedName name="__CPT611785">#REF!</definedName>
    <definedName name="__CPT611790" localSheetId="5">#REF!</definedName>
    <definedName name="__CPT611790">#REF!</definedName>
    <definedName name="__CPT611795" localSheetId="5">#REF!</definedName>
    <definedName name="__CPT611795">#REF!</definedName>
    <definedName name="__CPT611800" localSheetId="5">#REF!</definedName>
    <definedName name="__CPT611800">#REF!</definedName>
    <definedName name="__CPT611801" localSheetId="5">#REF!</definedName>
    <definedName name="__CPT611801">#REF!</definedName>
    <definedName name="__CPT611802" localSheetId="5">#REF!</definedName>
    <definedName name="__CPT611802">#REF!</definedName>
    <definedName name="__CPT611804" localSheetId="5">#REF!</definedName>
    <definedName name="__CPT611804">#REF!</definedName>
    <definedName name="__CPT611840" localSheetId="5">#REF!</definedName>
    <definedName name="__CPT611840">#REF!</definedName>
    <definedName name="__CPT611890" localSheetId="5">#REF!</definedName>
    <definedName name="__CPT611890">#REF!</definedName>
    <definedName name="__CPT611900" localSheetId="5">#REF!</definedName>
    <definedName name="__CPT611900">#REF!</definedName>
    <definedName name="__CPT612160" localSheetId="5">#REF!</definedName>
    <definedName name="__CPT612160">#REF!</definedName>
    <definedName name="__CPT612180" localSheetId="5">#REF!</definedName>
    <definedName name="__CPT612180">#REF!</definedName>
    <definedName name="__CPT612210" localSheetId="5">#REF!</definedName>
    <definedName name="__CPT612210">#REF!</definedName>
    <definedName name="__CPT612250" localSheetId="5">#REF!</definedName>
    <definedName name="__CPT612250">#REF!</definedName>
    <definedName name="__CPT612260" localSheetId="5">#REF!</definedName>
    <definedName name="__CPT612260">#REF!</definedName>
    <definedName name="__CPT612500" localSheetId="5">#REF!</definedName>
    <definedName name="__CPT612500">#REF!</definedName>
    <definedName name="__CPT613150" localSheetId="5">#REF!</definedName>
    <definedName name="__CPT613150">#REF!</definedName>
    <definedName name="__CPT613160" localSheetId="5">#REF!</definedName>
    <definedName name="__CPT613160">#REF!</definedName>
    <definedName name="__CPT613170" localSheetId="5">#REF!</definedName>
    <definedName name="__CPT613170">#REF!</definedName>
    <definedName name="__CPT613180" localSheetId="5">#REF!</definedName>
    <definedName name="__CPT613180">#REF!</definedName>
    <definedName name="__CPT613530" localSheetId="5">#REF!</definedName>
    <definedName name="__CPT613530">#REF!</definedName>
    <definedName name="__CPT613535" localSheetId="5">#REF!</definedName>
    <definedName name="__CPT613535">#REF!</definedName>
    <definedName name="__CPT613540" localSheetId="5">#REF!</definedName>
    <definedName name="__CPT613540">#REF!</definedName>
    <definedName name="__CPT613550" localSheetId="5">#REF!</definedName>
    <definedName name="__CPT613550">#REF!</definedName>
    <definedName name="__CPT615200" localSheetId="5">#REF!</definedName>
    <definedName name="__CPT615200">#REF!</definedName>
    <definedName name="__CPT615450" localSheetId="5">#REF!</definedName>
    <definedName name="__CPT615450">#REF!</definedName>
    <definedName name="__CPT615480" localSheetId="5">[1]DETCONSO!#REF!</definedName>
    <definedName name="__CPT615480">[1]DETCONSO!#REF!</definedName>
    <definedName name="__CPT615490" localSheetId="5">#REF!</definedName>
    <definedName name="__CPT615490">#REF!</definedName>
    <definedName name="__CPT615510" localSheetId="5">#REF!</definedName>
    <definedName name="__CPT615510">#REF!</definedName>
    <definedName name="__CPT615515" localSheetId="5">#REF!</definedName>
    <definedName name="__CPT615515">#REF!</definedName>
    <definedName name="__CPT615520" localSheetId="5">#REF!</definedName>
    <definedName name="__CPT615520">#REF!</definedName>
    <definedName name="__CPT615525" localSheetId="5">#REF!</definedName>
    <definedName name="__CPT615525">#REF!</definedName>
    <definedName name="__CPT615530" localSheetId="5">#REF!</definedName>
    <definedName name="__CPT615530">#REF!</definedName>
    <definedName name="__CPT615600" localSheetId="5">#REF!</definedName>
    <definedName name="__CPT615600">#REF!</definedName>
    <definedName name="__CPT615610" localSheetId="5">#REF!</definedName>
    <definedName name="__CPT615610">#REF!</definedName>
    <definedName name="__CPT615620" localSheetId="5">#REF!</definedName>
    <definedName name="__CPT615620">#REF!</definedName>
    <definedName name="__CPT615640" localSheetId="5">#REF!</definedName>
    <definedName name="__CPT615640">#REF!</definedName>
    <definedName name="__CPT615730" localSheetId="5">#REF!</definedName>
    <definedName name="__CPT615730">#REF!</definedName>
    <definedName name="__CPT615760" localSheetId="5">#REF!</definedName>
    <definedName name="__CPT615760">#REF!</definedName>
    <definedName name="__CPT615780" localSheetId="5">#REF!</definedName>
    <definedName name="__CPT615780">#REF!</definedName>
    <definedName name="__CPT615790" localSheetId="5">#REF!</definedName>
    <definedName name="__CPT615790">#REF!</definedName>
    <definedName name="__CPT615800" localSheetId="5">#REF!</definedName>
    <definedName name="__CPT615800">#REF!</definedName>
    <definedName name="__CPT615805" localSheetId="5">#REF!</definedName>
    <definedName name="__CPT615805">#REF!</definedName>
    <definedName name="__CPT615810" localSheetId="5">#REF!</definedName>
    <definedName name="__CPT615810">#REF!</definedName>
    <definedName name="__CPT615815" localSheetId="5">#REF!</definedName>
    <definedName name="__CPT615815">#REF!</definedName>
    <definedName name="__CPT616100" localSheetId="5">#REF!</definedName>
    <definedName name="__CPT616100">#REF!</definedName>
    <definedName name="__CPT616106" localSheetId="5">#REF!</definedName>
    <definedName name="__CPT616106">#REF!</definedName>
    <definedName name="__CPT616107" localSheetId="5">#REF!</definedName>
    <definedName name="__CPT616107">#REF!</definedName>
    <definedName name="__CPT616120" localSheetId="5">#REF!</definedName>
    <definedName name="__CPT616120">#REF!</definedName>
    <definedName name="__CPT616125" localSheetId="5">#REF!</definedName>
    <definedName name="__CPT616125">#REF!</definedName>
    <definedName name="__CPT616190" localSheetId="5">#REF!</definedName>
    <definedName name="__CPT616190">#REF!</definedName>
    <definedName name="__CPT616200" localSheetId="5">#REF!</definedName>
    <definedName name="__CPT616200">#REF!</definedName>
    <definedName name="__CPT616210" localSheetId="5">#REF!</definedName>
    <definedName name="__CPT616210">#REF!</definedName>
    <definedName name="__CPT619220" localSheetId="5">#REF!</definedName>
    <definedName name="__CPT619220">#REF!</definedName>
    <definedName name="__CPT619240" localSheetId="5">#REF!</definedName>
    <definedName name="__CPT619240">#REF!</definedName>
    <definedName name="__CPT619260" localSheetId="5">#REF!</definedName>
    <definedName name="__CPT619260">#REF!</definedName>
    <definedName name="__CPT621000" localSheetId="5">#REF!</definedName>
    <definedName name="__CPT621000">#REF!</definedName>
    <definedName name="__CPT621100" localSheetId="5">#REF!</definedName>
    <definedName name="__CPT621100">#REF!</definedName>
    <definedName name="__CPT621200" localSheetId="5">#REF!</definedName>
    <definedName name="__CPT621200">#REF!</definedName>
    <definedName name="__CPT621300" localSheetId="5">#REF!</definedName>
    <definedName name="__CPT621300">#REF!</definedName>
    <definedName name="__CPT623000" localSheetId="5">#REF!</definedName>
    <definedName name="__CPT623000">#REF!</definedName>
    <definedName name="__CPT623100" localSheetId="5">#REF!</definedName>
    <definedName name="__CPT623100">#REF!</definedName>
    <definedName name="__CPT624000" localSheetId="5">#REF!</definedName>
    <definedName name="__CPT624000">#REF!</definedName>
    <definedName name="__CPT625000" localSheetId="5">#REF!</definedName>
    <definedName name="__CPT625000">#REF!</definedName>
    <definedName name="__CPT631000" localSheetId="5">#REF!</definedName>
    <definedName name="__CPT631000">#REF!</definedName>
    <definedName name="__CPT637000" localSheetId="5">#REF!</definedName>
    <definedName name="__CPT637000">#REF!</definedName>
    <definedName name="__CPT641705" localSheetId="5">#REF!</definedName>
    <definedName name="__CPT641705">#REF!</definedName>
    <definedName name="__CPT641708" localSheetId="5">#REF!</definedName>
    <definedName name="__CPT641708">#REF!</definedName>
    <definedName name="__CPT641709" localSheetId="5">#REF!</definedName>
    <definedName name="__CPT641709">#REF!</definedName>
    <definedName name="__CPT641710" localSheetId="5">#REF!</definedName>
    <definedName name="__CPT641710">#REF!</definedName>
    <definedName name="__CPT641720" localSheetId="5">#REF!</definedName>
    <definedName name="__CPT641720">#REF!</definedName>
    <definedName name="__CPT641723" localSheetId="5">#REF!</definedName>
    <definedName name="__CPT641723">#REF!</definedName>
    <definedName name="__CPT641725" localSheetId="5">#REF!</definedName>
    <definedName name="__CPT641725">#REF!</definedName>
    <definedName name="__CPT641738" localSheetId="5">#REF!</definedName>
    <definedName name="__CPT641738">#REF!</definedName>
    <definedName name="__CPT641739" localSheetId="5">#REF!</definedName>
    <definedName name="__CPT641739">#REF!</definedName>
    <definedName name="__CPT641740" localSheetId="5">#REF!</definedName>
    <definedName name="__CPT641740">#REF!</definedName>
    <definedName name="__CPT641759" localSheetId="5">#REF!</definedName>
    <definedName name="__CPT641759">#REF!</definedName>
    <definedName name="__CPT641770" localSheetId="5">#REF!</definedName>
    <definedName name="__CPT641770">#REF!</definedName>
    <definedName name="__CPT641780" localSheetId="5">#REF!</definedName>
    <definedName name="__CPT641780">#REF!</definedName>
    <definedName name="__CPT641790" localSheetId="5">#REF!</definedName>
    <definedName name="__CPT641790">#REF!</definedName>
    <definedName name="__CPT642000" localSheetId="5">#REF!</definedName>
    <definedName name="__CPT642000">#REF!</definedName>
    <definedName name="__CPT642100" localSheetId="5">#REF!</definedName>
    <definedName name="__CPT642100">#REF!</definedName>
    <definedName name="__CPT642400" localSheetId="5">#REF!</definedName>
    <definedName name="__CPT642400">#REF!</definedName>
    <definedName name="__CPT643900" localSheetId="5">#REF!</definedName>
    <definedName name="__CPT643900">#REF!</definedName>
    <definedName name="__CPT643908" localSheetId="5">#REF!</definedName>
    <definedName name="__CPT643908">#REF!</definedName>
    <definedName name="__CPT645000" localSheetId="5">#REF!</definedName>
    <definedName name="__CPT645000">#REF!</definedName>
    <definedName name="__CPT646000" localSheetId="5">#REF!</definedName>
    <definedName name="__CPT646000">#REF!</definedName>
    <definedName name="__CPT649000" localSheetId="5">#REF!</definedName>
    <definedName name="__CPT649000">#REF!</definedName>
    <definedName name="__CPT649050" localSheetId="5">#REF!</definedName>
    <definedName name="__CPT649050">#REF!</definedName>
    <definedName name="__CPT649100" localSheetId="5">#REF!</definedName>
    <definedName name="__CPT649100">#REF!</definedName>
    <definedName name="__CPT649200" localSheetId="5">#REF!</definedName>
    <definedName name="__CPT649200">#REF!</definedName>
    <definedName name="__CPT649300" localSheetId="5">#REF!</definedName>
    <definedName name="__CPT649300">#REF!</definedName>
    <definedName name="__CPT649350" localSheetId="5">#REF!</definedName>
    <definedName name="__CPT649350">#REF!</definedName>
    <definedName name="__CPT649400" localSheetId="5">#REF!</definedName>
    <definedName name="__CPT649400">#REF!</definedName>
    <definedName name="__CPT649450" localSheetId="5">#REF!</definedName>
    <definedName name="__CPT649450">#REF!</definedName>
    <definedName name="__CPT649500" localSheetId="5">#REF!</definedName>
    <definedName name="__CPT649500">#REF!</definedName>
    <definedName name="__CPT651000" localSheetId="5">#REF!</definedName>
    <definedName name="__CPT651000">#REF!</definedName>
    <definedName name="__CPT65110" localSheetId="5">#REF!</definedName>
    <definedName name="__CPT65110">#REF!</definedName>
    <definedName name="__CPT651100" localSheetId="5">#REF!</definedName>
    <definedName name="__CPT651100">#REF!</definedName>
    <definedName name="__CPT651105" localSheetId="5">#REF!</definedName>
    <definedName name="__CPT651105">#REF!</definedName>
    <definedName name="__CPT652000" localSheetId="5">#REF!</definedName>
    <definedName name="__CPT652000">#REF!</definedName>
    <definedName name="__CPT652100" localSheetId="5">#REF!</definedName>
    <definedName name="__CPT652100">#REF!</definedName>
    <definedName name="__CPT652200" localSheetId="5">#REF!</definedName>
    <definedName name="__CPT652200">#REF!</definedName>
    <definedName name="__CPT653100" localSheetId="5">#REF!</definedName>
    <definedName name="__CPT653100">#REF!</definedName>
    <definedName name="__CPT653150" localSheetId="5">#REF!</definedName>
    <definedName name="__CPT653150">#REF!</definedName>
    <definedName name="__CPT653160" localSheetId="5">#REF!</definedName>
    <definedName name="__CPT653160">#REF!</definedName>
    <definedName name="__CPT653200" localSheetId="5">#REF!</definedName>
    <definedName name="__CPT653200">#REF!</definedName>
    <definedName name="__CPT653250" localSheetId="5">#REF!</definedName>
    <definedName name="__CPT653250">#REF!</definedName>
    <definedName name="__CPT653280" localSheetId="5">#REF!</definedName>
    <definedName name="__CPT653280">#REF!</definedName>
    <definedName name="__CPT653300" localSheetId="5">#REF!</definedName>
    <definedName name="__CPT653300">#REF!</definedName>
    <definedName name="__CPT653310" localSheetId="5">#REF!</definedName>
    <definedName name="__CPT653310">#REF!</definedName>
    <definedName name="__CPT653320" localSheetId="5">#REF!</definedName>
    <definedName name="__CPT653320">#REF!</definedName>
    <definedName name="__CPT653350" localSheetId="5">#REF!</definedName>
    <definedName name="__CPT653350">#REF!</definedName>
    <definedName name="__CPT653380" localSheetId="5">#REF!</definedName>
    <definedName name="__CPT653380">#REF!</definedName>
    <definedName name="__cpt653390" localSheetId="5">#REF!</definedName>
    <definedName name="__cpt653390">#REF!</definedName>
    <definedName name="__CPT653400" localSheetId="5">#REF!</definedName>
    <definedName name="__CPT653400">#REF!</definedName>
    <definedName name="__CPT653410" localSheetId="5">#REF!</definedName>
    <definedName name="__CPT653410">#REF!</definedName>
    <definedName name="__CPT653420" localSheetId="5">#REF!</definedName>
    <definedName name="__CPT653420">#REF!</definedName>
    <definedName name="__CPT653430" localSheetId="5">#REF!</definedName>
    <definedName name="__CPT653430">#REF!</definedName>
    <definedName name="__CPT653450" localSheetId="5">#REF!</definedName>
    <definedName name="__CPT653450">#REF!</definedName>
    <definedName name="__CPT653500" localSheetId="5">#REF!</definedName>
    <definedName name="__CPT653500">#REF!</definedName>
    <definedName name="__CPT653600" localSheetId="5">#REF!</definedName>
    <definedName name="__CPT653600">#REF!</definedName>
    <definedName name="__CPT653610" localSheetId="5">#REF!</definedName>
    <definedName name="__CPT653610">#REF!</definedName>
    <definedName name="__CPT653620" localSheetId="5">#REF!</definedName>
    <definedName name="__CPT653620">#REF!</definedName>
    <definedName name="__CPT653630" localSheetId="5">#REF!</definedName>
    <definedName name="__CPT653630">#REF!</definedName>
    <definedName name="__CPT653640" localSheetId="5">#REF!</definedName>
    <definedName name="__CPT653640">#REF!</definedName>
    <definedName name="__CPT653650" localSheetId="5">#REF!</definedName>
    <definedName name="__CPT653650">#REF!</definedName>
    <definedName name="__CPT653700" localSheetId="5">#REF!</definedName>
    <definedName name="__CPT653700">#REF!</definedName>
    <definedName name="__CPT653750" localSheetId="5">#REF!</definedName>
    <definedName name="__CPT653750">#REF!</definedName>
    <definedName name="__CPT653755" localSheetId="5">#REF!</definedName>
    <definedName name="__CPT653755">#REF!</definedName>
    <definedName name="__CPT653760" localSheetId="5">#REF!</definedName>
    <definedName name="__CPT653760">#REF!</definedName>
    <definedName name="__CPT653761" localSheetId="5">#REF!</definedName>
    <definedName name="__CPT653761">#REF!</definedName>
    <definedName name="__CPT653762" localSheetId="5">#REF!</definedName>
    <definedName name="__CPT653762">#REF!</definedName>
    <definedName name="__CPT653770" localSheetId="5">#REF!</definedName>
    <definedName name="__CPT653770">#REF!</definedName>
    <definedName name="__CPT653780" localSheetId="5">#REF!</definedName>
    <definedName name="__CPT653780">#REF!</definedName>
    <definedName name="__CPT653800" localSheetId="5">#REF!</definedName>
    <definedName name="__CPT653800">#REF!</definedName>
    <definedName name="__CPT657000" localSheetId="5">#REF!</definedName>
    <definedName name="__CPT657000">#REF!</definedName>
    <definedName name="__CPT661000" localSheetId="5">#REF!</definedName>
    <definedName name="__CPT661000">#REF!</definedName>
    <definedName name="__CPT661010" localSheetId="5">#REF!</definedName>
    <definedName name="__CPT661010">#REF!</definedName>
    <definedName name="__CPT661020" localSheetId="5">#REF!</definedName>
    <definedName name="__CPT661020">#REF!</definedName>
    <definedName name="__CPT661030" localSheetId="5">#REF!</definedName>
    <definedName name="__CPT661030">#REF!</definedName>
    <definedName name="__CPT661100" localSheetId="5">#REF!</definedName>
    <definedName name="__CPT661100">#REF!</definedName>
    <definedName name="__CPT661200" localSheetId="5">#REF!</definedName>
    <definedName name="__CPT661200">#REF!</definedName>
    <definedName name="__CPT661450" localSheetId="5">#REF!</definedName>
    <definedName name="__CPT661450">#REF!</definedName>
    <definedName name="__CPT664000" localSheetId="5">#REF!</definedName>
    <definedName name="__CPT664000">#REF!</definedName>
    <definedName name="__CPT664100" localSheetId="5">#REF!</definedName>
    <definedName name="__CPT664100">#REF!</definedName>
    <definedName name="__CPT664200" localSheetId="5">#REF!</definedName>
    <definedName name="__CPT664200">#REF!</definedName>
    <definedName name="__CPT665000" localSheetId="5">#REF!</definedName>
    <definedName name="__CPT665000">#REF!</definedName>
    <definedName name="__CPT665150" localSheetId="5">#REF!</definedName>
    <definedName name="__CPT665150">#REF!</definedName>
    <definedName name="__CPT665350" localSheetId="5">#REF!</definedName>
    <definedName name="__CPT665350">#REF!</definedName>
    <definedName name="__CPT665500" localSheetId="5">#REF!</definedName>
    <definedName name="__CPT665500">#REF!</definedName>
    <definedName name="__CPT666000" localSheetId="5">#REF!</definedName>
    <definedName name="__CPT666000">#REF!</definedName>
    <definedName name="__CPT666100" localSheetId="5">#REF!</definedName>
    <definedName name="__CPT666100">#REF!</definedName>
    <definedName name="__CPT670000" localSheetId="5">#REF!</definedName>
    <definedName name="__CPT670000">#REF!</definedName>
    <definedName name="__CPT681000" localSheetId="5">#REF!</definedName>
    <definedName name="__CPT681000">#REF!</definedName>
    <definedName name="__CPT681100" localSheetId="5">#REF!</definedName>
    <definedName name="__CPT681100">#REF!</definedName>
    <definedName name="__CPT682000" localSheetId="5">#REF!</definedName>
    <definedName name="__CPT682000">#REF!</definedName>
    <definedName name="__CPT682100" localSheetId="5">#REF!</definedName>
    <definedName name="__CPT682100">#REF!</definedName>
    <definedName name="__CPT701" localSheetId="5">#REF!</definedName>
    <definedName name="__CPT701">#REF!</definedName>
    <definedName name="__CPT711200" localSheetId="5">#REF!</definedName>
    <definedName name="__CPT711200">#REF!</definedName>
    <definedName name="__CPT711310" localSheetId="5">#REF!</definedName>
    <definedName name="__CPT711310">#REF!</definedName>
    <definedName name="__CPT711317" localSheetId="5">#REF!</definedName>
    <definedName name="__CPT711317">#REF!</definedName>
    <definedName name="__CPT711318" localSheetId="5">#REF!</definedName>
    <definedName name="__CPT711318">#REF!</definedName>
    <definedName name="__CPT711320" localSheetId="5">#REF!</definedName>
    <definedName name="__CPT711320">#REF!</definedName>
    <definedName name="__CPT711328" localSheetId="5">#REF!</definedName>
    <definedName name="__CPT711328">#REF!</definedName>
    <definedName name="__CPT711330" localSheetId="5">#REF!</definedName>
    <definedName name="__CPT711330">#REF!</definedName>
    <definedName name="__CPT711600" localSheetId="5">#REF!</definedName>
    <definedName name="__CPT711600">#REF!</definedName>
    <definedName name="__CPT711610" localSheetId="5">#REF!</definedName>
    <definedName name="__CPT711610">#REF!</definedName>
    <definedName name="__CPT711615" localSheetId="5">#REF!</definedName>
    <definedName name="__CPT711615">#REF!</definedName>
    <definedName name="__CPT711620" localSheetId="5">#REF!</definedName>
    <definedName name="__CPT711620">#REF!</definedName>
    <definedName name="__CPT711625" localSheetId="5">#REF!</definedName>
    <definedName name="__CPT711625">#REF!</definedName>
    <definedName name="__CPT711630" localSheetId="5">#REF!</definedName>
    <definedName name="__CPT711630">#REF!</definedName>
    <definedName name="__CPT711635" localSheetId="5">#REF!</definedName>
    <definedName name="__CPT711635">#REF!</definedName>
    <definedName name="__CPT711640" localSheetId="5">#REF!</definedName>
    <definedName name="__CPT711640">#REF!</definedName>
    <definedName name="__CPT711650" localSheetId="5">#REF!</definedName>
    <definedName name="__CPT711650">#REF!</definedName>
    <definedName name="__CPT711655" localSheetId="5">#REF!</definedName>
    <definedName name="__CPT711655">#REF!</definedName>
    <definedName name="__CPT711660" localSheetId="5">#REF!</definedName>
    <definedName name="__CPT711660">#REF!</definedName>
    <definedName name="__CPT711665" localSheetId="5">#REF!</definedName>
    <definedName name="__CPT711665">#REF!</definedName>
    <definedName name="__CPT711670" localSheetId="5">#REF!</definedName>
    <definedName name="__CPT711670">#REF!</definedName>
    <definedName name="__CPT711675" localSheetId="5">#REF!</definedName>
    <definedName name="__CPT711675">#REF!</definedName>
    <definedName name="__CPT711700" localSheetId="5">#REF!</definedName>
    <definedName name="__CPT711700">#REF!</definedName>
    <definedName name="__CPT711701" localSheetId="5">#REF!</definedName>
    <definedName name="__CPT711701">#REF!</definedName>
    <definedName name="__CPT711702" localSheetId="5">#REF!</definedName>
    <definedName name="__CPT711702">#REF!</definedName>
    <definedName name="__CPT711710" localSheetId="5">#REF!</definedName>
    <definedName name="__CPT711710">#REF!</definedName>
    <definedName name="__CPT711715" localSheetId="5">#REF!</definedName>
    <definedName name="__CPT711715">#REF!</definedName>
    <definedName name="__CPT711720" localSheetId="5">#REF!</definedName>
    <definedName name="__CPT711720">#REF!</definedName>
    <definedName name="__CPT711725" localSheetId="5">#REF!</definedName>
    <definedName name="__CPT711725">#REF!</definedName>
    <definedName name="__CPT711730" localSheetId="5">#REF!</definedName>
    <definedName name="__CPT711730">#REF!</definedName>
    <definedName name="__CPT711735" localSheetId="5">#REF!</definedName>
    <definedName name="__CPT711735">#REF!</definedName>
    <definedName name="__CPT711740" localSheetId="5">#REF!</definedName>
    <definedName name="__CPT711740">#REF!</definedName>
    <definedName name="__CPT711745" localSheetId="5">#REF!</definedName>
    <definedName name="__CPT711745">#REF!</definedName>
    <definedName name="__CPT711750" localSheetId="5">#REF!</definedName>
    <definedName name="__CPT711750">#REF!</definedName>
    <definedName name="__CPT711755" localSheetId="5">#REF!</definedName>
    <definedName name="__CPT711755">#REF!</definedName>
    <definedName name="__CPT711760" localSheetId="5">#REF!</definedName>
    <definedName name="__CPT711760">#REF!</definedName>
    <definedName name="__CPT711765" localSheetId="5">#REF!</definedName>
    <definedName name="__CPT711765">#REF!</definedName>
    <definedName name="__CPT711770" localSheetId="5">#REF!</definedName>
    <definedName name="__CPT711770">#REF!</definedName>
    <definedName name="__CPT711775" localSheetId="5">#REF!</definedName>
    <definedName name="__CPT711775">#REF!</definedName>
    <definedName name="__CPT711780" localSheetId="5">#REF!</definedName>
    <definedName name="__CPT711780">#REF!</definedName>
    <definedName name="__CPT711785" localSheetId="5">#REF!</definedName>
    <definedName name="__CPT711785">#REF!</definedName>
    <definedName name="__CPT711790" localSheetId="5">#REF!</definedName>
    <definedName name="__CPT711790">#REF!</definedName>
    <definedName name="__CPT711795" localSheetId="5">#REF!</definedName>
    <definedName name="__CPT711795">#REF!</definedName>
    <definedName name="__CPT711800" localSheetId="5">#REF!</definedName>
    <definedName name="__CPT711800">#REF!</definedName>
    <definedName name="__CPT711801" localSheetId="5">#REF!</definedName>
    <definedName name="__CPT711801">#REF!</definedName>
    <definedName name="__CPT711802" localSheetId="5">#REF!</definedName>
    <definedName name="__CPT711802">#REF!</definedName>
    <definedName name="__CPT711804" localSheetId="5">#REF!</definedName>
    <definedName name="__CPT711804">#REF!</definedName>
    <definedName name="__CPT711840" localSheetId="5">#REF!</definedName>
    <definedName name="__CPT711840">#REF!</definedName>
    <definedName name="__CPT711890" localSheetId="5">#REF!</definedName>
    <definedName name="__CPT711890">#REF!</definedName>
    <definedName name="__CPT711900" localSheetId="5">#REF!</definedName>
    <definedName name="__CPT711900">#REF!</definedName>
    <definedName name="__CPT712110" localSheetId="5">#REF!</definedName>
    <definedName name="__CPT712110">#REF!</definedName>
    <definedName name="__CPT712138" localSheetId="5">#REF!</definedName>
    <definedName name="__CPT712138">#REF!</definedName>
    <definedName name="__CPT712139" localSheetId="5">#REF!</definedName>
    <definedName name="__CPT712139">#REF!</definedName>
    <definedName name="__CPT712148" localSheetId="5">#REF!</definedName>
    <definedName name="__CPT712148">#REF!</definedName>
    <definedName name="__CPT712149" localSheetId="5">#REF!</definedName>
    <definedName name="__CPT712149">#REF!</definedName>
    <definedName name="__CPT712159" localSheetId="5">#REF!</definedName>
    <definedName name="__CPT712159">#REF!</definedName>
    <definedName name="__CPT712160" localSheetId="5">#REF!</definedName>
    <definedName name="__CPT712160">#REF!</definedName>
    <definedName name="__CPT712180" localSheetId="5">#REF!</definedName>
    <definedName name="__CPT712180">#REF!</definedName>
    <definedName name="__CPT712200" localSheetId="5">#REF!</definedName>
    <definedName name="__CPT712200">#REF!</definedName>
    <definedName name="__CPT712800" localSheetId="5">#REF!</definedName>
    <definedName name="__CPT712800">#REF!</definedName>
    <definedName name="__CPT712900" localSheetId="5">#REF!</definedName>
    <definedName name="__CPT712900">#REF!</definedName>
    <definedName name="__CPT713100" localSheetId="5">#REF!</definedName>
    <definedName name="__CPT713100">#REF!</definedName>
    <definedName name="__CPT713110" localSheetId="5">#REF!</definedName>
    <definedName name="__CPT713110">#REF!</definedName>
    <definedName name="__CPT713190" localSheetId="5">#REF!</definedName>
    <definedName name="__CPT713190">#REF!</definedName>
    <definedName name="__CPT713200" localSheetId="5">#REF!</definedName>
    <definedName name="__CPT713200">#REF!</definedName>
    <definedName name="__CPT713210" localSheetId="5">#REF!</definedName>
    <definedName name="__CPT713210">#REF!</definedName>
    <definedName name="__CPT713290" localSheetId="5">#REF!</definedName>
    <definedName name="__CPT713290">#REF!</definedName>
    <definedName name="__CPT713300" localSheetId="5">#REF!</definedName>
    <definedName name="__CPT713300">#REF!</definedName>
    <definedName name="__CPT713310" localSheetId="5">#REF!</definedName>
    <definedName name="__CPT713310">#REF!</definedName>
    <definedName name="__CPT713350" localSheetId="5">#REF!</definedName>
    <definedName name="__CPT713350">#REF!</definedName>
    <definedName name="__CPT713360" localSheetId="5">#REF!</definedName>
    <definedName name="__CPT713360">#REF!</definedName>
    <definedName name="__CPT713370" localSheetId="5">#REF!</definedName>
    <definedName name="__CPT713370">#REF!</definedName>
    <definedName name="__CPT713390" localSheetId="5">#REF!</definedName>
    <definedName name="__CPT713390">#REF!</definedName>
    <definedName name="__CPT713400" localSheetId="5">#REF!</definedName>
    <definedName name="__CPT713400">#REF!</definedName>
    <definedName name="__CPT713410" localSheetId="5">#REF!</definedName>
    <definedName name="__CPT713410">#REF!</definedName>
    <definedName name="__CPT713490" localSheetId="5">#REF!</definedName>
    <definedName name="__CPT713490">#REF!</definedName>
    <definedName name="__cpt713508" localSheetId="5">#REF!</definedName>
    <definedName name="__cpt713508">#REF!</definedName>
    <definedName name="__CPT713509" localSheetId="5">#REF!</definedName>
    <definedName name="__CPT713509">#REF!</definedName>
    <definedName name="__CPT715200" localSheetId="5">#REF!</definedName>
    <definedName name="__CPT715200">#REF!</definedName>
    <definedName name="__CPT715320" localSheetId="5">#REF!</definedName>
    <definedName name="__CPT715320">#REF!</definedName>
    <definedName name="__CPT715325" localSheetId="5">#REF!</definedName>
    <definedName name="__CPT715325">#REF!</definedName>
    <definedName name="__CPT715410" localSheetId="5">#REF!</definedName>
    <definedName name="__CPT715410">#REF!</definedName>
    <definedName name="__CPT715420" localSheetId="5">#REF!</definedName>
    <definedName name="__CPT715420">#REF!</definedName>
    <definedName name="__CPT715430" localSheetId="5">#REF!</definedName>
    <definedName name="__CPT715430">#REF!</definedName>
    <definedName name="__CPT715450" localSheetId="5">#REF!</definedName>
    <definedName name="__CPT715450">#REF!</definedName>
    <definedName name="__CPT715480" localSheetId="5">[1]DETCONSO!#REF!</definedName>
    <definedName name="__CPT715480">[1]DETCONSO!#REF!</definedName>
    <definedName name="__CPT715490" localSheetId="5">#REF!</definedName>
    <definedName name="__CPT715490">#REF!</definedName>
    <definedName name="__CPT715510" localSheetId="5">#REF!</definedName>
    <definedName name="__CPT715510">#REF!</definedName>
    <definedName name="__CPT715515" localSheetId="5">#REF!</definedName>
    <definedName name="__CPT715515">#REF!</definedName>
    <definedName name="__CPT715520" localSheetId="5">#REF!</definedName>
    <definedName name="__CPT715520">#REF!</definedName>
    <definedName name="__CPT715525" localSheetId="5">#REF!</definedName>
    <definedName name="__CPT715525">#REF!</definedName>
    <definedName name="__CPT715530" localSheetId="5">#REF!</definedName>
    <definedName name="__CPT715530">#REF!</definedName>
    <definedName name="__CPT715550" localSheetId="5">#REF!</definedName>
    <definedName name="__CPT715550">#REF!</definedName>
    <definedName name="__CPT715570" localSheetId="5">[1]DETCONSO!#REF!</definedName>
    <definedName name="__CPT715570">[1]DETCONSO!#REF!</definedName>
    <definedName name="__CPT715600" localSheetId="5">#REF!</definedName>
    <definedName name="__CPT715600">#REF!</definedName>
    <definedName name="__CPT715610" localSheetId="5">#REF!</definedName>
    <definedName name="__CPT715610">#REF!</definedName>
    <definedName name="__CPT715620" localSheetId="5">#REF!</definedName>
    <definedName name="__CPT715620">#REF!</definedName>
    <definedName name="__CPT715630" localSheetId="5">#REF!</definedName>
    <definedName name="__CPT715630">#REF!</definedName>
    <definedName name="__CPT715640" localSheetId="5">#REF!</definedName>
    <definedName name="__CPT715640">#REF!</definedName>
    <definedName name="__CPT715701" localSheetId="5">#REF!</definedName>
    <definedName name="__CPT715701">#REF!</definedName>
    <definedName name="__CPT715702" localSheetId="5">#REF!</definedName>
    <definedName name="__CPT715702">#REF!</definedName>
    <definedName name="__CPT715703" localSheetId="5">#REF!</definedName>
    <definedName name="__CPT715703">#REF!</definedName>
    <definedName name="__CPT715704" localSheetId="5">#REF!</definedName>
    <definedName name="__CPT715704">#REF!</definedName>
    <definedName name="__CPT715705" localSheetId="5">#REF!</definedName>
    <definedName name="__CPT715705">#REF!</definedName>
    <definedName name="__CPT715706" localSheetId="5">#REF!</definedName>
    <definedName name="__CPT715706">#REF!</definedName>
    <definedName name="__CPT715720" localSheetId="5">#REF!</definedName>
    <definedName name="__CPT715720">#REF!</definedName>
    <definedName name="__CPT715725" localSheetId="5">[1]DETCONSO!#REF!</definedName>
    <definedName name="__CPT715725">[1]DETCONSO!#REF!</definedName>
    <definedName name="__CPT715730" localSheetId="5">#REF!</definedName>
    <definedName name="__CPT715730">#REF!</definedName>
    <definedName name="__CPT715740" localSheetId="5">#REF!</definedName>
    <definedName name="__CPT715740">#REF!</definedName>
    <definedName name="__CPT715760" localSheetId="5">#REF!</definedName>
    <definedName name="__CPT715760">#REF!</definedName>
    <definedName name="__CPT715770" localSheetId="5">[1]DETCONSO!#REF!</definedName>
    <definedName name="__CPT715770">[1]DETCONSO!#REF!</definedName>
    <definedName name="__CPT715790" localSheetId="5">#REF!</definedName>
    <definedName name="__CPT715790">#REF!</definedName>
    <definedName name="__CPT715795" localSheetId="5">#REF!</definedName>
    <definedName name="__CPT715795">#REF!</definedName>
    <definedName name="__CPT715800" localSheetId="5">#REF!</definedName>
    <definedName name="__CPT715800">#REF!</definedName>
    <definedName name="__CPT715805" localSheetId="5">#REF!</definedName>
    <definedName name="__CPT715805">#REF!</definedName>
    <definedName name="__CPT715810" localSheetId="5">#REF!</definedName>
    <definedName name="__CPT715810">#REF!</definedName>
    <definedName name="__CPT715815" localSheetId="5">#REF!</definedName>
    <definedName name="__CPT715815">#REF!</definedName>
    <definedName name="__CPT715900" localSheetId="5">#REF!</definedName>
    <definedName name="__CPT715900">#REF!</definedName>
    <definedName name="__CPT715905" localSheetId="5">#REF!</definedName>
    <definedName name="__CPT715905">#REF!</definedName>
    <definedName name="__CPT715910" localSheetId="5">#REF!</definedName>
    <definedName name="__CPT715910">#REF!</definedName>
    <definedName name="__CPT719100" localSheetId="5">#REF!</definedName>
    <definedName name="__CPT719100">#REF!</definedName>
    <definedName name="__CPT719105" localSheetId="5">#REF!</definedName>
    <definedName name="__CPT719105">#REF!</definedName>
    <definedName name="__CPT719110" localSheetId="5">#REF!</definedName>
    <definedName name="__CPT719110">#REF!</definedName>
    <definedName name="__CPT719115" localSheetId="5">#REF!</definedName>
    <definedName name="__CPT719115">#REF!</definedName>
    <definedName name="__CPT719120" localSheetId="5">#REF!</definedName>
    <definedName name="__CPT719120">#REF!</definedName>
    <definedName name="__CPT719125" localSheetId="5">[1]DETCONSO!#REF!</definedName>
    <definedName name="__CPT719125">[1]DETCONSO!#REF!</definedName>
    <definedName name="__CPT719130" localSheetId="5">#REF!</definedName>
    <definedName name="__CPT719130">#REF!</definedName>
    <definedName name="__CPT719135" localSheetId="5">#REF!</definedName>
    <definedName name="__CPT719135">#REF!</definedName>
    <definedName name="__CPT719140" localSheetId="5">#REF!</definedName>
    <definedName name="__CPT719140">#REF!</definedName>
    <definedName name="__CPT719145" localSheetId="5">#REF!</definedName>
    <definedName name="__CPT719145">#REF!</definedName>
    <definedName name="__CPT719150" localSheetId="5">#REF!</definedName>
    <definedName name="__CPT719150">#REF!</definedName>
    <definedName name="__CPT719155" localSheetId="5">#REF!</definedName>
    <definedName name="__CPT719155">#REF!</definedName>
    <definedName name="__CPT719160" localSheetId="5">#REF!</definedName>
    <definedName name="__CPT719160">#REF!</definedName>
    <definedName name="__CPT719220" localSheetId="5">#REF!</definedName>
    <definedName name="__CPT719220">#REF!</definedName>
    <definedName name="__CPT719240" localSheetId="5">#REF!</definedName>
    <definedName name="__CPT719240">#REF!</definedName>
    <definedName name="__CPT719260" localSheetId="5">#REF!</definedName>
    <definedName name="__CPT719260">#REF!</definedName>
    <definedName name="__CPT721000" localSheetId="5">#REF!</definedName>
    <definedName name="__CPT721000">#REF!</definedName>
    <definedName name="__CPT721770" localSheetId="5">#REF!</definedName>
    <definedName name="__CPT721770">#REF!</definedName>
    <definedName name="__CPT721780" localSheetId="5">#REF!</definedName>
    <definedName name="__CPT721780">#REF!</definedName>
    <definedName name="__CPT726000" localSheetId="5">#REF!</definedName>
    <definedName name="__CPT726000">#REF!</definedName>
    <definedName name="__CPT727000" localSheetId="5">#REF!</definedName>
    <definedName name="__CPT727000">#REF!</definedName>
    <definedName name="__CPT728000" localSheetId="5">#REF!</definedName>
    <definedName name="__CPT728000">#REF!</definedName>
    <definedName name="__CPT728008" localSheetId="5">#REF!</definedName>
    <definedName name="__CPT728008">#REF!</definedName>
    <definedName name="__CPT728018" localSheetId="5">#REF!</definedName>
    <definedName name="__CPT728018">#REF!</definedName>
    <definedName name="__CPT729000" localSheetId="5">#REF!</definedName>
    <definedName name="__CPT729000">#REF!</definedName>
    <definedName name="__CPT729100" localSheetId="5">#REF!</definedName>
    <definedName name="__CPT729100">#REF!</definedName>
    <definedName name="__CPT729200" localSheetId="5">#REF!</definedName>
    <definedName name="__CPT729200">#REF!</definedName>
    <definedName name="__CPT732000" localSheetId="5">#REF!</definedName>
    <definedName name="__CPT732000">#REF!</definedName>
    <definedName name="__CPT732100" localSheetId="5">#REF!</definedName>
    <definedName name="__CPT732100">#REF!</definedName>
    <definedName name="__CPT732200" localSheetId="5">#REF!</definedName>
    <definedName name="__CPT732200">#REF!</definedName>
    <definedName name="__CPT749200" localSheetId="5">#REF!</definedName>
    <definedName name="__CPT749200">#REF!</definedName>
    <definedName name="__CPT749250" localSheetId="5">#REF!</definedName>
    <definedName name="__CPT749250">#REF!</definedName>
    <definedName name="__cpt749350" localSheetId="5">#REF!</definedName>
    <definedName name="__cpt749350">#REF!</definedName>
    <definedName name="__CPT753100" localSheetId="5">#REF!</definedName>
    <definedName name="__CPT753100">#REF!</definedName>
    <definedName name="__CPT753150" localSheetId="5">#REF!</definedName>
    <definedName name="__CPT753150">#REF!</definedName>
    <definedName name="__CPT753160" localSheetId="5">#REF!</definedName>
    <definedName name="__CPT753160">#REF!</definedName>
    <definedName name="__CPT753200" localSheetId="5">#REF!</definedName>
    <definedName name="__CPT753200">#REF!</definedName>
    <definedName name="__CPT753250" localSheetId="5">#REF!</definedName>
    <definedName name="__CPT753250">#REF!</definedName>
    <definedName name="__CPT753280" localSheetId="5">#REF!</definedName>
    <definedName name="__CPT753280">#REF!</definedName>
    <definedName name="__CPT753300" localSheetId="5">#REF!</definedName>
    <definedName name="__CPT753300">#REF!</definedName>
    <definedName name="__CPT753310" localSheetId="5">#REF!</definedName>
    <definedName name="__CPT753310">#REF!</definedName>
    <definedName name="__CPT753320" localSheetId="5">#REF!</definedName>
    <definedName name="__CPT753320">#REF!</definedName>
    <definedName name="__CPT753350" localSheetId="5">#REF!</definedName>
    <definedName name="__CPT753350">#REF!</definedName>
    <definedName name="__CPT753380" localSheetId="5">#REF!</definedName>
    <definedName name="__CPT753380">#REF!</definedName>
    <definedName name="__CPT753390" localSheetId="5">#REF!</definedName>
    <definedName name="__CPT753390">#REF!</definedName>
    <definedName name="__CPT753400" localSheetId="5">#REF!</definedName>
    <definedName name="__CPT753400">#REF!</definedName>
    <definedName name="__CPT753410" localSheetId="5">#REF!</definedName>
    <definedName name="__CPT753410">#REF!</definedName>
    <definedName name="__CPT753420" localSheetId="5">#REF!</definedName>
    <definedName name="__CPT753420">#REF!</definedName>
    <definedName name="__CPT753430" localSheetId="5">#REF!</definedName>
    <definedName name="__CPT753430">#REF!</definedName>
    <definedName name="__CPT753450" localSheetId="5">#REF!</definedName>
    <definedName name="__CPT753450">#REF!</definedName>
    <definedName name="__CPT753500" localSheetId="5">#REF!</definedName>
    <definedName name="__CPT753500">#REF!</definedName>
    <definedName name="__CPT753600" localSheetId="5">#REF!</definedName>
    <definedName name="__CPT753600">#REF!</definedName>
    <definedName name="__CPT753610" localSheetId="5">#REF!</definedName>
    <definedName name="__CPT753610">#REF!</definedName>
    <definedName name="__CPT753620" localSheetId="5">#REF!</definedName>
    <definedName name="__CPT753620">#REF!</definedName>
    <definedName name="__CPT753630" localSheetId="5">#REF!</definedName>
    <definedName name="__CPT753630">#REF!</definedName>
    <definedName name="__CPT753640" localSheetId="5">#REF!</definedName>
    <definedName name="__CPT753640">#REF!</definedName>
    <definedName name="__CPT753650" localSheetId="5">#REF!</definedName>
    <definedName name="__CPT753650">#REF!</definedName>
    <definedName name="__CPT753700" localSheetId="5">#REF!</definedName>
    <definedName name="__CPT753700">#REF!</definedName>
    <definedName name="__CPT753708" localSheetId="5">[1]DETCONSO!#REF!</definedName>
    <definedName name="__CPT753708">[1]DETCONSO!#REF!</definedName>
    <definedName name="__CPT753750" localSheetId="5">#REF!</definedName>
    <definedName name="__CPT753750">#REF!</definedName>
    <definedName name="__CPT753755" localSheetId="5">#REF!</definedName>
    <definedName name="__CPT753755">#REF!</definedName>
    <definedName name="__CPT753760" localSheetId="5">#REF!</definedName>
    <definedName name="__CPT753760">#REF!</definedName>
    <definedName name="__CPT753761" localSheetId="5">#REF!</definedName>
    <definedName name="__CPT753761">#REF!</definedName>
    <definedName name="__CPT753762" localSheetId="5">#REF!</definedName>
    <definedName name="__CPT753762">#REF!</definedName>
    <definedName name="__CPT753770" localSheetId="5">#REF!</definedName>
    <definedName name="__CPT753770">#REF!</definedName>
    <definedName name="__CPT753780" localSheetId="5">#REF!</definedName>
    <definedName name="__CPT753780">#REF!</definedName>
    <definedName name="__CPT753800" localSheetId="5">#REF!</definedName>
    <definedName name="__CPT753800">#REF!</definedName>
    <definedName name="__CPT757000" localSheetId="5">#REF!</definedName>
    <definedName name="__CPT757000">#REF!</definedName>
    <definedName name="__CPT763000" localSheetId="5">#REF!</definedName>
    <definedName name="__CPT763000">#REF!</definedName>
    <definedName name="__CPT763010" localSheetId="5">#REF!</definedName>
    <definedName name="__CPT763010">#REF!</definedName>
    <definedName name="__CPT763020" localSheetId="5">#REF!</definedName>
    <definedName name="__CPT763020">#REF!</definedName>
    <definedName name="__CPT763030" localSheetId="5">#REF!</definedName>
    <definedName name="__CPT763030">#REF!</definedName>
    <definedName name="__CPT763100" localSheetId="5">#REF!</definedName>
    <definedName name="__CPT763100">#REF!</definedName>
    <definedName name="__CPT763200" localSheetId="5">#REF!</definedName>
    <definedName name="__CPT763200">#REF!</definedName>
    <definedName name="__CPT763450" localSheetId="5">#REF!</definedName>
    <definedName name="__CPT763450">#REF!</definedName>
    <definedName name="__CPT764000" localSheetId="5">#REF!</definedName>
    <definedName name="__CPT764000">#REF!</definedName>
    <definedName name="__CPT764100" localSheetId="5">#REF!</definedName>
    <definedName name="__CPT764100">#REF!</definedName>
    <definedName name="__CPT764200" localSheetId="5">#REF!</definedName>
    <definedName name="__CPT764200">#REF!</definedName>
    <definedName name="__CPT765000" localSheetId="5">#REF!</definedName>
    <definedName name="__CPT765000">#REF!</definedName>
    <definedName name="__CPT765150" localSheetId="5">#REF!</definedName>
    <definedName name="__CPT765150">#REF!</definedName>
    <definedName name="__CPT765350" localSheetId="5">#REF!</definedName>
    <definedName name="__CPT765350">#REF!</definedName>
    <definedName name="__CPT765500" localSheetId="5">#REF!</definedName>
    <definedName name="__CPT765500">#REF!</definedName>
    <definedName name="__CPT766000" localSheetId="5">#REF!</definedName>
    <definedName name="__CPT766000">#REF!</definedName>
    <definedName name="__CPT766100" localSheetId="5">#REF!</definedName>
    <definedName name="__CPT766100">#REF!</definedName>
    <definedName name="__CPT80101" localSheetId="5">#REF!</definedName>
    <definedName name="__CPT80101">#REF!</definedName>
    <definedName name="__CPT80102" localSheetId="5">#REF!</definedName>
    <definedName name="__CPT80102">#REF!</definedName>
    <definedName name="__CPT80103" localSheetId="5">#REF!</definedName>
    <definedName name="__CPT80103">#REF!</definedName>
    <definedName name="__CPT80104" localSheetId="5">#REF!</definedName>
    <definedName name="__CPT80104">#REF!</definedName>
    <definedName name="__CPT80105" localSheetId="5">#REF!</definedName>
    <definedName name="__CPT80105">#REF!</definedName>
    <definedName name="__CPT80106" localSheetId="5">#REF!</definedName>
    <definedName name="__CPT80106">#REF!</definedName>
    <definedName name="__CPT80107" localSheetId="5">#REF!</definedName>
    <definedName name="__CPT80107">#REF!</definedName>
    <definedName name="__CPT80109" localSheetId="5">#REF!</definedName>
    <definedName name="__CPT80109">#REF!</definedName>
    <definedName name="__CPT80110" localSheetId="5">#REF!</definedName>
    <definedName name="__CPT80110">#REF!</definedName>
    <definedName name="__CPT80130" localSheetId="5">#REF!</definedName>
    <definedName name="__CPT80130">#REF!</definedName>
    <definedName name="__CPT83101" localSheetId="5">#REF!</definedName>
    <definedName name="__CPT83101">#REF!</definedName>
    <definedName name="__CPT83102" localSheetId="5">#REF!</definedName>
    <definedName name="__CPT83102">#REF!</definedName>
    <definedName name="__CPT83103" localSheetId="5">#REF!</definedName>
    <definedName name="__CPT83103">#REF!</definedName>
    <definedName name="__CPT83104" localSheetId="5">#REF!</definedName>
    <definedName name="__CPT83104">#REF!</definedName>
    <definedName name="__CPT83106" localSheetId="5">#REF!</definedName>
    <definedName name="__CPT83106">#REF!</definedName>
    <definedName name="__CPT83107" localSheetId="5">#REF!</definedName>
    <definedName name="__CPT83107">#REF!</definedName>
    <definedName name="__CPT83109" localSheetId="5">#REF!</definedName>
    <definedName name="__CPT83109">#REF!</definedName>
    <definedName name="__CUC1" localSheetId="5">#REF!</definedName>
    <definedName name="__CUC1">#REF!</definedName>
    <definedName name="__IAM10645" localSheetId="5">#REF!</definedName>
    <definedName name="__IAM10645">#REF!</definedName>
    <definedName name="__IMM2" localSheetId="5">[2]EXPERTISE!#REF!</definedName>
    <definedName name="__IMM2">[2]EXPERTISE!#REF!</definedName>
    <definedName name="__MEQ2661" localSheetId="5">#REF!</definedName>
    <definedName name="__MEQ2661">#REF!</definedName>
    <definedName name="__MEQ2662" localSheetId="5">#REF!</definedName>
    <definedName name="__MEQ2662">#REF!</definedName>
    <definedName name="__MEQ2663" localSheetId="5">#REF!</definedName>
    <definedName name="__MEQ2663">#REF!</definedName>
    <definedName name="__MEQ2664" localSheetId="5">#REF!</definedName>
    <definedName name="__MEQ2664">#REF!</definedName>
    <definedName name="__MEQ2665" localSheetId="5">#REF!</definedName>
    <definedName name="__MEQ2665">#REF!</definedName>
    <definedName name="__MEQ2666" localSheetId="5">#REF!</definedName>
    <definedName name="__MEQ2666">#REF!</definedName>
    <definedName name="__MEQ2667" localSheetId="5">#REF!</definedName>
    <definedName name="__MEQ2667">#REF!</definedName>
    <definedName name="__MEQ2668" localSheetId="5">#REF!</definedName>
    <definedName name="__MEQ2668">#REF!</definedName>
    <definedName name="__MEQ671004" localSheetId="5">#REF!</definedName>
    <definedName name="__MEQ671004">#REF!</definedName>
    <definedName name="__MEQ769004" localSheetId="5">#REF!</definedName>
    <definedName name="__MEQ769004">#REF!</definedName>
    <definedName name="__MEQ769005" localSheetId="5">#REF!</definedName>
    <definedName name="__MEQ769005">#REF!</definedName>
    <definedName name="__MEQ769006" localSheetId="5">#REF!</definedName>
    <definedName name="__MEQ769006">#REF!</definedName>
    <definedName name="__MEQ769007" localSheetId="5">#REF!</definedName>
    <definedName name="__MEQ769007">#REF!</definedName>
    <definedName name="__MEQ769008" localSheetId="5">#REF!</definedName>
    <definedName name="__MEQ769008">#REF!</definedName>
    <definedName name="__MEQ769300" localSheetId="5">#REF!</definedName>
    <definedName name="__MEQ769300">#REF!</definedName>
    <definedName name="__PBA1" localSheetId="5">#REF!</definedName>
    <definedName name="__PBA1">#REF!</definedName>
    <definedName name="__PBA2" localSheetId="5">#REF!</definedName>
    <definedName name="__PBA2">#REF!</definedName>
    <definedName name="__PPA01" localSheetId="5">[3]PORT_HORS_CONSO!#REF!</definedName>
    <definedName name="__PPA01">[3]PORT_HORS_CONSO!#REF!</definedName>
    <definedName name="__RE119" localSheetId="5">#REF!</definedName>
    <definedName name="__RE119">#REF!</definedName>
    <definedName name="__RE120" localSheetId="5">#REF!</definedName>
    <definedName name="__RE120">#REF!</definedName>
    <definedName name="__RE129" localSheetId="5">#REF!</definedName>
    <definedName name="__RE129">#REF!</definedName>
    <definedName name="__RE689" localSheetId="5">#REF!</definedName>
    <definedName name="__RE689">#REF!</definedName>
    <definedName name="__RE699" localSheetId="5">#REF!</definedName>
    <definedName name="__RE699">#REF!</definedName>
    <definedName name="__ste2" localSheetId="5">[2]EXPERTISE!#REF!</definedName>
    <definedName name="__ste2">[2]EXPERTISE!#REF!</definedName>
    <definedName name="__TFT2014">#REF!</definedName>
    <definedName name="__TFT2015">#REF!</definedName>
    <definedName name="__Z649600" localSheetId="5">#REF!</definedName>
    <definedName name="__Z649600">#REF!</definedName>
    <definedName name="__Z715570" localSheetId="5">#REF!</definedName>
    <definedName name="__Z715570">#REF!</definedName>
    <definedName name="__Z715725" localSheetId="5">#REF!</definedName>
    <definedName name="__Z715725">#REF!</definedName>
    <definedName name="__Z715770" localSheetId="5">#REF!</definedName>
    <definedName name="__Z715770">#REF!</definedName>
    <definedName name="_1" localSheetId="5">#REF!</definedName>
    <definedName name="_1">#REF!</definedName>
    <definedName name="_2" localSheetId="5">#REF!</definedName>
    <definedName name="_2">#REF!</definedName>
    <definedName name="_AMO_UniqueIdentifier" hidden="1">"'06305137-fc32-4f68-961f-d96ce332b540'"</definedName>
    <definedName name="_CDC3036" localSheetId="5">#REF!</definedName>
    <definedName name="_CDC3036">#REF!</definedName>
    <definedName name="_cdc36564" localSheetId="5">#REF!</definedName>
    <definedName name="_cdc36564">#REF!</definedName>
    <definedName name="_CDC36566" localSheetId="5">#REF!</definedName>
    <definedName name="_CDC36566">#REF!</definedName>
    <definedName name="_cdc365662" localSheetId="5">#REF!</definedName>
    <definedName name="_cdc365662">#REF!</definedName>
    <definedName name="_CDC36568" localSheetId="5">#REF!</definedName>
    <definedName name="_CDC36568">#REF!</definedName>
    <definedName name="_cdc6311" localSheetId="5">#REF!</definedName>
    <definedName name="_cdc6311">#REF!</definedName>
    <definedName name="_CDC6321" localSheetId="5">#REF!</definedName>
    <definedName name="_CDC6321">#REF!</definedName>
    <definedName name="_CDC6332" localSheetId="5">#REF!</definedName>
    <definedName name="_CDC6332">#REF!</definedName>
    <definedName name="_CDC635" localSheetId="5">#REF!</definedName>
    <definedName name="_CDC635">#REF!</definedName>
    <definedName name="_CDC63911" localSheetId="5">#REF!</definedName>
    <definedName name="_CDC63911">#REF!</definedName>
    <definedName name="_cdc63915" localSheetId="5">#REF!</definedName>
    <definedName name="_cdc63915">#REF!</definedName>
    <definedName name="_cdc63916" localSheetId="5">#REF!</definedName>
    <definedName name="_cdc63916">#REF!</definedName>
    <definedName name="_CDC63925" localSheetId="5">#REF!</definedName>
    <definedName name="_CDC63925">#REF!</definedName>
    <definedName name="_CDC63928" localSheetId="5">#REF!</definedName>
    <definedName name="_CDC63928">#REF!</definedName>
    <definedName name="_CDC928" localSheetId="5">#REF!</definedName>
    <definedName name="_CDC928">#REF!</definedName>
    <definedName name="_CDC94311" localSheetId="5">#REF!</definedName>
    <definedName name="_CDC94311">#REF!</definedName>
    <definedName name="_CDC943211" localSheetId="5">#REF!</definedName>
    <definedName name="_CDC943211">#REF!</definedName>
    <definedName name="_CDC943212" localSheetId="5">#REF!</definedName>
    <definedName name="_CDC943212">#REF!</definedName>
    <definedName name="_CDC943222" localSheetId="5">#REF!</definedName>
    <definedName name="_CDC943222">#REF!</definedName>
    <definedName name="_CDC94411" localSheetId="5">#REF!</definedName>
    <definedName name="_CDC94411">#REF!</definedName>
    <definedName name="_CDC94821" localSheetId="5">#REF!</definedName>
    <definedName name="_CDC94821">#REF!</definedName>
    <definedName name="_CDC94822" localSheetId="5">#REF!</definedName>
    <definedName name="_CDC94822">#REF!</definedName>
    <definedName name="_CDC95199" localSheetId="5">#REF!</definedName>
    <definedName name="_CDC95199">#REF!</definedName>
    <definedName name="_CDC95299" localSheetId="5">#REF!</definedName>
    <definedName name="_CDC95299">#REF!</definedName>
    <definedName name="_CPT10645">#N/A</definedName>
    <definedName name="_cpt2" localSheetId="5">#REF!</definedName>
    <definedName name="_cpt2">#REF!</definedName>
    <definedName name="_cpt3" localSheetId="5">#REF!</definedName>
    <definedName name="_cpt3">#REF!</definedName>
    <definedName name="_cpt4" localSheetId="5">#REF!</definedName>
    <definedName name="_cpt4">#REF!</definedName>
    <definedName name="_CPT611200" localSheetId="5">#REF!</definedName>
    <definedName name="_CPT611200">#REF!</definedName>
    <definedName name="_CPT611310" localSheetId="5">#REF!</definedName>
    <definedName name="_CPT611310">#REF!</definedName>
    <definedName name="_CPT611317" localSheetId="5">#REF!</definedName>
    <definedName name="_CPT611317">#REF!</definedName>
    <definedName name="_CPT611318" localSheetId="5">#REF!</definedName>
    <definedName name="_CPT611318">#REF!</definedName>
    <definedName name="_CPT611320" localSheetId="5">#REF!</definedName>
    <definedName name="_CPT611320">#REF!</definedName>
    <definedName name="_CPT611328" localSheetId="5">#REF!</definedName>
    <definedName name="_CPT611328">#REF!</definedName>
    <definedName name="_CPT611600" localSheetId="5">#REF!</definedName>
    <definedName name="_CPT611600">#REF!</definedName>
    <definedName name="_CPT611610" localSheetId="5">#REF!</definedName>
    <definedName name="_CPT611610">#REF!</definedName>
    <definedName name="_CPT611615" localSheetId="5">#REF!</definedName>
    <definedName name="_CPT611615">#REF!</definedName>
    <definedName name="_CPT611620" localSheetId="5">#REF!</definedName>
    <definedName name="_CPT611620">#REF!</definedName>
    <definedName name="_CPT611625" localSheetId="5">#REF!</definedName>
    <definedName name="_CPT611625">#REF!</definedName>
    <definedName name="_CPT611630" localSheetId="5">#REF!</definedName>
    <definedName name="_CPT611630">#REF!</definedName>
    <definedName name="_CPT611635" localSheetId="5">#REF!</definedName>
    <definedName name="_CPT611635">#REF!</definedName>
    <definedName name="_CPT611640" localSheetId="5">#REF!</definedName>
    <definedName name="_CPT611640">#REF!</definedName>
    <definedName name="_CPT611650" localSheetId="5">#REF!</definedName>
    <definedName name="_CPT611650">#REF!</definedName>
    <definedName name="_CPT611655" localSheetId="5">#REF!</definedName>
    <definedName name="_CPT611655">#REF!</definedName>
    <definedName name="_CPT611660" localSheetId="5">#REF!</definedName>
    <definedName name="_CPT611660">#REF!</definedName>
    <definedName name="_CPT611665" localSheetId="5">#REF!</definedName>
    <definedName name="_CPT611665">#REF!</definedName>
    <definedName name="_CPT611670" localSheetId="5">#REF!</definedName>
    <definedName name="_CPT611670">#REF!</definedName>
    <definedName name="_CPT611675" localSheetId="5">#REF!</definedName>
    <definedName name="_CPT611675">#REF!</definedName>
    <definedName name="_CPT611700" localSheetId="5">#REF!</definedName>
    <definedName name="_CPT611700">#REF!</definedName>
    <definedName name="_CPT611701" localSheetId="5">#REF!</definedName>
    <definedName name="_CPT611701">#REF!</definedName>
    <definedName name="_CPT611702" localSheetId="5">#REF!</definedName>
    <definedName name="_CPT611702">#REF!</definedName>
    <definedName name="_CPT611710" localSheetId="5">#REF!</definedName>
    <definedName name="_CPT611710">#REF!</definedName>
    <definedName name="_CPT611715" localSheetId="5">#REF!</definedName>
    <definedName name="_CPT611715">#REF!</definedName>
    <definedName name="_CPT611720" localSheetId="5">#REF!</definedName>
    <definedName name="_CPT611720">#REF!</definedName>
    <definedName name="_CPT611725" localSheetId="5">#REF!</definedName>
    <definedName name="_CPT611725">#REF!</definedName>
    <definedName name="_CPT611730" localSheetId="5">#REF!</definedName>
    <definedName name="_CPT611730">#REF!</definedName>
    <definedName name="_CPT611735" localSheetId="5">#REF!</definedName>
    <definedName name="_CPT611735">#REF!</definedName>
    <definedName name="_CPT611740" localSheetId="5">#REF!</definedName>
    <definedName name="_CPT611740">#REF!</definedName>
    <definedName name="_CPT611745" localSheetId="5">#REF!</definedName>
    <definedName name="_CPT611745">#REF!</definedName>
    <definedName name="_CPT611750" localSheetId="5">#REF!</definedName>
    <definedName name="_CPT611750">#REF!</definedName>
    <definedName name="_CPT611755" localSheetId="5">#REF!</definedName>
    <definedName name="_CPT611755">#REF!</definedName>
    <definedName name="_CPT611760" localSheetId="5">#REF!</definedName>
    <definedName name="_CPT611760">#REF!</definedName>
    <definedName name="_CPT611765" localSheetId="5">#REF!</definedName>
    <definedName name="_CPT611765">#REF!</definedName>
    <definedName name="_CPT611770" localSheetId="5">#REF!</definedName>
    <definedName name="_CPT611770">#REF!</definedName>
    <definedName name="_CPT611775" localSheetId="5">#REF!</definedName>
    <definedName name="_CPT611775">#REF!</definedName>
    <definedName name="_CPT611780" localSheetId="5">#REF!</definedName>
    <definedName name="_CPT611780">#REF!</definedName>
    <definedName name="_CPT611785" localSheetId="5">#REF!</definedName>
    <definedName name="_CPT611785">#REF!</definedName>
    <definedName name="_CPT611790" localSheetId="5">#REF!</definedName>
    <definedName name="_CPT611790">#REF!</definedName>
    <definedName name="_CPT611795" localSheetId="5">#REF!</definedName>
    <definedName name="_CPT611795">#REF!</definedName>
    <definedName name="_CPT611800" localSheetId="5">#REF!</definedName>
    <definedName name="_CPT611800">#REF!</definedName>
    <definedName name="_CPT611801" localSheetId="5">#REF!</definedName>
    <definedName name="_CPT611801">#REF!</definedName>
    <definedName name="_CPT611802" localSheetId="5">#REF!</definedName>
    <definedName name="_CPT611802">#REF!</definedName>
    <definedName name="_CPT611804" localSheetId="5">#REF!</definedName>
    <definedName name="_CPT611804">#REF!</definedName>
    <definedName name="_CPT611840" localSheetId="5">#REF!</definedName>
    <definedName name="_CPT611840">#REF!</definedName>
    <definedName name="_CPT611890" localSheetId="5">#REF!</definedName>
    <definedName name="_CPT611890">#REF!</definedName>
    <definedName name="_CPT611900" localSheetId="5">#REF!</definedName>
    <definedName name="_CPT611900">#REF!</definedName>
    <definedName name="_CPT612160" localSheetId="5">#REF!</definedName>
    <definedName name="_CPT612160">#REF!</definedName>
    <definedName name="_CPT612180" localSheetId="5">#REF!</definedName>
    <definedName name="_CPT612180">#REF!</definedName>
    <definedName name="_CPT612210" localSheetId="5">#REF!</definedName>
    <definedName name="_CPT612210">#REF!</definedName>
    <definedName name="_CPT612250" localSheetId="5">#REF!</definedName>
    <definedName name="_CPT612250">#REF!</definedName>
    <definedName name="_CPT612260" localSheetId="5">#REF!</definedName>
    <definedName name="_CPT612260">#REF!</definedName>
    <definedName name="_CPT612500" localSheetId="5">#REF!</definedName>
    <definedName name="_CPT612500">#REF!</definedName>
    <definedName name="_CPT613150" localSheetId="5">#REF!</definedName>
    <definedName name="_CPT613150">#REF!</definedName>
    <definedName name="_CPT613160" localSheetId="5">#REF!</definedName>
    <definedName name="_CPT613160">#REF!</definedName>
    <definedName name="_CPT613170" localSheetId="5">#REF!</definedName>
    <definedName name="_CPT613170">#REF!</definedName>
    <definedName name="_CPT613180" localSheetId="5">#REF!</definedName>
    <definedName name="_CPT613180">#REF!</definedName>
    <definedName name="_CPT613530" localSheetId="5">#REF!</definedName>
    <definedName name="_CPT613530">#REF!</definedName>
    <definedName name="_CPT613535" localSheetId="5">#REF!</definedName>
    <definedName name="_CPT613535">#REF!</definedName>
    <definedName name="_CPT613540" localSheetId="5">#REF!</definedName>
    <definedName name="_CPT613540">#REF!</definedName>
    <definedName name="_CPT613550" localSheetId="5">#REF!</definedName>
    <definedName name="_CPT613550">#REF!</definedName>
    <definedName name="_CPT615200" localSheetId="5">#REF!</definedName>
    <definedName name="_CPT615200">#REF!</definedName>
    <definedName name="_CPT615450" localSheetId="5">#REF!</definedName>
    <definedName name="_CPT615450">#REF!</definedName>
    <definedName name="_CPT615480" localSheetId="5">[5]DETCONSO!#REF!</definedName>
    <definedName name="_CPT615480">[5]DETCONSO!#REF!</definedName>
    <definedName name="_CPT615490" localSheetId="5">#REF!</definedName>
    <definedName name="_CPT615490">#REF!</definedName>
    <definedName name="_CPT615510" localSheetId="5">#REF!</definedName>
    <definedName name="_CPT615510">#REF!</definedName>
    <definedName name="_CPT615515" localSheetId="5">#REF!</definedName>
    <definedName name="_CPT615515">#REF!</definedName>
    <definedName name="_CPT615520" localSheetId="5">#REF!</definedName>
    <definedName name="_CPT615520">#REF!</definedName>
    <definedName name="_CPT615525" localSheetId="5">#REF!</definedName>
    <definedName name="_CPT615525">#REF!</definedName>
    <definedName name="_CPT615530" localSheetId="5">#REF!</definedName>
    <definedName name="_CPT615530">#REF!</definedName>
    <definedName name="_CPT615600" localSheetId="5">#REF!</definedName>
    <definedName name="_CPT615600">#REF!</definedName>
    <definedName name="_CPT615610" localSheetId="5">#REF!</definedName>
    <definedName name="_CPT615610">#REF!</definedName>
    <definedName name="_CPT615620" localSheetId="5">#REF!</definedName>
    <definedName name="_CPT615620">#REF!</definedName>
    <definedName name="_CPT615640" localSheetId="5">#REF!</definedName>
    <definedName name="_CPT615640">#REF!</definedName>
    <definedName name="_CPT615730" localSheetId="5">#REF!</definedName>
    <definedName name="_CPT615730">#REF!</definedName>
    <definedName name="_CPT615760" localSheetId="5">#REF!</definedName>
    <definedName name="_CPT615760">#REF!</definedName>
    <definedName name="_CPT615780" localSheetId="5">#REF!</definedName>
    <definedName name="_CPT615780">#REF!</definedName>
    <definedName name="_CPT615790" localSheetId="5">#REF!</definedName>
    <definedName name="_CPT615790">#REF!</definedName>
    <definedName name="_CPT615800" localSheetId="5">#REF!</definedName>
    <definedName name="_CPT615800">#REF!</definedName>
    <definedName name="_CPT615805" localSheetId="5">#REF!</definedName>
    <definedName name="_CPT615805">#REF!</definedName>
    <definedName name="_CPT615810" localSheetId="5">#REF!</definedName>
    <definedName name="_CPT615810">#REF!</definedName>
    <definedName name="_CPT615815" localSheetId="5">#REF!</definedName>
    <definedName name="_CPT615815">#REF!</definedName>
    <definedName name="_CPT616100" localSheetId="5">#REF!</definedName>
    <definedName name="_CPT616100">#REF!</definedName>
    <definedName name="_CPT616106" localSheetId="5">#REF!</definedName>
    <definedName name="_CPT616106">#REF!</definedName>
    <definedName name="_CPT616107" localSheetId="5">#REF!</definedName>
    <definedName name="_CPT616107">#REF!</definedName>
    <definedName name="_CPT616120" localSheetId="5">#REF!</definedName>
    <definedName name="_CPT616120">#REF!</definedName>
    <definedName name="_CPT616125" localSheetId="5">#REF!</definedName>
    <definedName name="_CPT616125">#REF!</definedName>
    <definedName name="_CPT616190" localSheetId="5">#REF!</definedName>
    <definedName name="_CPT616190">#REF!</definedName>
    <definedName name="_CPT616200" localSheetId="5">#REF!</definedName>
    <definedName name="_CPT616200">#REF!</definedName>
    <definedName name="_CPT616210" localSheetId="5">#REF!</definedName>
    <definedName name="_CPT616210">#REF!</definedName>
    <definedName name="_CPT619220" localSheetId="5">#REF!</definedName>
    <definedName name="_CPT619220">#REF!</definedName>
    <definedName name="_CPT619240" localSheetId="5">#REF!</definedName>
    <definedName name="_CPT619240">#REF!</definedName>
    <definedName name="_CPT619260" localSheetId="5">#REF!</definedName>
    <definedName name="_CPT619260">#REF!</definedName>
    <definedName name="_CPT621000" localSheetId="5">#REF!</definedName>
    <definedName name="_CPT621000">#REF!</definedName>
    <definedName name="_CPT621100" localSheetId="5">#REF!</definedName>
    <definedName name="_CPT621100">#REF!</definedName>
    <definedName name="_CPT621200" localSheetId="5">#REF!</definedName>
    <definedName name="_CPT621200">#REF!</definedName>
    <definedName name="_CPT621300" localSheetId="5">#REF!</definedName>
    <definedName name="_CPT621300">#REF!</definedName>
    <definedName name="_CPT623000" localSheetId="5">#REF!</definedName>
    <definedName name="_CPT623000">#REF!</definedName>
    <definedName name="_CPT623100" localSheetId="5">#REF!</definedName>
    <definedName name="_CPT623100">#REF!</definedName>
    <definedName name="_CPT624000" localSheetId="5">#REF!</definedName>
    <definedName name="_CPT624000">#REF!</definedName>
    <definedName name="_CPT625000" localSheetId="5">#REF!</definedName>
    <definedName name="_CPT625000">#REF!</definedName>
    <definedName name="_CPT631000" localSheetId="5">#REF!</definedName>
    <definedName name="_CPT631000">#REF!</definedName>
    <definedName name="_CPT637000" localSheetId="5">#REF!</definedName>
    <definedName name="_CPT637000">#REF!</definedName>
    <definedName name="_CPT641705" localSheetId="5">#REF!</definedName>
    <definedName name="_CPT641705">#REF!</definedName>
    <definedName name="_CPT641708" localSheetId="5">#REF!</definedName>
    <definedName name="_CPT641708">#REF!</definedName>
    <definedName name="_CPT641709" localSheetId="5">#REF!</definedName>
    <definedName name="_CPT641709">#REF!</definedName>
    <definedName name="_CPT641710" localSheetId="5">#REF!</definedName>
    <definedName name="_CPT641710">#REF!</definedName>
    <definedName name="_CPT641720" localSheetId="5">#REF!</definedName>
    <definedName name="_CPT641720">#REF!</definedName>
    <definedName name="_CPT641723" localSheetId="5">#REF!</definedName>
    <definedName name="_CPT641723">#REF!</definedName>
    <definedName name="_CPT641725" localSheetId="5">#REF!</definedName>
    <definedName name="_CPT641725">#REF!</definedName>
    <definedName name="_CPT641738" localSheetId="5">#REF!</definedName>
    <definedName name="_CPT641738">#REF!</definedName>
    <definedName name="_CPT641739" localSheetId="5">#REF!</definedName>
    <definedName name="_CPT641739">#REF!</definedName>
    <definedName name="_CPT641740" localSheetId="5">#REF!</definedName>
    <definedName name="_CPT641740">#REF!</definedName>
    <definedName name="_CPT641759" localSheetId="5">#REF!</definedName>
    <definedName name="_CPT641759">#REF!</definedName>
    <definedName name="_CPT641770" localSheetId="5">#REF!</definedName>
    <definedName name="_CPT641770">#REF!</definedName>
    <definedName name="_CPT641780" localSheetId="5">#REF!</definedName>
    <definedName name="_CPT641780">#REF!</definedName>
    <definedName name="_CPT641790" localSheetId="5">#REF!</definedName>
    <definedName name="_CPT641790">#REF!</definedName>
    <definedName name="_CPT642000" localSheetId="5">#REF!</definedName>
    <definedName name="_CPT642000">#REF!</definedName>
    <definedName name="_CPT642100" localSheetId="5">#REF!</definedName>
    <definedName name="_CPT642100">#REF!</definedName>
    <definedName name="_CPT642400" localSheetId="5">#REF!</definedName>
    <definedName name="_CPT642400">#REF!</definedName>
    <definedName name="_CPT643900" localSheetId="5">#REF!</definedName>
    <definedName name="_CPT643900">#REF!</definedName>
    <definedName name="_CPT643908" localSheetId="5">#REF!</definedName>
    <definedName name="_CPT643908">#REF!</definedName>
    <definedName name="_CPT645000" localSheetId="5">#REF!</definedName>
    <definedName name="_CPT645000">#REF!</definedName>
    <definedName name="_CPT646000" localSheetId="5">#REF!</definedName>
    <definedName name="_CPT646000">#REF!</definedName>
    <definedName name="_CPT649000" localSheetId="5">#REF!</definedName>
    <definedName name="_CPT649000">#REF!</definedName>
    <definedName name="_CPT649050" localSheetId="5">#REF!</definedName>
    <definedName name="_CPT649050">#REF!</definedName>
    <definedName name="_CPT649100" localSheetId="5">#REF!</definedName>
    <definedName name="_CPT649100">#REF!</definedName>
    <definedName name="_CPT649200" localSheetId="5">#REF!</definedName>
    <definedName name="_CPT649200">#REF!</definedName>
    <definedName name="_CPT649300" localSheetId="5">#REF!</definedName>
    <definedName name="_CPT649300">#REF!</definedName>
    <definedName name="_CPT649350" localSheetId="5">#REF!</definedName>
    <definedName name="_CPT649350">#REF!</definedName>
    <definedName name="_CPT649400" localSheetId="5">#REF!</definedName>
    <definedName name="_CPT649400">#REF!</definedName>
    <definedName name="_CPT649450" localSheetId="5">#REF!</definedName>
    <definedName name="_CPT649450">#REF!</definedName>
    <definedName name="_CPT649500" localSheetId="5">#REF!</definedName>
    <definedName name="_CPT649500">#REF!</definedName>
    <definedName name="_CPT651000" localSheetId="5">#REF!</definedName>
    <definedName name="_CPT651000">#REF!</definedName>
    <definedName name="_CPT65110" localSheetId="5">#REF!</definedName>
    <definedName name="_CPT65110">#REF!</definedName>
    <definedName name="_CPT651100" localSheetId="5">#REF!</definedName>
    <definedName name="_CPT651100">#REF!</definedName>
    <definedName name="_CPT651105" localSheetId="5">#REF!</definedName>
    <definedName name="_CPT651105">#REF!</definedName>
    <definedName name="_CPT652000" localSheetId="5">#REF!</definedName>
    <definedName name="_CPT652000">#REF!</definedName>
    <definedName name="_CPT652100" localSheetId="5">#REF!</definedName>
    <definedName name="_CPT652100">#REF!</definedName>
    <definedName name="_CPT652200" localSheetId="5">#REF!</definedName>
    <definedName name="_CPT652200">#REF!</definedName>
    <definedName name="_CPT653100" localSheetId="5">#REF!</definedName>
    <definedName name="_CPT653100">#REF!</definedName>
    <definedName name="_CPT653150" localSheetId="5">#REF!</definedName>
    <definedName name="_CPT653150">#REF!</definedName>
    <definedName name="_CPT653160" localSheetId="5">#REF!</definedName>
    <definedName name="_CPT653160">#REF!</definedName>
    <definedName name="_CPT653200" localSheetId="5">#REF!</definedName>
    <definedName name="_CPT653200">#REF!</definedName>
    <definedName name="_CPT653250" localSheetId="5">#REF!</definedName>
    <definedName name="_CPT653250">#REF!</definedName>
    <definedName name="_CPT653280" localSheetId="5">#REF!</definedName>
    <definedName name="_CPT653280">#REF!</definedName>
    <definedName name="_CPT653300" localSheetId="5">#REF!</definedName>
    <definedName name="_CPT653300">#REF!</definedName>
    <definedName name="_CPT653310" localSheetId="5">#REF!</definedName>
    <definedName name="_CPT653310">#REF!</definedName>
    <definedName name="_CPT653320" localSheetId="5">#REF!</definedName>
    <definedName name="_CPT653320">#REF!</definedName>
    <definedName name="_CPT653350" localSheetId="5">#REF!</definedName>
    <definedName name="_CPT653350">#REF!</definedName>
    <definedName name="_CPT653380" localSheetId="5">#REF!</definedName>
    <definedName name="_CPT653380">#REF!</definedName>
    <definedName name="_cpt653390" localSheetId="5">#REF!</definedName>
    <definedName name="_cpt653390">#REF!</definedName>
    <definedName name="_CPT653400" localSheetId="5">#REF!</definedName>
    <definedName name="_CPT653400">#REF!</definedName>
    <definedName name="_CPT653410" localSheetId="5">#REF!</definedName>
    <definedName name="_CPT653410">#REF!</definedName>
    <definedName name="_CPT653420" localSheetId="5">#REF!</definedName>
    <definedName name="_CPT653420">#REF!</definedName>
    <definedName name="_CPT653430" localSheetId="5">#REF!</definedName>
    <definedName name="_CPT653430">#REF!</definedName>
    <definedName name="_CPT653450" localSheetId="5">#REF!</definedName>
    <definedName name="_CPT653450">#REF!</definedName>
    <definedName name="_CPT653500" localSheetId="5">#REF!</definedName>
    <definedName name="_CPT653500">#REF!</definedName>
    <definedName name="_CPT653600" localSheetId="5">#REF!</definedName>
    <definedName name="_CPT653600">#REF!</definedName>
    <definedName name="_CPT653610" localSheetId="5">#REF!</definedName>
    <definedName name="_CPT653610">#REF!</definedName>
    <definedName name="_CPT653620" localSheetId="5">#REF!</definedName>
    <definedName name="_CPT653620">#REF!</definedName>
    <definedName name="_CPT653630" localSheetId="5">#REF!</definedName>
    <definedName name="_CPT653630">#REF!</definedName>
    <definedName name="_CPT653640" localSheetId="5">#REF!</definedName>
    <definedName name="_CPT653640">#REF!</definedName>
    <definedName name="_CPT653650" localSheetId="5">#REF!</definedName>
    <definedName name="_CPT653650">#REF!</definedName>
    <definedName name="_CPT653700" localSheetId="5">#REF!</definedName>
    <definedName name="_CPT653700">#REF!</definedName>
    <definedName name="_CPT653750" localSheetId="5">#REF!</definedName>
    <definedName name="_CPT653750">#REF!</definedName>
    <definedName name="_CPT653755" localSheetId="5">#REF!</definedName>
    <definedName name="_CPT653755">#REF!</definedName>
    <definedName name="_CPT653760" localSheetId="5">#REF!</definedName>
    <definedName name="_CPT653760">#REF!</definedName>
    <definedName name="_CPT653761" localSheetId="5">#REF!</definedName>
    <definedName name="_CPT653761">#REF!</definedName>
    <definedName name="_CPT653762" localSheetId="5">#REF!</definedName>
    <definedName name="_CPT653762">#REF!</definedName>
    <definedName name="_CPT653770" localSheetId="5">#REF!</definedName>
    <definedName name="_CPT653770">#REF!</definedName>
    <definedName name="_CPT653780" localSheetId="5">#REF!</definedName>
    <definedName name="_CPT653780">#REF!</definedName>
    <definedName name="_CPT653800" localSheetId="5">#REF!</definedName>
    <definedName name="_CPT653800">#REF!</definedName>
    <definedName name="_CPT657000" localSheetId="5">#REF!</definedName>
    <definedName name="_CPT657000">#REF!</definedName>
    <definedName name="_CPT661000" localSheetId="5">#REF!</definedName>
    <definedName name="_CPT661000">#REF!</definedName>
    <definedName name="_CPT661010" localSheetId="5">#REF!</definedName>
    <definedName name="_CPT661010">#REF!</definedName>
    <definedName name="_CPT661020" localSheetId="5">#REF!</definedName>
    <definedName name="_CPT661020">#REF!</definedName>
    <definedName name="_CPT661030" localSheetId="5">#REF!</definedName>
    <definedName name="_CPT661030">#REF!</definedName>
    <definedName name="_CPT661100" localSheetId="5">#REF!</definedName>
    <definedName name="_CPT661100">#REF!</definedName>
    <definedName name="_CPT661200" localSheetId="5">#REF!</definedName>
    <definedName name="_CPT661200">#REF!</definedName>
    <definedName name="_CPT661450" localSheetId="5">#REF!</definedName>
    <definedName name="_CPT661450">#REF!</definedName>
    <definedName name="_CPT664000" localSheetId="5">#REF!</definedName>
    <definedName name="_CPT664000">#REF!</definedName>
    <definedName name="_CPT664100" localSheetId="5">#REF!</definedName>
    <definedName name="_CPT664100">#REF!</definedName>
    <definedName name="_CPT664200" localSheetId="5">#REF!</definedName>
    <definedName name="_CPT664200">#REF!</definedName>
    <definedName name="_CPT665000" localSheetId="5">#REF!</definedName>
    <definedName name="_CPT665000">#REF!</definedName>
    <definedName name="_CPT665150" localSheetId="5">#REF!</definedName>
    <definedName name="_CPT665150">#REF!</definedName>
    <definedName name="_CPT665350" localSheetId="5">#REF!</definedName>
    <definedName name="_CPT665350">#REF!</definedName>
    <definedName name="_CPT665500" localSheetId="5">#REF!</definedName>
    <definedName name="_CPT665500">#REF!</definedName>
    <definedName name="_CPT666000" localSheetId="5">#REF!</definedName>
    <definedName name="_CPT666000">#REF!</definedName>
    <definedName name="_CPT666100" localSheetId="5">#REF!</definedName>
    <definedName name="_CPT666100">#REF!</definedName>
    <definedName name="_CPT670000" localSheetId="5">#REF!</definedName>
    <definedName name="_CPT670000">#REF!</definedName>
    <definedName name="_CPT681000" localSheetId="5">#REF!</definedName>
    <definedName name="_CPT681000">#REF!</definedName>
    <definedName name="_CPT681100" localSheetId="5">#REF!</definedName>
    <definedName name="_CPT681100">#REF!</definedName>
    <definedName name="_CPT682000" localSheetId="5">#REF!</definedName>
    <definedName name="_CPT682000">#REF!</definedName>
    <definedName name="_CPT682100" localSheetId="5">#REF!</definedName>
    <definedName name="_CPT682100">#REF!</definedName>
    <definedName name="_CPT701" localSheetId="5">#REF!</definedName>
    <definedName name="_CPT701">#REF!</definedName>
    <definedName name="_CPT711200" localSheetId="5">#REF!</definedName>
    <definedName name="_CPT711200">#REF!</definedName>
    <definedName name="_CPT711310" localSheetId="5">#REF!</definedName>
    <definedName name="_CPT711310">#REF!</definedName>
    <definedName name="_CPT711317" localSheetId="5">#REF!</definedName>
    <definedName name="_CPT711317">#REF!</definedName>
    <definedName name="_CPT711318" localSheetId="5">#REF!</definedName>
    <definedName name="_CPT711318">#REF!</definedName>
    <definedName name="_CPT711320" localSheetId="5">#REF!</definedName>
    <definedName name="_CPT711320">#REF!</definedName>
    <definedName name="_CPT711328" localSheetId="5">#REF!</definedName>
    <definedName name="_CPT711328">#REF!</definedName>
    <definedName name="_CPT711330" localSheetId="5">#REF!</definedName>
    <definedName name="_CPT711330">#REF!</definedName>
    <definedName name="_CPT711600" localSheetId="5">#REF!</definedName>
    <definedName name="_CPT711600">#REF!</definedName>
    <definedName name="_CPT711610" localSheetId="5">#REF!</definedName>
    <definedName name="_CPT711610">#REF!</definedName>
    <definedName name="_CPT711615" localSheetId="5">#REF!</definedName>
    <definedName name="_CPT711615">#REF!</definedName>
    <definedName name="_CPT711620" localSheetId="5">#REF!</definedName>
    <definedName name="_CPT711620">#REF!</definedName>
    <definedName name="_CPT711625" localSheetId="5">#REF!</definedName>
    <definedName name="_CPT711625">#REF!</definedName>
    <definedName name="_CPT711630" localSheetId="5">#REF!</definedName>
    <definedName name="_CPT711630">#REF!</definedName>
    <definedName name="_CPT711635" localSheetId="5">#REF!</definedName>
    <definedName name="_CPT711635">#REF!</definedName>
    <definedName name="_CPT711640" localSheetId="5">#REF!</definedName>
    <definedName name="_CPT711640">#REF!</definedName>
    <definedName name="_CPT711650" localSheetId="5">#REF!</definedName>
    <definedName name="_CPT711650">#REF!</definedName>
    <definedName name="_CPT711655" localSheetId="5">#REF!</definedName>
    <definedName name="_CPT711655">#REF!</definedName>
    <definedName name="_CPT711660" localSheetId="5">#REF!</definedName>
    <definedName name="_CPT711660">#REF!</definedName>
    <definedName name="_CPT711665" localSheetId="5">#REF!</definedName>
    <definedName name="_CPT711665">#REF!</definedName>
    <definedName name="_CPT711670" localSheetId="5">#REF!</definedName>
    <definedName name="_CPT711670">#REF!</definedName>
    <definedName name="_CPT711675" localSheetId="5">#REF!</definedName>
    <definedName name="_CPT711675">#REF!</definedName>
    <definedName name="_CPT711700" localSheetId="5">#REF!</definedName>
    <definedName name="_CPT711700">#REF!</definedName>
    <definedName name="_CPT711701" localSheetId="5">#REF!</definedName>
    <definedName name="_CPT711701">#REF!</definedName>
    <definedName name="_CPT711702" localSheetId="5">#REF!</definedName>
    <definedName name="_CPT711702">#REF!</definedName>
    <definedName name="_CPT711710" localSheetId="5">#REF!</definedName>
    <definedName name="_CPT711710">#REF!</definedName>
    <definedName name="_CPT711715" localSheetId="5">#REF!</definedName>
    <definedName name="_CPT711715">#REF!</definedName>
    <definedName name="_CPT711720" localSheetId="5">#REF!</definedName>
    <definedName name="_CPT711720">#REF!</definedName>
    <definedName name="_CPT711725" localSheetId="5">#REF!</definedName>
    <definedName name="_CPT711725">#REF!</definedName>
    <definedName name="_CPT711730" localSheetId="5">#REF!</definedName>
    <definedName name="_CPT711730">#REF!</definedName>
    <definedName name="_CPT711735" localSheetId="5">#REF!</definedName>
    <definedName name="_CPT711735">#REF!</definedName>
    <definedName name="_CPT711740" localSheetId="5">#REF!</definedName>
    <definedName name="_CPT711740">#REF!</definedName>
    <definedName name="_CPT711745" localSheetId="5">#REF!</definedName>
    <definedName name="_CPT711745">#REF!</definedName>
    <definedName name="_CPT711750" localSheetId="5">#REF!</definedName>
    <definedName name="_CPT711750">#REF!</definedName>
    <definedName name="_CPT711755" localSheetId="5">#REF!</definedName>
    <definedName name="_CPT711755">#REF!</definedName>
    <definedName name="_CPT711760" localSheetId="5">#REF!</definedName>
    <definedName name="_CPT711760">#REF!</definedName>
    <definedName name="_CPT711765" localSheetId="5">#REF!</definedName>
    <definedName name="_CPT711765">#REF!</definedName>
    <definedName name="_CPT711770" localSheetId="5">#REF!</definedName>
    <definedName name="_CPT711770">#REF!</definedName>
    <definedName name="_CPT711775" localSheetId="5">#REF!</definedName>
    <definedName name="_CPT711775">#REF!</definedName>
    <definedName name="_CPT711780" localSheetId="5">#REF!</definedName>
    <definedName name="_CPT711780">#REF!</definedName>
    <definedName name="_CPT711785" localSheetId="5">#REF!</definedName>
    <definedName name="_CPT711785">#REF!</definedName>
    <definedName name="_CPT711790" localSheetId="5">#REF!</definedName>
    <definedName name="_CPT711790">#REF!</definedName>
    <definedName name="_CPT711795" localSheetId="5">#REF!</definedName>
    <definedName name="_CPT711795">#REF!</definedName>
    <definedName name="_CPT711800" localSheetId="5">#REF!</definedName>
    <definedName name="_CPT711800">#REF!</definedName>
    <definedName name="_CPT711801" localSheetId="5">#REF!</definedName>
    <definedName name="_CPT711801">#REF!</definedName>
    <definedName name="_CPT711802" localSheetId="5">#REF!</definedName>
    <definedName name="_CPT711802">#REF!</definedName>
    <definedName name="_CPT711804" localSheetId="5">#REF!</definedName>
    <definedName name="_CPT711804">#REF!</definedName>
    <definedName name="_CPT711840" localSheetId="5">#REF!</definedName>
    <definedName name="_CPT711840">#REF!</definedName>
    <definedName name="_CPT711890" localSheetId="5">#REF!</definedName>
    <definedName name="_CPT711890">#REF!</definedName>
    <definedName name="_CPT711900" localSheetId="5">#REF!</definedName>
    <definedName name="_CPT711900">#REF!</definedName>
    <definedName name="_CPT712110" localSheetId="5">#REF!</definedName>
    <definedName name="_CPT712110">#REF!</definedName>
    <definedName name="_CPT712138" localSheetId="5">#REF!</definedName>
    <definedName name="_CPT712138">#REF!</definedName>
    <definedName name="_CPT712139" localSheetId="5">#REF!</definedName>
    <definedName name="_CPT712139">#REF!</definedName>
    <definedName name="_CPT712148" localSheetId="5">#REF!</definedName>
    <definedName name="_CPT712148">#REF!</definedName>
    <definedName name="_CPT712149" localSheetId="5">#REF!</definedName>
    <definedName name="_CPT712149">#REF!</definedName>
    <definedName name="_CPT712159" localSheetId="5">#REF!</definedName>
    <definedName name="_CPT712159">#REF!</definedName>
    <definedName name="_CPT712160" localSheetId="5">#REF!</definedName>
    <definedName name="_CPT712160">#REF!</definedName>
    <definedName name="_CPT712180" localSheetId="5">#REF!</definedName>
    <definedName name="_CPT712180">#REF!</definedName>
    <definedName name="_CPT712200" localSheetId="5">#REF!</definedName>
    <definedName name="_CPT712200">#REF!</definedName>
    <definedName name="_CPT712800" localSheetId="5">#REF!</definedName>
    <definedName name="_CPT712800">#REF!</definedName>
    <definedName name="_CPT712900" localSheetId="5">#REF!</definedName>
    <definedName name="_CPT712900">#REF!</definedName>
    <definedName name="_CPT713100" localSheetId="5">#REF!</definedName>
    <definedName name="_CPT713100">#REF!</definedName>
    <definedName name="_CPT713110" localSheetId="5">#REF!</definedName>
    <definedName name="_CPT713110">#REF!</definedName>
    <definedName name="_CPT713190" localSheetId="5">#REF!</definedName>
    <definedName name="_CPT713190">#REF!</definedName>
    <definedName name="_CPT713200" localSheetId="5">#REF!</definedName>
    <definedName name="_CPT713200">#REF!</definedName>
    <definedName name="_CPT713210" localSheetId="5">#REF!</definedName>
    <definedName name="_CPT713210">#REF!</definedName>
    <definedName name="_CPT713290" localSheetId="5">#REF!</definedName>
    <definedName name="_CPT713290">#REF!</definedName>
    <definedName name="_CPT713300" localSheetId="5">#REF!</definedName>
    <definedName name="_CPT713300">#REF!</definedName>
    <definedName name="_CPT713310" localSheetId="5">#REF!</definedName>
    <definedName name="_CPT713310">#REF!</definedName>
    <definedName name="_CPT713350" localSheetId="5">#REF!</definedName>
    <definedName name="_CPT713350">#REF!</definedName>
    <definedName name="_CPT713360" localSheetId="5">#REF!</definedName>
    <definedName name="_CPT713360">#REF!</definedName>
    <definedName name="_CPT713370" localSheetId="5">#REF!</definedName>
    <definedName name="_CPT713370">#REF!</definedName>
    <definedName name="_CPT713390" localSheetId="5">#REF!</definedName>
    <definedName name="_CPT713390">#REF!</definedName>
    <definedName name="_CPT713400" localSheetId="5">#REF!</definedName>
    <definedName name="_CPT713400">#REF!</definedName>
    <definedName name="_CPT713410" localSheetId="5">#REF!</definedName>
    <definedName name="_CPT713410">#REF!</definedName>
    <definedName name="_CPT713490" localSheetId="5">#REF!</definedName>
    <definedName name="_CPT713490">#REF!</definedName>
    <definedName name="_cpt713508" localSheetId="5">#REF!</definedName>
    <definedName name="_cpt713508">#REF!</definedName>
    <definedName name="_CPT713509" localSheetId="5">#REF!</definedName>
    <definedName name="_CPT713509">#REF!</definedName>
    <definedName name="_CPT715200" localSheetId="5">#REF!</definedName>
    <definedName name="_CPT715200">#REF!</definedName>
    <definedName name="_CPT715320" localSheetId="5">#REF!</definedName>
    <definedName name="_CPT715320">#REF!</definedName>
    <definedName name="_CPT715325" localSheetId="5">#REF!</definedName>
    <definedName name="_CPT715325">#REF!</definedName>
    <definedName name="_CPT715410" localSheetId="5">#REF!</definedName>
    <definedName name="_CPT715410">#REF!</definedName>
    <definedName name="_CPT715420" localSheetId="5">#REF!</definedName>
    <definedName name="_CPT715420">#REF!</definedName>
    <definedName name="_CPT715430" localSheetId="5">#REF!</definedName>
    <definedName name="_CPT715430">#REF!</definedName>
    <definedName name="_CPT715450" localSheetId="5">#REF!</definedName>
    <definedName name="_CPT715450">#REF!</definedName>
    <definedName name="_CPT715480" localSheetId="5">[5]DETCONSO!#REF!</definedName>
    <definedName name="_CPT715480">[5]DETCONSO!#REF!</definedName>
    <definedName name="_CPT715490" localSheetId="5">#REF!</definedName>
    <definedName name="_CPT715490">#REF!</definedName>
    <definedName name="_CPT715510" localSheetId="5">#REF!</definedName>
    <definedName name="_CPT715510">#REF!</definedName>
    <definedName name="_CPT715515" localSheetId="5">#REF!</definedName>
    <definedName name="_CPT715515">#REF!</definedName>
    <definedName name="_CPT715520" localSheetId="5">#REF!</definedName>
    <definedName name="_CPT715520">#REF!</definedName>
    <definedName name="_CPT715525" localSheetId="5">#REF!</definedName>
    <definedName name="_CPT715525">#REF!</definedName>
    <definedName name="_CPT715530" localSheetId="5">#REF!</definedName>
    <definedName name="_CPT715530">#REF!</definedName>
    <definedName name="_CPT715550" localSheetId="5">#REF!</definedName>
    <definedName name="_CPT715550">#REF!</definedName>
    <definedName name="_CPT715570" localSheetId="5">[5]DETCONSO!#REF!</definedName>
    <definedName name="_CPT715570">[5]DETCONSO!#REF!</definedName>
    <definedName name="_CPT715600" localSheetId="5">#REF!</definedName>
    <definedName name="_CPT715600">#REF!</definedName>
    <definedName name="_CPT715610" localSheetId="5">#REF!</definedName>
    <definedName name="_CPT715610">#REF!</definedName>
    <definedName name="_CPT715620" localSheetId="5">#REF!</definedName>
    <definedName name="_CPT715620">#REF!</definedName>
    <definedName name="_CPT715630" localSheetId="5">#REF!</definedName>
    <definedName name="_CPT715630">#REF!</definedName>
    <definedName name="_CPT715640" localSheetId="5">#REF!</definedName>
    <definedName name="_CPT715640">#REF!</definedName>
    <definedName name="_CPT715701" localSheetId="5">#REF!</definedName>
    <definedName name="_CPT715701">#REF!</definedName>
    <definedName name="_CPT715702" localSheetId="5">#REF!</definedName>
    <definedName name="_CPT715702">#REF!</definedName>
    <definedName name="_CPT715703" localSheetId="5">#REF!</definedName>
    <definedName name="_CPT715703">#REF!</definedName>
    <definedName name="_CPT715704" localSheetId="5">#REF!</definedName>
    <definedName name="_CPT715704">#REF!</definedName>
    <definedName name="_CPT715705" localSheetId="5">#REF!</definedName>
    <definedName name="_CPT715705">#REF!</definedName>
    <definedName name="_CPT715706" localSheetId="5">#REF!</definedName>
    <definedName name="_CPT715706">#REF!</definedName>
    <definedName name="_CPT715720" localSheetId="5">#REF!</definedName>
    <definedName name="_CPT715720">#REF!</definedName>
    <definedName name="_CPT715725" localSheetId="5">[5]DETCONSO!#REF!</definedName>
    <definedName name="_CPT715725">[5]DETCONSO!#REF!</definedName>
    <definedName name="_CPT715730" localSheetId="5">#REF!</definedName>
    <definedName name="_CPT715730">#REF!</definedName>
    <definedName name="_CPT715740" localSheetId="5">#REF!</definedName>
    <definedName name="_CPT715740">#REF!</definedName>
    <definedName name="_CPT715760" localSheetId="5">#REF!</definedName>
    <definedName name="_CPT715760">#REF!</definedName>
    <definedName name="_CPT715770" localSheetId="5">[5]DETCONSO!#REF!</definedName>
    <definedName name="_CPT715770">[5]DETCONSO!#REF!</definedName>
    <definedName name="_CPT715790" localSheetId="5">#REF!</definedName>
    <definedName name="_CPT715790">#REF!</definedName>
    <definedName name="_CPT715795" localSheetId="5">#REF!</definedName>
    <definedName name="_CPT715795">#REF!</definedName>
    <definedName name="_CPT715800" localSheetId="5">#REF!</definedName>
    <definedName name="_CPT715800">#REF!</definedName>
    <definedName name="_CPT715805" localSheetId="5">#REF!</definedName>
    <definedName name="_CPT715805">#REF!</definedName>
    <definedName name="_CPT715810" localSheetId="5">#REF!</definedName>
    <definedName name="_CPT715810">#REF!</definedName>
    <definedName name="_CPT715815" localSheetId="5">#REF!</definedName>
    <definedName name="_CPT715815">#REF!</definedName>
    <definedName name="_CPT715900" localSheetId="5">#REF!</definedName>
    <definedName name="_CPT715900">#REF!</definedName>
    <definedName name="_CPT715905" localSheetId="5">#REF!</definedName>
    <definedName name="_CPT715905">#REF!</definedName>
    <definedName name="_CPT715910" localSheetId="5">#REF!</definedName>
    <definedName name="_CPT715910">#REF!</definedName>
    <definedName name="_CPT719100" localSheetId="5">#REF!</definedName>
    <definedName name="_CPT719100">#REF!</definedName>
    <definedName name="_CPT719105" localSheetId="5">#REF!</definedName>
    <definedName name="_CPT719105">#REF!</definedName>
    <definedName name="_CPT719110" localSheetId="5">#REF!</definedName>
    <definedName name="_CPT719110">#REF!</definedName>
    <definedName name="_CPT719115" localSheetId="5">#REF!</definedName>
    <definedName name="_CPT719115">#REF!</definedName>
    <definedName name="_CPT719120" localSheetId="5">#REF!</definedName>
    <definedName name="_CPT719120">#REF!</definedName>
    <definedName name="_CPT719125" localSheetId="5">[5]DETCONSO!#REF!</definedName>
    <definedName name="_CPT719125">[5]DETCONSO!#REF!</definedName>
    <definedName name="_CPT719130" localSheetId="5">#REF!</definedName>
    <definedName name="_CPT719130">#REF!</definedName>
    <definedName name="_CPT719135" localSheetId="5">#REF!</definedName>
    <definedName name="_CPT719135">#REF!</definedName>
    <definedName name="_CPT719140" localSheetId="5">#REF!</definedName>
    <definedName name="_CPT719140">#REF!</definedName>
    <definedName name="_CPT719145" localSheetId="5">#REF!</definedName>
    <definedName name="_CPT719145">#REF!</definedName>
    <definedName name="_CPT719150" localSheetId="5">#REF!</definedName>
    <definedName name="_CPT719150">#REF!</definedName>
    <definedName name="_CPT719155" localSheetId="5">#REF!</definedName>
    <definedName name="_CPT719155">#REF!</definedName>
    <definedName name="_CPT719160" localSheetId="5">#REF!</definedName>
    <definedName name="_CPT719160">#REF!</definedName>
    <definedName name="_CPT719220" localSheetId="5">#REF!</definedName>
    <definedName name="_CPT719220">#REF!</definedName>
    <definedName name="_CPT719240" localSheetId="5">#REF!</definedName>
    <definedName name="_CPT719240">#REF!</definedName>
    <definedName name="_CPT719260" localSheetId="5">#REF!</definedName>
    <definedName name="_CPT719260">#REF!</definedName>
    <definedName name="_CPT721000" localSheetId="5">#REF!</definedName>
    <definedName name="_CPT721000">#REF!</definedName>
    <definedName name="_CPT721770" localSheetId="5">#REF!</definedName>
    <definedName name="_CPT721770">#REF!</definedName>
    <definedName name="_CPT721780" localSheetId="5">#REF!</definedName>
    <definedName name="_CPT721780">#REF!</definedName>
    <definedName name="_CPT726000" localSheetId="5">#REF!</definedName>
    <definedName name="_CPT726000">#REF!</definedName>
    <definedName name="_CPT727000" localSheetId="5">#REF!</definedName>
    <definedName name="_CPT727000">#REF!</definedName>
    <definedName name="_CPT728000" localSheetId="5">#REF!</definedName>
    <definedName name="_CPT728000">#REF!</definedName>
    <definedName name="_CPT728008" localSheetId="5">#REF!</definedName>
    <definedName name="_CPT728008">#REF!</definedName>
    <definedName name="_CPT728018" localSheetId="5">#REF!</definedName>
    <definedName name="_CPT728018">#REF!</definedName>
    <definedName name="_CPT729000" localSheetId="5">#REF!</definedName>
    <definedName name="_CPT729000">#REF!</definedName>
    <definedName name="_CPT729100" localSheetId="5">#REF!</definedName>
    <definedName name="_CPT729100">#REF!</definedName>
    <definedName name="_CPT729200" localSheetId="5">#REF!</definedName>
    <definedName name="_CPT729200">#REF!</definedName>
    <definedName name="_CPT732000" localSheetId="5">#REF!</definedName>
    <definedName name="_CPT732000">#REF!</definedName>
    <definedName name="_CPT732100" localSheetId="5">#REF!</definedName>
    <definedName name="_CPT732100">#REF!</definedName>
    <definedName name="_CPT732200" localSheetId="5">#REF!</definedName>
    <definedName name="_CPT732200">#REF!</definedName>
    <definedName name="_CPT749200" localSheetId="5">#REF!</definedName>
    <definedName name="_CPT749200">#REF!</definedName>
    <definedName name="_CPT749250" localSheetId="5">#REF!</definedName>
    <definedName name="_CPT749250">#REF!</definedName>
    <definedName name="_cpt749350" localSheetId="5">#REF!</definedName>
    <definedName name="_cpt749350">#REF!</definedName>
    <definedName name="_CPT753100" localSheetId="5">#REF!</definedName>
    <definedName name="_CPT753100">#REF!</definedName>
    <definedName name="_CPT753150" localSheetId="5">#REF!</definedName>
    <definedName name="_CPT753150">#REF!</definedName>
    <definedName name="_CPT753160" localSheetId="5">#REF!</definedName>
    <definedName name="_CPT753160">#REF!</definedName>
    <definedName name="_CPT753200" localSheetId="5">#REF!</definedName>
    <definedName name="_CPT753200">#REF!</definedName>
    <definedName name="_CPT753250" localSheetId="5">#REF!</definedName>
    <definedName name="_CPT753250">#REF!</definedName>
    <definedName name="_CPT753280" localSheetId="5">#REF!</definedName>
    <definedName name="_CPT753280">#REF!</definedName>
    <definedName name="_CPT753300" localSheetId="5">#REF!</definedName>
    <definedName name="_CPT753300">#REF!</definedName>
    <definedName name="_CPT753310" localSheetId="5">#REF!</definedName>
    <definedName name="_CPT753310">#REF!</definedName>
    <definedName name="_CPT753320" localSheetId="5">#REF!</definedName>
    <definedName name="_CPT753320">#REF!</definedName>
    <definedName name="_CPT753350" localSheetId="5">#REF!</definedName>
    <definedName name="_CPT753350">#REF!</definedName>
    <definedName name="_CPT753380" localSheetId="5">#REF!</definedName>
    <definedName name="_CPT753380">#REF!</definedName>
    <definedName name="_CPT753390" localSheetId="5">#REF!</definedName>
    <definedName name="_CPT753390">#REF!</definedName>
    <definedName name="_CPT753400" localSheetId="5">#REF!</definedName>
    <definedName name="_CPT753400">#REF!</definedName>
    <definedName name="_CPT753410" localSheetId="5">#REF!</definedName>
    <definedName name="_CPT753410">#REF!</definedName>
    <definedName name="_CPT753420" localSheetId="5">#REF!</definedName>
    <definedName name="_CPT753420">#REF!</definedName>
    <definedName name="_CPT753430" localSheetId="5">#REF!</definedName>
    <definedName name="_CPT753430">#REF!</definedName>
    <definedName name="_CPT753450" localSheetId="5">#REF!</definedName>
    <definedName name="_CPT753450">#REF!</definedName>
    <definedName name="_CPT753500" localSheetId="5">#REF!</definedName>
    <definedName name="_CPT753500">#REF!</definedName>
    <definedName name="_CPT753600" localSheetId="5">#REF!</definedName>
    <definedName name="_CPT753600">#REF!</definedName>
    <definedName name="_CPT753610" localSheetId="5">#REF!</definedName>
    <definedName name="_CPT753610">#REF!</definedName>
    <definedName name="_CPT753620" localSheetId="5">#REF!</definedName>
    <definedName name="_CPT753620">#REF!</definedName>
    <definedName name="_CPT753630" localSheetId="5">#REF!</definedName>
    <definedName name="_CPT753630">#REF!</definedName>
    <definedName name="_CPT753640" localSheetId="5">#REF!</definedName>
    <definedName name="_CPT753640">#REF!</definedName>
    <definedName name="_CPT753650" localSheetId="5">#REF!</definedName>
    <definedName name="_CPT753650">#REF!</definedName>
    <definedName name="_CPT753700" localSheetId="5">#REF!</definedName>
    <definedName name="_CPT753700">#REF!</definedName>
    <definedName name="_CPT753708" localSheetId="5">[5]DETCONSO!#REF!</definedName>
    <definedName name="_CPT753708">[5]DETCONSO!#REF!</definedName>
    <definedName name="_CPT753750" localSheetId="5">#REF!</definedName>
    <definedName name="_CPT753750">#REF!</definedName>
    <definedName name="_CPT753755" localSheetId="5">#REF!</definedName>
    <definedName name="_CPT753755">#REF!</definedName>
    <definedName name="_CPT753760" localSheetId="5">#REF!</definedName>
    <definedName name="_CPT753760">#REF!</definedName>
    <definedName name="_CPT753761" localSheetId="5">#REF!</definedName>
    <definedName name="_CPT753761">#REF!</definedName>
    <definedName name="_CPT753762" localSheetId="5">#REF!</definedName>
    <definedName name="_CPT753762">#REF!</definedName>
    <definedName name="_CPT753770" localSheetId="5">#REF!</definedName>
    <definedName name="_CPT753770">#REF!</definedName>
    <definedName name="_CPT753780" localSheetId="5">#REF!</definedName>
    <definedName name="_CPT753780">#REF!</definedName>
    <definedName name="_CPT753800" localSheetId="5">#REF!</definedName>
    <definedName name="_CPT753800">#REF!</definedName>
    <definedName name="_CPT757000" localSheetId="5">#REF!</definedName>
    <definedName name="_CPT757000">#REF!</definedName>
    <definedName name="_CPT763000" localSheetId="5">#REF!</definedName>
    <definedName name="_CPT763000">#REF!</definedName>
    <definedName name="_CPT763010" localSheetId="5">#REF!</definedName>
    <definedName name="_CPT763010">#REF!</definedName>
    <definedName name="_CPT763020" localSheetId="5">#REF!</definedName>
    <definedName name="_CPT763020">#REF!</definedName>
    <definedName name="_CPT763030" localSheetId="5">#REF!</definedName>
    <definedName name="_CPT763030">#REF!</definedName>
    <definedName name="_CPT763100" localSheetId="5">#REF!</definedName>
    <definedName name="_CPT763100">#REF!</definedName>
    <definedName name="_CPT763200" localSheetId="5">#REF!</definedName>
    <definedName name="_CPT763200">#REF!</definedName>
    <definedName name="_CPT763450" localSheetId="5">#REF!</definedName>
    <definedName name="_CPT763450">#REF!</definedName>
    <definedName name="_CPT764000" localSheetId="5">#REF!</definedName>
    <definedName name="_CPT764000">#REF!</definedName>
    <definedName name="_CPT764100" localSheetId="5">#REF!</definedName>
    <definedName name="_CPT764100">#REF!</definedName>
    <definedName name="_CPT764200" localSheetId="5">#REF!</definedName>
    <definedName name="_CPT764200">#REF!</definedName>
    <definedName name="_CPT765000" localSheetId="5">#REF!</definedName>
    <definedName name="_CPT765000">#REF!</definedName>
    <definedName name="_CPT765150" localSheetId="5">#REF!</definedName>
    <definedName name="_CPT765150">#REF!</definedName>
    <definedName name="_CPT765350" localSheetId="5">#REF!</definedName>
    <definedName name="_CPT765350">#REF!</definedName>
    <definedName name="_CPT765500" localSheetId="5">#REF!</definedName>
    <definedName name="_CPT765500">#REF!</definedName>
    <definedName name="_CPT766000" localSheetId="5">#REF!</definedName>
    <definedName name="_CPT766000">#REF!</definedName>
    <definedName name="_CPT766100" localSheetId="5">#REF!</definedName>
    <definedName name="_CPT766100">#REF!</definedName>
    <definedName name="_CPT80101" localSheetId="5">#REF!</definedName>
    <definedName name="_CPT80101">#REF!</definedName>
    <definedName name="_CPT80102" localSheetId="5">#REF!</definedName>
    <definedName name="_CPT80102">#REF!</definedName>
    <definedName name="_CPT80103" localSheetId="5">#REF!</definedName>
    <definedName name="_CPT80103">#REF!</definedName>
    <definedName name="_CPT80104" localSheetId="5">#REF!</definedName>
    <definedName name="_CPT80104">#REF!</definedName>
    <definedName name="_CPT80105" localSheetId="5">#REF!</definedName>
    <definedName name="_CPT80105">#REF!</definedName>
    <definedName name="_CPT80106" localSheetId="5">#REF!</definedName>
    <definedName name="_CPT80106">#REF!</definedName>
    <definedName name="_CPT80107" localSheetId="5">#REF!</definedName>
    <definedName name="_CPT80107">#REF!</definedName>
    <definedName name="_CPT80109" localSheetId="5">#REF!</definedName>
    <definedName name="_CPT80109">#REF!</definedName>
    <definedName name="_CPT80110" localSheetId="5">#REF!</definedName>
    <definedName name="_CPT80110">#REF!</definedName>
    <definedName name="_CPT80130" localSheetId="5">#REF!</definedName>
    <definedName name="_CPT80130">#REF!</definedName>
    <definedName name="_CPT83101" localSheetId="5">#REF!</definedName>
    <definedName name="_CPT83101">#REF!</definedName>
    <definedName name="_CPT83102" localSheetId="5">#REF!</definedName>
    <definedName name="_CPT83102">#REF!</definedName>
    <definedName name="_CPT83103" localSheetId="5">#REF!</definedName>
    <definedName name="_CPT83103">#REF!</definedName>
    <definedName name="_CPT83104" localSheetId="5">#REF!</definedName>
    <definedName name="_CPT83104">#REF!</definedName>
    <definedName name="_CPT83106" localSheetId="5">#REF!</definedName>
    <definedName name="_CPT83106">#REF!</definedName>
    <definedName name="_CPT83107" localSheetId="5">#REF!</definedName>
    <definedName name="_CPT83107">#REF!</definedName>
    <definedName name="_CPT83109" localSheetId="5">#REF!</definedName>
    <definedName name="_CPT83109">#REF!</definedName>
    <definedName name="_CUC1" localSheetId="5">#REF!</definedName>
    <definedName name="_CUC1">#REF!</definedName>
    <definedName name="_xlnm._FilterDatabase" localSheetId="2" hidden="1">'A-DET'!$A$11:$AM$668</definedName>
    <definedName name="_xlnm._FilterDatabase" localSheetId="5" hidden="1">Evolution!$A$1:$D$315</definedName>
    <definedName name="_xlnm._FilterDatabase" localSheetId="12" hidden="1">'Formule Compilation'!$A$1:$B$174</definedName>
    <definedName name="_IAM10645" localSheetId="5">#REF!</definedName>
    <definedName name="_IAM10645">#REF!</definedName>
    <definedName name="_IMM2" localSheetId="5">[6]EXPERTISE!#REF!</definedName>
    <definedName name="_IMM2">[6]EXPERTISE!#REF!</definedName>
    <definedName name="_Key1" localSheetId="5" hidden="1">#REF!</definedName>
    <definedName name="_Key1" localSheetId="8" hidden="1">#REF!</definedName>
    <definedName name="_Key1" hidden="1">#REF!</definedName>
    <definedName name="_Key12" localSheetId="5" hidden="1">#REF!</definedName>
    <definedName name="_Key12" localSheetId="8" hidden="1">#REF!</definedName>
    <definedName name="_Key12" hidden="1">#REF!</definedName>
    <definedName name="_Key2" hidden="1">'[7]prov tit part.'!#REF!</definedName>
    <definedName name="_MEQ2661" localSheetId="5">#REF!</definedName>
    <definedName name="_MEQ2661">#REF!</definedName>
    <definedName name="_MEQ2662" localSheetId="5">#REF!</definedName>
    <definedName name="_MEQ2662">#REF!</definedName>
    <definedName name="_MEQ2663" localSheetId="5">#REF!</definedName>
    <definedName name="_MEQ2663">#REF!</definedName>
    <definedName name="_MEQ2664" localSheetId="5">#REF!</definedName>
    <definedName name="_MEQ2664">#REF!</definedName>
    <definedName name="_MEQ2665" localSheetId="5">#REF!</definedName>
    <definedName name="_MEQ2665">#REF!</definedName>
    <definedName name="_MEQ2666" localSheetId="5">#REF!</definedName>
    <definedName name="_MEQ2666">#REF!</definedName>
    <definedName name="_MEQ2667" localSheetId="5">#REF!</definedName>
    <definedName name="_MEQ2667">#REF!</definedName>
    <definedName name="_MEQ2668" localSheetId="5">#REF!</definedName>
    <definedName name="_MEQ2668">#REF!</definedName>
    <definedName name="_MEQ671004" localSheetId="5">#REF!</definedName>
    <definedName name="_MEQ671004">#REF!</definedName>
    <definedName name="_MEQ769004" localSheetId="5">#REF!</definedName>
    <definedName name="_MEQ769004">#REF!</definedName>
    <definedName name="_MEQ769005" localSheetId="5">#REF!</definedName>
    <definedName name="_MEQ769005">#REF!</definedName>
    <definedName name="_MEQ769006" localSheetId="5">#REF!</definedName>
    <definedName name="_MEQ769006">#REF!</definedName>
    <definedName name="_MEQ769007" localSheetId="5">#REF!</definedName>
    <definedName name="_MEQ769007">#REF!</definedName>
    <definedName name="_MEQ769008" localSheetId="5">#REF!</definedName>
    <definedName name="_MEQ769008">#REF!</definedName>
    <definedName name="_MEQ769300" localSheetId="5">#REF!</definedName>
    <definedName name="_MEQ769300">#REF!</definedName>
    <definedName name="_Order1" hidden="1">0</definedName>
    <definedName name="_Order2" hidden="1">0</definedName>
    <definedName name="_PBA1" localSheetId="5">#REF!</definedName>
    <definedName name="_PBA1">#REF!</definedName>
    <definedName name="_PBA2" localSheetId="5">#REF!</definedName>
    <definedName name="_PBA2">#REF!</definedName>
    <definedName name="_PPA01" localSheetId="5">[8]PORT_HORS_CONSO!#REF!</definedName>
    <definedName name="_PPA01">[8]PORT_HORS_CONSO!#REF!</definedName>
    <definedName name="_RE119" localSheetId="5">#REF!</definedName>
    <definedName name="_RE119">#REF!</definedName>
    <definedName name="_RE120" localSheetId="5">#REF!</definedName>
    <definedName name="_RE120">#REF!</definedName>
    <definedName name="_RE129" localSheetId="5">#REF!</definedName>
    <definedName name="_RE129">#REF!</definedName>
    <definedName name="_RE689" localSheetId="5">#REF!</definedName>
    <definedName name="_RE689">#REF!</definedName>
    <definedName name="_RE699" localSheetId="5">#REF!</definedName>
    <definedName name="_RE699">#REF!</definedName>
    <definedName name="_Sort" localSheetId="5" hidden="1">#REF!</definedName>
    <definedName name="_Sort" localSheetId="8" hidden="1">#REF!</definedName>
    <definedName name="_Sort" hidden="1">#REF!</definedName>
    <definedName name="_ste2" localSheetId="5">[6]EXPERTISE!#REF!</definedName>
    <definedName name="_ste2">[6]EXPERTISE!#REF!</definedName>
    <definedName name="_Toc137557724" localSheetId="11">'5.7 old'!$C$4</definedName>
    <definedName name="_Toc138344583" localSheetId="5">Evolution!$C$132</definedName>
    <definedName name="_Toc345065087" localSheetId="5">Evolution!$C$65</definedName>
    <definedName name="_Z649600" localSheetId="5">#REF!</definedName>
    <definedName name="_Z649600">#REF!</definedName>
    <definedName name="_Z715570" localSheetId="5">#REF!</definedName>
    <definedName name="_Z715570">#REF!</definedName>
    <definedName name="_Z715725" localSheetId="5">#REF!</definedName>
    <definedName name="_Z715725">#REF!</definedName>
    <definedName name="_Z715770" localSheetId="5">#REF!</definedName>
    <definedName name="_Z715770">#REF!</definedName>
    <definedName name="a" localSheetId="5">#REF!</definedName>
    <definedName name="a">#REF!</definedName>
    <definedName name="a_1" hidden="1">{#N/A,#N/A,TRUE,"COFTOT"}</definedName>
    <definedName name="A_653410" localSheetId="5">#REF!</definedName>
    <definedName name="A_653410">#REF!</definedName>
    <definedName name="A_753410" localSheetId="5">#REF!</definedName>
    <definedName name="A_753410">#REF!</definedName>
    <definedName name="A_765500" localSheetId="5">#REF!</definedName>
    <definedName name="A_765500">#REF!</definedName>
    <definedName name="A5_Act_AFS">[5]DETCONSO!$BJ$563</definedName>
    <definedName name="A5_Act_T">[5]DETCONSO!$BJ$781</definedName>
    <definedName name="A5_AMORT_IMM_CAmort">[5]DETCONSO!$BJ$329</definedName>
    <definedName name="A5_AMORT_IMM_T">[5]DETCONSO!$BJ$286</definedName>
    <definedName name="A5_Autres_AFS">[5]DETCONSO!$BJ$608</definedName>
    <definedName name="A5_Autres_T">[5]DETCONSO!$BJ$827</definedName>
    <definedName name="A5_AutresActifs">[5]DETCONSO!$BJ$669</definedName>
    <definedName name="A5_DAP_TParticp_AFS">[5]DETCONSO!$BJ$681</definedName>
    <definedName name="A5_IMM_Camort">[5]DETCONSO!$BJ$129</definedName>
    <definedName name="A5_IMM_T">[5]DETCONSO!$BJ$86</definedName>
    <definedName name="A5_OPCVM_AFS">[5]DETCONSO!$BJ$575</definedName>
    <definedName name="A5_OPCVM_T">[5]DETCONSO!$BJ$798</definedName>
    <definedName name="A5_OTF_AFS">[5]DETCONSO!$BJ$511</definedName>
    <definedName name="A5_OTF_T">[5]DETCONSO!$BJ$719</definedName>
    <definedName name="A5_OTV_AFS">[5]DETCONSO!$BJ$535</definedName>
    <definedName name="A5_OTV_T">[5]DETCONSO!$BJ$751</definedName>
    <definedName name="A5_PLAC_CAmort">[5]DETCONSO!$BJ$238</definedName>
    <definedName name="A5_PLAC_T">[5]DETCONSO!$BJ$195</definedName>
    <definedName name="A5_Prov_Tparticp_AFS">[5]DETCONSO!$BJ$652</definedName>
    <definedName name="A5_ProvAct_AFS" localSheetId="5">#REF!</definedName>
    <definedName name="A5_ProvAct_AFS">#REF!</definedName>
    <definedName name="A5_ProvActions_AFS">[5]DETCONSO!$BJ$640</definedName>
    <definedName name="A5_ProvOPCVM_AFS">[5]DETCONSO!$BJ$644</definedName>
    <definedName name="A5_ProvSCI_AFS">[5]DETCONSO!$BJ$650</definedName>
    <definedName name="A5_Provtitpart_AFS" localSheetId="5">#REF!</definedName>
    <definedName name="A5_Provtitpart_AFS">#REF!</definedName>
    <definedName name="A5_RECL_AFS" localSheetId="5">#REF!</definedName>
    <definedName name="A5_RECL_AFS">#REF!</definedName>
    <definedName name="A5_ReclaAutres_HTM">[5]DETCONSO!$BI$394</definedName>
    <definedName name="A5_ReclaAutres_ImmPlac">[5]DETCONSO!$BI$387</definedName>
    <definedName name="A5_SCI_AFS">[5]DETCONSO!$BJ$659</definedName>
    <definedName name="A5_SCI_T" localSheetId="5">#REF!</definedName>
    <definedName name="A5_SCI_T">#REF!</definedName>
    <definedName name="A5_TAutres_OPCVM_AFS">[5]DETCONSO!$BI$575</definedName>
    <definedName name="A5_Tautres_SCI_AFS">[5]DETCONSO!$BI$659</definedName>
    <definedName name="A5_TCN_AFS">[5]DETCONSO!$BJ$553</definedName>
    <definedName name="A5_TCN_T">[5]DETCONSO!$BJ$768</definedName>
    <definedName name="A5_TERR_CAmort">[5]DETCONSO!$BJ$70</definedName>
    <definedName name="A5_TERR_T">[5]DETCONSO!$BJ$56</definedName>
    <definedName name="A5_Titpart_AFS" localSheetId="5">#REF!</definedName>
    <definedName name="A5_Titpart_AFS">#REF!</definedName>
    <definedName name="A5_TitrePart_AFS">[5]DETCONSO!$BJ$596</definedName>
    <definedName name="A5_TitresPart_SCI_AFS">[5]DETCONSO!$BJ$667</definedName>
    <definedName name="A5_TParticpf_AFS">[5]DETCONSO!$BJ$603</definedName>
    <definedName name="aa" hidden="1">{"résultats",#N/A,FALSE,"résultats SFS";"indicateurs",#N/A,FALSE,"résultats SFS";"commentaires",#N/A,FALSE,"commentaires SFS";"graphiques",#N/A,FALSE,"graphiques SFS"}</definedName>
    <definedName name="AAA" localSheetId="5" hidden="1">#REF!</definedName>
    <definedName name="AAA" localSheetId="12" hidden="1">#REF!</definedName>
    <definedName name="AAA" hidden="1">#REF!</definedName>
    <definedName name="aaafgsinist" localSheetId="5">#REF!</definedName>
    <definedName name="aaafgsinist">#REF!</definedName>
    <definedName name="AAARRERAGES" localSheetId="5">#REF!</definedName>
    <definedName name="AAARRERAGES">#REF!</definedName>
    <definedName name="AACAPITAUX" localSheetId="5">#REF!</definedName>
    <definedName name="AACAPITAUX">#REF!</definedName>
    <definedName name="AAFGSINIST" localSheetId="5">#REF!</definedName>
    <definedName name="AAFGSINIST">#REF!</definedName>
    <definedName name="AAPB" localSheetId="5">#REF!</definedName>
    <definedName name="AAPB">#REF!</definedName>
    <definedName name="AARACHATS" localSheetId="5">#REF!</definedName>
    <definedName name="AARACHATS">#REF!</definedName>
    <definedName name="AASINISTRES" localSheetId="5">#REF!</definedName>
    <definedName name="AASINISTRES">#REF!</definedName>
    <definedName name="abc" localSheetId="5" hidden="1">#REF!</definedName>
    <definedName name="abc" localSheetId="12" hidden="1">#REF!</definedName>
    <definedName name="abc" hidden="1">#REF!</definedName>
    <definedName name="acavch1" localSheetId="5">#REF!</definedName>
    <definedName name="acavch1">#REF!</definedName>
    <definedName name="acavch2" localSheetId="5">#REF!</definedName>
    <definedName name="acavch2">#REF!</definedName>
    <definedName name="acavch3" localSheetId="5">#REF!</definedName>
    <definedName name="acavch3">#REF!</definedName>
    <definedName name="acavpr1" localSheetId="5">#REF!</definedName>
    <definedName name="acavpr1">#REF!</definedName>
    <definedName name="acavpr2" localSheetId="5">#REF!</definedName>
    <definedName name="acavpr2">#REF!</definedName>
    <definedName name="acavpr3" localSheetId="5">#REF!</definedName>
    <definedName name="acavpr3">#REF!</definedName>
    <definedName name="Access_Button" hidden="1">"Cosmo_Links_LINKS_List"</definedName>
    <definedName name="AccessDatabase" hidden="1">"D:\LINKS\Cosmo_Links.mdb"</definedName>
    <definedName name="achatsconsommés" localSheetId="5">#REF!</definedName>
    <definedName name="achatsconsommés">#REF!</definedName>
    <definedName name="activité1" hidden="1">{"résultats",#N/A,FALSE,"résultats SFS";"indicateurs",#N/A,FALSE,"résultats SFS";"commentaires",#N/A,FALSE,"commentaires SFS";"graphiques",#N/A,FALSE,"graphiques SFS"}</definedName>
    <definedName name="activité11" hidden="1">{"résultats",#N/A,FALSE,"résultats SFS";"indicateurs",#N/A,FALSE,"résultats SFS";"commentaires",#N/A,FALSE,"commentaires SFS";"graphiques",#N/A,FALSE,"graphiques SFS"}</definedName>
    <definedName name="AD" hidden="1">{#N/A,#N/A,TRUE,"COFTOT"}</definedName>
    <definedName name="Affect_062004" localSheetId="5">#REF!</definedName>
    <definedName name="Affect_062004">#REF!</definedName>
    <definedName name="AJUSTACAVACTIONS" localSheetId="5">#REF!</definedName>
    <definedName name="AJUSTACAVACTIONS">#REF!</definedName>
    <definedName name="AJUSTACAVIMMO" localSheetId="5">#REF!</definedName>
    <definedName name="AJUSTACAVIMMO">#REF!</definedName>
    <definedName name="AJUSTACAVOBLIG" localSheetId="5">#REF!</definedName>
    <definedName name="AJUSTACAVOBLIG">#REF!</definedName>
    <definedName name="All.SCR.Corr">[9]IM_Options!$C$32:$G$36</definedName>
    <definedName name="ALLOCNONVIE" localSheetId="5">#REF!</definedName>
    <definedName name="ALLOCNONVIE">#REF!</definedName>
    <definedName name="amortagct" localSheetId="5">#REF!</definedName>
    <definedName name="amortagct">#REF!</definedName>
    <definedName name="AMORTECARTACQUISITION" localSheetId="5">#REF!</definedName>
    <definedName name="AMORTECARTACQUISITION">#REF!</definedName>
    <definedName name="amortinforce" localSheetId="5">#REF!</definedName>
    <definedName name="amortinforce">#REF!</definedName>
    <definedName name="AMORTISSEMENTS" localSheetId="5">#REF!</definedName>
    <definedName name="AMORTISSEMENTS">#REF!</definedName>
    <definedName name="annee">[10]Tables!$B$32</definedName>
    <definedName name="Annexe">[11]Détail!$J$1:$R$10960</definedName>
    <definedName name="anscount" hidden="1">1</definedName>
    <definedName name="ARRERAGES" localSheetId="5">#REF!</definedName>
    <definedName name="ARRERAGES">#REF!</definedName>
    <definedName name="as" hidden="1">{#N/A,#N/A,TRUE,"COFTOT"}</definedName>
    <definedName name="as_1" hidden="1">{#N/A,#N/A,TRUE,"COFTOT"}</definedName>
    <definedName name="AS2DocOpenMode" hidden="1">"AS2DocumentEdit"</definedName>
    <definedName name="ASSURPOSTE_2001" localSheetId="5">#REF!</definedName>
    <definedName name="ASSURPOSTE_2001">#REF!</definedName>
    <definedName name="ATTENTECDC" localSheetId="5">#REF!</definedName>
    <definedName name="ATTENTECDC">#REF!</definedName>
    <definedName name="ATTENTEICDC" localSheetId="5">#REF!</definedName>
    <definedName name="ATTENTEICDC">#REF!</definedName>
    <definedName name="AUTCHNTECH" localSheetId="5">#REF!</definedName>
    <definedName name="AUTCHNTECH">#REF!</definedName>
    <definedName name="AUTCHSOCIALES" localSheetId="5">#REF!</definedName>
    <definedName name="AUTCHSOCIALES">#REF!</definedName>
    <definedName name="AUTCHTECHN" localSheetId="5">#REF!</definedName>
    <definedName name="AUTCHTECHN">#REF!</definedName>
    <definedName name="AUTENGAG" localSheetId="5">#REF!</definedName>
    <definedName name="AUTENGAG">#REF!</definedName>
    <definedName name="Autprodchtech" localSheetId="5">#REF!</definedName>
    <definedName name="Autprodchtech">#REF!</definedName>
    <definedName name="AUTPRODNTECH" localSheetId="5">#REF!</definedName>
    <definedName name="AUTPRODNTECH">#REF!</definedName>
    <definedName name="AUTPRODPLAC" localSheetId="5">#REF!</definedName>
    <definedName name="AUTPRODPLAC">#REF!</definedName>
    <definedName name="AUTPRODTECHN" localSheetId="5">#REF!</definedName>
    <definedName name="AUTPRODTECHN">#REF!</definedName>
    <definedName name="AUTPROV1" localSheetId="5">#REF!</definedName>
    <definedName name="AUTPROV1">#REF!</definedName>
    <definedName name="AUTPROV2" localSheetId="5">#REF!</definedName>
    <definedName name="AUTPROV2">#REF!</definedName>
    <definedName name="AUTPROV3" localSheetId="5">#REF!</definedName>
    <definedName name="AUTPROV3">#REF!</definedName>
    <definedName name="AUTPROVTECH" localSheetId="5">#REF!</definedName>
    <definedName name="AUTPROVTECH">#REF!</definedName>
    <definedName name="autreschargesdexploitation" localSheetId="5">#REF!</definedName>
    <definedName name="autreschargesdexploitation">#REF!</definedName>
    <definedName name="AVANCDC" localSheetId="5">#REF!</definedName>
    <definedName name="AVANCDC">#REF!</definedName>
    <definedName name="azeazs" localSheetId="5" hidden="1">#REF!</definedName>
    <definedName name="azeazs" localSheetId="12" hidden="1">#REF!</definedName>
    <definedName name="azeazs" hidden="1">#REF!</definedName>
    <definedName name="B" hidden="1">#REF!</definedName>
    <definedName name="BANQCDC" localSheetId="5">#REF!</definedName>
    <definedName name="BANQCDC">#REF!</definedName>
    <definedName name="BANQCDCEP" localSheetId="5">#REF!</definedName>
    <definedName name="BANQCDCEP">#REF!</definedName>
    <definedName name="bbbbb" hidden="1">{"résultats",#N/A,FALSE,"résultats SFS";"indicateurs",#N/A,FALSE,"résultats SFS";"commentaires",#N/A,FALSE,"commentaires SFS";"graphiques",#N/A,FALSE,"graphiques SFS"}</definedName>
    <definedName name="bjguj" hidden="1">{#N/A,#N/A,TRUE,"COFTOT"}</definedName>
    <definedName name="bjguj_1" hidden="1">{#N/A,#N/A,TRUE,"COFTOT"}</definedName>
    <definedName name="C_A120" localSheetId="5">#REF!</definedName>
    <definedName name="C_A120">#REF!</definedName>
    <definedName name="C_A130" localSheetId="5">#REF!</definedName>
    <definedName name="C_A130">#REF!</definedName>
    <definedName name="C_A201" localSheetId="5">#REF!</definedName>
    <definedName name="C_A201">#REF!</definedName>
    <definedName name="C_A202" localSheetId="5">#REF!</definedName>
    <definedName name="C_A202">#REF!</definedName>
    <definedName name="C_A203" localSheetId="5">#REF!</definedName>
    <definedName name="C_A203">#REF!</definedName>
    <definedName name="C_A204" localSheetId="5">#REF!</definedName>
    <definedName name="C_A204">#REF!</definedName>
    <definedName name="C_A215" localSheetId="5">#REF!</definedName>
    <definedName name="C_A215">#REF!</definedName>
    <definedName name="C_F500" localSheetId="5">#REF!</definedName>
    <definedName name="C_F500">#REF!</definedName>
    <definedName name="C_G301" localSheetId="5">#REF!</definedName>
    <definedName name="C_G301">#REF!</definedName>
    <definedName name="C_G302" localSheetId="5">#REF!</definedName>
    <definedName name="C_G302">#REF!</definedName>
    <definedName name="C_G303" localSheetId="5">#REF!</definedName>
    <definedName name="C_G303">#REF!</definedName>
    <definedName name="C_G310" localSheetId="5">#REF!</definedName>
    <definedName name="C_G310">#REF!</definedName>
    <definedName name="C_G311" localSheetId="5">#REF!</definedName>
    <definedName name="C_G311">#REF!</definedName>
    <definedName name="C_I801" localSheetId="5">#REF!</definedName>
    <definedName name="C_I801">#REF!</definedName>
    <definedName name="C_I805" localSheetId="5">#REF!</definedName>
    <definedName name="C_I805">#REF!</definedName>
    <definedName name="C_I806" localSheetId="5">#REF!</definedName>
    <definedName name="C_I806">#REF!</definedName>
    <definedName name="C_I810" localSheetId="5">#REF!</definedName>
    <definedName name="C_I810">#REF!</definedName>
    <definedName name="C_I900" localSheetId="5">#REF!</definedName>
    <definedName name="C_I900">#REF!</definedName>
    <definedName name="C_I930" localSheetId="5">#REF!</definedName>
    <definedName name="C_I930">#REF!</definedName>
    <definedName name="C_I950" localSheetId="5">#REF!</definedName>
    <definedName name="C_I950">#REF!</definedName>
    <definedName name="C_M008" localSheetId="5">#REF!</definedName>
    <definedName name="C_M008">#REF!</definedName>
    <definedName name="C_P500" localSheetId="5">#REF!</definedName>
    <definedName name="C_P500">#REF!</definedName>
    <definedName name="C_P501" localSheetId="5">#REF!</definedName>
    <definedName name="C_P501">#REF!</definedName>
    <definedName name="C_P510" localSheetId="5">#REF!</definedName>
    <definedName name="C_P510">#REF!</definedName>
    <definedName name="C_P511" localSheetId="5">#REF!</definedName>
    <definedName name="C_P511">#REF!</definedName>
    <definedName name="C_P520" localSheetId="5">#REF!</definedName>
    <definedName name="C_P520">#REF!</definedName>
    <definedName name="C_P530" localSheetId="5">#REF!</definedName>
    <definedName name="C_P530">#REF!</definedName>
    <definedName name="C_P540" localSheetId="5">#REF!</definedName>
    <definedName name="C_P540">#REF!</definedName>
    <definedName name="C_P550" localSheetId="5">#REF!</definedName>
    <definedName name="C_P550">#REF!</definedName>
    <definedName name="C_P560" localSheetId="5">#REF!</definedName>
    <definedName name="C_P560">#REF!</definedName>
    <definedName name="C_P561" localSheetId="5">#REF!</definedName>
    <definedName name="C_P561">#REF!</definedName>
    <definedName name="C_P570" localSheetId="5">#REF!</definedName>
    <definedName name="C_P570">#REF!</definedName>
    <definedName name="C_P580" localSheetId="5">#REF!</definedName>
    <definedName name="C_P580">#REF!</definedName>
    <definedName name="C_P590" localSheetId="5">#REF!</definedName>
    <definedName name="C_P590">#REF!</definedName>
    <definedName name="C_P600" localSheetId="5">#REF!</definedName>
    <definedName name="C_P600">#REF!</definedName>
    <definedName name="C_P610" localSheetId="5">#REF!</definedName>
    <definedName name="C_P610">#REF!</definedName>
    <definedName name="C_P611" localSheetId="5">#REF!</definedName>
    <definedName name="C_P611">#REF!</definedName>
    <definedName name="C_P620" localSheetId="5">#REF!</definedName>
    <definedName name="C_P620">#REF!</definedName>
    <definedName name="C_P640" localSheetId="5">#REF!</definedName>
    <definedName name="C_P640">#REF!</definedName>
    <definedName name="C_P650" localSheetId="5">#REF!</definedName>
    <definedName name="C_P650">#REF!</definedName>
    <definedName name="C_P660" localSheetId="5">#REF!</definedName>
    <definedName name="C_P660">#REF!</definedName>
    <definedName name="C_P661" localSheetId="5">#REF!</definedName>
    <definedName name="C_P661">#REF!</definedName>
    <definedName name="C_P670" localSheetId="5">#REF!</definedName>
    <definedName name="C_P670">#REF!</definedName>
    <definedName name="C_P671" localSheetId="5">#REF!</definedName>
    <definedName name="C_P671">#REF!</definedName>
    <definedName name="C_P680" localSheetId="5">#REF!</definedName>
    <definedName name="C_P680">#REF!</definedName>
    <definedName name="C_P690" localSheetId="5">#REF!</definedName>
    <definedName name="C_P690">#REF!</definedName>
    <definedName name="CAACCEPTATIONS" localSheetId="5">#REF!</definedName>
    <definedName name="CAACCEPTATIONS">#REF!</definedName>
    <definedName name="caautactivités" localSheetId="5">#REF!</definedName>
    <definedName name="caautactivités">#REF!</definedName>
    <definedName name="CABRUT" localSheetId="5">#REF!</definedName>
    <definedName name="CABRUT">#REF!</definedName>
    <definedName name="CAUTION_2001" localSheetId="5">#REF!</definedName>
    <definedName name="CAUTION_2001">#REF!</definedName>
    <definedName name="ccc" hidden="1">{"résultats",#N/A,FALSE,"résultats SFS";"indicateurs",#N/A,FALSE,"résultats SFS";"commentaires",#N/A,FALSE,"commentaires SFS";"graphiques",#N/A,FALSE,"graphiques SFS"}</definedName>
    <definedName name="CDC95199B" localSheetId="5">#REF!</definedName>
    <definedName name="CDC95199B">#REF!</definedName>
    <definedName name="CDC9519A" localSheetId="5">#REF!</definedName>
    <definedName name="CDC9519A">#REF!</definedName>
    <definedName name="CDC9529A" localSheetId="5">#REF!</definedName>
    <definedName name="CDC9529A">#REF!</definedName>
    <definedName name="CDC9529Abis" localSheetId="5">#REF!</definedName>
    <definedName name="CDC9529Abis">#REF!</definedName>
    <definedName name="CHAMORT" localSheetId="5">#REF!</definedName>
    <definedName name="CHAMORT">#REF!</definedName>
    <definedName name="CHAREXCEP" localSheetId="5">#REF!</definedName>
    <definedName name="CHAREXCEP">#REF!</definedName>
    <definedName name="CHARGEMENTS" localSheetId="5">#REF!</definedName>
    <definedName name="CHARGEMENTS">#REF!</definedName>
    <definedName name="chargesautactivités" localSheetId="5">#REF!</definedName>
    <definedName name="chargesautactivités">#REF!</definedName>
    <definedName name="chargesdepersonnels" localSheetId="5">#REF!</definedName>
    <definedName name="chargesdepersonnels">#REF!</definedName>
    <definedName name="chargesetproduitsfinanciers" localSheetId="5">#REF!</definedName>
    <definedName name="chargesetproduitsfinanciers">#REF!</definedName>
    <definedName name="CHARGPREL" localSheetId="5">#REF!</definedName>
    <definedName name="CHARGPREL">#REF!</definedName>
    <definedName name="CHARGTGESTION" localSheetId="5">#REF!</definedName>
    <definedName name="CHARGTGESTION">#REF!</definedName>
    <definedName name="chextcdc" localSheetId="5">#REF!</definedName>
    <definedName name="chextcdc">#REF!</definedName>
    <definedName name="CHEXTERNES" localSheetId="5">#REF!</definedName>
    <definedName name="CHEXTERNES">#REF!</definedName>
    <definedName name="chextgip" localSheetId="5">#REF!</definedName>
    <definedName name="chextgip">#REF!</definedName>
    <definedName name="CHPAUTCRED" localSheetId="5">#REF!</definedName>
    <definedName name="CHPAUTCRED">#REF!</definedName>
    <definedName name="CHPAUTDEB" localSheetId="5">#REF!</definedName>
    <definedName name="CHPAUTDEB">#REF!</definedName>
    <definedName name="CHPERSONNEL" localSheetId="5">#REF!</definedName>
    <definedName name="CHPERSONNEL">#REF!</definedName>
    <definedName name="CHPERSONNELC" localSheetId="5">#REF!</definedName>
    <definedName name="CHPERSONNELC">#REF!</definedName>
    <definedName name="CHPERSONNELD" localSheetId="5">#REF!</definedName>
    <definedName name="CHPERSONNELD">#REF!</definedName>
    <definedName name="CHRETRAITE" localSheetId="5">#REF!</definedName>
    <definedName name="CHRETRAITE">#REF!</definedName>
    <definedName name="CHSINISTRES" localSheetId="5">#REF!</definedName>
    <definedName name="CHSINISTRES">#REF!</definedName>
    <definedName name="CHTAXES" localSheetId="5">#REF!</definedName>
    <definedName name="CHTAXES">#REF!</definedName>
    <definedName name="cnce413" localSheetId="5">#REF!</definedName>
    <definedName name="cnce413">#REF!</definedName>
    <definedName name="CNP_2001" localSheetId="5">#REF!</definedName>
    <definedName name="CNP_2001">#REF!</definedName>
    <definedName name="CNPI_2001" localSheetId="5">#REF!</definedName>
    <definedName name="CNPI_2001">#REF!</definedName>
    <definedName name="CODESOC">'[12]ANNEXE 1'!$C$5</definedName>
    <definedName name="CODSOC">[13]v!$C$11</definedName>
    <definedName name="COM_FI_PB" localSheetId="5">#REF!</definedName>
    <definedName name="COM_FI_PB">#REF!</definedName>
    <definedName name="COM_FI_PID" localSheetId="5">#REF!</definedName>
    <definedName name="COM_FI_PID">#REF!</definedName>
    <definedName name="COM_FI_PID_REVALO" localSheetId="5">#REF!</definedName>
    <definedName name="COM_FI_PID_REVALO">#REF!</definedName>
    <definedName name="COM_FI_REVAL" localSheetId="5">#REF!</definedName>
    <definedName name="COM_FI_REVAL">#REF!</definedName>
    <definedName name="COMMISSIONS" localSheetId="5">#REF!</definedName>
    <definedName name="COMMISSIONS">#REF!</definedName>
    <definedName name="COMPTE">[11]Compte!$A$5:$G$624</definedName>
    <definedName name="COMPTE10641" localSheetId="5">#REF!</definedName>
    <definedName name="COMPTE10641">#REF!</definedName>
    <definedName name="COMPTE10645" localSheetId="5">#REF!</definedName>
    <definedName name="COMPTE10645">#REF!</definedName>
    <definedName name="COMPTE10681" localSheetId="5">#REF!</definedName>
    <definedName name="COMPTE10681">#REF!</definedName>
    <definedName name="COMPTE10682" localSheetId="5">#REF!</definedName>
    <definedName name="COMPTE10682">#REF!</definedName>
    <definedName name="COMPTE10690" localSheetId="5">#REF!</definedName>
    <definedName name="COMPTE10690">#REF!</definedName>
    <definedName name="COMPTE13005" localSheetId="5">#REF!</definedName>
    <definedName name="COMPTE13005">#REF!</definedName>
    <definedName name="CONSO_CAUT2001" localSheetId="5">#REF!</definedName>
    <definedName name="CONSO_CAUT2001">#REF!</definedName>
    <definedName name="CONSOA1" localSheetId="5">#REF!</definedName>
    <definedName name="CONSOA1">#REF!</definedName>
    <definedName name="CONSOA19" localSheetId="5">#REF!</definedName>
    <definedName name="CONSOA19">#REF!</definedName>
    <definedName name="CONSOA190" localSheetId="5">#REF!</definedName>
    <definedName name="CONSOA190">#REF!</definedName>
    <definedName name="CONSOA199" localSheetId="5">#REF!</definedName>
    <definedName name="CONSOA199">#REF!</definedName>
    <definedName name="CONSOA2" localSheetId="5">#REF!</definedName>
    <definedName name="CONSOA2">#REF!</definedName>
    <definedName name="CONSOA2A" localSheetId="5">#REF!</definedName>
    <definedName name="CONSOA2A">#REF!</definedName>
    <definedName name="CONSOA2B" localSheetId="5">#REF!</definedName>
    <definedName name="CONSOA2B">#REF!</definedName>
    <definedName name="CONSOA3" localSheetId="5">#REF!</definedName>
    <definedName name="CONSOA3">#REF!</definedName>
    <definedName name="CONSOA3A" localSheetId="5">#REF!</definedName>
    <definedName name="CONSOA3A">#REF!</definedName>
    <definedName name="CONSOA3A1" localSheetId="5">#REF!</definedName>
    <definedName name="CONSOA3A1">#REF!</definedName>
    <definedName name="CONSOA3A2" localSheetId="5">#REF!</definedName>
    <definedName name="CONSOA3A2">#REF!</definedName>
    <definedName name="CONSOA3A3" localSheetId="5">#REF!</definedName>
    <definedName name="CONSOA3A3">#REF!</definedName>
    <definedName name="CONSOA3A4" localSheetId="5">#REF!</definedName>
    <definedName name="CONSOA3A4">#REF!</definedName>
    <definedName name="CONSOA3A5" localSheetId="5">#REF!</definedName>
    <definedName name="CONSOA3A5">#REF!</definedName>
    <definedName name="CONSOA3A6" localSheetId="5">#REF!</definedName>
    <definedName name="CONSOA3A6">#REF!</definedName>
    <definedName name="CONSOA3A6A" localSheetId="5">#REF!</definedName>
    <definedName name="CONSOA3A6A">#REF!</definedName>
    <definedName name="CONSOA3A6B" localSheetId="5">#REF!</definedName>
    <definedName name="CONSOA3A6B">#REF!</definedName>
    <definedName name="CONSOA3A7" localSheetId="5">#REF!</definedName>
    <definedName name="CONSOA3A7">#REF!</definedName>
    <definedName name="CONSOA3B" localSheetId="5">#REF!</definedName>
    <definedName name="CONSOA3B">#REF!</definedName>
    <definedName name="CONSOA3B1" localSheetId="5">#REF!</definedName>
    <definedName name="CONSOA3B1">#REF!</definedName>
    <definedName name="CONSOA3B2" localSheetId="5">#REF!</definedName>
    <definedName name="CONSOA3B2">#REF!</definedName>
    <definedName name="CONSOA3B3" localSheetId="5">#REF!</definedName>
    <definedName name="CONSOA3B3">#REF!</definedName>
    <definedName name="CONSOA3C" localSheetId="5">#REF!</definedName>
    <definedName name="CONSOA3C">#REF!</definedName>
    <definedName name="CONSOA3CA1" localSheetId="5">#REF!</definedName>
    <definedName name="CONSOA3CA1">#REF!</definedName>
    <definedName name="CONSOA3CA10" localSheetId="5">#REF!</definedName>
    <definedName name="CONSOA3CA10">#REF!</definedName>
    <definedName name="CONSOA3CA11" localSheetId="5">#REF!</definedName>
    <definedName name="CONSOA3CA11">#REF!</definedName>
    <definedName name="CONSOA3CA12" localSheetId="5">#REF!</definedName>
    <definedName name="CONSOA3CA12">#REF!</definedName>
    <definedName name="CONSOA3CA13" localSheetId="5">#REF!</definedName>
    <definedName name="CONSOA3CA13">#REF!</definedName>
    <definedName name="CONSOA3CA2" localSheetId="5">#REF!</definedName>
    <definedName name="CONSOA3CA2">#REF!</definedName>
    <definedName name="CONSOA3CA21" localSheetId="5">#REF!</definedName>
    <definedName name="CONSOA3CA21">#REF!</definedName>
    <definedName name="CONSOA3CA210" localSheetId="5">#REF!</definedName>
    <definedName name="CONSOA3CA210">#REF!</definedName>
    <definedName name="CONSOA3CA211" localSheetId="5">#REF!</definedName>
    <definedName name="CONSOA3CA211">#REF!</definedName>
    <definedName name="CONSOA3CA22" localSheetId="5">#REF!</definedName>
    <definedName name="CONSOA3CA22">#REF!</definedName>
    <definedName name="CONSOA3CA3" localSheetId="5">#REF!</definedName>
    <definedName name="CONSOA3CA3">#REF!</definedName>
    <definedName name="CONSOA3CA4" localSheetId="5">#REF!</definedName>
    <definedName name="CONSOA3CA4">#REF!</definedName>
    <definedName name="CONSOA3CA5" localSheetId="5">#REF!</definedName>
    <definedName name="CONSOA3CA5">#REF!</definedName>
    <definedName name="CONSOA3CA6" localSheetId="5">#REF!</definedName>
    <definedName name="CONSOA3CA6">#REF!</definedName>
    <definedName name="CONSOA3CA6B" localSheetId="5">#REF!</definedName>
    <definedName name="CONSOA3CA6B">#REF!</definedName>
    <definedName name="CONSOA3CA6BA" localSheetId="5">#REF!</definedName>
    <definedName name="CONSOA3CA6BA">#REF!</definedName>
    <definedName name="CONSOA3CA6BO" localSheetId="5">#REF!</definedName>
    <definedName name="CONSOA3CA6BO">#REF!</definedName>
    <definedName name="CONSOA3CA7" localSheetId="5">#REF!</definedName>
    <definedName name="CONSOA3CA7">#REF!</definedName>
    <definedName name="CONSOA3CA8" localSheetId="5">#REF!</definedName>
    <definedName name="CONSOA3CA8">#REF!</definedName>
    <definedName name="CONSOA3D" localSheetId="5">#REF!</definedName>
    <definedName name="CONSOA3D">#REF!</definedName>
    <definedName name="CONSOA4" localSheetId="5">#REF!</definedName>
    <definedName name="CONSOA4">#REF!</definedName>
    <definedName name="CONSOA4A" localSheetId="5">#REF!</definedName>
    <definedName name="CONSOA4A">#REF!</definedName>
    <definedName name="CONSOA4B" localSheetId="5">#REF!</definedName>
    <definedName name="CONSOA4B">#REF!</definedName>
    <definedName name="CONSOA4B1" localSheetId="5">#REF!</definedName>
    <definedName name="CONSOA4B1">#REF!</definedName>
    <definedName name="CONSOA4B2" localSheetId="5">#REF!</definedName>
    <definedName name="CONSOA4B2">#REF!</definedName>
    <definedName name="CONSOA4BIS" localSheetId="5">#REF!</definedName>
    <definedName name="CONSOA4BIS">#REF!</definedName>
    <definedName name="CONSOA5" localSheetId="5">#REF!</definedName>
    <definedName name="CONSOA5">#REF!</definedName>
    <definedName name="CONSOA5A" localSheetId="5">#REF!</definedName>
    <definedName name="CONSOA5A">#REF!</definedName>
    <definedName name="CONSOA5B" localSheetId="5">#REF!</definedName>
    <definedName name="CONSOA5B">#REF!</definedName>
    <definedName name="CONSOA5C" localSheetId="5">#REF!</definedName>
    <definedName name="CONSOA5C">#REF!</definedName>
    <definedName name="CONSOA5D" localSheetId="5">#REF!</definedName>
    <definedName name="CONSOA5D">#REF!</definedName>
    <definedName name="CONSOA5E" localSheetId="5">#REF!</definedName>
    <definedName name="CONSOA5E">#REF!</definedName>
    <definedName name="CONSOA5F" localSheetId="5">#REF!</definedName>
    <definedName name="CONSOA5F">#REF!</definedName>
    <definedName name="CONSOA5G" localSheetId="5">#REF!</definedName>
    <definedName name="CONSOA5G">#REF!</definedName>
    <definedName name="CONSOA5H" localSheetId="5">#REF!</definedName>
    <definedName name="CONSOA5H">#REF!</definedName>
    <definedName name="CONSOA5I" localSheetId="5">#REF!</definedName>
    <definedName name="CONSOA5I">#REF!</definedName>
    <definedName name="CONSOA5J" localSheetId="5">#REF!</definedName>
    <definedName name="CONSOA5J">#REF!</definedName>
    <definedName name="CONSOA6" localSheetId="5">#REF!</definedName>
    <definedName name="CONSOA6">#REF!</definedName>
    <definedName name="CONSOA6A" localSheetId="5">#REF!</definedName>
    <definedName name="CONSOA6A">#REF!</definedName>
    <definedName name="CONSOA6AA" localSheetId="5">#REF!</definedName>
    <definedName name="CONSOA6AA">#REF!</definedName>
    <definedName name="CONSOA6AB" localSheetId="5">#REF!</definedName>
    <definedName name="CONSOA6AB">#REF!</definedName>
    <definedName name="CONSOA6B" localSheetId="5">#REF!</definedName>
    <definedName name="CONSOA6B">#REF!</definedName>
    <definedName name="CONSOA6C" localSheetId="5">#REF!</definedName>
    <definedName name="CONSOA6C">#REF!</definedName>
    <definedName name="CONSOA6CA" localSheetId="5">#REF!</definedName>
    <definedName name="CONSOA6CA">#REF!</definedName>
    <definedName name="CONSOA6CB" localSheetId="5">#REF!</definedName>
    <definedName name="CONSOA6CB">#REF!</definedName>
    <definedName name="CONSOA6CC" localSheetId="5">#REF!</definedName>
    <definedName name="CONSOA6CC">#REF!</definedName>
    <definedName name="CONSOA6D" localSheetId="5">#REF!</definedName>
    <definedName name="CONSOA6D">#REF!</definedName>
    <definedName name="CONSOA7" localSheetId="5">#REF!</definedName>
    <definedName name="CONSOA7">#REF!</definedName>
    <definedName name="CONSOA7A" localSheetId="5">#REF!</definedName>
    <definedName name="CONSOA7A">#REF!</definedName>
    <definedName name="CONSOa7a1" localSheetId="5">#REF!</definedName>
    <definedName name="CONSOa7a1">#REF!</definedName>
    <definedName name="CONSOa7a2" localSheetId="5">#REF!</definedName>
    <definedName name="CONSOa7a2">#REF!</definedName>
    <definedName name="CONSOa7a3" localSheetId="5">#REF!</definedName>
    <definedName name="CONSOa7a3">#REF!</definedName>
    <definedName name="CONSOa7a4" localSheetId="5">#REF!</definedName>
    <definedName name="CONSOa7a4">#REF!</definedName>
    <definedName name="CONSOa7a5" localSheetId="5">#REF!</definedName>
    <definedName name="CONSOa7a5">#REF!</definedName>
    <definedName name="CONSOa7a6" localSheetId="5">#REF!</definedName>
    <definedName name="CONSOa7a6">#REF!</definedName>
    <definedName name="CONSOA7B" localSheetId="5">#REF!</definedName>
    <definedName name="CONSOA7B">#REF!</definedName>
    <definedName name="CONSOA7C" localSheetId="5">#REF!</definedName>
    <definedName name="CONSOA7C">#REF!</definedName>
    <definedName name="CONSOA7CA" localSheetId="5">#REF!</definedName>
    <definedName name="CONSOA7CA">#REF!</definedName>
    <definedName name="CONSOA8" localSheetId="5">#REF!</definedName>
    <definedName name="CONSOA8">#REF!</definedName>
    <definedName name="CONSOA8A" localSheetId="5">#REF!</definedName>
    <definedName name="CONSOA8A">#REF!</definedName>
    <definedName name="CONSOA8A1" localSheetId="5">#REF!</definedName>
    <definedName name="CONSOA8A1">#REF!</definedName>
    <definedName name="CONSOA8A2" localSheetId="5">#REF!</definedName>
    <definedName name="CONSOA8A2">#REF!</definedName>
    <definedName name="CONSOA8B" localSheetId="5">#REF!</definedName>
    <definedName name="CONSOA8B">#REF!</definedName>
    <definedName name="CONSOA8C" localSheetId="5">#REF!</definedName>
    <definedName name="CONSOA8C">#REF!</definedName>
    <definedName name="CONSOA8CA" localSheetId="5">#REF!</definedName>
    <definedName name="CONSOA8CA">#REF!</definedName>
    <definedName name="CONSOA8CB" localSheetId="5">#REF!</definedName>
    <definedName name="CONSOA8CB">#REF!</definedName>
    <definedName name="CONSOA8CC" localSheetId="5">#REF!</definedName>
    <definedName name="CONSOA8CC">#REF!</definedName>
    <definedName name="CONSOA8CD" localSheetId="5">#REF!</definedName>
    <definedName name="CONSOA8CD">#REF!</definedName>
    <definedName name="CONSOA8CE" localSheetId="5">#REF!</definedName>
    <definedName name="CONSOA8CE">#REF!</definedName>
    <definedName name="CONSOA9" localSheetId="5">#REF!</definedName>
    <definedName name="CONSOA9">#REF!</definedName>
    <definedName name="CONSOAMCB" localSheetId="5">#REF!</definedName>
    <definedName name="CONSOAMCB">#REF!</definedName>
    <definedName name="CONSOAREGUL" localSheetId="5">#REF!</definedName>
    <definedName name="CONSOAREGUL">#REF!</definedName>
    <definedName name="CONSOB0" localSheetId="5">#REF!</definedName>
    <definedName name="CONSOB0">#REF!</definedName>
    <definedName name="CONSOB01" localSheetId="5">#REF!</definedName>
    <definedName name="CONSOB01">#REF!</definedName>
    <definedName name="CONSOB02" localSheetId="5">#REF!</definedName>
    <definedName name="CONSOB02">#REF!</definedName>
    <definedName name="CONSOB03" localSheetId="5">#REF!</definedName>
    <definedName name="CONSOB03">#REF!</definedName>
    <definedName name="CONSOB1" localSheetId="5">#REF!</definedName>
    <definedName name="CONSOB1">#REF!</definedName>
    <definedName name="CONSOB1A" localSheetId="5">#REF!</definedName>
    <definedName name="CONSOB1A">#REF!</definedName>
    <definedName name="CONSOB1B" localSheetId="5">#REF!</definedName>
    <definedName name="CONSOB1B">#REF!</definedName>
    <definedName name="CONSOB1C" localSheetId="5">#REF!</definedName>
    <definedName name="CONSOB1C">#REF!</definedName>
    <definedName name="CONSOB1D" localSheetId="5">#REF!</definedName>
    <definedName name="CONSOB1D">#REF!</definedName>
    <definedName name="CONSOB1E" localSheetId="5">#REF!</definedName>
    <definedName name="CONSOB1E">#REF!</definedName>
    <definedName name="CONSOB1F" localSheetId="5">#REF!</definedName>
    <definedName name="CONSOB1F">#REF!</definedName>
    <definedName name="CONSOB1R" localSheetId="5">#REF!</definedName>
    <definedName name="CONSOB1R">#REF!</definedName>
    <definedName name="CONSOB1S" localSheetId="5">#REF!</definedName>
    <definedName name="CONSOB1S">#REF!</definedName>
    <definedName name="CONSOB2" localSheetId="5">#REF!</definedName>
    <definedName name="CONSOB2">#REF!</definedName>
    <definedName name="CONSOB3" localSheetId="5">#REF!</definedName>
    <definedName name="CONSOB3">#REF!</definedName>
    <definedName name="CONSOB30" localSheetId="5">#REF!</definedName>
    <definedName name="CONSOB30">#REF!</definedName>
    <definedName name="CONSOB3A" localSheetId="5">#REF!</definedName>
    <definedName name="CONSOB3A">#REF!</definedName>
    <definedName name="CONSOB3B" localSheetId="5">#REF!</definedName>
    <definedName name="CONSOB3B">#REF!</definedName>
    <definedName name="CONSOB3B1" localSheetId="5">#REF!</definedName>
    <definedName name="CONSOB3B1">#REF!</definedName>
    <definedName name="CONSOB3B2" localSheetId="5">#REF!</definedName>
    <definedName name="CONSOB3B2">#REF!</definedName>
    <definedName name="CONSOB3C" localSheetId="5">#REF!</definedName>
    <definedName name="CONSOB3C">#REF!</definedName>
    <definedName name="CONSOB3C1" localSheetId="5">#REF!</definedName>
    <definedName name="CONSOB3C1">#REF!</definedName>
    <definedName name="CONSOB3C2" localSheetId="5">#REF!</definedName>
    <definedName name="CONSOB3C2">#REF!</definedName>
    <definedName name="CONSOB3D" localSheetId="5">#REF!</definedName>
    <definedName name="CONSOB3D">#REF!</definedName>
    <definedName name="CONSOB3D1" localSheetId="5">#REF!</definedName>
    <definedName name="CONSOB3D1">#REF!</definedName>
    <definedName name="CONSOB3D2" localSheetId="5">#REF!</definedName>
    <definedName name="CONSOB3D2">#REF!</definedName>
    <definedName name="CONSOB3E" localSheetId="5">#REF!</definedName>
    <definedName name="CONSOB3E">#REF!</definedName>
    <definedName name="CONSOB3E1" localSheetId="5">#REF!</definedName>
    <definedName name="CONSOB3E1">#REF!</definedName>
    <definedName name="CONSOB3E2" localSheetId="5">#REF!</definedName>
    <definedName name="CONSOB3E2">#REF!</definedName>
    <definedName name="CONSOB3F" localSheetId="5">#REF!</definedName>
    <definedName name="CONSOB3F">#REF!</definedName>
    <definedName name="CONSOB3F1" localSheetId="5">#REF!</definedName>
    <definedName name="CONSOB3F1">#REF!</definedName>
    <definedName name="CONSOB3F2" localSheetId="5">#REF!</definedName>
    <definedName name="CONSOB3F2">#REF!</definedName>
    <definedName name="CONSOB3G" localSheetId="5">#REF!</definedName>
    <definedName name="CONSOB3G">#REF!</definedName>
    <definedName name="CONSOB3G1" localSheetId="5">#REF!</definedName>
    <definedName name="CONSOB3G1">#REF!</definedName>
    <definedName name="CONSOB3G2" localSheetId="5">#REF!</definedName>
    <definedName name="CONSOB3G2">#REF!</definedName>
    <definedName name="CONSOB3H" localSheetId="5">#REF!</definedName>
    <definedName name="CONSOB3H">#REF!</definedName>
    <definedName name="CONSOB3I" localSheetId="5">#REF!</definedName>
    <definedName name="CONSOB3I">#REF!</definedName>
    <definedName name="CONSOB3I1" localSheetId="5">#REF!</definedName>
    <definedName name="CONSOB3I1">#REF!</definedName>
    <definedName name="CONSOB3I2" localSheetId="5">#REF!</definedName>
    <definedName name="CONSOB3I2">#REF!</definedName>
    <definedName name="CONSOB4" localSheetId="5">#REF!</definedName>
    <definedName name="CONSOB4">#REF!</definedName>
    <definedName name="CONSOB5" localSheetId="5">#REF!</definedName>
    <definedName name="CONSOB5">#REF!</definedName>
    <definedName name="CONSOB5A" localSheetId="5">#REF!</definedName>
    <definedName name="CONSOB5A">#REF!</definedName>
    <definedName name="CONSOB5B" localSheetId="5">#REF!</definedName>
    <definedName name="CONSOB5B">#REF!</definedName>
    <definedName name="CONSOB5C" localSheetId="5">#REF!</definedName>
    <definedName name="CONSOB5C">#REF!</definedName>
    <definedName name="CONSOB5D" localSheetId="5">#REF!</definedName>
    <definedName name="CONSOB5D">#REF!</definedName>
    <definedName name="CONSOB5E" localSheetId="5">#REF!</definedName>
    <definedName name="CONSOB5E">#REF!</definedName>
    <definedName name="CONSOB6" localSheetId="5">#REF!</definedName>
    <definedName name="CONSOB6">#REF!</definedName>
    <definedName name="CONSOB7" localSheetId="5">#REF!</definedName>
    <definedName name="CONSOB7">#REF!</definedName>
    <definedName name="CONSOB7A" localSheetId="5">#REF!</definedName>
    <definedName name="CONSOB7A">#REF!</definedName>
    <definedName name="CONSOB7B" localSheetId="5">#REF!</definedName>
    <definedName name="CONSOB7B">#REF!</definedName>
    <definedName name="CONSOB7C" localSheetId="5">#REF!</definedName>
    <definedName name="CONSOB7C">#REF!</definedName>
    <definedName name="CONSOB7D" localSheetId="5">#REF!</definedName>
    <definedName name="CONSOB7D">#REF!</definedName>
    <definedName name="CONSOB7EA" localSheetId="5">#REF!</definedName>
    <definedName name="CONSOB7EA">#REF!</definedName>
    <definedName name="CONSOB7EB" localSheetId="5">#REF!</definedName>
    <definedName name="CONSOB7EB">#REF!</definedName>
    <definedName name="CONSOB7EC" localSheetId="5">#REF!</definedName>
    <definedName name="CONSOB7EC">#REF!</definedName>
    <definedName name="CONSOB7ED" localSheetId="5">#REF!</definedName>
    <definedName name="CONSOB7ED">#REF!</definedName>
    <definedName name="CONSOB7EE" localSheetId="5">#REF!</definedName>
    <definedName name="CONSOB7EE">#REF!</definedName>
    <definedName name="CONSOB8" localSheetId="5">#REF!</definedName>
    <definedName name="CONSOB8">#REF!</definedName>
    <definedName name="CONSOB8CA" localSheetId="5">#REF!</definedName>
    <definedName name="CONSOB8CA">#REF!</definedName>
    <definedName name="CONSOB8CB" localSheetId="5">#REF!</definedName>
    <definedName name="CONSOB8CB">#REF!</definedName>
    <definedName name="CONSOB8CC" localSheetId="5">#REF!</definedName>
    <definedName name="CONSOB8CC">#REF!</definedName>
    <definedName name="CONSOB8CE" localSheetId="5">#REF!</definedName>
    <definedName name="CONSOB8CE">#REF!</definedName>
    <definedName name="CONSOB9" localSheetId="5">#REF!</definedName>
    <definedName name="CONSOB9">#REF!</definedName>
    <definedName name="CONSOCBAIL" localSheetId="5">#REF!</definedName>
    <definedName name="CONSOCBAIL">#REF!</definedName>
    <definedName name="CONSODETREPTIT" localSheetId="5">#REF!</definedName>
    <definedName name="CONSODETREPTIT">#REF!</definedName>
    <definedName name="CONSODOAR" localSheetId="5">#REF!</definedName>
    <definedName name="CONSODOAR">#REF!</definedName>
    <definedName name="CONSOFCC" localSheetId="5">#REF!</definedName>
    <definedName name="CONSOFCC">#REF!</definedName>
    <definedName name="CONSOII10" localSheetId="5">#REF!</definedName>
    <definedName name="CONSOII10">#REF!</definedName>
    <definedName name="consoII2" localSheetId="5">#REF!</definedName>
    <definedName name="consoII2">#REF!</definedName>
    <definedName name="CONSOII2A" localSheetId="5">#REF!</definedName>
    <definedName name="CONSOII2A">#REF!</definedName>
    <definedName name="CONSOII2B" localSheetId="5">#REF!</definedName>
    <definedName name="CONSOII2B">#REF!</definedName>
    <definedName name="CONSOII2C" localSheetId="5">#REF!</definedName>
    <definedName name="CONSOII2C">#REF!</definedName>
    <definedName name="consoII9" localSheetId="5">#REF!</definedName>
    <definedName name="consoII9">#REF!</definedName>
    <definedName name="CONSOII9A" localSheetId="5">#REF!</definedName>
    <definedName name="CONSOII9A">#REF!</definedName>
    <definedName name="consoii9a1" localSheetId="5">#REF!</definedName>
    <definedName name="consoii9a1">#REF!</definedName>
    <definedName name="consoii9a2" localSheetId="5">#REF!</definedName>
    <definedName name="consoii9a2">#REF!</definedName>
    <definedName name="consoii9a3" localSheetId="5">#REF!</definedName>
    <definedName name="consoii9a3">#REF!</definedName>
    <definedName name="consoii9a4" localSheetId="5">#REF!</definedName>
    <definedName name="consoii9a4">#REF!</definedName>
    <definedName name="CONSOII9B" localSheetId="5">#REF!</definedName>
    <definedName name="CONSOII9B">#REF!</definedName>
    <definedName name="CONSOII9C" localSheetId="5">#REF!</definedName>
    <definedName name="CONSOII9C">#REF!</definedName>
    <definedName name="CONSOMINO" localSheetId="5">#REF!</definedName>
    <definedName name="CONSOMINO">#REF!</definedName>
    <definedName name="CONSOOBLCONV" localSheetId="5">#REF!</definedName>
    <definedName name="CONSOOBLCONV">#REF!</definedName>
    <definedName name="CONSOTITPAR" localSheetId="5">#REF!</definedName>
    <definedName name="CONSOTITPAR">#REF!</definedName>
    <definedName name="CONSOVARPRIMNACQ" localSheetId="5">#REF!</definedName>
    <definedName name="CONSOVARPRIMNACQ">#REF!</definedName>
    <definedName name="CORRIGE" localSheetId="5">[14]FG!$A$1:$L$59,[14]FG!#REF!,[14]FG!#REF!,[14]FG!#REF!</definedName>
    <definedName name="CORRIGE">[14]FG!$A$1:$L$59,[14]FG!#REF!,[14]FG!#REF!,[14]FG!#REF!</definedName>
    <definedName name="cours" localSheetId="5">#REF!</definedName>
    <definedName name="cours">#REF!</definedName>
    <definedName name="CPT29100000" localSheetId="5">#REF!</definedName>
    <definedName name="CPT29100000">#REF!</definedName>
    <definedName name="CPT29300000" localSheetId="5">#REF!</definedName>
    <definedName name="CPT29300000">#REF!</definedName>
    <definedName name="CPT29330510" localSheetId="5">#REF!</definedName>
    <definedName name="CPT29330510">#REF!</definedName>
    <definedName name="CPT29500000" localSheetId="5">#REF!</definedName>
    <definedName name="CPT29500000">#REF!</definedName>
    <definedName name="CPT29600000" localSheetId="5">#REF!</definedName>
    <definedName name="CPT29600000">#REF!</definedName>
    <definedName name="CPT44410000C" localSheetId="5">#REF!</definedName>
    <definedName name="CPT44410000C">#REF!</definedName>
    <definedName name="CPT44410000D" localSheetId="5">#REF!</definedName>
    <definedName name="CPT44410000D">#REF!</definedName>
    <definedName name="CPT619130C" localSheetId="5">#REF!</definedName>
    <definedName name="CPT619130C">#REF!</definedName>
    <definedName name="CPT621400C" localSheetId="5">#REF!</definedName>
    <definedName name="CPT621400C">#REF!</definedName>
    <definedName name="CPT651130C" localSheetId="5">#REF!</definedName>
    <definedName name="CPT651130C">#REF!</definedName>
    <definedName name="CPT664000C" localSheetId="5">#REF!</definedName>
    <definedName name="CPT664000C">#REF!</definedName>
    <definedName name="CPT691000C" localSheetId="5">#REF!</definedName>
    <definedName name="CPT691000C">#REF!</definedName>
    <definedName name="CPT692000C" localSheetId="5">#REF!</definedName>
    <definedName name="CPT692000C">#REF!</definedName>
    <definedName name="cpt708998z" localSheetId="5">#REF!</definedName>
    <definedName name="cpt708998z">#REF!</definedName>
    <definedName name="CPT708999Z" localSheetId="5">#REF!</definedName>
    <definedName name="CPT708999Z">#REF!</definedName>
    <definedName name="CPT71100L" localSheetId="5">#REF!</definedName>
    <definedName name="CPT71100L">#REF!</definedName>
    <definedName name="CPT71200L" localSheetId="5">#REF!</definedName>
    <definedName name="CPT71200L">#REF!</definedName>
    <definedName name="CPT71300L" localSheetId="5">#REF!</definedName>
    <definedName name="CPT71300L">#REF!</definedName>
    <definedName name="CPT71400L" localSheetId="5">#REF!</definedName>
    <definedName name="CPT71400L">#REF!</definedName>
    <definedName name="CPT75100L" localSheetId="5">#REF!</definedName>
    <definedName name="CPT75100L">#REF!</definedName>
    <definedName name="CPT751130C" localSheetId="5">#REF!</definedName>
    <definedName name="CPT751130C">#REF!</definedName>
    <definedName name="CPT764000C" localSheetId="5">#REF!</definedName>
    <definedName name="CPT764000C">#REF!</definedName>
    <definedName name="CPT791000C" localSheetId="5">#REF!</definedName>
    <definedName name="CPT791000C">#REF!</definedName>
    <definedName name="CPT792000C" localSheetId="5">#REF!</definedName>
    <definedName name="CPT792000C">#REF!</definedName>
    <definedName name="CPTA100L" localSheetId="5">#REF!</definedName>
    <definedName name="CPTA100L">#REF!</definedName>
    <definedName name="CPTA11000" localSheetId="5">#REF!</definedName>
    <definedName name="CPTA11000">#REF!</definedName>
    <definedName name="CPTA12100" localSheetId="5">#REF!</definedName>
    <definedName name="CPTA12100">#REF!</definedName>
    <definedName name="CPTA13100" localSheetId="5">#REF!</definedName>
    <definedName name="CPTA13100">#REF!</definedName>
    <definedName name="CPTA13108" localSheetId="5">#REF!</definedName>
    <definedName name="CPTA13108">#REF!</definedName>
    <definedName name="CPTA13200" localSheetId="5">#REF!</definedName>
    <definedName name="CPTA13200">#REF!</definedName>
    <definedName name="CPTA13208" localSheetId="5">#REF!</definedName>
    <definedName name="CPTA13208">#REF!</definedName>
    <definedName name="CPTA13300" localSheetId="5">#REF!</definedName>
    <definedName name="CPTA13300">#REF!</definedName>
    <definedName name="CPTA13308" localSheetId="5">#REF!</definedName>
    <definedName name="CPTA13308">#REF!</definedName>
    <definedName name="CPTA13500" localSheetId="5">#REF!</definedName>
    <definedName name="CPTA13500">#REF!</definedName>
    <definedName name="CPTA13500P" localSheetId="5">#REF!</definedName>
    <definedName name="CPTA13500P">#REF!</definedName>
    <definedName name="CPTA13500Q" localSheetId="5">#REF!</definedName>
    <definedName name="CPTA13500Q">#REF!</definedName>
    <definedName name="CPTA13800" localSheetId="5">#REF!</definedName>
    <definedName name="CPTA13800">#REF!</definedName>
    <definedName name="CPTA15100" localSheetId="5">#REF!</definedName>
    <definedName name="CPTA15100">#REF!</definedName>
    <definedName name="CPTA15200" localSheetId="5">#REF!</definedName>
    <definedName name="CPTA15200">#REF!</definedName>
    <definedName name="CPTA17400" localSheetId="5">#REF!</definedName>
    <definedName name="CPTA17400">#REF!</definedName>
    <definedName name="CPTA17500" localSheetId="5">#REF!</definedName>
    <definedName name="CPTA17500">#REF!</definedName>
    <definedName name="CPTA17508" localSheetId="5">#REF!</definedName>
    <definedName name="CPTA17508">#REF!</definedName>
    <definedName name="CPTA19500" localSheetId="5">#REF!</definedName>
    <definedName name="CPTA19500">#REF!</definedName>
    <definedName name="CPTA21100" localSheetId="5">#REF!</definedName>
    <definedName name="CPTA21100">#REF!</definedName>
    <definedName name="CPTA21310" localSheetId="5">#REF!</definedName>
    <definedName name="CPTA21310">#REF!</definedName>
    <definedName name="CPTA21320" localSheetId="5">#REF!</definedName>
    <definedName name="CPTA21320">#REF!</definedName>
    <definedName name="CPTA21330" localSheetId="5">#REF!</definedName>
    <definedName name="CPTA21330">#REF!</definedName>
    <definedName name="CPTA21340" localSheetId="5">#REF!</definedName>
    <definedName name="CPTA21340">#REF!</definedName>
    <definedName name="CPTA21350" localSheetId="5">#REF!</definedName>
    <definedName name="CPTA21350">#REF!</definedName>
    <definedName name="CPTA21600" localSheetId="5">#REF!</definedName>
    <definedName name="CPTA21600">#REF!</definedName>
    <definedName name="CPTA21800" localSheetId="5">#REF!</definedName>
    <definedName name="CPTA21800">#REF!</definedName>
    <definedName name="CPTA21900" localSheetId="5">#REF!</definedName>
    <definedName name="CPTA21900">#REF!</definedName>
    <definedName name="CPTA22100" localSheetId="5">#REF!</definedName>
    <definedName name="CPTA22100">#REF!</definedName>
    <definedName name="CPTA24100" localSheetId="5">#REF!</definedName>
    <definedName name="CPTA24100">#REF!</definedName>
    <definedName name="CPTA24100P" localSheetId="5">#REF!</definedName>
    <definedName name="CPTA24100P">#REF!</definedName>
    <definedName name="CPTA24100Q" localSheetId="5">#REF!</definedName>
    <definedName name="CPTA24100Q">#REF!</definedName>
    <definedName name="CPTA24200P" localSheetId="5">#REF!</definedName>
    <definedName name="CPTA24200P">#REF!</definedName>
    <definedName name="CPTA27100" localSheetId="5">#REF!</definedName>
    <definedName name="CPTA27100">#REF!</definedName>
    <definedName name="CPTA27200" localSheetId="5">#REF!</definedName>
    <definedName name="CPTA27200">#REF!</definedName>
    <definedName name="CPTA27300" localSheetId="5">#REF!</definedName>
    <definedName name="CPTA27300">#REF!</definedName>
    <definedName name="CPTA33000" localSheetId="5">#REF!</definedName>
    <definedName name="CPTA33000">#REF!</definedName>
    <definedName name="CPTA33000P" localSheetId="5">#REF!</definedName>
    <definedName name="CPTA33000P">#REF!</definedName>
    <definedName name="CPTA33100" localSheetId="5">#REF!</definedName>
    <definedName name="CPTA33100">#REF!</definedName>
    <definedName name="CPTA33100P" localSheetId="5">#REF!</definedName>
    <definedName name="CPTA33100P">#REF!</definedName>
    <definedName name="CPTA33500" localSheetId="5">#REF!</definedName>
    <definedName name="CPTA33500">#REF!</definedName>
    <definedName name="CPTA33500P" localSheetId="5">#REF!</definedName>
    <definedName name="CPTA33500P">#REF!</definedName>
    <definedName name="CPTA34000" localSheetId="5">#REF!</definedName>
    <definedName name="CPTA34000">#REF!</definedName>
    <definedName name="CPTA34000P" localSheetId="5">#REF!</definedName>
    <definedName name="CPTA34000P">#REF!</definedName>
    <definedName name="CPTA34100" localSheetId="5">#REF!</definedName>
    <definedName name="CPTA34100">#REF!</definedName>
    <definedName name="CPTA34200" localSheetId="5">#REF!</definedName>
    <definedName name="CPTA34200">#REF!</definedName>
    <definedName name="CPTA34250" localSheetId="5">#REF!</definedName>
    <definedName name="CPTA34250">#REF!</definedName>
    <definedName name="CPTA34310" localSheetId="5">#REF!</definedName>
    <definedName name="CPTA34310">#REF!</definedName>
    <definedName name="CPTA34320" localSheetId="5">#REF!</definedName>
    <definedName name="CPTA34320">#REF!</definedName>
    <definedName name="CPTA34330" localSheetId="5">#REF!</definedName>
    <definedName name="CPTA34330">#REF!</definedName>
    <definedName name="CPTA34340" localSheetId="5">#REF!</definedName>
    <definedName name="CPTA34340">#REF!</definedName>
    <definedName name="CPTA34350" localSheetId="5">#REF!</definedName>
    <definedName name="CPTA34350">#REF!</definedName>
    <definedName name="CPTA34370" localSheetId="5">#REF!</definedName>
    <definedName name="CPTA34370">#REF!</definedName>
    <definedName name="CPTA34400" localSheetId="5">#REF!</definedName>
    <definedName name="CPTA34400">#REF!</definedName>
    <definedName name="CPTA35100" localSheetId="5">#REF!</definedName>
    <definedName name="CPTA35100">#REF!</definedName>
    <definedName name="CPTA35220" localSheetId="5">#REF!</definedName>
    <definedName name="CPTA35220">#REF!</definedName>
    <definedName name="CPTA35225" localSheetId="5">#REF!</definedName>
    <definedName name="CPTA35225">#REF!</definedName>
    <definedName name="CPTA35230" localSheetId="5">#REF!</definedName>
    <definedName name="CPTA35230">#REF!</definedName>
    <definedName name="CPTA35240C" localSheetId="5">#REF!</definedName>
    <definedName name="CPTA35240C">#REF!</definedName>
    <definedName name="CPTA35530" localSheetId="5">#REF!</definedName>
    <definedName name="CPTA35530">#REF!</definedName>
    <definedName name="CPTA35700" localSheetId="5">#REF!</definedName>
    <definedName name="CPTA35700">#REF!</definedName>
    <definedName name="CPTA35800" localSheetId="5">#REF!</definedName>
    <definedName name="CPTA35800">#REF!</definedName>
    <definedName name="CPTA35900" localSheetId="5">#REF!</definedName>
    <definedName name="CPTA35900">#REF!</definedName>
    <definedName name="CPTA35910" localSheetId="5">#REF!</definedName>
    <definedName name="CPTA35910">#REF!</definedName>
    <definedName name="CPTA35920" localSheetId="5">#REF!</definedName>
    <definedName name="CPTA35920">#REF!</definedName>
    <definedName name="CPTA35925" localSheetId="5">#REF!</definedName>
    <definedName name="CPTA35925">#REF!</definedName>
    <definedName name="CPTA35950" localSheetId="5">#REF!</definedName>
    <definedName name="CPTA35950">#REF!</definedName>
    <definedName name="CPTA36210" localSheetId="5">#REF!</definedName>
    <definedName name="CPTA36210">#REF!</definedName>
    <definedName name="CPTA36211" localSheetId="5">#REF!</definedName>
    <definedName name="CPTA36211">#REF!</definedName>
    <definedName name="CPTA36212" localSheetId="5">#REF!</definedName>
    <definedName name="CPTA36212">#REF!</definedName>
    <definedName name="CPTA36213" localSheetId="5">#REF!</definedName>
    <definedName name="CPTA36213">#REF!</definedName>
    <definedName name="CPTA36215" localSheetId="5">#REF!</definedName>
    <definedName name="CPTA36215">#REF!</definedName>
    <definedName name="CPTA36216" localSheetId="5">#REF!</definedName>
    <definedName name="CPTA36216">#REF!</definedName>
    <definedName name="CPTA36220" localSheetId="5">#REF!</definedName>
    <definedName name="CPTA36220">#REF!</definedName>
    <definedName name="CPTA36221" localSheetId="5">#REF!</definedName>
    <definedName name="CPTA36221">#REF!</definedName>
    <definedName name="CPTA36222" localSheetId="5">#REF!</definedName>
    <definedName name="CPTA36222">#REF!</definedName>
    <definedName name="CPTA36223" localSheetId="5">#REF!</definedName>
    <definedName name="CPTA36223">#REF!</definedName>
    <definedName name="CPTA36225" localSheetId="5">#REF!</definedName>
    <definedName name="CPTA36225">#REF!</definedName>
    <definedName name="CPTA36226" localSheetId="5">#REF!</definedName>
    <definedName name="CPTA36226">#REF!</definedName>
    <definedName name="CPTA36227" localSheetId="5">#REF!</definedName>
    <definedName name="CPTA36227">#REF!</definedName>
    <definedName name="CPTA36228" localSheetId="5">#REF!</definedName>
    <definedName name="CPTA36228">#REF!</definedName>
    <definedName name="CPTA36229" localSheetId="5">#REF!</definedName>
    <definedName name="CPTA36229">#REF!</definedName>
    <definedName name="CPTA36600" localSheetId="5">#REF!</definedName>
    <definedName name="CPTA36600">#REF!</definedName>
    <definedName name="CPTA36601" localSheetId="5">#REF!</definedName>
    <definedName name="CPTA36601">#REF!</definedName>
    <definedName name="CPTA36602" localSheetId="5">#REF!</definedName>
    <definedName name="CPTA36602">#REF!</definedName>
    <definedName name="CPTA36611" localSheetId="5">#REF!</definedName>
    <definedName name="CPTA36611">#REF!</definedName>
    <definedName name="CPTA36612" localSheetId="5">#REF!</definedName>
    <definedName name="CPTA36612">#REF!</definedName>
    <definedName name="CPTA36613" localSheetId="5">#REF!</definedName>
    <definedName name="CPTA36613">#REF!</definedName>
    <definedName name="CPTA36614" localSheetId="5">#REF!</definedName>
    <definedName name="CPTA36614">#REF!</definedName>
    <definedName name="CPTA36615" localSheetId="5">#REF!</definedName>
    <definedName name="CPTA36615">#REF!</definedName>
    <definedName name="CPTA36617" localSheetId="5">#REF!</definedName>
    <definedName name="CPTA36617">#REF!</definedName>
    <definedName name="CPTA36618" localSheetId="5">#REF!</definedName>
    <definedName name="CPTA36618">#REF!</definedName>
    <definedName name="CPTA36680" localSheetId="5">#REF!</definedName>
    <definedName name="CPTA36680">#REF!</definedName>
    <definedName name="CPTA36686" localSheetId="5">#REF!</definedName>
    <definedName name="CPTA36686">#REF!</definedName>
    <definedName name="CPTA36690" localSheetId="5">#REF!</definedName>
    <definedName name="CPTA36690">#REF!</definedName>
    <definedName name="CPTA37500" localSheetId="5">#REF!</definedName>
    <definedName name="CPTA37500">#REF!</definedName>
    <definedName name="CPTA37508" localSheetId="5">#REF!</definedName>
    <definedName name="CPTA37508">#REF!</definedName>
    <definedName name="CPTA37600" localSheetId="5">#REF!</definedName>
    <definedName name="CPTA37600">#REF!</definedName>
    <definedName name="CPTA38200" localSheetId="5">#REF!</definedName>
    <definedName name="CPTA38200">#REF!</definedName>
    <definedName name="CPTA38200P" localSheetId="5">#REF!</definedName>
    <definedName name="CPTA38200P">#REF!</definedName>
    <definedName name="CPTA38210" localSheetId="5">#REF!</definedName>
    <definedName name="CPTA38210">#REF!</definedName>
    <definedName name="CPTA38210P" localSheetId="5">#REF!</definedName>
    <definedName name="CPTA38210P">#REF!</definedName>
    <definedName name="CPTA38220" localSheetId="5">#REF!</definedName>
    <definedName name="CPTA38220">#REF!</definedName>
    <definedName name="CPTA38220P" localSheetId="5">#REF!</definedName>
    <definedName name="CPTA38220P">#REF!</definedName>
    <definedName name="CPTA38221" localSheetId="5">#REF!</definedName>
    <definedName name="CPTA38221">#REF!</definedName>
    <definedName name="CPTA38221P" localSheetId="5">#REF!</definedName>
    <definedName name="CPTA38221P">#REF!</definedName>
    <definedName name="CPTA38225" localSheetId="5">#REF!</definedName>
    <definedName name="CPTA38225">#REF!</definedName>
    <definedName name="CPTA38226" localSheetId="5">#REF!</definedName>
    <definedName name="CPTA38226">#REF!</definedName>
    <definedName name="CPTA38227" localSheetId="5">#REF!</definedName>
    <definedName name="CPTA38227">#REF!</definedName>
    <definedName name="CPTA38228" localSheetId="5">#REF!</definedName>
    <definedName name="CPTA38228">#REF!</definedName>
    <definedName name="CPTA38300" localSheetId="5">#REF!</definedName>
    <definedName name="CPTA38300">#REF!</definedName>
    <definedName name="CPTA38300P" localSheetId="5">#REF!</definedName>
    <definedName name="CPTA38300P">#REF!</definedName>
    <definedName name="CPTA38400" localSheetId="5">#REF!</definedName>
    <definedName name="CPTA38400">#REF!</definedName>
    <definedName name="CPTA38400P" localSheetId="5">#REF!</definedName>
    <definedName name="CPTA38400P">#REF!</definedName>
    <definedName name="CPTA38410" localSheetId="5">#REF!</definedName>
    <definedName name="CPTA38410">#REF!</definedName>
    <definedName name="CPTA38410P" localSheetId="5">#REF!</definedName>
    <definedName name="CPTA38410P">#REF!</definedName>
    <definedName name="CPTA38420" localSheetId="5">#REF!</definedName>
    <definedName name="CPTA38420">#REF!</definedName>
    <definedName name="CPTA38420P" localSheetId="5">#REF!</definedName>
    <definedName name="CPTA38420P">#REF!</definedName>
    <definedName name="CPTA38430" localSheetId="5">#REF!</definedName>
    <definedName name="CPTA38430">#REF!</definedName>
    <definedName name="CPTA38430P" localSheetId="5">#REF!</definedName>
    <definedName name="CPTA38430P">#REF!</definedName>
    <definedName name="CPTA38440" localSheetId="5">#REF!</definedName>
    <definedName name="CPTA38440">#REF!</definedName>
    <definedName name="CPTA38440P" localSheetId="5">#REF!</definedName>
    <definedName name="CPTA38440P">#REF!</definedName>
    <definedName name="CPTA38450" localSheetId="5">#REF!</definedName>
    <definedName name="CPTA38450">#REF!</definedName>
    <definedName name="CPTA38450P" localSheetId="5">#REF!</definedName>
    <definedName name="CPTA38450P">#REF!</definedName>
    <definedName name="CPTA38810" localSheetId="5">#REF!</definedName>
    <definedName name="CPTA38810">#REF!</definedName>
    <definedName name="CPTA38810P" localSheetId="5">#REF!</definedName>
    <definedName name="CPTA38810P">#REF!</definedName>
    <definedName name="CPTA38820" localSheetId="5">#REF!</definedName>
    <definedName name="CPTA38820">#REF!</definedName>
    <definedName name="CPTA38821" localSheetId="5">#REF!</definedName>
    <definedName name="CPTA38821">#REF!</definedName>
    <definedName name="CPTA38821P" localSheetId="5">#REF!</definedName>
    <definedName name="CPTA38821P">#REF!</definedName>
    <definedName name="CPTA38826" localSheetId="5">#REF!</definedName>
    <definedName name="CPTA38826">#REF!</definedName>
    <definedName name="CPTA38827" localSheetId="5">#REF!</definedName>
    <definedName name="CPTA38827">#REF!</definedName>
    <definedName name="CPTA38828" localSheetId="5">#REF!</definedName>
    <definedName name="CPTA38828">#REF!</definedName>
    <definedName name="CPTA39300" localSheetId="5">#REF!</definedName>
    <definedName name="CPTA39300">#REF!</definedName>
    <definedName name="CPTA39510" localSheetId="5">#REF!</definedName>
    <definedName name="CPTA39510">#REF!</definedName>
    <definedName name="CPTA39515" localSheetId="5">#REF!</definedName>
    <definedName name="CPTA39515">#REF!</definedName>
    <definedName name="CPTA39520" localSheetId="5">#REF!</definedName>
    <definedName name="CPTA39520">#REF!</definedName>
    <definedName name="CPTA39525" localSheetId="5">#REF!</definedName>
    <definedName name="CPTA39525">#REF!</definedName>
    <definedName name="CPTA39530" localSheetId="5">#REF!</definedName>
    <definedName name="CPTA39530">#REF!</definedName>
    <definedName name="CPTA39540" localSheetId="5">#REF!</definedName>
    <definedName name="CPTA39540">#REF!</definedName>
    <definedName name="CPTA39550" localSheetId="5">#REF!</definedName>
    <definedName name="CPTA39550">#REF!</definedName>
    <definedName name="CPTA39560" localSheetId="5">#REF!</definedName>
    <definedName name="CPTA39560">#REF!</definedName>
    <definedName name="CPTA39910" localSheetId="5">#REF!</definedName>
    <definedName name="CPTA39910">#REF!</definedName>
    <definedName name="CPTA39920" localSheetId="5">#REF!</definedName>
    <definedName name="CPTA39920">#REF!</definedName>
    <definedName name="CPTA41100" localSheetId="5">#REF!</definedName>
    <definedName name="CPTA41100">#REF!</definedName>
    <definedName name="CPTA41100P" localSheetId="5">#REF!</definedName>
    <definedName name="CPTA41100P">#REF!</definedName>
    <definedName name="CPTA41108" localSheetId="5">#REF!</definedName>
    <definedName name="CPTA41108">#REF!</definedName>
    <definedName name="CPTA41108P" localSheetId="5">#REF!</definedName>
    <definedName name="CPTA41108P">#REF!</definedName>
    <definedName name="CPTA41109" localSheetId="5">#REF!</definedName>
    <definedName name="CPTA41109">#REF!</definedName>
    <definedName name="CPTA411S" localSheetId="5">#REF!</definedName>
    <definedName name="CPTA411S">#REF!</definedName>
    <definedName name="CPTA411T" localSheetId="5">#REF!</definedName>
    <definedName name="CPTA411T">#REF!</definedName>
    <definedName name="CPTA42410" localSheetId="5">#REF!</definedName>
    <definedName name="CPTA42410">#REF!</definedName>
    <definedName name="CPTA42420" localSheetId="5">#REF!</definedName>
    <definedName name="CPTA42420">#REF!</definedName>
    <definedName name="CPTA43100P" localSheetId="5">#REF!</definedName>
    <definedName name="CPTA43100P">#REF!</definedName>
    <definedName name="CPTA43101P" localSheetId="5">#REF!</definedName>
    <definedName name="CPTA43101P">#REF!</definedName>
    <definedName name="CPTA43110" localSheetId="5">#REF!</definedName>
    <definedName name="CPTA43110">#REF!</definedName>
    <definedName name="CPTA43120" localSheetId="5">#REF!</definedName>
    <definedName name="CPTA43120">#REF!</definedName>
    <definedName name="CPTA43210" localSheetId="5">#REF!</definedName>
    <definedName name="CPTA43210">#REF!</definedName>
    <definedName name="CPTA43220" localSheetId="5">#REF!</definedName>
    <definedName name="CPTA43220">#REF!</definedName>
    <definedName name="CPTA43240" localSheetId="5">#REF!</definedName>
    <definedName name="CPTA43240">#REF!</definedName>
    <definedName name="CPTA43300P" localSheetId="5">#REF!</definedName>
    <definedName name="CPTA43300P">#REF!</definedName>
    <definedName name="CPTA43301P" localSheetId="5">#REF!</definedName>
    <definedName name="CPTA43301P">#REF!</definedName>
    <definedName name="CPTA43310" localSheetId="5">#REF!</definedName>
    <definedName name="CPTA43310">#REF!</definedName>
    <definedName name="CPTA43320" localSheetId="5">#REF!</definedName>
    <definedName name="CPTA43320">#REF!</definedName>
    <definedName name="CPTA43330C" localSheetId="5">#REF!</definedName>
    <definedName name="CPTA43330C">#REF!</definedName>
    <definedName name="CPTA43340" localSheetId="5">#REF!</definedName>
    <definedName name="CPTA43340">#REF!</definedName>
    <definedName name="CPTA43360" localSheetId="5">#REF!</definedName>
    <definedName name="CPTA43360">#REF!</definedName>
    <definedName name="CPTA43390" localSheetId="5">#REF!</definedName>
    <definedName name="CPTA43390">#REF!</definedName>
    <definedName name="CPTA43400P" localSheetId="5">#REF!</definedName>
    <definedName name="CPTA43400P">#REF!</definedName>
    <definedName name="CPTA43510" localSheetId="5">#REF!</definedName>
    <definedName name="CPTA43510">#REF!</definedName>
    <definedName name="CPTA43520" localSheetId="5">#REF!</definedName>
    <definedName name="CPTA43520">#REF!</definedName>
    <definedName name="CPTA43530" localSheetId="5">#REF!</definedName>
    <definedName name="CPTA43530">#REF!</definedName>
    <definedName name="CPTA43540" localSheetId="5">#REF!</definedName>
    <definedName name="CPTA43540">#REF!</definedName>
    <definedName name="CPTA43550" localSheetId="5">#REF!</definedName>
    <definedName name="CPTA43550">#REF!</definedName>
    <definedName name="CPTA43560" localSheetId="5">#REF!</definedName>
    <definedName name="CPTA43560">#REF!</definedName>
    <definedName name="CPTA43811" localSheetId="5">#REF!</definedName>
    <definedName name="CPTA43811">#REF!</definedName>
    <definedName name="CPTA43821" localSheetId="5">#REF!</definedName>
    <definedName name="CPTA43821">#REF!</definedName>
    <definedName name="CPTA43831" localSheetId="5">#REF!</definedName>
    <definedName name="CPTA43831">#REF!</definedName>
    <definedName name="CPTA43833C" localSheetId="5">#REF!</definedName>
    <definedName name="CPTA43833C">#REF!</definedName>
    <definedName name="CPTA43834" localSheetId="5">#REF!</definedName>
    <definedName name="CPTA43834">#REF!</definedName>
    <definedName name="CPTA43839" localSheetId="5">#REF!</definedName>
    <definedName name="CPTA43839">#REF!</definedName>
    <definedName name="CPTA43841" localSheetId="5">#REF!</definedName>
    <definedName name="CPTA43841">#REF!</definedName>
    <definedName name="CPTA43851" localSheetId="5">#REF!</definedName>
    <definedName name="CPTA43851">#REF!</definedName>
    <definedName name="CPTA43852" localSheetId="5">#REF!</definedName>
    <definedName name="CPTA43852">#REF!</definedName>
    <definedName name="CPTA43853" localSheetId="5">#REF!</definedName>
    <definedName name="CPTA43853">#REF!</definedName>
    <definedName name="CPTA43854" localSheetId="5">#REF!</definedName>
    <definedName name="CPTA43854">#REF!</definedName>
    <definedName name="CPTA43855" localSheetId="5">#REF!</definedName>
    <definedName name="CPTA43855">#REF!</definedName>
    <definedName name="CPTA45010" localSheetId="5">#REF!</definedName>
    <definedName name="CPTA45010">#REF!</definedName>
    <definedName name="CPTA45030" localSheetId="5">#REF!</definedName>
    <definedName name="CPTA45030">#REF!</definedName>
    <definedName name="CPTA45050" localSheetId="5">#REF!</definedName>
    <definedName name="CPTA45050">#REF!</definedName>
    <definedName name="CPTA45060" localSheetId="5">#REF!</definedName>
    <definedName name="CPTA45060">#REF!</definedName>
    <definedName name="CPTA45070" localSheetId="5">#REF!</definedName>
    <definedName name="CPTA45070">#REF!</definedName>
    <definedName name="CPTA45070P" localSheetId="5">#REF!</definedName>
    <definedName name="CPTA45070P">#REF!</definedName>
    <definedName name="CPTA45075" localSheetId="5">#REF!</definedName>
    <definedName name="CPTA45075">#REF!</definedName>
    <definedName name="CPTA45075P" localSheetId="5">#REF!</definedName>
    <definedName name="CPTA45075P">#REF!</definedName>
    <definedName name="CPTA45080" localSheetId="5">#REF!</definedName>
    <definedName name="CPTA45080">#REF!</definedName>
    <definedName name="CPTA45080P" localSheetId="5">#REF!</definedName>
    <definedName name="CPTA45080P">#REF!</definedName>
    <definedName name="CPTA46010" localSheetId="5">#REF!</definedName>
    <definedName name="CPTA46010">#REF!</definedName>
    <definedName name="CPTA46010P" localSheetId="5">#REF!</definedName>
    <definedName name="CPTA46010P">#REF!</definedName>
    <definedName name="CPTA47500" localSheetId="5">#REF!</definedName>
    <definedName name="CPTA47500">#REF!</definedName>
    <definedName name="CPTA47830" localSheetId="5">#REF!</definedName>
    <definedName name="CPTA47830">#REF!</definedName>
    <definedName name="CPTA47840" localSheetId="5">[5]DETCONSO!#REF!</definedName>
    <definedName name="CPTA47840">[5]DETCONSO!#REF!</definedName>
    <definedName name="CPTA47900" localSheetId="5">[5]DETCONSO!#REF!</definedName>
    <definedName name="CPTA47900">[5]DETCONSO!#REF!</definedName>
    <definedName name="CPTA48000" localSheetId="5">#REF!</definedName>
    <definedName name="CPTA48000">#REF!</definedName>
    <definedName name="CPTA48008" localSheetId="5">#REF!</definedName>
    <definedName name="CPTA48008">#REF!</definedName>
    <definedName name="CPTA48100" localSheetId="5">#REF!</definedName>
    <definedName name="CPTA48100">#REF!</definedName>
    <definedName name="CPTA48200" localSheetId="5">#REF!</definedName>
    <definedName name="CPTA48200">#REF!</definedName>
    <definedName name="CPTA48300" localSheetId="5">#REF!</definedName>
    <definedName name="CPTA48300">#REF!</definedName>
    <definedName name="CPTA48400" localSheetId="5">#REF!</definedName>
    <definedName name="CPTA48400">#REF!</definedName>
    <definedName name="CPTA49100" localSheetId="5">#REF!</definedName>
    <definedName name="CPTA49100">#REF!</definedName>
    <definedName name="CPTA49100P" localSheetId="5">#REF!</definedName>
    <definedName name="CPTA49100P">#REF!</definedName>
    <definedName name="CPTA4910P" localSheetId="5">#REF!</definedName>
    <definedName name="CPTA4910P">#REF!</definedName>
    <definedName name="CPTA49200" localSheetId="5">#REF!</definedName>
    <definedName name="CPTA49200">#REF!</definedName>
    <definedName name="CPTA49200P" localSheetId="5">#REF!</definedName>
    <definedName name="CPTA49200P">#REF!</definedName>
    <definedName name="CPTA49300" localSheetId="5">#REF!</definedName>
    <definedName name="CPTA49300">#REF!</definedName>
    <definedName name="CPTA49300P" localSheetId="5">#REF!</definedName>
    <definedName name="CPTA49300P">#REF!</definedName>
    <definedName name="CPTA49300Q" localSheetId="5">#REF!</definedName>
    <definedName name="CPTA49300Q">#REF!</definedName>
    <definedName name="CPTA49400" localSheetId="5">#REF!</definedName>
    <definedName name="CPTA49400">#REF!</definedName>
    <definedName name="CPTA49400P" localSheetId="5">#REF!</definedName>
    <definedName name="CPTA49400P">#REF!</definedName>
    <definedName name="CPTE698" localSheetId="5">#REF!</definedName>
    <definedName name="CPTE698">#REF!</definedName>
    <definedName name="CPTE9" localSheetId="5">#REF!</definedName>
    <definedName name="CPTE9">#REF!</definedName>
    <definedName name="CPTH100L" localSheetId="5">#REF!</definedName>
    <definedName name="CPTH100L">#REF!</definedName>
    <definedName name="CPTH91200" localSheetId="5">#REF!</definedName>
    <definedName name="CPTH91200">#REF!</definedName>
    <definedName name="CPTH91208" localSheetId="5">#REF!</definedName>
    <definedName name="CPTH91208">#REF!</definedName>
    <definedName name="CPTH91330" localSheetId="5">#REF!</definedName>
    <definedName name="CPTH91330">#REF!</definedName>
    <definedName name="CPTH91338" localSheetId="5">#REF!</definedName>
    <definedName name="CPTH91338">#REF!</definedName>
    <definedName name="CPTH91350" localSheetId="5">#REF!</definedName>
    <definedName name="CPTH91350">#REF!</definedName>
    <definedName name="CPTH91358" localSheetId="5">#REF!</definedName>
    <definedName name="CPTH91358">#REF!</definedName>
    <definedName name="CPTH91370" localSheetId="5">#REF!</definedName>
    <definedName name="CPTH91370">#REF!</definedName>
    <definedName name="CPTH91390" localSheetId="5">#REF!</definedName>
    <definedName name="CPTH91390">#REF!</definedName>
    <definedName name="CPTH91398" localSheetId="5">#REF!</definedName>
    <definedName name="CPTH91398">#REF!</definedName>
    <definedName name="CPTH93100" localSheetId="5">#REF!</definedName>
    <definedName name="CPTH93100">#REF!</definedName>
    <definedName name="CPTH93290" localSheetId="5">#REF!</definedName>
    <definedName name="CPTH93290">#REF!</definedName>
    <definedName name="CPTH93291" localSheetId="5">#REF!</definedName>
    <definedName name="CPTH93291">#REF!</definedName>
    <definedName name="CPTH93300" localSheetId="5">#REF!</definedName>
    <definedName name="CPTH93300">#REF!</definedName>
    <definedName name="CPTH93308" localSheetId="5">#REF!</definedName>
    <definedName name="CPTH93308">#REF!</definedName>
    <definedName name="CPTH93359" localSheetId="5">#REF!</definedName>
    <definedName name="CPTH93359">#REF!</definedName>
    <definedName name="CPTH93400" localSheetId="5">#REF!</definedName>
    <definedName name="CPTH93400">#REF!</definedName>
    <definedName name="CPTH93900" localSheetId="5">#REF!</definedName>
    <definedName name="CPTH93900">#REF!</definedName>
    <definedName name="CPTH93959" localSheetId="5">#REF!</definedName>
    <definedName name="CPTH93959">#REF!</definedName>
    <definedName name="CPTH94120" localSheetId="5">#REF!</definedName>
    <definedName name="CPTH94120">#REF!</definedName>
    <definedName name="CPTH94128" localSheetId="5">#REF!</definedName>
    <definedName name="CPTH94128">#REF!</definedName>
    <definedName name="CPTH94318" localSheetId="5">#REF!</definedName>
    <definedName name="CPTH94318">#REF!</definedName>
    <definedName name="CPTH94319" localSheetId="5">#REF!</definedName>
    <definedName name="CPTH94319">#REF!</definedName>
    <definedName name="CPTH94320" localSheetId="5">#REF!</definedName>
    <definedName name="CPTH94320">#REF!</definedName>
    <definedName name="CPTH94321" localSheetId="5">#REF!</definedName>
    <definedName name="CPTH94321">#REF!</definedName>
    <definedName name="CPTH94322" localSheetId="5">#REF!</definedName>
    <definedName name="CPTH94322">#REF!</definedName>
    <definedName name="CPTH94323" localSheetId="5">#REF!</definedName>
    <definedName name="CPTH94323">#REF!</definedName>
    <definedName name="CPTH94324" localSheetId="5">#REF!</definedName>
    <definedName name="CPTH94324">#REF!</definedName>
    <definedName name="CPTH94328" localSheetId="5">#REF!</definedName>
    <definedName name="CPTH94328">#REF!</definedName>
    <definedName name="CPTH94409" localSheetId="5">#REF!</definedName>
    <definedName name="CPTH94409">#REF!</definedName>
    <definedName name="CPTH94419" localSheetId="5">#REF!</definedName>
    <definedName name="CPTH94419">#REF!</definedName>
    <definedName name="CPTH94509" localSheetId="5">#REF!</definedName>
    <definedName name="CPTH94509">#REF!</definedName>
    <definedName name="CPTH95108" localSheetId="5">#REF!</definedName>
    <definedName name="CPTH95108">#REF!</definedName>
    <definedName name="CPTH95109" localSheetId="5">#REF!</definedName>
    <definedName name="CPTH95109">#REF!</definedName>
    <definedName name="CPTH95111" localSheetId="5">#REF!</definedName>
    <definedName name="CPTH95111">#REF!</definedName>
    <definedName name="CPTH95112" localSheetId="5">#REF!</definedName>
    <definedName name="CPTH95112">#REF!</definedName>
    <definedName name="CPTH95113" localSheetId="5">#REF!</definedName>
    <definedName name="CPTH95113">#REF!</definedName>
    <definedName name="CPTH95114" localSheetId="5">#REF!</definedName>
    <definedName name="CPTH95114">#REF!</definedName>
    <definedName name="CPTH95121" localSheetId="5">#REF!</definedName>
    <definedName name="CPTH95121">#REF!</definedName>
    <definedName name="CPTH95122" localSheetId="5">#REF!</definedName>
    <definedName name="CPTH95122">#REF!</definedName>
    <definedName name="CPTH95123" localSheetId="5">#REF!</definedName>
    <definedName name="CPTH95123">#REF!</definedName>
    <definedName name="CPTH95124" localSheetId="5">#REF!</definedName>
    <definedName name="CPTH95124">#REF!</definedName>
    <definedName name="CPTH95131" localSheetId="5">#REF!</definedName>
    <definedName name="CPTH95131">#REF!</definedName>
    <definedName name="CPTH95132" localSheetId="5">#REF!</definedName>
    <definedName name="CPTH95132">#REF!</definedName>
    <definedName name="CPTH95133" localSheetId="5">#REF!</definedName>
    <definedName name="CPTH95133">#REF!</definedName>
    <definedName name="CPTH95134" localSheetId="5">#REF!</definedName>
    <definedName name="CPTH95134">#REF!</definedName>
    <definedName name="CPTH95141" localSheetId="5">#REF!</definedName>
    <definedName name="CPTH95141">#REF!</definedName>
    <definedName name="CPTH95142" localSheetId="5">#REF!</definedName>
    <definedName name="CPTH95142">#REF!</definedName>
    <definedName name="CPTH95143" localSheetId="5">#REF!</definedName>
    <definedName name="CPTH95143">#REF!</definedName>
    <definedName name="CPTH95144" localSheetId="5">#REF!</definedName>
    <definedName name="CPTH95144">#REF!</definedName>
    <definedName name="CPTH95151" localSheetId="5">#REF!</definedName>
    <definedName name="CPTH95151">#REF!</definedName>
    <definedName name="CPTH95152" localSheetId="5">#REF!</definedName>
    <definedName name="CPTH95152">#REF!</definedName>
    <definedName name="CPTH95155" localSheetId="5">#REF!</definedName>
    <definedName name="CPTH95155">#REF!</definedName>
    <definedName name="CPTH95161" localSheetId="5">#REF!</definedName>
    <definedName name="CPTH95161">#REF!</definedName>
    <definedName name="CPTH95171" localSheetId="5">#REF!</definedName>
    <definedName name="CPTH95171">#REF!</definedName>
    <definedName name="CPTH95172" localSheetId="5">#REF!</definedName>
    <definedName name="CPTH95172">#REF!</definedName>
    <definedName name="CPTH95182" localSheetId="5">#REF!</definedName>
    <definedName name="CPTH95182">#REF!</definedName>
    <definedName name="CPTH95184" localSheetId="5">#REF!</definedName>
    <definedName name="CPTH95184">#REF!</definedName>
    <definedName name="CPTH95191" localSheetId="5">#REF!</definedName>
    <definedName name="CPTH95191">#REF!</definedName>
    <definedName name="CPTH95192" localSheetId="5">#REF!</definedName>
    <definedName name="CPTH95192">#REF!</definedName>
    <definedName name="CPTH95212" localSheetId="5">#REF!</definedName>
    <definedName name="CPTH95212">#REF!</definedName>
    <definedName name="CPTH95241" localSheetId="5">#REF!</definedName>
    <definedName name="CPTH95241">#REF!</definedName>
    <definedName name="CPTH95242" localSheetId="5">#REF!</definedName>
    <definedName name="CPTH95242">#REF!</definedName>
    <definedName name="CPTH95243" localSheetId="5">#REF!</definedName>
    <definedName name="CPTH95243">#REF!</definedName>
    <definedName name="CPTH95244" localSheetId="5">#REF!</definedName>
    <definedName name="CPTH95244">#REF!</definedName>
    <definedName name="CPTH95302" localSheetId="5">#REF!</definedName>
    <definedName name="CPTH95302">#REF!</definedName>
    <definedName name="CPTH95308" localSheetId="5">#REF!</definedName>
    <definedName name="CPTH95308">#REF!</definedName>
    <definedName name="CPTH95311" localSheetId="5">#REF!</definedName>
    <definedName name="CPTH95311">#REF!</definedName>
    <definedName name="CPTH95312" localSheetId="5">#REF!</definedName>
    <definedName name="CPTH95312">#REF!</definedName>
    <definedName name="CPTH95313" localSheetId="5">#REF!</definedName>
    <definedName name="CPTH95313">#REF!</definedName>
    <definedName name="CPTH95314" localSheetId="5">#REF!</definedName>
    <definedName name="CPTH95314">#REF!</definedName>
    <definedName name="CPTH95318" localSheetId="5">#REF!</definedName>
    <definedName name="CPTH95318">#REF!</definedName>
    <definedName name="CPTH95321" localSheetId="5">#REF!</definedName>
    <definedName name="CPTH95321">#REF!</definedName>
    <definedName name="CPTH95322" localSheetId="5">#REF!</definedName>
    <definedName name="CPTH95322">#REF!</definedName>
    <definedName name="CPTH95323" localSheetId="5">#REF!</definedName>
    <definedName name="CPTH95323">#REF!</definedName>
    <definedName name="CPTH95324" localSheetId="5">#REF!</definedName>
    <definedName name="CPTH95324">#REF!</definedName>
    <definedName name="CPTH95328" localSheetId="5">#REF!</definedName>
    <definedName name="CPTH95328">#REF!</definedName>
    <definedName name="CPTH95331" localSheetId="5">#REF!</definedName>
    <definedName name="CPTH95331">#REF!</definedName>
    <definedName name="CPTH95332" localSheetId="5">#REF!</definedName>
    <definedName name="CPTH95332">#REF!</definedName>
    <definedName name="CPTH95333" localSheetId="5">#REF!</definedName>
    <definedName name="CPTH95333">#REF!</definedName>
    <definedName name="CPTH95334" localSheetId="5">#REF!</definedName>
    <definedName name="CPTH95334">#REF!</definedName>
    <definedName name="CPTH95338" localSheetId="5">#REF!</definedName>
    <definedName name="CPTH95338">#REF!</definedName>
    <definedName name="CPTH95341" localSheetId="5">#REF!</definedName>
    <definedName name="CPTH95341">#REF!</definedName>
    <definedName name="CPTH95342" localSheetId="5">#REF!</definedName>
    <definedName name="CPTH95342">#REF!</definedName>
    <definedName name="CPTH95343" localSheetId="5">#REF!</definedName>
    <definedName name="CPTH95343">#REF!</definedName>
    <definedName name="CPTH95344" localSheetId="5">#REF!</definedName>
    <definedName name="CPTH95344">#REF!</definedName>
    <definedName name="CPTH95351" localSheetId="5">#REF!</definedName>
    <definedName name="CPTH95351">#REF!</definedName>
    <definedName name="CPTH95352" localSheetId="5">#REF!</definedName>
    <definedName name="CPTH95352">#REF!</definedName>
    <definedName name="CPTH95353" localSheetId="5">#REF!</definedName>
    <definedName name="CPTH95353">#REF!</definedName>
    <definedName name="CPTH95355" localSheetId="5">#REF!</definedName>
    <definedName name="CPTH95355">#REF!</definedName>
    <definedName name="CPTH95361" localSheetId="5">#REF!</definedName>
    <definedName name="CPTH95361">#REF!</definedName>
    <definedName name="CPTH95371" localSheetId="5">#REF!</definedName>
    <definedName name="CPTH95371">#REF!</definedName>
    <definedName name="CPTH95372" localSheetId="5">#REF!</definedName>
    <definedName name="CPTH95372">#REF!</definedName>
    <definedName name="CPTH95378" localSheetId="5">#REF!</definedName>
    <definedName name="CPTH95378">#REF!</definedName>
    <definedName name="CPTH95381" localSheetId="5">#REF!</definedName>
    <definedName name="CPTH95381">#REF!</definedName>
    <definedName name="CPTH95383" localSheetId="5">#REF!</definedName>
    <definedName name="CPTH95383">#REF!</definedName>
    <definedName name="CPTH95388" localSheetId="5">#REF!</definedName>
    <definedName name="CPTH95388">#REF!</definedName>
    <definedName name="CPTH95391" localSheetId="5">#REF!</definedName>
    <definedName name="CPTH95391">#REF!</definedName>
    <definedName name="CPTH95392" localSheetId="5">#REF!</definedName>
    <definedName name="CPTH95392">#REF!</definedName>
    <definedName name="CPTH95398" localSheetId="5">#REF!</definedName>
    <definedName name="CPTH95398">#REF!</definedName>
    <definedName name="CPTH95401" localSheetId="5">#REF!</definedName>
    <definedName name="CPTH95401">#REF!</definedName>
    <definedName name="CPTH95402" localSheetId="5">#REF!</definedName>
    <definedName name="CPTH95402">#REF!</definedName>
    <definedName name="CPTH95403" localSheetId="5">#REF!</definedName>
    <definedName name="CPTH95403">#REF!</definedName>
    <definedName name="CPTH95481" localSheetId="5">#REF!</definedName>
    <definedName name="CPTH95481">#REF!</definedName>
    <definedName name="CPTH97300" localSheetId="5">#REF!</definedName>
    <definedName name="CPTH97300">#REF!</definedName>
    <definedName name="CPTH97308" localSheetId="5">#REF!</definedName>
    <definedName name="CPTH97308">#REF!</definedName>
    <definedName name="CPTH97400" localSheetId="5">#REF!</definedName>
    <definedName name="CPTH97400">#REF!</definedName>
    <definedName name="CPTH97508" localSheetId="5">#REF!</definedName>
    <definedName name="CPTH97508">#REF!</definedName>
    <definedName name="CPTH97509" localSheetId="5">#REF!</definedName>
    <definedName name="CPTH97509">#REF!</definedName>
    <definedName name="CPTH97600" localSheetId="5">#REF!</definedName>
    <definedName name="CPTH97600">#REF!</definedName>
    <definedName name="CPTH97700" localSheetId="5">#REF!</definedName>
    <definedName name="CPTH97700">#REF!</definedName>
    <definedName name="CPTH97800" localSheetId="5">#REF!</definedName>
    <definedName name="CPTH97800">#REF!</definedName>
    <definedName name="CPTH97850" localSheetId="5">#REF!</definedName>
    <definedName name="CPTH97850">#REF!</definedName>
    <definedName name="CPTH98009" localSheetId="5">#REF!</definedName>
    <definedName name="CPTH98009">#REF!</definedName>
    <definedName name="CPTH99600" localSheetId="5">#REF!</definedName>
    <definedName name="CPTH99600">#REF!</definedName>
    <definedName name="CPTH99610" localSheetId="5">#REF!</definedName>
    <definedName name="CPTH99610">#REF!</definedName>
    <definedName name="CPTH99620" localSheetId="5">#REF!</definedName>
    <definedName name="CPTH99620">#REF!</definedName>
    <definedName name="CPTH99630" localSheetId="5">#REF!</definedName>
    <definedName name="CPTH99630">#REF!</definedName>
    <definedName name="CPTI92200" localSheetId="5">#REF!</definedName>
    <definedName name="CPTI92200">#REF!</definedName>
    <definedName name="CPTI92208" localSheetId="5">#REF!</definedName>
    <definedName name="CPTI92208">#REF!</definedName>
    <definedName name="CPTI92310" localSheetId="5">#REF!</definedName>
    <definedName name="CPTI92310">#REF!</definedName>
    <definedName name="CPTI92318" localSheetId="5">#REF!</definedName>
    <definedName name="CPTI92318">#REF!</definedName>
    <definedName name="CPTI92320" localSheetId="5">#REF!</definedName>
    <definedName name="CPTI92320">#REF!</definedName>
    <definedName name="CPTI92328" localSheetId="5">#REF!</definedName>
    <definedName name="CPTI92328">#REF!</definedName>
    <definedName name="CPTI92340" localSheetId="5">#REF!</definedName>
    <definedName name="CPTI92340">#REF!</definedName>
    <definedName name="CPTI92348" localSheetId="5">#REF!</definedName>
    <definedName name="CPTI92348">#REF!</definedName>
    <definedName name="CPTI92350" localSheetId="5">#REF!</definedName>
    <definedName name="CPTI92350">#REF!</definedName>
    <definedName name="CPTI92358" localSheetId="5">#REF!</definedName>
    <definedName name="CPTI92358">#REF!</definedName>
    <definedName name="CPTI92390" localSheetId="5">#REF!</definedName>
    <definedName name="CPTI92390">#REF!</definedName>
    <definedName name="CPTI92398" localSheetId="5">#REF!</definedName>
    <definedName name="CPTI92398">#REF!</definedName>
    <definedName name="CPTI94140" localSheetId="5">#REF!</definedName>
    <definedName name="CPTI94140">#REF!</definedName>
    <definedName name="CPTI94148" localSheetId="5">#REF!</definedName>
    <definedName name="CPTI94148">#REF!</definedName>
    <definedName name="CPTI94339" localSheetId="5">#REF!</definedName>
    <definedName name="CPTI94339">#REF!</definedName>
    <definedName name="CPTI94340" localSheetId="5">#REF!</definedName>
    <definedName name="CPTI94340">#REF!</definedName>
    <definedName name="CPTI94341" localSheetId="5">#REF!</definedName>
    <definedName name="CPTI94341">#REF!</definedName>
    <definedName name="CPTI94342" localSheetId="5">#REF!</definedName>
    <definedName name="CPTI94342">#REF!</definedName>
    <definedName name="CPTI94343" localSheetId="5">#REF!</definedName>
    <definedName name="CPTI94343">#REF!</definedName>
    <definedName name="CPTI94344" localSheetId="5">#REF!</definedName>
    <definedName name="CPTI94344">#REF!</definedName>
    <definedName name="CPTI94348" localSheetId="5">#REF!</definedName>
    <definedName name="CPTI94348">#REF!</definedName>
    <definedName name="CPTI94358" localSheetId="5">#REF!</definedName>
    <definedName name="CPTI94358">#REF!</definedName>
    <definedName name="CPTI94409" localSheetId="5">#REF!</definedName>
    <definedName name="CPTI94409">#REF!</definedName>
    <definedName name="CPTI94419" localSheetId="5">#REF!</definedName>
    <definedName name="CPTI94419">#REF!</definedName>
    <definedName name="CPTI94509" localSheetId="5">#REF!</definedName>
    <definedName name="CPTI94509">#REF!</definedName>
    <definedName name="CPTI95108" localSheetId="5">#REF!</definedName>
    <definedName name="CPTI95108">#REF!</definedName>
    <definedName name="CPTI95109" localSheetId="5">#REF!</definedName>
    <definedName name="CPTI95109">#REF!</definedName>
    <definedName name="CPTI95111" localSheetId="5">#REF!</definedName>
    <definedName name="CPTI95111">#REF!</definedName>
    <definedName name="CPTI95112" localSheetId="5">#REF!</definedName>
    <definedName name="CPTI95112">#REF!</definedName>
    <definedName name="CPTI95113" localSheetId="5">#REF!</definedName>
    <definedName name="CPTI95113">#REF!</definedName>
    <definedName name="CPTI95114" localSheetId="5">#REF!</definedName>
    <definedName name="CPTI95114">#REF!</definedName>
    <definedName name="CPTI95121" localSheetId="5">#REF!</definedName>
    <definedName name="CPTI95121">#REF!</definedName>
    <definedName name="CPTI95122" localSheetId="5">#REF!</definedName>
    <definedName name="CPTI95122">#REF!</definedName>
    <definedName name="CPTI95123" localSheetId="5">#REF!</definedName>
    <definedName name="CPTI95123">#REF!</definedName>
    <definedName name="CPTI95124" localSheetId="5">#REF!</definedName>
    <definedName name="CPTI95124">#REF!</definedName>
    <definedName name="CPTI95131" localSheetId="5">#REF!</definedName>
    <definedName name="CPTI95131">#REF!</definedName>
    <definedName name="CPTI95132" localSheetId="5">#REF!</definedName>
    <definedName name="CPTI95132">#REF!</definedName>
    <definedName name="CPTI95133" localSheetId="5">#REF!</definedName>
    <definedName name="CPTI95133">#REF!</definedName>
    <definedName name="CPTI95134" localSheetId="5">#REF!</definedName>
    <definedName name="CPTI95134">#REF!</definedName>
    <definedName name="CPTI95135" localSheetId="5">#REF!</definedName>
    <definedName name="CPTI95135">#REF!</definedName>
    <definedName name="CPTI95136" localSheetId="5">#REF!</definedName>
    <definedName name="CPTI95136">#REF!</definedName>
    <definedName name="CPTI95137" localSheetId="5">#REF!</definedName>
    <definedName name="CPTI95137">#REF!</definedName>
    <definedName name="CPTI95139" localSheetId="5">#REF!</definedName>
    <definedName name="CPTI95139">#REF!</definedName>
    <definedName name="CPTI95141" localSheetId="5">#REF!</definedName>
    <definedName name="CPTI95141">#REF!</definedName>
    <definedName name="CPTI95142" localSheetId="5">#REF!</definedName>
    <definedName name="CPTI95142">#REF!</definedName>
    <definedName name="CPTI95145" localSheetId="5">#REF!</definedName>
    <definedName name="CPTI95145">#REF!</definedName>
    <definedName name="CPTI95151" localSheetId="5">#REF!</definedName>
    <definedName name="CPTI95151">#REF!</definedName>
    <definedName name="CPTI95162" localSheetId="5">#REF!</definedName>
    <definedName name="CPTI95162">#REF!</definedName>
    <definedName name="CPTI95182" localSheetId="5">#REF!</definedName>
    <definedName name="CPTI95182">#REF!</definedName>
    <definedName name="CPTI95184" localSheetId="5">#REF!</definedName>
    <definedName name="CPTI95184">#REF!</definedName>
    <definedName name="CPTI95191" localSheetId="5">#REF!</definedName>
    <definedName name="CPTI95191">#REF!</definedName>
    <definedName name="CPTI95192" localSheetId="5">#REF!</definedName>
    <definedName name="CPTI95192">#REF!</definedName>
    <definedName name="CPTI95235" localSheetId="5">#REF!</definedName>
    <definedName name="CPTI95235">#REF!</definedName>
    <definedName name="CPTI95236" localSheetId="5">#REF!</definedName>
    <definedName name="CPTI95236">#REF!</definedName>
    <definedName name="CPTI95237" localSheetId="5">#REF!</definedName>
    <definedName name="CPTI95237">#REF!</definedName>
    <definedName name="CPTI95239" localSheetId="5">#REF!</definedName>
    <definedName name="CPTI95239">#REF!</definedName>
    <definedName name="CPTI95302" localSheetId="5">#REF!</definedName>
    <definedName name="CPTI95302">#REF!</definedName>
    <definedName name="CPTI95308" localSheetId="5">#REF!</definedName>
    <definedName name="CPTI95308">#REF!</definedName>
    <definedName name="CPTI95311" localSheetId="5">#REF!</definedName>
    <definedName name="CPTI95311">#REF!</definedName>
    <definedName name="CPTI95312" localSheetId="5">#REF!</definedName>
    <definedName name="CPTI95312">#REF!</definedName>
    <definedName name="CPTI95313" localSheetId="5">#REF!</definedName>
    <definedName name="CPTI95313">#REF!</definedName>
    <definedName name="CPTI95314" localSheetId="5">#REF!</definedName>
    <definedName name="CPTI95314">#REF!</definedName>
    <definedName name="CPTI95318" localSheetId="5">#REF!</definedName>
    <definedName name="CPTI95318">#REF!</definedName>
    <definedName name="CPTI95321" localSheetId="5">#REF!</definedName>
    <definedName name="CPTI95321">#REF!</definedName>
    <definedName name="CPTI95322" localSheetId="5">#REF!</definedName>
    <definedName name="CPTI95322">#REF!</definedName>
    <definedName name="CPTI95323" localSheetId="5">#REF!</definedName>
    <definedName name="CPTI95323">#REF!</definedName>
    <definedName name="CPTI95324" localSheetId="5">#REF!</definedName>
    <definedName name="CPTI95324">#REF!</definedName>
    <definedName name="CPTI95328" localSheetId="5">#REF!</definedName>
    <definedName name="CPTI95328">#REF!</definedName>
    <definedName name="CPTI95331" localSheetId="5">#REF!</definedName>
    <definedName name="CPTI95331">#REF!</definedName>
    <definedName name="CPTI95332" localSheetId="5">#REF!</definedName>
    <definedName name="CPTI95332">#REF!</definedName>
    <definedName name="CPTI95333" localSheetId="5">#REF!</definedName>
    <definedName name="CPTI95333">#REF!</definedName>
    <definedName name="CPTI95334" localSheetId="5">#REF!</definedName>
    <definedName name="CPTI95334">#REF!</definedName>
    <definedName name="CPTI95335" localSheetId="5">#REF!</definedName>
    <definedName name="CPTI95335">#REF!</definedName>
    <definedName name="CPTI95336" localSheetId="5">#REF!</definedName>
    <definedName name="CPTI95336">#REF!</definedName>
    <definedName name="CPTI95337" localSheetId="5">#REF!</definedName>
    <definedName name="CPTI95337">#REF!</definedName>
    <definedName name="CPTI95338" localSheetId="5">#REF!</definedName>
    <definedName name="CPTI95338">#REF!</definedName>
    <definedName name="CPTI95339" localSheetId="5">#REF!</definedName>
    <definedName name="CPTI95339">#REF!</definedName>
    <definedName name="CPTI95341" localSheetId="5">#REF!</definedName>
    <definedName name="CPTI95341">#REF!</definedName>
    <definedName name="CPTI95342" localSheetId="5">#REF!</definedName>
    <definedName name="CPTI95342">#REF!</definedName>
    <definedName name="CPTI95345" localSheetId="5">#REF!</definedName>
    <definedName name="CPTI95345">#REF!</definedName>
    <definedName name="CPTI95351" localSheetId="5">#REF!</definedName>
    <definedName name="CPTI95351">#REF!</definedName>
    <definedName name="CPTI95353" localSheetId="5">#REF!</definedName>
    <definedName name="CPTI95353">#REF!</definedName>
    <definedName name="CPTI95362" localSheetId="5">#REF!</definedName>
    <definedName name="CPTI95362">#REF!</definedName>
    <definedName name="CPTI95372" localSheetId="5">#REF!</definedName>
    <definedName name="CPTI95372">#REF!</definedName>
    <definedName name="CPTI95378" localSheetId="5">#REF!</definedName>
    <definedName name="CPTI95378">#REF!</definedName>
    <definedName name="CPTI95381" localSheetId="5">#REF!</definedName>
    <definedName name="CPTI95381">#REF!</definedName>
    <definedName name="CPTI95383" localSheetId="5">#REF!</definedName>
    <definedName name="CPTI95383">#REF!</definedName>
    <definedName name="CPTI95388" localSheetId="5">#REF!</definedName>
    <definedName name="CPTI95388">#REF!</definedName>
    <definedName name="CPTI95391" localSheetId="5">#REF!</definedName>
    <definedName name="CPTI95391">#REF!</definedName>
    <definedName name="CPTI95392" localSheetId="5">#REF!</definedName>
    <definedName name="CPTI95392">#REF!</definedName>
    <definedName name="CPTI95398" localSheetId="5">#REF!</definedName>
    <definedName name="CPTI95398">#REF!</definedName>
    <definedName name="CPTI95401" localSheetId="5">#REF!</definedName>
    <definedName name="CPTI95401">#REF!</definedName>
    <definedName name="CPTI95402" localSheetId="5">#REF!</definedName>
    <definedName name="CPTI95402">#REF!</definedName>
    <definedName name="CPTI95403" localSheetId="5">#REF!</definedName>
    <definedName name="CPTI95403">#REF!</definedName>
    <definedName name="CPTI96100" localSheetId="5">#REF!</definedName>
    <definedName name="CPTI96100">#REF!</definedName>
    <definedName name="CPTI96109" localSheetId="5">#REF!</definedName>
    <definedName name="CPTI96109">#REF!</definedName>
    <definedName name="CPTI96110" localSheetId="5">#REF!</definedName>
    <definedName name="CPTI96110">#REF!</definedName>
    <definedName name="CPTI96120" localSheetId="5">#REF!</definedName>
    <definedName name="CPTI96120">#REF!</definedName>
    <definedName name="CPTI97110" localSheetId="5">#REF!</definedName>
    <definedName name="CPTI97110">#REF!</definedName>
    <definedName name="CPTI97120" localSheetId="5">#REF!</definedName>
    <definedName name="CPTI97120">#REF!</definedName>
    <definedName name="CPTI97410" localSheetId="5">#REF!</definedName>
    <definedName name="CPTI97410">#REF!</definedName>
    <definedName name="CPTI97418" localSheetId="5">#REF!</definedName>
    <definedName name="CPTI97418">#REF!</definedName>
    <definedName name="CPTI97420" localSheetId="5">#REF!</definedName>
    <definedName name="CPTI97420">#REF!</definedName>
    <definedName name="CPTI97508" localSheetId="5">#REF!</definedName>
    <definedName name="CPTI97508">#REF!</definedName>
    <definedName name="CPTI97509" localSheetId="5">#REF!</definedName>
    <definedName name="CPTI97509">#REF!</definedName>
    <definedName name="CPTI97510" localSheetId="5">#REF!</definedName>
    <definedName name="CPTI97510">#REF!</definedName>
    <definedName name="CPTI97610" localSheetId="5">#REF!</definedName>
    <definedName name="CPTI97610">#REF!</definedName>
    <definedName name="CPTI97710" localSheetId="5">#REF!</definedName>
    <definedName name="CPTI97710">#REF!</definedName>
    <definedName name="CPTI98009" localSheetId="5">#REF!</definedName>
    <definedName name="CPTI98009">#REF!</definedName>
    <definedName name="CPTP12100" localSheetId="5">#REF!</definedName>
    <definedName name="CPTP12100">#REF!</definedName>
    <definedName name="CPTP13100" localSheetId="5">#REF!</definedName>
    <definedName name="CPTP13100">#REF!</definedName>
    <definedName name="CPTP13108" localSheetId="5">#REF!</definedName>
    <definedName name="CPTP13108">#REF!</definedName>
    <definedName name="CPTP13600" localSheetId="5">#REF!</definedName>
    <definedName name="CPTP13600">#REF!</definedName>
    <definedName name="CPTP13608" localSheetId="5">#REF!</definedName>
    <definedName name="CPTP13608">#REF!</definedName>
    <definedName name="CPTP13700" localSheetId="5">#REF!</definedName>
    <definedName name="CPTP13700">#REF!</definedName>
    <definedName name="CPTP13708" localSheetId="5">#REF!</definedName>
    <definedName name="CPTP13708">#REF!</definedName>
    <definedName name="CPTP17100" localSheetId="5">#REF!</definedName>
    <definedName name="CPTP17100">#REF!</definedName>
    <definedName name="CPTP17200" localSheetId="5">#REF!</definedName>
    <definedName name="CPTP17200">#REF!</definedName>
    <definedName name="CPTP17400" localSheetId="5">#REF!</definedName>
    <definedName name="CPTP17400">#REF!</definedName>
    <definedName name="CPTP17500" localSheetId="5">#REF!</definedName>
    <definedName name="CPTP17500">#REF!</definedName>
    <definedName name="CPTP17508" localSheetId="5">#REF!</definedName>
    <definedName name="CPTP17508">#REF!</definedName>
    <definedName name="CPTP18000" localSheetId="5">#REF!</definedName>
    <definedName name="CPTP18000">#REF!</definedName>
    <definedName name="CPTP22100" localSheetId="5">#REF!</definedName>
    <definedName name="CPTP22100">#REF!</definedName>
    <definedName name="CPTP22510" localSheetId="5">#REF!</definedName>
    <definedName name="CPTP22510">#REF!</definedName>
    <definedName name="CPTP22600" localSheetId="5">#REF!</definedName>
    <definedName name="CPTP22600">#REF!</definedName>
    <definedName name="CPTP22700" localSheetId="5">#REF!</definedName>
    <definedName name="CPTP22700">#REF!</definedName>
    <definedName name="CPTP22900" localSheetId="5">#REF!</definedName>
    <definedName name="CPTP22900">#REF!</definedName>
    <definedName name="CPTP22909" localSheetId="5">#REF!</definedName>
    <definedName name="CPTP22909">#REF!</definedName>
    <definedName name="CPTP23100" localSheetId="5">#REF!</definedName>
    <definedName name="CPTP23100">#REF!</definedName>
    <definedName name="CPTP23200" localSheetId="5">#REF!</definedName>
    <definedName name="CPTP23200">#REF!</definedName>
    <definedName name="CPTP24100" localSheetId="5">#REF!</definedName>
    <definedName name="CPTP24100">#REF!</definedName>
    <definedName name="CPTP24200" localSheetId="5">#REF!</definedName>
    <definedName name="CPTP24200">#REF!</definedName>
    <definedName name="CPTP25100" localSheetId="5">#REF!</definedName>
    <definedName name="CPTP25100">#REF!</definedName>
    <definedName name="CPTP27100" localSheetId="5">#REF!</definedName>
    <definedName name="CPTP27100">#REF!</definedName>
    <definedName name="CPTP27200" localSheetId="5">#REF!</definedName>
    <definedName name="CPTP27200">#REF!</definedName>
    <definedName name="CPTP27300" localSheetId="5">#REF!</definedName>
    <definedName name="CPTP27300">#REF!</definedName>
    <definedName name="CPTP27400" localSheetId="5">#REF!</definedName>
    <definedName name="CPTP27400">#REF!</definedName>
    <definedName name="CPTP34000" localSheetId="5">#REF!</definedName>
    <definedName name="CPTP34000">#REF!</definedName>
    <definedName name="CPTP34100" localSheetId="5">#REF!</definedName>
    <definedName name="CPTP34100">#REF!</definedName>
    <definedName name="CPTP34500" localSheetId="5">#REF!</definedName>
    <definedName name="CPTP34500">#REF!</definedName>
    <definedName name="CPTP35330C" localSheetId="5">#REF!</definedName>
    <definedName name="CPTP35330C">#REF!</definedName>
    <definedName name="CPTP35400" localSheetId="5">#REF!</definedName>
    <definedName name="CPTP35400">#REF!</definedName>
    <definedName name="CPTP35410" localSheetId="5">#REF!</definedName>
    <definedName name="CPTP35410">#REF!</definedName>
    <definedName name="CPTP35420" localSheetId="5">#REF!</definedName>
    <definedName name="CPTP35420">#REF!</definedName>
    <definedName name="CPTP35440" localSheetId="5">#REF!</definedName>
    <definedName name="CPTP35440">#REF!</definedName>
    <definedName name="CPTP35510" localSheetId="5">#REF!</definedName>
    <definedName name="CPTP35510">#REF!</definedName>
    <definedName name="CPTP35520" localSheetId="5">#REF!</definedName>
    <definedName name="CPTP35520">#REF!</definedName>
    <definedName name="CPTP35530" localSheetId="5">#REF!</definedName>
    <definedName name="CPTP35530">#REF!</definedName>
    <definedName name="CPTP35540C" localSheetId="5">#REF!</definedName>
    <definedName name="CPTP35540C">#REF!</definedName>
    <definedName name="CPTP35550" localSheetId="5">#REF!</definedName>
    <definedName name="CPTP35550">#REF!</definedName>
    <definedName name="CPTP35610" localSheetId="5">#REF!</definedName>
    <definedName name="CPTP35610">#REF!</definedName>
    <definedName name="CPTP35620" localSheetId="5">#REF!</definedName>
    <definedName name="CPTP35620">#REF!</definedName>
    <definedName name="CPTP35700" localSheetId="5">#REF!</definedName>
    <definedName name="CPTP35700">#REF!</definedName>
    <definedName name="CPTP35800" localSheetId="5">#REF!</definedName>
    <definedName name="CPTP35800">#REF!</definedName>
    <definedName name="CPTP35833C" localSheetId="5">#REF!</definedName>
    <definedName name="CPTP35833C">#REF!</definedName>
    <definedName name="CPTP35900" localSheetId="5">#REF!</definedName>
    <definedName name="CPTP35900">#REF!</definedName>
    <definedName name="cptp35955p" localSheetId="5">#REF!</definedName>
    <definedName name="cptp35955p">#REF!</definedName>
    <definedName name="cptp35956p" localSheetId="5">#REF!</definedName>
    <definedName name="cptp35956p">#REF!</definedName>
    <definedName name="CPTP35957P" localSheetId="5">#REF!</definedName>
    <definedName name="CPTP35957P">#REF!</definedName>
    <definedName name="CPTP35958P" localSheetId="5">#REF!</definedName>
    <definedName name="CPTP35958P">#REF!</definedName>
    <definedName name="CPTP36210" localSheetId="5">#REF!</definedName>
    <definedName name="CPTP36210">#REF!</definedName>
    <definedName name="CPTP36215" localSheetId="5">#REF!</definedName>
    <definedName name="CPTP36215">#REF!</definedName>
    <definedName name="CPTP36220" localSheetId="5">#REF!</definedName>
    <definedName name="CPTP36220">#REF!</definedName>
    <definedName name="CPTP36230" localSheetId="5">#REF!</definedName>
    <definedName name="CPTP36230">#REF!</definedName>
    <definedName name="CPTP36600" localSheetId="5">#REF!</definedName>
    <definedName name="CPTP36600">#REF!</definedName>
    <definedName name="CPTP36601" localSheetId="5">#REF!</definedName>
    <definedName name="CPTP36601">#REF!</definedName>
    <definedName name="CPTP36602" localSheetId="5">#REF!</definedName>
    <definedName name="CPTP36602">#REF!</definedName>
    <definedName name="CPTP36610" localSheetId="5">#REF!</definedName>
    <definedName name="CPTP36610">#REF!</definedName>
    <definedName name="CPTP36611" localSheetId="5">#REF!</definedName>
    <definedName name="CPTP36611">#REF!</definedName>
    <definedName name="CPTP36612" localSheetId="5">#REF!</definedName>
    <definedName name="CPTP36612">#REF!</definedName>
    <definedName name="CPTP36613" localSheetId="5">#REF!</definedName>
    <definedName name="CPTP36613">#REF!</definedName>
    <definedName name="CPTP36614" localSheetId="5">#REF!</definedName>
    <definedName name="CPTP36614">#REF!</definedName>
    <definedName name="CPTP36617" localSheetId="5">#REF!</definedName>
    <definedName name="CPTP36617">#REF!</definedName>
    <definedName name="CPTP36618" localSheetId="5">#REF!</definedName>
    <definedName name="CPTP36618">#REF!</definedName>
    <definedName name="CPTP36620" localSheetId="5">#REF!</definedName>
    <definedName name="CPTP36620">#REF!</definedName>
    <definedName name="CPTP36625" localSheetId="5">#REF!</definedName>
    <definedName name="CPTP36625">#REF!</definedName>
    <definedName name="CPTP36628" localSheetId="5">#REF!</definedName>
    <definedName name="CPTP36628">#REF!</definedName>
    <definedName name="CPTP36680" localSheetId="5">#REF!</definedName>
    <definedName name="CPTP36680">#REF!</definedName>
    <definedName name="CPTP36686" localSheetId="5">#REF!</definedName>
    <definedName name="CPTP36686">#REF!</definedName>
    <definedName name="CPTP36690" localSheetId="5">#REF!</definedName>
    <definedName name="CPTP36690">#REF!</definedName>
    <definedName name="CPTP37500" localSheetId="5">#REF!</definedName>
    <definedName name="CPTP37500">#REF!</definedName>
    <definedName name="CPTP37508" localSheetId="5">#REF!</definedName>
    <definedName name="CPTP37508">#REF!</definedName>
    <definedName name="CPTP37600" localSheetId="5">#REF!</definedName>
    <definedName name="CPTP37600">#REF!</definedName>
    <definedName name="CPTP38100" localSheetId="5">#REF!</definedName>
    <definedName name="CPTP38100">#REF!</definedName>
    <definedName name="CPTP38105" localSheetId="5">#REF!</definedName>
    <definedName name="CPTP38105">#REF!</definedName>
    <definedName name="CPTP38300" localSheetId="5">#REF!</definedName>
    <definedName name="CPTP38300">#REF!</definedName>
    <definedName name="CPTP38390" localSheetId="5">#REF!</definedName>
    <definedName name="CPTP38390">#REF!</definedName>
    <definedName name="CPTP39000" localSheetId="5">#REF!</definedName>
    <definedName name="CPTP39000">#REF!</definedName>
    <definedName name="CPTP39510" localSheetId="5">#REF!</definedName>
    <definedName name="CPTP39510">#REF!</definedName>
    <definedName name="CPTP39520" localSheetId="5">#REF!</definedName>
    <definedName name="CPTP39520">#REF!</definedName>
    <definedName name="CPTP39530" localSheetId="5">#REF!</definedName>
    <definedName name="CPTP39530">#REF!</definedName>
    <definedName name="CPTP39540" localSheetId="5">#REF!</definedName>
    <definedName name="CPTP39540">#REF!</definedName>
    <definedName name="CPTP39550" localSheetId="5">#REF!</definedName>
    <definedName name="CPTP39550">#REF!</definedName>
    <definedName name="CPTP39560" localSheetId="5">#REF!</definedName>
    <definedName name="CPTP39560">#REF!</definedName>
    <definedName name="CPTP53000" localSheetId="5">#REF!</definedName>
    <definedName name="CPTP53000">#REF!</definedName>
    <definedName name="CPTP53518" localSheetId="5">#REF!</definedName>
    <definedName name="CPTP53518">#REF!</definedName>
    <definedName name="CPTP53519" localSheetId="5">#REF!</definedName>
    <definedName name="CPTP53519">#REF!</definedName>
    <definedName name="CPTP53520" localSheetId="5">#REF!</definedName>
    <definedName name="CPTP53520">#REF!</definedName>
    <definedName name="CPTP53600" localSheetId="5">#REF!</definedName>
    <definedName name="CPTP53600">#REF!</definedName>
    <definedName name="CPTP54030P" localSheetId="5">#REF!</definedName>
    <definedName name="CPTP54030P">#REF!</definedName>
    <definedName name="CPTP54040P" localSheetId="5">#REF!</definedName>
    <definedName name="CPTP54040P">#REF!</definedName>
    <definedName name="CPTP54100P" localSheetId="5">#REF!</definedName>
    <definedName name="CPTP54100P">#REF!</definedName>
    <definedName name="CPTP54101P" localSheetId="5">#REF!</definedName>
    <definedName name="CPTP54101P">#REF!</definedName>
    <definedName name="CPTP54105P" localSheetId="5">#REF!</definedName>
    <definedName name="CPTP54105P">#REF!</definedName>
    <definedName name="CPTP54106P" localSheetId="5">#REF!</definedName>
    <definedName name="CPTP54106P">#REF!</definedName>
    <definedName name="CPTP54115P" localSheetId="5">#REF!</definedName>
    <definedName name="CPTP54115P">#REF!</definedName>
    <definedName name="CPTP54120P" localSheetId="5">#REF!</definedName>
    <definedName name="CPTP54120P">#REF!</definedName>
    <definedName name="CPTP54125P" localSheetId="5">#REF!</definedName>
    <definedName name="CPTP54125P">#REF!</definedName>
    <definedName name="CPTP54131P" localSheetId="5">#REF!</definedName>
    <definedName name="CPTP54131P">#REF!</definedName>
    <definedName name="CPTP54132P" localSheetId="5">#REF!</definedName>
    <definedName name="CPTP54132P">#REF!</definedName>
    <definedName name="CPTP54133P" localSheetId="5">#REF!</definedName>
    <definedName name="CPTP54133P">#REF!</definedName>
    <definedName name="CPTP54138P" localSheetId="5">#REF!</definedName>
    <definedName name="CPTP54138P">#REF!</definedName>
    <definedName name="CPTP54139P" localSheetId="5">#REF!</definedName>
    <definedName name="CPTP54139P">#REF!</definedName>
    <definedName name="CPTP54140P" localSheetId="5">#REF!</definedName>
    <definedName name="CPTP54140P">#REF!</definedName>
    <definedName name="CPTP54150P" localSheetId="5">#REF!</definedName>
    <definedName name="CPTP54150P">#REF!</definedName>
    <definedName name="CPTP54160P" localSheetId="5">#REF!</definedName>
    <definedName name="CPTP54160P">#REF!</definedName>
    <definedName name="CPTP54190P" localSheetId="5">#REF!</definedName>
    <definedName name="CPTP54190P">#REF!</definedName>
    <definedName name="CPTP54220P" localSheetId="5">#REF!</definedName>
    <definedName name="CPTP54220P">#REF!</definedName>
    <definedName name="CPTP54240P" localSheetId="5">#REF!</definedName>
    <definedName name="CPTP54240P">#REF!</definedName>
    <definedName name="CPTP54280P" localSheetId="5">#REF!</definedName>
    <definedName name="CPTP54280P">#REF!</definedName>
    <definedName name="CPTP54290P" localSheetId="5">#REF!</definedName>
    <definedName name="CPTP54290P">#REF!</definedName>
    <definedName name="CPTP55110" localSheetId="5">#REF!</definedName>
    <definedName name="CPTP55110">#REF!</definedName>
    <definedName name="CPTP55300" localSheetId="5">#REF!</definedName>
    <definedName name="CPTP55300">#REF!</definedName>
    <definedName name="CPTP55350" localSheetId="5">#REF!</definedName>
    <definedName name="CPTP55350">#REF!</definedName>
    <definedName name="CPTP55400" localSheetId="5">#REF!</definedName>
    <definedName name="CPTP55400">#REF!</definedName>
    <definedName name="CPTP55500" localSheetId="5">#REF!</definedName>
    <definedName name="CPTP55500">#REF!</definedName>
    <definedName name="CPTP55600G" localSheetId="5">#REF!</definedName>
    <definedName name="CPTP55600G">#REF!</definedName>
    <definedName name="CPTP55600H" localSheetId="5">#REF!</definedName>
    <definedName name="CPTP55600H">#REF!</definedName>
    <definedName name="CPTP55610" localSheetId="5">#REF!</definedName>
    <definedName name="CPTP55610">#REF!</definedName>
    <definedName name="CPTP55615" localSheetId="5">#REF!</definedName>
    <definedName name="CPTP55615">#REF!</definedName>
    <definedName name="CPTP55620" localSheetId="5">#REF!</definedName>
    <definedName name="CPTP55620">#REF!</definedName>
    <definedName name="CPTP55640" localSheetId="5">#REF!</definedName>
    <definedName name="CPTP55640">#REF!</definedName>
    <definedName name="CPTP55800G" localSheetId="5">#REF!</definedName>
    <definedName name="CPTP55800G">#REF!</definedName>
    <definedName name="CPTP55800H" localSheetId="5">#REF!</definedName>
    <definedName name="CPTP55800H">#REF!</definedName>
    <definedName name="CPTP56000" localSheetId="5">#REF!</definedName>
    <definedName name="CPTP56000">#REF!</definedName>
    <definedName name="CPTP56100C" localSheetId="5">#REF!</definedName>
    <definedName name="CPTP56100C">#REF!</definedName>
    <definedName name="CPTP57000" localSheetId="5">#REF!</definedName>
    <definedName name="CPTP57000">#REF!</definedName>
    <definedName name="CPTP57500" localSheetId="5">#REF!</definedName>
    <definedName name="CPTP57500">#REF!</definedName>
    <definedName name="CPTP58000" localSheetId="5">#REF!</definedName>
    <definedName name="CPTP58000">#REF!</definedName>
    <definedName name="CPTP58100G" localSheetId="5">#REF!</definedName>
    <definedName name="CPTP58100G">#REF!</definedName>
    <definedName name="CPTP58100H" localSheetId="5">#REF!</definedName>
    <definedName name="CPTP58100H">#REF!</definedName>
    <definedName name="CPTP87100G" localSheetId="5">#REF!</definedName>
    <definedName name="CPTP87100G">#REF!</definedName>
    <definedName name="CPTP87100H" localSheetId="5">#REF!</definedName>
    <definedName name="CPTP87100H">#REF!</definedName>
    <definedName name="CPTP87200G" localSheetId="5">#REF!</definedName>
    <definedName name="CPTP87200G">#REF!</definedName>
    <definedName name="CPTP87200H" localSheetId="5">#REF!</definedName>
    <definedName name="CPTP87200H">#REF!</definedName>
    <definedName name="CPTZ715570" localSheetId="5">#REF!</definedName>
    <definedName name="CPTZ715570">#REF!</definedName>
    <definedName name="CPTZ715725" localSheetId="5">#REF!</definedName>
    <definedName name="CPTZ715725">#REF!</definedName>
    <definedName name="CPTZ715770" localSheetId="5">#REF!</definedName>
    <definedName name="CPTZ715770">#REF!</definedName>
    <definedName name="CPTZA36685" localSheetId="5">#REF!</definedName>
    <definedName name="CPTZA36685">#REF!</definedName>
    <definedName name="CPTZA43520" localSheetId="5">#REF!</definedName>
    <definedName name="CPTZA43520">#REF!</definedName>
    <definedName name="CPTZA43530" localSheetId="5">#REF!</definedName>
    <definedName name="CPTZA43530">#REF!</definedName>
    <definedName name="CPTZA43852" localSheetId="5">#REF!</definedName>
    <definedName name="CPTZA43852">#REF!</definedName>
    <definedName name="CPTZA43853" localSheetId="5">#REF!</definedName>
    <definedName name="CPTZA43853">#REF!</definedName>
    <definedName name="CPTZA47840" localSheetId="5">#REF!</definedName>
    <definedName name="CPTZA47840">#REF!</definedName>
    <definedName name="CPTZA47900" localSheetId="5">#REF!</definedName>
    <definedName name="CPTZA47900">#REF!</definedName>
    <definedName name="CPTZP35950P" localSheetId="5">#REF!</definedName>
    <definedName name="CPTZP35950P">#REF!</definedName>
    <definedName name="CPTZP54035P" localSheetId="5">#REF!</definedName>
    <definedName name="CPTZP54035P">#REF!</definedName>
    <definedName name="CPTZP54045P" localSheetId="5">#REF!</definedName>
    <definedName name="CPTZP54045P">#REF!</definedName>
    <definedName name="CPXECHUS" localSheetId="5">#REF!</definedName>
    <definedName name="CPXECHUS">#REF!</definedName>
    <definedName name="CREANCIAM" localSheetId="5">#REF!</definedName>
    <definedName name="CREANCIAM">#REF!</definedName>
    <definedName name="CVIE1" localSheetId="5">#REF!</definedName>
    <definedName name="CVIE1">#REF!</definedName>
    <definedName name="cxcmc" localSheetId="5">#REF!</definedName>
    <definedName name="cxcmc">#REF!</definedName>
    <definedName name="cxcmo" localSheetId="5">#REF!</definedName>
    <definedName name="cxcmo">#REF!</definedName>
    <definedName name="cxdcw" hidden="1">{"résultats",#N/A,FALSE,"résultats SFS";"indicateurs",#N/A,FALSE,"résultats SFS";"commentaires",#N/A,FALSE,"commentaires SFS";"graphiques",#N/A,FALSE,"graphiques SFS"}</definedName>
    <definedName name="cxdmc" localSheetId="5">#REF!</definedName>
    <definedName name="cxdmc">#REF!</definedName>
    <definedName name="cxdmo" localSheetId="5">#REF!</definedName>
    <definedName name="cxdmo">#REF!</definedName>
    <definedName name="d" localSheetId="5" hidden="1">#REF!</definedName>
    <definedName name="d" localSheetId="12" hidden="1">#REF!</definedName>
    <definedName name="d" hidden="1">#REF!</definedName>
    <definedName name="d_1" hidden="1">{#N/A,#N/A,TRUE,"COFTOT"}</definedName>
    <definedName name="Date">'[15]Note 4.7'!$F$2</definedName>
    <definedName name="DATE_N">[16]Sommaire!$B$9</definedName>
    <definedName name="de" hidden="1">{#N/A,#N/A,TRUE,"COFTOT"}</definedName>
    <definedName name="de_1" hidden="1">{#N/A,#N/A,TRUE,"COFTOT"}</definedName>
    <definedName name="dec" localSheetId="5">#REF!</definedName>
    <definedName name="dec">#REF!</definedName>
    <definedName name="DEPREC_A76493000A" localSheetId="5">#REF!</definedName>
    <definedName name="DEPREC_A76493000A">#REF!</definedName>
    <definedName name="DEPREC_A76493010A" localSheetId="5">#REF!</definedName>
    <definedName name="DEPREC_A76493010A">#REF!</definedName>
    <definedName name="DEPREC_A76493020A" localSheetId="5">#REF!</definedName>
    <definedName name="DEPREC_A76493020A">#REF!</definedName>
    <definedName name="DEPREC_A76493030A" localSheetId="5">#REF!</definedName>
    <definedName name="DEPREC_A76493030A">#REF!</definedName>
    <definedName name="DEPREC_A76493100A" localSheetId="5">#REF!</definedName>
    <definedName name="DEPREC_A76493100A">#REF!</definedName>
    <definedName name="DEPREC_A76493110A" localSheetId="5">#REF!</definedName>
    <definedName name="DEPREC_A76493110A">#REF!</definedName>
    <definedName name="DEPREC_A76493130A" localSheetId="5">#REF!</definedName>
    <definedName name="DEPREC_A76493130A">#REF!</definedName>
    <definedName name="DETCONSO">'[17]RECAP GROUPE'!$A$1:$BH$5223</definedName>
    <definedName name="dettepension" localSheetId="5">#REF!</definedName>
    <definedName name="dettepension">#REF!</definedName>
    <definedName name="deux" hidden="1">{"résultats",#N/A,FALSE,"résultats SFS";"indicateurs",#N/A,FALSE,"résultats SFS";"commentaires",#N/A,FALSE,"commentaires SFS";"graphiques",#N/A,FALSE,"graphiques SFS"}</definedName>
    <definedName name="devise" localSheetId="5">#REF!</definedName>
    <definedName name="devise">#REF!</definedName>
    <definedName name="dfd" localSheetId="5" hidden="1">#REF!</definedName>
    <definedName name="dfd" localSheetId="12" hidden="1">#REF!</definedName>
    <definedName name="dfd" hidden="1">#REF!</definedName>
    <definedName name="dfdfdf" localSheetId="5" hidden="1">#REF!</definedName>
    <definedName name="dfdfdf" localSheetId="12" hidden="1">#REF!</definedName>
    <definedName name="dfdfdf" hidden="1">#REF!</definedName>
    <definedName name="dome" hidden="1">{#N/A,#N/A,TRUE,"COFTOT"}</definedName>
    <definedName name="dome_1" hidden="1">{#N/A,#N/A,TRUE,"COFTOT"}</definedName>
    <definedName name="domenique" hidden="1">{#N/A,#N/A,TRUE,"COFTOT"}</definedName>
    <definedName name="domenique_1" hidden="1">{#N/A,#N/A,TRUE,"COFTOT"}</definedName>
    <definedName name="dotationsamortissementsetprovisions" localSheetId="5">#REF!</definedName>
    <definedName name="dotationsamortissementsetprovisions">#REF!</definedName>
    <definedName name="DOTAUTPROVTECH" localSheetId="5">#REF!</definedName>
    <definedName name="DOTAUTPROVTECH">#REF!</definedName>
    <definedName name="DOTGR" localSheetId="5">#REF!</definedName>
    <definedName name="DOTGR">#REF!</definedName>
    <definedName name="DOTID" localSheetId="5">#REF!</definedName>
    <definedName name="DOTID">#REF!</definedName>
    <definedName name="DOTPM1" localSheetId="5">#REF!</definedName>
    <definedName name="DOTPM1">#REF!</definedName>
    <definedName name="DOTPM2" localSheetId="5">#REF!</definedName>
    <definedName name="DOTPM2">#REF!</definedName>
    <definedName name="DOTPROVASSVIE" localSheetId="5">#REF!</definedName>
    <definedName name="DOTPROVASSVIE">#REF!</definedName>
    <definedName name="DOTPROVUC" localSheetId="5">#REF!</definedName>
    <definedName name="DOTPROVUC">#REF!</definedName>
    <definedName name="DOTPTSREASS" localSheetId="5">#REF!</definedName>
    <definedName name="DOTPTSREASS">#REF!</definedName>
    <definedName name="DOTSINISTRES" localSheetId="5">#REF!</definedName>
    <definedName name="DOTSINISTRES">#REF!</definedName>
    <definedName name="DOVERA" hidden="1">{#N/A,#N/A,TRUE,"COFTOT"}</definedName>
    <definedName name="e" localSheetId="5" hidden="1">#REF!</definedName>
    <definedName name="e" localSheetId="12" hidden="1">#REF!</definedName>
    <definedName name="e" hidden="1">#REF!</definedName>
    <definedName name="e_1" hidden="1">{#N/A,#N/A,TRUE,"COFTOT"}</definedName>
    <definedName name="ECARTACQAMORT" localSheetId="5">#REF!</definedName>
    <definedName name="ECARTACQAMORT">#REF!</definedName>
    <definedName name="ECARTACQBRUT" localSheetId="5">#REF!</definedName>
    <definedName name="ECARTACQBRUT">#REF!</definedName>
    <definedName name="ECARTACQUISITION" localSheetId="5">#REF!</definedName>
    <definedName name="ECARTACQUISITION">#REF!</definedName>
    <definedName name="ecartconv1998" localSheetId="5">'[18]Ecarts conversion 1201'!#REF!</definedName>
    <definedName name="ecartconv1998">'[18]Ecarts conversion 1201'!#REF!</definedName>
    <definedName name="ecartconv1999" localSheetId="5">'[18]Ecarts conversion 1201'!#REF!</definedName>
    <definedName name="ecartconv1999">'[18]Ecarts conversion 1201'!#REF!</definedName>
    <definedName name="ecartconv2000" localSheetId="5">'[18]Ecarts conversion 1201'!#REF!</definedName>
    <definedName name="ecartconv2000">'[18]Ecarts conversion 1201'!#REF!</definedName>
    <definedName name="ecartcptrecip" localSheetId="5">#REF!</definedName>
    <definedName name="ecartcptrecip">#REF!</definedName>
    <definedName name="ECUREUIL_2001" localSheetId="5">#REF!</definedName>
    <definedName name="ECUREUIL_2001">#REF!</definedName>
    <definedName name="edjcc" localSheetId="5" hidden="1">#REF!</definedName>
    <definedName name="edjcc" localSheetId="12" hidden="1">#REF!</definedName>
    <definedName name="edjcc" hidden="1">#REF!</definedName>
    <definedName name="ee" hidden="1">{"résultats",#N/A,FALSE,"résultats SFS";"indicateurs",#N/A,FALSE,"résultats SFS";"commentaires",#N/A,FALSE,"commentaires SFS";"graphiques",#N/A,FALSE,"graphiques SFS"}</definedName>
    <definedName name="eeder">[19]EXPERTISE!$B$2:$B$92</definedName>
    <definedName name="eee">[20]Feuil1!$G$5:$G$112</definedName>
    <definedName name="eeee" localSheetId="5" hidden="1">#REF!</definedName>
    <definedName name="eeee" localSheetId="12" hidden="1">#REF!</definedName>
    <definedName name="eeee" hidden="1">#REF!</definedName>
    <definedName name="Encours_CA" localSheetId="5">#REF!</definedName>
    <definedName name="Encours_CA">#REF!</definedName>
    <definedName name="Encours_T" localSheetId="5">#REF!</definedName>
    <definedName name="Encours_T">#REF!</definedName>
    <definedName name="ENGAGCESS" localSheetId="5">#REF!</definedName>
    <definedName name="ENGAGCESS">#REF!</definedName>
    <definedName name="ENGAGDONNE" localSheetId="5">#REF!</definedName>
    <definedName name="ENGAGDONNE">#REF!</definedName>
    <definedName name="ENGAGRECU" localSheetId="5">#REF!</definedName>
    <definedName name="ENGAGRECU">#REF!</definedName>
    <definedName name="ENGAGTIT" localSheetId="5">#REF!</definedName>
    <definedName name="ENGAGTIT">#REF!</definedName>
    <definedName name="ENONCES" localSheetId="5">[14]FG!#REF!,[14]FG!#REF!,[14]FG!#REF!,[14]FG!#REF!</definedName>
    <definedName name="ENONCES">[14]FG!#REF!,[14]FG!#REF!,[14]FG!#REF!,[14]FG!#REF!</definedName>
    <definedName name="Entrées_97" localSheetId="5">#REF!</definedName>
    <definedName name="Entrées_97">#REF!</definedName>
    <definedName name="EPMWorkbookOptions_1" hidden="1">"dQEAAB+LCAAAAAAABADtvQdgHEmWJSYvbcp7f0r1StfgdKEIgGATJNiQQBDswYjN5pLsHWlHIymrKoHKZVZlXWYWQMztnbz33nvvvffee++997o7nU4n99//P1xmZAFs9s5K2smeIYCqyB8/fnwfPyIe/x7vFmV6mddNUS0/+2h3vPNRmi+n1axYXnz20bo939799KPf4+g3Th5/t6rfTqrq7Zerlpo2Kb23bB69a4rPPpq37erR3btXV1fj"</definedName>
    <definedName name="EPMWorkbookOptions_2" hidden="1">"q3vjqr64u7ezs3v39/7i+evpPF9k28WyabPlNP/IvjW7+a2PqNc0ffwqP6/zZv7l8stVvjxq63X++G74GTc7KfOsfpq12ZfL19llfnSelQ217H7Mbc1QXtZVm0/bfGZa978I21/N0rvy0Vnzk1ldZJMy/yKvLxyE3udEOQtWSXf0/wDJtBdBdQEAAA=="</definedName>
    <definedName name="erertt" localSheetId="5" hidden="1">#REF!</definedName>
    <definedName name="erertt" localSheetId="12" hidden="1">#REF!</definedName>
    <definedName name="erertt" hidden="1">#REF!</definedName>
    <definedName name="errr">[21]PART!$B$2:$B$77</definedName>
    <definedName name="etat_ligne" localSheetId="5">#REF!</definedName>
    <definedName name="etat_ligne">#REF!</definedName>
    <definedName name="etrehn" localSheetId="5" hidden="1">#REF!</definedName>
    <definedName name="etrehn" localSheetId="12" hidden="1">#REF!</definedName>
    <definedName name="etrehn" hidden="1">#REF!</definedName>
    <definedName name="EV__CVPARAMS__" hidden="1">"Trend!$B$17:$C$38;"</definedName>
    <definedName name="EV__MAXEXPCOLS__" hidden="1">100</definedName>
    <definedName name="EV__MAXEXPROWS__" hidden="1">1000</definedName>
    <definedName name="EV__WBVERSION__" hidden="1">0</definedName>
    <definedName name="EXFIN">[13]v!$C$31</definedName>
    <definedName name="EXITAX" localSheetId="5">#REF!</definedName>
    <definedName name="EXITAX">#REF!</definedName>
    <definedName name="EXPERT" localSheetId="5">[6]EXPERTISE!#REF!</definedName>
    <definedName name="EXPERT">[6]EXPERTISE!#REF!</definedName>
    <definedName name="EXPERTI900" localSheetId="5">#REF!</definedName>
    <definedName name="EXPERTI900">#REF!</definedName>
    <definedName name="EXPERTI930">'[22]930'!$F$11</definedName>
    <definedName name="EXPERTI950">'[22]950'!$F$9</definedName>
    <definedName name="EZD">[23]PART!$D$3:$D$51</definedName>
    <definedName name="f" hidden="1">{#N/A,#N/A,TRUE,"COFTOT"}</definedName>
    <definedName name="f_1" hidden="1">{#N/A,#N/A,TRUE,"COFTOT"}</definedName>
    <definedName name="fafa" localSheetId="9" hidden="1">{#N/A,"francaisfrf",FALSE,"UNITE";"ACTFRF",#N/A,FALSE,"ACTIF";"PASFRF",#N/A,FALSE,"PASSIF";"RESFRF",#N/A,FALSE,"RESULTATS";"FPFRF",#N/A,FALSE,"FP";"N03FRF",#N/A,FALSE,"NOTE03";"N04FRF",#N/A,FALSE,"NOTE04";"N05FRF",#N/A,FALSE,"NOTE05";"N06FRF",#N/A,FALSE,"NOTE06";"N07FRF",#N/A,FALSE,"NOTE07";"N08FRF",#N/A,FALSE,"NOTE08";"N09FRF",#N/A,FALSE,"NOTE09";"N10FRF",#N/A,FALSE,"NOTE10";"N11FRF",#N/A,FALSE,"NOTE11";"N12FRF",#N/A,FALSE,"NOTE12";"N13FRF",#N/A,FALSE,"NOTE13";"N14FRF",#N/A,FALSE,"NOTE14";"N15FRF",#N/A,FALSE,"NOTE15";"N16FRF",#N/A,FALSE,"NOTE16";"N17FRF",#N/A,FALSE,"NOTE17";"N18FRF",#N/A,FALSE,"NOTE18";"N19FRF",#N/A,FALSE,"NOTE19";"N20FRF",#N/A,FALSE,"NOTE20";"N21FRF",#N/A,FALSE,"NOTE21";"N22FRF",#N/A,FALSE,"NOTE22";"N23FRF",#N/A,FALSE,"NOTE23";"N24FRF",#N/A,FALSE,"NOTE24";"N25FRF",#N/A,FALSE,"NOTE25";"N26FRF",#N/A,FALSE,"NOTE26";"N27FRF",#N/A,FALSE,"NOTE27";"N28FRF",#N/A,FALSE,"NOTE28";"N29FRF",#N/A,FALSE,"NOTE29";"N30FRF",#N/A,FALSE,"NOTE30";"N31FRF",#N/A,FALSE,"NOTE31";"N32FRF",#N/A,FALSE,"NOTE32";"N33FRF",#N/A,FALSE,"NOTE33";"BILSOCFRF",#N/A,FALSE,"bilan soc";"RESSOCFRF",#N/A,FALSE,"PL soc";"cinqexFRF",#N/A,FALSE,"5ex"}</definedName>
    <definedName name="fafa" localSheetId="12" hidden="1">{#N/A,"francaisfrf",FALSE,"UNITE";"ACTFRF",#N/A,FALSE,"ACTIF";"PASFRF",#N/A,FALSE,"PASSIF";"RESFRF",#N/A,FALSE,"RESULTATS";"FPFRF",#N/A,FALSE,"FP";"N03FRF",#N/A,FALSE,"NOTE03";"N04FRF",#N/A,FALSE,"NOTE04";"N05FRF",#N/A,FALSE,"NOTE05";"N06FRF",#N/A,FALSE,"NOTE06";"N07FRF",#N/A,FALSE,"NOTE07";"N08FRF",#N/A,FALSE,"NOTE08";"N09FRF",#N/A,FALSE,"NOTE09";"N10FRF",#N/A,FALSE,"NOTE10";"N11FRF",#N/A,FALSE,"NOTE11";"N12FRF",#N/A,FALSE,"NOTE12";"N13FRF",#N/A,FALSE,"NOTE13";"N14FRF",#N/A,FALSE,"NOTE14";"N15FRF",#N/A,FALSE,"NOTE15";"N16FRF",#N/A,FALSE,"NOTE16";"N17FRF",#N/A,FALSE,"NOTE17";"N18FRF",#N/A,FALSE,"NOTE18";"N19FRF",#N/A,FALSE,"NOTE19";"N20FRF",#N/A,FALSE,"NOTE20";"N21FRF",#N/A,FALSE,"NOTE21";"N22FRF",#N/A,FALSE,"NOTE22";"N23FRF",#N/A,FALSE,"NOTE23";"N24FRF",#N/A,FALSE,"NOTE24";"N25FRF",#N/A,FALSE,"NOTE25";"N26FRF",#N/A,FALSE,"NOTE26";"N27FRF",#N/A,FALSE,"NOTE27";"N28FRF",#N/A,FALSE,"NOTE28";"N29FRF",#N/A,FALSE,"NOTE29";"N30FRF",#N/A,FALSE,"NOTE30";"N31FRF",#N/A,FALSE,"NOTE31";"N32FRF",#N/A,FALSE,"NOTE32";"N33FRF",#N/A,FALSE,"NOTE33";"BILSOCFRF",#N/A,FALSE,"bilan soc";"RESSOCFRF",#N/A,FALSE,"PL soc";"cinqexFRF",#N/A,FALSE,"5ex"}</definedName>
    <definedName name="fafa" localSheetId="7" hidden="1">{#N/A,"francaisfrf",FALSE,"UNITE";"ACTFRF",#N/A,FALSE,"ACTIF";"PASFRF",#N/A,FALSE,"PASSIF";"RESFRF",#N/A,FALSE,"RESULTATS";"FPFRF",#N/A,FALSE,"FP";"N03FRF",#N/A,FALSE,"NOTE03";"N04FRF",#N/A,FALSE,"NOTE04";"N05FRF",#N/A,FALSE,"NOTE05";"N06FRF",#N/A,FALSE,"NOTE06";"N07FRF",#N/A,FALSE,"NOTE07";"N08FRF",#N/A,FALSE,"NOTE08";"N09FRF",#N/A,FALSE,"NOTE09";"N10FRF",#N/A,FALSE,"NOTE10";"N11FRF",#N/A,FALSE,"NOTE11";"N12FRF",#N/A,FALSE,"NOTE12";"N13FRF",#N/A,FALSE,"NOTE13";"N14FRF",#N/A,FALSE,"NOTE14";"N15FRF",#N/A,FALSE,"NOTE15";"N16FRF",#N/A,FALSE,"NOTE16";"N17FRF",#N/A,FALSE,"NOTE17";"N18FRF",#N/A,FALSE,"NOTE18";"N19FRF",#N/A,FALSE,"NOTE19";"N20FRF",#N/A,FALSE,"NOTE20";"N21FRF",#N/A,FALSE,"NOTE21";"N22FRF",#N/A,FALSE,"NOTE22";"N23FRF",#N/A,FALSE,"NOTE23";"N24FRF",#N/A,FALSE,"NOTE24";"N25FRF",#N/A,FALSE,"NOTE25";"N26FRF",#N/A,FALSE,"NOTE26";"N27FRF",#N/A,FALSE,"NOTE27";"N28FRF",#N/A,FALSE,"NOTE28";"N29FRF",#N/A,FALSE,"NOTE29";"N30FRF",#N/A,FALSE,"NOTE30";"N31FRF",#N/A,FALSE,"NOTE31";"N32FRF",#N/A,FALSE,"NOTE32";"N33FRF",#N/A,FALSE,"NOTE33";"BILSOCFRF",#N/A,FALSE,"bilan soc";"RESSOCFRF",#N/A,FALSE,"PL soc";"cinqexFRF",#N/A,FALSE,"5ex"}</definedName>
    <definedName name="fafa" localSheetId="8" hidden="1">{#N/A,"francaisfrf",FALSE,"UNITE";"ACTFRF",#N/A,FALSE,"ACTIF";"PASFRF",#N/A,FALSE,"PASSIF";"RESFRF",#N/A,FALSE,"RESULTATS";"FPFRF",#N/A,FALSE,"FP";"N03FRF",#N/A,FALSE,"NOTE03";"N04FRF",#N/A,FALSE,"NOTE04";"N05FRF",#N/A,FALSE,"NOTE05";"N06FRF",#N/A,FALSE,"NOTE06";"N07FRF",#N/A,FALSE,"NOTE07";"N08FRF",#N/A,FALSE,"NOTE08";"N09FRF",#N/A,FALSE,"NOTE09";"N10FRF",#N/A,FALSE,"NOTE10";"N11FRF",#N/A,FALSE,"NOTE11";"N12FRF",#N/A,FALSE,"NOTE12";"N13FRF",#N/A,FALSE,"NOTE13";"N14FRF",#N/A,FALSE,"NOTE14";"N15FRF",#N/A,FALSE,"NOTE15";"N16FRF",#N/A,FALSE,"NOTE16";"N17FRF",#N/A,FALSE,"NOTE17";"N18FRF",#N/A,FALSE,"NOTE18";"N19FRF",#N/A,FALSE,"NOTE19";"N20FRF",#N/A,FALSE,"NOTE20";"N21FRF",#N/A,FALSE,"NOTE21";"N22FRF",#N/A,FALSE,"NOTE22";"N23FRF",#N/A,FALSE,"NOTE23";"N24FRF",#N/A,FALSE,"NOTE24";"N25FRF",#N/A,FALSE,"NOTE25";"N26FRF",#N/A,FALSE,"NOTE26";"N27FRF",#N/A,FALSE,"NOTE27";"N28FRF",#N/A,FALSE,"NOTE28";"N29FRF",#N/A,FALSE,"NOTE29";"N30FRF",#N/A,FALSE,"NOTE30";"N31FRF",#N/A,FALSE,"NOTE31";"N32FRF",#N/A,FALSE,"NOTE32";"N33FRF",#N/A,FALSE,"NOTE33";"BILSOCFRF",#N/A,FALSE,"bilan soc";"RESSOCFRF",#N/A,FALSE,"PL soc";"cinqexFRF",#N/A,FALSE,"5ex"}</definedName>
    <definedName name="fafa" localSheetId="10" hidden="1">{#N/A,"francaisfrf",FALSE,"UNITE";"ACTFRF",#N/A,FALSE,"ACTIF";"PASFRF",#N/A,FALSE,"PASSIF";"RESFRF",#N/A,FALSE,"RESULTATS";"FPFRF",#N/A,FALSE,"FP";"N03FRF",#N/A,FALSE,"NOTE03";"N04FRF",#N/A,FALSE,"NOTE04";"N05FRF",#N/A,FALSE,"NOTE05";"N06FRF",#N/A,FALSE,"NOTE06";"N07FRF",#N/A,FALSE,"NOTE07";"N08FRF",#N/A,FALSE,"NOTE08";"N09FRF",#N/A,FALSE,"NOTE09";"N10FRF",#N/A,FALSE,"NOTE10";"N11FRF",#N/A,FALSE,"NOTE11";"N12FRF",#N/A,FALSE,"NOTE12";"N13FRF",#N/A,FALSE,"NOTE13";"N14FRF",#N/A,FALSE,"NOTE14";"N15FRF",#N/A,FALSE,"NOTE15";"N16FRF",#N/A,FALSE,"NOTE16";"N17FRF",#N/A,FALSE,"NOTE17";"N18FRF",#N/A,FALSE,"NOTE18";"N19FRF",#N/A,FALSE,"NOTE19";"N20FRF",#N/A,FALSE,"NOTE20";"N21FRF",#N/A,FALSE,"NOTE21";"N22FRF",#N/A,FALSE,"NOTE22";"N23FRF",#N/A,FALSE,"NOTE23";"N24FRF",#N/A,FALSE,"NOTE24";"N25FRF",#N/A,FALSE,"NOTE25";"N26FRF",#N/A,FALSE,"NOTE26";"N27FRF",#N/A,FALSE,"NOTE27";"N28FRF",#N/A,FALSE,"NOTE28";"N29FRF",#N/A,FALSE,"NOTE29";"N30FRF",#N/A,FALSE,"NOTE30";"N31FRF",#N/A,FALSE,"NOTE31";"N32FRF",#N/A,FALSE,"NOTE32";"N33FRF",#N/A,FALSE,"NOTE33";"BILSOCFRF",#N/A,FALSE,"bilan soc";"RESSOCFRF",#N/A,FALSE,"PL soc";"cinqexFRF",#N/A,FALSE,"5ex"}</definedName>
    <definedName name="fafa" hidden="1">{#N/A,"francaisfrf",FALSE,"UNITE";"ACTFRF",#N/A,FALSE,"ACTIF";"PASFRF",#N/A,FALSE,"PASSIF";"RESFRF",#N/A,FALSE,"RESULTATS";"FPFRF",#N/A,FALSE,"FP";"N03FRF",#N/A,FALSE,"NOTE03";"N04FRF",#N/A,FALSE,"NOTE04";"N05FRF",#N/A,FALSE,"NOTE05";"N06FRF",#N/A,FALSE,"NOTE06";"N07FRF",#N/A,FALSE,"NOTE07";"N08FRF",#N/A,FALSE,"NOTE08";"N09FRF",#N/A,FALSE,"NOTE09";"N10FRF",#N/A,FALSE,"NOTE10";"N11FRF",#N/A,FALSE,"NOTE11";"N12FRF",#N/A,FALSE,"NOTE12";"N13FRF",#N/A,FALSE,"NOTE13";"N14FRF",#N/A,FALSE,"NOTE14";"N15FRF",#N/A,FALSE,"NOTE15";"N16FRF",#N/A,FALSE,"NOTE16";"N17FRF",#N/A,FALSE,"NOTE17";"N18FRF",#N/A,FALSE,"NOTE18";"N19FRF",#N/A,FALSE,"NOTE19";"N20FRF",#N/A,FALSE,"NOTE20";"N21FRF",#N/A,FALSE,"NOTE21";"N22FRF",#N/A,FALSE,"NOTE22";"N23FRF",#N/A,FALSE,"NOTE23";"N24FRF",#N/A,FALSE,"NOTE24";"N25FRF",#N/A,FALSE,"NOTE25";"N26FRF",#N/A,FALSE,"NOTE26";"N27FRF",#N/A,FALSE,"NOTE27";"N28FRF",#N/A,FALSE,"NOTE28";"N29FRF",#N/A,FALSE,"NOTE29";"N30FRF",#N/A,FALSE,"NOTE30";"N31FRF",#N/A,FALSE,"NOTE31";"N32FRF",#N/A,FALSE,"NOTE32";"N33FRF",#N/A,FALSE,"NOTE33";"BILSOCFRF",#N/A,FALSE,"bilan soc";"RESSOCFRF",#N/A,FALSE,"PL soc";"cinqexFRF",#N/A,FALSE,"5ex"}</definedName>
    <definedName name="fafach" localSheetId="9" hidden="1">{#N/A,"francaisfrf",FALSE,"UNITE";"ACTFRF",#N/A,FALSE,"ACTIF";"PASFRF",#N/A,FALSE,"PASSIF";"RESFRF",#N/A,FALSE,"RESULTATS";"FPFRF",#N/A,FALSE,"FP";"N03FRF",#N/A,FALSE,"NOTE03";"N04FRF",#N/A,FALSE,"NOTE04";"N05FRF",#N/A,FALSE,"NOTE05";"N06FRF",#N/A,FALSE,"NOTE06";"N07FRF",#N/A,FALSE,"NOTE07";"N08FRF",#N/A,FALSE,"NOTE08";"N09FRF",#N/A,FALSE,"NOTE09";"N10FRF",#N/A,FALSE,"NOTE10";"N11FRF",#N/A,FALSE,"NOTE11";"N12FRF",#N/A,FALSE,"NOTE12";"N13FRF",#N/A,FALSE,"NOTE13";"N14FRF",#N/A,FALSE,"NOTE14";"N15FRF",#N/A,FALSE,"NOTE15";"N16FRF",#N/A,FALSE,"NOTE16";"N17FRF",#N/A,FALSE,"NOTE17";"N18FRF",#N/A,FALSE,"NOTE18";"N19FRF",#N/A,FALSE,"NOTE19";"N20FRF",#N/A,FALSE,"NOTE20";"N21FRF",#N/A,FALSE,"NOTE21";"N22FRF",#N/A,FALSE,"NOTE22";"N23FRF",#N/A,FALSE,"NOTE23";"N24FRF",#N/A,FALSE,"NOTE24";"N25FRF",#N/A,FALSE,"NOTE25";"N26FRF",#N/A,FALSE,"NOTE26";"N27FRF",#N/A,FALSE,"NOTE27";"N28FRF",#N/A,FALSE,"NOTE28";"N29FRF",#N/A,FALSE,"NOTE29";"N30FRF",#N/A,FALSE,"NOTE30";"N31FRF",#N/A,FALSE,"NOTE31";"N32FRF",#N/A,FALSE,"NOTE32";"N33FRF",#N/A,FALSE,"NOTE33";"BILSOCFRF",#N/A,FALSE,"bilan soc";"RESSOCFRF",#N/A,FALSE,"PL soc";"cinqexFRF",#N/A,FALSE,"5ex"}</definedName>
    <definedName name="fafach" localSheetId="12" hidden="1">{#N/A,"francaisfrf",FALSE,"UNITE";"ACTFRF",#N/A,FALSE,"ACTIF";"PASFRF",#N/A,FALSE,"PASSIF";"RESFRF",#N/A,FALSE,"RESULTATS";"FPFRF",#N/A,FALSE,"FP";"N03FRF",#N/A,FALSE,"NOTE03";"N04FRF",#N/A,FALSE,"NOTE04";"N05FRF",#N/A,FALSE,"NOTE05";"N06FRF",#N/A,FALSE,"NOTE06";"N07FRF",#N/A,FALSE,"NOTE07";"N08FRF",#N/A,FALSE,"NOTE08";"N09FRF",#N/A,FALSE,"NOTE09";"N10FRF",#N/A,FALSE,"NOTE10";"N11FRF",#N/A,FALSE,"NOTE11";"N12FRF",#N/A,FALSE,"NOTE12";"N13FRF",#N/A,FALSE,"NOTE13";"N14FRF",#N/A,FALSE,"NOTE14";"N15FRF",#N/A,FALSE,"NOTE15";"N16FRF",#N/A,FALSE,"NOTE16";"N17FRF",#N/A,FALSE,"NOTE17";"N18FRF",#N/A,FALSE,"NOTE18";"N19FRF",#N/A,FALSE,"NOTE19";"N20FRF",#N/A,FALSE,"NOTE20";"N21FRF",#N/A,FALSE,"NOTE21";"N22FRF",#N/A,FALSE,"NOTE22";"N23FRF",#N/A,FALSE,"NOTE23";"N24FRF",#N/A,FALSE,"NOTE24";"N25FRF",#N/A,FALSE,"NOTE25";"N26FRF",#N/A,FALSE,"NOTE26";"N27FRF",#N/A,FALSE,"NOTE27";"N28FRF",#N/A,FALSE,"NOTE28";"N29FRF",#N/A,FALSE,"NOTE29";"N30FRF",#N/A,FALSE,"NOTE30";"N31FRF",#N/A,FALSE,"NOTE31";"N32FRF",#N/A,FALSE,"NOTE32";"N33FRF",#N/A,FALSE,"NOTE33";"BILSOCFRF",#N/A,FALSE,"bilan soc";"RESSOCFRF",#N/A,FALSE,"PL soc";"cinqexFRF",#N/A,FALSE,"5ex"}</definedName>
    <definedName name="fafach" localSheetId="7" hidden="1">{#N/A,"francaisfrf",FALSE,"UNITE";"ACTFRF",#N/A,FALSE,"ACTIF";"PASFRF",#N/A,FALSE,"PASSIF";"RESFRF",#N/A,FALSE,"RESULTATS";"FPFRF",#N/A,FALSE,"FP";"N03FRF",#N/A,FALSE,"NOTE03";"N04FRF",#N/A,FALSE,"NOTE04";"N05FRF",#N/A,FALSE,"NOTE05";"N06FRF",#N/A,FALSE,"NOTE06";"N07FRF",#N/A,FALSE,"NOTE07";"N08FRF",#N/A,FALSE,"NOTE08";"N09FRF",#N/A,FALSE,"NOTE09";"N10FRF",#N/A,FALSE,"NOTE10";"N11FRF",#N/A,FALSE,"NOTE11";"N12FRF",#N/A,FALSE,"NOTE12";"N13FRF",#N/A,FALSE,"NOTE13";"N14FRF",#N/A,FALSE,"NOTE14";"N15FRF",#N/A,FALSE,"NOTE15";"N16FRF",#N/A,FALSE,"NOTE16";"N17FRF",#N/A,FALSE,"NOTE17";"N18FRF",#N/A,FALSE,"NOTE18";"N19FRF",#N/A,FALSE,"NOTE19";"N20FRF",#N/A,FALSE,"NOTE20";"N21FRF",#N/A,FALSE,"NOTE21";"N22FRF",#N/A,FALSE,"NOTE22";"N23FRF",#N/A,FALSE,"NOTE23";"N24FRF",#N/A,FALSE,"NOTE24";"N25FRF",#N/A,FALSE,"NOTE25";"N26FRF",#N/A,FALSE,"NOTE26";"N27FRF",#N/A,FALSE,"NOTE27";"N28FRF",#N/A,FALSE,"NOTE28";"N29FRF",#N/A,FALSE,"NOTE29";"N30FRF",#N/A,FALSE,"NOTE30";"N31FRF",#N/A,FALSE,"NOTE31";"N32FRF",#N/A,FALSE,"NOTE32";"N33FRF",#N/A,FALSE,"NOTE33";"BILSOCFRF",#N/A,FALSE,"bilan soc";"RESSOCFRF",#N/A,FALSE,"PL soc";"cinqexFRF",#N/A,FALSE,"5ex"}</definedName>
    <definedName name="fafach" localSheetId="8" hidden="1">{#N/A,"francaisfrf",FALSE,"UNITE";"ACTFRF",#N/A,FALSE,"ACTIF";"PASFRF",#N/A,FALSE,"PASSIF";"RESFRF",#N/A,FALSE,"RESULTATS";"FPFRF",#N/A,FALSE,"FP";"N03FRF",#N/A,FALSE,"NOTE03";"N04FRF",#N/A,FALSE,"NOTE04";"N05FRF",#N/A,FALSE,"NOTE05";"N06FRF",#N/A,FALSE,"NOTE06";"N07FRF",#N/A,FALSE,"NOTE07";"N08FRF",#N/A,FALSE,"NOTE08";"N09FRF",#N/A,FALSE,"NOTE09";"N10FRF",#N/A,FALSE,"NOTE10";"N11FRF",#N/A,FALSE,"NOTE11";"N12FRF",#N/A,FALSE,"NOTE12";"N13FRF",#N/A,FALSE,"NOTE13";"N14FRF",#N/A,FALSE,"NOTE14";"N15FRF",#N/A,FALSE,"NOTE15";"N16FRF",#N/A,FALSE,"NOTE16";"N17FRF",#N/A,FALSE,"NOTE17";"N18FRF",#N/A,FALSE,"NOTE18";"N19FRF",#N/A,FALSE,"NOTE19";"N20FRF",#N/A,FALSE,"NOTE20";"N21FRF",#N/A,FALSE,"NOTE21";"N22FRF",#N/A,FALSE,"NOTE22";"N23FRF",#N/A,FALSE,"NOTE23";"N24FRF",#N/A,FALSE,"NOTE24";"N25FRF",#N/A,FALSE,"NOTE25";"N26FRF",#N/A,FALSE,"NOTE26";"N27FRF",#N/A,FALSE,"NOTE27";"N28FRF",#N/A,FALSE,"NOTE28";"N29FRF",#N/A,FALSE,"NOTE29";"N30FRF",#N/A,FALSE,"NOTE30";"N31FRF",#N/A,FALSE,"NOTE31";"N32FRF",#N/A,FALSE,"NOTE32";"N33FRF",#N/A,FALSE,"NOTE33";"BILSOCFRF",#N/A,FALSE,"bilan soc";"RESSOCFRF",#N/A,FALSE,"PL soc";"cinqexFRF",#N/A,FALSE,"5ex"}</definedName>
    <definedName name="fafach" localSheetId="10" hidden="1">{#N/A,"francaisfrf",FALSE,"UNITE";"ACTFRF",#N/A,FALSE,"ACTIF";"PASFRF",#N/A,FALSE,"PASSIF";"RESFRF",#N/A,FALSE,"RESULTATS";"FPFRF",#N/A,FALSE,"FP";"N03FRF",#N/A,FALSE,"NOTE03";"N04FRF",#N/A,FALSE,"NOTE04";"N05FRF",#N/A,FALSE,"NOTE05";"N06FRF",#N/A,FALSE,"NOTE06";"N07FRF",#N/A,FALSE,"NOTE07";"N08FRF",#N/A,FALSE,"NOTE08";"N09FRF",#N/A,FALSE,"NOTE09";"N10FRF",#N/A,FALSE,"NOTE10";"N11FRF",#N/A,FALSE,"NOTE11";"N12FRF",#N/A,FALSE,"NOTE12";"N13FRF",#N/A,FALSE,"NOTE13";"N14FRF",#N/A,FALSE,"NOTE14";"N15FRF",#N/A,FALSE,"NOTE15";"N16FRF",#N/A,FALSE,"NOTE16";"N17FRF",#N/A,FALSE,"NOTE17";"N18FRF",#N/A,FALSE,"NOTE18";"N19FRF",#N/A,FALSE,"NOTE19";"N20FRF",#N/A,FALSE,"NOTE20";"N21FRF",#N/A,FALSE,"NOTE21";"N22FRF",#N/A,FALSE,"NOTE22";"N23FRF",#N/A,FALSE,"NOTE23";"N24FRF",#N/A,FALSE,"NOTE24";"N25FRF",#N/A,FALSE,"NOTE25";"N26FRF",#N/A,FALSE,"NOTE26";"N27FRF",#N/A,FALSE,"NOTE27";"N28FRF",#N/A,FALSE,"NOTE28";"N29FRF",#N/A,FALSE,"NOTE29";"N30FRF",#N/A,FALSE,"NOTE30";"N31FRF",#N/A,FALSE,"NOTE31";"N32FRF",#N/A,FALSE,"NOTE32";"N33FRF",#N/A,FALSE,"NOTE33";"BILSOCFRF",#N/A,FALSE,"bilan soc";"RESSOCFRF",#N/A,FALSE,"PL soc";"cinqexFRF",#N/A,FALSE,"5ex"}</definedName>
    <definedName name="fafach" hidden="1">{#N/A,"francaisfrf",FALSE,"UNITE";"ACTFRF",#N/A,FALSE,"ACTIF";"PASFRF",#N/A,FALSE,"PASSIF";"RESFRF",#N/A,FALSE,"RESULTATS";"FPFRF",#N/A,FALSE,"FP";"N03FRF",#N/A,FALSE,"NOTE03";"N04FRF",#N/A,FALSE,"NOTE04";"N05FRF",#N/A,FALSE,"NOTE05";"N06FRF",#N/A,FALSE,"NOTE06";"N07FRF",#N/A,FALSE,"NOTE07";"N08FRF",#N/A,FALSE,"NOTE08";"N09FRF",#N/A,FALSE,"NOTE09";"N10FRF",#N/A,FALSE,"NOTE10";"N11FRF",#N/A,FALSE,"NOTE11";"N12FRF",#N/A,FALSE,"NOTE12";"N13FRF",#N/A,FALSE,"NOTE13";"N14FRF",#N/A,FALSE,"NOTE14";"N15FRF",#N/A,FALSE,"NOTE15";"N16FRF",#N/A,FALSE,"NOTE16";"N17FRF",#N/A,FALSE,"NOTE17";"N18FRF",#N/A,FALSE,"NOTE18";"N19FRF",#N/A,FALSE,"NOTE19";"N20FRF",#N/A,FALSE,"NOTE20";"N21FRF",#N/A,FALSE,"NOTE21";"N22FRF",#N/A,FALSE,"NOTE22";"N23FRF",#N/A,FALSE,"NOTE23";"N24FRF",#N/A,FALSE,"NOTE24";"N25FRF",#N/A,FALSE,"NOTE25";"N26FRF",#N/A,FALSE,"NOTE26";"N27FRF",#N/A,FALSE,"NOTE27";"N28FRF",#N/A,FALSE,"NOTE28";"N29FRF",#N/A,FALSE,"NOTE29";"N30FRF",#N/A,FALSE,"NOTE30";"N31FRF",#N/A,FALSE,"NOTE31";"N32FRF",#N/A,FALSE,"NOTE32";"N33FRF",#N/A,FALSE,"NOTE33";"BILSOCFRF",#N/A,FALSE,"bilan soc";"RESSOCFRF",#N/A,FALSE,"PL soc";"cinqexFRF",#N/A,FALSE,"5ex"}</definedName>
    <definedName name="fbhn">[24]BALANCE!$G$2:$G$549</definedName>
    <definedName name="FCHANGE" localSheetId="5">#REF!</definedName>
    <definedName name="FCHANGE">#REF!</definedName>
    <definedName name="FDSPROPRES">#N/A</definedName>
    <definedName name="FDSPROV">#N/A</definedName>
    <definedName name="ff">[25]BALANCE!$G$2:$G$563</definedName>
    <definedName name="ffff" localSheetId="5" hidden="1">#REF!</definedName>
    <definedName name="ffff" localSheetId="12" hidden="1">#REF!</definedName>
    <definedName name="ffff" hidden="1">#REF!</definedName>
    <definedName name="FFFFFF">[26]BALANCE!$B$2:$B$573</definedName>
    <definedName name="FFFFFFFFFFFFFF">[27]PART!$C$2:$C$104</definedName>
    <definedName name="FGACQUISITION" localSheetId="5">#REF!</definedName>
    <definedName name="FGACQUISITION">#REF!</definedName>
    <definedName name="FGADMINISTRATION" localSheetId="5">#REF!</definedName>
    <definedName name="FGADMINISTRATION">#REF!</definedName>
    <definedName name="FGAUTCHTECH" localSheetId="5">#REF!</definedName>
    <definedName name="FGAUTCHTECH">#REF!</definedName>
    <definedName name="fgfgfgf" localSheetId="5" hidden="1">#REF!</definedName>
    <definedName name="fgfgfgf" localSheetId="12" hidden="1">#REF!</definedName>
    <definedName name="fgfgfgf" hidden="1">#REF!</definedName>
    <definedName name="fghgfhfg" hidden="1">{"résultats",#N/A,FALSE,"résultats SFS";"indicateurs",#N/A,FALSE,"résultats SFS";"commentaires",#N/A,FALSE,"commentaires SFS";"graphiques",#N/A,FALSE,"graphiques SFS"}</definedName>
    <definedName name="FGPRODFI" localSheetId="5">#REF!</definedName>
    <definedName name="FGPRODFI">#REF!</definedName>
    <definedName name="FGSINISTRES" localSheetId="5">#REF!</definedName>
    <definedName name="FGSINISTRES">#REF!</definedName>
    <definedName name="_xlnm.Recorder" localSheetId="5">#REF!</definedName>
    <definedName name="_xlnm.Recorder">#REF!</definedName>
    <definedName name="FPACTION" localSheetId="5">#REF!</definedName>
    <definedName name="FPACTION">#REF!</definedName>
    <definedName name="FPIMMB" localSheetId="5">#REF!</definedName>
    <definedName name="FPIMMB">#REF!</definedName>
    <definedName name="FPOBL" localSheetId="5">#REF!</definedName>
    <definedName name="FPOBL">#REF!</definedName>
    <definedName name="FPOBLCONV" localSheetId="5">#REF!</definedName>
    <definedName name="FPOBLCONV">#REF!</definedName>
    <definedName name="FPOBLIDEX" localSheetId="5">#REF!</definedName>
    <definedName name="FPOBLIDEX">#REF!</definedName>
    <definedName name="FPOBLOPCVM" localSheetId="5">#REF!</definedName>
    <definedName name="FPOBLOPCVM">#REF!</definedName>
    <definedName name="FPOBLTFIX" localSheetId="5">#REF!</definedName>
    <definedName name="FPOBLTFIX">#REF!</definedName>
    <definedName name="FPOBLTOT" localSheetId="5">#REF!</definedName>
    <definedName name="FPOBLTOT">#REF!</definedName>
    <definedName name="FPOBLTVAR" localSheetId="5">#REF!</definedName>
    <definedName name="FPOBLTVAR">#REF!</definedName>
    <definedName name="FPOPCVMONE" localSheetId="5">#REF!</definedName>
    <definedName name="FPOPCVMONE">#REF!</definedName>
    <definedName name="FPPRETCPT" localSheetId="5">#REF!</definedName>
    <definedName name="FPPRETCPT">#REF!</definedName>
    <definedName name="FPTCNPOST" localSheetId="5">#REF!</definedName>
    <definedName name="FPTCNPOST">#REF!</definedName>
    <definedName name="FPTCNPRE" localSheetId="5">#REF!</definedName>
    <definedName name="FPTCNPRE">#REF!</definedName>
    <definedName name="FQFCW">[26]BALANCE!$G$2:$G$573</definedName>
    <definedName name="FRACTION" localSheetId="5">#REF!</definedName>
    <definedName name="FRACTION">#REF!</definedName>
    <definedName name="FRBG" localSheetId="5">#REF!</definedName>
    <definedName name="FRBG">#REF!</definedName>
    <definedName name="FRCHARGES" localSheetId="5">#REF!</definedName>
    <definedName name="FRCHARGES">#REF!</definedName>
    <definedName name="FRIMMB" localSheetId="5">#REF!</definedName>
    <definedName name="FRIMMB">#REF!</definedName>
    <definedName name="FROBL" localSheetId="5">#REF!</definedName>
    <definedName name="FROBL">#REF!</definedName>
    <definedName name="FROBLCONV" localSheetId="5">#REF!</definedName>
    <definedName name="FROBLCONV">#REF!</definedName>
    <definedName name="FROBLIDEX" localSheetId="5">#REF!</definedName>
    <definedName name="FROBLIDEX">#REF!</definedName>
    <definedName name="FROBLOPCVM" localSheetId="5">#REF!</definedName>
    <definedName name="FROBLOPCVM">#REF!</definedName>
    <definedName name="FROBLTFIX" localSheetId="5">#REF!</definedName>
    <definedName name="FROBLTFIX">#REF!</definedName>
    <definedName name="FROBLTVAR" localSheetId="5">#REF!</definedName>
    <definedName name="FROBLTVAR">#REF!</definedName>
    <definedName name="FROPCVMONE" localSheetId="5">#REF!</definedName>
    <definedName name="FROPCVMONE">#REF!</definedName>
    <definedName name="FRPRETCPT" localSheetId="5">#REF!</definedName>
    <definedName name="FRPRETCPT">#REF!</definedName>
    <definedName name="FRS" localSheetId="5">[6]EXPERTISE!#REF!</definedName>
    <definedName name="FRS">[6]EXPERTISE!#REF!</definedName>
    <definedName name="FRTCNPOST" localSheetId="5">#REF!</definedName>
    <definedName name="FRTCNPOST">#REF!</definedName>
    <definedName name="FRTCNPRE" localSheetId="5">#REF!</definedName>
    <definedName name="FRTCNPRE">#REF!</definedName>
    <definedName name="FSIMM" localSheetId="5">#REF!</definedName>
    <definedName name="FSIMM">#REF!</definedName>
    <definedName name="FSOBL" localSheetId="5">#REF!</definedName>
    <definedName name="FSOBL">#REF!</definedName>
    <definedName name="FSOBL2" localSheetId="5">#REF!</definedName>
    <definedName name="FSOBL2">#REF!</definedName>
    <definedName name="FSOBLCONV" localSheetId="5">#REF!</definedName>
    <definedName name="FSOBLCONV">#REF!</definedName>
    <definedName name="FSOBLIDEX" localSheetId="5">#REF!</definedName>
    <definedName name="FSOBLIDEX">#REF!</definedName>
    <definedName name="FSOBLTFIX" localSheetId="5">#REF!</definedName>
    <definedName name="FSOBLTFIX">#REF!</definedName>
    <definedName name="FSOBLTVAR" localSheetId="5">#REF!</definedName>
    <definedName name="FSOBLTVAR">#REF!</definedName>
    <definedName name="FSTCNPOST" localSheetId="5">#REF!</definedName>
    <definedName name="FSTCNPOST">#REF!</definedName>
    <definedName name="FVARCAPI" localSheetId="5">#REF!</definedName>
    <definedName name="FVARCAPI">#REF!</definedName>
    <definedName name="g" hidden="1">{#N/A,#N/A,TRUE,"COFTOT"}</definedName>
    <definedName name="g_1" hidden="1">{#N/A,#N/A,TRUE,"COFTOT"}</definedName>
    <definedName name="G_301" localSheetId="5">#REF!</definedName>
    <definedName name="G_301">#REF!</definedName>
    <definedName name="gg">[25]BALANCE!$B$2:$B$563</definedName>
    <definedName name="gg_1" hidden="1">{#N/A,#N/A,TRUE,"COFTOT"}</definedName>
    <definedName name="ggg">[28]EXPERTISE!$I$2:$I$113</definedName>
    <definedName name="GGGGGGGGGG">[26]EXPERTISE!$C$2:$C$122</definedName>
    <definedName name="gggggggggggggggg">[25]BALANCE!$C$2:$C$563</definedName>
    <definedName name="ghghj" localSheetId="5" hidden="1">#REF!</definedName>
    <definedName name="ghghj" localSheetId="12" hidden="1">#REF!</definedName>
    <definedName name="ghghj" hidden="1">#REF!</definedName>
    <definedName name="gilou" localSheetId="5">#REF!</definedName>
    <definedName name="gilou">#REF!</definedName>
    <definedName name="h" hidden="1">{#N/A,#N/A,TRUE,"COFTOT"}</definedName>
    <definedName name="h_1" hidden="1">{#N/A,#N/A,TRUE,"COFTOT"}</definedName>
    <definedName name="hgghhj" localSheetId="5" hidden="1">#REF!</definedName>
    <definedName name="hgghhj" localSheetId="12" hidden="1">#REF!</definedName>
    <definedName name="hgghhj" hidden="1">#REF!</definedName>
    <definedName name="hghgdqs" localSheetId="5" hidden="1">#REF!</definedName>
    <definedName name="hghgdqs" localSheetId="12" hidden="1">#REF!</definedName>
    <definedName name="hghgdqs" hidden="1">#REF!</definedName>
    <definedName name="hh" hidden="1">{#N/A,#N/A,TRUE,"COFTOT"}</definedName>
    <definedName name="hh_1" hidden="1">{#N/A,#N/A,TRUE,"COFTOT"}</definedName>
    <definedName name="HHHHHH" localSheetId="5">[26]EXPERTISE!#REF!</definedName>
    <definedName name="HHHHHH">[26]EXPERTISE!#REF!</definedName>
    <definedName name="HTM_RECLT">[5]DETCONSO!$BQ$386</definedName>
    <definedName name="HTML_CodePage" hidden="1">1252</definedName>
    <definedName name="HTML_Description" hidden="1">""</definedName>
    <definedName name="HTML_Email" hidden="1">""</definedName>
    <definedName name="HTML_Header" hidden="1">"IPM Var Anual %"</definedName>
    <definedName name="HTML_LastUpdate" hidden="1">"24/05/2001"</definedName>
    <definedName name="HTML_LineAfter" hidden="1">FALSE</definedName>
    <definedName name="HTML_LineBefore" hidden="1">FALSE</definedName>
    <definedName name="HTML_Name" hidden="1">"Iga"</definedName>
    <definedName name="HTML_OBDlg2" hidden="1">TRUE</definedName>
    <definedName name="HTML_OBDlg4" hidden="1">TRUE</definedName>
    <definedName name="HTML_OS" hidden="1">0</definedName>
    <definedName name="HTML_PathFile" hidden="1">"C:\Mis documentos\anexo internacional mayo 2001\20  tasas de inflación mayoista.htm"</definedName>
    <definedName name="HTML_Title" hidden="1">"anexoint"</definedName>
    <definedName name="IAM_2001" localSheetId="5">#REF!</definedName>
    <definedName name="IAM_2001">#REF!</definedName>
    <definedName name="iamds">#N/A</definedName>
    <definedName name="IAMFDSPROPRES">#N/A</definedName>
    <definedName name="IAMFDSPROV">#N/A</definedName>
    <definedName name="IAMIMMO" localSheetId="5">[29]Placements!#REF!</definedName>
    <definedName name="IAMIMMO">[29]Placements!#REF!</definedName>
    <definedName name="IAMIMMO1" localSheetId="5">[29]Placements!#REF!</definedName>
    <definedName name="IAMIMMO1">[29]Placements!#REF!</definedName>
    <definedName name="IAMIMMO2" localSheetId="5">[29]Placements!#REF!</definedName>
    <definedName name="IAMIMMO2">[29]Placements!#REF!</definedName>
    <definedName name="IAMMEQ" localSheetId="5">[29]Placements!#REF!</definedName>
    <definedName name="IAMMEQ">[29]Placements!#REF!</definedName>
    <definedName name="IAMMEQ1" localSheetId="5">[29]Placements!#REF!</definedName>
    <definedName name="IAMMEQ1">[29]Placements!#REF!</definedName>
    <definedName name="IAMMEQ2" localSheetId="5">[29]Placements!#REF!</definedName>
    <definedName name="IAMMEQ2">[29]Placements!#REF!</definedName>
    <definedName name="IAMPRODFI" localSheetId="5">#REF!+#REF!</definedName>
    <definedName name="IAMPRODFI">#REF!+#REF!</definedName>
    <definedName name="IAMVMOB" localSheetId="5">[29]Placements!#REF!</definedName>
    <definedName name="IAMVMOB">[29]Placements!#REF!</definedName>
    <definedName name="IAMVMOB1" localSheetId="5">[29]Placements!#REF!</definedName>
    <definedName name="IAMVMOB1">[29]Placements!#REF!</definedName>
    <definedName name="IAMVMOB2" localSheetId="5">[29]Placements!#REF!</definedName>
    <definedName name="IAMVMOB2">[29]Placements!#REF!</definedName>
    <definedName name="IC" localSheetId="5">#REF!</definedName>
    <definedName name="IC">#REF!</definedName>
    <definedName name="ICINCORP" localSheetId="5">#REF!</definedName>
    <definedName name="ICINCORP">#REF!</definedName>
    <definedName name="ICPREST" localSheetId="5">#REF!</definedName>
    <definedName name="ICPREST">#REF!</definedName>
    <definedName name="iddemerdeactif" localSheetId="5">#REF!</definedName>
    <definedName name="iddemerdeactif">#REF!</definedName>
    <definedName name="IFRS_A3F5">[5]DETCONSO!$BQ$635</definedName>
    <definedName name="IFRS_A7A1">[5]DETCONSO!$BQ$1569</definedName>
    <definedName name="IFRS_A7A2">[5]DETCONSO!$BQ$1585</definedName>
    <definedName name="IFRS_A7A3">[5]DETCONSO!$BQ$1597</definedName>
    <definedName name="IFRS_A7A4">[5]DETCONSO!$BQ$1602</definedName>
    <definedName name="IFRS_A7A5">[5]DETCONSO!$BQ$1608</definedName>
    <definedName name="IFRS_A7A5BIS">[5]DETCONSO!$BQ$1617</definedName>
    <definedName name="IFRS_A7A6">[5]DETCONSO!$BQ$1633</definedName>
    <definedName name="IFRS_AFS">[5]DETCONSO!$BQ$456</definedName>
    <definedName name="IFRS_AMT_PORTEFEUILLE">[5]DETCONSO!$BQ$32</definedName>
    <definedName name="IFRS_B1C10">[5]DETCONSO!$BQ$1957</definedName>
    <definedName name="IFRS_B1C11">[5]DETCONSO!$BQ$1959</definedName>
    <definedName name="IFRS_B1C12">[5]DETCONSO!$BQ$1982</definedName>
    <definedName name="IFRS_B1C13">[5]DETCONSO!$BQ$1987</definedName>
    <definedName name="IFRS_B1C14">[5]DETCONSO!$BQ$1996</definedName>
    <definedName name="IFRS_B1C15">[5]DETCONSO!$BQ$2000</definedName>
    <definedName name="IFRS_B1C16">[5]DETCONSO!$BQ$2002</definedName>
    <definedName name="IFRS_B1C17">[5]DETCONSO!$BQ$2005</definedName>
    <definedName name="IFRS_B1C18">[5]DETCONSO!$BQ$2007</definedName>
    <definedName name="IFRS_B1D311" localSheetId="5">[5]DETCONSO!#REF!</definedName>
    <definedName name="IFRS_B1D311">[5]DETCONSO!#REF!</definedName>
    <definedName name="IFRS_B1D312" localSheetId="5">[5]DETCONSO!#REF!</definedName>
    <definedName name="IFRS_B1D312">[5]DETCONSO!#REF!</definedName>
    <definedName name="IFRS_B1D313" localSheetId="5">[5]DETCONSO!#REF!</definedName>
    <definedName name="IFRS_B1D313">[5]DETCONSO!#REF!</definedName>
    <definedName name="IFRS_B1D314" localSheetId="5">[5]DETCONSO!#REF!</definedName>
    <definedName name="IFRS_B1D314">[5]DETCONSO!#REF!</definedName>
    <definedName name="IFRS_B1D315" localSheetId="5">[5]DETCONSO!#REF!</definedName>
    <definedName name="IFRS_B1D315">[5]DETCONSO!#REF!</definedName>
    <definedName name="IFRS_B1D316" localSheetId="5">[5]DETCONSO!#REF!</definedName>
    <definedName name="IFRS_B1D316">[5]DETCONSO!#REF!</definedName>
    <definedName name="IFRS_B1D317" localSheetId="5">[5]DETCONSO!#REF!</definedName>
    <definedName name="IFRS_B1D317">[5]DETCONSO!#REF!</definedName>
    <definedName name="IFRS_B1D318" localSheetId="5">[5]DETCONSO!#REF!</definedName>
    <definedName name="IFRS_B1D318">[5]DETCONSO!#REF!</definedName>
    <definedName name="IFRS_B1D319" localSheetId="5">[5]DETCONSO!#REF!</definedName>
    <definedName name="IFRS_B1D319">[5]DETCONSO!#REF!</definedName>
    <definedName name="IFRS_B1D320" localSheetId="5">[5]DETCONSO!#REF!</definedName>
    <definedName name="IFRS_B1D320">[5]DETCONSO!#REF!</definedName>
    <definedName name="IFRS_B1D321" localSheetId="5">[5]DETCONSO!#REF!</definedName>
    <definedName name="IFRS_B1D321">[5]DETCONSO!#REF!</definedName>
    <definedName name="IFRS_B1D322" localSheetId="5">[5]DETCONSO!#REF!</definedName>
    <definedName name="IFRS_B1D322">[5]DETCONSO!#REF!</definedName>
    <definedName name="IFRS_B1D323" localSheetId="5">[5]DETCONSO!#REF!</definedName>
    <definedName name="IFRS_B1D323">[5]DETCONSO!#REF!</definedName>
    <definedName name="IFRS_B1D324" localSheetId="5">[5]DETCONSO!#REF!</definedName>
    <definedName name="IFRS_B1D324">[5]DETCONSO!#REF!</definedName>
    <definedName name="IFRS_B1D325" localSheetId="5">[5]DETCONSO!#REF!</definedName>
    <definedName name="IFRS_B1D325">[5]DETCONSO!#REF!</definedName>
    <definedName name="IFRS_B1D326" localSheetId="5">[5]DETCONSO!#REF!</definedName>
    <definedName name="IFRS_B1D326">[5]DETCONSO!#REF!</definedName>
    <definedName name="IFRS_B1D327" localSheetId="5">[5]DETCONSO!#REF!</definedName>
    <definedName name="IFRS_B1D327">[5]DETCONSO!#REF!</definedName>
    <definedName name="IFRS_B1D328" localSheetId="5">[5]DETCONSO!#REF!</definedName>
    <definedName name="IFRS_B1D328">[5]DETCONSO!#REF!</definedName>
    <definedName name="IFRS_B1D329" localSheetId="5">[5]DETCONSO!#REF!</definedName>
    <definedName name="IFRS_B1D329">[5]DETCONSO!#REF!</definedName>
    <definedName name="IFRS_B1D330" localSheetId="5">[5]DETCONSO!#REF!</definedName>
    <definedName name="IFRS_B1D330">[5]DETCONSO!#REF!</definedName>
    <definedName name="IFRS_B1D331" localSheetId="5">[5]DETCONSO!#REF!</definedName>
    <definedName name="IFRS_B1D331">[5]DETCONSO!#REF!</definedName>
    <definedName name="IFRS_B1D332" localSheetId="5">[5]DETCONSO!#REF!</definedName>
    <definedName name="IFRS_B1D332">[5]DETCONSO!#REF!</definedName>
    <definedName name="IFRS_B1D333" localSheetId="5">[5]DETCONSO!#REF!</definedName>
    <definedName name="IFRS_B1D333">[5]DETCONSO!#REF!</definedName>
    <definedName name="IFRS_B1D334" localSheetId="5">[5]DETCONSO!#REF!</definedName>
    <definedName name="IFRS_B1D334">[5]DETCONSO!#REF!</definedName>
    <definedName name="IFRS_B1D335" localSheetId="5">[5]DETCONSO!#REF!</definedName>
    <definedName name="IFRS_B1D335">[5]DETCONSO!#REF!</definedName>
    <definedName name="IFRS_B1D336" localSheetId="5">[5]DETCONSO!#REF!</definedName>
    <definedName name="IFRS_B1D336">[5]DETCONSO!#REF!</definedName>
    <definedName name="IFRS_B1D337" localSheetId="5">[5]DETCONSO!#REF!</definedName>
    <definedName name="IFRS_B1D337">[5]DETCONSO!#REF!</definedName>
    <definedName name="IFRS_B1D338" localSheetId="5">[5]DETCONSO!#REF!</definedName>
    <definedName name="IFRS_B1D338">[5]DETCONSO!#REF!</definedName>
    <definedName name="IFRS_B1D339" localSheetId="5">[5]DETCONSO!#REF!</definedName>
    <definedName name="IFRS_B1D339">[5]DETCONSO!#REF!</definedName>
    <definedName name="IFRS_B1D340" localSheetId="5">[5]DETCONSO!#REF!</definedName>
    <definedName name="IFRS_B1D340">[5]DETCONSO!#REF!</definedName>
    <definedName name="IFRS_BRUT_PORTEFEUILLE">[5]DETCONSO!$BQ$29</definedName>
    <definedName name="IFRS_TRA">[5]DETCONSO!$BQ$690</definedName>
    <definedName name="ifrsa2a">[5]DETCONSO!$BQ$15</definedName>
    <definedName name="ifrsa2c">[5]DETCONSO!$BQ$28</definedName>
    <definedName name="ifrsa2d">[5]DETCONSO!$BQ$35</definedName>
    <definedName name="ifrsa3a">[5]DETCONSO!$BQ$52</definedName>
    <definedName name="ifrsa3b">[5]DETCONSO!$BQ$385</definedName>
    <definedName name="ifrsa3c">[5]DETCONSO!$BQ$454</definedName>
    <definedName name="ifrsa3d">[5]DETCONSO!$BQ$633</definedName>
    <definedName name="IFRSA3E">[5]DETCONSO!$BQ$854</definedName>
    <definedName name="IFRSA3F">[5]DETCONSO!$BQ$879</definedName>
    <definedName name="ifrsa3g">[5]DETCONSO!$BQ$614</definedName>
    <definedName name="IFRSA3H" localSheetId="5">#REF!</definedName>
    <definedName name="IFRSA3H">#REF!</definedName>
    <definedName name="IFRSA4">[5]DETCONSO!$BQ$959</definedName>
    <definedName name="IFRSA5">[5]DETCONSO!$BQ$961</definedName>
    <definedName name="IFRSA6">[5]DETCONSO!$BQ$996</definedName>
    <definedName name="IFRSA6A">[5]DETCONSO!$BQ$997</definedName>
    <definedName name="IFRSA6B">[5]DETCONSO!$BQ$1057</definedName>
    <definedName name="IFRSA6C">[5]DETCONSO!$BQ$1089</definedName>
    <definedName name="IFRSA6E">[5]DETCONSO!$BQ$1075</definedName>
    <definedName name="IFRSA6F">[5]DETCONSO!$BQ$1076</definedName>
    <definedName name="IFRSA7A">[5]DETCONSO!$BQ$1568</definedName>
    <definedName name="IFRSA7D">[5]DETCONSO!$BQ$1661</definedName>
    <definedName name="IFRSA7E">[5]DETCONSO!$BQ$1684</definedName>
    <definedName name="IFRSA7F">[5]DETCONSO!$BQ$2472</definedName>
    <definedName name="IFRSA8">[5]DETCONSO!$BQ$1929</definedName>
    <definedName name="IFRSA9">[5]DETCONSO!$BQ$1686</definedName>
    <definedName name="ifrsb1a">[5]DETCONSO!$BQ$1935</definedName>
    <definedName name="ifrsb1b">[5]DETCONSO!$BQ$1948</definedName>
    <definedName name="IFRSB1C">[5]DETCONSO!$BQ$1955</definedName>
    <definedName name="IFRSB1D">[5]DETCONSO!$BQ$2009</definedName>
    <definedName name="IFRSB1D1" localSheetId="5">#REF!</definedName>
    <definedName name="IFRSB1D1">#REF!</definedName>
    <definedName name="IFRSB1D2" localSheetId="5">#REF!</definedName>
    <definedName name="IFRSB1D2">#REF!</definedName>
    <definedName name="IFRSB1D3" localSheetId="5">#REF!</definedName>
    <definedName name="IFRSB1D3">#REF!</definedName>
    <definedName name="IFRSB1F">[5]DETCONSO!$BQ$2195</definedName>
    <definedName name="IFRSB1G">[5]DETCONSO!$BQ$2139</definedName>
    <definedName name="IFRSB1GF" localSheetId="5">#REF!</definedName>
    <definedName name="IFRSB1GF">#REF!</definedName>
    <definedName name="IFRSB1H">[5]DETCONSO!$BQ$2205</definedName>
    <definedName name="IFRSB1I">[5]DETCONSO!$BQ$2218</definedName>
    <definedName name="IFRSB1J" localSheetId="5">#REF!</definedName>
    <definedName name="IFRSB1J">#REF!</definedName>
    <definedName name="IFRSB2A">[5]DETCONSO!$BQ$2234</definedName>
    <definedName name="IFRSB2B">[5]DETCONSO!$BQ$2240</definedName>
    <definedName name="IFRSB2C">[5]DETCONSO!$BQ$2241</definedName>
    <definedName name="IFRSB2D">[5]DETCONSO!$BQ$2242</definedName>
    <definedName name="IFRSB31A">[5]DETCONSO!$BQ$2244</definedName>
    <definedName name="IFRSB31B">[5]DETCONSO!$BQ$2397</definedName>
    <definedName name="IFRSB32">[5]DETCONSO!$BQ$2401</definedName>
    <definedName name="IFRSB34">[5]DETCONSO!$BQ$2367</definedName>
    <definedName name="IFRSB35">[5]DETCONSO!$BQ$2368</definedName>
    <definedName name="IFRSB4">[5]DETCONSO!$BQ$2445</definedName>
    <definedName name="IFRSB6A">[5]DETCONSO!$BQ$2595</definedName>
    <definedName name="IFRSB6B">[5]DETCONSO!$BQ$2622</definedName>
    <definedName name="IFRSB6C">[5]DETCONSO!$BQ$2598</definedName>
    <definedName name="IFRSB7A">[5]DETCONSO!$BQ$2620</definedName>
    <definedName name="ifrsb7b">[5]DETCONSO!$BQ$2618</definedName>
    <definedName name="IFRSB7C">[5]DETCONSO!$BQ$2471</definedName>
    <definedName name="IFRSB7D">[5]DETCONSO!$BQ$2509</definedName>
    <definedName name="IFRSB7E">[5]DETCONSO!$BQ$2573</definedName>
    <definedName name="ifrsb7f">[5]DETCONSO!$BQ$2624</definedName>
    <definedName name="IFRSB7G">[5]DETCONSO!$BQ$2625</definedName>
    <definedName name="ifrsb7h">[5]DETCONSO!$BQ$2629</definedName>
    <definedName name="IFRSB8">[5]DETCONSO!$BQ$1930</definedName>
    <definedName name="IFRSCA1">[5]DETCONSO!$BQ$3137</definedName>
    <definedName name="IFRSCA2">[5]DETCONSO!$BQ$3294</definedName>
    <definedName name="IFRSCC1">[5]DETCONSO!$BQ$3303</definedName>
    <definedName name="IFRSCD1">[5]DETCONSO!$BQ$3331</definedName>
    <definedName name="ifrsce05" localSheetId="5">#REF!</definedName>
    <definedName name="ifrsce05">#REF!</definedName>
    <definedName name="IFRSCE1">[5]DETCONSO!$BQ$4042</definedName>
    <definedName name="IFRSCE2">[5]DETCONSO!$BQ$4564</definedName>
    <definedName name="IFRSCE3">[5]DETCONSO!$BQ$4746</definedName>
    <definedName name="IFRSCE5">[5]DETCONSO!$BQ$4824</definedName>
    <definedName name="IFRSCF1">[5]DETCONSO!$BQ$3337</definedName>
    <definedName name="IFRSCG1">[5]DETCONSO!$BQ$4826</definedName>
    <definedName name="IFRSCI1">[5]DETCONSO!$BQ$3900</definedName>
    <definedName name="IFRSCJ1">[5]DETCONSO!$BQ$3808</definedName>
    <definedName name="IFRSCK1">[5]DETCONSO!$BQ$4947</definedName>
    <definedName name="IFRSCL1">[5]DETCONSO!$BQ$3876</definedName>
    <definedName name="IFRSCM1">[5]DETCONSO!$BQ$4949</definedName>
    <definedName name="ifrsco1">[5]DETCONSO!$BQ$5005</definedName>
    <definedName name="IFRSCP1">[5]DETCONSO!$BQ$5187</definedName>
    <definedName name="IFRSCQ1">[5]DETCONSO!$BQ$5072</definedName>
    <definedName name="iioio" localSheetId="5" hidden="1">#REF!</definedName>
    <definedName name="iioio" localSheetId="12" hidden="1">#REF!</definedName>
    <definedName name="iioio" hidden="1">#REF!</definedName>
    <definedName name="ILIBELLE">[30]VNCI_ASS!$C$2:$C$94</definedName>
    <definedName name="IMM">[6]BALANCE!$D$2:$D$577</definedName>
    <definedName name="IMMEUBLE">[30]VNCI_ASS!$B$2:$B$94</definedName>
    <definedName name="Immeuble_CA" localSheetId="5">#REF!</definedName>
    <definedName name="Immeuble_CA">#REF!</definedName>
    <definedName name="Immeuble_Recl" localSheetId="5">#REF!</definedName>
    <definedName name="Immeuble_Recl">#REF!</definedName>
    <definedName name="Immeuble_T" localSheetId="5">#REF!</definedName>
    <definedName name="Immeuble_T">#REF!</definedName>
    <definedName name="Immeuble_UC" localSheetId="5">#REF!</definedName>
    <definedName name="Immeuble_UC">#REF!</definedName>
    <definedName name="IMMO_AUTRES_ACT">[5]DETCONSO!$BQ$54</definedName>
    <definedName name="IMMO_UC">[5]DETCONSO!$BQ$277</definedName>
    <definedName name="IMP_PNC1" localSheetId="5">#REF!</definedName>
    <definedName name="IMP_PNC1">#REF!</definedName>
    <definedName name="IMP_PNC2" localSheetId="5">#REF!</definedName>
    <definedName name="IMP_PNC2">#REF!</definedName>
    <definedName name="IMP_PNC3" localSheetId="5">#REF!</definedName>
    <definedName name="IMP_PNC3">#REF!</definedName>
    <definedName name="IMPOT" localSheetId="5">#REF!</definedName>
    <definedName name="IMPOT">#REF!</definedName>
    <definedName name="IMPOTDIFF" localSheetId="5">#REF!</definedName>
    <definedName name="IMPOTDIFF">#REF!</definedName>
    <definedName name="impôtsettaxes" localSheetId="5">#REF!</definedName>
    <definedName name="impôtsettaxes">#REF!</definedName>
    <definedName name="inforceamort" localSheetId="5">#REF!</definedName>
    <definedName name="inforceamort">#REF!</definedName>
    <definedName name="inforcebrut" localSheetId="5">#REF!</definedName>
    <definedName name="inforcebrut">#REF!</definedName>
    <definedName name="InputsCalc">"'[Inputs_ConsoSCR.xls]9-CalcFolioBeforeFDBLimit'!$7:$65536"</definedName>
    <definedName name="InputsFolio">'[31]5-InputsFolio'!$2:$65536</definedName>
    <definedName name="InputsFolioNL">'[31]6-InputsFolioNL'!$B$2:$IV$65536</definedName>
    <definedName name="InputsFolioPreClosing">'[31]PreClosing-InputsFolio'!$2:$65536</definedName>
    <definedName name="INTERRESSEMENT" localSheetId="5">#REF!</definedName>
    <definedName name="INTERRESSEMENT">#REF!</definedName>
    <definedName name="ioioi" localSheetId="5" hidden="1">#REF!</definedName>
    <definedName name="ioioi" localSheetId="12" hidden="1">#REF!</definedName>
    <definedName name="ioioi" hidden="1">#REF!</definedName>
    <definedName name="ITV_2001" localSheetId="5">#REF!</definedName>
    <definedName name="ITV_2001">#REF!</definedName>
    <definedName name="iu" hidden="1">{#N/A,#N/A,TRUE,"COFTOT"}</definedName>
    <definedName name="IXIS1" localSheetId="5">#REF!</definedName>
    <definedName name="IXIS1">#REF!</definedName>
    <definedName name="IXIS2" localSheetId="5">#REF!</definedName>
    <definedName name="IXIS2">#REF!</definedName>
    <definedName name="IXIS3" localSheetId="5">#REF!</definedName>
    <definedName name="IXIS3">#REF!</definedName>
    <definedName name="IXIS4" localSheetId="5">#REF!</definedName>
    <definedName name="IXIS4">#REF!</definedName>
    <definedName name="IXIS5" localSheetId="5">#REF!</definedName>
    <definedName name="IXIS5">#REF!</definedName>
    <definedName name="IXIS6" localSheetId="5">#REF!</definedName>
    <definedName name="IXIS6">#REF!</definedName>
    <definedName name="IXISAM1" localSheetId="5">#REF!</definedName>
    <definedName name="IXISAM1">#REF!</definedName>
    <definedName name="IXISAM2" localSheetId="5">#REF!</definedName>
    <definedName name="IXISAM2">#REF!</definedName>
    <definedName name="IXISINTPENSIONS" localSheetId="5">#REF!</definedName>
    <definedName name="IXISINTPENSIONS">#REF!</definedName>
    <definedName name="j" hidden="1">{#N/A,#N/A,TRUE,"COFTOT"}</definedName>
    <definedName name="j_1" hidden="1">{#N/A,#N/A,TRUE,"COFTOT"}</definedName>
    <definedName name="jj">[25]BALANCE!$D$2:$D$563</definedName>
    <definedName name="jjjjj" localSheetId="5" hidden="1">#REF!</definedName>
    <definedName name="jjjjj" localSheetId="12" hidden="1">#REF!</definedName>
    <definedName name="jjjjj" hidden="1">#REF!</definedName>
    <definedName name="journal96">[32]Feuil1!$O$3:$O$127</definedName>
    <definedName name="journal961">[32]Feuil1!$O$3:$O$127</definedName>
    <definedName name="ju" hidden="1">{#N/A,#N/A,TRUE,"COFTOT"}</definedName>
    <definedName name="ju_1" hidden="1">{#N/A,#N/A,TRUE,"COFTOT"}</definedName>
    <definedName name="jurid" localSheetId="5">#REF!</definedName>
    <definedName name="jurid">#REF!</definedName>
    <definedName name="k" hidden="1">{#N/A,#N/A,TRUE,"COFTOT"}</definedName>
    <definedName name="k_1" hidden="1">{#N/A,#N/A,TRUE,"COFTOT"}</definedName>
    <definedName name="K2_WBEVMODE" hidden="1">0</definedName>
    <definedName name="ke" hidden="1">'[7]prov tit part.'!#REF!</definedName>
    <definedName name="kjkkjkj" localSheetId="5" hidden="1">#REF!</definedName>
    <definedName name="kjkkjkj" localSheetId="12" hidden="1">#REF!</definedName>
    <definedName name="kjkkjkj" hidden="1">#REF!</definedName>
    <definedName name="kjlkl" localSheetId="5" hidden="1">#REF!</definedName>
    <definedName name="kjlkl" localSheetId="12" hidden="1">#REF!</definedName>
    <definedName name="kjlkl" hidden="1">#REF!</definedName>
    <definedName name="kkkkk" localSheetId="5" hidden="1">#REF!</definedName>
    <definedName name="kkkkk" localSheetId="12" hidden="1">#REF!</definedName>
    <definedName name="kkkkk" hidden="1">#REF!</definedName>
    <definedName name="kklll" localSheetId="5" hidden="1">#REF!</definedName>
    <definedName name="kklll" localSheetId="12" hidden="1">#REF!</definedName>
    <definedName name="kklll" hidden="1">#REF!</definedName>
    <definedName name="LANGUE">[13]v!$C$5</definedName>
    <definedName name="Lib">[33]param!$B$18</definedName>
    <definedName name="LIBELLE">'[34]BALANCE-EUR'!$D$2:$D$817</definedName>
    <definedName name="libelles2">[8]PART!$C$2:$C$177</definedName>
    <definedName name="LibN">[33]param!$B$4</definedName>
    <definedName name="LibN_1">[33]param!$F$4</definedName>
    <definedName name="lignes" localSheetId="5">#REF!</definedName>
    <definedName name="lignes">#REF!</definedName>
    <definedName name="limcount" hidden="1">1</definedName>
    <definedName name="lk" hidden="1">{#N/A,#N/A,TRUE,"COFTOT"}</definedName>
    <definedName name="lk_1" hidden="1">{#N/A,#N/A,TRUE,"COFTOT"}</definedName>
    <definedName name="LLLLLLLLLL" localSheetId="5">[35]PORT_HORS_CONSO!#REF!</definedName>
    <definedName name="LLLLLLLLLL">[35]PORT_HORS_CONSO!#REF!</definedName>
    <definedName name="lm" hidden="1">{#N/A,#N/A,TRUE,"COFTOT"}</definedName>
    <definedName name="lm_1" hidden="1">{#N/A,#N/A,TRUE,"COFTOT"}</definedName>
    <definedName name="m" localSheetId="5">[8]BALANCE!#REF!</definedName>
    <definedName name="m">[8]BALANCE!#REF!</definedName>
    <definedName name="M_">[8]BALANCE!$G$2:$G$452</definedName>
    <definedName name="M1_">[36]SORTIES!$F$2:$F$6</definedName>
    <definedName name="MINO" localSheetId="5">#REF!</definedName>
    <definedName name="MINO">#REF!</definedName>
    <definedName name="mm">[25]EXPERTISE!$B$2:$B$122</definedName>
    <definedName name="MMMMM">[37]PART!$I$2:$I$111</definedName>
    <definedName name="MMMMMM">[38]BALANCE!$C$2:$C$577</definedName>
    <definedName name="MODE" localSheetId="5">[6]EXPERTISE!#REF!</definedName>
    <definedName name="MODE">[6]EXPERTISE!#REF!</definedName>
    <definedName name="momo" localSheetId="9" hidden="1">{#N/A,"francaiseur",FALSE,"UNITE";"ACTEUR",#N/A,FALSE,"ACTIF";"PASEUR",#N/A,FALSE,"PASSIF";"RESEUR",#N/A,FALSE,"RESULTATS";"FPEUR",#N/A,FALSE,"FP";"N03EUR",#N/A,FALSE,"NOTE03";"N04EUR",#N/A,FALSE,"NOTE04";"N05EUR",#N/A,FALSE,"NOTE05";"N06EUR",#N/A,FALSE,"NOTE06";"N07EUR",#N/A,FALSE,"NOTE07";"N08EUR",#N/A,FALSE,"NOTE08";"N09EUR",#N/A,FALSE,"NOTE09";"N10EUR",#N/A,FALSE,"NOTE10";"N11EUR",#N/A,FALSE,"NOTE11";"N12EUR",#N/A,FALSE,"NOTE12";"N13EUR",#N/A,FALSE,"NOTE13";"N14EUR",#N/A,FALSE,"NOTE14";"N15EUR",#N/A,FALSE,"NOTE15";"N16EUR",#N/A,FALSE,"NOTE16";"N18EUR",#N/A,FALSE,"NOTE18";"N19EUR",#N/A,FALSE,"NOTE19";"N20EUR",#N/A,FALSE,"NOTE20";"N21EUR",#N/A,FALSE,"NOTE21";"N22EUR",#N/A,FALSE,"NOTE22";"N23EUR",#N/A,FALSE,"NOTE23";"N24EUR",#N/A,FALSE,"NOTE24";"N25EUR",#N/A,FALSE,"NOTE25";"N26EUR",#N/A,FALSE,"NOTE26";"N27EUR",#N/A,FALSE,"NOTE27";"N28EUR",#N/A,FALSE,"NOTE28";"N29EUR",#N/A,FALSE,"NOTE29";"N30EUR",#N/A,FALSE,"NOTE30";"N31EUR",#N/A,FALSE,"NOTE31";"N32EUR",#N/A,FALSE,"NOTE32";"N33EUR",#N/A,FALSE,"NOTE33";"BILSOCEUR",#N/A,FALSE,"bilan soc";"RESSOCEUR",#N/A,FALSE,"PL soc";"cinqexEUR",#N/A,FALSE,"5ex"}</definedName>
    <definedName name="momo" localSheetId="12" hidden="1">{#N/A,"francaiseur",FALSE,"UNITE";"ACTEUR",#N/A,FALSE,"ACTIF";"PASEUR",#N/A,FALSE,"PASSIF";"RESEUR",#N/A,FALSE,"RESULTATS";"FPEUR",#N/A,FALSE,"FP";"N03EUR",#N/A,FALSE,"NOTE03";"N04EUR",#N/A,FALSE,"NOTE04";"N05EUR",#N/A,FALSE,"NOTE05";"N06EUR",#N/A,FALSE,"NOTE06";"N07EUR",#N/A,FALSE,"NOTE07";"N08EUR",#N/A,FALSE,"NOTE08";"N09EUR",#N/A,FALSE,"NOTE09";"N10EUR",#N/A,FALSE,"NOTE10";"N11EUR",#N/A,FALSE,"NOTE11";"N12EUR",#N/A,FALSE,"NOTE12";"N13EUR",#N/A,FALSE,"NOTE13";"N14EUR",#N/A,FALSE,"NOTE14";"N15EUR",#N/A,FALSE,"NOTE15";"N16EUR",#N/A,FALSE,"NOTE16";"N18EUR",#N/A,FALSE,"NOTE18";"N19EUR",#N/A,FALSE,"NOTE19";"N20EUR",#N/A,FALSE,"NOTE20";"N21EUR",#N/A,FALSE,"NOTE21";"N22EUR",#N/A,FALSE,"NOTE22";"N23EUR",#N/A,FALSE,"NOTE23";"N24EUR",#N/A,FALSE,"NOTE24";"N25EUR",#N/A,FALSE,"NOTE25";"N26EUR",#N/A,FALSE,"NOTE26";"N27EUR",#N/A,FALSE,"NOTE27";"N28EUR",#N/A,FALSE,"NOTE28";"N29EUR",#N/A,FALSE,"NOTE29";"N30EUR",#N/A,FALSE,"NOTE30";"N31EUR",#N/A,FALSE,"NOTE31";"N32EUR",#N/A,FALSE,"NOTE32";"N33EUR",#N/A,FALSE,"NOTE33";"BILSOCEUR",#N/A,FALSE,"bilan soc";"RESSOCEUR",#N/A,FALSE,"PL soc";"cinqexEUR",#N/A,FALSE,"5ex"}</definedName>
    <definedName name="momo" localSheetId="7" hidden="1">{#N/A,"francaiseur",FALSE,"UNITE";"ACTEUR",#N/A,FALSE,"ACTIF";"PASEUR",#N/A,FALSE,"PASSIF";"RESEUR",#N/A,FALSE,"RESULTATS";"FPEUR",#N/A,FALSE,"FP";"N03EUR",#N/A,FALSE,"NOTE03";"N04EUR",#N/A,FALSE,"NOTE04";"N05EUR",#N/A,FALSE,"NOTE05";"N06EUR",#N/A,FALSE,"NOTE06";"N07EUR",#N/A,FALSE,"NOTE07";"N08EUR",#N/A,FALSE,"NOTE08";"N09EUR",#N/A,FALSE,"NOTE09";"N10EUR",#N/A,FALSE,"NOTE10";"N11EUR",#N/A,FALSE,"NOTE11";"N12EUR",#N/A,FALSE,"NOTE12";"N13EUR",#N/A,FALSE,"NOTE13";"N14EUR",#N/A,FALSE,"NOTE14";"N15EUR",#N/A,FALSE,"NOTE15";"N16EUR",#N/A,FALSE,"NOTE16";"N18EUR",#N/A,FALSE,"NOTE18";"N19EUR",#N/A,FALSE,"NOTE19";"N20EUR",#N/A,FALSE,"NOTE20";"N21EUR",#N/A,FALSE,"NOTE21";"N22EUR",#N/A,FALSE,"NOTE22";"N23EUR",#N/A,FALSE,"NOTE23";"N24EUR",#N/A,FALSE,"NOTE24";"N25EUR",#N/A,FALSE,"NOTE25";"N26EUR",#N/A,FALSE,"NOTE26";"N27EUR",#N/A,FALSE,"NOTE27";"N28EUR",#N/A,FALSE,"NOTE28";"N29EUR",#N/A,FALSE,"NOTE29";"N30EUR",#N/A,FALSE,"NOTE30";"N31EUR",#N/A,FALSE,"NOTE31";"N32EUR",#N/A,FALSE,"NOTE32";"N33EUR",#N/A,FALSE,"NOTE33";"BILSOCEUR",#N/A,FALSE,"bilan soc";"RESSOCEUR",#N/A,FALSE,"PL soc";"cinqexEUR",#N/A,FALSE,"5ex"}</definedName>
    <definedName name="momo" localSheetId="8" hidden="1">{#N/A,"francaiseur",FALSE,"UNITE";"ACTEUR",#N/A,FALSE,"ACTIF";"PASEUR",#N/A,FALSE,"PASSIF";"RESEUR",#N/A,FALSE,"RESULTATS";"FPEUR",#N/A,FALSE,"FP";"N03EUR",#N/A,FALSE,"NOTE03";"N04EUR",#N/A,FALSE,"NOTE04";"N05EUR",#N/A,FALSE,"NOTE05";"N06EUR",#N/A,FALSE,"NOTE06";"N07EUR",#N/A,FALSE,"NOTE07";"N08EUR",#N/A,FALSE,"NOTE08";"N09EUR",#N/A,FALSE,"NOTE09";"N10EUR",#N/A,FALSE,"NOTE10";"N11EUR",#N/A,FALSE,"NOTE11";"N12EUR",#N/A,FALSE,"NOTE12";"N13EUR",#N/A,FALSE,"NOTE13";"N14EUR",#N/A,FALSE,"NOTE14";"N15EUR",#N/A,FALSE,"NOTE15";"N16EUR",#N/A,FALSE,"NOTE16";"N18EUR",#N/A,FALSE,"NOTE18";"N19EUR",#N/A,FALSE,"NOTE19";"N20EUR",#N/A,FALSE,"NOTE20";"N21EUR",#N/A,FALSE,"NOTE21";"N22EUR",#N/A,FALSE,"NOTE22";"N23EUR",#N/A,FALSE,"NOTE23";"N24EUR",#N/A,FALSE,"NOTE24";"N25EUR",#N/A,FALSE,"NOTE25";"N26EUR",#N/A,FALSE,"NOTE26";"N27EUR",#N/A,FALSE,"NOTE27";"N28EUR",#N/A,FALSE,"NOTE28";"N29EUR",#N/A,FALSE,"NOTE29";"N30EUR",#N/A,FALSE,"NOTE30";"N31EUR",#N/A,FALSE,"NOTE31";"N32EUR",#N/A,FALSE,"NOTE32";"N33EUR",#N/A,FALSE,"NOTE33";"BILSOCEUR",#N/A,FALSE,"bilan soc";"RESSOCEUR",#N/A,FALSE,"PL soc";"cinqexEUR",#N/A,FALSE,"5ex"}</definedName>
    <definedName name="momo" localSheetId="10" hidden="1">{#N/A,"francaiseur",FALSE,"UNITE";"ACTEUR",#N/A,FALSE,"ACTIF";"PASEUR",#N/A,FALSE,"PASSIF";"RESEUR",#N/A,FALSE,"RESULTATS";"FPEUR",#N/A,FALSE,"FP";"N03EUR",#N/A,FALSE,"NOTE03";"N04EUR",#N/A,FALSE,"NOTE04";"N05EUR",#N/A,FALSE,"NOTE05";"N06EUR",#N/A,FALSE,"NOTE06";"N07EUR",#N/A,FALSE,"NOTE07";"N08EUR",#N/A,FALSE,"NOTE08";"N09EUR",#N/A,FALSE,"NOTE09";"N10EUR",#N/A,FALSE,"NOTE10";"N11EUR",#N/A,FALSE,"NOTE11";"N12EUR",#N/A,FALSE,"NOTE12";"N13EUR",#N/A,FALSE,"NOTE13";"N14EUR",#N/A,FALSE,"NOTE14";"N15EUR",#N/A,FALSE,"NOTE15";"N16EUR",#N/A,FALSE,"NOTE16";"N18EUR",#N/A,FALSE,"NOTE18";"N19EUR",#N/A,FALSE,"NOTE19";"N20EUR",#N/A,FALSE,"NOTE20";"N21EUR",#N/A,FALSE,"NOTE21";"N22EUR",#N/A,FALSE,"NOTE22";"N23EUR",#N/A,FALSE,"NOTE23";"N24EUR",#N/A,FALSE,"NOTE24";"N25EUR",#N/A,FALSE,"NOTE25";"N26EUR",#N/A,FALSE,"NOTE26";"N27EUR",#N/A,FALSE,"NOTE27";"N28EUR",#N/A,FALSE,"NOTE28";"N29EUR",#N/A,FALSE,"NOTE29";"N30EUR",#N/A,FALSE,"NOTE30";"N31EUR",#N/A,FALSE,"NOTE31";"N32EUR",#N/A,FALSE,"NOTE32";"N33EUR",#N/A,FALSE,"NOTE33";"BILSOCEUR",#N/A,FALSE,"bilan soc";"RESSOCEUR",#N/A,FALSE,"PL soc";"cinqexEUR",#N/A,FALSE,"5ex"}</definedName>
    <definedName name="momo" hidden="1">{#N/A,"francaiseur",FALSE,"UNITE";"ACTEUR",#N/A,FALSE,"ACTIF";"PASEUR",#N/A,FALSE,"PASSIF";"RESEUR",#N/A,FALSE,"RESULTATS";"FPEUR",#N/A,FALSE,"FP";"N03EUR",#N/A,FALSE,"NOTE03";"N04EUR",#N/A,FALSE,"NOTE04";"N05EUR",#N/A,FALSE,"NOTE05";"N06EUR",#N/A,FALSE,"NOTE06";"N07EUR",#N/A,FALSE,"NOTE07";"N08EUR",#N/A,FALSE,"NOTE08";"N09EUR",#N/A,FALSE,"NOTE09";"N10EUR",#N/A,FALSE,"NOTE10";"N11EUR",#N/A,FALSE,"NOTE11";"N12EUR",#N/A,FALSE,"NOTE12";"N13EUR",#N/A,FALSE,"NOTE13";"N14EUR",#N/A,FALSE,"NOTE14";"N15EUR",#N/A,FALSE,"NOTE15";"N16EUR",#N/A,FALSE,"NOTE16";"N18EUR",#N/A,FALSE,"NOTE18";"N19EUR",#N/A,FALSE,"NOTE19";"N20EUR",#N/A,FALSE,"NOTE20";"N21EUR",#N/A,FALSE,"NOTE21";"N22EUR",#N/A,FALSE,"NOTE22";"N23EUR",#N/A,FALSE,"NOTE23";"N24EUR",#N/A,FALSE,"NOTE24";"N25EUR",#N/A,FALSE,"NOTE25";"N26EUR",#N/A,FALSE,"NOTE26";"N27EUR",#N/A,FALSE,"NOTE27";"N28EUR",#N/A,FALSE,"NOTE28";"N29EUR",#N/A,FALSE,"NOTE29";"N30EUR",#N/A,FALSE,"NOTE30";"N31EUR",#N/A,FALSE,"NOTE31";"N32EUR",#N/A,FALSE,"NOTE32";"N33EUR",#N/A,FALSE,"NOTE33";"BILSOCEUR",#N/A,FALSE,"bilan soc";"RESSOCEUR",#N/A,FALSE,"PL soc";"cinqexEUR",#N/A,FALSE,"5ex"}</definedName>
    <definedName name="monn" localSheetId="5">#REF!</definedName>
    <definedName name="monn">#REF!</definedName>
    <definedName name="Montant">'[34]BALANCE-EUR'!$H$2:$H$817</definedName>
    <definedName name="MONTANT1">'[34]BALANCE-EUR'!$G$2:$G$817</definedName>
    <definedName name="mouv62">[32]Feuil1!$O$61:$O$126</definedName>
    <definedName name="Mun" hidden="1">{#N/A,#N/A,TRUE,"COFTOT"}</definedName>
    <definedName name="N">[20]Feuil1!$B$5:$B$112</definedName>
    <definedName name="natact" localSheetId="5">#REF!</definedName>
    <definedName name="natact">#REF!</definedName>
    <definedName name="Nb_Actions" localSheetId="5">#REF!</definedName>
    <definedName name="Nb_Actions">#REF!</definedName>
    <definedName name="nn">[39]BALANCE!$D$2:$D$200</definedName>
    <definedName name="nnn">[28]EXPERTISE!$C$2:$C$113</definedName>
    <definedName name="NNNNNNN">[27]BALANCE!$G$2:$G$233</definedName>
    <definedName name="nnnnnnnnnnnnn">[28]BALANCE!$B$2:$B$570</definedName>
    <definedName name="NOM" localSheetId="5">#REF!</definedName>
    <definedName name="NOM">#REF!</definedName>
    <definedName name="Nom_Imm" localSheetId="5">[6]EXPERTISE!#REF!</definedName>
    <definedName name="Nom_Imm">[6]EXPERTISE!#REF!</definedName>
    <definedName name="NOMIMMEUBLE" localSheetId="5">[26]EXPERTISE!#REF!</definedName>
    <definedName name="NOMIMMEUBLE">[26]EXPERTISE!#REF!</definedName>
    <definedName name="NOMSOC">[13]v!$C$12</definedName>
    <definedName name="NONVENT9" localSheetId="5">#REF!</definedName>
    <definedName name="NONVENT9">#REF!</definedName>
    <definedName name="NormalQuantile">[9]IM_Options!$C$130</definedName>
    <definedName name="ORGANIC" localSheetId="5">#REF!</definedName>
    <definedName name="ORGANIC">#REF!</definedName>
    <definedName name="p" localSheetId="5">[8]BALANCE!#REF!</definedName>
    <definedName name="p">[8]BALANCE!#REF!</definedName>
    <definedName name="P.V._cess_tit_d_invest" localSheetId="5">#REF!</definedName>
    <definedName name="P.V._cess_tit_d_invest">#REF!</definedName>
    <definedName name="P_">[27]BALANCE!$C$2:$C$233</definedName>
    <definedName name="Param">[33]param!$D$9:$D$16</definedName>
    <definedName name="Param_2B">[40]param!#REF!</definedName>
    <definedName name="Param_2R">[40]param!#REF!</definedName>
    <definedName name="PARAM_Année_N_moins_1_SansRU">[41]PARAM!$D$4:$D$9</definedName>
    <definedName name="param_bilan_F00">[42]param!$H$5:$H$12</definedName>
    <definedName name="Param_Bilan_F99">[42]param!$D$5:$D$12</definedName>
    <definedName name="param_bilan_intermédiaire">[43]param!$P$5:$P$12</definedName>
    <definedName name="Param_R10">[33]param!$H$33:$H$40</definedName>
    <definedName name="Param_R11">[33]param!$D$33:$D$40</definedName>
    <definedName name="param_résultat_F00">[42]param!$H$29:$H$36</definedName>
    <definedName name="param_résultat_F99">[42]param!$D$29:$D$36</definedName>
    <definedName name="Param2">[33]param!$H$9:$H$16</definedName>
    <definedName name="Param3">[33]param!$D$21:$D$28</definedName>
    <definedName name="paramN">[44]Param!$D$7:$D$14</definedName>
    <definedName name="paramN1">[44]Param!$H$7:$H$14</definedName>
    <definedName name="PARAUTCRED" localSheetId="5">#REF!</definedName>
    <definedName name="PARAUTCRED">#REF!</definedName>
    <definedName name="PARAUTDEB" localSheetId="5">#REF!</definedName>
    <definedName name="PARAUTDEB">#REF!</definedName>
    <definedName name="PARC_DE_MONFORT" localSheetId="5">[8]PORT_HORS_CONSO!#REF!</definedName>
    <definedName name="PARC_DE_MONFORT">[8]PORT_HORS_CONSO!#REF!</definedName>
    <definedName name="PARTGROUPE" localSheetId="5">#REF!</definedName>
    <definedName name="PARTGROUPE">#REF!</definedName>
    <definedName name="particip" localSheetId="5">#REF!</definedName>
    <definedName name="particip">#REF!</definedName>
    <definedName name="PARTSAL" localSheetId="5">#REF!</definedName>
    <definedName name="PARTSAL">#REF!</definedName>
    <definedName name="pays" localSheetId="5">#REF!</definedName>
    <definedName name="pays">#REF!</definedName>
    <definedName name="PB" localSheetId="5">#REF!</definedName>
    <definedName name="PB">#REF!</definedName>
    <definedName name="PBFIFO" localSheetId="5">#REF!</definedName>
    <definedName name="PBFIFO">#REF!</definedName>
    <definedName name="PBINCORPO" localSheetId="5">#REF!</definedName>
    <definedName name="PBINCORPO">#REF!</definedName>
    <definedName name="PBPREST" localSheetId="5">#REF!</definedName>
    <definedName name="PBPREST">#REF!</definedName>
    <definedName name="PBSINISTRES" localSheetId="5">#REF!</definedName>
    <definedName name="PBSINISTRES">#REF!</definedName>
    <definedName name="PBVERSEE" localSheetId="5">#REF!</definedName>
    <definedName name="PBVERSEE">#REF!</definedName>
    <definedName name="pel_chainage" localSheetId="5">#REF!</definedName>
    <definedName name="pel_chainage">#REF!</definedName>
    <definedName name="pel_code" localSheetId="5">#REF!</definedName>
    <definedName name="pel_code">#REF!</definedName>
    <definedName name="pel_cpte" localSheetId="5">#REF!</definedName>
    <definedName name="pel_cpte">#REF!</definedName>
    <definedName name="pel_libcpte" localSheetId="5">#REF!</definedName>
    <definedName name="pel_libcpte">#REF!</definedName>
    <definedName name="pel_libellé" localSheetId="5">#REF!</definedName>
    <definedName name="pel_libellé">#REF!</definedName>
    <definedName name="pel_port" localSheetId="5">#REF!</definedName>
    <definedName name="pel_port">#REF!</definedName>
    <definedName name="pel_ran_1_1_n" localSheetId="5">#REF!</definedName>
    <definedName name="pel_ran_1_1_n">#REF!</definedName>
    <definedName name="pel_s9612" localSheetId="5">#REF!</definedName>
    <definedName name="pel_s9612">#REF!</definedName>
    <definedName name="pel_s9712" localSheetId="5">#REF!</definedName>
    <definedName name="pel_s9712">#REF!</definedName>
    <definedName name="pel_solde_au_30_06_n_1" localSheetId="5">#REF!</definedName>
    <definedName name="pel_solde_au_30_06_n_1">#REF!</definedName>
    <definedName name="pel_solde_au_31_12_n" localSheetId="5">#REF!</definedName>
    <definedName name="pel_solde_au_31_12_n">#REF!</definedName>
    <definedName name="pel_solde_au_31_12_n_1" localSheetId="5">#REF!</definedName>
    <definedName name="pel_solde_au_31_12_n_1">#REF!</definedName>
    <definedName name="pel_ste" localSheetId="5">#REF!</definedName>
    <definedName name="pel_ste">#REF!</definedName>
    <definedName name="persocdc" localSheetId="5">#REF!</definedName>
    <definedName name="persocdc">#REF!</definedName>
    <definedName name="persogip" localSheetId="5">#REF!</definedName>
    <definedName name="persogip">#REF!</definedName>
    <definedName name="PERSONNELS" localSheetId="5">#REF!</definedName>
    <definedName name="PERSONNELS">#REF!</definedName>
    <definedName name="PID_HORS_REVAL" localSheetId="5">#REF!</definedName>
    <definedName name="PID_HORS_REVAL">#REF!</definedName>
    <definedName name="plage_à_copier">'[45]Imprim 99'!$D$96:$O$114</definedName>
    <definedName name="Plage_Clé_SFRNV">[10]Importation!$BG:$BG</definedName>
    <definedName name="PLUSVALUES" localSheetId="5">#REF!</definedName>
    <definedName name="PLUSVALUES">#REF!</definedName>
    <definedName name="PMDOT" localSheetId="5">#REF!</definedName>
    <definedName name="PMDOT">#REF!</definedName>
    <definedName name="PMICPBATT" localSheetId="5">#REF!</definedName>
    <definedName name="PMICPBATT">#REF!</definedName>
    <definedName name="PMREP" localSheetId="5">#REF!</definedName>
    <definedName name="PMREP">#REF!</definedName>
    <definedName name="PO" localSheetId="5">[27]BALANCE!#REF!</definedName>
    <definedName name="PO">[27]BALANCE!#REF!</definedName>
    <definedName name="PORT">'[34]BALANCE-EUR'!$B$2:$B$817</definedName>
    <definedName name="port2" localSheetId="5">[6]EXPERTISE!#REF!</definedName>
    <definedName name="port2">[6]EXPERTISE!#REF!</definedName>
    <definedName name="portef" localSheetId="5">#REF!</definedName>
    <definedName name="portef">#REF!</definedName>
    <definedName name="pp">[25]EXPERTISE!$H$2:$H$122</definedName>
    <definedName name="PPPPPPPPP">[27]BALANCE!$B$2:$B$233</definedName>
    <definedName name="PRCHNONTECH" localSheetId="5">#REF!</definedName>
    <definedName name="PRCHNONTECH">#REF!</definedName>
    <definedName name="PRESTETFRAISPAYES" localSheetId="5">#REF!</definedName>
    <definedName name="PRESTETFRAISPAYES">#REF!</definedName>
    <definedName name="PRESTITPB" localSheetId="5">#REF!</definedName>
    <definedName name="PRESTITPB">#REF!</definedName>
    <definedName name="prêtées" localSheetId="5">#REF!</definedName>
    <definedName name="prêtées">#REF!</definedName>
    <definedName name="prets">[8]Feuil9!$E$2:$E$174</definedName>
    <definedName name="prêts" localSheetId="5">#REF!</definedName>
    <definedName name="prêts">#REF!</definedName>
    <definedName name="PREV_2001" localSheetId="5">#REF!</definedName>
    <definedName name="PREV_2001">#REF!</definedName>
    <definedName name="PREVI10645" localSheetId="5">#REF!</definedName>
    <definedName name="PREVI10645">#REF!</definedName>
    <definedName name="PREVIFDSPROPRES">#N/A</definedName>
    <definedName name="PREVIFDSPROV" localSheetId="5">#REF!+#REF!+#REF!</definedName>
    <definedName name="PREVIFDSPROV">#REF!+#REF!+#REF!</definedName>
    <definedName name="PreviousInputsFolioNL">'[31]Previous-InputsFolioNL'!$2:$65000</definedName>
    <definedName name="PREVIPRODFI" localSheetId="5">#REF!+#REF!</definedName>
    <definedName name="PREVIPRODFI">#REF!+#REF!</definedName>
    <definedName name="pro" localSheetId="5">#REF!</definedName>
    <definedName name="pro">#REF!</definedName>
    <definedName name="PRODEXCEP" localSheetId="5">#REF!</definedName>
    <definedName name="PRODEXCEP">#REF!</definedName>
    <definedName name="PRODFI">#N/A</definedName>
    <definedName name="PRODUIT">[46]Produits!$C$1:$J$3941</definedName>
    <definedName name="produitifrs4">[47]Feuil1!$A$2:$B$1000</definedName>
    <definedName name="produitreseau">'[48]Table produit'!$E$2:$I$6158</definedName>
    <definedName name="produitsautactivités" localSheetId="5">#REF!</definedName>
    <definedName name="produitsautactivités">#REF!</definedName>
    <definedName name="Prov_01_01_97" localSheetId="5">#REF!</definedName>
    <definedName name="Prov_01_01_97">#REF!</definedName>
    <definedName name="Prov_31_12_97" localSheetId="5">#REF!</definedName>
    <definedName name="Prov_31_12_97">#REF!</definedName>
    <definedName name="PROVASS1" localSheetId="5">#REF!</definedName>
    <definedName name="PROVASS1">#REF!</definedName>
    <definedName name="PROVASS2" localSheetId="5">#REF!</definedName>
    <definedName name="PROVASS2">#REF!</definedName>
    <definedName name="PROVASS3" localSheetId="5">#REF!</definedName>
    <definedName name="PROVASS3">#REF!</definedName>
    <definedName name="PROVASS4" localSheetId="5">#REF!</definedName>
    <definedName name="PROVASS4">#REF!</definedName>
    <definedName name="provisionimmobilier" localSheetId="5">#REF!</definedName>
    <definedName name="provisionimmobilier">#REF!</definedName>
    <definedName name="PROVPBIC1" localSheetId="5">#REF!</definedName>
    <definedName name="PROVPBIC1">#REF!</definedName>
    <definedName name="PROVPBIC2" localSheetId="5">#REF!</definedName>
    <definedName name="PROVPBIC2">#REF!</definedName>
    <definedName name="Q" hidden="1">{#N/A,#N/A,TRUE,"COFTOT"}</definedName>
    <definedName name="Q_1" hidden="1">{#N/A,#N/A,TRUE,"COFTOT"}</definedName>
    <definedName name="qa" hidden="1">{#N/A,#N/A,TRUE,"COFTOT"}</definedName>
    <definedName name="qa_1" hidden="1">{#N/A,#N/A,TRUE,"COFTOT"}</definedName>
    <definedName name="qqqq" hidden="1">{#N/A,#N/A,TRUE,"COFTOT"}</definedName>
    <definedName name="qqqq_1" hidden="1">{#N/A,#N/A,TRUE,"COFTOT"}</definedName>
    <definedName name="qsqsqqs" localSheetId="5" hidden="1">#REF!</definedName>
    <definedName name="qsqsqqs" localSheetId="12" hidden="1">#REF!</definedName>
    <definedName name="qsqsqqs" hidden="1">#REF!</definedName>
    <definedName name="qw" hidden="1">{#N/A,#N/A,TRUE,"COFTOT"}</definedName>
    <definedName name="qw_1" hidden="1">{#N/A,#N/A,TRUE,"COFTOT"}</definedName>
    <definedName name="R_A5_Export" localSheetId="5">#REF!</definedName>
    <definedName name="R_A5_Export">#REF!</definedName>
    <definedName name="RACHATS" localSheetId="5">#REF!</definedName>
    <definedName name="RACHATS">#REF!</definedName>
    <definedName name="RATIO" localSheetId="5">#REF!</definedName>
    <definedName name="RATIO">#REF!</definedName>
    <definedName name="RATIONONVIE" localSheetId="5">#REF!</definedName>
    <definedName name="RATIONONVIE">#REF!</definedName>
    <definedName name="REAAFFECTER" localSheetId="5">#REF!</definedName>
    <definedName name="REAAFFECTER">#REF!</definedName>
    <definedName name="REASSAUTPROV" localSheetId="5">#REF!</definedName>
    <definedName name="REASSAUTPROV">#REF!</definedName>
    <definedName name="REASSCOMMISSIONS" localSheetId="5">#REF!</definedName>
    <definedName name="REASSCOMMISSIONS">#REF!</definedName>
    <definedName name="REASSPARTICIPATION" localSheetId="5">#REF!</definedName>
    <definedName name="REASSPARTICIPATION">#REF!</definedName>
    <definedName name="REASSPRESTATIONS" localSheetId="5">#REF!</definedName>
    <definedName name="REASSPRESTATIONS">#REF!</definedName>
    <definedName name="REASSPRIMES" localSheetId="5">#REF!</definedName>
    <definedName name="REASSPRIMES">#REF!</definedName>
    <definedName name="REASSPRODFI" localSheetId="5">#REF!</definedName>
    <definedName name="REASSPRODFI">#REF!</definedName>
    <definedName name="REASSPROV" localSheetId="5">#REF!</definedName>
    <definedName name="REASSPROV">#REF!</definedName>
    <definedName name="REASSPROVSINIST" localSheetId="5">#REF!</definedName>
    <definedName name="REASSPROVSINIST">#REF!</definedName>
    <definedName name="reclassinters" localSheetId="5">#REF!</definedName>
    <definedName name="reclassinters">#REF!</definedName>
    <definedName name="RECLAT_AFS">[5]DETCONSO!$BQ$455</definedName>
    <definedName name="RECLAT_TRA_AUTRES_ACT">[5]DETCONSO!$BQ$634</definedName>
    <definedName name="refdd">[21]PART!$A$2:$A$77</definedName>
    <definedName name="REPAUTPROVTECH" localSheetId="5">#REF!</definedName>
    <definedName name="REPAUTPROVTECH">#REF!</definedName>
    <definedName name="REPGR" localSheetId="5">#REF!</definedName>
    <definedName name="REPGR">#REF!</definedName>
    <definedName name="REPID" localSheetId="5">#REF!</definedName>
    <definedName name="REPID">#REF!</definedName>
    <definedName name="REPPM1" localSheetId="5">#REF!</definedName>
    <definedName name="REPPM1">#REF!</definedName>
    <definedName name="REPPM2" localSheetId="5">#REF!</definedName>
    <definedName name="REPPM2">#REF!</definedName>
    <definedName name="Repr_1997" localSheetId="5">#REF!</definedName>
    <definedName name="Repr_1997">#REF!</definedName>
    <definedName name="REPSINISTRES" localSheetId="5">#REF!</definedName>
    <definedName name="REPSINISTRES">#REF!</definedName>
    <definedName name="RESERVCONSO" localSheetId="5">#REF!</definedName>
    <definedName name="RESERVCONSO">#REF!</definedName>
    <definedName name="RESERVCONSOFIL" localSheetId="5">#REF!</definedName>
    <definedName name="RESERVCONSOFIL">#REF!</definedName>
    <definedName name="RESULTAT" localSheetId="5">#REF!</definedName>
    <definedName name="RESULTAT">#REF!</definedName>
    <definedName name="Résultat_fiscal_au_30.06.1995" localSheetId="5">#REF!</definedName>
    <definedName name="Résultat_fiscal_au_30.06.1995">#REF!</definedName>
    <definedName name="resultcnpi" localSheetId="5">#REF!</definedName>
    <definedName name="resultcnpi">#REF!</definedName>
    <definedName name="RESULTCOURANT" localSheetId="5">#REF!</definedName>
    <definedName name="RESULTCOURANT">#REF!</definedName>
    <definedName name="resultecu" localSheetId="5">#REF!</definedName>
    <definedName name="resultecu">#REF!</definedName>
    <definedName name="RESULTEXCEP" localSheetId="5">#REF!</definedName>
    <definedName name="RESULTEXCEP">#REF!</definedName>
    <definedName name="resultiam" localSheetId="5">#REF!</definedName>
    <definedName name="resultiam">#REF!</definedName>
    <definedName name="resultitv" localSheetId="5">#REF!</definedName>
    <definedName name="resultitv">#REF!</definedName>
    <definedName name="RESULTOTAL" localSheetId="5">#REF!</definedName>
    <definedName name="RESULTOTAL">#REF!</definedName>
    <definedName name="RESULTPGROUP" localSheetId="5">#REF!</definedName>
    <definedName name="RESULTPGROUP">#REF!</definedName>
    <definedName name="resultprevi" localSheetId="5">#REF!</definedName>
    <definedName name="resultprevi">#REF!</definedName>
    <definedName name="RESULTREASS" localSheetId="5">#REF!</definedName>
    <definedName name="RESULTREASS">#REF!</definedName>
    <definedName name="resultretrait" localSheetId="5">#REF!</definedName>
    <definedName name="resultretrait">#REF!</definedName>
    <definedName name="resultvie" localSheetId="5">#REF!</definedName>
    <definedName name="resultvie">#REF!</definedName>
    <definedName name="REVPLACT" localSheetId="5">#REF!</definedName>
    <definedName name="REVPLACT">#REF!</definedName>
    <definedName name="rez">[19]EXPERTISE!$G$2:$G$92</definedName>
    <definedName name="rffff">[21]PART!$G$2:$G$77</definedName>
    <definedName name="ri" localSheetId="5">#REF!</definedName>
    <definedName name="ri">#REF!</definedName>
    <definedName name="RIAMN" localSheetId="5">#REF!</definedName>
    <definedName name="RIAMN">#REF!</definedName>
    <definedName name="RIAMN1" localSheetId="5">#REF!</definedName>
    <definedName name="RIAMN1">#REF!</definedName>
    <definedName name="RIAMN2" localSheetId="5">#REF!</definedName>
    <definedName name="RIAMN2">#REF!</definedName>
    <definedName name="RR">[26]BALANCE!$B$2:$B$573</definedName>
    <definedName name="rrr">[21]PART!$C$2:$C$77</definedName>
    <definedName name="rrrr" localSheetId="5">#REF!</definedName>
    <definedName name="rrrr">#REF!</definedName>
    <definedName name="rytyu" localSheetId="5" hidden="1">#REF!</definedName>
    <definedName name="rytyu" localSheetId="12" hidden="1">#REF!</definedName>
    <definedName name="rytyu" hidden="1">#REF!</definedName>
    <definedName name="s" hidden="1">{#N/A,#N/A,TRUE,"COFTOT"}</definedName>
    <definedName name="s_1" hidden="1">{#N/A,#N/A,TRUE,"COFTOT"}</definedName>
    <definedName name="SALBRUTS" localSheetId="5">#REF!</definedName>
    <definedName name="SALBRUTS">#REF!</definedName>
    <definedName name="scmc" localSheetId="5">#REF!</definedName>
    <definedName name="scmc">#REF!</definedName>
    <definedName name="scmo" localSheetId="5">#REF!</definedName>
    <definedName name="scmo">#REF!</definedName>
    <definedName name="SCR.Counterparty.Default">[9]IM_Options!$C$94:$D$95</definedName>
    <definedName name="SCR.Equity">[9]IM_Options!$C$90:$D$91</definedName>
    <definedName name="SCR.Health.CAT.Corr">[9]IM_Options!$C$62:$E$64</definedName>
    <definedName name="SCR.Health.Corr">[9]IM_Options!$C$39:$E$41</definedName>
    <definedName name="SCR.Health.NonSLT.Corr">[9]IM_Options!$C$58:$D$59</definedName>
    <definedName name="SCR.Health.NonSLT.pr.Corr">[9]IM_Options!$C$52:$F$55</definedName>
    <definedName name="SCR.Health.SLT.Corr">[9]IM_Options!$C$44:$H$49</definedName>
    <definedName name="SCR.Life.Corr">[9]IM_Options!$C$23:$I$29</definedName>
    <definedName name="SCR.Market.Corr.DOWN">[9]IM_Options!$C$5:$I$11</definedName>
    <definedName name="SCR.Market.Corr.UP">[9]IM_Options!$C$14:$I$20</definedName>
    <definedName name="SCR.NonLife.Corr">[9]IM_Options!$C$67:$E$69</definedName>
    <definedName name="SCR.NonLife.pr.Corr">[9]IM_Options!$C$72:$N$83</definedName>
    <definedName name="sdmc" localSheetId="5">#REF!</definedName>
    <definedName name="sdmc">#REF!</definedName>
    <definedName name="sdmo" localSheetId="5">#REF!</definedName>
    <definedName name="sdmo">#REF!</definedName>
    <definedName name="SDQSD" localSheetId="5">[26]EXPERTISE!#REF!</definedName>
    <definedName name="SDQSD">[26]EXPERTISE!#REF!</definedName>
    <definedName name="sds" localSheetId="5" hidden="1">#REF!</definedName>
    <definedName name="sds" localSheetId="12" hidden="1">#REF!</definedName>
    <definedName name="sds" hidden="1">#REF!</definedName>
    <definedName name="sdsd">[28]BALANCE!$G$2:$G$570</definedName>
    <definedName name="SDSQDSDS">[30]VNCI_ASS!$B$2:$B$94</definedName>
    <definedName name="sdssssssssss">[25]BALANCE!$B$2:$B$563</definedName>
    <definedName name="sencount" hidden="1">1</definedName>
    <definedName name="SFCCCWC" localSheetId="5">#REF!</definedName>
    <definedName name="SFCCCWC">#REF!</definedName>
    <definedName name="sfr_autres_prov">[10]Tables!$O$3:$Q$198</definedName>
    <definedName name="SIG_CCCRPV1_firstLine" localSheetId="5" hidden="1">#REF!</definedName>
    <definedName name="SIG_CCCRPV1_firstLine" localSheetId="12" hidden="1">#REF!</definedName>
    <definedName name="SIG_CCCRPV1_firstLine" hidden="1">#REF!</definedName>
    <definedName name="SIG_CCCRPV1_H001" localSheetId="5" hidden="1">#REF!</definedName>
    <definedName name="SIG_CCCRPV1_H001" localSheetId="12" hidden="1">#REF!</definedName>
    <definedName name="SIG_CCCRPV1_H001" hidden="1">#REF!</definedName>
    <definedName name="SIG_CCCRPV1_H002" localSheetId="5" hidden="1">#REF!</definedName>
    <definedName name="SIG_CCCRPV1_H002" localSheetId="12" hidden="1">#REF!</definedName>
    <definedName name="SIG_CCCRPV1_H002" hidden="1">#REF!</definedName>
    <definedName name="SIG_CCCRPV1_H003" localSheetId="5" hidden="1">#REF!</definedName>
    <definedName name="SIG_CCCRPV1_H003" localSheetId="12" hidden="1">#REF!</definedName>
    <definedName name="SIG_CCCRPV1_H003" hidden="1">#REF!</definedName>
    <definedName name="SIG_CCCRPV1_H004" localSheetId="5" hidden="1">#REF!</definedName>
    <definedName name="SIG_CCCRPV1_H004" localSheetId="12" hidden="1">#REF!</definedName>
    <definedName name="SIG_CCCRPV1_H004" hidden="1">#REF!</definedName>
    <definedName name="SIG_CCCRPV1_H005" localSheetId="5" hidden="1">#REF!</definedName>
    <definedName name="SIG_CCCRPV1_H005" localSheetId="12" hidden="1">#REF!</definedName>
    <definedName name="SIG_CCCRPV1_H005" hidden="1">#REF!</definedName>
    <definedName name="SIG_CCCRPV1_H006" localSheetId="5" hidden="1">#REF!</definedName>
    <definedName name="SIG_CCCRPV1_H006" localSheetId="12" hidden="1">#REF!</definedName>
    <definedName name="SIG_CCCRPV1_H006" hidden="1">#REF!</definedName>
    <definedName name="SIG_CCCRPV1_H007" localSheetId="5" hidden="1">#REF!</definedName>
    <definedName name="SIG_CCCRPV1_H007" localSheetId="12" hidden="1">#REF!</definedName>
    <definedName name="SIG_CCCRPV1_H007" hidden="1">#REF!</definedName>
    <definedName name="SIG_CCCRPV1_H008" localSheetId="5" hidden="1">#REF!</definedName>
    <definedName name="SIG_CCCRPV1_H008" localSheetId="12" hidden="1">#REF!</definedName>
    <definedName name="SIG_CCCRPV1_H008" hidden="1">#REF!</definedName>
    <definedName name="SIG_CCCRPV1_H009" localSheetId="5" hidden="1">#REF!</definedName>
    <definedName name="SIG_CCCRPV1_H009" localSheetId="12" hidden="1">#REF!</definedName>
    <definedName name="SIG_CCCRPV1_H009" hidden="1">#REF!</definedName>
    <definedName name="SIG_CCCRPV1_H010" localSheetId="5" hidden="1">#REF!</definedName>
    <definedName name="SIG_CCCRPV1_H010" localSheetId="12" hidden="1">#REF!</definedName>
    <definedName name="SIG_CCCRPV1_H010" hidden="1">#REF!</definedName>
    <definedName name="SIG_CCCRPV1_H011" localSheetId="5" hidden="1">#REF!</definedName>
    <definedName name="SIG_CCCRPV1_H011" localSheetId="12" hidden="1">#REF!</definedName>
    <definedName name="SIG_CCCRPV1_H011" hidden="1">#REF!</definedName>
    <definedName name="SIG_CCCRPV1_H012" localSheetId="5" hidden="1">#REF!</definedName>
    <definedName name="SIG_CCCRPV1_H012" localSheetId="12" hidden="1">#REF!</definedName>
    <definedName name="SIG_CCCRPV1_H012" hidden="1">#REF!</definedName>
    <definedName name="SIG_CCCRPV1_IsControlOK" localSheetId="5" hidden="1">#REF!</definedName>
    <definedName name="SIG_CCCRPV1_IsControlOK" localSheetId="12" hidden="1">#REF!</definedName>
    <definedName name="SIG_CCCRPV1_IsControlOK" hidden="1">#REF!</definedName>
    <definedName name="SIG_CCCRPV1_lastLine" localSheetId="5" hidden="1">#REF!</definedName>
    <definedName name="SIG_CCCRPV1_lastLine" localSheetId="12" hidden="1">#REF!</definedName>
    <definedName name="SIG_CCCRPV1_lastLine" hidden="1">#REF!</definedName>
    <definedName name="SIG_CCCRPV1_TITLELINE" localSheetId="5" hidden="1">#REF!</definedName>
    <definedName name="SIG_CCCRPV1_TITLELINE" localSheetId="12" hidden="1">#REF!</definedName>
    <definedName name="SIG_CCCRPV1_TITLELINE" hidden="1">#REF!</definedName>
    <definedName name="SIG_CCCRPV2_firstLine" localSheetId="5" hidden="1">#REF!</definedName>
    <definedName name="SIG_CCCRPV2_firstLine" localSheetId="12" hidden="1">#REF!</definedName>
    <definedName name="SIG_CCCRPV2_firstLine" hidden="1">#REF!</definedName>
    <definedName name="SIG_CCCRPV2_H001" localSheetId="5" hidden="1">#REF!</definedName>
    <definedName name="SIG_CCCRPV2_H001" localSheetId="12" hidden="1">#REF!</definedName>
    <definedName name="SIG_CCCRPV2_H001" hidden="1">#REF!</definedName>
    <definedName name="SIG_CCCRPV2_H002" localSheetId="5" hidden="1">#REF!</definedName>
    <definedName name="SIG_CCCRPV2_H002" localSheetId="12" hidden="1">#REF!</definedName>
    <definedName name="SIG_CCCRPV2_H002" hidden="1">#REF!</definedName>
    <definedName name="SIG_CCCRPV2_H003" localSheetId="5" hidden="1">#REF!</definedName>
    <definedName name="SIG_CCCRPV2_H003" localSheetId="12" hidden="1">#REF!</definedName>
    <definedName name="SIG_CCCRPV2_H003" hidden="1">#REF!</definedName>
    <definedName name="SIG_CCCRPV2_H004" localSheetId="5" hidden="1">#REF!</definedName>
    <definedName name="SIG_CCCRPV2_H004" localSheetId="12" hidden="1">#REF!</definedName>
    <definedName name="SIG_CCCRPV2_H004" hidden="1">#REF!</definedName>
    <definedName name="SIG_CCCRPV2_H005" localSheetId="5" hidden="1">#REF!</definedName>
    <definedName name="SIG_CCCRPV2_H005" localSheetId="12" hidden="1">#REF!</definedName>
    <definedName name="SIG_CCCRPV2_H005" hidden="1">#REF!</definedName>
    <definedName name="SIG_CCCRPV2_H006" localSheetId="5" hidden="1">#REF!</definedName>
    <definedName name="SIG_CCCRPV2_H006" localSheetId="12" hidden="1">#REF!</definedName>
    <definedName name="SIG_CCCRPV2_H006" hidden="1">#REF!</definedName>
    <definedName name="SIG_CCCRPV2_H007" localSheetId="5" hidden="1">#REF!</definedName>
    <definedName name="SIG_CCCRPV2_H007" localSheetId="12" hidden="1">#REF!</definedName>
    <definedName name="SIG_CCCRPV2_H007" hidden="1">#REF!</definedName>
    <definedName name="SIG_CCCRPV2_H008" localSheetId="5" hidden="1">#REF!</definedName>
    <definedName name="SIG_CCCRPV2_H008" localSheetId="12" hidden="1">#REF!</definedName>
    <definedName name="SIG_CCCRPV2_H008" hidden="1">#REF!</definedName>
    <definedName name="SIG_CCCRPV2_H009" localSheetId="5" hidden="1">#REF!</definedName>
    <definedName name="SIG_CCCRPV2_H009" localSheetId="12" hidden="1">#REF!</definedName>
    <definedName name="SIG_CCCRPV2_H009" hidden="1">#REF!</definedName>
    <definedName name="SIG_CCCRPV2_H010" localSheetId="5" hidden="1">#REF!</definedName>
    <definedName name="SIG_CCCRPV2_H010" localSheetId="12" hidden="1">#REF!</definedName>
    <definedName name="SIG_CCCRPV2_H010" hidden="1">#REF!</definedName>
    <definedName name="SIG_CCCRPV2_H011" localSheetId="5" hidden="1">#REF!</definedName>
    <definedName name="SIG_CCCRPV2_H011" localSheetId="12" hidden="1">#REF!</definedName>
    <definedName name="SIG_CCCRPV2_H011" hidden="1">#REF!</definedName>
    <definedName name="SIG_CCCRPV2_H012" localSheetId="5" hidden="1">#REF!</definedName>
    <definedName name="SIG_CCCRPV2_H012" localSheetId="12" hidden="1">#REF!</definedName>
    <definedName name="SIG_CCCRPV2_H012" hidden="1">#REF!</definedName>
    <definedName name="SIG_CCCRPV2_IsControlOK" localSheetId="5" hidden="1">#REF!</definedName>
    <definedName name="SIG_CCCRPV2_IsControlOK" localSheetId="12" hidden="1">#REF!</definedName>
    <definedName name="SIG_CCCRPV2_IsControlOK" hidden="1">#REF!</definedName>
    <definedName name="SIG_CCCRPV2_lastLine" localSheetId="5" hidden="1">#REF!</definedName>
    <definedName name="SIG_CCCRPV2_lastLine" localSheetId="12" hidden="1">#REF!</definedName>
    <definedName name="SIG_CCCRPV2_lastLine" hidden="1">#REF!</definedName>
    <definedName name="SIG_CCCRPV2_TITLELINE" localSheetId="5" hidden="1">#REF!</definedName>
    <definedName name="SIG_CCCRPV2_TITLELINE" localSheetId="12" hidden="1">#REF!</definedName>
    <definedName name="SIG_CCCRPV2_TITLELINE" hidden="1">#REF!</definedName>
    <definedName name="SIG_CCCRPV3_firstLine" localSheetId="5" hidden="1">#REF!</definedName>
    <definedName name="SIG_CCCRPV3_firstLine" localSheetId="12" hidden="1">#REF!</definedName>
    <definedName name="SIG_CCCRPV3_firstLine" hidden="1">#REF!</definedName>
    <definedName name="SIG_CCCRPV3_H001" localSheetId="5" hidden="1">#REF!</definedName>
    <definedName name="SIG_CCCRPV3_H001" localSheetId="12" hidden="1">#REF!</definedName>
    <definedName name="SIG_CCCRPV3_H001" hidden="1">#REF!</definedName>
    <definedName name="SIG_CCCRPV3_H002" localSheetId="5" hidden="1">#REF!</definedName>
    <definedName name="SIG_CCCRPV3_H002" localSheetId="12" hidden="1">#REF!</definedName>
    <definedName name="SIG_CCCRPV3_H002" hidden="1">#REF!</definedName>
    <definedName name="SIG_CCCRPV3_H003" localSheetId="5" hidden="1">#REF!</definedName>
    <definedName name="SIG_CCCRPV3_H003" localSheetId="12" hidden="1">#REF!</definedName>
    <definedName name="SIG_CCCRPV3_H003" hidden="1">#REF!</definedName>
    <definedName name="SIG_CCCRPV3_H004" localSheetId="5" hidden="1">#REF!</definedName>
    <definedName name="SIG_CCCRPV3_H004" localSheetId="12" hidden="1">#REF!</definedName>
    <definedName name="SIG_CCCRPV3_H004" hidden="1">#REF!</definedName>
    <definedName name="SIG_CCCRPV3_H005" localSheetId="5" hidden="1">#REF!</definedName>
    <definedName name="SIG_CCCRPV3_H005" localSheetId="12" hidden="1">#REF!</definedName>
    <definedName name="SIG_CCCRPV3_H005" hidden="1">#REF!</definedName>
    <definedName name="SIG_CCCRPV3_H006" localSheetId="5" hidden="1">#REF!</definedName>
    <definedName name="SIG_CCCRPV3_H006" localSheetId="12" hidden="1">#REF!</definedName>
    <definedName name="SIG_CCCRPV3_H006" hidden="1">#REF!</definedName>
    <definedName name="SIG_CCCRPV3_H007" localSheetId="5" hidden="1">#REF!</definedName>
    <definedName name="SIG_CCCRPV3_H007" localSheetId="12" hidden="1">#REF!</definedName>
    <definedName name="SIG_CCCRPV3_H007" hidden="1">#REF!</definedName>
    <definedName name="SIG_CCCRPV3_H008" localSheetId="5" hidden="1">#REF!</definedName>
    <definedName name="SIG_CCCRPV3_H008" localSheetId="12" hidden="1">#REF!</definedName>
    <definedName name="SIG_CCCRPV3_H008" hidden="1">#REF!</definedName>
    <definedName name="SIG_CCCRPV3_H009" localSheetId="5" hidden="1">#REF!</definedName>
    <definedName name="SIG_CCCRPV3_H009" localSheetId="12" hidden="1">#REF!</definedName>
    <definedName name="SIG_CCCRPV3_H009" hidden="1">#REF!</definedName>
    <definedName name="SIG_CCCRPV3_H010" localSheetId="5" hidden="1">#REF!</definedName>
    <definedName name="SIG_CCCRPV3_H010" localSheetId="12" hidden="1">#REF!</definedName>
    <definedName name="SIG_CCCRPV3_H010" hidden="1">#REF!</definedName>
    <definedName name="SIG_CCCRPV3_H011" localSheetId="5" hidden="1">#REF!</definedName>
    <definedName name="SIG_CCCRPV3_H011" localSheetId="12" hidden="1">#REF!</definedName>
    <definedName name="SIG_CCCRPV3_H011" hidden="1">#REF!</definedName>
    <definedName name="SIG_CCCRPV3_H012" localSheetId="5" hidden="1">#REF!</definedName>
    <definedName name="SIG_CCCRPV3_H012" localSheetId="12" hidden="1">#REF!</definedName>
    <definedName name="SIG_CCCRPV3_H012" hidden="1">#REF!</definedName>
    <definedName name="SIG_CCCRPV3_H013" localSheetId="5" hidden="1">#REF!</definedName>
    <definedName name="SIG_CCCRPV3_H013" localSheetId="12" hidden="1">#REF!</definedName>
    <definedName name="SIG_CCCRPV3_H013" hidden="1">#REF!</definedName>
    <definedName name="SIG_CCCRPV3_IsControlOK" localSheetId="5" hidden="1">#REF!</definedName>
    <definedName name="SIG_CCCRPV3_IsControlOK" localSheetId="12" hidden="1">#REF!</definedName>
    <definedName name="SIG_CCCRPV3_IsControlOK" hidden="1">#REF!</definedName>
    <definedName name="SIG_CCCRPV3_lastLine" localSheetId="5" hidden="1">#REF!</definedName>
    <definedName name="SIG_CCCRPV3_lastLine" localSheetId="12" hidden="1">#REF!</definedName>
    <definedName name="SIG_CCCRPV3_lastLine" hidden="1">#REF!</definedName>
    <definedName name="SIG_CCCRPV3_TITLELINE" localSheetId="5" hidden="1">#REF!</definedName>
    <definedName name="SIG_CCCRPV3_TITLELINE" localSheetId="12" hidden="1">#REF!</definedName>
    <definedName name="SIG_CCCRPV3_TITLELINE" hidden="1">#REF!</definedName>
    <definedName name="SIG_CCCRPV4_firstLine" localSheetId="5" hidden="1">#REF!</definedName>
    <definedName name="SIG_CCCRPV4_firstLine" localSheetId="12" hidden="1">#REF!</definedName>
    <definedName name="SIG_CCCRPV4_firstLine" hidden="1">#REF!</definedName>
    <definedName name="SIG_CCCRPV4_H001" localSheetId="5" hidden="1">#REF!</definedName>
    <definedName name="SIG_CCCRPV4_H001" localSheetId="12" hidden="1">#REF!</definedName>
    <definedName name="SIG_CCCRPV4_H001" hidden="1">#REF!</definedName>
    <definedName name="SIG_CCCRPV4_H002" localSheetId="5" hidden="1">#REF!</definedName>
    <definedName name="SIG_CCCRPV4_H002" localSheetId="12" hidden="1">#REF!</definedName>
    <definedName name="SIG_CCCRPV4_H002" hidden="1">#REF!</definedName>
    <definedName name="SIG_CCCRPV4_H003" localSheetId="5" hidden="1">#REF!</definedName>
    <definedName name="SIG_CCCRPV4_H003" localSheetId="12" hidden="1">#REF!</definedName>
    <definedName name="SIG_CCCRPV4_H003" hidden="1">#REF!</definedName>
    <definedName name="SIG_CCCRPV4_H004" localSheetId="5" hidden="1">#REF!</definedName>
    <definedName name="SIG_CCCRPV4_H004" localSheetId="12" hidden="1">#REF!</definedName>
    <definedName name="SIG_CCCRPV4_H004" hidden="1">#REF!</definedName>
    <definedName name="SIG_CCCRPV4_H005" localSheetId="5" hidden="1">#REF!</definedName>
    <definedName name="SIG_CCCRPV4_H005" localSheetId="12" hidden="1">#REF!</definedName>
    <definedName name="SIG_CCCRPV4_H005" hidden="1">#REF!</definedName>
    <definedName name="SIG_CCCRPV4_H006" localSheetId="5" hidden="1">#REF!</definedName>
    <definedName name="SIG_CCCRPV4_H006" localSheetId="12" hidden="1">#REF!</definedName>
    <definedName name="SIG_CCCRPV4_H006" hidden="1">#REF!</definedName>
    <definedName name="SIG_CCCRPV4_H007" localSheetId="5" hidden="1">#REF!</definedName>
    <definedName name="SIG_CCCRPV4_H007" localSheetId="12" hidden="1">#REF!</definedName>
    <definedName name="SIG_CCCRPV4_H007" hidden="1">#REF!</definedName>
    <definedName name="SIG_CCCRPV4_H008" localSheetId="5" hidden="1">#REF!</definedName>
    <definedName name="SIG_CCCRPV4_H008" localSheetId="12" hidden="1">#REF!</definedName>
    <definedName name="SIG_CCCRPV4_H008" hidden="1">#REF!</definedName>
    <definedName name="SIG_CCCRPV4_H009" localSheetId="5" hidden="1">#REF!</definedName>
    <definedName name="SIG_CCCRPV4_H009" localSheetId="12" hidden="1">#REF!</definedName>
    <definedName name="SIG_CCCRPV4_H009" hidden="1">#REF!</definedName>
    <definedName name="SIG_CCCRPV4_H010" localSheetId="5" hidden="1">#REF!</definedName>
    <definedName name="SIG_CCCRPV4_H010" localSheetId="12" hidden="1">#REF!</definedName>
    <definedName name="SIG_CCCRPV4_H010" hidden="1">#REF!</definedName>
    <definedName name="SIG_CCCRPV4_H011" localSheetId="5" hidden="1">#REF!</definedName>
    <definedName name="SIG_CCCRPV4_H011" localSheetId="12" hidden="1">#REF!</definedName>
    <definedName name="SIG_CCCRPV4_H011" hidden="1">#REF!</definedName>
    <definedName name="SIG_CCCRPV4_H012" localSheetId="5" hidden="1">#REF!</definedName>
    <definedName name="SIG_CCCRPV4_H012" localSheetId="12" hidden="1">#REF!</definedName>
    <definedName name="SIG_CCCRPV4_H012" hidden="1">#REF!</definedName>
    <definedName name="SIG_CCCRPV4_H013" localSheetId="5" hidden="1">#REF!</definedName>
    <definedName name="SIG_CCCRPV4_H013" localSheetId="12" hidden="1">#REF!</definedName>
    <definedName name="SIG_CCCRPV4_H013" hidden="1">#REF!</definedName>
    <definedName name="SIG_CCCRPV4_IsControlOK" localSheetId="5" hidden="1">#REF!</definedName>
    <definedName name="SIG_CCCRPV4_IsControlOK" localSheetId="12" hidden="1">#REF!</definedName>
    <definedName name="SIG_CCCRPV4_IsControlOK" hidden="1">#REF!</definedName>
    <definedName name="SIG_CCCRPV4_lastLine" localSheetId="5" hidden="1">#REF!</definedName>
    <definedName name="SIG_CCCRPV4_lastLine" localSheetId="12" hidden="1">#REF!</definedName>
    <definedName name="SIG_CCCRPV4_lastLine" hidden="1">#REF!</definedName>
    <definedName name="SIG_CCCRPV4_TITLELINE" localSheetId="5" hidden="1">#REF!</definedName>
    <definedName name="SIG_CCCRPV4_TITLELINE" localSheetId="12" hidden="1">#REF!</definedName>
    <definedName name="SIG_CCCRPV4_TITLELINE" hidden="1">#REF!</definedName>
    <definedName name="SIG_CCCRPV5_firstLine" localSheetId="5" hidden="1">#REF!</definedName>
    <definedName name="SIG_CCCRPV5_firstLine" localSheetId="12" hidden="1">#REF!</definedName>
    <definedName name="SIG_CCCRPV5_firstLine" hidden="1">#REF!</definedName>
    <definedName name="SIG_CCCRPV5_H001" localSheetId="5" hidden="1">#REF!</definedName>
    <definedName name="SIG_CCCRPV5_H001" localSheetId="12" hidden="1">#REF!</definedName>
    <definedName name="SIG_CCCRPV5_H001" hidden="1">#REF!</definedName>
    <definedName name="SIG_CCCRPV5_H002" localSheetId="5" hidden="1">#REF!</definedName>
    <definedName name="SIG_CCCRPV5_H002" localSheetId="12" hidden="1">#REF!</definedName>
    <definedName name="SIG_CCCRPV5_H002" hidden="1">#REF!</definedName>
    <definedName name="SIG_CCCRPV5_H003" localSheetId="5" hidden="1">#REF!</definedName>
    <definedName name="SIG_CCCRPV5_H003" localSheetId="12" hidden="1">#REF!</definedName>
    <definedName name="SIG_CCCRPV5_H003" hidden="1">#REF!</definedName>
    <definedName name="SIG_CCCRPV5_H004" localSheetId="5" hidden="1">#REF!</definedName>
    <definedName name="SIG_CCCRPV5_H004" localSheetId="12" hidden="1">#REF!</definedName>
    <definedName name="SIG_CCCRPV5_H004" hidden="1">#REF!</definedName>
    <definedName name="SIG_CCCRPV5_H005" localSheetId="5" hidden="1">#REF!</definedName>
    <definedName name="SIG_CCCRPV5_H005" localSheetId="12" hidden="1">#REF!</definedName>
    <definedName name="SIG_CCCRPV5_H005" hidden="1">#REF!</definedName>
    <definedName name="SIG_CCCRPV5_H006" localSheetId="5" hidden="1">#REF!</definedName>
    <definedName name="SIG_CCCRPV5_H006" localSheetId="12" hidden="1">#REF!</definedName>
    <definedName name="SIG_CCCRPV5_H006" hidden="1">#REF!</definedName>
    <definedName name="SIG_CCCRPV5_H007" localSheetId="5" hidden="1">#REF!</definedName>
    <definedName name="SIG_CCCRPV5_H007" localSheetId="12" hidden="1">#REF!</definedName>
    <definedName name="SIG_CCCRPV5_H007" hidden="1">#REF!</definedName>
    <definedName name="SIG_CCCRPV5_H008" localSheetId="5" hidden="1">#REF!</definedName>
    <definedName name="SIG_CCCRPV5_H008" localSheetId="12" hidden="1">#REF!</definedName>
    <definedName name="SIG_CCCRPV5_H008" hidden="1">#REF!</definedName>
    <definedName name="SIG_CCCRPV5_H009" localSheetId="5" hidden="1">#REF!</definedName>
    <definedName name="SIG_CCCRPV5_H009" localSheetId="12" hidden="1">#REF!</definedName>
    <definedName name="SIG_CCCRPV5_H009" hidden="1">#REF!</definedName>
    <definedName name="SIG_CCCRPV5_H010" localSheetId="5" hidden="1">#REF!</definedName>
    <definedName name="SIG_CCCRPV5_H010" localSheetId="12" hidden="1">#REF!</definedName>
    <definedName name="SIG_CCCRPV5_H010" hidden="1">#REF!</definedName>
    <definedName name="SIG_CCCRPV5_H011" localSheetId="5" hidden="1">#REF!</definedName>
    <definedName name="SIG_CCCRPV5_H011" localSheetId="12" hidden="1">#REF!</definedName>
    <definedName name="SIG_CCCRPV5_H011" hidden="1">#REF!</definedName>
    <definedName name="SIG_CCCRPV5_H012" localSheetId="5" hidden="1">#REF!</definedName>
    <definedName name="SIG_CCCRPV5_H012" localSheetId="12" hidden="1">#REF!</definedName>
    <definedName name="SIG_CCCRPV5_H012" hidden="1">#REF!</definedName>
    <definedName name="SIG_CCCRPV5_H013" localSheetId="5" hidden="1">#REF!</definedName>
    <definedName name="SIG_CCCRPV5_H013" localSheetId="12" hidden="1">#REF!</definedName>
    <definedName name="SIG_CCCRPV5_H013" hidden="1">#REF!</definedName>
    <definedName name="SIG_CCCRPV5_IsControlOK" localSheetId="5" hidden="1">#REF!</definedName>
    <definedName name="SIG_CCCRPV5_IsControlOK" localSheetId="12" hidden="1">#REF!</definedName>
    <definedName name="SIG_CCCRPV5_IsControlOK" hidden="1">#REF!</definedName>
    <definedName name="SIG_CCCRPV5_lastLine" localSheetId="5" hidden="1">#REF!</definedName>
    <definedName name="SIG_CCCRPV5_lastLine" localSheetId="12" hidden="1">#REF!</definedName>
    <definedName name="SIG_CCCRPV5_lastLine" hidden="1">#REF!</definedName>
    <definedName name="SIG_CCCRPV5_TITLELINE" localSheetId="5" hidden="1">#REF!</definedName>
    <definedName name="SIG_CCCRPV5_TITLELINE" localSheetId="12" hidden="1">#REF!</definedName>
    <definedName name="SIG_CCCRPV5_TITLELINE" hidden="1">#REF!</definedName>
    <definedName name="SIG_CCRA101_H178" localSheetId="5" hidden="1">#REF!</definedName>
    <definedName name="SIG_CCRA101_H178" localSheetId="8" hidden="1">#REF!</definedName>
    <definedName name="SIG_CCRA101_H178" hidden="1">#REF!</definedName>
    <definedName name="SIG_CCRA101_H179" localSheetId="5" hidden="1">#REF!</definedName>
    <definedName name="SIG_CCRA101_H179" localSheetId="8" hidden="1">#REF!</definedName>
    <definedName name="SIG_CCRA101_H179" hidden="1">#REF!</definedName>
    <definedName name="SIG_CCRA101_H180" localSheetId="5" hidden="1">#REF!</definedName>
    <definedName name="SIG_CCRA101_H180" localSheetId="8" hidden="1">#REF!</definedName>
    <definedName name="SIG_CCRA101_H180" hidden="1">#REF!</definedName>
    <definedName name="SIG_CCRA101_H181" localSheetId="5" hidden="1">#REF!</definedName>
    <definedName name="SIG_CCRA101_H181" localSheetId="8" hidden="1">#REF!</definedName>
    <definedName name="SIG_CCRA101_H181" hidden="1">#REF!</definedName>
    <definedName name="SIG_CCRA101_H182" localSheetId="5" hidden="1">#REF!</definedName>
    <definedName name="SIG_CCRA101_H182" localSheetId="8" hidden="1">#REF!</definedName>
    <definedName name="SIG_CCRA101_H182" hidden="1">#REF!</definedName>
    <definedName name="SIG_CCRA101_H183" localSheetId="5" hidden="1">#REF!</definedName>
    <definedName name="SIG_CCRA101_H183" localSheetId="8" hidden="1">#REF!</definedName>
    <definedName name="SIG_CCRA101_H183" hidden="1">#REF!</definedName>
    <definedName name="SIG_CCRA101_H184" localSheetId="5" hidden="1">#REF!</definedName>
    <definedName name="SIG_CCRA101_H184" localSheetId="8" hidden="1">#REF!</definedName>
    <definedName name="SIG_CCRA101_H184" hidden="1">#REF!</definedName>
    <definedName name="SIG_CCRA101_H185" localSheetId="5" hidden="1">#REF!</definedName>
    <definedName name="SIG_CCRA101_H185" localSheetId="8" hidden="1">#REF!</definedName>
    <definedName name="SIG_CCRA101_H185" hidden="1">#REF!</definedName>
    <definedName name="SIG_CCRA101_H186" localSheetId="5" hidden="1">#REF!</definedName>
    <definedName name="SIG_CCRA101_H186" localSheetId="8" hidden="1">#REF!</definedName>
    <definedName name="SIG_CCRA101_H186" hidden="1">#REF!</definedName>
    <definedName name="SIG_CCRA101_H187" localSheetId="5" hidden="1">#REF!</definedName>
    <definedName name="SIG_CCRA101_H187" localSheetId="8" hidden="1">#REF!</definedName>
    <definedName name="SIG_CCRA101_H187" hidden="1">#REF!</definedName>
    <definedName name="SIG_CCRA101_H188" localSheetId="5" hidden="1">#REF!</definedName>
    <definedName name="SIG_CCRA101_H188" localSheetId="8" hidden="1">#REF!</definedName>
    <definedName name="SIG_CCRA101_H188" hidden="1">#REF!</definedName>
    <definedName name="SIG_CCRA101_H189" localSheetId="5" hidden="1">#REF!</definedName>
    <definedName name="SIG_CCRA101_H189" localSheetId="8" hidden="1">#REF!</definedName>
    <definedName name="SIG_CCRA101_H189" hidden="1">#REF!</definedName>
    <definedName name="SIG_CCRA101_H190" localSheetId="5" hidden="1">#REF!</definedName>
    <definedName name="SIG_CCRA101_H190" localSheetId="8" hidden="1">#REF!</definedName>
    <definedName name="SIG_CCRA101_H190" hidden="1">#REF!</definedName>
    <definedName name="SIG_CCRA501_firstLine" localSheetId="5" hidden="1">#REF!</definedName>
    <definedName name="SIG_CCRA501_firstLine" localSheetId="8" hidden="1">#REF!</definedName>
    <definedName name="SIG_CCRA501_firstLine" hidden="1">#REF!</definedName>
    <definedName name="SIG_CCRA501_H219" localSheetId="5" hidden="1">#REF!</definedName>
    <definedName name="SIG_CCRA501_H219" localSheetId="8" hidden="1">#REF!</definedName>
    <definedName name="SIG_CCRA501_H219" hidden="1">#REF!</definedName>
    <definedName name="SIG_CCRA501_H220" localSheetId="5" hidden="1">#REF!</definedName>
    <definedName name="SIG_CCRA501_H220" localSheetId="8" hidden="1">#REF!</definedName>
    <definedName name="SIG_CCRA501_H220" hidden="1">#REF!</definedName>
    <definedName name="SIG_CCRA501_H221" localSheetId="5" hidden="1">#REF!</definedName>
    <definedName name="SIG_CCRA501_H221" localSheetId="8" hidden="1">#REF!</definedName>
    <definedName name="SIG_CCRA501_H221" hidden="1">#REF!</definedName>
    <definedName name="SIG_CCRA501_H222" localSheetId="5" hidden="1">#REF!</definedName>
    <definedName name="SIG_CCRA501_H222" localSheetId="8" hidden="1">#REF!</definedName>
    <definedName name="SIG_CCRA501_H222" hidden="1">#REF!</definedName>
    <definedName name="SIG_CCRA501_H223" localSheetId="5" hidden="1">#REF!</definedName>
    <definedName name="SIG_CCRA501_H223" localSheetId="8" hidden="1">#REF!</definedName>
    <definedName name="SIG_CCRA501_H223" hidden="1">#REF!</definedName>
    <definedName name="SIG_CCRA501_H224" localSheetId="5" hidden="1">#REF!</definedName>
    <definedName name="SIG_CCRA501_H224" localSheetId="8" hidden="1">#REF!</definedName>
    <definedName name="SIG_CCRA501_H224" hidden="1">#REF!</definedName>
    <definedName name="SIG_CCRA501_H225" localSheetId="5" hidden="1">#REF!</definedName>
    <definedName name="SIG_CCRA501_H225" localSheetId="8" hidden="1">#REF!</definedName>
    <definedName name="SIG_CCRA501_H225" hidden="1">#REF!</definedName>
    <definedName name="SIG_CCRA501_H226" localSheetId="5" hidden="1">#REF!</definedName>
    <definedName name="SIG_CCRA501_H226" localSheetId="8" hidden="1">#REF!</definedName>
    <definedName name="SIG_CCRA501_H226" hidden="1">#REF!</definedName>
    <definedName name="SIG_CCRA501_H227" localSheetId="5" hidden="1">#REF!</definedName>
    <definedName name="SIG_CCRA501_H227" localSheetId="8" hidden="1">#REF!</definedName>
    <definedName name="SIG_CCRA501_H227" hidden="1">#REF!</definedName>
    <definedName name="SIG_CCRA501_H228" localSheetId="5" hidden="1">#REF!</definedName>
    <definedName name="SIG_CCRA501_H228" localSheetId="8" hidden="1">#REF!</definedName>
    <definedName name="SIG_CCRA501_H228" hidden="1">#REF!</definedName>
    <definedName name="SIG_CCRA501_H229" localSheetId="5" hidden="1">#REF!</definedName>
    <definedName name="SIG_CCRA501_H229" localSheetId="8" hidden="1">#REF!</definedName>
    <definedName name="SIG_CCRA501_H229" hidden="1">#REF!</definedName>
    <definedName name="SIG_CCRA501_H230" localSheetId="5" hidden="1">#REF!</definedName>
    <definedName name="SIG_CCRA501_H230" localSheetId="8" hidden="1">#REF!</definedName>
    <definedName name="SIG_CCRA501_H230" hidden="1">#REF!</definedName>
    <definedName name="SIG_CCRA501_H231" localSheetId="5" hidden="1">#REF!</definedName>
    <definedName name="SIG_CCRA501_H231" localSheetId="8" hidden="1">#REF!</definedName>
    <definedName name="SIG_CCRA501_H231" hidden="1">#REF!</definedName>
    <definedName name="SIG_CCRA501_IsControlOK" localSheetId="5" hidden="1">#REF!</definedName>
    <definedName name="SIG_CCRA501_IsControlOK" localSheetId="8" hidden="1">#REF!</definedName>
    <definedName name="SIG_CCRA501_IsControlOK" hidden="1">#REF!</definedName>
    <definedName name="SIG_CCRA501_lastLine" localSheetId="5" hidden="1">#REF!</definedName>
    <definedName name="SIG_CCRA501_lastLine" localSheetId="8" hidden="1">#REF!</definedName>
    <definedName name="SIG_CCRA501_lastLine" hidden="1">#REF!</definedName>
    <definedName name="SIG_CCRA501_TITLECOL" localSheetId="5" hidden="1">#REF!</definedName>
    <definedName name="SIG_CCRA501_TITLECOL" localSheetId="8" hidden="1">#REF!</definedName>
    <definedName name="SIG_CCRA501_TITLECOL" hidden="1">#REF!</definedName>
    <definedName name="SIG_CCRA501_TITLELINE" localSheetId="5" hidden="1">#REF!</definedName>
    <definedName name="SIG_CCRA501_TITLELINE" localSheetId="8" hidden="1">#REF!</definedName>
    <definedName name="SIG_CCRA501_TITLELINE" hidden="1">#REF!</definedName>
    <definedName name="SIG_CONTROLE" localSheetId="5" hidden="1">#REF!</definedName>
    <definedName name="SIG_CONTROLE" localSheetId="8" hidden="1">#REF!</definedName>
    <definedName name="SIG_CONTROLE" hidden="1">#REF!</definedName>
    <definedName name="SIG_DERNIERECOLONNE" localSheetId="5" hidden="1">#REF!</definedName>
    <definedName name="SIG_DERNIERECOLONNE" localSheetId="8" hidden="1">#REF!</definedName>
    <definedName name="SIG_DERNIERECOLONNE" hidden="1">#REF!</definedName>
    <definedName name="SIG_IASCRPV1_firstLine" localSheetId="5" hidden="1">#REF!</definedName>
    <definedName name="SIG_IASCRPV1_firstLine" localSheetId="12" hidden="1">#REF!</definedName>
    <definedName name="SIG_IASCRPV1_firstLine" hidden="1">#REF!</definedName>
    <definedName name="SIG_IASCRPV1_H001" localSheetId="5" hidden="1">#REF!</definedName>
    <definedName name="SIG_IASCRPV1_H001" localSheetId="12" hidden="1">#REF!</definedName>
    <definedName name="SIG_IASCRPV1_H001" hidden="1">#REF!</definedName>
    <definedName name="SIG_IASCRPV1_H002" localSheetId="5" hidden="1">#REF!</definedName>
    <definedName name="SIG_IASCRPV1_H002" localSheetId="12" hidden="1">#REF!</definedName>
    <definedName name="SIG_IASCRPV1_H002" hidden="1">#REF!</definedName>
    <definedName name="SIG_IASCRPV1_H003" localSheetId="5" hidden="1">#REF!</definedName>
    <definedName name="SIG_IASCRPV1_H003" localSheetId="12" hidden="1">#REF!</definedName>
    <definedName name="SIG_IASCRPV1_H003" hidden="1">#REF!</definedName>
    <definedName name="SIG_IASCRPV1_H004" localSheetId="5" hidden="1">#REF!</definedName>
    <definedName name="SIG_IASCRPV1_H004" localSheetId="12" hidden="1">#REF!</definedName>
    <definedName name="SIG_IASCRPV1_H004" hidden="1">#REF!</definedName>
    <definedName name="SIG_IASCRPV1_H005" localSheetId="5" hidden="1">#REF!</definedName>
    <definedName name="SIG_IASCRPV1_H005" localSheetId="12" hidden="1">#REF!</definedName>
    <definedName name="SIG_IASCRPV1_H005" hidden="1">#REF!</definedName>
    <definedName name="SIG_IASCRPV1_H006" localSheetId="5" hidden="1">#REF!</definedName>
    <definedName name="SIG_IASCRPV1_H006" localSheetId="12" hidden="1">#REF!</definedName>
    <definedName name="SIG_IASCRPV1_H006" hidden="1">#REF!</definedName>
    <definedName name="SIG_IASCRPV1_H007" localSheetId="5" hidden="1">#REF!</definedName>
    <definedName name="SIG_IASCRPV1_H007" localSheetId="12" hidden="1">#REF!</definedName>
    <definedName name="SIG_IASCRPV1_H007" hidden="1">#REF!</definedName>
    <definedName name="SIG_IASCRPV1_H008" localSheetId="5" hidden="1">#REF!</definedName>
    <definedName name="SIG_IASCRPV1_H008" localSheetId="12" hidden="1">#REF!</definedName>
    <definedName name="SIG_IASCRPV1_H008" hidden="1">#REF!</definedName>
    <definedName name="SIG_IASCRPV1_H009" localSheetId="5" hidden="1">#REF!</definedName>
    <definedName name="SIG_IASCRPV1_H009" localSheetId="12" hidden="1">#REF!</definedName>
    <definedName name="SIG_IASCRPV1_H009" hidden="1">#REF!</definedName>
    <definedName name="SIG_IASCRPV1_H010" localSheetId="5" hidden="1">#REF!</definedName>
    <definedName name="SIG_IASCRPV1_H010" localSheetId="12" hidden="1">#REF!</definedName>
    <definedName name="SIG_IASCRPV1_H010" hidden="1">#REF!</definedName>
    <definedName name="SIG_IASCRPV1_H011" localSheetId="5" hidden="1">#REF!</definedName>
    <definedName name="SIG_IASCRPV1_H011" localSheetId="12" hidden="1">#REF!</definedName>
    <definedName name="SIG_IASCRPV1_H011" hidden="1">#REF!</definedName>
    <definedName name="SIG_IASCRPV1_H012" localSheetId="5" hidden="1">#REF!</definedName>
    <definedName name="SIG_IASCRPV1_H012" localSheetId="12" hidden="1">#REF!</definedName>
    <definedName name="SIG_IASCRPV1_H012" hidden="1">#REF!</definedName>
    <definedName name="SIG_IASCRPV1_H013" localSheetId="5" hidden="1">#REF!</definedName>
    <definedName name="SIG_IASCRPV1_H013" localSheetId="12" hidden="1">#REF!</definedName>
    <definedName name="SIG_IASCRPV1_H013" hidden="1">#REF!</definedName>
    <definedName name="SIG_IASCRPV1_IsControlOK" localSheetId="5" hidden="1">#REF!</definedName>
    <definedName name="SIG_IASCRPV1_IsControlOK" localSheetId="12" hidden="1">#REF!</definedName>
    <definedName name="SIG_IASCRPV1_IsControlOK" hidden="1">#REF!</definedName>
    <definedName name="SIG_IASCRPV1_lastLine" localSheetId="5" hidden="1">#REF!</definedName>
    <definedName name="SIG_IASCRPV1_lastLine" localSheetId="12" hidden="1">#REF!</definedName>
    <definedName name="SIG_IASCRPV1_lastLine" hidden="1">#REF!</definedName>
    <definedName name="SIG_IASCRPV1_TITLELINE" localSheetId="5" hidden="1">#REF!</definedName>
    <definedName name="SIG_IASCRPV1_TITLELINE" localSheetId="12" hidden="1">#REF!</definedName>
    <definedName name="SIG_IASCRPV1_TITLELINE" hidden="1">#REF!</definedName>
    <definedName name="SIG_IASCRPV2_firstLine" localSheetId="5" hidden="1">#REF!</definedName>
    <definedName name="SIG_IASCRPV2_firstLine" localSheetId="12" hidden="1">#REF!</definedName>
    <definedName name="SIG_IASCRPV2_firstLine" hidden="1">#REF!</definedName>
    <definedName name="SIG_IASCRPV2_H001" localSheetId="5" hidden="1">#REF!</definedName>
    <definedName name="SIG_IASCRPV2_H001" localSheetId="12" hidden="1">#REF!</definedName>
    <definedName name="SIG_IASCRPV2_H001" hidden="1">#REF!</definedName>
    <definedName name="SIG_IASCRPV2_H002" localSheetId="5" hidden="1">#REF!</definedName>
    <definedName name="SIG_IASCRPV2_H002" localSheetId="12" hidden="1">#REF!</definedName>
    <definedName name="SIG_IASCRPV2_H002" hidden="1">#REF!</definedName>
    <definedName name="SIG_IASCRPV2_H003" localSheetId="5" hidden="1">#REF!</definedName>
    <definedName name="SIG_IASCRPV2_H003" localSheetId="12" hidden="1">#REF!</definedName>
    <definedName name="SIG_IASCRPV2_H003" hidden="1">#REF!</definedName>
    <definedName name="SIG_IASCRPV2_H004" localSheetId="5" hidden="1">#REF!</definedName>
    <definedName name="SIG_IASCRPV2_H004" localSheetId="12" hidden="1">#REF!</definedName>
    <definedName name="SIG_IASCRPV2_H004" hidden="1">#REF!</definedName>
    <definedName name="SIG_IASCRPV2_H005" localSheetId="5" hidden="1">#REF!</definedName>
    <definedName name="SIG_IASCRPV2_H005" localSheetId="12" hidden="1">#REF!</definedName>
    <definedName name="SIG_IASCRPV2_H005" hidden="1">#REF!</definedName>
    <definedName name="SIG_IASCRPV2_H006" localSheetId="5" hidden="1">#REF!</definedName>
    <definedName name="SIG_IASCRPV2_H006" localSheetId="12" hidden="1">#REF!</definedName>
    <definedName name="SIG_IASCRPV2_H006" hidden="1">#REF!</definedName>
    <definedName name="SIG_IASCRPV2_H007" localSheetId="5" hidden="1">#REF!</definedName>
    <definedName name="SIG_IASCRPV2_H007" localSheetId="12" hidden="1">#REF!</definedName>
    <definedName name="SIG_IASCRPV2_H007" hidden="1">#REF!</definedName>
    <definedName name="SIG_IASCRPV2_H008" localSheetId="5" hidden="1">#REF!</definedName>
    <definedName name="SIG_IASCRPV2_H008" localSheetId="12" hidden="1">#REF!</definedName>
    <definedName name="SIG_IASCRPV2_H008" hidden="1">#REF!</definedName>
    <definedName name="SIG_IASCRPV2_H009" localSheetId="5" hidden="1">#REF!</definedName>
    <definedName name="SIG_IASCRPV2_H009" localSheetId="12" hidden="1">#REF!</definedName>
    <definedName name="SIG_IASCRPV2_H009" hidden="1">#REF!</definedName>
    <definedName name="SIG_IASCRPV2_H010" localSheetId="5" hidden="1">#REF!</definedName>
    <definedName name="SIG_IASCRPV2_H010" localSheetId="12" hidden="1">#REF!</definedName>
    <definedName name="SIG_IASCRPV2_H010" hidden="1">#REF!</definedName>
    <definedName name="SIG_IASCRPV2_H011" localSheetId="5" hidden="1">#REF!</definedName>
    <definedName name="SIG_IASCRPV2_H011" localSheetId="12" hidden="1">#REF!</definedName>
    <definedName name="SIG_IASCRPV2_H011" hidden="1">#REF!</definedName>
    <definedName name="SIG_IASCRPV2_H012" localSheetId="5" hidden="1">#REF!</definedName>
    <definedName name="SIG_IASCRPV2_H012" localSheetId="12" hidden="1">#REF!</definedName>
    <definedName name="SIG_IASCRPV2_H012" hidden="1">#REF!</definedName>
    <definedName name="SIG_IASCRPV2_H013" localSheetId="5" hidden="1">#REF!</definedName>
    <definedName name="SIG_IASCRPV2_H013" localSheetId="12" hidden="1">#REF!</definedName>
    <definedName name="SIG_IASCRPV2_H013" hidden="1">#REF!</definedName>
    <definedName name="SIG_IASCRPV2_IsControlOK" localSheetId="5" hidden="1">#REF!</definedName>
    <definedName name="SIG_IASCRPV2_IsControlOK" localSheetId="12" hidden="1">#REF!</definedName>
    <definedName name="SIG_IASCRPV2_IsControlOK" hidden="1">#REF!</definedName>
    <definedName name="SIG_IASCRPV2_lastLine" localSheetId="5" hidden="1">#REF!</definedName>
    <definedName name="SIG_IASCRPV2_lastLine" localSheetId="12" hidden="1">#REF!</definedName>
    <definedName name="SIG_IASCRPV2_lastLine" hidden="1">#REF!</definedName>
    <definedName name="SIG_IASCRPV2_TITLELINE" localSheetId="5" hidden="1">#REF!</definedName>
    <definedName name="SIG_IASCRPV2_TITLELINE" localSheetId="12" hidden="1">#REF!</definedName>
    <definedName name="SIG_IASCRPV2_TITLELINE" hidden="1">#REF!</definedName>
    <definedName name="SIG_IASPV1IG_firstLine" localSheetId="5" hidden="1">#REF!</definedName>
    <definedName name="SIG_IASPV1IG_firstLine" localSheetId="12" hidden="1">#REF!</definedName>
    <definedName name="SIG_IASPV1IG_firstLine" hidden="1">#REF!</definedName>
    <definedName name="SIG_IASPV1IG_H001" localSheetId="5" hidden="1">#REF!</definedName>
    <definedName name="SIG_IASPV1IG_H001" localSheetId="12" hidden="1">#REF!</definedName>
    <definedName name="SIG_IASPV1IG_H001" hidden="1">#REF!</definedName>
    <definedName name="SIG_IASPV1IG_H002" localSheetId="5" hidden="1">#REF!</definedName>
    <definedName name="SIG_IASPV1IG_H002" localSheetId="12" hidden="1">#REF!</definedName>
    <definedName name="SIG_IASPV1IG_H002" hidden="1">#REF!</definedName>
    <definedName name="SIG_IASPV1IG_H003" localSheetId="5" hidden="1">#REF!</definedName>
    <definedName name="SIG_IASPV1IG_H003" localSheetId="12" hidden="1">#REF!</definedName>
    <definedName name="SIG_IASPV1IG_H003" hidden="1">#REF!</definedName>
    <definedName name="SIG_IASPV1IG_H004" localSheetId="5" hidden="1">#REF!</definedName>
    <definedName name="SIG_IASPV1IG_H004" localSheetId="12" hidden="1">#REF!</definedName>
    <definedName name="SIG_IASPV1IG_H004" hidden="1">#REF!</definedName>
    <definedName name="SIG_IASPV1IG_H005" localSheetId="5" hidden="1">#REF!</definedName>
    <definedName name="SIG_IASPV1IG_H005" localSheetId="12" hidden="1">#REF!</definedName>
    <definedName name="SIG_IASPV1IG_H005" hidden="1">#REF!</definedName>
    <definedName name="SIG_IASPV1IG_H006" localSheetId="5" hidden="1">#REF!</definedName>
    <definedName name="SIG_IASPV1IG_H006" localSheetId="12" hidden="1">#REF!</definedName>
    <definedName name="SIG_IASPV1IG_H006" hidden="1">#REF!</definedName>
    <definedName name="SIG_IASPV1IG_H007" localSheetId="5" hidden="1">#REF!</definedName>
    <definedName name="SIG_IASPV1IG_H007" localSheetId="12" hidden="1">#REF!</definedName>
    <definedName name="SIG_IASPV1IG_H007" hidden="1">#REF!</definedName>
    <definedName name="SIG_IASPV1IG_H008" localSheetId="5" hidden="1">#REF!</definedName>
    <definedName name="SIG_IASPV1IG_H008" localSheetId="12" hidden="1">#REF!</definedName>
    <definedName name="SIG_IASPV1IG_H008" hidden="1">#REF!</definedName>
    <definedName name="SIG_IASPV1IG_H009" localSheetId="5" hidden="1">#REF!</definedName>
    <definedName name="SIG_IASPV1IG_H009" localSheetId="12" hidden="1">#REF!</definedName>
    <definedName name="SIG_IASPV1IG_H009" hidden="1">#REF!</definedName>
    <definedName name="SIG_IASPV1IG_H010" localSheetId="5" hidden="1">#REF!</definedName>
    <definedName name="SIG_IASPV1IG_H010" localSheetId="12" hidden="1">#REF!</definedName>
    <definedName name="SIG_IASPV1IG_H010" hidden="1">#REF!</definedName>
    <definedName name="SIG_IASPV1IG_H011" localSheetId="5" hidden="1">#REF!</definedName>
    <definedName name="SIG_IASPV1IG_H011" localSheetId="12" hidden="1">#REF!</definedName>
    <definedName name="SIG_IASPV1IG_H011" hidden="1">#REF!</definedName>
    <definedName name="SIG_IASPV1IG_H012" localSheetId="5" hidden="1">#REF!</definedName>
    <definedName name="SIG_IASPV1IG_H012" localSheetId="12" hidden="1">#REF!</definedName>
    <definedName name="SIG_IASPV1IG_H012" hidden="1">#REF!</definedName>
    <definedName name="SIG_IASPV1IG_H013" localSheetId="5" hidden="1">#REF!</definedName>
    <definedName name="SIG_IASPV1IG_H013" localSheetId="12" hidden="1">#REF!</definedName>
    <definedName name="SIG_IASPV1IG_H013" hidden="1">#REF!</definedName>
    <definedName name="SIG_IASPV1IG_H014" localSheetId="5" hidden="1">#REF!</definedName>
    <definedName name="SIG_IASPV1IG_H014" localSheetId="12" hidden="1">#REF!</definedName>
    <definedName name="SIG_IASPV1IG_H014" hidden="1">#REF!</definedName>
    <definedName name="SIG_IASPV1IG_H015" localSheetId="5" hidden="1">#REF!</definedName>
    <definedName name="SIG_IASPV1IG_H015" localSheetId="12" hidden="1">#REF!</definedName>
    <definedName name="SIG_IASPV1IG_H015" hidden="1">#REF!</definedName>
    <definedName name="SIG_IASPV1IG_H016" localSheetId="5" hidden="1">#REF!</definedName>
    <definedName name="SIG_IASPV1IG_H016" localSheetId="12" hidden="1">#REF!</definedName>
    <definedName name="SIG_IASPV1IG_H016" hidden="1">#REF!</definedName>
    <definedName name="SIG_IASPV1IG_H017" localSheetId="5" hidden="1">#REF!</definedName>
    <definedName name="SIG_IASPV1IG_H017" localSheetId="12" hidden="1">#REF!</definedName>
    <definedName name="SIG_IASPV1IG_H017" hidden="1">#REF!</definedName>
    <definedName name="SIG_IASPV1IG_H018" localSheetId="5" hidden="1">#REF!</definedName>
    <definedName name="SIG_IASPV1IG_H018" localSheetId="12" hidden="1">#REF!</definedName>
    <definedName name="SIG_IASPV1IG_H018" hidden="1">#REF!</definedName>
    <definedName name="SIG_IASPV1IG_H019" localSheetId="5" hidden="1">#REF!</definedName>
    <definedName name="SIG_IASPV1IG_H019" localSheetId="12" hidden="1">#REF!</definedName>
    <definedName name="SIG_IASPV1IG_H019" hidden="1">#REF!</definedName>
    <definedName name="SIG_IASPV1IG_IsControlOK" localSheetId="5" hidden="1">#REF!</definedName>
    <definedName name="SIG_IASPV1IG_IsControlOK" localSheetId="12" hidden="1">#REF!</definedName>
    <definedName name="SIG_IASPV1IG_IsControlOK" hidden="1">#REF!</definedName>
    <definedName name="SIG_IASPV1IG_lastLine" localSheetId="5" hidden="1">#REF!</definedName>
    <definedName name="SIG_IASPV1IG_lastLine" localSheetId="12" hidden="1">#REF!</definedName>
    <definedName name="SIG_IASPV1IG_lastLine" hidden="1">#REF!</definedName>
    <definedName name="SIG_IASPV1IG_TITLELINE" localSheetId="5" hidden="1">#REF!</definedName>
    <definedName name="SIG_IASPV1IG_TITLELINE" localSheetId="12" hidden="1">#REF!</definedName>
    <definedName name="SIG_IASPV1IG_TITLELINE" hidden="1">#REF!</definedName>
    <definedName name="SIG_IASPV2IG_firstLine" localSheetId="5" hidden="1">#REF!</definedName>
    <definedName name="SIG_IASPV2IG_firstLine" localSheetId="12" hidden="1">#REF!</definedName>
    <definedName name="SIG_IASPV2IG_firstLine" hidden="1">#REF!</definedName>
    <definedName name="SIG_IASPV2IG_H001" localSheetId="5" hidden="1">#REF!</definedName>
    <definedName name="SIG_IASPV2IG_H001" localSheetId="12" hidden="1">#REF!</definedName>
    <definedName name="SIG_IASPV2IG_H001" hidden="1">#REF!</definedName>
    <definedName name="SIG_IASPV2IG_H002" localSheetId="5" hidden="1">#REF!</definedName>
    <definedName name="SIG_IASPV2IG_H002" localSheetId="12" hidden="1">#REF!</definedName>
    <definedName name="SIG_IASPV2IG_H002" hidden="1">#REF!</definedName>
    <definedName name="SIG_IASPV2IG_H003" localSheetId="5" hidden="1">#REF!</definedName>
    <definedName name="SIG_IASPV2IG_H003" localSheetId="12" hidden="1">#REF!</definedName>
    <definedName name="SIG_IASPV2IG_H003" hidden="1">#REF!</definedName>
    <definedName name="SIG_IASPV2IG_H004" localSheetId="5" hidden="1">#REF!</definedName>
    <definedName name="SIG_IASPV2IG_H004" localSheetId="12" hidden="1">#REF!</definedName>
    <definedName name="SIG_IASPV2IG_H004" hidden="1">#REF!</definedName>
    <definedName name="SIG_IASPV2IG_H005" localSheetId="5" hidden="1">#REF!</definedName>
    <definedName name="SIG_IASPV2IG_H005" localSheetId="12" hidden="1">#REF!</definedName>
    <definedName name="SIG_IASPV2IG_H005" hidden="1">#REF!</definedName>
    <definedName name="SIG_IASPV2IG_H006" localSheetId="5" hidden="1">#REF!</definedName>
    <definedName name="SIG_IASPV2IG_H006" localSheetId="12" hidden="1">#REF!</definedName>
    <definedName name="SIG_IASPV2IG_H006" hidden="1">#REF!</definedName>
    <definedName name="SIG_IASPV2IG_H007" localSheetId="5" hidden="1">#REF!</definedName>
    <definedName name="SIG_IASPV2IG_H007" localSheetId="12" hidden="1">#REF!</definedName>
    <definedName name="SIG_IASPV2IG_H007" hidden="1">#REF!</definedName>
    <definedName name="SIG_IASPV2IG_H008" localSheetId="5" hidden="1">#REF!</definedName>
    <definedName name="SIG_IASPV2IG_H008" localSheetId="12" hidden="1">#REF!</definedName>
    <definedName name="SIG_IASPV2IG_H008" hidden="1">#REF!</definedName>
    <definedName name="SIG_IASPV2IG_H009" localSheetId="5" hidden="1">#REF!</definedName>
    <definedName name="SIG_IASPV2IG_H009" localSheetId="12" hidden="1">#REF!</definedName>
    <definedName name="SIG_IASPV2IG_H009" hidden="1">#REF!</definedName>
    <definedName name="SIG_IASPV2IG_H010" localSheetId="5" hidden="1">#REF!</definedName>
    <definedName name="SIG_IASPV2IG_H010" localSheetId="12" hidden="1">#REF!</definedName>
    <definedName name="SIG_IASPV2IG_H010" hidden="1">#REF!</definedName>
    <definedName name="SIG_IASPV2IG_H011" localSheetId="5" hidden="1">#REF!</definedName>
    <definedName name="SIG_IASPV2IG_H011" localSheetId="12" hidden="1">#REF!</definedName>
    <definedName name="SIG_IASPV2IG_H011" hidden="1">#REF!</definedName>
    <definedName name="SIG_IASPV2IG_H012" localSheetId="5" hidden="1">#REF!</definedName>
    <definedName name="SIG_IASPV2IG_H012" localSheetId="12" hidden="1">#REF!</definedName>
    <definedName name="SIG_IASPV2IG_H012" hidden="1">#REF!</definedName>
    <definedName name="SIG_IASPV2IG_H013" localSheetId="5" hidden="1">#REF!</definedName>
    <definedName name="SIG_IASPV2IG_H013" localSheetId="12" hidden="1">#REF!</definedName>
    <definedName name="SIG_IASPV2IG_H013" hidden="1">#REF!</definedName>
    <definedName name="SIG_IASPV2IG_H014" localSheetId="5" hidden="1">#REF!</definedName>
    <definedName name="SIG_IASPV2IG_H014" localSheetId="12" hidden="1">#REF!</definedName>
    <definedName name="SIG_IASPV2IG_H014" hidden="1">#REF!</definedName>
    <definedName name="SIG_IASPV2IG_H015" localSheetId="5" hidden="1">#REF!</definedName>
    <definedName name="SIG_IASPV2IG_H015" localSheetId="12" hidden="1">#REF!</definedName>
    <definedName name="SIG_IASPV2IG_H015" hidden="1">#REF!</definedName>
    <definedName name="SIG_IASPV2IG_H016" localSheetId="5" hidden="1">#REF!</definedName>
    <definedName name="SIG_IASPV2IG_H016" localSheetId="12" hidden="1">#REF!</definedName>
    <definedName name="SIG_IASPV2IG_H016" hidden="1">#REF!</definedName>
    <definedName name="SIG_IASPV2IG_H017" localSheetId="5" hidden="1">#REF!</definedName>
    <definedName name="SIG_IASPV2IG_H017" localSheetId="12" hidden="1">#REF!</definedName>
    <definedName name="SIG_IASPV2IG_H017" hidden="1">#REF!</definedName>
    <definedName name="SIG_IASPV2IG_H018" localSheetId="5" hidden="1">#REF!</definedName>
    <definedName name="SIG_IASPV2IG_H018" localSheetId="12" hidden="1">#REF!</definedName>
    <definedName name="SIG_IASPV2IG_H018" hidden="1">#REF!</definedName>
    <definedName name="SIG_IASPV2IG_H019" localSheetId="5" hidden="1">#REF!</definedName>
    <definedName name="SIG_IASPV2IG_H019" localSheetId="12" hidden="1">#REF!</definedName>
    <definedName name="SIG_IASPV2IG_H019" hidden="1">#REF!</definedName>
    <definedName name="SIG_IASPV2IG_IsControlOK" localSheetId="5" hidden="1">#REF!</definedName>
    <definedName name="SIG_IASPV2IG_IsControlOK" localSheetId="12" hidden="1">#REF!</definedName>
    <definedName name="SIG_IASPV2IG_IsControlOK" hidden="1">#REF!</definedName>
    <definedName name="SIG_IASPV2IG_lastLine" localSheetId="5" hidden="1">#REF!</definedName>
    <definedName name="SIG_IASPV2IG_lastLine" localSheetId="12" hidden="1">#REF!</definedName>
    <definedName name="SIG_IASPV2IG_lastLine" hidden="1">#REF!</definedName>
    <definedName name="SIG_IASPV2IG_TITLELINE" localSheetId="5" hidden="1">#REF!</definedName>
    <definedName name="SIG_IASPV2IG_TITLELINE" localSheetId="12" hidden="1">#REF!</definedName>
    <definedName name="SIG_IASPV2IG_TITLELINE" hidden="1">#REF!</definedName>
    <definedName name="SIG_MES_H002" localSheetId="5" hidden="1">#REF!</definedName>
    <definedName name="SIG_MES_H002" localSheetId="12" hidden="1">#REF!</definedName>
    <definedName name="SIG_MES_H002" hidden="1">#REF!</definedName>
    <definedName name="SIG_MES_H003" localSheetId="5" hidden="1">#REF!</definedName>
    <definedName name="SIG_MES_H003" localSheetId="12" hidden="1">#REF!</definedName>
    <definedName name="SIG_MES_H003" hidden="1">#REF!</definedName>
    <definedName name="SIG_MES_H004" localSheetId="5" hidden="1">#REF!</definedName>
    <definedName name="SIG_MES_H004" localSheetId="12" hidden="1">#REF!</definedName>
    <definedName name="SIG_MES_H004" hidden="1">#REF!</definedName>
    <definedName name="SIG_MES_H005" localSheetId="5" hidden="1">#REF!</definedName>
    <definedName name="SIG_MES_H005" localSheetId="12" hidden="1">#REF!</definedName>
    <definedName name="SIG_MES_H005" hidden="1">#REF!</definedName>
    <definedName name="SIG_MES_H006" localSheetId="5" hidden="1">#REF!</definedName>
    <definedName name="SIG_MES_H006" localSheetId="12" hidden="1">#REF!</definedName>
    <definedName name="SIG_MES_H006" hidden="1">#REF!</definedName>
    <definedName name="SIG_MES_H007" localSheetId="5" hidden="1">#REF!</definedName>
    <definedName name="SIG_MES_H007" localSheetId="12" hidden="1">#REF!</definedName>
    <definedName name="SIG_MES_H007" hidden="1">#REF!</definedName>
    <definedName name="SIG_MES_H008" localSheetId="5" hidden="1">#REF!</definedName>
    <definedName name="SIG_MES_H008" localSheetId="12" hidden="1">#REF!</definedName>
    <definedName name="SIG_MES_H008" hidden="1">#REF!</definedName>
    <definedName name="SIG_MES_H009" localSheetId="5" hidden="1">#REF!</definedName>
    <definedName name="SIG_MES_H009" localSheetId="12" hidden="1">#REF!</definedName>
    <definedName name="SIG_MES_H009" hidden="1">#REF!</definedName>
    <definedName name="SIG_MES_H010" localSheetId="5" hidden="1">#REF!</definedName>
    <definedName name="SIG_MES_H010" localSheetId="12" hidden="1">#REF!</definedName>
    <definedName name="SIG_MES_H010" hidden="1">#REF!</definedName>
    <definedName name="SIG_MES_H011" localSheetId="5" hidden="1">#REF!</definedName>
    <definedName name="SIG_MES_H011" localSheetId="12" hidden="1">#REF!</definedName>
    <definedName name="SIG_MES_H011" hidden="1">#REF!</definedName>
    <definedName name="SIG_MES_H012" localSheetId="5" hidden="1">#REF!</definedName>
    <definedName name="SIG_MES_H012" localSheetId="12" hidden="1">#REF!</definedName>
    <definedName name="SIG_MES_H012" hidden="1">#REF!</definedName>
    <definedName name="SIG_MES_H013" localSheetId="5" hidden="1">#REF!</definedName>
    <definedName name="SIG_MES_H013" localSheetId="12" hidden="1">#REF!</definedName>
    <definedName name="SIG_MES_H013" hidden="1">#REF!</definedName>
    <definedName name="SIG_MES_H015" localSheetId="5" hidden="1">#REF!</definedName>
    <definedName name="SIG_MES_H015" localSheetId="12" hidden="1">#REF!</definedName>
    <definedName name="SIG_MES_H015" hidden="1">#REF!</definedName>
    <definedName name="SIG_MES_H016" localSheetId="5" hidden="1">#REF!</definedName>
    <definedName name="SIG_MES_H016" localSheetId="12" hidden="1">#REF!</definedName>
    <definedName name="SIG_MES_H016" hidden="1">#REF!</definedName>
    <definedName name="SIG_MES05_H002" localSheetId="5" hidden="1">#REF!</definedName>
    <definedName name="SIG_MES05_H002" localSheetId="8" hidden="1">#REF!</definedName>
    <definedName name="SIG_MES05_H002" hidden="1">#REF!</definedName>
    <definedName name="SIG_MES05_H003" localSheetId="5" hidden="1">#REF!</definedName>
    <definedName name="SIG_MES05_H003" localSheetId="8" hidden="1">#REF!</definedName>
    <definedName name="SIG_MES05_H003" hidden="1">#REF!</definedName>
    <definedName name="SIG_MES05_H004" localSheetId="5" hidden="1">#REF!</definedName>
    <definedName name="SIG_MES05_H004" localSheetId="8" hidden="1">#REF!</definedName>
    <definedName name="SIG_MES05_H004" hidden="1">#REF!</definedName>
    <definedName name="SIG_MES05_H005" localSheetId="5" hidden="1">#REF!</definedName>
    <definedName name="SIG_MES05_H005" localSheetId="8" hidden="1">#REF!</definedName>
    <definedName name="SIG_MES05_H005" hidden="1">#REF!</definedName>
    <definedName name="SIG_MES05_H006" localSheetId="5" hidden="1">#REF!</definedName>
    <definedName name="SIG_MES05_H006" localSheetId="8" hidden="1">#REF!</definedName>
    <definedName name="SIG_MES05_H006" hidden="1">#REF!</definedName>
    <definedName name="SIG_MES05_H007" localSheetId="5" hidden="1">#REF!</definedName>
    <definedName name="SIG_MES05_H007" localSheetId="8" hidden="1">#REF!</definedName>
    <definedName name="SIG_MES05_H007" hidden="1">#REF!</definedName>
    <definedName name="SIG_MES05_H008" localSheetId="5" hidden="1">#REF!</definedName>
    <definedName name="SIG_MES05_H008" localSheetId="8" hidden="1">#REF!</definedName>
    <definedName name="SIG_MES05_H008" hidden="1">#REF!</definedName>
    <definedName name="SIG_MES05_H010" localSheetId="5" hidden="1">#REF!</definedName>
    <definedName name="SIG_MES05_H010" localSheetId="8" hidden="1">#REF!</definedName>
    <definedName name="SIG_MES05_H010" hidden="1">#REF!</definedName>
    <definedName name="SIG_MES05_H011" localSheetId="5" hidden="1">#REF!</definedName>
    <definedName name="SIG_MES05_H011" localSheetId="8" hidden="1">#REF!</definedName>
    <definedName name="SIG_MES05_H011" hidden="1">#REF!</definedName>
    <definedName name="SIG_MES05_H012" localSheetId="5" hidden="1">#REF!</definedName>
    <definedName name="SIG_MES05_H012" localSheetId="8" hidden="1">#REF!</definedName>
    <definedName name="SIG_MES05_H012" hidden="1">#REF!</definedName>
    <definedName name="SIG_MES05_H013" localSheetId="5" hidden="1">#REF!</definedName>
    <definedName name="SIG_MES05_H013" localSheetId="8" hidden="1">#REF!</definedName>
    <definedName name="SIG_MES05_H013" hidden="1">#REF!</definedName>
    <definedName name="SIG_MES05_H014" localSheetId="5" hidden="1">#REF!</definedName>
    <definedName name="SIG_MES05_H014" localSheetId="8" hidden="1">#REF!</definedName>
    <definedName name="SIG_MES05_H014" hidden="1">#REF!</definedName>
    <definedName name="SIG_MES05_H015" localSheetId="5" hidden="1">#REF!</definedName>
    <definedName name="SIG_MES05_H015" localSheetId="8" hidden="1">#REF!</definedName>
    <definedName name="SIG_MES05_H015" hidden="1">#REF!</definedName>
    <definedName name="SIG_MES05_H016" localSheetId="5" hidden="1">#REF!</definedName>
    <definedName name="SIG_MES05_H016" localSheetId="8" hidden="1">#REF!</definedName>
    <definedName name="SIG_MES05_H016" hidden="1">#REF!</definedName>
    <definedName name="SIG_MES06_H002" localSheetId="5" hidden="1">#REF!</definedName>
    <definedName name="SIG_MES06_H002" localSheetId="12" hidden="1">#REF!</definedName>
    <definedName name="SIG_MES06_H002" hidden="1">#REF!</definedName>
    <definedName name="SIG_MES06_H003" localSheetId="5" hidden="1">#REF!</definedName>
    <definedName name="SIG_MES06_H003" localSheetId="12" hidden="1">#REF!</definedName>
    <definedName name="SIG_MES06_H003" hidden="1">#REF!</definedName>
    <definedName name="SIG_MES06_H006" localSheetId="5" hidden="1">#REF!</definedName>
    <definedName name="SIG_MES06_H006" localSheetId="12" hidden="1">#REF!</definedName>
    <definedName name="SIG_MES06_H006" hidden="1">#REF!</definedName>
    <definedName name="SIG_MES06_H007" localSheetId="5" hidden="1">#REF!</definedName>
    <definedName name="SIG_MES06_H007" localSheetId="12" hidden="1">#REF!</definedName>
    <definedName name="SIG_MES06_H007" hidden="1">#REF!</definedName>
    <definedName name="SIG_MES06_H008" localSheetId="5" hidden="1">#REF!</definedName>
    <definedName name="SIG_MES06_H008" localSheetId="12" hidden="1">#REF!</definedName>
    <definedName name="SIG_MES06_H008" hidden="1">#REF!</definedName>
    <definedName name="SIG_MES06_H010" localSheetId="5" hidden="1">#REF!</definedName>
    <definedName name="SIG_MES06_H010" localSheetId="12" hidden="1">#REF!</definedName>
    <definedName name="SIG_MES06_H010" hidden="1">#REF!</definedName>
    <definedName name="SIG_MES06_H011" localSheetId="5" hidden="1">#REF!</definedName>
    <definedName name="SIG_MES06_H011" localSheetId="12" hidden="1">#REF!</definedName>
    <definedName name="SIG_MES06_H011" hidden="1">#REF!</definedName>
    <definedName name="SIG_MES06_H012" localSheetId="5" hidden="1">#REF!</definedName>
    <definedName name="SIG_MES06_H012" localSheetId="12" hidden="1">#REF!</definedName>
    <definedName name="SIG_MES06_H012" hidden="1">#REF!</definedName>
    <definedName name="SIG_MES06_H013" localSheetId="5" hidden="1">#REF!</definedName>
    <definedName name="SIG_MES06_H013" localSheetId="12" hidden="1">#REF!</definedName>
    <definedName name="SIG_MES06_H013" hidden="1">#REF!</definedName>
    <definedName name="SIG_MES06_H017" localSheetId="5" hidden="1">#REF!</definedName>
    <definedName name="SIG_MES06_H017" localSheetId="12" hidden="1">#REF!</definedName>
    <definedName name="SIG_MES06_H017" hidden="1">#REF!</definedName>
    <definedName name="SIG_MES06_H018" localSheetId="5" hidden="1">#REF!</definedName>
    <definedName name="SIG_MES06_H018" localSheetId="12" hidden="1">#REF!</definedName>
    <definedName name="SIG_MES06_H018" hidden="1">#REF!</definedName>
    <definedName name="SIG_MES06_H019" localSheetId="5" hidden="1">#REF!</definedName>
    <definedName name="SIG_MES06_H019" localSheetId="12" hidden="1">#REF!</definedName>
    <definedName name="SIG_MES06_H019" hidden="1">#REF!</definedName>
    <definedName name="SIG_MES06_H020" localSheetId="5" hidden="1">#REF!</definedName>
    <definedName name="SIG_MES06_H020" localSheetId="12" hidden="1">#REF!</definedName>
    <definedName name="SIG_MES06_H020" hidden="1">#REF!</definedName>
    <definedName name="SIG_MES06_H021" localSheetId="5" hidden="1">#REF!</definedName>
    <definedName name="SIG_MES06_H021" localSheetId="12" hidden="1">#REF!</definedName>
    <definedName name="SIG_MES06_H021" hidden="1">#REF!</definedName>
    <definedName name="SIG_MES06_H022" localSheetId="5" hidden="1">#REF!</definedName>
    <definedName name="SIG_MES06_H022" localSheetId="12" hidden="1">#REF!</definedName>
    <definedName name="SIG_MES06_H022" hidden="1">#REF!</definedName>
    <definedName name="SIG_MES06_H023" localSheetId="5" hidden="1">#REF!</definedName>
    <definedName name="SIG_MES06_H023" localSheetId="12" hidden="1">#REF!</definedName>
    <definedName name="SIG_MES06_H023" hidden="1">#REF!</definedName>
    <definedName name="SIG_MES06_H024" localSheetId="5" hidden="1">#REF!</definedName>
    <definedName name="SIG_MES06_H024" localSheetId="12" hidden="1">#REF!</definedName>
    <definedName name="SIG_MES06_H024" hidden="1">#REF!</definedName>
    <definedName name="SIG_MES06_H025" localSheetId="5" hidden="1">#REF!</definedName>
    <definedName name="SIG_MES06_H025" localSheetId="12" hidden="1">#REF!</definedName>
    <definedName name="SIG_MES06_H025" hidden="1">#REF!</definedName>
    <definedName name="SIG_MES06_H026" localSheetId="5" hidden="1">#REF!</definedName>
    <definedName name="SIG_MES06_H026" localSheetId="12" hidden="1">#REF!</definedName>
    <definedName name="SIG_MES06_H026" hidden="1">#REF!</definedName>
    <definedName name="SIG_MESACT_H001" localSheetId="5" hidden="1">#REF!</definedName>
    <definedName name="SIG_MESACT_H001" localSheetId="12" hidden="1">#REF!</definedName>
    <definedName name="SIG_MESACT_H001" hidden="1">#REF!</definedName>
    <definedName name="SIG_MESACT_H002" localSheetId="5" hidden="1">#REF!</definedName>
    <definedName name="SIG_MESACT_H002" localSheetId="12" hidden="1">#REF!</definedName>
    <definedName name="SIG_MESACT_H002" hidden="1">#REF!</definedName>
    <definedName name="SIG_MESACT_H003" localSheetId="5" hidden="1">#REF!</definedName>
    <definedName name="SIG_MESACT_H003" localSheetId="12" hidden="1">#REF!</definedName>
    <definedName name="SIG_MESACT_H003" hidden="1">#REF!</definedName>
    <definedName name="SIG_MESACT_H004" localSheetId="5" hidden="1">#REF!</definedName>
    <definedName name="SIG_MESACT_H004" localSheetId="12" hidden="1">#REF!</definedName>
    <definedName name="SIG_MESACT_H004" hidden="1">#REF!</definedName>
    <definedName name="SIG_MESACT_H005" localSheetId="5" hidden="1">#REF!</definedName>
    <definedName name="SIG_MESACT_H005" localSheetId="12" hidden="1">#REF!</definedName>
    <definedName name="SIG_MESACT_H005" hidden="1">#REF!</definedName>
    <definedName name="SIG_MESACT_H006" localSheetId="5" hidden="1">#REF!</definedName>
    <definedName name="SIG_MESACT_H006" localSheetId="12" hidden="1">#REF!</definedName>
    <definedName name="SIG_MESACT_H006" hidden="1">#REF!</definedName>
    <definedName name="SIG_MESACT_H008" localSheetId="5" hidden="1">#REF!</definedName>
    <definedName name="SIG_MESACT_H008" localSheetId="12" hidden="1">#REF!</definedName>
    <definedName name="SIG_MESACT_H008" hidden="1">#REF!</definedName>
    <definedName name="SIG_MESACT_H009" localSheetId="5" hidden="1">#REF!</definedName>
    <definedName name="SIG_MESACT_H009" localSheetId="12" hidden="1">#REF!</definedName>
    <definedName name="SIG_MESACT_H009" hidden="1">#REF!</definedName>
    <definedName name="SIG_MESACT_H010" localSheetId="5" hidden="1">#REF!</definedName>
    <definedName name="SIG_MESACT_H010" localSheetId="12" hidden="1">#REF!</definedName>
    <definedName name="SIG_MESACT_H010" hidden="1">#REF!</definedName>
    <definedName name="SIG_MESACT_H011" localSheetId="5" hidden="1">#REF!</definedName>
    <definedName name="SIG_MESACT_H011" localSheetId="12" hidden="1">#REF!</definedName>
    <definedName name="SIG_MESACT_H011" hidden="1">#REF!</definedName>
    <definedName name="SIG_MESACT_H012" localSheetId="5" hidden="1">#REF!</definedName>
    <definedName name="SIG_MESACT_H012" localSheetId="12" hidden="1">#REF!</definedName>
    <definedName name="SIG_MESACT_H012" hidden="1">#REF!</definedName>
    <definedName name="SIG_MESACT_H013" localSheetId="5" hidden="1">#REF!</definedName>
    <definedName name="SIG_MESACT_H013" localSheetId="12" hidden="1">#REF!</definedName>
    <definedName name="SIG_MESACT_H013" hidden="1">#REF!</definedName>
    <definedName name="SIG_PTBD_CCCRPV1" localSheetId="5" hidden="1">#REF!</definedName>
    <definedName name="SIG_PTBD_CCCRPV1" localSheetId="12" hidden="1">#REF!</definedName>
    <definedName name="SIG_PTBD_CCCRPV1" hidden="1">#REF!</definedName>
    <definedName name="SIG_PTBD_CCCRPV2" localSheetId="5" hidden="1">#REF!</definedName>
    <definedName name="SIG_PTBD_CCCRPV2" localSheetId="12" hidden="1">#REF!</definedName>
    <definedName name="SIG_PTBD_CCCRPV2" hidden="1">#REF!</definedName>
    <definedName name="SIG_PTBD_CCCRPV3" localSheetId="5" hidden="1">#REF!</definedName>
    <definedName name="SIG_PTBD_CCCRPV3" localSheetId="12" hidden="1">#REF!</definedName>
    <definedName name="SIG_PTBD_CCCRPV3" hidden="1">#REF!</definedName>
    <definedName name="SIG_PTBD_CCCRPV4" localSheetId="5" hidden="1">#REF!</definedName>
    <definedName name="SIG_PTBD_CCCRPV4" localSheetId="12" hidden="1">#REF!</definedName>
    <definedName name="SIG_PTBD_CCCRPV4" hidden="1">#REF!</definedName>
    <definedName name="SIG_PTBD_CCCRPV5" localSheetId="5" hidden="1">#REF!</definedName>
    <definedName name="SIG_PTBD_CCCRPV5" localSheetId="12" hidden="1">#REF!</definedName>
    <definedName name="SIG_PTBD_CCCRPV5" hidden="1">#REF!</definedName>
    <definedName name="SIG_PTBD_CCRA501" localSheetId="5" hidden="1">#REF!</definedName>
    <definedName name="SIG_PTBD_CCRA501" localSheetId="8" hidden="1">#REF!</definedName>
    <definedName name="SIG_PTBD_CCRA501" hidden="1">#REF!</definedName>
    <definedName name="SIG_PTBD_IASCRPV1" localSheetId="5" hidden="1">#REF!</definedName>
    <definedName name="SIG_PTBD_IASCRPV1" localSheetId="12" hidden="1">#REF!</definedName>
    <definedName name="SIG_PTBD_IASCRPV1" hidden="1">#REF!</definedName>
    <definedName name="SIG_PTBD_IASCRPV2" localSheetId="5" hidden="1">#REF!</definedName>
    <definedName name="SIG_PTBD_IASCRPV2" localSheetId="12" hidden="1">#REF!</definedName>
    <definedName name="SIG_PTBD_IASCRPV2" hidden="1">#REF!</definedName>
    <definedName name="SIG_PTBD_IASPV1IG" localSheetId="5" hidden="1">#REF!</definedName>
    <definedName name="SIG_PTBD_IASPV1IG" localSheetId="12" hidden="1">#REF!</definedName>
    <definedName name="SIG_PTBD_IASPV1IG" hidden="1">#REF!</definedName>
    <definedName name="SIG_PTBD_IASPV2IG" localSheetId="5" hidden="1">#REF!</definedName>
    <definedName name="SIG_PTBD_IASPV2IG" localSheetId="12" hidden="1">#REF!</definedName>
    <definedName name="SIG_PTBD_IASPV2IG" hidden="1">#REF!</definedName>
    <definedName name="SIG_PTBD_PV1IG" localSheetId="5" hidden="1">#REF!</definedName>
    <definedName name="SIG_PTBD_PV1IG" localSheetId="12" hidden="1">#REF!</definedName>
    <definedName name="SIG_PTBD_PV1IG" hidden="1">#REF!</definedName>
    <definedName name="SIG_PTBD_PV2IG" localSheetId="5" hidden="1">#REF!</definedName>
    <definedName name="SIG_PTBD_PV2IG" localSheetId="12" hidden="1">#REF!</definedName>
    <definedName name="SIG_PTBD_PV2IG" hidden="1">#REF!</definedName>
    <definedName name="SIG_PTHG_CCCRPV1" localSheetId="5" hidden="1">#REF!</definedName>
    <definedName name="SIG_PTHG_CCCRPV1" localSheetId="12" hidden="1">#REF!</definedName>
    <definedName name="SIG_PTHG_CCCRPV1" hidden="1">#REF!</definedName>
    <definedName name="SIG_PTHG_CCCRPV2" localSheetId="5" hidden="1">#REF!</definedName>
    <definedName name="SIG_PTHG_CCCRPV2" localSheetId="12" hidden="1">#REF!</definedName>
    <definedName name="SIG_PTHG_CCCRPV2" hidden="1">#REF!</definedName>
    <definedName name="SIG_PTHG_CCCRPV3" localSheetId="5" hidden="1">#REF!</definedName>
    <definedName name="SIG_PTHG_CCCRPV3" localSheetId="12" hidden="1">#REF!</definedName>
    <definedName name="SIG_PTHG_CCCRPV3" hidden="1">#REF!</definedName>
    <definedName name="SIG_PTHG_CCCRPV4" localSheetId="5" hidden="1">#REF!</definedName>
    <definedName name="SIG_PTHG_CCCRPV4" localSheetId="12" hidden="1">#REF!</definedName>
    <definedName name="SIG_PTHG_CCCRPV4" hidden="1">#REF!</definedName>
    <definedName name="SIG_PTHG_CCCRPV5" localSheetId="5" hidden="1">#REF!</definedName>
    <definedName name="SIG_PTHG_CCCRPV5" localSheetId="12" hidden="1">#REF!</definedName>
    <definedName name="SIG_PTHG_CCCRPV5" hidden="1">#REF!</definedName>
    <definedName name="SIG_PTHG_CCRA501" localSheetId="5" hidden="1">#REF!</definedName>
    <definedName name="SIG_PTHG_CCRA501" localSheetId="8" hidden="1">#REF!</definedName>
    <definedName name="SIG_PTHG_CCRA501" hidden="1">#REF!</definedName>
    <definedName name="SIG_PTHG_IASCRPV1" localSheetId="5" hidden="1">#REF!</definedName>
    <definedName name="SIG_PTHG_IASCRPV1" localSheetId="12" hidden="1">#REF!</definedName>
    <definedName name="SIG_PTHG_IASCRPV1" hidden="1">#REF!</definedName>
    <definedName name="SIG_PTHG_IASCRPV2" localSheetId="5" hidden="1">#REF!</definedName>
    <definedName name="SIG_PTHG_IASCRPV2" localSheetId="12" hidden="1">#REF!</definedName>
    <definedName name="SIG_PTHG_IASCRPV2" hidden="1">#REF!</definedName>
    <definedName name="SIG_PTHG_IASPV1IG" localSheetId="5" hidden="1">#REF!</definedName>
    <definedName name="SIG_PTHG_IASPV1IG" localSheetId="12" hidden="1">#REF!</definedName>
    <definedName name="SIG_PTHG_IASPV1IG" hidden="1">#REF!</definedName>
    <definedName name="SIG_PTHG_IASPV2IG" localSheetId="5" hidden="1">#REF!</definedName>
    <definedName name="SIG_PTHG_IASPV2IG" localSheetId="12" hidden="1">#REF!</definedName>
    <definedName name="SIG_PTHG_IASPV2IG" hidden="1">#REF!</definedName>
    <definedName name="SIG_PTHG_PV1IG" localSheetId="5" hidden="1">#REF!</definedName>
    <definedName name="SIG_PTHG_PV1IG" localSheetId="12" hidden="1">#REF!</definedName>
    <definedName name="SIG_PTHG_PV1IG" hidden="1">#REF!</definedName>
    <definedName name="SIG_PTHG_PV2IG" localSheetId="5" hidden="1">#REF!</definedName>
    <definedName name="SIG_PTHG_PV2IG" localSheetId="12" hidden="1">#REF!</definedName>
    <definedName name="SIG_PTHG_PV2IG" hidden="1">#REF!</definedName>
    <definedName name="SIG_PV1IG_firstLine" localSheetId="5" hidden="1">#REF!</definedName>
    <definedName name="SIG_PV1IG_firstLine" localSheetId="12" hidden="1">#REF!</definedName>
    <definedName name="SIG_PV1IG_firstLine" hidden="1">#REF!</definedName>
    <definedName name="SIG_PV1IG_H001" localSheetId="5" hidden="1">#REF!</definedName>
    <definedName name="SIG_PV1IG_H001" localSheetId="12" hidden="1">#REF!</definedName>
    <definedName name="SIG_PV1IG_H001" hidden="1">#REF!</definedName>
    <definedName name="SIG_PV1IG_H002" localSheetId="5" hidden="1">#REF!</definedName>
    <definedName name="SIG_PV1IG_H002" localSheetId="12" hidden="1">#REF!</definedName>
    <definedName name="SIG_PV1IG_H002" hidden="1">#REF!</definedName>
    <definedName name="SIG_PV1IG_H003" localSheetId="5" hidden="1">#REF!</definedName>
    <definedName name="SIG_PV1IG_H003" localSheetId="12" hidden="1">#REF!</definedName>
    <definedName name="SIG_PV1IG_H003" hidden="1">#REF!</definedName>
    <definedName name="SIG_PV1IG_H004" localSheetId="5" hidden="1">#REF!</definedName>
    <definedName name="SIG_PV1IG_H004" localSheetId="12" hidden="1">#REF!</definedName>
    <definedName name="SIG_PV1IG_H004" hidden="1">#REF!</definedName>
    <definedName name="SIG_PV1IG_H005" localSheetId="5" hidden="1">#REF!</definedName>
    <definedName name="SIG_PV1IG_H005" localSheetId="12" hidden="1">#REF!</definedName>
    <definedName name="SIG_PV1IG_H005" hidden="1">#REF!</definedName>
    <definedName name="SIG_PV1IG_H006" localSheetId="5" hidden="1">#REF!</definedName>
    <definedName name="SIG_PV1IG_H006" localSheetId="12" hidden="1">#REF!</definedName>
    <definedName name="SIG_PV1IG_H006" hidden="1">#REF!</definedName>
    <definedName name="SIG_PV1IG_H007" localSheetId="5" hidden="1">#REF!</definedName>
    <definedName name="SIG_PV1IG_H007" localSheetId="12" hidden="1">#REF!</definedName>
    <definedName name="SIG_PV1IG_H007" hidden="1">#REF!</definedName>
    <definedName name="SIG_PV1IG_H008" localSheetId="5" hidden="1">#REF!</definedName>
    <definedName name="SIG_PV1IG_H008" localSheetId="12" hidden="1">#REF!</definedName>
    <definedName name="SIG_PV1IG_H008" hidden="1">#REF!</definedName>
    <definedName name="SIG_PV1IG_H009" localSheetId="5" hidden="1">#REF!</definedName>
    <definedName name="SIG_PV1IG_H009" localSheetId="12" hidden="1">#REF!</definedName>
    <definedName name="SIG_PV1IG_H009" hidden="1">#REF!</definedName>
    <definedName name="SIG_PV1IG_H010" localSheetId="5" hidden="1">#REF!</definedName>
    <definedName name="SIG_PV1IG_H010" localSheetId="12" hidden="1">#REF!</definedName>
    <definedName name="SIG_PV1IG_H010" hidden="1">#REF!</definedName>
    <definedName name="SIG_PV1IG_H011" localSheetId="5" hidden="1">#REF!</definedName>
    <definedName name="SIG_PV1IG_H011" localSheetId="12" hidden="1">#REF!</definedName>
    <definedName name="SIG_PV1IG_H011" hidden="1">#REF!</definedName>
    <definedName name="SIG_PV1IG_H012" localSheetId="5" hidden="1">#REF!</definedName>
    <definedName name="SIG_PV1IG_H012" localSheetId="12" hidden="1">#REF!</definedName>
    <definedName name="SIG_PV1IG_H012" hidden="1">#REF!</definedName>
    <definedName name="SIG_PV1IG_H013" localSheetId="5" hidden="1">#REF!</definedName>
    <definedName name="SIG_PV1IG_H013" localSheetId="12" hidden="1">#REF!</definedName>
    <definedName name="SIG_PV1IG_H013" hidden="1">#REF!</definedName>
    <definedName name="SIG_PV1IG_IsControlOK" localSheetId="5" hidden="1">#REF!</definedName>
    <definedName name="SIG_PV1IG_IsControlOK" localSheetId="12" hidden="1">#REF!</definedName>
    <definedName name="SIG_PV1IG_IsControlOK" hidden="1">#REF!</definedName>
    <definedName name="SIG_PV1IG_lastLine" localSheetId="5" hidden="1">#REF!</definedName>
    <definedName name="SIG_PV1IG_lastLine" localSheetId="12" hidden="1">#REF!</definedName>
    <definedName name="SIG_PV1IG_lastLine" hidden="1">#REF!</definedName>
    <definedName name="SIG_PV1IG_TITLELINE" localSheetId="5" hidden="1">#REF!</definedName>
    <definedName name="SIG_PV1IG_TITLELINE" localSheetId="12" hidden="1">#REF!</definedName>
    <definedName name="SIG_PV1IG_TITLELINE" hidden="1">#REF!</definedName>
    <definedName name="SIG_PV2IG_firstLine" localSheetId="5" hidden="1">#REF!</definedName>
    <definedName name="SIG_PV2IG_firstLine" localSheetId="12" hidden="1">#REF!</definedName>
    <definedName name="SIG_PV2IG_firstLine" hidden="1">#REF!</definedName>
    <definedName name="SIG_PV2IG_H001" localSheetId="5" hidden="1">#REF!</definedName>
    <definedName name="SIG_PV2IG_H001" localSheetId="12" hidden="1">#REF!</definedName>
    <definedName name="SIG_PV2IG_H001" hidden="1">#REF!</definedName>
    <definedName name="SIG_PV2IG_H002" localSheetId="5" hidden="1">#REF!</definedName>
    <definedName name="SIG_PV2IG_H002" localSheetId="12" hidden="1">#REF!</definedName>
    <definedName name="SIG_PV2IG_H002" hidden="1">#REF!</definedName>
    <definedName name="SIG_PV2IG_H003" localSheetId="5" hidden="1">#REF!</definedName>
    <definedName name="SIG_PV2IG_H003" localSheetId="12" hidden="1">#REF!</definedName>
    <definedName name="SIG_PV2IG_H003" hidden="1">#REF!</definedName>
    <definedName name="SIG_PV2IG_H004" localSheetId="5" hidden="1">#REF!</definedName>
    <definedName name="SIG_PV2IG_H004" localSheetId="12" hidden="1">#REF!</definedName>
    <definedName name="SIG_PV2IG_H004" hidden="1">#REF!</definedName>
    <definedName name="SIG_PV2IG_H005" localSheetId="5" hidden="1">#REF!</definedName>
    <definedName name="SIG_PV2IG_H005" localSheetId="12" hidden="1">#REF!</definedName>
    <definedName name="SIG_PV2IG_H005" hidden="1">#REF!</definedName>
    <definedName name="SIG_PV2IG_H006" localSheetId="5" hidden="1">#REF!</definedName>
    <definedName name="SIG_PV2IG_H006" localSheetId="12" hidden="1">#REF!</definedName>
    <definedName name="SIG_PV2IG_H006" hidden="1">#REF!</definedName>
    <definedName name="SIG_PV2IG_H007" localSheetId="5" hidden="1">#REF!</definedName>
    <definedName name="SIG_PV2IG_H007" localSheetId="12" hidden="1">#REF!</definedName>
    <definedName name="SIG_PV2IG_H007" hidden="1">#REF!</definedName>
    <definedName name="SIG_PV2IG_H008" localSheetId="5" hidden="1">#REF!</definedName>
    <definedName name="SIG_PV2IG_H008" localSheetId="12" hidden="1">#REF!</definedName>
    <definedName name="SIG_PV2IG_H008" hidden="1">#REF!</definedName>
    <definedName name="SIG_PV2IG_H009" localSheetId="5" hidden="1">#REF!</definedName>
    <definedName name="SIG_PV2IG_H009" localSheetId="12" hidden="1">#REF!</definedName>
    <definedName name="SIG_PV2IG_H009" hidden="1">#REF!</definedName>
    <definedName name="SIG_PV2IG_H010" localSheetId="5" hidden="1">#REF!</definedName>
    <definedName name="SIG_PV2IG_H010" localSheetId="12" hidden="1">#REF!</definedName>
    <definedName name="SIG_PV2IG_H010" hidden="1">#REF!</definedName>
    <definedName name="SIG_PV2IG_H011" localSheetId="5" hidden="1">#REF!</definedName>
    <definedName name="SIG_PV2IG_H011" localSheetId="12" hidden="1">#REF!</definedName>
    <definedName name="SIG_PV2IG_H011" hidden="1">#REF!</definedName>
    <definedName name="SIG_PV2IG_H012" localSheetId="5" hidden="1">#REF!</definedName>
    <definedName name="SIG_PV2IG_H012" localSheetId="12" hidden="1">#REF!</definedName>
    <definedName name="SIG_PV2IG_H012" hidden="1">#REF!</definedName>
    <definedName name="SIG_PV2IG_H013" localSheetId="5" hidden="1">#REF!</definedName>
    <definedName name="SIG_PV2IG_H013" localSheetId="12" hidden="1">#REF!</definedName>
    <definedName name="SIG_PV2IG_H013" hidden="1">#REF!</definedName>
    <definedName name="SIG_PV2IG_IsControlOK" localSheetId="5" hidden="1">#REF!</definedName>
    <definedName name="SIG_PV2IG_IsControlOK" localSheetId="12" hidden="1">#REF!</definedName>
    <definedName name="SIG_PV2IG_IsControlOK" hidden="1">#REF!</definedName>
    <definedName name="SIG_PV2IG_lastLine" localSheetId="5" hidden="1">#REF!</definedName>
    <definedName name="SIG_PV2IG_lastLine" localSheetId="12" hidden="1">#REF!</definedName>
    <definedName name="SIG_PV2IG_lastLine" hidden="1">#REF!</definedName>
    <definedName name="SIG_PV2IG_TITLELINE" localSheetId="5" hidden="1">#REF!</definedName>
    <definedName name="SIG_PV2IG_TITLELINE" localSheetId="12" hidden="1">#REF!</definedName>
    <definedName name="SIG_PV2IG_TITLELINE" hidden="1">#REF!</definedName>
    <definedName name="SINISTRES" localSheetId="5">#REF!</definedName>
    <definedName name="SINISTRES">#REF!</definedName>
    <definedName name="SITNET" localSheetId="5">#REF!</definedName>
    <definedName name="SITNET">#REF!</definedName>
    <definedName name="SITNETGROUP" localSheetId="5">#REF!</definedName>
    <definedName name="SITNETGROUP">#REF!</definedName>
    <definedName name="SOCIALA7B" localSheetId="5">#REF!</definedName>
    <definedName name="SOCIALA7B">#REF!</definedName>
    <definedName name="Société" localSheetId="5">#REF!</definedName>
    <definedName name="Société">#REF!</definedName>
    <definedName name="SOCIETE95" localSheetId="5">#REF!</definedName>
    <definedName name="SOCIETE95">#REF!</definedName>
    <definedName name="soldenonvent9" localSheetId="5">#REF!</definedName>
    <definedName name="soldenonvent9">#REF!</definedName>
    <definedName name="solver_num" hidden="1">0</definedName>
    <definedName name="solver_typ" hidden="1">1</definedName>
    <definedName name="solver_val" hidden="1">0</definedName>
    <definedName name="somme">[26]BALANCE!$G$2:$G$573</definedName>
    <definedName name="Sorties_97" localSheetId="5">#REF!</definedName>
    <definedName name="Sorties_97">#REF!</definedName>
    <definedName name="SQDQSD" localSheetId="5">#REF!</definedName>
    <definedName name="SQDQSD">#REF!</definedName>
    <definedName name="SQDSDSQDSQD" localSheetId="5">#REF!</definedName>
    <definedName name="SQDSDSQDSQD">#REF!</definedName>
    <definedName name="ss" hidden="1">{"résultats",#N/A,FALSE,"résultats SFS";"indicateurs",#N/A,FALSE,"résultats SFS";"commentaires",#N/A,FALSE,"commentaires SFS";"graphiques",#N/A,FALSE,"graphiques SFS"}</definedName>
    <definedName name="ss_1" hidden="1">{#N/A,#N/A,TRUE,"COFTOT"}</definedName>
    <definedName name="SS_HTM_COUT_AMORTI" localSheetId="5">[5]DETCONSO!#REF!</definedName>
    <definedName name="SS_HTM_COUT_AMORTI">[5]DETCONSO!#REF!</definedName>
    <definedName name="SS_HTM_INDE">[5]DETCONSO!$BQ$387</definedName>
    <definedName name="ssmo" localSheetId="5">#REF!</definedName>
    <definedName name="ssmo">#REF!</definedName>
    <definedName name="ssss" hidden="1">{#N/A,#N/A,TRUE,"COFTOT"}</definedName>
    <definedName name="ssss_1" hidden="1">{#N/A,#N/A,TRUE,"COFTOT"}</definedName>
    <definedName name="SSSSS" localSheetId="5">[26]EXPERTISE!#REF!</definedName>
    <definedName name="SSSSS">[26]EXPERTISE!#REF!</definedName>
    <definedName name="sté" localSheetId="5">#REF!</definedName>
    <definedName name="sté">#REF!</definedName>
    <definedName name="stock95">[32]Feuil1!$E$2:$E$126</definedName>
    <definedName name="SURCOTESORT" localSheetId="5">#REF!</definedName>
    <definedName name="SURCOTESORT">#REF!</definedName>
    <definedName name="T">[27]BALANCE!$B$2:$B$233</definedName>
    <definedName name="T_111" localSheetId="5">#REF!</definedName>
    <definedName name="T_111">#REF!</definedName>
    <definedName name="T_112" localSheetId="5">#REF!</definedName>
    <definedName name="T_112">#REF!</definedName>
    <definedName name="T_113" localSheetId="5">#REF!</definedName>
    <definedName name="T_113">#REF!</definedName>
    <definedName name="T_141" localSheetId="5">#REF!</definedName>
    <definedName name="T_141">#REF!</definedName>
    <definedName name="T_142" localSheetId="5">#REF!</definedName>
    <definedName name="T_142">#REF!</definedName>
    <definedName name="T_143" localSheetId="5">#REF!</definedName>
    <definedName name="T_143">#REF!</definedName>
    <definedName name="T_144" localSheetId="5">#REF!</definedName>
    <definedName name="T_144">#REF!</definedName>
    <definedName name="T_145" localSheetId="5">#REF!</definedName>
    <definedName name="T_145">#REF!</definedName>
    <definedName name="T_146" localSheetId="5">#REF!</definedName>
    <definedName name="T_146">#REF!</definedName>
    <definedName name="T_16" localSheetId="5">#REF!</definedName>
    <definedName name="T_16">#REF!</definedName>
    <definedName name="T_17" localSheetId="5">#REF!</definedName>
    <definedName name="T_17">#REF!</definedName>
    <definedName name="T_18" localSheetId="5">#REF!</definedName>
    <definedName name="T_18">#REF!</definedName>
    <definedName name="T_19" localSheetId="5">#REF!</definedName>
    <definedName name="T_19">#REF!</definedName>
    <definedName name="T_41" localSheetId="5">#REF!</definedName>
    <definedName name="T_41">#REF!</definedName>
    <definedName name="T_42" localSheetId="5">#REF!</definedName>
    <definedName name="T_42">#REF!</definedName>
    <definedName name="T_43" localSheetId="5">#REF!</definedName>
    <definedName name="T_43">#REF!</definedName>
    <definedName name="T_44" localSheetId="5">#REF!</definedName>
    <definedName name="T_44">#REF!</definedName>
    <definedName name="T_47" localSheetId="5">#REF!</definedName>
    <definedName name="T_47">#REF!</definedName>
    <definedName name="T_48" localSheetId="5">#REF!</definedName>
    <definedName name="T_48">#REF!</definedName>
    <definedName name="T_49" localSheetId="5">#REF!</definedName>
    <definedName name="T_49">#REF!</definedName>
    <definedName name="T_5">'[49]TFT '!$A$62</definedName>
    <definedName name="T_50" localSheetId="5">#REF!</definedName>
    <definedName name="T_50">#REF!</definedName>
    <definedName name="T_53" localSheetId="5">#REF!</definedName>
    <definedName name="T_53">#REF!</definedName>
    <definedName name="T_54" localSheetId="5">#REF!</definedName>
    <definedName name="T_54">#REF!</definedName>
    <definedName name="T_56" localSheetId="5">#REF!</definedName>
    <definedName name="T_56">#REF!</definedName>
    <definedName name="T_57" localSheetId="5">#REF!</definedName>
    <definedName name="T_57">#REF!</definedName>
    <definedName name="T_6">'[49]TFT '!$A$5</definedName>
    <definedName name="T_7" localSheetId="5">#REF!</definedName>
    <definedName name="T_7">#REF!</definedName>
    <definedName name="T_8" localSheetId="5">#REF!</definedName>
    <definedName name="T_8">#REF!</definedName>
    <definedName name="T_9" localSheetId="5">#REF!</definedName>
    <definedName name="T_9">#REF!</definedName>
    <definedName name="Table">'[48]Table produit'!$B$2:$D$2735</definedName>
    <definedName name="tablentite" localSheetId="5">#REF!</definedName>
    <definedName name="tablentite">#REF!</definedName>
    <definedName name="tau" localSheetId="5">#REF!</definedName>
    <definedName name="tau">#REF!</definedName>
    <definedName name="TAXES" localSheetId="5">#REF!</definedName>
    <definedName name="TAXES">#REF!</definedName>
    <definedName name="TAXESREMUN" localSheetId="5">#REF!</definedName>
    <definedName name="TAXESREMUN">#REF!</definedName>
    <definedName name="terrain_CA" localSheetId="5">#REF!</definedName>
    <definedName name="terrain_CA">#REF!</definedName>
    <definedName name="terrain_T" localSheetId="5">#REF!</definedName>
    <definedName name="terrain_T">#REF!</definedName>
    <definedName name="tf" hidden="1">{#N/A,#N/A,TRUE,"COFTOT"}</definedName>
    <definedName name="tf_1" hidden="1">{#N/A,#N/A,TRUE,"COFTOT"}</definedName>
    <definedName name="tot" localSheetId="5">#REF!</definedName>
    <definedName name="tot">#REF!</definedName>
    <definedName name="TOTAJUSTACAV" localSheetId="5">#REF!</definedName>
    <definedName name="TOTAJUSTACAV">#REF!</definedName>
    <definedName name="TOTAL">[6]EXPERTISE!$F$2:$F$131</definedName>
    <definedName name="TOTAL_1996" localSheetId="5">#REF!</definedName>
    <definedName name="TOTAL_1996">#REF!</definedName>
    <definedName name="TOTBILAN" localSheetId="5">#REF!</definedName>
    <definedName name="TOTBILAN">#REF!</definedName>
    <definedName name="TOTEQUIV" localSheetId="5">#REF!</definedName>
    <definedName name="TOTEQUIV">#REF!</definedName>
    <definedName name="TOTFGACQ" localSheetId="5">#REF!</definedName>
    <definedName name="TOTFGACQ">#REF!</definedName>
    <definedName name="TOTFGADM" localSheetId="5">#REF!</definedName>
    <definedName name="TOTFGADM">#REF!</definedName>
    <definedName name="TOTFGCHFI" localSheetId="5">#REF!</definedName>
    <definedName name="TOTFGCHFI">#REF!</definedName>
    <definedName name="TOTFGCHNTECH" localSheetId="5">#REF!</definedName>
    <definedName name="TOTFGCHNTECH">#REF!</definedName>
    <definedName name="TOTFGCHTECH" localSheetId="5">#REF!</definedName>
    <definedName name="TOTFGCHTECH">#REF!</definedName>
    <definedName name="TOTFGSIN" localSheetId="5">#REF!</definedName>
    <definedName name="TOTFGSIN">#REF!</definedName>
    <definedName name="TOTFRACQ" localSheetId="5">#REF!</definedName>
    <definedName name="TOTFRACQ">#REF!</definedName>
    <definedName name="TOTFRACQADM" localSheetId="5">#REF!</definedName>
    <definedName name="TOTFRACQADM">#REF!</definedName>
    <definedName name="TOTFRAMD" localSheetId="5">#REF!</definedName>
    <definedName name="TOTFRAMD">#REF!</definedName>
    <definedName name="TOTIMPOT" localSheetId="5">#REF!</definedName>
    <definedName name="TOTIMPOT">#REF!</definedName>
    <definedName name="TOTPART" localSheetId="5">#REF!</definedName>
    <definedName name="TOTPART">#REF!</definedName>
    <definedName name="TOTPARTICIP" localSheetId="5">#REF!</definedName>
    <definedName name="TOTPARTICIP">#REF!</definedName>
    <definedName name="TOTPLACEMENT" localSheetId="5">#REF!</definedName>
    <definedName name="TOTPLACEMENT">#REF!</definedName>
    <definedName name="TOTPRODPLAC" localSheetId="5">#REF!</definedName>
    <definedName name="TOTPRODPLAC">#REF!</definedName>
    <definedName name="TOTPROVTECH" localSheetId="5">#REF!</definedName>
    <definedName name="TOTPROVTECH">#REF!</definedName>
    <definedName name="TOTSINIST" localSheetId="5">#REF!</definedName>
    <definedName name="TOTSINIST">#REF!</definedName>
    <definedName name="touches" localSheetId="5">#REF!</definedName>
    <definedName name="touches">#REF!</definedName>
    <definedName name="TRANSFERT" localSheetId="5">#REF!</definedName>
    <definedName name="TRANSFERT">#REF!</definedName>
    <definedName name="TRANSFPRELEVT" localSheetId="5">#REF!</definedName>
    <definedName name="TRANSFPRELEVT">#REF!</definedName>
    <definedName name="TRANSFTECH" localSheetId="5">#REF!</definedName>
    <definedName name="TRANSFTECH">#REF!</definedName>
    <definedName name="TRESOCR" localSheetId="5">#REF!</definedName>
    <definedName name="TRESOCR">#REF!</definedName>
    <definedName name="trois" hidden="1">{"résultats",#N/A,FALSE,"résultats SFS";"indicateurs",#N/A,FALSE,"résultats SFS";"commentaires",#N/A,FALSE,"commentaires SFS";"graphiques",#N/A,FALSE,"graphiques SFS"}</definedName>
    <definedName name="TTT">[27]BALANCE!$D$2:$D$233</definedName>
    <definedName name="typact" localSheetId="5">#REF!</definedName>
    <definedName name="typact">#REF!</definedName>
    <definedName name="typact1" localSheetId="5">#REF!</definedName>
    <definedName name="typact1">#REF!</definedName>
    <definedName name="Type">[8]PART!$A$2:$A$177</definedName>
    <definedName name="Type_de_montant">[41]PARAM!$H$25:$H$29</definedName>
    <definedName name="tyty" localSheetId="5" hidden="1">#REF!</definedName>
    <definedName name="tyty" localSheetId="12" hidden="1">#REF!</definedName>
    <definedName name="tyty" hidden="1">#REF!</definedName>
    <definedName name="tyyiou" localSheetId="5" hidden="1">#REF!</definedName>
    <definedName name="tyyiou" localSheetId="12" hidden="1">#REF!</definedName>
    <definedName name="tyyiou" hidden="1">#REF!</definedName>
    <definedName name="tyyui" localSheetId="5" hidden="1">#REF!</definedName>
    <definedName name="tyyui" localSheetId="12" hidden="1">#REF!</definedName>
    <definedName name="tyyui" hidden="1">#REF!</definedName>
    <definedName name="u" hidden="1">{#N/A,#N/A,TRUE,"COFTOT"}</definedName>
    <definedName name="u_1" hidden="1">{#N/A,#N/A,TRUE,"COFTOT"}</definedName>
    <definedName name="UTILPREST" localSheetId="5">#REF!</definedName>
    <definedName name="UTILPREST">#REF!</definedName>
    <definedName name="UTILPROV1" localSheetId="5">#REF!</definedName>
    <definedName name="UTILPROV1">#REF!</definedName>
    <definedName name="UTILPROV2" localSheetId="5">#REF!</definedName>
    <definedName name="UTILPROV2">#REF!</definedName>
    <definedName name="uu" hidden="1">{#N/A,#N/A,TRUE,"COFTOT"}</definedName>
    <definedName name="uu_1" hidden="1">{#N/A,#N/A,TRUE,"COFTOT"}</definedName>
    <definedName name="uuu" hidden="1">{#N/A,#N/A,TRUE,"COFTOT"}</definedName>
    <definedName name="uuu_1" hidden="1">{#N/A,#N/A,TRUE,"COFTOT"}</definedName>
    <definedName name="uyuu" localSheetId="5" hidden="1">#REF!</definedName>
    <definedName name="uyuu" localSheetId="12" hidden="1">#REF!</definedName>
    <definedName name="uyuu" hidden="1">#REF!</definedName>
    <definedName name="v" localSheetId="5" hidden="1">#REF!</definedName>
    <definedName name="v" localSheetId="12" hidden="1">#REF!</definedName>
    <definedName name="v" hidden="1">#REF!</definedName>
    <definedName name="V.E._Millions" localSheetId="5">[6]EXPERTISE!#REF!</definedName>
    <definedName name="V.E._Millions">[6]EXPERTISE!#REF!</definedName>
    <definedName name="vabrut96">[32]Feuil1!$AJ$3:$AJ$126</definedName>
    <definedName name="vabrut96édité">[32]Feuil1!$AV$3:$AV$34</definedName>
    <definedName name="ValColonne">[50]Paramétrage!$F$6</definedName>
    <definedName name="valeurs" localSheetId="5">#REF!</definedName>
    <definedName name="valeurs">#REF!</definedName>
    <definedName name="VALEURS_DE_REALISATION">[8]PART!$K$2:$K$177</definedName>
    <definedName name="VALMOB" localSheetId="5">#REF!</definedName>
    <definedName name="VALMOB">#REF!</definedName>
    <definedName name="VAR_ARR" localSheetId="5">#REF!</definedName>
    <definedName name="VAR_ARR">#REF!</definedName>
    <definedName name="VAR_SIM" localSheetId="5">#REF!</definedName>
    <definedName name="VAR_SIM">#REF!</definedName>
    <definedName name="VARFRACQREP" localSheetId="5">#REF!</definedName>
    <definedName name="VARFRACQREP">#REF!</definedName>
    <definedName name="VARPROVSINIS" localSheetId="5">#REF!</definedName>
    <definedName name="VARPROVSINIS">#REF!</definedName>
    <definedName name="VB_au_1_1_97" localSheetId="5">#REF!</definedName>
    <definedName name="VB_au_1_1_97">#REF!</definedName>
    <definedName name="vb_au_31_12_97" localSheetId="5">#REF!</definedName>
    <definedName name="vb_au_31_12_97">#REF!</definedName>
    <definedName name="VBVDWSD" localSheetId="5">[27]BALANCE!#REF!</definedName>
    <definedName name="VBVDWSD">[27]BALANCE!#REF!</definedName>
    <definedName name="VIRINTERNE" localSheetId="5">#REF!</definedName>
    <definedName name="VIRINTERNE">#REF!</definedName>
    <definedName name="VNC_au_31_12_97" localSheetId="5">#REF!</definedName>
    <definedName name="VNC_au_31_12_97">#REF!</definedName>
    <definedName name="VNCI900" localSheetId="5">#REF!</definedName>
    <definedName name="VNCI900">#REF!</definedName>
    <definedName name="VVDFGVF" localSheetId="5">[26]EXPERTISE!#REF!</definedName>
    <definedName name="VVDFGVF">[26]EXPERTISE!#REF!</definedName>
    <definedName name="w">[25]EXPERTISE!$H$2:$H$122</definedName>
    <definedName name="w_1" hidden="1">{#N/A,#N/A,TRUE,"COFTOT"}</definedName>
    <definedName name="women" hidden="1">{#N/A,#N/A,TRUE,"COFTOT"}</definedName>
    <definedName name="women_1" hidden="1">{#N/A,#N/A,TRUE,"COFTOT"}</definedName>
    <definedName name="wrn.Book._.Forecast." hidden="1">{"titre",#N/A,TRUE,"Titre";"Synthèse",#N/A,TRUE,"Titre";"Synthèse Europe",#N/A,TRUE,"Titre";"Synthèse Amériques",#N/A,TRUE,"Titre";"Synthèse Asie + Total",#N/A,TRUE,"Titre";"budget Europe",#N/A,TRUE,"Titre";"budget Ameriques",#N/A,TRUE,"Titre";"budget Asie + Total",#N/A,TRUE,"Titre";"Couts Europe",#N/A,TRUE,"Titre";"Couts Ameriques",#N/A,TRUE,"Titre";"Ratio Europe",#N/A,TRUE,"Titre";"Couts Asie + Total",#N/A,TRUE,"Titre";"Ratio Ameriques",#N/A,TRUE,"Titre";"Ratio Asie + Total",#N/A,TRUE,"Titre";"CWA Europe",#N/A,TRUE,"Titre";"CWA Ameriques",#N/A,TRUE,"Titre";"CWA Asie + Total",#N/A,TRUE,"Titre";"provision",#N/A,TRUE,"Titre";"ROPE_RONE",#N/A,TRUE,"Titre";"Headcount",#N/A,TRUE,"Titre";"X-selling",#N/A,TRUE,"Titre"}</definedName>
    <definedName name="wrn.édition." hidden="1">{"résultats",#N/A,FALSE,"résultats SFS";"indicateurs",#N/A,FALSE,"résultats SFS";"commentaires",#N/A,FALSE,"commentaires SFS";"graphiques",#N/A,FALSE,"graphiques SFS"}</definedName>
    <definedName name="wrn.etafifrffrf." localSheetId="9" hidden="1">{#N/A,"francaisfrf",FALSE,"UNITE";"ACTFRF",#N/A,FALSE,"ACTIF";"PASFRF",#N/A,FALSE,"PASSIF";"RESFRF",#N/A,FALSE,"RESULTATS";"FPFRF",#N/A,FALSE,"FP";"N03FRF",#N/A,FALSE,"NOTE03";"N04FRF",#N/A,FALSE,"NOTE04";"N05FRF",#N/A,FALSE,"NOTE05";"N06FRF",#N/A,FALSE,"NOTE06";"N07FRF",#N/A,FALSE,"NOTE07";"N08FRF",#N/A,FALSE,"NOTE08";"N09FRF",#N/A,FALSE,"NOTE09";"N10FRF",#N/A,FALSE,"NOTE10";"N11FRF",#N/A,FALSE,"NOTE11";"N12FRF",#N/A,FALSE,"NOTE12";"N13FRF",#N/A,FALSE,"NOTE13";"N14FRF",#N/A,FALSE,"NOTE14";"N15FRF",#N/A,FALSE,"NOTE15";"N16FRF",#N/A,FALSE,"NOTE16";"N17FRF",#N/A,FALSE,"NOTE17";"N18FRF",#N/A,FALSE,"NOTE18";"N19FRF",#N/A,FALSE,"NOTE19";"N20FRF",#N/A,FALSE,"NOTE20";"N21FRF",#N/A,FALSE,"NOTE21";"N22FRF",#N/A,FALSE,"NOTE22";"N23FRF",#N/A,FALSE,"NOTE23";"N24FRF",#N/A,FALSE,"NOTE24";"N25FRF",#N/A,FALSE,"NOTE25";"N26FRF",#N/A,FALSE,"NOTE26";"N27FRF",#N/A,FALSE,"NOTE27";"N28FRF",#N/A,FALSE,"NOTE28";"N29FRF",#N/A,FALSE,"NOTE29";"N30FRF",#N/A,FALSE,"NOTE30";"N31FRF",#N/A,FALSE,"NOTE31";"N32FRF",#N/A,FALSE,"NOTE32";"N33FRF",#N/A,FALSE,"NOTE33";"BILSOCFRF",#N/A,FALSE,"bilan soc";"RESSOCFRF",#N/A,FALSE,"PL soc";"cinqexFRF",#N/A,FALSE,"5ex"}</definedName>
    <definedName name="wrn.etafifrffrf." localSheetId="12" hidden="1">{#N/A,"francaisfrf",FALSE,"UNITE";"ACTFRF",#N/A,FALSE,"ACTIF";"PASFRF",#N/A,FALSE,"PASSIF";"RESFRF",#N/A,FALSE,"RESULTATS";"FPFRF",#N/A,FALSE,"FP";"N03FRF",#N/A,FALSE,"NOTE03";"N04FRF",#N/A,FALSE,"NOTE04";"N05FRF",#N/A,FALSE,"NOTE05";"N06FRF",#N/A,FALSE,"NOTE06";"N07FRF",#N/A,FALSE,"NOTE07";"N08FRF",#N/A,FALSE,"NOTE08";"N09FRF",#N/A,FALSE,"NOTE09";"N10FRF",#N/A,FALSE,"NOTE10";"N11FRF",#N/A,FALSE,"NOTE11";"N12FRF",#N/A,FALSE,"NOTE12";"N13FRF",#N/A,FALSE,"NOTE13";"N14FRF",#N/A,FALSE,"NOTE14";"N15FRF",#N/A,FALSE,"NOTE15";"N16FRF",#N/A,FALSE,"NOTE16";"N17FRF",#N/A,FALSE,"NOTE17";"N18FRF",#N/A,FALSE,"NOTE18";"N19FRF",#N/A,FALSE,"NOTE19";"N20FRF",#N/A,FALSE,"NOTE20";"N21FRF",#N/A,FALSE,"NOTE21";"N22FRF",#N/A,FALSE,"NOTE22";"N23FRF",#N/A,FALSE,"NOTE23";"N24FRF",#N/A,FALSE,"NOTE24";"N25FRF",#N/A,FALSE,"NOTE25";"N26FRF",#N/A,FALSE,"NOTE26";"N27FRF",#N/A,FALSE,"NOTE27";"N28FRF",#N/A,FALSE,"NOTE28";"N29FRF",#N/A,FALSE,"NOTE29";"N30FRF",#N/A,FALSE,"NOTE30";"N31FRF",#N/A,FALSE,"NOTE31";"N32FRF",#N/A,FALSE,"NOTE32";"N33FRF",#N/A,FALSE,"NOTE33";"BILSOCFRF",#N/A,FALSE,"bilan soc";"RESSOCFRF",#N/A,FALSE,"PL soc";"cinqexFRF",#N/A,FALSE,"5ex"}</definedName>
    <definedName name="wrn.etafifrffrf." localSheetId="7" hidden="1">{#N/A,"francaisfrf",FALSE,"UNITE";"ACTFRF",#N/A,FALSE,"ACTIF";"PASFRF",#N/A,FALSE,"PASSIF";"RESFRF",#N/A,FALSE,"RESULTATS";"FPFRF",#N/A,FALSE,"FP";"N03FRF",#N/A,FALSE,"NOTE03";"N04FRF",#N/A,FALSE,"NOTE04";"N05FRF",#N/A,FALSE,"NOTE05";"N06FRF",#N/A,FALSE,"NOTE06";"N07FRF",#N/A,FALSE,"NOTE07";"N08FRF",#N/A,FALSE,"NOTE08";"N09FRF",#N/A,FALSE,"NOTE09";"N10FRF",#N/A,FALSE,"NOTE10";"N11FRF",#N/A,FALSE,"NOTE11";"N12FRF",#N/A,FALSE,"NOTE12";"N13FRF",#N/A,FALSE,"NOTE13";"N14FRF",#N/A,FALSE,"NOTE14";"N15FRF",#N/A,FALSE,"NOTE15";"N16FRF",#N/A,FALSE,"NOTE16";"N17FRF",#N/A,FALSE,"NOTE17";"N18FRF",#N/A,FALSE,"NOTE18";"N19FRF",#N/A,FALSE,"NOTE19";"N20FRF",#N/A,FALSE,"NOTE20";"N21FRF",#N/A,FALSE,"NOTE21";"N22FRF",#N/A,FALSE,"NOTE22";"N23FRF",#N/A,FALSE,"NOTE23";"N24FRF",#N/A,FALSE,"NOTE24";"N25FRF",#N/A,FALSE,"NOTE25";"N26FRF",#N/A,FALSE,"NOTE26";"N27FRF",#N/A,FALSE,"NOTE27";"N28FRF",#N/A,FALSE,"NOTE28";"N29FRF",#N/A,FALSE,"NOTE29";"N30FRF",#N/A,FALSE,"NOTE30";"N31FRF",#N/A,FALSE,"NOTE31";"N32FRF",#N/A,FALSE,"NOTE32";"N33FRF",#N/A,FALSE,"NOTE33";"BILSOCFRF",#N/A,FALSE,"bilan soc";"RESSOCFRF",#N/A,FALSE,"PL soc";"cinqexFRF",#N/A,FALSE,"5ex"}</definedName>
    <definedName name="wrn.etafifrffrf." localSheetId="8" hidden="1">{#N/A,"francaisfrf",FALSE,"UNITE";"ACTFRF",#N/A,FALSE,"ACTIF";"PASFRF",#N/A,FALSE,"PASSIF";"RESFRF",#N/A,FALSE,"RESULTATS";"FPFRF",#N/A,FALSE,"FP";"N03FRF",#N/A,FALSE,"NOTE03";"N04FRF",#N/A,FALSE,"NOTE04";"N05FRF",#N/A,FALSE,"NOTE05";"N06FRF",#N/A,FALSE,"NOTE06";"N07FRF",#N/A,FALSE,"NOTE07";"N08FRF",#N/A,FALSE,"NOTE08";"N09FRF",#N/A,FALSE,"NOTE09";"N10FRF",#N/A,FALSE,"NOTE10";"N11FRF",#N/A,FALSE,"NOTE11";"N12FRF",#N/A,FALSE,"NOTE12";"N13FRF",#N/A,FALSE,"NOTE13";"N14FRF",#N/A,FALSE,"NOTE14";"N15FRF",#N/A,FALSE,"NOTE15";"N16FRF",#N/A,FALSE,"NOTE16";"N17FRF",#N/A,FALSE,"NOTE17";"N18FRF",#N/A,FALSE,"NOTE18";"N19FRF",#N/A,FALSE,"NOTE19";"N20FRF",#N/A,FALSE,"NOTE20";"N21FRF",#N/A,FALSE,"NOTE21";"N22FRF",#N/A,FALSE,"NOTE22";"N23FRF",#N/A,FALSE,"NOTE23";"N24FRF",#N/A,FALSE,"NOTE24";"N25FRF",#N/A,FALSE,"NOTE25";"N26FRF",#N/A,FALSE,"NOTE26";"N27FRF",#N/A,FALSE,"NOTE27";"N28FRF",#N/A,FALSE,"NOTE28";"N29FRF",#N/A,FALSE,"NOTE29";"N30FRF",#N/A,FALSE,"NOTE30";"N31FRF",#N/A,FALSE,"NOTE31";"N32FRF",#N/A,FALSE,"NOTE32";"N33FRF",#N/A,FALSE,"NOTE33";"BILSOCFRF",#N/A,FALSE,"bilan soc";"RESSOCFRF",#N/A,FALSE,"PL soc";"cinqexFRF",#N/A,FALSE,"5ex"}</definedName>
    <definedName name="wrn.etafifrffrf." localSheetId="10" hidden="1">{#N/A,"francaisfrf",FALSE,"UNITE";"ACTFRF",#N/A,FALSE,"ACTIF";"PASFRF",#N/A,FALSE,"PASSIF";"RESFRF",#N/A,FALSE,"RESULTATS";"FPFRF",#N/A,FALSE,"FP";"N03FRF",#N/A,FALSE,"NOTE03";"N04FRF",#N/A,FALSE,"NOTE04";"N05FRF",#N/A,FALSE,"NOTE05";"N06FRF",#N/A,FALSE,"NOTE06";"N07FRF",#N/A,FALSE,"NOTE07";"N08FRF",#N/A,FALSE,"NOTE08";"N09FRF",#N/A,FALSE,"NOTE09";"N10FRF",#N/A,FALSE,"NOTE10";"N11FRF",#N/A,FALSE,"NOTE11";"N12FRF",#N/A,FALSE,"NOTE12";"N13FRF",#N/A,FALSE,"NOTE13";"N14FRF",#N/A,FALSE,"NOTE14";"N15FRF",#N/A,FALSE,"NOTE15";"N16FRF",#N/A,FALSE,"NOTE16";"N17FRF",#N/A,FALSE,"NOTE17";"N18FRF",#N/A,FALSE,"NOTE18";"N19FRF",#N/A,FALSE,"NOTE19";"N20FRF",#N/A,FALSE,"NOTE20";"N21FRF",#N/A,FALSE,"NOTE21";"N22FRF",#N/A,FALSE,"NOTE22";"N23FRF",#N/A,FALSE,"NOTE23";"N24FRF",#N/A,FALSE,"NOTE24";"N25FRF",#N/A,FALSE,"NOTE25";"N26FRF",#N/A,FALSE,"NOTE26";"N27FRF",#N/A,FALSE,"NOTE27";"N28FRF",#N/A,FALSE,"NOTE28";"N29FRF",#N/A,FALSE,"NOTE29";"N30FRF",#N/A,FALSE,"NOTE30";"N31FRF",#N/A,FALSE,"NOTE31";"N32FRF",#N/A,FALSE,"NOTE32";"N33FRF",#N/A,FALSE,"NOTE33";"BILSOCFRF",#N/A,FALSE,"bilan soc";"RESSOCFRF",#N/A,FALSE,"PL soc";"cinqexFRF",#N/A,FALSE,"5ex"}</definedName>
    <definedName name="wrn.etafifrffrf." hidden="1">{#N/A,"francaisfrf",FALSE,"UNITE";"ACTFRF",#N/A,FALSE,"ACTIF";"PASFRF",#N/A,FALSE,"PASSIF";"RESFRF",#N/A,FALSE,"RESULTATS";"FPFRF",#N/A,FALSE,"FP";"N03FRF",#N/A,FALSE,"NOTE03";"N04FRF",#N/A,FALSE,"NOTE04";"N05FRF",#N/A,FALSE,"NOTE05";"N06FRF",#N/A,FALSE,"NOTE06";"N07FRF",#N/A,FALSE,"NOTE07";"N08FRF",#N/A,FALSE,"NOTE08";"N09FRF",#N/A,FALSE,"NOTE09";"N10FRF",#N/A,FALSE,"NOTE10";"N11FRF",#N/A,FALSE,"NOTE11";"N12FRF",#N/A,FALSE,"NOTE12";"N13FRF",#N/A,FALSE,"NOTE13";"N14FRF",#N/A,FALSE,"NOTE14";"N15FRF",#N/A,FALSE,"NOTE15";"N16FRF",#N/A,FALSE,"NOTE16";"N17FRF",#N/A,FALSE,"NOTE17";"N18FRF",#N/A,FALSE,"NOTE18";"N19FRF",#N/A,FALSE,"NOTE19";"N20FRF",#N/A,FALSE,"NOTE20";"N21FRF",#N/A,FALSE,"NOTE21";"N22FRF",#N/A,FALSE,"NOTE22";"N23FRF",#N/A,FALSE,"NOTE23";"N24FRF",#N/A,FALSE,"NOTE24";"N25FRF",#N/A,FALSE,"NOTE25";"N26FRF",#N/A,FALSE,"NOTE26";"N27FRF",#N/A,FALSE,"NOTE27";"N28FRF",#N/A,FALSE,"NOTE28";"N29FRF",#N/A,FALSE,"NOTE29";"N30FRF",#N/A,FALSE,"NOTE30";"N31FRF",#N/A,FALSE,"NOTE31";"N32FRF",#N/A,FALSE,"NOTE32";"N33FRF",#N/A,FALSE,"NOTE33";"BILSOCFRF",#N/A,FALSE,"bilan soc";"RESSOCFRF",#N/A,FALSE,"PL soc";"cinqexFRF",#N/A,FALSE,"5ex"}</definedName>
    <definedName name="wrn.etafifrffrf._1" localSheetId="9" hidden="1">{#N/A,"francaisfrf",FALSE,"UNITE";"ACTFRF",#N/A,FALSE,"ACTIF";"PASFRF",#N/A,FALSE,"PASSIF";"RESFRF",#N/A,FALSE,"RESULTATS";"FPFRF",#N/A,FALSE,"FP";"N03FRF",#N/A,FALSE,"NOTE03";"N04FRF",#N/A,FALSE,"NOTE04";"N05FRF",#N/A,FALSE,"NOTE05";"N06FRF",#N/A,FALSE,"NOTE06";"N07FRF",#N/A,FALSE,"NOTE07";"N08FRF",#N/A,FALSE,"NOTE08";"N09FRF",#N/A,FALSE,"NOTE09";"N10FRF",#N/A,FALSE,"NOTE10";"N11FRF",#N/A,FALSE,"NOTE11";"N12FRF",#N/A,FALSE,"NOTE12";"N13FRF",#N/A,FALSE,"NOTE13";"N14FRF",#N/A,FALSE,"NOTE14";"N15FRF",#N/A,FALSE,"NOTE15";"N16FRF",#N/A,FALSE,"NOTE16";"N17FRF",#N/A,FALSE,"NOTE17";"N18FRF",#N/A,FALSE,"NOTE18";"N19FRF",#N/A,FALSE,"NOTE19";"N20FRF",#N/A,FALSE,"NOTE20";"N21FRF",#N/A,FALSE,"NOTE21";"N22FRF",#N/A,FALSE,"NOTE22";"N23FRF",#N/A,FALSE,"NOTE23";"N24FRF",#N/A,FALSE,"NOTE24";"N25FRF",#N/A,FALSE,"NOTE25";"N26FRF",#N/A,FALSE,"NOTE26";"N27FRF",#N/A,FALSE,"NOTE27";"N28FRF",#N/A,FALSE,"NOTE28";"N29FRF",#N/A,FALSE,"NOTE29";"N30FRF",#N/A,FALSE,"NOTE30";"N31FRF",#N/A,FALSE,"NOTE31";"N32FRF",#N/A,FALSE,"NOTE32";"N33FRF",#N/A,FALSE,"NOTE33";"BILSOCFRF",#N/A,FALSE,"bilan soc";"RESSOCFRF",#N/A,FALSE,"PL soc";"cinqexFRF",#N/A,FALSE,"5ex"}</definedName>
    <definedName name="wrn.etafifrffrf._1" localSheetId="12" hidden="1">{#N/A,"francaisfrf",FALSE,"UNITE";"ACTFRF",#N/A,FALSE,"ACTIF";"PASFRF",#N/A,FALSE,"PASSIF";"RESFRF",#N/A,FALSE,"RESULTATS";"FPFRF",#N/A,FALSE,"FP";"N03FRF",#N/A,FALSE,"NOTE03";"N04FRF",#N/A,FALSE,"NOTE04";"N05FRF",#N/A,FALSE,"NOTE05";"N06FRF",#N/A,FALSE,"NOTE06";"N07FRF",#N/A,FALSE,"NOTE07";"N08FRF",#N/A,FALSE,"NOTE08";"N09FRF",#N/A,FALSE,"NOTE09";"N10FRF",#N/A,FALSE,"NOTE10";"N11FRF",#N/A,FALSE,"NOTE11";"N12FRF",#N/A,FALSE,"NOTE12";"N13FRF",#N/A,FALSE,"NOTE13";"N14FRF",#N/A,FALSE,"NOTE14";"N15FRF",#N/A,FALSE,"NOTE15";"N16FRF",#N/A,FALSE,"NOTE16";"N17FRF",#N/A,FALSE,"NOTE17";"N18FRF",#N/A,FALSE,"NOTE18";"N19FRF",#N/A,FALSE,"NOTE19";"N20FRF",#N/A,FALSE,"NOTE20";"N21FRF",#N/A,FALSE,"NOTE21";"N22FRF",#N/A,FALSE,"NOTE22";"N23FRF",#N/A,FALSE,"NOTE23";"N24FRF",#N/A,FALSE,"NOTE24";"N25FRF",#N/A,FALSE,"NOTE25";"N26FRF",#N/A,FALSE,"NOTE26";"N27FRF",#N/A,FALSE,"NOTE27";"N28FRF",#N/A,FALSE,"NOTE28";"N29FRF",#N/A,FALSE,"NOTE29";"N30FRF",#N/A,FALSE,"NOTE30";"N31FRF",#N/A,FALSE,"NOTE31";"N32FRF",#N/A,FALSE,"NOTE32";"N33FRF",#N/A,FALSE,"NOTE33";"BILSOCFRF",#N/A,FALSE,"bilan soc";"RESSOCFRF",#N/A,FALSE,"PL soc";"cinqexFRF",#N/A,FALSE,"5ex"}</definedName>
    <definedName name="wrn.etafifrffrf._1" localSheetId="7" hidden="1">{#N/A,"francaisfrf",FALSE,"UNITE";"ACTFRF",#N/A,FALSE,"ACTIF";"PASFRF",#N/A,FALSE,"PASSIF";"RESFRF",#N/A,FALSE,"RESULTATS";"FPFRF",#N/A,FALSE,"FP";"N03FRF",#N/A,FALSE,"NOTE03";"N04FRF",#N/A,FALSE,"NOTE04";"N05FRF",#N/A,FALSE,"NOTE05";"N06FRF",#N/A,FALSE,"NOTE06";"N07FRF",#N/A,FALSE,"NOTE07";"N08FRF",#N/A,FALSE,"NOTE08";"N09FRF",#N/A,FALSE,"NOTE09";"N10FRF",#N/A,FALSE,"NOTE10";"N11FRF",#N/A,FALSE,"NOTE11";"N12FRF",#N/A,FALSE,"NOTE12";"N13FRF",#N/A,FALSE,"NOTE13";"N14FRF",#N/A,FALSE,"NOTE14";"N15FRF",#N/A,FALSE,"NOTE15";"N16FRF",#N/A,FALSE,"NOTE16";"N17FRF",#N/A,FALSE,"NOTE17";"N18FRF",#N/A,FALSE,"NOTE18";"N19FRF",#N/A,FALSE,"NOTE19";"N20FRF",#N/A,FALSE,"NOTE20";"N21FRF",#N/A,FALSE,"NOTE21";"N22FRF",#N/A,FALSE,"NOTE22";"N23FRF",#N/A,FALSE,"NOTE23";"N24FRF",#N/A,FALSE,"NOTE24";"N25FRF",#N/A,FALSE,"NOTE25";"N26FRF",#N/A,FALSE,"NOTE26";"N27FRF",#N/A,FALSE,"NOTE27";"N28FRF",#N/A,FALSE,"NOTE28";"N29FRF",#N/A,FALSE,"NOTE29";"N30FRF",#N/A,FALSE,"NOTE30";"N31FRF",#N/A,FALSE,"NOTE31";"N32FRF",#N/A,FALSE,"NOTE32";"N33FRF",#N/A,FALSE,"NOTE33";"BILSOCFRF",#N/A,FALSE,"bilan soc";"RESSOCFRF",#N/A,FALSE,"PL soc";"cinqexFRF",#N/A,FALSE,"5ex"}</definedName>
    <definedName name="wrn.etafifrffrf._1" localSheetId="8" hidden="1">{#N/A,"francaisfrf",FALSE,"UNITE";"ACTFRF",#N/A,FALSE,"ACTIF";"PASFRF",#N/A,FALSE,"PASSIF";"RESFRF",#N/A,FALSE,"RESULTATS";"FPFRF",#N/A,FALSE,"FP";"N03FRF",#N/A,FALSE,"NOTE03";"N04FRF",#N/A,FALSE,"NOTE04";"N05FRF",#N/A,FALSE,"NOTE05";"N06FRF",#N/A,FALSE,"NOTE06";"N07FRF",#N/A,FALSE,"NOTE07";"N08FRF",#N/A,FALSE,"NOTE08";"N09FRF",#N/A,FALSE,"NOTE09";"N10FRF",#N/A,FALSE,"NOTE10";"N11FRF",#N/A,FALSE,"NOTE11";"N12FRF",#N/A,FALSE,"NOTE12";"N13FRF",#N/A,FALSE,"NOTE13";"N14FRF",#N/A,FALSE,"NOTE14";"N15FRF",#N/A,FALSE,"NOTE15";"N16FRF",#N/A,FALSE,"NOTE16";"N17FRF",#N/A,FALSE,"NOTE17";"N18FRF",#N/A,FALSE,"NOTE18";"N19FRF",#N/A,FALSE,"NOTE19";"N20FRF",#N/A,FALSE,"NOTE20";"N21FRF",#N/A,FALSE,"NOTE21";"N22FRF",#N/A,FALSE,"NOTE22";"N23FRF",#N/A,FALSE,"NOTE23";"N24FRF",#N/A,FALSE,"NOTE24";"N25FRF",#N/A,FALSE,"NOTE25";"N26FRF",#N/A,FALSE,"NOTE26";"N27FRF",#N/A,FALSE,"NOTE27";"N28FRF",#N/A,FALSE,"NOTE28";"N29FRF",#N/A,FALSE,"NOTE29";"N30FRF",#N/A,FALSE,"NOTE30";"N31FRF",#N/A,FALSE,"NOTE31";"N32FRF",#N/A,FALSE,"NOTE32";"N33FRF",#N/A,FALSE,"NOTE33";"BILSOCFRF",#N/A,FALSE,"bilan soc";"RESSOCFRF",#N/A,FALSE,"PL soc";"cinqexFRF",#N/A,FALSE,"5ex"}</definedName>
    <definedName name="wrn.etafifrffrf._1" localSheetId="10" hidden="1">{#N/A,"francaisfrf",FALSE,"UNITE";"ACTFRF",#N/A,FALSE,"ACTIF";"PASFRF",#N/A,FALSE,"PASSIF";"RESFRF",#N/A,FALSE,"RESULTATS";"FPFRF",#N/A,FALSE,"FP";"N03FRF",#N/A,FALSE,"NOTE03";"N04FRF",#N/A,FALSE,"NOTE04";"N05FRF",#N/A,FALSE,"NOTE05";"N06FRF",#N/A,FALSE,"NOTE06";"N07FRF",#N/A,FALSE,"NOTE07";"N08FRF",#N/A,FALSE,"NOTE08";"N09FRF",#N/A,FALSE,"NOTE09";"N10FRF",#N/A,FALSE,"NOTE10";"N11FRF",#N/A,FALSE,"NOTE11";"N12FRF",#N/A,FALSE,"NOTE12";"N13FRF",#N/A,FALSE,"NOTE13";"N14FRF",#N/A,FALSE,"NOTE14";"N15FRF",#N/A,FALSE,"NOTE15";"N16FRF",#N/A,FALSE,"NOTE16";"N17FRF",#N/A,FALSE,"NOTE17";"N18FRF",#N/A,FALSE,"NOTE18";"N19FRF",#N/A,FALSE,"NOTE19";"N20FRF",#N/A,FALSE,"NOTE20";"N21FRF",#N/A,FALSE,"NOTE21";"N22FRF",#N/A,FALSE,"NOTE22";"N23FRF",#N/A,FALSE,"NOTE23";"N24FRF",#N/A,FALSE,"NOTE24";"N25FRF",#N/A,FALSE,"NOTE25";"N26FRF",#N/A,FALSE,"NOTE26";"N27FRF",#N/A,FALSE,"NOTE27";"N28FRF",#N/A,FALSE,"NOTE28";"N29FRF",#N/A,FALSE,"NOTE29";"N30FRF",#N/A,FALSE,"NOTE30";"N31FRF",#N/A,FALSE,"NOTE31";"N32FRF",#N/A,FALSE,"NOTE32";"N33FRF",#N/A,FALSE,"NOTE33";"BILSOCFRF",#N/A,FALSE,"bilan soc";"RESSOCFRF",#N/A,FALSE,"PL soc";"cinqexFRF",#N/A,FALSE,"5ex"}</definedName>
    <definedName name="wrn.etafifrffrf._1" hidden="1">{#N/A,"francaisfrf",FALSE,"UNITE";"ACTFRF",#N/A,FALSE,"ACTIF";"PASFRF",#N/A,FALSE,"PASSIF";"RESFRF",#N/A,FALSE,"RESULTATS";"FPFRF",#N/A,FALSE,"FP";"N03FRF",#N/A,FALSE,"NOTE03";"N04FRF",#N/A,FALSE,"NOTE04";"N05FRF",#N/A,FALSE,"NOTE05";"N06FRF",#N/A,FALSE,"NOTE06";"N07FRF",#N/A,FALSE,"NOTE07";"N08FRF",#N/A,FALSE,"NOTE08";"N09FRF",#N/A,FALSE,"NOTE09";"N10FRF",#N/A,FALSE,"NOTE10";"N11FRF",#N/A,FALSE,"NOTE11";"N12FRF",#N/A,FALSE,"NOTE12";"N13FRF",#N/A,FALSE,"NOTE13";"N14FRF",#N/A,FALSE,"NOTE14";"N15FRF",#N/A,FALSE,"NOTE15";"N16FRF",#N/A,FALSE,"NOTE16";"N17FRF",#N/A,FALSE,"NOTE17";"N18FRF",#N/A,FALSE,"NOTE18";"N19FRF",#N/A,FALSE,"NOTE19";"N20FRF",#N/A,FALSE,"NOTE20";"N21FRF",#N/A,FALSE,"NOTE21";"N22FRF",#N/A,FALSE,"NOTE22";"N23FRF",#N/A,FALSE,"NOTE23";"N24FRF",#N/A,FALSE,"NOTE24";"N25FRF",#N/A,FALSE,"NOTE25";"N26FRF",#N/A,FALSE,"NOTE26";"N27FRF",#N/A,FALSE,"NOTE27";"N28FRF",#N/A,FALSE,"NOTE28";"N29FRF",#N/A,FALSE,"NOTE29";"N30FRF",#N/A,FALSE,"NOTE30";"N31FRF",#N/A,FALSE,"NOTE31";"N32FRF",#N/A,FALSE,"NOTE32";"N33FRF",#N/A,FALSE,"NOTE33";"BILSOCFRF",#N/A,FALSE,"bilan soc";"RESSOCFRF",#N/A,FALSE,"PL soc";"cinqexFRF",#N/A,FALSE,"5ex"}</definedName>
    <definedName name="wrn.etafifrffrf._1_1" localSheetId="9" hidden="1">{#N/A,"francaisfrf",FALSE,"UNITE";"ACTFRF",#N/A,FALSE,"ACTIF";"PASFRF",#N/A,FALSE,"PASSIF";"RESFRF",#N/A,FALSE,"RESULTATS";"FPFRF",#N/A,FALSE,"FP";"N03FRF",#N/A,FALSE,"NOTE03";"N04FRF",#N/A,FALSE,"NOTE04";"N05FRF",#N/A,FALSE,"NOTE05";"N06FRF",#N/A,FALSE,"NOTE06";"N07FRF",#N/A,FALSE,"NOTE07";"N08FRF",#N/A,FALSE,"NOTE08";"N09FRF",#N/A,FALSE,"NOTE09";"N10FRF",#N/A,FALSE,"NOTE10";"N11FRF",#N/A,FALSE,"NOTE11";"N12FRF",#N/A,FALSE,"NOTE12";"N13FRF",#N/A,FALSE,"NOTE13";"N14FRF",#N/A,FALSE,"NOTE14";"N15FRF",#N/A,FALSE,"NOTE15";"N16FRF",#N/A,FALSE,"NOTE16";"N17FRF",#N/A,FALSE,"NOTE17";"N18FRF",#N/A,FALSE,"NOTE18";"N19FRF",#N/A,FALSE,"NOTE19";"N20FRF",#N/A,FALSE,"NOTE20";"N21FRF",#N/A,FALSE,"NOTE21";"N22FRF",#N/A,FALSE,"NOTE22";"N23FRF",#N/A,FALSE,"NOTE23";"N24FRF",#N/A,FALSE,"NOTE24";"N25FRF",#N/A,FALSE,"NOTE25";"N26FRF",#N/A,FALSE,"NOTE26";"N27FRF",#N/A,FALSE,"NOTE27";"N28FRF",#N/A,FALSE,"NOTE28";"N29FRF",#N/A,FALSE,"NOTE29";"N30FRF",#N/A,FALSE,"NOTE30";"N31FRF",#N/A,FALSE,"NOTE31";"N32FRF",#N/A,FALSE,"NOTE32";"N33FRF",#N/A,FALSE,"NOTE33";"BILSOCFRF",#N/A,FALSE,"bilan soc";"RESSOCFRF",#N/A,FALSE,"PL soc";"cinqexFRF",#N/A,FALSE,"5ex"}</definedName>
    <definedName name="wrn.etafifrffrf._1_1" localSheetId="12" hidden="1">{#N/A,"francaisfrf",FALSE,"UNITE";"ACTFRF",#N/A,FALSE,"ACTIF";"PASFRF",#N/A,FALSE,"PASSIF";"RESFRF",#N/A,FALSE,"RESULTATS";"FPFRF",#N/A,FALSE,"FP";"N03FRF",#N/A,FALSE,"NOTE03";"N04FRF",#N/A,FALSE,"NOTE04";"N05FRF",#N/A,FALSE,"NOTE05";"N06FRF",#N/A,FALSE,"NOTE06";"N07FRF",#N/A,FALSE,"NOTE07";"N08FRF",#N/A,FALSE,"NOTE08";"N09FRF",#N/A,FALSE,"NOTE09";"N10FRF",#N/A,FALSE,"NOTE10";"N11FRF",#N/A,FALSE,"NOTE11";"N12FRF",#N/A,FALSE,"NOTE12";"N13FRF",#N/A,FALSE,"NOTE13";"N14FRF",#N/A,FALSE,"NOTE14";"N15FRF",#N/A,FALSE,"NOTE15";"N16FRF",#N/A,FALSE,"NOTE16";"N17FRF",#N/A,FALSE,"NOTE17";"N18FRF",#N/A,FALSE,"NOTE18";"N19FRF",#N/A,FALSE,"NOTE19";"N20FRF",#N/A,FALSE,"NOTE20";"N21FRF",#N/A,FALSE,"NOTE21";"N22FRF",#N/A,FALSE,"NOTE22";"N23FRF",#N/A,FALSE,"NOTE23";"N24FRF",#N/A,FALSE,"NOTE24";"N25FRF",#N/A,FALSE,"NOTE25";"N26FRF",#N/A,FALSE,"NOTE26";"N27FRF",#N/A,FALSE,"NOTE27";"N28FRF",#N/A,FALSE,"NOTE28";"N29FRF",#N/A,FALSE,"NOTE29";"N30FRF",#N/A,FALSE,"NOTE30";"N31FRF",#N/A,FALSE,"NOTE31";"N32FRF",#N/A,FALSE,"NOTE32";"N33FRF",#N/A,FALSE,"NOTE33";"BILSOCFRF",#N/A,FALSE,"bilan soc";"RESSOCFRF",#N/A,FALSE,"PL soc";"cinqexFRF",#N/A,FALSE,"5ex"}</definedName>
    <definedName name="wrn.etafifrffrf._1_1" localSheetId="7" hidden="1">{#N/A,"francaisfrf",FALSE,"UNITE";"ACTFRF",#N/A,FALSE,"ACTIF";"PASFRF",#N/A,FALSE,"PASSIF";"RESFRF",#N/A,FALSE,"RESULTATS";"FPFRF",#N/A,FALSE,"FP";"N03FRF",#N/A,FALSE,"NOTE03";"N04FRF",#N/A,FALSE,"NOTE04";"N05FRF",#N/A,FALSE,"NOTE05";"N06FRF",#N/A,FALSE,"NOTE06";"N07FRF",#N/A,FALSE,"NOTE07";"N08FRF",#N/A,FALSE,"NOTE08";"N09FRF",#N/A,FALSE,"NOTE09";"N10FRF",#N/A,FALSE,"NOTE10";"N11FRF",#N/A,FALSE,"NOTE11";"N12FRF",#N/A,FALSE,"NOTE12";"N13FRF",#N/A,FALSE,"NOTE13";"N14FRF",#N/A,FALSE,"NOTE14";"N15FRF",#N/A,FALSE,"NOTE15";"N16FRF",#N/A,FALSE,"NOTE16";"N17FRF",#N/A,FALSE,"NOTE17";"N18FRF",#N/A,FALSE,"NOTE18";"N19FRF",#N/A,FALSE,"NOTE19";"N20FRF",#N/A,FALSE,"NOTE20";"N21FRF",#N/A,FALSE,"NOTE21";"N22FRF",#N/A,FALSE,"NOTE22";"N23FRF",#N/A,FALSE,"NOTE23";"N24FRF",#N/A,FALSE,"NOTE24";"N25FRF",#N/A,FALSE,"NOTE25";"N26FRF",#N/A,FALSE,"NOTE26";"N27FRF",#N/A,FALSE,"NOTE27";"N28FRF",#N/A,FALSE,"NOTE28";"N29FRF",#N/A,FALSE,"NOTE29";"N30FRF",#N/A,FALSE,"NOTE30";"N31FRF",#N/A,FALSE,"NOTE31";"N32FRF",#N/A,FALSE,"NOTE32";"N33FRF",#N/A,FALSE,"NOTE33";"BILSOCFRF",#N/A,FALSE,"bilan soc";"RESSOCFRF",#N/A,FALSE,"PL soc";"cinqexFRF",#N/A,FALSE,"5ex"}</definedName>
    <definedName name="wrn.etafifrffrf._1_1" localSheetId="8" hidden="1">{#N/A,"francaisfrf",FALSE,"UNITE";"ACTFRF",#N/A,FALSE,"ACTIF";"PASFRF",#N/A,FALSE,"PASSIF";"RESFRF",#N/A,FALSE,"RESULTATS";"FPFRF",#N/A,FALSE,"FP";"N03FRF",#N/A,FALSE,"NOTE03";"N04FRF",#N/A,FALSE,"NOTE04";"N05FRF",#N/A,FALSE,"NOTE05";"N06FRF",#N/A,FALSE,"NOTE06";"N07FRF",#N/A,FALSE,"NOTE07";"N08FRF",#N/A,FALSE,"NOTE08";"N09FRF",#N/A,FALSE,"NOTE09";"N10FRF",#N/A,FALSE,"NOTE10";"N11FRF",#N/A,FALSE,"NOTE11";"N12FRF",#N/A,FALSE,"NOTE12";"N13FRF",#N/A,FALSE,"NOTE13";"N14FRF",#N/A,FALSE,"NOTE14";"N15FRF",#N/A,FALSE,"NOTE15";"N16FRF",#N/A,FALSE,"NOTE16";"N17FRF",#N/A,FALSE,"NOTE17";"N18FRF",#N/A,FALSE,"NOTE18";"N19FRF",#N/A,FALSE,"NOTE19";"N20FRF",#N/A,FALSE,"NOTE20";"N21FRF",#N/A,FALSE,"NOTE21";"N22FRF",#N/A,FALSE,"NOTE22";"N23FRF",#N/A,FALSE,"NOTE23";"N24FRF",#N/A,FALSE,"NOTE24";"N25FRF",#N/A,FALSE,"NOTE25";"N26FRF",#N/A,FALSE,"NOTE26";"N27FRF",#N/A,FALSE,"NOTE27";"N28FRF",#N/A,FALSE,"NOTE28";"N29FRF",#N/A,FALSE,"NOTE29";"N30FRF",#N/A,FALSE,"NOTE30";"N31FRF",#N/A,FALSE,"NOTE31";"N32FRF",#N/A,FALSE,"NOTE32";"N33FRF",#N/A,FALSE,"NOTE33";"BILSOCFRF",#N/A,FALSE,"bilan soc";"RESSOCFRF",#N/A,FALSE,"PL soc";"cinqexFRF",#N/A,FALSE,"5ex"}</definedName>
    <definedName name="wrn.etafifrffrf._1_1" localSheetId="10" hidden="1">{#N/A,"francaisfrf",FALSE,"UNITE";"ACTFRF",#N/A,FALSE,"ACTIF";"PASFRF",#N/A,FALSE,"PASSIF";"RESFRF",#N/A,FALSE,"RESULTATS";"FPFRF",#N/A,FALSE,"FP";"N03FRF",#N/A,FALSE,"NOTE03";"N04FRF",#N/A,FALSE,"NOTE04";"N05FRF",#N/A,FALSE,"NOTE05";"N06FRF",#N/A,FALSE,"NOTE06";"N07FRF",#N/A,FALSE,"NOTE07";"N08FRF",#N/A,FALSE,"NOTE08";"N09FRF",#N/A,FALSE,"NOTE09";"N10FRF",#N/A,FALSE,"NOTE10";"N11FRF",#N/A,FALSE,"NOTE11";"N12FRF",#N/A,FALSE,"NOTE12";"N13FRF",#N/A,FALSE,"NOTE13";"N14FRF",#N/A,FALSE,"NOTE14";"N15FRF",#N/A,FALSE,"NOTE15";"N16FRF",#N/A,FALSE,"NOTE16";"N17FRF",#N/A,FALSE,"NOTE17";"N18FRF",#N/A,FALSE,"NOTE18";"N19FRF",#N/A,FALSE,"NOTE19";"N20FRF",#N/A,FALSE,"NOTE20";"N21FRF",#N/A,FALSE,"NOTE21";"N22FRF",#N/A,FALSE,"NOTE22";"N23FRF",#N/A,FALSE,"NOTE23";"N24FRF",#N/A,FALSE,"NOTE24";"N25FRF",#N/A,FALSE,"NOTE25";"N26FRF",#N/A,FALSE,"NOTE26";"N27FRF",#N/A,FALSE,"NOTE27";"N28FRF",#N/A,FALSE,"NOTE28";"N29FRF",#N/A,FALSE,"NOTE29";"N30FRF",#N/A,FALSE,"NOTE30";"N31FRF",#N/A,FALSE,"NOTE31";"N32FRF",#N/A,FALSE,"NOTE32";"N33FRF",#N/A,FALSE,"NOTE33";"BILSOCFRF",#N/A,FALSE,"bilan soc";"RESSOCFRF",#N/A,FALSE,"PL soc";"cinqexFRF",#N/A,FALSE,"5ex"}</definedName>
    <definedName name="wrn.etafifrffrf._1_1" hidden="1">{#N/A,"francaisfrf",FALSE,"UNITE";"ACTFRF",#N/A,FALSE,"ACTIF";"PASFRF",#N/A,FALSE,"PASSIF";"RESFRF",#N/A,FALSE,"RESULTATS";"FPFRF",#N/A,FALSE,"FP";"N03FRF",#N/A,FALSE,"NOTE03";"N04FRF",#N/A,FALSE,"NOTE04";"N05FRF",#N/A,FALSE,"NOTE05";"N06FRF",#N/A,FALSE,"NOTE06";"N07FRF",#N/A,FALSE,"NOTE07";"N08FRF",#N/A,FALSE,"NOTE08";"N09FRF",#N/A,FALSE,"NOTE09";"N10FRF",#N/A,FALSE,"NOTE10";"N11FRF",#N/A,FALSE,"NOTE11";"N12FRF",#N/A,FALSE,"NOTE12";"N13FRF",#N/A,FALSE,"NOTE13";"N14FRF",#N/A,FALSE,"NOTE14";"N15FRF",#N/A,FALSE,"NOTE15";"N16FRF",#N/A,FALSE,"NOTE16";"N17FRF",#N/A,FALSE,"NOTE17";"N18FRF",#N/A,FALSE,"NOTE18";"N19FRF",#N/A,FALSE,"NOTE19";"N20FRF",#N/A,FALSE,"NOTE20";"N21FRF",#N/A,FALSE,"NOTE21";"N22FRF",#N/A,FALSE,"NOTE22";"N23FRF",#N/A,FALSE,"NOTE23";"N24FRF",#N/A,FALSE,"NOTE24";"N25FRF",#N/A,FALSE,"NOTE25";"N26FRF",#N/A,FALSE,"NOTE26";"N27FRF",#N/A,FALSE,"NOTE27";"N28FRF",#N/A,FALSE,"NOTE28";"N29FRF",#N/A,FALSE,"NOTE29";"N30FRF",#N/A,FALSE,"NOTE30";"N31FRF",#N/A,FALSE,"NOTE31";"N32FRF",#N/A,FALSE,"NOTE32";"N33FRF",#N/A,FALSE,"NOTE33";"BILSOCFRF",#N/A,FALSE,"bilan soc";"RESSOCFRF",#N/A,FALSE,"PL soc";"cinqexFRF",#N/A,FALSE,"5ex"}</definedName>
    <definedName name="wrn.etafifrffrf._1_1_1" localSheetId="12" hidden="1">{#N/A,"francaisfrf",FALSE,"UNITE";"ACTFRF",#N/A,FALSE,"ACTIF";"PASFRF",#N/A,FALSE,"PASSIF";"RESFRF",#N/A,FALSE,"RESULTATS";"FPFRF",#N/A,FALSE,"FP";"N03FRF",#N/A,FALSE,"NOTE03";"N04FRF",#N/A,FALSE,"NOTE04";"N05FRF",#N/A,FALSE,"NOTE05";"N06FRF",#N/A,FALSE,"NOTE06";"N07FRF",#N/A,FALSE,"NOTE07";"N08FRF",#N/A,FALSE,"NOTE08";"N09FRF",#N/A,FALSE,"NOTE09";"N10FRF",#N/A,FALSE,"NOTE10";"N11FRF",#N/A,FALSE,"NOTE11";"N12FRF",#N/A,FALSE,"NOTE12";"N13FRF",#N/A,FALSE,"NOTE13";"N14FRF",#N/A,FALSE,"NOTE14";"N15FRF",#N/A,FALSE,"NOTE15";"N16FRF",#N/A,FALSE,"NOTE16";"N17FRF",#N/A,FALSE,"NOTE17";"N18FRF",#N/A,FALSE,"NOTE18";"N19FRF",#N/A,FALSE,"NOTE19";"N20FRF",#N/A,FALSE,"NOTE20";"N21FRF",#N/A,FALSE,"NOTE21";"N22FRF",#N/A,FALSE,"NOTE22";"N23FRF",#N/A,FALSE,"NOTE23";"N24FRF",#N/A,FALSE,"NOTE24";"N25FRF",#N/A,FALSE,"NOTE25";"N26FRF",#N/A,FALSE,"NOTE26";"N27FRF",#N/A,FALSE,"NOTE27";"N28FRF",#N/A,FALSE,"NOTE28";"N29FRF",#N/A,FALSE,"NOTE29";"N30FRF",#N/A,FALSE,"NOTE30";"N31FRF",#N/A,FALSE,"NOTE31";"N32FRF",#N/A,FALSE,"NOTE32";"N33FRF",#N/A,FALSE,"NOTE33";"BILSOCFRF",#N/A,FALSE,"bilan soc";"RESSOCFRF",#N/A,FALSE,"PL soc";"cinqexFRF",#N/A,FALSE,"5ex"}</definedName>
    <definedName name="wrn.etafifrffrf._1_1_1" hidden="1">{#N/A,"francaisfrf",FALSE,"UNITE";"ACTFRF",#N/A,FALSE,"ACTIF";"PASFRF",#N/A,FALSE,"PASSIF";"RESFRF",#N/A,FALSE,"RESULTATS";"FPFRF",#N/A,FALSE,"FP";"N03FRF",#N/A,FALSE,"NOTE03";"N04FRF",#N/A,FALSE,"NOTE04";"N05FRF",#N/A,FALSE,"NOTE05";"N06FRF",#N/A,FALSE,"NOTE06";"N07FRF",#N/A,FALSE,"NOTE07";"N08FRF",#N/A,FALSE,"NOTE08";"N09FRF",#N/A,FALSE,"NOTE09";"N10FRF",#N/A,FALSE,"NOTE10";"N11FRF",#N/A,FALSE,"NOTE11";"N12FRF",#N/A,FALSE,"NOTE12";"N13FRF",#N/A,FALSE,"NOTE13";"N14FRF",#N/A,FALSE,"NOTE14";"N15FRF",#N/A,FALSE,"NOTE15";"N16FRF",#N/A,FALSE,"NOTE16";"N17FRF",#N/A,FALSE,"NOTE17";"N18FRF",#N/A,FALSE,"NOTE18";"N19FRF",#N/A,FALSE,"NOTE19";"N20FRF",#N/A,FALSE,"NOTE20";"N21FRF",#N/A,FALSE,"NOTE21";"N22FRF",#N/A,FALSE,"NOTE22";"N23FRF",#N/A,FALSE,"NOTE23";"N24FRF",#N/A,FALSE,"NOTE24";"N25FRF",#N/A,FALSE,"NOTE25";"N26FRF",#N/A,FALSE,"NOTE26";"N27FRF",#N/A,FALSE,"NOTE27";"N28FRF",#N/A,FALSE,"NOTE28";"N29FRF",#N/A,FALSE,"NOTE29";"N30FRF",#N/A,FALSE,"NOTE30";"N31FRF",#N/A,FALSE,"NOTE31";"N32FRF",#N/A,FALSE,"NOTE32";"N33FRF",#N/A,FALSE,"NOTE33";"BILSOCFRF",#N/A,FALSE,"bilan soc";"RESSOCFRF",#N/A,FALSE,"PL soc";"cinqexFRF",#N/A,FALSE,"5ex"}</definedName>
    <definedName name="wrn.etafifrffrf._1_1_2" hidden="1">{#N/A,"francaisfrf",FALSE,"UNITE";"ACTFRF",#N/A,FALSE,"ACTIF";"PASFRF",#N/A,FALSE,"PASSIF";"RESFRF",#N/A,FALSE,"RESULTATS";"FPFRF",#N/A,FALSE,"FP";"N03FRF",#N/A,FALSE,"NOTE03";"N04FRF",#N/A,FALSE,"NOTE04";"N05FRF",#N/A,FALSE,"NOTE05";"N06FRF",#N/A,FALSE,"NOTE06";"N07FRF",#N/A,FALSE,"NOTE07";"N08FRF",#N/A,FALSE,"NOTE08";"N09FRF",#N/A,FALSE,"NOTE09";"N10FRF",#N/A,FALSE,"NOTE10";"N11FRF",#N/A,FALSE,"NOTE11";"N12FRF",#N/A,FALSE,"NOTE12";"N13FRF",#N/A,FALSE,"NOTE13";"N14FRF",#N/A,FALSE,"NOTE14";"N15FRF",#N/A,FALSE,"NOTE15";"N16FRF",#N/A,FALSE,"NOTE16";"N17FRF",#N/A,FALSE,"NOTE17";"N18FRF",#N/A,FALSE,"NOTE18";"N19FRF",#N/A,FALSE,"NOTE19";"N20FRF",#N/A,FALSE,"NOTE20";"N21FRF",#N/A,FALSE,"NOTE21";"N22FRF",#N/A,FALSE,"NOTE22";"N23FRF",#N/A,FALSE,"NOTE23";"N24FRF",#N/A,FALSE,"NOTE24";"N25FRF",#N/A,FALSE,"NOTE25";"N26FRF",#N/A,FALSE,"NOTE26";"N27FRF",#N/A,FALSE,"NOTE27";"N28FRF",#N/A,FALSE,"NOTE28";"N29FRF",#N/A,FALSE,"NOTE29";"N30FRF",#N/A,FALSE,"NOTE30";"N31FRF",#N/A,FALSE,"NOTE31";"N32FRF",#N/A,FALSE,"NOTE32";"N33FRF",#N/A,FALSE,"NOTE33";"BILSOCFRF",#N/A,FALSE,"bilan soc";"RESSOCFRF",#N/A,FALSE,"PL soc";"cinqexFRF",#N/A,FALSE,"5ex"}</definedName>
    <definedName name="wrn.etafifrffrf._1_2" localSheetId="12" hidden="1">{#N/A,"francaisfrf",FALSE,"UNITE";"ACTFRF",#N/A,FALSE,"ACTIF";"PASFRF",#N/A,FALSE,"PASSIF";"RESFRF",#N/A,FALSE,"RESULTATS";"FPFRF",#N/A,FALSE,"FP";"N03FRF",#N/A,FALSE,"NOTE03";"N04FRF",#N/A,FALSE,"NOTE04";"N05FRF",#N/A,FALSE,"NOTE05";"N06FRF",#N/A,FALSE,"NOTE06";"N07FRF",#N/A,FALSE,"NOTE07";"N08FRF",#N/A,FALSE,"NOTE08";"N09FRF",#N/A,FALSE,"NOTE09";"N10FRF",#N/A,FALSE,"NOTE10";"N11FRF",#N/A,FALSE,"NOTE11";"N12FRF",#N/A,FALSE,"NOTE12";"N13FRF",#N/A,FALSE,"NOTE13";"N14FRF",#N/A,FALSE,"NOTE14";"N15FRF",#N/A,FALSE,"NOTE15";"N16FRF",#N/A,FALSE,"NOTE16";"N17FRF",#N/A,FALSE,"NOTE17";"N18FRF",#N/A,FALSE,"NOTE18";"N19FRF",#N/A,FALSE,"NOTE19";"N20FRF",#N/A,FALSE,"NOTE20";"N21FRF",#N/A,FALSE,"NOTE21";"N22FRF",#N/A,FALSE,"NOTE22";"N23FRF",#N/A,FALSE,"NOTE23";"N24FRF",#N/A,FALSE,"NOTE24";"N25FRF",#N/A,FALSE,"NOTE25";"N26FRF",#N/A,FALSE,"NOTE26";"N27FRF",#N/A,FALSE,"NOTE27";"N28FRF",#N/A,FALSE,"NOTE28";"N29FRF",#N/A,FALSE,"NOTE29";"N30FRF",#N/A,FALSE,"NOTE30";"N31FRF",#N/A,FALSE,"NOTE31";"N32FRF",#N/A,FALSE,"NOTE32";"N33FRF",#N/A,FALSE,"NOTE33";"BILSOCFRF",#N/A,FALSE,"bilan soc";"RESSOCFRF",#N/A,FALSE,"PL soc";"cinqexFRF",#N/A,FALSE,"5ex"}</definedName>
    <definedName name="wrn.etafifrffrf._1_2" hidden="1">{#N/A,"francaisfrf",FALSE,"UNITE";"ACTFRF",#N/A,FALSE,"ACTIF";"PASFRF",#N/A,FALSE,"PASSIF";"RESFRF",#N/A,FALSE,"RESULTATS";"FPFRF",#N/A,FALSE,"FP";"N03FRF",#N/A,FALSE,"NOTE03";"N04FRF",#N/A,FALSE,"NOTE04";"N05FRF",#N/A,FALSE,"NOTE05";"N06FRF",#N/A,FALSE,"NOTE06";"N07FRF",#N/A,FALSE,"NOTE07";"N08FRF",#N/A,FALSE,"NOTE08";"N09FRF",#N/A,FALSE,"NOTE09";"N10FRF",#N/A,FALSE,"NOTE10";"N11FRF",#N/A,FALSE,"NOTE11";"N12FRF",#N/A,FALSE,"NOTE12";"N13FRF",#N/A,FALSE,"NOTE13";"N14FRF",#N/A,FALSE,"NOTE14";"N15FRF",#N/A,FALSE,"NOTE15";"N16FRF",#N/A,FALSE,"NOTE16";"N17FRF",#N/A,FALSE,"NOTE17";"N18FRF",#N/A,FALSE,"NOTE18";"N19FRF",#N/A,FALSE,"NOTE19";"N20FRF",#N/A,FALSE,"NOTE20";"N21FRF",#N/A,FALSE,"NOTE21";"N22FRF",#N/A,FALSE,"NOTE22";"N23FRF",#N/A,FALSE,"NOTE23";"N24FRF",#N/A,FALSE,"NOTE24";"N25FRF",#N/A,FALSE,"NOTE25";"N26FRF",#N/A,FALSE,"NOTE26";"N27FRF",#N/A,FALSE,"NOTE27";"N28FRF",#N/A,FALSE,"NOTE28";"N29FRF",#N/A,FALSE,"NOTE29";"N30FRF",#N/A,FALSE,"NOTE30";"N31FRF",#N/A,FALSE,"NOTE31";"N32FRF",#N/A,FALSE,"NOTE32";"N33FRF",#N/A,FALSE,"NOTE33";"BILSOCFRF",#N/A,FALSE,"bilan soc";"RESSOCFRF",#N/A,FALSE,"PL soc";"cinqexFRF",#N/A,FALSE,"5ex"}</definedName>
    <definedName name="wrn.etafifrffrf._1_3" localSheetId="12" hidden="1">{#N/A,"francaisfrf",FALSE,"UNITE";"ACTFRF",#N/A,FALSE,"ACTIF";"PASFRF",#N/A,FALSE,"PASSIF";"RESFRF",#N/A,FALSE,"RESULTATS";"FPFRF",#N/A,FALSE,"FP";"N03FRF",#N/A,FALSE,"NOTE03";"N04FRF",#N/A,FALSE,"NOTE04";"N05FRF",#N/A,FALSE,"NOTE05";"N06FRF",#N/A,FALSE,"NOTE06";"N07FRF",#N/A,FALSE,"NOTE07";"N08FRF",#N/A,FALSE,"NOTE08";"N09FRF",#N/A,FALSE,"NOTE09";"N10FRF",#N/A,FALSE,"NOTE10";"N11FRF",#N/A,FALSE,"NOTE11";"N12FRF",#N/A,FALSE,"NOTE12";"N13FRF",#N/A,FALSE,"NOTE13";"N14FRF",#N/A,FALSE,"NOTE14";"N15FRF",#N/A,FALSE,"NOTE15";"N16FRF",#N/A,FALSE,"NOTE16";"N17FRF",#N/A,FALSE,"NOTE17";"N18FRF",#N/A,FALSE,"NOTE18";"N19FRF",#N/A,FALSE,"NOTE19";"N20FRF",#N/A,FALSE,"NOTE20";"N21FRF",#N/A,FALSE,"NOTE21";"N22FRF",#N/A,FALSE,"NOTE22";"N23FRF",#N/A,FALSE,"NOTE23";"N24FRF",#N/A,FALSE,"NOTE24";"N25FRF",#N/A,FALSE,"NOTE25";"N26FRF",#N/A,FALSE,"NOTE26";"N27FRF",#N/A,FALSE,"NOTE27";"N28FRF",#N/A,FALSE,"NOTE28";"N29FRF",#N/A,FALSE,"NOTE29";"N30FRF",#N/A,FALSE,"NOTE30";"N31FRF",#N/A,FALSE,"NOTE31";"N32FRF",#N/A,FALSE,"NOTE32";"N33FRF",#N/A,FALSE,"NOTE33";"BILSOCFRF",#N/A,FALSE,"bilan soc";"RESSOCFRF",#N/A,FALSE,"PL soc";"cinqexFRF",#N/A,FALSE,"5ex"}</definedName>
    <definedName name="wrn.etafifrffrf._1_3" hidden="1">{#N/A,"francaisfrf",FALSE,"UNITE";"ACTFRF",#N/A,FALSE,"ACTIF";"PASFRF",#N/A,FALSE,"PASSIF";"RESFRF",#N/A,FALSE,"RESULTATS";"FPFRF",#N/A,FALSE,"FP";"N03FRF",#N/A,FALSE,"NOTE03";"N04FRF",#N/A,FALSE,"NOTE04";"N05FRF",#N/A,FALSE,"NOTE05";"N06FRF",#N/A,FALSE,"NOTE06";"N07FRF",#N/A,FALSE,"NOTE07";"N08FRF",#N/A,FALSE,"NOTE08";"N09FRF",#N/A,FALSE,"NOTE09";"N10FRF",#N/A,FALSE,"NOTE10";"N11FRF",#N/A,FALSE,"NOTE11";"N12FRF",#N/A,FALSE,"NOTE12";"N13FRF",#N/A,FALSE,"NOTE13";"N14FRF",#N/A,FALSE,"NOTE14";"N15FRF",#N/A,FALSE,"NOTE15";"N16FRF",#N/A,FALSE,"NOTE16";"N17FRF",#N/A,FALSE,"NOTE17";"N18FRF",#N/A,FALSE,"NOTE18";"N19FRF",#N/A,FALSE,"NOTE19";"N20FRF",#N/A,FALSE,"NOTE20";"N21FRF",#N/A,FALSE,"NOTE21";"N22FRF",#N/A,FALSE,"NOTE22";"N23FRF",#N/A,FALSE,"NOTE23";"N24FRF",#N/A,FALSE,"NOTE24";"N25FRF",#N/A,FALSE,"NOTE25";"N26FRF",#N/A,FALSE,"NOTE26";"N27FRF",#N/A,FALSE,"NOTE27";"N28FRF",#N/A,FALSE,"NOTE28";"N29FRF",#N/A,FALSE,"NOTE29";"N30FRF",#N/A,FALSE,"NOTE30";"N31FRF",#N/A,FALSE,"NOTE31";"N32FRF",#N/A,FALSE,"NOTE32";"N33FRF",#N/A,FALSE,"NOTE33";"BILSOCFRF",#N/A,FALSE,"bilan soc";"RESSOCFRF",#N/A,FALSE,"PL soc";"cinqexFRF",#N/A,FALSE,"5ex"}</definedName>
    <definedName name="wrn.etafifrffrf._2" localSheetId="9" hidden="1">{#N/A,"francaisfrf",FALSE,"UNITE";"ACTFRF",#N/A,FALSE,"ACTIF";"PASFRF",#N/A,FALSE,"PASSIF";"RESFRF",#N/A,FALSE,"RESULTATS";"FPFRF",#N/A,FALSE,"FP";"N03FRF",#N/A,FALSE,"NOTE03";"N04FRF",#N/A,FALSE,"NOTE04";"N05FRF",#N/A,FALSE,"NOTE05";"N06FRF",#N/A,FALSE,"NOTE06";"N07FRF",#N/A,FALSE,"NOTE07";"N08FRF",#N/A,FALSE,"NOTE08";"N09FRF",#N/A,FALSE,"NOTE09";"N10FRF",#N/A,FALSE,"NOTE10";"N11FRF",#N/A,FALSE,"NOTE11";"N12FRF",#N/A,FALSE,"NOTE12";"N13FRF",#N/A,FALSE,"NOTE13";"N14FRF",#N/A,FALSE,"NOTE14";"N15FRF",#N/A,FALSE,"NOTE15";"N16FRF",#N/A,FALSE,"NOTE16";"N17FRF",#N/A,FALSE,"NOTE17";"N18FRF",#N/A,FALSE,"NOTE18";"N19FRF",#N/A,FALSE,"NOTE19";"N20FRF",#N/A,FALSE,"NOTE20";"N21FRF",#N/A,FALSE,"NOTE21";"N22FRF",#N/A,FALSE,"NOTE22";"N23FRF",#N/A,FALSE,"NOTE23";"N24FRF",#N/A,FALSE,"NOTE24";"N25FRF",#N/A,FALSE,"NOTE25";"N26FRF",#N/A,FALSE,"NOTE26";"N27FRF",#N/A,FALSE,"NOTE27";"N28FRF",#N/A,FALSE,"NOTE28";"N29FRF",#N/A,FALSE,"NOTE29";"N30FRF",#N/A,FALSE,"NOTE30";"N31FRF",#N/A,FALSE,"NOTE31";"N32FRF",#N/A,FALSE,"NOTE32";"N33FRF",#N/A,FALSE,"NOTE33";"BILSOCFRF",#N/A,FALSE,"bilan soc";"RESSOCFRF",#N/A,FALSE,"PL soc";"cinqexFRF",#N/A,FALSE,"5ex"}</definedName>
    <definedName name="wrn.etafifrffrf._2" localSheetId="12" hidden="1">{#N/A,"francaisfrf",FALSE,"UNITE";"ACTFRF",#N/A,FALSE,"ACTIF";"PASFRF",#N/A,FALSE,"PASSIF";"RESFRF",#N/A,FALSE,"RESULTATS";"FPFRF",#N/A,FALSE,"FP";"N03FRF",#N/A,FALSE,"NOTE03";"N04FRF",#N/A,FALSE,"NOTE04";"N05FRF",#N/A,FALSE,"NOTE05";"N06FRF",#N/A,FALSE,"NOTE06";"N07FRF",#N/A,FALSE,"NOTE07";"N08FRF",#N/A,FALSE,"NOTE08";"N09FRF",#N/A,FALSE,"NOTE09";"N10FRF",#N/A,FALSE,"NOTE10";"N11FRF",#N/A,FALSE,"NOTE11";"N12FRF",#N/A,FALSE,"NOTE12";"N13FRF",#N/A,FALSE,"NOTE13";"N14FRF",#N/A,FALSE,"NOTE14";"N15FRF",#N/A,FALSE,"NOTE15";"N16FRF",#N/A,FALSE,"NOTE16";"N17FRF",#N/A,FALSE,"NOTE17";"N18FRF",#N/A,FALSE,"NOTE18";"N19FRF",#N/A,FALSE,"NOTE19";"N20FRF",#N/A,FALSE,"NOTE20";"N21FRF",#N/A,FALSE,"NOTE21";"N22FRF",#N/A,FALSE,"NOTE22";"N23FRF",#N/A,FALSE,"NOTE23";"N24FRF",#N/A,FALSE,"NOTE24";"N25FRF",#N/A,FALSE,"NOTE25";"N26FRF",#N/A,FALSE,"NOTE26";"N27FRF",#N/A,FALSE,"NOTE27";"N28FRF",#N/A,FALSE,"NOTE28";"N29FRF",#N/A,FALSE,"NOTE29";"N30FRF",#N/A,FALSE,"NOTE30";"N31FRF",#N/A,FALSE,"NOTE31";"N32FRF",#N/A,FALSE,"NOTE32";"N33FRF",#N/A,FALSE,"NOTE33";"BILSOCFRF",#N/A,FALSE,"bilan soc";"RESSOCFRF",#N/A,FALSE,"PL soc";"cinqexFRF",#N/A,FALSE,"5ex"}</definedName>
    <definedName name="wrn.etafifrffrf._2" localSheetId="7" hidden="1">{#N/A,"francaisfrf",FALSE,"UNITE";"ACTFRF",#N/A,FALSE,"ACTIF";"PASFRF",#N/A,FALSE,"PASSIF";"RESFRF",#N/A,FALSE,"RESULTATS";"FPFRF",#N/A,FALSE,"FP";"N03FRF",#N/A,FALSE,"NOTE03";"N04FRF",#N/A,FALSE,"NOTE04";"N05FRF",#N/A,FALSE,"NOTE05";"N06FRF",#N/A,FALSE,"NOTE06";"N07FRF",#N/A,FALSE,"NOTE07";"N08FRF",#N/A,FALSE,"NOTE08";"N09FRF",#N/A,FALSE,"NOTE09";"N10FRF",#N/A,FALSE,"NOTE10";"N11FRF",#N/A,FALSE,"NOTE11";"N12FRF",#N/A,FALSE,"NOTE12";"N13FRF",#N/A,FALSE,"NOTE13";"N14FRF",#N/A,FALSE,"NOTE14";"N15FRF",#N/A,FALSE,"NOTE15";"N16FRF",#N/A,FALSE,"NOTE16";"N17FRF",#N/A,FALSE,"NOTE17";"N18FRF",#N/A,FALSE,"NOTE18";"N19FRF",#N/A,FALSE,"NOTE19";"N20FRF",#N/A,FALSE,"NOTE20";"N21FRF",#N/A,FALSE,"NOTE21";"N22FRF",#N/A,FALSE,"NOTE22";"N23FRF",#N/A,FALSE,"NOTE23";"N24FRF",#N/A,FALSE,"NOTE24";"N25FRF",#N/A,FALSE,"NOTE25";"N26FRF",#N/A,FALSE,"NOTE26";"N27FRF",#N/A,FALSE,"NOTE27";"N28FRF",#N/A,FALSE,"NOTE28";"N29FRF",#N/A,FALSE,"NOTE29";"N30FRF",#N/A,FALSE,"NOTE30";"N31FRF",#N/A,FALSE,"NOTE31";"N32FRF",#N/A,FALSE,"NOTE32";"N33FRF",#N/A,FALSE,"NOTE33";"BILSOCFRF",#N/A,FALSE,"bilan soc";"RESSOCFRF",#N/A,FALSE,"PL soc";"cinqexFRF",#N/A,FALSE,"5ex"}</definedName>
    <definedName name="wrn.etafifrffrf._2" localSheetId="8" hidden="1">{#N/A,"francaisfrf",FALSE,"UNITE";"ACTFRF",#N/A,FALSE,"ACTIF";"PASFRF",#N/A,FALSE,"PASSIF";"RESFRF",#N/A,FALSE,"RESULTATS";"FPFRF",#N/A,FALSE,"FP";"N03FRF",#N/A,FALSE,"NOTE03";"N04FRF",#N/A,FALSE,"NOTE04";"N05FRF",#N/A,FALSE,"NOTE05";"N06FRF",#N/A,FALSE,"NOTE06";"N07FRF",#N/A,FALSE,"NOTE07";"N08FRF",#N/A,FALSE,"NOTE08";"N09FRF",#N/A,FALSE,"NOTE09";"N10FRF",#N/A,FALSE,"NOTE10";"N11FRF",#N/A,FALSE,"NOTE11";"N12FRF",#N/A,FALSE,"NOTE12";"N13FRF",#N/A,FALSE,"NOTE13";"N14FRF",#N/A,FALSE,"NOTE14";"N15FRF",#N/A,FALSE,"NOTE15";"N16FRF",#N/A,FALSE,"NOTE16";"N17FRF",#N/A,FALSE,"NOTE17";"N18FRF",#N/A,FALSE,"NOTE18";"N19FRF",#N/A,FALSE,"NOTE19";"N20FRF",#N/A,FALSE,"NOTE20";"N21FRF",#N/A,FALSE,"NOTE21";"N22FRF",#N/A,FALSE,"NOTE22";"N23FRF",#N/A,FALSE,"NOTE23";"N24FRF",#N/A,FALSE,"NOTE24";"N25FRF",#N/A,FALSE,"NOTE25";"N26FRF",#N/A,FALSE,"NOTE26";"N27FRF",#N/A,FALSE,"NOTE27";"N28FRF",#N/A,FALSE,"NOTE28";"N29FRF",#N/A,FALSE,"NOTE29";"N30FRF",#N/A,FALSE,"NOTE30";"N31FRF",#N/A,FALSE,"NOTE31";"N32FRF",#N/A,FALSE,"NOTE32";"N33FRF",#N/A,FALSE,"NOTE33";"BILSOCFRF",#N/A,FALSE,"bilan soc";"RESSOCFRF",#N/A,FALSE,"PL soc";"cinqexFRF",#N/A,FALSE,"5ex"}</definedName>
    <definedName name="wrn.etafifrffrf._2" localSheetId="10" hidden="1">{#N/A,"francaisfrf",FALSE,"UNITE";"ACTFRF",#N/A,FALSE,"ACTIF";"PASFRF",#N/A,FALSE,"PASSIF";"RESFRF",#N/A,FALSE,"RESULTATS";"FPFRF",#N/A,FALSE,"FP";"N03FRF",#N/A,FALSE,"NOTE03";"N04FRF",#N/A,FALSE,"NOTE04";"N05FRF",#N/A,FALSE,"NOTE05";"N06FRF",#N/A,FALSE,"NOTE06";"N07FRF",#N/A,FALSE,"NOTE07";"N08FRF",#N/A,FALSE,"NOTE08";"N09FRF",#N/A,FALSE,"NOTE09";"N10FRF",#N/A,FALSE,"NOTE10";"N11FRF",#N/A,FALSE,"NOTE11";"N12FRF",#N/A,FALSE,"NOTE12";"N13FRF",#N/A,FALSE,"NOTE13";"N14FRF",#N/A,FALSE,"NOTE14";"N15FRF",#N/A,FALSE,"NOTE15";"N16FRF",#N/A,FALSE,"NOTE16";"N17FRF",#N/A,FALSE,"NOTE17";"N18FRF",#N/A,FALSE,"NOTE18";"N19FRF",#N/A,FALSE,"NOTE19";"N20FRF",#N/A,FALSE,"NOTE20";"N21FRF",#N/A,FALSE,"NOTE21";"N22FRF",#N/A,FALSE,"NOTE22";"N23FRF",#N/A,FALSE,"NOTE23";"N24FRF",#N/A,FALSE,"NOTE24";"N25FRF",#N/A,FALSE,"NOTE25";"N26FRF",#N/A,FALSE,"NOTE26";"N27FRF",#N/A,FALSE,"NOTE27";"N28FRF",#N/A,FALSE,"NOTE28";"N29FRF",#N/A,FALSE,"NOTE29";"N30FRF",#N/A,FALSE,"NOTE30";"N31FRF",#N/A,FALSE,"NOTE31";"N32FRF",#N/A,FALSE,"NOTE32";"N33FRF",#N/A,FALSE,"NOTE33";"BILSOCFRF",#N/A,FALSE,"bilan soc";"RESSOCFRF",#N/A,FALSE,"PL soc";"cinqexFRF",#N/A,FALSE,"5ex"}</definedName>
    <definedName name="wrn.etafifrffrf._2" hidden="1">{#N/A,"francaisfrf",FALSE,"UNITE";"ACTFRF",#N/A,FALSE,"ACTIF";"PASFRF",#N/A,FALSE,"PASSIF";"RESFRF",#N/A,FALSE,"RESULTATS";"FPFRF",#N/A,FALSE,"FP";"N03FRF",#N/A,FALSE,"NOTE03";"N04FRF",#N/A,FALSE,"NOTE04";"N05FRF",#N/A,FALSE,"NOTE05";"N06FRF",#N/A,FALSE,"NOTE06";"N07FRF",#N/A,FALSE,"NOTE07";"N08FRF",#N/A,FALSE,"NOTE08";"N09FRF",#N/A,FALSE,"NOTE09";"N10FRF",#N/A,FALSE,"NOTE10";"N11FRF",#N/A,FALSE,"NOTE11";"N12FRF",#N/A,FALSE,"NOTE12";"N13FRF",#N/A,FALSE,"NOTE13";"N14FRF",#N/A,FALSE,"NOTE14";"N15FRF",#N/A,FALSE,"NOTE15";"N16FRF",#N/A,FALSE,"NOTE16";"N17FRF",#N/A,FALSE,"NOTE17";"N18FRF",#N/A,FALSE,"NOTE18";"N19FRF",#N/A,FALSE,"NOTE19";"N20FRF",#N/A,FALSE,"NOTE20";"N21FRF",#N/A,FALSE,"NOTE21";"N22FRF",#N/A,FALSE,"NOTE22";"N23FRF",#N/A,FALSE,"NOTE23";"N24FRF",#N/A,FALSE,"NOTE24";"N25FRF",#N/A,FALSE,"NOTE25";"N26FRF",#N/A,FALSE,"NOTE26";"N27FRF",#N/A,FALSE,"NOTE27";"N28FRF",#N/A,FALSE,"NOTE28";"N29FRF",#N/A,FALSE,"NOTE29";"N30FRF",#N/A,FALSE,"NOTE30";"N31FRF",#N/A,FALSE,"NOTE31";"N32FRF",#N/A,FALSE,"NOTE32";"N33FRF",#N/A,FALSE,"NOTE33";"BILSOCFRF",#N/A,FALSE,"bilan soc";"RESSOCFRF",#N/A,FALSE,"PL soc";"cinqexFRF",#N/A,FALSE,"5ex"}</definedName>
    <definedName name="wrn.etafifrffrf._2_1" localSheetId="9" hidden="1">{#N/A,"francaisfrf",FALSE,"UNITE";"ACTFRF",#N/A,FALSE,"ACTIF";"PASFRF",#N/A,FALSE,"PASSIF";"RESFRF",#N/A,FALSE,"RESULTATS";"FPFRF",#N/A,FALSE,"FP";"N03FRF",#N/A,FALSE,"NOTE03";"N04FRF",#N/A,FALSE,"NOTE04";"N05FRF",#N/A,FALSE,"NOTE05";"N06FRF",#N/A,FALSE,"NOTE06";"N07FRF",#N/A,FALSE,"NOTE07";"N08FRF",#N/A,FALSE,"NOTE08";"N09FRF",#N/A,FALSE,"NOTE09";"N10FRF",#N/A,FALSE,"NOTE10";"N11FRF",#N/A,FALSE,"NOTE11";"N12FRF",#N/A,FALSE,"NOTE12";"N13FRF",#N/A,FALSE,"NOTE13";"N14FRF",#N/A,FALSE,"NOTE14";"N15FRF",#N/A,FALSE,"NOTE15";"N16FRF",#N/A,FALSE,"NOTE16";"N17FRF",#N/A,FALSE,"NOTE17";"N18FRF",#N/A,FALSE,"NOTE18";"N19FRF",#N/A,FALSE,"NOTE19";"N20FRF",#N/A,FALSE,"NOTE20";"N21FRF",#N/A,FALSE,"NOTE21";"N22FRF",#N/A,FALSE,"NOTE22";"N23FRF",#N/A,FALSE,"NOTE23";"N24FRF",#N/A,FALSE,"NOTE24";"N25FRF",#N/A,FALSE,"NOTE25";"N26FRF",#N/A,FALSE,"NOTE26";"N27FRF",#N/A,FALSE,"NOTE27";"N28FRF",#N/A,FALSE,"NOTE28";"N29FRF",#N/A,FALSE,"NOTE29";"N30FRF",#N/A,FALSE,"NOTE30";"N31FRF",#N/A,FALSE,"NOTE31";"N32FRF",#N/A,FALSE,"NOTE32";"N33FRF",#N/A,FALSE,"NOTE33";"BILSOCFRF",#N/A,FALSE,"bilan soc";"RESSOCFRF",#N/A,FALSE,"PL soc";"cinqexFRF",#N/A,FALSE,"5ex"}</definedName>
    <definedName name="wrn.etafifrffrf._2_1" localSheetId="12" hidden="1">{#N/A,"francaisfrf",FALSE,"UNITE";"ACTFRF",#N/A,FALSE,"ACTIF";"PASFRF",#N/A,FALSE,"PASSIF";"RESFRF",#N/A,FALSE,"RESULTATS";"FPFRF",#N/A,FALSE,"FP";"N03FRF",#N/A,FALSE,"NOTE03";"N04FRF",#N/A,FALSE,"NOTE04";"N05FRF",#N/A,FALSE,"NOTE05";"N06FRF",#N/A,FALSE,"NOTE06";"N07FRF",#N/A,FALSE,"NOTE07";"N08FRF",#N/A,FALSE,"NOTE08";"N09FRF",#N/A,FALSE,"NOTE09";"N10FRF",#N/A,FALSE,"NOTE10";"N11FRF",#N/A,FALSE,"NOTE11";"N12FRF",#N/A,FALSE,"NOTE12";"N13FRF",#N/A,FALSE,"NOTE13";"N14FRF",#N/A,FALSE,"NOTE14";"N15FRF",#N/A,FALSE,"NOTE15";"N16FRF",#N/A,FALSE,"NOTE16";"N17FRF",#N/A,FALSE,"NOTE17";"N18FRF",#N/A,FALSE,"NOTE18";"N19FRF",#N/A,FALSE,"NOTE19";"N20FRF",#N/A,FALSE,"NOTE20";"N21FRF",#N/A,FALSE,"NOTE21";"N22FRF",#N/A,FALSE,"NOTE22";"N23FRF",#N/A,FALSE,"NOTE23";"N24FRF",#N/A,FALSE,"NOTE24";"N25FRF",#N/A,FALSE,"NOTE25";"N26FRF",#N/A,FALSE,"NOTE26";"N27FRF",#N/A,FALSE,"NOTE27";"N28FRF",#N/A,FALSE,"NOTE28";"N29FRF",#N/A,FALSE,"NOTE29";"N30FRF",#N/A,FALSE,"NOTE30";"N31FRF",#N/A,FALSE,"NOTE31";"N32FRF",#N/A,FALSE,"NOTE32";"N33FRF",#N/A,FALSE,"NOTE33";"BILSOCFRF",#N/A,FALSE,"bilan soc";"RESSOCFRF",#N/A,FALSE,"PL soc";"cinqexFRF",#N/A,FALSE,"5ex"}</definedName>
    <definedName name="wrn.etafifrffrf._2_1" localSheetId="7" hidden="1">{#N/A,"francaisfrf",FALSE,"UNITE";"ACTFRF",#N/A,FALSE,"ACTIF";"PASFRF",#N/A,FALSE,"PASSIF";"RESFRF",#N/A,FALSE,"RESULTATS";"FPFRF",#N/A,FALSE,"FP";"N03FRF",#N/A,FALSE,"NOTE03";"N04FRF",#N/A,FALSE,"NOTE04";"N05FRF",#N/A,FALSE,"NOTE05";"N06FRF",#N/A,FALSE,"NOTE06";"N07FRF",#N/A,FALSE,"NOTE07";"N08FRF",#N/A,FALSE,"NOTE08";"N09FRF",#N/A,FALSE,"NOTE09";"N10FRF",#N/A,FALSE,"NOTE10";"N11FRF",#N/A,FALSE,"NOTE11";"N12FRF",#N/A,FALSE,"NOTE12";"N13FRF",#N/A,FALSE,"NOTE13";"N14FRF",#N/A,FALSE,"NOTE14";"N15FRF",#N/A,FALSE,"NOTE15";"N16FRF",#N/A,FALSE,"NOTE16";"N17FRF",#N/A,FALSE,"NOTE17";"N18FRF",#N/A,FALSE,"NOTE18";"N19FRF",#N/A,FALSE,"NOTE19";"N20FRF",#N/A,FALSE,"NOTE20";"N21FRF",#N/A,FALSE,"NOTE21";"N22FRF",#N/A,FALSE,"NOTE22";"N23FRF",#N/A,FALSE,"NOTE23";"N24FRF",#N/A,FALSE,"NOTE24";"N25FRF",#N/A,FALSE,"NOTE25";"N26FRF",#N/A,FALSE,"NOTE26";"N27FRF",#N/A,FALSE,"NOTE27";"N28FRF",#N/A,FALSE,"NOTE28";"N29FRF",#N/A,FALSE,"NOTE29";"N30FRF",#N/A,FALSE,"NOTE30";"N31FRF",#N/A,FALSE,"NOTE31";"N32FRF",#N/A,FALSE,"NOTE32";"N33FRF",#N/A,FALSE,"NOTE33";"BILSOCFRF",#N/A,FALSE,"bilan soc";"RESSOCFRF",#N/A,FALSE,"PL soc";"cinqexFRF",#N/A,FALSE,"5ex"}</definedName>
    <definedName name="wrn.etafifrffrf._2_1" localSheetId="8" hidden="1">{#N/A,"francaisfrf",FALSE,"UNITE";"ACTFRF",#N/A,FALSE,"ACTIF";"PASFRF",#N/A,FALSE,"PASSIF";"RESFRF",#N/A,FALSE,"RESULTATS";"FPFRF",#N/A,FALSE,"FP";"N03FRF",#N/A,FALSE,"NOTE03";"N04FRF",#N/A,FALSE,"NOTE04";"N05FRF",#N/A,FALSE,"NOTE05";"N06FRF",#N/A,FALSE,"NOTE06";"N07FRF",#N/A,FALSE,"NOTE07";"N08FRF",#N/A,FALSE,"NOTE08";"N09FRF",#N/A,FALSE,"NOTE09";"N10FRF",#N/A,FALSE,"NOTE10";"N11FRF",#N/A,FALSE,"NOTE11";"N12FRF",#N/A,FALSE,"NOTE12";"N13FRF",#N/A,FALSE,"NOTE13";"N14FRF",#N/A,FALSE,"NOTE14";"N15FRF",#N/A,FALSE,"NOTE15";"N16FRF",#N/A,FALSE,"NOTE16";"N17FRF",#N/A,FALSE,"NOTE17";"N18FRF",#N/A,FALSE,"NOTE18";"N19FRF",#N/A,FALSE,"NOTE19";"N20FRF",#N/A,FALSE,"NOTE20";"N21FRF",#N/A,FALSE,"NOTE21";"N22FRF",#N/A,FALSE,"NOTE22";"N23FRF",#N/A,FALSE,"NOTE23";"N24FRF",#N/A,FALSE,"NOTE24";"N25FRF",#N/A,FALSE,"NOTE25";"N26FRF",#N/A,FALSE,"NOTE26";"N27FRF",#N/A,FALSE,"NOTE27";"N28FRF",#N/A,FALSE,"NOTE28";"N29FRF",#N/A,FALSE,"NOTE29";"N30FRF",#N/A,FALSE,"NOTE30";"N31FRF",#N/A,FALSE,"NOTE31";"N32FRF",#N/A,FALSE,"NOTE32";"N33FRF",#N/A,FALSE,"NOTE33";"BILSOCFRF",#N/A,FALSE,"bilan soc";"RESSOCFRF",#N/A,FALSE,"PL soc";"cinqexFRF",#N/A,FALSE,"5ex"}</definedName>
    <definedName name="wrn.etafifrffrf._2_1" localSheetId="10" hidden="1">{#N/A,"francaisfrf",FALSE,"UNITE";"ACTFRF",#N/A,FALSE,"ACTIF";"PASFRF",#N/A,FALSE,"PASSIF";"RESFRF",#N/A,FALSE,"RESULTATS";"FPFRF",#N/A,FALSE,"FP";"N03FRF",#N/A,FALSE,"NOTE03";"N04FRF",#N/A,FALSE,"NOTE04";"N05FRF",#N/A,FALSE,"NOTE05";"N06FRF",#N/A,FALSE,"NOTE06";"N07FRF",#N/A,FALSE,"NOTE07";"N08FRF",#N/A,FALSE,"NOTE08";"N09FRF",#N/A,FALSE,"NOTE09";"N10FRF",#N/A,FALSE,"NOTE10";"N11FRF",#N/A,FALSE,"NOTE11";"N12FRF",#N/A,FALSE,"NOTE12";"N13FRF",#N/A,FALSE,"NOTE13";"N14FRF",#N/A,FALSE,"NOTE14";"N15FRF",#N/A,FALSE,"NOTE15";"N16FRF",#N/A,FALSE,"NOTE16";"N17FRF",#N/A,FALSE,"NOTE17";"N18FRF",#N/A,FALSE,"NOTE18";"N19FRF",#N/A,FALSE,"NOTE19";"N20FRF",#N/A,FALSE,"NOTE20";"N21FRF",#N/A,FALSE,"NOTE21";"N22FRF",#N/A,FALSE,"NOTE22";"N23FRF",#N/A,FALSE,"NOTE23";"N24FRF",#N/A,FALSE,"NOTE24";"N25FRF",#N/A,FALSE,"NOTE25";"N26FRF",#N/A,FALSE,"NOTE26";"N27FRF",#N/A,FALSE,"NOTE27";"N28FRF",#N/A,FALSE,"NOTE28";"N29FRF",#N/A,FALSE,"NOTE29";"N30FRF",#N/A,FALSE,"NOTE30";"N31FRF",#N/A,FALSE,"NOTE31";"N32FRF",#N/A,FALSE,"NOTE32";"N33FRF",#N/A,FALSE,"NOTE33";"BILSOCFRF",#N/A,FALSE,"bilan soc";"RESSOCFRF",#N/A,FALSE,"PL soc";"cinqexFRF",#N/A,FALSE,"5ex"}</definedName>
    <definedName name="wrn.etafifrffrf._2_1" hidden="1">{#N/A,"francaisfrf",FALSE,"UNITE";"ACTFRF",#N/A,FALSE,"ACTIF";"PASFRF",#N/A,FALSE,"PASSIF";"RESFRF",#N/A,FALSE,"RESULTATS";"FPFRF",#N/A,FALSE,"FP";"N03FRF",#N/A,FALSE,"NOTE03";"N04FRF",#N/A,FALSE,"NOTE04";"N05FRF",#N/A,FALSE,"NOTE05";"N06FRF",#N/A,FALSE,"NOTE06";"N07FRF",#N/A,FALSE,"NOTE07";"N08FRF",#N/A,FALSE,"NOTE08";"N09FRF",#N/A,FALSE,"NOTE09";"N10FRF",#N/A,FALSE,"NOTE10";"N11FRF",#N/A,FALSE,"NOTE11";"N12FRF",#N/A,FALSE,"NOTE12";"N13FRF",#N/A,FALSE,"NOTE13";"N14FRF",#N/A,FALSE,"NOTE14";"N15FRF",#N/A,FALSE,"NOTE15";"N16FRF",#N/A,FALSE,"NOTE16";"N17FRF",#N/A,FALSE,"NOTE17";"N18FRF",#N/A,FALSE,"NOTE18";"N19FRF",#N/A,FALSE,"NOTE19";"N20FRF",#N/A,FALSE,"NOTE20";"N21FRF",#N/A,FALSE,"NOTE21";"N22FRF",#N/A,FALSE,"NOTE22";"N23FRF",#N/A,FALSE,"NOTE23";"N24FRF",#N/A,FALSE,"NOTE24";"N25FRF",#N/A,FALSE,"NOTE25";"N26FRF",#N/A,FALSE,"NOTE26";"N27FRF",#N/A,FALSE,"NOTE27";"N28FRF",#N/A,FALSE,"NOTE28";"N29FRF",#N/A,FALSE,"NOTE29";"N30FRF",#N/A,FALSE,"NOTE30";"N31FRF",#N/A,FALSE,"NOTE31";"N32FRF",#N/A,FALSE,"NOTE32";"N33FRF",#N/A,FALSE,"NOTE33";"BILSOCFRF",#N/A,FALSE,"bilan soc";"RESSOCFRF",#N/A,FALSE,"PL soc";"cinqexFRF",#N/A,FALSE,"5ex"}</definedName>
    <definedName name="wrn.etafifrffrf._2_1_1" localSheetId="12" hidden="1">{#N/A,"francaisfrf",FALSE,"UNITE";"ACTFRF",#N/A,FALSE,"ACTIF";"PASFRF",#N/A,FALSE,"PASSIF";"RESFRF",#N/A,FALSE,"RESULTATS";"FPFRF",#N/A,FALSE,"FP";"N03FRF",#N/A,FALSE,"NOTE03";"N04FRF",#N/A,FALSE,"NOTE04";"N05FRF",#N/A,FALSE,"NOTE05";"N06FRF",#N/A,FALSE,"NOTE06";"N07FRF",#N/A,FALSE,"NOTE07";"N08FRF",#N/A,FALSE,"NOTE08";"N09FRF",#N/A,FALSE,"NOTE09";"N10FRF",#N/A,FALSE,"NOTE10";"N11FRF",#N/A,FALSE,"NOTE11";"N12FRF",#N/A,FALSE,"NOTE12";"N13FRF",#N/A,FALSE,"NOTE13";"N14FRF",#N/A,FALSE,"NOTE14";"N15FRF",#N/A,FALSE,"NOTE15";"N16FRF",#N/A,FALSE,"NOTE16";"N17FRF",#N/A,FALSE,"NOTE17";"N18FRF",#N/A,FALSE,"NOTE18";"N19FRF",#N/A,FALSE,"NOTE19";"N20FRF",#N/A,FALSE,"NOTE20";"N21FRF",#N/A,FALSE,"NOTE21";"N22FRF",#N/A,FALSE,"NOTE22";"N23FRF",#N/A,FALSE,"NOTE23";"N24FRF",#N/A,FALSE,"NOTE24";"N25FRF",#N/A,FALSE,"NOTE25";"N26FRF",#N/A,FALSE,"NOTE26";"N27FRF",#N/A,FALSE,"NOTE27";"N28FRF",#N/A,FALSE,"NOTE28";"N29FRF",#N/A,FALSE,"NOTE29";"N30FRF",#N/A,FALSE,"NOTE30";"N31FRF",#N/A,FALSE,"NOTE31";"N32FRF",#N/A,FALSE,"NOTE32";"N33FRF",#N/A,FALSE,"NOTE33";"BILSOCFRF",#N/A,FALSE,"bilan soc";"RESSOCFRF",#N/A,FALSE,"PL soc";"cinqexFRF",#N/A,FALSE,"5ex"}</definedName>
    <definedName name="wrn.etafifrffrf._2_1_1" hidden="1">{#N/A,"francaisfrf",FALSE,"UNITE";"ACTFRF",#N/A,FALSE,"ACTIF";"PASFRF",#N/A,FALSE,"PASSIF";"RESFRF",#N/A,FALSE,"RESULTATS";"FPFRF",#N/A,FALSE,"FP";"N03FRF",#N/A,FALSE,"NOTE03";"N04FRF",#N/A,FALSE,"NOTE04";"N05FRF",#N/A,FALSE,"NOTE05";"N06FRF",#N/A,FALSE,"NOTE06";"N07FRF",#N/A,FALSE,"NOTE07";"N08FRF",#N/A,FALSE,"NOTE08";"N09FRF",#N/A,FALSE,"NOTE09";"N10FRF",#N/A,FALSE,"NOTE10";"N11FRF",#N/A,FALSE,"NOTE11";"N12FRF",#N/A,FALSE,"NOTE12";"N13FRF",#N/A,FALSE,"NOTE13";"N14FRF",#N/A,FALSE,"NOTE14";"N15FRF",#N/A,FALSE,"NOTE15";"N16FRF",#N/A,FALSE,"NOTE16";"N17FRF",#N/A,FALSE,"NOTE17";"N18FRF",#N/A,FALSE,"NOTE18";"N19FRF",#N/A,FALSE,"NOTE19";"N20FRF",#N/A,FALSE,"NOTE20";"N21FRF",#N/A,FALSE,"NOTE21";"N22FRF",#N/A,FALSE,"NOTE22";"N23FRF",#N/A,FALSE,"NOTE23";"N24FRF",#N/A,FALSE,"NOTE24";"N25FRF",#N/A,FALSE,"NOTE25";"N26FRF",#N/A,FALSE,"NOTE26";"N27FRF",#N/A,FALSE,"NOTE27";"N28FRF",#N/A,FALSE,"NOTE28";"N29FRF",#N/A,FALSE,"NOTE29";"N30FRF",#N/A,FALSE,"NOTE30";"N31FRF",#N/A,FALSE,"NOTE31";"N32FRF",#N/A,FALSE,"NOTE32";"N33FRF",#N/A,FALSE,"NOTE33";"BILSOCFRF",#N/A,FALSE,"bilan soc";"RESSOCFRF",#N/A,FALSE,"PL soc";"cinqexFRF",#N/A,FALSE,"5ex"}</definedName>
    <definedName name="wrn.etafifrffrf._2_1_2" hidden="1">{#N/A,"francaisfrf",FALSE,"UNITE";"ACTFRF",#N/A,FALSE,"ACTIF";"PASFRF",#N/A,FALSE,"PASSIF";"RESFRF",#N/A,FALSE,"RESULTATS";"FPFRF",#N/A,FALSE,"FP";"N03FRF",#N/A,FALSE,"NOTE03";"N04FRF",#N/A,FALSE,"NOTE04";"N05FRF",#N/A,FALSE,"NOTE05";"N06FRF",#N/A,FALSE,"NOTE06";"N07FRF",#N/A,FALSE,"NOTE07";"N08FRF",#N/A,FALSE,"NOTE08";"N09FRF",#N/A,FALSE,"NOTE09";"N10FRF",#N/A,FALSE,"NOTE10";"N11FRF",#N/A,FALSE,"NOTE11";"N12FRF",#N/A,FALSE,"NOTE12";"N13FRF",#N/A,FALSE,"NOTE13";"N14FRF",#N/A,FALSE,"NOTE14";"N15FRF",#N/A,FALSE,"NOTE15";"N16FRF",#N/A,FALSE,"NOTE16";"N17FRF",#N/A,FALSE,"NOTE17";"N18FRF",#N/A,FALSE,"NOTE18";"N19FRF",#N/A,FALSE,"NOTE19";"N20FRF",#N/A,FALSE,"NOTE20";"N21FRF",#N/A,FALSE,"NOTE21";"N22FRF",#N/A,FALSE,"NOTE22";"N23FRF",#N/A,FALSE,"NOTE23";"N24FRF",#N/A,FALSE,"NOTE24";"N25FRF",#N/A,FALSE,"NOTE25";"N26FRF",#N/A,FALSE,"NOTE26";"N27FRF",#N/A,FALSE,"NOTE27";"N28FRF",#N/A,FALSE,"NOTE28";"N29FRF",#N/A,FALSE,"NOTE29";"N30FRF",#N/A,FALSE,"NOTE30";"N31FRF",#N/A,FALSE,"NOTE31";"N32FRF",#N/A,FALSE,"NOTE32";"N33FRF",#N/A,FALSE,"NOTE33";"BILSOCFRF",#N/A,FALSE,"bilan soc";"RESSOCFRF",#N/A,FALSE,"PL soc";"cinqexFRF",#N/A,FALSE,"5ex"}</definedName>
    <definedName name="wrn.etafifrffrf._2_2" localSheetId="12" hidden="1">{#N/A,"francaisfrf",FALSE,"UNITE";"ACTFRF",#N/A,FALSE,"ACTIF";"PASFRF",#N/A,FALSE,"PASSIF";"RESFRF",#N/A,FALSE,"RESULTATS";"FPFRF",#N/A,FALSE,"FP";"N03FRF",#N/A,FALSE,"NOTE03";"N04FRF",#N/A,FALSE,"NOTE04";"N05FRF",#N/A,FALSE,"NOTE05";"N06FRF",#N/A,FALSE,"NOTE06";"N07FRF",#N/A,FALSE,"NOTE07";"N08FRF",#N/A,FALSE,"NOTE08";"N09FRF",#N/A,FALSE,"NOTE09";"N10FRF",#N/A,FALSE,"NOTE10";"N11FRF",#N/A,FALSE,"NOTE11";"N12FRF",#N/A,FALSE,"NOTE12";"N13FRF",#N/A,FALSE,"NOTE13";"N14FRF",#N/A,FALSE,"NOTE14";"N15FRF",#N/A,FALSE,"NOTE15";"N16FRF",#N/A,FALSE,"NOTE16";"N17FRF",#N/A,FALSE,"NOTE17";"N18FRF",#N/A,FALSE,"NOTE18";"N19FRF",#N/A,FALSE,"NOTE19";"N20FRF",#N/A,FALSE,"NOTE20";"N21FRF",#N/A,FALSE,"NOTE21";"N22FRF",#N/A,FALSE,"NOTE22";"N23FRF",#N/A,FALSE,"NOTE23";"N24FRF",#N/A,FALSE,"NOTE24";"N25FRF",#N/A,FALSE,"NOTE25";"N26FRF",#N/A,FALSE,"NOTE26";"N27FRF",#N/A,FALSE,"NOTE27";"N28FRF",#N/A,FALSE,"NOTE28";"N29FRF",#N/A,FALSE,"NOTE29";"N30FRF",#N/A,FALSE,"NOTE30";"N31FRF",#N/A,FALSE,"NOTE31";"N32FRF",#N/A,FALSE,"NOTE32";"N33FRF",#N/A,FALSE,"NOTE33";"BILSOCFRF",#N/A,FALSE,"bilan soc";"RESSOCFRF",#N/A,FALSE,"PL soc";"cinqexFRF",#N/A,FALSE,"5ex"}</definedName>
    <definedName name="wrn.etafifrffrf._2_2" hidden="1">{#N/A,"francaisfrf",FALSE,"UNITE";"ACTFRF",#N/A,FALSE,"ACTIF";"PASFRF",#N/A,FALSE,"PASSIF";"RESFRF",#N/A,FALSE,"RESULTATS";"FPFRF",#N/A,FALSE,"FP";"N03FRF",#N/A,FALSE,"NOTE03";"N04FRF",#N/A,FALSE,"NOTE04";"N05FRF",#N/A,FALSE,"NOTE05";"N06FRF",#N/A,FALSE,"NOTE06";"N07FRF",#N/A,FALSE,"NOTE07";"N08FRF",#N/A,FALSE,"NOTE08";"N09FRF",#N/A,FALSE,"NOTE09";"N10FRF",#N/A,FALSE,"NOTE10";"N11FRF",#N/A,FALSE,"NOTE11";"N12FRF",#N/A,FALSE,"NOTE12";"N13FRF",#N/A,FALSE,"NOTE13";"N14FRF",#N/A,FALSE,"NOTE14";"N15FRF",#N/A,FALSE,"NOTE15";"N16FRF",#N/A,FALSE,"NOTE16";"N17FRF",#N/A,FALSE,"NOTE17";"N18FRF",#N/A,FALSE,"NOTE18";"N19FRF",#N/A,FALSE,"NOTE19";"N20FRF",#N/A,FALSE,"NOTE20";"N21FRF",#N/A,FALSE,"NOTE21";"N22FRF",#N/A,FALSE,"NOTE22";"N23FRF",#N/A,FALSE,"NOTE23";"N24FRF",#N/A,FALSE,"NOTE24";"N25FRF",#N/A,FALSE,"NOTE25";"N26FRF",#N/A,FALSE,"NOTE26";"N27FRF",#N/A,FALSE,"NOTE27";"N28FRF",#N/A,FALSE,"NOTE28";"N29FRF",#N/A,FALSE,"NOTE29";"N30FRF",#N/A,FALSE,"NOTE30";"N31FRF",#N/A,FALSE,"NOTE31";"N32FRF",#N/A,FALSE,"NOTE32";"N33FRF",#N/A,FALSE,"NOTE33";"BILSOCFRF",#N/A,FALSE,"bilan soc";"RESSOCFRF",#N/A,FALSE,"PL soc";"cinqexFRF",#N/A,FALSE,"5ex"}</definedName>
    <definedName name="wrn.etafifrffrf._2_3" localSheetId="12" hidden="1">{#N/A,"francaisfrf",FALSE,"UNITE";"ACTFRF",#N/A,FALSE,"ACTIF";"PASFRF",#N/A,FALSE,"PASSIF";"RESFRF",#N/A,FALSE,"RESULTATS";"FPFRF",#N/A,FALSE,"FP";"N03FRF",#N/A,FALSE,"NOTE03";"N04FRF",#N/A,FALSE,"NOTE04";"N05FRF",#N/A,FALSE,"NOTE05";"N06FRF",#N/A,FALSE,"NOTE06";"N07FRF",#N/A,FALSE,"NOTE07";"N08FRF",#N/A,FALSE,"NOTE08";"N09FRF",#N/A,FALSE,"NOTE09";"N10FRF",#N/A,FALSE,"NOTE10";"N11FRF",#N/A,FALSE,"NOTE11";"N12FRF",#N/A,FALSE,"NOTE12";"N13FRF",#N/A,FALSE,"NOTE13";"N14FRF",#N/A,FALSE,"NOTE14";"N15FRF",#N/A,FALSE,"NOTE15";"N16FRF",#N/A,FALSE,"NOTE16";"N17FRF",#N/A,FALSE,"NOTE17";"N18FRF",#N/A,FALSE,"NOTE18";"N19FRF",#N/A,FALSE,"NOTE19";"N20FRF",#N/A,FALSE,"NOTE20";"N21FRF",#N/A,FALSE,"NOTE21";"N22FRF",#N/A,FALSE,"NOTE22";"N23FRF",#N/A,FALSE,"NOTE23";"N24FRF",#N/A,FALSE,"NOTE24";"N25FRF",#N/A,FALSE,"NOTE25";"N26FRF",#N/A,FALSE,"NOTE26";"N27FRF",#N/A,FALSE,"NOTE27";"N28FRF",#N/A,FALSE,"NOTE28";"N29FRF",#N/A,FALSE,"NOTE29";"N30FRF",#N/A,FALSE,"NOTE30";"N31FRF",#N/A,FALSE,"NOTE31";"N32FRF",#N/A,FALSE,"NOTE32";"N33FRF",#N/A,FALSE,"NOTE33";"BILSOCFRF",#N/A,FALSE,"bilan soc";"RESSOCFRF",#N/A,FALSE,"PL soc";"cinqexFRF",#N/A,FALSE,"5ex"}</definedName>
    <definedName name="wrn.etafifrffrf._2_3" hidden="1">{#N/A,"francaisfrf",FALSE,"UNITE";"ACTFRF",#N/A,FALSE,"ACTIF";"PASFRF",#N/A,FALSE,"PASSIF";"RESFRF",#N/A,FALSE,"RESULTATS";"FPFRF",#N/A,FALSE,"FP";"N03FRF",#N/A,FALSE,"NOTE03";"N04FRF",#N/A,FALSE,"NOTE04";"N05FRF",#N/A,FALSE,"NOTE05";"N06FRF",#N/A,FALSE,"NOTE06";"N07FRF",#N/A,FALSE,"NOTE07";"N08FRF",#N/A,FALSE,"NOTE08";"N09FRF",#N/A,FALSE,"NOTE09";"N10FRF",#N/A,FALSE,"NOTE10";"N11FRF",#N/A,FALSE,"NOTE11";"N12FRF",#N/A,FALSE,"NOTE12";"N13FRF",#N/A,FALSE,"NOTE13";"N14FRF",#N/A,FALSE,"NOTE14";"N15FRF",#N/A,FALSE,"NOTE15";"N16FRF",#N/A,FALSE,"NOTE16";"N17FRF",#N/A,FALSE,"NOTE17";"N18FRF",#N/A,FALSE,"NOTE18";"N19FRF",#N/A,FALSE,"NOTE19";"N20FRF",#N/A,FALSE,"NOTE20";"N21FRF",#N/A,FALSE,"NOTE21";"N22FRF",#N/A,FALSE,"NOTE22";"N23FRF",#N/A,FALSE,"NOTE23";"N24FRF",#N/A,FALSE,"NOTE24";"N25FRF",#N/A,FALSE,"NOTE25";"N26FRF",#N/A,FALSE,"NOTE26";"N27FRF",#N/A,FALSE,"NOTE27";"N28FRF",#N/A,FALSE,"NOTE28";"N29FRF",#N/A,FALSE,"NOTE29";"N30FRF",#N/A,FALSE,"NOTE30";"N31FRF",#N/A,FALSE,"NOTE31";"N32FRF",#N/A,FALSE,"NOTE32";"N33FRF",#N/A,FALSE,"NOTE33";"BILSOCFRF",#N/A,FALSE,"bilan soc";"RESSOCFRF",#N/A,FALSE,"PL soc";"cinqexFRF",#N/A,FALSE,"5ex"}</definedName>
    <definedName name="wrn.etafifrffrf._3" localSheetId="9" hidden="1">{#N/A,"francaisfrf",FALSE,"UNITE";"ACTFRF",#N/A,FALSE,"ACTIF";"PASFRF",#N/A,FALSE,"PASSIF";"RESFRF",#N/A,FALSE,"RESULTATS";"FPFRF",#N/A,FALSE,"FP";"N03FRF",#N/A,FALSE,"NOTE03";"N04FRF",#N/A,FALSE,"NOTE04";"N05FRF",#N/A,FALSE,"NOTE05";"N06FRF",#N/A,FALSE,"NOTE06";"N07FRF",#N/A,FALSE,"NOTE07";"N08FRF",#N/A,FALSE,"NOTE08";"N09FRF",#N/A,FALSE,"NOTE09";"N10FRF",#N/A,FALSE,"NOTE10";"N11FRF",#N/A,FALSE,"NOTE11";"N12FRF",#N/A,FALSE,"NOTE12";"N13FRF",#N/A,FALSE,"NOTE13";"N14FRF",#N/A,FALSE,"NOTE14";"N15FRF",#N/A,FALSE,"NOTE15";"N16FRF",#N/A,FALSE,"NOTE16";"N17FRF",#N/A,FALSE,"NOTE17";"N18FRF",#N/A,FALSE,"NOTE18";"N19FRF",#N/A,FALSE,"NOTE19";"N20FRF",#N/A,FALSE,"NOTE20";"N21FRF",#N/A,FALSE,"NOTE21";"N22FRF",#N/A,FALSE,"NOTE22";"N23FRF",#N/A,FALSE,"NOTE23";"N24FRF",#N/A,FALSE,"NOTE24";"N25FRF",#N/A,FALSE,"NOTE25";"N26FRF",#N/A,FALSE,"NOTE26";"N27FRF",#N/A,FALSE,"NOTE27";"N28FRF",#N/A,FALSE,"NOTE28";"N29FRF",#N/A,FALSE,"NOTE29";"N30FRF",#N/A,FALSE,"NOTE30";"N31FRF",#N/A,FALSE,"NOTE31";"N32FRF",#N/A,FALSE,"NOTE32";"N33FRF",#N/A,FALSE,"NOTE33";"BILSOCFRF",#N/A,FALSE,"bilan soc";"RESSOCFRF",#N/A,FALSE,"PL soc";"cinqexFRF",#N/A,FALSE,"5ex"}</definedName>
    <definedName name="wrn.etafifrffrf._3" localSheetId="12" hidden="1">{#N/A,"francaisfrf",FALSE,"UNITE";"ACTFRF",#N/A,FALSE,"ACTIF";"PASFRF",#N/A,FALSE,"PASSIF";"RESFRF",#N/A,FALSE,"RESULTATS";"FPFRF",#N/A,FALSE,"FP";"N03FRF",#N/A,FALSE,"NOTE03";"N04FRF",#N/A,FALSE,"NOTE04";"N05FRF",#N/A,FALSE,"NOTE05";"N06FRF",#N/A,FALSE,"NOTE06";"N07FRF",#N/A,FALSE,"NOTE07";"N08FRF",#N/A,FALSE,"NOTE08";"N09FRF",#N/A,FALSE,"NOTE09";"N10FRF",#N/A,FALSE,"NOTE10";"N11FRF",#N/A,FALSE,"NOTE11";"N12FRF",#N/A,FALSE,"NOTE12";"N13FRF",#N/A,FALSE,"NOTE13";"N14FRF",#N/A,FALSE,"NOTE14";"N15FRF",#N/A,FALSE,"NOTE15";"N16FRF",#N/A,FALSE,"NOTE16";"N17FRF",#N/A,FALSE,"NOTE17";"N18FRF",#N/A,FALSE,"NOTE18";"N19FRF",#N/A,FALSE,"NOTE19";"N20FRF",#N/A,FALSE,"NOTE20";"N21FRF",#N/A,FALSE,"NOTE21";"N22FRF",#N/A,FALSE,"NOTE22";"N23FRF",#N/A,FALSE,"NOTE23";"N24FRF",#N/A,FALSE,"NOTE24";"N25FRF",#N/A,FALSE,"NOTE25";"N26FRF",#N/A,FALSE,"NOTE26";"N27FRF",#N/A,FALSE,"NOTE27";"N28FRF",#N/A,FALSE,"NOTE28";"N29FRF",#N/A,FALSE,"NOTE29";"N30FRF",#N/A,FALSE,"NOTE30";"N31FRF",#N/A,FALSE,"NOTE31";"N32FRF",#N/A,FALSE,"NOTE32";"N33FRF",#N/A,FALSE,"NOTE33";"BILSOCFRF",#N/A,FALSE,"bilan soc";"RESSOCFRF",#N/A,FALSE,"PL soc";"cinqexFRF",#N/A,FALSE,"5ex"}</definedName>
    <definedName name="wrn.etafifrffrf._3" localSheetId="7" hidden="1">{#N/A,"francaisfrf",FALSE,"UNITE";"ACTFRF",#N/A,FALSE,"ACTIF";"PASFRF",#N/A,FALSE,"PASSIF";"RESFRF",#N/A,FALSE,"RESULTATS";"FPFRF",#N/A,FALSE,"FP";"N03FRF",#N/A,FALSE,"NOTE03";"N04FRF",#N/A,FALSE,"NOTE04";"N05FRF",#N/A,FALSE,"NOTE05";"N06FRF",#N/A,FALSE,"NOTE06";"N07FRF",#N/A,FALSE,"NOTE07";"N08FRF",#N/A,FALSE,"NOTE08";"N09FRF",#N/A,FALSE,"NOTE09";"N10FRF",#N/A,FALSE,"NOTE10";"N11FRF",#N/A,FALSE,"NOTE11";"N12FRF",#N/A,FALSE,"NOTE12";"N13FRF",#N/A,FALSE,"NOTE13";"N14FRF",#N/A,FALSE,"NOTE14";"N15FRF",#N/A,FALSE,"NOTE15";"N16FRF",#N/A,FALSE,"NOTE16";"N17FRF",#N/A,FALSE,"NOTE17";"N18FRF",#N/A,FALSE,"NOTE18";"N19FRF",#N/A,FALSE,"NOTE19";"N20FRF",#N/A,FALSE,"NOTE20";"N21FRF",#N/A,FALSE,"NOTE21";"N22FRF",#N/A,FALSE,"NOTE22";"N23FRF",#N/A,FALSE,"NOTE23";"N24FRF",#N/A,FALSE,"NOTE24";"N25FRF",#N/A,FALSE,"NOTE25";"N26FRF",#N/A,FALSE,"NOTE26";"N27FRF",#N/A,FALSE,"NOTE27";"N28FRF",#N/A,FALSE,"NOTE28";"N29FRF",#N/A,FALSE,"NOTE29";"N30FRF",#N/A,FALSE,"NOTE30";"N31FRF",#N/A,FALSE,"NOTE31";"N32FRF",#N/A,FALSE,"NOTE32";"N33FRF",#N/A,FALSE,"NOTE33";"BILSOCFRF",#N/A,FALSE,"bilan soc";"RESSOCFRF",#N/A,FALSE,"PL soc";"cinqexFRF",#N/A,FALSE,"5ex"}</definedName>
    <definedName name="wrn.etafifrffrf._3" localSheetId="8" hidden="1">{#N/A,"francaisfrf",FALSE,"UNITE";"ACTFRF",#N/A,FALSE,"ACTIF";"PASFRF",#N/A,FALSE,"PASSIF";"RESFRF",#N/A,FALSE,"RESULTATS";"FPFRF",#N/A,FALSE,"FP";"N03FRF",#N/A,FALSE,"NOTE03";"N04FRF",#N/A,FALSE,"NOTE04";"N05FRF",#N/A,FALSE,"NOTE05";"N06FRF",#N/A,FALSE,"NOTE06";"N07FRF",#N/A,FALSE,"NOTE07";"N08FRF",#N/A,FALSE,"NOTE08";"N09FRF",#N/A,FALSE,"NOTE09";"N10FRF",#N/A,FALSE,"NOTE10";"N11FRF",#N/A,FALSE,"NOTE11";"N12FRF",#N/A,FALSE,"NOTE12";"N13FRF",#N/A,FALSE,"NOTE13";"N14FRF",#N/A,FALSE,"NOTE14";"N15FRF",#N/A,FALSE,"NOTE15";"N16FRF",#N/A,FALSE,"NOTE16";"N17FRF",#N/A,FALSE,"NOTE17";"N18FRF",#N/A,FALSE,"NOTE18";"N19FRF",#N/A,FALSE,"NOTE19";"N20FRF",#N/A,FALSE,"NOTE20";"N21FRF",#N/A,FALSE,"NOTE21";"N22FRF",#N/A,FALSE,"NOTE22";"N23FRF",#N/A,FALSE,"NOTE23";"N24FRF",#N/A,FALSE,"NOTE24";"N25FRF",#N/A,FALSE,"NOTE25";"N26FRF",#N/A,FALSE,"NOTE26";"N27FRF",#N/A,FALSE,"NOTE27";"N28FRF",#N/A,FALSE,"NOTE28";"N29FRF",#N/A,FALSE,"NOTE29";"N30FRF",#N/A,FALSE,"NOTE30";"N31FRF",#N/A,FALSE,"NOTE31";"N32FRF",#N/A,FALSE,"NOTE32";"N33FRF",#N/A,FALSE,"NOTE33";"BILSOCFRF",#N/A,FALSE,"bilan soc";"RESSOCFRF",#N/A,FALSE,"PL soc";"cinqexFRF",#N/A,FALSE,"5ex"}</definedName>
    <definedName name="wrn.etafifrffrf._3" localSheetId="10" hidden="1">{#N/A,"francaisfrf",FALSE,"UNITE";"ACTFRF",#N/A,FALSE,"ACTIF";"PASFRF",#N/A,FALSE,"PASSIF";"RESFRF",#N/A,FALSE,"RESULTATS";"FPFRF",#N/A,FALSE,"FP";"N03FRF",#N/A,FALSE,"NOTE03";"N04FRF",#N/A,FALSE,"NOTE04";"N05FRF",#N/A,FALSE,"NOTE05";"N06FRF",#N/A,FALSE,"NOTE06";"N07FRF",#N/A,FALSE,"NOTE07";"N08FRF",#N/A,FALSE,"NOTE08";"N09FRF",#N/A,FALSE,"NOTE09";"N10FRF",#N/A,FALSE,"NOTE10";"N11FRF",#N/A,FALSE,"NOTE11";"N12FRF",#N/A,FALSE,"NOTE12";"N13FRF",#N/A,FALSE,"NOTE13";"N14FRF",#N/A,FALSE,"NOTE14";"N15FRF",#N/A,FALSE,"NOTE15";"N16FRF",#N/A,FALSE,"NOTE16";"N17FRF",#N/A,FALSE,"NOTE17";"N18FRF",#N/A,FALSE,"NOTE18";"N19FRF",#N/A,FALSE,"NOTE19";"N20FRF",#N/A,FALSE,"NOTE20";"N21FRF",#N/A,FALSE,"NOTE21";"N22FRF",#N/A,FALSE,"NOTE22";"N23FRF",#N/A,FALSE,"NOTE23";"N24FRF",#N/A,FALSE,"NOTE24";"N25FRF",#N/A,FALSE,"NOTE25";"N26FRF",#N/A,FALSE,"NOTE26";"N27FRF",#N/A,FALSE,"NOTE27";"N28FRF",#N/A,FALSE,"NOTE28";"N29FRF",#N/A,FALSE,"NOTE29";"N30FRF",#N/A,FALSE,"NOTE30";"N31FRF",#N/A,FALSE,"NOTE31";"N32FRF",#N/A,FALSE,"NOTE32";"N33FRF",#N/A,FALSE,"NOTE33";"BILSOCFRF",#N/A,FALSE,"bilan soc";"RESSOCFRF",#N/A,FALSE,"PL soc";"cinqexFRF",#N/A,FALSE,"5ex"}</definedName>
    <definedName name="wrn.etafifrffrf._3" hidden="1">{#N/A,"francaisfrf",FALSE,"UNITE";"ACTFRF",#N/A,FALSE,"ACTIF";"PASFRF",#N/A,FALSE,"PASSIF";"RESFRF",#N/A,FALSE,"RESULTATS";"FPFRF",#N/A,FALSE,"FP";"N03FRF",#N/A,FALSE,"NOTE03";"N04FRF",#N/A,FALSE,"NOTE04";"N05FRF",#N/A,FALSE,"NOTE05";"N06FRF",#N/A,FALSE,"NOTE06";"N07FRF",#N/A,FALSE,"NOTE07";"N08FRF",#N/A,FALSE,"NOTE08";"N09FRF",#N/A,FALSE,"NOTE09";"N10FRF",#N/A,FALSE,"NOTE10";"N11FRF",#N/A,FALSE,"NOTE11";"N12FRF",#N/A,FALSE,"NOTE12";"N13FRF",#N/A,FALSE,"NOTE13";"N14FRF",#N/A,FALSE,"NOTE14";"N15FRF",#N/A,FALSE,"NOTE15";"N16FRF",#N/A,FALSE,"NOTE16";"N17FRF",#N/A,FALSE,"NOTE17";"N18FRF",#N/A,FALSE,"NOTE18";"N19FRF",#N/A,FALSE,"NOTE19";"N20FRF",#N/A,FALSE,"NOTE20";"N21FRF",#N/A,FALSE,"NOTE21";"N22FRF",#N/A,FALSE,"NOTE22";"N23FRF",#N/A,FALSE,"NOTE23";"N24FRF",#N/A,FALSE,"NOTE24";"N25FRF",#N/A,FALSE,"NOTE25";"N26FRF",#N/A,FALSE,"NOTE26";"N27FRF",#N/A,FALSE,"NOTE27";"N28FRF",#N/A,FALSE,"NOTE28";"N29FRF",#N/A,FALSE,"NOTE29";"N30FRF",#N/A,FALSE,"NOTE30";"N31FRF",#N/A,FALSE,"NOTE31";"N32FRF",#N/A,FALSE,"NOTE32";"N33FRF",#N/A,FALSE,"NOTE33";"BILSOCFRF",#N/A,FALSE,"bilan soc";"RESSOCFRF",#N/A,FALSE,"PL soc";"cinqexFRF",#N/A,FALSE,"5ex"}</definedName>
    <definedName name="wrn.etafifrffrf._3_1" localSheetId="9" hidden="1">{#N/A,"francaisfrf",FALSE,"UNITE";"ACTFRF",#N/A,FALSE,"ACTIF";"PASFRF",#N/A,FALSE,"PASSIF";"RESFRF",#N/A,FALSE,"RESULTATS";"FPFRF",#N/A,FALSE,"FP";"N03FRF",#N/A,FALSE,"NOTE03";"N04FRF",#N/A,FALSE,"NOTE04";"N05FRF",#N/A,FALSE,"NOTE05";"N06FRF",#N/A,FALSE,"NOTE06";"N07FRF",#N/A,FALSE,"NOTE07";"N08FRF",#N/A,FALSE,"NOTE08";"N09FRF",#N/A,FALSE,"NOTE09";"N10FRF",#N/A,FALSE,"NOTE10";"N11FRF",#N/A,FALSE,"NOTE11";"N12FRF",#N/A,FALSE,"NOTE12";"N13FRF",#N/A,FALSE,"NOTE13";"N14FRF",#N/A,FALSE,"NOTE14";"N15FRF",#N/A,FALSE,"NOTE15";"N16FRF",#N/A,FALSE,"NOTE16";"N17FRF",#N/A,FALSE,"NOTE17";"N18FRF",#N/A,FALSE,"NOTE18";"N19FRF",#N/A,FALSE,"NOTE19";"N20FRF",#N/A,FALSE,"NOTE20";"N21FRF",#N/A,FALSE,"NOTE21";"N22FRF",#N/A,FALSE,"NOTE22";"N23FRF",#N/A,FALSE,"NOTE23";"N24FRF",#N/A,FALSE,"NOTE24";"N25FRF",#N/A,FALSE,"NOTE25";"N26FRF",#N/A,FALSE,"NOTE26";"N27FRF",#N/A,FALSE,"NOTE27";"N28FRF",#N/A,FALSE,"NOTE28";"N29FRF",#N/A,FALSE,"NOTE29";"N30FRF",#N/A,FALSE,"NOTE30";"N31FRF",#N/A,FALSE,"NOTE31";"N32FRF",#N/A,FALSE,"NOTE32";"N33FRF",#N/A,FALSE,"NOTE33";"BILSOCFRF",#N/A,FALSE,"bilan soc";"RESSOCFRF",#N/A,FALSE,"PL soc";"cinqexFRF",#N/A,FALSE,"5ex"}</definedName>
    <definedName name="wrn.etafifrffrf._3_1" localSheetId="12" hidden="1">{#N/A,"francaisfrf",FALSE,"UNITE";"ACTFRF",#N/A,FALSE,"ACTIF";"PASFRF",#N/A,FALSE,"PASSIF";"RESFRF",#N/A,FALSE,"RESULTATS";"FPFRF",#N/A,FALSE,"FP";"N03FRF",#N/A,FALSE,"NOTE03";"N04FRF",#N/A,FALSE,"NOTE04";"N05FRF",#N/A,FALSE,"NOTE05";"N06FRF",#N/A,FALSE,"NOTE06";"N07FRF",#N/A,FALSE,"NOTE07";"N08FRF",#N/A,FALSE,"NOTE08";"N09FRF",#N/A,FALSE,"NOTE09";"N10FRF",#N/A,FALSE,"NOTE10";"N11FRF",#N/A,FALSE,"NOTE11";"N12FRF",#N/A,FALSE,"NOTE12";"N13FRF",#N/A,FALSE,"NOTE13";"N14FRF",#N/A,FALSE,"NOTE14";"N15FRF",#N/A,FALSE,"NOTE15";"N16FRF",#N/A,FALSE,"NOTE16";"N17FRF",#N/A,FALSE,"NOTE17";"N18FRF",#N/A,FALSE,"NOTE18";"N19FRF",#N/A,FALSE,"NOTE19";"N20FRF",#N/A,FALSE,"NOTE20";"N21FRF",#N/A,FALSE,"NOTE21";"N22FRF",#N/A,FALSE,"NOTE22";"N23FRF",#N/A,FALSE,"NOTE23";"N24FRF",#N/A,FALSE,"NOTE24";"N25FRF",#N/A,FALSE,"NOTE25";"N26FRF",#N/A,FALSE,"NOTE26";"N27FRF",#N/A,FALSE,"NOTE27";"N28FRF",#N/A,FALSE,"NOTE28";"N29FRF",#N/A,FALSE,"NOTE29";"N30FRF",#N/A,FALSE,"NOTE30";"N31FRF",#N/A,FALSE,"NOTE31";"N32FRF",#N/A,FALSE,"NOTE32";"N33FRF",#N/A,FALSE,"NOTE33";"BILSOCFRF",#N/A,FALSE,"bilan soc";"RESSOCFRF",#N/A,FALSE,"PL soc";"cinqexFRF",#N/A,FALSE,"5ex"}</definedName>
    <definedName name="wrn.etafifrffrf._3_1" localSheetId="7" hidden="1">{#N/A,"francaisfrf",FALSE,"UNITE";"ACTFRF",#N/A,FALSE,"ACTIF";"PASFRF",#N/A,FALSE,"PASSIF";"RESFRF",#N/A,FALSE,"RESULTATS";"FPFRF",#N/A,FALSE,"FP";"N03FRF",#N/A,FALSE,"NOTE03";"N04FRF",#N/A,FALSE,"NOTE04";"N05FRF",#N/A,FALSE,"NOTE05";"N06FRF",#N/A,FALSE,"NOTE06";"N07FRF",#N/A,FALSE,"NOTE07";"N08FRF",#N/A,FALSE,"NOTE08";"N09FRF",#N/A,FALSE,"NOTE09";"N10FRF",#N/A,FALSE,"NOTE10";"N11FRF",#N/A,FALSE,"NOTE11";"N12FRF",#N/A,FALSE,"NOTE12";"N13FRF",#N/A,FALSE,"NOTE13";"N14FRF",#N/A,FALSE,"NOTE14";"N15FRF",#N/A,FALSE,"NOTE15";"N16FRF",#N/A,FALSE,"NOTE16";"N17FRF",#N/A,FALSE,"NOTE17";"N18FRF",#N/A,FALSE,"NOTE18";"N19FRF",#N/A,FALSE,"NOTE19";"N20FRF",#N/A,FALSE,"NOTE20";"N21FRF",#N/A,FALSE,"NOTE21";"N22FRF",#N/A,FALSE,"NOTE22";"N23FRF",#N/A,FALSE,"NOTE23";"N24FRF",#N/A,FALSE,"NOTE24";"N25FRF",#N/A,FALSE,"NOTE25";"N26FRF",#N/A,FALSE,"NOTE26";"N27FRF",#N/A,FALSE,"NOTE27";"N28FRF",#N/A,FALSE,"NOTE28";"N29FRF",#N/A,FALSE,"NOTE29";"N30FRF",#N/A,FALSE,"NOTE30";"N31FRF",#N/A,FALSE,"NOTE31";"N32FRF",#N/A,FALSE,"NOTE32";"N33FRF",#N/A,FALSE,"NOTE33";"BILSOCFRF",#N/A,FALSE,"bilan soc";"RESSOCFRF",#N/A,FALSE,"PL soc";"cinqexFRF",#N/A,FALSE,"5ex"}</definedName>
    <definedName name="wrn.etafifrffrf._3_1" localSheetId="8" hidden="1">{#N/A,"francaisfrf",FALSE,"UNITE";"ACTFRF",#N/A,FALSE,"ACTIF";"PASFRF",#N/A,FALSE,"PASSIF";"RESFRF",#N/A,FALSE,"RESULTATS";"FPFRF",#N/A,FALSE,"FP";"N03FRF",#N/A,FALSE,"NOTE03";"N04FRF",#N/A,FALSE,"NOTE04";"N05FRF",#N/A,FALSE,"NOTE05";"N06FRF",#N/A,FALSE,"NOTE06";"N07FRF",#N/A,FALSE,"NOTE07";"N08FRF",#N/A,FALSE,"NOTE08";"N09FRF",#N/A,FALSE,"NOTE09";"N10FRF",#N/A,FALSE,"NOTE10";"N11FRF",#N/A,FALSE,"NOTE11";"N12FRF",#N/A,FALSE,"NOTE12";"N13FRF",#N/A,FALSE,"NOTE13";"N14FRF",#N/A,FALSE,"NOTE14";"N15FRF",#N/A,FALSE,"NOTE15";"N16FRF",#N/A,FALSE,"NOTE16";"N17FRF",#N/A,FALSE,"NOTE17";"N18FRF",#N/A,FALSE,"NOTE18";"N19FRF",#N/A,FALSE,"NOTE19";"N20FRF",#N/A,FALSE,"NOTE20";"N21FRF",#N/A,FALSE,"NOTE21";"N22FRF",#N/A,FALSE,"NOTE22";"N23FRF",#N/A,FALSE,"NOTE23";"N24FRF",#N/A,FALSE,"NOTE24";"N25FRF",#N/A,FALSE,"NOTE25";"N26FRF",#N/A,FALSE,"NOTE26";"N27FRF",#N/A,FALSE,"NOTE27";"N28FRF",#N/A,FALSE,"NOTE28";"N29FRF",#N/A,FALSE,"NOTE29";"N30FRF",#N/A,FALSE,"NOTE30";"N31FRF",#N/A,FALSE,"NOTE31";"N32FRF",#N/A,FALSE,"NOTE32";"N33FRF",#N/A,FALSE,"NOTE33";"BILSOCFRF",#N/A,FALSE,"bilan soc";"RESSOCFRF",#N/A,FALSE,"PL soc";"cinqexFRF",#N/A,FALSE,"5ex"}</definedName>
    <definedName name="wrn.etafifrffrf._3_1" localSheetId="10" hidden="1">{#N/A,"francaisfrf",FALSE,"UNITE";"ACTFRF",#N/A,FALSE,"ACTIF";"PASFRF",#N/A,FALSE,"PASSIF";"RESFRF",#N/A,FALSE,"RESULTATS";"FPFRF",#N/A,FALSE,"FP";"N03FRF",#N/A,FALSE,"NOTE03";"N04FRF",#N/A,FALSE,"NOTE04";"N05FRF",#N/A,FALSE,"NOTE05";"N06FRF",#N/A,FALSE,"NOTE06";"N07FRF",#N/A,FALSE,"NOTE07";"N08FRF",#N/A,FALSE,"NOTE08";"N09FRF",#N/A,FALSE,"NOTE09";"N10FRF",#N/A,FALSE,"NOTE10";"N11FRF",#N/A,FALSE,"NOTE11";"N12FRF",#N/A,FALSE,"NOTE12";"N13FRF",#N/A,FALSE,"NOTE13";"N14FRF",#N/A,FALSE,"NOTE14";"N15FRF",#N/A,FALSE,"NOTE15";"N16FRF",#N/A,FALSE,"NOTE16";"N17FRF",#N/A,FALSE,"NOTE17";"N18FRF",#N/A,FALSE,"NOTE18";"N19FRF",#N/A,FALSE,"NOTE19";"N20FRF",#N/A,FALSE,"NOTE20";"N21FRF",#N/A,FALSE,"NOTE21";"N22FRF",#N/A,FALSE,"NOTE22";"N23FRF",#N/A,FALSE,"NOTE23";"N24FRF",#N/A,FALSE,"NOTE24";"N25FRF",#N/A,FALSE,"NOTE25";"N26FRF",#N/A,FALSE,"NOTE26";"N27FRF",#N/A,FALSE,"NOTE27";"N28FRF",#N/A,FALSE,"NOTE28";"N29FRF",#N/A,FALSE,"NOTE29";"N30FRF",#N/A,FALSE,"NOTE30";"N31FRF",#N/A,FALSE,"NOTE31";"N32FRF",#N/A,FALSE,"NOTE32";"N33FRF",#N/A,FALSE,"NOTE33";"BILSOCFRF",#N/A,FALSE,"bilan soc";"RESSOCFRF",#N/A,FALSE,"PL soc";"cinqexFRF",#N/A,FALSE,"5ex"}</definedName>
    <definedName name="wrn.etafifrffrf._3_1" hidden="1">{#N/A,"francaisfrf",FALSE,"UNITE";"ACTFRF",#N/A,FALSE,"ACTIF";"PASFRF",#N/A,FALSE,"PASSIF";"RESFRF",#N/A,FALSE,"RESULTATS";"FPFRF",#N/A,FALSE,"FP";"N03FRF",#N/A,FALSE,"NOTE03";"N04FRF",#N/A,FALSE,"NOTE04";"N05FRF",#N/A,FALSE,"NOTE05";"N06FRF",#N/A,FALSE,"NOTE06";"N07FRF",#N/A,FALSE,"NOTE07";"N08FRF",#N/A,FALSE,"NOTE08";"N09FRF",#N/A,FALSE,"NOTE09";"N10FRF",#N/A,FALSE,"NOTE10";"N11FRF",#N/A,FALSE,"NOTE11";"N12FRF",#N/A,FALSE,"NOTE12";"N13FRF",#N/A,FALSE,"NOTE13";"N14FRF",#N/A,FALSE,"NOTE14";"N15FRF",#N/A,FALSE,"NOTE15";"N16FRF",#N/A,FALSE,"NOTE16";"N17FRF",#N/A,FALSE,"NOTE17";"N18FRF",#N/A,FALSE,"NOTE18";"N19FRF",#N/A,FALSE,"NOTE19";"N20FRF",#N/A,FALSE,"NOTE20";"N21FRF",#N/A,FALSE,"NOTE21";"N22FRF",#N/A,FALSE,"NOTE22";"N23FRF",#N/A,FALSE,"NOTE23";"N24FRF",#N/A,FALSE,"NOTE24";"N25FRF",#N/A,FALSE,"NOTE25";"N26FRF",#N/A,FALSE,"NOTE26";"N27FRF",#N/A,FALSE,"NOTE27";"N28FRF",#N/A,FALSE,"NOTE28";"N29FRF",#N/A,FALSE,"NOTE29";"N30FRF",#N/A,FALSE,"NOTE30";"N31FRF",#N/A,FALSE,"NOTE31";"N32FRF",#N/A,FALSE,"NOTE32";"N33FRF",#N/A,FALSE,"NOTE33";"BILSOCFRF",#N/A,FALSE,"bilan soc";"RESSOCFRF",#N/A,FALSE,"PL soc";"cinqexFRF",#N/A,FALSE,"5ex"}</definedName>
    <definedName name="wrn.etafifrffrf._3_1_1" localSheetId="12" hidden="1">{#N/A,"francaisfrf",FALSE,"UNITE";"ACTFRF",#N/A,FALSE,"ACTIF";"PASFRF",#N/A,FALSE,"PASSIF";"RESFRF",#N/A,FALSE,"RESULTATS";"FPFRF",#N/A,FALSE,"FP";"N03FRF",#N/A,FALSE,"NOTE03";"N04FRF",#N/A,FALSE,"NOTE04";"N05FRF",#N/A,FALSE,"NOTE05";"N06FRF",#N/A,FALSE,"NOTE06";"N07FRF",#N/A,FALSE,"NOTE07";"N08FRF",#N/A,FALSE,"NOTE08";"N09FRF",#N/A,FALSE,"NOTE09";"N10FRF",#N/A,FALSE,"NOTE10";"N11FRF",#N/A,FALSE,"NOTE11";"N12FRF",#N/A,FALSE,"NOTE12";"N13FRF",#N/A,FALSE,"NOTE13";"N14FRF",#N/A,FALSE,"NOTE14";"N15FRF",#N/A,FALSE,"NOTE15";"N16FRF",#N/A,FALSE,"NOTE16";"N17FRF",#N/A,FALSE,"NOTE17";"N18FRF",#N/A,FALSE,"NOTE18";"N19FRF",#N/A,FALSE,"NOTE19";"N20FRF",#N/A,FALSE,"NOTE20";"N21FRF",#N/A,FALSE,"NOTE21";"N22FRF",#N/A,FALSE,"NOTE22";"N23FRF",#N/A,FALSE,"NOTE23";"N24FRF",#N/A,FALSE,"NOTE24";"N25FRF",#N/A,FALSE,"NOTE25";"N26FRF",#N/A,FALSE,"NOTE26";"N27FRF",#N/A,FALSE,"NOTE27";"N28FRF",#N/A,FALSE,"NOTE28";"N29FRF",#N/A,FALSE,"NOTE29";"N30FRF",#N/A,FALSE,"NOTE30";"N31FRF",#N/A,FALSE,"NOTE31";"N32FRF",#N/A,FALSE,"NOTE32";"N33FRF",#N/A,FALSE,"NOTE33";"BILSOCFRF",#N/A,FALSE,"bilan soc";"RESSOCFRF",#N/A,FALSE,"PL soc";"cinqexFRF",#N/A,FALSE,"5ex"}</definedName>
    <definedName name="wrn.etafifrffrf._3_1_1" hidden="1">{#N/A,"francaisfrf",FALSE,"UNITE";"ACTFRF",#N/A,FALSE,"ACTIF";"PASFRF",#N/A,FALSE,"PASSIF";"RESFRF",#N/A,FALSE,"RESULTATS";"FPFRF",#N/A,FALSE,"FP";"N03FRF",#N/A,FALSE,"NOTE03";"N04FRF",#N/A,FALSE,"NOTE04";"N05FRF",#N/A,FALSE,"NOTE05";"N06FRF",#N/A,FALSE,"NOTE06";"N07FRF",#N/A,FALSE,"NOTE07";"N08FRF",#N/A,FALSE,"NOTE08";"N09FRF",#N/A,FALSE,"NOTE09";"N10FRF",#N/A,FALSE,"NOTE10";"N11FRF",#N/A,FALSE,"NOTE11";"N12FRF",#N/A,FALSE,"NOTE12";"N13FRF",#N/A,FALSE,"NOTE13";"N14FRF",#N/A,FALSE,"NOTE14";"N15FRF",#N/A,FALSE,"NOTE15";"N16FRF",#N/A,FALSE,"NOTE16";"N17FRF",#N/A,FALSE,"NOTE17";"N18FRF",#N/A,FALSE,"NOTE18";"N19FRF",#N/A,FALSE,"NOTE19";"N20FRF",#N/A,FALSE,"NOTE20";"N21FRF",#N/A,FALSE,"NOTE21";"N22FRF",#N/A,FALSE,"NOTE22";"N23FRF",#N/A,FALSE,"NOTE23";"N24FRF",#N/A,FALSE,"NOTE24";"N25FRF",#N/A,FALSE,"NOTE25";"N26FRF",#N/A,FALSE,"NOTE26";"N27FRF",#N/A,FALSE,"NOTE27";"N28FRF",#N/A,FALSE,"NOTE28";"N29FRF",#N/A,FALSE,"NOTE29";"N30FRF",#N/A,FALSE,"NOTE30";"N31FRF",#N/A,FALSE,"NOTE31";"N32FRF",#N/A,FALSE,"NOTE32";"N33FRF",#N/A,FALSE,"NOTE33";"BILSOCFRF",#N/A,FALSE,"bilan soc";"RESSOCFRF",#N/A,FALSE,"PL soc";"cinqexFRF",#N/A,FALSE,"5ex"}</definedName>
    <definedName name="wrn.etafifrffrf._3_1_2" hidden="1">{#N/A,"francaisfrf",FALSE,"UNITE";"ACTFRF",#N/A,FALSE,"ACTIF";"PASFRF",#N/A,FALSE,"PASSIF";"RESFRF",#N/A,FALSE,"RESULTATS";"FPFRF",#N/A,FALSE,"FP";"N03FRF",#N/A,FALSE,"NOTE03";"N04FRF",#N/A,FALSE,"NOTE04";"N05FRF",#N/A,FALSE,"NOTE05";"N06FRF",#N/A,FALSE,"NOTE06";"N07FRF",#N/A,FALSE,"NOTE07";"N08FRF",#N/A,FALSE,"NOTE08";"N09FRF",#N/A,FALSE,"NOTE09";"N10FRF",#N/A,FALSE,"NOTE10";"N11FRF",#N/A,FALSE,"NOTE11";"N12FRF",#N/A,FALSE,"NOTE12";"N13FRF",#N/A,FALSE,"NOTE13";"N14FRF",#N/A,FALSE,"NOTE14";"N15FRF",#N/A,FALSE,"NOTE15";"N16FRF",#N/A,FALSE,"NOTE16";"N17FRF",#N/A,FALSE,"NOTE17";"N18FRF",#N/A,FALSE,"NOTE18";"N19FRF",#N/A,FALSE,"NOTE19";"N20FRF",#N/A,FALSE,"NOTE20";"N21FRF",#N/A,FALSE,"NOTE21";"N22FRF",#N/A,FALSE,"NOTE22";"N23FRF",#N/A,FALSE,"NOTE23";"N24FRF",#N/A,FALSE,"NOTE24";"N25FRF",#N/A,FALSE,"NOTE25";"N26FRF",#N/A,FALSE,"NOTE26";"N27FRF",#N/A,FALSE,"NOTE27";"N28FRF",#N/A,FALSE,"NOTE28";"N29FRF",#N/A,FALSE,"NOTE29";"N30FRF",#N/A,FALSE,"NOTE30";"N31FRF",#N/A,FALSE,"NOTE31";"N32FRF",#N/A,FALSE,"NOTE32";"N33FRF",#N/A,FALSE,"NOTE33";"BILSOCFRF",#N/A,FALSE,"bilan soc";"RESSOCFRF",#N/A,FALSE,"PL soc";"cinqexFRF",#N/A,FALSE,"5ex"}</definedName>
    <definedName name="wrn.etafifrffrf._3_2" localSheetId="12" hidden="1">{#N/A,"francaisfrf",FALSE,"UNITE";"ACTFRF",#N/A,FALSE,"ACTIF";"PASFRF",#N/A,FALSE,"PASSIF";"RESFRF",#N/A,FALSE,"RESULTATS";"FPFRF",#N/A,FALSE,"FP";"N03FRF",#N/A,FALSE,"NOTE03";"N04FRF",#N/A,FALSE,"NOTE04";"N05FRF",#N/A,FALSE,"NOTE05";"N06FRF",#N/A,FALSE,"NOTE06";"N07FRF",#N/A,FALSE,"NOTE07";"N08FRF",#N/A,FALSE,"NOTE08";"N09FRF",#N/A,FALSE,"NOTE09";"N10FRF",#N/A,FALSE,"NOTE10";"N11FRF",#N/A,FALSE,"NOTE11";"N12FRF",#N/A,FALSE,"NOTE12";"N13FRF",#N/A,FALSE,"NOTE13";"N14FRF",#N/A,FALSE,"NOTE14";"N15FRF",#N/A,FALSE,"NOTE15";"N16FRF",#N/A,FALSE,"NOTE16";"N17FRF",#N/A,FALSE,"NOTE17";"N18FRF",#N/A,FALSE,"NOTE18";"N19FRF",#N/A,FALSE,"NOTE19";"N20FRF",#N/A,FALSE,"NOTE20";"N21FRF",#N/A,FALSE,"NOTE21";"N22FRF",#N/A,FALSE,"NOTE22";"N23FRF",#N/A,FALSE,"NOTE23";"N24FRF",#N/A,FALSE,"NOTE24";"N25FRF",#N/A,FALSE,"NOTE25";"N26FRF",#N/A,FALSE,"NOTE26";"N27FRF",#N/A,FALSE,"NOTE27";"N28FRF",#N/A,FALSE,"NOTE28";"N29FRF",#N/A,FALSE,"NOTE29";"N30FRF",#N/A,FALSE,"NOTE30";"N31FRF",#N/A,FALSE,"NOTE31";"N32FRF",#N/A,FALSE,"NOTE32";"N33FRF",#N/A,FALSE,"NOTE33";"BILSOCFRF",#N/A,FALSE,"bilan soc";"RESSOCFRF",#N/A,FALSE,"PL soc";"cinqexFRF",#N/A,FALSE,"5ex"}</definedName>
    <definedName name="wrn.etafifrffrf._3_2" hidden="1">{#N/A,"francaisfrf",FALSE,"UNITE";"ACTFRF",#N/A,FALSE,"ACTIF";"PASFRF",#N/A,FALSE,"PASSIF";"RESFRF",#N/A,FALSE,"RESULTATS";"FPFRF",#N/A,FALSE,"FP";"N03FRF",#N/A,FALSE,"NOTE03";"N04FRF",#N/A,FALSE,"NOTE04";"N05FRF",#N/A,FALSE,"NOTE05";"N06FRF",#N/A,FALSE,"NOTE06";"N07FRF",#N/A,FALSE,"NOTE07";"N08FRF",#N/A,FALSE,"NOTE08";"N09FRF",#N/A,FALSE,"NOTE09";"N10FRF",#N/A,FALSE,"NOTE10";"N11FRF",#N/A,FALSE,"NOTE11";"N12FRF",#N/A,FALSE,"NOTE12";"N13FRF",#N/A,FALSE,"NOTE13";"N14FRF",#N/A,FALSE,"NOTE14";"N15FRF",#N/A,FALSE,"NOTE15";"N16FRF",#N/A,FALSE,"NOTE16";"N17FRF",#N/A,FALSE,"NOTE17";"N18FRF",#N/A,FALSE,"NOTE18";"N19FRF",#N/A,FALSE,"NOTE19";"N20FRF",#N/A,FALSE,"NOTE20";"N21FRF",#N/A,FALSE,"NOTE21";"N22FRF",#N/A,FALSE,"NOTE22";"N23FRF",#N/A,FALSE,"NOTE23";"N24FRF",#N/A,FALSE,"NOTE24";"N25FRF",#N/A,FALSE,"NOTE25";"N26FRF",#N/A,FALSE,"NOTE26";"N27FRF",#N/A,FALSE,"NOTE27";"N28FRF",#N/A,FALSE,"NOTE28";"N29FRF",#N/A,FALSE,"NOTE29";"N30FRF",#N/A,FALSE,"NOTE30";"N31FRF",#N/A,FALSE,"NOTE31";"N32FRF",#N/A,FALSE,"NOTE32";"N33FRF",#N/A,FALSE,"NOTE33";"BILSOCFRF",#N/A,FALSE,"bilan soc";"RESSOCFRF",#N/A,FALSE,"PL soc";"cinqexFRF",#N/A,FALSE,"5ex"}</definedName>
    <definedName name="wrn.etafifrffrf._3_3" localSheetId="12" hidden="1">{#N/A,"francaisfrf",FALSE,"UNITE";"ACTFRF",#N/A,FALSE,"ACTIF";"PASFRF",#N/A,FALSE,"PASSIF";"RESFRF",#N/A,FALSE,"RESULTATS";"FPFRF",#N/A,FALSE,"FP";"N03FRF",#N/A,FALSE,"NOTE03";"N04FRF",#N/A,FALSE,"NOTE04";"N05FRF",#N/A,FALSE,"NOTE05";"N06FRF",#N/A,FALSE,"NOTE06";"N07FRF",#N/A,FALSE,"NOTE07";"N08FRF",#N/A,FALSE,"NOTE08";"N09FRF",#N/A,FALSE,"NOTE09";"N10FRF",#N/A,FALSE,"NOTE10";"N11FRF",#N/A,FALSE,"NOTE11";"N12FRF",#N/A,FALSE,"NOTE12";"N13FRF",#N/A,FALSE,"NOTE13";"N14FRF",#N/A,FALSE,"NOTE14";"N15FRF",#N/A,FALSE,"NOTE15";"N16FRF",#N/A,FALSE,"NOTE16";"N17FRF",#N/A,FALSE,"NOTE17";"N18FRF",#N/A,FALSE,"NOTE18";"N19FRF",#N/A,FALSE,"NOTE19";"N20FRF",#N/A,FALSE,"NOTE20";"N21FRF",#N/A,FALSE,"NOTE21";"N22FRF",#N/A,FALSE,"NOTE22";"N23FRF",#N/A,FALSE,"NOTE23";"N24FRF",#N/A,FALSE,"NOTE24";"N25FRF",#N/A,FALSE,"NOTE25";"N26FRF",#N/A,FALSE,"NOTE26";"N27FRF",#N/A,FALSE,"NOTE27";"N28FRF",#N/A,FALSE,"NOTE28";"N29FRF",#N/A,FALSE,"NOTE29";"N30FRF",#N/A,FALSE,"NOTE30";"N31FRF",#N/A,FALSE,"NOTE31";"N32FRF",#N/A,FALSE,"NOTE32";"N33FRF",#N/A,FALSE,"NOTE33";"BILSOCFRF",#N/A,FALSE,"bilan soc";"RESSOCFRF",#N/A,FALSE,"PL soc";"cinqexFRF",#N/A,FALSE,"5ex"}</definedName>
    <definedName name="wrn.etafifrffrf._3_3" hidden="1">{#N/A,"francaisfrf",FALSE,"UNITE";"ACTFRF",#N/A,FALSE,"ACTIF";"PASFRF",#N/A,FALSE,"PASSIF";"RESFRF",#N/A,FALSE,"RESULTATS";"FPFRF",#N/A,FALSE,"FP";"N03FRF",#N/A,FALSE,"NOTE03";"N04FRF",#N/A,FALSE,"NOTE04";"N05FRF",#N/A,FALSE,"NOTE05";"N06FRF",#N/A,FALSE,"NOTE06";"N07FRF",#N/A,FALSE,"NOTE07";"N08FRF",#N/A,FALSE,"NOTE08";"N09FRF",#N/A,FALSE,"NOTE09";"N10FRF",#N/A,FALSE,"NOTE10";"N11FRF",#N/A,FALSE,"NOTE11";"N12FRF",#N/A,FALSE,"NOTE12";"N13FRF",#N/A,FALSE,"NOTE13";"N14FRF",#N/A,FALSE,"NOTE14";"N15FRF",#N/A,FALSE,"NOTE15";"N16FRF",#N/A,FALSE,"NOTE16";"N17FRF",#N/A,FALSE,"NOTE17";"N18FRF",#N/A,FALSE,"NOTE18";"N19FRF",#N/A,FALSE,"NOTE19";"N20FRF",#N/A,FALSE,"NOTE20";"N21FRF",#N/A,FALSE,"NOTE21";"N22FRF",#N/A,FALSE,"NOTE22";"N23FRF",#N/A,FALSE,"NOTE23";"N24FRF",#N/A,FALSE,"NOTE24";"N25FRF",#N/A,FALSE,"NOTE25";"N26FRF",#N/A,FALSE,"NOTE26";"N27FRF",#N/A,FALSE,"NOTE27";"N28FRF",#N/A,FALSE,"NOTE28";"N29FRF",#N/A,FALSE,"NOTE29";"N30FRF",#N/A,FALSE,"NOTE30";"N31FRF",#N/A,FALSE,"NOTE31";"N32FRF",#N/A,FALSE,"NOTE32";"N33FRF",#N/A,FALSE,"NOTE33";"BILSOCFRF",#N/A,FALSE,"bilan soc";"RESSOCFRF",#N/A,FALSE,"PL soc";"cinqexFRF",#N/A,FALSE,"5ex"}</definedName>
    <definedName name="wrn.etafifrffrf._4" localSheetId="9" hidden="1">{#N/A,"francaisfrf",FALSE,"UNITE";"ACTFRF",#N/A,FALSE,"ACTIF";"PASFRF",#N/A,FALSE,"PASSIF";"RESFRF",#N/A,FALSE,"RESULTATS";"FPFRF",#N/A,FALSE,"FP";"N03FRF",#N/A,FALSE,"NOTE03";"N04FRF",#N/A,FALSE,"NOTE04";"N05FRF",#N/A,FALSE,"NOTE05";"N06FRF",#N/A,FALSE,"NOTE06";"N07FRF",#N/A,FALSE,"NOTE07";"N08FRF",#N/A,FALSE,"NOTE08";"N09FRF",#N/A,FALSE,"NOTE09";"N10FRF",#N/A,FALSE,"NOTE10";"N11FRF",#N/A,FALSE,"NOTE11";"N12FRF",#N/A,FALSE,"NOTE12";"N13FRF",#N/A,FALSE,"NOTE13";"N14FRF",#N/A,FALSE,"NOTE14";"N15FRF",#N/A,FALSE,"NOTE15";"N16FRF",#N/A,FALSE,"NOTE16";"N17FRF",#N/A,FALSE,"NOTE17";"N18FRF",#N/A,FALSE,"NOTE18";"N19FRF",#N/A,FALSE,"NOTE19";"N20FRF",#N/A,FALSE,"NOTE20";"N21FRF",#N/A,FALSE,"NOTE21";"N22FRF",#N/A,FALSE,"NOTE22";"N23FRF",#N/A,FALSE,"NOTE23";"N24FRF",#N/A,FALSE,"NOTE24";"N25FRF",#N/A,FALSE,"NOTE25";"N26FRF",#N/A,FALSE,"NOTE26";"N27FRF",#N/A,FALSE,"NOTE27";"N28FRF",#N/A,FALSE,"NOTE28";"N29FRF",#N/A,FALSE,"NOTE29";"N30FRF",#N/A,FALSE,"NOTE30";"N31FRF",#N/A,FALSE,"NOTE31";"N32FRF",#N/A,FALSE,"NOTE32";"N33FRF",#N/A,FALSE,"NOTE33";"BILSOCFRF",#N/A,FALSE,"bilan soc";"RESSOCFRF",#N/A,FALSE,"PL soc";"cinqexFRF",#N/A,FALSE,"5ex"}</definedName>
    <definedName name="wrn.etafifrffrf._4" localSheetId="12" hidden="1">{#N/A,"francaisfrf",FALSE,"UNITE";"ACTFRF",#N/A,FALSE,"ACTIF";"PASFRF",#N/A,FALSE,"PASSIF";"RESFRF",#N/A,FALSE,"RESULTATS";"FPFRF",#N/A,FALSE,"FP";"N03FRF",#N/A,FALSE,"NOTE03";"N04FRF",#N/A,FALSE,"NOTE04";"N05FRF",#N/A,FALSE,"NOTE05";"N06FRF",#N/A,FALSE,"NOTE06";"N07FRF",#N/A,FALSE,"NOTE07";"N08FRF",#N/A,FALSE,"NOTE08";"N09FRF",#N/A,FALSE,"NOTE09";"N10FRF",#N/A,FALSE,"NOTE10";"N11FRF",#N/A,FALSE,"NOTE11";"N12FRF",#N/A,FALSE,"NOTE12";"N13FRF",#N/A,FALSE,"NOTE13";"N14FRF",#N/A,FALSE,"NOTE14";"N15FRF",#N/A,FALSE,"NOTE15";"N16FRF",#N/A,FALSE,"NOTE16";"N17FRF",#N/A,FALSE,"NOTE17";"N18FRF",#N/A,FALSE,"NOTE18";"N19FRF",#N/A,FALSE,"NOTE19";"N20FRF",#N/A,FALSE,"NOTE20";"N21FRF",#N/A,FALSE,"NOTE21";"N22FRF",#N/A,FALSE,"NOTE22";"N23FRF",#N/A,FALSE,"NOTE23";"N24FRF",#N/A,FALSE,"NOTE24";"N25FRF",#N/A,FALSE,"NOTE25";"N26FRF",#N/A,FALSE,"NOTE26";"N27FRF",#N/A,FALSE,"NOTE27";"N28FRF",#N/A,FALSE,"NOTE28";"N29FRF",#N/A,FALSE,"NOTE29";"N30FRF",#N/A,FALSE,"NOTE30";"N31FRF",#N/A,FALSE,"NOTE31";"N32FRF",#N/A,FALSE,"NOTE32";"N33FRF",#N/A,FALSE,"NOTE33";"BILSOCFRF",#N/A,FALSE,"bilan soc";"RESSOCFRF",#N/A,FALSE,"PL soc";"cinqexFRF",#N/A,FALSE,"5ex"}</definedName>
    <definedName name="wrn.etafifrffrf._4" localSheetId="7" hidden="1">{#N/A,"francaisfrf",FALSE,"UNITE";"ACTFRF",#N/A,FALSE,"ACTIF";"PASFRF",#N/A,FALSE,"PASSIF";"RESFRF",#N/A,FALSE,"RESULTATS";"FPFRF",#N/A,FALSE,"FP";"N03FRF",#N/A,FALSE,"NOTE03";"N04FRF",#N/A,FALSE,"NOTE04";"N05FRF",#N/A,FALSE,"NOTE05";"N06FRF",#N/A,FALSE,"NOTE06";"N07FRF",#N/A,FALSE,"NOTE07";"N08FRF",#N/A,FALSE,"NOTE08";"N09FRF",#N/A,FALSE,"NOTE09";"N10FRF",#N/A,FALSE,"NOTE10";"N11FRF",#N/A,FALSE,"NOTE11";"N12FRF",#N/A,FALSE,"NOTE12";"N13FRF",#N/A,FALSE,"NOTE13";"N14FRF",#N/A,FALSE,"NOTE14";"N15FRF",#N/A,FALSE,"NOTE15";"N16FRF",#N/A,FALSE,"NOTE16";"N17FRF",#N/A,FALSE,"NOTE17";"N18FRF",#N/A,FALSE,"NOTE18";"N19FRF",#N/A,FALSE,"NOTE19";"N20FRF",#N/A,FALSE,"NOTE20";"N21FRF",#N/A,FALSE,"NOTE21";"N22FRF",#N/A,FALSE,"NOTE22";"N23FRF",#N/A,FALSE,"NOTE23";"N24FRF",#N/A,FALSE,"NOTE24";"N25FRF",#N/A,FALSE,"NOTE25";"N26FRF",#N/A,FALSE,"NOTE26";"N27FRF",#N/A,FALSE,"NOTE27";"N28FRF",#N/A,FALSE,"NOTE28";"N29FRF",#N/A,FALSE,"NOTE29";"N30FRF",#N/A,FALSE,"NOTE30";"N31FRF",#N/A,FALSE,"NOTE31";"N32FRF",#N/A,FALSE,"NOTE32";"N33FRF",#N/A,FALSE,"NOTE33";"BILSOCFRF",#N/A,FALSE,"bilan soc";"RESSOCFRF",#N/A,FALSE,"PL soc";"cinqexFRF",#N/A,FALSE,"5ex"}</definedName>
    <definedName name="wrn.etafifrffrf._4" localSheetId="8" hidden="1">{#N/A,"francaisfrf",FALSE,"UNITE";"ACTFRF",#N/A,FALSE,"ACTIF";"PASFRF",#N/A,FALSE,"PASSIF";"RESFRF",#N/A,FALSE,"RESULTATS";"FPFRF",#N/A,FALSE,"FP";"N03FRF",#N/A,FALSE,"NOTE03";"N04FRF",#N/A,FALSE,"NOTE04";"N05FRF",#N/A,FALSE,"NOTE05";"N06FRF",#N/A,FALSE,"NOTE06";"N07FRF",#N/A,FALSE,"NOTE07";"N08FRF",#N/A,FALSE,"NOTE08";"N09FRF",#N/A,FALSE,"NOTE09";"N10FRF",#N/A,FALSE,"NOTE10";"N11FRF",#N/A,FALSE,"NOTE11";"N12FRF",#N/A,FALSE,"NOTE12";"N13FRF",#N/A,FALSE,"NOTE13";"N14FRF",#N/A,FALSE,"NOTE14";"N15FRF",#N/A,FALSE,"NOTE15";"N16FRF",#N/A,FALSE,"NOTE16";"N17FRF",#N/A,FALSE,"NOTE17";"N18FRF",#N/A,FALSE,"NOTE18";"N19FRF",#N/A,FALSE,"NOTE19";"N20FRF",#N/A,FALSE,"NOTE20";"N21FRF",#N/A,FALSE,"NOTE21";"N22FRF",#N/A,FALSE,"NOTE22";"N23FRF",#N/A,FALSE,"NOTE23";"N24FRF",#N/A,FALSE,"NOTE24";"N25FRF",#N/A,FALSE,"NOTE25";"N26FRF",#N/A,FALSE,"NOTE26";"N27FRF",#N/A,FALSE,"NOTE27";"N28FRF",#N/A,FALSE,"NOTE28";"N29FRF",#N/A,FALSE,"NOTE29";"N30FRF",#N/A,FALSE,"NOTE30";"N31FRF",#N/A,FALSE,"NOTE31";"N32FRF",#N/A,FALSE,"NOTE32";"N33FRF",#N/A,FALSE,"NOTE33";"BILSOCFRF",#N/A,FALSE,"bilan soc";"RESSOCFRF",#N/A,FALSE,"PL soc";"cinqexFRF",#N/A,FALSE,"5ex"}</definedName>
    <definedName name="wrn.etafifrffrf._4" localSheetId="10" hidden="1">{#N/A,"francaisfrf",FALSE,"UNITE";"ACTFRF",#N/A,FALSE,"ACTIF";"PASFRF",#N/A,FALSE,"PASSIF";"RESFRF",#N/A,FALSE,"RESULTATS";"FPFRF",#N/A,FALSE,"FP";"N03FRF",#N/A,FALSE,"NOTE03";"N04FRF",#N/A,FALSE,"NOTE04";"N05FRF",#N/A,FALSE,"NOTE05";"N06FRF",#N/A,FALSE,"NOTE06";"N07FRF",#N/A,FALSE,"NOTE07";"N08FRF",#N/A,FALSE,"NOTE08";"N09FRF",#N/A,FALSE,"NOTE09";"N10FRF",#N/A,FALSE,"NOTE10";"N11FRF",#N/A,FALSE,"NOTE11";"N12FRF",#N/A,FALSE,"NOTE12";"N13FRF",#N/A,FALSE,"NOTE13";"N14FRF",#N/A,FALSE,"NOTE14";"N15FRF",#N/A,FALSE,"NOTE15";"N16FRF",#N/A,FALSE,"NOTE16";"N17FRF",#N/A,FALSE,"NOTE17";"N18FRF",#N/A,FALSE,"NOTE18";"N19FRF",#N/A,FALSE,"NOTE19";"N20FRF",#N/A,FALSE,"NOTE20";"N21FRF",#N/A,FALSE,"NOTE21";"N22FRF",#N/A,FALSE,"NOTE22";"N23FRF",#N/A,FALSE,"NOTE23";"N24FRF",#N/A,FALSE,"NOTE24";"N25FRF",#N/A,FALSE,"NOTE25";"N26FRF",#N/A,FALSE,"NOTE26";"N27FRF",#N/A,FALSE,"NOTE27";"N28FRF",#N/A,FALSE,"NOTE28";"N29FRF",#N/A,FALSE,"NOTE29";"N30FRF",#N/A,FALSE,"NOTE30";"N31FRF",#N/A,FALSE,"NOTE31";"N32FRF",#N/A,FALSE,"NOTE32";"N33FRF",#N/A,FALSE,"NOTE33";"BILSOCFRF",#N/A,FALSE,"bilan soc";"RESSOCFRF",#N/A,FALSE,"PL soc";"cinqexFRF",#N/A,FALSE,"5ex"}</definedName>
    <definedName name="wrn.etafifrffrf._4" hidden="1">{#N/A,"francaisfrf",FALSE,"UNITE";"ACTFRF",#N/A,FALSE,"ACTIF";"PASFRF",#N/A,FALSE,"PASSIF";"RESFRF",#N/A,FALSE,"RESULTATS";"FPFRF",#N/A,FALSE,"FP";"N03FRF",#N/A,FALSE,"NOTE03";"N04FRF",#N/A,FALSE,"NOTE04";"N05FRF",#N/A,FALSE,"NOTE05";"N06FRF",#N/A,FALSE,"NOTE06";"N07FRF",#N/A,FALSE,"NOTE07";"N08FRF",#N/A,FALSE,"NOTE08";"N09FRF",#N/A,FALSE,"NOTE09";"N10FRF",#N/A,FALSE,"NOTE10";"N11FRF",#N/A,FALSE,"NOTE11";"N12FRF",#N/A,FALSE,"NOTE12";"N13FRF",#N/A,FALSE,"NOTE13";"N14FRF",#N/A,FALSE,"NOTE14";"N15FRF",#N/A,FALSE,"NOTE15";"N16FRF",#N/A,FALSE,"NOTE16";"N17FRF",#N/A,FALSE,"NOTE17";"N18FRF",#N/A,FALSE,"NOTE18";"N19FRF",#N/A,FALSE,"NOTE19";"N20FRF",#N/A,FALSE,"NOTE20";"N21FRF",#N/A,FALSE,"NOTE21";"N22FRF",#N/A,FALSE,"NOTE22";"N23FRF",#N/A,FALSE,"NOTE23";"N24FRF",#N/A,FALSE,"NOTE24";"N25FRF",#N/A,FALSE,"NOTE25";"N26FRF",#N/A,FALSE,"NOTE26";"N27FRF",#N/A,FALSE,"NOTE27";"N28FRF",#N/A,FALSE,"NOTE28";"N29FRF",#N/A,FALSE,"NOTE29";"N30FRF",#N/A,FALSE,"NOTE30";"N31FRF",#N/A,FALSE,"NOTE31";"N32FRF",#N/A,FALSE,"NOTE32";"N33FRF",#N/A,FALSE,"NOTE33";"BILSOCFRF",#N/A,FALSE,"bilan soc";"RESSOCFRF",#N/A,FALSE,"PL soc";"cinqexFRF",#N/A,FALSE,"5ex"}</definedName>
    <definedName name="wrn.etafifrffrf._4_1" localSheetId="9" hidden="1">{#N/A,"francaisfrf",FALSE,"UNITE";"ACTFRF",#N/A,FALSE,"ACTIF";"PASFRF",#N/A,FALSE,"PASSIF";"RESFRF",#N/A,FALSE,"RESULTATS";"FPFRF",#N/A,FALSE,"FP";"N03FRF",#N/A,FALSE,"NOTE03";"N04FRF",#N/A,FALSE,"NOTE04";"N05FRF",#N/A,FALSE,"NOTE05";"N06FRF",#N/A,FALSE,"NOTE06";"N07FRF",#N/A,FALSE,"NOTE07";"N08FRF",#N/A,FALSE,"NOTE08";"N09FRF",#N/A,FALSE,"NOTE09";"N10FRF",#N/A,FALSE,"NOTE10";"N11FRF",#N/A,FALSE,"NOTE11";"N12FRF",#N/A,FALSE,"NOTE12";"N13FRF",#N/A,FALSE,"NOTE13";"N14FRF",#N/A,FALSE,"NOTE14";"N15FRF",#N/A,FALSE,"NOTE15";"N16FRF",#N/A,FALSE,"NOTE16";"N17FRF",#N/A,FALSE,"NOTE17";"N18FRF",#N/A,FALSE,"NOTE18";"N19FRF",#N/A,FALSE,"NOTE19";"N20FRF",#N/A,FALSE,"NOTE20";"N21FRF",#N/A,FALSE,"NOTE21";"N22FRF",#N/A,FALSE,"NOTE22";"N23FRF",#N/A,FALSE,"NOTE23";"N24FRF",#N/A,FALSE,"NOTE24";"N25FRF",#N/A,FALSE,"NOTE25";"N26FRF",#N/A,FALSE,"NOTE26";"N27FRF",#N/A,FALSE,"NOTE27";"N28FRF",#N/A,FALSE,"NOTE28";"N29FRF",#N/A,FALSE,"NOTE29";"N30FRF",#N/A,FALSE,"NOTE30";"N31FRF",#N/A,FALSE,"NOTE31";"N32FRF",#N/A,FALSE,"NOTE32";"N33FRF",#N/A,FALSE,"NOTE33";"BILSOCFRF",#N/A,FALSE,"bilan soc";"RESSOCFRF",#N/A,FALSE,"PL soc";"cinqexFRF",#N/A,FALSE,"5ex"}</definedName>
    <definedName name="wrn.etafifrffrf._4_1" localSheetId="12" hidden="1">{#N/A,"francaisfrf",FALSE,"UNITE";"ACTFRF",#N/A,FALSE,"ACTIF";"PASFRF",#N/A,FALSE,"PASSIF";"RESFRF",#N/A,FALSE,"RESULTATS";"FPFRF",#N/A,FALSE,"FP";"N03FRF",#N/A,FALSE,"NOTE03";"N04FRF",#N/A,FALSE,"NOTE04";"N05FRF",#N/A,FALSE,"NOTE05";"N06FRF",#N/A,FALSE,"NOTE06";"N07FRF",#N/A,FALSE,"NOTE07";"N08FRF",#N/A,FALSE,"NOTE08";"N09FRF",#N/A,FALSE,"NOTE09";"N10FRF",#N/A,FALSE,"NOTE10";"N11FRF",#N/A,FALSE,"NOTE11";"N12FRF",#N/A,FALSE,"NOTE12";"N13FRF",#N/A,FALSE,"NOTE13";"N14FRF",#N/A,FALSE,"NOTE14";"N15FRF",#N/A,FALSE,"NOTE15";"N16FRF",#N/A,FALSE,"NOTE16";"N17FRF",#N/A,FALSE,"NOTE17";"N18FRF",#N/A,FALSE,"NOTE18";"N19FRF",#N/A,FALSE,"NOTE19";"N20FRF",#N/A,FALSE,"NOTE20";"N21FRF",#N/A,FALSE,"NOTE21";"N22FRF",#N/A,FALSE,"NOTE22";"N23FRF",#N/A,FALSE,"NOTE23";"N24FRF",#N/A,FALSE,"NOTE24";"N25FRF",#N/A,FALSE,"NOTE25";"N26FRF",#N/A,FALSE,"NOTE26";"N27FRF",#N/A,FALSE,"NOTE27";"N28FRF",#N/A,FALSE,"NOTE28";"N29FRF",#N/A,FALSE,"NOTE29";"N30FRF",#N/A,FALSE,"NOTE30";"N31FRF",#N/A,FALSE,"NOTE31";"N32FRF",#N/A,FALSE,"NOTE32";"N33FRF",#N/A,FALSE,"NOTE33";"BILSOCFRF",#N/A,FALSE,"bilan soc";"RESSOCFRF",#N/A,FALSE,"PL soc";"cinqexFRF",#N/A,FALSE,"5ex"}</definedName>
    <definedName name="wrn.etafifrffrf._4_1" localSheetId="7" hidden="1">{#N/A,"francaisfrf",FALSE,"UNITE";"ACTFRF",#N/A,FALSE,"ACTIF";"PASFRF",#N/A,FALSE,"PASSIF";"RESFRF",#N/A,FALSE,"RESULTATS";"FPFRF",#N/A,FALSE,"FP";"N03FRF",#N/A,FALSE,"NOTE03";"N04FRF",#N/A,FALSE,"NOTE04";"N05FRF",#N/A,FALSE,"NOTE05";"N06FRF",#N/A,FALSE,"NOTE06";"N07FRF",#N/A,FALSE,"NOTE07";"N08FRF",#N/A,FALSE,"NOTE08";"N09FRF",#N/A,FALSE,"NOTE09";"N10FRF",#N/A,FALSE,"NOTE10";"N11FRF",#N/A,FALSE,"NOTE11";"N12FRF",#N/A,FALSE,"NOTE12";"N13FRF",#N/A,FALSE,"NOTE13";"N14FRF",#N/A,FALSE,"NOTE14";"N15FRF",#N/A,FALSE,"NOTE15";"N16FRF",#N/A,FALSE,"NOTE16";"N17FRF",#N/A,FALSE,"NOTE17";"N18FRF",#N/A,FALSE,"NOTE18";"N19FRF",#N/A,FALSE,"NOTE19";"N20FRF",#N/A,FALSE,"NOTE20";"N21FRF",#N/A,FALSE,"NOTE21";"N22FRF",#N/A,FALSE,"NOTE22";"N23FRF",#N/A,FALSE,"NOTE23";"N24FRF",#N/A,FALSE,"NOTE24";"N25FRF",#N/A,FALSE,"NOTE25";"N26FRF",#N/A,FALSE,"NOTE26";"N27FRF",#N/A,FALSE,"NOTE27";"N28FRF",#N/A,FALSE,"NOTE28";"N29FRF",#N/A,FALSE,"NOTE29";"N30FRF",#N/A,FALSE,"NOTE30";"N31FRF",#N/A,FALSE,"NOTE31";"N32FRF",#N/A,FALSE,"NOTE32";"N33FRF",#N/A,FALSE,"NOTE33";"BILSOCFRF",#N/A,FALSE,"bilan soc";"RESSOCFRF",#N/A,FALSE,"PL soc";"cinqexFRF",#N/A,FALSE,"5ex"}</definedName>
    <definedName name="wrn.etafifrffrf._4_1" localSheetId="8" hidden="1">{#N/A,"francaisfrf",FALSE,"UNITE";"ACTFRF",#N/A,FALSE,"ACTIF";"PASFRF",#N/A,FALSE,"PASSIF";"RESFRF",#N/A,FALSE,"RESULTATS";"FPFRF",#N/A,FALSE,"FP";"N03FRF",#N/A,FALSE,"NOTE03";"N04FRF",#N/A,FALSE,"NOTE04";"N05FRF",#N/A,FALSE,"NOTE05";"N06FRF",#N/A,FALSE,"NOTE06";"N07FRF",#N/A,FALSE,"NOTE07";"N08FRF",#N/A,FALSE,"NOTE08";"N09FRF",#N/A,FALSE,"NOTE09";"N10FRF",#N/A,FALSE,"NOTE10";"N11FRF",#N/A,FALSE,"NOTE11";"N12FRF",#N/A,FALSE,"NOTE12";"N13FRF",#N/A,FALSE,"NOTE13";"N14FRF",#N/A,FALSE,"NOTE14";"N15FRF",#N/A,FALSE,"NOTE15";"N16FRF",#N/A,FALSE,"NOTE16";"N17FRF",#N/A,FALSE,"NOTE17";"N18FRF",#N/A,FALSE,"NOTE18";"N19FRF",#N/A,FALSE,"NOTE19";"N20FRF",#N/A,FALSE,"NOTE20";"N21FRF",#N/A,FALSE,"NOTE21";"N22FRF",#N/A,FALSE,"NOTE22";"N23FRF",#N/A,FALSE,"NOTE23";"N24FRF",#N/A,FALSE,"NOTE24";"N25FRF",#N/A,FALSE,"NOTE25";"N26FRF",#N/A,FALSE,"NOTE26";"N27FRF",#N/A,FALSE,"NOTE27";"N28FRF",#N/A,FALSE,"NOTE28";"N29FRF",#N/A,FALSE,"NOTE29";"N30FRF",#N/A,FALSE,"NOTE30";"N31FRF",#N/A,FALSE,"NOTE31";"N32FRF",#N/A,FALSE,"NOTE32";"N33FRF",#N/A,FALSE,"NOTE33";"BILSOCFRF",#N/A,FALSE,"bilan soc";"RESSOCFRF",#N/A,FALSE,"PL soc";"cinqexFRF",#N/A,FALSE,"5ex"}</definedName>
    <definedName name="wrn.etafifrffrf._4_1" localSheetId="10" hidden="1">{#N/A,"francaisfrf",FALSE,"UNITE";"ACTFRF",#N/A,FALSE,"ACTIF";"PASFRF",#N/A,FALSE,"PASSIF";"RESFRF",#N/A,FALSE,"RESULTATS";"FPFRF",#N/A,FALSE,"FP";"N03FRF",#N/A,FALSE,"NOTE03";"N04FRF",#N/A,FALSE,"NOTE04";"N05FRF",#N/A,FALSE,"NOTE05";"N06FRF",#N/A,FALSE,"NOTE06";"N07FRF",#N/A,FALSE,"NOTE07";"N08FRF",#N/A,FALSE,"NOTE08";"N09FRF",#N/A,FALSE,"NOTE09";"N10FRF",#N/A,FALSE,"NOTE10";"N11FRF",#N/A,FALSE,"NOTE11";"N12FRF",#N/A,FALSE,"NOTE12";"N13FRF",#N/A,FALSE,"NOTE13";"N14FRF",#N/A,FALSE,"NOTE14";"N15FRF",#N/A,FALSE,"NOTE15";"N16FRF",#N/A,FALSE,"NOTE16";"N17FRF",#N/A,FALSE,"NOTE17";"N18FRF",#N/A,FALSE,"NOTE18";"N19FRF",#N/A,FALSE,"NOTE19";"N20FRF",#N/A,FALSE,"NOTE20";"N21FRF",#N/A,FALSE,"NOTE21";"N22FRF",#N/A,FALSE,"NOTE22";"N23FRF",#N/A,FALSE,"NOTE23";"N24FRF",#N/A,FALSE,"NOTE24";"N25FRF",#N/A,FALSE,"NOTE25";"N26FRF",#N/A,FALSE,"NOTE26";"N27FRF",#N/A,FALSE,"NOTE27";"N28FRF",#N/A,FALSE,"NOTE28";"N29FRF",#N/A,FALSE,"NOTE29";"N30FRF",#N/A,FALSE,"NOTE30";"N31FRF",#N/A,FALSE,"NOTE31";"N32FRF",#N/A,FALSE,"NOTE32";"N33FRF",#N/A,FALSE,"NOTE33";"BILSOCFRF",#N/A,FALSE,"bilan soc";"RESSOCFRF",#N/A,FALSE,"PL soc";"cinqexFRF",#N/A,FALSE,"5ex"}</definedName>
    <definedName name="wrn.etafifrffrf._4_1" hidden="1">{#N/A,"francaisfrf",FALSE,"UNITE";"ACTFRF",#N/A,FALSE,"ACTIF";"PASFRF",#N/A,FALSE,"PASSIF";"RESFRF",#N/A,FALSE,"RESULTATS";"FPFRF",#N/A,FALSE,"FP";"N03FRF",#N/A,FALSE,"NOTE03";"N04FRF",#N/A,FALSE,"NOTE04";"N05FRF",#N/A,FALSE,"NOTE05";"N06FRF",#N/A,FALSE,"NOTE06";"N07FRF",#N/A,FALSE,"NOTE07";"N08FRF",#N/A,FALSE,"NOTE08";"N09FRF",#N/A,FALSE,"NOTE09";"N10FRF",#N/A,FALSE,"NOTE10";"N11FRF",#N/A,FALSE,"NOTE11";"N12FRF",#N/A,FALSE,"NOTE12";"N13FRF",#N/A,FALSE,"NOTE13";"N14FRF",#N/A,FALSE,"NOTE14";"N15FRF",#N/A,FALSE,"NOTE15";"N16FRF",#N/A,FALSE,"NOTE16";"N17FRF",#N/A,FALSE,"NOTE17";"N18FRF",#N/A,FALSE,"NOTE18";"N19FRF",#N/A,FALSE,"NOTE19";"N20FRF",#N/A,FALSE,"NOTE20";"N21FRF",#N/A,FALSE,"NOTE21";"N22FRF",#N/A,FALSE,"NOTE22";"N23FRF",#N/A,FALSE,"NOTE23";"N24FRF",#N/A,FALSE,"NOTE24";"N25FRF",#N/A,FALSE,"NOTE25";"N26FRF",#N/A,FALSE,"NOTE26";"N27FRF",#N/A,FALSE,"NOTE27";"N28FRF",#N/A,FALSE,"NOTE28";"N29FRF",#N/A,FALSE,"NOTE29";"N30FRF",#N/A,FALSE,"NOTE30";"N31FRF",#N/A,FALSE,"NOTE31";"N32FRF",#N/A,FALSE,"NOTE32";"N33FRF",#N/A,FALSE,"NOTE33";"BILSOCFRF",#N/A,FALSE,"bilan soc";"RESSOCFRF",#N/A,FALSE,"PL soc";"cinqexFRF",#N/A,FALSE,"5ex"}</definedName>
    <definedName name="wrn.etafifrffrf._4_1_1" localSheetId="12" hidden="1">{#N/A,"francaisfrf",FALSE,"UNITE";"ACTFRF",#N/A,FALSE,"ACTIF";"PASFRF",#N/A,FALSE,"PASSIF";"RESFRF",#N/A,FALSE,"RESULTATS";"FPFRF",#N/A,FALSE,"FP";"N03FRF",#N/A,FALSE,"NOTE03";"N04FRF",#N/A,FALSE,"NOTE04";"N05FRF",#N/A,FALSE,"NOTE05";"N06FRF",#N/A,FALSE,"NOTE06";"N07FRF",#N/A,FALSE,"NOTE07";"N08FRF",#N/A,FALSE,"NOTE08";"N09FRF",#N/A,FALSE,"NOTE09";"N10FRF",#N/A,FALSE,"NOTE10";"N11FRF",#N/A,FALSE,"NOTE11";"N12FRF",#N/A,FALSE,"NOTE12";"N13FRF",#N/A,FALSE,"NOTE13";"N14FRF",#N/A,FALSE,"NOTE14";"N15FRF",#N/A,FALSE,"NOTE15";"N16FRF",#N/A,FALSE,"NOTE16";"N17FRF",#N/A,FALSE,"NOTE17";"N18FRF",#N/A,FALSE,"NOTE18";"N19FRF",#N/A,FALSE,"NOTE19";"N20FRF",#N/A,FALSE,"NOTE20";"N21FRF",#N/A,FALSE,"NOTE21";"N22FRF",#N/A,FALSE,"NOTE22";"N23FRF",#N/A,FALSE,"NOTE23";"N24FRF",#N/A,FALSE,"NOTE24";"N25FRF",#N/A,FALSE,"NOTE25";"N26FRF",#N/A,FALSE,"NOTE26";"N27FRF",#N/A,FALSE,"NOTE27";"N28FRF",#N/A,FALSE,"NOTE28";"N29FRF",#N/A,FALSE,"NOTE29";"N30FRF",#N/A,FALSE,"NOTE30";"N31FRF",#N/A,FALSE,"NOTE31";"N32FRF",#N/A,FALSE,"NOTE32";"N33FRF",#N/A,FALSE,"NOTE33";"BILSOCFRF",#N/A,FALSE,"bilan soc";"RESSOCFRF",#N/A,FALSE,"PL soc";"cinqexFRF",#N/A,FALSE,"5ex"}</definedName>
    <definedName name="wrn.etafifrffrf._4_1_1" hidden="1">{#N/A,"francaisfrf",FALSE,"UNITE";"ACTFRF",#N/A,FALSE,"ACTIF";"PASFRF",#N/A,FALSE,"PASSIF";"RESFRF",#N/A,FALSE,"RESULTATS";"FPFRF",#N/A,FALSE,"FP";"N03FRF",#N/A,FALSE,"NOTE03";"N04FRF",#N/A,FALSE,"NOTE04";"N05FRF",#N/A,FALSE,"NOTE05";"N06FRF",#N/A,FALSE,"NOTE06";"N07FRF",#N/A,FALSE,"NOTE07";"N08FRF",#N/A,FALSE,"NOTE08";"N09FRF",#N/A,FALSE,"NOTE09";"N10FRF",#N/A,FALSE,"NOTE10";"N11FRF",#N/A,FALSE,"NOTE11";"N12FRF",#N/A,FALSE,"NOTE12";"N13FRF",#N/A,FALSE,"NOTE13";"N14FRF",#N/A,FALSE,"NOTE14";"N15FRF",#N/A,FALSE,"NOTE15";"N16FRF",#N/A,FALSE,"NOTE16";"N17FRF",#N/A,FALSE,"NOTE17";"N18FRF",#N/A,FALSE,"NOTE18";"N19FRF",#N/A,FALSE,"NOTE19";"N20FRF",#N/A,FALSE,"NOTE20";"N21FRF",#N/A,FALSE,"NOTE21";"N22FRF",#N/A,FALSE,"NOTE22";"N23FRF",#N/A,FALSE,"NOTE23";"N24FRF",#N/A,FALSE,"NOTE24";"N25FRF",#N/A,FALSE,"NOTE25";"N26FRF",#N/A,FALSE,"NOTE26";"N27FRF",#N/A,FALSE,"NOTE27";"N28FRF",#N/A,FALSE,"NOTE28";"N29FRF",#N/A,FALSE,"NOTE29";"N30FRF",#N/A,FALSE,"NOTE30";"N31FRF",#N/A,FALSE,"NOTE31";"N32FRF",#N/A,FALSE,"NOTE32";"N33FRF",#N/A,FALSE,"NOTE33";"BILSOCFRF",#N/A,FALSE,"bilan soc";"RESSOCFRF",#N/A,FALSE,"PL soc";"cinqexFRF",#N/A,FALSE,"5ex"}</definedName>
    <definedName name="wrn.etafifrffrf._4_1_2" hidden="1">{#N/A,"francaisfrf",FALSE,"UNITE";"ACTFRF",#N/A,FALSE,"ACTIF";"PASFRF",#N/A,FALSE,"PASSIF";"RESFRF",#N/A,FALSE,"RESULTATS";"FPFRF",#N/A,FALSE,"FP";"N03FRF",#N/A,FALSE,"NOTE03";"N04FRF",#N/A,FALSE,"NOTE04";"N05FRF",#N/A,FALSE,"NOTE05";"N06FRF",#N/A,FALSE,"NOTE06";"N07FRF",#N/A,FALSE,"NOTE07";"N08FRF",#N/A,FALSE,"NOTE08";"N09FRF",#N/A,FALSE,"NOTE09";"N10FRF",#N/A,FALSE,"NOTE10";"N11FRF",#N/A,FALSE,"NOTE11";"N12FRF",#N/A,FALSE,"NOTE12";"N13FRF",#N/A,FALSE,"NOTE13";"N14FRF",#N/A,FALSE,"NOTE14";"N15FRF",#N/A,FALSE,"NOTE15";"N16FRF",#N/A,FALSE,"NOTE16";"N17FRF",#N/A,FALSE,"NOTE17";"N18FRF",#N/A,FALSE,"NOTE18";"N19FRF",#N/A,FALSE,"NOTE19";"N20FRF",#N/A,FALSE,"NOTE20";"N21FRF",#N/A,FALSE,"NOTE21";"N22FRF",#N/A,FALSE,"NOTE22";"N23FRF",#N/A,FALSE,"NOTE23";"N24FRF",#N/A,FALSE,"NOTE24";"N25FRF",#N/A,FALSE,"NOTE25";"N26FRF",#N/A,FALSE,"NOTE26";"N27FRF",#N/A,FALSE,"NOTE27";"N28FRF",#N/A,FALSE,"NOTE28";"N29FRF",#N/A,FALSE,"NOTE29";"N30FRF",#N/A,FALSE,"NOTE30";"N31FRF",#N/A,FALSE,"NOTE31";"N32FRF",#N/A,FALSE,"NOTE32";"N33FRF",#N/A,FALSE,"NOTE33";"BILSOCFRF",#N/A,FALSE,"bilan soc";"RESSOCFRF",#N/A,FALSE,"PL soc";"cinqexFRF",#N/A,FALSE,"5ex"}</definedName>
    <definedName name="wrn.etafifrffrf._4_2" localSheetId="12" hidden="1">{#N/A,"francaisfrf",FALSE,"UNITE";"ACTFRF",#N/A,FALSE,"ACTIF";"PASFRF",#N/A,FALSE,"PASSIF";"RESFRF",#N/A,FALSE,"RESULTATS";"FPFRF",#N/A,FALSE,"FP";"N03FRF",#N/A,FALSE,"NOTE03";"N04FRF",#N/A,FALSE,"NOTE04";"N05FRF",#N/A,FALSE,"NOTE05";"N06FRF",#N/A,FALSE,"NOTE06";"N07FRF",#N/A,FALSE,"NOTE07";"N08FRF",#N/A,FALSE,"NOTE08";"N09FRF",#N/A,FALSE,"NOTE09";"N10FRF",#N/A,FALSE,"NOTE10";"N11FRF",#N/A,FALSE,"NOTE11";"N12FRF",#N/A,FALSE,"NOTE12";"N13FRF",#N/A,FALSE,"NOTE13";"N14FRF",#N/A,FALSE,"NOTE14";"N15FRF",#N/A,FALSE,"NOTE15";"N16FRF",#N/A,FALSE,"NOTE16";"N17FRF",#N/A,FALSE,"NOTE17";"N18FRF",#N/A,FALSE,"NOTE18";"N19FRF",#N/A,FALSE,"NOTE19";"N20FRF",#N/A,FALSE,"NOTE20";"N21FRF",#N/A,FALSE,"NOTE21";"N22FRF",#N/A,FALSE,"NOTE22";"N23FRF",#N/A,FALSE,"NOTE23";"N24FRF",#N/A,FALSE,"NOTE24";"N25FRF",#N/A,FALSE,"NOTE25";"N26FRF",#N/A,FALSE,"NOTE26";"N27FRF",#N/A,FALSE,"NOTE27";"N28FRF",#N/A,FALSE,"NOTE28";"N29FRF",#N/A,FALSE,"NOTE29";"N30FRF",#N/A,FALSE,"NOTE30";"N31FRF",#N/A,FALSE,"NOTE31";"N32FRF",#N/A,FALSE,"NOTE32";"N33FRF",#N/A,FALSE,"NOTE33";"BILSOCFRF",#N/A,FALSE,"bilan soc";"RESSOCFRF",#N/A,FALSE,"PL soc";"cinqexFRF",#N/A,FALSE,"5ex"}</definedName>
    <definedName name="wrn.etafifrffrf._4_2" hidden="1">{#N/A,"francaisfrf",FALSE,"UNITE";"ACTFRF",#N/A,FALSE,"ACTIF";"PASFRF",#N/A,FALSE,"PASSIF";"RESFRF",#N/A,FALSE,"RESULTATS";"FPFRF",#N/A,FALSE,"FP";"N03FRF",#N/A,FALSE,"NOTE03";"N04FRF",#N/A,FALSE,"NOTE04";"N05FRF",#N/A,FALSE,"NOTE05";"N06FRF",#N/A,FALSE,"NOTE06";"N07FRF",#N/A,FALSE,"NOTE07";"N08FRF",#N/A,FALSE,"NOTE08";"N09FRF",#N/A,FALSE,"NOTE09";"N10FRF",#N/A,FALSE,"NOTE10";"N11FRF",#N/A,FALSE,"NOTE11";"N12FRF",#N/A,FALSE,"NOTE12";"N13FRF",#N/A,FALSE,"NOTE13";"N14FRF",#N/A,FALSE,"NOTE14";"N15FRF",#N/A,FALSE,"NOTE15";"N16FRF",#N/A,FALSE,"NOTE16";"N17FRF",#N/A,FALSE,"NOTE17";"N18FRF",#N/A,FALSE,"NOTE18";"N19FRF",#N/A,FALSE,"NOTE19";"N20FRF",#N/A,FALSE,"NOTE20";"N21FRF",#N/A,FALSE,"NOTE21";"N22FRF",#N/A,FALSE,"NOTE22";"N23FRF",#N/A,FALSE,"NOTE23";"N24FRF",#N/A,FALSE,"NOTE24";"N25FRF",#N/A,FALSE,"NOTE25";"N26FRF",#N/A,FALSE,"NOTE26";"N27FRF",#N/A,FALSE,"NOTE27";"N28FRF",#N/A,FALSE,"NOTE28";"N29FRF",#N/A,FALSE,"NOTE29";"N30FRF",#N/A,FALSE,"NOTE30";"N31FRF",#N/A,FALSE,"NOTE31";"N32FRF",#N/A,FALSE,"NOTE32";"N33FRF",#N/A,FALSE,"NOTE33";"BILSOCFRF",#N/A,FALSE,"bilan soc";"RESSOCFRF",#N/A,FALSE,"PL soc";"cinqexFRF",#N/A,FALSE,"5ex"}</definedName>
    <definedName name="wrn.etafifrffrf._4_3" localSheetId="12" hidden="1">{#N/A,"francaisfrf",FALSE,"UNITE";"ACTFRF",#N/A,FALSE,"ACTIF";"PASFRF",#N/A,FALSE,"PASSIF";"RESFRF",#N/A,FALSE,"RESULTATS";"FPFRF",#N/A,FALSE,"FP";"N03FRF",#N/A,FALSE,"NOTE03";"N04FRF",#N/A,FALSE,"NOTE04";"N05FRF",#N/A,FALSE,"NOTE05";"N06FRF",#N/A,FALSE,"NOTE06";"N07FRF",#N/A,FALSE,"NOTE07";"N08FRF",#N/A,FALSE,"NOTE08";"N09FRF",#N/A,FALSE,"NOTE09";"N10FRF",#N/A,FALSE,"NOTE10";"N11FRF",#N/A,FALSE,"NOTE11";"N12FRF",#N/A,FALSE,"NOTE12";"N13FRF",#N/A,FALSE,"NOTE13";"N14FRF",#N/A,FALSE,"NOTE14";"N15FRF",#N/A,FALSE,"NOTE15";"N16FRF",#N/A,FALSE,"NOTE16";"N17FRF",#N/A,FALSE,"NOTE17";"N18FRF",#N/A,FALSE,"NOTE18";"N19FRF",#N/A,FALSE,"NOTE19";"N20FRF",#N/A,FALSE,"NOTE20";"N21FRF",#N/A,FALSE,"NOTE21";"N22FRF",#N/A,FALSE,"NOTE22";"N23FRF",#N/A,FALSE,"NOTE23";"N24FRF",#N/A,FALSE,"NOTE24";"N25FRF",#N/A,FALSE,"NOTE25";"N26FRF",#N/A,FALSE,"NOTE26";"N27FRF",#N/A,FALSE,"NOTE27";"N28FRF",#N/A,FALSE,"NOTE28";"N29FRF",#N/A,FALSE,"NOTE29";"N30FRF",#N/A,FALSE,"NOTE30";"N31FRF",#N/A,FALSE,"NOTE31";"N32FRF",#N/A,FALSE,"NOTE32";"N33FRF",#N/A,FALSE,"NOTE33";"BILSOCFRF",#N/A,FALSE,"bilan soc";"RESSOCFRF",#N/A,FALSE,"PL soc";"cinqexFRF",#N/A,FALSE,"5ex"}</definedName>
    <definedName name="wrn.etafifrffrf._4_3" hidden="1">{#N/A,"francaisfrf",FALSE,"UNITE";"ACTFRF",#N/A,FALSE,"ACTIF";"PASFRF",#N/A,FALSE,"PASSIF";"RESFRF",#N/A,FALSE,"RESULTATS";"FPFRF",#N/A,FALSE,"FP";"N03FRF",#N/A,FALSE,"NOTE03";"N04FRF",#N/A,FALSE,"NOTE04";"N05FRF",#N/A,FALSE,"NOTE05";"N06FRF",#N/A,FALSE,"NOTE06";"N07FRF",#N/A,FALSE,"NOTE07";"N08FRF",#N/A,FALSE,"NOTE08";"N09FRF",#N/A,FALSE,"NOTE09";"N10FRF",#N/A,FALSE,"NOTE10";"N11FRF",#N/A,FALSE,"NOTE11";"N12FRF",#N/A,FALSE,"NOTE12";"N13FRF",#N/A,FALSE,"NOTE13";"N14FRF",#N/A,FALSE,"NOTE14";"N15FRF",#N/A,FALSE,"NOTE15";"N16FRF",#N/A,FALSE,"NOTE16";"N17FRF",#N/A,FALSE,"NOTE17";"N18FRF",#N/A,FALSE,"NOTE18";"N19FRF",#N/A,FALSE,"NOTE19";"N20FRF",#N/A,FALSE,"NOTE20";"N21FRF",#N/A,FALSE,"NOTE21";"N22FRF",#N/A,FALSE,"NOTE22";"N23FRF",#N/A,FALSE,"NOTE23";"N24FRF",#N/A,FALSE,"NOTE24";"N25FRF",#N/A,FALSE,"NOTE25";"N26FRF",#N/A,FALSE,"NOTE26";"N27FRF",#N/A,FALSE,"NOTE27";"N28FRF",#N/A,FALSE,"NOTE28";"N29FRF",#N/A,FALSE,"NOTE29";"N30FRF",#N/A,FALSE,"NOTE30";"N31FRF",#N/A,FALSE,"NOTE31";"N32FRF",#N/A,FALSE,"NOTE32";"N33FRF",#N/A,FALSE,"NOTE33";"BILSOCFRF",#N/A,FALSE,"bilan soc";"RESSOCFRF",#N/A,FALSE,"PL soc";"cinqexFRF",#N/A,FALSE,"5ex"}</definedName>
    <definedName name="wrn.etafifrffrf._5" localSheetId="9" hidden="1">{#N/A,"francaisfrf",FALSE,"UNITE";"ACTFRF",#N/A,FALSE,"ACTIF";"PASFRF",#N/A,FALSE,"PASSIF";"RESFRF",#N/A,FALSE,"RESULTATS";"FPFRF",#N/A,FALSE,"FP";"N03FRF",#N/A,FALSE,"NOTE03";"N04FRF",#N/A,FALSE,"NOTE04";"N05FRF",#N/A,FALSE,"NOTE05";"N06FRF",#N/A,FALSE,"NOTE06";"N07FRF",#N/A,FALSE,"NOTE07";"N08FRF",#N/A,FALSE,"NOTE08";"N09FRF",#N/A,FALSE,"NOTE09";"N10FRF",#N/A,FALSE,"NOTE10";"N11FRF",#N/A,FALSE,"NOTE11";"N12FRF",#N/A,FALSE,"NOTE12";"N13FRF",#N/A,FALSE,"NOTE13";"N14FRF",#N/A,FALSE,"NOTE14";"N15FRF",#N/A,FALSE,"NOTE15";"N16FRF",#N/A,FALSE,"NOTE16";"N17FRF",#N/A,FALSE,"NOTE17";"N18FRF",#N/A,FALSE,"NOTE18";"N19FRF",#N/A,FALSE,"NOTE19";"N20FRF",#N/A,FALSE,"NOTE20";"N21FRF",#N/A,FALSE,"NOTE21";"N22FRF",#N/A,FALSE,"NOTE22";"N23FRF",#N/A,FALSE,"NOTE23";"N24FRF",#N/A,FALSE,"NOTE24";"N25FRF",#N/A,FALSE,"NOTE25";"N26FRF",#N/A,FALSE,"NOTE26";"N27FRF",#N/A,FALSE,"NOTE27";"N28FRF",#N/A,FALSE,"NOTE28";"N29FRF",#N/A,FALSE,"NOTE29";"N30FRF",#N/A,FALSE,"NOTE30";"N31FRF",#N/A,FALSE,"NOTE31";"N32FRF",#N/A,FALSE,"NOTE32";"N33FRF",#N/A,FALSE,"NOTE33";"BILSOCFRF",#N/A,FALSE,"bilan soc";"RESSOCFRF",#N/A,FALSE,"PL soc";"cinqexFRF",#N/A,FALSE,"5ex"}</definedName>
    <definedName name="wrn.etafifrffrf._5" localSheetId="12" hidden="1">{#N/A,"francaisfrf",FALSE,"UNITE";"ACTFRF",#N/A,FALSE,"ACTIF";"PASFRF",#N/A,FALSE,"PASSIF";"RESFRF",#N/A,FALSE,"RESULTATS";"FPFRF",#N/A,FALSE,"FP";"N03FRF",#N/A,FALSE,"NOTE03";"N04FRF",#N/A,FALSE,"NOTE04";"N05FRF",#N/A,FALSE,"NOTE05";"N06FRF",#N/A,FALSE,"NOTE06";"N07FRF",#N/A,FALSE,"NOTE07";"N08FRF",#N/A,FALSE,"NOTE08";"N09FRF",#N/A,FALSE,"NOTE09";"N10FRF",#N/A,FALSE,"NOTE10";"N11FRF",#N/A,FALSE,"NOTE11";"N12FRF",#N/A,FALSE,"NOTE12";"N13FRF",#N/A,FALSE,"NOTE13";"N14FRF",#N/A,FALSE,"NOTE14";"N15FRF",#N/A,FALSE,"NOTE15";"N16FRF",#N/A,FALSE,"NOTE16";"N17FRF",#N/A,FALSE,"NOTE17";"N18FRF",#N/A,FALSE,"NOTE18";"N19FRF",#N/A,FALSE,"NOTE19";"N20FRF",#N/A,FALSE,"NOTE20";"N21FRF",#N/A,FALSE,"NOTE21";"N22FRF",#N/A,FALSE,"NOTE22";"N23FRF",#N/A,FALSE,"NOTE23";"N24FRF",#N/A,FALSE,"NOTE24";"N25FRF",#N/A,FALSE,"NOTE25";"N26FRF",#N/A,FALSE,"NOTE26";"N27FRF",#N/A,FALSE,"NOTE27";"N28FRF",#N/A,FALSE,"NOTE28";"N29FRF",#N/A,FALSE,"NOTE29";"N30FRF",#N/A,FALSE,"NOTE30";"N31FRF",#N/A,FALSE,"NOTE31";"N32FRF",#N/A,FALSE,"NOTE32";"N33FRF",#N/A,FALSE,"NOTE33";"BILSOCFRF",#N/A,FALSE,"bilan soc";"RESSOCFRF",#N/A,FALSE,"PL soc";"cinqexFRF",#N/A,FALSE,"5ex"}</definedName>
    <definedName name="wrn.etafifrffrf._5" localSheetId="7" hidden="1">{#N/A,"francaisfrf",FALSE,"UNITE";"ACTFRF",#N/A,FALSE,"ACTIF";"PASFRF",#N/A,FALSE,"PASSIF";"RESFRF",#N/A,FALSE,"RESULTATS";"FPFRF",#N/A,FALSE,"FP";"N03FRF",#N/A,FALSE,"NOTE03";"N04FRF",#N/A,FALSE,"NOTE04";"N05FRF",#N/A,FALSE,"NOTE05";"N06FRF",#N/A,FALSE,"NOTE06";"N07FRF",#N/A,FALSE,"NOTE07";"N08FRF",#N/A,FALSE,"NOTE08";"N09FRF",#N/A,FALSE,"NOTE09";"N10FRF",#N/A,FALSE,"NOTE10";"N11FRF",#N/A,FALSE,"NOTE11";"N12FRF",#N/A,FALSE,"NOTE12";"N13FRF",#N/A,FALSE,"NOTE13";"N14FRF",#N/A,FALSE,"NOTE14";"N15FRF",#N/A,FALSE,"NOTE15";"N16FRF",#N/A,FALSE,"NOTE16";"N17FRF",#N/A,FALSE,"NOTE17";"N18FRF",#N/A,FALSE,"NOTE18";"N19FRF",#N/A,FALSE,"NOTE19";"N20FRF",#N/A,FALSE,"NOTE20";"N21FRF",#N/A,FALSE,"NOTE21";"N22FRF",#N/A,FALSE,"NOTE22";"N23FRF",#N/A,FALSE,"NOTE23";"N24FRF",#N/A,FALSE,"NOTE24";"N25FRF",#N/A,FALSE,"NOTE25";"N26FRF",#N/A,FALSE,"NOTE26";"N27FRF",#N/A,FALSE,"NOTE27";"N28FRF",#N/A,FALSE,"NOTE28";"N29FRF",#N/A,FALSE,"NOTE29";"N30FRF",#N/A,FALSE,"NOTE30";"N31FRF",#N/A,FALSE,"NOTE31";"N32FRF",#N/A,FALSE,"NOTE32";"N33FRF",#N/A,FALSE,"NOTE33";"BILSOCFRF",#N/A,FALSE,"bilan soc";"RESSOCFRF",#N/A,FALSE,"PL soc";"cinqexFRF",#N/A,FALSE,"5ex"}</definedName>
    <definedName name="wrn.etafifrffrf._5" localSheetId="8" hidden="1">{#N/A,"francaisfrf",FALSE,"UNITE";"ACTFRF",#N/A,FALSE,"ACTIF";"PASFRF",#N/A,FALSE,"PASSIF";"RESFRF",#N/A,FALSE,"RESULTATS";"FPFRF",#N/A,FALSE,"FP";"N03FRF",#N/A,FALSE,"NOTE03";"N04FRF",#N/A,FALSE,"NOTE04";"N05FRF",#N/A,FALSE,"NOTE05";"N06FRF",#N/A,FALSE,"NOTE06";"N07FRF",#N/A,FALSE,"NOTE07";"N08FRF",#N/A,FALSE,"NOTE08";"N09FRF",#N/A,FALSE,"NOTE09";"N10FRF",#N/A,FALSE,"NOTE10";"N11FRF",#N/A,FALSE,"NOTE11";"N12FRF",#N/A,FALSE,"NOTE12";"N13FRF",#N/A,FALSE,"NOTE13";"N14FRF",#N/A,FALSE,"NOTE14";"N15FRF",#N/A,FALSE,"NOTE15";"N16FRF",#N/A,FALSE,"NOTE16";"N17FRF",#N/A,FALSE,"NOTE17";"N18FRF",#N/A,FALSE,"NOTE18";"N19FRF",#N/A,FALSE,"NOTE19";"N20FRF",#N/A,FALSE,"NOTE20";"N21FRF",#N/A,FALSE,"NOTE21";"N22FRF",#N/A,FALSE,"NOTE22";"N23FRF",#N/A,FALSE,"NOTE23";"N24FRF",#N/A,FALSE,"NOTE24";"N25FRF",#N/A,FALSE,"NOTE25";"N26FRF",#N/A,FALSE,"NOTE26";"N27FRF",#N/A,FALSE,"NOTE27";"N28FRF",#N/A,FALSE,"NOTE28";"N29FRF",#N/A,FALSE,"NOTE29";"N30FRF",#N/A,FALSE,"NOTE30";"N31FRF",#N/A,FALSE,"NOTE31";"N32FRF",#N/A,FALSE,"NOTE32";"N33FRF",#N/A,FALSE,"NOTE33";"BILSOCFRF",#N/A,FALSE,"bilan soc";"RESSOCFRF",#N/A,FALSE,"PL soc";"cinqexFRF",#N/A,FALSE,"5ex"}</definedName>
    <definedName name="wrn.etafifrffrf._5" localSheetId="10" hidden="1">{#N/A,"francaisfrf",FALSE,"UNITE";"ACTFRF",#N/A,FALSE,"ACTIF";"PASFRF",#N/A,FALSE,"PASSIF";"RESFRF",#N/A,FALSE,"RESULTATS";"FPFRF",#N/A,FALSE,"FP";"N03FRF",#N/A,FALSE,"NOTE03";"N04FRF",#N/A,FALSE,"NOTE04";"N05FRF",#N/A,FALSE,"NOTE05";"N06FRF",#N/A,FALSE,"NOTE06";"N07FRF",#N/A,FALSE,"NOTE07";"N08FRF",#N/A,FALSE,"NOTE08";"N09FRF",#N/A,FALSE,"NOTE09";"N10FRF",#N/A,FALSE,"NOTE10";"N11FRF",#N/A,FALSE,"NOTE11";"N12FRF",#N/A,FALSE,"NOTE12";"N13FRF",#N/A,FALSE,"NOTE13";"N14FRF",#N/A,FALSE,"NOTE14";"N15FRF",#N/A,FALSE,"NOTE15";"N16FRF",#N/A,FALSE,"NOTE16";"N17FRF",#N/A,FALSE,"NOTE17";"N18FRF",#N/A,FALSE,"NOTE18";"N19FRF",#N/A,FALSE,"NOTE19";"N20FRF",#N/A,FALSE,"NOTE20";"N21FRF",#N/A,FALSE,"NOTE21";"N22FRF",#N/A,FALSE,"NOTE22";"N23FRF",#N/A,FALSE,"NOTE23";"N24FRF",#N/A,FALSE,"NOTE24";"N25FRF",#N/A,FALSE,"NOTE25";"N26FRF",#N/A,FALSE,"NOTE26";"N27FRF",#N/A,FALSE,"NOTE27";"N28FRF",#N/A,FALSE,"NOTE28";"N29FRF",#N/A,FALSE,"NOTE29";"N30FRF",#N/A,FALSE,"NOTE30";"N31FRF",#N/A,FALSE,"NOTE31";"N32FRF",#N/A,FALSE,"NOTE32";"N33FRF",#N/A,FALSE,"NOTE33";"BILSOCFRF",#N/A,FALSE,"bilan soc";"RESSOCFRF",#N/A,FALSE,"PL soc";"cinqexFRF",#N/A,FALSE,"5ex"}</definedName>
    <definedName name="wrn.etafifrffrf._5" hidden="1">{#N/A,"francaisfrf",FALSE,"UNITE";"ACTFRF",#N/A,FALSE,"ACTIF";"PASFRF",#N/A,FALSE,"PASSIF";"RESFRF",#N/A,FALSE,"RESULTATS";"FPFRF",#N/A,FALSE,"FP";"N03FRF",#N/A,FALSE,"NOTE03";"N04FRF",#N/A,FALSE,"NOTE04";"N05FRF",#N/A,FALSE,"NOTE05";"N06FRF",#N/A,FALSE,"NOTE06";"N07FRF",#N/A,FALSE,"NOTE07";"N08FRF",#N/A,FALSE,"NOTE08";"N09FRF",#N/A,FALSE,"NOTE09";"N10FRF",#N/A,FALSE,"NOTE10";"N11FRF",#N/A,FALSE,"NOTE11";"N12FRF",#N/A,FALSE,"NOTE12";"N13FRF",#N/A,FALSE,"NOTE13";"N14FRF",#N/A,FALSE,"NOTE14";"N15FRF",#N/A,FALSE,"NOTE15";"N16FRF",#N/A,FALSE,"NOTE16";"N17FRF",#N/A,FALSE,"NOTE17";"N18FRF",#N/A,FALSE,"NOTE18";"N19FRF",#N/A,FALSE,"NOTE19";"N20FRF",#N/A,FALSE,"NOTE20";"N21FRF",#N/A,FALSE,"NOTE21";"N22FRF",#N/A,FALSE,"NOTE22";"N23FRF",#N/A,FALSE,"NOTE23";"N24FRF",#N/A,FALSE,"NOTE24";"N25FRF",#N/A,FALSE,"NOTE25";"N26FRF",#N/A,FALSE,"NOTE26";"N27FRF",#N/A,FALSE,"NOTE27";"N28FRF",#N/A,FALSE,"NOTE28";"N29FRF",#N/A,FALSE,"NOTE29";"N30FRF",#N/A,FALSE,"NOTE30";"N31FRF",#N/A,FALSE,"NOTE31";"N32FRF",#N/A,FALSE,"NOTE32";"N33FRF",#N/A,FALSE,"NOTE33";"BILSOCFRF",#N/A,FALSE,"bilan soc";"RESSOCFRF",#N/A,FALSE,"PL soc";"cinqexFRF",#N/A,FALSE,"5ex"}</definedName>
    <definedName name="wrn.etafifrffrf._5_1" localSheetId="9" hidden="1">{#N/A,"francaisfrf",FALSE,"UNITE";"ACTFRF",#N/A,FALSE,"ACTIF";"PASFRF",#N/A,FALSE,"PASSIF";"RESFRF",#N/A,FALSE,"RESULTATS";"FPFRF",#N/A,FALSE,"FP";"N03FRF",#N/A,FALSE,"NOTE03";"N04FRF",#N/A,FALSE,"NOTE04";"N05FRF",#N/A,FALSE,"NOTE05";"N06FRF",#N/A,FALSE,"NOTE06";"N07FRF",#N/A,FALSE,"NOTE07";"N08FRF",#N/A,FALSE,"NOTE08";"N09FRF",#N/A,FALSE,"NOTE09";"N10FRF",#N/A,FALSE,"NOTE10";"N11FRF",#N/A,FALSE,"NOTE11";"N12FRF",#N/A,FALSE,"NOTE12";"N13FRF",#N/A,FALSE,"NOTE13";"N14FRF",#N/A,FALSE,"NOTE14";"N15FRF",#N/A,FALSE,"NOTE15";"N16FRF",#N/A,FALSE,"NOTE16";"N17FRF",#N/A,FALSE,"NOTE17";"N18FRF",#N/A,FALSE,"NOTE18";"N19FRF",#N/A,FALSE,"NOTE19";"N20FRF",#N/A,FALSE,"NOTE20";"N21FRF",#N/A,FALSE,"NOTE21";"N22FRF",#N/A,FALSE,"NOTE22";"N23FRF",#N/A,FALSE,"NOTE23";"N24FRF",#N/A,FALSE,"NOTE24";"N25FRF",#N/A,FALSE,"NOTE25";"N26FRF",#N/A,FALSE,"NOTE26";"N27FRF",#N/A,FALSE,"NOTE27";"N28FRF",#N/A,FALSE,"NOTE28";"N29FRF",#N/A,FALSE,"NOTE29";"N30FRF",#N/A,FALSE,"NOTE30";"N31FRF",#N/A,FALSE,"NOTE31";"N32FRF",#N/A,FALSE,"NOTE32";"N33FRF",#N/A,FALSE,"NOTE33";"BILSOCFRF",#N/A,FALSE,"bilan soc";"RESSOCFRF",#N/A,FALSE,"PL soc";"cinqexFRF",#N/A,FALSE,"5ex"}</definedName>
    <definedName name="wrn.etafifrffrf._5_1" localSheetId="12" hidden="1">{#N/A,"francaisfrf",FALSE,"UNITE";"ACTFRF",#N/A,FALSE,"ACTIF";"PASFRF",#N/A,FALSE,"PASSIF";"RESFRF",#N/A,FALSE,"RESULTATS";"FPFRF",#N/A,FALSE,"FP";"N03FRF",#N/A,FALSE,"NOTE03";"N04FRF",#N/A,FALSE,"NOTE04";"N05FRF",#N/A,FALSE,"NOTE05";"N06FRF",#N/A,FALSE,"NOTE06";"N07FRF",#N/A,FALSE,"NOTE07";"N08FRF",#N/A,FALSE,"NOTE08";"N09FRF",#N/A,FALSE,"NOTE09";"N10FRF",#N/A,FALSE,"NOTE10";"N11FRF",#N/A,FALSE,"NOTE11";"N12FRF",#N/A,FALSE,"NOTE12";"N13FRF",#N/A,FALSE,"NOTE13";"N14FRF",#N/A,FALSE,"NOTE14";"N15FRF",#N/A,FALSE,"NOTE15";"N16FRF",#N/A,FALSE,"NOTE16";"N17FRF",#N/A,FALSE,"NOTE17";"N18FRF",#N/A,FALSE,"NOTE18";"N19FRF",#N/A,FALSE,"NOTE19";"N20FRF",#N/A,FALSE,"NOTE20";"N21FRF",#N/A,FALSE,"NOTE21";"N22FRF",#N/A,FALSE,"NOTE22";"N23FRF",#N/A,FALSE,"NOTE23";"N24FRF",#N/A,FALSE,"NOTE24";"N25FRF",#N/A,FALSE,"NOTE25";"N26FRF",#N/A,FALSE,"NOTE26";"N27FRF",#N/A,FALSE,"NOTE27";"N28FRF",#N/A,FALSE,"NOTE28";"N29FRF",#N/A,FALSE,"NOTE29";"N30FRF",#N/A,FALSE,"NOTE30";"N31FRF",#N/A,FALSE,"NOTE31";"N32FRF",#N/A,FALSE,"NOTE32";"N33FRF",#N/A,FALSE,"NOTE33";"BILSOCFRF",#N/A,FALSE,"bilan soc";"RESSOCFRF",#N/A,FALSE,"PL soc";"cinqexFRF",#N/A,FALSE,"5ex"}</definedName>
    <definedName name="wrn.etafifrffrf._5_1" localSheetId="7" hidden="1">{#N/A,"francaisfrf",FALSE,"UNITE";"ACTFRF",#N/A,FALSE,"ACTIF";"PASFRF",#N/A,FALSE,"PASSIF";"RESFRF",#N/A,FALSE,"RESULTATS";"FPFRF",#N/A,FALSE,"FP";"N03FRF",#N/A,FALSE,"NOTE03";"N04FRF",#N/A,FALSE,"NOTE04";"N05FRF",#N/A,FALSE,"NOTE05";"N06FRF",#N/A,FALSE,"NOTE06";"N07FRF",#N/A,FALSE,"NOTE07";"N08FRF",#N/A,FALSE,"NOTE08";"N09FRF",#N/A,FALSE,"NOTE09";"N10FRF",#N/A,FALSE,"NOTE10";"N11FRF",#N/A,FALSE,"NOTE11";"N12FRF",#N/A,FALSE,"NOTE12";"N13FRF",#N/A,FALSE,"NOTE13";"N14FRF",#N/A,FALSE,"NOTE14";"N15FRF",#N/A,FALSE,"NOTE15";"N16FRF",#N/A,FALSE,"NOTE16";"N17FRF",#N/A,FALSE,"NOTE17";"N18FRF",#N/A,FALSE,"NOTE18";"N19FRF",#N/A,FALSE,"NOTE19";"N20FRF",#N/A,FALSE,"NOTE20";"N21FRF",#N/A,FALSE,"NOTE21";"N22FRF",#N/A,FALSE,"NOTE22";"N23FRF",#N/A,FALSE,"NOTE23";"N24FRF",#N/A,FALSE,"NOTE24";"N25FRF",#N/A,FALSE,"NOTE25";"N26FRF",#N/A,FALSE,"NOTE26";"N27FRF",#N/A,FALSE,"NOTE27";"N28FRF",#N/A,FALSE,"NOTE28";"N29FRF",#N/A,FALSE,"NOTE29";"N30FRF",#N/A,FALSE,"NOTE30";"N31FRF",#N/A,FALSE,"NOTE31";"N32FRF",#N/A,FALSE,"NOTE32";"N33FRF",#N/A,FALSE,"NOTE33";"BILSOCFRF",#N/A,FALSE,"bilan soc";"RESSOCFRF",#N/A,FALSE,"PL soc";"cinqexFRF",#N/A,FALSE,"5ex"}</definedName>
    <definedName name="wrn.etafifrffrf._5_1" localSheetId="8" hidden="1">{#N/A,"francaisfrf",FALSE,"UNITE";"ACTFRF",#N/A,FALSE,"ACTIF";"PASFRF",#N/A,FALSE,"PASSIF";"RESFRF",#N/A,FALSE,"RESULTATS";"FPFRF",#N/A,FALSE,"FP";"N03FRF",#N/A,FALSE,"NOTE03";"N04FRF",#N/A,FALSE,"NOTE04";"N05FRF",#N/A,FALSE,"NOTE05";"N06FRF",#N/A,FALSE,"NOTE06";"N07FRF",#N/A,FALSE,"NOTE07";"N08FRF",#N/A,FALSE,"NOTE08";"N09FRF",#N/A,FALSE,"NOTE09";"N10FRF",#N/A,FALSE,"NOTE10";"N11FRF",#N/A,FALSE,"NOTE11";"N12FRF",#N/A,FALSE,"NOTE12";"N13FRF",#N/A,FALSE,"NOTE13";"N14FRF",#N/A,FALSE,"NOTE14";"N15FRF",#N/A,FALSE,"NOTE15";"N16FRF",#N/A,FALSE,"NOTE16";"N17FRF",#N/A,FALSE,"NOTE17";"N18FRF",#N/A,FALSE,"NOTE18";"N19FRF",#N/A,FALSE,"NOTE19";"N20FRF",#N/A,FALSE,"NOTE20";"N21FRF",#N/A,FALSE,"NOTE21";"N22FRF",#N/A,FALSE,"NOTE22";"N23FRF",#N/A,FALSE,"NOTE23";"N24FRF",#N/A,FALSE,"NOTE24";"N25FRF",#N/A,FALSE,"NOTE25";"N26FRF",#N/A,FALSE,"NOTE26";"N27FRF",#N/A,FALSE,"NOTE27";"N28FRF",#N/A,FALSE,"NOTE28";"N29FRF",#N/A,FALSE,"NOTE29";"N30FRF",#N/A,FALSE,"NOTE30";"N31FRF",#N/A,FALSE,"NOTE31";"N32FRF",#N/A,FALSE,"NOTE32";"N33FRF",#N/A,FALSE,"NOTE33";"BILSOCFRF",#N/A,FALSE,"bilan soc";"RESSOCFRF",#N/A,FALSE,"PL soc";"cinqexFRF",#N/A,FALSE,"5ex"}</definedName>
    <definedName name="wrn.etafifrffrf._5_1" localSheetId="10" hidden="1">{#N/A,"francaisfrf",FALSE,"UNITE";"ACTFRF",#N/A,FALSE,"ACTIF";"PASFRF",#N/A,FALSE,"PASSIF";"RESFRF",#N/A,FALSE,"RESULTATS";"FPFRF",#N/A,FALSE,"FP";"N03FRF",#N/A,FALSE,"NOTE03";"N04FRF",#N/A,FALSE,"NOTE04";"N05FRF",#N/A,FALSE,"NOTE05";"N06FRF",#N/A,FALSE,"NOTE06";"N07FRF",#N/A,FALSE,"NOTE07";"N08FRF",#N/A,FALSE,"NOTE08";"N09FRF",#N/A,FALSE,"NOTE09";"N10FRF",#N/A,FALSE,"NOTE10";"N11FRF",#N/A,FALSE,"NOTE11";"N12FRF",#N/A,FALSE,"NOTE12";"N13FRF",#N/A,FALSE,"NOTE13";"N14FRF",#N/A,FALSE,"NOTE14";"N15FRF",#N/A,FALSE,"NOTE15";"N16FRF",#N/A,FALSE,"NOTE16";"N17FRF",#N/A,FALSE,"NOTE17";"N18FRF",#N/A,FALSE,"NOTE18";"N19FRF",#N/A,FALSE,"NOTE19";"N20FRF",#N/A,FALSE,"NOTE20";"N21FRF",#N/A,FALSE,"NOTE21";"N22FRF",#N/A,FALSE,"NOTE22";"N23FRF",#N/A,FALSE,"NOTE23";"N24FRF",#N/A,FALSE,"NOTE24";"N25FRF",#N/A,FALSE,"NOTE25";"N26FRF",#N/A,FALSE,"NOTE26";"N27FRF",#N/A,FALSE,"NOTE27";"N28FRF",#N/A,FALSE,"NOTE28";"N29FRF",#N/A,FALSE,"NOTE29";"N30FRF",#N/A,FALSE,"NOTE30";"N31FRF",#N/A,FALSE,"NOTE31";"N32FRF",#N/A,FALSE,"NOTE32";"N33FRF",#N/A,FALSE,"NOTE33";"BILSOCFRF",#N/A,FALSE,"bilan soc";"RESSOCFRF",#N/A,FALSE,"PL soc";"cinqexFRF",#N/A,FALSE,"5ex"}</definedName>
    <definedName name="wrn.etafifrffrf._5_1" hidden="1">{#N/A,"francaisfrf",FALSE,"UNITE";"ACTFRF",#N/A,FALSE,"ACTIF";"PASFRF",#N/A,FALSE,"PASSIF";"RESFRF",#N/A,FALSE,"RESULTATS";"FPFRF",#N/A,FALSE,"FP";"N03FRF",#N/A,FALSE,"NOTE03";"N04FRF",#N/A,FALSE,"NOTE04";"N05FRF",#N/A,FALSE,"NOTE05";"N06FRF",#N/A,FALSE,"NOTE06";"N07FRF",#N/A,FALSE,"NOTE07";"N08FRF",#N/A,FALSE,"NOTE08";"N09FRF",#N/A,FALSE,"NOTE09";"N10FRF",#N/A,FALSE,"NOTE10";"N11FRF",#N/A,FALSE,"NOTE11";"N12FRF",#N/A,FALSE,"NOTE12";"N13FRF",#N/A,FALSE,"NOTE13";"N14FRF",#N/A,FALSE,"NOTE14";"N15FRF",#N/A,FALSE,"NOTE15";"N16FRF",#N/A,FALSE,"NOTE16";"N17FRF",#N/A,FALSE,"NOTE17";"N18FRF",#N/A,FALSE,"NOTE18";"N19FRF",#N/A,FALSE,"NOTE19";"N20FRF",#N/A,FALSE,"NOTE20";"N21FRF",#N/A,FALSE,"NOTE21";"N22FRF",#N/A,FALSE,"NOTE22";"N23FRF",#N/A,FALSE,"NOTE23";"N24FRF",#N/A,FALSE,"NOTE24";"N25FRF",#N/A,FALSE,"NOTE25";"N26FRF",#N/A,FALSE,"NOTE26";"N27FRF",#N/A,FALSE,"NOTE27";"N28FRF",#N/A,FALSE,"NOTE28";"N29FRF",#N/A,FALSE,"NOTE29";"N30FRF",#N/A,FALSE,"NOTE30";"N31FRF",#N/A,FALSE,"NOTE31";"N32FRF",#N/A,FALSE,"NOTE32";"N33FRF",#N/A,FALSE,"NOTE33";"BILSOCFRF",#N/A,FALSE,"bilan soc";"RESSOCFRF",#N/A,FALSE,"PL soc";"cinqexFRF",#N/A,FALSE,"5ex"}</definedName>
    <definedName name="wrn.etafifrffrf._5_1_1" localSheetId="12" hidden="1">{#N/A,"francaisfrf",FALSE,"UNITE";"ACTFRF",#N/A,FALSE,"ACTIF";"PASFRF",#N/A,FALSE,"PASSIF";"RESFRF",#N/A,FALSE,"RESULTATS";"FPFRF",#N/A,FALSE,"FP";"N03FRF",#N/A,FALSE,"NOTE03";"N04FRF",#N/A,FALSE,"NOTE04";"N05FRF",#N/A,FALSE,"NOTE05";"N06FRF",#N/A,FALSE,"NOTE06";"N07FRF",#N/A,FALSE,"NOTE07";"N08FRF",#N/A,FALSE,"NOTE08";"N09FRF",#N/A,FALSE,"NOTE09";"N10FRF",#N/A,FALSE,"NOTE10";"N11FRF",#N/A,FALSE,"NOTE11";"N12FRF",#N/A,FALSE,"NOTE12";"N13FRF",#N/A,FALSE,"NOTE13";"N14FRF",#N/A,FALSE,"NOTE14";"N15FRF",#N/A,FALSE,"NOTE15";"N16FRF",#N/A,FALSE,"NOTE16";"N17FRF",#N/A,FALSE,"NOTE17";"N18FRF",#N/A,FALSE,"NOTE18";"N19FRF",#N/A,FALSE,"NOTE19";"N20FRF",#N/A,FALSE,"NOTE20";"N21FRF",#N/A,FALSE,"NOTE21";"N22FRF",#N/A,FALSE,"NOTE22";"N23FRF",#N/A,FALSE,"NOTE23";"N24FRF",#N/A,FALSE,"NOTE24";"N25FRF",#N/A,FALSE,"NOTE25";"N26FRF",#N/A,FALSE,"NOTE26";"N27FRF",#N/A,FALSE,"NOTE27";"N28FRF",#N/A,FALSE,"NOTE28";"N29FRF",#N/A,FALSE,"NOTE29";"N30FRF",#N/A,FALSE,"NOTE30";"N31FRF",#N/A,FALSE,"NOTE31";"N32FRF",#N/A,FALSE,"NOTE32";"N33FRF",#N/A,FALSE,"NOTE33";"BILSOCFRF",#N/A,FALSE,"bilan soc";"RESSOCFRF",#N/A,FALSE,"PL soc";"cinqexFRF",#N/A,FALSE,"5ex"}</definedName>
    <definedName name="wrn.etafifrffrf._5_1_1" hidden="1">{#N/A,"francaisfrf",FALSE,"UNITE";"ACTFRF",#N/A,FALSE,"ACTIF";"PASFRF",#N/A,FALSE,"PASSIF";"RESFRF",#N/A,FALSE,"RESULTATS";"FPFRF",#N/A,FALSE,"FP";"N03FRF",#N/A,FALSE,"NOTE03";"N04FRF",#N/A,FALSE,"NOTE04";"N05FRF",#N/A,FALSE,"NOTE05";"N06FRF",#N/A,FALSE,"NOTE06";"N07FRF",#N/A,FALSE,"NOTE07";"N08FRF",#N/A,FALSE,"NOTE08";"N09FRF",#N/A,FALSE,"NOTE09";"N10FRF",#N/A,FALSE,"NOTE10";"N11FRF",#N/A,FALSE,"NOTE11";"N12FRF",#N/A,FALSE,"NOTE12";"N13FRF",#N/A,FALSE,"NOTE13";"N14FRF",#N/A,FALSE,"NOTE14";"N15FRF",#N/A,FALSE,"NOTE15";"N16FRF",#N/A,FALSE,"NOTE16";"N17FRF",#N/A,FALSE,"NOTE17";"N18FRF",#N/A,FALSE,"NOTE18";"N19FRF",#N/A,FALSE,"NOTE19";"N20FRF",#N/A,FALSE,"NOTE20";"N21FRF",#N/A,FALSE,"NOTE21";"N22FRF",#N/A,FALSE,"NOTE22";"N23FRF",#N/A,FALSE,"NOTE23";"N24FRF",#N/A,FALSE,"NOTE24";"N25FRF",#N/A,FALSE,"NOTE25";"N26FRF",#N/A,FALSE,"NOTE26";"N27FRF",#N/A,FALSE,"NOTE27";"N28FRF",#N/A,FALSE,"NOTE28";"N29FRF",#N/A,FALSE,"NOTE29";"N30FRF",#N/A,FALSE,"NOTE30";"N31FRF",#N/A,FALSE,"NOTE31";"N32FRF",#N/A,FALSE,"NOTE32";"N33FRF",#N/A,FALSE,"NOTE33";"BILSOCFRF",#N/A,FALSE,"bilan soc";"RESSOCFRF",#N/A,FALSE,"PL soc";"cinqexFRF",#N/A,FALSE,"5ex"}</definedName>
    <definedName name="wrn.etafifrffrf._5_1_2" hidden="1">{#N/A,"francaisfrf",FALSE,"UNITE";"ACTFRF",#N/A,FALSE,"ACTIF";"PASFRF",#N/A,FALSE,"PASSIF";"RESFRF",#N/A,FALSE,"RESULTATS";"FPFRF",#N/A,FALSE,"FP";"N03FRF",#N/A,FALSE,"NOTE03";"N04FRF",#N/A,FALSE,"NOTE04";"N05FRF",#N/A,FALSE,"NOTE05";"N06FRF",#N/A,FALSE,"NOTE06";"N07FRF",#N/A,FALSE,"NOTE07";"N08FRF",#N/A,FALSE,"NOTE08";"N09FRF",#N/A,FALSE,"NOTE09";"N10FRF",#N/A,FALSE,"NOTE10";"N11FRF",#N/A,FALSE,"NOTE11";"N12FRF",#N/A,FALSE,"NOTE12";"N13FRF",#N/A,FALSE,"NOTE13";"N14FRF",#N/A,FALSE,"NOTE14";"N15FRF",#N/A,FALSE,"NOTE15";"N16FRF",#N/A,FALSE,"NOTE16";"N17FRF",#N/A,FALSE,"NOTE17";"N18FRF",#N/A,FALSE,"NOTE18";"N19FRF",#N/A,FALSE,"NOTE19";"N20FRF",#N/A,FALSE,"NOTE20";"N21FRF",#N/A,FALSE,"NOTE21";"N22FRF",#N/A,FALSE,"NOTE22";"N23FRF",#N/A,FALSE,"NOTE23";"N24FRF",#N/A,FALSE,"NOTE24";"N25FRF",#N/A,FALSE,"NOTE25";"N26FRF",#N/A,FALSE,"NOTE26";"N27FRF",#N/A,FALSE,"NOTE27";"N28FRF",#N/A,FALSE,"NOTE28";"N29FRF",#N/A,FALSE,"NOTE29";"N30FRF",#N/A,FALSE,"NOTE30";"N31FRF",#N/A,FALSE,"NOTE31";"N32FRF",#N/A,FALSE,"NOTE32";"N33FRF",#N/A,FALSE,"NOTE33";"BILSOCFRF",#N/A,FALSE,"bilan soc";"RESSOCFRF",#N/A,FALSE,"PL soc";"cinqexFRF",#N/A,FALSE,"5ex"}</definedName>
    <definedName name="wrn.etafifrffrf._5_2" localSheetId="12" hidden="1">{#N/A,"francaisfrf",FALSE,"UNITE";"ACTFRF",#N/A,FALSE,"ACTIF";"PASFRF",#N/A,FALSE,"PASSIF";"RESFRF",#N/A,FALSE,"RESULTATS";"FPFRF",#N/A,FALSE,"FP";"N03FRF",#N/A,FALSE,"NOTE03";"N04FRF",#N/A,FALSE,"NOTE04";"N05FRF",#N/A,FALSE,"NOTE05";"N06FRF",#N/A,FALSE,"NOTE06";"N07FRF",#N/A,FALSE,"NOTE07";"N08FRF",#N/A,FALSE,"NOTE08";"N09FRF",#N/A,FALSE,"NOTE09";"N10FRF",#N/A,FALSE,"NOTE10";"N11FRF",#N/A,FALSE,"NOTE11";"N12FRF",#N/A,FALSE,"NOTE12";"N13FRF",#N/A,FALSE,"NOTE13";"N14FRF",#N/A,FALSE,"NOTE14";"N15FRF",#N/A,FALSE,"NOTE15";"N16FRF",#N/A,FALSE,"NOTE16";"N17FRF",#N/A,FALSE,"NOTE17";"N18FRF",#N/A,FALSE,"NOTE18";"N19FRF",#N/A,FALSE,"NOTE19";"N20FRF",#N/A,FALSE,"NOTE20";"N21FRF",#N/A,FALSE,"NOTE21";"N22FRF",#N/A,FALSE,"NOTE22";"N23FRF",#N/A,FALSE,"NOTE23";"N24FRF",#N/A,FALSE,"NOTE24";"N25FRF",#N/A,FALSE,"NOTE25";"N26FRF",#N/A,FALSE,"NOTE26";"N27FRF",#N/A,FALSE,"NOTE27";"N28FRF",#N/A,FALSE,"NOTE28";"N29FRF",#N/A,FALSE,"NOTE29";"N30FRF",#N/A,FALSE,"NOTE30";"N31FRF",#N/A,FALSE,"NOTE31";"N32FRF",#N/A,FALSE,"NOTE32";"N33FRF",#N/A,FALSE,"NOTE33";"BILSOCFRF",#N/A,FALSE,"bilan soc";"RESSOCFRF",#N/A,FALSE,"PL soc";"cinqexFRF",#N/A,FALSE,"5ex"}</definedName>
    <definedName name="wrn.etafifrffrf._5_2" hidden="1">{#N/A,"francaisfrf",FALSE,"UNITE";"ACTFRF",#N/A,FALSE,"ACTIF";"PASFRF",#N/A,FALSE,"PASSIF";"RESFRF",#N/A,FALSE,"RESULTATS";"FPFRF",#N/A,FALSE,"FP";"N03FRF",#N/A,FALSE,"NOTE03";"N04FRF",#N/A,FALSE,"NOTE04";"N05FRF",#N/A,FALSE,"NOTE05";"N06FRF",#N/A,FALSE,"NOTE06";"N07FRF",#N/A,FALSE,"NOTE07";"N08FRF",#N/A,FALSE,"NOTE08";"N09FRF",#N/A,FALSE,"NOTE09";"N10FRF",#N/A,FALSE,"NOTE10";"N11FRF",#N/A,FALSE,"NOTE11";"N12FRF",#N/A,FALSE,"NOTE12";"N13FRF",#N/A,FALSE,"NOTE13";"N14FRF",#N/A,FALSE,"NOTE14";"N15FRF",#N/A,FALSE,"NOTE15";"N16FRF",#N/A,FALSE,"NOTE16";"N17FRF",#N/A,FALSE,"NOTE17";"N18FRF",#N/A,FALSE,"NOTE18";"N19FRF",#N/A,FALSE,"NOTE19";"N20FRF",#N/A,FALSE,"NOTE20";"N21FRF",#N/A,FALSE,"NOTE21";"N22FRF",#N/A,FALSE,"NOTE22";"N23FRF",#N/A,FALSE,"NOTE23";"N24FRF",#N/A,FALSE,"NOTE24";"N25FRF",#N/A,FALSE,"NOTE25";"N26FRF",#N/A,FALSE,"NOTE26";"N27FRF",#N/A,FALSE,"NOTE27";"N28FRF",#N/A,FALSE,"NOTE28";"N29FRF",#N/A,FALSE,"NOTE29";"N30FRF",#N/A,FALSE,"NOTE30";"N31FRF",#N/A,FALSE,"NOTE31";"N32FRF",#N/A,FALSE,"NOTE32";"N33FRF",#N/A,FALSE,"NOTE33";"BILSOCFRF",#N/A,FALSE,"bilan soc";"RESSOCFRF",#N/A,FALSE,"PL soc";"cinqexFRF",#N/A,FALSE,"5ex"}</definedName>
    <definedName name="wrn.etafifrffrf._5_3" localSheetId="12" hidden="1">{#N/A,"francaisfrf",FALSE,"UNITE";"ACTFRF",#N/A,FALSE,"ACTIF";"PASFRF",#N/A,FALSE,"PASSIF";"RESFRF",#N/A,FALSE,"RESULTATS";"FPFRF",#N/A,FALSE,"FP";"N03FRF",#N/A,FALSE,"NOTE03";"N04FRF",#N/A,FALSE,"NOTE04";"N05FRF",#N/A,FALSE,"NOTE05";"N06FRF",#N/A,FALSE,"NOTE06";"N07FRF",#N/A,FALSE,"NOTE07";"N08FRF",#N/A,FALSE,"NOTE08";"N09FRF",#N/A,FALSE,"NOTE09";"N10FRF",#N/A,FALSE,"NOTE10";"N11FRF",#N/A,FALSE,"NOTE11";"N12FRF",#N/A,FALSE,"NOTE12";"N13FRF",#N/A,FALSE,"NOTE13";"N14FRF",#N/A,FALSE,"NOTE14";"N15FRF",#N/A,FALSE,"NOTE15";"N16FRF",#N/A,FALSE,"NOTE16";"N17FRF",#N/A,FALSE,"NOTE17";"N18FRF",#N/A,FALSE,"NOTE18";"N19FRF",#N/A,FALSE,"NOTE19";"N20FRF",#N/A,FALSE,"NOTE20";"N21FRF",#N/A,FALSE,"NOTE21";"N22FRF",#N/A,FALSE,"NOTE22";"N23FRF",#N/A,FALSE,"NOTE23";"N24FRF",#N/A,FALSE,"NOTE24";"N25FRF",#N/A,FALSE,"NOTE25";"N26FRF",#N/A,FALSE,"NOTE26";"N27FRF",#N/A,FALSE,"NOTE27";"N28FRF",#N/A,FALSE,"NOTE28";"N29FRF",#N/A,FALSE,"NOTE29";"N30FRF",#N/A,FALSE,"NOTE30";"N31FRF",#N/A,FALSE,"NOTE31";"N32FRF",#N/A,FALSE,"NOTE32";"N33FRF",#N/A,FALSE,"NOTE33";"BILSOCFRF",#N/A,FALSE,"bilan soc";"RESSOCFRF",#N/A,FALSE,"PL soc";"cinqexFRF",#N/A,FALSE,"5ex"}</definedName>
    <definedName name="wrn.etafifrffrf._5_3" hidden="1">{#N/A,"francaisfrf",FALSE,"UNITE";"ACTFRF",#N/A,FALSE,"ACTIF";"PASFRF",#N/A,FALSE,"PASSIF";"RESFRF",#N/A,FALSE,"RESULTATS";"FPFRF",#N/A,FALSE,"FP";"N03FRF",#N/A,FALSE,"NOTE03";"N04FRF",#N/A,FALSE,"NOTE04";"N05FRF",#N/A,FALSE,"NOTE05";"N06FRF",#N/A,FALSE,"NOTE06";"N07FRF",#N/A,FALSE,"NOTE07";"N08FRF",#N/A,FALSE,"NOTE08";"N09FRF",#N/A,FALSE,"NOTE09";"N10FRF",#N/A,FALSE,"NOTE10";"N11FRF",#N/A,FALSE,"NOTE11";"N12FRF",#N/A,FALSE,"NOTE12";"N13FRF",#N/A,FALSE,"NOTE13";"N14FRF",#N/A,FALSE,"NOTE14";"N15FRF",#N/A,FALSE,"NOTE15";"N16FRF",#N/A,FALSE,"NOTE16";"N17FRF",#N/A,FALSE,"NOTE17";"N18FRF",#N/A,FALSE,"NOTE18";"N19FRF",#N/A,FALSE,"NOTE19";"N20FRF",#N/A,FALSE,"NOTE20";"N21FRF",#N/A,FALSE,"NOTE21";"N22FRF",#N/A,FALSE,"NOTE22";"N23FRF",#N/A,FALSE,"NOTE23";"N24FRF",#N/A,FALSE,"NOTE24";"N25FRF",#N/A,FALSE,"NOTE25";"N26FRF",#N/A,FALSE,"NOTE26";"N27FRF",#N/A,FALSE,"NOTE27";"N28FRF",#N/A,FALSE,"NOTE28";"N29FRF",#N/A,FALSE,"NOTE29";"N30FRF",#N/A,FALSE,"NOTE30";"N31FRF",#N/A,FALSE,"NOTE31";"N32FRF",#N/A,FALSE,"NOTE32";"N33FRF",#N/A,FALSE,"NOTE33";"BILSOCFRF",#N/A,FALSE,"bilan soc";"RESSOCFRF",#N/A,FALSE,"PL soc";"cinqexFRF",#N/A,FALSE,"5ex"}</definedName>
    <definedName name="wrn.etafifrffrf2." localSheetId="9" hidden="1">{#N/A,"francaisfrf",FALSE,"UNITE";"ACTFRF",#N/A,FALSE,"ACTIF";"PASFRF",#N/A,FALSE,"PASSIF";"RESFRF",#N/A,FALSE,"RESULTATS";"FPFRF",#N/A,FALSE,"FP";"N03FRF",#N/A,FALSE,"NOTE03";"N04FRF",#N/A,FALSE,"NOTE04";"N05FRF",#N/A,FALSE,"NOTE05";"N06FRF",#N/A,FALSE,"NOTE06";"N07FRF",#N/A,FALSE,"NOTE07";"N08FRF",#N/A,FALSE,"NOTE08";"N09FRF",#N/A,FALSE,"NOTE09";"N10FRF",#N/A,FALSE,"NOTE10";"N11FRF",#N/A,FALSE,"NOTE11";"N12FRF",#N/A,FALSE,"NOTE12";"N13FRF",#N/A,FALSE,"NOTE13";"N14FRF",#N/A,FALSE,"NOTE14";"N15FRF",#N/A,FALSE,"NOTE15";"N16FRF",#N/A,FALSE,"NOTE16";"N17FRF",#N/A,FALSE,"NOTE17";"N18FRF",#N/A,FALSE,"NOTE18";"N19FRF",#N/A,FALSE,"NOTE19";"N20FRF",#N/A,FALSE,"NOTE20";"N21FRF",#N/A,FALSE,"NOTE21";"N22FRF",#N/A,FALSE,"NOTE22";"N23FRF",#N/A,FALSE,"NOTE23";"N24FRF",#N/A,FALSE,"NOTE24";"N25FRF",#N/A,FALSE,"NOTE25";"N26FRF",#N/A,FALSE,"NOTE26";"N27FRF",#N/A,FALSE,"NOTE27";"N28FRF",#N/A,FALSE,"NOTE28";"N29FRF",#N/A,FALSE,"NOTE29";"N30FRF",#N/A,FALSE,"NOTE30";"N31FRF",#N/A,FALSE,"NOTE31";"N32FRF",#N/A,FALSE,"NOTE32";"N33FRF",#N/A,FALSE,"NOTE33";"BILSOCFRF",#N/A,FALSE,"bilan soc";"RESSOCFRF",#N/A,FALSE,"PL soc";"cinqexFRF",#N/A,FALSE,"5ex"}</definedName>
    <definedName name="wrn.etafifrffrf2." localSheetId="12" hidden="1">{#N/A,"francaisfrf",FALSE,"UNITE";"ACTFRF",#N/A,FALSE,"ACTIF";"PASFRF",#N/A,FALSE,"PASSIF";"RESFRF",#N/A,FALSE,"RESULTATS";"FPFRF",#N/A,FALSE,"FP";"N03FRF",#N/A,FALSE,"NOTE03";"N04FRF",#N/A,FALSE,"NOTE04";"N05FRF",#N/A,FALSE,"NOTE05";"N06FRF",#N/A,FALSE,"NOTE06";"N07FRF",#N/A,FALSE,"NOTE07";"N08FRF",#N/A,FALSE,"NOTE08";"N09FRF",#N/A,FALSE,"NOTE09";"N10FRF",#N/A,FALSE,"NOTE10";"N11FRF",#N/A,FALSE,"NOTE11";"N12FRF",#N/A,FALSE,"NOTE12";"N13FRF",#N/A,FALSE,"NOTE13";"N14FRF",#N/A,FALSE,"NOTE14";"N15FRF",#N/A,FALSE,"NOTE15";"N16FRF",#N/A,FALSE,"NOTE16";"N17FRF",#N/A,FALSE,"NOTE17";"N18FRF",#N/A,FALSE,"NOTE18";"N19FRF",#N/A,FALSE,"NOTE19";"N20FRF",#N/A,FALSE,"NOTE20";"N21FRF",#N/A,FALSE,"NOTE21";"N22FRF",#N/A,FALSE,"NOTE22";"N23FRF",#N/A,FALSE,"NOTE23";"N24FRF",#N/A,FALSE,"NOTE24";"N25FRF",#N/A,FALSE,"NOTE25";"N26FRF",#N/A,FALSE,"NOTE26";"N27FRF",#N/A,FALSE,"NOTE27";"N28FRF",#N/A,FALSE,"NOTE28";"N29FRF",#N/A,FALSE,"NOTE29";"N30FRF",#N/A,FALSE,"NOTE30";"N31FRF",#N/A,FALSE,"NOTE31";"N32FRF",#N/A,FALSE,"NOTE32";"N33FRF",#N/A,FALSE,"NOTE33";"BILSOCFRF",#N/A,FALSE,"bilan soc";"RESSOCFRF",#N/A,FALSE,"PL soc";"cinqexFRF",#N/A,FALSE,"5ex"}</definedName>
    <definedName name="wrn.etafifrffrf2." localSheetId="7" hidden="1">{#N/A,"francaisfrf",FALSE,"UNITE";"ACTFRF",#N/A,FALSE,"ACTIF";"PASFRF",#N/A,FALSE,"PASSIF";"RESFRF",#N/A,FALSE,"RESULTATS";"FPFRF",#N/A,FALSE,"FP";"N03FRF",#N/A,FALSE,"NOTE03";"N04FRF",#N/A,FALSE,"NOTE04";"N05FRF",#N/A,FALSE,"NOTE05";"N06FRF",#N/A,FALSE,"NOTE06";"N07FRF",#N/A,FALSE,"NOTE07";"N08FRF",#N/A,FALSE,"NOTE08";"N09FRF",#N/A,FALSE,"NOTE09";"N10FRF",#N/A,FALSE,"NOTE10";"N11FRF",#N/A,FALSE,"NOTE11";"N12FRF",#N/A,FALSE,"NOTE12";"N13FRF",#N/A,FALSE,"NOTE13";"N14FRF",#N/A,FALSE,"NOTE14";"N15FRF",#N/A,FALSE,"NOTE15";"N16FRF",#N/A,FALSE,"NOTE16";"N17FRF",#N/A,FALSE,"NOTE17";"N18FRF",#N/A,FALSE,"NOTE18";"N19FRF",#N/A,FALSE,"NOTE19";"N20FRF",#N/A,FALSE,"NOTE20";"N21FRF",#N/A,FALSE,"NOTE21";"N22FRF",#N/A,FALSE,"NOTE22";"N23FRF",#N/A,FALSE,"NOTE23";"N24FRF",#N/A,FALSE,"NOTE24";"N25FRF",#N/A,FALSE,"NOTE25";"N26FRF",#N/A,FALSE,"NOTE26";"N27FRF",#N/A,FALSE,"NOTE27";"N28FRF",#N/A,FALSE,"NOTE28";"N29FRF",#N/A,FALSE,"NOTE29";"N30FRF",#N/A,FALSE,"NOTE30";"N31FRF",#N/A,FALSE,"NOTE31";"N32FRF",#N/A,FALSE,"NOTE32";"N33FRF",#N/A,FALSE,"NOTE33";"BILSOCFRF",#N/A,FALSE,"bilan soc";"RESSOCFRF",#N/A,FALSE,"PL soc";"cinqexFRF",#N/A,FALSE,"5ex"}</definedName>
    <definedName name="wrn.etafifrffrf2." localSheetId="8" hidden="1">{#N/A,"francaisfrf",FALSE,"UNITE";"ACTFRF",#N/A,FALSE,"ACTIF";"PASFRF",#N/A,FALSE,"PASSIF";"RESFRF",#N/A,FALSE,"RESULTATS";"FPFRF",#N/A,FALSE,"FP";"N03FRF",#N/A,FALSE,"NOTE03";"N04FRF",#N/A,FALSE,"NOTE04";"N05FRF",#N/A,FALSE,"NOTE05";"N06FRF",#N/A,FALSE,"NOTE06";"N07FRF",#N/A,FALSE,"NOTE07";"N08FRF",#N/A,FALSE,"NOTE08";"N09FRF",#N/A,FALSE,"NOTE09";"N10FRF",#N/A,FALSE,"NOTE10";"N11FRF",#N/A,FALSE,"NOTE11";"N12FRF",#N/A,FALSE,"NOTE12";"N13FRF",#N/A,FALSE,"NOTE13";"N14FRF",#N/A,FALSE,"NOTE14";"N15FRF",#N/A,FALSE,"NOTE15";"N16FRF",#N/A,FALSE,"NOTE16";"N17FRF",#N/A,FALSE,"NOTE17";"N18FRF",#N/A,FALSE,"NOTE18";"N19FRF",#N/A,FALSE,"NOTE19";"N20FRF",#N/A,FALSE,"NOTE20";"N21FRF",#N/A,FALSE,"NOTE21";"N22FRF",#N/A,FALSE,"NOTE22";"N23FRF",#N/A,FALSE,"NOTE23";"N24FRF",#N/A,FALSE,"NOTE24";"N25FRF",#N/A,FALSE,"NOTE25";"N26FRF",#N/A,FALSE,"NOTE26";"N27FRF",#N/A,FALSE,"NOTE27";"N28FRF",#N/A,FALSE,"NOTE28";"N29FRF",#N/A,FALSE,"NOTE29";"N30FRF",#N/A,FALSE,"NOTE30";"N31FRF",#N/A,FALSE,"NOTE31";"N32FRF",#N/A,FALSE,"NOTE32";"N33FRF",#N/A,FALSE,"NOTE33";"BILSOCFRF",#N/A,FALSE,"bilan soc";"RESSOCFRF",#N/A,FALSE,"PL soc";"cinqexFRF",#N/A,FALSE,"5ex"}</definedName>
    <definedName name="wrn.etafifrffrf2." localSheetId="10" hidden="1">{#N/A,"francaisfrf",FALSE,"UNITE";"ACTFRF",#N/A,FALSE,"ACTIF";"PASFRF",#N/A,FALSE,"PASSIF";"RESFRF",#N/A,FALSE,"RESULTATS";"FPFRF",#N/A,FALSE,"FP";"N03FRF",#N/A,FALSE,"NOTE03";"N04FRF",#N/A,FALSE,"NOTE04";"N05FRF",#N/A,FALSE,"NOTE05";"N06FRF",#N/A,FALSE,"NOTE06";"N07FRF",#N/A,FALSE,"NOTE07";"N08FRF",#N/A,FALSE,"NOTE08";"N09FRF",#N/A,FALSE,"NOTE09";"N10FRF",#N/A,FALSE,"NOTE10";"N11FRF",#N/A,FALSE,"NOTE11";"N12FRF",#N/A,FALSE,"NOTE12";"N13FRF",#N/A,FALSE,"NOTE13";"N14FRF",#N/A,FALSE,"NOTE14";"N15FRF",#N/A,FALSE,"NOTE15";"N16FRF",#N/A,FALSE,"NOTE16";"N17FRF",#N/A,FALSE,"NOTE17";"N18FRF",#N/A,FALSE,"NOTE18";"N19FRF",#N/A,FALSE,"NOTE19";"N20FRF",#N/A,FALSE,"NOTE20";"N21FRF",#N/A,FALSE,"NOTE21";"N22FRF",#N/A,FALSE,"NOTE22";"N23FRF",#N/A,FALSE,"NOTE23";"N24FRF",#N/A,FALSE,"NOTE24";"N25FRF",#N/A,FALSE,"NOTE25";"N26FRF",#N/A,FALSE,"NOTE26";"N27FRF",#N/A,FALSE,"NOTE27";"N28FRF",#N/A,FALSE,"NOTE28";"N29FRF",#N/A,FALSE,"NOTE29";"N30FRF",#N/A,FALSE,"NOTE30";"N31FRF",#N/A,FALSE,"NOTE31";"N32FRF",#N/A,FALSE,"NOTE32";"N33FRF",#N/A,FALSE,"NOTE33";"BILSOCFRF",#N/A,FALSE,"bilan soc";"RESSOCFRF",#N/A,FALSE,"PL soc";"cinqexFRF",#N/A,FALSE,"5ex"}</definedName>
    <definedName name="wrn.etafifrffrf2." hidden="1">{#N/A,"francaisfrf",FALSE,"UNITE";"ACTFRF",#N/A,FALSE,"ACTIF";"PASFRF",#N/A,FALSE,"PASSIF";"RESFRF",#N/A,FALSE,"RESULTATS";"FPFRF",#N/A,FALSE,"FP";"N03FRF",#N/A,FALSE,"NOTE03";"N04FRF",#N/A,FALSE,"NOTE04";"N05FRF",#N/A,FALSE,"NOTE05";"N06FRF",#N/A,FALSE,"NOTE06";"N07FRF",#N/A,FALSE,"NOTE07";"N08FRF",#N/A,FALSE,"NOTE08";"N09FRF",#N/A,FALSE,"NOTE09";"N10FRF",#N/A,FALSE,"NOTE10";"N11FRF",#N/A,FALSE,"NOTE11";"N12FRF",#N/A,FALSE,"NOTE12";"N13FRF",#N/A,FALSE,"NOTE13";"N14FRF",#N/A,FALSE,"NOTE14";"N15FRF",#N/A,FALSE,"NOTE15";"N16FRF",#N/A,FALSE,"NOTE16";"N17FRF",#N/A,FALSE,"NOTE17";"N18FRF",#N/A,FALSE,"NOTE18";"N19FRF",#N/A,FALSE,"NOTE19";"N20FRF",#N/A,FALSE,"NOTE20";"N21FRF",#N/A,FALSE,"NOTE21";"N22FRF",#N/A,FALSE,"NOTE22";"N23FRF",#N/A,FALSE,"NOTE23";"N24FRF",#N/A,FALSE,"NOTE24";"N25FRF",#N/A,FALSE,"NOTE25";"N26FRF",#N/A,FALSE,"NOTE26";"N27FRF",#N/A,FALSE,"NOTE27";"N28FRF",#N/A,FALSE,"NOTE28";"N29FRF",#N/A,FALSE,"NOTE29";"N30FRF",#N/A,FALSE,"NOTE30";"N31FRF",#N/A,FALSE,"NOTE31";"N32FRF",#N/A,FALSE,"NOTE32";"N33FRF",#N/A,FALSE,"NOTE33";"BILSOCFRF",#N/A,FALSE,"bilan soc";"RESSOCFRF",#N/A,FALSE,"PL soc";"cinqexFRF",#N/A,FALSE,"5ex"}</definedName>
    <definedName name="wrn.etafifrffrf2._1" localSheetId="9" hidden="1">{#N/A,"francaisfrf",FALSE,"UNITE";"ACTFRF",#N/A,FALSE,"ACTIF";"PASFRF",#N/A,FALSE,"PASSIF";"RESFRF",#N/A,FALSE,"RESULTATS";"FPFRF",#N/A,FALSE,"FP";"N03FRF",#N/A,FALSE,"NOTE03";"N04FRF",#N/A,FALSE,"NOTE04";"N05FRF",#N/A,FALSE,"NOTE05";"N06FRF",#N/A,FALSE,"NOTE06";"N07FRF",#N/A,FALSE,"NOTE07";"N08FRF",#N/A,FALSE,"NOTE08";"N09FRF",#N/A,FALSE,"NOTE09";"N10FRF",#N/A,FALSE,"NOTE10";"N11FRF",#N/A,FALSE,"NOTE11";"N12FRF",#N/A,FALSE,"NOTE12";"N13FRF",#N/A,FALSE,"NOTE13";"N14FRF",#N/A,FALSE,"NOTE14";"N15FRF",#N/A,FALSE,"NOTE15";"N16FRF",#N/A,FALSE,"NOTE16";"N17FRF",#N/A,FALSE,"NOTE17";"N18FRF",#N/A,FALSE,"NOTE18";"N19FRF",#N/A,FALSE,"NOTE19";"N20FRF",#N/A,FALSE,"NOTE20";"N21FRF",#N/A,FALSE,"NOTE21";"N22FRF",#N/A,FALSE,"NOTE22";"N23FRF",#N/A,FALSE,"NOTE23";"N24FRF",#N/A,FALSE,"NOTE24";"N25FRF",#N/A,FALSE,"NOTE25";"N26FRF",#N/A,FALSE,"NOTE26";"N27FRF",#N/A,FALSE,"NOTE27";"N28FRF",#N/A,FALSE,"NOTE28";"N29FRF",#N/A,FALSE,"NOTE29";"N30FRF",#N/A,FALSE,"NOTE30";"N31FRF",#N/A,FALSE,"NOTE31";"N32FRF",#N/A,FALSE,"NOTE32";"N33FRF",#N/A,FALSE,"NOTE33";"BILSOCFRF",#N/A,FALSE,"bilan soc";"RESSOCFRF",#N/A,FALSE,"PL soc";"cinqexFRF",#N/A,FALSE,"5ex"}</definedName>
    <definedName name="wrn.etafifrffrf2._1" localSheetId="12" hidden="1">{#N/A,"francaisfrf",FALSE,"UNITE";"ACTFRF",#N/A,FALSE,"ACTIF";"PASFRF",#N/A,FALSE,"PASSIF";"RESFRF",#N/A,FALSE,"RESULTATS";"FPFRF",#N/A,FALSE,"FP";"N03FRF",#N/A,FALSE,"NOTE03";"N04FRF",#N/A,FALSE,"NOTE04";"N05FRF",#N/A,FALSE,"NOTE05";"N06FRF",#N/A,FALSE,"NOTE06";"N07FRF",#N/A,FALSE,"NOTE07";"N08FRF",#N/A,FALSE,"NOTE08";"N09FRF",#N/A,FALSE,"NOTE09";"N10FRF",#N/A,FALSE,"NOTE10";"N11FRF",#N/A,FALSE,"NOTE11";"N12FRF",#N/A,FALSE,"NOTE12";"N13FRF",#N/A,FALSE,"NOTE13";"N14FRF",#N/A,FALSE,"NOTE14";"N15FRF",#N/A,FALSE,"NOTE15";"N16FRF",#N/A,FALSE,"NOTE16";"N17FRF",#N/A,FALSE,"NOTE17";"N18FRF",#N/A,FALSE,"NOTE18";"N19FRF",#N/A,FALSE,"NOTE19";"N20FRF",#N/A,FALSE,"NOTE20";"N21FRF",#N/A,FALSE,"NOTE21";"N22FRF",#N/A,FALSE,"NOTE22";"N23FRF",#N/A,FALSE,"NOTE23";"N24FRF",#N/A,FALSE,"NOTE24";"N25FRF",#N/A,FALSE,"NOTE25";"N26FRF",#N/A,FALSE,"NOTE26";"N27FRF",#N/A,FALSE,"NOTE27";"N28FRF",#N/A,FALSE,"NOTE28";"N29FRF",#N/A,FALSE,"NOTE29";"N30FRF",#N/A,FALSE,"NOTE30";"N31FRF",#N/A,FALSE,"NOTE31";"N32FRF",#N/A,FALSE,"NOTE32";"N33FRF",#N/A,FALSE,"NOTE33";"BILSOCFRF",#N/A,FALSE,"bilan soc";"RESSOCFRF",#N/A,FALSE,"PL soc";"cinqexFRF",#N/A,FALSE,"5ex"}</definedName>
    <definedName name="wrn.etafifrffrf2._1" localSheetId="7" hidden="1">{#N/A,"francaisfrf",FALSE,"UNITE";"ACTFRF",#N/A,FALSE,"ACTIF";"PASFRF",#N/A,FALSE,"PASSIF";"RESFRF",#N/A,FALSE,"RESULTATS";"FPFRF",#N/A,FALSE,"FP";"N03FRF",#N/A,FALSE,"NOTE03";"N04FRF",#N/A,FALSE,"NOTE04";"N05FRF",#N/A,FALSE,"NOTE05";"N06FRF",#N/A,FALSE,"NOTE06";"N07FRF",#N/A,FALSE,"NOTE07";"N08FRF",#N/A,FALSE,"NOTE08";"N09FRF",#N/A,FALSE,"NOTE09";"N10FRF",#N/A,FALSE,"NOTE10";"N11FRF",#N/A,FALSE,"NOTE11";"N12FRF",#N/A,FALSE,"NOTE12";"N13FRF",#N/A,FALSE,"NOTE13";"N14FRF",#N/A,FALSE,"NOTE14";"N15FRF",#N/A,FALSE,"NOTE15";"N16FRF",#N/A,FALSE,"NOTE16";"N17FRF",#N/A,FALSE,"NOTE17";"N18FRF",#N/A,FALSE,"NOTE18";"N19FRF",#N/A,FALSE,"NOTE19";"N20FRF",#N/A,FALSE,"NOTE20";"N21FRF",#N/A,FALSE,"NOTE21";"N22FRF",#N/A,FALSE,"NOTE22";"N23FRF",#N/A,FALSE,"NOTE23";"N24FRF",#N/A,FALSE,"NOTE24";"N25FRF",#N/A,FALSE,"NOTE25";"N26FRF",#N/A,FALSE,"NOTE26";"N27FRF",#N/A,FALSE,"NOTE27";"N28FRF",#N/A,FALSE,"NOTE28";"N29FRF",#N/A,FALSE,"NOTE29";"N30FRF",#N/A,FALSE,"NOTE30";"N31FRF",#N/A,FALSE,"NOTE31";"N32FRF",#N/A,FALSE,"NOTE32";"N33FRF",#N/A,FALSE,"NOTE33";"BILSOCFRF",#N/A,FALSE,"bilan soc";"RESSOCFRF",#N/A,FALSE,"PL soc";"cinqexFRF",#N/A,FALSE,"5ex"}</definedName>
    <definedName name="wrn.etafifrffrf2._1" localSheetId="8" hidden="1">{#N/A,"francaisfrf",FALSE,"UNITE";"ACTFRF",#N/A,FALSE,"ACTIF";"PASFRF",#N/A,FALSE,"PASSIF";"RESFRF",#N/A,FALSE,"RESULTATS";"FPFRF",#N/A,FALSE,"FP";"N03FRF",#N/A,FALSE,"NOTE03";"N04FRF",#N/A,FALSE,"NOTE04";"N05FRF",#N/A,FALSE,"NOTE05";"N06FRF",#N/A,FALSE,"NOTE06";"N07FRF",#N/A,FALSE,"NOTE07";"N08FRF",#N/A,FALSE,"NOTE08";"N09FRF",#N/A,FALSE,"NOTE09";"N10FRF",#N/A,FALSE,"NOTE10";"N11FRF",#N/A,FALSE,"NOTE11";"N12FRF",#N/A,FALSE,"NOTE12";"N13FRF",#N/A,FALSE,"NOTE13";"N14FRF",#N/A,FALSE,"NOTE14";"N15FRF",#N/A,FALSE,"NOTE15";"N16FRF",#N/A,FALSE,"NOTE16";"N17FRF",#N/A,FALSE,"NOTE17";"N18FRF",#N/A,FALSE,"NOTE18";"N19FRF",#N/A,FALSE,"NOTE19";"N20FRF",#N/A,FALSE,"NOTE20";"N21FRF",#N/A,FALSE,"NOTE21";"N22FRF",#N/A,FALSE,"NOTE22";"N23FRF",#N/A,FALSE,"NOTE23";"N24FRF",#N/A,FALSE,"NOTE24";"N25FRF",#N/A,FALSE,"NOTE25";"N26FRF",#N/A,FALSE,"NOTE26";"N27FRF",#N/A,FALSE,"NOTE27";"N28FRF",#N/A,FALSE,"NOTE28";"N29FRF",#N/A,FALSE,"NOTE29";"N30FRF",#N/A,FALSE,"NOTE30";"N31FRF",#N/A,FALSE,"NOTE31";"N32FRF",#N/A,FALSE,"NOTE32";"N33FRF",#N/A,FALSE,"NOTE33";"BILSOCFRF",#N/A,FALSE,"bilan soc";"RESSOCFRF",#N/A,FALSE,"PL soc";"cinqexFRF",#N/A,FALSE,"5ex"}</definedName>
    <definedName name="wrn.etafifrffrf2._1" localSheetId="10" hidden="1">{#N/A,"francaisfrf",FALSE,"UNITE";"ACTFRF",#N/A,FALSE,"ACTIF";"PASFRF",#N/A,FALSE,"PASSIF";"RESFRF",#N/A,FALSE,"RESULTATS";"FPFRF",#N/A,FALSE,"FP";"N03FRF",#N/A,FALSE,"NOTE03";"N04FRF",#N/A,FALSE,"NOTE04";"N05FRF",#N/A,FALSE,"NOTE05";"N06FRF",#N/A,FALSE,"NOTE06";"N07FRF",#N/A,FALSE,"NOTE07";"N08FRF",#N/A,FALSE,"NOTE08";"N09FRF",#N/A,FALSE,"NOTE09";"N10FRF",#N/A,FALSE,"NOTE10";"N11FRF",#N/A,FALSE,"NOTE11";"N12FRF",#N/A,FALSE,"NOTE12";"N13FRF",#N/A,FALSE,"NOTE13";"N14FRF",#N/A,FALSE,"NOTE14";"N15FRF",#N/A,FALSE,"NOTE15";"N16FRF",#N/A,FALSE,"NOTE16";"N17FRF",#N/A,FALSE,"NOTE17";"N18FRF",#N/A,FALSE,"NOTE18";"N19FRF",#N/A,FALSE,"NOTE19";"N20FRF",#N/A,FALSE,"NOTE20";"N21FRF",#N/A,FALSE,"NOTE21";"N22FRF",#N/A,FALSE,"NOTE22";"N23FRF",#N/A,FALSE,"NOTE23";"N24FRF",#N/A,FALSE,"NOTE24";"N25FRF",#N/A,FALSE,"NOTE25";"N26FRF",#N/A,FALSE,"NOTE26";"N27FRF",#N/A,FALSE,"NOTE27";"N28FRF",#N/A,FALSE,"NOTE28";"N29FRF",#N/A,FALSE,"NOTE29";"N30FRF",#N/A,FALSE,"NOTE30";"N31FRF",#N/A,FALSE,"NOTE31";"N32FRF",#N/A,FALSE,"NOTE32";"N33FRF",#N/A,FALSE,"NOTE33";"BILSOCFRF",#N/A,FALSE,"bilan soc";"RESSOCFRF",#N/A,FALSE,"PL soc";"cinqexFRF",#N/A,FALSE,"5ex"}</definedName>
    <definedName name="wrn.etafifrffrf2._1" hidden="1">{#N/A,"francaisfrf",FALSE,"UNITE";"ACTFRF",#N/A,FALSE,"ACTIF";"PASFRF",#N/A,FALSE,"PASSIF";"RESFRF",#N/A,FALSE,"RESULTATS";"FPFRF",#N/A,FALSE,"FP";"N03FRF",#N/A,FALSE,"NOTE03";"N04FRF",#N/A,FALSE,"NOTE04";"N05FRF",#N/A,FALSE,"NOTE05";"N06FRF",#N/A,FALSE,"NOTE06";"N07FRF",#N/A,FALSE,"NOTE07";"N08FRF",#N/A,FALSE,"NOTE08";"N09FRF",#N/A,FALSE,"NOTE09";"N10FRF",#N/A,FALSE,"NOTE10";"N11FRF",#N/A,FALSE,"NOTE11";"N12FRF",#N/A,FALSE,"NOTE12";"N13FRF",#N/A,FALSE,"NOTE13";"N14FRF",#N/A,FALSE,"NOTE14";"N15FRF",#N/A,FALSE,"NOTE15";"N16FRF",#N/A,FALSE,"NOTE16";"N17FRF",#N/A,FALSE,"NOTE17";"N18FRF",#N/A,FALSE,"NOTE18";"N19FRF",#N/A,FALSE,"NOTE19";"N20FRF",#N/A,FALSE,"NOTE20";"N21FRF",#N/A,FALSE,"NOTE21";"N22FRF",#N/A,FALSE,"NOTE22";"N23FRF",#N/A,FALSE,"NOTE23";"N24FRF",#N/A,FALSE,"NOTE24";"N25FRF",#N/A,FALSE,"NOTE25";"N26FRF",#N/A,FALSE,"NOTE26";"N27FRF",#N/A,FALSE,"NOTE27";"N28FRF",#N/A,FALSE,"NOTE28";"N29FRF",#N/A,FALSE,"NOTE29";"N30FRF",#N/A,FALSE,"NOTE30";"N31FRF",#N/A,FALSE,"NOTE31";"N32FRF",#N/A,FALSE,"NOTE32";"N33FRF",#N/A,FALSE,"NOTE33";"BILSOCFRF",#N/A,FALSE,"bilan soc";"RESSOCFRF",#N/A,FALSE,"PL soc";"cinqexFRF",#N/A,FALSE,"5ex"}</definedName>
    <definedName name="wrn.etafifrffrf2._1_1" localSheetId="9" hidden="1">{#N/A,"francaisfrf",FALSE,"UNITE";"ACTFRF",#N/A,FALSE,"ACTIF";"PASFRF",#N/A,FALSE,"PASSIF";"RESFRF",#N/A,FALSE,"RESULTATS";"FPFRF",#N/A,FALSE,"FP";"N03FRF",#N/A,FALSE,"NOTE03";"N04FRF",#N/A,FALSE,"NOTE04";"N05FRF",#N/A,FALSE,"NOTE05";"N06FRF",#N/A,FALSE,"NOTE06";"N07FRF",#N/A,FALSE,"NOTE07";"N08FRF",#N/A,FALSE,"NOTE08";"N09FRF",#N/A,FALSE,"NOTE09";"N10FRF",#N/A,FALSE,"NOTE10";"N11FRF",#N/A,FALSE,"NOTE11";"N12FRF",#N/A,FALSE,"NOTE12";"N13FRF",#N/A,FALSE,"NOTE13";"N14FRF",#N/A,FALSE,"NOTE14";"N15FRF",#N/A,FALSE,"NOTE15";"N16FRF",#N/A,FALSE,"NOTE16";"N17FRF",#N/A,FALSE,"NOTE17";"N18FRF",#N/A,FALSE,"NOTE18";"N19FRF",#N/A,FALSE,"NOTE19";"N20FRF",#N/A,FALSE,"NOTE20";"N21FRF",#N/A,FALSE,"NOTE21";"N22FRF",#N/A,FALSE,"NOTE22";"N23FRF",#N/A,FALSE,"NOTE23";"N24FRF",#N/A,FALSE,"NOTE24";"N25FRF",#N/A,FALSE,"NOTE25";"N26FRF",#N/A,FALSE,"NOTE26";"N27FRF",#N/A,FALSE,"NOTE27";"N28FRF",#N/A,FALSE,"NOTE28";"N29FRF",#N/A,FALSE,"NOTE29";"N30FRF",#N/A,FALSE,"NOTE30";"N31FRF",#N/A,FALSE,"NOTE31";"N32FRF",#N/A,FALSE,"NOTE32";"N33FRF",#N/A,FALSE,"NOTE33";"BILSOCFRF",#N/A,FALSE,"bilan soc";"RESSOCFRF",#N/A,FALSE,"PL soc";"cinqexFRF",#N/A,FALSE,"5ex"}</definedName>
    <definedName name="wrn.etafifrffrf2._1_1" localSheetId="12" hidden="1">{#N/A,"francaisfrf",FALSE,"UNITE";"ACTFRF",#N/A,FALSE,"ACTIF";"PASFRF",#N/A,FALSE,"PASSIF";"RESFRF",#N/A,FALSE,"RESULTATS";"FPFRF",#N/A,FALSE,"FP";"N03FRF",#N/A,FALSE,"NOTE03";"N04FRF",#N/A,FALSE,"NOTE04";"N05FRF",#N/A,FALSE,"NOTE05";"N06FRF",#N/A,FALSE,"NOTE06";"N07FRF",#N/A,FALSE,"NOTE07";"N08FRF",#N/A,FALSE,"NOTE08";"N09FRF",#N/A,FALSE,"NOTE09";"N10FRF",#N/A,FALSE,"NOTE10";"N11FRF",#N/A,FALSE,"NOTE11";"N12FRF",#N/A,FALSE,"NOTE12";"N13FRF",#N/A,FALSE,"NOTE13";"N14FRF",#N/A,FALSE,"NOTE14";"N15FRF",#N/A,FALSE,"NOTE15";"N16FRF",#N/A,FALSE,"NOTE16";"N17FRF",#N/A,FALSE,"NOTE17";"N18FRF",#N/A,FALSE,"NOTE18";"N19FRF",#N/A,FALSE,"NOTE19";"N20FRF",#N/A,FALSE,"NOTE20";"N21FRF",#N/A,FALSE,"NOTE21";"N22FRF",#N/A,FALSE,"NOTE22";"N23FRF",#N/A,FALSE,"NOTE23";"N24FRF",#N/A,FALSE,"NOTE24";"N25FRF",#N/A,FALSE,"NOTE25";"N26FRF",#N/A,FALSE,"NOTE26";"N27FRF",#N/A,FALSE,"NOTE27";"N28FRF",#N/A,FALSE,"NOTE28";"N29FRF",#N/A,FALSE,"NOTE29";"N30FRF",#N/A,FALSE,"NOTE30";"N31FRF",#N/A,FALSE,"NOTE31";"N32FRF",#N/A,FALSE,"NOTE32";"N33FRF",#N/A,FALSE,"NOTE33";"BILSOCFRF",#N/A,FALSE,"bilan soc";"RESSOCFRF",#N/A,FALSE,"PL soc";"cinqexFRF",#N/A,FALSE,"5ex"}</definedName>
    <definedName name="wrn.etafifrffrf2._1_1" localSheetId="7" hidden="1">{#N/A,"francaisfrf",FALSE,"UNITE";"ACTFRF",#N/A,FALSE,"ACTIF";"PASFRF",#N/A,FALSE,"PASSIF";"RESFRF",#N/A,FALSE,"RESULTATS";"FPFRF",#N/A,FALSE,"FP";"N03FRF",#N/A,FALSE,"NOTE03";"N04FRF",#N/A,FALSE,"NOTE04";"N05FRF",#N/A,FALSE,"NOTE05";"N06FRF",#N/A,FALSE,"NOTE06";"N07FRF",#N/A,FALSE,"NOTE07";"N08FRF",#N/A,FALSE,"NOTE08";"N09FRF",#N/A,FALSE,"NOTE09";"N10FRF",#N/A,FALSE,"NOTE10";"N11FRF",#N/A,FALSE,"NOTE11";"N12FRF",#N/A,FALSE,"NOTE12";"N13FRF",#N/A,FALSE,"NOTE13";"N14FRF",#N/A,FALSE,"NOTE14";"N15FRF",#N/A,FALSE,"NOTE15";"N16FRF",#N/A,FALSE,"NOTE16";"N17FRF",#N/A,FALSE,"NOTE17";"N18FRF",#N/A,FALSE,"NOTE18";"N19FRF",#N/A,FALSE,"NOTE19";"N20FRF",#N/A,FALSE,"NOTE20";"N21FRF",#N/A,FALSE,"NOTE21";"N22FRF",#N/A,FALSE,"NOTE22";"N23FRF",#N/A,FALSE,"NOTE23";"N24FRF",#N/A,FALSE,"NOTE24";"N25FRF",#N/A,FALSE,"NOTE25";"N26FRF",#N/A,FALSE,"NOTE26";"N27FRF",#N/A,FALSE,"NOTE27";"N28FRF",#N/A,FALSE,"NOTE28";"N29FRF",#N/A,FALSE,"NOTE29";"N30FRF",#N/A,FALSE,"NOTE30";"N31FRF",#N/A,FALSE,"NOTE31";"N32FRF",#N/A,FALSE,"NOTE32";"N33FRF",#N/A,FALSE,"NOTE33";"BILSOCFRF",#N/A,FALSE,"bilan soc";"RESSOCFRF",#N/A,FALSE,"PL soc";"cinqexFRF",#N/A,FALSE,"5ex"}</definedName>
    <definedName name="wrn.etafifrffrf2._1_1" localSheetId="8" hidden="1">{#N/A,"francaisfrf",FALSE,"UNITE";"ACTFRF",#N/A,FALSE,"ACTIF";"PASFRF",#N/A,FALSE,"PASSIF";"RESFRF",#N/A,FALSE,"RESULTATS";"FPFRF",#N/A,FALSE,"FP";"N03FRF",#N/A,FALSE,"NOTE03";"N04FRF",#N/A,FALSE,"NOTE04";"N05FRF",#N/A,FALSE,"NOTE05";"N06FRF",#N/A,FALSE,"NOTE06";"N07FRF",#N/A,FALSE,"NOTE07";"N08FRF",#N/A,FALSE,"NOTE08";"N09FRF",#N/A,FALSE,"NOTE09";"N10FRF",#N/A,FALSE,"NOTE10";"N11FRF",#N/A,FALSE,"NOTE11";"N12FRF",#N/A,FALSE,"NOTE12";"N13FRF",#N/A,FALSE,"NOTE13";"N14FRF",#N/A,FALSE,"NOTE14";"N15FRF",#N/A,FALSE,"NOTE15";"N16FRF",#N/A,FALSE,"NOTE16";"N17FRF",#N/A,FALSE,"NOTE17";"N18FRF",#N/A,FALSE,"NOTE18";"N19FRF",#N/A,FALSE,"NOTE19";"N20FRF",#N/A,FALSE,"NOTE20";"N21FRF",#N/A,FALSE,"NOTE21";"N22FRF",#N/A,FALSE,"NOTE22";"N23FRF",#N/A,FALSE,"NOTE23";"N24FRF",#N/A,FALSE,"NOTE24";"N25FRF",#N/A,FALSE,"NOTE25";"N26FRF",#N/A,FALSE,"NOTE26";"N27FRF",#N/A,FALSE,"NOTE27";"N28FRF",#N/A,FALSE,"NOTE28";"N29FRF",#N/A,FALSE,"NOTE29";"N30FRF",#N/A,FALSE,"NOTE30";"N31FRF",#N/A,FALSE,"NOTE31";"N32FRF",#N/A,FALSE,"NOTE32";"N33FRF",#N/A,FALSE,"NOTE33";"BILSOCFRF",#N/A,FALSE,"bilan soc";"RESSOCFRF",#N/A,FALSE,"PL soc";"cinqexFRF",#N/A,FALSE,"5ex"}</definedName>
    <definedName name="wrn.etafifrffrf2._1_1" localSheetId="10" hidden="1">{#N/A,"francaisfrf",FALSE,"UNITE";"ACTFRF",#N/A,FALSE,"ACTIF";"PASFRF",#N/A,FALSE,"PASSIF";"RESFRF",#N/A,FALSE,"RESULTATS";"FPFRF",#N/A,FALSE,"FP";"N03FRF",#N/A,FALSE,"NOTE03";"N04FRF",#N/A,FALSE,"NOTE04";"N05FRF",#N/A,FALSE,"NOTE05";"N06FRF",#N/A,FALSE,"NOTE06";"N07FRF",#N/A,FALSE,"NOTE07";"N08FRF",#N/A,FALSE,"NOTE08";"N09FRF",#N/A,FALSE,"NOTE09";"N10FRF",#N/A,FALSE,"NOTE10";"N11FRF",#N/A,FALSE,"NOTE11";"N12FRF",#N/A,FALSE,"NOTE12";"N13FRF",#N/A,FALSE,"NOTE13";"N14FRF",#N/A,FALSE,"NOTE14";"N15FRF",#N/A,FALSE,"NOTE15";"N16FRF",#N/A,FALSE,"NOTE16";"N17FRF",#N/A,FALSE,"NOTE17";"N18FRF",#N/A,FALSE,"NOTE18";"N19FRF",#N/A,FALSE,"NOTE19";"N20FRF",#N/A,FALSE,"NOTE20";"N21FRF",#N/A,FALSE,"NOTE21";"N22FRF",#N/A,FALSE,"NOTE22";"N23FRF",#N/A,FALSE,"NOTE23";"N24FRF",#N/A,FALSE,"NOTE24";"N25FRF",#N/A,FALSE,"NOTE25";"N26FRF",#N/A,FALSE,"NOTE26";"N27FRF",#N/A,FALSE,"NOTE27";"N28FRF",#N/A,FALSE,"NOTE28";"N29FRF",#N/A,FALSE,"NOTE29";"N30FRF",#N/A,FALSE,"NOTE30";"N31FRF",#N/A,FALSE,"NOTE31";"N32FRF",#N/A,FALSE,"NOTE32";"N33FRF",#N/A,FALSE,"NOTE33";"BILSOCFRF",#N/A,FALSE,"bilan soc";"RESSOCFRF",#N/A,FALSE,"PL soc";"cinqexFRF",#N/A,FALSE,"5ex"}</definedName>
    <definedName name="wrn.etafifrffrf2._1_1" hidden="1">{#N/A,"francaisfrf",FALSE,"UNITE";"ACTFRF",#N/A,FALSE,"ACTIF";"PASFRF",#N/A,FALSE,"PASSIF";"RESFRF",#N/A,FALSE,"RESULTATS";"FPFRF",#N/A,FALSE,"FP";"N03FRF",#N/A,FALSE,"NOTE03";"N04FRF",#N/A,FALSE,"NOTE04";"N05FRF",#N/A,FALSE,"NOTE05";"N06FRF",#N/A,FALSE,"NOTE06";"N07FRF",#N/A,FALSE,"NOTE07";"N08FRF",#N/A,FALSE,"NOTE08";"N09FRF",#N/A,FALSE,"NOTE09";"N10FRF",#N/A,FALSE,"NOTE10";"N11FRF",#N/A,FALSE,"NOTE11";"N12FRF",#N/A,FALSE,"NOTE12";"N13FRF",#N/A,FALSE,"NOTE13";"N14FRF",#N/A,FALSE,"NOTE14";"N15FRF",#N/A,FALSE,"NOTE15";"N16FRF",#N/A,FALSE,"NOTE16";"N17FRF",#N/A,FALSE,"NOTE17";"N18FRF",#N/A,FALSE,"NOTE18";"N19FRF",#N/A,FALSE,"NOTE19";"N20FRF",#N/A,FALSE,"NOTE20";"N21FRF",#N/A,FALSE,"NOTE21";"N22FRF",#N/A,FALSE,"NOTE22";"N23FRF",#N/A,FALSE,"NOTE23";"N24FRF",#N/A,FALSE,"NOTE24";"N25FRF",#N/A,FALSE,"NOTE25";"N26FRF",#N/A,FALSE,"NOTE26";"N27FRF",#N/A,FALSE,"NOTE27";"N28FRF",#N/A,FALSE,"NOTE28";"N29FRF",#N/A,FALSE,"NOTE29";"N30FRF",#N/A,FALSE,"NOTE30";"N31FRF",#N/A,FALSE,"NOTE31";"N32FRF",#N/A,FALSE,"NOTE32";"N33FRF",#N/A,FALSE,"NOTE33";"BILSOCFRF",#N/A,FALSE,"bilan soc";"RESSOCFRF",#N/A,FALSE,"PL soc";"cinqexFRF",#N/A,FALSE,"5ex"}</definedName>
    <definedName name="wrn.etafifrffrf2._1_1_1" localSheetId="12" hidden="1">{#N/A,"francaisfrf",FALSE,"UNITE";"ACTFRF",#N/A,FALSE,"ACTIF";"PASFRF",#N/A,FALSE,"PASSIF";"RESFRF",#N/A,FALSE,"RESULTATS";"FPFRF",#N/A,FALSE,"FP";"N03FRF",#N/A,FALSE,"NOTE03";"N04FRF",#N/A,FALSE,"NOTE04";"N05FRF",#N/A,FALSE,"NOTE05";"N06FRF",#N/A,FALSE,"NOTE06";"N07FRF",#N/A,FALSE,"NOTE07";"N08FRF",#N/A,FALSE,"NOTE08";"N09FRF",#N/A,FALSE,"NOTE09";"N10FRF",#N/A,FALSE,"NOTE10";"N11FRF",#N/A,FALSE,"NOTE11";"N12FRF",#N/A,FALSE,"NOTE12";"N13FRF",#N/A,FALSE,"NOTE13";"N14FRF",#N/A,FALSE,"NOTE14";"N15FRF",#N/A,FALSE,"NOTE15";"N16FRF",#N/A,FALSE,"NOTE16";"N17FRF",#N/A,FALSE,"NOTE17";"N18FRF",#N/A,FALSE,"NOTE18";"N19FRF",#N/A,FALSE,"NOTE19";"N20FRF",#N/A,FALSE,"NOTE20";"N21FRF",#N/A,FALSE,"NOTE21";"N22FRF",#N/A,FALSE,"NOTE22";"N23FRF",#N/A,FALSE,"NOTE23";"N24FRF",#N/A,FALSE,"NOTE24";"N25FRF",#N/A,FALSE,"NOTE25";"N26FRF",#N/A,FALSE,"NOTE26";"N27FRF",#N/A,FALSE,"NOTE27";"N28FRF",#N/A,FALSE,"NOTE28";"N29FRF",#N/A,FALSE,"NOTE29";"N30FRF",#N/A,FALSE,"NOTE30";"N31FRF",#N/A,FALSE,"NOTE31";"N32FRF",#N/A,FALSE,"NOTE32";"N33FRF",#N/A,FALSE,"NOTE33";"BILSOCFRF",#N/A,FALSE,"bilan soc";"RESSOCFRF",#N/A,FALSE,"PL soc";"cinqexFRF",#N/A,FALSE,"5ex"}</definedName>
    <definedName name="wrn.etafifrffrf2._1_1_1" hidden="1">{#N/A,"francaisfrf",FALSE,"UNITE";"ACTFRF",#N/A,FALSE,"ACTIF";"PASFRF",#N/A,FALSE,"PASSIF";"RESFRF",#N/A,FALSE,"RESULTATS";"FPFRF",#N/A,FALSE,"FP";"N03FRF",#N/A,FALSE,"NOTE03";"N04FRF",#N/A,FALSE,"NOTE04";"N05FRF",#N/A,FALSE,"NOTE05";"N06FRF",#N/A,FALSE,"NOTE06";"N07FRF",#N/A,FALSE,"NOTE07";"N08FRF",#N/A,FALSE,"NOTE08";"N09FRF",#N/A,FALSE,"NOTE09";"N10FRF",#N/A,FALSE,"NOTE10";"N11FRF",#N/A,FALSE,"NOTE11";"N12FRF",#N/A,FALSE,"NOTE12";"N13FRF",#N/A,FALSE,"NOTE13";"N14FRF",#N/A,FALSE,"NOTE14";"N15FRF",#N/A,FALSE,"NOTE15";"N16FRF",#N/A,FALSE,"NOTE16";"N17FRF",#N/A,FALSE,"NOTE17";"N18FRF",#N/A,FALSE,"NOTE18";"N19FRF",#N/A,FALSE,"NOTE19";"N20FRF",#N/A,FALSE,"NOTE20";"N21FRF",#N/A,FALSE,"NOTE21";"N22FRF",#N/A,FALSE,"NOTE22";"N23FRF",#N/A,FALSE,"NOTE23";"N24FRF",#N/A,FALSE,"NOTE24";"N25FRF",#N/A,FALSE,"NOTE25";"N26FRF",#N/A,FALSE,"NOTE26";"N27FRF",#N/A,FALSE,"NOTE27";"N28FRF",#N/A,FALSE,"NOTE28";"N29FRF",#N/A,FALSE,"NOTE29";"N30FRF",#N/A,FALSE,"NOTE30";"N31FRF",#N/A,FALSE,"NOTE31";"N32FRF",#N/A,FALSE,"NOTE32";"N33FRF",#N/A,FALSE,"NOTE33";"BILSOCFRF",#N/A,FALSE,"bilan soc";"RESSOCFRF",#N/A,FALSE,"PL soc";"cinqexFRF",#N/A,FALSE,"5ex"}</definedName>
    <definedName name="wrn.etafifrffrf2._1_1_2" hidden="1">{#N/A,"francaisfrf",FALSE,"UNITE";"ACTFRF",#N/A,FALSE,"ACTIF";"PASFRF",#N/A,FALSE,"PASSIF";"RESFRF",#N/A,FALSE,"RESULTATS";"FPFRF",#N/A,FALSE,"FP";"N03FRF",#N/A,FALSE,"NOTE03";"N04FRF",#N/A,FALSE,"NOTE04";"N05FRF",#N/A,FALSE,"NOTE05";"N06FRF",#N/A,FALSE,"NOTE06";"N07FRF",#N/A,FALSE,"NOTE07";"N08FRF",#N/A,FALSE,"NOTE08";"N09FRF",#N/A,FALSE,"NOTE09";"N10FRF",#N/A,FALSE,"NOTE10";"N11FRF",#N/A,FALSE,"NOTE11";"N12FRF",#N/A,FALSE,"NOTE12";"N13FRF",#N/A,FALSE,"NOTE13";"N14FRF",#N/A,FALSE,"NOTE14";"N15FRF",#N/A,FALSE,"NOTE15";"N16FRF",#N/A,FALSE,"NOTE16";"N17FRF",#N/A,FALSE,"NOTE17";"N18FRF",#N/A,FALSE,"NOTE18";"N19FRF",#N/A,FALSE,"NOTE19";"N20FRF",#N/A,FALSE,"NOTE20";"N21FRF",#N/A,FALSE,"NOTE21";"N22FRF",#N/A,FALSE,"NOTE22";"N23FRF",#N/A,FALSE,"NOTE23";"N24FRF",#N/A,FALSE,"NOTE24";"N25FRF",#N/A,FALSE,"NOTE25";"N26FRF",#N/A,FALSE,"NOTE26";"N27FRF",#N/A,FALSE,"NOTE27";"N28FRF",#N/A,FALSE,"NOTE28";"N29FRF",#N/A,FALSE,"NOTE29";"N30FRF",#N/A,FALSE,"NOTE30";"N31FRF",#N/A,FALSE,"NOTE31";"N32FRF",#N/A,FALSE,"NOTE32";"N33FRF",#N/A,FALSE,"NOTE33";"BILSOCFRF",#N/A,FALSE,"bilan soc";"RESSOCFRF",#N/A,FALSE,"PL soc";"cinqexFRF",#N/A,FALSE,"5ex"}</definedName>
    <definedName name="wrn.etafifrffrf2._1_2" localSheetId="12" hidden="1">{#N/A,"francaisfrf",FALSE,"UNITE";"ACTFRF",#N/A,FALSE,"ACTIF";"PASFRF",#N/A,FALSE,"PASSIF";"RESFRF",#N/A,FALSE,"RESULTATS";"FPFRF",#N/A,FALSE,"FP";"N03FRF",#N/A,FALSE,"NOTE03";"N04FRF",#N/A,FALSE,"NOTE04";"N05FRF",#N/A,FALSE,"NOTE05";"N06FRF",#N/A,FALSE,"NOTE06";"N07FRF",#N/A,FALSE,"NOTE07";"N08FRF",#N/A,FALSE,"NOTE08";"N09FRF",#N/A,FALSE,"NOTE09";"N10FRF",#N/A,FALSE,"NOTE10";"N11FRF",#N/A,FALSE,"NOTE11";"N12FRF",#N/A,FALSE,"NOTE12";"N13FRF",#N/A,FALSE,"NOTE13";"N14FRF",#N/A,FALSE,"NOTE14";"N15FRF",#N/A,FALSE,"NOTE15";"N16FRF",#N/A,FALSE,"NOTE16";"N17FRF",#N/A,FALSE,"NOTE17";"N18FRF",#N/A,FALSE,"NOTE18";"N19FRF",#N/A,FALSE,"NOTE19";"N20FRF",#N/A,FALSE,"NOTE20";"N21FRF",#N/A,FALSE,"NOTE21";"N22FRF",#N/A,FALSE,"NOTE22";"N23FRF",#N/A,FALSE,"NOTE23";"N24FRF",#N/A,FALSE,"NOTE24";"N25FRF",#N/A,FALSE,"NOTE25";"N26FRF",#N/A,FALSE,"NOTE26";"N27FRF",#N/A,FALSE,"NOTE27";"N28FRF",#N/A,FALSE,"NOTE28";"N29FRF",#N/A,FALSE,"NOTE29";"N30FRF",#N/A,FALSE,"NOTE30";"N31FRF",#N/A,FALSE,"NOTE31";"N32FRF",#N/A,FALSE,"NOTE32";"N33FRF",#N/A,FALSE,"NOTE33";"BILSOCFRF",#N/A,FALSE,"bilan soc";"RESSOCFRF",#N/A,FALSE,"PL soc";"cinqexFRF",#N/A,FALSE,"5ex"}</definedName>
    <definedName name="wrn.etafifrffrf2._1_2" hidden="1">{#N/A,"francaisfrf",FALSE,"UNITE";"ACTFRF",#N/A,FALSE,"ACTIF";"PASFRF",#N/A,FALSE,"PASSIF";"RESFRF",#N/A,FALSE,"RESULTATS";"FPFRF",#N/A,FALSE,"FP";"N03FRF",#N/A,FALSE,"NOTE03";"N04FRF",#N/A,FALSE,"NOTE04";"N05FRF",#N/A,FALSE,"NOTE05";"N06FRF",#N/A,FALSE,"NOTE06";"N07FRF",#N/A,FALSE,"NOTE07";"N08FRF",#N/A,FALSE,"NOTE08";"N09FRF",#N/A,FALSE,"NOTE09";"N10FRF",#N/A,FALSE,"NOTE10";"N11FRF",#N/A,FALSE,"NOTE11";"N12FRF",#N/A,FALSE,"NOTE12";"N13FRF",#N/A,FALSE,"NOTE13";"N14FRF",#N/A,FALSE,"NOTE14";"N15FRF",#N/A,FALSE,"NOTE15";"N16FRF",#N/A,FALSE,"NOTE16";"N17FRF",#N/A,FALSE,"NOTE17";"N18FRF",#N/A,FALSE,"NOTE18";"N19FRF",#N/A,FALSE,"NOTE19";"N20FRF",#N/A,FALSE,"NOTE20";"N21FRF",#N/A,FALSE,"NOTE21";"N22FRF",#N/A,FALSE,"NOTE22";"N23FRF",#N/A,FALSE,"NOTE23";"N24FRF",#N/A,FALSE,"NOTE24";"N25FRF",#N/A,FALSE,"NOTE25";"N26FRF",#N/A,FALSE,"NOTE26";"N27FRF",#N/A,FALSE,"NOTE27";"N28FRF",#N/A,FALSE,"NOTE28";"N29FRF",#N/A,FALSE,"NOTE29";"N30FRF",#N/A,FALSE,"NOTE30";"N31FRF",#N/A,FALSE,"NOTE31";"N32FRF",#N/A,FALSE,"NOTE32";"N33FRF",#N/A,FALSE,"NOTE33";"BILSOCFRF",#N/A,FALSE,"bilan soc";"RESSOCFRF",#N/A,FALSE,"PL soc";"cinqexFRF",#N/A,FALSE,"5ex"}</definedName>
    <definedName name="wrn.etafifrffrf2._1_3" localSheetId="12" hidden="1">{#N/A,"francaisfrf",FALSE,"UNITE";"ACTFRF",#N/A,FALSE,"ACTIF";"PASFRF",#N/A,FALSE,"PASSIF";"RESFRF",#N/A,FALSE,"RESULTATS";"FPFRF",#N/A,FALSE,"FP";"N03FRF",#N/A,FALSE,"NOTE03";"N04FRF",#N/A,FALSE,"NOTE04";"N05FRF",#N/A,FALSE,"NOTE05";"N06FRF",#N/A,FALSE,"NOTE06";"N07FRF",#N/A,FALSE,"NOTE07";"N08FRF",#N/A,FALSE,"NOTE08";"N09FRF",#N/A,FALSE,"NOTE09";"N10FRF",#N/A,FALSE,"NOTE10";"N11FRF",#N/A,FALSE,"NOTE11";"N12FRF",#N/A,FALSE,"NOTE12";"N13FRF",#N/A,FALSE,"NOTE13";"N14FRF",#N/A,FALSE,"NOTE14";"N15FRF",#N/A,FALSE,"NOTE15";"N16FRF",#N/A,FALSE,"NOTE16";"N17FRF",#N/A,FALSE,"NOTE17";"N18FRF",#N/A,FALSE,"NOTE18";"N19FRF",#N/A,FALSE,"NOTE19";"N20FRF",#N/A,FALSE,"NOTE20";"N21FRF",#N/A,FALSE,"NOTE21";"N22FRF",#N/A,FALSE,"NOTE22";"N23FRF",#N/A,FALSE,"NOTE23";"N24FRF",#N/A,FALSE,"NOTE24";"N25FRF",#N/A,FALSE,"NOTE25";"N26FRF",#N/A,FALSE,"NOTE26";"N27FRF",#N/A,FALSE,"NOTE27";"N28FRF",#N/A,FALSE,"NOTE28";"N29FRF",#N/A,FALSE,"NOTE29";"N30FRF",#N/A,FALSE,"NOTE30";"N31FRF",#N/A,FALSE,"NOTE31";"N32FRF",#N/A,FALSE,"NOTE32";"N33FRF",#N/A,FALSE,"NOTE33";"BILSOCFRF",#N/A,FALSE,"bilan soc";"RESSOCFRF",#N/A,FALSE,"PL soc";"cinqexFRF",#N/A,FALSE,"5ex"}</definedName>
    <definedName name="wrn.etafifrffrf2._1_3" hidden="1">{#N/A,"francaisfrf",FALSE,"UNITE";"ACTFRF",#N/A,FALSE,"ACTIF";"PASFRF",#N/A,FALSE,"PASSIF";"RESFRF",#N/A,FALSE,"RESULTATS";"FPFRF",#N/A,FALSE,"FP";"N03FRF",#N/A,FALSE,"NOTE03";"N04FRF",#N/A,FALSE,"NOTE04";"N05FRF",#N/A,FALSE,"NOTE05";"N06FRF",#N/A,FALSE,"NOTE06";"N07FRF",#N/A,FALSE,"NOTE07";"N08FRF",#N/A,FALSE,"NOTE08";"N09FRF",#N/A,FALSE,"NOTE09";"N10FRF",#N/A,FALSE,"NOTE10";"N11FRF",#N/A,FALSE,"NOTE11";"N12FRF",#N/A,FALSE,"NOTE12";"N13FRF",#N/A,FALSE,"NOTE13";"N14FRF",#N/A,FALSE,"NOTE14";"N15FRF",#N/A,FALSE,"NOTE15";"N16FRF",#N/A,FALSE,"NOTE16";"N17FRF",#N/A,FALSE,"NOTE17";"N18FRF",#N/A,FALSE,"NOTE18";"N19FRF",#N/A,FALSE,"NOTE19";"N20FRF",#N/A,FALSE,"NOTE20";"N21FRF",#N/A,FALSE,"NOTE21";"N22FRF",#N/A,FALSE,"NOTE22";"N23FRF",#N/A,FALSE,"NOTE23";"N24FRF",#N/A,FALSE,"NOTE24";"N25FRF",#N/A,FALSE,"NOTE25";"N26FRF",#N/A,FALSE,"NOTE26";"N27FRF",#N/A,FALSE,"NOTE27";"N28FRF",#N/A,FALSE,"NOTE28";"N29FRF",#N/A,FALSE,"NOTE29";"N30FRF",#N/A,FALSE,"NOTE30";"N31FRF",#N/A,FALSE,"NOTE31";"N32FRF",#N/A,FALSE,"NOTE32";"N33FRF",#N/A,FALSE,"NOTE33";"BILSOCFRF",#N/A,FALSE,"bilan soc";"RESSOCFRF",#N/A,FALSE,"PL soc";"cinqexFRF",#N/A,FALSE,"5ex"}</definedName>
    <definedName name="wrn.etafifrffrf2._2" localSheetId="9" hidden="1">{#N/A,"francaisfrf",FALSE,"UNITE";"ACTFRF",#N/A,FALSE,"ACTIF";"PASFRF",#N/A,FALSE,"PASSIF";"RESFRF",#N/A,FALSE,"RESULTATS";"FPFRF",#N/A,FALSE,"FP";"N03FRF",#N/A,FALSE,"NOTE03";"N04FRF",#N/A,FALSE,"NOTE04";"N05FRF",#N/A,FALSE,"NOTE05";"N06FRF",#N/A,FALSE,"NOTE06";"N07FRF",#N/A,FALSE,"NOTE07";"N08FRF",#N/A,FALSE,"NOTE08";"N09FRF",#N/A,FALSE,"NOTE09";"N10FRF",#N/A,FALSE,"NOTE10";"N11FRF",#N/A,FALSE,"NOTE11";"N12FRF",#N/A,FALSE,"NOTE12";"N13FRF",#N/A,FALSE,"NOTE13";"N14FRF",#N/A,FALSE,"NOTE14";"N15FRF",#N/A,FALSE,"NOTE15";"N16FRF",#N/A,FALSE,"NOTE16";"N17FRF",#N/A,FALSE,"NOTE17";"N18FRF",#N/A,FALSE,"NOTE18";"N19FRF",#N/A,FALSE,"NOTE19";"N20FRF",#N/A,FALSE,"NOTE20";"N21FRF",#N/A,FALSE,"NOTE21";"N22FRF",#N/A,FALSE,"NOTE22";"N23FRF",#N/A,FALSE,"NOTE23";"N24FRF",#N/A,FALSE,"NOTE24";"N25FRF",#N/A,FALSE,"NOTE25";"N26FRF",#N/A,FALSE,"NOTE26";"N27FRF",#N/A,FALSE,"NOTE27";"N28FRF",#N/A,FALSE,"NOTE28";"N29FRF",#N/A,FALSE,"NOTE29";"N30FRF",#N/A,FALSE,"NOTE30";"N31FRF",#N/A,FALSE,"NOTE31";"N32FRF",#N/A,FALSE,"NOTE32";"N33FRF",#N/A,FALSE,"NOTE33";"BILSOCFRF",#N/A,FALSE,"bilan soc";"RESSOCFRF",#N/A,FALSE,"PL soc";"cinqexFRF",#N/A,FALSE,"5ex"}</definedName>
    <definedName name="wrn.etafifrffrf2._2" localSheetId="12" hidden="1">{#N/A,"francaisfrf",FALSE,"UNITE";"ACTFRF",#N/A,FALSE,"ACTIF";"PASFRF",#N/A,FALSE,"PASSIF";"RESFRF",#N/A,FALSE,"RESULTATS";"FPFRF",#N/A,FALSE,"FP";"N03FRF",#N/A,FALSE,"NOTE03";"N04FRF",#N/A,FALSE,"NOTE04";"N05FRF",#N/A,FALSE,"NOTE05";"N06FRF",#N/A,FALSE,"NOTE06";"N07FRF",#N/A,FALSE,"NOTE07";"N08FRF",#N/A,FALSE,"NOTE08";"N09FRF",#N/A,FALSE,"NOTE09";"N10FRF",#N/A,FALSE,"NOTE10";"N11FRF",#N/A,FALSE,"NOTE11";"N12FRF",#N/A,FALSE,"NOTE12";"N13FRF",#N/A,FALSE,"NOTE13";"N14FRF",#N/A,FALSE,"NOTE14";"N15FRF",#N/A,FALSE,"NOTE15";"N16FRF",#N/A,FALSE,"NOTE16";"N17FRF",#N/A,FALSE,"NOTE17";"N18FRF",#N/A,FALSE,"NOTE18";"N19FRF",#N/A,FALSE,"NOTE19";"N20FRF",#N/A,FALSE,"NOTE20";"N21FRF",#N/A,FALSE,"NOTE21";"N22FRF",#N/A,FALSE,"NOTE22";"N23FRF",#N/A,FALSE,"NOTE23";"N24FRF",#N/A,FALSE,"NOTE24";"N25FRF",#N/A,FALSE,"NOTE25";"N26FRF",#N/A,FALSE,"NOTE26";"N27FRF",#N/A,FALSE,"NOTE27";"N28FRF",#N/A,FALSE,"NOTE28";"N29FRF",#N/A,FALSE,"NOTE29";"N30FRF",#N/A,FALSE,"NOTE30";"N31FRF",#N/A,FALSE,"NOTE31";"N32FRF",#N/A,FALSE,"NOTE32";"N33FRF",#N/A,FALSE,"NOTE33";"BILSOCFRF",#N/A,FALSE,"bilan soc";"RESSOCFRF",#N/A,FALSE,"PL soc";"cinqexFRF",#N/A,FALSE,"5ex"}</definedName>
    <definedName name="wrn.etafifrffrf2._2" localSheetId="7" hidden="1">{#N/A,"francaisfrf",FALSE,"UNITE";"ACTFRF",#N/A,FALSE,"ACTIF";"PASFRF",#N/A,FALSE,"PASSIF";"RESFRF",#N/A,FALSE,"RESULTATS";"FPFRF",#N/A,FALSE,"FP";"N03FRF",#N/A,FALSE,"NOTE03";"N04FRF",#N/A,FALSE,"NOTE04";"N05FRF",#N/A,FALSE,"NOTE05";"N06FRF",#N/A,FALSE,"NOTE06";"N07FRF",#N/A,FALSE,"NOTE07";"N08FRF",#N/A,FALSE,"NOTE08";"N09FRF",#N/A,FALSE,"NOTE09";"N10FRF",#N/A,FALSE,"NOTE10";"N11FRF",#N/A,FALSE,"NOTE11";"N12FRF",#N/A,FALSE,"NOTE12";"N13FRF",#N/A,FALSE,"NOTE13";"N14FRF",#N/A,FALSE,"NOTE14";"N15FRF",#N/A,FALSE,"NOTE15";"N16FRF",#N/A,FALSE,"NOTE16";"N17FRF",#N/A,FALSE,"NOTE17";"N18FRF",#N/A,FALSE,"NOTE18";"N19FRF",#N/A,FALSE,"NOTE19";"N20FRF",#N/A,FALSE,"NOTE20";"N21FRF",#N/A,FALSE,"NOTE21";"N22FRF",#N/A,FALSE,"NOTE22";"N23FRF",#N/A,FALSE,"NOTE23";"N24FRF",#N/A,FALSE,"NOTE24";"N25FRF",#N/A,FALSE,"NOTE25";"N26FRF",#N/A,FALSE,"NOTE26";"N27FRF",#N/A,FALSE,"NOTE27";"N28FRF",#N/A,FALSE,"NOTE28";"N29FRF",#N/A,FALSE,"NOTE29";"N30FRF",#N/A,FALSE,"NOTE30";"N31FRF",#N/A,FALSE,"NOTE31";"N32FRF",#N/A,FALSE,"NOTE32";"N33FRF",#N/A,FALSE,"NOTE33";"BILSOCFRF",#N/A,FALSE,"bilan soc";"RESSOCFRF",#N/A,FALSE,"PL soc";"cinqexFRF",#N/A,FALSE,"5ex"}</definedName>
    <definedName name="wrn.etafifrffrf2._2" localSheetId="8" hidden="1">{#N/A,"francaisfrf",FALSE,"UNITE";"ACTFRF",#N/A,FALSE,"ACTIF";"PASFRF",#N/A,FALSE,"PASSIF";"RESFRF",#N/A,FALSE,"RESULTATS";"FPFRF",#N/A,FALSE,"FP";"N03FRF",#N/A,FALSE,"NOTE03";"N04FRF",#N/A,FALSE,"NOTE04";"N05FRF",#N/A,FALSE,"NOTE05";"N06FRF",#N/A,FALSE,"NOTE06";"N07FRF",#N/A,FALSE,"NOTE07";"N08FRF",#N/A,FALSE,"NOTE08";"N09FRF",#N/A,FALSE,"NOTE09";"N10FRF",#N/A,FALSE,"NOTE10";"N11FRF",#N/A,FALSE,"NOTE11";"N12FRF",#N/A,FALSE,"NOTE12";"N13FRF",#N/A,FALSE,"NOTE13";"N14FRF",#N/A,FALSE,"NOTE14";"N15FRF",#N/A,FALSE,"NOTE15";"N16FRF",#N/A,FALSE,"NOTE16";"N17FRF",#N/A,FALSE,"NOTE17";"N18FRF",#N/A,FALSE,"NOTE18";"N19FRF",#N/A,FALSE,"NOTE19";"N20FRF",#N/A,FALSE,"NOTE20";"N21FRF",#N/A,FALSE,"NOTE21";"N22FRF",#N/A,FALSE,"NOTE22";"N23FRF",#N/A,FALSE,"NOTE23";"N24FRF",#N/A,FALSE,"NOTE24";"N25FRF",#N/A,FALSE,"NOTE25";"N26FRF",#N/A,FALSE,"NOTE26";"N27FRF",#N/A,FALSE,"NOTE27";"N28FRF",#N/A,FALSE,"NOTE28";"N29FRF",#N/A,FALSE,"NOTE29";"N30FRF",#N/A,FALSE,"NOTE30";"N31FRF",#N/A,FALSE,"NOTE31";"N32FRF",#N/A,FALSE,"NOTE32";"N33FRF",#N/A,FALSE,"NOTE33";"BILSOCFRF",#N/A,FALSE,"bilan soc";"RESSOCFRF",#N/A,FALSE,"PL soc";"cinqexFRF",#N/A,FALSE,"5ex"}</definedName>
    <definedName name="wrn.etafifrffrf2._2" localSheetId="10" hidden="1">{#N/A,"francaisfrf",FALSE,"UNITE";"ACTFRF",#N/A,FALSE,"ACTIF";"PASFRF",#N/A,FALSE,"PASSIF";"RESFRF",#N/A,FALSE,"RESULTATS";"FPFRF",#N/A,FALSE,"FP";"N03FRF",#N/A,FALSE,"NOTE03";"N04FRF",#N/A,FALSE,"NOTE04";"N05FRF",#N/A,FALSE,"NOTE05";"N06FRF",#N/A,FALSE,"NOTE06";"N07FRF",#N/A,FALSE,"NOTE07";"N08FRF",#N/A,FALSE,"NOTE08";"N09FRF",#N/A,FALSE,"NOTE09";"N10FRF",#N/A,FALSE,"NOTE10";"N11FRF",#N/A,FALSE,"NOTE11";"N12FRF",#N/A,FALSE,"NOTE12";"N13FRF",#N/A,FALSE,"NOTE13";"N14FRF",#N/A,FALSE,"NOTE14";"N15FRF",#N/A,FALSE,"NOTE15";"N16FRF",#N/A,FALSE,"NOTE16";"N17FRF",#N/A,FALSE,"NOTE17";"N18FRF",#N/A,FALSE,"NOTE18";"N19FRF",#N/A,FALSE,"NOTE19";"N20FRF",#N/A,FALSE,"NOTE20";"N21FRF",#N/A,FALSE,"NOTE21";"N22FRF",#N/A,FALSE,"NOTE22";"N23FRF",#N/A,FALSE,"NOTE23";"N24FRF",#N/A,FALSE,"NOTE24";"N25FRF",#N/A,FALSE,"NOTE25";"N26FRF",#N/A,FALSE,"NOTE26";"N27FRF",#N/A,FALSE,"NOTE27";"N28FRF",#N/A,FALSE,"NOTE28";"N29FRF",#N/A,FALSE,"NOTE29";"N30FRF",#N/A,FALSE,"NOTE30";"N31FRF",#N/A,FALSE,"NOTE31";"N32FRF",#N/A,FALSE,"NOTE32";"N33FRF",#N/A,FALSE,"NOTE33";"BILSOCFRF",#N/A,FALSE,"bilan soc";"RESSOCFRF",#N/A,FALSE,"PL soc";"cinqexFRF",#N/A,FALSE,"5ex"}</definedName>
    <definedName name="wrn.etafifrffrf2._2" hidden="1">{#N/A,"francaisfrf",FALSE,"UNITE";"ACTFRF",#N/A,FALSE,"ACTIF";"PASFRF",#N/A,FALSE,"PASSIF";"RESFRF",#N/A,FALSE,"RESULTATS";"FPFRF",#N/A,FALSE,"FP";"N03FRF",#N/A,FALSE,"NOTE03";"N04FRF",#N/A,FALSE,"NOTE04";"N05FRF",#N/A,FALSE,"NOTE05";"N06FRF",#N/A,FALSE,"NOTE06";"N07FRF",#N/A,FALSE,"NOTE07";"N08FRF",#N/A,FALSE,"NOTE08";"N09FRF",#N/A,FALSE,"NOTE09";"N10FRF",#N/A,FALSE,"NOTE10";"N11FRF",#N/A,FALSE,"NOTE11";"N12FRF",#N/A,FALSE,"NOTE12";"N13FRF",#N/A,FALSE,"NOTE13";"N14FRF",#N/A,FALSE,"NOTE14";"N15FRF",#N/A,FALSE,"NOTE15";"N16FRF",#N/A,FALSE,"NOTE16";"N17FRF",#N/A,FALSE,"NOTE17";"N18FRF",#N/A,FALSE,"NOTE18";"N19FRF",#N/A,FALSE,"NOTE19";"N20FRF",#N/A,FALSE,"NOTE20";"N21FRF",#N/A,FALSE,"NOTE21";"N22FRF",#N/A,FALSE,"NOTE22";"N23FRF",#N/A,FALSE,"NOTE23";"N24FRF",#N/A,FALSE,"NOTE24";"N25FRF",#N/A,FALSE,"NOTE25";"N26FRF",#N/A,FALSE,"NOTE26";"N27FRF",#N/A,FALSE,"NOTE27";"N28FRF",#N/A,FALSE,"NOTE28";"N29FRF",#N/A,FALSE,"NOTE29";"N30FRF",#N/A,FALSE,"NOTE30";"N31FRF",#N/A,FALSE,"NOTE31";"N32FRF",#N/A,FALSE,"NOTE32";"N33FRF",#N/A,FALSE,"NOTE33";"BILSOCFRF",#N/A,FALSE,"bilan soc";"RESSOCFRF",#N/A,FALSE,"PL soc";"cinqexFRF",#N/A,FALSE,"5ex"}</definedName>
    <definedName name="wrn.etafifrffrf2._2_1" localSheetId="9" hidden="1">{#N/A,"francaisfrf",FALSE,"UNITE";"ACTFRF",#N/A,FALSE,"ACTIF";"PASFRF",#N/A,FALSE,"PASSIF";"RESFRF",#N/A,FALSE,"RESULTATS";"FPFRF",#N/A,FALSE,"FP";"N03FRF",#N/A,FALSE,"NOTE03";"N04FRF",#N/A,FALSE,"NOTE04";"N05FRF",#N/A,FALSE,"NOTE05";"N06FRF",#N/A,FALSE,"NOTE06";"N07FRF",#N/A,FALSE,"NOTE07";"N08FRF",#N/A,FALSE,"NOTE08";"N09FRF",#N/A,FALSE,"NOTE09";"N10FRF",#N/A,FALSE,"NOTE10";"N11FRF",#N/A,FALSE,"NOTE11";"N12FRF",#N/A,FALSE,"NOTE12";"N13FRF",#N/A,FALSE,"NOTE13";"N14FRF",#N/A,FALSE,"NOTE14";"N15FRF",#N/A,FALSE,"NOTE15";"N16FRF",#N/A,FALSE,"NOTE16";"N17FRF",#N/A,FALSE,"NOTE17";"N18FRF",#N/A,FALSE,"NOTE18";"N19FRF",#N/A,FALSE,"NOTE19";"N20FRF",#N/A,FALSE,"NOTE20";"N21FRF",#N/A,FALSE,"NOTE21";"N22FRF",#N/A,FALSE,"NOTE22";"N23FRF",#N/A,FALSE,"NOTE23";"N24FRF",#N/A,FALSE,"NOTE24";"N25FRF",#N/A,FALSE,"NOTE25";"N26FRF",#N/A,FALSE,"NOTE26";"N27FRF",#N/A,FALSE,"NOTE27";"N28FRF",#N/A,FALSE,"NOTE28";"N29FRF",#N/A,FALSE,"NOTE29";"N30FRF",#N/A,FALSE,"NOTE30";"N31FRF",#N/A,FALSE,"NOTE31";"N32FRF",#N/A,FALSE,"NOTE32";"N33FRF",#N/A,FALSE,"NOTE33";"BILSOCFRF",#N/A,FALSE,"bilan soc";"RESSOCFRF",#N/A,FALSE,"PL soc";"cinqexFRF",#N/A,FALSE,"5ex"}</definedName>
    <definedName name="wrn.etafifrffrf2._2_1" localSheetId="12" hidden="1">{#N/A,"francaisfrf",FALSE,"UNITE";"ACTFRF",#N/A,FALSE,"ACTIF";"PASFRF",#N/A,FALSE,"PASSIF";"RESFRF",#N/A,FALSE,"RESULTATS";"FPFRF",#N/A,FALSE,"FP";"N03FRF",#N/A,FALSE,"NOTE03";"N04FRF",#N/A,FALSE,"NOTE04";"N05FRF",#N/A,FALSE,"NOTE05";"N06FRF",#N/A,FALSE,"NOTE06";"N07FRF",#N/A,FALSE,"NOTE07";"N08FRF",#N/A,FALSE,"NOTE08";"N09FRF",#N/A,FALSE,"NOTE09";"N10FRF",#N/A,FALSE,"NOTE10";"N11FRF",#N/A,FALSE,"NOTE11";"N12FRF",#N/A,FALSE,"NOTE12";"N13FRF",#N/A,FALSE,"NOTE13";"N14FRF",#N/A,FALSE,"NOTE14";"N15FRF",#N/A,FALSE,"NOTE15";"N16FRF",#N/A,FALSE,"NOTE16";"N17FRF",#N/A,FALSE,"NOTE17";"N18FRF",#N/A,FALSE,"NOTE18";"N19FRF",#N/A,FALSE,"NOTE19";"N20FRF",#N/A,FALSE,"NOTE20";"N21FRF",#N/A,FALSE,"NOTE21";"N22FRF",#N/A,FALSE,"NOTE22";"N23FRF",#N/A,FALSE,"NOTE23";"N24FRF",#N/A,FALSE,"NOTE24";"N25FRF",#N/A,FALSE,"NOTE25";"N26FRF",#N/A,FALSE,"NOTE26";"N27FRF",#N/A,FALSE,"NOTE27";"N28FRF",#N/A,FALSE,"NOTE28";"N29FRF",#N/A,FALSE,"NOTE29";"N30FRF",#N/A,FALSE,"NOTE30";"N31FRF",#N/A,FALSE,"NOTE31";"N32FRF",#N/A,FALSE,"NOTE32";"N33FRF",#N/A,FALSE,"NOTE33";"BILSOCFRF",#N/A,FALSE,"bilan soc";"RESSOCFRF",#N/A,FALSE,"PL soc";"cinqexFRF",#N/A,FALSE,"5ex"}</definedName>
    <definedName name="wrn.etafifrffrf2._2_1" localSheetId="7" hidden="1">{#N/A,"francaisfrf",FALSE,"UNITE";"ACTFRF",#N/A,FALSE,"ACTIF";"PASFRF",#N/A,FALSE,"PASSIF";"RESFRF",#N/A,FALSE,"RESULTATS";"FPFRF",#N/A,FALSE,"FP";"N03FRF",#N/A,FALSE,"NOTE03";"N04FRF",#N/A,FALSE,"NOTE04";"N05FRF",#N/A,FALSE,"NOTE05";"N06FRF",#N/A,FALSE,"NOTE06";"N07FRF",#N/A,FALSE,"NOTE07";"N08FRF",#N/A,FALSE,"NOTE08";"N09FRF",#N/A,FALSE,"NOTE09";"N10FRF",#N/A,FALSE,"NOTE10";"N11FRF",#N/A,FALSE,"NOTE11";"N12FRF",#N/A,FALSE,"NOTE12";"N13FRF",#N/A,FALSE,"NOTE13";"N14FRF",#N/A,FALSE,"NOTE14";"N15FRF",#N/A,FALSE,"NOTE15";"N16FRF",#N/A,FALSE,"NOTE16";"N17FRF",#N/A,FALSE,"NOTE17";"N18FRF",#N/A,FALSE,"NOTE18";"N19FRF",#N/A,FALSE,"NOTE19";"N20FRF",#N/A,FALSE,"NOTE20";"N21FRF",#N/A,FALSE,"NOTE21";"N22FRF",#N/A,FALSE,"NOTE22";"N23FRF",#N/A,FALSE,"NOTE23";"N24FRF",#N/A,FALSE,"NOTE24";"N25FRF",#N/A,FALSE,"NOTE25";"N26FRF",#N/A,FALSE,"NOTE26";"N27FRF",#N/A,FALSE,"NOTE27";"N28FRF",#N/A,FALSE,"NOTE28";"N29FRF",#N/A,FALSE,"NOTE29";"N30FRF",#N/A,FALSE,"NOTE30";"N31FRF",#N/A,FALSE,"NOTE31";"N32FRF",#N/A,FALSE,"NOTE32";"N33FRF",#N/A,FALSE,"NOTE33";"BILSOCFRF",#N/A,FALSE,"bilan soc";"RESSOCFRF",#N/A,FALSE,"PL soc";"cinqexFRF",#N/A,FALSE,"5ex"}</definedName>
    <definedName name="wrn.etafifrffrf2._2_1" localSheetId="8" hidden="1">{#N/A,"francaisfrf",FALSE,"UNITE";"ACTFRF",#N/A,FALSE,"ACTIF";"PASFRF",#N/A,FALSE,"PASSIF";"RESFRF",#N/A,FALSE,"RESULTATS";"FPFRF",#N/A,FALSE,"FP";"N03FRF",#N/A,FALSE,"NOTE03";"N04FRF",#N/A,FALSE,"NOTE04";"N05FRF",#N/A,FALSE,"NOTE05";"N06FRF",#N/A,FALSE,"NOTE06";"N07FRF",#N/A,FALSE,"NOTE07";"N08FRF",#N/A,FALSE,"NOTE08";"N09FRF",#N/A,FALSE,"NOTE09";"N10FRF",#N/A,FALSE,"NOTE10";"N11FRF",#N/A,FALSE,"NOTE11";"N12FRF",#N/A,FALSE,"NOTE12";"N13FRF",#N/A,FALSE,"NOTE13";"N14FRF",#N/A,FALSE,"NOTE14";"N15FRF",#N/A,FALSE,"NOTE15";"N16FRF",#N/A,FALSE,"NOTE16";"N17FRF",#N/A,FALSE,"NOTE17";"N18FRF",#N/A,FALSE,"NOTE18";"N19FRF",#N/A,FALSE,"NOTE19";"N20FRF",#N/A,FALSE,"NOTE20";"N21FRF",#N/A,FALSE,"NOTE21";"N22FRF",#N/A,FALSE,"NOTE22";"N23FRF",#N/A,FALSE,"NOTE23";"N24FRF",#N/A,FALSE,"NOTE24";"N25FRF",#N/A,FALSE,"NOTE25";"N26FRF",#N/A,FALSE,"NOTE26";"N27FRF",#N/A,FALSE,"NOTE27";"N28FRF",#N/A,FALSE,"NOTE28";"N29FRF",#N/A,FALSE,"NOTE29";"N30FRF",#N/A,FALSE,"NOTE30";"N31FRF",#N/A,FALSE,"NOTE31";"N32FRF",#N/A,FALSE,"NOTE32";"N33FRF",#N/A,FALSE,"NOTE33";"BILSOCFRF",#N/A,FALSE,"bilan soc";"RESSOCFRF",#N/A,FALSE,"PL soc";"cinqexFRF",#N/A,FALSE,"5ex"}</definedName>
    <definedName name="wrn.etafifrffrf2._2_1" localSheetId="10" hidden="1">{#N/A,"francaisfrf",FALSE,"UNITE";"ACTFRF",#N/A,FALSE,"ACTIF";"PASFRF",#N/A,FALSE,"PASSIF";"RESFRF",#N/A,FALSE,"RESULTATS";"FPFRF",#N/A,FALSE,"FP";"N03FRF",#N/A,FALSE,"NOTE03";"N04FRF",#N/A,FALSE,"NOTE04";"N05FRF",#N/A,FALSE,"NOTE05";"N06FRF",#N/A,FALSE,"NOTE06";"N07FRF",#N/A,FALSE,"NOTE07";"N08FRF",#N/A,FALSE,"NOTE08";"N09FRF",#N/A,FALSE,"NOTE09";"N10FRF",#N/A,FALSE,"NOTE10";"N11FRF",#N/A,FALSE,"NOTE11";"N12FRF",#N/A,FALSE,"NOTE12";"N13FRF",#N/A,FALSE,"NOTE13";"N14FRF",#N/A,FALSE,"NOTE14";"N15FRF",#N/A,FALSE,"NOTE15";"N16FRF",#N/A,FALSE,"NOTE16";"N17FRF",#N/A,FALSE,"NOTE17";"N18FRF",#N/A,FALSE,"NOTE18";"N19FRF",#N/A,FALSE,"NOTE19";"N20FRF",#N/A,FALSE,"NOTE20";"N21FRF",#N/A,FALSE,"NOTE21";"N22FRF",#N/A,FALSE,"NOTE22";"N23FRF",#N/A,FALSE,"NOTE23";"N24FRF",#N/A,FALSE,"NOTE24";"N25FRF",#N/A,FALSE,"NOTE25";"N26FRF",#N/A,FALSE,"NOTE26";"N27FRF",#N/A,FALSE,"NOTE27";"N28FRF",#N/A,FALSE,"NOTE28";"N29FRF",#N/A,FALSE,"NOTE29";"N30FRF",#N/A,FALSE,"NOTE30";"N31FRF",#N/A,FALSE,"NOTE31";"N32FRF",#N/A,FALSE,"NOTE32";"N33FRF",#N/A,FALSE,"NOTE33";"BILSOCFRF",#N/A,FALSE,"bilan soc";"RESSOCFRF",#N/A,FALSE,"PL soc";"cinqexFRF",#N/A,FALSE,"5ex"}</definedName>
    <definedName name="wrn.etafifrffrf2._2_1" hidden="1">{#N/A,"francaisfrf",FALSE,"UNITE";"ACTFRF",#N/A,FALSE,"ACTIF";"PASFRF",#N/A,FALSE,"PASSIF";"RESFRF",#N/A,FALSE,"RESULTATS";"FPFRF",#N/A,FALSE,"FP";"N03FRF",#N/A,FALSE,"NOTE03";"N04FRF",#N/A,FALSE,"NOTE04";"N05FRF",#N/A,FALSE,"NOTE05";"N06FRF",#N/A,FALSE,"NOTE06";"N07FRF",#N/A,FALSE,"NOTE07";"N08FRF",#N/A,FALSE,"NOTE08";"N09FRF",#N/A,FALSE,"NOTE09";"N10FRF",#N/A,FALSE,"NOTE10";"N11FRF",#N/A,FALSE,"NOTE11";"N12FRF",#N/A,FALSE,"NOTE12";"N13FRF",#N/A,FALSE,"NOTE13";"N14FRF",#N/A,FALSE,"NOTE14";"N15FRF",#N/A,FALSE,"NOTE15";"N16FRF",#N/A,FALSE,"NOTE16";"N17FRF",#N/A,FALSE,"NOTE17";"N18FRF",#N/A,FALSE,"NOTE18";"N19FRF",#N/A,FALSE,"NOTE19";"N20FRF",#N/A,FALSE,"NOTE20";"N21FRF",#N/A,FALSE,"NOTE21";"N22FRF",#N/A,FALSE,"NOTE22";"N23FRF",#N/A,FALSE,"NOTE23";"N24FRF",#N/A,FALSE,"NOTE24";"N25FRF",#N/A,FALSE,"NOTE25";"N26FRF",#N/A,FALSE,"NOTE26";"N27FRF",#N/A,FALSE,"NOTE27";"N28FRF",#N/A,FALSE,"NOTE28";"N29FRF",#N/A,FALSE,"NOTE29";"N30FRF",#N/A,FALSE,"NOTE30";"N31FRF",#N/A,FALSE,"NOTE31";"N32FRF",#N/A,FALSE,"NOTE32";"N33FRF",#N/A,FALSE,"NOTE33";"BILSOCFRF",#N/A,FALSE,"bilan soc";"RESSOCFRF",#N/A,FALSE,"PL soc";"cinqexFRF",#N/A,FALSE,"5ex"}</definedName>
    <definedName name="wrn.etafifrffrf2._2_1_1" localSheetId="12" hidden="1">{#N/A,"francaisfrf",FALSE,"UNITE";"ACTFRF",#N/A,FALSE,"ACTIF";"PASFRF",#N/A,FALSE,"PASSIF";"RESFRF",#N/A,FALSE,"RESULTATS";"FPFRF",#N/A,FALSE,"FP";"N03FRF",#N/A,FALSE,"NOTE03";"N04FRF",#N/A,FALSE,"NOTE04";"N05FRF",#N/A,FALSE,"NOTE05";"N06FRF",#N/A,FALSE,"NOTE06";"N07FRF",#N/A,FALSE,"NOTE07";"N08FRF",#N/A,FALSE,"NOTE08";"N09FRF",#N/A,FALSE,"NOTE09";"N10FRF",#N/A,FALSE,"NOTE10";"N11FRF",#N/A,FALSE,"NOTE11";"N12FRF",#N/A,FALSE,"NOTE12";"N13FRF",#N/A,FALSE,"NOTE13";"N14FRF",#N/A,FALSE,"NOTE14";"N15FRF",#N/A,FALSE,"NOTE15";"N16FRF",#N/A,FALSE,"NOTE16";"N17FRF",#N/A,FALSE,"NOTE17";"N18FRF",#N/A,FALSE,"NOTE18";"N19FRF",#N/A,FALSE,"NOTE19";"N20FRF",#N/A,FALSE,"NOTE20";"N21FRF",#N/A,FALSE,"NOTE21";"N22FRF",#N/A,FALSE,"NOTE22";"N23FRF",#N/A,FALSE,"NOTE23";"N24FRF",#N/A,FALSE,"NOTE24";"N25FRF",#N/A,FALSE,"NOTE25";"N26FRF",#N/A,FALSE,"NOTE26";"N27FRF",#N/A,FALSE,"NOTE27";"N28FRF",#N/A,FALSE,"NOTE28";"N29FRF",#N/A,FALSE,"NOTE29";"N30FRF",#N/A,FALSE,"NOTE30";"N31FRF",#N/A,FALSE,"NOTE31";"N32FRF",#N/A,FALSE,"NOTE32";"N33FRF",#N/A,FALSE,"NOTE33";"BILSOCFRF",#N/A,FALSE,"bilan soc";"RESSOCFRF",#N/A,FALSE,"PL soc";"cinqexFRF",#N/A,FALSE,"5ex"}</definedName>
    <definedName name="wrn.etafifrffrf2._2_1_1" hidden="1">{#N/A,"francaisfrf",FALSE,"UNITE";"ACTFRF",#N/A,FALSE,"ACTIF";"PASFRF",#N/A,FALSE,"PASSIF";"RESFRF",#N/A,FALSE,"RESULTATS";"FPFRF",#N/A,FALSE,"FP";"N03FRF",#N/A,FALSE,"NOTE03";"N04FRF",#N/A,FALSE,"NOTE04";"N05FRF",#N/A,FALSE,"NOTE05";"N06FRF",#N/A,FALSE,"NOTE06";"N07FRF",#N/A,FALSE,"NOTE07";"N08FRF",#N/A,FALSE,"NOTE08";"N09FRF",#N/A,FALSE,"NOTE09";"N10FRF",#N/A,FALSE,"NOTE10";"N11FRF",#N/A,FALSE,"NOTE11";"N12FRF",#N/A,FALSE,"NOTE12";"N13FRF",#N/A,FALSE,"NOTE13";"N14FRF",#N/A,FALSE,"NOTE14";"N15FRF",#N/A,FALSE,"NOTE15";"N16FRF",#N/A,FALSE,"NOTE16";"N17FRF",#N/A,FALSE,"NOTE17";"N18FRF",#N/A,FALSE,"NOTE18";"N19FRF",#N/A,FALSE,"NOTE19";"N20FRF",#N/A,FALSE,"NOTE20";"N21FRF",#N/A,FALSE,"NOTE21";"N22FRF",#N/A,FALSE,"NOTE22";"N23FRF",#N/A,FALSE,"NOTE23";"N24FRF",#N/A,FALSE,"NOTE24";"N25FRF",#N/A,FALSE,"NOTE25";"N26FRF",#N/A,FALSE,"NOTE26";"N27FRF",#N/A,FALSE,"NOTE27";"N28FRF",#N/A,FALSE,"NOTE28";"N29FRF",#N/A,FALSE,"NOTE29";"N30FRF",#N/A,FALSE,"NOTE30";"N31FRF",#N/A,FALSE,"NOTE31";"N32FRF",#N/A,FALSE,"NOTE32";"N33FRF",#N/A,FALSE,"NOTE33";"BILSOCFRF",#N/A,FALSE,"bilan soc";"RESSOCFRF",#N/A,FALSE,"PL soc";"cinqexFRF",#N/A,FALSE,"5ex"}</definedName>
    <definedName name="wrn.etafifrffrf2._2_1_2" hidden="1">{#N/A,"francaisfrf",FALSE,"UNITE";"ACTFRF",#N/A,FALSE,"ACTIF";"PASFRF",#N/A,FALSE,"PASSIF";"RESFRF",#N/A,FALSE,"RESULTATS";"FPFRF",#N/A,FALSE,"FP";"N03FRF",#N/A,FALSE,"NOTE03";"N04FRF",#N/A,FALSE,"NOTE04";"N05FRF",#N/A,FALSE,"NOTE05";"N06FRF",#N/A,FALSE,"NOTE06";"N07FRF",#N/A,FALSE,"NOTE07";"N08FRF",#N/A,FALSE,"NOTE08";"N09FRF",#N/A,FALSE,"NOTE09";"N10FRF",#N/A,FALSE,"NOTE10";"N11FRF",#N/A,FALSE,"NOTE11";"N12FRF",#N/A,FALSE,"NOTE12";"N13FRF",#N/A,FALSE,"NOTE13";"N14FRF",#N/A,FALSE,"NOTE14";"N15FRF",#N/A,FALSE,"NOTE15";"N16FRF",#N/A,FALSE,"NOTE16";"N17FRF",#N/A,FALSE,"NOTE17";"N18FRF",#N/A,FALSE,"NOTE18";"N19FRF",#N/A,FALSE,"NOTE19";"N20FRF",#N/A,FALSE,"NOTE20";"N21FRF",#N/A,FALSE,"NOTE21";"N22FRF",#N/A,FALSE,"NOTE22";"N23FRF",#N/A,FALSE,"NOTE23";"N24FRF",#N/A,FALSE,"NOTE24";"N25FRF",#N/A,FALSE,"NOTE25";"N26FRF",#N/A,FALSE,"NOTE26";"N27FRF",#N/A,FALSE,"NOTE27";"N28FRF",#N/A,FALSE,"NOTE28";"N29FRF",#N/A,FALSE,"NOTE29";"N30FRF",#N/A,FALSE,"NOTE30";"N31FRF",#N/A,FALSE,"NOTE31";"N32FRF",#N/A,FALSE,"NOTE32";"N33FRF",#N/A,FALSE,"NOTE33";"BILSOCFRF",#N/A,FALSE,"bilan soc";"RESSOCFRF",#N/A,FALSE,"PL soc";"cinqexFRF",#N/A,FALSE,"5ex"}</definedName>
    <definedName name="wrn.etafifrffrf2._2_2" localSheetId="12" hidden="1">{#N/A,"francaisfrf",FALSE,"UNITE";"ACTFRF",#N/A,FALSE,"ACTIF";"PASFRF",#N/A,FALSE,"PASSIF";"RESFRF",#N/A,FALSE,"RESULTATS";"FPFRF",#N/A,FALSE,"FP";"N03FRF",#N/A,FALSE,"NOTE03";"N04FRF",#N/A,FALSE,"NOTE04";"N05FRF",#N/A,FALSE,"NOTE05";"N06FRF",#N/A,FALSE,"NOTE06";"N07FRF",#N/A,FALSE,"NOTE07";"N08FRF",#N/A,FALSE,"NOTE08";"N09FRF",#N/A,FALSE,"NOTE09";"N10FRF",#N/A,FALSE,"NOTE10";"N11FRF",#N/A,FALSE,"NOTE11";"N12FRF",#N/A,FALSE,"NOTE12";"N13FRF",#N/A,FALSE,"NOTE13";"N14FRF",#N/A,FALSE,"NOTE14";"N15FRF",#N/A,FALSE,"NOTE15";"N16FRF",#N/A,FALSE,"NOTE16";"N17FRF",#N/A,FALSE,"NOTE17";"N18FRF",#N/A,FALSE,"NOTE18";"N19FRF",#N/A,FALSE,"NOTE19";"N20FRF",#N/A,FALSE,"NOTE20";"N21FRF",#N/A,FALSE,"NOTE21";"N22FRF",#N/A,FALSE,"NOTE22";"N23FRF",#N/A,FALSE,"NOTE23";"N24FRF",#N/A,FALSE,"NOTE24";"N25FRF",#N/A,FALSE,"NOTE25";"N26FRF",#N/A,FALSE,"NOTE26";"N27FRF",#N/A,FALSE,"NOTE27";"N28FRF",#N/A,FALSE,"NOTE28";"N29FRF",#N/A,FALSE,"NOTE29";"N30FRF",#N/A,FALSE,"NOTE30";"N31FRF",#N/A,FALSE,"NOTE31";"N32FRF",#N/A,FALSE,"NOTE32";"N33FRF",#N/A,FALSE,"NOTE33";"BILSOCFRF",#N/A,FALSE,"bilan soc";"RESSOCFRF",#N/A,FALSE,"PL soc";"cinqexFRF",#N/A,FALSE,"5ex"}</definedName>
    <definedName name="wrn.etafifrffrf2._2_2" hidden="1">{#N/A,"francaisfrf",FALSE,"UNITE";"ACTFRF",#N/A,FALSE,"ACTIF";"PASFRF",#N/A,FALSE,"PASSIF";"RESFRF",#N/A,FALSE,"RESULTATS";"FPFRF",#N/A,FALSE,"FP";"N03FRF",#N/A,FALSE,"NOTE03";"N04FRF",#N/A,FALSE,"NOTE04";"N05FRF",#N/A,FALSE,"NOTE05";"N06FRF",#N/A,FALSE,"NOTE06";"N07FRF",#N/A,FALSE,"NOTE07";"N08FRF",#N/A,FALSE,"NOTE08";"N09FRF",#N/A,FALSE,"NOTE09";"N10FRF",#N/A,FALSE,"NOTE10";"N11FRF",#N/A,FALSE,"NOTE11";"N12FRF",#N/A,FALSE,"NOTE12";"N13FRF",#N/A,FALSE,"NOTE13";"N14FRF",#N/A,FALSE,"NOTE14";"N15FRF",#N/A,FALSE,"NOTE15";"N16FRF",#N/A,FALSE,"NOTE16";"N17FRF",#N/A,FALSE,"NOTE17";"N18FRF",#N/A,FALSE,"NOTE18";"N19FRF",#N/A,FALSE,"NOTE19";"N20FRF",#N/A,FALSE,"NOTE20";"N21FRF",#N/A,FALSE,"NOTE21";"N22FRF",#N/A,FALSE,"NOTE22";"N23FRF",#N/A,FALSE,"NOTE23";"N24FRF",#N/A,FALSE,"NOTE24";"N25FRF",#N/A,FALSE,"NOTE25";"N26FRF",#N/A,FALSE,"NOTE26";"N27FRF",#N/A,FALSE,"NOTE27";"N28FRF",#N/A,FALSE,"NOTE28";"N29FRF",#N/A,FALSE,"NOTE29";"N30FRF",#N/A,FALSE,"NOTE30";"N31FRF",#N/A,FALSE,"NOTE31";"N32FRF",#N/A,FALSE,"NOTE32";"N33FRF",#N/A,FALSE,"NOTE33";"BILSOCFRF",#N/A,FALSE,"bilan soc";"RESSOCFRF",#N/A,FALSE,"PL soc";"cinqexFRF",#N/A,FALSE,"5ex"}</definedName>
    <definedName name="wrn.etafifrffrf2._2_3" localSheetId="12" hidden="1">{#N/A,"francaisfrf",FALSE,"UNITE";"ACTFRF",#N/A,FALSE,"ACTIF";"PASFRF",#N/A,FALSE,"PASSIF";"RESFRF",#N/A,FALSE,"RESULTATS";"FPFRF",#N/A,FALSE,"FP";"N03FRF",#N/A,FALSE,"NOTE03";"N04FRF",#N/A,FALSE,"NOTE04";"N05FRF",#N/A,FALSE,"NOTE05";"N06FRF",#N/A,FALSE,"NOTE06";"N07FRF",#N/A,FALSE,"NOTE07";"N08FRF",#N/A,FALSE,"NOTE08";"N09FRF",#N/A,FALSE,"NOTE09";"N10FRF",#N/A,FALSE,"NOTE10";"N11FRF",#N/A,FALSE,"NOTE11";"N12FRF",#N/A,FALSE,"NOTE12";"N13FRF",#N/A,FALSE,"NOTE13";"N14FRF",#N/A,FALSE,"NOTE14";"N15FRF",#N/A,FALSE,"NOTE15";"N16FRF",#N/A,FALSE,"NOTE16";"N17FRF",#N/A,FALSE,"NOTE17";"N18FRF",#N/A,FALSE,"NOTE18";"N19FRF",#N/A,FALSE,"NOTE19";"N20FRF",#N/A,FALSE,"NOTE20";"N21FRF",#N/A,FALSE,"NOTE21";"N22FRF",#N/A,FALSE,"NOTE22";"N23FRF",#N/A,FALSE,"NOTE23";"N24FRF",#N/A,FALSE,"NOTE24";"N25FRF",#N/A,FALSE,"NOTE25";"N26FRF",#N/A,FALSE,"NOTE26";"N27FRF",#N/A,FALSE,"NOTE27";"N28FRF",#N/A,FALSE,"NOTE28";"N29FRF",#N/A,FALSE,"NOTE29";"N30FRF",#N/A,FALSE,"NOTE30";"N31FRF",#N/A,FALSE,"NOTE31";"N32FRF",#N/A,FALSE,"NOTE32";"N33FRF",#N/A,FALSE,"NOTE33";"BILSOCFRF",#N/A,FALSE,"bilan soc";"RESSOCFRF",#N/A,FALSE,"PL soc";"cinqexFRF",#N/A,FALSE,"5ex"}</definedName>
    <definedName name="wrn.etafifrffrf2._2_3" hidden="1">{#N/A,"francaisfrf",FALSE,"UNITE";"ACTFRF",#N/A,FALSE,"ACTIF";"PASFRF",#N/A,FALSE,"PASSIF";"RESFRF",#N/A,FALSE,"RESULTATS";"FPFRF",#N/A,FALSE,"FP";"N03FRF",#N/A,FALSE,"NOTE03";"N04FRF",#N/A,FALSE,"NOTE04";"N05FRF",#N/A,FALSE,"NOTE05";"N06FRF",#N/A,FALSE,"NOTE06";"N07FRF",#N/A,FALSE,"NOTE07";"N08FRF",#N/A,FALSE,"NOTE08";"N09FRF",#N/A,FALSE,"NOTE09";"N10FRF",#N/A,FALSE,"NOTE10";"N11FRF",#N/A,FALSE,"NOTE11";"N12FRF",#N/A,FALSE,"NOTE12";"N13FRF",#N/A,FALSE,"NOTE13";"N14FRF",#N/A,FALSE,"NOTE14";"N15FRF",#N/A,FALSE,"NOTE15";"N16FRF",#N/A,FALSE,"NOTE16";"N17FRF",#N/A,FALSE,"NOTE17";"N18FRF",#N/A,FALSE,"NOTE18";"N19FRF",#N/A,FALSE,"NOTE19";"N20FRF",#N/A,FALSE,"NOTE20";"N21FRF",#N/A,FALSE,"NOTE21";"N22FRF",#N/A,FALSE,"NOTE22";"N23FRF",#N/A,FALSE,"NOTE23";"N24FRF",#N/A,FALSE,"NOTE24";"N25FRF",#N/A,FALSE,"NOTE25";"N26FRF",#N/A,FALSE,"NOTE26";"N27FRF",#N/A,FALSE,"NOTE27";"N28FRF",#N/A,FALSE,"NOTE28";"N29FRF",#N/A,FALSE,"NOTE29";"N30FRF",#N/A,FALSE,"NOTE30";"N31FRF",#N/A,FALSE,"NOTE31";"N32FRF",#N/A,FALSE,"NOTE32";"N33FRF",#N/A,FALSE,"NOTE33";"BILSOCFRF",#N/A,FALSE,"bilan soc";"RESSOCFRF",#N/A,FALSE,"PL soc";"cinqexFRF",#N/A,FALSE,"5ex"}</definedName>
    <definedName name="wrn.etafifrffrf2._3" localSheetId="9" hidden="1">{#N/A,"francaisfrf",FALSE,"UNITE";"ACTFRF",#N/A,FALSE,"ACTIF";"PASFRF",#N/A,FALSE,"PASSIF";"RESFRF",#N/A,FALSE,"RESULTATS";"FPFRF",#N/A,FALSE,"FP";"N03FRF",#N/A,FALSE,"NOTE03";"N04FRF",#N/A,FALSE,"NOTE04";"N05FRF",#N/A,FALSE,"NOTE05";"N06FRF",#N/A,FALSE,"NOTE06";"N07FRF",#N/A,FALSE,"NOTE07";"N08FRF",#N/A,FALSE,"NOTE08";"N09FRF",#N/A,FALSE,"NOTE09";"N10FRF",#N/A,FALSE,"NOTE10";"N11FRF",#N/A,FALSE,"NOTE11";"N12FRF",#N/A,FALSE,"NOTE12";"N13FRF",#N/A,FALSE,"NOTE13";"N14FRF",#N/A,FALSE,"NOTE14";"N15FRF",#N/A,FALSE,"NOTE15";"N16FRF",#N/A,FALSE,"NOTE16";"N17FRF",#N/A,FALSE,"NOTE17";"N18FRF",#N/A,FALSE,"NOTE18";"N19FRF",#N/A,FALSE,"NOTE19";"N20FRF",#N/A,FALSE,"NOTE20";"N21FRF",#N/A,FALSE,"NOTE21";"N22FRF",#N/A,FALSE,"NOTE22";"N23FRF",#N/A,FALSE,"NOTE23";"N24FRF",#N/A,FALSE,"NOTE24";"N25FRF",#N/A,FALSE,"NOTE25";"N26FRF",#N/A,FALSE,"NOTE26";"N27FRF",#N/A,FALSE,"NOTE27";"N28FRF",#N/A,FALSE,"NOTE28";"N29FRF",#N/A,FALSE,"NOTE29";"N30FRF",#N/A,FALSE,"NOTE30";"N31FRF",#N/A,FALSE,"NOTE31";"N32FRF",#N/A,FALSE,"NOTE32";"N33FRF",#N/A,FALSE,"NOTE33";"BILSOCFRF",#N/A,FALSE,"bilan soc";"RESSOCFRF",#N/A,FALSE,"PL soc";"cinqexFRF",#N/A,FALSE,"5ex"}</definedName>
    <definedName name="wrn.etafifrffrf2._3" localSheetId="12" hidden="1">{#N/A,"francaisfrf",FALSE,"UNITE";"ACTFRF",#N/A,FALSE,"ACTIF";"PASFRF",#N/A,FALSE,"PASSIF";"RESFRF",#N/A,FALSE,"RESULTATS";"FPFRF",#N/A,FALSE,"FP";"N03FRF",#N/A,FALSE,"NOTE03";"N04FRF",#N/A,FALSE,"NOTE04";"N05FRF",#N/A,FALSE,"NOTE05";"N06FRF",#N/A,FALSE,"NOTE06";"N07FRF",#N/A,FALSE,"NOTE07";"N08FRF",#N/A,FALSE,"NOTE08";"N09FRF",#N/A,FALSE,"NOTE09";"N10FRF",#N/A,FALSE,"NOTE10";"N11FRF",#N/A,FALSE,"NOTE11";"N12FRF",#N/A,FALSE,"NOTE12";"N13FRF",#N/A,FALSE,"NOTE13";"N14FRF",#N/A,FALSE,"NOTE14";"N15FRF",#N/A,FALSE,"NOTE15";"N16FRF",#N/A,FALSE,"NOTE16";"N17FRF",#N/A,FALSE,"NOTE17";"N18FRF",#N/A,FALSE,"NOTE18";"N19FRF",#N/A,FALSE,"NOTE19";"N20FRF",#N/A,FALSE,"NOTE20";"N21FRF",#N/A,FALSE,"NOTE21";"N22FRF",#N/A,FALSE,"NOTE22";"N23FRF",#N/A,FALSE,"NOTE23";"N24FRF",#N/A,FALSE,"NOTE24";"N25FRF",#N/A,FALSE,"NOTE25";"N26FRF",#N/A,FALSE,"NOTE26";"N27FRF",#N/A,FALSE,"NOTE27";"N28FRF",#N/A,FALSE,"NOTE28";"N29FRF",#N/A,FALSE,"NOTE29";"N30FRF",#N/A,FALSE,"NOTE30";"N31FRF",#N/A,FALSE,"NOTE31";"N32FRF",#N/A,FALSE,"NOTE32";"N33FRF",#N/A,FALSE,"NOTE33";"BILSOCFRF",#N/A,FALSE,"bilan soc";"RESSOCFRF",#N/A,FALSE,"PL soc";"cinqexFRF",#N/A,FALSE,"5ex"}</definedName>
    <definedName name="wrn.etafifrffrf2._3" localSheetId="7" hidden="1">{#N/A,"francaisfrf",FALSE,"UNITE";"ACTFRF",#N/A,FALSE,"ACTIF";"PASFRF",#N/A,FALSE,"PASSIF";"RESFRF",#N/A,FALSE,"RESULTATS";"FPFRF",#N/A,FALSE,"FP";"N03FRF",#N/A,FALSE,"NOTE03";"N04FRF",#N/A,FALSE,"NOTE04";"N05FRF",#N/A,FALSE,"NOTE05";"N06FRF",#N/A,FALSE,"NOTE06";"N07FRF",#N/A,FALSE,"NOTE07";"N08FRF",#N/A,FALSE,"NOTE08";"N09FRF",#N/A,FALSE,"NOTE09";"N10FRF",#N/A,FALSE,"NOTE10";"N11FRF",#N/A,FALSE,"NOTE11";"N12FRF",#N/A,FALSE,"NOTE12";"N13FRF",#N/A,FALSE,"NOTE13";"N14FRF",#N/A,FALSE,"NOTE14";"N15FRF",#N/A,FALSE,"NOTE15";"N16FRF",#N/A,FALSE,"NOTE16";"N17FRF",#N/A,FALSE,"NOTE17";"N18FRF",#N/A,FALSE,"NOTE18";"N19FRF",#N/A,FALSE,"NOTE19";"N20FRF",#N/A,FALSE,"NOTE20";"N21FRF",#N/A,FALSE,"NOTE21";"N22FRF",#N/A,FALSE,"NOTE22";"N23FRF",#N/A,FALSE,"NOTE23";"N24FRF",#N/A,FALSE,"NOTE24";"N25FRF",#N/A,FALSE,"NOTE25";"N26FRF",#N/A,FALSE,"NOTE26";"N27FRF",#N/A,FALSE,"NOTE27";"N28FRF",#N/A,FALSE,"NOTE28";"N29FRF",#N/A,FALSE,"NOTE29";"N30FRF",#N/A,FALSE,"NOTE30";"N31FRF",#N/A,FALSE,"NOTE31";"N32FRF",#N/A,FALSE,"NOTE32";"N33FRF",#N/A,FALSE,"NOTE33";"BILSOCFRF",#N/A,FALSE,"bilan soc";"RESSOCFRF",#N/A,FALSE,"PL soc";"cinqexFRF",#N/A,FALSE,"5ex"}</definedName>
    <definedName name="wrn.etafifrffrf2._3" localSheetId="8" hidden="1">{#N/A,"francaisfrf",FALSE,"UNITE";"ACTFRF",#N/A,FALSE,"ACTIF";"PASFRF",#N/A,FALSE,"PASSIF";"RESFRF",#N/A,FALSE,"RESULTATS";"FPFRF",#N/A,FALSE,"FP";"N03FRF",#N/A,FALSE,"NOTE03";"N04FRF",#N/A,FALSE,"NOTE04";"N05FRF",#N/A,FALSE,"NOTE05";"N06FRF",#N/A,FALSE,"NOTE06";"N07FRF",#N/A,FALSE,"NOTE07";"N08FRF",#N/A,FALSE,"NOTE08";"N09FRF",#N/A,FALSE,"NOTE09";"N10FRF",#N/A,FALSE,"NOTE10";"N11FRF",#N/A,FALSE,"NOTE11";"N12FRF",#N/A,FALSE,"NOTE12";"N13FRF",#N/A,FALSE,"NOTE13";"N14FRF",#N/A,FALSE,"NOTE14";"N15FRF",#N/A,FALSE,"NOTE15";"N16FRF",#N/A,FALSE,"NOTE16";"N17FRF",#N/A,FALSE,"NOTE17";"N18FRF",#N/A,FALSE,"NOTE18";"N19FRF",#N/A,FALSE,"NOTE19";"N20FRF",#N/A,FALSE,"NOTE20";"N21FRF",#N/A,FALSE,"NOTE21";"N22FRF",#N/A,FALSE,"NOTE22";"N23FRF",#N/A,FALSE,"NOTE23";"N24FRF",#N/A,FALSE,"NOTE24";"N25FRF",#N/A,FALSE,"NOTE25";"N26FRF",#N/A,FALSE,"NOTE26";"N27FRF",#N/A,FALSE,"NOTE27";"N28FRF",#N/A,FALSE,"NOTE28";"N29FRF",#N/A,FALSE,"NOTE29";"N30FRF",#N/A,FALSE,"NOTE30";"N31FRF",#N/A,FALSE,"NOTE31";"N32FRF",#N/A,FALSE,"NOTE32";"N33FRF",#N/A,FALSE,"NOTE33";"BILSOCFRF",#N/A,FALSE,"bilan soc";"RESSOCFRF",#N/A,FALSE,"PL soc";"cinqexFRF",#N/A,FALSE,"5ex"}</definedName>
    <definedName name="wrn.etafifrffrf2._3" localSheetId="10" hidden="1">{#N/A,"francaisfrf",FALSE,"UNITE";"ACTFRF",#N/A,FALSE,"ACTIF";"PASFRF",#N/A,FALSE,"PASSIF";"RESFRF",#N/A,FALSE,"RESULTATS";"FPFRF",#N/A,FALSE,"FP";"N03FRF",#N/A,FALSE,"NOTE03";"N04FRF",#N/A,FALSE,"NOTE04";"N05FRF",#N/A,FALSE,"NOTE05";"N06FRF",#N/A,FALSE,"NOTE06";"N07FRF",#N/A,FALSE,"NOTE07";"N08FRF",#N/A,FALSE,"NOTE08";"N09FRF",#N/A,FALSE,"NOTE09";"N10FRF",#N/A,FALSE,"NOTE10";"N11FRF",#N/A,FALSE,"NOTE11";"N12FRF",#N/A,FALSE,"NOTE12";"N13FRF",#N/A,FALSE,"NOTE13";"N14FRF",#N/A,FALSE,"NOTE14";"N15FRF",#N/A,FALSE,"NOTE15";"N16FRF",#N/A,FALSE,"NOTE16";"N17FRF",#N/A,FALSE,"NOTE17";"N18FRF",#N/A,FALSE,"NOTE18";"N19FRF",#N/A,FALSE,"NOTE19";"N20FRF",#N/A,FALSE,"NOTE20";"N21FRF",#N/A,FALSE,"NOTE21";"N22FRF",#N/A,FALSE,"NOTE22";"N23FRF",#N/A,FALSE,"NOTE23";"N24FRF",#N/A,FALSE,"NOTE24";"N25FRF",#N/A,FALSE,"NOTE25";"N26FRF",#N/A,FALSE,"NOTE26";"N27FRF",#N/A,FALSE,"NOTE27";"N28FRF",#N/A,FALSE,"NOTE28";"N29FRF",#N/A,FALSE,"NOTE29";"N30FRF",#N/A,FALSE,"NOTE30";"N31FRF",#N/A,FALSE,"NOTE31";"N32FRF",#N/A,FALSE,"NOTE32";"N33FRF",#N/A,FALSE,"NOTE33";"BILSOCFRF",#N/A,FALSE,"bilan soc";"RESSOCFRF",#N/A,FALSE,"PL soc";"cinqexFRF",#N/A,FALSE,"5ex"}</definedName>
    <definedName name="wrn.etafifrffrf2._3" hidden="1">{#N/A,"francaisfrf",FALSE,"UNITE";"ACTFRF",#N/A,FALSE,"ACTIF";"PASFRF",#N/A,FALSE,"PASSIF";"RESFRF",#N/A,FALSE,"RESULTATS";"FPFRF",#N/A,FALSE,"FP";"N03FRF",#N/A,FALSE,"NOTE03";"N04FRF",#N/A,FALSE,"NOTE04";"N05FRF",#N/A,FALSE,"NOTE05";"N06FRF",#N/A,FALSE,"NOTE06";"N07FRF",#N/A,FALSE,"NOTE07";"N08FRF",#N/A,FALSE,"NOTE08";"N09FRF",#N/A,FALSE,"NOTE09";"N10FRF",#N/A,FALSE,"NOTE10";"N11FRF",#N/A,FALSE,"NOTE11";"N12FRF",#N/A,FALSE,"NOTE12";"N13FRF",#N/A,FALSE,"NOTE13";"N14FRF",#N/A,FALSE,"NOTE14";"N15FRF",#N/A,FALSE,"NOTE15";"N16FRF",#N/A,FALSE,"NOTE16";"N17FRF",#N/A,FALSE,"NOTE17";"N18FRF",#N/A,FALSE,"NOTE18";"N19FRF",#N/A,FALSE,"NOTE19";"N20FRF",#N/A,FALSE,"NOTE20";"N21FRF",#N/A,FALSE,"NOTE21";"N22FRF",#N/A,FALSE,"NOTE22";"N23FRF",#N/A,FALSE,"NOTE23";"N24FRF",#N/A,FALSE,"NOTE24";"N25FRF",#N/A,FALSE,"NOTE25";"N26FRF",#N/A,FALSE,"NOTE26";"N27FRF",#N/A,FALSE,"NOTE27";"N28FRF",#N/A,FALSE,"NOTE28";"N29FRF",#N/A,FALSE,"NOTE29";"N30FRF",#N/A,FALSE,"NOTE30";"N31FRF",#N/A,FALSE,"NOTE31";"N32FRF",#N/A,FALSE,"NOTE32";"N33FRF",#N/A,FALSE,"NOTE33";"BILSOCFRF",#N/A,FALSE,"bilan soc";"RESSOCFRF",#N/A,FALSE,"PL soc";"cinqexFRF",#N/A,FALSE,"5ex"}</definedName>
    <definedName name="wrn.etafifrffrf2._3_1" localSheetId="9" hidden="1">{#N/A,"francaisfrf",FALSE,"UNITE";"ACTFRF",#N/A,FALSE,"ACTIF";"PASFRF",#N/A,FALSE,"PASSIF";"RESFRF",#N/A,FALSE,"RESULTATS";"FPFRF",#N/A,FALSE,"FP";"N03FRF",#N/A,FALSE,"NOTE03";"N04FRF",#N/A,FALSE,"NOTE04";"N05FRF",#N/A,FALSE,"NOTE05";"N06FRF",#N/A,FALSE,"NOTE06";"N07FRF",#N/A,FALSE,"NOTE07";"N08FRF",#N/A,FALSE,"NOTE08";"N09FRF",#N/A,FALSE,"NOTE09";"N10FRF",#N/A,FALSE,"NOTE10";"N11FRF",#N/A,FALSE,"NOTE11";"N12FRF",#N/A,FALSE,"NOTE12";"N13FRF",#N/A,FALSE,"NOTE13";"N14FRF",#N/A,FALSE,"NOTE14";"N15FRF",#N/A,FALSE,"NOTE15";"N16FRF",#N/A,FALSE,"NOTE16";"N17FRF",#N/A,FALSE,"NOTE17";"N18FRF",#N/A,FALSE,"NOTE18";"N19FRF",#N/A,FALSE,"NOTE19";"N20FRF",#N/A,FALSE,"NOTE20";"N21FRF",#N/A,FALSE,"NOTE21";"N22FRF",#N/A,FALSE,"NOTE22";"N23FRF",#N/A,FALSE,"NOTE23";"N24FRF",#N/A,FALSE,"NOTE24";"N25FRF",#N/A,FALSE,"NOTE25";"N26FRF",#N/A,FALSE,"NOTE26";"N27FRF",#N/A,FALSE,"NOTE27";"N28FRF",#N/A,FALSE,"NOTE28";"N29FRF",#N/A,FALSE,"NOTE29";"N30FRF",#N/A,FALSE,"NOTE30";"N31FRF",#N/A,FALSE,"NOTE31";"N32FRF",#N/A,FALSE,"NOTE32";"N33FRF",#N/A,FALSE,"NOTE33";"BILSOCFRF",#N/A,FALSE,"bilan soc";"RESSOCFRF",#N/A,FALSE,"PL soc";"cinqexFRF",#N/A,FALSE,"5ex"}</definedName>
    <definedName name="wrn.etafifrffrf2._3_1" localSheetId="12" hidden="1">{#N/A,"francaisfrf",FALSE,"UNITE";"ACTFRF",#N/A,FALSE,"ACTIF";"PASFRF",#N/A,FALSE,"PASSIF";"RESFRF",#N/A,FALSE,"RESULTATS";"FPFRF",#N/A,FALSE,"FP";"N03FRF",#N/A,FALSE,"NOTE03";"N04FRF",#N/A,FALSE,"NOTE04";"N05FRF",#N/A,FALSE,"NOTE05";"N06FRF",#N/A,FALSE,"NOTE06";"N07FRF",#N/A,FALSE,"NOTE07";"N08FRF",#N/A,FALSE,"NOTE08";"N09FRF",#N/A,FALSE,"NOTE09";"N10FRF",#N/A,FALSE,"NOTE10";"N11FRF",#N/A,FALSE,"NOTE11";"N12FRF",#N/A,FALSE,"NOTE12";"N13FRF",#N/A,FALSE,"NOTE13";"N14FRF",#N/A,FALSE,"NOTE14";"N15FRF",#N/A,FALSE,"NOTE15";"N16FRF",#N/A,FALSE,"NOTE16";"N17FRF",#N/A,FALSE,"NOTE17";"N18FRF",#N/A,FALSE,"NOTE18";"N19FRF",#N/A,FALSE,"NOTE19";"N20FRF",#N/A,FALSE,"NOTE20";"N21FRF",#N/A,FALSE,"NOTE21";"N22FRF",#N/A,FALSE,"NOTE22";"N23FRF",#N/A,FALSE,"NOTE23";"N24FRF",#N/A,FALSE,"NOTE24";"N25FRF",#N/A,FALSE,"NOTE25";"N26FRF",#N/A,FALSE,"NOTE26";"N27FRF",#N/A,FALSE,"NOTE27";"N28FRF",#N/A,FALSE,"NOTE28";"N29FRF",#N/A,FALSE,"NOTE29";"N30FRF",#N/A,FALSE,"NOTE30";"N31FRF",#N/A,FALSE,"NOTE31";"N32FRF",#N/A,FALSE,"NOTE32";"N33FRF",#N/A,FALSE,"NOTE33";"BILSOCFRF",#N/A,FALSE,"bilan soc";"RESSOCFRF",#N/A,FALSE,"PL soc";"cinqexFRF",#N/A,FALSE,"5ex"}</definedName>
    <definedName name="wrn.etafifrffrf2._3_1" localSheetId="7" hidden="1">{#N/A,"francaisfrf",FALSE,"UNITE";"ACTFRF",#N/A,FALSE,"ACTIF";"PASFRF",#N/A,FALSE,"PASSIF";"RESFRF",#N/A,FALSE,"RESULTATS";"FPFRF",#N/A,FALSE,"FP";"N03FRF",#N/A,FALSE,"NOTE03";"N04FRF",#N/A,FALSE,"NOTE04";"N05FRF",#N/A,FALSE,"NOTE05";"N06FRF",#N/A,FALSE,"NOTE06";"N07FRF",#N/A,FALSE,"NOTE07";"N08FRF",#N/A,FALSE,"NOTE08";"N09FRF",#N/A,FALSE,"NOTE09";"N10FRF",#N/A,FALSE,"NOTE10";"N11FRF",#N/A,FALSE,"NOTE11";"N12FRF",#N/A,FALSE,"NOTE12";"N13FRF",#N/A,FALSE,"NOTE13";"N14FRF",#N/A,FALSE,"NOTE14";"N15FRF",#N/A,FALSE,"NOTE15";"N16FRF",#N/A,FALSE,"NOTE16";"N17FRF",#N/A,FALSE,"NOTE17";"N18FRF",#N/A,FALSE,"NOTE18";"N19FRF",#N/A,FALSE,"NOTE19";"N20FRF",#N/A,FALSE,"NOTE20";"N21FRF",#N/A,FALSE,"NOTE21";"N22FRF",#N/A,FALSE,"NOTE22";"N23FRF",#N/A,FALSE,"NOTE23";"N24FRF",#N/A,FALSE,"NOTE24";"N25FRF",#N/A,FALSE,"NOTE25";"N26FRF",#N/A,FALSE,"NOTE26";"N27FRF",#N/A,FALSE,"NOTE27";"N28FRF",#N/A,FALSE,"NOTE28";"N29FRF",#N/A,FALSE,"NOTE29";"N30FRF",#N/A,FALSE,"NOTE30";"N31FRF",#N/A,FALSE,"NOTE31";"N32FRF",#N/A,FALSE,"NOTE32";"N33FRF",#N/A,FALSE,"NOTE33";"BILSOCFRF",#N/A,FALSE,"bilan soc";"RESSOCFRF",#N/A,FALSE,"PL soc";"cinqexFRF",#N/A,FALSE,"5ex"}</definedName>
    <definedName name="wrn.etafifrffrf2._3_1" localSheetId="8" hidden="1">{#N/A,"francaisfrf",FALSE,"UNITE";"ACTFRF",#N/A,FALSE,"ACTIF";"PASFRF",#N/A,FALSE,"PASSIF";"RESFRF",#N/A,FALSE,"RESULTATS";"FPFRF",#N/A,FALSE,"FP";"N03FRF",#N/A,FALSE,"NOTE03";"N04FRF",#N/A,FALSE,"NOTE04";"N05FRF",#N/A,FALSE,"NOTE05";"N06FRF",#N/A,FALSE,"NOTE06";"N07FRF",#N/A,FALSE,"NOTE07";"N08FRF",#N/A,FALSE,"NOTE08";"N09FRF",#N/A,FALSE,"NOTE09";"N10FRF",#N/A,FALSE,"NOTE10";"N11FRF",#N/A,FALSE,"NOTE11";"N12FRF",#N/A,FALSE,"NOTE12";"N13FRF",#N/A,FALSE,"NOTE13";"N14FRF",#N/A,FALSE,"NOTE14";"N15FRF",#N/A,FALSE,"NOTE15";"N16FRF",#N/A,FALSE,"NOTE16";"N17FRF",#N/A,FALSE,"NOTE17";"N18FRF",#N/A,FALSE,"NOTE18";"N19FRF",#N/A,FALSE,"NOTE19";"N20FRF",#N/A,FALSE,"NOTE20";"N21FRF",#N/A,FALSE,"NOTE21";"N22FRF",#N/A,FALSE,"NOTE22";"N23FRF",#N/A,FALSE,"NOTE23";"N24FRF",#N/A,FALSE,"NOTE24";"N25FRF",#N/A,FALSE,"NOTE25";"N26FRF",#N/A,FALSE,"NOTE26";"N27FRF",#N/A,FALSE,"NOTE27";"N28FRF",#N/A,FALSE,"NOTE28";"N29FRF",#N/A,FALSE,"NOTE29";"N30FRF",#N/A,FALSE,"NOTE30";"N31FRF",#N/A,FALSE,"NOTE31";"N32FRF",#N/A,FALSE,"NOTE32";"N33FRF",#N/A,FALSE,"NOTE33";"BILSOCFRF",#N/A,FALSE,"bilan soc";"RESSOCFRF",#N/A,FALSE,"PL soc";"cinqexFRF",#N/A,FALSE,"5ex"}</definedName>
    <definedName name="wrn.etafifrffrf2._3_1" localSheetId="10" hidden="1">{#N/A,"francaisfrf",FALSE,"UNITE";"ACTFRF",#N/A,FALSE,"ACTIF";"PASFRF",#N/A,FALSE,"PASSIF";"RESFRF",#N/A,FALSE,"RESULTATS";"FPFRF",#N/A,FALSE,"FP";"N03FRF",#N/A,FALSE,"NOTE03";"N04FRF",#N/A,FALSE,"NOTE04";"N05FRF",#N/A,FALSE,"NOTE05";"N06FRF",#N/A,FALSE,"NOTE06";"N07FRF",#N/A,FALSE,"NOTE07";"N08FRF",#N/A,FALSE,"NOTE08";"N09FRF",#N/A,FALSE,"NOTE09";"N10FRF",#N/A,FALSE,"NOTE10";"N11FRF",#N/A,FALSE,"NOTE11";"N12FRF",#N/A,FALSE,"NOTE12";"N13FRF",#N/A,FALSE,"NOTE13";"N14FRF",#N/A,FALSE,"NOTE14";"N15FRF",#N/A,FALSE,"NOTE15";"N16FRF",#N/A,FALSE,"NOTE16";"N17FRF",#N/A,FALSE,"NOTE17";"N18FRF",#N/A,FALSE,"NOTE18";"N19FRF",#N/A,FALSE,"NOTE19";"N20FRF",#N/A,FALSE,"NOTE20";"N21FRF",#N/A,FALSE,"NOTE21";"N22FRF",#N/A,FALSE,"NOTE22";"N23FRF",#N/A,FALSE,"NOTE23";"N24FRF",#N/A,FALSE,"NOTE24";"N25FRF",#N/A,FALSE,"NOTE25";"N26FRF",#N/A,FALSE,"NOTE26";"N27FRF",#N/A,FALSE,"NOTE27";"N28FRF",#N/A,FALSE,"NOTE28";"N29FRF",#N/A,FALSE,"NOTE29";"N30FRF",#N/A,FALSE,"NOTE30";"N31FRF",#N/A,FALSE,"NOTE31";"N32FRF",#N/A,FALSE,"NOTE32";"N33FRF",#N/A,FALSE,"NOTE33";"BILSOCFRF",#N/A,FALSE,"bilan soc";"RESSOCFRF",#N/A,FALSE,"PL soc";"cinqexFRF",#N/A,FALSE,"5ex"}</definedName>
    <definedName name="wrn.etafifrffrf2._3_1" hidden="1">{#N/A,"francaisfrf",FALSE,"UNITE";"ACTFRF",#N/A,FALSE,"ACTIF";"PASFRF",#N/A,FALSE,"PASSIF";"RESFRF",#N/A,FALSE,"RESULTATS";"FPFRF",#N/A,FALSE,"FP";"N03FRF",#N/A,FALSE,"NOTE03";"N04FRF",#N/A,FALSE,"NOTE04";"N05FRF",#N/A,FALSE,"NOTE05";"N06FRF",#N/A,FALSE,"NOTE06";"N07FRF",#N/A,FALSE,"NOTE07";"N08FRF",#N/A,FALSE,"NOTE08";"N09FRF",#N/A,FALSE,"NOTE09";"N10FRF",#N/A,FALSE,"NOTE10";"N11FRF",#N/A,FALSE,"NOTE11";"N12FRF",#N/A,FALSE,"NOTE12";"N13FRF",#N/A,FALSE,"NOTE13";"N14FRF",#N/A,FALSE,"NOTE14";"N15FRF",#N/A,FALSE,"NOTE15";"N16FRF",#N/A,FALSE,"NOTE16";"N17FRF",#N/A,FALSE,"NOTE17";"N18FRF",#N/A,FALSE,"NOTE18";"N19FRF",#N/A,FALSE,"NOTE19";"N20FRF",#N/A,FALSE,"NOTE20";"N21FRF",#N/A,FALSE,"NOTE21";"N22FRF",#N/A,FALSE,"NOTE22";"N23FRF",#N/A,FALSE,"NOTE23";"N24FRF",#N/A,FALSE,"NOTE24";"N25FRF",#N/A,FALSE,"NOTE25";"N26FRF",#N/A,FALSE,"NOTE26";"N27FRF",#N/A,FALSE,"NOTE27";"N28FRF",#N/A,FALSE,"NOTE28";"N29FRF",#N/A,FALSE,"NOTE29";"N30FRF",#N/A,FALSE,"NOTE30";"N31FRF",#N/A,FALSE,"NOTE31";"N32FRF",#N/A,FALSE,"NOTE32";"N33FRF",#N/A,FALSE,"NOTE33";"BILSOCFRF",#N/A,FALSE,"bilan soc";"RESSOCFRF",#N/A,FALSE,"PL soc";"cinqexFRF",#N/A,FALSE,"5ex"}</definedName>
    <definedName name="wrn.etafifrffrf2._3_1_1" localSheetId="12" hidden="1">{#N/A,"francaisfrf",FALSE,"UNITE";"ACTFRF",#N/A,FALSE,"ACTIF";"PASFRF",#N/A,FALSE,"PASSIF";"RESFRF",#N/A,FALSE,"RESULTATS";"FPFRF",#N/A,FALSE,"FP";"N03FRF",#N/A,FALSE,"NOTE03";"N04FRF",#N/A,FALSE,"NOTE04";"N05FRF",#N/A,FALSE,"NOTE05";"N06FRF",#N/A,FALSE,"NOTE06";"N07FRF",#N/A,FALSE,"NOTE07";"N08FRF",#N/A,FALSE,"NOTE08";"N09FRF",#N/A,FALSE,"NOTE09";"N10FRF",#N/A,FALSE,"NOTE10";"N11FRF",#N/A,FALSE,"NOTE11";"N12FRF",#N/A,FALSE,"NOTE12";"N13FRF",#N/A,FALSE,"NOTE13";"N14FRF",#N/A,FALSE,"NOTE14";"N15FRF",#N/A,FALSE,"NOTE15";"N16FRF",#N/A,FALSE,"NOTE16";"N17FRF",#N/A,FALSE,"NOTE17";"N18FRF",#N/A,FALSE,"NOTE18";"N19FRF",#N/A,FALSE,"NOTE19";"N20FRF",#N/A,FALSE,"NOTE20";"N21FRF",#N/A,FALSE,"NOTE21";"N22FRF",#N/A,FALSE,"NOTE22";"N23FRF",#N/A,FALSE,"NOTE23";"N24FRF",#N/A,FALSE,"NOTE24";"N25FRF",#N/A,FALSE,"NOTE25";"N26FRF",#N/A,FALSE,"NOTE26";"N27FRF",#N/A,FALSE,"NOTE27";"N28FRF",#N/A,FALSE,"NOTE28";"N29FRF",#N/A,FALSE,"NOTE29";"N30FRF",#N/A,FALSE,"NOTE30";"N31FRF",#N/A,FALSE,"NOTE31";"N32FRF",#N/A,FALSE,"NOTE32";"N33FRF",#N/A,FALSE,"NOTE33";"BILSOCFRF",#N/A,FALSE,"bilan soc";"RESSOCFRF",#N/A,FALSE,"PL soc";"cinqexFRF",#N/A,FALSE,"5ex"}</definedName>
    <definedName name="wrn.etafifrffrf2._3_1_1" hidden="1">{#N/A,"francaisfrf",FALSE,"UNITE";"ACTFRF",#N/A,FALSE,"ACTIF";"PASFRF",#N/A,FALSE,"PASSIF";"RESFRF",#N/A,FALSE,"RESULTATS";"FPFRF",#N/A,FALSE,"FP";"N03FRF",#N/A,FALSE,"NOTE03";"N04FRF",#N/A,FALSE,"NOTE04";"N05FRF",#N/A,FALSE,"NOTE05";"N06FRF",#N/A,FALSE,"NOTE06";"N07FRF",#N/A,FALSE,"NOTE07";"N08FRF",#N/A,FALSE,"NOTE08";"N09FRF",#N/A,FALSE,"NOTE09";"N10FRF",#N/A,FALSE,"NOTE10";"N11FRF",#N/A,FALSE,"NOTE11";"N12FRF",#N/A,FALSE,"NOTE12";"N13FRF",#N/A,FALSE,"NOTE13";"N14FRF",#N/A,FALSE,"NOTE14";"N15FRF",#N/A,FALSE,"NOTE15";"N16FRF",#N/A,FALSE,"NOTE16";"N17FRF",#N/A,FALSE,"NOTE17";"N18FRF",#N/A,FALSE,"NOTE18";"N19FRF",#N/A,FALSE,"NOTE19";"N20FRF",#N/A,FALSE,"NOTE20";"N21FRF",#N/A,FALSE,"NOTE21";"N22FRF",#N/A,FALSE,"NOTE22";"N23FRF",#N/A,FALSE,"NOTE23";"N24FRF",#N/A,FALSE,"NOTE24";"N25FRF",#N/A,FALSE,"NOTE25";"N26FRF",#N/A,FALSE,"NOTE26";"N27FRF",#N/A,FALSE,"NOTE27";"N28FRF",#N/A,FALSE,"NOTE28";"N29FRF",#N/A,FALSE,"NOTE29";"N30FRF",#N/A,FALSE,"NOTE30";"N31FRF",#N/A,FALSE,"NOTE31";"N32FRF",#N/A,FALSE,"NOTE32";"N33FRF",#N/A,FALSE,"NOTE33";"BILSOCFRF",#N/A,FALSE,"bilan soc";"RESSOCFRF",#N/A,FALSE,"PL soc";"cinqexFRF",#N/A,FALSE,"5ex"}</definedName>
    <definedName name="wrn.etafifrffrf2._3_1_2" hidden="1">{#N/A,"francaisfrf",FALSE,"UNITE";"ACTFRF",#N/A,FALSE,"ACTIF";"PASFRF",#N/A,FALSE,"PASSIF";"RESFRF",#N/A,FALSE,"RESULTATS";"FPFRF",#N/A,FALSE,"FP";"N03FRF",#N/A,FALSE,"NOTE03";"N04FRF",#N/A,FALSE,"NOTE04";"N05FRF",#N/A,FALSE,"NOTE05";"N06FRF",#N/A,FALSE,"NOTE06";"N07FRF",#N/A,FALSE,"NOTE07";"N08FRF",#N/A,FALSE,"NOTE08";"N09FRF",#N/A,FALSE,"NOTE09";"N10FRF",#N/A,FALSE,"NOTE10";"N11FRF",#N/A,FALSE,"NOTE11";"N12FRF",#N/A,FALSE,"NOTE12";"N13FRF",#N/A,FALSE,"NOTE13";"N14FRF",#N/A,FALSE,"NOTE14";"N15FRF",#N/A,FALSE,"NOTE15";"N16FRF",#N/A,FALSE,"NOTE16";"N17FRF",#N/A,FALSE,"NOTE17";"N18FRF",#N/A,FALSE,"NOTE18";"N19FRF",#N/A,FALSE,"NOTE19";"N20FRF",#N/A,FALSE,"NOTE20";"N21FRF",#N/A,FALSE,"NOTE21";"N22FRF",#N/A,FALSE,"NOTE22";"N23FRF",#N/A,FALSE,"NOTE23";"N24FRF",#N/A,FALSE,"NOTE24";"N25FRF",#N/A,FALSE,"NOTE25";"N26FRF",#N/A,FALSE,"NOTE26";"N27FRF",#N/A,FALSE,"NOTE27";"N28FRF",#N/A,FALSE,"NOTE28";"N29FRF",#N/A,FALSE,"NOTE29";"N30FRF",#N/A,FALSE,"NOTE30";"N31FRF",#N/A,FALSE,"NOTE31";"N32FRF",#N/A,FALSE,"NOTE32";"N33FRF",#N/A,FALSE,"NOTE33";"BILSOCFRF",#N/A,FALSE,"bilan soc";"RESSOCFRF",#N/A,FALSE,"PL soc";"cinqexFRF",#N/A,FALSE,"5ex"}</definedName>
    <definedName name="wrn.etafifrffrf2._3_2" localSheetId="12" hidden="1">{#N/A,"francaisfrf",FALSE,"UNITE";"ACTFRF",#N/A,FALSE,"ACTIF";"PASFRF",#N/A,FALSE,"PASSIF";"RESFRF",#N/A,FALSE,"RESULTATS";"FPFRF",#N/A,FALSE,"FP";"N03FRF",#N/A,FALSE,"NOTE03";"N04FRF",#N/A,FALSE,"NOTE04";"N05FRF",#N/A,FALSE,"NOTE05";"N06FRF",#N/A,FALSE,"NOTE06";"N07FRF",#N/A,FALSE,"NOTE07";"N08FRF",#N/A,FALSE,"NOTE08";"N09FRF",#N/A,FALSE,"NOTE09";"N10FRF",#N/A,FALSE,"NOTE10";"N11FRF",#N/A,FALSE,"NOTE11";"N12FRF",#N/A,FALSE,"NOTE12";"N13FRF",#N/A,FALSE,"NOTE13";"N14FRF",#N/A,FALSE,"NOTE14";"N15FRF",#N/A,FALSE,"NOTE15";"N16FRF",#N/A,FALSE,"NOTE16";"N17FRF",#N/A,FALSE,"NOTE17";"N18FRF",#N/A,FALSE,"NOTE18";"N19FRF",#N/A,FALSE,"NOTE19";"N20FRF",#N/A,FALSE,"NOTE20";"N21FRF",#N/A,FALSE,"NOTE21";"N22FRF",#N/A,FALSE,"NOTE22";"N23FRF",#N/A,FALSE,"NOTE23";"N24FRF",#N/A,FALSE,"NOTE24";"N25FRF",#N/A,FALSE,"NOTE25";"N26FRF",#N/A,FALSE,"NOTE26";"N27FRF",#N/A,FALSE,"NOTE27";"N28FRF",#N/A,FALSE,"NOTE28";"N29FRF",#N/A,FALSE,"NOTE29";"N30FRF",#N/A,FALSE,"NOTE30";"N31FRF",#N/A,FALSE,"NOTE31";"N32FRF",#N/A,FALSE,"NOTE32";"N33FRF",#N/A,FALSE,"NOTE33";"BILSOCFRF",#N/A,FALSE,"bilan soc";"RESSOCFRF",#N/A,FALSE,"PL soc";"cinqexFRF",#N/A,FALSE,"5ex"}</definedName>
    <definedName name="wrn.etafifrffrf2._3_2" hidden="1">{#N/A,"francaisfrf",FALSE,"UNITE";"ACTFRF",#N/A,FALSE,"ACTIF";"PASFRF",#N/A,FALSE,"PASSIF";"RESFRF",#N/A,FALSE,"RESULTATS";"FPFRF",#N/A,FALSE,"FP";"N03FRF",#N/A,FALSE,"NOTE03";"N04FRF",#N/A,FALSE,"NOTE04";"N05FRF",#N/A,FALSE,"NOTE05";"N06FRF",#N/A,FALSE,"NOTE06";"N07FRF",#N/A,FALSE,"NOTE07";"N08FRF",#N/A,FALSE,"NOTE08";"N09FRF",#N/A,FALSE,"NOTE09";"N10FRF",#N/A,FALSE,"NOTE10";"N11FRF",#N/A,FALSE,"NOTE11";"N12FRF",#N/A,FALSE,"NOTE12";"N13FRF",#N/A,FALSE,"NOTE13";"N14FRF",#N/A,FALSE,"NOTE14";"N15FRF",#N/A,FALSE,"NOTE15";"N16FRF",#N/A,FALSE,"NOTE16";"N17FRF",#N/A,FALSE,"NOTE17";"N18FRF",#N/A,FALSE,"NOTE18";"N19FRF",#N/A,FALSE,"NOTE19";"N20FRF",#N/A,FALSE,"NOTE20";"N21FRF",#N/A,FALSE,"NOTE21";"N22FRF",#N/A,FALSE,"NOTE22";"N23FRF",#N/A,FALSE,"NOTE23";"N24FRF",#N/A,FALSE,"NOTE24";"N25FRF",#N/A,FALSE,"NOTE25";"N26FRF",#N/A,FALSE,"NOTE26";"N27FRF",#N/A,FALSE,"NOTE27";"N28FRF",#N/A,FALSE,"NOTE28";"N29FRF",#N/A,FALSE,"NOTE29";"N30FRF",#N/A,FALSE,"NOTE30";"N31FRF",#N/A,FALSE,"NOTE31";"N32FRF",#N/A,FALSE,"NOTE32";"N33FRF",#N/A,FALSE,"NOTE33";"BILSOCFRF",#N/A,FALSE,"bilan soc";"RESSOCFRF",#N/A,FALSE,"PL soc";"cinqexFRF",#N/A,FALSE,"5ex"}</definedName>
    <definedName name="wrn.etafifrffrf2._3_3" localSheetId="12" hidden="1">{#N/A,"francaisfrf",FALSE,"UNITE";"ACTFRF",#N/A,FALSE,"ACTIF";"PASFRF",#N/A,FALSE,"PASSIF";"RESFRF",#N/A,FALSE,"RESULTATS";"FPFRF",#N/A,FALSE,"FP";"N03FRF",#N/A,FALSE,"NOTE03";"N04FRF",#N/A,FALSE,"NOTE04";"N05FRF",#N/A,FALSE,"NOTE05";"N06FRF",#N/A,FALSE,"NOTE06";"N07FRF",#N/A,FALSE,"NOTE07";"N08FRF",#N/A,FALSE,"NOTE08";"N09FRF",#N/A,FALSE,"NOTE09";"N10FRF",#N/A,FALSE,"NOTE10";"N11FRF",#N/A,FALSE,"NOTE11";"N12FRF",#N/A,FALSE,"NOTE12";"N13FRF",#N/A,FALSE,"NOTE13";"N14FRF",#N/A,FALSE,"NOTE14";"N15FRF",#N/A,FALSE,"NOTE15";"N16FRF",#N/A,FALSE,"NOTE16";"N17FRF",#N/A,FALSE,"NOTE17";"N18FRF",#N/A,FALSE,"NOTE18";"N19FRF",#N/A,FALSE,"NOTE19";"N20FRF",#N/A,FALSE,"NOTE20";"N21FRF",#N/A,FALSE,"NOTE21";"N22FRF",#N/A,FALSE,"NOTE22";"N23FRF",#N/A,FALSE,"NOTE23";"N24FRF",#N/A,FALSE,"NOTE24";"N25FRF",#N/A,FALSE,"NOTE25";"N26FRF",#N/A,FALSE,"NOTE26";"N27FRF",#N/A,FALSE,"NOTE27";"N28FRF",#N/A,FALSE,"NOTE28";"N29FRF",#N/A,FALSE,"NOTE29";"N30FRF",#N/A,FALSE,"NOTE30";"N31FRF",#N/A,FALSE,"NOTE31";"N32FRF",#N/A,FALSE,"NOTE32";"N33FRF",#N/A,FALSE,"NOTE33";"BILSOCFRF",#N/A,FALSE,"bilan soc";"RESSOCFRF",#N/A,FALSE,"PL soc";"cinqexFRF",#N/A,FALSE,"5ex"}</definedName>
    <definedName name="wrn.etafifrffrf2._3_3" hidden="1">{#N/A,"francaisfrf",FALSE,"UNITE";"ACTFRF",#N/A,FALSE,"ACTIF";"PASFRF",#N/A,FALSE,"PASSIF";"RESFRF",#N/A,FALSE,"RESULTATS";"FPFRF",#N/A,FALSE,"FP";"N03FRF",#N/A,FALSE,"NOTE03";"N04FRF",#N/A,FALSE,"NOTE04";"N05FRF",#N/A,FALSE,"NOTE05";"N06FRF",#N/A,FALSE,"NOTE06";"N07FRF",#N/A,FALSE,"NOTE07";"N08FRF",#N/A,FALSE,"NOTE08";"N09FRF",#N/A,FALSE,"NOTE09";"N10FRF",#N/A,FALSE,"NOTE10";"N11FRF",#N/A,FALSE,"NOTE11";"N12FRF",#N/A,FALSE,"NOTE12";"N13FRF",#N/A,FALSE,"NOTE13";"N14FRF",#N/A,FALSE,"NOTE14";"N15FRF",#N/A,FALSE,"NOTE15";"N16FRF",#N/A,FALSE,"NOTE16";"N17FRF",#N/A,FALSE,"NOTE17";"N18FRF",#N/A,FALSE,"NOTE18";"N19FRF",#N/A,FALSE,"NOTE19";"N20FRF",#N/A,FALSE,"NOTE20";"N21FRF",#N/A,FALSE,"NOTE21";"N22FRF",#N/A,FALSE,"NOTE22";"N23FRF",#N/A,FALSE,"NOTE23";"N24FRF",#N/A,FALSE,"NOTE24";"N25FRF",#N/A,FALSE,"NOTE25";"N26FRF",#N/A,FALSE,"NOTE26";"N27FRF",#N/A,FALSE,"NOTE27";"N28FRF",#N/A,FALSE,"NOTE28";"N29FRF",#N/A,FALSE,"NOTE29";"N30FRF",#N/A,FALSE,"NOTE30";"N31FRF",#N/A,FALSE,"NOTE31";"N32FRF",#N/A,FALSE,"NOTE32";"N33FRF",#N/A,FALSE,"NOTE33";"BILSOCFRF",#N/A,FALSE,"bilan soc";"RESSOCFRF",#N/A,FALSE,"PL soc";"cinqexFRF",#N/A,FALSE,"5ex"}</definedName>
    <definedName name="wrn.etafifrffrf2._4" localSheetId="9" hidden="1">{#N/A,"francaisfrf",FALSE,"UNITE";"ACTFRF",#N/A,FALSE,"ACTIF";"PASFRF",#N/A,FALSE,"PASSIF";"RESFRF",#N/A,FALSE,"RESULTATS";"FPFRF",#N/A,FALSE,"FP";"N03FRF",#N/A,FALSE,"NOTE03";"N04FRF",#N/A,FALSE,"NOTE04";"N05FRF",#N/A,FALSE,"NOTE05";"N06FRF",#N/A,FALSE,"NOTE06";"N07FRF",#N/A,FALSE,"NOTE07";"N08FRF",#N/A,FALSE,"NOTE08";"N09FRF",#N/A,FALSE,"NOTE09";"N10FRF",#N/A,FALSE,"NOTE10";"N11FRF",#N/A,FALSE,"NOTE11";"N12FRF",#N/A,FALSE,"NOTE12";"N13FRF",#N/A,FALSE,"NOTE13";"N14FRF",#N/A,FALSE,"NOTE14";"N15FRF",#N/A,FALSE,"NOTE15";"N16FRF",#N/A,FALSE,"NOTE16";"N17FRF",#N/A,FALSE,"NOTE17";"N18FRF",#N/A,FALSE,"NOTE18";"N19FRF",#N/A,FALSE,"NOTE19";"N20FRF",#N/A,FALSE,"NOTE20";"N21FRF",#N/A,FALSE,"NOTE21";"N22FRF",#N/A,FALSE,"NOTE22";"N23FRF",#N/A,FALSE,"NOTE23";"N24FRF",#N/A,FALSE,"NOTE24";"N25FRF",#N/A,FALSE,"NOTE25";"N26FRF",#N/A,FALSE,"NOTE26";"N27FRF",#N/A,FALSE,"NOTE27";"N28FRF",#N/A,FALSE,"NOTE28";"N29FRF",#N/A,FALSE,"NOTE29";"N30FRF",#N/A,FALSE,"NOTE30";"N31FRF",#N/A,FALSE,"NOTE31";"N32FRF",#N/A,FALSE,"NOTE32";"N33FRF",#N/A,FALSE,"NOTE33";"BILSOCFRF",#N/A,FALSE,"bilan soc";"RESSOCFRF",#N/A,FALSE,"PL soc";"cinqexFRF",#N/A,FALSE,"5ex"}</definedName>
    <definedName name="wrn.etafifrffrf2._4" localSheetId="12" hidden="1">{#N/A,"francaisfrf",FALSE,"UNITE";"ACTFRF",#N/A,FALSE,"ACTIF";"PASFRF",#N/A,FALSE,"PASSIF";"RESFRF",#N/A,FALSE,"RESULTATS";"FPFRF",#N/A,FALSE,"FP";"N03FRF",#N/A,FALSE,"NOTE03";"N04FRF",#N/A,FALSE,"NOTE04";"N05FRF",#N/A,FALSE,"NOTE05";"N06FRF",#N/A,FALSE,"NOTE06";"N07FRF",#N/A,FALSE,"NOTE07";"N08FRF",#N/A,FALSE,"NOTE08";"N09FRF",#N/A,FALSE,"NOTE09";"N10FRF",#N/A,FALSE,"NOTE10";"N11FRF",#N/A,FALSE,"NOTE11";"N12FRF",#N/A,FALSE,"NOTE12";"N13FRF",#N/A,FALSE,"NOTE13";"N14FRF",#N/A,FALSE,"NOTE14";"N15FRF",#N/A,FALSE,"NOTE15";"N16FRF",#N/A,FALSE,"NOTE16";"N17FRF",#N/A,FALSE,"NOTE17";"N18FRF",#N/A,FALSE,"NOTE18";"N19FRF",#N/A,FALSE,"NOTE19";"N20FRF",#N/A,FALSE,"NOTE20";"N21FRF",#N/A,FALSE,"NOTE21";"N22FRF",#N/A,FALSE,"NOTE22";"N23FRF",#N/A,FALSE,"NOTE23";"N24FRF",#N/A,FALSE,"NOTE24";"N25FRF",#N/A,FALSE,"NOTE25";"N26FRF",#N/A,FALSE,"NOTE26";"N27FRF",#N/A,FALSE,"NOTE27";"N28FRF",#N/A,FALSE,"NOTE28";"N29FRF",#N/A,FALSE,"NOTE29";"N30FRF",#N/A,FALSE,"NOTE30";"N31FRF",#N/A,FALSE,"NOTE31";"N32FRF",#N/A,FALSE,"NOTE32";"N33FRF",#N/A,FALSE,"NOTE33";"BILSOCFRF",#N/A,FALSE,"bilan soc";"RESSOCFRF",#N/A,FALSE,"PL soc";"cinqexFRF",#N/A,FALSE,"5ex"}</definedName>
    <definedName name="wrn.etafifrffrf2._4" localSheetId="7" hidden="1">{#N/A,"francaisfrf",FALSE,"UNITE";"ACTFRF",#N/A,FALSE,"ACTIF";"PASFRF",#N/A,FALSE,"PASSIF";"RESFRF",#N/A,FALSE,"RESULTATS";"FPFRF",#N/A,FALSE,"FP";"N03FRF",#N/A,FALSE,"NOTE03";"N04FRF",#N/A,FALSE,"NOTE04";"N05FRF",#N/A,FALSE,"NOTE05";"N06FRF",#N/A,FALSE,"NOTE06";"N07FRF",#N/A,FALSE,"NOTE07";"N08FRF",#N/A,FALSE,"NOTE08";"N09FRF",#N/A,FALSE,"NOTE09";"N10FRF",#N/A,FALSE,"NOTE10";"N11FRF",#N/A,FALSE,"NOTE11";"N12FRF",#N/A,FALSE,"NOTE12";"N13FRF",#N/A,FALSE,"NOTE13";"N14FRF",#N/A,FALSE,"NOTE14";"N15FRF",#N/A,FALSE,"NOTE15";"N16FRF",#N/A,FALSE,"NOTE16";"N17FRF",#N/A,FALSE,"NOTE17";"N18FRF",#N/A,FALSE,"NOTE18";"N19FRF",#N/A,FALSE,"NOTE19";"N20FRF",#N/A,FALSE,"NOTE20";"N21FRF",#N/A,FALSE,"NOTE21";"N22FRF",#N/A,FALSE,"NOTE22";"N23FRF",#N/A,FALSE,"NOTE23";"N24FRF",#N/A,FALSE,"NOTE24";"N25FRF",#N/A,FALSE,"NOTE25";"N26FRF",#N/A,FALSE,"NOTE26";"N27FRF",#N/A,FALSE,"NOTE27";"N28FRF",#N/A,FALSE,"NOTE28";"N29FRF",#N/A,FALSE,"NOTE29";"N30FRF",#N/A,FALSE,"NOTE30";"N31FRF",#N/A,FALSE,"NOTE31";"N32FRF",#N/A,FALSE,"NOTE32";"N33FRF",#N/A,FALSE,"NOTE33";"BILSOCFRF",#N/A,FALSE,"bilan soc";"RESSOCFRF",#N/A,FALSE,"PL soc";"cinqexFRF",#N/A,FALSE,"5ex"}</definedName>
    <definedName name="wrn.etafifrffrf2._4" localSheetId="8" hidden="1">{#N/A,"francaisfrf",FALSE,"UNITE";"ACTFRF",#N/A,FALSE,"ACTIF";"PASFRF",#N/A,FALSE,"PASSIF";"RESFRF",#N/A,FALSE,"RESULTATS";"FPFRF",#N/A,FALSE,"FP";"N03FRF",#N/A,FALSE,"NOTE03";"N04FRF",#N/A,FALSE,"NOTE04";"N05FRF",#N/A,FALSE,"NOTE05";"N06FRF",#N/A,FALSE,"NOTE06";"N07FRF",#N/A,FALSE,"NOTE07";"N08FRF",#N/A,FALSE,"NOTE08";"N09FRF",#N/A,FALSE,"NOTE09";"N10FRF",#N/A,FALSE,"NOTE10";"N11FRF",#N/A,FALSE,"NOTE11";"N12FRF",#N/A,FALSE,"NOTE12";"N13FRF",#N/A,FALSE,"NOTE13";"N14FRF",#N/A,FALSE,"NOTE14";"N15FRF",#N/A,FALSE,"NOTE15";"N16FRF",#N/A,FALSE,"NOTE16";"N17FRF",#N/A,FALSE,"NOTE17";"N18FRF",#N/A,FALSE,"NOTE18";"N19FRF",#N/A,FALSE,"NOTE19";"N20FRF",#N/A,FALSE,"NOTE20";"N21FRF",#N/A,FALSE,"NOTE21";"N22FRF",#N/A,FALSE,"NOTE22";"N23FRF",#N/A,FALSE,"NOTE23";"N24FRF",#N/A,FALSE,"NOTE24";"N25FRF",#N/A,FALSE,"NOTE25";"N26FRF",#N/A,FALSE,"NOTE26";"N27FRF",#N/A,FALSE,"NOTE27";"N28FRF",#N/A,FALSE,"NOTE28";"N29FRF",#N/A,FALSE,"NOTE29";"N30FRF",#N/A,FALSE,"NOTE30";"N31FRF",#N/A,FALSE,"NOTE31";"N32FRF",#N/A,FALSE,"NOTE32";"N33FRF",#N/A,FALSE,"NOTE33";"BILSOCFRF",#N/A,FALSE,"bilan soc";"RESSOCFRF",#N/A,FALSE,"PL soc";"cinqexFRF",#N/A,FALSE,"5ex"}</definedName>
    <definedName name="wrn.etafifrffrf2._4" localSheetId="10" hidden="1">{#N/A,"francaisfrf",FALSE,"UNITE";"ACTFRF",#N/A,FALSE,"ACTIF";"PASFRF",#N/A,FALSE,"PASSIF";"RESFRF",#N/A,FALSE,"RESULTATS";"FPFRF",#N/A,FALSE,"FP";"N03FRF",#N/A,FALSE,"NOTE03";"N04FRF",#N/A,FALSE,"NOTE04";"N05FRF",#N/A,FALSE,"NOTE05";"N06FRF",#N/A,FALSE,"NOTE06";"N07FRF",#N/A,FALSE,"NOTE07";"N08FRF",#N/A,FALSE,"NOTE08";"N09FRF",#N/A,FALSE,"NOTE09";"N10FRF",#N/A,FALSE,"NOTE10";"N11FRF",#N/A,FALSE,"NOTE11";"N12FRF",#N/A,FALSE,"NOTE12";"N13FRF",#N/A,FALSE,"NOTE13";"N14FRF",#N/A,FALSE,"NOTE14";"N15FRF",#N/A,FALSE,"NOTE15";"N16FRF",#N/A,FALSE,"NOTE16";"N17FRF",#N/A,FALSE,"NOTE17";"N18FRF",#N/A,FALSE,"NOTE18";"N19FRF",#N/A,FALSE,"NOTE19";"N20FRF",#N/A,FALSE,"NOTE20";"N21FRF",#N/A,FALSE,"NOTE21";"N22FRF",#N/A,FALSE,"NOTE22";"N23FRF",#N/A,FALSE,"NOTE23";"N24FRF",#N/A,FALSE,"NOTE24";"N25FRF",#N/A,FALSE,"NOTE25";"N26FRF",#N/A,FALSE,"NOTE26";"N27FRF",#N/A,FALSE,"NOTE27";"N28FRF",#N/A,FALSE,"NOTE28";"N29FRF",#N/A,FALSE,"NOTE29";"N30FRF",#N/A,FALSE,"NOTE30";"N31FRF",#N/A,FALSE,"NOTE31";"N32FRF",#N/A,FALSE,"NOTE32";"N33FRF",#N/A,FALSE,"NOTE33";"BILSOCFRF",#N/A,FALSE,"bilan soc";"RESSOCFRF",#N/A,FALSE,"PL soc";"cinqexFRF",#N/A,FALSE,"5ex"}</definedName>
    <definedName name="wrn.etafifrffrf2._4" hidden="1">{#N/A,"francaisfrf",FALSE,"UNITE";"ACTFRF",#N/A,FALSE,"ACTIF";"PASFRF",#N/A,FALSE,"PASSIF";"RESFRF",#N/A,FALSE,"RESULTATS";"FPFRF",#N/A,FALSE,"FP";"N03FRF",#N/A,FALSE,"NOTE03";"N04FRF",#N/A,FALSE,"NOTE04";"N05FRF",#N/A,FALSE,"NOTE05";"N06FRF",#N/A,FALSE,"NOTE06";"N07FRF",#N/A,FALSE,"NOTE07";"N08FRF",#N/A,FALSE,"NOTE08";"N09FRF",#N/A,FALSE,"NOTE09";"N10FRF",#N/A,FALSE,"NOTE10";"N11FRF",#N/A,FALSE,"NOTE11";"N12FRF",#N/A,FALSE,"NOTE12";"N13FRF",#N/A,FALSE,"NOTE13";"N14FRF",#N/A,FALSE,"NOTE14";"N15FRF",#N/A,FALSE,"NOTE15";"N16FRF",#N/A,FALSE,"NOTE16";"N17FRF",#N/A,FALSE,"NOTE17";"N18FRF",#N/A,FALSE,"NOTE18";"N19FRF",#N/A,FALSE,"NOTE19";"N20FRF",#N/A,FALSE,"NOTE20";"N21FRF",#N/A,FALSE,"NOTE21";"N22FRF",#N/A,FALSE,"NOTE22";"N23FRF",#N/A,FALSE,"NOTE23";"N24FRF",#N/A,FALSE,"NOTE24";"N25FRF",#N/A,FALSE,"NOTE25";"N26FRF",#N/A,FALSE,"NOTE26";"N27FRF",#N/A,FALSE,"NOTE27";"N28FRF",#N/A,FALSE,"NOTE28";"N29FRF",#N/A,FALSE,"NOTE29";"N30FRF",#N/A,FALSE,"NOTE30";"N31FRF",#N/A,FALSE,"NOTE31";"N32FRF",#N/A,FALSE,"NOTE32";"N33FRF",#N/A,FALSE,"NOTE33";"BILSOCFRF",#N/A,FALSE,"bilan soc";"RESSOCFRF",#N/A,FALSE,"PL soc";"cinqexFRF",#N/A,FALSE,"5ex"}</definedName>
    <definedName name="wrn.etafifrffrf2._4_1" localSheetId="9" hidden="1">{#N/A,"francaisfrf",FALSE,"UNITE";"ACTFRF",#N/A,FALSE,"ACTIF";"PASFRF",#N/A,FALSE,"PASSIF";"RESFRF",#N/A,FALSE,"RESULTATS";"FPFRF",#N/A,FALSE,"FP";"N03FRF",#N/A,FALSE,"NOTE03";"N04FRF",#N/A,FALSE,"NOTE04";"N05FRF",#N/A,FALSE,"NOTE05";"N06FRF",#N/A,FALSE,"NOTE06";"N07FRF",#N/A,FALSE,"NOTE07";"N08FRF",#N/A,FALSE,"NOTE08";"N09FRF",#N/A,FALSE,"NOTE09";"N10FRF",#N/A,FALSE,"NOTE10";"N11FRF",#N/A,FALSE,"NOTE11";"N12FRF",#N/A,FALSE,"NOTE12";"N13FRF",#N/A,FALSE,"NOTE13";"N14FRF",#N/A,FALSE,"NOTE14";"N15FRF",#N/A,FALSE,"NOTE15";"N16FRF",#N/A,FALSE,"NOTE16";"N17FRF",#N/A,FALSE,"NOTE17";"N18FRF",#N/A,FALSE,"NOTE18";"N19FRF",#N/A,FALSE,"NOTE19";"N20FRF",#N/A,FALSE,"NOTE20";"N21FRF",#N/A,FALSE,"NOTE21";"N22FRF",#N/A,FALSE,"NOTE22";"N23FRF",#N/A,FALSE,"NOTE23";"N24FRF",#N/A,FALSE,"NOTE24";"N25FRF",#N/A,FALSE,"NOTE25";"N26FRF",#N/A,FALSE,"NOTE26";"N27FRF",#N/A,FALSE,"NOTE27";"N28FRF",#N/A,FALSE,"NOTE28";"N29FRF",#N/A,FALSE,"NOTE29";"N30FRF",#N/A,FALSE,"NOTE30";"N31FRF",#N/A,FALSE,"NOTE31";"N32FRF",#N/A,FALSE,"NOTE32";"N33FRF",#N/A,FALSE,"NOTE33";"BILSOCFRF",#N/A,FALSE,"bilan soc";"RESSOCFRF",#N/A,FALSE,"PL soc";"cinqexFRF",#N/A,FALSE,"5ex"}</definedName>
    <definedName name="wrn.etafifrffrf2._4_1" localSheetId="12" hidden="1">{#N/A,"francaisfrf",FALSE,"UNITE";"ACTFRF",#N/A,FALSE,"ACTIF";"PASFRF",#N/A,FALSE,"PASSIF";"RESFRF",#N/A,FALSE,"RESULTATS";"FPFRF",#N/A,FALSE,"FP";"N03FRF",#N/A,FALSE,"NOTE03";"N04FRF",#N/A,FALSE,"NOTE04";"N05FRF",#N/A,FALSE,"NOTE05";"N06FRF",#N/A,FALSE,"NOTE06";"N07FRF",#N/A,FALSE,"NOTE07";"N08FRF",#N/A,FALSE,"NOTE08";"N09FRF",#N/A,FALSE,"NOTE09";"N10FRF",#N/A,FALSE,"NOTE10";"N11FRF",#N/A,FALSE,"NOTE11";"N12FRF",#N/A,FALSE,"NOTE12";"N13FRF",#N/A,FALSE,"NOTE13";"N14FRF",#N/A,FALSE,"NOTE14";"N15FRF",#N/A,FALSE,"NOTE15";"N16FRF",#N/A,FALSE,"NOTE16";"N17FRF",#N/A,FALSE,"NOTE17";"N18FRF",#N/A,FALSE,"NOTE18";"N19FRF",#N/A,FALSE,"NOTE19";"N20FRF",#N/A,FALSE,"NOTE20";"N21FRF",#N/A,FALSE,"NOTE21";"N22FRF",#N/A,FALSE,"NOTE22";"N23FRF",#N/A,FALSE,"NOTE23";"N24FRF",#N/A,FALSE,"NOTE24";"N25FRF",#N/A,FALSE,"NOTE25";"N26FRF",#N/A,FALSE,"NOTE26";"N27FRF",#N/A,FALSE,"NOTE27";"N28FRF",#N/A,FALSE,"NOTE28";"N29FRF",#N/A,FALSE,"NOTE29";"N30FRF",#N/A,FALSE,"NOTE30";"N31FRF",#N/A,FALSE,"NOTE31";"N32FRF",#N/A,FALSE,"NOTE32";"N33FRF",#N/A,FALSE,"NOTE33";"BILSOCFRF",#N/A,FALSE,"bilan soc";"RESSOCFRF",#N/A,FALSE,"PL soc";"cinqexFRF",#N/A,FALSE,"5ex"}</definedName>
    <definedName name="wrn.etafifrffrf2._4_1" localSheetId="7" hidden="1">{#N/A,"francaisfrf",FALSE,"UNITE";"ACTFRF",#N/A,FALSE,"ACTIF";"PASFRF",#N/A,FALSE,"PASSIF";"RESFRF",#N/A,FALSE,"RESULTATS";"FPFRF",#N/A,FALSE,"FP";"N03FRF",#N/A,FALSE,"NOTE03";"N04FRF",#N/A,FALSE,"NOTE04";"N05FRF",#N/A,FALSE,"NOTE05";"N06FRF",#N/A,FALSE,"NOTE06";"N07FRF",#N/A,FALSE,"NOTE07";"N08FRF",#N/A,FALSE,"NOTE08";"N09FRF",#N/A,FALSE,"NOTE09";"N10FRF",#N/A,FALSE,"NOTE10";"N11FRF",#N/A,FALSE,"NOTE11";"N12FRF",#N/A,FALSE,"NOTE12";"N13FRF",#N/A,FALSE,"NOTE13";"N14FRF",#N/A,FALSE,"NOTE14";"N15FRF",#N/A,FALSE,"NOTE15";"N16FRF",#N/A,FALSE,"NOTE16";"N17FRF",#N/A,FALSE,"NOTE17";"N18FRF",#N/A,FALSE,"NOTE18";"N19FRF",#N/A,FALSE,"NOTE19";"N20FRF",#N/A,FALSE,"NOTE20";"N21FRF",#N/A,FALSE,"NOTE21";"N22FRF",#N/A,FALSE,"NOTE22";"N23FRF",#N/A,FALSE,"NOTE23";"N24FRF",#N/A,FALSE,"NOTE24";"N25FRF",#N/A,FALSE,"NOTE25";"N26FRF",#N/A,FALSE,"NOTE26";"N27FRF",#N/A,FALSE,"NOTE27";"N28FRF",#N/A,FALSE,"NOTE28";"N29FRF",#N/A,FALSE,"NOTE29";"N30FRF",#N/A,FALSE,"NOTE30";"N31FRF",#N/A,FALSE,"NOTE31";"N32FRF",#N/A,FALSE,"NOTE32";"N33FRF",#N/A,FALSE,"NOTE33";"BILSOCFRF",#N/A,FALSE,"bilan soc";"RESSOCFRF",#N/A,FALSE,"PL soc";"cinqexFRF",#N/A,FALSE,"5ex"}</definedName>
    <definedName name="wrn.etafifrffrf2._4_1" localSheetId="8" hidden="1">{#N/A,"francaisfrf",FALSE,"UNITE";"ACTFRF",#N/A,FALSE,"ACTIF";"PASFRF",#N/A,FALSE,"PASSIF";"RESFRF",#N/A,FALSE,"RESULTATS";"FPFRF",#N/A,FALSE,"FP";"N03FRF",#N/A,FALSE,"NOTE03";"N04FRF",#N/A,FALSE,"NOTE04";"N05FRF",#N/A,FALSE,"NOTE05";"N06FRF",#N/A,FALSE,"NOTE06";"N07FRF",#N/A,FALSE,"NOTE07";"N08FRF",#N/A,FALSE,"NOTE08";"N09FRF",#N/A,FALSE,"NOTE09";"N10FRF",#N/A,FALSE,"NOTE10";"N11FRF",#N/A,FALSE,"NOTE11";"N12FRF",#N/A,FALSE,"NOTE12";"N13FRF",#N/A,FALSE,"NOTE13";"N14FRF",#N/A,FALSE,"NOTE14";"N15FRF",#N/A,FALSE,"NOTE15";"N16FRF",#N/A,FALSE,"NOTE16";"N17FRF",#N/A,FALSE,"NOTE17";"N18FRF",#N/A,FALSE,"NOTE18";"N19FRF",#N/A,FALSE,"NOTE19";"N20FRF",#N/A,FALSE,"NOTE20";"N21FRF",#N/A,FALSE,"NOTE21";"N22FRF",#N/A,FALSE,"NOTE22";"N23FRF",#N/A,FALSE,"NOTE23";"N24FRF",#N/A,FALSE,"NOTE24";"N25FRF",#N/A,FALSE,"NOTE25";"N26FRF",#N/A,FALSE,"NOTE26";"N27FRF",#N/A,FALSE,"NOTE27";"N28FRF",#N/A,FALSE,"NOTE28";"N29FRF",#N/A,FALSE,"NOTE29";"N30FRF",#N/A,FALSE,"NOTE30";"N31FRF",#N/A,FALSE,"NOTE31";"N32FRF",#N/A,FALSE,"NOTE32";"N33FRF",#N/A,FALSE,"NOTE33";"BILSOCFRF",#N/A,FALSE,"bilan soc";"RESSOCFRF",#N/A,FALSE,"PL soc";"cinqexFRF",#N/A,FALSE,"5ex"}</definedName>
    <definedName name="wrn.etafifrffrf2._4_1" localSheetId="10" hidden="1">{#N/A,"francaisfrf",FALSE,"UNITE";"ACTFRF",#N/A,FALSE,"ACTIF";"PASFRF",#N/A,FALSE,"PASSIF";"RESFRF",#N/A,FALSE,"RESULTATS";"FPFRF",#N/A,FALSE,"FP";"N03FRF",#N/A,FALSE,"NOTE03";"N04FRF",#N/A,FALSE,"NOTE04";"N05FRF",#N/A,FALSE,"NOTE05";"N06FRF",#N/A,FALSE,"NOTE06";"N07FRF",#N/A,FALSE,"NOTE07";"N08FRF",#N/A,FALSE,"NOTE08";"N09FRF",#N/A,FALSE,"NOTE09";"N10FRF",#N/A,FALSE,"NOTE10";"N11FRF",#N/A,FALSE,"NOTE11";"N12FRF",#N/A,FALSE,"NOTE12";"N13FRF",#N/A,FALSE,"NOTE13";"N14FRF",#N/A,FALSE,"NOTE14";"N15FRF",#N/A,FALSE,"NOTE15";"N16FRF",#N/A,FALSE,"NOTE16";"N17FRF",#N/A,FALSE,"NOTE17";"N18FRF",#N/A,FALSE,"NOTE18";"N19FRF",#N/A,FALSE,"NOTE19";"N20FRF",#N/A,FALSE,"NOTE20";"N21FRF",#N/A,FALSE,"NOTE21";"N22FRF",#N/A,FALSE,"NOTE22";"N23FRF",#N/A,FALSE,"NOTE23";"N24FRF",#N/A,FALSE,"NOTE24";"N25FRF",#N/A,FALSE,"NOTE25";"N26FRF",#N/A,FALSE,"NOTE26";"N27FRF",#N/A,FALSE,"NOTE27";"N28FRF",#N/A,FALSE,"NOTE28";"N29FRF",#N/A,FALSE,"NOTE29";"N30FRF",#N/A,FALSE,"NOTE30";"N31FRF",#N/A,FALSE,"NOTE31";"N32FRF",#N/A,FALSE,"NOTE32";"N33FRF",#N/A,FALSE,"NOTE33";"BILSOCFRF",#N/A,FALSE,"bilan soc";"RESSOCFRF",#N/A,FALSE,"PL soc";"cinqexFRF",#N/A,FALSE,"5ex"}</definedName>
    <definedName name="wrn.etafifrffrf2._4_1" hidden="1">{#N/A,"francaisfrf",FALSE,"UNITE";"ACTFRF",#N/A,FALSE,"ACTIF";"PASFRF",#N/A,FALSE,"PASSIF";"RESFRF",#N/A,FALSE,"RESULTATS";"FPFRF",#N/A,FALSE,"FP";"N03FRF",#N/A,FALSE,"NOTE03";"N04FRF",#N/A,FALSE,"NOTE04";"N05FRF",#N/A,FALSE,"NOTE05";"N06FRF",#N/A,FALSE,"NOTE06";"N07FRF",#N/A,FALSE,"NOTE07";"N08FRF",#N/A,FALSE,"NOTE08";"N09FRF",#N/A,FALSE,"NOTE09";"N10FRF",#N/A,FALSE,"NOTE10";"N11FRF",#N/A,FALSE,"NOTE11";"N12FRF",#N/A,FALSE,"NOTE12";"N13FRF",#N/A,FALSE,"NOTE13";"N14FRF",#N/A,FALSE,"NOTE14";"N15FRF",#N/A,FALSE,"NOTE15";"N16FRF",#N/A,FALSE,"NOTE16";"N17FRF",#N/A,FALSE,"NOTE17";"N18FRF",#N/A,FALSE,"NOTE18";"N19FRF",#N/A,FALSE,"NOTE19";"N20FRF",#N/A,FALSE,"NOTE20";"N21FRF",#N/A,FALSE,"NOTE21";"N22FRF",#N/A,FALSE,"NOTE22";"N23FRF",#N/A,FALSE,"NOTE23";"N24FRF",#N/A,FALSE,"NOTE24";"N25FRF",#N/A,FALSE,"NOTE25";"N26FRF",#N/A,FALSE,"NOTE26";"N27FRF",#N/A,FALSE,"NOTE27";"N28FRF",#N/A,FALSE,"NOTE28";"N29FRF",#N/A,FALSE,"NOTE29";"N30FRF",#N/A,FALSE,"NOTE30";"N31FRF",#N/A,FALSE,"NOTE31";"N32FRF",#N/A,FALSE,"NOTE32";"N33FRF",#N/A,FALSE,"NOTE33";"BILSOCFRF",#N/A,FALSE,"bilan soc";"RESSOCFRF",#N/A,FALSE,"PL soc";"cinqexFRF",#N/A,FALSE,"5ex"}</definedName>
    <definedName name="wrn.etafifrffrf2._4_1_1" localSheetId="12" hidden="1">{#N/A,"francaisfrf",FALSE,"UNITE";"ACTFRF",#N/A,FALSE,"ACTIF";"PASFRF",#N/A,FALSE,"PASSIF";"RESFRF",#N/A,FALSE,"RESULTATS";"FPFRF",#N/A,FALSE,"FP";"N03FRF",#N/A,FALSE,"NOTE03";"N04FRF",#N/A,FALSE,"NOTE04";"N05FRF",#N/A,FALSE,"NOTE05";"N06FRF",#N/A,FALSE,"NOTE06";"N07FRF",#N/A,FALSE,"NOTE07";"N08FRF",#N/A,FALSE,"NOTE08";"N09FRF",#N/A,FALSE,"NOTE09";"N10FRF",#N/A,FALSE,"NOTE10";"N11FRF",#N/A,FALSE,"NOTE11";"N12FRF",#N/A,FALSE,"NOTE12";"N13FRF",#N/A,FALSE,"NOTE13";"N14FRF",#N/A,FALSE,"NOTE14";"N15FRF",#N/A,FALSE,"NOTE15";"N16FRF",#N/A,FALSE,"NOTE16";"N17FRF",#N/A,FALSE,"NOTE17";"N18FRF",#N/A,FALSE,"NOTE18";"N19FRF",#N/A,FALSE,"NOTE19";"N20FRF",#N/A,FALSE,"NOTE20";"N21FRF",#N/A,FALSE,"NOTE21";"N22FRF",#N/A,FALSE,"NOTE22";"N23FRF",#N/A,FALSE,"NOTE23";"N24FRF",#N/A,FALSE,"NOTE24";"N25FRF",#N/A,FALSE,"NOTE25";"N26FRF",#N/A,FALSE,"NOTE26";"N27FRF",#N/A,FALSE,"NOTE27";"N28FRF",#N/A,FALSE,"NOTE28";"N29FRF",#N/A,FALSE,"NOTE29";"N30FRF",#N/A,FALSE,"NOTE30";"N31FRF",#N/A,FALSE,"NOTE31";"N32FRF",#N/A,FALSE,"NOTE32";"N33FRF",#N/A,FALSE,"NOTE33";"BILSOCFRF",#N/A,FALSE,"bilan soc";"RESSOCFRF",#N/A,FALSE,"PL soc";"cinqexFRF",#N/A,FALSE,"5ex"}</definedName>
    <definedName name="wrn.etafifrffrf2._4_1_1" hidden="1">{#N/A,"francaisfrf",FALSE,"UNITE";"ACTFRF",#N/A,FALSE,"ACTIF";"PASFRF",#N/A,FALSE,"PASSIF";"RESFRF",#N/A,FALSE,"RESULTATS";"FPFRF",#N/A,FALSE,"FP";"N03FRF",#N/A,FALSE,"NOTE03";"N04FRF",#N/A,FALSE,"NOTE04";"N05FRF",#N/A,FALSE,"NOTE05";"N06FRF",#N/A,FALSE,"NOTE06";"N07FRF",#N/A,FALSE,"NOTE07";"N08FRF",#N/A,FALSE,"NOTE08";"N09FRF",#N/A,FALSE,"NOTE09";"N10FRF",#N/A,FALSE,"NOTE10";"N11FRF",#N/A,FALSE,"NOTE11";"N12FRF",#N/A,FALSE,"NOTE12";"N13FRF",#N/A,FALSE,"NOTE13";"N14FRF",#N/A,FALSE,"NOTE14";"N15FRF",#N/A,FALSE,"NOTE15";"N16FRF",#N/A,FALSE,"NOTE16";"N17FRF",#N/A,FALSE,"NOTE17";"N18FRF",#N/A,FALSE,"NOTE18";"N19FRF",#N/A,FALSE,"NOTE19";"N20FRF",#N/A,FALSE,"NOTE20";"N21FRF",#N/A,FALSE,"NOTE21";"N22FRF",#N/A,FALSE,"NOTE22";"N23FRF",#N/A,FALSE,"NOTE23";"N24FRF",#N/A,FALSE,"NOTE24";"N25FRF",#N/A,FALSE,"NOTE25";"N26FRF",#N/A,FALSE,"NOTE26";"N27FRF",#N/A,FALSE,"NOTE27";"N28FRF",#N/A,FALSE,"NOTE28";"N29FRF",#N/A,FALSE,"NOTE29";"N30FRF",#N/A,FALSE,"NOTE30";"N31FRF",#N/A,FALSE,"NOTE31";"N32FRF",#N/A,FALSE,"NOTE32";"N33FRF",#N/A,FALSE,"NOTE33";"BILSOCFRF",#N/A,FALSE,"bilan soc";"RESSOCFRF",#N/A,FALSE,"PL soc";"cinqexFRF",#N/A,FALSE,"5ex"}</definedName>
    <definedName name="wrn.etafifrffrf2._4_1_2" hidden="1">{#N/A,"francaisfrf",FALSE,"UNITE";"ACTFRF",#N/A,FALSE,"ACTIF";"PASFRF",#N/A,FALSE,"PASSIF";"RESFRF",#N/A,FALSE,"RESULTATS";"FPFRF",#N/A,FALSE,"FP";"N03FRF",#N/A,FALSE,"NOTE03";"N04FRF",#N/A,FALSE,"NOTE04";"N05FRF",#N/A,FALSE,"NOTE05";"N06FRF",#N/A,FALSE,"NOTE06";"N07FRF",#N/A,FALSE,"NOTE07";"N08FRF",#N/A,FALSE,"NOTE08";"N09FRF",#N/A,FALSE,"NOTE09";"N10FRF",#N/A,FALSE,"NOTE10";"N11FRF",#N/A,FALSE,"NOTE11";"N12FRF",#N/A,FALSE,"NOTE12";"N13FRF",#N/A,FALSE,"NOTE13";"N14FRF",#N/A,FALSE,"NOTE14";"N15FRF",#N/A,FALSE,"NOTE15";"N16FRF",#N/A,FALSE,"NOTE16";"N17FRF",#N/A,FALSE,"NOTE17";"N18FRF",#N/A,FALSE,"NOTE18";"N19FRF",#N/A,FALSE,"NOTE19";"N20FRF",#N/A,FALSE,"NOTE20";"N21FRF",#N/A,FALSE,"NOTE21";"N22FRF",#N/A,FALSE,"NOTE22";"N23FRF",#N/A,FALSE,"NOTE23";"N24FRF",#N/A,FALSE,"NOTE24";"N25FRF",#N/A,FALSE,"NOTE25";"N26FRF",#N/A,FALSE,"NOTE26";"N27FRF",#N/A,FALSE,"NOTE27";"N28FRF",#N/A,FALSE,"NOTE28";"N29FRF",#N/A,FALSE,"NOTE29";"N30FRF",#N/A,FALSE,"NOTE30";"N31FRF",#N/A,FALSE,"NOTE31";"N32FRF",#N/A,FALSE,"NOTE32";"N33FRF",#N/A,FALSE,"NOTE33";"BILSOCFRF",#N/A,FALSE,"bilan soc";"RESSOCFRF",#N/A,FALSE,"PL soc";"cinqexFRF",#N/A,FALSE,"5ex"}</definedName>
    <definedName name="wrn.etafifrffrf2._4_2" localSheetId="12" hidden="1">{#N/A,"francaisfrf",FALSE,"UNITE";"ACTFRF",#N/A,FALSE,"ACTIF";"PASFRF",#N/A,FALSE,"PASSIF";"RESFRF",#N/A,FALSE,"RESULTATS";"FPFRF",#N/A,FALSE,"FP";"N03FRF",#N/A,FALSE,"NOTE03";"N04FRF",#N/A,FALSE,"NOTE04";"N05FRF",#N/A,FALSE,"NOTE05";"N06FRF",#N/A,FALSE,"NOTE06";"N07FRF",#N/A,FALSE,"NOTE07";"N08FRF",#N/A,FALSE,"NOTE08";"N09FRF",#N/A,FALSE,"NOTE09";"N10FRF",#N/A,FALSE,"NOTE10";"N11FRF",#N/A,FALSE,"NOTE11";"N12FRF",#N/A,FALSE,"NOTE12";"N13FRF",#N/A,FALSE,"NOTE13";"N14FRF",#N/A,FALSE,"NOTE14";"N15FRF",#N/A,FALSE,"NOTE15";"N16FRF",#N/A,FALSE,"NOTE16";"N17FRF",#N/A,FALSE,"NOTE17";"N18FRF",#N/A,FALSE,"NOTE18";"N19FRF",#N/A,FALSE,"NOTE19";"N20FRF",#N/A,FALSE,"NOTE20";"N21FRF",#N/A,FALSE,"NOTE21";"N22FRF",#N/A,FALSE,"NOTE22";"N23FRF",#N/A,FALSE,"NOTE23";"N24FRF",#N/A,FALSE,"NOTE24";"N25FRF",#N/A,FALSE,"NOTE25";"N26FRF",#N/A,FALSE,"NOTE26";"N27FRF",#N/A,FALSE,"NOTE27";"N28FRF",#N/A,FALSE,"NOTE28";"N29FRF",#N/A,FALSE,"NOTE29";"N30FRF",#N/A,FALSE,"NOTE30";"N31FRF",#N/A,FALSE,"NOTE31";"N32FRF",#N/A,FALSE,"NOTE32";"N33FRF",#N/A,FALSE,"NOTE33";"BILSOCFRF",#N/A,FALSE,"bilan soc";"RESSOCFRF",#N/A,FALSE,"PL soc";"cinqexFRF",#N/A,FALSE,"5ex"}</definedName>
    <definedName name="wrn.etafifrffrf2._4_2" hidden="1">{#N/A,"francaisfrf",FALSE,"UNITE";"ACTFRF",#N/A,FALSE,"ACTIF";"PASFRF",#N/A,FALSE,"PASSIF";"RESFRF",#N/A,FALSE,"RESULTATS";"FPFRF",#N/A,FALSE,"FP";"N03FRF",#N/A,FALSE,"NOTE03";"N04FRF",#N/A,FALSE,"NOTE04";"N05FRF",#N/A,FALSE,"NOTE05";"N06FRF",#N/A,FALSE,"NOTE06";"N07FRF",#N/A,FALSE,"NOTE07";"N08FRF",#N/A,FALSE,"NOTE08";"N09FRF",#N/A,FALSE,"NOTE09";"N10FRF",#N/A,FALSE,"NOTE10";"N11FRF",#N/A,FALSE,"NOTE11";"N12FRF",#N/A,FALSE,"NOTE12";"N13FRF",#N/A,FALSE,"NOTE13";"N14FRF",#N/A,FALSE,"NOTE14";"N15FRF",#N/A,FALSE,"NOTE15";"N16FRF",#N/A,FALSE,"NOTE16";"N17FRF",#N/A,FALSE,"NOTE17";"N18FRF",#N/A,FALSE,"NOTE18";"N19FRF",#N/A,FALSE,"NOTE19";"N20FRF",#N/A,FALSE,"NOTE20";"N21FRF",#N/A,FALSE,"NOTE21";"N22FRF",#N/A,FALSE,"NOTE22";"N23FRF",#N/A,FALSE,"NOTE23";"N24FRF",#N/A,FALSE,"NOTE24";"N25FRF",#N/A,FALSE,"NOTE25";"N26FRF",#N/A,FALSE,"NOTE26";"N27FRF",#N/A,FALSE,"NOTE27";"N28FRF",#N/A,FALSE,"NOTE28";"N29FRF",#N/A,FALSE,"NOTE29";"N30FRF",#N/A,FALSE,"NOTE30";"N31FRF",#N/A,FALSE,"NOTE31";"N32FRF",#N/A,FALSE,"NOTE32";"N33FRF",#N/A,FALSE,"NOTE33";"BILSOCFRF",#N/A,FALSE,"bilan soc";"RESSOCFRF",#N/A,FALSE,"PL soc";"cinqexFRF",#N/A,FALSE,"5ex"}</definedName>
    <definedName name="wrn.etafifrffrf2._4_3" localSheetId="12" hidden="1">{#N/A,"francaisfrf",FALSE,"UNITE";"ACTFRF",#N/A,FALSE,"ACTIF";"PASFRF",#N/A,FALSE,"PASSIF";"RESFRF",#N/A,FALSE,"RESULTATS";"FPFRF",#N/A,FALSE,"FP";"N03FRF",#N/A,FALSE,"NOTE03";"N04FRF",#N/A,FALSE,"NOTE04";"N05FRF",#N/A,FALSE,"NOTE05";"N06FRF",#N/A,FALSE,"NOTE06";"N07FRF",#N/A,FALSE,"NOTE07";"N08FRF",#N/A,FALSE,"NOTE08";"N09FRF",#N/A,FALSE,"NOTE09";"N10FRF",#N/A,FALSE,"NOTE10";"N11FRF",#N/A,FALSE,"NOTE11";"N12FRF",#N/A,FALSE,"NOTE12";"N13FRF",#N/A,FALSE,"NOTE13";"N14FRF",#N/A,FALSE,"NOTE14";"N15FRF",#N/A,FALSE,"NOTE15";"N16FRF",#N/A,FALSE,"NOTE16";"N17FRF",#N/A,FALSE,"NOTE17";"N18FRF",#N/A,FALSE,"NOTE18";"N19FRF",#N/A,FALSE,"NOTE19";"N20FRF",#N/A,FALSE,"NOTE20";"N21FRF",#N/A,FALSE,"NOTE21";"N22FRF",#N/A,FALSE,"NOTE22";"N23FRF",#N/A,FALSE,"NOTE23";"N24FRF",#N/A,FALSE,"NOTE24";"N25FRF",#N/A,FALSE,"NOTE25";"N26FRF",#N/A,FALSE,"NOTE26";"N27FRF",#N/A,FALSE,"NOTE27";"N28FRF",#N/A,FALSE,"NOTE28";"N29FRF",#N/A,FALSE,"NOTE29";"N30FRF",#N/A,FALSE,"NOTE30";"N31FRF",#N/A,FALSE,"NOTE31";"N32FRF",#N/A,FALSE,"NOTE32";"N33FRF",#N/A,FALSE,"NOTE33";"BILSOCFRF",#N/A,FALSE,"bilan soc";"RESSOCFRF",#N/A,FALSE,"PL soc";"cinqexFRF",#N/A,FALSE,"5ex"}</definedName>
    <definedName name="wrn.etafifrffrf2._4_3" hidden="1">{#N/A,"francaisfrf",FALSE,"UNITE";"ACTFRF",#N/A,FALSE,"ACTIF";"PASFRF",#N/A,FALSE,"PASSIF";"RESFRF",#N/A,FALSE,"RESULTATS";"FPFRF",#N/A,FALSE,"FP";"N03FRF",#N/A,FALSE,"NOTE03";"N04FRF",#N/A,FALSE,"NOTE04";"N05FRF",#N/A,FALSE,"NOTE05";"N06FRF",#N/A,FALSE,"NOTE06";"N07FRF",#N/A,FALSE,"NOTE07";"N08FRF",#N/A,FALSE,"NOTE08";"N09FRF",#N/A,FALSE,"NOTE09";"N10FRF",#N/A,FALSE,"NOTE10";"N11FRF",#N/A,FALSE,"NOTE11";"N12FRF",#N/A,FALSE,"NOTE12";"N13FRF",#N/A,FALSE,"NOTE13";"N14FRF",#N/A,FALSE,"NOTE14";"N15FRF",#N/A,FALSE,"NOTE15";"N16FRF",#N/A,FALSE,"NOTE16";"N17FRF",#N/A,FALSE,"NOTE17";"N18FRF",#N/A,FALSE,"NOTE18";"N19FRF",#N/A,FALSE,"NOTE19";"N20FRF",#N/A,FALSE,"NOTE20";"N21FRF",#N/A,FALSE,"NOTE21";"N22FRF",#N/A,FALSE,"NOTE22";"N23FRF",#N/A,FALSE,"NOTE23";"N24FRF",#N/A,FALSE,"NOTE24";"N25FRF",#N/A,FALSE,"NOTE25";"N26FRF",#N/A,FALSE,"NOTE26";"N27FRF",#N/A,FALSE,"NOTE27";"N28FRF",#N/A,FALSE,"NOTE28";"N29FRF",#N/A,FALSE,"NOTE29";"N30FRF",#N/A,FALSE,"NOTE30";"N31FRF",#N/A,FALSE,"NOTE31";"N32FRF",#N/A,FALSE,"NOTE32";"N33FRF",#N/A,FALSE,"NOTE33";"BILSOCFRF",#N/A,FALSE,"bilan soc";"RESSOCFRF",#N/A,FALSE,"PL soc";"cinqexFRF",#N/A,FALSE,"5ex"}</definedName>
    <definedName name="wrn.etafifrffrf2._5" localSheetId="9" hidden="1">{#N/A,"francaisfrf",FALSE,"UNITE";"ACTFRF",#N/A,FALSE,"ACTIF";"PASFRF",#N/A,FALSE,"PASSIF";"RESFRF",#N/A,FALSE,"RESULTATS";"FPFRF",#N/A,FALSE,"FP";"N03FRF",#N/A,FALSE,"NOTE03";"N04FRF",#N/A,FALSE,"NOTE04";"N05FRF",#N/A,FALSE,"NOTE05";"N06FRF",#N/A,FALSE,"NOTE06";"N07FRF",#N/A,FALSE,"NOTE07";"N08FRF",#N/A,FALSE,"NOTE08";"N09FRF",#N/A,FALSE,"NOTE09";"N10FRF",#N/A,FALSE,"NOTE10";"N11FRF",#N/A,FALSE,"NOTE11";"N12FRF",#N/A,FALSE,"NOTE12";"N13FRF",#N/A,FALSE,"NOTE13";"N14FRF",#N/A,FALSE,"NOTE14";"N15FRF",#N/A,FALSE,"NOTE15";"N16FRF",#N/A,FALSE,"NOTE16";"N17FRF",#N/A,FALSE,"NOTE17";"N18FRF",#N/A,FALSE,"NOTE18";"N19FRF",#N/A,FALSE,"NOTE19";"N20FRF",#N/A,FALSE,"NOTE20";"N21FRF",#N/A,FALSE,"NOTE21";"N22FRF",#N/A,FALSE,"NOTE22";"N23FRF",#N/A,FALSE,"NOTE23";"N24FRF",#N/A,FALSE,"NOTE24";"N25FRF",#N/A,FALSE,"NOTE25";"N26FRF",#N/A,FALSE,"NOTE26";"N27FRF",#N/A,FALSE,"NOTE27";"N28FRF",#N/A,FALSE,"NOTE28";"N29FRF",#N/A,FALSE,"NOTE29";"N30FRF",#N/A,FALSE,"NOTE30";"N31FRF",#N/A,FALSE,"NOTE31";"N32FRF",#N/A,FALSE,"NOTE32";"N33FRF",#N/A,FALSE,"NOTE33";"BILSOCFRF",#N/A,FALSE,"bilan soc";"RESSOCFRF",#N/A,FALSE,"PL soc";"cinqexFRF",#N/A,FALSE,"5ex"}</definedName>
    <definedName name="wrn.etafifrffrf2._5" localSheetId="12" hidden="1">{#N/A,"francaisfrf",FALSE,"UNITE";"ACTFRF",#N/A,FALSE,"ACTIF";"PASFRF",#N/A,FALSE,"PASSIF";"RESFRF",#N/A,FALSE,"RESULTATS";"FPFRF",#N/A,FALSE,"FP";"N03FRF",#N/A,FALSE,"NOTE03";"N04FRF",#N/A,FALSE,"NOTE04";"N05FRF",#N/A,FALSE,"NOTE05";"N06FRF",#N/A,FALSE,"NOTE06";"N07FRF",#N/A,FALSE,"NOTE07";"N08FRF",#N/A,FALSE,"NOTE08";"N09FRF",#N/A,FALSE,"NOTE09";"N10FRF",#N/A,FALSE,"NOTE10";"N11FRF",#N/A,FALSE,"NOTE11";"N12FRF",#N/A,FALSE,"NOTE12";"N13FRF",#N/A,FALSE,"NOTE13";"N14FRF",#N/A,FALSE,"NOTE14";"N15FRF",#N/A,FALSE,"NOTE15";"N16FRF",#N/A,FALSE,"NOTE16";"N17FRF",#N/A,FALSE,"NOTE17";"N18FRF",#N/A,FALSE,"NOTE18";"N19FRF",#N/A,FALSE,"NOTE19";"N20FRF",#N/A,FALSE,"NOTE20";"N21FRF",#N/A,FALSE,"NOTE21";"N22FRF",#N/A,FALSE,"NOTE22";"N23FRF",#N/A,FALSE,"NOTE23";"N24FRF",#N/A,FALSE,"NOTE24";"N25FRF",#N/A,FALSE,"NOTE25";"N26FRF",#N/A,FALSE,"NOTE26";"N27FRF",#N/A,FALSE,"NOTE27";"N28FRF",#N/A,FALSE,"NOTE28";"N29FRF",#N/A,FALSE,"NOTE29";"N30FRF",#N/A,FALSE,"NOTE30";"N31FRF",#N/A,FALSE,"NOTE31";"N32FRF",#N/A,FALSE,"NOTE32";"N33FRF",#N/A,FALSE,"NOTE33";"BILSOCFRF",#N/A,FALSE,"bilan soc";"RESSOCFRF",#N/A,FALSE,"PL soc";"cinqexFRF",#N/A,FALSE,"5ex"}</definedName>
    <definedName name="wrn.etafifrffrf2._5" localSheetId="7" hidden="1">{#N/A,"francaisfrf",FALSE,"UNITE";"ACTFRF",#N/A,FALSE,"ACTIF";"PASFRF",#N/A,FALSE,"PASSIF";"RESFRF",#N/A,FALSE,"RESULTATS";"FPFRF",#N/A,FALSE,"FP";"N03FRF",#N/A,FALSE,"NOTE03";"N04FRF",#N/A,FALSE,"NOTE04";"N05FRF",#N/A,FALSE,"NOTE05";"N06FRF",#N/A,FALSE,"NOTE06";"N07FRF",#N/A,FALSE,"NOTE07";"N08FRF",#N/A,FALSE,"NOTE08";"N09FRF",#N/A,FALSE,"NOTE09";"N10FRF",#N/A,FALSE,"NOTE10";"N11FRF",#N/A,FALSE,"NOTE11";"N12FRF",#N/A,FALSE,"NOTE12";"N13FRF",#N/A,FALSE,"NOTE13";"N14FRF",#N/A,FALSE,"NOTE14";"N15FRF",#N/A,FALSE,"NOTE15";"N16FRF",#N/A,FALSE,"NOTE16";"N17FRF",#N/A,FALSE,"NOTE17";"N18FRF",#N/A,FALSE,"NOTE18";"N19FRF",#N/A,FALSE,"NOTE19";"N20FRF",#N/A,FALSE,"NOTE20";"N21FRF",#N/A,FALSE,"NOTE21";"N22FRF",#N/A,FALSE,"NOTE22";"N23FRF",#N/A,FALSE,"NOTE23";"N24FRF",#N/A,FALSE,"NOTE24";"N25FRF",#N/A,FALSE,"NOTE25";"N26FRF",#N/A,FALSE,"NOTE26";"N27FRF",#N/A,FALSE,"NOTE27";"N28FRF",#N/A,FALSE,"NOTE28";"N29FRF",#N/A,FALSE,"NOTE29";"N30FRF",#N/A,FALSE,"NOTE30";"N31FRF",#N/A,FALSE,"NOTE31";"N32FRF",#N/A,FALSE,"NOTE32";"N33FRF",#N/A,FALSE,"NOTE33";"BILSOCFRF",#N/A,FALSE,"bilan soc";"RESSOCFRF",#N/A,FALSE,"PL soc";"cinqexFRF",#N/A,FALSE,"5ex"}</definedName>
    <definedName name="wrn.etafifrffrf2._5" localSheetId="8" hidden="1">{#N/A,"francaisfrf",FALSE,"UNITE";"ACTFRF",#N/A,FALSE,"ACTIF";"PASFRF",#N/A,FALSE,"PASSIF";"RESFRF",#N/A,FALSE,"RESULTATS";"FPFRF",#N/A,FALSE,"FP";"N03FRF",#N/A,FALSE,"NOTE03";"N04FRF",#N/A,FALSE,"NOTE04";"N05FRF",#N/A,FALSE,"NOTE05";"N06FRF",#N/A,FALSE,"NOTE06";"N07FRF",#N/A,FALSE,"NOTE07";"N08FRF",#N/A,FALSE,"NOTE08";"N09FRF",#N/A,FALSE,"NOTE09";"N10FRF",#N/A,FALSE,"NOTE10";"N11FRF",#N/A,FALSE,"NOTE11";"N12FRF",#N/A,FALSE,"NOTE12";"N13FRF",#N/A,FALSE,"NOTE13";"N14FRF",#N/A,FALSE,"NOTE14";"N15FRF",#N/A,FALSE,"NOTE15";"N16FRF",#N/A,FALSE,"NOTE16";"N17FRF",#N/A,FALSE,"NOTE17";"N18FRF",#N/A,FALSE,"NOTE18";"N19FRF",#N/A,FALSE,"NOTE19";"N20FRF",#N/A,FALSE,"NOTE20";"N21FRF",#N/A,FALSE,"NOTE21";"N22FRF",#N/A,FALSE,"NOTE22";"N23FRF",#N/A,FALSE,"NOTE23";"N24FRF",#N/A,FALSE,"NOTE24";"N25FRF",#N/A,FALSE,"NOTE25";"N26FRF",#N/A,FALSE,"NOTE26";"N27FRF",#N/A,FALSE,"NOTE27";"N28FRF",#N/A,FALSE,"NOTE28";"N29FRF",#N/A,FALSE,"NOTE29";"N30FRF",#N/A,FALSE,"NOTE30";"N31FRF",#N/A,FALSE,"NOTE31";"N32FRF",#N/A,FALSE,"NOTE32";"N33FRF",#N/A,FALSE,"NOTE33";"BILSOCFRF",#N/A,FALSE,"bilan soc";"RESSOCFRF",#N/A,FALSE,"PL soc";"cinqexFRF",#N/A,FALSE,"5ex"}</definedName>
    <definedName name="wrn.etafifrffrf2._5" localSheetId="10" hidden="1">{#N/A,"francaisfrf",FALSE,"UNITE";"ACTFRF",#N/A,FALSE,"ACTIF";"PASFRF",#N/A,FALSE,"PASSIF";"RESFRF",#N/A,FALSE,"RESULTATS";"FPFRF",#N/A,FALSE,"FP";"N03FRF",#N/A,FALSE,"NOTE03";"N04FRF",#N/A,FALSE,"NOTE04";"N05FRF",#N/A,FALSE,"NOTE05";"N06FRF",#N/A,FALSE,"NOTE06";"N07FRF",#N/A,FALSE,"NOTE07";"N08FRF",#N/A,FALSE,"NOTE08";"N09FRF",#N/A,FALSE,"NOTE09";"N10FRF",#N/A,FALSE,"NOTE10";"N11FRF",#N/A,FALSE,"NOTE11";"N12FRF",#N/A,FALSE,"NOTE12";"N13FRF",#N/A,FALSE,"NOTE13";"N14FRF",#N/A,FALSE,"NOTE14";"N15FRF",#N/A,FALSE,"NOTE15";"N16FRF",#N/A,FALSE,"NOTE16";"N17FRF",#N/A,FALSE,"NOTE17";"N18FRF",#N/A,FALSE,"NOTE18";"N19FRF",#N/A,FALSE,"NOTE19";"N20FRF",#N/A,FALSE,"NOTE20";"N21FRF",#N/A,FALSE,"NOTE21";"N22FRF",#N/A,FALSE,"NOTE22";"N23FRF",#N/A,FALSE,"NOTE23";"N24FRF",#N/A,FALSE,"NOTE24";"N25FRF",#N/A,FALSE,"NOTE25";"N26FRF",#N/A,FALSE,"NOTE26";"N27FRF",#N/A,FALSE,"NOTE27";"N28FRF",#N/A,FALSE,"NOTE28";"N29FRF",#N/A,FALSE,"NOTE29";"N30FRF",#N/A,FALSE,"NOTE30";"N31FRF",#N/A,FALSE,"NOTE31";"N32FRF",#N/A,FALSE,"NOTE32";"N33FRF",#N/A,FALSE,"NOTE33";"BILSOCFRF",#N/A,FALSE,"bilan soc";"RESSOCFRF",#N/A,FALSE,"PL soc";"cinqexFRF",#N/A,FALSE,"5ex"}</definedName>
    <definedName name="wrn.etafifrffrf2._5" hidden="1">{#N/A,"francaisfrf",FALSE,"UNITE";"ACTFRF",#N/A,FALSE,"ACTIF";"PASFRF",#N/A,FALSE,"PASSIF";"RESFRF",#N/A,FALSE,"RESULTATS";"FPFRF",#N/A,FALSE,"FP";"N03FRF",#N/A,FALSE,"NOTE03";"N04FRF",#N/A,FALSE,"NOTE04";"N05FRF",#N/A,FALSE,"NOTE05";"N06FRF",#N/A,FALSE,"NOTE06";"N07FRF",#N/A,FALSE,"NOTE07";"N08FRF",#N/A,FALSE,"NOTE08";"N09FRF",#N/A,FALSE,"NOTE09";"N10FRF",#N/A,FALSE,"NOTE10";"N11FRF",#N/A,FALSE,"NOTE11";"N12FRF",#N/A,FALSE,"NOTE12";"N13FRF",#N/A,FALSE,"NOTE13";"N14FRF",#N/A,FALSE,"NOTE14";"N15FRF",#N/A,FALSE,"NOTE15";"N16FRF",#N/A,FALSE,"NOTE16";"N17FRF",#N/A,FALSE,"NOTE17";"N18FRF",#N/A,FALSE,"NOTE18";"N19FRF",#N/A,FALSE,"NOTE19";"N20FRF",#N/A,FALSE,"NOTE20";"N21FRF",#N/A,FALSE,"NOTE21";"N22FRF",#N/A,FALSE,"NOTE22";"N23FRF",#N/A,FALSE,"NOTE23";"N24FRF",#N/A,FALSE,"NOTE24";"N25FRF",#N/A,FALSE,"NOTE25";"N26FRF",#N/A,FALSE,"NOTE26";"N27FRF",#N/A,FALSE,"NOTE27";"N28FRF",#N/A,FALSE,"NOTE28";"N29FRF",#N/A,FALSE,"NOTE29";"N30FRF",#N/A,FALSE,"NOTE30";"N31FRF",#N/A,FALSE,"NOTE31";"N32FRF",#N/A,FALSE,"NOTE32";"N33FRF",#N/A,FALSE,"NOTE33";"BILSOCFRF",#N/A,FALSE,"bilan soc";"RESSOCFRF",#N/A,FALSE,"PL soc";"cinqexFRF",#N/A,FALSE,"5ex"}</definedName>
    <definedName name="wrn.etafifrffrf2._5_1" localSheetId="9" hidden="1">{#N/A,"francaisfrf",FALSE,"UNITE";"ACTFRF",#N/A,FALSE,"ACTIF";"PASFRF",#N/A,FALSE,"PASSIF";"RESFRF",#N/A,FALSE,"RESULTATS";"FPFRF",#N/A,FALSE,"FP";"N03FRF",#N/A,FALSE,"NOTE03";"N04FRF",#N/A,FALSE,"NOTE04";"N05FRF",#N/A,FALSE,"NOTE05";"N06FRF",#N/A,FALSE,"NOTE06";"N07FRF",#N/A,FALSE,"NOTE07";"N08FRF",#N/A,FALSE,"NOTE08";"N09FRF",#N/A,FALSE,"NOTE09";"N10FRF",#N/A,FALSE,"NOTE10";"N11FRF",#N/A,FALSE,"NOTE11";"N12FRF",#N/A,FALSE,"NOTE12";"N13FRF",#N/A,FALSE,"NOTE13";"N14FRF",#N/A,FALSE,"NOTE14";"N15FRF",#N/A,FALSE,"NOTE15";"N16FRF",#N/A,FALSE,"NOTE16";"N17FRF",#N/A,FALSE,"NOTE17";"N18FRF",#N/A,FALSE,"NOTE18";"N19FRF",#N/A,FALSE,"NOTE19";"N20FRF",#N/A,FALSE,"NOTE20";"N21FRF",#N/A,FALSE,"NOTE21";"N22FRF",#N/A,FALSE,"NOTE22";"N23FRF",#N/A,FALSE,"NOTE23";"N24FRF",#N/A,FALSE,"NOTE24";"N25FRF",#N/A,FALSE,"NOTE25";"N26FRF",#N/A,FALSE,"NOTE26";"N27FRF",#N/A,FALSE,"NOTE27";"N28FRF",#N/A,FALSE,"NOTE28";"N29FRF",#N/A,FALSE,"NOTE29";"N30FRF",#N/A,FALSE,"NOTE30";"N31FRF",#N/A,FALSE,"NOTE31";"N32FRF",#N/A,FALSE,"NOTE32";"N33FRF",#N/A,FALSE,"NOTE33";"BILSOCFRF",#N/A,FALSE,"bilan soc";"RESSOCFRF",#N/A,FALSE,"PL soc";"cinqexFRF",#N/A,FALSE,"5ex"}</definedName>
    <definedName name="wrn.etafifrffrf2._5_1" localSheetId="12" hidden="1">{#N/A,"francaisfrf",FALSE,"UNITE";"ACTFRF",#N/A,FALSE,"ACTIF";"PASFRF",#N/A,FALSE,"PASSIF";"RESFRF",#N/A,FALSE,"RESULTATS";"FPFRF",#N/A,FALSE,"FP";"N03FRF",#N/A,FALSE,"NOTE03";"N04FRF",#N/A,FALSE,"NOTE04";"N05FRF",#N/A,FALSE,"NOTE05";"N06FRF",#N/A,FALSE,"NOTE06";"N07FRF",#N/A,FALSE,"NOTE07";"N08FRF",#N/A,FALSE,"NOTE08";"N09FRF",#N/A,FALSE,"NOTE09";"N10FRF",#N/A,FALSE,"NOTE10";"N11FRF",#N/A,FALSE,"NOTE11";"N12FRF",#N/A,FALSE,"NOTE12";"N13FRF",#N/A,FALSE,"NOTE13";"N14FRF",#N/A,FALSE,"NOTE14";"N15FRF",#N/A,FALSE,"NOTE15";"N16FRF",#N/A,FALSE,"NOTE16";"N17FRF",#N/A,FALSE,"NOTE17";"N18FRF",#N/A,FALSE,"NOTE18";"N19FRF",#N/A,FALSE,"NOTE19";"N20FRF",#N/A,FALSE,"NOTE20";"N21FRF",#N/A,FALSE,"NOTE21";"N22FRF",#N/A,FALSE,"NOTE22";"N23FRF",#N/A,FALSE,"NOTE23";"N24FRF",#N/A,FALSE,"NOTE24";"N25FRF",#N/A,FALSE,"NOTE25";"N26FRF",#N/A,FALSE,"NOTE26";"N27FRF",#N/A,FALSE,"NOTE27";"N28FRF",#N/A,FALSE,"NOTE28";"N29FRF",#N/A,FALSE,"NOTE29";"N30FRF",#N/A,FALSE,"NOTE30";"N31FRF",#N/A,FALSE,"NOTE31";"N32FRF",#N/A,FALSE,"NOTE32";"N33FRF",#N/A,FALSE,"NOTE33";"BILSOCFRF",#N/A,FALSE,"bilan soc";"RESSOCFRF",#N/A,FALSE,"PL soc";"cinqexFRF",#N/A,FALSE,"5ex"}</definedName>
    <definedName name="wrn.etafifrffrf2._5_1" localSheetId="7" hidden="1">{#N/A,"francaisfrf",FALSE,"UNITE";"ACTFRF",#N/A,FALSE,"ACTIF";"PASFRF",#N/A,FALSE,"PASSIF";"RESFRF",#N/A,FALSE,"RESULTATS";"FPFRF",#N/A,FALSE,"FP";"N03FRF",#N/A,FALSE,"NOTE03";"N04FRF",#N/A,FALSE,"NOTE04";"N05FRF",#N/A,FALSE,"NOTE05";"N06FRF",#N/A,FALSE,"NOTE06";"N07FRF",#N/A,FALSE,"NOTE07";"N08FRF",#N/A,FALSE,"NOTE08";"N09FRF",#N/A,FALSE,"NOTE09";"N10FRF",#N/A,FALSE,"NOTE10";"N11FRF",#N/A,FALSE,"NOTE11";"N12FRF",#N/A,FALSE,"NOTE12";"N13FRF",#N/A,FALSE,"NOTE13";"N14FRF",#N/A,FALSE,"NOTE14";"N15FRF",#N/A,FALSE,"NOTE15";"N16FRF",#N/A,FALSE,"NOTE16";"N17FRF",#N/A,FALSE,"NOTE17";"N18FRF",#N/A,FALSE,"NOTE18";"N19FRF",#N/A,FALSE,"NOTE19";"N20FRF",#N/A,FALSE,"NOTE20";"N21FRF",#N/A,FALSE,"NOTE21";"N22FRF",#N/A,FALSE,"NOTE22";"N23FRF",#N/A,FALSE,"NOTE23";"N24FRF",#N/A,FALSE,"NOTE24";"N25FRF",#N/A,FALSE,"NOTE25";"N26FRF",#N/A,FALSE,"NOTE26";"N27FRF",#N/A,FALSE,"NOTE27";"N28FRF",#N/A,FALSE,"NOTE28";"N29FRF",#N/A,FALSE,"NOTE29";"N30FRF",#N/A,FALSE,"NOTE30";"N31FRF",#N/A,FALSE,"NOTE31";"N32FRF",#N/A,FALSE,"NOTE32";"N33FRF",#N/A,FALSE,"NOTE33";"BILSOCFRF",#N/A,FALSE,"bilan soc";"RESSOCFRF",#N/A,FALSE,"PL soc";"cinqexFRF",#N/A,FALSE,"5ex"}</definedName>
    <definedName name="wrn.etafifrffrf2._5_1" localSheetId="8" hidden="1">{#N/A,"francaisfrf",FALSE,"UNITE";"ACTFRF",#N/A,FALSE,"ACTIF";"PASFRF",#N/A,FALSE,"PASSIF";"RESFRF",#N/A,FALSE,"RESULTATS";"FPFRF",#N/A,FALSE,"FP";"N03FRF",#N/A,FALSE,"NOTE03";"N04FRF",#N/A,FALSE,"NOTE04";"N05FRF",#N/A,FALSE,"NOTE05";"N06FRF",#N/A,FALSE,"NOTE06";"N07FRF",#N/A,FALSE,"NOTE07";"N08FRF",#N/A,FALSE,"NOTE08";"N09FRF",#N/A,FALSE,"NOTE09";"N10FRF",#N/A,FALSE,"NOTE10";"N11FRF",#N/A,FALSE,"NOTE11";"N12FRF",#N/A,FALSE,"NOTE12";"N13FRF",#N/A,FALSE,"NOTE13";"N14FRF",#N/A,FALSE,"NOTE14";"N15FRF",#N/A,FALSE,"NOTE15";"N16FRF",#N/A,FALSE,"NOTE16";"N17FRF",#N/A,FALSE,"NOTE17";"N18FRF",#N/A,FALSE,"NOTE18";"N19FRF",#N/A,FALSE,"NOTE19";"N20FRF",#N/A,FALSE,"NOTE20";"N21FRF",#N/A,FALSE,"NOTE21";"N22FRF",#N/A,FALSE,"NOTE22";"N23FRF",#N/A,FALSE,"NOTE23";"N24FRF",#N/A,FALSE,"NOTE24";"N25FRF",#N/A,FALSE,"NOTE25";"N26FRF",#N/A,FALSE,"NOTE26";"N27FRF",#N/A,FALSE,"NOTE27";"N28FRF",#N/A,FALSE,"NOTE28";"N29FRF",#N/A,FALSE,"NOTE29";"N30FRF",#N/A,FALSE,"NOTE30";"N31FRF",#N/A,FALSE,"NOTE31";"N32FRF",#N/A,FALSE,"NOTE32";"N33FRF",#N/A,FALSE,"NOTE33";"BILSOCFRF",#N/A,FALSE,"bilan soc";"RESSOCFRF",#N/A,FALSE,"PL soc";"cinqexFRF",#N/A,FALSE,"5ex"}</definedName>
    <definedName name="wrn.etafifrffrf2._5_1" localSheetId="10" hidden="1">{#N/A,"francaisfrf",FALSE,"UNITE";"ACTFRF",#N/A,FALSE,"ACTIF";"PASFRF",#N/A,FALSE,"PASSIF";"RESFRF",#N/A,FALSE,"RESULTATS";"FPFRF",#N/A,FALSE,"FP";"N03FRF",#N/A,FALSE,"NOTE03";"N04FRF",#N/A,FALSE,"NOTE04";"N05FRF",#N/A,FALSE,"NOTE05";"N06FRF",#N/A,FALSE,"NOTE06";"N07FRF",#N/A,FALSE,"NOTE07";"N08FRF",#N/A,FALSE,"NOTE08";"N09FRF",#N/A,FALSE,"NOTE09";"N10FRF",#N/A,FALSE,"NOTE10";"N11FRF",#N/A,FALSE,"NOTE11";"N12FRF",#N/A,FALSE,"NOTE12";"N13FRF",#N/A,FALSE,"NOTE13";"N14FRF",#N/A,FALSE,"NOTE14";"N15FRF",#N/A,FALSE,"NOTE15";"N16FRF",#N/A,FALSE,"NOTE16";"N17FRF",#N/A,FALSE,"NOTE17";"N18FRF",#N/A,FALSE,"NOTE18";"N19FRF",#N/A,FALSE,"NOTE19";"N20FRF",#N/A,FALSE,"NOTE20";"N21FRF",#N/A,FALSE,"NOTE21";"N22FRF",#N/A,FALSE,"NOTE22";"N23FRF",#N/A,FALSE,"NOTE23";"N24FRF",#N/A,FALSE,"NOTE24";"N25FRF",#N/A,FALSE,"NOTE25";"N26FRF",#N/A,FALSE,"NOTE26";"N27FRF",#N/A,FALSE,"NOTE27";"N28FRF",#N/A,FALSE,"NOTE28";"N29FRF",#N/A,FALSE,"NOTE29";"N30FRF",#N/A,FALSE,"NOTE30";"N31FRF",#N/A,FALSE,"NOTE31";"N32FRF",#N/A,FALSE,"NOTE32";"N33FRF",#N/A,FALSE,"NOTE33";"BILSOCFRF",#N/A,FALSE,"bilan soc";"RESSOCFRF",#N/A,FALSE,"PL soc";"cinqexFRF",#N/A,FALSE,"5ex"}</definedName>
    <definedName name="wrn.etafifrffrf2._5_1" hidden="1">{#N/A,"francaisfrf",FALSE,"UNITE";"ACTFRF",#N/A,FALSE,"ACTIF";"PASFRF",#N/A,FALSE,"PASSIF";"RESFRF",#N/A,FALSE,"RESULTATS";"FPFRF",#N/A,FALSE,"FP";"N03FRF",#N/A,FALSE,"NOTE03";"N04FRF",#N/A,FALSE,"NOTE04";"N05FRF",#N/A,FALSE,"NOTE05";"N06FRF",#N/A,FALSE,"NOTE06";"N07FRF",#N/A,FALSE,"NOTE07";"N08FRF",#N/A,FALSE,"NOTE08";"N09FRF",#N/A,FALSE,"NOTE09";"N10FRF",#N/A,FALSE,"NOTE10";"N11FRF",#N/A,FALSE,"NOTE11";"N12FRF",#N/A,FALSE,"NOTE12";"N13FRF",#N/A,FALSE,"NOTE13";"N14FRF",#N/A,FALSE,"NOTE14";"N15FRF",#N/A,FALSE,"NOTE15";"N16FRF",#N/A,FALSE,"NOTE16";"N17FRF",#N/A,FALSE,"NOTE17";"N18FRF",#N/A,FALSE,"NOTE18";"N19FRF",#N/A,FALSE,"NOTE19";"N20FRF",#N/A,FALSE,"NOTE20";"N21FRF",#N/A,FALSE,"NOTE21";"N22FRF",#N/A,FALSE,"NOTE22";"N23FRF",#N/A,FALSE,"NOTE23";"N24FRF",#N/A,FALSE,"NOTE24";"N25FRF",#N/A,FALSE,"NOTE25";"N26FRF",#N/A,FALSE,"NOTE26";"N27FRF",#N/A,FALSE,"NOTE27";"N28FRF",#N/A,FALSE,"NOTE28";"N29FRF",#N/A,FALSE,"NOTE29";"N30FRF",#N/A,FALSE,"NOTE30";"N31FRF",#N/A,FALSE,"NOTE31";"N32FRF",#N/A,FALSE,"NOTE32";"N33FRF",#N/A,FALSE,"NOTE33";"BILSOCFRF",#N/A,FALSE,"bilan soc";"RESSOCFRF",#N/A,FALSE,"PL soc";"cinqexFRF",#N/A,FALSE,"5ex"}</definedName>
    <definedName name="wrn.etafifrffrf2._5_1_1" localSheetId="12" hidden="1">{#N/A,"francaisfrf",FALSE,"UNITE";"ACTFRF",#N/A,FALSE,"ACTIF";"PASFRF",#N/A,FALSE,"PASSIF";"RESFRF",#N/A,FALSE,"RESULTATS";"FPFRF",#N/A,FALSE,"FP";"N03FRF",#N/A,FALSE,"NOTE03";"N04FRF",#N/A,FALSE,"NOTE04";"N05FRF",#N/A,FALSE,"NOTE05";"N06FRF",#N/A,FALSE,"NOTE06";"N07FRF",#N/A,FALSE,"NOTE07";"N08FRF",#N/A,FALSE,"NOTE08";"N09FRF",#N/A,FALSE,"NOTE09";"N10FRF",#N/A,FALSE,"NOTE10";"N11FRF",#N/A,FALSE,"NOTE11";"N12FRF",#N/A,FALSE,"NOTE12";"N13FRF",#N/A,FALSE,"NOTE13";"N14FRF",#N/A,FALSE,"NOTE14";"N15FRF",#N/A,FALSE,"NOTE15";"N16FRF",#N/A,FALSE,"NOTE16";"N17FRF",#N/A,FALSE,"NOTE17";"N18FRF",#N/A,FALSE,"NOTE18";"N19FRF",#N/A,FALSE,"NOTE19";"N20FRF",#N/A,FALSE,"NOTE20";"N21FRF",#N/A,FALSE,"NOTE21";"N22FRF",#N/A,FALSE,"NOTE22";"N23FRF",#N/A,FALSE,"NOTE23";"N24FRF",#N/A,FALSE,"NOTE24";"N25FRF",#N/A,FALSE,"NOTE25";"N26FRF",#N/A,FALSE,"NOTE26";"N27FRF",#N/A,FALSE,"NOTE27";"N28FRF",#N/A,FALSE,"NOTE28";"N29FRF",#N/A,FALSE,"NOTE29";"N30FRF",#N/A,FALSE,"NOTE30";"N31FRF",#N/A,FALSE,"NOTE31";"N32FRF",#N/A,FALSE,"NOTE32";"N33FRF",#N/A,FALSE,"NOTE33";"BILSOCFRF",#N/A,FALSE,"bilan soc";"RESSOCFRF",#N/A,FALSE,"PL soc";"cinqexFRF",#N/A,FALSE,"5ex"}</definedName>
    <definedName name="wrn.etafifrffrf2._5_1_1" hidden="1">{#N/A,"francaisfrf",FALSE,"UNITE";"ACTFRF",#N/A,FALSE,"ACTIF";"PASFRF",#N/A,FALSE,"PASSIF";"RESFRF",#N/A,FALSE,"RESULTATS";"FPFRF",#N/A,FALSE,"FP";"N03FRF",#N/A,FALSE,"NOTE03";"N04FRF",#N/A,FALSE,"NOTE04";"N05FRF",#N/A,FALSE,"NOTE05";"N06FRF",#N/A,FALSE,"NOTE06";"N07FRF",#N/A,FALSE,"NOTE07";"N08FRF",#N/A,FALSE,"NOTE08";"N09FRF",#N/A,FALSE,"NOTE09";"N10FRF",#N/A,FALSE,"NOTE10";"N11FRF",#N/A,FALSE,"NOTE11";"N12FRF",#N/A,FALSE,"NOTE12";"N13FRF",#N/A,FALSE,"NOTE13";"N14FRF",#N/A,FALSE,"NOTE14";"N15FRF",#N/A,FALSE,"NOTE15";"N16FRF",#N/A,FALSE,"NOTE16";"N17FRF",#N/A,FALSE,"NOTE17";"N18FRF",#N/A,FALSE,"NOTE18";"N19FRF",#N/A,FALSE,"NOTE19";"N20FRF",#N/A,FALSE,"NOTE20";"N21FRF",#N/A,FALSE,"NOTE21";"N22FRF",#N/A,FALSE,"NOTE22";"N23FRF",#N/A,FALSE,"NOTE23";"N24FRF",#N/A,FALSE,"NOTE24";"N25FRF",#N/A,FALSE,"NOTE25";"N26FRF",#N/A,FALSE,"NOTE26";"N27FRF",#N/A,FALSE,"NOTE27";"N28FRF",#N/A,FALSE,"NOTE28";"N29FRF",#N/A,FALSE,"NOTE29";"N30FRF",#N/A,FALSE,"NOTE30";"N31FRF",#N/A,FALSE,"NOTE31";"N32FRF",#N/A,FALSE,"NOTE32";"N33FRF",#N/A,FALSE,"NOTE33";"BILSOCFRF",#N/A,FALSE,"bilan soc";"RESSOCFRF",#N/A,FALSE,"PL soc";"cinqexFRF",#N/A,FALSE,"5ex"}</definedName>
    <definedName name="wrn.etafifrffrf2._5_1_2" hidden="1">{#N/A,"francaisfrf",FALSE,"UNITE";"ACTFRF",#N/A,FALSE,"ACTIF";"PASFRF",#N/A,FALSE,"PASSIF";"RESFRF",#N/A,FALSE,"RESULTATS";"FPFRF",#N/A,FALSE,"FP";"N03FRF",#N/A,FALSE,"NOTE03";"N04FRF",#N/A,FALSE,"NOTE04";"N05FRF",#N/A,FALSE,"NOTE05";"N06FRF",#N/A,FALSE,"NOTE06";"N07FRF",#N/A,FALSE,"NOTE07";"N08FRF",#N/A,FALSE,"NOTE08";"N09FRF",#N/A,FALSE,"NOTE09";"N10FRF",#N/A,FALSE,"NOTE10";"N11FRF",#N/A,FALSE,"NOTE11";"N12FRF",#N/A,FALSE,"NOTE12";"N13FRF",#N/A,FALSE,"NOTE13";"N14FRF",#N/A,FALSE,"NOTE14";"N15FRF",#N/A,FALSE,"NOTE15";"N16FRF",#N/A,FALSE,"NOTE16";"N17FRF",#N/A,FALSE,"NOTE17";"N18FRF",#N/A,FALSE,"NOTE18";"N19FRF",#N/A,FALSE,"NOTE19";"N20FRF",#N/A,FALSE,"NOTE20";"N21FRF",#N/A,FALSE,"NOTE21";"N22FRF",#N/A,FALSE,"NOTE22";"N23FRF",#N/A,FALSE,"NOTE23";"N24FRF",#N/A,FALSE,"NOTE24";"N25FRF",#N/A,FALSE,"NOTE25";"N26FRF",#N/A,FALSE,"NOTE26";"N27FRF",#N/A,FALSE,"NOTE27";"N28FRF",#N/A,FALSE,"NOTE28";"N29FRF",#N/A,FALSE,"NOTE29";"N30FRF",#N/A,FALSE,"NOTE30";"N31FRF",#N/A,FALSE,"NOTE31";"N32FRF",#N/A,FALSE,"NOTE32";"N33FRF",#N/A,FALSE,"NOTE33";"BILSOCFRF",#N/A,FALSE,"bilan soc";"RESSOCFRF",#N/A,FALSE,"PL soc";"cinqexFRF",#N/A,FALSE,"5ex"}</definedName>
    <definedName name="wrn.etafifrffrf2._5_2" localSheetId="12" hidden="1">{#N/A,"francaisfrf",FALSE,"UNITE";"ACTFRF",#N/A,FALSE,"ACTIF";"PASFRF",#N/A,FALSE,"PASSIF";"RESFRF",#N/A,FALSE,"RESULTATS";"FPFRF",#N/A,FALSE,"FP";"N03FRF",#N/A,FALSE,"NOTE03";"N04FRF",#N/A,FALSE,"NOTE04";"N05FRF",#N/A,FALSE,"NOTE05";"N06FRF",#N/A,FALSE,"NOTE06";"N07FRF",#N/A,FALSE,"NOTE07";"N08FRF",#N/A,FALSE,"NOTE08";"N09FRF",#N/A,FALSE,"NOTE09";"N10FRF",#N/A,FALSE,"NOTE10";"N11FRF",#N/A,FALSE,"NOTE11";"N12FRF",#N/A,FALSE,"NOTE12";"N13FRF",#N/A,FALSE,"NOTE13";"N14FRF",#N/A,FALSE,"NOTE14";"N15FRF",#N/A,FALSE,"NOTE15";"N16FRF",#N/A,FALSE,"NOTE16";"N17FRF",#N/A,FALSE,"NOTE17";"N18FRF",#N/A,FALSE,"NOTE18";"N19FRF",#N/A,FALSE,"NOTE19";"N20FRF",#N/A,FALSE,"NOTE20";"N21FRF",#N/A,FALSE,"NOTE21";"N22FRF",#N/A,FALSE,"NOTE22";"N23FRF",#N/A,FALSE,"NOTE23";"N24FRF",#N/A,FALSE,"NOTE24";"N25FRF",#N/A,FALSE,"NOTE25";"N26FRF",#N/A,FALSE,"NOTE26";"N27FRF",#N/A,FALSE,"NOTE27";"N28FRF",#N/A,FALSE,"NOTE28";"N29FRF",#N/A,FALSE,"NOTE29";"N30FRF",#N/A,FALSE,"NOTE30";"N31FRF",#N/A,FALSE,"NOTE31";"N32FRF",#N/A,FALSE,"NOTE32";"N33FRF",#N/A,FALSE,"NOTE33";"BILSOCFRF",#N/A,FALSE,"bilan soc";"RESSOCFRF",#N/A,FALSE,"PL soc";"cinqexFRF",#N/A,FALSE,"5ex"}</definedName>
    <definedName name="wrn.etafifrffrf2._5_2" hidden="1">{#N/A,"francaisfrf",FALSE,"UNITE";"ACTFRF",#N/A,FALSE,"ACTIF";"PASFRF",#N/A,FALSE,"PASSIF";"RESFRF",#N/A,FALSE,"RESULTATS";"FPFRF",#N/A,FALSE,"FP";"N03FRF",#N/A,FALSE,"NOTE03";"N04FRF",#N/A,FALSE,"NOTE04";"N05FRF",#N/A,FALSE,"NOTE05";"N06FRF",#N/A,FALSE,"NOTE06";"N07FRF",#N/A,FALSE,"NOTE07";"N08FRF",#N/A,FALSE,"NOTE08";"N09FRF",#N/A,FALSE,"NOTE09";"N10FRF",#N/A,FALSE,"NOTE10";"N11FRF",#N/A,FALSE,"NOTE11";"N12FRF",#N/A,FALSE,"NOTE12";"N13FRF",#N/A,FALSE,"NOTE13";"N14FRF",#N/A,FALSE,"NOTE14";"N15FRF",#N/A,FALSE,"NOTE15";"N16FRF",#N/A,FALSE,"NOTE16";"N17FRF",#N/A,FALSE,"NOTE17";"N18FRF",#N/A,FALSE,"NOTE18";"N19FRF",#N/A,FALSE,"NOTE19";"N20FRF",#N/A,FALSE,"NOTE20";"N21FRF",#N/A,FALSE,"NOTE21";"N22FRF",#N/A,FALSE,"NOTE22";"N23FRF",#N/A,FALSE,"NOTE23";"N24FRF",#N/A,FALSE,"NOTE24";"N25FRF",#N/A,FALSE,"NOTE25";"N26FRF",#N/A,FALSE,"NOTE26";"N27FRF",#N/A,FALSE,"NOTE27";"N28FRF",#N/A,FALSE,"NOTE28";"N29FRF",#N/A,FALSE,"NOTE29";"N30FRF",#N/A,FALSE,"NOTE30";"N31FRF",#N/A,FALSE,"NOTE31";"N32FRF",#N/A,FALSE,"NOTE32";"N33FRF",#N/A,FALSE,"NOTE33";"BILSOCFRF",#N/A,FALSE,"bilan soc";"RESSOCFRF",#N/A,FALSE,"PL soc";"cinqexFRF",#N/A,FALSE,"5ex"}</definedName>
    <definedName name="wrn.etafifrffrf2._5_3" localSheetId="12" hidden="1">{#N/A,"francaisfrf",FALSE,"UNITE";"ACTFRF",#N/A,FALSE,"ACTIF";"PASFRF",#N/A,FALSE,"PASSIF";"RESFRF",#N/A,FALSE,"RESULTATS";"FPFRF",#N/A,FALSE,"FP";"N03FRF",#N/A,FALSE,"NOTE03";"N04FRF",#N/A,FALSE,"NOTE04";"N05FRF",#N/A,FALSE,"NOTE05";"N06FRF",#N/A,FALSE,"NOTE06";"N07FRF",#N/A,FALSE,"NOTE07";"N08FRF",#N/A,FALSE,"NOTE08";"N09FRF",#N/A,FALSE,"NOTE09";"N10FRF",#N/A,FALSE,"NOTE10";"N11FRF",#N/A,FALSE,"NOTE11";"N12FRF",#N/A,FALSE,"NOTE12";"N13FRF",#N/A,FALSE,"NOTE13";"N14FRF",#N/A,FALSE,"NOTE14";"N15FRF",#N/A,FALSE,"NOTE15";"N16FRF",#N/A,FALSE,"NOTE16";"N17FRF",#N/A,FALSE,"NOTE17";"N18FRF",#N/A,FALSE,"NOTE18";"N19FRF",#N/A,FALSE,"NOTE19";"N20FRF",#N/A,FALSE,"NOTE20";"N21FRF",#N/A,FALSE,"NOTE21";"N22FRF",#N/A,FALSE,"NOTE22";"N23FRF",#N/A,FALSE,"NOTE23";"N24FRF",#N/A,FALSE,"NOTE24";"N25FRF",#N/A,FALSE,"NOTE25";"N26FRF",#N/A,FALSE,"NOTE26";"N27FRF",#N/A,FALSE,"NOTE27";"N28FRF",#N/A,FALSE,"NOTE28";"N29FRF",#N/A,FALSE,"NOTE29";"N30FRF",#N/A,FALSE,"NOTE30";"N31FRF",#N/A,FALSE,"NOTE31";"N32FRF",#N/A,FALSE,"NOTE32";"N33FRF",#N/A,FALSE,"NOTE33";"BILSOCFRF",#N/A,FALSE,"bilan soc";"RESSOCFRF",#N/A,FALSE,"PL soc";"cinqexFRF",#N/A,FALSE,"5ex"}</definedName>
    <definedName name="wrn.etafifrffrf2._5_3" hidden="1">{#N/A,"francaisfrf",FALSE,"UNITE";"ACTFRF",#N/A,FALSE,"ACTIF";"PASFRF",#N/A,FALSE,"PASSIF";"RESFRF",#N/A,FALSE,"RESULTATS";"FPFRF",#N/A,FALSE,"FP";"N03FRF",#N/A,FALSE,"NOTE03";"N04FRF",#N/A,FALSE,"NOTE04";"N05FRF",#N/A,FALSE,"NOTE05";"N06FRF",#N/A,FALSE,"NOTE06";"N07FRF",#N/A,FALSE,"NOTE07";"N08FRF",#N/A,FALSE,"NOTE08";"N09FRF",#N/A,FALSE,"NOTE09";"N10FRF",#N/A,FALSE,"NOTE10";"N11FRF",#N/A,FALSE,"NOTE11";"N12FRF",#N/A,FALSE,"NOTE12";"N13FRF",#N/A,FALSE,"NOTE13";"N14FRF",#N/A,FALSE,"NOTE14";"N15FRF",#N/A,FALSE,"NOTE15";"N16FRF",#N/A,FALSE,"NOTE16";"N17FRF",#N/A,FALSE,"NOTE17";"N18FRF",#N/A,FALSE,"NOTE18";"N19FRF",#N/A,FALSE,"NOTE19";"N20FRF",#N/A,FALSE,"NOTE20";"N21FRF",#N/A,FALSE,"NOTE21";"N22FRF",#N/A,FALSE,"NOTE22";"N23FRF",#N/A,FALSE,"NOTE23";"N24FRF",#N/A,FALSE,"NOTE24";"N25FRF",#N/A,FALSE,"NOTE25";"N26FRF",#N/A,FALSE,"NOTE26";"N27FRF",#N/A,FALSE,"NOTE27";"N28FRF",#N/A,FALSE,"NOTE28";"N29FRF",#N/A,FALSE,"NOTE29";"N30FRF",#N/A,FALSE,"NOTE30";"N31FRF",#N/A,FALSE,"NOTE31";"N32FRF",#N/A,FALSE,"NOTE32";"N33FRF",#N/A,FALSE,"NOTE33";"BILSOCFRF",#N/A,FALSE,"bilan soc";"RESSOCFRF",#N/A,FALSE,"PL soc";"cinqexFRF",#N/A,FALSE,"5ex"}</definedName>
    <definedName name="wrn.etatfifrfeur" localSheetId="9" hidden="1">{#N/A,"francaiseur",FALSE,"UNITE";"ACTEUR",#N/A,FALSE,"ACTIF";"PASEUR",#N/A,FALSE,"PASSIF";"RESEUR",#N/A,FALSE,"RESULTATS";"FPEUR",#N/A,FALSE,"FP";"N03EUR",#N/A,FALSE,"NOTE03";"N04EUR",#N/A,FALSE,"NOTE04";"N05EUR",#N/A,FALSE,"NOTE05";"N06EUR",#N/A,FALSE,"NOTE06";"N07EUR",#N/A,FALSE,"NOTE07";"N08EUR",#N/A,FALSE,"NOTE08";"N09EUR",#N/A,FALSE,"NOTE09";"N10EUR",#N/A,FALSE,"NOTE10";"N11EUR",#N/A,FALSE,"NOTE11";"N12EUR",#N/A,FALSE,"NOTE12";"N13EUR",#N/A,FALSE,"NOTE13";"N14EUR",#N/A,FALSE,"NOTE14";"N15EUR",#N/A,FALSE,"NOTE15";"N16EUR",#N/A,FALSE,"NOTE16";"N18EUR",#N/A,FALSE,"NOTE18";"N19EUR",#N/A,FALSE,"NOTE19";"N20EUR",#N/A,FALSE,"NOTE20";"N21EUR",#N/A,FALSE,"NOTE21";"N22EUR",#N/A,FALSE,"NOTE22";"N23EUR",#N/A,FALSE,"NOTE23";"N24EUR",#N/A,FALSE,"NOTE24";"N25EUR",#N/A,FALSE,"NOTE25";"N26EUR",#N/A,FALSE,"NOTE26";"N27EUR",#N/A,FALSE,"NOTE27";"N28EUR",#N/A,FALSE,"NOTE28";"N29EUR",#N/A,FALSE,"NOTE29";"N30EUR",#N/A,FALSE,"NOTE30";"N31EUR",#N/A,FALSE,"NOTE31";"N32EUR",#N/A,FALSE,"NOTE32";"N33EUR",#N/A,FALSE,"NOTE33";"BILSOCEUR",#N/A,FALSE,"bilan soc";"RESSOCEUR",#N/A,FALSE,"PL soc";"cinqexEUR",#N/A,FALSE,"5ex"}</definedName>
    <definedName name="wrn.etatfifrfeur" localSheetId="12" hidden="1">{#N/A,"francaiseur",FALSE,"UNITE";"ACTEUR",#N/A,FALSE,"ACTIF";"PASEUR",#N/A,FALSE,"PASSIF";"RESEUR",#N/A,FALSE,"RESULTATS";"FPEUR",#N/A,FALSE,"FP";"N03EUR",#N/A,FALSE,"NOTE03";"N04EUR",#N/A,FALSE,"NOTE04";"N05EUR",#N/A,FALSE,"NOTE05";"N06EUR",#N/A,FALSE,"NOTE06";"N07EUR",#N/A,FALSE,"NOTE07";"N08EUR",#N/A,FALSE,"NOTE08";"N09EUR",#N/A,FALSE,"NOTE09";"N10EUR",#N/A,FALSE,"NOTE10";"N11EUR",#N/A,FALSE,"NOTE11";"N12EUR",#N/A,FALSE,"NOTE12";"N13EUR",#N/A,FALSE,"NOTE13";"N14EUR",#N/A,FALSE,"NOTE14";"N15EUR",#N/A,FALSE,"NOTE15";"N16EUR",#N/A,FALSE,"NOTE16";"N18EUR",#N/A,FALSE,"NOTE18";"N19EUR",#N/A,FALSE,"NOTE19";"N20EUR",#N/A,FALSE,"NOTE20";"N21EUR",#N/A,FALSE,"NOTE21";"N22EUR",#N/A,FALSE,"NOTE22";"N23EUR",#N/A,FALSE,"NOTE23";"N24EUR",#N/A,FALSE,"NOTE24";"N25EUR",#N/A,FALSE,"NOTE25";"N26EUR",#N/A,FALSE,"NOTE26";"N27EUR",#N/A,FALSE,"NOTE27";"N28EUR",#N/A,FALSE,"NOTE28";"N29EUR",#N/A,FALSE,"NOTE29";"N30EUR",#N/A,FALSE,"NOTE30";"N31EUR",#N/A,FALSE,"NOTE31";"N32EUR",#N/A,FALSE,"NOTE32";"N33EUR",#N/A,FALSE,"NOTE33";"BILSOCEUR",#N/A,FALSE,"bilan soc";"RESSOCEUR",#N/A,FALSE,"PL soc";"cinqexEUR",#N/A,FALSE,"5ex"}</definedName>
    <definedName name="wrn.etatfifrfeur" localSheetId="7" hidden="1">{#N/A,"francaiseur",FALSE,"UNITE";"ACTEUR",#N/A,FALSE,"ACTIF";"PASEUR",#N/A,FALSE,"PASSIF";"RESEUR",#N/A,FALSE,"RESULTATS";"FPEUR",#N/A,FALSE,"FP";"N03EUR",#N/A,FALSE,"NOTE03";"N04EUR",#N/A,FALSE,"NOTE04";"N05EUR",#N/A,FALSE,"NOTE05";"N06EUR",#N/A,FALSE,"NOTE06";"N07EUR",#N/A,FALSE,"NOTE07";"N08EUR",#N/A,FALSE,"NOTE08";"N09EUR",#N/A,FALSE,"NOTE09";"N10EUR",#N/A,FALSE,"NOTE10";"N11EUR",#N/A,FALSE,"NOTE11";"N12EUR",#N/A,FALSE,"NOTE12";"N13EUR",#N/A,FALSE,"NOTE13";"N14EUR",#N/A,FALSE,"NOTE14";"N15EUR",#N/A,FALSE,"NOTE15";"N16EUR",#N/A,FALSE,"NOTE16";"N18EUR",#N/A,FALSE,"NOTE18";"N19EUR",#N/A,FALSE,"NOTE19";"N20EUR",#N/A,FALSE,"NOTE20";"N21EUR",#N/A,FALSE,"NOTE21";"N22EUR",#N/A,FALSE,"NOTE22";"N23EUR",#N/A,FALSE,"NOTE23";"N24EUR",#N/A,FALSE,"NOTE24";"N25EUR",#N/A,FALSE,"NOTE25";"N26EUR",#N/A,FALSE,"NOTE26";"N27EUR",#N/A,FALSE,"NOTE27";"N28EUR",#N/A,FALSE,"NOTE28";"N29EUR",#N/A,FALSE,"NOTE29";"N30EUR",#N/A,FALSE,"NOTE30";"N31EUR",#N/A,FALSE,"NOTE31";"N32EUR",#N/A,FALSE,"NOTE32";"N33EUR",#N/A,FALSE,"NOTE33";"BILSOCEUR",#N/A,FALSE,"bilan soc";"RESSOCEUR",#N/A,FALSE,"PL soc";"cinqexEUR",#N/A,FALSE,"5ex"}</definedName>
    <definedName name="wrn.etatfifrfeur" localSheetId="8" hidden="1">{#N/A,"francaiseur",FALSE,"UNITE";"ACTEUR",#N/A,FALSE,"ACTIF";"PASEUR",#N/A,FALSE,"PASSIF";"RESEUR",#N/A,FALSE,"RESULTATS";"FPEUR",#N/A,FALSE,"FP";"N03EUR",#N/A,FALSE,"NOTE03";"N04EUR",#N/A,FALSE,"NOTE04";"N05EUR",#N/A,FALSE,"NOTE05";"N06EUR",#N/A,FALSE,"NOTE06";"N07EUR",#N/A,FALSE,"NOTE07";"N08EUR",#N/A,FALSE,"NOTE08";"N09EUR",#N/A,FALSE,"NOTE09";"N10EUR",#N/A,FALSE,"NOTE10";"N11EUR",#N/A,FALSE,"NOTE11";"N12EUR",#N/A,FALSE,"NOTE12";"N13EUR",#N/A,FALSE,"NOTE13";"N14EUR",#N/A,FALSE,"NOTE14";"N15EUR",#N/A,FALSE,"NOTE15";"N16EUR",#N/A,FALSE,"NOTE16";"N18EUR",#N/A,FALSE,"NOTE18";"N19EUR",#N/A,FALSE,"NOTE19";"N20EUR",#N/A,FALSE,"NOTE20";"N21EUR",#N/A,FALSE,"NOTE21";"N22EUR",#N/A,FALSE,"NOTE22";"N23EUR",#N/A,FALSE,"NOTE23";"N24EUR",#N/A,FALSE,"NOTE24";"N25EUR",#N/A,FALSE,"NOTE25";"N26EUR",#N/A,FALSE,"NOTE26";"N27EUR",#N/A,FALSE,"NOTE27";"N28EUR",#N/A,FALSE,"NOTE28";"N29EUR",#N/A,FALSE,"NOTE29";"N30EUR",#N/A,FALSE,"NOTE30";"N31EUR",#N/A,FALSE,"NOTE31";"N32EUR",#N/A,FALSE,"NOTE32";"N33EUR",#N/A,FALSE,"NOTE33";"BILSOCEUR",#N/A,FALSE,"bilan soc";"RESSOCEUR",#N/A,FALSE,"PL soc";"cinqexEUR",#N/A,FALSE,"5ex"}</definedName>
    <definedName name="wrn.etatfifrfeur" localSheetId="10" hidden="1">{#N/A,"francaiseur",FALSE,"UNITE";"ACTEUR",#N/A,FALSE,"ACTIF";"PASEUR",#N/A,FALSE,"PASSIF";"RESEUR",#N/A,FALSE,"RESULTATS";"FPEUR",#N/A,FALSE,"FP";"N03EUR",#N/A,FALSE,"NOTE03";"N04EUR",#N/A,FALSE,"NOTE04";"N05EUR",#N/A,FALSE,"NOTE05";"N06EUR",#N/A,FALSE,"NOTE06";"N07EUR",#N/A,FALSE,"NOTE07";"N08EUR",#N/A,FALSE,"NOTE08";"N09EUR",#N/A,FALSE,"NOTE09";"N10EUR",#N/A,FALSE,"NOTE10";"N11EUR",#N/A,FALSE,"NOTE11";"N12EUR",#N/A,FALSE,"NOTE12";"N13EUR",#N/A,FALSE,"NOTE13";"N14EUR",#N/A,FALSE,"NOTE14";"N15EUR",#N/A,FALSE,"NOTE15";"N16EUR",#N/A,FALSE,"NOTE16";"N18EUR",#N/A,FALSE,"NOTE18";"N19EUR",#N/A,FALSE,"NOTE19";"N20EUR",#N/A,FALSE,"NOTE20";"N21EUR",#N/A,FALSE,"NOTE21";"N22EUR",#N/A,FALSE,"NOTE22";"N23EUR",#N/A,FALSE,"NOTE23";"N24EUR",#N/A,FALSE,"NOTE24";"N25EUR",#N/A,FALSE,"NOTE25";"N26EUR",#N/A,FALSE,"NOTE26";"N27EUR",#N/A,FALSE,"NOTE27";"N28EUR",#N/A,FALSE,"NOTE28";"N29EUR",#N/A,FALSE,"NOTE29";"N30EUR",#N/A,FALSE,"NOTE30";"N31EUR",#N/A,FALSE,"NOTE31";"N32EUR",#N/A,FALSE,"NOTE32";"N33EUR",#N/A,FALSE,"NOTE33";"BILSOCEUR",#N/A,FALSE,"bilan soc";"RESSOCEUR",#N/A,FALSE,"PL soc";"cinqexEUR",#N/A,FALSE,"5ex"}</definedName>
    <definedName name="wrn.etatfifrfeur" hidden="1">{#N/A,"francaiseur",FALSE,"UNITE";"ACTEUR",#N/A,FALSE,"ACTIF";"PASEUR",#N/A,FALSE,"PASSIF";"RESEUR",#N/A,FALSE,"RESULTATS";"FPEUR",#N/A,FALSE,"FP";"N03EUR",#N/A,FALSE,"NOTE03";"N04EUR",#N/A,FALSE,"NOTE04";"N05EUR",#N/A,FALSE,"NOTE05";"N06EUR",#N/A,FALSE,"NOTE06";"N07EUR",#N/A,FALSE,"NOTE07";"N08EUR",#N/A,FALSE,"NOTE08";"N09EUR",#N/A,FALSE,"NOTE09";"N10EUR",#N/A,FALSE,"NOTE10";"N11EUR",#N/A,FALSE,"NOTE11";"N12EUR",#N/A,FALSE,"NOTE12";"N13EUR",#N/A,FALSE,"NOTE13";"N14EUR",#N/A,FALSE,"NOTE14";"N15EUR",#N/A,FALSE,"NOTE15";"N16EUR",#N/A,FALSE,"NOTE16";"N18EUR",#N/A,FALSE,"NOTE18";"N19EUR",#N/A,FALSE,"NOTE19";"N20EUR",#N/A,FALSE,"NOTE20";"N21EUR",#N/A,FALSE,"NOTE21";"N22EUR",#N/A,FALSE,"NOTE22";"N23EUR",#N/A,FALSE,"NOTE23";"N24EUR",#N/A,FALSE,"NOTE24";"N25EUR",#N/A,FALSE,"NOTE25";"N26EUR",#N/A,FALSE,"NOTE26";"N27EUR",#N/A,FALSE,"NOTE27";"N28EUR",#N/A,FALSE,"NOTE28";"N29EUR",#N/A,FALSE,"NOTE29";"N30EUR",#N/A,FALSE,"NOTE30";"N31EUR",#N/A,FALSE,"NOTE31";"N32EUR",#N/A,FALSE,"NOTE32";"N33EUR",#N/A,FALSE,"NOTE33";"BILSOCEUR",#N/A,FALSE,"bilan soc";"RESSOCEUR",#N/A,FALSE,"PL soc";"cinqexEUR",#N/A,FALSE,"5ex"}</definedName>
    <definedName name="wrn.etatfifrfeur." localSheetId="9" hidden="1">{#N/A,"francaiseur",FALSE,"UNITE";"ACTEUR",#N/A,FALSE,"ACTIF";"PASEUR",#N/A,FALSE,"PASSIF";"RESEUR",#N/A,FALSE,"RESULTATS";"FPEUR",#N/A,FALSE,"FP";"N03EUR",#N/A,FALSE,"NOTE03";"N04EUR",#N/A,FALSE,"NOTE04";"N05EUR",#N/A,FALSE,"NOTE05";"N06EUR",#N/A,FALSE,"NOTE06";"N07EUR",#N/A,FALSE,"NOTE07";"N08EUR",#N/A,FALSE,"NOTE08";"N09EUR",#N/A,FALSE,"NOTE09";"N10EUR",#N/A,FALSE,"NOTE10";"N11EUR",#N/A,FALSE,"NOTE11";"N12EUR",#N/A,FALSE,"NOTE12";"N13EUR",#N/A,FALSE,"NOTE13";"N14EUR",#N/A,FALSE,"NOTE14";"N15EUR",#N/A,FALSE,"NOTE15";"N16EUR",#N/A,FALSE,"NOTE16";"N18EUR",#N/A,FALSE,"NOTE18";"N19EUR",#N/A,FALSE,"NOTE19";"N20EUR",#N/A,FALSE,"NOTE20";"N21EUR",#N/A,FALSE,"NOTE21";"N22EUR",#N/A,FALSE,"NOTE22";"N23EUR",#N/A,FALSE,"NOTE23";"N24EUR",#N/A,FALSE,"NOTE24";"N25EUR",#N/A,FALSE,"NOTE25";"N26EUR",#N/A,FALSE,"NOTE26";"N27EUR",#N/A,FALSE,"NOTE27";"N28EUR",#N/A,FALSE,"NOTE28";"N29EUR",#N/A,FALSE,"NOTE29";"N30EUR",#N/A,FALSE,"NOTE30";"N31EUR",#N/A,FALSE,"NOTE31";"N32EUR",#N/A,FALSE,"NOTE32";"N33EUR",#N/A,FALSE,"NOTE33";"BILSOCEUR",#N/A,FALSE,"bilan soc";"RESSOCEUR",#N/A,FALSE,"PL soc";"cinqexEUR",#N/A,FALSE,"5ex"}</definedName>
    <definedName name="wrn.etatfifrfeur." localSheetId="12" hidden="1">{#N/A,"francaiseur",FALSE,"UNITE";"ACTEUR",#N/A,FALSE,"ACTIF";"PASEUR",#N/A,FALSE,"PASSIF";"RESEUR",#N/A,FALSE,"RESULTATS";"FPEUR",#N/A,FALSE,"FP";"N03EUR",#N/A,FALSE,"NOTE03";"N04EUR",#N/A,FALSE,"NOTE04";"N05EUR",#N/A,FALSE,"NOTE05";"N06EUR",#N/A,FALSE,"NOTE06";"N07EUR",#N/A,FALSE,"NOTE07";"N08EUR",#N/A,FALSE,"NOTE08";"N09EUR",#N/A,FALSE,"NOTE09";"N10EUR",#N/A,FALSE,"NOTE10";"N11EUR",#N/A,FALSE,"NOTE11";"N12EUR",#N/A,FALSE,"NOTE12";"N13EUR",#N/A,FALSE,"NOTE13";"N14EUR",#N/A,FALSE,"NOTE14";"N15EUR",#N/A,FALSE,"NOTE15";"N16EUR",#N/A,FALSE,"NOTE16";"N18EUR",#N/A,FALSE,"NOTE18";"N19EUR",#N/A,FALSE,"NOTE19";"N20EUR",#N/A,FALSE,"NOTE20";"N21EUR",#N/A,FALSE,"NOTE21";"N22EUR",#N/A,FALSE,"NOTE22";"N23EUR",#N/A,FALSE,"NOTE23";"N24EUR",#N/A,FALSE,"NOTE24";"N25EUR",#N/A,FALSE,"NOTE25";"N26EUR",#N/A,FALSE,"NOTE26";"N27EUR",#N/A,FALSE,"NOTE27";"N28EUR",#N/A,FALSE,"NOTE28";"N29EUR",#N/A,FALSE,"NOTE29";"N30EUR",#N/A,FALSE,"NOTE30";"N31EUR",#N/A,FALSE,"NOTE31";"N32EUR",#N/A,FALSE,"NOTE32";"N33EUR",#N/A,FALSE,"NOTE33";"BILSOCEUR",#N/A,FALSE,"bilan soc";"RESSOCEUR",#N/A,FALSE,"PL soc";"cinqexEUR",#N/A,FALSE,"5ex"}</definedName>
    <definedName name="wrn.etatfifrfeur." localSheetId="7" hidden="1">{#N/A,"francaiseur",FALSE,"UNITE";"ACTEUR",#N/A,FALSE,"ACTIF";"PASEUR",#N/A,FALSE,"PASSIF";"RESEUR",#N/A,FALSE,"RESULTATS";"FPEUR",#N/A,FALSE,"FP";"N03EUR",#N/A,FALSE,"NOTE03";"N04EUR",#N/A,FALSE,"NOTE04";"N05EUR",#N/A,FALSE,"NOTE05";"N06EUR",#N/A,FALSE,"NOTE06";"N07EUR",#N/A,FALSE,"NOTE07";"N08EUR",#N/A,FALSE,"NOTE08";"N09EUR",#N/A,FALSE,"NOTE09";"N10EUR",#N/A,FALSE,"NOTE10";"N11EUR",#N/A,FALSE,"NOTE11";"N12EUR",#N/A,FALSE,"NOTE12";"N13EUR",#N/A,FALSE,"NOTE13";"N14EUR",#N/A,FALSE,"NOTE14";"N15EUR",#N/A,FALSE,"NOTE15";"N16EUR",#N/A,FALSE,"NOTE16";"N18EUR",#N/A,FALSE,"NOTE18";"N19EUR",#N/A,FALSE,"NOTE19";"N20EUR",#N/A,FALSE,"NOTE20";"N21EUR",#N/A,FALSE,"NOTE21";"N22EUR",#N/A,FALSE,"NOTE22";"N23EUR",#N/A,FALSE,"NOTE23";"N24EUR",#N/A,FALSE,"NOTE24";"N25EUR",#N/A,FALSE,"NOTE25";"N26EUR",#N/A,FALSE,"NOTE26";"N27EUR",#N/A,FALSE,"NOTE27";"N28EUR",#N/A,FALSE,"NOTE28";"N29EUR",#N/A,FALSE,"NOTE29";"N30EUR",#N/A,FALSE,"NOTE30";"N31EUR",#N/A,FALSE,"NOTE31";"N32EUR",#N/A,FALSE,"NOTE32";"N33EUR",#N/A,FALSE,"NOTE33";"BILSOCEUR",#N/A,FALSE,"bilan soc";"RESSOCEUR",#N/A,FALSE,"PL soc";"cinqexEUR",#N/A,FALSE,"5ex"}</definedName>
    <definedName name="wrn.etatfifrfeur." localSheetId="8" hidden="1">{#N/A,"francaiseur",FALSE,"UNITE";"ACTEUR",#N/A,FALSE,"ACTIF";"PASEUR",#N/A,FALSE,"PASSIF";"RESEUR",#N/A,FALSE,"RESULTATS";"FPEUR",#N/A,FALSE,"FP";"N03EUR",#N/A,FALSE,"NOTE03";"N04EUR",#N/A,FALSE,"NOTE04";"N05EUR",#N/A,FALSE,"NOTE05";"N06EUR",#N/A,FALSE,"NOTE06";"N07EUR",#N/A,FALSE,"NOTE07";"N08EUR",#N/A,FALSE,"NOTE08";"N09EUR",#N/A,FALSE,"NOTE09";"N10EUR",#N/A,FALSE,"NOTE10";"N11EUR",#N/A,FALSE,"NOTE11";"N12EUR",#N/A,FALSE,"NOTE12";"N13EUR",#N/A,FALSE,"NOTE13";"N14EUR",#N/A,FALSE,"NOTE14";"N15EUR",#N/A,FALSE,"NOTE15";"N16EUR",#N/A,FALSE,"NOTE16";"N18EUR",#N/A,FALSE,"NOTE18";"N19EUR",#N/A,FALSE,"NOTE19";"N20EUR",#N/A,FALSE,"NOTE20";"N21EUR",#N/A,FALSE,"NOTE21";"N22EUR",#N/A,FALSE,"NOTE22";"N23EUR",#N/A,FALSE,"NOTE23";"N24EUR",#N/A,FALSE,"NOTE24";"N25EUR",#N/A,FALSE,"NOTE25";"N26EUR",#N/A,FALSE,"NOTE26";"N27EUR",#N/A,FALSE,"NOTE27";"N28EUR",#N/A,FALSE,"NOTE28";"N29EUR",#N/A,FALSE,"NOTE29";"N30EUR",#N/A,FALSE,"NOTE30";"N31EUR",#N/A,FALSE,"NOTE31";"N32EUR",#N/A,FALSE,"NOTE32";"N33EUR",#N/A,FALSE,"NOTE33";"BILSOCEUR",#N/A,FALSE,"bilan soc";"RESSOCEUR",#N/A,FALSE,"PL soc";"cinqexEUR",#N/A,FALSE,"5ex"}</definedName>
    <definedName name="wrn.etatfifrfeur." localSheetId="10" hidden="1">{#N/A,"francaiseur",FALSE,"UNITE";"ACTEUR",#N/A,FALSE,"ACTIF";"PASEUR",#N/A,FALSE,"PASSIF";"RESEUR",#N/A,FALSE,"RESULTATS";"FPEUR",#N/A,FALSE,"FP";"N03EUR",#N/A,FALSE,"NOTE03";"N04EUR",#N/A,FALSE,"NOTE04";"N05EUR",#N/A,FALSE,"NOTE05";"N06EUR",#N/A,FALSE,"NOTE06";"N07EUR",#N/A,FALSE,"NOTE07";"N08EUR",#N/A,FALSE,"NOTE08";"N09EUR",#N/A,FALSE,"NOTE09";"N10EUR",#N/A,FALSE,"NOTE10";"N11EUR",#N/A,FALSE,"NOTE11";"N12EUR",#N/A,FALSE,"NOTE12";"N13EUR",#N/A,FALSE,"NOTE13";"N14EUR",#N/A,FALSE,"NOTE14";"N15EUR",#N/A,FALSE,"NOTE15";"N16EUR",#N/A,FALSE,"NOTE16";"N18EUR",#N/A,FALSE,"NOTE18";"N19EUR",#N/A,FALSE,"NOTE19";"N20EUR",#N/A,FALSE,"NOTE20";"N21EUR",#N/A,FALSE,"NOTE21";"N22EUR",#N/A,FALSE,"NOTE22";"N23EUR",#N/A,FALSE,"NOTE23";"N24EUR",#N/A,FALSE,"NOTE24";"N25EUR",#N/A,FALSE,"NOTE25";"N26EUR",#N/A,FALSE,"NOTE26";"N27EUR",#N/A,FALSE,"NOTE27";"N28EUR",#N/A,FALSE,"NOTE28";"N29EUR",#N/A,FALSE,"NOTE29";"N30EUR",#N/A,FALSE,"NOTE30";"N31EUR",#N/A,FALSE,"NOTE31";"N32EUR",#N/A,FALSE,"NOTE32";"N33EUR",#N/A,FALSE,"NOTE33";"BILSOCEUR",#N/A,FALSE,"bilan soc";"RESSOCEUR",#N/A,FALSE,"PL soc";"cinqexEUR",#N/A,FALSE,"5ex"}</definedName>
    <definedName name="wrn.etatfifrfeur." hidden="1">{#N/A,"francaiseur",FALSE,"UNITE";"ACTEUR",#N/A,FALSE,"ACTIF";"PASEUR",#N/A,FALSE,"PASSIF";"RESEUR",#N/A,FALSE,"RESULTATS";"FPEUR",#N/A,FALSE,"FP";"N03EUR",#N/A,FALSE,"NOTE03";"N04EUR",#N/A,FALSE,"NOTE04";"N05EUR",#N/A,FALSE,"NOTE05";"N06EUR",#N/A,FALSE,"NOTE06";"N07EUR",#N/A,FALSE,"NOTE07";"N08EUR",#N/A,FALSE,"NOTE08";"N09EUR",#N/A,FALSE,"NOTE09";"N10EUR",#N/A,FALSE,"NOTE10";"N11EUR",#N/A,FALSE,"NOTE11";"N12EUR",#N/A,FALSE,"NOTE12";"N13EUR",#N/A,FALSE,"NOTE13";"N14EUR",#N/A,FALSE,"NOTE14";"N15EUR",#N/A,FALSE,"NOTE15";"N16EUR",#N/A,FALSE,"NOTE16";"N18EUR",#N/A,FALSE,"NOTE18";"N19EUR",#N/A,FALSE,"NOTE19";"N20EUR",#N/A,FALSE,"NOTE20";"N21EUR",#N/A,FALSE,"NOTE21";"N22EUR",#N/A,FALSE,"NOTE22";"N23EUR",#N/A,FALSE,"NOTE23";"N24EUR",#N/A,FALSE,"NOTE24";"N25EUR",#N/A,FALSE,"NOTE25";"N26EUR",#N/A,FALSE,"NOTE26";"N27EUR",#N/A,FALSE,"NOTE27";"N28EUR",#N/A,FALSE,"NOTE28";"N29EUR",#N/A,FALSE,"NOTE29";"N30EUR",#N/A,FALSE,"NOTE30";"N31EUR",#N/A,FALSE,"NOTE31";"N32EUR",#N/A,FALSE,"NOTE32";"N33EUR",#N/A,FALSE,"NOTE33";"BILSOCEUR",#N/A,FALSE,"bilan soc";"RESSOCEUR",#N/A,FALSE,"PL soc";"cinqexEUR",#N/A,FALSE,"5ex"}</definedName>
    <definedName name="wrn.etatfifrfeur._1" localSheetId="9" hidden="1">{#N/A,"francaiseur",FALSE,"UNITE";"ACTEUR",#N/A,FALSE,"ACTIF";"PASEUR",#N/A,FALSE,"PASSIF";"RESEUR",#N/A,FALSE,"RESULTATS";"FPEUR",#N/A,FALSE,"FP";"N03EUR",#N/A,FALSE,"NOTE03";"N04EUR",#N/A,FALSE,"NOTE04";"N05EUR",#N/A,FALSE,"NOTE05";"N06EUR",#N/A,FALSE,"NOTE06";"N07EUR",#N/A,FALSE,"NOTE07";"N08EUR",#N/A,FALSE,"NOTE08";"N09EUR",#N/A,FALSE,"NOTE09";"N10EUR",#N/A,FALSE,"NOTE10";"N11EUR",#N/A,FALSE,"NOTE11";"N12EUR",#N/A,FALSE,"NOTE12";"N13EUR",#N/A,FALSE,"NOTE13";"N14EUR",#N/A,FALSE,"NOTE14";"N15EUR",#N/A,FALSE,"NOTE15";"N16EUR",#N/A,FALSE,"NOTE16";"N18EUR",#N/A,FALSE,"NOTE18";"N19EUR",#N/A,FALSE,"NOTE19";"N20EUR",#N/A,FALSE,"NOTE20";"N21EUR",#N/A,FALSE,"NOTE21";"N22EUR",#N/A,FALSE,"NOTE22";"N23EUR",#N/A,FALSE,"NOTE23";"N24EUR",#N/A,FALSE,"NOTE24";"N25EUR",#N/A,FALSE,"NOTE25";"N26EUR",#N/A,FALSE,"NOTE26";"N27EUR",#N/A,FALSE,"NOTE27";"N28EUR",#N/A,FALSE,"NOTE28";"N29EUR",#N/A,FALSE,"NOTE29";"N30EUR",#N/A,FALSE,"NOTE30";"N31EUR",#N/A,FALSE,"NOTE31";"N32EUR",#N/A,FALSE,"NOTE32";"N33EUR",#N/A,FALSE,"NOTE33";"BILSOCEUR",#N/A,FALSE,"bilan soc";"RESSOCEUR",#N/A,FALSE,"PL soc";"cinqexEUR",#N/A,FALSE,"5ex"}</definedName>
    <definedName name="wrn.etatfifrfeur._1" localSheetId="12" hidden="1">{#N/A,"francaiseur",FALSE,"UNITE";"ACTEUR",#N/A,FALSE,"ACTIF";"PASEUR",#N/A,FALSE,"PASSIF";"RESEUR",#N/A,FALSE,"RESULTATS";"FPEUR",#N/A,FALSE,"FP";"N03EUR",#N/A,FALSE,"NOTE03";"N04EUR",#N/A,FALSE,"NOTE04";"N05EUR",#N/A,FALSE,"NOTE05";"N06EUR",#N/A,FALSE,"NOTE06";"N07EUR",#N/A,FALSE,"NOTE07";"N08EUR",#N/A,FALSE,"NOTE08";"N09EUR",#N/A,FALSE,"NOTE09";"N10EUR",#N/A,FALSE,"NOTE10";"N11EUR",#N/A,FALSE,"NOTE11";"N12EUR",#N/A,FALSE,"NOTE12";"N13EUR",#N/A,FALSE,"NOTE13";"N14EUR",#N/A,FALSE,"NOTE14";"N15EUR",#N/A,FALSE,"NOTE15";"N16EUR",#N/A,FALSE,"NOTE16";"N18EUR",#N/A,FALSE,"NOTE18";"N19EUR",#N/A,FALSE,"NOTE19";"N20EUR",#N/A,FALSE,"NOTE20";"N21EUR",#N/A,FALSE,"NOTE21";"N22EUR",#N/A,FALSE,"NOTE22";"N23EUR",#N/A,FALSE,"NOTE23";"N24EUR",#N/A,FALSE,"NOTE24";"N25EUR",#N/A,FALSE,"NOTE25";"N26EUR",#N/A,FALSE,"NOTE26";"N27EUR",#N/A,FALSE,"NOTE27";"N28EUR",#N/A,FALSE,"NOTE28";"N29EUR",#N/A,FALSE,"NOTE29";"N30EUR",#N/A,FALSE,"NOTE30";"N31EUR",#N/A,FALSE,"NOTE31";"N32EUR",#N/A,FALSE,"NOTE32";"N33EUR",#N/A,FALSE,"NOTE33";"BILSOCEUR",#N/A,FALSE,"bilan soc";"RESSOCEUR",#N/A,FALSE,"PL soc";"cinqexEUR",#N/A,FALSE,"5ex"}</definedName>
    <definedName name="wrn.etatfifrfeur._1" localSheetId="7" hidden="1">{#N/A,"francaiseur",FALSE,"UNITE";"ACTEUR",#N/A,FALSE,"ACTIF";"PASEUR",#N/A,FALSE,"PASSIF";"RESEUR",#N/A,FALSE,"RESULTATS";"FPEUR",#N/A,FALSE,"FP";"N03EUR",#N/A,FALSE,"NOTE03";"N04EUR",#N/A,FALSE,"NOTE04";"N05EUR",#N/A,FALSE,"NOTE05";"N06EUR",#N/A,FALSE,"NOTE06";"N07EUR",#N/A,FALSE,"NOTE07";"N08EUR",#N/A,FALSE,"NOTE08";"N09EUR",#N/A,FALSE,"NOTE09";"N10EUR",#N/A,FALSE,"NOTE10";"N11EUR",#N/A,FALSE,"NOTE11";"N12EUR",#N/A,FALSE,"NOTE12";"N13EUR",#N/A,FALSE,"NOTE13";"N14EUR",#N/A,FALSE,"NOTE14";"N15EUR",#N/A,FALSE,"NOTE15";"N16EUR",#N/A,FALSE,"NOTE16";"N18EUR",#N/A,FALSE,"NOTE18";"N19EUR",#N/A,FALSE,"NOTE19";"N20EUR",#N/A,FALSE,"NOTE20";"N21EUR",#N/A,FALSE,"NOTE21";"N22EUR",#N/A,FALSE,"NOTE22";"N23EUR",#N/A,FALSE,"NOTE23";"N24EUR",#N/A,FALSE,"NOTE24";"N25EUR",#N/A,FALSE,"NOTE25";"N26EUR",#N/A,FALSE,"NOTE26";"N27EUR",#N/A,FALSE,"NOTE27";"N28EUR",#N/A,FALSE,"NOTE28";"N29EUR",#N/A,FALSE,"NOTE29";"N30EUR",#N/A,FALSE,"NOTE30";"N31EUR",#N/A,FALSE,"NOTE31";"N32EUR",#N/A,FALSE,"NOTE32";"N33EUR",#N/A,FALSE,"NOTE33";"BILSOCEUR",#N/A,FALSE,"bilan soc";"RESSOCEUR",#N/A,FALSE,"PL soc";"cinqexEUR",#N/A,FALSE,"5ex"}</definedName>
    <definedName name="wrn.etatfifrfeur._1" localSheetId="8" hidden="1">{#N/A,"francaiseur",FALSE,"UNITE";"ACTEUR",#N/A,FALSE,"ACTIF";"PASEUR",#N/A,FALSE,"PASSIF";"RESEUR",#N/A,FALSE,"RESULTATS";"FPEUR",#N/A,FALSE,"FP";"N03EUR",#N/A,FALSE,"NOTE03";"N04EUR",#N/A,FALSE,"NOTE04";"N05EUR",#N/A,FALSE,"NOTE05";"N06EUR",#N/A,FALSE,"NOTE06";"N07EUR",#N/A,FALSE,"NOTE07";"N08EUR",#N/A,FALSE,"NOTE08";"N09EUR",#N/A,FALSE,"NOTE09";"N10EUR",#N/A,FALSE,"NOTE10";"N11EUR",#N/A,FALSE,"NOTE11";"N12EUR",#N/A,FALSE,"NOTE12";"N13EUR",#N/A,FALSE,"NOTE13";"N14EUR",#N/A,FALSE,"NOTE14";"N15EUR",#N/A,FALSE,"NOTE15";"N16EUR",#N/A,FALSE,"NOTE16";"N18EUR",#N/A,FALSE,"NOTE18";"N19EUR",#N/A,FALSE,"NOTE19";"N20EUR",#N/A,FALSE,"NOTE20";"N21EUR",#N/A,FALSE,"NOTE21";"N22EUR",#N/A,FALSE,"NOTE22";"N23EUR",#N/A,FALSE,"NOTE23";"N24EUR",#N/A,FALSE,"NOTE24";"N25EUR",#N/A,FALSE,"NOTE25";"N26EUR",#N/A,FALSE,"NOTE26";"N27EUR",#N/A,FALSE,"NOTE27";"N28EUR",#N/A,FALSE,"NOTE28";"N29EUR",#N/A,FALSE,"NOTE29";"N30EUR",#N/A,FALSE,"NOTE30";"N31EUR",#N/A,FALSE,"NOTE31";"N32EUR",#N/A,FALSE,"NOTE32";"N33EUR",#N/A,FALSE,"NOTE33";"BILSOCEUR",#N/A,FALSE,"bilan soc";"RESSOCEUR",#N/A,FALSE,"PL soc";"cinqexEUR",#N/A,FALSE,"5ex"}</definedName>
    <definedName name="wrn.etatfifrfeur._1" localSheetId="10" hidden="1">{#N/A,"francaiseur",FALSE,"UNITE";"ACTEUR",#N/A,FALSE,"ACTIF";"PASEUR",#N/A,FALSE,"PASSIF";"RESEUR",#N/A,FALSE,"RESULTATS";"FPEUR",#N/A,FALSE,"FP";"N03EUR",#N/A,FALSE,"NOTE03";"N04EUR",#N/A,FALSE,"NOTE04";"N05EUR",#N/A,FALSE,"NOTE05";"N06EUR",#N/A,FALSE,"NOTE06";"N07EUR",#N/A,FALSE,"NOTE07";"N08EUR",#N/A,FALSE,"NOTE08";"N09EUR",#N/A,FALSE,"NOTE09";"N10EUR",#N/A,FALSE,"NOTE10";"N11EUR",#N/A,FALSE,"NOTE11";"N12EUR",#N/A,FALSE,"NOTE12";"N13EUR",#N/A,FALSE,"NOTE13";"N14EUR",#N/A,FALSE,"NOTE14";"N15EUR",#N/A,FALSE,"NOTE15";"N16EUR",#N/A,FALSE,"NOTE16";"N18EUR",#N/A,FALSE,"NOTE18";"N19EUR",#N/A,FALSE,"NOTE19";"N20EUR",#N/A,FALSE,"NOTE20";"N21EUR",#N/A,FALSE,"NOTE21";"N22EUR",#N/A,FALSE,"NOTE22";"N23EUR",#N/A,FALSE,"NOTE23";"N24EUR",#N/A,FALSE,"NOTE24";"N25EUR",#N/A,FALSE,"NOTE25";"N26EUR",#N/A,FALSE,"NOTE26";"N27EUR",#N/A,FALSE,"NOTE27";"N28EUR",#N/A,FALSE,"NOTE28";"N29EUR",#N/A,FALSE,"NOTE29";"N30EUR",#N/A,FALSE,"NOTE30";"N31EUR",#N/A,FALSE,"NOTE31";"N32EUR",#N/A,FALSE,"NOTE32";"N33EUR",#N/A,FALSE,"NOTE33";"BILSOCEUR",#N/A,FALSE,"bilan soc";"RESSOCEUR",#N/A,FALSE,"PL soc";"cinqexEUR",#N/A,FALSE,"5ex"}</definedName>
    <definedName name="wrn.etatfifrfeur._1" hidden="1">{#N/A,"francaiseur",FALSE,"UNITE";"ACTEUR",#N/A,FALSE,"ACTIF";"PASEUR",#N/A,FALSE,"PASSIF";"RESEUR",#N/A,FALSE,"RESULTATS";"FPEUR",#N/A,FALSE,"FP";"N03EUR",#N/A,FALSE,"NOTE03";"N04EUR",#N/A,FALSE,"NOTE04";"N05EUR",#N/A,FALSE,"NOTE05";"N06EUR",#N/A,FALSE,"NOTE06";"N07EUR",#N/A,FALSE,"NOTE07";"N08EUR",#N/A,FALSE,"NOTE08";"N09EUR",#N/A,FALSE,"NOTE09";"N10EUR",#N/A,FALSE,"NOTE10";"N11EUR",#N/A,FALSE,"NOTE11";"N12EUR",#N/A,FALSE,"NOTE12";"N13EUR",#N/A,FALSE,"NOTE13";"N14EUR",#N/A,FALSE,"NOTE14";"N15EUR",#N/A,FALSE,"NOTE15";"N16EUR",#N/A,FALSE,"NOTE16";"N18EUR",#N/A,FALSE,"NOTE18";"N19EUR",#N/A,FALSE,"NOTE19";"N20EUR",#N/A,FALSE,"NOTE20";"N21EUR",#N/A,FALSE,"NOTE21";"N22EUR",#N/A,FALSE,"NOTE22";"N23EUR",#N/A,FALSE,"NOTE23";"N24EUR",#N/A,FALSE,"NOTE24";"N25EUR",#N/A,FALSE,"NOTE25";"N26EUR",#N/A,FALSE,"NOTE26";"N27EUR",#N/A,FALSE,"NOTE27";"N28EUR",#N/A,FALSE,"NOTE28";"N29EUR",#N/A,FALSE,"NOTE29";"N30EUR",#N/A,FALSE,"NOTE30";"N31EUR",#N/A,FALSE,"NOTE31";"N32EUR",#N/A,FALSE,"NOTE32";"N33EUR",#N/A,FALSE,"NOTE33";"BILSOCEUR",#N/A,FALSE,"bilan soc";"RESSOCEUR",#N/A,FALSE,"PL soc";"cinqexEUR",#N/A,FALSE,"5ex"}</definedName>
    <definedName name="wrn.etatfifrfeur._1_1" localSheetId="9" hidden="1">{#N/A,"francaiseur",FALSE,"UNITE";"ACTEUR",#N/A,FALSE,"ACTIF";"PASEUR",#N/A,FALSE,"PASSIF";"RESEUR",#N/A,FALSE,"RESULTATS";"FPEUR",#N/A,FALSE,"FP";"N03EUR",#N/A,FALSE,"NOTE03";"N04EUR",#N/A,FALSE,"NOTE04";"N05EUR",#N/A,FALSE,"NOTE05";"N06EUR",#N/A,FALSE,"NOTE06";"N07EUR",#N/A,FALSE,"NOTE07";"N08EUR",#N/A,FALSE,"NOTE08";"N09EUR",#N/A,FALSE,"NOTE09";"N10EUR",#N/A,FALSE,"NOTE10";"N11EUR",#N/A,FALSE,"NOTE11";"N12EUR",#N/A,FALSE,"NOTE12";"N13EUR",#N/A,FALSE,"NOTE13";"N14EUR",#N/A,FALSE,"NOTE14";"N15EUR",#N/A,FALSE,"NOTE15";"N16EUR",#N/A,FALSE,"NOTE16";"N18EUR",#N/A,FALSE,"NOTE18";"N19EUR",#N/A,FALSE,"NOTE19";"N20EUR",#N/A,FALSE,"NOTE20";"N21EUR",#N/A,FALSE,"NOTE21";"N22EUR",#N/A,FALSE,"NOTE22";"N23EUR",#N/A,FALSE,"NOTE23";"N24EUR",#N/A,FALSE,"NOTE24";"N25EUR",#N/A,FALSE,"NOTE25";"N26EUR",#N/A,FALSE,"NOTE26";"N27EUR",#N/A,FALSE,"NOTE27";"N28EUR",#N/A,FALSE,"NOTE28";"N29EUR",#N/A,FALSE,"NOTE29";"N30EUR",#N/A,FALSE,"NOTE30";"N31EUR",#N/A,FALSE,"NOTE31";"N32EUR",#N/A,FALSE,"NOTE32";"N33EUR",#N/A,FALSE,"NOTE33";"BILSOCEUR",#N/A,FALSE,"bilan soc";"RESSOCEUR",#N/A,FALSE,"PL soc";"cinqexEUR",#N/A,FALSE,"5ex"}</definedName>
    <definedName name="wrn.etatfifrfeur._1_1" localSheetId="12" hidden="1">{#N/A,"francaiseur",FALSE,"UNITE";"ACTEUR",#N/A,FALSE,"ACTIF";"PASEUR",#N/A,FALSE,"PASSIF";"RESEUR",#N/A,FALSE,"RESULTATS";"FPEUR",#N/A,FALSE,"FP";"N03EUR",#N/A,FALSE,"NOTE03";"N04EUR",#N/A,FALSE,"NOTE04";"N05EUR",#N/A,FALSE,"NOTE05";"N06EUR",#N/A,FALSE,"NOTE06";"N07EUR",#N/A,FALSE,"NOTE07";"N08EUR",#N/A,FALSE,"NOTE08";"N09EUR",#N/A,FALSE,"NOTE09";"N10EUR",#N/A,FALSE,"NOTE10";"N11EUR",#N/A,FALSE,"NOTE11";"N12EUR",#N/A,FALSE,"NOTE12";"N13EUR",#N/A,FALSE,"NOTE13";"N14EUR",#N/A,FALSE,"NOTE14";"N15EUR",#N/A,FALSE,"NOTE15";"N16EUR",#N/A,FALSE,"NOTE16";"N18EUR",#N/A,FALSE,"NOTE18";"N19EUR",#N/A,FALSE,"NOTE19";"N20EUR",#N/A,FALSE,"NOTE20";"N21EUR",#N/A,FALSE,"NOTE21";"N22EUR",#N/A,FALSE,"NOTE22";"N23EUR",#N/A,FALSE,"NOTE23";"N24EUR",#N/A,FALSE,"NOTE24";"N25EUR",#N/A,FALSE,"NOTE25";"N26EUR",#N/A,FALSE,"NOTE26";"N27EUR",#N/A,FALSE,"NOTE27";"N28EUR",#N/A,FALSE,"NOTE28";"N29EUR",#N/A,FALSE,"NOTE29";"N30EUR",#N/A,FALSE,"NOTE30";"N31EUR",#N/A,FALSE,"NOTE31";"N32EUR",#N/A,FALSE,"NOTE32";"N33EUR",#N/A,FALSE,"NOTE33";"BILSOCEUR",#N/A,FALSE,"bilan soc";"RESSOCEUR",#N/A,FALSE,"PL soc";"cinqexEUR",#N/A,FALSE,"5ex"}</definedName>
    <definedName name="wrn.etatfifrfeur._1_1" localSheetId="7" hidden="1">{#N/A,"francaiseur",FALSE,"UNITE";"ACTEUR",#N/A,FALSE,"ACTIF";"PASEUR",#N/A,FALSE,"PASSIF";"RESEUR",#N/A,FALSE,"RESULTATS";"FPEUR",#N/A,FALSE,"FP";"N03EUR",#N/A,FALSE,"NOTE03";"N04EUR",#N/A,FALSE,"NOTE04";"N05EUR",#N/A,FALSE,"NOTE05";"N06EUR",#N/A,FALSE,"NOTE06";"N07EUR",#N/A,FALSE,"NOTE07";"N08EUR",#N/A,FALSE,"NOTE08";"N09EUR",#N/A,FALSE,"NOTE09";"N10EUR",#N/A,FALSE,"NOTE10";"N11EUR",#N/A,FALSE,"NOTE11";"N12EUR",#N/A,FALSE,"NOTE12";"N13EUR",#N/A,FALSE,"NOTE13";"N14EUR",#N/A,FALSE,"NOTE14";"N15EUR",#N/A,FALSE,"NOTE15";"N16EUR",#N/A,FALSE,"NOTE16";"N18EUR",#N/A,FALSE,"NOTE18";"N19EUR",#N/A,FALSE,"NOTE19";"N20EUR",#N/A,FALSE,"NOTE20";"N21EUR",#N/A,FALSE,"NOTE21";"N22EUR",#N/A,FALSE,"NOTE22";"N23EUR",#N/A,FALSE,"NOTE23";"N24EUR",#N/A,FALSE,"NOTE24";"N25EUR",#N/A,FALSE,"NOTE25";"N26EUR",#N/A,FALSE,"NOTE26";"N27EUR",#N/A,FALSE,"NOTE27";"N28EUR",#N/A,FALSE,"NOTE28";"N29EUR",#N/A,FALSE,"NOTE29";"N30EUR",#N/A,FALSE,"NOTE30";"N31EUR",#N/A,FALSE,"NOTE31";"N32EUR",#N/A,FALSE,"NOTE32";"N33EUR",#N/A,FALSE,"NOTE33";"BILSOCEUR",#N/A,FALSE,"bilan soc";"RESSOCEUR",#N/A,FALSE,"PL soc";"cinqexEUR",#N/A,FALSE,"5ex"}</definedName>
    <definedName name="wrn.etatfifrfeur._1_1" localSheetId="8" hidden="1">{#N/A,"francaiseur",FALSE,"UNITE";"ACTEUR",#N/A,FALSE,"ACTIF";"PASEUR",#N/A,FALSE,"PASSIF";"RESEUR",#N/A,FALSE,"RESULTATS";"FPEUR",#N/A,FALSE,"FP";"N03EUR",#N/A,FALSE,"NOTE03";"N04EUR",#N/A,FALSE,"NOTE04";"N05EUR",#N/A,FALSE,"NOTE05";"N06EUR",#N/A,FALSE,"NOTE06";"N07EUR",#N/A,FALSE,"NOTE07";"N08EUR",#N/A,FALSE,"NOTE08";"N09EUR",#N/A,FALSE,"NOTE09";"N10EUR",#N/A,FALSE,"NOTE10";"N11EUR",#N/A,FALSE,"NOTE11";"N12EUR",#N/A,FALSE,"NOTE12";"N13EUR",#N/A,FALSE,"NOTE13";"N14EUR",#N/A,FALSE,"NOTE14";"N15EUR",#N/A,FALSE,"NOTE15";"N16EUR",#N/A,FALSE,"NOTE16";"N18EUR",#N/A,FALSE,"NOTE18";"N19EUR",#N/A,FALSE,"NOTE19";"N20EUR",#N/A,FALSE,"NOTE20";"N21EUR",#N/A,FALSE,"NOTE21";"N22EUR",#N/A,FALSE,"NOTE22";"N23EUR",#N/A,FALSE,"NOTE23";"N24EUR",#N/A,FALSE,"NOTE24";"N25EUR",#N/A,FALSE,"NOTE25";"N26EUR",#N/A,FALSE,"NOTE26";"N27EUR",#N/A,FALSE,"NOTE27";"N28EUR",#N/A,FALSE,"NOTE28";"N29EUR",#N/A,FALSE,"NOTE29";"N30EUR",#N/A,FALSE,"NOTE30";"N31EUR",#N/A,FALSE,"NOTE31";"N32EUR",#N/A,FALSE,"NOTE32";"N33EUR",#N/A,FALSE,"NOTE33";"BILSOCEUR",#N/A,FALSE,"bilan soc";"RESSOCEUR",#N/A,FALSE,"PL soc";"cinqexEUR",#N/A,FALSE,"5ex"}</definedName>
    <definedName name="wrn.etatfifrfeur._1_1" localSheetId="10" hidden="1">{#N/A,"francaiseur",FALSE,"UNITE";"ACTEUR",#N/A,FALSE,"ACTIF";"PASEUR",#N/A,FALSE,"PASSIF";"RESEUR",#N/A,FALSE,"RESULTATS";"FPEUR",#N/A,FALSE,"FP";"N03EUR",#N/A,FALSE,"NOTE03";"N04EUR",#N/A,FALSE,"NOTE04";"N05EUR",#N/A,FALSE,"NOTE05";"N06EUR",#N/A,FALSE,"NOTE06";"N07EUR",#N/A,FALSE,"NOTE07";"N08EUR",#N/A,FALSE,"NOTE08";"N09EUR",#N/A,FALSE,"NOTE09";"N10EUR",#N/A,FALSE,"NOTE10";"N11EUR",#N/A,FALSE,"NOTE11";"N12EUR",#N/A,FALSE,"NOTE12";"N13EUR",#N/A,FALSE,"NOTE13";"N14EUR",#N/A,FALSE,"NOTE14";"N15EUR",#N/A,FALSE,"NOTE15";"N16EUR",#N/A,FALSE,"NOTE16";"N18EUR",#N/A,FALSE,"NOTE18";"N19EUR",#N/A,FALSE,"NOTE19";"N20EUR",#N/A,FALSE,"NOTE20";"N21EUR",#N/A,FALSE,"NOTE21";"N22EUR",#N/A,FALSE,"NOTE22";"N23EUR",#N/A,FALSE,"NOTE23";"N24EUR",#N/A,FALSE,"NOTE24";"N25EUR",#N/A,FALSE,"NOTE25";"N26EUR",#N/A,FALSE,"NOTE26";"N27EUR",#N/A,FALSE,"NOTE27";"N28EUR",#N/A,FALSE,"NOTE28";"N29EUR",#N/A,FALSE,"NOTE29";"N30EUR",#N/A,FALSE,"NOTE30";"N31EUR",#N/A,FALSE,"NOTE31";"N32EUR",#N/A,FALSE,"NOTE32";"N33EUR",#N/A,FALSE,"NOTE33";"BILSOCEUR",#N/A,FALSE,"bilan soc";"RESSOCEUR",#N/A,FALSE,"PL soc";"cinqexEUR",#N/A,FALSE,"5ex"}</definedName>
    <definedName name="wrn.etatfifrfeur._1_1" hidden="1">{#N/A,"francaiseur",FALSE,"UNITE";"ACTEUR",#N/A,FALSE,"ACTIF";"PASEUR",#N/A,FALSE,"PASSIF";"RESEUR",#N/A,FALSE,"RESULTATS";"FPEUR",#N/A,FALSE,"FP";"N03EUR",#N/A,FALSE,"NOTE03";"N04EUR",#N/A,FALSE,"NOTE04";"N05EUR",#N/A,FALSE,"NOTE05";"N06EUR",#N/A,FALSE,"NOTE06";"N07EUR",#N/A,FALSE,"NOTE07";"N08EUR",#N/A,FALSE,"NOTE08";"N09EUR",#N/A,FALSE,"NOTE09";"N10EUR",#N/A,FALSE,"NOTE10";"N11EUR",#N/A,FALSE,"NOTE11";"N12EUR",#N/A,FALSE,"NOTE12";"N13EUR",#N/A,FALSE,"NOTE13";"N14EUR",#N/A,FALSE,"NOTE14";"N15EUR",#N/A,FALSE,"NOTE15";"N16EUR",#N/A,FALSE,"NOTE16";"N18EUR",#N/A,FALSE,"NOTE18";"N19EUR",#N/A,FALSE,"NOTE19";"N20EUR",#N/A,FALSE,"NOTE20";"N21EUR",#N/A,FALSE,"NOTE21";"N22EUR",#N/A,FALSE,"NOTE22";"N23EUR",#N/A,FALSE,"NOTE23";"N24EUR",#N/A,FALSE,"NOTE24";"N25EUR",#N/A,FALSE,"NOTE25";"N26EUR",#N/A,FALSE,"NOTE26";"N27EUR",#N/A,FALSE,"NOTE27";"N28EUR",#N/A,FALSE,"NOTE28";"N29EUR",#N/A,FALSE,"NOTE29";"N30EUR",#N/A,FALSE,"NOTE30";"N31EUR",#N/A,FALSE,"NOTE31";"N32EUR",#N/A,FALSE,"NOTE32";"N33EUR",#N/A,FALSE,"NOTE33";"BILSOCEUR",#N/A,FALSE,"bilan soc";"RESSOCEUR",#N/A,FALSE,"PL soc";"cinqexEUR",#N/A,FALSE,"5ex"}</definedName>
    <definedName name="wrn.etatfifrfeur._1_1_1" localSheetId="12" hidden="1">{#N/A,"francaiseur",FALSE,"UNITE";"ACTEUR",#N/A,FALSE,"ACTIF";"PASEUR",#N/A,FALSE,"PASSIF";"RESEUR",#N/A,FALSE,"RESULTATS";"FPEUR",#N/A,FALSE,"FP";"N03EUR",#N/A,FALSE,"NOTE03";"N04EUR",#N/A,FALSE,"NOTE04";"N05EUR",#N/A,FALSE,"NOTE05";"N06EUR",#N/A,FALSE,"NOTE06";"N07EUR",#N/A,FALSE,"NOTE07";"N08EUR",#N/A,FALSE,"NOTE08";"N09EUR",#N/A,FALSE,"NOTE09";"N10EUR",#N/A,FALSE,"NOTE10";"N11EUR",#N/A,FALSE,"NOTE11";"N12EUR",#N/A,FALSE,"NOTE12";"N13EUR",#N/A,FALSE,"NOTE13";"N14EUR",#N/A,FALSE,"NOTE14";"N15EUR",#N/A,FALSE,"NOTE15";"N16EUR",#N/A,FALSE,"NOTE16";"N18EUR",#N/A,FALSE,"NOTE18";"N19EUR",#N/A,FALSE,"NOTE19";"N20EUR",#N/A,FALSE,"NOTE20";"N21EUR",#N/A,FALSE,"NOTE21";"N22EUR",#N/A,FALSE,"NOTE22";"N23EUR",#N/A,FALSE,"NOTE23";"N24EUR",#N/A,FALSE,"NOTE24";"N25EUR",#N/A,FALSE,"NOTE25";"N26EUR",#N/A,FALSE,"NOTE26";"N27EUR",#N/A,FALSE,"NOTE27";"N28EUR",#N/A,FALSE,"NOTE28";"N29EUR",#N/A,FALSE,"NOTE29";"N30EUR",#N/A,FALSE,"NOTE30";"N31EUR",#N/A,FALSE,"NOTE31";"N32EUR",#N/A,FALSE,"NOTE32";"N33EUR",#N/A,FALSE,"NOTE33";"BILSOCEUR",#N/A,FALSE,"bilan soc";"RESSOCEUR",#N/A,FALSE,"PL soc";"cinqexEUR",#N/A,FALSE,"5ex"}</definedName>
    <definedName name="wrn.etatfifrfeur._1_1_1" hidden="1">{#N/A,"francaiseur",FALSE,"UNITE";"ACTEUR",#N/A,FALSE,"ACTIF";"PASEUR",#N/A,FALSE,"PASSIF";"RESEUR",#N/A,FALSE,"RESULTATS";"FPEUR",#N/A,FALSE,"FP";"N03EUR",#N/A,FALSE,"NOTE03";"N04EUR",#N/A,FALSE,"NOTE04";"N05EUR",#N/A,FALSE,"NOTE05";"N06EUR",#N/A,FALSE,"NOTE06";"N07EUR",#N/A,FALSE,"NOTE07";"N08EUR",#N/A,FALSE,"NOTE08";"N09EUR",#N/A,FALSE,"NOTE09";"N10EUR",#N/A,FALSE,"NOTE10";"N11EUR",#N/A,FALSE,"NOTE11";"N12EUR",#N/A,FALSE,"NOTE12";"N13EUR",#N/A,FALSE,"NOTE13";"N14EUR",#N/A,FALSE,"NOTE14";"N15EUR",#N/A,FALSE,"NOTE15";"N16EUR",#N/A,FALSE,"NOTE16";"N18EUR",#N/A,FALSE,"NOTE18";"N19EUR",#N/A,FALSE,"NOTE19";"N20EUR",#N/A,FALSE,"NOTE20";"N21EUR",#N/A,FALSE,"NOTE21";"N22EUR",#N/A,FALSE,"NOTE22";"N23EUR",#N/A,FALSE,"NOTE23";"N24EUR",#N/A,FALSE,"NOTE24";"N25EUR",#N/A,FALSE,"NOTE25";"N26EUR",#N/A,FALSE,"NOTE26";"N27EUR",#N/A,FALSE,"NOTE27";"N28EUR",#N/A,FALSE,"NOTE28";"N29EUR",#N/A,FALSE,"NOTE29";"N30EUR",#N/A,FALSE,"NOTE30";"N31EUR",#N/A,FALSE,"NOTE31";"N32EUR",#N/A,FALSE,"NOTE32";"N33EUR",#N/A,FALSE,"NOTE33";"BILSOCEUR",#N/A,FALSE,"bilan soc";"RESSOCEUR",#N/A,FALSE,"PL soc";"cinqexEUR",#N/A,FALSE,"5ex"}</definedName>
    <definedName name="wrn.etatfifrfeur._1_1_2" hidden="1">{#N/A,"francaiseur",FALSE,"UNITE";"ACTEUR",#N/A,FALSE,"ACTIF";"PASEUR",#N/A,FALSE,"PASSIF";"RESEUR",#N/A,FALSE,"RESULTATS";"FPEUR",#N/A,FALSE,"FP";"N03EUR",#N/A,FALSE,"NOTE03";"N04EUR",#N/A,FALSE,"NOTE04";"N05EUR",#N/A,FALSE,"NOTE05";"N06EUR",#N/A,FALSE,"NOTE06";"N07EUR",#N/A,FALSE,"NOTE07";"N08EUR",#N/A,FALSE,"NOTE08";"N09EUR",#N/A,FALSE,"NOTE09";"N10EUR",#N/A,FALSE,"NOTE10";"N11EUR",#N/A,FALSE,"NOTE11";"N12EUR",#N/A,FALSE,"NOTE12";"N13EUR",#N/A,FALSE,"NOTE13";"N14EUR",#N/A,FALSE,"NOTE14";"N15EUR",#N/A,FALSE,"NOTE15";"N16EUR",#N/A,FALSE,"NOTE16";"N18EUR",#N/A,FALSE,"NOTE18";"N19EUR",#N/A,FALSE,"NOTE19";"N20EUR",#N/A,FALSE,"NOTE20";"N21EUR",#N/A,FALSE,"NOTE21";"N22EUR",#N/A,FALSE,"NOTE22";"N23EUR",#N/A,FALSE,"NOTE23";"N24EUR",#N/A,FALSE,"NOTE24";"N25EUR",#N/A,FALSE,"NOTE25";"N26EUR",#N/A,FALSE,"NOTE26";"N27EUR",#N/A,FALSE,"NOTE27";"N28EUR",#N/A,FALSE,"NOTE28";"N29EUR",#N/A,FALSE,"NOTE29";"N30EUR",#N/A,FALSE,"NOTE30";"N31EUR",#N/A,FALSE,"NOTE31";"N32EUR",#N/A,FALSE,"NOTE32";"N33EUR",#N/A,FALSE,"NOTE33";"BILSOCEUR",#N/A,FALSE,"bilan soc";"RESSOCEUR",#N/A,FALSE,"PL soc";"cinqexEUR",#N/A,FALSE,"5ex"}</definedName>
    <definedName name="wrn.etatfifrfeur._1_2" localSheetId="12" hidden="1">{#N/A,"francaiseur",FALSE,"UNITE";"ACTEUR",#N/A,FALSE,"ACTIF";"PASEUR",#N/A,FALSE,"PASSIF";"RESEUR",#N/A,FALSE,"RESULTATS";"FPEUR",#N/A,FALSE,"FP";"N03EUR",#N/A,FALSE,"NOTE03";"N04EUR",#N/A,FALSE,"NOTE04";"N05EUR",#N/A,FALSE,"NOTE05";"N06EUR",#N/A,FALSE,"NOTE06";"N07EUR",#N/A,FALSE,"NOTE07";"N08EUR",#N/A,FALSE,"NOTE08";"N09EUR",#N/A,FALSE,"NOTE09";"N10EUR",#N/A,FALSE,"NOTE10";"N11EUR",#N/A,FALSE,"NOTE11";"N12EUR",#N/A,FALSE,"NOTE12";"N13EUR",#N/A,FALSE,"NOTE13";"N14EUR",#N/A,FALSE,"NOTE14";"N15EUR",#N/A,FALSE,"NOTE15";"N16EUR",#N/A,FALSE,"NOTE16";"N18EUR",#N/A,FALSE,"NOTE18";"N19EUR",#N/A,FALSE,"NOTE19";"N20EUR",#N/A,FALSE,"NOTE20";"N21EUR",#N/A,FALSE,"NOTE21";"N22EUR",#N/A,FALSE,"NOTE22";"N23EUR",#N/A,FALSE,"NOTE23";"N24EUR",#N/A,FALSE,"NOTE24";"N25EUR",#N/A,FALSE,"NOTE25";"N26EUR",#N/A,FALSE,"NOTE26";"N27EUR",#N/A,FALSE,"NOTE27";"N28EUR",#N/A,FALSE,"NOTE28";"N29EUR",#N/A,FALSE,"NOTE29";"N30EUR",#N/A,FALSE,"NOTE30";"N31EUR",#N/A,FALSE,"NOTE31";"N32EUR",#N/A,FALSE,"NOTE32";"N33EUR",#N/A,FALSE,"NOTE33";"BILSOCEUR",#N/A,FALSE,"bilan soc";"RESSOCEUR",#N/A,FALSE,"PL soc";"cinqexEUR",#N/A,FALSE,"5ex"}</definedName>
    <definedName name="wrn.etatfifrfeur._1_2" hidden="1">{#N/A,"francaiseur",FALSE,"UNITE";"ACTEUR",#N/A,FALSE,"ACTIF";"PASEUR",#N/A,FALSE,"PASSIF";"RESEUR",#N/A,FALSE,"RESULTATS";"FPEUR",#N/A,FALSE,"FP";"N03EUR",#N/A,FALSE,"NOTE03";"N04EUR",#N/A,FALSE,"NOTE04";"N05EUR",#N/A,FALSE,"NOTE05";"N06EUR",#N/A,FALSE,"NOTE06";"N07EUR",#N/A,FALSE,"NOTE07";"N08EUR",#N/A,FALSE,"NOTE08";"N09EUR",#N/A,FALSE,"NOTE09";"N10EUR",#N/A,FALSE,"NOTE10";"N11EUR",#N/A,FALSE,"NOTE11";"N12EUR",#N/A,FALSE,"NOTE12";"N13EUR",#N/A,FALSE,"NOTE13";"N14EUR",#N/A,FALSE,"NOTE14";"N15EUR",#N/A,FALSE,"NOTE15";"N16EUR",#N/A,FALSE,"NOTE16";"N18EUR",#N/A,FALSE,"NOTE18";"N19EUR",#N/A,FALSE,"NOTE19";"N20EUR",#N/A,FALSE,"NOTE20";"N21EUR",#N/A,FALSE,"NOTE21";"N22EUR",#N/A,FALSE,"NOTE22";"N23EUR",#N/A,FALSE,"NOTE23";"N24EUR",#N/A,FALSE,"NOTE24";"N25EUR",#N/A,FALSE,"NOTE25";"N26EUR",#N/A,FALSE,"NOTE26";"N27EUR",#N/A,FALSE,"NOTE27";"N28EUR",#N/A,FALSE,"NOTE28";"N29EUR",#N/A,FALSE,"NOTE29";"N30EUR",#N/A,FALSE,"NOTE30";"N31EUR",#N/A,FALSE,"NOTE31";"N32EUR",#N/A,FALSE,"NOTE32";"N33EUR",#N/A,FALSE,"NOTE33";"BILSOCEUR",#N/A,FALSE,"bilan soc";"RESSOCEUR",#N/A,FALSE,"PL soc";"cinqexEUR",#N/A,FALSE,"5ex"}</definedName>
    <definedName name="wrn.etatfifrfeur._1_3" localSheetId="12" hidden="1">{#N/A,"francaiseur",FALSE,"UNITE";"ACTEUR",#N/A,FALSE,"ACTIF";"PASEUR",#N/A,FALSE,"PASSIF";"RESEUR",#N/A,FALSE,"RESULTATS";"FPEUR",#N/A,FALSE,"FP";"N03EUR",#N/A,FALSE,"NOTE03";"N04EUR",#N/A,FALSE,"NOTE04";"N05EUR",#N/A,FALSE,"NOTE05";"N06EUR",#N/A,FALSE,"NOTE06";"N07EUR",#N/A,FALSE,"NOTE07";"N08EUR",#N/A,FALSE,"NOTE08";"N09EUR",#N/A,FALSE,"NOTE09";"N10EUR",#N/A,FALSE,"NOTE10";"N11EUR",#N/A,FALSE,"NOTE11";"N12EUR",#N/A,FALSE,"NOTE12";"N13EUR",#N/A,FALSE,"NOTE13";"N14EUR",#N/A,FALSE,"NOTE14";"N15EUR",#N/A,FALSE,"NOTE15";"N16EUR",#N/A,FALSE,"NOTE16";"N18EUR",#N/A,FALSE,"NOTE18";"N19EUR",#N/A,FALSE,"NOTE19";"N20EUR",#N/A,FALSE,"NOTE20";"N21EUR",#N/A,FALSE,"NOTE21";"N22EUR",#N/A,FALSE,"NOTE22";"N23EUR",#N/A,FALSE,"NOTE23";"N24EUR",#N/A,FALSE,"NOTE24";"N25EUR",#N/A,FALSE,"NOTE25";"N26EUR",#N/A,FALSE,"NOTE26";"N27EUR",#N/A,FALSE,"NOTE27";"N28EUR",#N/A,FALSE,"NOTE28";"N29EUR",#N/A,FALSE,"NOTE29";"N30EUR",#N/A,FALSE,"NOTE30";"N31EUR",#N/A,FALSE,"NOTE31";"N32EUR",#N/A,FALSE,"NOTE32";"N33EUR",#N/A,FALSE,"NOTE33";"BILSOCEUR",#N/A,FALSE,"bilan soc";"RESSOCEUR",#N/A,FALSE,"PL soc";"cinqexEUR",#N/A,FALSE,"5ex"}</definedName>
    <definedName name="wrn.etatfifrfeur._1_3" hidden="1">{#N/A,"francaiseur",FALSE,"UNITE";"ACTEUR",#N/A,FALSE,"ACTIF";"PASEUR",#N/A,FALSE,"PASSIF";"RESEUR",#N/A,FALSE,"RESULTATS";"FPEUR",#N/A,FALSE,"FP";"N03EUR",#N/A,FALSE,"NOTE03";"N04EUR",#N/A,FALSE,"NOTE04";"N05EUR",#N/A,FALSE,"NOTE05";"N06EUR",#N/A,FALSE,"NOTE06";"N07EUR",#N/A,FALSE,"NOTE07";"N08EUR",#N/A,FALSE,"NOTE08";"N09EUR",#N/A,FALSE,"NOTE09";"N10EUR",#N/A,FALSE,"NOTE10";"N11EUR",#N/A,FALSE,"NOTE11";"N12EUR",#N/A,FALSE,"NOTE12";"N13EUR",#N/A,FALSE,"NOTE13";"N14EUR",#N/A,FALSE,"NOTE14";"N15EUR",#N/A,FALSE,"NOTE15";"N16EUR",#N/A,FALSE,"NOTE16";"N18EUR",#N/A,FALSE,"NOTE18";"N19EUR",#N/A,FALSE,"NOTE19";"N20EUR",#N/A,FALSE,"NOTE20";"N21EUR",#N/A,FALSE,"NOTE21";"N22EUR",#N/A,FALSE,"NOTE22";"N23EUR",#N/A,FALSE,"NOTE23";"N24EUR",#N/A,FALSE,"NOTE24";"N25EUR",#N/A,FALSE,"NOTE25";"N26EUR",#N/A,FALSE,"NOTE26";"N27EUR",#N/A,FALSE,"NOTE27";"N28EUR",#N/A,FALSE,"NOTE28";"N29EUR",#N/A,FALSE,"NOTE29";"N30EUR",#N/A,FALSE,"NOTE30";"N31EUR",#N/A,FALSE,"NOTE31";"N32EUR",#N/A,FALSE,"NOTE32";"N33EUR",#N/A,FALSE,"NOTE33";"BILSOCEUR",#N/A,FALSE,"bilan soc";"RESSOCEUR",#N/A,FALSE,"PL soc";"cinqexEUR",#N/A,FALSE,"5ex"}</definedName>
    <definedName name="wrn.etatfifrfeur._2" localSheetId="9" hidden="1">{#N/A,"francaiseur",FALSE,"UNITE";"ACTEUR",#N/A,FALSE,"ACTIF";"PASEUR",#N/A,FALSE,"PASSIF";"RESEUR",#N/A,FALSE,"RESULTATS";"FPEUR",#N/A,FALSE,"FP";"N03EUR",#N/A,FALSE,"NOTE03";"N04EUR",#N/A,FALSE,"NOTE04";"N05EUR",#N/A,FALSE,"NOTE05";"N06EUR",#N/A,FALSE,"NOTE06";"N07EUR",#N/A,FALSE,"NOTE07";"N08EUR",#N/A,FALSE,"NOTE08";"N09EUR",#N/A,FALSE,"NOTE09";"N10EUR",#N/A,FALSE,"NOTE10";"N11EUR",#N/A,FALSE,"NOTE11";"N12EUR",#N/A,FALSE,"NOTE12";"N13EUR",#N/A,FALSE,"NOTE13";"N14EUR",#N/A,FALSE,"NOTE14";"N15EUR",#N/A,FALSE,"NOTE15";"N16EUR",#N/A,FALSE,"NOTE16";"N18EUR",#N/A,FALSE,"NOTE18";"N19EUR",#N/A,FALSE,"NOTE19";"N20EUR",#N/A,FALSE,"NOTE20";"N21EUR",#N/A,FALSE,"NOTE21";"N22EUR",#N/A,FALSE,"NOTE22";"N23EUR",#N/A,FALSE,"NOTE23";"N24EUR",#N/A,FALSE,"NOTE24";"N25EUR",#N/A,FALSE,"NOTE25";"N26EUR",#N/A,FALSE,"NOTE26";"N27EUR",#N/A,FALSE,"NOTE27";"N28EUR",#N/A,FALSE,"NOTE28";"N29EUR",#N/A,FALSE,"NOTE29";"N30EUR",#N/A,FALSE,"NOTE30";"N31EUR",#N/A,FALSE,"NOTE31";"N32EUR",#N/A,FALSE,"NOTE32";"N33EUR",#N/A,FALSE,"NOTE33";"BILSOCEUR",#N/A,FALSE,"bilan soc";"RESSOCEUR",#N/A,FALSE,"PL soc";"cinqexEUR",#N/A,FALSE,"5ex"}</definedName>
    <definedName name="wrn.etatfifrfeur._2" localSheetId="12" hidden="1">{#N/A,"francaiseur",FALSE,"UNITE";"ACTEUR",#N/A,FALSE,"ACTIF";"PASEUR",#N/A,FALSE,"PASSIF";"RESEUR",#N/A,FALSE,"RESULTATS";"FPEUR",#N/A,FALSE,"FP";"N03EUR",#N/A,FALSE,"NOTE03";"N04EUR",#N/A,FALSE,"NOTE04";"N05EUR",#N/A,FALSE,"NOTE05";"N06EUR",#N/A,FALSE,"NOTE06";"N07EUR",#N/A,FALSE,"NOTE07";"N08EUR",#N/A,FALSE,"NOTE08";"N09EUR",#N/A,FALSE,"NOTE09";"N10EUR",#N/A,FALSE,"NOTE10";"N11EUR",#N/A,FALSE,"NOTE11";"N12EUR",#N/A,FALSE,"NOTE12";"N13EUR",#N/A,FALSE,"NOTE13";"N14EUR",#N/A,FALSE,"NOTE14";"N15EUR",#N/A,FALSE,"NOTE15";"N16EUR",#N/A,FALSE,"NOTE16";"N18EUR",#N/A,FALSE,"NOTE18";"N19EUR",#N/A,FALSE,"NOTE19";"N20EUR",#N/A,FALSE,"NOTE20";"N21EUR",#N/A,FALSE,"NOTE21";"N22EUR",#N/A,FALSE,"NOTE22";"N23EUR",#N/A,FALSE,"NOTE23";"N24EUR",#N/A,FALSE,"NOTE24";"N25EUR",#N/A,FALSE,"NOTE25";"N26EUR",#N/A,FALSE,"NOTE26";"N27EUR",#N/A,FALSE,"NOTE27";"N28EUR",#N/A,FALSE,"NOTE28";"N29EUR",#N/A,FALSE,"NOTE29";"N30EUR",#N/A,FALSE,"NOTE30";"N31EUR",#N/A,FALSE,"NOTE31";"N32EUR",#N/A,FALSE,"NOTE32";"N33EUR",#N/A,FALSE,"NOTE33";"BILSOCEUR",#N/A,FALSE,"bilan soc";"RESSOCEUR",#N/A,FALSE,"PL soc";"cinqexEUR",#N/A,FALSE,"5ex"}</definedName>
    <definedName name="wrn.etatfifrfeur._2" localSheetId="7" hidden="1">{#N/A,"francaiseur",FALSE,"UNITE";"ACTEUR",#N/A,FALSE,"ACTIF";"PASEUR",#N/A,FALSE,"PASSIF";"RESEUR",#N/A,FALSE,"RESULTATS";"FPEUR",#N/A,FALSE,"FP";"N03EUR",#N/A,FALSE,"NOTE03";"N04EUR",#N/A,FALSE,"NOTE04";"N05EUR",#N/A,FALSE,"NOTE05";"N06EUR",#N/A,FALSE,"NOTE06";"N07EUR",#N/A,FALSE,"NOTE07";"N08EUR",#N/A,FALSE,"NOTE08";"N09EUR",#N/A,FALSE,"NOTE09";"N10EUR",#N/A,FALSE,"NOTE10";"N11EUR",#N/A,FALSE,"NOTE11";"N12EUR",#N/A,FALSE,"NOTE12";"N13EUR",#N/A,FALSE,"NOTE13";"N14EUR",#N/A,FALSE,"NOTE14";"N15EUR",#N/A,FALSE,"NOTE15";"N16EUR",#N/A,FALSE,"NOTE16";"N18EUR",#N/A,FALSE,"NOTE18";"N19EUR",#N/A,FALSE,"NOTE19";"N20EUR",#N/A,FALSE,"NOTE20";"N21EUR",#N/A,FALSE,"NOTE21";"N22EUR",#N/A,FALSE,"NOTE22";"N23EUR",#N/A,FALSE,"NOTE23";"N24EUR",#N/A,FALSE,"NOTE24";"N25EUR",#N/A,FALSE,"NOTE25";"N26EUR",#N/A,FALSE,"NOTE26";"N27EUR",#N/A,FALSE,"NOTE27";"N28EUR",#N/A,FALSE,"NOTE28";"N29EUR",#N/A,FALSE,"NOTE29";"N30EUR",#N/A,FALSE,"NOTE30";"N31EUR",#N/A,FALSE,"NOTE31";"N32EUR",#N/A,FALSE,"NOTE32";"N33EUR",#N/A,FALSE,"NOTE33";"BILSOCEUR",#N/A,FALSE,"bilan soc";"RESSOCEUR",#N/A,FALSE,"PL soc";"cinqexEUR",#N/A,FALSE,"5ex"}</definedName>
    <definedName name="wrn.etatfifrfeur._2" localSheetId="8" hidden="1">{#N/A,"francaiseur",FALSE,"UNITE";"ACTEUR",#N/A,FALSE,"ACTIF";"PASEUR",#N/A,FALSE,"PASSIF";"RESEUR",#N/A,FALSE,"RESULTATS";"FPEUR",#N/A,FALSE,"FP";"N03EUR",#N/A,FALSE,"NOTE03";"N04EUR",#N/A,FALSE,"NOTE04";"N05EUR",#N/A,FALSE,"NOTE05";"N06EUR",#N/A,FALSE,"NOTE06";"N07EUR",#N/A,FALSE,"NOTE07";"N08EUR",#N/A,FALSE,"NOTE08";"N09EUR",#N/A,FALSE,"NOTE09";"N10EUR",#N/A,FALSE,"NOTE10";"N11EUR",#N/A,FALSE,"NOTE11";"N12EUR",#N/A,FALSE,"NOTE12";"N13EUR",#N/A,FALSE,"NOTE13";"N14EUR",#N/A,FALSE,"NOTE14";"N15EUR",#N/A,FALSE,"NOTE15";"N16EUR",#N/A,FALSE,"NOTE16";"N18EUR",#N/A,FALSE,"NOTE18";"N19EUR",#N/A,FALSE,"NOTE19";"N20EUR",#N/A,FALSE,"NOTE20";"N21EUR",#N/A,FALSE,"NOTE21";"N22EUR",#N/A,FALSE,"NOTE22";"N23EUR",#N/A,FALSE,"NOTE23";"N24EUR",#N/A,FALSE,"NOTE24";"N25EUR",#N/A,FALSE,"NOTE25";"N26EUR",#N/A,FALSE,"NOTE26";"N27EUR",#N/A,FALSE,"NOTE27";"N28EUR",#N/A,FALSE,"NOTE28";"N29EUR",#N/A,FALSE,"NOTE29";"N30EUR",#N/A,FALSE,"NOTE30";"N31EUR",#N/A,FALSE,"NOTE31";"N32EUR",#N/A,FALSE,"NOTE32";"N33EUR",#N/A,FALSE,"NOTE33";"BILSOCEUR",#N/A,FALSE,"bilan soc";"RESSOCEUR",#N/A,FALSE,"PL soc";"cinqexEUR",#N/A,FALSE,"5ex"}</definedName>
    <definedName name="wrn.etatfifrfeur._2" localSheetId="10" hidden="1">{#N/A,"francaiseur",FALSE,"UNITE";"ACTEUR",#N/A,FALSE,"ACTIF";"PASEUR",#N/A,FALSE,"PASSIF";"RESEUR",#N/A,FALSE,"RESULTATS";"FPEUR",#N/A,FALSE,"FP";"N03EUR",#N/A,FALSE,"NOTE03";"N04EUR",#N/A,FALSE,"NOTE04";"N05EUR",#N/A,FALSE,"NOTE05";"N06EUR",#N/A,FALSE,"NOTE06";"N07EUR",#N/A,FALSE,"NOTE07";"N08EUR",#N/A,FALSE,"NOTE08";"N09EUR",#N/A,FALSE,"NOTE09";"N10EUR",#N/A,FALSE,"NOTE10";"N11EUR",#N/A,FALSE,"NOTE11";"N12EUR",#N/A,FALSE,"NOTE12";"N13EUR",#N/A,FALSE,"NOTE13";"N14EUR",#N/A,FALSE,"NOTE14";"N15EUR",#N/A,FALSE,"NOTE15";"N16EUR",#N/A,FALSE,"NOTE16";"N18EUR",#N/A,FALSE,"NOTE18";"N19EUR",#N/A,FALSE,"NOTE19";"N20EUR",#N/A,FALSE,"NOTE20";"N21EUR",#N/A,FALSE,"NOTE21";"N22EUR",#N/A,FALSE,"NOTE22";"N23EUR",#N/A,FALSE,"NOTE23";"N24EUR",#N/A,FALSE,"NOTE24";"N25EUR",#N/A,FALSE,"NOTE25";"N26EUR",#N/A,FALSE,"NOTE26";"N27EUR",#N/A,FALSE,"NOTE27";"N28EUR",#N/A,FALSE,"NOTE28";"N29EUR",#N/A,FALSE,"NOTE29";"N30EUR",#N/A,FALSE,"NOTE30";"N31EUR",#N/A,FALSE,"NOTE31";"N32EUR",#N/A,FALSE,"NOTE32";"N33EUR",#N/A,FALSE,"NOTE33";"BILSOCEUR",#N/A,FALSE,"bilan soc";"RESSOCEUR",#N/A,FALSE,"PL soc";"cinqexEUR",#N/A,FALSE,"5ex"}</definedName>
    <definedName name="wrn.etatfifrfeur._2" hidden="1">{#N/A,"francaiseur",FALSE,"UNITE";"ACTEUR",#N/A,FALSE,"ACTIF";"PASEUR",#N/A,FALSE,"PASSIF";"RESEUR",#N/A,FALSE,"RESULTATS";"FPEUR",#N/A,FALSE,"FP";"N03EUR",#N/A,FALSE,"NOTE03";"N04EUR",#N/A,FALSE,"NOTE04";"N05EUR",#N/A,FALSE,"NOTE05";"N06EUR",#N/A,FALSE,"NOTE06";"N07EUR",#N/A,FALSE,"NOTE07";"N08EUR",#N/A,FALSE,"NOTE08";"N09EUR",#N/A,FALSE,"NOTE09";"N10EUR",#N/A,FALSE,"NOTE10";"N11EUR",#N/A,FALSE,"NOTE11";"N12EUR",#N/A,FALSE,"NOTE12";"N13EUR",#N/A,FALSE,"NOTE13";"N14EUR",#N/A,FALSE,"NOTE14";"N15EUR",#N/A,FALSE,"NOTE15";"N16EUR",#N/A,FALSE,"NOTE16";"N18EUR",#N/A,FALSE,"NOTE18";"N19EUR",#N/A,FALSE,"NOTE19";"N20EUR",#N/A,FALSE,"NOTE20";"N21EUR",#N/A,FALSE,"NOTE21";"N22EUR",#N/A,FALSE,"NOTE22";"N23EUR",#N/A,FALSE,"NOTE23";"N24EUR",#N/A,FALSE,"NOTE24";"N25EUR",#N/A,FALSE,"NOTE25";"N26EUR",#N/A,FALSE,"NOTE26";"N27EUR",#N/A,FALSE,"NOTE27";"N28EUR",#N/A,FALSE,"NOTE28";"N29EUR",#N/A,FALSE,"NOTE29";"N30EUR",#N/A,FALSE,"NOTE30";"N31EUR",#N/A,FALSE,"NOTE31";"N32EUR",#N/A,FALSE,"NOTE32";"N33EUR",#N/A,FALSE,"NOTE33";"BILSOCEUR",#N/A,FALSE,"bilan soc";"RESSOCEUR",#N/A,FALSE,"PL soc";"cinqexEUR",#N/A,FALSE,"5ex"}</definedName>
    <definedName name="wrn.etatfifrfeur._2_1" localSheetId="9" hidden="1">{#N/A,"francaiseur",FALSE,"UNITE";"ACTEUR",#N/A,FALSE,"ACTIF";"PASEUR",#N/A,FALSE,"PASSIF";"RESEUR",#N/A,FALSE,"RESULTATS";"FPEUR",#N/A,FALSE,"FP";"N03EUR",#N/A,FALSE,"NOTE03";"N04EUR",#N/A,FALSE,"NOTE04";"N05EUR",#N/A,FALSE,"NOTE05";"N06EUR",#N/A,FALSE,"NOTE06";"N07EUR",#N/A,FALSE,"NOTE07";"N08EUR",#N/A,FALSE,"NOTE08";"N09EUR",#N/A,FALSE,"NOTE09";"N10EUR",#N/A,FALSE,"NOTE10";"N11EUR",#N/A,FALSE,"NOTE11";"N12EUR",#N/A,FALSE,"NOTE12";"N13EUR",#N/A,FALSE,"NOTE13";"N14EUR",#N/A,FALSE,"NOTE14";"N15EUR",#N/A,FALSE,"NOTE15";"N16EUR",#N/A,FALSE,"NOTE16";"N18EUR",#N/A,FALSE,"NOTE18";"N19EUR",#N/A,FALSE,"NOTE19";"N20EUR",#N/A,FALSE,"NOTE20";"N21EUR",#N/A,FALSE,"NOTE21";"N22EUR",#N/A,FALSE,"NOTE22";"N23EUR",#N/A,FALSE,"NOTE23";"N24EUR",#N/A,FALSE,"NOTE24";"N25EUR",#N/A,FALSE,"NOTE25";"N26EUR",#N/A,FALSE,"NOTE26";"N27EUR",#N/A,FALSE,"NOTE27";"N28EUR",#N/A,FALSE,"NOTE28";"N29EUR",#N/A,FALSE,"NOTE29";"N30EUR",#N/A,FALSE,"NOTE30";"N31EUR",#N/A,FALSE,"NOTE31";"N32EUR",#N/A,FALSE,"NOTE32";"N33EUR",#N/A,FALSE,"NOTE33";"BILSOCEUR",#N/A,FALSE,"bilan soc";"RESSOCEUR",#N/A,FALSE,"PL soc";"cinqexEUR",#N/A,FALSE,"5ex"}</definedName>
    <definedName name="wrn.etatfifrfeur._2_1" localSheetId="12" hidden="1">{#N/A,"francaiseur",FALSE,"UNITE";"ACTEUR",#N/A,FALSE,"ACTIF";"PASEUR",#N/A,FALSE,"PASSIF";"RESEUR",#N/A,FALSE,"RESULTATS";"FPEUR",#N/A,FALSE,"FP";"N03EUR",#N/A,FALSE,"NOTE03";"N04EUR",#N/A,FALSE,"NOTE04";"N05EUR",#N/A,FALSE,"NOTE05";"N06EUR",#N/A,FALSE,"NOTE06";"N07EUR",#N/A,FALSE,"NOTE07";"N08EUR",#N/A,FALSE,"NOTE08";"N09EUR",#N/A,FALSE,"NOTE09";"N10EUR",#N/A,FALSE,"NOTE10";"N11EUR",#N/A,FALSE,"NOTE11";"N12EUR",#N/A,FALSE,"NOTE12";"N13EUR",#N/A,FALSE,"NOTE13";"N14EUR",#N/A,FALSE,"NOTE14";"N15EUR",#N/A,FALSE,"NOTE15";"N16EUR",#N/A,FALSE,"NOTE16";"N18EUR",#N/A,FALSE,"NOTE18";"N19EUR",#N/A,FALSE,"NOTE19";"N20EUR",#N/A,FALSE,"NOTE20";"N21EUR",#N/A,FALSE,"NOTE21";"N22EUR",#N/A,FALSE,"NOTE22";"N23EUR",#N/A,FALSE,"NOTE23";"N24EUR",#N/A,FALSE,"NOTE24";"N25EUR",#N/A,FALSE,"NOTE25";"N26EUR",#N/A,FALSE,"NOTE26";"N27EUR",#N/A,FALSE,"NOTE27";"N28EUR",#N/A,FALSE,"NOTE28";"N29EUR",#N/A,FALSE,"NOTE29";"N30EUR",#N/A,FALSE,"NOTE30";"N31EUR",#N/A,FALSE,"NOTE31";"N32EUR",#N/A,FALSE,"NOTE32";"N33EUR",#N/A,FALSE,"NOTE33";"BILSOCEUR",#N/A,FALSE,"bilan soc";"RESSOCEUR",#N/A,FALSE,"PL soc";"cinqexEUR",#N/A,FALSE,"5ex"}</definedName>
    <definedName name="wrn.etatfifrfeur._2_1" localSheetId="7" hidden="1">{#N/A,"francaiseur",FALSE,"UNITE";"ACTEUR",#N/A,FALSE,"ACTIF";"PASEUR",#N/A,FALSE,"PASSIF";"RESEUR",#N/A,FALSE,"RESULTATS";"FPEUR",#N/A,FALSE,"FP";"N03EUR",#N/A,FALSE,"NOTE03";"N04EUR",#N/A,FALSE,"NOTE04";"N05EUR",#N/A,FALSE,"NOTE05";"N06EUR",#N/A,FALSE,"NOTE06";"N07EUR",#N/A,FALSE,"NOTE07";"N08EUR",#N/A,FALSE,"NOTE08";"N09EUR",#N/A,FALSE,"NOTE09";"N10EUR",#N/A,FALSE,"NOTE10";"N11EUR",#N/A,FALSE,"NOTE11";"N12EUR",#N/A,FALSE,"NOTE12";"N13EUR",#N/A,FALSE,"NOTE13";"N14EUR",#N/A,FALSE,"NOTE14";"N15EUR",#N/A,FALSE,"NOTE15";"N16EUR",#N/A,FALSE,"NOTE16";"N18EUR",#N/A,FALSE,"NOTE18";"N19EUR",#N/A,FALSE,"NOTE19";"N20EUR",#N/A,FALSE,"NOTE20";"N21EUR",#N/A,FALSE,"NOTE21";"N22EUR",#N/A,FALSE,"NOTE22";"N23EUR",#N/A,FALSE,"NOTE23";"N24EUR",#N/A,FALSE,"NOTE24";"N25EUR",#N/A,FALSE,"NOTE25";"N26EUR",#N/A,FALSE,"NOTE26";"N27EUR",#N/A,FALSE,"NOTE27";"N28EUR",#N/A,FALSE,"NOTE28";"N29EUR",#N/A,FALSE,"NOTE29";"N30EUR",#N/A,FALSE,"NOTE30";"N31EUR",#N/A,FALSE,"NOTE31";"N32EUR",#N/A,FALSE,"NOTE32";"N33EUR",#N/A,FALSE,"NOTE33";"BILSOCEUR",#N/A,FALSE,"bilan soc";"RESSOCEUR",#N/A,FALSE,"PL soc";"cinqexEUR",#N/A,FALSE,"5ex"}</definedName>
    <definedName name="wrn.etatfifrfeur._2_1" localSheetId="8" hidden="1">{#N/A,"francaiseur",FALSE,"UNITE";"ACTEUR",#N/A,FALSE,"ACTIF";"PASEUR",#N/A,FALSE,"PASSIF";"RESEUR",#N/A,FALSE,"RESULTATS";"FPEUR",#N/A,FALSE,"FP";"N03EUR",#N/A,FALSE,"NOTE03";"N04EUR",#N/A,FALSE,"NOTE04";"N05EUR",#N/A,FALSE,"NOTE05";"N06EUR",#N/A,FALSE,"NOTE06";"N07EUR",#N/A,FALSE,"NOTE07";"N08EUR",#N/A,FALSE,"NOTE08";"N09EUR",#N/A,FALSE,"NOTE09";"N10EUR",#N/A,FALSE,"NOTE10";"N11EUR",#N/A,FALSE,"NOTE11";"N12EUR",#N/A,FALSE,"NOTE12";"N13EUR",#N/A,FALSE,"NOTE13";"N14EUR",#N/A,FALSE,"NOTE14";"N15EUR",#N/A,FALSE,"NOTE15";"N16EUR",#N/A,FALSE,"NOTE16";"N18EUR",#N/A,FALSE,"NOTE18";"N19EUR",#N/A,FALSE,"NOTE19";"N20EUR",#N/A,FALSE,"NOTE20";"N21EUR",#N/A,FALSE,"NOTE21";"N22EUR",#N/A,FALSE,"NOTE22";"N23EUR",#N/A,FALSE,"NOTE23";"N24EUR",#N/A,FALSE,"NOTE24";"N25EUR",#N/A,FALSE,"NOTE25";"N26EUR",#N/A,FALSE,"NOTE26";"N27EUR",#N/A,FALSE,"NOTE27";"N28EUR",#N/A,FALSE,"NOTE28";"N29EUR",#N/A,FALSE,"NOTE29";"N30EUR",#N/A,FALSE,"NOTE30";"N31EUR",#N/A,FALSE,"NOTE31";"N32EUR",#N/A,FALSE,"NOTE32";"N33EUR",#N/A,FALSE,"NOTE33";"BILSOCEUR",#N/A,FALSE,"bilan soc";"RESSOCEUR",#N/A,FALSE,"PL soc";"cinqexEUR",#N/A,FALSE,"5ex"}</definedName>
    <definedName name="wrn.etatfifrfeur._2_1" localSheetId="10" hidden="1">{#N/A,"francaiseur",FALSE,"UNITE";"ACTEUR",#N/A,FALSE,"ACTIF";"PASEUR",#N/A,FALSE,"PASSIF";"RESEUR",#N/A,FALSE,"RESULTATS";"FPEUR",#N/A,FALSE,"FP";"N03EUR",#N/A,FALSE,"NOTE03";"N04EUR",#N/A,FALSE,"NOTE04";"N05EUR",#N/A,FALSE,"NOTE05";"N06EUR",#N/A,FALSE,"NOTE06";"N07EUR",#N/A,FALSE,"NOTE07";"N08EUR",#N/A,FALSE,"NOTE08";"N09EUR",#N/A,FALSE,"NOTE09";"N10EUR",#N/A,FALSE,"NOTE10";"N11EUR",#N/A,FALSE,"NOTE11";"N12EUR",#N/A,FALSE,"NOTE12";"N13EUR",#N/A,FALSE,"NOTE13";"N14EUR",#N/A,FALSE,"NOTE14";"N15EUR",#N/A,FALSE,"NOTE15";"N16EUR",#N/A,FALSE,"NOTE16";"N18EUR",#N/A,FALSE,"NOTE18";"N19EUR",#N/A,FALSE,"NOTE19";"N20EUR",#N/A,FALSE,"NOTE20";"N21EUR",#N/A,FALSE,"NOTE21";"N22EUR",#N/A,FALSE,"NOTE22";"N23EUR",#N/A,FALSE,"NOTE23";"N24EUR",#N/A,FALSE,"NOTE24";"N25EUR",#N/A,FALSE,"NOTE25";"N26EUR",#N/A,FALSE,"NOTE26";"N27EUR",#N/A,FALSE,"NOTE27";"N28EUR",#N/A,FALSE,"NOTE28";"N29EUR",#N/A,FALSE,"NOTE29";"N30EUR",#N/A,FALSE,"NOTE30";"N31EUR",#N/A,FALSE,"NOTE31";"N32EUR",#N/A,FALSE,"NOTE32";"N33EUR",#N/A,FALSE,"NOTE33";"BILSOCEUR",#N/A,FALSE,"bilan soc";"RESSOCEUR",#N/A,FALSE,"PL soc";"cinqexEUR",#N/A,FALSE,"5ex"}</definedName>
    <definedName name="wrn.etatfifrfeur._2_1" hidden="1">{#N/A,"francaiseur",FALSE,"UNITE";"ACTEUR",#N/A,FALSE,"ACTIF";"PASEUR",#N/A,FALSE,"PASSIF";"RESEUR",#N/A,FALSE,"RESULTATS";"FPEUR",#N/A,FALSE,"FP";"N03EUR",#N/A,FALSE,"NOTE03";"N04EUR",#N/A,FALSE,"NOTE04";"N05EUR",#N/A,FALSE,"NOTE05";"N06EUR",#N/A,FALSE,"NOTE06";"N07EUR",#N/A,FALSE,"NOTE07";"N08EUR",#N/A,FALSE,"NOTE08";"N09EUR",#N/A,FALSE,"NOTE09";"N10EUR",#N/A,FALSE,"NOTE10";"N11EUR",#N/A,FALSE,"NOTE11";"N12EUR",#N/A,FALSE,"NOTE12";"N13EUR",#N/A,FALSE,"NOTE13";"N14EUR",#N/A,FALSE,"NOTE14";"N15EUR",#N/A,FALSE,"NOTE15";"N16EUR",#N/A,FALSE,"NOTE16";"N18EUR",#N/A,FALSE,"NOTE18";"N19EUR",#N/A,FALSE,"NOTE19";"N20EUR",#N/A,FALSE,"NOTE20";"N21EUR",#N/A,FALSE,"NOTE21";"N22EUR",#N/A,FALSE,"NOTE22";"N23EUR",#N/A,FALSE,"NOTE23";"N24EUR",#N/A,FALSE,"NOTE24";"N25EUR",#N/A,FALSE,"NOTE25";"N26EUR",#N/A,FALSE,"NOTE26";"N27EUR",#N/A,FALSE,"NOTE27";"N28EUR",#N/A,FALSE,"NOTE28";"N29EUR",#N/A,FALSE,"NOTE29";"N30EUR",#N/A,FALSE,"NOTE30";"N31EUR",#N/A,FALSE,"NOTE31";"N32EUR",#N/A,FALSE,"NOTE32";"N33EUR",#N/A,FALSE,"NOTE33";"BILSOCEUR",#N/A,FALSE,"bilan soc";"RESSOCEUR",#N/A,FALSE,"PL soc";"cinqexEUR",#N/A,FALSE,"5ex"}</definedName>
    <definedName name="wrn.etatfifrfeur._2_1_1" localSheetId="12" hidden="1">{#N/A,"francaiseur",FALSE,"UNITE";"ACTEUR",#N/A,FALSE,"ACTIF";"PASEUR",#N/A,FALSE,"PASSIF";"RESEUR",#N/A,FALSE,"RESULTATS";"FPEUR",#N/A,FALSE,"FP";"N03EUR",#N/A,FALSE,"NOTE03";"N04EUR",#N/A,FALSE,"NOTE04";"N05EUR",#N/A,FALSE,"NOTE05";"N06EUR",#N/A,FALSE,"NOTE06";"N07EUR",#N/A,FALSE,"NOTE07";"N08EUR",#N/A,FALSE,"NOTE08";"N09EUR",#N/A,FALSE,"NOTE09";"N10EUR",#N/A,FALSE,"NOTE10";"N11EUR",#N/A,FALSE,"NOTE11";"N12EUR",#N/A,FALSE,"NOTE12";"N13EUR",#N/A,FALSE,"NOTE13";"N14EUR",#N/A,FALSE,"NOTE14";"N15EUR",#N/A,FALSE,"NOTE15";"N16EUR",#N/A,FALSE,"NOTE16";"N18EUR",#N/A,FALSE,"NOTE18";"N19EUR",#N/A,FALSE,"NOTE19";"N20EUR",#N/A,FALSE,"NOTE20";"N21EUR",#N/A,FALSE,"NOTE21";"N22EUR",#N/A,FALSE,"NOTE22";"N23EUR",#N/A,FALSE,"NOTE23";"N24EUR",#N/A,FALSE,"NOTE24";"N25EUR",#N/A,FALSE,"NOTE25";"N26EUR",#N/A,FALSE,"NOTE26";"N27EUR",#N/A,FALSE,"NOTE27";"N28EUR",#N/A,FALSE,"NOTE28";"N29EUR",#N/A,FALSE,"NOTE29";"N30EUR",#N/A,FALSE,"NOTE30";"N31EUR",#N/A,FALSE,"NOTE31";"N32EUR",#N/A,FALSE,"NOTE32";"N33EUR",#N/A,FALSE,"NOTE33";"BILSOCEUR",#N/A,FALSE,"bilan soc";"RESSOCEUR",#N/A,FALSE,"PL soc";"cinqexEUR",#N/A,FALSE,"5ex"}</definedName>
    <definedName name="wrn.etatfifrfeur._2_1_1" hidden="1">{#N/A,"francaiseur",FALSE,"UNITE";"ACTEUR",#N/A,FALSE,"ACTIF";"PASEUR",#N/A,FALSE,"PASSIF";"RESEUR",#N/A,FALSE,"RESULTATS";"FPEUR",#N/A,FALSE,"FP";"N03EUR",#N/A,FALSE,"NOTE03";"N04EUR",#N/A,FALSE,"NOTE04";"N05EUR",#N/A,FALSE,"NOTE05";"N06EUR",#N/A,FALSE,"NOTE06";"N07EUR",#N/A,FALSE,"NOTE07";"N08EUR",#N/A,FALSE,"NOTE08";"N09EUR",#N/A,FALSE,"NOTE09";"N10EUR",#N/A,FALSE,"NOTE10";"N11EUR",#N/A,FALSE,"NOTE11";"N12EUR",#N/A,FALSE,"NOTE12";"N13EUR",#N/A,FALSE,"NOTE13";"N14EUR",#N/A,FALSE,"NOTE14";"N15EUR",#N/A,FALSE,"NOTE15";"N16EUR",#N/A,FALSE,"NOTE16";"N18EUR",#N/A,FALSE,"NOTE18";"N19EUR",#N/A,FALSE,"NOTE19";"N20EUR",#N/A,FALSE,"NOTE20";"N21EUR",#N/A,FALSE,"NOTE21";"N22EUR",#N/A,FALSE,"NOTE22";"N23EUR",#N/A,FALSE,"NOTE23";"N24EUR",#N/A,FALSE,"NOTE24";"N25EUR",#N/A,FALSE,"NOTE25";"N26EUR",#N/A,FALSE,"NOTE26";"N27EUR",#N/A,FALSE,"NOTE27";"N28EUR",#N/A,FALSE,"NOTE28";"N29EUR",#N/A,FALSE,"NOTE29";"N30EUR",#N/A,FALSE,"NOTE30";"N31EUR",#N/A,FALSE,"NOTE31";"N32EUR",#N/A,FALSE,"NOTE32";"N33EUR",#N/A,FALSE,"NOTE33";"BILSOCEUR",#N/A,FALSE,"bilan soc";"RESSOCEUR",#N/A,FALSE,"PL soc";"cinqexEUR",#N/A,FALSE,"5ex"}</definedName>
    <definedName name="wrn.etatfifrfeur._2_1_2" hidden="1">{#N/A,"francaiseur",FALSE,"UNITE";"ACTEUR",#N/A,FALSE,"ACTIF";"PASEUR",#N/A,FALSE,"PASSIF";"RESEUR",#N/A,FALSE,"RESULTATS";"FPEUR",#N/A,FALSE,"FP";"N03EUR",#N/A,FALSE,"NOTE03";"N04EUR",#N/A,FALSE,"NOTE04";"N05EUR",#N/A,FALSE,"NOTE05";"N06EUR",#N/A,FALSE,"NOTE06";"N07EUR",#N/A,FALSE,"NOTE07";"N08EUR",#N/A,FALSE,"NOTE08";"N09EUR",#N/A,FALSE,"NOTE09";"N10EUR",#N/A,FALSE,"NOTE10";"N11EUR",#N/A,FALSE,"NOTE11";"N12EUR",#N/A,FALSE,"NOTE12";"N13EUR",#N/A,FALSE,"NOTE13";"N14EUR",#N/A,FALSE,"NOTE14";"N15EUR",#N/A,FALSE,"NOTE15";"N16EUR",#N/A,FALSE,"NOTE16";"N18EUR",#N/A,FALSE,"NOTE18";"N19EUR",#N/A,FALSE,"NOTE19";"N20EUR",#N/A,FALSE,"NOTE20";"N21EUR",#N/A,FALSE,"NOTE21";"N22EUR",#N/A,FALSE,"NOTE22";"N23EUR",#N/A,FALSE,"NOTE23";"N24EUR",#N/A,FALSE,"NOTE24";"N25EUR",#N/A,FALSE,"NOTE25";"N26EUR",#N/A,FALSE,"NOTE26";"N27EUR",#N/A,FALSE,"NOTE27";"N28EUR",#N/A,FALSE,"NOTE28";"N29EUR",#N/A,FALSE,"NOTE29";"N30EUR",#N/A,FALSE,"NOTE30";"N31EUR",#N/A,FALSE,"NOTE31";"N32EUR",#N/A,FALSE,"NOTE32";"N33EUR",#N/A,FALSE,"NOTE33";"BILSOCEUR",#N/A,FALSE,"bilan soc";"RESSOCEUR",#N/A,FALSE,"PL soc";"cinqexEUR",#N/A,FALSE,"5ex"}</definedName>
    <definedName name="wrn.etatfifrfeur._2_2" localSheetId="12" hidden="1">{#N/A,"francaiseur",FALSE,"UNITE";"ACTEUR",#N/A,FALSE,"ACTIF";"PASEUR",#N/A,FALSE,"PASSIF";"RESEUR",#N/A,FALSE,"RESULTATS";"FPEUR",#N/A,FALSE,"FP";"N03EUR",#N/A,FALSE,"NOTE03";"N04EUR",#N/A,FALSE,"NOTE04";"N05EUR",#N/A,FALSE,"NOTE05";"N06EUR",#N/A,FALSE,"NOTE06";"N07EUR",#N/A,FALSE,"NOTE07";"N08EUR",#N/A,FALSE,"NOTE08";"N09EUR",#N/A,FALSE,"NOTE09";"N10EUR",#N/A,FALSE,"NOTE10";"N11EUR",#N/A,FALSE,"NOTE11";"N12EUR",#N/A,FALSE,"NOTE12";"N13EUR",#N/A,FALSE,"NOTE13";"N14EUR",#N/A,FALSE,"NOTE14";"N15EUR",#N/A,FALSE,"NOTE15";"N16EUR",#N/A,FALSE,"NOTE16";"N18EUR",#N/A,FALSE,"NOTE18";"N19EUR",#N/A,FALSE,"NOTE19";"N20EUR",#N/A,FALSE,"NOTE20";"N21EUR",#N/A,FALSE,"NOTE21";"N22EUR",#N/A,FALSE,"NOTE22";"N23EUR",#N/A,FALSE,"NOTE23";"N24EUR",#N/A,FALSE,"NOTE24";"N25EUR",#N/A,FALSE,"NOTE25";"N26EUR",#N/A,FALSE,"NOTE26";"N27EUR",#N/A,FALSE,"NOTE27";"N28EUR",#N/A,FALSE,"NOTE28";"N29EUR",#N/A,FALSE,"NOTE29";"N30EUR",#N/A,FALSE,"NOTE30";"N31EUR",#N/A,FALSE,"NOTE31";"N32EUR",#N/A,FALSE,"NOTE32";"N33EUR",#N/A,FALSE,"NOTE33";"BILSOCEUR",#N/A,FALSE,"bilan soc";"RESSOCEUR",#N/A,FALSE,"PL soc";"cinqexEUR",#N/A,FALSE,"5ex"}</definedName>
    <definedName name="wrn.etatfifrfeur._2_2" hidden="1">{#N/A,"francaiseur",FALSE,"UNITE";"ACTEUR",#N/A,FALSE,"ACTIF";"PASEUR",#N/A,FALSE,"PASSIF";"RESEUR",#N/A,FALSE,"RESULTATS";"FPEUR",#N/A,FALSE,"FP";"N03EUR",#N/A,FALSE,"NOTE03";"N04EUR",#N/A,FALSE,"NOTE04";"N05EUR",#N/A,FALSE,"NOTE05";"N06EUR",#N/A,FALSE,"NOTE06";"N07EUR",#N/A,FALSE,"NOTE07";"N08EUR",#N/A,FALSE,"NOTE08";"N09EUR",#N/A,FALSE,"NOTE09";"N10EUR",#N/A,FALSE,"NOTE10";"N11EUR",#N/A,FALSE,"NOTE11";"N12EUR",#N/A,FALSE,"NOTE12";"N13EUR",#N/A,FALSE,"NOTE13";"N14EUR",#N/A,FALSE,"NOTE14";"N15EUR",#N/A,FALSE,"NOTE15";"N16EUR",#N/A,FALSE,"NOTE16";"N18EUR",#N/A,FALSE,"NOTE18";"N19EUR",#N/A,FALSE,"NOTE19";"N20EUR",#N/A,FALSE,"NOTE20";"N21EUR",#N/A,FALSE,"NOTE21";"N22EUR",#N/A,FALSE,"NOTE22";"N23EUR",#N/A,FALSE,"NOTE23";"N24EUR",#N/A,FALSE,"NOTE24";"N25EUR",#N/A,FALSE,"NOTE25";"N26EUR",#N/A,FALSE,"NOTE26";"N27EUR",#N/A,FALSE,"NOTE27";"N28EUR",#N/A,FALSE,"NOTE28";"N29EUR",#N/A,FALSE,"NOTE29";"N30EUR",#N/A,FALSE,"NOTE30";"N31EUR",#N/A,FALSE,"NOTE31";"N32EUR",#N/A,FALSE,"NOTE32";"N33EUR",#N/A,FALSE,"NOTE33";"BILSOCEUR",#N/A,FALSE,"bilan soc";"RESSOCEUR",#N/A,FALSE,"PL soc";"cinqexEUR",#N/A,FALSE,"5ex"}</definedName>
    <definedName name="wrn.etatfifrfeur._2_3" localSheetId="12" hidden="1">{#N/A,"francaiseur",FALSE,"UNITE";"ACTEUR",#N/A,FALSE,"ACTIF";"PASEUR",#N/A,FALSE,"PASSIF";"RESEUR",#N/A,FALSE,"RESULTATS";"FPEUR",#N/A,FALSE,"FP";"N03EUR",#N/A,FALSE,"NOTE03";"N04EUR",#N/A,FALSE,"NOTE04";"N05EUR",#N/A,FALSE,"NOTE05";"N06EUR",#N/A,FALSE,"NOTE06";"N07EUR",#N/A,FALSE,"NOTE07";"N08EUR",#N/A,FALSE,"NOTE08";"N09EUR",#N/A,FALSE,"NOTE09";"N10EUR",#N/A,FALSE,"NOTE10";"N11EUR",#N/A,FALSE,"NOTE11";"N12EUR",#N/A,FALSE,"NOTE12";"N13EUR",#N/A,FALSE,"NOTE13";"N14EUR",#N/A,FALSE,"NOTE14";"N15EUR",#N/A,FALSE,"NOTE15";"N16EUR",#N/A,FALSE,"NOTE16";"N18EUR",#N/A,FALSE,"NOTE18";"N19EUR",#N/A,FALSE,"NOTE19";"N20EUR",#N/A,FALSE,"NOTE20";"N21EUR",#N/A,FALSE,"NOTE21";"N22EUR",#N/A,FALSE,"NOTE22";"N23EUR",#N/A,FALSE,"NOTE23";"N24EUR",#N/A,FALSE,"NOTE24";"N25EUR",#N/A,FALSE,"NOTE25";"N26EUR",#N/A,FALSE,"NOTE26";"N27EUR",#N/A,FALSE,"NOTE27";"N28EUR",#N/A,FALSE,"NOTE28";"N29EUR",#N/A,FALSE,"NOTE29";"N30EUR",#N/A,FALSE,"NOTE30";"N31EUR",#N/A,FALSE,"NOTE31";"N32EUR",#N/A,FALSE,"NOTE32";"N33EUR",#N/A,FALSE,"NOTE33";"BILSOCEUR",#N/A,FALSE,"bilan soc";"RESSOCEUR",#N/A,FALSE,"PL soc";"cinqexEUR",#N/A,FALSE,"5ex"}</definedName>
    <definedName name="wrn.etatfifrfeur._2_3" hidden="1">{#N/A,"francaiseur",FALSE,"UNITE";"ACTEUR",#N/A,FALSE,"ACTIF";"PASEUR",#N/A,FALSE,"PASSIF";"RESEUR",#N/A,FALSE,"RESULTATS";"FPEUR",#N/A,FALSE,"FP";"N03EUR",#N/A,FALSE,"NOTE03";"N04EUR",#N/A,FALSE,"NOTE04";"N05EUR",#N/A,FALSE,"NOTE05";"N06EUR",#N/A,FALSE,"NOTE06";"N07EUR",#N/A,FALSE,"NOTE07";"N08EUR",#N/A,FALSE,"NOTE08";"N09EUR",#N/A,FALSE,"NOTE09";"N10EUR",#N/A,FALSE,"NOTE10";"N11EUR",#N/A,FALSE,"NOTE11";"N12EUR",#N/A,FALSE,"NOTE12";"N13EUR",#N/A,FALSE,"NOTE13";"N14EUR",#N/A,FALSE,"NOTE14";"N15EUR",#N/A,FALSE,"NOTE15";"N16EUR",#N/A,FALSE,"NOTE16";"N18EUR",#N/A,FALSE,"NOTE18";"N19EUR",#N/A,FALSE,"NOTE19";"N20EUR",#N/A,FALSE,"NOTE20";"N21EUR",#N/A,FALSE,"NOTE21";"N22EUR",#N/A,FALSE,"NOTE22";"N23EUR",#N/A,FALSE,"NOTE23";"N24EUR",#N/A,FALSE,"NOTE24";"N25EUR",#N/A,FALSE,"NOTE25";"N26EUR",#N/A,FALSE,"NOTE26";"N27EUR",#N/A,FALSE,"NOTE27";"N28EUR",#N/A,FALSE,"NOTE28";"N29EUR",#N/A,FALSE,"NOTE29";"N30EUR",#N/A,FALSE,"NOTE30";"N31EUR",#N/A,FALSE,"NOTE31";"N32EUR",#N/A,FALSE,"NOTE32";"N33EUR",#N/A,FALSE,"NOTE33";"BILSOCEUR",#N/A,FALSE,"bilan soc";"RESSOCEUR",#N/A,FALSE,"PL soc";"cinqexEUR",#N/A,FALSE,"5ex"}</definedName>
    <definedName name="wrn.etatfifrfeur._3" localSheetId="9" hidden="1">{#N/A,"francaiseur",FALSE,"UNITE";"ACTEUR",#N/A,FALSE,"ACTIF";"PASEUR",#N/A,FALSE,"PASSIF";"RESEUR",#N/A,FALSE,"RESULTATS";"FPEUR",#N/A,FALSE,"FP";"N03EUR",#N/A,FALSE,"NOTE03";"N04EUR",#N/A,FALSE,"NOTE04";"N05EUR",#N/A,FALSE,"NOTE05";"N06EUR",#N/A,FALSE,"NOTE06";"N07EUR",#N/A,FALSE,"NOTE07";"N08EUR",#N/A,FALSE,"NOTE08";"N09EUR",#N/A,FALSE,"NOTE09";"N10EUR",#N/A,FALSE,"NOTE10";"N11EUR",#N/A,FALSE,"NOTE11";"N12EUR",#N/A,FALSE,"NOTE12";"N13EUR",#N/A,FALSE,"NOTE13";"N14EUR",#N/A,FALSE,"NOTE14";"N15EUR",#N/A,FALSE,"NOTE15";"N16EUR",#N/A,FALSE,"NOTE16";"N18EUR",#N/A,FALSE,"NOTE18";"N19EUR",#N/A,FALSE,"NOTE19";"N20EUR",#N/A,FALSE,"NOTE20";"N21EUR",#N/A,FALSE,"NOTE21";"N22EUR",#N/A,FALSE,"NOTE22";"N23EUR",#N/A,FALSE,"NOTE23";"N24EUR",#N/A,FALSE,"NOTE24";"N25EUR",#N/A,FALSE,"NOTE25";"N26EUR",#N/A,FALSE,"NOTE26";"N27EUR",#N/A,FALSE,"NOTE27";"N28EUR",#N/A,FALSE,"NOTE28";"N29EUR",#N/A,FALSE,"NOTE29";"N30EUR",#N/A,FALSE,"NOTE30";"N31EUR",#N/A,FALSE,"NOTE31";"N32EUR",#N/A,FALSE,"NOTE32";"N33EUR",#N/A,FALSE,"NOTE33";"BILSOCEUR",#N/A,FALSE,"bilan soc";"RESSOCEUR",#N/A,FALSE,"PL soc";"cinqexEUR",#N/A,FALSE,"5ex"}</definedName>
    <definedName name="wrn.etatfifrfeur._3" localSheetId="12" hidden="1">{#N/A,"francaiseur",FALSE,"UNITE";"ACTEUR",#N/A,FALSE,"ACTIF";"PASEUR",#N/A,FALSE,"PASSIF";"RESEUR",#N/A,FALSE,"RESULTATS";"FPEUR",#N/A,FALSE,"FP";"N03EUR",#N/A,FALSE,"NOTE03";"N04EUR",#N/A,FALSE,"NOTE04";"N05EUR",#N/A,FALSE,"NOTE05";"N06EUR",#N/A,FALSE,"NOTE06";"N07EUR",#N/A,FALSE,"NOTE07";"N08EUR",#N/A,FALSE,"NOTE08";"N09EUR",#N/A,FALSE,"NOTE09";"N10EUR",#N/A,FALSE,"NOTE10";"N11EUR",#N/A,FALSE,"NOTE11";"N12EUR",#N/A,FALSE,"NOTE12";"N13EUR",#N/A,FALSE,"NOTE13";"N14EUR",#N/A,FALSE,"NOTE14";"N15EUR",#N/A,FALSE,"NOTE15";"N16EUR",#N/A,FALSE,"NOTE16";"N18EUR",#N/A,FALSE,"NOTE18";"N19EUR",#N/A,FALSE,"NOTE19";"N20EUR",#N/A,FALSE,"NOTE20";"N21EUR",#N/A,FALSE,"NOTE21";"N22EUR",#N/A,FALSE,"NOTE22";"N23EUR",#N/A,FALSE,"NOTE23";"N24EUR",#N/A,FALSE,"NOTE24";"N25EUR",#N/A,FALSE,"NOTE25";"N26EUR",#N/A,FALSE,"NOTE26";"N27EUR",#N/A,FALSE,"NOTE27";"N28EUR",#N/A,FALSE,"NOTE28";"N29EUR",#N/A,FALSE,"NOTE29";"N30EUR",#N/A,FALSE,"NOTE30";"N31EUR",#N/A,FALSE,"NOTE31";"N32EUR",#N/A,FALSE,"NOTE32";"N33EUR",#N/A,FALSE,"NOTE33";"BILSOCEUR",#N/A,FALSE,"bilan soc";"RESSOCEUR",#N/A,FALSE,"PL soc";"cinqexEUR",#N/A,FALSE,"5ex"}</definedName>
    <definedName name="wrn.etatfifrfeur._3" localSheetId="7" hidden="1">{#N/A,"francaiseur",FALSE,"UNITE";"ACTEUR",#N/A,FALSE,"ACTIF";"PASEUR",#N/A,FALSE,"PASSIF";"RESEUR",#N/A,FALSE,"RESULTATS";"FPEUR",#N/A,FALSE,"FP";"N03EUR",#N/A,FALSE,"NOTE03";"N04EUR",#N/A,FALSE,"NOTE04";"N05EUR",#N/A,FALSE,"NOTE05";"N06EUR",#N/A,FALSE,"NOTE06";"N07EUR",#N/A,FALSE,"NOTE07";"N08EUR",#N/A,FALSE,"NOTE08";"N09EUR",#N/A,FALSE,"NOTE09";"N10EUR",#N/A,FALSE,"NOTE10";"N11EUR",#N/A,FALSE,"NOTE11";"N12EUR",#N/A,FALSE,"NOTE12";"N13EUR",#N/A,FALSE,"NOTE13";"N14EUR",#N/A,FALSE,"NOTE14";"N15EUR",#N/A,FALSE,"NOTE15";"N16EUR",#N/A,FALSE,"NOTE16";"N18EUR",#N/A,FALSE,"NOTE18";"N19EUR",#N/A,FALSE,"NOTE19";"N20EUR",#N/A,FALSE,"NOTE20";"N21EUR",#N/A,FALSE,"NOTE21";"N22EUR",#N/A,FALSE,"NOTE22";"N23EUR",#N/A,FALSE,"NOTE23";"N24EUR",#N/A,FALSE,"NOTE24";"N25EUR",#N/A,FALSE,"NOTE25";"N26EUR",#N/A,FALSE,"NOTE26";"N27EUR",#N/A,FALSE,"NOTE27";"N28EUR",#N/A,FALSE,"NOTE28";"N29EUR",#N/A,FALSE,"NOTE29";"N30EUR",#N/A,FALSE,"NOTE30";"N31EUR",#N/A,FALSE,"NOTE31";"N32EUR",#N/A,FALSE,"NOTE32";"N33EUR",#N/A,FALSE,"NOTE33";"BILSOCEUR",#N/A,FALSE,"bilan soc";"RESSOCEUR",#N/A,FALSE,"PL soc";"cinqexEUR",#N/A,FALSE,"5ex"}</definedName>
    <definedName name="wrn.etatfifrfeur._3" localSheetId="8" hidden="1">{#N/A,"francaiseur",FALSE,"UNITE";"ACTEUR",#N/A,FALSE,"ACTIF";"PASEUR",#N/A,FALSE,"PASSIF";"RESEUR",#N/A,FALSE,"RESULTATS";"FPEUR",#N/A,FALSE,"FP";"N03EUR",#N/A,FALSE,"NOTE03";"N04EUR",#N/A,FALSE,"NOTE04";"N05EUR",#N/A,FALSE,"NOTE05";"N06EUR",#N/A,FALSE,"NOTE06";"N07EUR",#N/A,FALSE,"NOTE07";"N08EUR",#N/A,FALSE,"NOTE08";"N09EUR",#N/A,FALSE,"NOTE09";"N10EUR",#N/A,FALSE,"NOTE10";"N11EUR",#N/A,FALSE,"NOTE11";"N12EUR",#N/A,FALSE,"NOTE12";"N13EUR",#N/A,FALSE,"NOTE13";"N14EUR",#N/A,FALSE,"NOTE14";"N15EUR",#N/A,FALSE,"NOTE15";"N16EUR",#N/A,FALSE,"NOTE16";"N18EUR",#N/A,FALSE,"NOTE18";"N19EUR",#N/A,FALSE,"NOTE19";"N20EUR",#N/A,FALSE,"NOTE20";"N21EUR",#N/A,FALSE,"NOTE21";"N22EUR",#N/A,FALSE,"NOTE22";"N23EUR",#N/A,FALSE,"NOTE23";"N24EUR",#N/A,FALSE,"NOTE24";"N25EUR",#N/A,FALSE,"NOTE25";"N26EUR",#N/A,FALSE,"NOTE26";"N27EUR",#N/A,FALSE,"NOTE27";"N28EUR",#N/A,FALSE,"NOTE28";"N29EUR",#N/A,FALSE,"NOTE29";"N30EUR",#N/A,FALSE,"NOTE30";"N31EUR",#N/A,FALSE,"NOTE31";"N32EUR",#N/A,FALSE,"NOTE32";"N33EUR",#N/A,FALSE,"NOTE33";"BILSOCEUR",#N/A,FALSE,"bilan soc";"RESSOCEUR",#N/A,FALSE,"PL soc";"cinqexEUR",#N/A,FALSE,"5ex"}</definedName>
    <definedName name="wrn.etatfifrfeur._3" localSheetId="10" hidden="1">{#N/A,"francaiseur",FALSE,"UNITE";"ACTEUR",#N/A,FALSE,"ACTIF";"PASEUR",#N/A,FALSE,"PASSIF";"RESEUR",#N/A,FALSE,"RESULTATS";"FPEUR",#N/A,FALSE,"FP";"N03EUR",#N/A,FALSE,"NOTE03";"N04EUR",#N/A,FALSE,"NOTE04";"N05EUR",#N/A,FALSE,"NOTE05";"N06EUR",#N/A,FALSE,"NOTE06";"N07EUR",#N/A,FALSE,"NOTE07";"N08EUR",#N/A,FALSE,"NOTE08";"N09EUR",#N/A,FALSE,"NOTE09";"N10EUR",#N/A,FALSE,"NOTE10";"N11EUR",#N/A,FALSE,"NOTE11";"N12EUR",#N/A,FALSE,"NOTE12";"N13EUR",#N/A,FALSE,"NOTE13";"N14EUR",#N/A,FALSE,"NOTE14";"N15EUR",#N/A,FALSE,"NOTE15";"N16EUR",#N/A,FALSE,"NOTE16";"N18EUR",#N/A,FALSE,"NOTE18";"N19EUR",#N/A,FALSE,"NOTE19";"N20EUR",#N/A,FALSE,"NOTE20";"N21EUR",#N/A,FALSE,"NOTE21";"N22EUR",#N/A,FALSE,"NOTE22";"N23EUR",#N/A,FALSE,"NOTE23";"N24EUR",#N/A,FALSE,"NOTE24";"N25EUR",#N/A,FALSE,"NOTE25";"N26EUR",#N/A,FALSE,"NOTE26";"N27EUR",#N/A,FALSE,"NOTE27";"N28EUR",#N/A,FALSE,"NOTE28";"N29EUR",#N/A,FALSE,"NOTE29";"N30EUR",#N/A,FALSE,"NOTE30";"N31EUR",#N/A,FALSE,"NOTE31";"N32EUR",#N/A,FALSE,"NOTE32";"N33EUR",#N/A,FALSE,"NOTE33";"BILSOCEUR",#N/A,FALSE,"bilan soc";"RESSOCEUR",#N/A,FALSE,"PL soc";"cinqexEUR",#N/A,FALSE,"5ex"}</definedName>
    <definedName name="wrn.etatfifrfeur._3" hidden="1">{#N/A,"francaiseur",FALSE,"UNITE";"ACTEUR",#N/A,FALSE,"ACTIF";"PASEUR",#N/A,FALSE,"PASSIF";"RESEUR",#N/A,FALSE,"RESULTATS";"FPEUR",#N/A,FALSE,"FP";"N03EUR",#N/A,FALSE,"NOTE03";"N04EUR",#N/A,FALSE,"NOTE04";"N05EUR",#N/A,FALSE,"NOTE05";"N06EUR",#N/A,FALSE,"NOTE06";"N07EUR",#N/A,FALSE,"NOTE07";"N08EUR",#N/A,FALSE,"NOTE08";"N09EUR",#N/A,FALSE,"NOTE09";"N10EUR",#N/A,FALSE,"NOTE10";"N11EUR",#N/A,FALSE,"NOTE11";"N12EUR",#N/A,FALSE,"NOTE12";"N13EUR",#N/A,FALSE,"NOTE13";"N14EUR",#N/A,FALSE,"NOTE14";"N15EUR",#N/A,FALSE,"NOTE15";"N16EUR",#N/A,FALSE,"NOTE16";"N18EUR",#N/A,FALSE,"NOTE18";"N19EUR",#N/A,FALSE,"NOTE19";"N20EUR",#N/A,FALSE,"NOTE20";"N21EUR",#N/A,FALSE,"NOTE21";"N22EUR",#N/A,FALSE,"NOTE22";"N23EUR",#N/A,FALSE,"NOTE23";"N24EUR",#N/A,FALSE,"NOTE24";"N25EUR",#N/A,FALSE,"NOTE25";"N26EUR",#N/A,FALSE,"NOTE26";"N27EUR",#N/A,FALSE,"NOTE27";"N28EUR",#N/A,FALSE,"NOTE28";"N29EUR",#N/A,FALSE,"NOTE29";"N30EUR",#N/A,FALSE,"NOTE30";"N31EUR",#N/A,FALSE,"NOTE31";"N32EUR",#N/A,FALSE,"NOTE32";"N33EUR",#N/A,FALSE,"NOTE33";"BILSOCEUR",#N/A,FALSE,"bilan soc";"RESSOCEUR",#N/A,FALSE,"PL soc";"cinqexEUR",#N/A,FALSE,"5ex"}</definedName>
    <definedName name="wrn.etatfifrfeur._3_1" localSheetId="9" hidden="1">{#N/A,"francaiseur",FALSE,"UNITE";"ACTEUR",#N/A,FALSE,"ACTIF";"PASEUR",#N/A,FALSE,"PASSIF";"RESEUR",#N/A,FALSE,"RESULTATS";"FPEUR",#N/A,FALSE,"FP";"N03EUR",#N/A,FALSE,"NOTE03";"N04EUR",#N/A,FALSE,"NOTE04";"N05EUR",#N/A,FALSE,"NOTE05";"N06EUR",#N/A,FALSE,"NOTE06";"N07EUR",#N/A,FALSE,"NOTE07";"N08EUR",#N/A,FALSE,"NOTE08";"N09EUR",#N/A,FALSE,"NOTE09";"N10EUR",#N/A,FALSE,"NOTE10";"N11EUR",#N/A,FALSE,"NOTE11";"N12EUR",#N/A,FALSE,"NOTE12";"N13EUR",#N/A,FALSE,"NOTE13";"N14EUR",#N/A,FALSE,"NOTE14";"N15EUR",#N/A,FALSE,"NOTE15";"N16EUR",#N/A,FALSE,"NOTE16";"N18EUR",#N/A,FALSE,"NOTE18";"N19EUR",#N/A,FALSE,"NOTE19";"N20EUR",#N/A,FALSE,"NOTE20";"N21EUR",#N/A,FALSE,"NOTE21";"N22EUR",#N/A,FALSE,"NOTE22";"N23EUR",#N/A,FALSE,"NOTE23";"N24EUR",#N/A,FALSE,"NOTE24";"N25EUR",#N/A,FALSE,"NOTE25";"N26EUR",#N/A,FALSE,"NOTE26";"N27EUR",#N/A,FALSE,"NOTE27";"N28EUR",#N/A,FALSE,"NOTE28";"N29EUR",#N/A,FALSE,"NOTE29";"N30EUR",#N/A,FALSE,"NOTE30";"N31EUR",#N/A,FALSE,"NOTE31";"N32EUR",#N/A,FALSE,"NOTE32";"N33EUR",#N/A,FALSE,"NOTE33";"BILSOCEUR",#N/A,FALSE,"bilan soc";"RESSOCEUR",#N/A,FALSE,"PL soc";"cinqexEUR",#N/A,FALSE,"5ex"}</definedName>
    <definedName name="wrn.etatfifrfeur._3_1" localSheetId="12" hidden="1">{#N/A,"francaiseur",FALSE,"UNITE";"ACTEUR",#N/A,FALSE,"ACTIF";"PASEUR",#N/A,FALSE,"PASSIF";"RESEUR",#N/A,FALSE,"RESULTATS";"FPEUR",#N/A,FALSE,"FP";"N03EUR",#N/A,FALSE,"NOTE03";"N04EUR",#N/A,FALSE,"NOTE04";"N05EUR",#N/A,FALSE,"NOTE05";"N06EUR",#N/A,FALSE,"NOTE06";"N07EUR",#N/A,FALSE,"NOTE07";"N08EUR",#N/A,FALSE,"NOTE08";"N09EUR",#N/A,FALSE,"NOTE09";"N10EUR",#N/A,FALSE,"NOTE10";"N11EUR",#N/A,FALSE,"NOTE11";"N12EUR",#N/A,FALSE,"NOTE12";"N13EUR",#N/A,FALSE,"NOTE13";"N14EUR",#N/A,FALSE,"NOTE14";"N15EUR",#N/A,FALSE,"NOTE15";"N16EUR",#N/A,FALSE,"NOTE16";"N18EUR",#N/A,FALSE,"NOTE18";"N19EUR",#N/A,FALSE,"NOTE19";"N20EUR",#N/A,FALSE,"NOTE20";"N21EUR",#N/A,FALSE,"NOTE21";"N22EUR",#N/A,FALSE,"NOTE22";"N23EUR",#N/A,FALSE,"NOTE23";"N24EUR",#N/A,FALSE,"NOTE24";"N25EUR",#N/A,FALSE,"NOTE25";"N26EUR",#N/A,FALSE,"NOTE26";"N27EUR",#N/A,FALSE,"NOTE27";"N28EUR",#N/A,FALSE,"NOTE28";"N29EUR",#N/A,FALSE,"NOTE29";"N30EUR",#N/A,FALSE,"NOTE30";"N31EUR",#N/A,FALSE,"NOTE31";"N32EUR",#N/A,FALSE,"NOTE32";"N33EUR",#N/A,FALSE,"NOTE33";"BILSOCEUR",#N/A,FALSE,"bilan soc";"RESSOCEUR",#N/A,FALSE,"PL soc";"cinqexEUR",#N/A,FALSE,"5ex"}</definedName>
    <definedName name="wrn.etatfifrfeur._3_1" localSheetId="7" hidden="1">{#N/A,"francaiseur",FALSE,"UNITE";"ACTEUR",#N/A,FALSE,"ACTIF";"PASEUR",#N/A,FALSE,"PASSIF";"RESEUR",#N/A,FALSE,"RESULTATS";"FPEUR",#N/A,FALSE,"FP";"N03EUR",#N/A,FALSE,"NOTE03";"N04EUR",#N/A,FALSE,"NOTE04";"N05EUR",#N/A,FALSE,"NOTE05";"N06EUR",#N/A,FALSE,"NOTE06";"N07EUR",#N/A,FALSE,"NOTE07";"N08EUR",#N/A,FALSE,"NOTE08";"N09EUR",#N/A,FALSE,"NOTE09";"N10EUR",#N/A,FALSE,"NOTE10";"N11EUR",#N/A,FALSE,"NOTE11";"N12EUR",#N/A,FALSE,"NOTE12";"N13EUR",#N/A,FALSE,"NOTE13";"N14EUR",#N/A,FALSE,"NOTE14";"N15EUR",#N/A,FALSE,"NOTE15";"N16EUR",#N/A,FALSE,"NOTE16";"N18EUR",#N/A,FALSE,"NOTE18";"N19EUR",#N/A,FALSE,"NOTE19";"N20EUR",#N/A,FALSE,"NOTE20";"N21EUR",#N/A,FALSE,"NOTE21";"N22EUR",#N/A,FALSE,"NOTE22";"N23EUR",#N/A,FALSE,"NOTE23";"N24EUR",#N/A,FALSE,"NOTE24";"N25EUR",#N/A,FALSE,"NOTE25";"N26EUR",#N/A,FALSE,"NOTE26";"N27EUR",#N/A,FALSE,"NOTE27";"N28EUR",#N/A,FALSE,"NOTE28";"N29EUR",#N/A,FALSE,"NOTE29";"N30EUR",#N/A,FALSE,"NOTE30";"N31EUR",#N/A,FALSE,"NOTE31";"N32EUR",#N/A,FALSE,"NOTE32";"N33EUR",#N/A,FALSE,"NOTE33";"BILSOCEUR",#N/A,FALSE,"bilan soc";"RESSOCEUR",#N/A,FALSE,"PL soc";"cinqexEUR",#N/A,FALSE,"5ex"}</definedName>
    <definedName name="wrn.etatfifrfeur._3_1" localSheetId="8" hidden="1">{#N/A,"francaiseur",FALSE,"UNITE";"ACTEUR",#N/A,FALSE,"ACTIF";"PASEUR",#N/A,FALSE,"PASSIF";"RESEUR",#N/A,FALSE,"RESULTATS";"FPEUR",#N/A,FALSE,"FP";"N03EUR",#N/A,FALSE,"NOTE03";"N04EUR",#N/A,FALSE,"NOTE04";"N05EUR",#N/A,FALSE,"NOTE05";"N06EUR",#N/A,FALSE,"NOTE06";"N07EUR",#N/A,FALSE,"NOTE07";"N08EUR",#N/A,FALSE,"NOTE08";"N09EUR",#N/A,FALSE,"NOTE09";"N10EUR",#N/A,FALSE,"NOTE10";"N11EUR",#N/A,FALSE,"NOTE11";"N12EUR",#N/A,FALSE,"NOTE12";"N13EUR",#N/A,FALSE,"NOTE13";"N14EUR",#N/A,FALSE,"NOTE14";"N15EUR",#N/A,FALSE,"NOTE15";"N16EUR",#N/A,FALSE,"NOTE16";"N18EUR",#N/A,FALSE,"NOTE18";"N19EUR",#N/A,FALSE,"NOTE19";"N20EUR",#N/A,FALSE,"NOTE20";"N21EUR",#N/A,FALSE,"NOTE21";"N22EUR",#N/A,FALSE,"NOTE22";"N23EUR",#N/A,FALSE,"NOTE23";"N24EUR",#N/A,FALSE,"NOTE24";"N25EUR",#N/A,FALSE,"NOTE25";"N26EUR",#N/A,FALSE,"NOTE26";"N27EUR",#N/A,FALSE,"NOTE27";"N28EUR",#N/A,FALSE,"NOTE28";"N29EUR",#N/A,FALSE,"NOTE29";"N30EUR",#N/A,FALSE,"NOTE30";"N31EUR",#N/A,FALSE,"NOTE31";"N32EUR",#N/A,FALSE,"NOTE32";"N33EUR",#N/A,FALSE,"NOTE33";"BILSOCEUR",#N/A,FALSE,"bilan soc";"RESSOCEUR",#N/A,FALSE,"PL soc";"cinqexEUR",#N/A,FALSE,"5ex"}</definedName>
    <definedName name="wrn.etatfifrfeur._3_1" localSheetId="10" hidden="1">{#N/A,"francaiseur",FALSE,"UNITE";"ACTEUR",#N/A,FALSE,"ACTIF";"PASEUR",#N/A,FALSE,"PASSIF";"RESEUR",#N/A,FALSE,"RESULTATS";"FPEUR",#N/A,FALSE,"FP";"N03EUR",#N/A,FALSE,"NOTE03";"N04EUR",#N/A,FALSE,"NOTE04";"N05EUR",#N/A,FALSE,"NOTE05";"N06EUR",#N/A,FALSE,"NOTE06";"N07EUR",#N/A,FALSE,"NOTE07";"N08EUR",#N/A,FALSE,"NOTE08";"N09EUR",#N/A,FALSE,"NOTE09";"N10EUR",#N/A,FALSE,"NOTE10";"N11EUR",#N/A,FALSE,"NOTE11";"N12EUR",#N/A,FALSE,"NOTE12";"N13EUR",#N/A,FALSE,"NOTE13";"N14EUR",#N/A,FALSE,"NOTE14";"N15EUR",#N/A,FALSE,"NOTE15";"N16EUR",#N/A,FALSE,"NOTE16";"N18EUR",#N/A,FALSE,"NOTE18";"N19EUR",#N/A,FALSE,"NOTE19";"N20EUR",#N/A,FALSE,"NOTE20";"N21EUR",#N/A,FALSE,"NOTE21";"N22EUR",#N/A,FALSE,"NOTE22";"N23EUR",#N/A,FALSE,"NOTE23";"N24EUR",#N/A,FALSE,"NOTE24";"N25EUR",#N/A,FALSE,"NOTE25";"N26EUR",#N/A,FALSE,"NOTE26";"N27EUR",#N/A,FALSE,"NOTE27";"N28EUR",#N/A,FALSE,"NOTE28";"N29EUR",#N/A,FALSE,"NOTE29";"N30EUR",#N/A,FALSE,"NOTE30";"N31EUR",#N/A,FALSE,"NOTE31";"N32EUR",#N/A,FALSE,"NOTE32";"N33EUR",#N/A,FALSE,"NOTE33";"BILSOCEUR",#N/A,FALSE,"bilan soc";"RESSOCEUR",#N/A,FALSE,"PL soc";"cinqexEUR",#N/A,FALSE,"5ex"}</definedName>
    <definedName name="wrn.etatfifrfeur._3_1" hidden="1">{#N/A,"francaiseur",FALSE,"UNITE";"ACTEUR",#N/A,FALSE,"ACTIF";"PASEUR",#N/A,FALSE,"PASSIF";"RESEUR",#N/A,FALSE,"RESULTATS";"FPEUR",#N/A,FALSE,"FP";"N03EUR",#N/A,FALSE,"NOTE03";"N04EUR",#N/A,FALSE,"NOTE04";"N05EUR",#N/A,FALSE,"NOTE05";"N06EUR",#N/A,FALSE,"NOTE06";"N07EUR",#N/A,FALSE,"NOTE07";"N08EUR",#N/A,FALSE,"NOTE08";"N09EUR",#N/A,FALSE,"NOTE09";"N10EUR",#N/A,FALSE,"NOTE10";"N11EUR",#N/A,FALSE,"NOTE11";"N12EUR",#N/A,FALSE,"NOTE12";"N13EUR",#N/A,FALSE,"NOTE13";"N14EUR",#N/A,FALSE,"NOTE14";"N15EUR",#N/A,FALSE,"NOTE15";"N16EUR",#N/A,FALSE,"NOTE16";"N18EUR",#N/A,FALSE,"NOTE18";"N19EUR",#N/A,FALSE,"NOTE19";"N20EUR",#N/A,FALSE,"NOTE20";"N21EUR",#N/A,FALSE,"NOTE21";"N22EUR",#N/A,FALSE,"NOTE22";"N23EUR",#N/A,FALSE,"NOTE23";"N24EUR",#N/A,FALSE,"NOTE24";"N25EUR",#N/A,FALSE,"NOTE25";"N26EUR",#N/A,FALSE,"NOTE26";"N27EUR",#N/A,FALSE,"NOTE27";"N28EUR",#N/A,FALSE,"NOTE28";"N29EUR",#N/A,FALSE,"NOTE29";"N30EUR",#N/A,FALSE,"NOTE30";"N31EUR",#N/A,FALSE,"NOTE31";"N32EUR",#N/A,FALSE,"NOTE32";"N33EUR",#N/A,FALSE,"NOTE33";"BILSOCEUR",#N/A,FALSE,"bilan soc";"RESSOCEUR",#N/A,FALSE,"PL soc";"cinqexEUR",#N/A,FALSE,"5ex"}</definedName>
    <definedName name="wrn.etatfifrfeur._3_1_1" localSheetId="12" hidden="1">{#N/A,"francaiseur",FALSE,"UNITE";"ACTEUR",#N/A,FALSE,"ACTIF";"PASEUR",#N/A,FALSE,"PASSIF";"RESEUR",#N/A,FALSE,"RESULTATS";"FPEUR",#N/A,FALSE,"FP";"N03EUR",#N/A,FALSE,"NOTE03";"N04EUR",#N/A,FALSE,"NOTE04";"N05EUR",#N/A,FALSE,"NOTE05";"N06EUR",#N/A,FALSE,"NOTE06";"N07EUR",#N/A,FALSE,"NOTE07";"N08EUR",#N/A,FALSE,"NOTE08";"N09EUR",#N/A,FALSE,"NOTE09";"N10EUR",#N/A,FALSE,"NOTE10";"N11EUR",#N/A,FALSE,"NOTE11";"N12EUR",#N/A,FALSE,"NOTE12";"N13EUR",#N/A,FALSE,"NOTE13";"N14EUR",#N/A,FALSE,"NOTE14";"N15EUR",#N/A,FALSE,"NOTE15";"N16EUR",#N/A,FALSE,"NOTE16";"N18EUR",#N/A,FALSE,"NOTE18";"N19EUR",#N/A,FALSE,"NOTE19";"N20EUR",#N/A,FALSE,"NOTE20";"N21EUR",#N/A,FALSE,"NOTE21";"N22EUR",#N/A,FALSE,"NOTE22";"N23EUR",#N/A,FALSE,"NOTE23";"N24EUR",#N/A,FALSE,"NOTE24";"N25EUR",#N/A,FALSE,"NOTE25";"N26EUR",#N/A,FALSE,"NOTE26";"N27EUR",#N/A,FALSE,"NOTE27";"N28EUR",#N/A,FALSE,"NOTE28";"N29EUR",#N/A,FALSE,"NOTE29";"N30EUR",#N/A,FALSE,"NOTE30";"N31EUR",#N/A,FALSE,"NOTE31";"N32EUR",#N/A,FALSE,"NOTE32";"N33EUR",#N/A,FALSE,"NOTE33";"BILSOCEUR",#N/A,FALSE,"bilan soc";"RESSOCEUR",#N/A,FALSE,"PL soc";"cinqexEUR",#N/A,FALSE,"5ex"}</definedName>
    <definedName name="wrn.etatfifrfeur._3_1_1" hidden="1">{#N/A,"francaiseur",FALSE,"UNITE";"ACTEUR",#N/A,FALSE,"ACTIF";"PASEUR",#N/A,FALSE,"PASSIF";"RESEUR",#N/A,FALSE,"RESULTATS";"FPEUR",#N/A,FALSE,"FP";"N03EUR",#N/A,FALSE,"NOTE03";"N04EUR",#N/A,FALSE,"NOTE04";"N05EUR",#N/A,FALSE,"NOTE05";"N06EUR",#N/A,FALSE,"NOTE06";"N07EUR",#N/A,FALSE,"NOTE07";"N08EUR",#N/A,FALSE,"NOTE08";"N09EUR",#N/A,FALSE,"NOTE09";"N10EUR",#N/A,FALSE,"NOTE10";"N11EUR",#N/A,FALSE,"NOTE11";"N12EUR",#N/A,FALSE,"NOTE12";"N13EUR",#N/A,FALSE,"NOTE13";"N14EUR",#N/A,FALSE,"NOTE14";"N15EUR",#N/A,FALSE,"NOTE15";"N16EUR",#N/A,FALSE,"NOTE16";"N18EUR",#N/A,FALSE,"NOTE18";"N19EUR",#N/A,FALSE,"NOTE19";"N20EUR",#N/A,FALSE,"NOTE20";"N21EUR",#N/A,FALSE,"NOTE21";"N22EUR",#N/A,FALSE,"NOTE22";"N23EUR",#N/A,FALSE,"NOTE23";"N24EUR",#N/A,FALSE,"NOTE24";"N25EUR",#N/A,FALSE,"NOTE25";"N26EUR",#N/A,FALSE,"NOTE26";"N27EUR",#N/A,FALSE,"NOTE27";"N28EUR",#N/A,FALSE,"NOTE28";"N29EUR",#N/A,FALSE,"NOTE29";"N30EUR",#N/A,FALSE,"NOTE30";"N31EUR",#N/A,FALSE,"NOTE31";"N32EUR",#N/A,FALSE,"NOTE32";"N33EUR",#N/A,FALSE,"NOTE33";"BILSOCEUR",#N/A,FALSE,"bilan soc";"RESSOCEUR",#N/A,FALSE,"PL soc";"cinqexEUR",#N/A,FALSE,"5ex"}</definedName>
    <definedName name="wrn.etatfifrfeur._3_1_2" hidden="1">{#N/A,"francaiseur",FALSE,"UNITE";"ACTEUR",#N/A,FALSE,"ACTIF";"PASEUR",#N/A,FALSE,"PASSIF";"RESEUR",#N/A,FALSE,"RESULTATS";"FPEUR",#N/A,FALSE,"FP";"N03EUR",#N/A,FALSE,"NOTE03";"N04EUR",#N/A,FALSE,"NOTE04";"N05EUR",#N/A,FALSE,"NOTE05";"N06EUR",#N/A,FALSE,"NOTE06";"N07EUR",#N/A,FALSE,"NOTE07";"N08EUR",#N/A,FALSE,"NOTE08";"N09EUR",#N/A,FALSE,"NOTE09";"N10EUR",#N/A,FALSE,"NOTE10";"N11EUR",#N/A,FALSE,"NOTE11";"N12EUR",#N/A,FALSE,"NOTE12";"N13EUR",#N/A,FALSE,"NOTE13";"N14EUR",#N/A,FALSE,"NOTE14";"N15EUR",#N/A,FALSE,"NOTE15";"N16EUR",#N/A,FALSE,"NOTE16";"N18EUR",#N/A,FALSE,"NOTE18";"N19EUR",#N/A,FALSE,"NOTE19";"N20EUR",#N/A,FALSE,"NOTE20";"N21EUR",#N/A,FALSE,"NOTE21";"N22EUR",#N/A,FALSE,"NOTE22";"N23EUR",#N/A,FALSE,"NOTE23";"N24EUR",#N/A,FALSE,"NOTE24";"N25EUR",#N/A,FALSE,"NOTE25";"N26EUR",#N/A,FALSE,"NOTE26";"N27EUR",#N/A,FALSE,"NOTE27";"N28EUR",#N/A,FALSE,"NOTE28";"N29EUR",#N/A,FALSE,"NOTE29";"N30EUR",#N/A,FALSE,"NOTE30";"N31EUR",#N/A,FALSE,"NOTE31";"N32EUR",#N/A,FALSE,"NOTE32";"N33EUR",#N/A,FALSE,"NOTE33";"BILSOCEUR",#N/A,FALSE,"bilan soc";"RESSOCEUR",#N/A,FALSE,"PL soc";"cinqexEUR",#N/A,FALSE,"5ex"}</definedName>
    <definedName name="wrn.etatfifrfeur._3_2" localSheetId="12" hidden="1">{#N/A,"francaiseur",FALSE,"UNITE";"ACTEUR",#N/A,FALSE,"ACTIF";"PASEUR",#N/A,FALSE,"PASSIF";"RESEUR",#N/A,FALSE,"RESULTATS";"FPEUR",#N/A,FALSE,"FP";"N03EUR",#N/A,FALSE,"NOTE03";"N04EUR",#N/A,FALSE,"NOTE04";"N05EUR",#N/A,FALSE,"NOTE05";"N06EUR",#N/A,FALSE,"NOTE06";"N07EUR",#N/A,FALSE,"NOTE07";"N08EUR",#N/A,FALSE,"NOTE08";"N09EUR",#N/A,FALSE,"NOTE09";"N10EUR",#N/A,FALSE,"NOTE10";"N11EUR",#N/A,FALSE,"NOTE11";"N12EUR",#N/A,FALSE,"NOTE12";"N13EUR",#N/A,FALSE,"NOTE13";"N14EUR",#N/A,FALSE,"NOTE14";"N15EUR",#N/A,FALSE,"NOTE15";"N16EUR",#N/A,FALSE,"NOTE16";"N18EUR",#N/A,FALSE,"NOTE18";"N19EUR",#N/A,FALSE,"NOTE19";"N20EUR",#N/A,FALSE,"NOTE20";"N21EUR",#N/A,FALSE,"NOTE21";"N22EUR",#N/A,FALSE,"NOTE22";"N23EUR",#N/A,FALSE,"NOTE23";"N24EUR",#N/A,FALSE,"NOTE24";"N25EUR",#N/A,FALSE,"NOTE25";"N26EUR",#N/A,FALSE,"NOTE26";"N27EUR",#N/A,FALSE,"NOTE27";"N28EUR",#N/A,FALSE,"NOTE28";"N29EUR",#N/A,FALSE,"NOTE29";"N30EUR",#N/A,FALSE,"NOTE30";"N31EUR",#N/A,FALSE,"NOTE31";"N32EUR",#N/A,FALSE,"NOTE32";"N33EUR",#N/A,FALSE,"NOTE33";"BILSOCEUR",#N/A,FALSE,"bilan soc";"RESSOCEUR",#N/A,FALSE,"PL soc";"cinqexEUR",#N/A,FALSE,"5ex"}</definedName>
    <definedName name="wrn.etatfifrfeur._3_2" hidden="1">{#N/A,"francaiseur",FALSE,"UNITE";"ACTEUR",#N/A,FALSE,"ACTIF";"PASEUR",#N/A,FALSE,"PASSIF";"RESEUR",#N/A,FALSE,"RESULTATS";"FPEUR",#N/A,FALSE,"FP";"N03EUR",#N/A,FALSE,"NOTE03";"N04EUR",#N/A,FALSE,"NOTE04";"N05EUR",#N/A,FALSE,"NOTE05";"N06EUR",#N/A,FALSE,"NOTE06";"N07EUR",#N/A,FALSE,"NOTE07";"N08EUR",#N/A,FALSE,"NOTE08";"N09EUR",#N/A,FALSE,"NOTE09";"N10EUR",#N/A,FALSE,"NOTE10";"N11EUR",#N/A,FALSE,"NOTE11";"N12EUR",#N/A,FALSE,"NOTE12";"N13EUR",#N/A,FALSE,"NOTE13";"N14EUR",#N/A,FALSE,"NOTE14";"N15EUR",#N/A,FALSE,"NOTE15";"N16EUR",#N/A,FALSE,"NOTE16";"N18EUR",#N/A,FALSE,"NOTE18";"N19EUR",#N/A,FALSE,"NOTE19";"N20EUR",#N/A,FALSE,"NOTE20";"N21EUR",#N/A,FALSE,"NOTE21";"N22EUR",#N/A,FALSE,"NOTE22";"N23EUR",#N/A,FALSE,"NOTE23";"N24EUR",#N/A,FALSE,"NOTE24";"N25EUR",#N/A,FALSE,"NOTE25";"N26EUR",#N/A,FALSE,"NOTE26";"N27EUR",#N/A,FALSE,"NOTE27";"N28EUR",#N/A,FALSE,"NOTE28";"N29EUR",#N/A,FALSE,"NOTE29";"N30EUR",#N/A,FALSE,"NOTE30";"N31EUR",#N/A,FALSE,"NOTE31";"N32EUR",#N/A,FALSE,"NOTE32";"N33EUR",#N/A,FALSE,"NOTE33";"BILSOCEUR",#N/A,FALSE,"bilan soc";"RESSOCEUR",#N/A,FALSE,"PL soc";"cinqexEUR",#N/A,FALSE,"5ex"}</definedName>
    <definedName name="wrn.etatfifrfeur._3_3" localSheetId="12" hidden="1">{#N/A,"francaiseur",FALSE,"UNITE";"ACTEUR",#N/A,FALSE,"ACTIF";"PASEUR",#N/A,FALSE,"PASSIF";"RESEUR",#N/A,FALSE,"RESULTATS";"FPEUR",#N/A,FALSE,"FP";"N03EUR",#N/A,FALSE,"NOTE03";"N04EUR",#N/A,FALSE,"NOTE04";"N05EUR",#N/A,FALSE,"NOTE05";"N06EUR",#N/A,FALSE,"NOTE06";"N07EUR",#N/A,FALSE,"NOTE07";"N08EUR",#N/A,FALSE,"NOTE08";"N09EUR",#N/A,FALSE,"NOTE09";"N10EUR",#N/A,FALSE,"NOTE10";"N11EUR",#N/A,FALSE,"NOTE11";"N12EUR",#N/A,FALSE,"NOTE12";"N13EUR",#N/A,FALSE,"NOTE13";"N14EUR",#N/A,FALSE,"NOTE14";"N15EUR",#N/A,FALSE,"NOTE15";"N16EUR",#N/A,FALSE,"NOTE16";"N18EUR",#N/A,FALSE,"NOTE18";"N19EUR",#N/A,FALSE,"NOTE19";"N20EUR",#N/A,FALSE,"NOTE20";"N21EUR",#N/A,FALSE,"NOTE21";"N22EUR",#N/A,FALSE,"NOTE22";"N23EUR",#N/A,FALSE,"NOTE23";"N24EUR",#N/A,FALSE,"NOTE24";"N25EUR",#N/A,FALSE,"NOTE25";"N26EUR",#N/A,FALSE,"NOTE26";"N27EUR",#N/A,FALSE,"NOTE27";"N28EUR",#N/A,FALSE,"NOTE28";"N29EUR",#N/A,FALSE,"NOTE29";"N30EUR",#N/A,FALSE,"NOTE30";"N31EUR",#N/A,FALSE,"NOTE31";"N32EUR",#N/A,FALSE,"NOTE32";"N33EUR",#N/A,FALSE,"NOTE33";"BILSOCEUR",#N/A,FALSE,"bilan soc";"RESSOCEUR",#N/A,FALSE,"PL soc";"cinqexEUR",#N/A,FALSE,"5ex"}</definedName>
    <definedName name="wrn.etatfifrfeur._3_3" hidden="1">{#N/A,"francaiseur",FALSE,"UNITE";"ACTEUR",#N/A,FALSE,"ACTIF";"PASEUR",#N/A,FALSE,"PASSIF";"RESEUR",#N/A,FALSE,"RESULTATS";"FPEUR",#N/A,FALSE,"FP";"N03EUR",#N/A,FALSE,"NOTE03";"N04EUR",#N/A,FALSE,"NOTE04";"N05EUR",#N/A,FALSE,"NOTE05";"N06EUR",#N/A,FALSE,"NOTE06";"N07EUR",#N/A,FALSE,"NOTE07";"N08EUR",#N/A,FALSE,"NOTE08";"N09EUR",#N/A,FALSE,"NOTE09";"N10EUR",#N/A,FALSE,"NOTE10";"N11EUR",#N/A,FALSE,"NOTE11";"N12EUR",#N/A,FALSE,"NOTE12";"N13EUR",#N/A,FALSE,"NOTE13";"N14EUR",#N/A,FALSE,"NOTE14";"N15EUR",#N/A,FALSE,"NOTE15";"N16EUR",#N/A,FALSE,"NOTE16";"N18EUR",#N/A,FALSE,"NOTE18";"N19EUR",#N/A,FALSE,"NOTE19";"N20EUR",#N/A,FALSE,"NOTE20";"N21EUR",#N/A,FALSE,"NOTE21";"N22EUR",#N/A,FALSE,"NOTE22";"N23EUR",#N/A,FALSE,"NOTE23";"N24EUR",#N/A,FALSE,"NOTE24";"N25EUR",#N/A,FALSE,"NOTE25";"N26EUR",#N/A,FALSE,"NOTE26";"N27EUR",#N/A,FALSE,"NOTE27";"N28EUR",#N/A,FALSE,"NOTE28";"N29EUR",#N/A,FALSE,"NOTE29";"N30EUR",#N/A,FALSE,"NOTE30";"N31EUR",#N/A,FALSE,"NOTE31";"N32EUR",#N/A,FALSE,"NOTE32";"N33EUR",#N/A,FALSE,"NOTE33";"BILSOCEUR",#N/A,FALSE,"bilan soc";"RESSOCEUR",#N/A,FALSE,"PL soc";"cinqexEUR",#N/A,FALSE,"5ex"}</definedName>
    <definedName name="wrn.etatfifrfeur._4" localSheetId="9" hidden="1">{#N/A,"francaiseur",FALSE,"UNITE";"ACTEUR",#N/A,FALSE,"ACTIF";"PASEUR",#N/A,FALSE,"PASSIF";"RESEUR",#N/A,FALSE,"RESULTATS";"FPEUR",#N/A,FALSE,"FP";"N03EUR",#N/A,FALSE,"NOTE03";"N04EUR",#N/A,FALSE,"NOTE04";"N05EUR",#N/A,FALSE,"NOTE05";"N06EUR",#N/A,FALSE,"NOTE06";"N07EUR",#N/A,FALSE,"NOTE07";"N08EUR",#N/A,FALSE,"NOTE08";"N09EUR",#N/A,FALSE,"NOTE09";"N10EUR",#N/A,FALSE,"NOTE10";"N11EUR",#N/A,FALSE,"NOTE11";"N12EUR",#N/A,FALSE,"NOTE12";"N13EUR",#N/A,FALSE,"NOTE13";"N14EUR",#N/A,FALSE,"NOTE14";"N15EUR",#N/A,FALSE,"NOTE15";"N16EUR",#N/A,FALSE,"NOTE16";"N18EUR",#N/A,FALSE,"NOTE18";"N19EUR",#N/A,FALSE,"NOTE19";"N20EUR",#N/A,FALSE,"NOTE20";"N21EUR",#N/A,FALSE,"NOTE21";"N22EUR",#N/A,FALSE,"NOTE22";"N23EUR",#N/A,FALSE,"NOTE23";"N24EUR",#N/A,FALSE,"NOTE24";"N25EUR",#N/A,FALSE,"NOTE25";"N26EUR",#N/A,FALSE,"NOTE26";"N27EUR",#N/A,FALSE,"NOTE27";"N28EUR",#N/A,FALSE,"NOTE28";"N29EUR",#N/A,FALSE,"NOTE29";"N30EUR",#N/A,FALSE,"NOTE30";"N31EUR",#N/A,FALSE,"NOTE31";"N32EUR",#N/A,FALSE,"NOTE32";"N33EUR",#N/A,FALSE,"NOTE33";"BILSOCEUR",#N/A,FALSE,"bilan soc";"RESSOCEUR",#N/A,FALSE,"PL soc";"cinqexEUR",#N/A,FALSE,"5ex"}</definedName>
    <definedName name="wrn.etatfifrfeur._4" localSheetId="12" hidden="1">{#N/A,"francaiseur",FALSE,"UNITE";"ACTEUR",#N/A,FALSE,"ACTIF";"PASEUR",#N/A,FALSE,"PASSIF";"RESEUR",#N/A,FALSE,"RESULTATS";"FPEUR",#N/A,FALSE,"FP";"N03EUR",#N/A,FALSE,"NOTE03";"N04EUR",#N/A,FALSE,"NOTE04";"N05EUR",#N/A,FALSE,"NOTE05";"N06EUR",#N/A,FALSE,"NOTE06";"N07EUR",#N/A,FALSE,"NOTE07";"N08EUR",#N/A,FALSE,"NOTE08";"N09EUR",#N/A,FALSE,"NOTE09";"N10EUR",#N/A,FALSE,"NOTE10";"N11EUR",#N/A,FALSE,"NOTE11";"N12EUR",#N/A,FALSE,"NOTE12";"N13EUR",#N/A,FALSE,"NOTE13";"N14EUR",#N/A,FALSE,"NOTE14";"N15EUR",#N/A,FALSE,"NOTE15";"N16EUR",#N/A,FALSE,"NOTE16";"N18EUR",#N/A,FALSE,"NOTE18";"N19EUR",#N/A,FALSE,"NOTE19";"N20EUR",#N/A,FALSE,"NOTE20";"N21EUR",#N/A,FALSE,"NOTE21";"N22EUR",#N/A,FALSE,"NOTE22";"N23EUR",#N/A,FALSE,"NOTE23";"N24EUR",#N/A,FALSE,"NOTE24";"N25EUR",#N/A,FALSE,"NOTE25";"N26EUR",#N/A,FALSE,"NOTE26";"N27EUR",#N/A,FALSE,"NOTE27";"N28EUR",#N/A,FALSE,"NOTE28";"N29EUR",#N/A,FALSE,"NOTE29";"N30EUR",#N/A,FALSE,"NOTE30";"N31EUR",#N/A,FALSE,"NOTE31";"N32EUR",#N/A,FALSE,"NOTE32";"N33EUR",#N/A,FALSE,"NOTE33";"BILSOCEUR",#N/A,FALSE,"bilan soc";"RESSOCEUR",#N/A,FALSE,"PL soc";"cinqexEUR",#N/A,FALSE,"5ex"}</definedName>
    <definedName name="wrn.etatfifrfeur._4" localSheetId="7" hidden="1">{#N/A,"francaiseur",FALSE,"UNITE";"ACTEUR",#N/A,FALSE,"ACTIF";"PASEUR",#N/A,FALSE,"PASSIF";"RESEUR",#N/A,FALSE,"RESULTATS";"FPEUR",#N/A,FALSE,"FP";"N03EUR",#N/A,FALSE,"NOTE03";"N04EUR",#N/A,FALSE,"NOTE04";"N05EUR",#N/A,FALSE,"NOTE05";"N06EUR",#N/A,FALSE,"NOTE06";"N07EUR",#N/A,FALSE,"NOTE07";"N08EUR",#N/A,FALSE,"NOTE08";"N09EUR",#N/A,FALSE,"NOTE09";"N10EUR",#N/A,FALSE,"NOTE10";"N11EUR",#N/A,FALSE,"NOTE11";"N12EUR",#N/A,FALSE,"NOTE12";"N13EUR",#N/A,FALSE,"NOTE13";"N14EUR",#N/A,FALSE,"NOTE14";"N15EUR",#N/A,FALSE,"NOTE15";"N16EUR",#N/A,FALSE,"NOTE16";"N18EUR",#N/A,FALSE,"NOTE18";"N19EUR",#N/A,FALSE,"NOTE19";"N20EUR",#N/A,FALSE,"NOTE20";"N21EUR",#N/A,FALSE,"NOTE21";"N22EUR",#N/A,FALSE,"NOTE22";"N23EUR",#N/A,FALSE,"NOTE23";"N24EUR",#N/A,FALSE,"NOTE24";"N25EUR",#N/A,FALSE,"NOTE25";"N26EUR",#N/A,FALSE,"NOTE26";"N27EUR",#N/A,FALSE,"NOTE27";"N28EUR",#N/A,FALSE,"NOTE28";"N29EUR",#N/A,FALSE,"NOTE29";"N30EUR",#N/A,FALSE,"NOTE30";"N31EUR",#N/A,FALSE,"NOTE31";"N32EUR",#N/A,FALSE,"NOTE32";"N33EUR",#N/A,FALSE,"NOTE33";"BILSOCEUR",#N/A,FALSE,"bilan soc";"RESSOCEUR",#N/A,FALSE,"PL soc";"cinqexEUR",#N/A,FALSE,"5ex"}</definedName>
    <definedName name="wrn.etatfifrfeur._4" localSheetId="8" hidden="1">{#N/A,"francaiseur",FALSE,"UNITE";"ACTEUR",#N/A,FALSE,"ACTIF";"PASEUR",#N/A,FALSE,"PASSIF";"RESEUR",#N/A,FALSE,"RESULTATS";"FPEUR",#N/A,FALSE,"FP";"N03EUR",#N/A,FALSE,"NOTE03";"N04EUR",#N/A,FALSE,"NOTE04";"N05EUR",#N/A,FALSE,"NOTE05";"N06EUR",#N/A,FALSE,"NOTE06";"N07EUR",#N/A,FALSE,"NOTE07";"N08EUR",#N/A,FALSE,"NOTE08";"N09EUR",#N/A,FALSE,"NOTE09";"N10EUR",#N/A,FALSE,"NOTE10";"N11EUR",#N/A,FALSE,"NOTE11";"N12EUR",#N/A,FALSE,"NOTE12";"N13EUR",#N/A,FALSE,"NOTE13";"N14EUR",#N/A,FALSE,"NOTE14";"N15EUR",#N/A,FALSE,"NOTE15";"N16EUR",#N/A,FALSE,"NOTE16";"N18EUR",#N/A,FALSE,"NOTE18";"N19EUR",#N/A,FALSE,"NOTE19";"N20EUR",#N/A,FALSE,"NOTE20";"N21EUR",#N/A,FALSE,"NOTE21";"N22EUR",#N/A,FALSE,"NOTE22";"N23EUR",#N/A,FALSE,"NOTE23";"N24EUR",#N/A,FALSE,"NOTE24";"N25EUR",#N/A,FALSE,"NOTE25";"N26EUR",#N/A,FALSE,"NOTE26";"N27EUR",#N/A,FALSE,"NOTE27";"N28EUR",#N/A,FALSE,"NOTE28";"N29EUR",#N/A,FALSE,"NOTE29";"N30EUR",#N/A,FALSE,"NOTE30";"N31EUR",#N/A,FALSE,"NOTE31";"N32EUR",#N/A,FALSE,"NOTE32";"N33EUR",#N/A,FALSE,"NOTE33";"BILSOCEUR",#N/A,FALSE,"bilan soc";"RESSOCEUR",#N/A,FALSE,"PL soc";"cinqexEUR",#N/A,FALSE,"5ex"}</definedName>
    <definedName name="wrn.etatfifrfeur._4" localSheetId="10" hidden="1">{#N/A,"francaiseur",FALSE,"UNITE";"ACTEUR",#N/A,FALSE,"ACTIF";"PASEUR",#N/A,FALSE,"PASSIF";"RESEUR",#N/A,FALSE,"RESULTATS";"FPEUR",#N/A,FALSE,"FP";"N03EUR",#N/A,FALSE,"NOTE03";"N04EUR",#N/A,FALSE,"NOTE04";"N05EUR",#N/A,FALSE,"NOTE05";"N06EUR",#N/A,FALSE,"NOTE06";"N07EUR",#N/A,FALSE,"NOTE07";"N08EUR",#N/A,FALSE,"NOTE08";"N09EUR",#N/A,FALSE,"NOTE09";"N10EUR",#N/A,FALSE,"NOTE10";"N11EUR",#N/A,FALSE,"NOTE11";"N12EUR",#N/A,FALSE,"NOTE12";"N13EUR",#N/A,FALSE,"NOTE13";"N14EUR",#N/A,FALSE,"NOTE14";"N15EUR",#N/A,FALSE,"NOTE15";"N16EUR",#N/A,FALSE,"NOTE16";"N18EUR",#N/A,FALSE,"NOTE18";"N19EUR",#N/A,FALSE,"NOTE19";"N20EUR",#N/A,FALSE,"NOTE20";"N21EUR",#N/A,FALSE,"NOTE21";"N22EUR",#N/A,FALSE,"NOTE22";"N23EUR",#N/A,FALSE,"NOTE23";"N24EUR",#N/A,FALSE,"NOTE24";"N25EUR",#N/A,FALSE,"NOTE25";"N26EUR",#N/A,FALSE,"NOTE26";"N27EUR",#N/A,FALSE,"NOTE27";"N28EUR",#N/A,FALSE,"NOTE28";"N29EUR",#N/A,FALSE,"NOTE29";"N30EUR",#N/A,FALSE,"NOTE30";"N31EUR",#N/A,FALSE,"NOTE31";"N32EUR",#N/A,FALSE,"NOTE32";"N33EUR",#N/A,FALSE,"NOTE33";"BILSOCEUR",#N/A,FALSE,"bilan soc";"RESSOCEUR",#N/A,FALSE,"PL soc";"cinqexEUR",#N/A,FALSE,"5ex"}</definedName>
    <definedName name="wrn.etatfifrfeur._4" hidden="1">{#N/A,"francaiseur",FALSE,"UNITE";"ACTEUR",#N/A,FALSE,"ACTIF";"PASEUR",#N/A,FALSE,"PASSIF";"RESEUR",#N/A,FALSE,"RESULTATS";"FPEUR",#N/A,FALSE,"FP";"N03EUR",#N/A,FALSE,"NOTE03";"N04EUR",#N/A,FALSE,"NOTE04";"N05EUR",#N/A,FALSE,"NOTE05";"N06EUR",#N/A,FALSE,"NOTE06";"N07EUR",#N/A,FALSE,"NOTE07";"N08EUR",#N/A,FALSE,"NOTE08";"N09EUR",#N/A,FALSE,"NOTE09";"N10EUR",#N/A,FALSE,"NOTE10";"N11EUR",#N/A,FALSE,"NOTE11";"N12EUR",#N/A,FALSE,"NOTE12";"N13EUR",#N/A,FALSE,"NOTE13";"N14EUR",#N/A,FALSE,"NOTE14";"N15EUR",#N/A,FALSE,"NOTE15";"N16EUR",#N/A,FALSE,"NOTE16";"N18EUR",#N/A,FALSE,"NOTE18";"N19EUR",#N/A,FALSE,"NOTE19";"N20EUR",#N/A,FALSE,"NOTE20";"N21EUR",#N/A,FALSE,"NOTE21";"N22EUR",#N/A,FALSE,"NOTE22";"N23EUR",#N/A,FALSE,"NOTE23";"N24EUR",#N/A,FALSE,"NOTE24";"N25EUR",#N/A,FALSE,"NOTE25";"N26EUR",#N/A,FALSE,"NOTE26";"N27EUR",#N/A,FALSE,"NOTE27";"N28EUR",#N/A,FALSE,"NOTE28";"N29EUR",#N/A,FALSE,"NOTE29";"N30EUR",#N/A,FALSE,"NOTE30";"N31EUR",#N/A,FALSE,"NOTE31";"N32EUR",#N/A,FALSE,"NOTE32";"N33EUR",#N/A,FALSE,"NOTE33";"BILSOCEUR",#N/A,FALSE,"bilan soc";"RESSOCEUR",#N/A,FALSE,"PL soc";"cinqexEUR",#N/A,FALSE,"5ex"}</definedName>
    <definedName name="wrn.etatfifrfeur._4_1" localSheetId="9" hidden="1">{#N/A,"francaiseur",FALSE,"UNITE";"ACTEUR",#N/A,FALSE,"ACTIF";"PASEUR",#N/A,FALSE,"PASSIF";"RESEUR",#N/A,FALSE,"RESULTATS";"FPEUR",#N/A,FALSE,"FP";"N03EUR",#N/A,FALSE,"NOTE03";"N04EUR",#N/A,FALSE,"NOTE04";"N05EUR",#N/A,FALSE,"NOTE05";"N06EUR",#N/A,FALSE,"NOTE06";"N07EUR",#N/A,FALSE,"NOTE07";"N08EUR",#N/A,FALSE,"NOTE08";"N09EUR",#N/A,FALSE,"NOTE09";"N10EUR",#N/A,FALSE,"NOTE10";"N11EUR",#N/A,FALSE,"NOTE11";"N12EUR",#N/A,FALSE,"NOTE12";"N13EUR",#N/A,FALSE,"NOTE13";"N14EUR",#N/A,FALSE,"NOTE14";"N15EUR",#N/A,FALSE,"NOTE15";"N16EUR",#N/A,FALSE,"NOTE16";"N18EUR",#N/A,FALSE,"NOTE18";"N19EUR",#N/A,FALSE,"NOTE19";"N20EUR",#N/A,FALSE,"NOTE20";"N21EUR",#N/A,FALSE,"NOTE21";"N22EUR",#N/A,FALSE,"NOTE22";"N23EUR",#N/A,FALSE,"NOTE23";"N24EUR",#N/A,FALSE,"NOTE24";"N25EUR",#N/A,FALSE,"NOTE25";"N26EUR",#N/A,FALSE,"NOTE26";"N27EUR",#N/A,FALSE,"NOTE27";"N28EUR",#N/A,FALSE,"NOTE28";"N29EUR",#N/A,FALSE,"NOTE29";"N30EUR",#N/A,FALSE,"NOTE30";"N31EUR",#N/A,FALSE,"NOTE31";"N32EUR",#N/A,FALSE,"NOTE32";"N33EUR",#N/A,FALSE,"NOTE33";"BILSOCEUR",#N/A,FALSE,"bilan soc";"RESSOCEUR",#N/A,FALSE,"PL soc";"cinqexEUR",#N/A,FALSE,"5ex"}</definedName>
    <definedName name="wrn.etatfifrfeur._4_1" localSheetId="12" hidden="1">{#N/A,"francaiseur",FALSE,"UNITE";"ACTEUR",#N/A,FALSE,"ACTIF";"PASEUR",#N/A,FALSE,"PASSIF";"RESEUR",#N/A,FALSE,"RESULTATS";"FPEUR",#N/A,FALSE,"FP";"N03EUR",#N/A,FALSE,"NOTE03";"N04EUR",#N/A,FALSE,"NOTE04";"N05EUR",#N/A,FALSE,"NOTE05";"N06EUR",#N/A,FALSE,"NOTE06";"N07EUR",#N/A,FALSE,"NOTE07";"N08EUR",#N/A,FALSE,"NOTE08";"N09EUR",#N/A,FALSE,"NOTE09";"N10EUR",#N/A,FALSE,"NOTE10";"N11EUR",#N/A,FALSE,"NOTE11";"N12EUR",#N/A,FALSE,"NOTE12";"N13EUR",#N/A,FALSE,"NOTE13";"N14EUR",#N/A,FALSE,"NOTE14";"N15EUR",#N/A,FALSE,"NOTE15";"N16EUR",#N/A,FALSE,"NOTE16";"N18EUR",#N/A,FALSE,"NOTE18";"N19EUR",#N/A,FALSE,"NOTE19";"N20EUR",#N/A,FALSE,"NOTE20";"N21EUR",#N/A,FALSE,"NOTE21";"N22EUR",#N/A,FALSE,"NOTE22";"N23EUR",#N/A,FALSE,"NOTE23";"N24EUR",#N/A,FALSE,"NOTE24";"N25EUR",#N/A,FALSE,"NOTE25";"N26EUR",#N/A,FALSE,"NOTE26";"N27EUR",#N/A,FALSE,"NOTE27";"N28EUR",#N/A,FALSE,"NOTE28";"N29EUR",#N/A,FALSE,"NOTE29";"N30EUR",#N/A,FALSE,"NOTE30";"N31EUR",#N/A,FALSE,"NOTE31";"N32EUR",#N/A,FALSE,"NOTE32";"N33EUR",#N/A,FALSE,"NOTE33";"BILSOCEUR",#N/A,FALSE,"bilan soc";"RESSOCEUR",#N/A,FALSE,"PL soc";"cinqexEUR",#N/A,FALSE,"5ex"}</definedName>
    <definedName name="wrn.etatfifrfeur._4_1" localSheetId="7" hidden="1">{#N/A,"francaiseur",FALSE,"UNITE";"ACTEUR",#N/A,FALSE,"ACTIF";"PASEUR",#N/A,FALSE,"PASSIF";"RESEUR",#N/A,FALSE,"RESULTATS";"FPEUR",#N/A,FALSE,"FP";"N03EUR",#N/A,FALSE,"NOTE03";"N04EUR",#N/A,FALSE,"NOTE04";"N05EUR",#N/A,FALSE,"NOTE05";"N06EUR",#N/A,FALSE,"NOTE06";"N07EUR",#N/A,FALSE,"NOTE07";"N08EUR",#N/A,FALSE,"NOTE08";"N09EUR",#N/A,FALSE,"NOTE09";"N10EUR",#N/A,FALSE,"NOTE10";"N11EUR",#N/A,FALSE,"NOTE11";"N12EUR",#N/A,FALSE,"NOTE12";"N13EUR",#N/A,FALSE,"NOTE13";"N14EUR",#N/A,FALSE,"NOTE14";"N15EUR",#N/A,FALSE,"NOTE15";"N16EUR",#N/A,FALSE,"NOTE16";"N18EUR",#N/A,FALSE,"NOTE18";"N19EUR",#N/A,FALSE,"NOTE19";"N20EUR",#N/A,FALSE,"NOTE20";"N21EUR",#N/A,FALSE,"NOTE21";"N22EUR",#N/A,FALSE,"NOTE22";"N23EUR",#N/A,FALSE,"NOTE23";"N24EUR",#N/A,FALSE,"NOTE24";"N25EUR",#N/A,FALSE,"NOTE25";"N26EUR",#N/A,FALSE,"NOTE26";"N27EUR",#N/A,FALSE,"NOTE27";"N28EUR",#N/A,FALSE,"NOTE28";"N29EUR",#N/A,FALSE,"NOTE29";"N30EUR",#N/A,FALSE,"NOTE30";"N31EUR",#N/A,FALSE,"NOTE31";"N32EUR",#N/A,FALSE,"NOTE32";"N33EUR",#N/A,FALSE,"NOTE33";"BILSOCEUR",#N/A,FALSE,"bilan soc";"RESSOCEUR",#N/A,FALSE,"PL soc";"cinqexEUR",#N/A,FALSE,"5ex"}</definedName>
    <definedName name="wrn.etatfifrfeur._4_1" localSheetId="8" hidden="1">{#N/A,"francaiseur",FALSE,"UNITE";"ACTEUR",#N/A,FALSE,"ACTIF";"PASEUR",#N/A,FALSE,"PASSIF";"RESEUR",#N/A,FALSE,"RESULTATS";"FPEUR",#N/A,FALSE,"FP";"N03EUR",#N/A,FALSE,"NOTE03";"N04EUR",#N/A,FALSE,"NOTE04";"N05EUR",#N/A,FALSE,"NOTE05";"N06EUR",#N/A,FALSE,"NOTE06";"N07EUR",#N/A,FALSE,"NOTE07";"N08EUR",#N/A,FALSE,"NOTE08";"N09EUR",#N/A,FALSE,"NOTE09";"N10EUR",#N/A,FALSE,"NOTE10";"N11EUR",#N/A,FALSE,"NOTE11";"N12EUR",#N/A,FALSE,"NOTE12";"N13EUR",#N/A,FALSE,"NOTE13";"N14EUR",#N/A,FALSE,"NOTE14";"N15EUR",#N/A,FALSE,"NOTE15";"N16EUR",#N/A,FALSE,"NOTE16";"N18EUR",#N/A,FALSE,"NOTE18";"N19EUR",#N/A,FALSE,"NOTE19";"N20EUR",#N/A,FALSE,"NOTE20";"N21EUR",#N/A,FALSE,"NOTE21";"N22EUR",#N/A,FALSE,"NOTE22";"N23EUR",#N/A,FALSE,"NOTE23";"N24EUR",#N/A,FALSE,"NOTE24";"N25EUR",#N/A,FALSE,"NOTE25";"N26EUR",#N/A,FALSE,"NOTE26";"N27EUR",#N/A,FALSE,"NOTE27";"N28EUR",#N/A,FALSE,"NOTE28";"N29EUR",#N/A,FALSE,"NOTE29";"N30EUR",#N/A,FALSE,"NOTE30";"N31EUR",#N/A,FALSE,"NOTE31";"N32EUR",#N/A,FALSE,"NOTE32";"N33EUR",#N/A,FALSE,"NOTE33";"BILSOCEUR",#N/A,FALSE,"bilan soc";"RESSOCEUR",#N/A,FALSE,"PL soc";"cinqexEUR",#N/A,FALSE,"5ex"}</definedName>
    <definedName name="wrn.etatfifrfeur._4_1" localSheetId="10" hidden="1">{#N/A,"francaiseur",FALSE,"UNITE";"ACTEUR",#N/A,FALSE,"ACTIF";"PASEUR",#N/A,FALSE,"PASSIF";"RESEUR",#N/A,FALSE,"RESULTATS";"FPEUR",#N/A,FALSE,"FP";"N03EUR",#N/A,FALSE,"NOTE03";"N04EUR",#N/A,FALSE,"NOTE04";"N05EUR",#N/A,FALSE,"NOTE05";"N06EUR",#N/A,FALSE,"NOTE06";"N07EUR",#N/A,FALSE,"NOTE07";"N08EUR",#N/A,FALSE,"NOTE08";"N09EUR",#N/A,FALSE,"NOTE09";"N10EUR",#N/A,FALSE,"NOTE10";"N11EUR",#N/A,FALSE,"NOTE11";"N12EUR",#N/A,FALSE,"NOTE12";"N13EUR",#N/A,FALSE,"NOTE13";"N14EUR",#N/A,FALSE,"NOTE14";"N15EUR",#N/A,FALSE,"NOTE15";"N16EUR",#N/A,FALSE,"NOTE16";"N18EUR",#N/A,FALSE,"NOTE18";"N19EUR",#N/A,FALSE,"NOTE19";"N20EUR",#N/A,FALSE,"NOTE20";"N21EUR",#N/A,FALSE,"NOTE21";"N22EUR",#N/A,FALSE,"NOTE22";"N23EUR",#N/A,FALSE,"NOTE23";"N24EUR",#N/A,FALSE,"NOTE24";"N25EUR",#N/A,FALSE,"NOTE25";"N26EUR",#N/A,FALSE,"NOTE26";"N27EUR",#N/A,FALSE,"NOTE27";"N28EUR",#N/A,FALSE,"NOTE28";"N29EUR",#N/A,FALSE,"NOTE29";"N30EUR",#N/A,FALSE,"NOTE30";"N31EUR",#N/A,FALSE,"NOTE31";"N32EUR",#N/A,FALSE,"NOTE32";"N33EUR",#N/A,FALSE,"NOTE33";"BILSOCEUR",#N/A,FALSE,"bilan soc";"RESSOCEUR",#N/A,FALSE,"PL soc";"cinqexEUR",#N/A,FALSE,"5ex"}</definedName>
    <definedName name="wrn.etatfifrfeur._4_1" hidden="1">{#N/A,"francaiseur",FALSE,"UNITE";"ACTEUR",#N/A,FALSE,"ACTIF";"PASEUR",#N/A,FALSE,"PASSIF";"RESEUR",#N/A,FALSE,"RESULTATS";"FPEUR",#N/A,FALSE,"FP";"N03EUR",#N/A,FALSE,"NOTE03";"N04EUR",#N/A,FALSE,"NOTE04";"N05EUR",#N/A,FALSE,"NOTE05";"N06EUR",#N/A,FALSE,"NOTE06";"N07EUR",#N/A,FALSE,"NOTE07";"N08EUR",#N/A,FALSE,"NOTE08";"N09EUR",#N/A,FALSE,"NOTE09";"N10EUR",#N/A,FALSE,"NOTE10";"N11EUR",#N/A,FALSE,"NOTE11";"N12EUR",#N/A,FALSE,"NOTE12";"N13EUR",#N/A,FALSE,"NOTE13";"N14EUR",#N/A,FALSE,"NOTE14";"N15EUR",#N/A,FALSE,"NOTE15";"N16EUR",#N/A,FALSE,"NOTE16";"N18EUR",#N/A,FALSE,"NOTE18";"N19EUR",#N/A,FALSE,"NOTE19";"N20EUR",#N/A,FALSE,"NOTE20";"N21EUR",#N/A,FALSE,"NOTE21";"N22EUR",#N/A,FALSE,"NOTE22";"N23EUR",#N/A,FALSE,"NOTE23";"N24EUR",#N/A,FALSE,"NOTE24";"N25EUR",#N/A,FALSE,"NOTE25";"N26EUR",#N/A,FALSE,"NOTE26";"N27EUR",#N/A,FALSE,"NOTE27";"N28EUR",#N/A,FALSE,"NOTE28";"N29EUR",#N/A,FALSE,"NOTE29";"N30EUR",#N/A,FALSE,"NOTE30";"N31EUR",#N/A,FALSE,"NOTE31";"N32EUR",#N/A,FALSE,"NOTE32";"N33EUR",#N/A,FALSE,"NOTE33";"BILSOCEUR",#N/A,FALSE,"bilan soc";"RESSOCEUR",#N/A,FALSE,"PL soc";"cinqexEUR",#N/A,FALSE,"5ex"}</definedName>
    <definedName name="wrn.etatfifrfeur._4_1_1" localSheetId="12" hidden="1">{#N/A,"francaiseur",FALSE,"UNITE";"ACTEUR",#N/A,FALSE,"ACTIF";"PASEUR",#N/A,FALSE,"PASSIF";"RESEUR",#N/A,FALSE,"RESULTATS";"FPEUR",#N/A,FALSE,"FP";"N03EUR",#N/A,FALSE,"NOTE03";"N04EUR",#N/A,FALSE,"NOTE04";"N05EUR",#N/A,FALSE,"NOTE05";"N06EUR",#N/A,FALSE,"NOTE06";"N07EUR",#N/A,FALSE,"NOTE07";"N08EUR",#N/A,FALSE,"NOTE08";"N09EUR",#N/A,FALSE,"NOTE09";"N10EUR",#N/A,FALSE,"NOTE10";"N11EUR",#N/A,FALSE,"NOTE11";"N12EUR",#N/A,FALSE,"NOTE12";"N13EUR",#N/A,FALSE,"NOTE13";"N14EUR",#N/A,FALSE,"NOTE14";"N15EUR",#N/A,FALSE,"NOTE15";"N16EUR",#N/A,FALSE,"NOTE16";"N18EUR",#N/A,FALSE,"NOTE18";"N19EUR",#N/A,FALSE,"NOTE19";"N20EUR",#N/A,FALSE,"NOTE20";"N21EUR",#N/A,FALSE,"NOTE21";"N22EUR",#N/A,FALSE,"NOTE22";"N23EUR",#N/A,FALSE,"NOTE23";"N24EUR",#N/A,FALSE,"NOTE24";"N25EUR",#N/A,FALSE,"NOTE25";"N26EUR",#N/A,FALSE,"NOTE26";"N27EUR",#N/A,FALSE,"NOTE27";"N28EUR",#N/A,FALSE,"NOTE28";"N29EUR",#N/A,FALSE,"NOTE29";"N30EUR",#N/A,FALSE,"NOTE30";"N31EUR",#N/A,FALSE,"NOTE31";"N32EUR",#N/A,FALSE,"NOTE32";"N33EUR",#N/A,FALSE,"NOTE33";"BILSOCEUR",#N/A,FALSE,"bilan soc";"RESSOCEUR",#N/A,FALSE,"PL soc";"cinqexEUR",#N/A,FALSE,"5ex"}</definedName>
    <definedName name="wrn.etatfifrfeur._4_1_1" hidden="1">{#N/A,"francaiseur",FALSE,"UNITE";"ACTEUR",#N/A,FALSE,"ACTIF";"PASEUR",#N/A,FALSE,"PASSIF";"RESEUR",#N/A,FALSE,"RESULTATS";"FPEUR",#N/A,FALSE,"FP";"N03EUR",#N/A,FALSE,"NOTE03";"N04EUR",#N/A,FALSE,"NOTE04";"N05EUR",#N/A,FALSE,"NOTE05";"N06EUR",#N/A,FALSE,"NOTE06";"N07EUR",#N/A,FALSE,"NOTE07";"N08EUR",#N/A,FALSE,"NOTE08";"N09EUR",#N/A,FALSE,"NOTE09";"N10EUR",#N/A,FALSE,"NOTE10";"N11EUR",#N/A,FALSE,"NOTE11";"N12EUR",#N/A,FALSE,"NOTE12";"N13EUR",#N/A,FALSE,"NOTE13";"N14EUR",#N/A,FALSE,"NOTE14";"N15EUR",#N/A,FALSE,"NOTE15";"N16EUR",#N/A,FALSE,"NOTE16";"N18EUR",#N/A,FALSE,"NOTE18";"N19EUR",#N/A,FALSE,"NOTE19";"N20EUR",#N/A,FALSE,"NOTE20";"N21EUR",#N/A,FALSE,"NOTE21";"N22EUR",#N/A,FALSE,"NOTE22";"N23EUR",#N/A,FALSE,"NOTE23";"N24EUR",#N/A,FALSE,"NOTE24";"N25EUR",#N/A,FALSE,"NOTE25";"N26EUR",#N/A,FALSE,"NOTE26";"N27EUR",#N/A,FALSE,"NOTE27";"N28EUR",#N/A,FALSE,"NOTE28";"N29EUR",#N/A,FALSE,"NOTE29";"N30EUR",#N/A,FALSE,"NOTE30";"N31EUR",#N/A,FALSE,"NOTE31";"N32EUR",#N/A,FALSE,"NOTE32";"N33EUR",#N/A,FALSE,"NOTE33";"BILSOCEUR",#N/A,FALSE,"bilan soc";"RESSOCEUR",#N/A,FALSE,"PL soc";"cinqexEUR",#N/A,FALSE,"5ex"}</definedName>
    <definedName name="wrn.etatfifrfeur._4_1_2" hidden="1">{#N/A,"francaiseur",FALSE,"UNITE";"ACTEUR",#N/A,FALSE,"ACTIF";"PASEUR",#N/A,FALSE,"PASSIF";"RESEUR",#N/A,FALSE,"RESULTATS";"FPEUR",#N/A,FALSE,"FP";"N03EUR",#N/A,FALSE,"NOTE03";"N04EUR",#N/A,FALSE,"NOTE04";"N05EUR",#N/A,FALSE,"NOTE05";"N06EUR",#N/A,FALSE,"NOTE06";"N07EUR",#N/A,FALSE,"NOTE07";"N08EUR",#N/A,FALSE,"NOTE08";"N09EUR",#N/A,FALSE,"NOTE09";"N10EUR",#N/A,FALSE,"NOTE10";"N11EUR",#N/A,FALSE,"NOTE11";"N12EUR",#N/A,FALSE,"NOTE12";"N13EUR",#N/A,FALSE,"NOTE13";"N14EUR",#N/A,FALSE,"NOTE14";"N15EUR",#N/A,FALSE,"NOTE15";"N16EUR",#N/A,FALSE,"NOTE16";"N18EUR",#N/A,FALSE,"NOTE18";"N19EUR",#N/A,FALSE,"NOTE19";"N20EUR",#N/A,FALSE,"NOTE20";"N21EUR",#N/A,FALSE,"NOTE21";"N22EUR",#N/A,FALSE,"NOTE22";"N23EUR",#N/A,FALSE,"NOTE23";"N24EUR",#N/A,FALSE,"NOTE24";"N25EUR",#N/A,FALSE,"NOTE25";"N26EUR",#N/A,FALSE,"NOTE26";"N27EUR",#N/A,FALSE,"NOTE27";"N28EUR",#N/A,FALSE,"NOTE28";"N29EUR",#N/A,FALSE,"NOTE29";"N30EUR",#N/A,FALSE,"NOTE30";"N31EUR",#N/A,FALSE,"NOTE31";"N32EUR",#N/A,FALSE,"NOTE32";"N33EUR",#N/A,FALSE,"NOTE33";"BILSOCEUR",#N/A,FALSE,"bilan soc";"RESSOCEUR",#N/A,FALSE,"PL soc";"cinqexEUR",#N/A,FALSE,"5ex"}</definedName>
    <definedName name="wrn.etatfifrfeur._4_2" localSheetId="12" hidden="1">{#N/A,"francaiseur",FALSE,"UNITE";"ACTEUR",#N/A,FALSE,"ACTIF";"PASEUR",#N/A,FALSE,"PASSIF";"RESEUR",#N/A,FALSE,"RESULTATS";"FPEUR",#N/A,FALSE,"FP";"N03EUR",#N/A,FALSE,"NOTE03";"N04EUR",#N/A,FALSE,"NOTE04";"N05EUR",#N/A,FALSE,"NOTE05";"N06EUR",#N/A,FALSE,"NOTE06";"N07EUR",#N/A,FALSE,"NOTE07";"N08EUR",#N/A,FALSE,"NOTE08";"N09EUR",#N/A,FALSE,"NOTE09";"N10EUR",#N/A,FALSE,"NOTE10";"N11EUR",#N/A,FALSE,"NOTE11";"N12EUR",#N/A,FALSE,"NOTE12";"N13EUR",#N/A,FALSE,"NOTE13";"N14EUR",#N/A,FALSE,"NOTE14";"N15EUR",#N/A,FALSE,"NOTE15";"N16EUR",#N/A,FALSE,"NOTE16";"N18EUR",#N/A,FALSE,"NOTE18";"N19EUR",#N/A,FALSE,"NOTE19";"N20EUR",#N/A,FALSE,"NOTE20";"N21EUR",#N/A,FALSE,"NOTE21";"N22EUR",#N/A,FALSE,"NOTE22";"N23EUR",#N/A,FALSE,"NOTE23";"N24EUR",#N/A,FALSE,"NOTE24";"N25EUR",#N/A,FALSE,"NOTE25";"N26EUR",#N/A,FALSE,"NOTE26";"N27EUR",#N/A,FALSE,"NOTE27";"N28EUR",#N/A,FALSE,"NOTE28";"N29EUR",#N/A,FALSE,"NOTE29";"N30EUR",#N/A,FALSE,"NOTE30";"N31EUR",#N/A,FALSE,"NOTE31";"N32EUR",#N/A,FALSE,"NOTE32";"N33EUR",#N/A,FALSE,"NOTE33";"BILSOCEUR",#N/A,FALSE,"bilan soc";"RESSOCEUR",#N/A,FALSE,"PL soc";"cinqexEUR",#N/A,FALSE,"5ex"}</definedName>
    <definedName name="wrn.etatfifrfeur._4_2" hidden="1">{#N/A,"francaiseur",FALSE,"UNITE";"ACTEUR",#N/A,FALSE,"ACTIF";"PASEUR",#N/A,FALSE,"PASSIF";"RESEUR",#N/A,FALSE,"RESULTATS";"FPEUR",#N/A,FALSE,"FP";"N03EUR",#N/A,FALSE,"NOTE03";"N04EUR",#N/A,FALSE,"NOTE04";"N05EUR",#N/A,FALSE,"NOTE05";"N06EUR",#N/A,FALSE,"NOTE06";"N07EUR",#N/A,FALSE,"NOTE07";"N08EUR",#N/A,FALSE,"NOTE08";"N09EUR",#N/A,FALSE,"NOTE09";"N10EUR",#N/A,FALSE,"NOTE10";"N11EUR",#N/A,FALSE,"NOTE11";"N12EUR",#N/A,FALSE,"NOTE12";"N13EUR",#N/A,FALSE,"NOTE13";"N14EUR",#N/A,FALSE,"NOTE14";"N15EUR",#N/A,FALSE,"NOTE15";"N16EUR",#N/A,FALSE,"NOTE16";"N18EUR",#N/A,FALSE,"NOTE18";"N19EUR",#N/A,FALSE,"NOTE19";"N20EUR",#N/A,FALSE,"NOTE20";"N21EUR",#N/A,FALSE,"NOTE21";"N22EUR",#N/A,FALSE,"NOTE22";"N23EUR",#N/A,FALSE,"NOTE23";"N24EUR",#N/A,FALSE,"NOTE24";"N25EUR",#N/A,FALSE,"NOTE25";"N26EUR",#N/A,FALSE,"NOTE26";"N27EUR",#N/A,FALSE,"NOTE27";"N28EUR",#N/A,FALSE,"NOTE28";"N29EUR",#N/A,FALSE,"NOTE29";"N30EUR",#N/A,FALSE,"NOTE30";"N31EUR",#N/A,FALSE,"NOTE31";"N32EUR",#N/A,FALSE,"NOTE32";"N33EUR",#N/A,FALSE,"NOTE33";"BILSOCEUR",#N/A,FALSE,"bilan soc";"RESSOCEUR",#N/A,FALSE,"PL soc";"cinqexEUR",#N/A,FALSE,"5ex"}</definedName>
    <definedName name="wrn.etatfifrfeur._4_3" localSheetId="12" hidden="1">{#N/A,"francaiseur",FALSE,"UNITE";"ACTEUR",#N/A,FALSE,"ACTIF";"PASEUR",#N/A,FALSE,"PASSIF";"RESEUR",#N/A,FALSE,"RESULTATS";"FPEUR",#N/A,FALSE,"FP";"N03EUR",#N/A,FALSE,"NOTE03";"N04EUR",#N/A,FALSE,"NOTE04";"N05EUR",#N/A,FALSE,"NOTE05";"N06EUR",#N/A,FALSE,"NOTE06";"N07EUR",#N/A,FALSE,"NOTE07";"N08EUR",#N/A,FALSE,"NOTE08";"N09EUR",#N/A,FALSE,"NOTE09";"N10EUR",#N/A,FALSE,"NOTE10";"N11EUR",#N/A,FALSE,"NOTE11";"N12EUR",#N/A,FALSE,"NOTE12";"N13EUR",#N/A,FALSE,"NOTE13";"N14EUR",#N/A,FALSE,"NOTE14";"N15EUR",#N/A,FALSE,"NOTE15";"N16EUR",#N/A,FALSE,"NOTE16";"N18EUR",#N/A,FALSE,"NOTE18";"N19EUR",#N/A,FALSE,"NOTE19";"N20EUR",#N/A,FALSE,"NOTE20";"N21EUR",#N/A,FALSE,"NOTE21";"N22EUR",#N/A,FALSE,"NOTE22";"N23EUR",#N/A,FALSE,"NOTE23";"N24EUR",#N/A,FALSE,"NOTE24";"N25EUR",#N/A,FALSE,"NOTE25";"N26EUR",#N/A,FALSE,"NOTE26";"N27EUR",#N/A,FALSE,"NOTE27";"N28EUR",#N/A,FALSE,"NOTE28";"N29EUR",#N/A,FALSE,"NOTE29";"N30EUR",#N/A,FALSE,"NOTE30";"N31EUR",#N/A,FALSE,"NOTE31";"N32EUR",#N/A,FALSE,"NOTE32";"N33EUR",#N/A,FALSE,"NOTE33";"BILSOCEUR",#N/A,FALSE,"bilan soc";"RESSOCEUR",#N/A,FALSE,"PL soc";"cinqexEUR",#N/A,FALSE,"5ex"}</definedName>
    <definedName name="wrn.etatfifrfeur._4_3" hidden="1">{#N/A,"francaiseur",FALSE,"UNITE";"ACTEUR",#N/A,FALSE,"ACTIF";"PASEUR",#N/A,FALSE,"PASSIF";"RESEUR",#N/A,FALSE,"RESULTATS";"FPEUR",#N/A,FALSE,"FP";"N03EUR",#N/A,FALSE,"NOTE03";"N04EUR",#N/A,FALSE,"NOTE04";"N05EUR",#N/A,FALSE,"NOTE05";"N06EUR",#N/A,FALSE,"NOTE06";"N07EUR",#N/A,FALSE,"NOTE07";"N08EUR",#N/A,FALSE,"NOTE08";"N09EUR",#N/A,FALSE,"NOTE09";"N10EUR",#N/A,FALSE,"NOTE10";"N11EUR",#N/A,FALSE,"NOTE11";"N12EUR",#N/A,FALSE,"NOTE12";"N13EUR",#N/A,FALSE,"NOTE13";"N14EUR",#N/A,FALSE,"NOTE14";"N15EUR",#N/A,FALSE,"NOTE15";"N16EUR",#N/A,FALSE,"NOTE16";"N18EUR",#N/A,FALSE,"NOTE18";"N19EUR",#N/A,FALSE,"NOTE19";"N20EUR",#N/A,FALSE,"NOTE20";"N21EUR",#N/A,FALSE,"NOTE21";"N22EUR",#N/A,FALSE,"NOTE22";"N23EUR",#N/A,FALSE,"NOTE23";"N24EUR",#N/A,FALSE,"NOTE24";"N25EUR",#N/A,FALSE,"NOTE25";"N26EUR",#N/A,FALSE,"NOTE26";"N27EUR",#N/A,FALSE,"NOTE27";"N28EUR",#N/A,FALSE,"NOTE28";"N29EUR",#N/A,FALSE,"NOTE29";"N30EUR",#N/A,FALSE,"NOTE30";"N31EUR",#N/A,FALSE,"NOTE31";"N32EUR",#N/A,FALSE,"NOTE32";"N33EUR",#N/A,FALSE,"NOTE33";"BILSOCEUR",#N/A,FALSE,"bilan soc";"RESSOCEUR",#N/A,FALSE,"PL soc";"cinqexEUR",#N/A,FALSE,"5ex"}</definedName>
    <definedName name="wrn.etatfifrfeur._5" localSheetId="9" hidden="1">{#N/A,"francaiseur",FALSE,"UNITE";"ACTEUR",#N/A,FALSE,"ACTIF";"PASEUR",#N/A,FALSE,"PASSIF";"RESEUR",#N/A,FALSE,"RESULTATS";"FPEUR",#N/A,FALSE,"FP";"N03EUR",#N/A,FALSE,"NOTE03";"N04EUR",#N/A,FALSE,"NOTE04";"N05EUR",#N/A,FALSE,"NOTE05";"N06EUR",#N/A,FALSE,"NOTE06";"N07EUR",#N/A,FALSE,"NOTE07";"N08EUR",#N/A,FALSE,"NOTE08";"N09EUR",#N/A,FALSE,"NOTE09";"N10EUR",#N/A,FALSE,"NOTE10";"N11EUR",#N/A,FALSE,"NOTE11";"N12EUR",#N/A,FALSE,"NOTE12";"N13EUR",#N/A,FALSE,"NOTE13";"N14EUR",#N/A,FALSE,"NOTE14";"N15EUR",#N/A,FALSE,"NOTE15";"N16EUR",#N/A,FALSE,"NOTE16";"N18EUR",#N/A,FALSE,"NOTE18";"N19EUR",#N/A,FALSE,"NOTE19";"N20EUR",#N/A,FALSE,"NOTE20";"N21EUR",#N/A,FALSE,"NOTE21";"N22EUR",#N/A,FALSE,"NOTE22";"N23EUR",#N/A,FALSE,"NOTE23";"N24EUR",#N/A,FALSE,"NOTE24";"N25EUR",#N/A,FALSE,"NOTE25";"N26EUR",#N/A,FALSE,"NOTE26";"N27EUR",#N/A,FALSE,"NOTE27";"N28EUR",#N/A,FALSE,"NOTE28";"N29EUR",#N/A,FALSE,"NOTE29";"N30EUR",#N/A,FALSE,"NOTE30";"N31EUR",#N/A,FALSE,"NOTE31";"N32EUR",#N/A,FALSE,"NOTE32";"N33EUR",#N/A,FALSE,"NOTE33";"BILSOCEUR",#N/A,FALSE,"bilan soc";"RESSOCEUR",#N/A,FALSE,"PL soc";"cinqexEUR",#N/A,FALSE,"5ex"}</definedName>
    <definedName name="wrn.etatfifrfeur._5" localSheetId="12" hidden="1">{#N/A,"francaiseur",FALSE,"UNITE";"ACTEUR",#N/A,FALSE,"ACTIF";"PASEUR",#N/A,FALSE,"PASSIF";"RESEUR",#N/A,FALSE,"RESULTATS";"FPEUR",#N/A,FALSE,"FP";"N03EUR",#N/A,FALSE,"NOTE03";"N04EUR",#N/A,FALSE,"NOTE04";"N05EUR",#N/A,FALSE,"NOTE05";"N06EUR",#N/A,FALSE,"NOTE06";"N07EUR",#N/A,FALSE,"NOTE07";"N08EUR",#N/A,FALSE,"NOTE08";"N09EUR",#N/A,FALSE,"NOTE09";"N10EUR",#N/A,FALSE,"NOTE10";"N11EUR",#N/A,FALSE,"NOTE11";"N12EUR",#N/A,FALSE,"NOTE12";"N13EUR",#N/A,FALSE,"NOTE13";"N14EUR",#N/A,FALSE,"NOTE14";"N15EUR",#N/A,FALSE,"NOTE15";"N16EUR",#N/A,FALSE,"NOTE16";"N18EUR",#N/A,FALSE,"NOTE18";"N19EUR",#N/A,FALSE,"NOTE19";"N20EUR",#N/A,FALSE,"NOTE20";"N21EUR",#N/A,FALSE,"NOTE21";"N22EUR",#N/A,FALSE,"NOTE22";"N23EUR",#N/A,FALSE,"NOTE23";"N24EUR",#N/A,FALSE,"NOTE24";"N25EUR",#N/A,FALSE,"NOTE25";"N26EUR",#N/A,FALSE,"NOTE26";"N27EUR",#N/A,FALSE,"NOTE27";"N28EUR",#N/A,FALSE,"NOTE28";"N29EUR",#N/A,FALSE,"NOTE29";"N30EUR",#N/A,FALSE,"NOTE30";"N31EUR",#N/A,FALSE,"NOTE31";"N32EUR",#N/A,FALSE,"NOTE32";"N33EUR",#N/A,FALSE,"NOTE33";"BILSOCEUR",#N/A,FALSE,"bilan soc";"RESSOCEUR",#N/A,FALSE,"PL soc";"cinqexEUR",#N/A,FALSE,"5ex"}</definedName>
    <definedName name="wrn.etatfifrfeur._5" localSheetId="7" hidden="1">{#N/A,"francaiseur",FALSE,"UNITE";"ACTEUR",#N/A,FALSE,"ACTIF";"PASEUR",#N/A,FALSE,"PASSIF";"RESEUR",#N/A,FALSE,"RESULTATS";"FPEUR",#N/A,FALSE,"FP";"N03EUR",#N/A,FALSE,"NOTE03";"N04EUR",#N/A,FALSE,"NOTE04";"N05EUR",#N/A,FALSE,"NOTE05";"N06EUR",#N/A,FALSE,"NOTE06";"N07EUR",#N/A,FALSE,"NOTE07";"N08EUR",#N/A,FALSE,"NOTE08";"N09EUR",#N/A,FALSE,"NOTE09";"N10EUR",#N/A,FALSE,"NOTE10";"N11EUR",#N/A,FALSE,"NOTE11";"N12EUR",#N/A,FALSE,"NOTE12";"N13EUR",#N/A,FALSE,"NOTE13";"N14EUR",#N/A,FALSE,"NOTE14";"N15EUR",#N/A,FALSE,"NOTE15";"N16EUR",#N/A,FALSE,"NOTE16";"N18EUR",#N/A,FALSE,"NOTE18";"N19EUR",#N/A,FALSE,"NOTE19";"N20EUR",#N/A,FALSE,"NOTE20";"N21EUR",#N/A,FALSE,"NOTE21";"N22EUR",#N/A,FALSE,"NOTE22";"N23EUR",#N/A,FALSE,"NOTE23";"N24EUR",#N/A,FALSE,"NOTE24";"N25EUR",#N/A,FALSE,"NOTE25";"N26EUR",#N/A,FALSE,"NOTE26";"N27EUR",#N/A,FALSE,"NOTE27";"N28EUR",#N/A,FALSE,"NOTE28";"N29EUR",#N/A,FALSE,"NOTE29";"N30EUR",#N/A,FALSE,"NOTE30";"N31EUR",#N/A,FALSE,"NOTE31";"N32EUR",#N/A,FALSE,"NOTE32";"N33EUR",#N/A,FALSE,"NOTE33";"BILSOCEUR",#N/A,FALSE,"bilan soc";"RESSOCEUR",#N/A,FALSE,"PL soc";"cinqexEUR",#N/A,FALSE,"5ex"}</definedName>
    <definedName name="wrn.etatfifrfeur._5" localSheetId="8" hidden="1">{#N/A,"francaiseur",FALSE,"UNITE";"ACTEUR",#N/A,FALSE,"ACTIF";"PASEUR",#N/A,FALSE,"PASSIF";"RESEUR",#N/A,FALSE,"RESULTATS";"FPEUR",#N/A,FALSE,"FP";"N03EUR",#N/A,FALSE,"NOTE03";"N04EUR",#N/A,FALSE,"NOTE04";"N05EUR",#N/A,FALSE,"NOTE05";"N06EUR",#N/A,FALSE,"NOTE06";"N07EUR",#N/A,FALSE,"NOTE07";"N08EUR",#N/A,FALSE,"NOTE08";"N09EUR",#N/A,FALSE,"NOTE09";"N10EUR",#N/A,FALSE,"NOTE10";"N11EUR",#N/A,FALSE,"NOTE11";"N12EUR",#N/A,FALSE,"NOTE12";"N13EUR",#N/A,FALSE,"NOTE13";"N14EUR",#N/A,FALSE,"NOTE14";"N15EUR",#N/A,FALSE,"NOTE15";"N16EUR",#N/A,FALSE,"NOTE16";"N18EUR",#N/A,FALSE,"NOTE18";"N19EUR",#N/A,FALSE,"NOTE19";"N20EUR",#N/A,FALSE,"NOTE20";"N21EUR",#N/A,FALSE,"NOTE21";"N22EUR",#N/A,FALSE,"NOTE22";"N23EUR",#N/A,FALSE,"NOTE23";"N24EUR",#N/A,FALSE,"NOTE24";"N25EUR",#N/A,FALSE,"NOTE25";"N26EUR",#N/A,FALSE,"NOTE26";"N27EUR",#N/A,FALSE,"NOTE27";"N28EUR",#N/A,FALSE,"NOTE28";"N29EUR",#N/A,FALSE,"NOTE29";"N30EUR",#N/A,FALSE,"NOTE30";"N31EUR",#N/A,FALSE,"NOTE31";"N32EUR",#N/A,FALSE,"NOTE32";"N33EUR",#N/A,FALSE,"NOTE33";"BILSOCEUR",#N/A,FALSE,"bilan soc";"RESSOCEUR",#N/A,FALSE,"PL soc";"cinqexEUR",#N/A,FALSE,"5ex"}</definedName>
    <definedName name="wrn.etatfifrfeur._5" localSheetId="10" hidden="1">{#N/A,"francaiseur",FALSE,"UNITE";"ACTEUR",#N/A,FALSE,"ACTIF";"PASEUR",#N/A,FALSE,"PASSIF";"RESEUR",#N/A,FALSE,"RESULTATS";"FPEUR",#N/A,FALSE,"FP";"N03EUR",#N/A,FALSE,"NOTE03";"N04EUR",#N/A,FALSE,"NOTE04";"N05EUR",#N/A,FALSE,"NOTE05";"N06EUR",#N/A,FALSE,"NOTE06";"N07EUR",#N/A,FALSE,"NOTE07";"N08EUR",#N/A,FALSE,"NOTE08";"N09EUR",#N/A,FALSE,"NOTE09";"N10EUR",#N/A,FALSE,"NOTE10";"N11EUR",#N/A,FALSE,"NOTE11";"N12EUR",#N/A,FALSE,"NOTE12";"N13EUR",#N/A,FALSE,"NOTE13";"N14EUR",#N/A,FALSE,"NOTE14";"N15EUR",#N/A,FALSE,"NOTE15";"N16EUR",#N/A,FALSE,"NOTE16";"N18EUR",#N/A,FALSE,"NOTE18";"N19EUR",#N/A,FALSE,"NOTE19";"N20EUR",#N/A,FALSE,"NOTE20";"N21EUR",#N/A,FALSE,"NOTE21";"N22EUR",#N/A,FALSE,"NOTE22";"N23EUR",#N/A,FALSE,"NOTE23";"N24EUR",#N/A,FALSE,"NOTE24";"N25EUR",#N/A,FALSE,"NOTE25";"N26EUR",#N/A,FALSE,"NOTE26";"N27EUR",#N/A,FALSE,"NOTE27";"N28EUR",#N/A,FALSE,"NOTE28";"N29EUR",#N/A,FALSE,"NOTE29";"N30EUR",#N/A,FALSE,"NOTE30";"N31EUR",#N/A,FALSE,"NOTE31";"N32EUR",#N/A,FALSE,"NOTE32";"N33EUR",#N/A,FALSE,"NOTE33";"BILSOCEUR",#N/A,FALSE,"bilan soc";"RESSOCEUR",#N/A,FALSE,"PL soc";"cinqexEUR",#N/A,FALSE,"5ex"}</definedName>
    <definedName name="wrn.etatfifrfeur._5" hidden="1">{#N/A,"francaiseur",FALSE,"UNITE";"ACTEUR",#N/A,FALSE,"ACTIF";"PASEUR",#N/A,FALSE,"PASSIF";"RESEUR",#N/A,FALSE,"RESULTATS";"FPEUR",#N/A,FALSE,"FP";"N03EUR",#N/A,FALSE,"NOTE03";"N04EUR",#N/A,FALSE,"NOTE04";"N05EUR",#N/A,FALSE,"NOTE05";"N06EUR",#N/A,FALSE,"NOTE06";"N07EUR",#N/A,FALSE,"NOTE07";"N08EUR",#N/A,FALSE,"NOTE08";"N09EUR",#N/A,FALSE,"NOTE09";"N10EUR",#N/A,FALSE,"NOTE10";"N11EUR",#N/A,FALSE,"NOTE11";"N12EUR",#N/A,FALSE,"NOTE12";"N13EUR",#N/A,FALSE,"NOTE13";"N14EUR",#N/A,FALSE,"NOTE14";"N15EUR",#N/A,FALSE,"NOTE15";"N16EUR",#N/A,FALSE,"NOTE16";"N18EUR",#N/A,FALSE,"NOTE18";"N19EUR",#N/A,FALSE,"NOTE19";"N20EUR",#N/A,FALSE,"NOTE20";"N21EUR",#N/A,FALSE,"NOTE21";"N22EUR",#N/A,FALSE,"NOTE22";"N23EUR",#N/A,FALSE,"NOTE23";"N24EUR",#N/A,FALSE,"NOTE24";"N25EUR",#N/A,FALSE,"NOTE25";"N26EUR",#N/A,FALSE,"NOTE26";"N27EUR",#N/A,FALSE,"NOTE27";"N28EUR",#N/A,FALSE,"NOTE28";"N29EUR",#N/A,FALSE,"NOTE29";"N30EUR",#N/A,FALSE,"NOTE30";"N31EUR",#N/A,FALSE,"NOTE31";"N32EUR",#N/A,FALSE,"NOTE32";"N33EUR",#N/A,FALSE,"NOTE33";"BILSOCEUR",#N/A,FALSE,"bilan soc";"RESSOCEUR",#N/A,FALSE,"PL soc";"cinqexEUR",#N/A,FALSE,"5ex"}</definedName>
    <definedName name="wrn.etatfifrfeur._5_1" localSheetId="9" hidden="1">{#N/A,"francaiseur",FALSE,"UNITE";"ACTEUR",#N/A,FALSE,"ACTIF";"PASEUR",#N/A,FALSE,"PASSIF";"RESEUR",#N/A,FALSE,"RESULTATS";"FPEUR",#N/A,FALSE,"FP";"N03EUR",#N/A,FALSE,"NOTE03";"N04EUR",#N/A,FALSE,"NOTE04";"N05EUR",#N/A,FALSE,"NOTE05";"N06EUR",#N/A,FALSE,"NOTE06";"N07EUR",#N/A,FALSE,"NOTE07";"N08EUR",#N/A,FALSE,"NOTE08";"N09EUR",#N/A,FALSE,"NOTE09";"N10EUR",#N/A,FALSE,"NOTE10";"N11EUR",#N/A,FALSE,"NOTE11";"N12EUR",#N/A,FALSE,"NOTE12";"N13EUR",#N/A,FALSE,"NOTE13";"N14EUR",#N/A,FALSE,"NOTE14";"N15EUR",#N/A,FALSE,"NOTE15";"N16EUR",#N/A,FALSE,"NOTE16";"N18EUR",#N/A,FALSE,"NOTE18";"N19EUR",#N/A,FALSE,"NOTE19";"N20EUR",#N/A,FALSE,"NOTE20";"N21EUR",#N/A,FALSE,"NOTE21";"N22EUR",#N/A,FALSE,"NOTE22";"N23EUR",#N/A,FALSE,"NOTE23";"N24EUR",#N/A,FALSE,"NOTE24";"N25EUR",#N/A,FALSE,"NOTE25";"N26EUR",#N/A,FALSE,"NOTE26";"N27EUR",#N/A,FALSE,"NOTE27";"N28EUR",#N/A,FALSE,"NOTE28";"N29EUR",#N/A,FALSE,"NOTE29";"N30EUR",#N/A,FALSE,"NOTE30";"N31EUR",#N/A,FALSE,"NOTE31";"N32EUR",#N/A,FALSE,"NOTE32";"N33EUR",#N/A,FALSE,"NOTE33";"BILSOCEUR",#N/A,FALSE,"bilan soc";"RESSOCEUR",#N/A,FALSE,"PL soc";"cinqexEUR",#N/A,FALSE,"5ex"}</definedName>
    <definedName name="wrn.etatfifrfeur._5_1" localSheetId="12" hidden="1">{#N/A,"francaiseur",FALSE,"UNITE";"ACTEUR",#N/A,FALSE,"ACTIF";"PASEUR",#N/A,FALSE,"PASSIF";"RESEUR",#N/A,FALSE,"RESULTATS";"FPEUR",#N/A,FALSE,"FP";"N03EUR",#N/A,FALSE,"NOTE03";"N04EUR",#N/A,FALSE,"NOTE04";"N05EUR",#N/A,FALSE,"NOTE05";"N06EUR",#N/A,FALSE,"NOTE06";"N07EUR",#N/A,FALSE,"NOTE07";"N08EUR",#N/A,FALSE,"NOTE08";"N09EUR",#N/A,FALSE,"NOTE09";"N10EUR",#N/A,FALSE,"NOTE10";"N11EUR",#N/A,FALSE,"NOTE11";"N12EUR",#N/A,FALSE,"NOTE12";"N13EUR",#N/A,FALSE,"NOTE13";"N14EUR",#N/A,FALSE,"NOTE14";"N15EUR",#N/A,FALSE,"NOTE15";"N16EUR",#N/A,FALSE,"NOTE16";"N18EUR",#N/A,FALSE,"NOTE18";"N19EUR",#N/A,FALSE,"NOTE19";"N20EUR",#N/A,FALSE,"NOTE20";"N21EUR",#N/A,FALSE,"NOTE21";"N22EUR",#N/A,FALSE,"NOTE22";"N23EUR",#N/A,FALSE,"NOTE23";"N24EUR",#N/A,FALSE,"NOTE24";"N25EUR",#N/A,FALSE,"NOTE25";"N26EUR",#N/A,FALSE,"NOTE26";"N27EUR",#N/A,FALSE,"NOTE27";"N28EUR",#N/A,FALSE,"NOTE28";"N29EUR",#N/A,FALSE,"NOTE29";"N30EUR",#N/A,FALSE,"NOTE30";"N31EUR",#N/A,FALSE,"NOTE31";"N32EUR",#N/A,FALSE,"NOTE32";"N33EUR",#N/A,FALSE,"NOTE33";"BILSOCEUR",#N/A,FALSE,"bilan soc";"RESSOCEUR",#N/A,FALSE,"PL soc";"cinqexEUR",#N/A,FALSE,"5ex"}</definedName>
    <definedName name="wrn.etatfifrfeur._5_1" localSheetId="7" hidden="1">{#N/A,"francaiseur",FALSE,"UNITE";"ACTEUR",#N/A,FALSE,"ACTIF";"PASEUR",#N/A,FALSE,"PASSIF";"RESEUR",#N/A,FALSE,"RESULTATS";"FPEUR",#N/A,FALSE,"FP";"N03EUR",#N/A,FALSE,"NOTE03";"N04EUR",#N/A,FALSE,"NOTE04";"N05EUR",#N/A,FALSE,"NOTE05";"N06EUR",#N/A,FALSE,"NOTE06";"N07EUR",#N/A,FALSE,"NOTE07";"N08EUR",#N/A,FALSE,"NOTE08";"N09EUR",#N/A,FALSE,"NOTE09";"N10EUR",#N/A,FALSE,"NOTE10";"N11EUR",#N/A,FALSE,"NOTE11";"N12EUR",#N/A,FALSE,"NOTE12";"N13EUR",#N/A,FALSE,"NOTE13";"N14EUR",#N/A,FALSE,"NOTE14";"N15EUR",#N/A,FALSE,"NOTE15";"N16EUR",#N/A,FALSE,"NOTE16";"N18EUR",#N/A,FALSE,"NOTE18";"N19EUR",#N/A,FALSE,"NOTE19";"N20EUR",#N/A,FALSE,"NOTE20";"N21EUR",#N/A,FALSE,"NOTE21";"N22EUR",#N/A,FALSE,"NOTE22";"N23EUR",#N/A,FALSE,"NOTE23";"N24EUR",#N/A,FALSE,"NOTE24";"N25EUR",#N/A,FALSE,"NOTE25";"N26EUR",#N/A,FALSE,"NOTE26";"N27EUR",#N/A,FALSE,"NOTE27";"N28EUR",#N/A,FALSE,"NOTE28";"N29EUR",#N/A,FALSE,"NOTE29";"N30EUR",#N/A,FALSE,"NOTE30";"N31EUR",#N/A,FALSE,"NOTE31";"N32EUR",#N/A,FALSE,"NOTE32";"N33EUR",#N/A,FALSE,"NOTE33";"BILSOCEUR",#N/A,FALSE,"bilan soc";"RESSOCEUR",#N/A,FALSE,"PL soc";"cinqexEUR",#N/A,FALSE,"5ex"}</definedName>
    <definedName name="wrn.etatfifrfeur._5_1" localSheetId="8" hidden="1">{#N/A,"francaiseur",FALSE,"UNITE";"ACTEUR",#N/A,FALSE,"ACTIF";"PASEUR",#N/A,FALSE,"PASSIF";"RESEUR",#N/A,FALSE,"RESULTATS";"FPEUR",#N/A,FALSE,"FP";"N03EUR",#N/A,FALSE,"NOTE03";"N04EUR",#N/A,FALSE,"NOTE04";"N05EUR",#N/A,FALSE,"NOTE05";"N06EUR",#N/A,FALSE,"NOTE06";"N07EUR",#N/A,FALSE,"NOTE07";"N08EUR",#N/A,FALSE,"NOTE08";"N09EUR",#N/A,FALSE,"NOTE09";"N10EUR",#N/A,FALSE,"NOTE10";"N11EUR",#N/A,FALSE,"NOTE11";"N12EUR",#N/A,FALSE,"NOTE12";"N13EUR",#N/A,FALSE,"NOTE13";"N14EUR",#N/A,FALSE,"NOTE14";"N15EUR",#N/A,FALSE,"NOTE15";"N16EUR",#N/A,FALSE,"NOTE16";"N18EUR",#N/A,FALSE,"NOTE18";"N19EUR",#N/A,FALSE,"NOTE19";"N20EUR",#N/A,FALSE,"NOTE20";"N21EUR",#N/A,FALSE,"NOTE21";"N22EUR",#N/A,FALSE,"NOTE22";"N23EUR",#N/A,FALSE,"NOTE23";"N24EUR",#N/A,FALSE,"NOTE24";"N25EUR",#N/A,FALSE,"NOTE25";"N26EUR",#N/A,FALSE,"NOTE26";"N27EUR",#N/A,FALSE,"NOTE27";"N28EUR",#N/A,FALSE,"NOTE28";"N29EUR",#N/A,FALSE,"NOTE29";"N30EUR",#N/A,FALSE,"NOTE30";"N31EUR",#N/A,FALSE,"NOTE31";"N32EUR",#N/A,FALSE,"NOTE32";"N33EUR",#N/A,FALSE,"NOTE33";"BILSOCEUR",#N/A,FALSE,"bilan soc";"RESSOCEUR",#N/A,FALSE,"PL soc";"cinqexEUR",#N/A,FALSE,"5ex"}</definedName>
    <definedName name="wrn.etatfifrfeur._5_1" localSheetId="10" hidden="1">{#N/A,"francaiseur",FALSE,"UNITE";"ACTEUR",#N/A,FALSE,"ACTIF";"PASEUR",#N/A,FALSE,"PASSIF";"RESEUR",#N/A,FALSE,"RESULTATS";"FPEUR",#N/A,FALSE,"FP";"N03EUR",#N/A,FALSE,"NOTE03";"N04EUR",#N/A,FALSE,"NOTE04";"N05EUR",#N/A,FALSE,"NOTE05";"N06EUR",#N/A,FALSE,"NOTE06";"N07EUR",#N/A,FALSE,"NOTE07";"N08EUR",#N/A,FALSE,"NOTE08";"N09EUR",#N/A,FALSE,"NOTE09";"N10EUR",#N/A,FALSE,"NOTE10";"N11EUR",#N/A,FALSE,"NOTE11";"N12EUR",#N/A,FALSE,"NOTE12";"N13EUR",#N/A,FALSE,"NOTE13";"N14EUR",#N/A,FALSE,"NOTE14";"N15EUR",#N/A,FALSE,"NOTE15";"N16EUR",#N/A,FALSE,"NOTE16";"N18EUR",#N/A,FALSE,"NOTE18";"N19EUR",#N/A,FALSE,"NOTE19";"N20EUR",#N/A,FALSE,"NOTE20";"N21EUR",#N/A,FALSE,"NOTE21";"N22EUR",#N/A,FALSE,"NOTE22";"N23EUR",#N/A,FALSE,"NOTE23";"N24EUR",#N/A,FALSE,"NOTE24";"N25EUR",#N/A,FALSE,"NOTE25";"N26EUR",#N/A,FALSE,"NOTE26";"N27EUR",#N/A,FALSE,"NOTE27";"N28EUR",#N/A,FALSE,"NOTE28";"N29EUR",#N/A,FALSE,"NOTE29";"N30EUR",#N/A,FALSE,"NOTE30";"N31EUR",#N/A,FALSE,"NOTE31";"N32EUR",#N/A,FALSE,"NOTE32";"N33EUR",#N/A,FALSE,"NOTE33";"BILSOCEUR",#N/A,FALSE,"bilan soc";"RESSOCEUR",#N/A,FALSE,"PL soc";"cinqexEUR",#N/A,FALSE,"5ex"}</definedName>
    <definedName name="wrn.etatfifrfeur._5_1" hidden="1">{#N/A,"francaiseur",FALSE,"UNITE";"ACTEUR",#N/A,FALSE,"ACTIF";"PASEUR",#N/A,FALSE,"PASSIF";"RESEUR",#N/A,FALSE,"RESULTATS";"FPEUR",#N/A,FALSE,"FP";"N03EUR",#N/A,FALSE,"NOTE03";"N04EUR",#N/A,FALSE,"NOTE04";"N05EUR",#N/A,FALSE,"NOTE05";"N06EUR",#N/A,FALSE,"NOTE06";"N07EUR",#N/A,FALSE,"NOTE07";"N08EUR",#N/A,FALSE,"NOTE08";"N09EUR",#N/A,FALSE,"NOTE09";"N10EUR",#N/A,FALSE,"NOTE10";"N11EUR",#N/A,FALSE,"NOTE11";"N12EUR",#N/A,FALSE,"NOTE12";"N13EUR",#N/A,FALSE,"NOTE13";"N14EUR",#N/A,FALSE,"NOTE14";"N15EUR",#N/A,FALSE,"NOTE15";"N16EUR",#N/A,FALSE,"NOTE16";"N18EUR",#N/A,FALSE,"NOTE18";"N19EUR",#N/A,FALSE,"NOTE19";"N20EUR",#N/A,FALSE,"NOTE20";"N21EUR",#N/A,FALSE,"NOTE21";"N22EUR",#N/A,FALSE,"NOTE22";"N23EUR",#N/A,FALSE,"NOTE23";"N24EUR",#N/A,FALSE,"NOTE24";"N25EUR",#N/A,FALSE,"NOTE25";"N26EUR",#N/A,FALSE,"NOTE26";"N27EUR",#N/A,FALSE,"NOTE27";"N28EUR",#N/A,FALSE,"NOTE28";"N29EUR",#N/A,FALSE,"NOTE29";"N30EUR",#N/A,FALSE,"NOTE30";"N31EUR",#N/A,FALSE,"NOTE31";"N32EUR",#N/A,FALSE,"NOTE32";"N33EUR",#N/A,FALSE,"NOTE33";"BILSOCEUR",#N/A,FALSE,"bilan soc";"RESSOCEUR",#N/A,FALSE,"PL soc";"cinqexEUR",#N/A,FALSE,"5ex"}</definedName>
    <definedName name="wrn.etatfifrfeur._5_1_1" localSheetId="12" hidden="1">{#N/A,"francaiseur",FALSE,"UNITE";"ACTEUR",#N/A,FALSE,"ACTIF";"PASEUR",#N/A,FALSE,"PASSIF";"RESEUR",#N/A,FALSE,"RESULTATS";"FPEUR",#N/A,FALSE,"FP";"N03EUR",#N/A,FALSE,"NOTE03";"N04EUR",#N/A,FALSE,"NOTE04";"N05EUR",#N/A,FALSE,"NOTE05";"N06EUR",#N/A,FALSE,"NOTE06";"N07EUR",#N/A,FALSE,"NOTE07";"N08EUR",#N/A,FALSE,"NOTE08";"N09EUR",#N/A,FALSE,"NOTE09";"N10EUR",#N/A,FALSE,"NOTE10";"N11EUR",#N/A,FALSE,"NOTE11";"N12EUR",#N/A,FALSE,"NOTE12";"N13EUR",#N/A,FALSE,"NOTE13";"N14EUR",#N/A,FALSE,"NOTE14";"N15EUR",#N/A,FALSE,"NOTE15";"N16EUR",#N/A,FALSE,"NOTE16";"N18EUR",#N/A,FALSE,"NOTE18";"N19EUR",#N/A,FALSE,"NOTE19";"N20EUR",#N/A,FALSE,"NOTE20";"N21EUR",#N/A,FALSE,"NOTE21";"N22EUR",#N/A,FALSE,"NOTE22";"N23EUR",#N/A,FALSE,"NOTE23";"N24EUR",#N/A,FALSE,"NOTE24";"N25EUR",#N/A,FALSE,"NOTE25";"N26EUR",#N/A,FALSE,"NOTE26";"N27EUR",#N/A,FALSE,"NOTE27";"N28EUR",#N/A,FALSE,"NOTE28";"N29EUR",#N/A,FALSE,"NOTE29";"N30EUR",#N/A,FALSE,"NOTE30";"N31EUR",#N/A,FALSE,"NOTE31";"N32EUR",#N/A,FALSE,"NOTE32";"N33EUR",#N/A,FALSE,"NOTE33";"BILSOCEUR",#N/A,FALSE,"bilan soc";"RESSOCEUR",#N/A,FALSE,"PL soc";"cinqexEUR",#N/A,FALSE,"5ex"}</definedName>
    <definedName name="wrn.etatfifrfeur._5_1_1" hidden="1">{#N/A,"francaiseur",FALSE,"UNITE";"ACTEUR",#N/A,FALSE,"ACTIF";"PASEUR",#N/A,FALSE,"PASSIF";"RESEUR",#N/A,FALSE,"RESULTATS";"FPEUR",#N/A,FALSE,"FP";"N03EUR",#N/A,FALSE,"NOTE03";"N04EUR",#N/A,FALSE,"NOTE04";"N05EUR",#N/A,FALSE,"NOTE05";"N06EUR",#N/A,FALSE,"NOTE06";"N07EUR",#N/A,FALSE,"NOTE07";"N08EUR",#N/A,FALSE,"NOTE08";"N09EUR",#N/A,FALSE,"NOTE09";"N10EUR",#N/A,FALSE,"NOTE10";"N11EUR",#N/A,FALSE,"NOTE11";"N12EUR",#N/A,FALSE,"NOTE12";"N13EUR",#N/A,FALSE,"NOTE13";"N14EUR",#N/A,FALSE,"NOTE14";"N15EUR",#N/A,FALSE,"NOTE15";"N16EUR",#N/A,FALSE,"NOTE16";"N18EUR",#N/A,FALSE,"NOTE18";"N19EUR",#N/A,FALSE,"NOTE19";"N20EUR",#N/A,FALSE,"NOTE20";"N21EUR",#N/A,FALSE,"NOTE21";"N22EUR",#N/A,FALSE,"NOTE22";"N23EUR",#N/A,FALSE,"NOTE23";"N24EUR",#N/A,FALSE,"NOTE24";"N25EUR",#N/A,FALSE,"NOTE25";"N26EUR",#N/A,FALSE,"NOTE26";"N27EUR",#N/A,FALSE,"NOTE27";"N28EUR",#N/A,FALSE,"NOTE28";"N29EUR",#N/A,FALSE,"NOTE29";"N30EUR",#N/A,FALSE,"NOTE30";"N31EUR",#N/A,FALSE,"NOTE31";"N32EUR",#N/A,FALSE,"NOTE32";"N33EUR",#N/A,FALSE,"NOTE33";"BILSOCEUR",#N/A,FALSE,"bilan soc";"RESSOCEUR",#N/A,FALSE,"PL soc";"cinqexEUR",#N/A,FALSE,"5ex"}</definedName>
    <definedName name="wrn.etatfifrfeur._5_1_2" hidden="1">{#N/A,"francaiseur",FALSE,"UNITE";"ACTEUR",#N/A,FALSE,"ACTIF";"PASEUR",#N/A,FALSE,"PASSIF";"RESEUR",#N/A,FALSE,"RESULTATS";"FPEUR",#N/A,FALSE,"FP";"N03EUR",#N/A,FALSE,"NOTE03";"N04EUR",#N/A,FALSE,"NOTE04";"N05EUR",#N/A,FALSE,"NOTE05";"N06EUR",#N/A,FALSE,"NOTE06";"N07EUR",#N/A,FALSE,"NOTE07";"N08EUR",#N/A,FALSE,"NOTE08";"N09EUR",#N/A,FALSE,"NOTE09";"N10EUR",#N/A,FALSE,"NOTE10";"N11EUR",#N/A,FALSE,"NOTE11";"N12EUR",#N/A,FALSE,"NOTE12";"N13EUR",#N/A,FALSE,"NOTE13";"N14EUR",#N/A,FALSE,"NOTE14";"N15EUR",#N/A,FALSE,"NOTE15";"N16EUR",#N/A,FALSE,"NOTE16";"N18EUR",#N/A,FALSE,"NOTE18";"N19EUR",#N/A,FALSE,"NOTE19";"N20EUR",#N/A,FALSE,"NOTE20";"N21EUR",#N/A,FALSE,"NOTE21";"N22EUR",#N/A,FALSE,"NOTE22";"N23EUR",#N/A,FALSE,"NOTE23";"N24EUR",#N/A,FALSE,"NOTE24";"N25EUR",#N/A,FALSE,"NOTE25";"N26EUR",#N/A,FALSE,"NOTE26";"N27EUR",#N/A,FALSE,"NOTE27";"N28EUR",#N/A,FALSE,"NOTE28";"N29EUR",#N/A,FALSE,"NOTE29";"N30EUR",#N/A,FALSE,"NOTE30";"N31EUR",#N/A,FALSE,"NOTE31";"N32EUR",#N/A,FALSE,"NOTE32";"N33EUR",#N/A,FALSE,"NOTE33";"BILSOCEUR",#N/A,FALSE,"bilan soc";"RESSOCEUR",#N/A,FALSE,"PL soc";"cinqexEUR",#N/A,FALSE,"5ex"}</definedName>
    <definedName name="wrn.etatfifrfeur._5_2" localSheetId="12" hidden="1">{#N/A,"francaiseur",FALSE,"UNITE";"ACTEUR",#N/A,FALSE,"ACTIF";"PASEUR",#N/A,FALSE,"PASSIF";"RESEUR",#N/A,FALSE,"RESULTATS";"FPEUR",#N/A,FALSE,"FP";"N03EUR",#N/A,FALSE,"NOTE03";"N04EUR",#N/A,FALSE,"NOTE04";"N05EUR",#N/A,FALSE,"NOTE05";"N06EUR",#N/A,FALSE,"NOTE06";"N07EUR",#N/A,FALSE,"NOTE07";"N08EUR",#N/A,FALSE,"NOTE08";"N09EUR",#N/A,FALSE,"NOTE09";"N10EUR",#N/A,FALSE,"NOTE10";"N11EUR",#N/A,FALSE,"NOTE11";"N12EUR",#N/A,FALSE,"NOTE12";"N13EUR",#N/A,FALSE,"NOTE13";"N14EUR",#N/A,FALSE,"NOTE14";"N15EUR",#N/A,FALSE,"NOTE15";"N16EUR",#N/A,FALSE,"NOTE16";"N18EUR",#N/A,FALSE,"NOTE18";"N19EUR",#N/A,FALSE,"NOTE19";"N20EUR",#N/A,FALSE,"NOTE20";"N21EUR",#N/A,FALSE,"NOTE21";"N22EUR",#N/A,FALSE,"NOTE22";"N23EUR",#N/A,FALSE,"NOTE23";"N24EUR",#N/A,FALSE,"NOTE24";"N25EUR",#N/A,FALSE,"NOTE25";"N26EUR",#N/A,FALSE,"NOTE26";"N27EUR",#N/A,FALSE,"NOTE27";"N28EUR",#N/A,FALSE,"NOTE28";"N29EUR",#N/A,FALSE,"NOTE29";"N30EUR",#N/A,FALSE,"NOTE30";"N31EUR",#N/A,FALSE,"NOTE31";"N32EUR",#N/A,FALSE,"NOTE32";"N33EUR",#N/A,FALSE,"NOTE33";"BILSOCEUR",#N/A,FALSE,"bilan soc";"RESSOCEUR",#N/A,FALSE,"PL soc";"cinqexEUR",#N/A,FALSE,"5ex"}</definedName>
    <definedName name="wrn.etatfifrfeur._5_2" hidden="1">{#N/A,"francaiseur",FALSE,"UNITE";"ACTEUR",#N/A,FALSE,"ACTIF";"PASEUR",#N/A,FALSE,"PASSIF";"RESEUR",#N/A,FALSE,"RESULTATS";"FPEUR",#N/A,FALSE,"FP";"N03EUR",#N/A,FALSE,"NOTE03";"N04EUR",#N/A,FALSE,"NOTE04";"N05EUR",#N/A,FALSE,"NOTE05";"N06EUR",#N/A,FALSE,"NOTE06";"N07EUR",#N/A,FALSE,"NOTE07";"N08EUR",#N/A,FALSE,"NOTE08";"N09EUR",#N/A,FALSE,"NOTE09";"N10EUR",#N/A,FALSE,"NOTE10";"N11EUR",#N/A,FALSE,"NOTE11";"N12EUR",#N/A,FALSE,"NOTE12";"N13EUR",#N/A,FALSE,"NOTE13";"N14EUR",#N/A,FALSE,"NOTE14";"N15EUR",#N/A,FALSE,"NOTE15";"N16EUR",#N/A,FALSE,"NOTE16";"N18EUR",#N/A,FALSE,"NOTE18";"N19EUR",#N/A,FALSE,"NOTE19";"N20EUR",#N/A,FALSE,"NOTE20";"N21EUR",#N/A,FALSE,"NOTE21";"N22EUR",#N/A,FALSE,"NOTE22";"N23EUR",#N/A,FALSE,"NOTE23";"N24EUR",#N/A,FALSE,"NOTE24";"N25EUR",#N/A,FALSE,"NOTE25";"N26EUR",#N/A,FALSE,"NOTE26";"N27EUR",#N/A,FALSE,"NOTE27";"N28EUR",#N/A,FALSE,"NOTE28";"N29EUR",#N/A,FALSE,"NOTE29";"N30EUR",#N/A,FALSE,"NOTE30";"N31EUR",#N/A,FALSE,"NOTE31";"N32EUR",#N/A,FALSE,"NOTE32";"N33EUR",#N/A,FALSE,"NOTE33";"BILSOCEUR",#N/A,FALSE,"bilan soc";"RESSOCEUR",#N/A,FALSE,"PL soc";"cinqexEUR",#N/A,FALSE,"5ex"}</definedName>
    <definedName name="wrn.etatfifrfeur._5_3" localSheetId="12" hidden="1">{#N/A,"francaiseur",FALSE,"UNITE";"ACTEUR",#N/A,FALSE,"ACTIF";"PASEUR",#N/A,FALSE,"PASSIF";"RESEUR",#N/A,FALSE,"RESULTATS";"FPEUR",#N/A,FALSE,"FP";"N03EUR",#N/A,FALSE,"NOTE03";"N04EUR",#N/A,FALSE,"NOTE04";"N05EUR",#N/A,FALSE,"NOTE05";"N06EUR",#N/A,FALSE,"NOTE06";"N07EUR",#N/A,FALSE,"NOTE07";"N08EUR",#N/A,FALSE,"NOTE08";"N09EUR",#N/A,FALSE,"NOTE09";"N10EUR",#N/A,FALSE,"NOTE10";"N11EUR",#N/A,FALSE,"NOTE11";"N12EUR",#N/A,FALSE,"NOTE12";"N13EUR",#N/A,FALSE,"NOTE13";"N14EUR",#N/A,FALSE,"NOTE14";"N15EUR",#N/A,FALSE,"NOTE15";"N16EUR",#N/A,FALSE,"NOTE16";"N18EUR",#N/A,FALSE,"NOTE18";"N19EUR",#N/A,FALSE,"NOTE19";"N20EUR",#N/A,FALSE,"NOTE20";"N21EUR",#N/A,FALSE,"NOTE21";"N22EUR",#N/A,FALSE,"NOTE22";"N23EUR",#N/A,FALSE,"NOTE23";"N24EUR",#N/A,FALSE,"NOTE24";"N25EUR",#N/A,FALSE,"NOTE25";"N26EUR",#N/A,FALSE,"NOTE26";"N27EUR",#N/A,FALSE,"NOTE27";"N28EUR",#N/A,FALSE,"NOTE28";"N29EUR",#N/A,FALSE,"NOTE29";"N30EUR",#N/A,FALSE,"NOTE30";"N31EUR",#N/A,FALSE,"NOTE31";"N32EUR",#N/A,FALSE,"NOTE32";"N33EUR",#N/A,FALSE,"NOTE33";"BILSOCEUR",#N/A,FALSE,"bilan soc";"RESSOCEUR",#N/A,FALSE,"PL soc";"cinqexEUR",#N/A,FALSE,"5ex"}</definedName>
    <definedName name="wrn.etatfifrfeur._5_3" hidden="1">{#N/A,"francaiseur",FALSE,"UNITE";"ACTEUR",#N/A,FALSE,"ACTIF";"PASEUR",#N/A,FALSE,"PASSIF";"RESEUR",#N/A,FALSE,"RESULTATS";"FPEUR",#N/A,FALSE,"FP";"N03EUR",#N/A,FALSE,"NOTE03";"N04EUR",#N/A,FALSE,"NOTE04";"N05EUR",#N/A,FALSE,"NOTE05";"N06EUR",#N/A,FALSE,"NOTE06";"N07EUR",#N/A,FALSE,"NOTE07";"N08EUR",#N/A,FALSE,"NOTE08";"N09EUR",#N/A,FALSE,"NOTE09";"N10EUR",#N/A,FALSE,"NOTE10";"N11EUR",#N/A,FALSE,"NOTE11";"N12EUR",#N/A,FALSE,"NOTE12";"N13EUR",#N/A,FALSE,"NOTE13";"N14EUR",#N/A,FALSE,"NOTE14";"N15EUR",#N/A,FALSE,"NOTE15";"N16EUR",#N/A,FALSE,"NOTE16";"N18EUR",#N/A,FALSE,"NOTE18";"N19EUR",#N/A,FALSE,"NOTE19";"N20EUR",#N/A,FALSE,"NOTE20";"N21EUR",#N/A,FALSE,"NOTE21";"N22EUR",#N/A,FALSE,"NOTE22";"N23EUR",#N/A,FALSE,"NOTE23";"N24EUR",#N/A,FALSE,"NOTE24";"N25EUR",#N/A,FALSE,"NOTE25";"N26EUR",#N/A,FALSE,"NOTE26";"N27EUR",#N/A,FALSE,"NOTE27";"N28EUR",#N/A,FALSE,"NOTE28";"N29EUR",#N/A,FALSE,"NOTE29";"N30EUR",#N/A,FALSE,"NOTE30";"N31EUR",#N/A,FALSE,"NOTE31";"N32EUR",#N/A,FALSE,"NOTE32";"N33EUR",#N/A,FALSE,"NOTE33";"BILSOCEUR",#N/A,FALSE,"bilan soc";"RESSOCEUR",#N/A,FALSE,"PL soc";"cinqexEUR",#N/A,FALSE,"5ex"}</definedName>
    <definedName name="wrn.etatfifrfeur_1" localSheetId="9" hidden="1">{#N/A,"francaiseur",FALSE,"UNITE";"ACTEUR",#N/A,FALSE,"ACTIF";"PASEUR",#N/A,FALSE,"PASSIF";"RESEUR",#N/A,FALSE,"RESULTATS";"FPEUR",#N/A,FALSE,"FP";"N03EUR",#N/A,FALSE,"NOTE03";"N04EUR",#N/A,FALSE,"NOTE04";"N05EUR",#N/A,FALSE,"NOTE05";"N06EUR",#N/A,FALSE,"NOTE06";"N07EUR",#N/A,FALSE,"NOTE07";"N08EUR",#N/A,FALSE,"NOTE08";"N09EUR",#N/A,FALSE,"NOTE09";"N10EUR",#N/A,FALSE,"NOTE10";"N11EUR",#N/A,FALSE,"NOTE11";"N12EUR",#N/A,FALSE,"NOTE12";"N13EUR",#N/A,FALSE,"NOTE13";"N14EUR",#N/A,FALSE,"NOTE14";"N15EUR",#N/A,FALSE,"NOTE15";"N16EUR",#N/A,FALSE,"NOTE16";"N18EUR",#N/A,FALSE,"NOTE18";"N19EUR",#N/A,FALSE,"NOTE19";"N20EUR",#N/A,FALSE,"NOTE20";"N21EUR",#N/A,FALSE,"NOTE21";"N22EUR",#N/A,FALSE,"NOTE22";"N23EUR",#N/A,FALSE,"NOTE23";"N24EUR",#N/A,FALSE,"NOTE24";"N25EUR",#N/A,FALSE,"NOTE25";"N26EUR",#N/A,FALSE,"NOTE26";"N27EUR",#N/A,FALSE,"NOTE27";"N28EUR",#N/A,FALSE,"NOTE28";"N29EUR",#N/A,FALSE,"NOTE29";"N30EUR",#N/A,FALSE,"NOTE30";"N31EUR",#N/A,FALSE,"NOTE31";"N32EUR",#N/A,FALSE,"NOTE32";"N33EUR",#N/A,FALSE,"NOTE33";"BILSOCEUR",#N/A,FALSE,"bilan soc";"RESSOCEUR",#N/A,FALSE,"PL soc";"cinqexEUR",#N/A,FALSE,"5ex"}</definedName>
    <definedName name="wrn.etatfifrfeur_1" localSheetId="12" hidden="1">{#N/A,"francaiseur",FALSE,"UNITE";"ACTEUR",#N/A,FALSE,"ACTIF";"PASEUR",#N/A,FALSE,"PASSIF";"RESEUR",#N/A,FALSE,"RESULTATS";"FPEUR",#N/A,FALSE,"FP";"N03EUR",#N/A,FALSE,"NOTE03";"N04EUR",#N/A,FALSE,"NOTE04";"N05EUR",#N/A,FALSE,"NOTE05";"N06EUR",#N/A,FALSE,"NOTE06";"N07EUR",#N/A,FALSE,"NOTE07";"N08EUR",#N/A,FALSE,"NOTE08";"N09EUR",#N/A,FALSE,"NOTE09";"N10EUR",#N/A,FALSE,"NOTE10";"N11EUR",#N/A,FALSE,"NOTE11";"N12EUR",#N/A,FALSE,"NOTE12";"N13EUR",#N/A,FALSE,"NOTE13";"N14EUR",#N/A,FALSE,"NOTE14";"N15EUR",#N/A,FALSE,"NOTE15";"N16EUR",#N/A,FALSE,"NOTE16";"N18EUR",#N/A,FALSE,"NOTE18";"N19EUR",#N/A,FALSE,"NOTE19";"N20EUR",#N/A,FALSE,"NOTE20";"N21EUR",#N/A,FALSE,"NOTE21";"N22EUR",#N/A,FALSE,"NOTE22";"N23EUR",#N/A,FALSE,"NOTE23";"N24EUR",#N/A,FALSE,"NOTE24";"N25EUR",#N/A,FALSE,"NOTE25";"N26EUR",#N/A,FALSE,"NOTE26";"N27EUR",#N/A,FALSE,"NOTE27";"N28EUR",#N/A,FALSE,"NOTE28";"N29EUR",#N/A,FALSE,"NOTE29";"N30EUR",#N/A,FALSE,"NOTE30";"N31EUR",#N/A,FALSE,"NOTE31";"N32EUR",#N/A,FALSE,"NOTE32";"N33EUR",#N/A,FALSE,"NOTE33";"BILSOCEUR",#N/A,FALSE,"bilan soc";"RESSOCEUR",#N/A,FALSE,"PL soc";"cinqexEUR",#N/A,FALSE,"5ex"}</definedName>
    <definedName name="wrn.etatfifrfeur_1" localSheetId="7" hidden="1">{#N/A,"francaiseur",FALSE,"UNITE";"ACTEUR",#N/A,FALSE,"ACTIF";"PASEUR",#N/A,FALSE,"PASSIF";"RESEUR",#N/A,FALSE,"RESULTATS";"FPEUR",#N/A,FALSE,"FP";"N03EUR",#N/A,FALSE,"NOTE03";"N04EUR",#N/A,FALSE,"NOTE04";"N05EUR",#N/A,FALSE,"NOTE05";"N06EUR",#N/A,FALSE,"NOTE06";"N07EUR",#N/A,FALSE,"NOTE07";"N08EUR",#N/A,FALSE,"NOTE08";"N09EUR",#N/A,FALSE,"NOTE09";"N10EUR",#N/A,FALSE,"NOTE10";"N11EUR",#N/A,FALSE,"NOTE11";"N12EUR",#N/A,FALSE,"NOTE12";"N13EUR",#N/A,FALSE,"NOTE13";"N14EUR",#N/A,FALSE,"NOTE14";"N15EUR",#N/A,FALSE,"NOTE15";"N16EUR",#N/A,FALSE,"NOTE16";"N18EUR",#N/A,FALSE,"NOTE18";"N19EUR",#N/A,FALSE,"NOTE19";"N20EUR",#N/A,FALSE,"NOTE20";"N21EUR",#N/A,FALSE,"NOTE21";"N22EUR",#N/A,FALSE,"NOTE22";"N23EUR",#N/A,FALSE,"NOTE23";"N24EUR",#N/A,FALSE,"NOTE24";"N25EUR",#N/A,FALSE,"NOTE25";"N26EUR",#N/A,FALSE,"NOTE26";"N27EUR",#N/A,FALSE,"NOTE27";"N28EUR",#N/A,FALSE,"NOTE28";"N29EUR",#N/A,FALSE,"NOTE29";"N30EUR",#N/A,FALSE,"NOTE30";"N31EUR",#N/A,FALSE,"NOTE31";"N32EUR",#N/A,FALSE,"NOTE32";"N33EUR",#N/A,FALSE,"NOTE33";"BILSOCEUR",#N/A,FALSE,"bilan soc";"RESSOCEUR",#N/A,FALSE,"PL soc";"cinqexEUR",#N/A,FALSE,"5ex"}</definedName>
    <definedName name="wrn.etatfifrfeur_1" localSheetId="8" hidden="1">{#N/A,"francaiseur",FALSE,"UNITE";"ACTEUR",#N/A,FALSE,"ACTIF";"PASEUR",#N/A,FALSE,"PASSIF";"RESEUR",#N/A,FALSE,"RESULTATS";"FPEUR",#N/A,FALSE,"FP";"N03EUR",#N/A,FALSE,"NOTE03";"N04EUR",#N/A,FALSE,"NOTE04";"N05EUR",#N/A,FALSE,"NOTE05";"N06EUR",#N/A,FALSE,"NOTE06";"N07EUR",#N/A,FALSE,"NOTE07";"N08EUR",#N/A,FALSE,"NOTE08";"N09EUR",#N/A,FALSE,"NOTE09";"N10EUR",#N/A,FALSE,"NOTE10";"N11EUR",#N/A,FALSE,"NOTE11";"N12EUR",#N/A,FALSE,"NOTE12";"N13EUR",#N/A,FALSE,"NOTE13";"N14EUR",#N/A,FALSE,"NOTE14";"N15EUR",#N/A,FALSE,"NOTE15";"N16EUR",#N/A,FALSE,"NOTE16";"N18EUR",#N/A,FALSE,"NOTE18";"N19EUR",#N/A,FALSE,"NOTE19";"N20EUR",#N/A,FALSE,"NOTE20";"N21EUR",#N/A,FALSE,"NOTE21";"N22EUR",#N/A,FALSE,"NOTE22";"N23EUR",#N/A,FALSE,"NOTE23";"N24EUR",#N/A,FALSE,"NOTE24";"N25EUR",#N/A,FALSE,"NOTE25";"N26EUR",#N/A,FALSE,"NOTE26";"N27EUR",#N/A,FALSE,"NOTE27";"N28EUR",#N/A,FALSE,"NOTE28";"N29EUR",#N/A,FALSE,"NOTE29";"N30EUR",#N/A,FALSE,"NOTE30";"N31EUR",#N/A,FALSE,"NOTE31";"N32EUR",#N/A,FALSE,"NOTE32";"N33EUR",#N/A,FALSE,"NOTE33";"BILSOCEUR",#N/A,FALSE,"bilan soc";"RESSOCEUR",#N/A,FALSE,"PL soc";"cinqexEUR",#N/A,FALSE,"5ex"}</definedName>
    <definedName name="wrn.etatfifrfeur_1" localSheetId="10" hidden="1">{#N/A,"francaiseur",FALSE,"UNITE";"ACTEUR",#N/A,FALSE,"ACTIF";"PASEUR",#N/A,FALSE,"PASSIF";"RESEUR",#N/A,FALSE,"RESULTATS";"FPEUR",#N/A,FALSE,"FP";"N03EUR",#N/A,FALSE,"NOTE03";"N04EUR",#N/A,FALSE,"NOTE04";"N05EUR",#N/A,FALSE,"NOTE05";"N06EUR",#N/A,FALSE,"NOTE06";"N07EUR",#N/A,FALSE,"NOTE07";"N08EUR",#N/A,FALSE,"NOTE08";"N09EUR",#N/A,FALSE,"NOTE09";"N10EUR",#N/A,FALSE,"NOTE10";"N11EUR",#N/A,FALSE,"NOTE11";"N12EUR",#N/A,FALSE,"NOTE12";"N13EUR",#N/A,FALSE,"NOTE13";"N14EUR",#N/A,FALSE,"NOTE14";"N15EUR",#N/A,FALSE,"NOTE15";"N16EUR",#N/A,FALSE,"NOTE16";"N18EUR",#N/A,FALSE,"NOTE18";"N19EUR",#N/A,FALSE,"NOTE19";"N20EUR",#N/A,FALSE,"NOTE20";"N21EUR",#N/A,FALSE,"NOTE21";"N22EUR",#N/A,FALSE,"NOTE22";"N23EUR",#N/A,FALSE,"NOTE23";"N24EUR",#N/A,FALSE,"NOTE24";"N25EUR",#N/A,FALSE,"NOTE25";"N26EUR",#N/A,FALSE,"NOTE26";"N27EUR",#N/A,FALSE,"NOTE27";"N28EUR",#N/A,FALSE,"NOTE28";"N29EUR",#N/A,FALSE,"NOTE29";"N30EUR",#N/A,FALSE,"NOTE30";"N31EUR",#N/A,FALSE,"NOTE31";"N32EUR",#N/A,FALSE,"NOTE32";"N33EUR",#N/A,FALSE,"NOTE33";"BILSOCEUR",#N/A,FALSE,"bilan soc";"RESSOCEUR",#N/A,FALSE,"PL soc";"cinqexEUR",#N/A,FALSE,"5ex"}</definedName>
    <definedName name="wrn.etatfifrfeur_1" hidden="1">{#N/A,"francaiseur",FALSE,"UNITE";"ACTEUR",#N/A,FALSE,"ACTIF";"PASEUR",#N/A,FALSE,"PASSIF";"RESEUR",#N/A,FALSE,"RESULTATS";"FPEUR",#N/A,FALSE,"FP";"N03EUR",#N/A,FALSE,"NOTE03";"N04EUR",#N/A,FALSE,"NOTE04";"N05EUR",#N/A,FALSE,"NOTE05";"N06EUR",#N/A,FALSE,"NOTE06";"N07EUR",#N/A,FALSE,"NOTE07";"N08EUR",#N/A,FALSE,"NOTE08";"N09EUR",#N/A,FALSE,"NOTE09";"N10EUR",#N/A,FALSE,"NOTE10";"N11EUR",#N/A,FALSE,"NOTE11";"N12EUR",#N/A,FALSE,"NOTE12";"N13EUR",#N/A,FALSE,"NOTE13";"N14EUR",#N/A,FALSE,"NOTE14";"N15EUR",#N/A,FALSE,"NOTE15";"N16EUR",#N/A,FALSE,"NOTE16";"N18EUR",#N/A,FALSE,"NOTE18";"N19EUR",#N/A,FALSE,"NOTE19";"N20EUR",#N/A,FALSE,"NOTE20";"N21EUR",#N/A,FALSE,"NOTE21";"N22EUR",#N/A,FALSE,"NOTE22";"N23EUR",#N/A,FALSE,"NOTE23";"N24EUR",#N/A,FALSE,"NOTE24";"N25EUR",#N/A,FALSE,"NOTE25";"N26EUR",#N/A,FALSE,"NOTE26";"N27EUR",#N/A,FALSE,"NOTE27";"N28EUR",#N/A,FALSE,"NOTE28";"N29EUR",#N/A,FALSE,"NOTE29";"N30EUR",#N/A,FALSE,"NOTE30";"N31EUR",#N/A,FALSE,"NOTE31";"N32EUR",#N/A,FALSE,"NOTE32";"N33EUR",#N/A,FALSE,"NOTE33";"BILSOCEUR",#N/A,FALSE,"bilan soc";"RESSOCEUR",#N/A,FALSE,"PL soc";"cinqexEUR",#N/A,FALSE,"5ex"}</definedName>
    <definedName name="wrn.etatfifrfeur_1_1" localSheetId="9" hidden="1">{#N/A,"francaiseur",FALSE,"UNITE";"ACTEUR",#N/A,FALSE,"ACTIF";"PASEUR",#N/A,FALSE,"PASSIF";"RESEUR",#N/A,FALSE,"RESULTATS";"FPEUR",#N/A,FALSE,"FP";"N03EUR",#N/A,FALSE,"NOTE03";"N04EUR",#N/A,FALSE,"NOTE04";"N05EUR",#N/A,FALSE,"NOTE05";"N06EUR",#N/A,FALSE,"NOTE06";"N07EUR",#N/A,FALSE,"NOTE07";"N08EUR",#N/A,FALSE,"NOTE08";"N09EUR",#N/A,FALSE,"NOTE09";"N10EUR",#N/A,FALSE,"NOTE10";"N11EUR",#N/A,FALSE,"NOTE11";"N12EUR",#N/A,FALSE,"NOTE12";"N13EUR",#N/A,FALSE,"NOTE13";"N14EUR",#N/A,FALSE,"NOTE14";"N15EUR",#N/A,FALSE,"NOTE15";"N16EUR",#N/A,FALSE,"NOTE16";"N18EUR",#N/A,FALSE,"NOTE18";"N19EUR",#N/A,FALSE,"NOTE19";"N20EUR",#N/A,FALSE,"NOTE20";"N21EUR",#N/A,FALSE,"NOTE21";"N22EUR",#N/A,FALSE,"NOTE22";"N23EUR",#N/A,FALSE,"NOTE23";"N24EUR",#N/A,FALSE,"NOTE24";"N25EUR",#N/A,FALSE,"NOTE25";"N26EUR",#N/A,FALSE,"NOTE26";"N27EUR",#N/A,FALSE,"NOTE27";"N28EUR",#N/A,FALSE,"NOTE28";"N29EUR",#N/A,FALSE,"NOTE29";"N30EUR",#N/A,FALSE,"NOTE30";"N31EUR",#N/A,FALSE,"NOTE31";"N32EUR",#N/A,FALSE,"NOTE32";"N33EUR",#N/A,FALSE,"NOTE33";"BILSOCEUR",#N/A,FALSE,"bilan soc";"RESSOCEUR",#N/A,FALSE,"PL soc";"cinqexEUR",#N/A,FALSE,"5ex"}</definedName>
    <definedName name="wrn.etatfifrfeur_1_1" localSheetId="12" hidden="1">{#N/A,"francaiseur",FALSE,"UNITE";"ACTEUR",#N/A,FALSE,"ACTIF";"PASEUR",#N/A,FALSE,"PASSIF";"RESEUR",#N/A,FALSE,"RESULTATS";"FPEUR",#N/A,FALSE,"FP";"N03EUR",#N/A,FALSE,"NOTE03";"N04EUR",#N/A,FALSE,"NOTE04";"N05EUR",#N/A,FALSE,"NOTE05";"N06EUR",#N/A,FALSE,"NOTE06";"N07EUR",#N/A,FALSE,"NOTE07";"N08EUR",#N/A,FALSE,"NOTE08";"N09EUR",#N/A,FALSE,"NOTE09";"N10EUR",#N/A,FALSE,"NOTE10";"N11EUR",#N/A,FALSE,"NOTE11";"N12EUR",#N/A,FALSE,"NOTE12";"N13EUR",#N/A,FALSE,"NOTE13";"N14EUR",#N/A,FALSE,"NOTE14";"N15EUR",#N/A,FALSE,"NOTE15";"N16EUR",#N/A,FALSE,"NOTE16";"N18EUR",#N/A,FALSE,"NOTE18";"N19EUR",#N/A,FALSE,"NOTE19";"N20EUR",#N/A,FALSE,"NOTE20";"N21EUR",#N/A,FALSE,"NOTE21";"N22EUR",#N/A,FALSE,"NOTE22";"N23EUR",#N/A,FALSE,"NOTE23";"N24EUR",#N/A,FALSE,"NOTE24";"N25EUR",#N/A,FALSE,"NOTE25";"N26EUR",#N/A,FALSE,"NOTE26";"N27EUR",#N/A,FALSE,"NOTE27";"N28EUR",#N/A,FALSE,"NOTE28";"N29EUR",#N/A,FALSE,"NOTE29";"N30EUR",#N/A,FALSE,"NOTE30";"N31EUR",#N/A,FALSE,"NOTE31";"N32EUR",#N/A,FALSE,"NOTE32";"N33EUR",#N/A,FALSE,"NOTE33";"BILSOCEUR",#N/A,FALSE,"bilan soc";"RESSOCEUR",#N/A,FALSE,"PL soc";"cinqexEUR",#N/A,FALSE,"5ex"}</definedName>
    <definedName name="wrn.etatfifrfeur_1_1" localSheetId="7" hidden="1">{#N/A,"francaiseur",FALSE,"UNITE";"ACTEUR",#N/A,FALSE,"ACTIF";"PASEUR",#N/A,FALSE,"PASSIF";"RESEUR",#N/A,FALSE,"RESULTATS";"FPEUR",#N/A,FALSE,"FP";"N03EUR",#N/A,FALSE,"NOTE03";"N04EUR",#N/A,FALSE,"NOTE04";"N05EUR",#N/A,FALSE,"NOTE05";"N06EUR",#N/A,FALSE,"NOTE06";"N07EUR",#N/A,FALSE,"NOTE07";"N08EUR",#N/A,FALSE,"NOTE08";"N09EUR",#N/A,FALSE,"NOTE09";"N10EUR",#N/A,FALSE,"NOTE10";"N11EUR",#N/A,FALSE,"NOTE11";"N12EUR",#N/A,FALSE,"NOTE12";"N13EUR",#N/A,FALSE,"NOTE13";"N14EUR",#N/A,FALSE,"NOTE14";"N15EUR",#N/A,FALSE,"NOTE15";"N16EUR",#N/A,FALSE,"NOTE16";"N18EUR",#N/A,FALSE,"NOTE18";"N19EUR",#N/A,FALSE,"NOTE19";"N20EUR",#N/A,FALSE,"NOTE20";"N21EUR",#N/A,FALSE,"NOTE21";"N22EUR",#N/A,FALSE,"NOTE22";"N23EUR",#N/A,FALSE,"NOTE23";"N24EUR",#N/A,FALSE,"NOTE24";"N25EUR",#N/A,FALSE,"NOTE25";"N26EUR",#N/A,FALSE,"NOTE26";"N27EUR",#N/A,FALSE,"NOTE27";"N28EUR",#N/A,FALSE,"NOTE28";"N29EUR",#N/A,FALSE,"NOTE29";"N30EUR",#N/A,FALSE,"NOTE30";"N31EUR",#N/A,FALSE,"NOTE31";"N32EUR",#N/A,FALSE,"NOTE32";"N33EUR",#N/A,FALSE,"NOTE33";"BILSOCEUR",#N/A,FALSE,"bilan soc";"RESSOCEUR",#N/A,FALSE,"PL soc";"cinqexEUR",#N/A,FALSE,"5ex"}</definedName>
    <definedName name="wrn.etatfifrfeur_1_1" localSheetId="8" hidden="1">{#N/A,"francaiseur",FALSE,"UNITE";"ACTEUR",#N/A,FALSE,"ACTIF";"PASEUR",#N/A,FALSE,"PASSIF";"RESEUR",#N/A,FALSE,"RESULTATS";"FPEUR",#N/A,FALSE,"FP";"N03EUR",#N/A,FALSE,"NOTE03";"N04EUR",#N/A,FALSE,"NOTE04";"N05EUR",#N/A,FALSE,"NOTE05";"N06EUR",#N/A,FALSE,"NOTE06";"N07EUR",#N/A,FALSE,"NOTE07";"N08EUR",#N/A,FALSE,"NOTE08";"N09EUR",#N/A,FALSE,"NOTE09";"N10EUR",#N/A,FALSE,"NOTE10";"N11EUR",#N/A,FALSE,"NOTE11";"N12EUR",#N/A,FALSE,"NOTE12";"N13EUR",#N/A,FALSE,"NOTE13";"N14EUR",#N/A,FALSE,"NOTE14";"N15EUR",#N/A,FALSE,"NOTE15";"N16EUR",#N/A,FALSE,"NOTE16";"N18EUR",#N/A,FALSE,"NOTE18";"N19EUR",#N/A,FALSE,"NOTE19";"N20EUR",#N/A,FALSE,"NOTE20";"N21EUR",#N/A,FALSE,"NOTE21";"N22EUR",#N/A,FALSE,"NOTE22";"N23EUR",#N/A,FALSE,"NOTE23";"N24EUR",#N/A,FALSE,"NOTE24";"N25EUR",#N/A,FALSE,"NOTE25";"N26EUR",#N/A,FALSE,"NOTE26";"N27EUR",#N/A,FALSE,"NOTE27";"N28EUR",#N/A,FALSE,"NOTE28";"N29EUR",#N/A,FALSE,"NOTE29";"N30EUR",#N/A,FALSE,"NOTE30";"N31EUR",#N/A,FALSE,"NOTE31";"N32EUR",#N/A,FALSE,"NOTE32";"N33EUR",#N/A,FALSE,"NOTE33";"BILSOCEUR",#N/A,FALSE,"bilan soc";"RESSOCEUR",#N/A,FALSE,"PL soc";"cinqexEUR",#N/A,FALSE,"5ex"}</definedName>
    <definedName name="wrn.etatfifrfeur_1_1" localSheetId="10" hidden="1">{#N/A,"francaiseur",FALSE,"UNITE";"ACTEUR",#N/A,FALSE,"ACTIF";"PASEUR",#N/A,FALSE,"PASSIF";"RESEUR",#N/A,FALSE,"RESULTATS";"FPEUR",#N/A,FALSE,"FP";"N03EUR",#N/A,FALSE,"NOTE03";"N04EUR",#N/A,FALSE,"NOTE04";"N05EUR",#N/A,FALSE,"NOTE05";"N06EUR",#N/A,FALSE,"NOTE06";"N07EUR",#N/A,FALSE,"NOTE07";"N08EUR",#N/A,FALSE,"NOTE08";"N09EUR",#N/A,FALSE,"NOTE09";"N10EUR",#N/A,FALSE,"NOTE10";"N11EUR",#N/A,FALSE,"NOTE11";"N12EUR",#N/A,FALSE,"NOTE12";"N13EUR",#N/A,FALSE,"NOTE13";"N14EUR",#N/A,FALSE,"NOTE14";"N15EUR",#N/A,FALSE,"NOTE15";"N16EUR",#N/A,FALSE,"NOTE16";"N18EUR",#N/A,FALSE,"NOTE18";"N19EUR",#N/A,FALSE,"NOTE19";"N20EUR",#N/A,FALSE,"NOTE20";"N21EUR",#N/A,FALSE,"NOTE21";"N22EUR",#N/A,FALSE,"NOTE22";"N23EUR",#N/A,FALSE,"NOTE23";"N24EUR",#N/A,FALSE,"NOTE24";"N25EUR",#N/A,FALSE,"NOTE25";"N26EUR",#N/A,FALSE,"NOTE26";"N27EUR",#N/A,FALSE,"NOTE27";"N28EUR",#N/A,FALSE,"NOTE28";"N29EUR",#N/A,FALSE,"NOTE29";"N30EUR",#N/A,FALSE,"NOTE30";"N31EUR",#N/A,FALSE,"NOTE31";"N32EUR",#N/A,FALSE,"NOTE32";"N33EUR",#N/A,FALSE,"NOTE33";"BILSOCEUR",#N/A,FALSE,"bilan soc";"RESSOCEUR",#N/A,FALSE,"PL soc";"cinqexEUR",#N/A,FALSE,"5ex"}</definedName>
    <definedName name="wrn.etatfifrfeur_1_1" hidden="1">{#N/A,"francaiseur",FALSE,"UNITE";"ACTEUR",#N/A,FALSE,"ACTIF";"PASEUR",#N/A,FALSE,"PASSIF";"RESEUR",#N/A,FALSE,"RESULTATS";"FPEUR",#N/A,FALSE,"FP";"N03EUR",#N/A,FALSE,"NOTE03";"N04EUR",#N/A,FALSE,"NOTE04";"N05EUR",#N/A,FALSE,"NOTE05";"N06EUR",#N/A,FALSE,"NOTE06";"N07EUR",#N/A,FALSE,"NOTE07";"N08EUR",#N/A,FALSE,"NOTE08";"N09EUR",#N/A,FALSE,"NOTE09";"N10EUR",#N/A,FALSE,"NOTE10";"N11EUR",#N/A,FALSE,"NOTE11";"N12EUR",#N/A,FALSE,"NOTE12";"N13EUR",#N/A,FALSE,"NOTE13";"N14EUR",#N/A,FALSE,"NOTE14";"N15EUR",#N/A,FALSE,"NOTE15";"N16EUR",#N/A,FALSE,"NOTE16";"N18EUR",#N/A,FALSE,"NOTE18";"N19EUR",#N/A,FALSE,"NOTE19";"N20EUR",#N/A,FALSE,"NOTE20";"N21EUR",#N/A,FALSE,"NOTE21";"N22EUR",#N/A,FALSE,"NOTE22";"N23EUR",#N/A,FALSE,"NOTE23";"N24EUR",#N/A,FALSE,"NOTE24";"N25EUR",#N/A,FALSE,"NOTE25";"N26EUR",#N/A,FALSE,"NOTE26";"N27EUR",#N/A,FALSE,"NOTE27";"N28EUR",#N/A,FALSE,"NOTE28";"N29EUR",#N/A,FALSE,"NOTE29";"N30EUR",#N/A,FALSE,"NOTE30";"N31EUR",#N/A,FALSE,"NOTE31";"N32EUR",#N/A,FALSE,"NOTE32";"N33EUR",#N/A,FALSE,"NOTE33";"BILSOCEUR",#N/A,FALSE,"bilan soc";"RESSOCEUR",#N/A,FALSE,"PL soc";"cinqexEUR",#N/A,FALSE,"5ex"}</definedName>
    <definedName name="wrn.etatfifrfeur_1_1_1" localSheetId="12" hidden="1">{#N/A,"francaiseur",FALSE,"UNITE";"ACTEUR",#N/A,FALSE,"ACTIF";"PASEUR",#N/A,FALSE,"PASSIF";"RESEUR",#N/A,FALSE,"RESULTATS";"FPEUR",#N/A,FALSE,"FP";"N03EUR",#N/A,FALSE,"NOTE03";"N04EUR",#N/A,FALSE,"NOTE04";"N05EUR",#N/A,FALSE,"NOTE05";"N06EUR",#N/A,FALSE,"NOTE06";"N07EUR",#N/A,FALSE,"NOTE07";"N08EUR",#N/A,FALSE,"NOTE08";"N09EUR",#N/A,FALSE,"NOTE09";"N10EUR",#N/A,FALSE,"NOTE10";"N11EUR",#N/A,FALSE,"NOTE11";"N12EUR",#N/A,FALSE,"NOTE12";"N13EUR",#N/A,FALSE,"NOTE13";"N14EUR",#N/A,FALSE,"NOTE14";"N15EUR",#N/A,FALSE,"NOTE15";"N16EUR",#N/A,FALSE,"NOTE16";"N18EUR",#N/A,FALSE,"NOTE18";"N19EUR",#N/A,FALSE,"NOTE19";"N20EUR",#N/A,FALSE,"NOTE20";"N21EUR",#N/A,FALSE,"NOTE21";"N22EUR",#N/A,FALSE,"NOTE22";"N23EUR",#N/A,FALSE,"NOTE23";"N24EUR",#N/A,FALSE,"NOTE24";"N25EUR",#N/A,FALSE,"NOTE25";"N26EUR",#N/A,FALSE,"NOTE26";"N27EUR",#N/A,FALSE,"NOTE27";"N28EUR",#N/A,FALSE,"NOTE28";"N29EUR",#N/A,FALSE,"NOTE29";"N30EUR",#N/A,FALSE,"NOTE30";"N31EUR",#N/A,FALSE,"NOTE31";"N32EUR",#N/A,FALSE,"NOTE32";"N33EUR",#N/A,FALSE,"NOTE33";"BILSOCEUR",#N/A,FALSE,"bilan soc";"RESSOCEUR",#N/A,FALSE,"PL soc";"cinqexEUR",#N/A,FALSE,"5ex"}</definedName>
    <definedName name="wrn.etatfifrfeur_1_1_1" hidden="1">{#N/A,"francaiseur",FALSE,"UNITE";"ACTEUR",#N/A,FALSE,"ACTIF";"PASEUR",#N/A,FALSE,"PASSIF";"RESEUR",#N/A,FALSE,"RESULTATS";"FPEUR",#N/A,FALSE,"FP";"N03EUR",#N/A,FALSE,"NOTE03";"N04EUR",#N/A,FALSE,"NOTE04";"N05EUR",#N/A,FALSE,"NOTE05";"N06EUR",#N/A,FALSE,"NOTE06";"N07EUR",#N/A,FALSE,"NOTE07";"N08EUR",#N/A,FALSE,"NOTE08";"N09EUR",#N/A,FALSE,"NOTE09";"N10EUR",#N/A,FALSE,"NOTE10";"N11EUR",#N/A,FALSE,"NOTE11";"N12EUR",#N/A,FALSE,"NOTE12";"N13EUR",#N/A,FALSE,"NOTE13";"N14EUR",#N/A,FALSE,"NOTE14";"N15EUR",#N/A,FALSE,"NOTE15";"N16EUR",#N/A,FALSE,"NOTE16";"N18EUR",#N/A,FALSE,"NOTE18";"N19EUR",#N/A,FALSE,"NOTE19";"N20EUR",#N/A,FALSE,"NOTE20";"N21EUR",#N/A,FALSE,"NOTE21";"N22EUR",#N/A,FALSE,"NOTE22";"N23EUR",#N/A,FALSE,"NOTE23";"N24EUR",#N/A,FALSE,"NOTE24";"N25EUR",#N/A,FALSE,"NOTE25";"N26EUR",#N/A,FALSE,"NOTE26";"N27EUR",#N/A,FALSE,"NOTE27";"N28EUR",#N/A,FALSE,"NOTE28";"N29EUR",#N/A,FALSE,"NOTE29";"N30EUR",#N/A,FALSE,"NOTE30";"N31EUR",#N/A,FALSE,"NOTE31";"N32EUR",#N/A,FALSE,"NOTE32";"N33EUR",#N/A,FALSE,"NOTE33";"BILSOCEUR",#N/A,FALSE,"bilan soc";"RESSOCEUR",#N/A,FALSE,"PL soc";"cinqexEUR",#N/A,FALSE,"5ex"}</definedName>
    <definedName name="wrn.etatfifrfeur_1_1_2" hidden="1">{#N/A,"francaiseur",FALSE,"UNITE";"ACTEUR",#N/A,FALSE,"ACTIF";"PASEUR",#N/A,FALSE,"PASSIF";"RESEUR",#N/A,FALSE,"RESULTATS";"FPEUR",#N/A,FALSE,"FP";"N03EUR",#N/A,FALSE,"NOTE03";"N04EUR",#N/A,FALSE,"NOTE04";"N05EUR",#N/A,FALSE,"NOTE05";"N06EUR",#N/A,FALSE,"NOTE06";"N07EUR",#N/A,FALSE,"NOTE07";"N08EUR",#N/A,FALSE,"NOTE08";"N09EUR",#N/A,FALSE,"NOTE09";"N10EUR",#N/A,FALSE,"NOTE10";"N11EUR",#N/A,FALSE,"NOTE11";"N12EUR",#N/A,FALSE,"NOTE12";"N13EUR",#N/A,FALSE,"NOTE13";"N14EUR",#N/A,FALSE,"NOTE14";"N15EUR",#N/A,FALSE,"NOTE15";"N16EUR",#N/A,FALSE,"NOTE16";"N18EUR",#N/A,FALSE,"NOTE18";"N19EUR",#N/A,FALSE,"NOTE19";"N20EUR",#N/A,FALSE,"NOTE20";"N21EUR",#N/A,FALSE,"NOTE21";"N22EUR",#N/A,FALSE,"NOTE22";"N23EUR",#N/A,FALSE,"NOTE23";"N24EUR",#N/A,FALSE,"NOTE24";"N25EUR",#N/A,FALSE,"NOTE25";"N26EUR",#N/A,FALSE,"NOTE26";"N27EUR",#N/A,FALSE,"NOTE27";"N28EUR",#N/A,FALSE,"NOTE28";"N29EUR",#N/A,FALSE,"NOTE29";"N30EUR",#N/A,FALSE,"NOTE30";"N31EUR",#N/A,FALSE,"NOTE31";"N32EUR",#N/A,FALSE,"NOTE32";"N33EUR",#N/A,FALSE,"NOTE33";"BILSOCEUR",#N/A,FALSE,"bilan soc";"RESSOCEUR",#N/A,FALSE,"PL soc";"cinqexEUR",#N/A,FALSE,"5ex"}</definedName>
    <definedName name="wrn.etatfifrfeur_1_2" localSheetId="12" hidden="1">{#N/A,"francaiseur",FALSE,"UNITE";"ACTEUR",#N/A,FALSE,"ACTIF";"PASEUR",#N/A,FALSE,"PASSIF";"RESEUR",#N/A,FALSE,"RESULTATS";"FPEUR",#N/A,FALSE,"FP";"N03EUR",#N/A,FALSE,"NOTE03";"N04EUR",#N/A,FALSE,"NOTE04";"N05EUR",#N/A,FALSE,"NOTE05";"N06EUR",#N/A,FALSE,"NOTE06";"N07EUR",#N/A,FALSE,"NOTE07";"N08EUR",#N/A,FALSE,"NOTE08";"N09EUR",#N/A,FALSE,"NOTE09";"N10EUR",#N/A,FALSE,"NOTE10";"N11EUR",#N/A,FALSE,"NOTE11";"N12EUR",#N/A,FALSE,"NOTE12";"N13EUR",#N/A,FALSE,"NOTE13";"N14EUR",#N/A,FALSE,"NOTE14";"N15EUR",#N/A,FALSE,"NOTE15";"N16EUR",#N/A,FALSE,"NOTE16";"N18EUR",#N/A,FALSE,"NOTE18";"N19EUR",#N/A,FALSE,"NOTE19";"N20EUR",#N/A,FALSE,"NOTE20";"N21EUR",#N/A,FALSE,"NOTE21";"N22EUR",#N/A,FALSE,"NOTE22";"N23EUR",#N/A,FALSE,"NOTE23";"N24EUR",#N/A,FALSE,"NOTE24";"N25EUR",#N/A,FALSE,"NOTE25";"N26EUR",#N/A,FALSE,"NOTE26";"N27EUR",#N/A,FALSE,"NOTE27";"N28EUR",#N/A,FALSE,"NOTE28";"N29EUR",#N/A,FALSE,"NOTE29";"N30EUR",#N/A,FALSE,"NOTE30";"N31EUR",#N/A,FALSE,"NOTE31";"N32EUR",#N/A,FALSE,"NOTE32";"N33EUR",#N/A,FALSE,"NOTE33";"BILSOCEUR",#N/A,FALSE,"bilan soc";"RESSOCEUR",#N/A,FALSE,"PL soc";"cinqexEUR",#N/A,FALSE,"5ex"}</definedName>
    <definedName name="wrn.etatfifrfeur_1_2" hidden="1">{#N/A,"francaiseur",FALSE,"UNITE";"ACTEUR",#N/A,FALSE,"ACTIF";"PASEUR",#N/A,FALSE,"PASSIF";"RESEUR",#N/A,FALSE,"RESULTATS";"FPEUR",#N/A,FALSE,"FP";"N03EUR",#N/A,FALSE,"NOTE03";"N04EUR",#N/A,FALSE,"NOTE04";"N05EUR",#N/A,FALSE,"NOTE05";"N06EUR",#N/A,FALSE,"NOTE06";"N07EUR",#N/A,FALSE,"NOTE07";"N08EUR",#N/A,FALSE,"NOTE08";"N09EUR",#N/A,FALSE,"NOTE09";"N10EUR",#N/A,FALSE,"NOTE10";"N11EUR",#N/A,FALSE,"NOTE11";"N12EUR",#N/A,FALSE,"NOTE12";"N13EUR",#N/A,FALSE,"NOTE13";"N14EUR",#N/A,FALSE,"NOTE14";"N15EUR",#N/A,FALSE,"NOTE15";"N16EUR",#N/A,FALSE,"NOTE16";"N18EUR",#N/A,FALSE,"NOTE18";"N19EUR",#N/A,FALSE,"NOTE19";"N20EUR",#N/A,FALSE,"NOTE20";"N21EUR",#N/A,FALSE,"NOTE21";"N22EUR",#N/A,FALSE,"NOTE22";"N23EUR",#N/A,FALSE,"NOTE23";"N24EUR",#N/A,FALSE,"NOTE24";"N25EUR",#N/A,FALSE,"NOTE25";"N26EUR",#N/A,FALSE,"NOTE26";"N27EUR",#N/A,FALSE,"NOTE27";"N28EUR",#N/A,FALSE,"NOTE28";"N29EUR",#N/A,FALSE,"NOTE29";"N30EUR",#N/A,FALSE,"NOTE30";"N31EUR",#N/A,FALSE,"NOTE31";"N32EUR",#N/A,FALSE,"NOTE32";"N33EUR",#N/A,FALSE,"NOTE33";"BILSOCEUR",#N/A,FALSE,"bilan soc";"RESSOCEUR",#N/A,FALSE,"PL soc";"cinqexEUR",#N/A,FALSE,"5ex"}</definedName>
    <definedName name="wrn.etatfifrfeur_1_3" localSheetId="12" hidden="1">{#N/A,"francaiseur",FALSE,"UNITE";"ACTEUR",#N/A,FALSE,"ACTIF";"PASEUR",#N/A,FALSE,"PASSIF";"RESEUR",#N/A,FALSE,"RESULTATS";"FPEUR",#N/A,FALSE,"FP";"N03EUR",#N/A,FALSE,"NOTE03";"N04EUR",#N/A,FALSE,"NOTE04";"N05EUR",#N/A,FALSE,"NOTE05";"N06EUR",#N/A,FALSE,"NOTE06";"N07EUR",#N/A,FALSE,"NOTE07";"N08EUR",#N/A,FALSE,"NOTE08";"N09EUR",#N/A,FALSE,"NOTE09";"N10EUR",#N/A,FALSE,"NOTE10";"N11EUR",#N/A,FALSE,"NOTE11";"N12EUR",#N/A,FALSE,"NOTE12";"N13EUR",#N/A,FALSE,"NOTE13";"N14EUR",#N/A,FALSE,"NOTE14";"N15EUR",#N/A,FALSE,"NOTE15";"N16EUR",#N/A,FALSE,"NOTE16";"N18EUR",#N/A,FALSE,"NOTE18";"N19EUR",#N/A,FALSE,"NOTE19";"N20EUR",#N/A,FALSE,"NOTE20";"N21EUR",#N/A,FALSE,"NOTE21";"N22EUR",#N/A,FALSE,"NOTE22";"N23EUR",#N/A,FALSE,"NOTE23";"N24EUR",#N/A,FALSE,"NOTE24";"N25EUR",#N/A,FALSE,"NOTE25";"N26EUR",#N/A,FALSE,"NOTE26";"N27EUR",#N/A,FALSE,"NOTE27";"N28EUR",#N/A,FALSE,"NOTE28";"N29EUR",#N/A,FALSE,"NOTE29";"N30EUR",#N/A,FALSE,"NOTE30";"N31EUR",#N/A,FALSE,"NOTE31";"N32EUR",#N/A,FALSE,"NOTE32";"N33EUR",#N/A,FALSE,"NOTE33";"BILSOCEUR",#N/A,FALSE,"bilan soc";"RESSOCEUR",#N/A,FALSE,"PL soc";"cinqexEUR",#N/A,FALSE,"5ex"}</definedName>
    <definedName name="wrn.etatfifrfeur_1_3" hidden="1">{#N/A,"francaiseur",FALSE,"UNITE";"ACTEUR",#N/A,FALSE,"ACTIF";"PASEUR",#N/A,FALSE,"PASSIF";"RESEUR",#N/A,FALSE,"RESULTATS";"FPEUR",#N/A,FALSE,"FP";"N03EUR",#N/A,FALSE,"NOTE03";"N04EUR",#N/A,FALSE,"NOTE04";"N05EUR",#N/A,FALSE,"NOTE05";"N06EUR",#N/A,FALSE,"NOTE06";"N07EUR",#N/A,FALSE,"NOTE07";"N08EUR",#N/A,FALSE,"NOTE08";"N09EUR",#N/A,FALSE,"NOTE09";"N10EUR",#N/A,FALSE,"NOTE10";"N11EUR",#N/A,FALSE,"NOTE11";"N12EUR",#N/A,FALSE,"NOTE12";"N13EUR",#N/A,FALSE,"NOTE13";"N14EUR",#N/A,FALSE,"NOTE14";"N15EUR",#N/A,FALSE,"NOTE15";"N16EUR",#N/A,FALSE,"NOTE16";"N18EUR",#N/A,FALSE,"NOTE18";"N19EUR",#N/A,FALSE,"NOTE19";"N20EUR",#N/A,FALSE,"NOTE20";"N21EUR",#N/A,FALSE,"NOTE21";"N22EUR",#N/A,FALSE,"NOTE22";"N23EUR",#N/A,FALSE,"NOTE23";"N24EUR",#N/A,FALSE,"NOTE24";"N25EUR",#N/A,FALSE,"NOTE25";"N26EUR",#N/A,FALSE,"NOTE26";"N27EUR",#N/A,FALSE,"NOTE27";"N28EUR",#N/A,FALSE,"NOTE28";"N29EUR",#N/A,FALSE,"NOTE29";"N30EUR",#N/A,FALSE,"NOTE30";"N31EUR",#N/A,FALSE,"NOTE31";"N32EUR",#N/A,FALSE,"NOTE32";"N33EUR",#N/A,FALSE,"NOTE33";"BILSOCEUR",#N/A,FALSE,"bilan soc";"RESSOCEUR",#N/A,FALSE,"PL soc";"cinqexEUR",#N/A,FALSE,"5ex"}</definedName>
    <definedName name="wrn.etatfifrfeur_2" localSheetId="9" hidden="1">{#N/A,"francaiseur",FALSE,"UNITE";"ACTEUR",#N/A,FALSE,"ACTIF";"PASEUR",#N/A,FALSE,"PASSIF";"RESEUR",#N/A,FALSE,"RESULTATS";"FPEUR",#N/A,FALSE,"FP";"N03EUR",#N/A,FALSE,"NOTE03";"N04EUR",#N/A,FALSE,"NOTE04";"N05EUR",#N/A,FALSE,"NOTE05";"N06EUR",#N/A,FALSE,"NOTE06";"N07EUR",#N/A,FALSE,"NOTE07";"N08EUR",#N/A,FALSE,"NOTE08";"N09EUR",#N/A,FALSE,"NOTE09";"N10EUR",#N/A,FALSE,"NOTE10";"N11EUR",#N/A,FALSE,"NOTE11";"N12EUR",#N/A,FALSE,"NOTE12";"N13EUR",#N/A,FALSE,"NOTE13";"N14EUR",#N/A,FALSE,"NOTE14";"N15EUR",#N/A,FALSE,"NOTE15";"N16EUR",#N/A,FALSE,"NOTE16";"N18EUR",#N/A,FALSE,"NOTE18";"N19EUR",#N/A,FALSE,"NOTE19";"N20EUR",#N/A,FALSE,"NOTE20";"N21EUR",#N/A,FALSE,"NOTE21";"N22EUR",#N/A,FALSE,"NOTE22";"N23EUR",#N/A,FALSE,"NOTE23";"N24EUR",#N/A,FALSE,"NOTE24";"N25EUR",#N/A,FALSE,"NOTE25";"N26EUR",#N/A,FALSE,"NOTE26";"N27EUR",#N/A,FALSE,"NOTE27";"N28EUR",#N/A,FALSE,"NOTE28";"N29EUR",#N/A,FALSE,"NOTE29";"N30EUR",#N/A,FALSE,"NOTE30";"N31EUR",#N/A,FALSE,"NOTE31";"N32EUR",#N/A,FALSE,"NOTE32";"N33EUR",#N/A,FALSE,"NOTE33";"BILSOCEUR",#N/A,FALSE,"bilan soc";"RESSOCEUR",#N/A,FALSE,"PL soc";"cinqexEUR",#N/A,FALSE,"5ex"}</definedName>
    <definedName name="wrn.etatfifrfeur_2" localSheetId="12" hidden="1">{#N/A,"francaiseur",FALSE,"UNITE";"ACTEUR",#N/A,FALSE,"ACTIF";"PASEUR",#N/A,FALSE,"PASSIF";"RESEUR",#N/A,FALSE,"RESULTATS";"FPEUR",#N/A,FALSE,"FP";"N03EUR",#N/A,FALSE,"NOTE03";"N04EUR",#N/A,FALSE,"NOTE04";"N05EUR",#N/A,FALSE,"NOTE05";"N06EUR",#N/A,FALSE,"NOTE06";"N07EUR",#N/A,FALSE,"NOTE07";"N08EUR",#N/A,FALSE,"NOTE08";"N09EUR",#N/A,FALSE,"NOTE09";"N10EUR",#N/A,FALSE,"NOTE10";"N11EUR",#N/A,FALSE,"NOTE11";"N12EUR",#N/A,FALSE,"NOTE12";"N13EUR",#N/A,FALSE,"NOTE13";"N14EUR",#N/A,FALSE,"NOTE14";"N15EUR",#N/A,FALSE,"NOTE15";"N16EUR",#N/A,FALSE,"NOTE16";"N18EUR",#N/A,FALSE,"NOTE18";"N19EUR",#N/A,FALSE,"NOTE19";"N20EUR",#N/A,FALSE,"NOTE20";"N21EUR",#N/A,FALSE,"NOTE21";"N22EUR",#N/A,FALSE,"NOTE22";"N23EUR",#N/A,FALSE,"NOTE23";"N24EUR",#N/A,FALSE,"NOTE24";"N25EUR",#N/A,FALSE,"NOTE25";"N26EUR",#N/A,FALSE,"NOTE26";"N27EUR",#N/A,FALSE,"NOTE27";"N28EUR",#N/A,FALSE,"NOTE28";"N29EUR",#N/A,FALSE,"NOTE29";"N30EUR",#N/A,FALSE,"NOTE30";"N31EUR",#N/A,FALSE,"NOTE31";"N32EUR",#N/A,FALSE,"NOTE32";"N33EUR",#N/A,FALSE,"NOTE33";"BILSOCEUR",#N/A,FALSE,"bilan soc";"RESSOCEUR",#N/A,FALSE,"PL soc";"cinqexEUR",#N/A,FALSE,"5ex"}</definedName>
    <definedName name="wrn.etatfifrfeur_2" localSheetId="7" hidden="1">{#N/A,"francaiseur",FALSE,"UNITE";"ACTEUR",#N/A,FALSE,"ACTIF";"PASEUR",#N/A,FALSE,"PASSIF";"RESEUR",#N/A,FALSE,"RESULTATS";"FPEUR",#N/A,FALSE,"FP";"N03EUR",#N/A,FALSE,"NOTE03";"N04EUR",#N/A,FALSE,"NOTE04";"N05EUR",#N/A,FALSE,"NOTE05";"N06EUR",#N/A,FALSE,"NOTE06";"N07EUR",#N/A,FALSE,"NOTE07";"N08EUR",#N/A,FALSE,"NOTE08";"N09EUR",#N/A,FALSE,"NOTE09";"N10EUR",#N/A,FALSE,"NOTE10";"N11EUR",#N/A,FALSE,"NOTE11";"N12EUR",#N/A,FALSE,"NOTE12";"N13EUR",#N/A,FALSE,"NOTE13";"N14EUR",#N/A,FALSE,"NOTE14";"N15EUR",#N/A,FALSE,"NOTE15";"N16EUR",#N/A,FALSE,"NOTE16";"N18EUR",#N/A,FALSE,"NOTE18";"N19EUR",#N/A,FALSE,"NOTE19";"N20EUR",#N/A,FALSE,"NOTE20";"N21EUR",#N/A,FALSE,"NOTE21";"N22EUR",#N/A,FALSE,"NOTE22";"N23EUR",#N/A,FALSE,"NOTE23";"N24EUR",#N/A,FALSE,"NOTE24";"N25EUR",#N/A,FALSE,"NOTE25";"N26EUR",#N/A,FALSE,"NOTE26";"N27EUR",#N/A,FALSE,"NOTE27";"N28EUR",#N/A,FALSE,"NOTE28";"N29EUR",#N/A,FALSE,"NOTE29";"N30EUR",#N/A,FALSE,"NOTE30";"N31EUR",#N/A,FALSE,"NOTE31";"N32EUR",#N/A,FALSE,"NOTE32";"N33EUR",#N/A,FALSE,"NOTE33";"BILSOCEUR",#N/A,FALSE,"bilan soc";"RESSOCEUR",#N/A,FALSE,"PL soc";"cinqexEUR",#N/A,FALSE,"5ex"}</definedName>
    <definedName name="wrn.etatfifrfeur_2" localSheetId="8" hidden="1">{#N/A,"francaiseur",FALSE,"UNITE";"ACTEUR",#N/A,FALSE,"ACTIF";"PASEUR",#N/A,FALSE,"PASSIF";"RESEUR",#N/A,FALSE,"RESULTATS";"FPEUR",#N/A,FALSE,"FP";"N03EUR",#N/A,FALSE,"NOTE03";"N04EUR",#N/A,FALSE,"NOTE04";"N05EUR",#N/A,FALSE,"NOTE05";"N06EUR",#N/A,FALSE,"NOTE06";"N07EUR",#N/A,FALSE,"NOTE07";"N08EUR",#N/A,FALSE,"NOTE08";"N09EUR",#N/A,FALSE,"NOTE09";"N10EUR",#N/A,FALSE,"NOTE10";"N11EUR",#N/A,FALSE,"NOTE11";"N12EUR",#N/A,FALSE,"NOTE12";"N13EUR",#N/A,FALSE,"NOTE13";"N14EUR",#N/A,FALSE,"NOTE14";"N15EUR",#N/A,FALSE,"NOTE15";"N16EUR",#N/A,FALSE,"NOTE16";"N18EUR",#N/A,FALSE,"NOTE18";"N19EUR",#N/A,FALSE,"NOTE19";"N20EUR",#N/A,FALSE,"NOTE20";"N21EUR",#N/A,FALSE,"NOTE21";"N22EUR",#N/A,FALSE,"NOTE22";"N23EUR",#N/A,FALSE,"NOTE23";"N24EUR",#N/A,FALSE,"NOTE24";"N25EUR",#N/A,FALSE,"NOTE25";"N26EUR",#N/A,FALSE,"NOTE26";"N27EUR",#N/A,FALSE,"NOTE27";"N28EUR",#N/A,FALSE,"NOTE28";"N29EUR",#N/A,FALSE,"NOTE29";"N30EUR",#N/A,FALSE,"NOTE30";"N31EUR",#N/A,FALSE,"NOTE31";"N32EUR",#N/A,FALSE,"NOTE32";"N33EUR",#N/A,FALSE,"NOTE33";"BILSOCEUR",#N/A,FALSE,"bilan soc";"RESSOCEUR",#N/A,FALSE,"PL soc";"cinqexEUR",#N/A,FALSE,"5ex"}</definedName>
    <definedName name="wrn.etatfifrfeur_2" localSheetId="10" hidden="1">{#N/A,"francaiseur",FALSE,"UNITE";"ACTEUR",#N/A,FALSE,"ACTIF";"PASEUR",#N/A,FALSE,"PASSIF";"RESEUR",#N/A,FALSE,"RESULTATS";"FPEUR",#N/A,FALSE,"FP";"N03EUR",#N/A,FALSE,"NOTE03";"N04EUR",#N/A,FALSE,"NOTE04";"N05EUR",#N/A,FALSE,"NOTE05";"N06EUR",#N/A,FALSE,"NOTE06";"N07EUR",#N/A,FALSE,"NOTE07";"N08EUR",#N/A,FALSE,"NOTE08";"N09EUR",#N/A,FALSE,"NOTE09";"N10EUR",#N/A,FALSE,"NOTE10";"N11EUR",#N/A,FALSE,"NOTE11";"N12EUR",#N/A,FALSE,"NOTE12";"N13EUR",#N/A,FALSE,"NOTE13";"N14EUR",#N/A,FALSE,"NOTE14";"N15EUR",#N/A,FALSE,"NOTE15";"N16EUR",#N/A,FALSE,"NOTE16";"N18EUR",#N/A,FALSE,"NOTE18";"N19EUR",#N/A,FALSE,"NOTE19";"N20EUR",#N/A,FALSE,"NOTE20";"N21EUR",#N/A,FALSE,"NOTE21";"N22EUR",#N/A,FALSE,"NOTE22";"N23EUR",#N/A,FALSE,"NOTE23";"N24EUR",#N/A,FALSE,"NOTE24";"N25EUR",#N/A,FALSE,"NOTE25";"N26EUR",#N/A,FALSE,"NOTE26";"N27EUR",#N/A,FALSE,"NOTE27";"N28EUR",#N/A,FALSE,"NOTE28";"N29EUR",#N/A,FALSE,"NOTE29";"N30EUR",#N/A,FALSE,"NOTE30";"N31EUR",#N/A,FALSE,"NOTE31";"N32EUR",#N/A,FALSE,"NOTE32";"N33EUR",#N/A,FALSE,"NOTE33";"BILSOCEUR",#N/A,FALSE,"bilan soc";"RESSOCEUR",#N/A,FALSE,"PL soc";"cinqexEUR",#N/A,FALSE,"5ex"}</definedName>
    <definedName name="wrn.etatfifrfeur_2" hidden="1">{#N/A,"francaiseur",FALSE,"UNITE";"ACTEUR",#N/A,FALSE,"ACTIF";"PASEUR",#N/A,FALSE,"PASSIF";"RESEUR",#N/A,FALSE,"RESULTATS";"FPEUR",#N/A,FALSE,"FP";"N03EUR",#N/A,FALSE,"NOTE03";"N04EUR",#N/A,FALSE,"NOTE04";"N05EUR",#N/A,FALSE,"NOTE05";"N06EUR",#N/A,FALSE,"NOTE06";"N07EUR",#N/A,FALSE,"NOTE07";"N08EUR",#N/A,FALSE,"NOTE08";"N09EUR",#N/A,FALSE,"NOTE09";"N10EUR",#N/A,FALSE,"NOTE10";"N11EUR",#N/A,FALSE,"NOTE11";"N12EUR",#N/A,FALSE,"NOTE12";"N13EUR",#N/A,FALSE,"NOTE13";"N14EUR",#N/A,FALSE,"NOTE14";"N15EUR",#N/A,FALSE,"NOTE15";"N16EUR",#N/A,FALSE,"NOTE16";"N18EUR",#N/A,FALSE,"NOTE18";"N19EUR",#N/A,FALSE,"NOTE19";"N20EUR",#N/A,FALSE,"NOTE20";"N21EUR",#N/A,FALSE,"NOTE21";"N22EUR",#N/A,FALSE,"NOTE22";"N23EUR",#N/A,FALSE,"NOTE23";"N24EUR",#N/A,FALSE,"NOTE24";"N25EUR",#N/A,FALSE,"NOTE25";"N26EUR",#N/A,FALSE,"NOTE26";"N27EUR",#N/A,FALSE,"NOTE27";"N28EUR",#N/A,FALSE,"NOTE28";"N29EUR",#N/A,FALSE,"NOTE29";"N30EUR",#N/A,FALSE,"NOTE30";"N31EUR",#N/A,FALSE,"NOTE31";"N32EUR",#N/A,FALSE,"NOTE32";"N33EUR",#N/A,FALSE,"NOTE33";"BILSOCEUR",#N/A,FALSE,"bilan soc";"RESSOCEUR",#N/A,FALSE,"PL soc";"cinqexEUR",#N/A,FALSE,"5ex"}</definedName>
    <definedName name="wrn.etatfifrfeur_2_1" localSheetId="9" hidden="1">{#N/A,"francaiseur",FALSE,"UNITE";"ACTEUR",#N/A,FALSE,"ACTIF";"PASEUR",#N/A,FALSE,"PASSIF";"RESEUR",#N/A,FALSE,"RESULTATS";"FPEUR",#N/A,FALSE,"FP";"N03EUR",#N/A,FALSE,"NOTE03";"N04EUR",#N/A,FALSE,"NOTE04";"N05EUR",#N/A,FALSE,"NOTE05";"N06EUR",#N/A,FALSE,"NOTE06";"N07EUR",#N/A,FALSE,"NOTE07";"N08EUR",#N/A,FALSE,"NOTE08";"N09EUR",#N/A,FALSE,"NOTE09";"N10EUR",#N/A,FALSE,"NOTE10";"N11EUR",#N/A,FALSE,"NOTE11";"N12EUR",#N/A,FALSE,"NOTE12";"N13EUR",#N/A,FALSE,"NOTE13";"N14EUR",#N/A,FALSE,"NOTE14";"N15EUR",#N/A,FALSE,"NOTE15";"N16EUR",#N/A,FALSE,"NOTE16";"N18EUR",#N/A,FALSE,"NOTE18";"N19EUR",#N/A,FALSE,"NOTE19";"N20EUR",#N/A,FALSE,"NOTE20";"N21EUR",#N/A,FALSE,"NOTE21";"N22EUR",#N/A,FALSE,"NOTE22";"N23EUR",#N/A,FALSE,"NOTE23";"N24EUR",#N/A,FALSE,"NOTE24";"N25EUR",#N/A,FALSE,"NOTE25";"N26EUR",#N/A,FALSE,"NOTE26";"N27EUR",#N/A,FALSE,"NOTE27";"N28EUR",#N/A,FALSE,"NOTE28";"N29EUR",#N/A,FALSE,"NOTE29";"N30EUR",#N/A,FALSE,"NOTE30";"N31EUR",#N/A,FALSE,"NOTE31";"N32EUR",#N/A,FALSE,"NOTE32";"N33EUR",#N/A,FALSE,"NOTE33";"BILSOCEUR",#N/A,FALSE,"bilan soc";"RESSOCEUR",#N/A,FALSE,"PL soc";"cinqexEUR",#N/A,FALSE,"5ex"}</definedName>
    <definedName name="wrn.etatfifrfeur_2_1" localSheetId="12" hidden="1">{#N/A,"francaiseur",FALSE,"UNITE";"ACTEUR",#N/A,FALSE,"ACTIF";"PASEUR",#N/A,FALSE,"PASSIF";"RESEUR",#N/A,FALSE,"RESULTATS";"FPEUR",#N/A,FALSE,"FP";"N03EUR",#N/A,FALSE,"NOTE03";"N04EUR",#N/A,FALSE,"NOTE04";"N05EUR",#N/A,FALSE,"NOTE05";"N06EUR",#N/A,FALSE,"NOTE06";"N07EUR",#N/A,FALSE,"NOTE07";"N08EUR",#N/A,FALSE,"NOTE08";"N09EUR",#N/A,FALSE,"NOTE09";"N10EUR",#N/A,FALSE,"NOTE10";"N11EUR",#N/A,FALSE,"NOTE11";"N12EUR",#N/A,FALSE,"NOTE12";"N13EUR",#N/A,FALSE,"NOTE13";"N14EUR",#N/A,FALSE,"NOTE14";"N15EUR",#N/A,FALSE,"NOTE15";"N16EUR",#N/A,FALSE,"NOTE16";"N18EUR",#N/A,FALSE,"NOTE18";"N19EUR",#N/A,FALSE,"NOTE19";"N20EUR",#N/A,FALSE,"NOTE20";"N21EUR",#N/A,FALSE,"NOTE21";"N22EUR",#N/A,FALSE,"NOTE22";"N23EUR",#N/A,FALSE,"NOTE23";"N24EUR",#N/A,FALSE,"NOTE24";"N25EUR",#N/A,FALSE,"NOTE25";"N26EUR",#N/A,FALSE,"NOTE26";"N27EUR",#N/A,FALSE,"NOTE27";"N28EUR",#N/A,FALSE,"NOTE28";"N29EUR",#N/A,FALSE,"NOTE29";"N30EUR",#N/A,FALSE,"NOTE30";"N31EUR",#N/A,FALSE,"NOTE31";"N32EUR",#N/A,FALSE,"NOTE32";"N33EUR",#N/A,FALSE,"NOTE33";"BILSOCEUR",#N/A,FALSE,"bilan soc";"RESSOCEUR",#N/A,FALSE,"PL soc";"cinqexEUR",#N/A,FALSE,"5ex"}</definedName>
    <definedName name="wrn.etatfifrfeur_2_1" localSheetId="7" hidden="1">{#N/A,"francaiseur",FALSE,"UNITE";"ACTEUR",#N/A,FALSE,"ACTIF";"PASEUR",#N/A,FALSE,"PASSIF";"RESEUR",#N/A,FALSE,"RESULTATS";"FPEUR",#N/A,FALSE,"FP";"N03EUR",#N/A,FALSE,"NOTE03";"N04EUR",#N/A,FALSE,"NOTE04";"N05EUR",#N/A,FALSE,"NOTE05";"N06EUR",#N/A,FALSE,"NOTE06";"N07EUR",#N/A,FALSE,"NOTE07";"N08EUR",#N/A,FALSE,"NOTE08";"N09EUR",#N/A,FALSE,"NOTE09";"N10EUR",#N/A,FALSE,"NOTE10";"N11EUR",#N/A,FALSE,"NOTE11";"N12EUR",#N/A,FALSE,"NOTE12";"N13EUR",#N/A,FALSE,"NOTE13";"N14EUR",#N/A,FALSE,"NOTE14";"N15EUR",#N/A,FALSE,"NOTE15";"N16EUR",#N/A,FALSE,"NOTE16";"N18EUR",#N/A,FALSE,"NOTE18";"N19EUR",#N/A,FALSE,"NOTE19";"N20EUR",#N/A,FALSE,"NOTE20";"N21EUR",#N/A,FALSE,"NOTE21";"N22EUR",#N/A,FALSE,"NOTE22";"N23EUR",#N/A,FALSE,"NOTE23";"N24EUR",#N/A,FALSE,"NOTE24";"N25EUR",#N/A,FALSE,"NOTE25";"N26EUR",#N/A,FALSE,"NOTE26";"N27EUR",#N/A,FALSE,"NOTE27";"N28EUR",#N/A,FALSE,"NOTE28";"N29EUR",#N/A,FALSE,"NOTE29";"N30EUR",#N/A,FALSE,"NOTE30";"N31EUR",#N/A,FALSE,"NOTE31";"N32EUR",#N/A,FALSE,"NOTE32";"N33EUR",#N/A,FALSE,"NOTE33";"BILSOCEUR",#N/A,FALSE,"bilan soc";"RESSOCEUR",#N/A,FALSE,"PL soc";"cinqexEUR",#N/A,FALSE,"5ex"}</definedName>
    <definedName name="wrn.etatfifrfeur_2_1" localSheetId="8" hidden="1">{#N/A,"francaiseur",FALSE,"UNITE";"ACTEUR",#N/A,FALSE,"ACTIF";"PASEUR",#N/A,FALSE,"PASSIF";"RESEUR",#N/A,FALSE,"RESULTATS";"FPEUR",#N/A,FALSE,"FP";"N03EUR",#N/A,FALSE,"NOTE03";"N04EUR",#N/A,FALSE,"NOTE04";"N05EUR",#N/A,FALSE,"NOTE05";"N06EUR",#N/A,FALSE,"NOTE06";"N07EUR",#N/A,FALSE,"NOTE07";"N08EUR",#N/A,FALSE,"NOTE08";"N09EUR",#N/A,FALSE,"NOTE09";"N10EUR",#N/A,FALSE,"NOTE10";"N11EUR",#N/A,FALSE,"NOTE11";"N12EUR",#N/A,FALSE,"NOTE12";"N13EUR",#N/A,FALSE,"NOTE13";"N14EUR",#N/A,FALSE,"NOTE14";"N15EUR",#N/A,FALSE,"NOTE15";"N16EUR",#N/A,FALSE,"NOTE16";"N18EUR",#N/A,FALSE,"NOTE18";"N19EUR",#N/A,FALSE,"NOTE19";"N20EUR",#N/A,FALSE,"NOTE20";"N21EUR",#N/A,FALSE,"NOTE21";"N22EUR",#N/A,FALSE,"NOTE22";"N23EUR",#N/A,FALSE,"NOTE23";"N24EUR",#N/A,FALSE,"NOTE24";"N25EUR",#N/A,FALSE,"NOTE25";"N26EUR",#N/A,FALSE,"NOTE26";"N27EUR",#N/A,FALSE,"NOTE27";"N28EUR",#N/A,FALSE,"NOTE28";"N29EUR",#N/A,FALSE,"NOTE29";"N30EUR",#N/A,FALSE,"NOTE30";"N31EUR",#N/A,FALSE,"NOTE31";"N32EUR",#N/A,FALSE,"NOTE32";"N33EUR",#N/A,FALSE,"NOTE33";"BILSOCEUR",#N/A,FALSE,"bilan soc";"RESSOCEUR",#N/A,FALSE,"PL soc";"cinqexEUR",#N/A,FALSE,"5ex"}</definedName>
    <definedName name="wrn.etatfifrfeur_2_1" localSheetId="10" hidden="1">{#N/A,"francaiseur",FALSE,"UNITE";"ACTEUR",#N/A,FALSE,"ACTIF";"PASEUR",#N/A,FALSE,"PASSIF";"RESEUR",#N/A,FALSE,"RESULTATS";"FPEUR",#N/A,FALSE,"FP";"N03EUR",#N/A,FALSE,"NOTE03";"N04EUR",#N/A,FALSE,"NOTE04";"N05EUR",#N/A,FALSE,"NOTE05";"N06EUR",#N/A,FALSE,"NOTE06";"N07EUR",#N/A,FALSE,"NOTE07";"N08EUR",#N/A,FALSE,"NOTE08";"N09EUR",#N/A,FALSE,"NOTE09";"N10EUR",#N/A,FALSE,"NOTE10";"N11EUR",#N/A,FALSE,"NOTE11";"N12EUR",#N/A,FALSE,"NOTE12";"N13EUR",#N/A,FALSE,"NOTE13";"N14EUR",#N/A,FALSE,"NOTE14";"N15EUR",#N/A,FALSE,"NOTE15";"N16EUR",#N/A,FALSE,"NOTE16";"N18EUR",#N/A,FALSE,"NOTE18";"N19EUR",#N/A,FALSE,"NOTE19";"N20EUR",#N/A,FALSE,"NOTE20";"N21EUR",#N/A,FALSE,"NOTE21";"N22EUR",#N/A,FALSE,"NOTE22";"N23EUR",#N/A,FALSE,"NOTE23";"N24EUR",#N/A,FALSE,"NOTE24";"N25EUR",#N/A,FALSE,"NOTE25";"N26EUR",#N/A,FALSE,"NOTE26";"N27EUR",#N/A,FALSE,"NOTE27";"N28EUR",#N/A,FALSE,"NOTE28";"N29EUR",#N/A,FALSE,"NOTE29";"N30EUR",#N/A,FALSE,"NOTE30";"N31EUR",#N/A,FALSE,"NOTE31";"N32EUR",#N/A,FALSE,"NOTE32";"N33EUR",#N/A,FALSE,"NOTE33";"BILSOCEUR",#N/A,FALSE,"bilan soc";"RESSOCEUR",#N/A,FALSE,"PL soc";"cinqexEUR",#N/A,FALSE,"5ex"}</definedName>
    <definedName name="wrn.etatfifrfeur_2_1" hidden="1">{#N/A,"francaiseur",FALSE,"UNITE";"ACTEUR",#N/A,FALSE,"ACTIF";"PASEUR",#N/A,FALSE,"PASSIF";"RESEUR",#N/A,FALSE,"RESULTATS";"FPEUR",#N/A,FALSE,"FP";"N03EUR",#N/A,FALSE,"NOTE03";"N04EUR",#N/A,FALSE,"NOTE04";"N05EUR",#N/A,FALSE,"NOTE05";"N06EUR",#N/A,FALSE,"NOTE06";"N07EUR",#N/A,FALSE,"NOTE07";"N08EUR",#N/A,FALSE,"NOTE08";"N09EUR",#N/A,FALSE,"NOTE09";"N10EUR",#N/A,FALSE,"NOTE10";"N11EUR",#N/A,FALSE,"NOTE11";"N12EUR",#N/A,FALSE,"NOTE12";"N13EUR",#N/A,FALSE,"NOTE13";"N14EUR",#N/A,FALSE,"NOTE14";"N15EUR",#N/A,FALSE,"NOTE15";"N16EUR",#N/A,FALSE,"NOTE16";"N18EUR",#N/A,FALSE,"NOTE18";"N19EUR",#N/A,FALSE,"NOTE19";"N20EUR",#N/A,FALSE,"NOTE20";"N21EUR",#N/A,FALSE,"NOTE21";"N22EUR",#N/A,FALSE,"NOTE22";"N23EUR",#N/A,FALSE,"NOTE23";"N24EUR",#N/A,FALSE,"NOTE24";"N25EUR",#N/A,FALSE,"NOTE25";"N26EUR",#N/A,FALSE,"NOTE26";"N27EUR",#N/A,FALSE,"NOTE27";"N28EUR",#N/A,FALSE,"NOTE28";"N29EUR",#N/A,FALSE,"NOTE29";"N30EUR",#N/A,FALSE,"NOTE30";"N31EUR",#N/A,FALSE,"NOTE31";"N32EUR",#N/A,FALSE,"NOTE32";"N33EUR",#N/A,FALSE,"NOTE33";"BILSOCEUR",#N/A,FALSE,"bilan soc";"RESSOCEUR",#N/A,FALSE,"PL soc";"cinqexEUR",#N/A,FALSE,"5ex"}</definedName>
    <definedName name="wrn.etatfifrfeur_2_1_1" localSheetId="12" hidden="1">{#N/A,"francaiseur",FALSE,"UNITE";"ACTEUR",#N/A,FALSE,"ACTIF";"PASEUR",#N/A,FALSE,"PASSIF";"RESEUR",#N/A,FALSE,"RESULTATS";"FPEUR",#N/A,FALSE,"FP";"N03EUR",#N/A,FALSE,"NOTE03";"N04EUR",#N/A,FALSE,"NOTE04";"N05EUR",#N/A,FALSE,"NOTE05";"N06EUR",#N/A,FALSE,"NOTE06";"N07EUR",#N/A,FALSE,"NOTE07";"N08EUR",#N/A,FALSE,"NOTE08";"N09EUR",#N/A,FALSE,"NOTE09";"N10EUR",#N/A,FALSE,"NOTE10";"N11EUR",#N/A,FALSE,"NOTE11";"N12EUR",#N/A,FALSE,"NOTE12";"N13EUR",#N/A,FALSE,"NOTE13";"N14EUR",#N/A,FALSE,"NOTE14";"N15EUR",#N/A,FALSE,"NOTE15";"N16EUR",#N/A,FALSE,"NOTE16";"N18EUR",#N/A,FALSE,"NOTE18";"N19EUR",#N/A,FALSE,"NOTE19";"N20EUR",#N/A,FALSE,"NOTE20";"N21EUR",#N/A,FALSE,"NOTE21";"N22EUR",#N/A,FALSE,"NOTE22";"N23EUR",#N/A,FALSE,"NOTE23";"N24EUR",#N/A,FALSE,"NOTE24";"N25EUR",#N/A,FALSE,"NOTE25";"N26EUR",#N/A,FALSE,"NOTE26";"N27EUR",#N/A,FALSE,"NOTE27";"N28EUR",#N/A,FALSE,"NOTE28";"N29EUR",#N/A,FALSE,"NOTE29";"N30EUR",#N/A,FALSE,"NOTE30";"N31EUR",#N/A,FALSE,"NOTE31";"N32EUR",#N/A,FALSE,"NOTE32";"N33EUR",#N/A,FALSE,"NOTE33";"BILSOCEUR",#N/A,FALSE,"bilan soc";"RESSOCEUR",#N/A,FALSE,"PL soc";"cinqexEUR",#N/A,FALSE,"5ex"}</definedName>
    <definedName name="wrn.etatfifrfeur_2_1_1" hidden="1">{#N/A,"francaiseur",FALSE,"UNITE";"ACTEUR",#N/A,FALSE,"ACTIF";"PASEUR",#N/A,FALSE,"PASSIF";"RESEUR",#N/A,FALSE,"RESULTATS";"FPEUR",#N/A,FALSE,"FP";"N03EUR",#N/A,FALSE,"NOTE03";"N04EUR",#N/A,FALSE,"NOTE04";"N05EUR",#N/A,FALSE,"NOTE05";"N06EUR",#N/A,FALSE,"NOTE06";"N07EUR",#N/A,FALSE,"NOTE07";"N08EUR",#N/A,FALSE,"NOTE08";"N09EUR",#N/A,FALSE,"NOTE09";"N10EUR",#N/A,FALSE,"NOTE10";"N11EUR",#N/A,FALSE,"NOTE11";"N12EUR",#N/A,FALSE,"NOTE12";"N13EUR",#N/A,FALSE,"NOTE13";"N14EUR",#N/A,FALSE,"NOTE14";"N15EUR",#N/A,FALSE,"NOTE15";"N16EUR",#N/A,FALSE,"NOTE16";"N18EUR",#N/A,FALSE,"NOTE18";"N19EUR",#N/A,FALSE,"NOTE19";"N20EUR",#N/A,FALSE,"NOTE20";"N21EUR",#N/A,FALSE,"NOTE21";"N22EUR",#N/A,FALSE,"NOTE22";"N23EUR",#N/A,FALSE,"NOTE23";"N24EUR",#N/A,FALSE,"NOTE24";"N25EUR",#N/A,FALSE,"NOTE25";"N26EUR",#N/A,FALSE,"NOTE26";"N27EUR",#N/A,FALSE,"NOTE27";"N28EUR",#N/A,FALSE,"NOTE28";"N29EUR",#N/A,FALSE,"NOTE29";"N30EUR",#N/A,FALSE,"NOTE30";"N31EUR",#N/A,FALSE,"NOTE31";"N32EUR",#N/A,FALSE,"NOTE32";"N33EUR",#N/A,FALSE,"NOTE33";"BILSOCEUR",#N/A,FALSE,"bilan soc";"RESSOCEUR",#N/A,FALSE,"PL soc";"cinqexEUR",#N/A,FALSE,"5ex"}</definedName>
    <definedName name="wrn.etatfifrfeur_2_1_2" hidden="1">{#N/A,"francaiseur",FALSE,"UNITE";"ACTEUR",#N/A,FALSE,"ACTIF";"PASEUR",#N/A,FALSE,"PASSIF";"RESEUR",#N/A,FALSE,"RESULTATS";"FPEUR",#N/A,FALSE,"FP";"N03EUR",#N/A,FALSE,"NOTE03";"N04EUR",#N/A,FALSE,"NOTE04";"N05EUR",#N/A,FALSE,"NOTE05";"N06EUR",#N/A,FALSE,"NOTE06";"N07EUR",#N/A,FALSE,"NOTE07";"N08EUR",#N/A,FALSE,"NOTE08";"N09EUR",#N/A,FALSE,"NOTE09";"N10EUR",#N/A,FALSE,"NOTE10";"N11EUR",#N/A,FALSE,"NOTE11";"N12EUR",#N/A,FALSE,"NOTE12";"N13EUR",#N/A,FALSE,"NOTE13";"N14EUR",#N/A,FALSE,"NOTE14";"N15EUR",#N/A,FALSE,"NOTE15";"N16EUR",#N/A,FALSE,"NOTE16";"N18EUR",#N/A,FALSE,"NOTE18";"N19EUR",#N/A,FALSE,"NOTE19";"N20EUR",#N/A,FALSE,"NOTE20";"N21EUR",#N/A,FALSE,"NOTE21";"N22EUR",#N/A,FALSE,"NOTE22";"N23EUR",#N/A,FALSE,"NOTE23";"N24EUR",#N/A,FALSE,"NOTE24";"N25EUR",#N/A,FALSE,"NOTE25";"N26EUR",#N/A,FALSE,"NOTE26";"N27EUR",#N/A,FALSE,"NOTE27";"N28EUR",#N/A,FALSE,"NOTE28";"N29EUR",#N/A,FALSE,"NOTE29";"N30EUR",#N/A,FALSE,"NOTE30";"N31EUR",#N/A,FALSE,"NOTE31";"N32EUR",#N/A,FALSE,"NOTE32";"N33EUR",#N/A,FALSE,"NOTE33";"BILSOCEUR",#N/A,FALSE,"bilan soc";"RESSOCEUR",#N/A,FALSE,"PL soc";"cinqexEUR",#N/A,FALSE,"5ex"}</definedName>
    <definedName name="wrn.etatfifrfeur_2_2" localSheetId="12" hidden="1">{#N/A,"francaiseur",FALSE,"UNITE";"ACTEUR",#N/A,FALSE,"ACTIF";"PASEUR",#N/A,FALSE,"PASSIF";"RESEUR",#N/A,FALSE,"RESULTATS";"FPEUR",#N/A,FALSE,"FP";"N03EUR",#N/A,FALSE,"NOTE03";"N04EUR",#N/A,FALSE,"NOTE04";"N05EUR",#N/A,FALSE,"NOTE05";"N06EUR",#N/A,FALSE,"NOTE06";"N07EUR",#N/A,FALSE,"NOTE07";"N08EUR",#N/A,FALSE,"NOTE08";"N09EUR",#N/A,FALSE,"NOTE09";"N10EUR",#N/A,FALSE,"NOTE10";"N11EUR",#N/A,FALSE,"NOTE11";"N12EUR",#N/A,FALSE,"NOTE12";"N13EUR",#N/A,FALSE,"NOTE13";"N14EUR",#N/A,FALSE,"NOTE14";"N15EUR",#N/A,FALSE,"NOTE15";"N16EUR",#N/A,FALSE,"NOTE16";"N18EUR",#N/A,FALSE,"NOTE18";"N19EUR",#N/A,FALSE,"NOTE19";"N20EUR",#N/A,FALSE,"NOTE20";"N21EUR",#N/A,FALSE,"NOTE21";"N22EUR",#N/A,FALSE,"NOTE22";"N23EUR",#N/A,FALSE,"NOTE23";"N24EUR",#N/A,FALSE,"NOTE24";"N25EUR",#N/A,FALSE,"NOTE25";"N26EUR",#N/A,FALSE,"NOTE26";"N27EUR",#N/A,FALSE,"NOTE27";"N28EUR",#N/A,FALSE,"NOTE28";"N29EUR",#N/A,FALSE,"NOTE29";"N30EUR",#N/A,FALSE,"NOTE30";"N31EUR",#N/A,FALSE,"NOTE31";"N32EUR",#N/A,FALSE,"NOTE32";"N33EUR",#N/A,FALSE,"NOTE33";"BILSOCEUR",#N/A,FALSE,"bilan soc";"RESSOCEUR",#N/A,FALSE,"PL soc";"cinqexEUR",#N/A,FALSE,"5ex"}</definedName>
    <definedName name="wrn.etatfifrfeur_2_2" hidden="1">{#N/A,"francaiseur",FALSE,"UNITE";"ACTEUR",#N/A,FALSE,"ACTIF";"PASEUR",#N/A,FALSE,"PASSIF";"RESEUR",#N/A,FALSE,"RESULTATS";"FPEUR",#N/A,FALSE,"FP";"N03EUR",#N/A,FALSE,"NOTE03";"N04EUR",#N/A,FALSE,"NOTE04";"N05EUR",#N/A,FALSE,"NOTE05";"N06EUR",#N/A,FALSE,"NOTE06";"N07EUR",#N/A,FALSE,"NOTE07";"N08EUR",#N/A,FALSE,"NOTE08";"N09EUR",#N/A,FALSE,"NOTE09";"N10EUR",#N/A,FALSE,"NOTE10";"N11EUR",#N/A,FALSE,"NOTE11";"N12EUR",#N/A,FALSE,"NOTE12";"N13EUR",#N/A,FALSE,"NOTE13";"N14EUR",#N/A,FALSE,"NOTE14";"N15EUR",#N/A,FALSE,"NOTE15";"N16EUR",#N/A,FALSE,"NOTE16";"N18EUR",#N/A,FALSE,"NOTE18";"N19EUR",#N/A,FALSE,"NOTE19";"N20EUR",#N/A,FALSE,"NOTE20";"N21EUR",#N/A,FALSE,"NOTE21";"N22EUR",#N/A,FALSE,"NOTE22";"N23EUR",#N/A,FALSE,"NOTE23";"N24EUR",#N/A,FALSE,"NOTE24";"N25EUR",#N/A,FALSE,"NOTE25";"N26EUR",#N/A,FALSE,"NOTE26";"N27EUR",#N/A,FALSE,"NOTE27";"N28EUR",#N/A,FALSE,"NOTE28";"N29EUR",#N/A,FALSE,"NOTE29";"N30EUR",#N/A,FALSE,"NOTE30";"N31EUR",#N/A,FALSE,"NOTE31";"N32EUR",#N/A,FALSE,"NOTE32";"N33EUR",#N/A,FALSE,"NOTE33";"BILSOCEUR",#N/A,FALSE,"bilan soc";"RESSOCEUR",#N/A,FALSE,"PL soc";"cinqexEUR",#N/A,FALSE,"5ex"}</definedName>
    <definedName name="wrn.etatfifrfeur_2_3" localSheetId="12" hidden="1">{#N/A,"francaiseur",FALSE,"UNITE";"ACTEUR",#N/A,FALSE,"ACTIF";"PASEUR",#N/A,FALSE,"PASSIF";"RESEUR",#N/A,FALSE,"RESULTATS";"FPEUR",#N/A,FALSE,"FP";"N03EUR",#N/A,FALSE,"NOTE03";"N04EUR",#N/A,FALSE,"NOTE04";"N05EUR",#N/A,FALSE,"NOTE05";"N06EUR",#N/A,FALSE,"NOTE06";"N07EUR",#N/A,FALSE,"NOTE07";"N08EUR",#N/A,FALSE,"NOTE08";"N09EUR",#N/A,FALSE,"NOTE09";"N10EUR",#N/A,FALSE,"NOTE10";"N11EUR",#N/A,FALSE,"NOTE11";"N12EUR",#N/A,FALSE,"NOTE12";"N13EUR",#N/A,FALSE,"NOTE13";"N14EUR",#N/A,FALSE,"NOTE14";"N15EUR",#N/A,FALSE,"NOTE15";"N16EUR",#N/A,FALSE,"NOTE16";"N18EUR",#N/A,FALSE,"NOTE18";"N19EUR",#N/A,FALSE,"NOTE19";"N20EUR",#N/A,FALSE,"NOTE20";"N21EUR",#N/A,FALSE,"NOTE21";"N22EUR",#N/A,FALSE,"NOTE22";"N23EUR",#N/A,FALSE,"NOTE23";"N24EUR",#N/A,FALSE,"NOTE24";"N25EUR",#N/A,FALSE,"NOTE25";"N26EUR",#N/A,FALSE,"NOTE26";"N27EUR",#N/A,FALSE,"NOTE27";"N28EUR",#N/A,FALSE,"NOTE28";"N29EUR",#N/A,FALSE,"NOTE29";"N30EUR",#N/A,FALSE,"NOTE30";"N31EUR",#N/A,FALSE,"NOTE31";"N32EUR",#N/A,FALSE,"NOTE32";"N33EUR",#N/A,FALSE,"NOTE33";"BILSOCEUR",#N/A,FALSE,"bilan soc";"RESSOCEUR",#N/A,FALSE,"PL soc";"cinqexEUR",#N/A,FALSE,"5ex"}</definedName>
    <definedName name="wrn.etatfifrfeur_2_3" hidden="1">{#N/A,"francaiseur",FALSE,"UNITE";"ACTEUR",#N/A,FALSE,"ACTIF";"PASEUR",#N/A,FALSE,"PASSIF";"RESEUR",#N/A,FALSE,"RESULTATS";"FPEUR",#N/A,FALSE,"FP";"N03EUR",#N/A,FALSE,"NOTE03";"N04EUR",#N/A,FALSE,"NOTE04";"N05EUR",#N/A,FALSE,"NOTE05";"N06EUR",#N/A,FALSE,"NOTE06";"N07EUR",#N/A,FALSE,"NOTE07";"N08EUR",#N/A,FALSE,"NOTE08";"N09EUR",#N/A,FALSE,"NOTE09";"N10EUR",#N/A,FALSE,"NOTE10";"N11EUR",#N/A,FALSE,"NOTE11";"N12EUR",#N/A,FALSE,"NOTE12";"N13EUR",#N/A,FALSE,"NOTE13";"N14EUR",#N/A,FALSE,"NOTE14";"N15EUR",#N/A,FALSE,"NOTE15";"N16EUR",#N/A,FALSE,"NOTE16";"N18EUR",#N/A,FALSE,"NOTE18";"N19EUR",#N/A,FALSE,"NOTE19";"N20EUR",#N/A,FALSE,"NOTE20";"N21EUR",#N/A,FALSE,"NOTE21";"N22EUR",#N/A,FALSE,"NOTE22";"N23EUR",#N/A,FALSE,"NOTE23";"N24EUR",#N/A,FALSE,"NOTE24";"N25EUR",#N/A,FALSE,"NOTE25";"N26EUR",#N/A,FALSE,"NOTE26";"N27EUR",#N/A,FALSE,"NOTE27";"N28EUR",#N/A,FALSE,"NOTE28";"N29EUR",#N/A,FALSE,"NOTE29";"N30EUR",#N/A,FALSE,"NOTE30";"N31EUR",#N/A,FALSE,"NOTE31";"N32EUR",#N/A,FALSE,"NOTE32";"N33EUR",#N/A,FALSE,"NOTE33";"BILSOCEUR",#N/A,FALSE,"bilan soc";"RESSOCEUR",#N/A,FALSE,"PL soc";"cinqexEUR",#N/A,FALSE,"5ex"}</definedName>
    <definedName name="wrn.etatfifrfeur_3" localSheetId="9" hidden="1">{#N/A,"francaiseur",FALSE,"UNITE";"ACTEUR",#N/A,FALSE,"ACTIF";"PASEUR",#N/A,FALSE,"PASSIF";"RESEUR",#N/A,FALSE,"RESULTATS";"FPEUR",#N/A,FALSE,"FP";"N03EUR",#N/A,FALSE,"NOTE03";"N04EUR",#N/A,FALSE,"NOTE04";"N05EUR",#N/A,FALSE,"NOTE05";"N06EUR",#N/A,FALSE,"NOTE06";"N07EUR",#N/A,FALSE,"NOTE07";"N08EUR",#N/A,FALSE,"NOTE08";"N09EUR",#N/A,FALSE,"NOTE09";"N10EUR",#N/A,FALSE,"NOTE10";"N11EUR",#N/A,FALSE,"NOTE11";"N12EUR",#N/A,FALSE,"NOTE12";"N13EUR",#N/A,FALSE,"NOTE13";"N14EUR",#N/A,FALSE,"NOTE14";"N15EUR",#N/A,FALSE,"NOTE15";"N16EUR",#N/A,FALSE,"NOTE16";"N18EUR",#N/A,FALSE,"NOTE18";"N19EUR",#N/A,FALSE,"NOTE19";"N20EUR",#N/A,FALSE,"NOTE20";"N21EUR",#N/A,FALSE,"NOTE21";"N22EUR",#N/A,FALSE,"NOTE22";"N23EUR",#N/A,FALSE,"NOTE23";"N24EUR",#N/A,FALSE,"NOTE24";"N25EUR",#N/A,FALSE,"NOTE25";"N26EUR",#N/A,FALSE,"NOTE26";"N27EUR",#N/A,FALSE,"NOTE27";"N28EUR",#N/A,FALSE,"NOTE28";"N29EUR",#N/A,FALSE,"NOTE29";"N30EUR",#N/A,FALSE,"NOTE30";"N31EUR",#N/A,FALSE,"NOTE31";"N32EUR",#N/A,FALSE,"NOTE32";"N33EUR",#N/A,FALSE,"NOTE33";"BILSOCEUR",#N/A,FALSE,"bilan soc";"RESSOCEUR",#N/A,FALSE,"PL soc";"cinqexEUR",#N/A,FALSE,"5ex"}</definedName>
    <definedName name="wrn.etatfifrfeur_3" localSheetId="12" hidden="1">{#N/A,"francaiseur",FALSE,"UNITE";"ACTEUR",#N/A,FALSE,"ACTIF";"PASEUR",#N/A,FALSE,"PASSIF";"RESEUR",#N/A,FALSE,"RESULTATS";"FPEUR",#N/A,FALSE,"FP";"N03EUR",#N/A,FALSE,"NOTE03";"N04EUR",#N/A,FALSE,"NOTE04";"N05EUR",#N/A,FALSE,"NOTE05";"N06EUR",#N/A,FALSE,"NOTE06";"N07EUR",#N/A,FALSE,"NOTE07";"N08EUR",#N/A,FALSE,"NOTE08";"N09EUR",#N/A,FALSE,"NOTE09";"N10EUR",#N/A,FALSE,"NOTE10";"N11EUR",#N/A,FALSE,"NOTE11";"N12EUR",#N/A,FALSE,"NOTE12";"N13EUR",#N/A,FALSE,"NOTE13";"N14EUR",#N/A,FALSE,"NOTE14";"N15EUR",#N/A,FALSE,"NOTE15";"N16EUR",#N/A,FALSE,"NOTE16";"N18EUR",#N/A,FALSE,"NOTE18";"N19EUR",#N/A,FALSE,"NOTE19";"N20EUR",#N/A,FALSE,"NOTE20";"N21EUR",#N/A,FALSE,"NOTE21";"N22EUR",#N/A,FALSE,"NOTE22";"N23EUR",#N/A,FALSE,"NOTE23";"N24EUR",#N/A,FALSE,"NOTE24";"N25EUR",#N/A,FALSE,"NOTE25";"N26EUR",#N/A,FALSE,"NOTE26";"N27EUR",#N/A,FALSE,"NOTE27";"N28EUR",#N/A,FALSE,"NOTE28";"N29EUR",#N/A,FALSE,"NOTE29";"N30EUR",#N/A,FALSE,"NOTE30";"N31EUR",#N/A,FALSE,"NOTE31";"N32EUR",#N/A,FALSE,"NOTE32";"N33EUR",#N/A,FALSE,"NOTE33";"BILSOCEUR",#N/A,FALSE,"bilan soc";"RESSOCEUR",#N/A,FALSE,"PL soc";"cinqexEUR",#N/A,FALSE,"5ex"}</definedName>
    <definedName name="wrn.etatfifrfeur_3" localSheetId="7" hidden="1">{#N/A,"francaiseur",FALSE,"UNITE";"ACTEUR",#N/A,FALSE,"ACTIF";"PASEUR",#N/A,FALSE,"PASSIF";"RESEUR",#N/A,FALSE,"RESULTATS";"FPEUR",#N/A,FALSE,"FP";"N03EUR",#N/A,FALSE,"NOTE03";"N04EUR",#N/A,FALSE,"NOTE04";"N05EUR",#N/A,FALSE,"NOTE05";"N06EUR",#N/A,FALSE,"NOTE06";"N07EUR",#N/A,FALSE,"NOTE07";"N08EUR",#N/A,FALSE,"NOTE08";"N09EUR",#N/A,FALSE,"NOTE09";"N10EUR",#N/A,FALSE,"NOTE10";"N11EUR",#N/A,FALSE,"NOTE11";"N12EUR",#N/A,FALSE,"NOTE12";"N13EUR",#N/A,FALSE,"NOTE13";"N14EUR",#N/A,FALSE,"NOTE14";"N15EUR",#N/A,FALSE,"NOTE15";"N16EUR",#N/A,FALSE,"NOTE16";"N18EUR",#N/A,FALSE,"NOTE18";"N19EUR",#N/A,FALSE,"NOTE19";"N20EUR",#N/A,FALSE,"NOTE20";"N21EUR",#N/A,FALSE,"NOTE21";"N22EUR",#N/A,FALSE,"NOTE22";"N23EUR",#N/A,FALSE,"NOTE23";"N24EUR",#N/A,FALSE,"NOTE24";"N25EUR",#N/A,FALSE,"NOTE25";"N26EUR",#N/A,FALSE,"NOTE26";"N27EUR",#N/A,FALSE,"NOTE27";"N28EUR",#N/A,FALSE,"NOTE28";"N29EUR",#N/A,FALSE,"NOTE29";"N30EUR",#N/A,FALSE,"NOTE30";"N31EUR",#N/A,FALSE,"NOTE31";"N32EUR",#N/A,FALSE,"NOTE32";"N33EUR",#N/A,FALSE,"NOTE33";"BILSOCEUR",#N/A,FALSE,"bilan soc";"RESSOCEUR",#N/A,FALSE,"PL soc";"cinqexEUR",#N/A,FALSE,"5ex"}</definedName>
    <definedName name="wrn.etatfifrfeur_3" localSheetId="8" hidden="1">{#N/A,"francaiseur",FALSE,"UNITE";"ACTEUR",#N/A,FALSE,"ACTIF";"PASEUR",#N/A,FALSE,"PASSIF";"RESEUR",#N/A,FALSE,"RESULTATS";"FPEUR",#N/A,FALSE,"FP";"N03EUR",#N/A,FALSE,"NOTE03";"N04EUR",#N/A,FALSE,"NOTE04";"N05EUR",#N/A,FALSE,"NOTE05";"N06EUR",#N/A,FALSE,"NOTE06";"N07EUR",#N/A,FALSE,"NOTE07";"N08EUR",#N/A,FALSE,"NOTE08";"N09EUR",#N/A,FALSE,"NOTE09";"N10EUR",#N/A,FALSE,"NOTE10";"N11EUR",#N/A,FALSE,"NOTE11";"N12EUR",#N/A,FALSE,"NOTE12";"N13EUR",#N/A,FALSE,"NOTE13";"N14EUR",#N/A,FALSE,"NOTE14";"N15EUR",#N/A,FALSE,"NOTE15";"N16EUR",#N/A,FALSE,"NOTE16";"N18EUR",#N/A,FALSE,"NOTE18";"N19EUR",#N/A,FALSE,"NOTE19";"N20EUR",#N/A,FALSE,"NOTE20";"N21EUR",#N/A,FALSE,"NOTE21";"N22EUR",#N/A,FALSE,"NOTE22";"N23EUR",#N/A,FALSE,"NOTE23";"N24EUR",#N/A,FALSE,"NOTE24";"N25EUR",#N/A,FALSE,"NOTE25";"N26EUR",#N/A,FALSE,"NOTE26";"N27EUR",#N/A,FALSE,"NOTE27";"N28EUR",#N/A,FALSE,"NOTE28";"N29EUR",#N/A,FALSE,"NOTE29";"N30EUR",#N/A,FALSE,"NOTE30";"N31EUR",#N/A,FALSE,"NOTE31";"N32EUR",#N/A,FALSE,"NOTE32";"N33EUR",#N/A,FALSE,"NOTE33";"BILSOCEUR",#N/A,FALSE,"bilan soc";"RESSOCEUR",#N/A,FALSE,"PL soc";"cinqexEUR",#N/A,FALSE,"5ex"}</definedName>
    <definedName name="wrn.etatfifrfeur_3" localSheetId="10" hidden="1">{#N/A,"francaiseur",FALSE,"UNITE";"ACTEUR",#N/A,FALSE,"ACTIF";"PASEUR",#N/A,FALSE,"PASSIF";"RESEUR",#N/A,FALSE,"RESULTATS";"FPEUR",#N/A,FALSE,"FP";"N03EUR",#N/A,FALSE,"NOTE03";"N04EUR",#N/A,FALSE,"NOTE04";"N05EUR",#N/A,FALSE,"NOTE05";"N06EUR",#N/A,FALSE,"NOTE06";"N07EUR",#N/A,FALSE,"NOTE07";"N08EUR",#N/A,FALSE,"NOTE08";"N09EUR",#N/A,FALSE,"NOTE09";"N10EUR",#N/A,FALSE,"NOTE10";"N11EUR",#N/A,FALSE,"NOTE11";"N12EUR",#N/A,FALSE,"NOTE12";"N13EUR",#N/A,FALSE,"NOTE13";"N14EUR",#N/A,FALSE,"NOTE14";"N15EUR",#N/A,FALSE,"NOTE15";"N16EUR",#N/A,FALSE,"NOTE16";"N18EUR",#N/A,FALSE,"NOTE18";"N19EUR",#N/A,FALSE,"NOTE19";"N20EUR",#N/A,FALSE,"NOTE20";"N21EUR",#N/A,FALSE,"NOTE21";"N22EUR",#N/A,FALSE,"NOTE22";"N23EUR",#N/A,FALSE,"NOTE23";"N24EUR",#N/A,FALSE,"NOTE24";"N25EUR",#N/A,FALSE,"NOTE25";"N26EUR",#N/A,FALSE,"NOTE26";"N27EUR",#N/A,FALSE,"NOTE27";"N28EUR",#N/A,FALSE,"NOTE28";"N29EUR",#N/A,FALSE,"NOTE29";"N30EUR",#N/A,FALSE,"NOTE30";"N31EUR",#N/A,FALSE,"NOTE31";"N32EUR",#N/A,FALSE,"NOTE32";"N33EUR",#N/A,FALSE,"NOTE33";"BILSOCEUR",#N/A,FALSE,"bilan soc";"RESSOCEUR",#N/A,FALSE,"PL soc";"cinqexEUR",#N/A,FALSE,"5ex"}</definedName>
    <definedName name="wrn.etatfifrfeur_3" hidden="1">{#N/A,"francaiseur",FALSE,"UNITE";"ACTEUR",#N/A,FALSE,"ACTIF";"PASEUR",#N/A,FALSE,"PASSIF";"RESEUR",#N/A,FALSE,"RESULTATS";"FPEUR",#N/A,FALSE,"FP";"N03EUR",#N/A,FALSE,"NOTE03";"N04EUR",#N/A,FALSE,"NOTE04";"N05EUR",#N/A,FALSE,"NOTE05";"N06EUR",#N/A,FALSE,"NOTE06";"N07EUR",#N/A,FALSE,"NOTE07";"N08EUR",#N/A,FALSE,"NOTE08";"N09EUR",#N/A,FALSE,"NOTE09";"N10EUR",#N/A,FALSE,"NOTE10";"N11EUR",#N/A,FALSE,"NOTE11";"N12EUR",#N/A,FALSE,"NOTE12";"N13EUR",#N/A,FALSE,"NOTE13";"N14EUR",#N/A,FALSE,"NOTE14";"N15EUR",#N/A,FALSE,"NOTE15";"N16EUR",#N/A,FALSE,"NOTE16";"N18EUR",#N/A,FALSE,"NOTE18";"N19EUR",#N/A,FALSE,"NOTE19";"N20EUR",#N/A,FALSE,"NOTE20";"N21EUR",#N/A,FALSE,"NOTE21";"N22EUR",#N/A,FALSE,"NOTE22";"N23EUR",#N/A,FALSE,"NOTE23";"N24EUR",#N/A,FALSE,"NOTE24";"N25EUR",#N/A,FALSE,"NOTE25";"N26EUR",#N/A,FALSE,"NOTE26";"N27EUR",#N/A,FALSE,"NOTE27";"N28EUR",#N/A,FALSE,"NOTE28";"N29EUR",#N/A,FALSE,"NOTE29";"N30EUR",#N/A,FALSE,"NOTE30";"N31EUR",#N/A,FALSE,"NOTE31";"N32EUR",#N/A,FALSE,"NOTE32";"N33EUR",#N/A,FALSE,"NOTE33";"BILSOCEUR",#N/A,FALSE,"bilan soc";"RESSOCEUR",#N/A,FALSE,"PL soc";"cinqexEUR",#N/A,FALSE,"5ex"}</definedName>
    <definedName name="wrn.etatfifrfeur_3_1" localSheetId="9" hidden="1">{#N/A,"francaiseur",FALSE,"UNITE";"ACTEUR",#N/A,FALSE,"ACTIF";"PASEUR",#N/A,FALSE,"PASSIF";"RESEUR",#N/A,FALSE,"RESULTATS";"FPEUR",#N/A,FALSE,"FP";"N03EUR",#N/A,FALSE,"NOTE03";"N04EUR",#N/A,FALSE,"NOTE04";"N05EUR",#N/A,FALSE,"NOTE05";"N06EUR",#N/A,FALSE,"NOTE06";"N07EUR",#N/A,FALSE,"NOTE07";"N08EUR",#N/A,FALSE,"NOTE08";"N09EUR",#N/A,FALSE,"NOTE09";"N10EUR",#N/A,FALSE,"NOTE10";"N11EUR",#N/A,FALSE,"NOTE11";"N12EUR",#N/A,FALSE,"NOTE12";"N13EUR",#N/A,FALSE,"NOTE13";"N14EUR",#N/A,FALSE,"NOTE14";"N15EUR",#N/A,FALSE,"NOTE15";"N16EUR",#N/A,FALSE,"NOTE16";"N18EUR",#N/A,FALSE,"NOTE18";"N19EUR",#N/A,FALSE,"NOTE19";"N20EUR",#N/A,FALSE,"NOTE20";"N21EUR",#N/A,FALSE,"NOTE21";"N22EUR",#N/A,FALSE,"NOTE22";"N23EUR",#N/A,FALSE,"NOTE23";"N24EUR",#N/A,FALSE,"NOTE24";"N25EUR",#N/A,FALSE,"NOTE25";"N26EUR",#N/A,FALSE,"NOTE26";"N27EUR",#N/A,FALSE,"NOTE27";"N28EUR",#N/A,FALSE,"NOTE28";"N29EUR",#N/A,FALSE,"NOTE29";"N30EUR",#N/A,FALSE,"NOTE30";"N31EUR",#N/A,FALSE,"NOTE31";"N32EUR",#N/A,FALSE,"NOTE32";"N33EUR",#N/A,FALSE,"NOTE33";"BILSOCEUR",#N/A,FALSE,"bilan soc";"RESSOCEUR",#N/A,FALSE,"PL soc";"cinqexEUR",#N/A,FALSE,"5ex"}</definedName>
    <definedName name="wrn.etatfifrfeur_3_1" localSheetId="12" hidden="1">{#N/A,"francaiseur",FALSE,"UNITE";"ACTEUR",#N/A,FALSE,"ACTIF";"PASEUR",#N/A,FALSE,"PASSIF";"RESEUR",#N/A,FALSE,"RESULTATS";"FPEUR",#N/A,FALSE,"FP";"N03EUR",#N/A,FALSE,"NOTE03";"N04EUR",#N/A,FALSE,"NOTE04";"N05EUR",#N/A,FALSE,"NOTE05";"N06EUR",#N/A,FALSE,"NOTE06";"N07EUR",#N/A,FALSE,"NOTE07";"N08EUR",#N/A,FALSE,"NOTE08";"N09EUR",#N/A,FALSE,"NOTE09";"N10EUR",#N/A,FALSE,"NOTE10";"N11EUR",#N/A,FALSE,"NOTE11";"N12EUR",#N/A,FALSE,"NOTE12";"N13EUR",#N/A,FALSE,"NOTE13";"N14EUR",#N/A,FALSE,"NOTE14";"N15EUR",#N/A,FALSE,"NOTE15";"N16EUR",#N/A,FALSE,"NOTE16";"N18EUR",#N/A,FALSE,"NOTE18";"N19EUR",#N/A,FALSE,"NOTE19";"N20EUR",#N/A,FALSE,"NOTE20";"N21EUR",#N/A,FALSE,"NOTE21";"N22EUR",#N/A,FALSE,"NOTE22";"N23EUR",#N/A,FALSE,"NOTE23";"N24EUR",#N/A,FALSE,"NOTE24";"N25EUR",#N/A,FALSE,"NOTE25";"N26EUR",#N/A,FALSE,"NOTE26";"N27EUR",#N/A,FALSE,"NOTE27";"N28EUR",#N/A,FALSE,"NOTE28";"N29EUR",#N/A,FALSE,"NOTE29";"N30EUR",#N/A,FALSE,"NOTE30";"N31EUR",#N/A,FALSE,"NOTE31";"N32EUR",#N/A,FALSE,"NOTE32";"N33EUR",#N/A,FALSE,"NOTE33";"BILSOCEUR",#N/A,FALSE,"bilan soc";"RESSOCEUR",#N/A,FALSE,"PL soc";"cinqexEUR",#N/A,FALSE,"5ex"}</definedName>
    <definedName name="wrn.etatfifrfeur_3_1" localSheetId="7" hidden="1">{#N/A,"francaiseur",FALSE,"UNITE";"ACTEUR",#N/A,FALSE,"ACTIF";"PASEUR",#N/A,FALSE,"PASSIF";"RESEUR",#N/A,FALSE,"RESULTATS";"FPEUR",#N/A,FALSE,"FP";"N03EUR",#N/A,FALSE,"NOTE03";"N04EUR",#N/A,FALSE,"NOTE04";"N05EUR",#N/A,FALSE,"NOTE05";"N06EUR",#N/A,FALSE,"NOTE06";"N07EUR",#N/A,FALSE,"NOTE07";"N08EUR",#N/A,FALSE,"NOTE08";"N09EUR",#N/A,FALSE,"NOTE09";"N10EUR",#N/A,FALSE,"NOTE10";"N11EUR",#N/A,FALSE,"NOTE11";"N12EUR",#N/A,FALSE,"NOTE12";"N13EUR",#N/A,FALSE,"NOTE13";"N14EUR",#N/A,FALSE,"NOTE14";"N15EUR",#N/A,FALSE,"NOTE15";"N16EUR",#N/A,FALSE,"NOTE16";"N18EUR",#N/A,FALSE,"NOTE18";"N19EUR",#N/A,FALSE,"NOTE19";"N20EUR",#N/A,FALSE,"NOTE20";"N21EUR",#N/A,FALSE,"NOTE21";"N22EUR",#N/A,FALSE,"NOTE22";"N23EUR",#N/A,FALSE,"NOTE23";"N24EUR",#N/A,FALSE,"NOTE24";"N25EUR",#N/A,FALSE,"NOTE25";"N26EUR",#N/A,FALSE,"NOTE26";"N27EUR",#N/A,FALSE,"NOTE27";"N28EUR",#N/A,FALSE,"NOTE28";"N29EUR",#N/A,FALSE,"NOTE29";"N30EUR",#N/A,FALSE,"NOTE30";"N31EUR",#N/A,FALSE,"NOTE31";"N32EUR",#N/A,FALSE,"NOTE32";"N33EUR",#N/A,FALSE,"NOTE33";"BILSOCEUR",#N/A,FALSE,"bilan soc";"RESSOCEUR",#N/A,FALSE,"PL soc";"cinqexEUR",#N/A,FALSE,"5ex"}</definedName>
    <definedName name="wrn.etatfifrfeur_3_1" localSheetId="8" hidden="1">{#N/A,"francaiseur",FALSE,"UNITE";"ACTEUR",#N/A,FALSE,"ACTIF";"PASEUR",#N/A,FALSE,"PASSIF";"RESEUR",#N/A,FALSE,"RESULTATS";"FPEUR",#N/A,FALSE,"FP";"N03EUR",#N/A,FALSE,"NOTE03";"N04EUR",#N/A,FALSE,"NOTE04";"N05EUR",#N/A,FALSE,"NOTE05";"N06EUR",#N/A,FALSE,"NOTE06";"N07EUR",#N/A,FALSE,"NOTE07";"N08EUR",#N/A,FALSE,"NOTE08";"N09EUR",#N/A,FALSE,"NOTE09";"N10EUR",#N/A,FALSE,"NOTE10";"N11EUR",#N/A,FALSE,"NOTE11";"N12EUR",#N/A,FALSE,"NOTE12";"N13EUR",#N/A,FALSE,"NOTE13";"N14EUR",#N/A,FALSE,"NOTE14";"N15EUR",#N/A,FALSE,"NOTE15";"N16EUR",#N/A,FALSE,"NOTE16";"N18EUR",#N/A,FALSE,"NOTE18";"N19EUR",#N/A,FALSE,"NOTE19";"N20EUR",#N/A,FALSE,"NOTE20";"N21EUR",#N/A,FALSE,"NOTE21";"N22EUR",#N/A,FALSE,"NOTE22";"N23EUR",#N/A,FALSE,"NOTE23";"N24EUR",#N/A,FALSE,"NOTE24";"N25EUR",#N/A,FALSE,"NOTE25";"N26EUR",#N/A,FALSE,"NOTE26";"N27EUR",#N/A,FALSE,"NOTE27";"N28EUR",#N/A,FALSE,"NOTE28";"N29EUR",#N/A,FALSE,"NOTE29";"N30EUR",#N/A,FALSE,"NOTE30";"N31EUR",#N/A,FALSE,"NOTE31";"N32EUR",#N/A,FALSE,"NOTE32";"N33EUR",#N/A,FALSE,"NOTE33";"BILSOCEUR",#N/A,FALSE,"bilan soc";"RESSOCEUR",#N/A,FALSE,"PL soc";"cinqexEUR",#N/A,FALSE,"5ex"}</definedName>
    <definedName name="wrn.etatfifrfeur_3_1" localSheetId="10" hidden="1">{#N/A,"francaiseur",FALSE,"UNITE";"ACTEUR",#N/A,FALSE,"ACTIF";"PASEUR",#N/A,FALSE,"PASSIF";"RESEUR",#N/A,FALSE,"RESULTATS";"FPEUR",#N/A,FALSE,"FP";"N03EUR",#N/A,FALSE,"NOTE03";"N04EUR",#N/A,FALSE,"NOTE04";"N05EUR",#N/A,FALSE,"NOTE05";"N06EUR",#N/A,FALSE,"NOTE06";"N07EUR",#N/A,FALSE,"NOTE07";"N08EUR",#N/A,FALSE,"NOTE08";"N09EUR",#N/A,FALSE,"NOTE09";"N10EUR",#N/A,FALSE,"NOTE10";"N11EUR",#N/A,FALSE,"NOTE11";"N12EUR",#N/A,FALSE,"NOTE12";"N13EUR",#N/A,FALSE,"NOTE13";"N14EUR",#N/A,FALSE,"NOTE14";"N15EUR",#N/A,FALSE,"NOTE15";"N16EUR",#N/A,FALSE,"NOTE16";"N18EUR",#N/A,FALSE,"NOTE18";"N19EUR",#N/A,FALSE,"NOTE19";"N20EUR",#N/A,FALSE,"NOTE20";"N21EUR",#N/A,FALSE,"NOTE21";"N22EUR",#N/A,FALSE,"NOTE22";"N23EUR",#N/A,FALSE,"NOTE23";"N24EUR",#N/A,FALSE,"NOTE24";"N25EUR",#N/A,FALSE,"NOTE25";"N26EUR",#N/A,FALSE,"NOTE26";"N27EUR",#N/A,FALSE,"NOTE27";"N28EUR",#N/A,FALSE,"NOTE28";"N29EUR",#N/A,FALSE,"NOTE29";"N30EUR",#N/A,FALSE,"NOTE30";"N31EUR",#N/A,FALSE,"NOTE31";"N32EUR",#N/A,FALSE,"NOTE32";"N33EUR",#N/A,FALSE,"NOTE33";"BILSOCEUR",#N/A,FALSE,"bilan soc";"RESSOCEUR",#N/A,FALSE,"PL soc";"cinqexEUR",#N/A,FALSE,"5ex"}</definedName>
    <definedName name="wrn.etatfifrfeur_3_1" hidden="1">{#N/A,"francaiseur",FALSE,"UNITE";"ACTEUR",#N/A,FALSE,"ACTIF";"PASEUR",#N/A,FALSE,"PASSIF";"RESEUR",#N/A,FALSE,"RESULTATS";"FPEUR",#N/A,FALSE,"FP";"N03EUR",#N/A,FALSE,"NOTE03";"N04EUR",#N/A,FALSE,"NOTE04";"N05EUR",#N/A,FALSE,"NOTE05";"N06EUR",#N/A,FALSE,"NOTE06";"N07EUR",#N/A,FALSE,"NOTE07";"N08EUR",#N/A,FALSE,"NOTE08";"N09EUR",#N/A,FALSE,"NOTE09";"N10EUR",#N/A,FALSE,"NOTE10";"N11EUR",#N/A,FALSE,"NOTE11";"N12EUR",#N/A,FALSE,"NOTE12";"N13EUR",#N/A,FALSE,"NOTE13";"N14EUR",#N/A,FALSE,"NOTE14";"N15EUR",#N/A,FALSE,"NOTE15";"N16EUR",#N/A,FALSE,"NOTE16";"N18EUR",#N/A,FALSE,"NOTE18";"N19EUR",#N/A,FALSE,"NOTE19";"N20EUR",#N/A,FALSE,"NOTE20";"N21EUR",#N/A,FALSE,"NOTE21";"N22EUR",#N/A,FALSE,"NOTE22";"N23EUR",#N/A,FALSE,"NOTE23";"N24EUR",#N/A,FALSE,"NOTE24";"N25EUR",#N/A,FALSE,"NOTE25";"N26EUR",#N/A,FALSE,"NOTE26";"N27EUR",#N/A,FALSE,"NOTE27";"N28EUR",#N/A,FALSE,"NOTE28";"N29EUR",#N/A,FALSE,"NOTE29";"N30EUR",#N/A,FALSE,"NOTE30";"N31EUR",#N/A,FALSE,"NOTE31";"N32EUR",#N/A,FALSE,"NOTE32";"N33EUR",#N/A,FALSE,"NOTE33";"BILSOCEUR",#N/A,FALSE,"bilan soc";"RESSOCEUR",#N/A,FALSE,"PL soc";"cinqexEUR",#N/A,FALSE,"5ex"}</definedName>
    <definedName name="wrn.etatfifrfeur_3_1_1" localSheetId="12" hidden="1">{#N/A,"francaiseur",FALSE,"UNITE";"ACTEUR",#N/A,FALSE,"ACTIF";"PASEUR",#N/A,FALSE,"PASSIF";"RESEUR",#N/A,FALSE,"RESULTATS";"FPEUR",#N/A,FALSE,"FP";"N03EUR",#N/A,FALSE,"NOTE03";"N04EUR",#N/A,FALSE,"NOTE04";"N05EUR",#N/A,FALSE,"NOTE05";"N06EUR",#N/A,FALSE,"NOTE06";"N07EUR",#N/A,FALSE,"NOTE07";"N08EUR",#N/A,FALSE,"NOTE08";"N09EUR",#N/A,FALSE,"NOTE09";"N10EUR",#N/A,FALSE,"NOTE10";"N11EUR",#N/A,FALSE,"NOTE11";"N12EUR",#N/A,FALSE,"NOTE12";"N13EUR",#N/A,FALSE,"NOTE13";"N14EUR",#N/A,FALSE,"NOTE14";"N15EUR",#N/A,FALSE,"NOTE15";"N16EUR",#N/A,FALSE,"NOTE16";"N18EUR",#N/A,FALSE,"NOTE18";"N19EUR",#N/A,FALSE,"NOTE19";"N20EUR",#N/A,FALSE,"NOTE20";"N21EUR",#N/A,FALSE,"NOTE21";"N22EUR",#N/A,FALSE,"NOTE22";"N23EUR",#N/A,FALSE,"NOTE23";"N24EUR",#N/A,FALSE,"NOTE24";"N25EUR",#N/A,FALSE,"NOTE25";"N26EUR",#N/A,FALSE,"NOTE26";"N27EUR",#N/A,FALSE,"NOTE27";"N28EUR",#N/A,FALSE,"NOTE28";"N29EUR",#N/A,FALSE,"NOTE29";"N30EUR",#N/A,FALSE,"NOTE30";"N31EUR",#N/A,FALSE,"NOTE31";"N32EUR",#N/A,FALSE,"NOTE32";"N33EUR",#N/A,FALSE,"NOTE33";"BILSOCEUR",#N/A,FALSE,"bilan soc";"RESSOCEUR",#N/A,FALSE,"PL soc";"cinqexEUR",#N/A,FALSE,"5ex"}</definedName>
    <definedName name="wrn.etatfifrfeur_3_1_1" hidden="1">{#N/A,"francaiseur",FALSE,"UNITE";"ACTEUR",#N/A,FALSE,"ACTIF";"PASEUR",#N/A,FALSE,"PASSIF";"RESEUR",#N/A,FALSE,"RESULTATS";"FPEUR",#N/A,FALSE,"FP";"N03EUR",#N/A,FALSE,"NOTE03";"N04EUR",#N/A,FALSE,"NOTE04";"N05EUR",#N/A,FALSE,"NOTE05";"N06EUR",#N/A,FALSE,"NOTE06";"N07EUR",#N/A,FALSE,"NOTE07";"N08EUR",#N/A,FALSE,"NOTE08";"N09EUR",#N/A,FALSE,"NOTE09";"N10EUR",#N/A,FALSE,"NOTE10";"N11EUR",#N/A,FALSE,"NOTE11";"N12EUR",#N/A,FALSE,"NOTE12";"N13EUR",#N/A,FALSE,"NOTE13";"N14EUR",#N/A,FALSE,"NOTE14";"N15EUR",#N/A,FALSE,"NOTE15";"N16EUR",#N/A,FALSE,"NOTE16";"N18EUR",#N/A,FALSE,"NOTE18";"N19EUR",#N/A,FALSE,"NOTE19";"N20EUR",#N/A,FALSE,"NOTE20";"N21EUR",#N/A,FALSE,"NOTE21";"N22EUR",#N/A,FALSE,"NOTE22";"N23EUR",#N/A,FALSE,"NOTE23";"N24EUR",#N/A,FALSE,"NOTE24";"N25EUR",#N/A,FALSE,"NOTE25";"N26EUR",#N/A,FALSE,"NOTE26";"N27EUR",#N/A,FALSE,"NOTE27";"N28EUR",#N/A,FALSE,"NOTE28";"N29EUR",#N/A,FALSE,"NOTE29";"N30EUR",#N/A,FALSE,"NOTE30";"N31EUR",#N/A,FALSE,"NOTE31";"N32EUR",#N/A,FALSE,"NOTE32";"N33EUR",#N/A,FALSE,"NOTE33";"BILSOCEUR",#N/A,FALSE,"bilan soc";"RESSOCEUR",#N/A,FALSE,"PL soc";"cinqexEUR",#N/A,FALSE,"5ex"}</definedName>
    <definedName name="wrn.etatfifrfeur_3_1_2" hidden="1">{#N/A,"francaiseur",FALSE,"UNITE";"ACTEUR",#N/A,FALSE,"ACTIF";"PASEUR",#N/A,FALSE,"PASSIF";"RESEUR",#N/A,FALSE,"RESULTATS";"FPEUR",#N/A,FALSE,"FP";"N03EUR",#N/A,FALSE,"NOTE03";"N04EUR",#N/A,FALSE,"NOTE04";"N05EUR",#N/A,FALSE,"NOTE05";"N06EUR",#N/A,FALSE,"NOTE06";"N07EUR",#N/A,FALSE,"NOTE07";"N08EUR",#N/A,FALSE,"NOTE08";"N09EUR",#N/A,FALSE,"NOTE09";"N10EUR",#N/A,FALSE,"NOTE10";"N11EUR",#N/A,FALSE,"NOTE11";"N12EUR",#N/A,FALSE,"NOTE12";"N13EUR",#N/A,FALSE,"NOTE13";"N14EUR",#N/A,FALSE,"NOTE14";"N15EUR",#N/A,FALSE,"NOTE15";"N16EUR",#N/A,FALSE,"NOTE16";"N18EUR",#N/A,FALSE,"NOTE18";"N19EUR",#N/A,FALSE,"NOTE19";"N20EUR",#N/A,FALSE,"NOTE20";"N21EUR",#N/A,FALSE,"NOTE21";"N22EUR",#N/A,FALSE,"NOTE22";"N23EUR",#N/A,FALSE,"NOTE23";"N24EUR",#N/A,FALSE,"NOTE24";"N25EUR",#N/A,FALSE,"NOTE25";"N26EUR",#N/A,FALSE,"NOTE26";"N27EUR",#N/A,FALSE,"NOTE27";"N28EUR",#N/A,FALSE,"NOTE28";"N29EUR",#N/A,FALSE,"NOTE29";"N30EUR",#N/A,FALSE,"NOTE30";"N31EUR",#N/A,FALSE,"NOTE31";"N32EUR",#N/A,FALSE,"NOTE32";"N33EUR",#N/A,FALSE,"NOTE33";"BILSOCEUR",#N/A,FALSE,"bilan soc";"RESSOCEUR",#N/A,FALSE,"PL soc";"cinqexEUR",#N/A,FALSE,"5ex"}</definedName>
    <definedName name="wrn.etatfifrfeur_3_2" localSheetId="12" hidden="1">{#N/A,"francaiseur",FALSE,"UNITE";"ACTEUR",#N/A,FALSE,"ACTIF";"PASEUR",#N/A,FALSE,"PASSIF";"RESEUR",#N/A,FALSE,"RESULTATS";"FPEUR",#N/A,FALSE,"FP";"N03EUR",#N/A,FALSE,"NOTE03";"N04EUR",#N/A,FALSE,"NOTE04";"N05EUR",#N/A,FALSE,"NOTE05";"N06EUR",#N/A,FALSE,"NOTE06";"N07EUR",#N/A,FALSE,"NOTE07";"N08EUR",#N/A,FALSE,"NOTE08";"N09EUR",#N/A,FALSE,"NOTE09";"N10EUR",#N/A,FALSE,"NOTE10";"N11EUR",#N/A,FALSE,"NOTE11";"N12EUR",#N/A,FALSE,"NOTE12";"N13EUR",#N/A,FALSE,"NOTE13";"N14EUR",#N/A,FALSE,"NOTE14";"N15EUR",#N/A,FALSE,"NOTE15";"N16EUR",#N/A,FALSE,"NOTE16";"N18EUR",#N/A,FALSE,"NOTE18";"N19EUR",#N/A,FALSE,"NOTE19";"N20EUR",#N/A,FALSE,"NOTE20";"N21EUR",#N/A,FALSE,"NOTE21";"N22EUR",#N/A,FALSE,"NOTE22";"N23EUR",#N/A,FALSE,"NOTE23";"N24EUR",#N/A,FALSE,"NOTE24";"N25EUR",#N/A,FALSE,"NOTE25";"N26EUR",#N/A,FALSE,"NOTE26";"N27EUR",#N/A,FALSE,"NOTE27";"N28EUR",#N/A,FALSE,"NOTE28";"N29EUR",#N/A,FALSE,"NOTE29";"N30EUR",#N/A,FALSE,"NOTE30";"N31EUR",#N/A,FALSE,"NOTE31";"N32EUR",#N/A,FALSE,"NOTE32";"N33EUR",#N/A,FALSE,"NOTE33";"BILSOCEUR",#N/A,FALSE,"bilan soc";"RESSOCEUR",#N/A,FALSE,"PL soc";"cinqexEUR",#N/A,FALSE,"5ex"}</definedName>
    <definedName name="wrn.etatfifrfeur_3_2" hidden="1">{#N/A,"francaiseur",FALSE,"UNITE";"ACTEUR",#N/A,FALSE,"ACTIF";"PASEUR",#N/A,FALSE,"PASSIF";"RESEUR",#N/A,FALSE,"RESULTATS";"FPEUR",#N/A,FALSE,"FP";"N03EUR",#N/A,FALSE,"NOTE03";"N04EUR",#N/A,FALSE,"NOTE04";"N05EUR",#N/A,FALSE,"NOTE05";"N06EUR",#N/A,FALSE,"NOTE06";"N07EUR",#N/A,FALSE,"NOTE07";"N08EUR",#N/A,FALSE,"NOTE08";"N09EUR",#N/A,FALSE,"NOTE09";"N10EUR",#N/A,FALSE,"NOTE10";"N11EUR",#N/A,FALSE,"NOTE11";"N12EUR",#N/A,FALSE,"NOTE12";"N13EUR",#N/A,FALSE,"NOTE13";"N14EUR",#N/A,FALSE,"NOTE14";"N15EUR",#N/A,FALSE,"NOTE15";"N16EUR",#N/A,FALSE,"NOTE16";"N18EUR",#N/A,FALSE,"NOTE18";"N19EUR",#N/A,FALSE,"NOTE19";"N20EUR",#N/A,FALSE,"NOTE20";"N21EUR",#N/A,FALSE,"NOTE21";"N22EUR",#N/A,FALSE,"NOTE22";"N23EUR",#N/A,FALSE,"NOTE23";"N24EUR",#N/A,FALSE,"NOTE24";"N25EUR",#N/A,FALSE,"NOTE25";"N26EUR",#N/A,FALSE,"NOTE26";"N27EUR",#N/A,FALSE,"NOTE27";"N28EUR",#N/A,FALSE,"NOTE28";"N29EUR",#N/A,FALSE,"NOTE29";"N30EUR",#N/A,FALSE,"NOTE30";"N31EUR",#N/A,FALSE,"NOTE31";"N32EUR",#N/A,FALSE,"NOTE32";"N33EUR",#N/A,FALSE,"NOTE33";"BILSOCEUR",#N/A,FALSE,"bilan soc";"RESSOCEUR",#N/A,FALSE,"PL soc";"cinqexEUR",#N/A,FALSE,"5ex"}</definedName>
    <definedName name="wrn.etatfifrfeur_3_3" localSheetId="12" hidden="1">{#N/A,"francaiseur",FALSE,"UNITE";"ACTEUR",#N/A,FALSE,"ACTIF";"PASEUR",#N/A,FALSE,"PASSIF";"RESEUR",#N/A,FALSE,"RESULTATS";"FPEUR",#N/A,FALSE,"FP";"N03EUR",#N/A,FALSE,"NOTE03";"N04EUR",#N/A,FALSE,"NOTE04";"N05EUR",#N/A,FALSE,"NOTE05";"N06EUR",#N/A,FALSE,"NOTE06";"N07EUR",#N/A,FALSE,"NOTE07";"N08EUR",#N/A,FALSE,"NOTE08";"N09EUR",#N/A,FALSE,"NOTE09";"N10EUR",#N/A,FALSE,"NOTE10";"N11EUR",#N/A,FALSE,"NOTE11";"N12EUR",#N/A,FALSE,"NOTE12";"N13EUR",#N/A,FALSE,"NOTE13";"N14EUR",#N/A,FALSE,"NOTE14";"N15EUR",#N/A,FALSE,"NOTE15";"N16EUR",#N/A,FALSE,"NOTE16";"N18EUR",#N/A,FALSE,"NOTE18";"N19EUR",#N/A,FALSE,"NOTE19";"N20EUR",#N/A,FALSE,"NOTE20";"N21EUR",#N/A,FALSE,"NOTE21";"N22EUR",#N/A,FALSE,"NOTE22";"N23EUR",#N/A,FALSE,"NOTE23";"N24EUR",#N/A,FALSE,"NOTE24";"N25EUR",#N/A,FALSE,"NOTE25";"N26EUR",#N/A,FALSE,"NOTE26";"N27EUR",#N/A,FALSE,"NOTE27";"N28EUR",#N/A,FALSE,"NOTE28";"N29EUR",#N/A,FALSE,"NOTE29";"N30EUR",#N/A,FALSE,"NOTE30";"N31EUR",#N/A,FALSE,"NOTE31";"N32EUR",#N/A,FALSE,"NOTE32";"N33EUR",#N/A,FALSE,"NOTE33";"BILSOCEUR",#N/A,FALSE,"bilan soc";"RESSOCEUR",#N/A,FALSE,"PL soc";"cinqexEUR",#N/A,FALSE,"5ex"}</definedName>
    <definedName name="wrn.etatfifrfeur_3_3" hidden="1">{#N/A,"francaiseur",FALSE,"UNITE";"ACTEUR",#N/A,FALSE,"ACTIF";"PASEUR",#N/A,FALSE,"PASSIF";"RESEUR",#N/A,FALSE,"RESULTATS";"FPEUR",#N/A,FALSE,"FP";"N03EUR",#N/A,FALSE,"NOTE03";"N04EUR",#N/A,FALSE,"NOTE04";"N05EUR",#N/A,FALSE,"NOTE05";"N06EUR",#N/A,FALSE,"NOTE06";"N07EUR",#N/A,FALSE,"NOTE07";"N08EUR",#N/A,FALSE,"NOTE08";"N09EUR",#N/A,FALSE,"NOTE09";"N10EUR",#N/A,FALSE,"NOTE10";"N11EUR",#N/A,FALSE,"NOTE11";"N12EUR",#N/A,FALSE,"NOTE12";"N13EUR",#N/A,FALSE,"NOTE13";"N14EUR",#N/A,FALSE,"NOTE14";"N15EUR",#N/A,FALSE,"NOTE15";"N16EUR",#N/A,FALSE,"NOTE16";"N18EUR",#N/A,FALSE,"NOTE18";"N19EUR",#N/A,FALSE,"NOTE19";"N20EUR",#N/A,FALSE,"NOTE20";"N21EUR",#N/A,FALSE,"NOTE21";"N22EUR",#N/A,FALSE,"NOTE22";"N23EUR",#N/A,FALSE,"NOTE23";"N24EUR",#N/A,FALSE,"NOTE24";"N25EUR",#N/A,FALSE,"NOTE25";"N26EUR",#N/A,FALSE,"NOTE26";"N27EUR",#N/A,FALSE,"NOTE27";"N28EUR",#N/A,FALSE,"NOTE28";"N29EUR",#N/A,FALSE,"NOTE29";"N30EUR",#N/A,FALSE,"NOTE30";"N31EUR",#N/A,FALSE,"NOTE31";"N32EUR",#N/A,FALSE,"NOTE32";"N33EUR",#N/A,FALSE,"NOTE33";"BILSOCEUR",#N/A,FALSE,"bilan soc";"RESSOCEUR",#N/A,FALSE,"PL soc";"cinqexEUR",#N/A,FALSE,"5ex"}</definedName>
    <definedName name="wrn.etatfifrfeur_4" localSheetId="9" hidden="1">{#N/A,"francaiseur",FALSE,"UNITE";"ACTEUR",#N/A,FALSE,"ACTIF";"PASEUR",#N/A,FALSE,"PASSIF";"RESEUR",#N/A,FALSE,"RESULTATS";"FPEUR",#N/A,FALSE,"FP";"N03EUR",#N/A,FALSE,"NOTE03";"N04EUR",#N/A,FALSE,"NOTE04";"N05EUR",#N/A,FALSE,"NOTE05";"N06EUR",#N/A,FALSE,"NOTE06";"N07EUR",#N/A,FALSE,"NOTE07";"N08EUR",#N/A,FALSE,"NOTE08";"N09EUR",#N/A,FALSE,"NOTE09";"N10EUR",#N/A,FALSE,"NOTE10";"N11EUR",#N/A,FALSE,"NOTE11";"N12EUR",#N/A,FALSE,"NOTE12";"N13EUR",#N/A,FALSE,"NOTE13";"N14EUR",#N/A,FALSE,"NOTE14";"N15EUR",#N/A,FALSE,"NOTE15";"N16EUR",#N/A,FALSE,"NOTE16";"N18EUR",#N/A,FALSE,"NOTE18";"N19EUR",#N/A,FALSE,"NOTE19";"N20EUR",#N/A,FALSE,"NOTE20";"N21EUR",#N/A,FALSE,"NOTE21";"N22EUR",#N/A,FALSE,"NOTE22";"N23EUR",#N/A,FALSE,"NOTE23";"N24EUR",#N/A,FALSE,"NOTE24";"N25EUR",#N/A,FALSE,"NOTE25";"N26EUR",#N/A,FALSE,"NOTE26";"N27EUR",#N/A,FALSE,"NOTE27";"N28EUR",#N/A,FALSE,"NOTE28";"N29EUR",#N/A,FALSE,"NOTE29";"N30EUR",#N/A,FALSE,"NOTE30";"N31EUR",#N/A,FALSE,"NOTE31";"N32EUR",#N/A,FALSE,"NOTE32";"N33EUR",#N/A,FALSE,"NOTE33";"BILSOCEUR",#N/A,FALSE,"bilan soc";"RESSOCEUR",#N/A,FALSE,"PL soc";"cinqexEUR",#N/A,FALSE,"5ex"}</definedName>
    <definedName name="wrn.etatfifrfeur_4" localSheetId="12" hidden="1">{#N/A,"francaiseur",FALSE,"UNITE";"ACTEUR",#N/A,FALSE,"ACTIF";"PASEUR",#N/A,FALSE,"PASSIF";"RESEUR",#N/A,FALSE,"RESULTATS";"FPEUR",#N/A,FALSE,"FP";"N03EUR",#N/A,FALSE,"NOTE03";"N04EUR",#N/A,FALSE,"NOTE04";"N05EUR",#N/A,FALSE,"NOTE05";"N06EUR",#N/A,FALSE,"NOTE06";"N07EUR",#N/A,FALSE,"NOTE07";"N08EUR",#N/A,FALSE,"NOTE08";"N09EUR",#N/A,FALSE,"NOTE09";"N10EUR",#N/A,FALSE,"NOTE10";"N11EUR",#N/A,FALSE,"NOTE11";"N12EUR",#N/A,FALSE,"NOTE12";"N13EUR",#N/A,FALSE,"NOTE13";"N14EUR",#N/A,FALSE,"NOTE14";"N15EUR",#N/A,FALSE,"NOTE15";"N16EUR",#N/A,FALSE,"NOTE16";"N18EUR",#N/A,FALSE,"NOTE18";"N19EUR",#N/A,FALSE,"NOTE19";"N20EUR",#N/A,FALSE,"NOTE20";"N21EUR",#N/A,FALSE,"NOTE21";"N22EUR",#N/A,FALSE,"NOTE22";"N23EUR",#N/A,FALSE,"NOTE23";"N24EUR",#N/A,FALSE,"NOTE24";"N25EUR",#N/A,FALSE,"NOTE25";"N26EUR",#N/A,FALSE,"NOTE26";"N27EUR",#N/A,FALSE,"NOTE27";"N28EUR",#N/A,FALSE,"NOTE28";"N29EUR",#N/A,FALSE,"NOTE29";"N30EUR",#N/A,FALSE,"NOTE30";"N31EUR",#N/A,FALSE,"NOTE31";"N32EUR",#N/A,FALSE,"NOTE32";"N33EUR",#N/A,FALSE,"NOTE33";"BILSOCEUR",#N/A,FALSE,"bilan soc";"RESSOCEUR",#N/A,FALSE,"PL soc";"cinqexEUR",#N/A,FALSE,"5ex"}</definedName>
    <definedName name="wrn.etatfifrfeur_4" localSheetId="7" hidden="1">{#N/A,"francaiseur",FALSE,"UNITE";"ACTEUR",#N/A,FALSE,"ACTIF";"PASEUR",#N/A,FALSE,"PASSIF";"RESEUR",#N/A,FALSE,"RESULTATS";"FPEUR",#N/A,FALSE,"FP";"N03EUR",#N/A,FALSE,"NOTE03";"N04EUR",#N/A,FALSE,"NOTE04";"N05EUR",#N/A,FALSE,"NOTE05";"N06EUR",#N/A,FALSE,"NOTE06";"N07EUR",#N/A,FALSE,"NOTE07";"N08EUR",#N/A,FALSE,"NOTE08";"N09EUR",#N/A,FALSE,"NOTE09";"N10EUR",#N/A,FALSE,"NOTE10";"N11EUR",#N/A,FALSE,"NOTE11";"N12EUR",#N/A,FALSE,"NOTE12";"N13EUR",#N/A,FALSE,"NOTE13";"N14EUR",#N/A,FALSE,"NOTE14";"N15EUR",#N/A,FALSE,"NOTE15";"N16EUR",#N/A,FALSE,"NOTE16";"N18EUR",#N/A,FALSE,"NOTE18";"N19EUR",#N/A,FALSE,"NOTE19";"N20EUR",#N/A,FALSE,"NOTE20";"N21EUR",#N/A,FALSE,"NOTE21";"N22EUR",#N/A,FALSE,"NOTE22";"N23EUR",#N/A,FALSE,"NOTE23";"N24EUR",#N/A,FALSE,"NOTE24";"N25EUR",#N/A,FALSE,"NOTE25";"N26EUR",#N/A,FALSE,"NOTE26";"N27EUR",#N/A,FALSE,"NOTE27";"N28EUR",#N/A,FALSE,"NOTE28";"N29EUR",#N/A,FALSE,"NOTE29";"N30EUR",#N/A,FALSE,"NOTE30";"N31EUR",#N/A,FALSE,"NOTE31";"N32EUR",#N/A,FALSE,"NOTE32";"N33EUR",#N/A,FALSE,"NOTE33";"BILSOCEUR",#N/A,FALSE,"bilan soc";"RESSOCEUR",#N/A,FALSE,"PL soc";"cinqexEUR",#N/A,FALSE,"5ex"}</definedName>
    <definedName name="wrn.etatfifrfeur_4" localSheetId="8" hidden="1">{#N/A,"francaiseur",FALSE,"UNITE";"ACTEUR",#N/A,FALSE,"ACTIF";"PASEUR",#N/A,FALSE,"PASSIF";"RESEUR",#N/A,FALSE,"RESULTATS";"FPEUR",#N/A,FALSE,"FP";"N03EUR",#N/A,FALSE,"NOTE03";"N04EUR",#N/A,FALSE,"NOTE04";"N05EUR",#N/A,FALSE,"NOTE05";"N06EUR",#N/A,FALSE,"NOTE06";"N07EUR",#N/A,FALSE,"NOTE07";"N08EUR",#N/A,FALSE,"NOTE08";"N09EUR",#N/A,FALSE,"NOTE09";"N10EUR",#N/A,FALSE,"NOTE10";"N11EUR",#N/A,FALSE,"NOTE11";"N12EUR",#N/A,FALSE,"NOTE12";"N13EUR",#N/A,FALSE,"NOTE13";"N14EUR",#N/A,FALSE,"NOTE14";"N15EUR",#N/A,FALSE,"NOTE15";"N16EUR",#N/A,FALSE,"NOTE16";"N18EUR",#N/A,FALSE,"NOTE18";"N19EUR",#N/A,FALSE,"NOTE19";"N20EUR",#N/A,FALSE,"NOTE20";"N21EUR",#N/A,FALSE,"NOTE21";"N22EUR",#N/A,FALSE,"NOTE22";"N23EUR",#N/A,FALSE,"NOTE23";"N24EUR",#N/A,FALSE,"NOTE24";"N25EUR",#N/A,FALSE,"NOTE25";"N26EUR",#N/A,FALSE,"NOTE26";"N27EUR",#N/A,FALSE,"NOTE27";"N28EUR",#N/A,FALSE,"NOTE28";"N29EUR",#N/A,FALSE,"NOTE29";"N30EUR",#N/A,FALSE,"NOTE30";"N31EUR",#N/A,FALSE,"NOTE31";"N32EUR",#N/A,FALSE,"NOTE32";"N33EUR",#N/A,FALSE,"NOTE33";"BILSOCEUR",#N/A,FALSE,"bilan soc";"RESSOCEUR",#N/A,FALSE,"PL soc";"cinqexEUR",#N/A,FALSE,"5ex"}</definedName>
    <definedName name="wrn.etatfifrfeur_4" localSheetId="10" hidden="1">{#N/A,"francaiseur",FALSE,"UNITE";"ACTEUR",#N/A,FALSE,"ACTIF";"PASEUR",#N/A,FALSE,"PASSIF";"RESEUR",#N/A,FALSE,"RESULTATS";"FPEUR",#N/A,FALSE,"FP";"N03EUR",#N/A,FALSE,"NOTE03";"N04EUR",#N/A,FALSE,"NOTE04";"N05EUR",#N/A,FALSE,"NOTE05";"N06EUR",#N/A,FALSE,"NOTE06";"N07EUR",#N/A,FALSE,"NOTE07";"N08EUR",#N/A,FALSE,"NOTE08";"N09EUR",#N/A,FALSE,"NOTE09";"N10EUR",#N/A,FALSE,"NOTE10";"N11EUR",#N/A,FALSE,"NOTE11";"N12EUR",#N/A,FALSE,"NOTE12";"N13EUR",#N/A,FALSE,"NOTE13";"N14EUR",#N/A,FALSE,"NOTE14";"N15EUR",#N/A,FALSE,"NOTE15";"N16EUR",#N/A,FALSE,"NOTE16";"N18EUR",#N/A,FALSE,"NOTE18";"N19EUR",#N/A,FALSE,"NOTE19";"N20EUR",#N/A,FALSE,"NOTE20";"N21EUR",#N/A,FALSE,"NOTE21";"N22EUR",#N/A,FALSE,"NOTE22";"N23EUR",#N/A,FALSE,"NOTE23";"N24EUR",#N/A,FALSE,"NOTE24";"N25EUR",#N/A,FALSE,"NOTE25";"N26EUR",#N/A,FALSE,"NOTE26";"N27EUR",#N/A,FALSE,"NOTE27";"N28EUR",#N/A,FALSE,"NOTE28";"N29EUR",#N/A,FALSE,"NOTE29";"N30EUR",#N/A,FALSE,"NOTE30";"N31EUR",#N/A,FALSE,"NOTE31";"N32EUR",#N/A,FALSE,"NOTE32";"N33EUR",#N/A,FALSE,"NOTE33";"BILSOCEUR",#N/A,FALSE,"bilan soc";"RESSOCEUR",#N/A,FALSE,"PL soc";"cinqexEUR",#N/A,FALSE,"5ex"}</definedName>
    <definedName name="wrn.etatfifrfeur_4" hidden="1">{#N/A,"francaiseur",FALSE,"UNITE";"ACTEUR",#N/A,FALSE,"ACTIF";"PASEUR",#N/A,FALSE,"PASSIF";"RESEUR",#N/A,FALSE,"RESULTATS";"FPEUR",#N/A,FALSE,"FP";"N03EUR",#N/A,FALSE,"NOTE03";"N04EUR",#N/A,FALSE,"NOTE04";"N05EUR",#N/A,FALSE,"NOTE05";"N06EUR",#N/A,FALSE,"NOTE06";"N07EUR",#N/A,FALSE,"NOTE07";"N08EUR",#N/A,FALSE,"NOTE08";"N09EUR",#N/A,FALSE,"NOTE09";"N10EUR",#N/A,FALSE,"NOTE10";"N11EUR",#N/A,FALSE,"NOTE11";"N12EUR",#N/A,FALSE,"NOTE12";"N13EUR",#N/A,FALSE,"NOTE13";"N14EUR",#N/A,FALSE,"NOTE14";"N15EUR",#N/A,FALSE,"NOTE15";"N16EUR",#N/A,FALSE,"NOTE16";"N18EUR",#N/A,FALSE,"NOTE18";"N19EUR",#N/A,FALSE,"NOTE19";"N20EUR",#N/A,FALSE,"NOTE20";"N21EUR",#N/A,FALSE,"NOTE21";"N22EUR",#N/A,FALSE,"NOTE22";"N23EUR",#N/A,FALSE,"NOTE23";"N24EUR",#N/A,FALSE,"NOTE24";"N25EUR",#N/A,FALSE,"NOTE25";"N26EUR",#N/A,FALSE,"NOTE26";"N27EUR",#N/A,FALSE,"NOTE27";"N28EUR",#N/A,FALSE,"NOTE28";"N29EUR",#N/A,FALSE,"NOTE29";"N30EUR",#N/A,FALSE,"NOTE30";"N31EUR",#N/A,FALSE,"NOTE31";"N32EUR",#N/A,FALSE,"NOTE32";"N33EUR",#N/A,FALSE,"NOTE33";"BILSOCEUR",#N/A,FALSE,"bilan soc";"RESSOCEUR",#N/A,FALSE,"PL soc";"cinqexEUR",#N/A,FALSE,"5ex"}</definedName>
    <definedName name="wrn.etatfifrfeur_4_1" localSheetId="9" hidden="1">{#N/A,"francaiseur",FALSE,"UNITE";"ACTEUR",#N/A,FALSE,"ACTIF";"PASEUR",#N/A,FALSE,"PASSIF";"RESEUR",#N/A,FALSE,"RESULTATS";"FPEUR",#N/A,FALSE,"FP";"N03EUR",#N/A,FALSE,"NOTE03";"N04EUR",#N/A,FALSE,"NOTE04";"N05EUR",#N/A,FALSE,"NOTE05";"N06EUR",#N/A,FALSE,"NOTE06";"N07EUR",#N/A,FALSE,"NOTE07";"N08EUR",#N/A,FALSE,"NOTE08";"N09EUR",#N/A,FALSE,"NOTE09";"N10EUR",#N/A,FALSE,"NOTE10";"N11EUR",#N/A,FALSE,"NOTE11";"N12EUR",#N/A,FALSE,"NOTE12";"N13EUR",#N/A,FALSE,"NOTE13";"N14EUR",#N/A,FALSE,"NOTE14";"N15EUR",#N/A,FALSE,"NOTE15";"N16EUR",#N/A,FALSE,"NOTE16";"N18EUR",#N/A,FALSE,"NOTE18";"N19EUR",#N/A,FALSE,"NOTE19";"N20EUR",#N/A,FALSE,"NOTE20";"N21EUR",#N/A,FALSE,"NOTE21";"N22EUR",#N/A,FALSE,"NOTE22";"N23EUR",#N/A,FALSE,"NOTE23";"N24EUR",#N/A,FALSE,"NOTE24";"N25EUR",#N/A,FALSE,"NOTE25";"N26EUR",#N/A,FALSE,"NOTE26";"N27EUR",#N/A,FALSE,"NOTE27";"N28EUR",#N/A,FALSE,"NOTE28";"N29EUR",#N/A,FALSE,"NOTE29";"N30EUR",#N/A,FALSE,"NOTE30";"N31EUR",#N/A,FALSE,"NOTE31";"N32EUR",#N/A,FALSE,"NOTE32";"N33EUR",#N/A,FALSE,"NOTE33";"BILSOCEUR",#N/A,FALSE,"bilan soc";"RESSOCEUR",#N/A,FALSE,"PL soc";"cinqexEUR",#N/A,FALSE,"5ex"}</definedName>
    <definedName name="wrn.etatfifrfeur_4_1" localSheetId="12" hidden="1">{#N/A,"francaiseur",FALSE,"UNITE";"ACTEUR",#N/A,FALSE,"ACTIF";"PASEUR",#N/A,FALSE,"PASSIF";"RESEUR",#N/A,FALSE,"RESULTATS";"FPEUR",#N/A,FALSE,"FP";"N03EUR",#N/A,FALSE,"NOTE03";"N04EUR",#N/A,FALSE,"NOTE04";"N05EUR",#N/A,FALSE,"NOTE05";"N06EUR",#N/A,FALSE,"NOTE06";"N07EUR",#N/A,FALSE,"NOTE07";"N08EUR",#N/A,FALSE,"NOTE08";"N09EUR",#N/A,FALSE,"NOTE09";"N10EUR",#N/A,FALSE,"NOTE10";"N11EUR",#N/A,FALSE,"NOTE11";"N12EUR",#N/A,FALSE,"NOTE12";"N13EUR",#N/A,FALSE,"NOTE13";"N14EUR",#N/A,FALSE,"NOTE14";"N15EUR",#N/A,FALSE,"NOTE15";"N16EUR",#N/A,FALSE,"NOTE16";"N18EUR",#N/A,FALSE,"NOTE18";"N19EUR",#N/A,FALSE,"NOTE19";"N20EUR",#N/A,FALSE,"NOTE20";"N21EUR",#N/A,FALSE,"NOTE21";"N22EUR",#N/A,FALSE,"NOTE22";"N23EUR",#N/A,FALSE,"NOTE23";"N24EUR",#N/A,FALSE,"NOTE24";"N25EUR",#N/A,FALSE,"NOTE25";"N26EUR",#N/A,FALSE,"NOTE26";"N27EUR",#N/A,FALSE,"NOTE27";"N28EUR",#N/A,FALSE,"NOTE28";"N29EUR",#N/A,FALSE,"NOTE29";"N30EUR",#N/A,FALSE,"NOTE30";"N31EUR",#N/A,FALSE,"NOTE31";"N32EUR",#N/A,FALSE,"NOTE32";"N33EUR",#N/A,FALSE,"NOTE33";"BILSOCEUR",#N/A,FALSE,"bilan soc";"RESSOCEUR",#N/A,FALSE,"PL soc";"cinqexEUR",#N/A,FALSE,"5ex"}</definedName>
    <definedName name="wrn.etatfifrfeur_4_1" localSheetId="7" hidden="1">{#N/A,"francaiseur",FALSE,"UNITE";"ACTEUR",#N/A,FALSE,"ACTIF";"PASEUR",#N/A,FALSE,"PASSIF";"RESEUR",#N/A,FALSE,"RESULTATS";"FPEUR",#N/A,FALSE,"FP";"N03EUR",#N/A,FALSE,"NOTE03";"N04EUR",#N/A,FALSE,"NOTE04";"N05EUR",#N/A,FALSE,"NOTE05";"N06EUR",#N/A,FALSE,"NOTE06";"N07EUR",#N/A,FALSE,"NOTE07";"N08EUR",#N/A,FALSE,"NOTE08";"N09EUR",#N/A,FALSE,"NOTE09";"N10EUR",#N/A,FALSE,"NOTE10";"N11EUR",#N/A,FALSE,"NOTE11";"N12EUR",#N/A,FALSE,"NOTE12";"N13EUR",#N/A,FALSE,"NOTE13";"N14EUR",#N/A,FALSE,"NOTE14";"N15EUR",#N/A,FALSE,"NOTE15";"N16EUR",#N/A,FALSE,"NOTE16";"N18EUR",#N/A,FALSE,"NOTE18";"N19EUR",#N/A,FALSE,"NOTE19";"N20EUR",#N/A,FALSE,"NOTE20";"N21EUR",#N/A,FALSE,"NOTE21";"N22EUR",#N/A,FALSE,"NOTE22";"N23EUR",#N/A,FALSE,"NOTE23";"N24EUR",#N/A,FALSE,"NOTE24";"N25EUR",#N/A,FALSE,"NOTE25";"N26EUR",#N/A,FALSE,"NOTE26";"N27EUR",#N/A,FALSE,"NOTE27";"N28EUR",#N/A,FALSE,"NOTE28";"N29EUR",#N/A,FALSE,"NOTE29";"N30EUR",#N/A,FALSE,"NOTE30";"N31EUR",#N/A,FALSE,"NOTE31";"N32EUR",#N/A,FALSE,"NOTE32";"N33EUR",#N/A,FALSE,"NOTE33";"BILSOCEUR",#N/A,FALSE,"bilan soc";"RESSOCEUR",#N/A,FALSE,"PL soc";"cinqexEUR",#N/A,FALSE,"5ex"}</definedName>
    <definedName name="wrn.etatfifrfeur_4_1" localSheetId="8" hidden="1">{#N/A,"francaiseur",FALSE,"UNITE";"ACTEUR",#N/A,FALSE,"ACTIF";"PASEUR",#N/A,FALSE,"PASSIF";"RESEUR",#N/A,FALSE,"RESULTATS";"FPEUR",#N/A,FALSE,"FP";"N03EUR",#N/A,FALSE,"NOTE03";"N04EUR",#N/A,FALSE,"NOTE04";"N05EUR",#N/A,FALSE,"NOTE05";"N06EUR",#N/A,FALSE,"NOTE06";"N07EUR",#N/A,FALSE,"NOTE07";"N08EUR",#N/A,FALSE,"NOTE08";"N09EUR",#N/A,FALSE,"NOTE09";"N10EUR",#N/A,FALSE,"NOTE10";"N11EUR",#N/A,FALSE,"NOTE11";"N12EUR",#N/A,FALSE,"NOTE12";"N13EUR",#N/A,FALSE,"NOTE13";"N14EUR",#N/A,FALSE,"NOTE14";"N15EUR",#N/A,FALSE,"NOTE15";"N16EUR",#N/A,FALSE,"NOTE16";"N18EUR",#N/A,FALSE,"NOTE18";"N19EUR",#N/A,FALSE,"NOTE19";"N20EUR",#N/A,FALSE,"NOTE20";"N21EUR",#N/A,FALSE,"NOTE21";"N22EUR",#N/A,FALSE,"NOTE22";"N23EUR",#N/A,FALSE,"NOTE23";"N24EUR",#N/A,FALSE,"NOTE24";"N25EUR",#N/A,FALSE,"NOTE25";"N26EUR",#N/A,FALSE,"NOTE26";"N27EUR",#N/A,FALSE,"NOTE27";"N28EUR",#N/A,FALSE,"NOTE28";"N29EUR",#N/A,FALSE,"NOTE29";"N30EUR",#N/A,FALSE,"NOTE30";"N31EUR",#N/A,FALSE,"NOTE31";"N32EUR",#N/A,FALSE,"NOTE32";"N33EUR",#N/A,FALSE,"NOTE33";"BILSOCEUR",#N/A,FALSE,"bilan soc";"RESSOCEUR",#N/A,FALSE,"PL soc";"cinqexEUR",#N/A,FALSE,"5ex"}</definedName>
    <definedName name="wrn.etatfifrfeur_4_1" localSheetId="10" hidden="1">{#N/A,"francaiseur",FALSE,"UNITE";"ACTEUR",#N/A,FALSE,"ACTIF";"PASEUR",#N/A,FALSE,"PASSIF";"RESEUR",#N/A,FALSE,"RESULTATS";"FPEUR",#N/A,FALSE,"FP";"N03EUR",#N/A,FALSE,"NOTE03";"N04EUR",#N/A,FALSE,"NOTE04";"N05EUR",#N/A,FALSE,"NOTE05";"N06EUR",#N/A,FALSE,"NOTE06";"N07EUR",#N/A,FALSE,"NOTE07";"N08EUR",#N/A,FALSE,"NOTE08";"N09EUR",#N/A,FALSE,"NOTE09";"N10EUR",#N/A,FALSE,"NOTE10";"N11EUR",#N/A,FALSE,"NOTE11";"N12EUR",#N/A,FALSE,"NOTE12";"N13EUR",#N/A,FALSE,"NOTE13";"N14EUR",#N/A,FALSE,"NOTE14";"N15EUR",#N/A,FALSE,"NOTE15";"N16EUR",#N/A,FALSE,"NOTE16";"N18EUR",#N/A,FALSE,"NOTE18";"N19EUR",#N/A,FALSE,"NOTE19";"N20EUR",#N/A,FALSE,"NOTE20";"N21EUR",#N/A,FALSE,"NOTE21";"N22EUR",#N/A,FALSE,"NOTE22";"N23EUR",#N/A,FALSE,"NOTE23";"N24EUR",#N/A,FALSE,"NOTE24";"N25EUR",#N/A,FALSE,"NOTE25";"N26EUR",#N/A,FALSE,"NOTE26";"N27EUR",#N/A,FALSE,"NOTE27";"N28EUR",#N/A,FALSE,"NOTE28";"N29EUR",#N/A,FALSE,"NOTE29";"N30EUR",#N/A,FALSE,"NOTE30";"N31EUR",#N/A,FALSE,"NOTE31";"N32EUR",#N/A,FALSE,"NOTE32";"N33EUR",#N/A,FALSE,"NOTE33";"BILSOCEUR",#N/A,FALSE,"bilan soc";"RESSOCEUR",#N/A,FALSE,"PL soc";"cinqexEUR",#N/A,FALSE,"5ex"}</definedName>
    <definedName name="wrn.etatfifrfeur_4_1" hidden="1">{#N/A,"francaiseur",FALSE,"UNITE";"ACTEUR",#N/A,FALSE,"ACTIF";"PASEUR",#N/A,FALSE,"PASSIF";"RESEUR",#N/A,FALSE,"RESULTATS";"FPEUR",#N/A,FALSE,"FP";"N03EUR",#N/A,FALSE,"NOTE03";"N04EUR",#N/A,FALSE,"NOTE04";"N05EUR",#N/A,FALSE,"NOTE05";"N06EUR",#N/A,FALSE,"NOTE06";"N07EUR",#N/A,FALSE,"NOTE07";"N08EUR",#N/A,FALSE,"NOTE08";"N09EUR",#N/A,FALSE,"NOTE09";"N10EUR",#N/A,FALSE,"NOTE10";"N11EUR",#N/A,FALSE,"NOTE11";"N12EUR",#N/A,FALSE,"NOTE12";"N13EUR",#N/A,FALSE,"NOTE13";"N14EUR",#N/A,FALSE,"NOTE14";"N15EUR",#N/A,FALSE,"NOTE15";"N16EUR",#N/A,FALSE,"NOTE16";"N18EUR",#N/A,FALSE,"NOTE18";"N19EUR",#N/A,FALSE,"NOTE19";"N20EUR",#N/A,FALSE,"NOTE20";"N21EUR",#N/A,FALSE,"NOTE21";"N22EUR",#N/A,FALSE,"NOTE22";"N23EUR",#N/A,FALSE,"NOTE23";"N24EUR",#N/A,FALSE,"NOTE24";"N25EUR",#N/A,FALSE,"NOTE25";"N26EUR",#N/A,FALSE,"NOTE26";"N27EUR",#N/A,FALSE,"NOTE27";"N28EUR",#N/A,FALSE,"NOTE28";"N29EUR",#N/A,FALSE,"NOTE29";"N30EUR",#N/A,FALSE,"NOTE30";"N31EUR",#N/A,FALSE,"NOTE31";"N32EUR",#N/A,FALSE,"NOTE32";"N33EUR",#N/A,FALSE,"NOTE33";"BILSOCEUR",#N/A,FALSE,"bilan soc";"RESSOCEUR",#N/A,FALSE,"PL soc";"cinqexEUR",#N/A,FALSE,"5ex"}</definedName>
    <definedName name="wrn.etatfifrfeur_4_1_1" localSheetId="12" hidden="1">{#N/A,"francaiseur",FALSE,"UNITE";"ACTEUR",#N/A,FALSE,"ACTIF";"PASEUR",#N/A,FALSE,"PASSIF";"RESEUR",#N/A,FALSE,"RESULTATS";"FPEUR",#N/A,FALSE,"FP";"N03EUR",#N/A,FALSE,"NOTE03";"N04EUR",#N/A,FALSE,"NOTE04";"N05EUR",#N/A,FALSE,"NOTE05";"N06EUR",#N/A,FALSE,"NOTE06";"N07EUR",#N/A,FALSE,"NOTE07";"N08EUR",#N/A,FALSE,"NOTE08";"N09EUR",#N/A,FALSE,"NOTE09";"N10EUR",#N/A,FALSE,"NOTE10";"N11EUR",#N/A,FALSE,"NOTE11";"N12EUR",#N/A,FALSE,"NOTE12";"N13EUR",#N/A,FALSE,"NOTE13";"N14EUR",#N/A,FALSE,"NOTE14";"N15EUR",#N/A,FALSE,"NOTE15";"N16EUR",#N/A,FALSE,"NOTE16";"N18EUR",#N/A,FALSE,"NOTE18";"N19EUR",#N/A,FALSE,"NOTE19";"N20EUR",#N/A,FALSE,"NOTE20";"N21EUR",#N/A,FALSE,"NOTE21";"N22EUR",#N/A,FALSE,"NOTE22";"N23EUR",#N/A,FALSE,"NOTE23";"N24EUR",#N/A,FALSE,"NOTE24";"N25EUR",#N/A,FALSE,"NOTE25";"N26EUR",#N/A,FALSE,"NOTE26";"N27EUR",#N/A,FALSE,"NOTE27";"N28EUR",#N/A,FALSE,"NOTE28";"N29EUR",#N/A,FALSE,"NOTE29";"N30EUR",#N/A,FALSE,"NOTE30";"N31EUR",#N/A,FALSE,"NOTE31";"N32EUR",#N/A,FALSE,"NOTE32";"N33EUR",#N/A,FALSE,"NOTE33";"BILSOCEUR",#N/A,FALSE,"bilan soc";"RESSOCEUR",#N/A,FALSE,"PL soc";"cinqexEUR",#N/A,FALSE,"5ex"}</definedName>
    <definedName name="wrn.etatfifrfeur_4_1_1" hidden="1">{#N/A,"francaiseur",FALSE,"UNITE";"ACTEUR",#N/A,FALSE,"ACTIF";"PASEUR",#N/A,FALSE,"PASSIF";"RESEUR",#N/A,FALSE,"RESULTATS";"FPEUR",#N/A,FALSE,"FP";"N03EUR",#N/A,FALSE,"NOTE03";"N04EUR",#N/A,FALSE,"NOTE04";"N05EUR",#N/A,FALSE,"NOTE05";"N06EUR",#N/A,FALSE,"NOTE06";"N07EUR",#N/A,FALSE,"NOTE07";"N08EUR",#N/A,FALSE,"NOTE08";"N09EUR",#N/A,FALSE,"NOTE09";"N10EUR",#N/A,FALSE,"NOTE10";"N11EUR",#N/A,FALSE,"NOTE11";"N12EUR",#N/A,FALSE,"NOTE12";"N13EUR",#N/A,FALSE,"NOTE13";"N14EUR",#N/A,FALSE,"NOTE14";"N15EUR",#N/A,FALSE,"NOTE15";"N16EUR",#N/A,FALSE,"NOTE16";"N18EUR",#N/A,FALSE,"NOTE18";"N19EUR",#N/A,FALSE,"NOTE19";"N20EUR",#N/A,FALSE,"NOTE20";"N21EUR",#N/A,FALSE,"NOTE21";"N22EUR",#N/A,FALSE,"NOTE22";"N23EUR",#N/A,FALSE,"NOTE23";"N24EUR",#N/A,FALSE,"NOTE24";"N25EUR",#N/A,FALSE,"NOTE25";"N26EUR",#N/A,FALSE,"NOTE26";"N27EUR",#N/A,FALSE,"NOTE27";"N28EUR",#N/A,FALSE,"NOTE28";"N29EUR",#N/A,FALSE,"NOTE29";"N30EUR",#N/A,FALSE,"NOTE30";"N31EUR",#N/A,FALSE,"NOTE31";"N32EUR",#N/A,FALSE,"NOTE32";"N33EUR",#N/A,FALSE,"NOTE33";"BILSOCEUR",#N/A,FALSE,"bilan soc";"RESSOCEUR",#N/A,FALSE,"PL soc";"cinqexEUR",#N/A,FALSE,"5ex"}</definedName>
    <definedName name="wrn.etatfifrfeur_4_1_2" hidden="1">{#N/A,"francaiseur",FALSE,"UNITE";"ACTEUR",#N/A,FALSE,"ACTIF";"PASEUR",#N/A,FALSE,"PASSIF";"RESEUR",#N/A,FALSE,"RESULTATS";"FPEUR",#N/A,FALSE,"FP";"N03EUR",#N/A,FALSE,"NOTE03";"N04EUR",#N/A,FALSE,"NOTE04";"N05EUR",#N/A,FALSE,"NOTE05";"N06EUR",#N/A,FALSE,"NOTE06";"N07EUR",#N/A,FALSE,"NOTE07";"N08EUR",#N/A,FALSE,"NOTE08";"N09EUR",#N/A,FALSE,"NOTE09";"N10EUR",#N/A,FALSE,"NOTE10";"N11EUR",#N/A,FALSE,"NOTE11";"N12EUR",#N/A,FALSE,"NOTE12";"N13EUR",#N/A,FALSE,"NOTE13";"N14EUR",#N/A,FALSE,"NOTE14";"N15EUR",#N/A,FALSE,"NOTE15";"N16EUR",#N/A,FALSE,"NOTE16";"N18EUR",#N/A,FALSE,"NOTE18";"N19EUR",#N/A,FALSE,"NOTE19";"N20EUR",#N/A,FALSE,"NOTE20";"N21EUR",#N/A,FALSE,"NOTE21";"N22EUR",#N/A,FALSE,"NOTE22";"N23EUR",#N/A,FALSE,"NOTE23";"N24EUR",#N/A,FALSE,"NOTE24";"N25EUR",#N/A,FALSE,"NOTE25";"N26EUR",#N/A,FALSE,"NOTE26";"N27EUR",#N/A,FALSE,"NOTE27";"N28EUR",#N/A,FALSE,"NOTE28";"N29EUR",#N/A,FALSE,"NOTE29";"N30EUR",#N/A,FALSE,"NOTE30";"N31EUR",#N/A,FALSE,"NOTE31";"N32EUR",#N/A,FALSE,"NOTE32";"N33EUR",#N/A,FALSE,"NOTE33";"BILSOCEUR",#N/A,FALSE,"bilan soc";"RESSOCEUR",#N/A,FALSE,"PL soc";"cinqexEUR",#N/A,FALSE,"5ex"}</definedName>
    <definedName name="wrn.etatfifrfeur_4_2" localSheetId="12" hidden="1">{#N/A,"francaiseur",FALSE,"UNITE";"ACTEUR",#N/A,FALSE,"ACTIF";"PASEUR",#N/A,FALSE,"PASSIF";"RESEUR",#N/A,FALSE,"RESULTATS";"FPEUR",#N/A,FALSE,"FP";"N03EUR",#N/A,FALSE,"NOTE03";"N04EUR",#N/A,FALSE,"NOTE04";"N05EUR",#N/A,FALSE,"NOTE05";"N06EUR",#N/A,FALSE,"NOTE06";"N07EUR",#N/A,FALSE,"NOTE07";"N08EUR",#N/A,FALSE,"NOTE08";"N09EUR",#N/A,FALSE,"NOTE09";"N10EUR",#N/A,FALSE,"NOTE10";"N11EUR",#N/A,FALSE,"NOTE11";"N12EUR",#N/A,FALSE,"NOTE12";"N13EUR",#N/A,FALSE,"NOTE13";"N14EUR",#N/A,FALSE,"NOTE14";"N15EUR",#N/A,FALSE,"NOTE15";"N16EUR",#N/A,FALSE,"NOTE16";"N18EUR",#N/A,FALSE,"NOTE18";"N19EUR",#N/A,FALSE,"NOTE19";"N20EUR",#N/A,FALSE,"NOTE20";"N21EUR",#N/A,FALSE,"NOTE21";"N22EUR",#N/A,FALSE,"NOTE22";"N23EUR",#N/A,FALSE,"NOTE23";"N24EUR",#N/A,FALSE,"NOTE24";"N25EUR",#N/A,FALSE,"NOTE25";"N26EUR",#N/A,FALSE,"NOTE26";"N27EUR",#N/A,FALSE,"NOTE27";"N28EUR",#N/A,FALSE,"NOTE28";"N29EUR",#N/A,FALSE,"NOTE29";"N30EUR",#N/A,FALSE,"NOTE30";"N31EUR",#N/A,FALSE,"NOTE31";"N32EUR",#N/A,FALSE,"NOTE32";"N33EUR",#N/A,FALSE,"NOTE33";"BILSOCEUR",#N/A,FALSE,"bilan soc";"RESSOCEUR",#N/A,FALSE,"PL soc";"cinqexEUR",#N/A,FALSE,"5ex"}</definedName>
    <definedName name="wrn.etatfifrfeur_4_2" hidden="1">{#N/A,"francaiseur",FALSE,"UNITE";"ACTEUR",#N/A,FALSE,"ACTIF";"PASEUR",#N/A,FALSE,"PASSIF";"RESEUR",#N/A,FALSE,"RESULTATS";"FPEUR",#N/A,FALSE,"FP";"N03EUR",#N/A,FALSE,"NOTE03";"N04EUR",#N/A,FALSE,"NOTE04";"N05EUR",#N/A,FALSE,"NOTE05";"N06EUR",#N/A,FALSE,"NOTE06";"N07EUR",#N/A,FALSE,"NOTE07";"N08EUR",#N/A,FALSE,"NOTE08";"N09EUR",#N/A,FALSE,"NOTE09";"N10EUR",#N/A,FALSE,"NOTE10";"N11EUR",#N/A,FALSE,"NOTE11";"N12EUR",#N/A,FALSE,"NOTE12";"N13EUR",#N/A,FALSE,"NOTE13";"N14EUR",#N/A,FALSE,"NOTE14";"N15EUR",#N/A,FALSE,"NOTE15";"N16EUR",#N/A,FALSE,"NOTE16";"N18EUR",#N/A,FALSE,"NOTE18";"N19EUR",#N/A,FALSE,"NOTE19";"N20EUR",#N/A,FALSE,"NOTE20";"N21EUR",#N/A,FALSE,"NOTE21";"N22EUR",#N/A,FALSE,"NOTE22";"N23EUR",#N/A,FALSE,"NOTE23";"N24EUR",#N/A,FALSE,"NOTE24";"N25EUR",#N/A,FALSE,"NOTE25";"N26EUR",#N/A,FALSE,"NOTE26";"N27EUR",#N/A,FALSE,"NOTE27";"N28EUR",#N/A,FALSE,"NOTE28";"N29EUR",#N/A,FALSE,"NOTE29";"N30EUR",#N/A,FALSE,"NOTE30";"N31EUR",#N/A,FALSE,"NOTE31";"N32EUR",#N/A,FALSE,"NOTE32";"N33EUR",#N/A,FALSE,"NOTE33";"BILSOCEUR",#N/A,FALSE,"bilan soc";"RESSOCEUR",#N/A,FALSE,"PL soc";"cinqexEUR",#N/A,FALSE,"5ex"}</definedName>
    <definedName name="wrn.etatfifrfeur_4_3" localSheetId="12" hidden="1">{#N/A,"francaiseur",FALSE,"UNITE";"ACTEUR",#N/A,FALSE,"ACTIF";"PASEUR",#N/A,FALSE,"PASSIF";"RESEUR",#N/A,FALSE,"RESULTATS";"FPEUR",#N/A,FALSE,"FP";"N03EUR",#N/A,FALSE,"NOTE03";"N04EUR",#N/A,FALSE,"NOTE04";"N05EUR",#N/A,FALSE,"NOTE05";"N06EUR",#N/A,FALSE,"NOTE06";"N07EUR",#N/A,FALSE,"NOTE07";"N08EUR",#N/A,FALSE,"NOTE08";"N09EUR",#N/A,FALSE,"NOTE09";"N10EUR",#N/A,FALSE,"NOTE10";"N11EUR",#N/A,FALSE,"NOTE11";"N12EUR",#N/A,FALSE,"NOTE12";"N13EUR",#N/A,FALSE,"NOTE13";"N14EUR",#N/A,FALSE,"NOTE14";"N15EUR",#N/A,FALSE,"NOTE15";"N16EUR",#N/A,FALSE,"NOTE16";"N18EUR",#N/A,FALSE,"NOTE18";"N19EUR",#N/A,FALSE,"NOTE19";"N20EUR",#N/A,FALSE,"NOTE20";"N21EUR",#N/A,FALSE,"NOTE21";"N22EUR",#N/A,FALSE,"NOTE22";"N23EUR",#N/A,FALSE,"NOTE23";"N24EUR",#N/A,FALSE,"NOTE24";"N25EUR",#N/A,FALSE,"NOTE25";"N26EUR",#N/A,FALSE,"NOTE26";"N27EUR",#N/A,FALSE,"NOTE27";"N28EUR",#N/A,FALSE,"NOTE28";"N29EUR",#N/A,FALSE,"NOTE29";"N30EUR",#N/A,FALSE,"NOTE30";"N31EUR",#N/A,FALSE,"NOTE31";"N32EUR",#N/A,FALSE,"NOTE32";"N33EUR",#N/A,FALSE,"NOTE33";"BILSOCEUR",#N/A,FALSE,"bilan soc";"RESSOCEUR",#N/A,FALSE,"PL soc";"cinqexEUR",#N/A,FALSE,"5ex"}</definedName>
    <definedName name="wrn.etatfifrfeur_4_3" hidden="1">{#N/A,"francaiseur",FALSE,"UNITE";"ACTEUR",#N/A,FALSE,"ACTIF";"PASEUR",#N/A,FALSE,"PASSIF";"RESEUR",#N/A,FALSE,"RESULTATS";"FPEUR",#N/A,FALSE,"FP";"N03EUR",#N/A,FALSE,"NOTE03";"N04EUR",#N/A,FALSE,"NOTE04";"N05EUR",#N/A,FALSE,"NOTE05";"N06EUR",#N/A,FALSE,"NOTE06";"N07EUR",#N/A,FALSE,"NOTE07";"N08EUR",#N/A,FALSE,"NOTE08";"N09EUR",#N/A,FALSE,"NOTE09";"N10EUR",#N/A,FALSE,"NOTE10";"N11EUR",#N/A,FALSE,"NOTE11";"N12EUR",#N/A,FALSE,"NOTE12";"N13EUR",#N/A,FALSE,"NOTE13";"N14EUR",#N/A,FALSE,"NOTE14";"N15EUR",#N/A,FALSE,"NOTE15";"N16EUR",#N/A,FALSE,"NOTE16";"N18EUR",#N/A,FALSE,"NOTE18";"N19EUR",#N/A,FALSE,"NOTE19";"N20EUR",#N/A,FALSE,"NOTE20";"N21EUR",#N/A,FALSE,"NOTE21";"N22EUR",#N/A,FALSE,"NOTE22";"N23EUR",#N/A,FALSE,"NOTE23";"N24EUR",#N/A,FALSE,"NOTE24";"N25EUR",#N/A,FALSE,"NOTE25";"N26EUR",#N/A,FALSE,"NOTE26";"N27EUR",#N/A,FALSE,"NOTE27";"N28EUR",#N/A,FALSE,"NOTE28";"N29EUR",#N/A,FALSE,"NOTE29";"N30EUR",#N/A,FALSE,"NOTE30";"N31EUR",#N/A,FALSE,"NOTE31";"N32EUR",#N/A,FALSE,"NOTE32";"N33EUR",#N/A,FALSE,"NOTE33";"BILSOCEUR",#N/A,FALSE,"bilan soc";"RESSOCEUR",#N/A,FALSE,"PL soc";"cinqexEUR",#N/A,FALSE,"5ex"}</definedName>
    <definedName name="wrn.etatfifrfeur_5" localSheetId="9" hidden="1">{#N/A,"francaiseur",FALSE,"UNITE";"ACTEUR",#N/A,FALSE,"ACTIF";"PASEUR",#N/A,FALSE,"PASSIF";"RESEUR",#N/A,FALSE,"RESULTATS";"FPEUR",#N/A,FALSE,"FP";"N03EUR",#N/A,FALSE,"NOTE03";"N04EUR",#N/A,FALSE,"NOTE04";"N05EUR",#N/A,FALSE,"NOTE05";"N06EUR",#N/A,FALSE,"NOTE06";"N07EUR",#N/A,FALSE,"NOTE07";"N08EUR",#N/A,FALSE,"NOTE08";"N09EUR",#N/A,FALSE,"NOTE09";"N10EUR",#N/A,FALSE,"NOTE10";"N11EUR",#N/A,FALSE,"NOTE11";"N12EUR",#N/A,FALSE,"NOTE12";"N13EUR",#N/A,FALSE,"NOTE13";"N14EUR",#N/A,FALSE,"NOTE14";"N15EUR",#N/A,FALSE,"NOTE15";"N16EUR",#N/A,FALSE,"NOTE16";"N18EUR",#N/A,FALSE,"NOTE18";"N19EUR",#N/A,FALSE,"NOTE19";"N20EUR",#N/A,FALSE,"NOTE20";"N21EUR",#N/A,FALSE,"NOTE21";"N22EUR",#N/A,FALSE,"NOTE22";"N23EUR",#N/A,FALSE,"NOTE23";"N24EUR",#N/A,FALSE,"NOTE24";"N25EUR",#N/A,FALSE,"NOTE25";"N26EUR",#N/A,FALSE,"NOTE26";"N27EUR",#N/A,FALSE,"NOTE27";"N28EUR",#N/A,FALSE,"NOTE28";"N29EUR",#N/A,FALSE,"NOTE29";"N30EUR",#N/A,FALSE,"NOTE30";"N31EUR",#N/A,FALSE,"NOTE31";"N32EUR",#N/A,FALSE,"NOTE32";"N33EUR",#N/A,FALSE,"NOTE33";"BILSOCEUR",#N/A,FALSE,"bilan soc";"RESSOCEUR",#N/A,FALSE,"PL soc";"cinqexEUR",#N/A,FALSE,"5ex"}</definedName>
    <definedName name="wrn.etatfifrfeur_5" localSheetId="12" hidden="1">{#N/A,"francaiseur",FALSE,"UNITE";"ACTEUR",#N/A,FALSE,"ACTIF";"PASEUR",#N/A,FALSE,"PASSIF";"RESEUR",#N/A,FALSE,"RESULTATS";"FPEUR",#N/A,FALSE,"FP";"N03EUR",#N/A,FALSE,"NOTE03";"N04EUR",#N/A,FALSE,"NOTE04";"N05EUR",#N/A,FALSE,"NOTE05";"N06EUR",#N/A,FALSE,"NOTE06";"N07EUR",#N/A,FALSE,"NOTE07";"N08EUR",#N/A,FALSE,"NOTE08";"N09EUR",#N/A,FALSE,"NOTE09";"N10EUR",#N/A,FALSE,"NOTE10";"N11EUR",#N/A,FALSE,"NOTE11";"N12EUR",#N/A,FALSE,"NOTE12";"N13EUR",#N/A,FALSE,"NOTE13";"N14EUR",#N/A,FALSE,"NOTE14";"N15EUR",#N/A,FALSE,"NOTE15";"N16EUR",#N/A,FALSE,"NOTE16";"N18EUR",#N/A,FALSE,"NOTE18";"N19EUR",#N/A,FALSE,"NOTE19";"N20EUR",#N/A,FALSE,"NOTE20";"N21EUR",#N/A,FALSE,"NOTE21";"N22EUR",#N/A,FALSE,"NOTE22";"N23EUR",#N/A,FALSE,"NOTE23";"N24EUR",#N/A,FALSE,"NOTE24";"N25EUR",#N/A,FALSE,"NOTE25";"N26EUR",#N/A,FALSE,"NOTE26";"N27EUR",#N/A,FALSE,"NOTE27";"N28EUR",#N/A,FALSE,"NOTE28";"N29EUR",#N/A,FALSE,"NOTE29";"N30EUR",#N/A,FALSE,"NOTE30";"N31EUR",#N/A,FALSE,"NOTE31";"N32EUR",#N/A,FALSE,"NOTE32";"N33EUR",#N/A,FALSE,"NOTE33";"BILSOCEUR",#N/A,FALSE,"bilan soc";"RESSOCEUR",#N/A,FALSE,"PL soc";"cinqexEUR",#N/A,FALSE,"5ex"}</definedName>
    <definedName name="wrn.etatfifrfeur_5" localSheetId="7" hidden="1">{#N/A,"francaiseur",FALSE,"UNITE";"ACTEUR",#N/A,FALSE,"ACTIF";"PASEUR",#N/A,FALSE,"PASSIF";"RESEUR",#N/A,FALSE,"RESULTATS";"FPEUR",#N/A,FALSE,"FP";"N03EUR",#N/A,FALSE,"NOTE03";"N04EUR",#N/A,FALSE,"NOTE04";"N05EUR",#N/A,FALSE,"NOTE05";"N06EUR",#N/A,FALSE,"NOTE06";"N07EUR",#N/A,FALSE,"NOTE07";"N08EUR",#N/A,FALSE,"NOTE08";"N09EUR",#N/A,FALSE,"NOTE09";"N10EUR",#N/A,FALSE,"NOTE10";"N11EUR",#N/A,FALSE,"NOTE11";"N12EUR",#N/A,FALSE,"NOTE12";"N13EUR",#N/A,FALSE,"NOTE13";"N14EUR",#N/A,FALSE,"NOTE14";"N15EUR",#N/A,FALSE,"NOTE15";"N16EUR",#N/A,FALSE,"NOTE16";"N18EUR",#N/A,FALSE,"NOTE18";"N19EUR",#N/A,FALSE,"NOTE19";"N20EUR",#N/A,FALSE,"NOTE20";"N21EUR",#N/A,FALSE,"NOTE21";"N22EUR",#N/A,FALSE,"NOTE22";"N23EUR",#N/A,FALSE,"NOTE23";"N24EUR",#N/A,FALSE,"NOTE24";"N25EUR",#N/A,FALSE,"NOTE25";"N26EUR",#N/A,FALSE,"NOTE26";"N27EUR",#N/A,FALSE,"NOTE27";"N28EUR",#N/A,FALSE,"NOTE28";"N29EUR",#N/A,FALSE,"NOTE29";"N30EUR",#N/A,FALSE,"NOTE30";"N31EUR",#N/A,FALSE,"NOTE31";"N32EUR",#N/A,FALSE,"NOTE32";"N33EUR",#N/A,FALSE,"NOTE33";"BILSOCEUR",#N/A,FALSE,"bilan soc";"RESSOCEUR",#N/A,FALSE,"PL soc";"cinqexEUR",#N/A,FALSE,"5ex"}</definedName>
    <definedName name="wrn.etatfifrfeur_5" localSheetId="8" hidden="1">{#N/A,"francaiseur",FALSE,"UNITE";"ACTEUR",#N/A,FALSE,"ACTIF";"PASEUR",#N/A,FALSE,"PASSIF";"RESEUR",#N/A,FALSE,"RESULTATS";"FPEUR",#N/A,FALSE,"FP";"N03EUR",#N/A,FALSE,"NOTE03";"N04EUR",#N/A,FALSE,"NOTE04";"N05EUR",#N/A,FALSE,"NOTE05";"N06EUR",#N/A,FALSE,"NOTE06";"N07EUR",#N/A,FALSE,"NOTE07";"N08EUR",#N/A,FALSE,"NOTE08";"N09EUR",#N/A,FALSE,"NOTE09";"N10EUR",#N/A,FALSE,"NOTE10";"N11EUR",#N/A,FALSE,"NOTE11";"N12EUR",#N/A,FALSE,"NOTE12";"N13EUR",#N/A,FALSE,"NOTE13";"N14EUR",#N/A,FALSE,"NOTE14";"N15EUR",#N/A,FALSE,"NOTE15";"N16EUR",#N/A,FALSE,"NOTE16";"N18EUR",#N/A,FALSE,"NOTE18";"N19EUR",#N/A,FALSE,"NOTE19";"N20EUR",#N/A,FALSE,"NOTE20";"N21EUR",#N/A,FALSE,"NOTE21";"N22EUR",#N/A,FALSE,"NOTE22";"N23EUR",#N/A,FALSE,"NOTE23";"N24EUR",#N/A,FALSE,"NOTE24";"N25EUR",#N/A,FALSE,"NOTE25";"N26EUR",#N/A,FALSE,"NOTE26";"N27EUR",#N/A,FALSE,"NOTE27";"N28EUR",#N/A,FALSE,"NOTE28";"N29EUR",#N/A,FALSE,"NOTE29";"N30EUR",#N/A,FALSE,"NOTE30";"N31EUR",#N/A,FALSE,"NOTE31";"N32EUR",#N/A,FALSE,"NOTE32";"N33EUR",#N/A,FALSE,"NOTE33";"BILSOCEUR",#N/A,FALSE,"bilan soc";"RESSOCEUR",#N/A,FALSE,"PL soc";"cinqexEUR",#N/A,FALSE,"5ex"}</definedName>
    <definedName name="wrn.etatfifrfeur_5" localSheetId="10" hidden="1">{#N/A,"francaiseur",FALSE,"UNITE";"ACTEUR",#N/A,FALSE,"ACTIF";"PASEUR",#N/A,FALSE,"PASSIF";"RESEUR",#N/A,FALSE,"RESULTATS";"FPEUR",#N/A,FALSE,"FP";"N03EUR",#N/A,FALSE,"NOTE03";"N04EUR",#N/A,FALSE,"NOTE04";"N05EUR",#N/A,FALSE,"NOTE05";"N06EUR",#N/A,FALSE,"NOTE06";"N07EUR",#N/A,FALSE,"NOTE07";"N08EUR",#N/A,FALSE,"NOTE08";"N09EUR",#N/A,FALSE,"NOTE09";"N10EUR",#N/A,FALSE,"NOTE10";"N11EUR",#N/A,FALSE,"NOTE11";"N12EUR",#N/A,FALSE,"NOTE12";"N13EUR",#N/A,FALSE,"NOTE13";"N14EUR",#N/A,FALSE,"NOTE14";"N15EUR",#N/A,FALSE,"NOTE15";"N16EUR",#N/A,FALSE,"NOTE16";"N18EUR",#N/A,FALSE,"NOTE18";"N19EUR",#N/A,FALSE,"NOTE19";"N20EUR",#N/A,FALSE,"NOTE20";"N21EUR",#N/A,FALSE,"NOTE21";"N22EUR",#N/A,FALSE,"NOTE22";"N23EUR",#N/A,FALSE,"NOTE23";"N24EUR",#N/A,FALSE,"NOTE24";"N25EUR",#N/A,FALSE,"NOTE25";"N26EUR",#N/A,FALSE,"NOTE26";"N27EUR",#N/A,FALSE,"NOTE27";"N28EUR",#N/A,FALSE,"NOTE28";"N29EUR",#N/A,FALSE,"NOTE29";"N30EUR",#N/A,FALSE,"NOTE30";"N31EUR",#N/A,FALSE,"NOTE31";"N32EUR",#N/A,FALSE,"NOTE32";"N33EUR",#N/A,FALSE,"NOTE33";"BILSOCEUR",#N/A,FALSE,"bilan soc";"RESSOCEUR",#N/A,FALSE,"PL soc";"cinqexEUR",#N/A,FALSE,"5ex"}</definedName>
    <definedName name="wrn.etatfifrfeur_5" hidden="1">{#N/A,"francaiseur",FALSE,"UNITE";"ACTEUR",#N/A,FALSE,"ACTIF";"PASEUR",#N/A,FALSE,"PASSIF";"RESEUR",#N/A,FALSE,"RESULTATS";"FPEUR",#N/A,FALSE,"FP";"N03EUR",#N/A,FALSE,"NOTE03";"N04EUR",#N/A,FALSE,"NOTE04";"N05EUR",#N/A,FALSE,"NOTE05";"N06EUR",#N/A,FALSE,"NOTE06";"N07EUR",#N/A,FALSE,"NOTE07";"N08EUR",#N/A,FALSE,"NOTE08";"N09EUR",#N/A,FALSE,"NOTE09";"N10EUR",#N/A,FALSE,"NOTE10";"N11EUR",#N/A,FALSE,"NOTE11";"N12EUR",#N/A,FALSE,"NOTE12";"N13EUR",#N/A,FALSE,"NOTE13";"N14EUR",#N/A,FALSE,"NOTE14";"N15EUR",#N/A,FALSE,"NOTE15";"N16EUR",#N/A,FALSE,"NOTE16";"N18EUR",#N/A,FALSE,"NOTE18";"N19EUR",#N/A,FALSE,"NOTE19";"N20EUR",#N/A,FALSE,"NOTE20";"N21EUR",#N/A,FALSE,"NOTE21";"N22EUR",#N/A,FALSE,"NOTE22";"N23EUR",#N/A,FALSE,"NOTE23";"N24EUR",#N/A,FALSE,"NOTE24";"N25EUR",#N/A,FALSE,"NOTE25";"N26EUR",#N/A,FALSE,"NOTE26";"N27EUR",#N/A,FALSE,"NOTE27";"N28EUR",#N/A,FALSE,"NOTE28";"N29EUR",#N/A,FALSE,"NOTE29";"N30EUR",#N/A,FALSE,"NOTE30";"N31EUR",#N/A,FALSE,"NOTE31";"N32EUR",#N/A,FALSE,"NOTE32";"N33EUR",#N/A,FALSE,"NOTE33";"BILSOCEUR",#N/A,FALSE,"bilan soc";"RESSOCEUR",#N/A,FALSE,"PL soc";"cinqexEUR",#N/A,FALSE,"5ex"}</definedName>
    <definedName name="wrn.etatfifrfeur_5_1" localSheetId="9" hidden="1">{#N/A,"francaiseur",FALSE,"UNITE";"ACTEUR",#N/A,FALSE,"ACTIF";"PASEUR",#N/A,FALSE,"PASSIF";"RESEUR",#N/A,FALSE,"RESULTATS";"FPEUR",#N/A,FALSE,"FP";"N03EUR",#N/A,FALSE,"NOTE03";"N04EUR",#N/A,FALSE,"NOTE04";"N05EUR",#N/A,FALSE,"NOTE05";"N06EUR",#N/A,FALSE,"NOTE06";"N07EUR",#N/A,FALSE,"NOTE07";"N08EUR",#N/A,FALSE,"NOTE08";"N09EUR",#N/A,FALSE,"NOTE09";"N10EUR",#N/A,FALSE,"NOTE10";"N11EUR",#N/A,FALSE,"NOTE11";"N12EUR",#N/A,FALSE,"NOTE12";"N13EUR",#N/A,FALSE,"NOTE13";"N14EUR",#N/A,FALSE,"NOTE14";"N15EUR",#N/A,FALSE,"NOTE15";"N16EUR",#N/A,FALSE,"NOTE16";"N18EUR",#N/A,FALSE,"NOTE18";"N19EUR",#N/A,FALSE,"NOTE19";"N20EUR",#N/A,FALSE,"NOTE20";"N21EUR",#N/A,FALSE,"NOTE21";"N22EUR",#N/A,FALSE,"NOTE22";"N23EUR",#N/A,FALSE,"NOTE23";"N24EUR",#N/A,FALSE,"NOTE24";"N25EUR",#N/A,FALSE,"NOTE25";"N26EUR",#N/A,FALSE,"NOTE26";"N27EUR",#N/A,FALSE,"NOTE27";"N28EUR",#N/A,FALSE,"NOTE28";"N29EUR",#N/A,FALSE,"NOTE29";"N30EUR",#N/A,FALSE,"NOTE30";"N31EUR",#N/A,FALSE,"NOTE31";"N32EUR",#N/A,FALSE,"NOTE32";"N33EUR",#N/A,FALSE,"NOTE33";"BILSOCEUR",#N/A,FALSE,"bilan soc";"RESSOCEUR",#N/A,FALSE,"PL soc";"cinqexEUR",#N/A,FALSE,"5ex"}</definedName>
    <definedName name="wrn.etatfifrfeur_5_1" localSheetId="12" hidden="1">{#N/A,"francaiseur",FALSE,"UNITE";"ACTEUR",#N/A,FALSE,"ACTIF";"PASEUR",#N/A,FALSE,"PASSIF";"RESEUR",#N/A,FALSE,"RESULTATS";"FPEUR",#N/A,FALSE,"FP";"N03EUR",#N/A,FALSE,"NOTE03";"N04EUR",#N/A,FALSE,"NOTE04";"N05EUR",#N/A,FALSE,"NOTE05";"N06EUR",#N/A,FALSE,"NOTE06";"N07EUR",#N/A,FALSE,"NOTE07";"N08EUR",#N/A,FALSE,"NOTE08";"N09EUR",#N/A,FALSE,"NOTE09";"N10EUR",#N/A,FALSE,"NOTE10";"N11EUR",#N/A,FALSE,"NOTE11";"N12EUR",#N/A,FALSE,"NOTE12";"N13EUR",#N/A,FALSE,"NOTE13";"N14EUR",#N/A,FALSE,"NOTE14";"N15EUR",#N/A,FALSE,"NOTE15";"N16EUR",#N/A,FALSE,"NOTE16";"N18EUR",#N/A,FALSE,"NOTE18";"N19EUR",#N/A,FALSE,"NOTE19";"N20EUR",#N/A,FALSE,"NOTE20";"N21EUR",#N/A,FALSE,"NOTE21";"N22EUR",#N/A,FALSE,"NOTE22";"N23EUR",#N/A,FALSE,"NOTE23";"N24EUR",#N/A,FALSE,"NOTE24";"N25EUR",#N/A,FALSE,"NOTE25";"N26EUR",#N/A,FALSE,"NOTE26";"N27EUR",#N/A,FALSE,"NOTE27";"N28EUR",#N/A,FALSE,"NOTE28";"N29EUR",#N/A,FALSE,"NOTE29";"N30EUR",#N/A,FALSE,"NOTE30";"N31EUR",#N/A,FALSE,"NOTE31";"N32EUR",#N/A,FALSE,"NOTE32";"N33EUR",#N/A,FALSE,"NOTE33";"BILSOCEUR",#N/A,FALSE,"bilan soc";"RESSOCEUR",#N/A,FALSE,"PL soc";"cinqexEUR",#N/A,FALSE,"5ex"}</definedName>
    <definedName name="wrn.etatfifrfeur_5_1" localSheetId="7" hidden="1">{#N/A,"francaiseur",FALSE,"UNITE";"ACTEUR",#N/A,FALSE,"ACTIF";"PASEUR",#N/A,FALSE,"PASSIF";"RESEUR",#N/A,FALSE,"RESULTATS";"FPEUR",#N/A,FALSE,"FP";"N03EUR",#N/A,FALSE,"NOTE03";"N04EUR",#N/A,FALSE,"NOTE04";"N05EUR",#N/A,FALSE,"NOTE05";"N06EUR",#N/A,FALSE,"NOTE06";"N07EUR",#N/A,FALSE,"NOTE07";"N08EUR",#N/A,FALSE,"NOTE08";"N09EUR",#N/A,FALSE,"NOTE09";"N10EUR",#N/A,FALSE,"NOTE10";"N11EUR",#N/A,FALSE,"NOTE11";"N12EUR",#N/A,FALSE,"NOTE12";"N13EUR",#N/A,FALSE,"NOTE13";"N14EUR",#N/A,FALSE,"NOTE14";"N15EUR",#N/A,FALSE,"NOTE15";"N16EUR",#N/A,FALSE,"NOTE16";"N18EUR",#N/A,FALSE,"NOTE18";"N19EUR",#N/A,FALSE,"NOTE19";"N20EUR",#N/A,FALSE,"NOTE20";"N21EUR",#N/A,FALSE,"NOTE21";"N22EUR",#N/A,FALSE,"NOTE22";"N23EUR",#N/A,FALSE,"NOTE23";"N24EUR",#N/A,FALSE,"NOTE24";"N25EUR",#N/A,FALSE,"NOTE25";"N26EUR",#N/A,FALSE,"NOTE26";"N27EUR",#N/A,FALSE,"NOTE27";"N28EUR",#N/A,FALSE,"NOTE28";"N29EUR",#N/A,FALSE,"NOTE29";"N30EUR",#N/A,FALSE,"NOTE30";"N31EUR",#N/A,FALSE,"NOTE31";"N32EUR",#N/A,FALSE,"NOTE32";"N33EUR",#N/A,FALSE,"NOTE33";"BILSOCEUR",#N/A,FALSE,"bilan soc";"RESSOCEUR",#N/A,FALSE,"PL soc";"cinqexEUR",#N/A,FALSE,"5ex"}</definedName>
    <definedName name="wrn.etatfifrfeur_5_1" localSheetId="8" hidden="1">{#N/A,"francaiseur",FALSE,"UNITE";"ACTEUR",#N/A,FALSE,"ACTIF";"PASEUR",#N/A,FALSE,"PASSIF";"RESEUR",#N/A,FALSE,"RESULTATS";"FPEUR",#N/A,FALSE,"FP";"N03EUR",#N/A,FALSE,"NOTE03";"N04EUR",#N/A,FALSE,"NOTE04";"N05EUR",#N/A,FALSE,"NOTE05";"N06EUR",#N/A,FALSE,"NOTE06";"N07EUR",#N/A,FALSE,"NOTE07";"N08EUR",#N/A,FALSE,"NOTE08";"N09EUR",#N/A,FALSE,"NOTE09";"N10EUR",#N/A,FALSE,"NOTE10";"N11EUR",#N/A,FALSE,"NOTE11";"N12EUR",#N/A,FALSE,"NOTE12";"N13EUR",#N/A,FALSE,"NOTE13";"N14EUR",#N/A,FALSE,"NOTE14";"N15EUR",#N/A,FALSE,"NOTE15";"N16EUR",#N/A,FALSE,"NOTE16";"N18EUR",#N/A,FALSE,"NOTE18";"N19EUR",#N/A,FALSE,"NOTE19";"N20EUR",#N/A,FALSE,"NOTE20";"N21EUR",#N/A,FALSE,"NOTE21";"N22EUR",#N/A,FALSE,"NOTE22";"N23EUR",#N/A,FALSE,"NOTE23";"N24EUR",#N/A,FALSE,"NOTE24";"N25EUR",#N/A,FALSE,"NOTE25";"N26EUR",#N/A,FALSE,"NOTE26";"N27EUR",#N/A,FALSE,"NOTE27";"N28EUR",#N/A,FALSE,"NOTE28";"N29EUR",#N/A,FALSE,"NOTE29";"N30EUR",#N/A,FALSE,"NOTE30";"N31EUR",#N/A,FALSE,"NOTE31";"N32EUR",#N/A,FALSE,"NOTE32";"N33EUR",#N/A,FALSE,"NOTE33";"BILSOCEUR",#N/A,FALSE,"bilan soc";"RESSOCEUR",#N/A,FALSE,"PL soc";"cinqexEUR",#N/A,FALSE,"5ex"}</definedName>
    <definedName name="wrn.etatfifrfeur_5_1" localSheetId="10" hidden="1">{#N/A,"francaiseur",FALSE,"UNITE";"ACTEUR",#N/A,FALSE,"ACTIF";"PASEUR",#N/A,FALSE,"PASSIF";"RESEUR",#N/A,FALSE,"RESULTATS";"FPEUR",#N/A,FALSE,"FP";"N03EUR",#N/A,FALSE,"NOTE03";"N04EUR",#N/A,FALSE,"NOTE04";"N05EUR",#N/A,FALSE,"NOTE05";"N06EUR",#N/A,FALSE,"NOTE06";"N07EUR",#N/A,FALSE,"NOTE07";"N08EUR",#N/A,FALSE,"NOTE08";"N09EUR",#N/A,FALSE,"NOTE09";"N10EUR",#N/A,FALSE,"NOTE10";"N11EUR",#N/A,FALSE,"NOTE11";"N12EUR",#N/A,FALSE,"NOTE12";"N13EUR",#N/A,FALSE,"NOTE13";"N14EUR",#N/A,FALSE,"NOTE14";"N15EUR",#N/A,FALSE,"NOTE15";"N16EUR",#N/A,FALSE,"NOTE16";"N18EUR",#N/A,FALSE,"NOTE18";"N19EUR",#N/A,FALSE,"NOTE19";"N20EUR",#N/A,FALSE,"NOTE20";"N21EUR",#N/A,FALSE,"NOTE21";"N22EUR",#N/A,FALSE,"NOTE22";"N23EUR",#N/A,FALSE,"NOTE23";"N24EUR",#N/A,FALSE,"NOTE24";"N25EUR",#N/A,FALSE,"NOTE25";"N26EUR",#N/A,FALSE,"NOTE26";"N27EUR",#N/A,FALSE,"NOTE27";"N28EUR",#N/A,FALSE,"NOTE28";"N29EUR",#N/A,FALSE,"NOTE29";"N30EUR",#N/A,FALSE,"NOTE30";"N31EUR",#N/A,FALSE,"NOTE31";"N32EUR",#N/A,FALSE,"NOTE32";"N33EUR",#N/A,FALSE,"NOTE33";"BILSOCEUR",#N/A,FALSE,"bilan soc";"RESSOCEUR",#N/A,FALSE,"PL soc";"cinqexEUR",#N/A,FALSE,"5ex"}</definedName>
    <definedName name="wrn.etatfifrfeur_5_1" hidden="1">{#N/A,"francaiseur",FALSE,"UNITE";"ACTEUR",#N/A,FALSE,"ACTIF";"PASEUR",#N/A,FALSE,"PASSIF";"RESEUR",#N/A,FALSE,"RESULTATS";"FPEUR",#N/A,FALSE,"FP";"N03EUR",#N/A,FALSE,"NOTE03";"N04EUR",#N/A,FALSE,"NOTE04";"N05EUR",#N/A,FALSE,"NOTE05";"N06EUR",#N/A,FALSE,"NOTE06";"N07EUR",#N/A,FALSE,"NOTE07";"N08EUR",#N/A,FALSE,"NOTE08";"N09EUR",#N/A,FALSE,"NOTE09";"N10EUR",#N/A,FALSE,"NOTE10";"N11EUR",#N/A,FALSE,"NOTE11";"N12EUR",#N/A,FALSE,"NOTE12";"N13EUR",#N/A,FALSE,"NOTE13";"N14EUR",#N/A,FALSE,"NOTE14";"N15EUR",#N/A,FALSE,"NOTE15";"N16EUR",#N/A,FALSE,"NOTE16";"N18EUR",#N/A,FALSE,"NOTE18";"N19EUR",#N/A,FALSE,"NOTE19";"N20EUR",#N/A,FALSE,"NOTE20";"N21EUR",#N/A,FALSE,"NOTE21";"N22EUR",#N/A,FALSE,"NOTE22";"N23EUR",#N/A,FALSE,"NOTE23";"N24EUR",#N/A,FALSE,"NOTE24";"N25EUR",#N/A,FALSE,"NOTE25";"N26EUR",#N/A,FALSE,"NOTE26";"N27EUR",#N/A,FALSE,"NOTE27";"N28EUR",#N/A,FALSE,"NOTE28";"N29EUR",#N/A,FALSE,"NOTE29";"N30EUR",#N/A,FALSE,"NOTE30";"N31EUR",#N/A,FALSE,"NOTE31";"N32EUR",#N/A,FALSE,"NOTE32";"N33EUR",#N/A,FALSE,"NOTE33";"BILSOCEUR",#N/A,FALSE,"bilan soc";"RESSOCEUR",#N/A,FALSE,"PL soc";"cinqexEUR",#N/A,FALSE,"5ex"}</definedName>
    <definedName name="wrn.etatfifrfeur_5_1_1" localSheetId="12" hidden="1">{#N/A,"francaiseur",FALSE,"UNITE";"ACTEUR",#N/A,FALSE,"ACTIF";"PASEUR",#N/A,FALSE,"PASSIF";"RESEUR",#N/A,FALSE,"RESULTATS";"FPEUR",#N/A,FALSE,"FP";"N03EUR",#N/A,FALSE,"NOTE03";"N04EUR",#N/A,FALSE,"NOTE04";"N05EUR",#N/A,FALSE,"NOTE05";"N06EUR",#N/A,FALSE,"NOTE06";"N07EUR",#N/A,FALSE,"NOTE07";"N08EUR",#N/A,FALSE,"NOTE08";"N09EUR",#N/A,FALSE,"NOTE09";"N10EUR",#N/A,FALSE,"NOTE10";"N11EUR",#N/A,FALSE,"NOTE11";"N12EUR",#N/A,FALSE,"NOTE12";"N13EUR",#N/A,FALSE,"NOTE13";"N14EUR",#N/A,FALSE,"NOTE14";"N15EUR",#N/A,FALSE,"NOTE15";"N16EUR",#N/A,FALSE,"NOTE16";"N18EUR",#N/A,FALSE,"NOTE18";"N19EUR",#N/A,FALSE,"NOTE19";"N20EUR",#N/A,FALSE,"NOTE20";"N21EUR",#N/A,FALSE,"NOTE21";"N22EUR",#N/A,FALSE,"NOTE22";"N23EUR",#N/A,FALSE,"NOTE23";"N24EUR",#N/A,FALSE,"NOTE24";"N25EUR",#N/A,FALSE,"NOTE25";"N26EUR",#N/A,FALSE,"NOTE26";"N27EUR",#N/A,FALSE,"NOTE27";"N28EUR",#N/A,FALSE,"NOTE28";"N29EUR",#N/A,FALSE,"NOTE29";"N30EUR",#N/A,FALSE,"NOTE30";"N31EUR",#N/A,FALSE,"NOTE31";"N32EUR",#N/A,FALSE,"NOTE32";"N33EUR",#N/A,FALSE,"NOTE33";"BILSOCEUR",#N/A,FALSE,"bilan soc";"RESSOCEUR",#N/A,FALSE,"PL soc";"cinqexEUR",#N/A,FALSE,"5ex"}</definedName>
    <definedName name="wrn.etatfifrfeur_5_1_1" hidden="1">{#N/A,"francaiseur",FALSE,"UNITE";"ACTEUR",#N/A,FALSE,"ACTIF";"PASEUR",#N/A,FALSE,"PASSIF";"RESEUR",#N/A,FALSE,"RESULTATS";"FPEUR",#N/A,FALSE,"FP";"N03EUR",#N/A,FALSE,"NOTE03";"N04EUR",#N/A,FALSE,"NOTE04";"N05EUR",#N/A,FALSE,"NOTE05";"N06EUR",#N/A,FALSE,"NOTE06";"N07EUR",#N/A,FALSE,"NOTE07";"N08EUR",#N/A,FALSE,"NOTE08";"N09EUR",#N/A,FALSE,"NOTE09";"N10EUR",#N/A,FALSE,"NOTE10";"N11EUR",#N/A,FALSE,"NOTE11";"N12EUR",#N/A,FALSE,"NOTE12";"N13EUR",#N/A,FALSE,"NOTE13";"N14EUR",#N/A,FALSE,"NOTE14";"N15EUR",#N/A,FALSE,"NOTE15";"N16EUR",#N/A,FALSE,"NOTE16";"N18EUR",#N/A,FALSE,"NOTE18";"N19EUR",#N/A,FALSE,"NOTE19";"N20EUR",#N/A,FALSE,"NOTE20";"N21EUR",#N/A,FALSE,"NOTE21";"N22EUR",#N/A,FALSE,"NOTE22";"N23EUR",#N/A,FALSE,"NOTE23";"N24EUR",#N/A,FALSE,"NOTE24";"N25EUR",#N/A,FALSE,"NOTE25";"N26EUR",#N/A,FALSE,"NOTE26";"N27EUR",#N/A,FALSE,"NOTE27";"N28EUR",#N/A,FALSE,"NOTE28";"N29EUR",#N/A,FALSE,"NOTE29";"N30EUR",#N/A,FALSE,"NOTE30";"N31EUR",#N/A,FALSE,"NOTE31";"N32EUR",#N/A,FALSE,"NOTE32";"N33EUR",#N/A,FALSE,"NOTE33";"BILSOCEUR",#N/A,FALSE,"bilan soc";"RESSOCEUR",#N/A,FALSE,"PL soc";"cinqexEUR",#N/A,FALSE,"5ex"}</definedName>
    <definedName name="wrn.etatfifrfeur_5_1_2" hidden="1">{#N/A,"francaiseur",FALSE,"UNITE";"ACTEUR",#N/A,FALSE,"ACTIF";"PASEUR",#N/A,FALSE,"PASSIF";"RESEUR",#N/A,FALSE,"RESULTATS";"FPEUR",#N/A,FALSE,"FP";"N03EUR",#N/A,FALSE,"NOTE03";"N04EUR",#N/A,FALSE,"NOTE04";"N05EUR",#N/A,FALSE,"NOTE05";"N06EUR",#N/A,FALSE,"NOTE06";"N07EUR",#N/A,FALSE,"NOTE07";"N08EUR",#N/A,FALSE,"NOTE08";"N09EUR",#N/A,FALSE,"NOTE09";"N10EUR",#N/A,FALSE,"NOTE10";"N11EUR",#N/A,FALSE,"NOTE11";"N12EUR",#N/A,FALSE,"NOTE12";"N13EUR",#N/A,FALSE,"NOTE13";"N14EUR",#N/A,FALSE,"NOTE14";"N15EUR",#N/A,FALSE,"NOTE15";"N16EUR",#N/A,FALSE,"NOTE16";"N18EUR",#N/A,FALSE,"NOTE18";"N19EUR",#N/A,FALSE,"NOTE19";"N20EUR",#N/A,FALSE,"NOTE20";"N21EUR",#N/A,FALSE,"NOTE21";"N22EUR",#N/A,FALSE,"NOTE22";"N23EUR",#N/A,FALSE,"NOTE23";"N24EUR",#N/A,FALSE,"NOTE24";"N25EUR",#N/A,FALSE,"NOTE25";"N26EUR",#N/A,FALSE,"NOTE26";"N27EUR",#N/A,FALSE,"NOTE27";"N28EUR",#N/A,FALSE,"NOTE28";"N29EUR",#N/A,FALSE,"NOTE29";"N30EUR",#N/A,FALSE,"NOTE30";"N31EUR",#N/A,FALSE,"NOTE31";"N32EUR",#N/A,FALSE,"NOTE32";"N33EUR",#N/A,FALSE,"NOTE33";"BILSOCEUR",#N/A,FALSE,"bilan soc";"RESSOCEUR",#N/A,FALSE,"PL soc";"cinqexEUR",#N/A,FALSE,"5ex"}</definedName>
    <definedName name="wrn.etatfifrfeur_5_2" localSheetId="12" hidden="1">{#N/A,"francaiseur",FALSE,"UNITE";"ACTEUR",#N/A,FALSE,"ACTIF";"PASEUR",#N/A,FALSE,"PASSIF";"RESEUR",#N/A,FALSE,"RESULTATS";"FPEUR",#N/A,FALSE,"FP";"N03EUR",#N/A,FALSE,"NOTE03";"N04EUR",#N/A,FALSE,"NOTE04";"N05EUR",#N/A,FALSE,"NOTE05";"N06EUR",#N/A,FALSE,"NOTE06";"N07EUR",#N/A,FALSE,"NOTE07";"N08EUR",#N/A,FALSE,"NOTE08";"N09EUR",#N/A,FALSE,"NOTE09";"N10EUR",#N/A,FALSE,"NOTE10";"N11EUR",#N/A,FALSE,"NOTE11";"N12EUR",#N/A,FALSE,"NOTE12";"N13EUR",#N/A,FALSE,"NOTE13";"N14EUR",#N/A,FALSE,"NOTE14";"N15EUR",#N/A,FALSE,"NOTE15";"N16EUR",#N/A,FALSE,"NOTE16";"N18EUR",#N/A,FALSE,"NOTE18";"N19EUR",#N/A,FALSE,"NOTE19";"N20EUR",#N/A,FALSE,"NOTE20";"N21EUR",#N/A,FALSE,"NOTE21";"N22EUR",#N/A,FALSE,"NOTE22";"N23EUR",#N/A,FALSE,"NOTE23";"N24EUR",#N/A,FALSE,"NOTE24";"N25EUR",#N/A,FALSE,"NOTE25";"N26EUR",#N/A,FALSE,"NOTE26";"N27EUR",#N/A,FALSE,"NOTE27";"N28EUR",#N/A,FALSE,"NOTE28";"N29EUR",#N/A,FALSE,"NOTE29";"N30EUR",#N/A,FALSE,"NOTE30";"N31EUR",#N/A,FALSE,"NOTE31";"N32EUR",#N/A,FALSE,"NOTE32";"N33EUR",#N/A,FALSE,"NOTE33";"BILSOCEUR",#N/A,FALSE,"bilan soc";"RESSOCEUR",#N/A,FALSE,"PL soc";"cinqexEUR",#N/A,FALSE,"5ex"}</definedName>
    <definedName name="wrn.etatfifrfeur_5_2" hidden="1">{#N/A,"francaiseur",FALSE,"UNITE";"ACTEUR",#N/A,FALSE,"ACTIF";"PASEUR",#N/A,FALSE,"PASSIF";"RESEUR",#N/A,FALSE,"RESULTATS";"FPEUR",#N/A,FALSE,"FP";"N03EUR",#N/A,FALSE,"NOTE03";"N04EUR",#N/A,FALSE,"NOTE04";"N05EUR",#N/A,FALSE,"NOTE05";"N06EUR",#N/A,FALSE,"NOTE06";"N07EUR",#N/A,FALSE,"NOTE07";"N08EUR",#N/A,FALSE,"NOTE08";"N09EUR",#N/A,FALSE,"NOTE09";"N10EUR",#N/A,FALSE,"NOTE10";"N11EUR",#N/A,FALSE,"NOTE11";"N12EUR",#N/A,FALSE,"NOTE12";"N13EUR",#N/A,FALSE,"NOTE13";"N14EUR",#N/A,FALSE,"NOTE14";"N15EUR",#N/A,FALSE,"NOTE15";"N16EUR",#N/A,FALSE,"NOTE16";"N18EUR",#N/A,FALSE,"NOTE18";"N19EUR",#N/A,FALSE,"NOTE19";"N20EUR",#N/A,FALSE,"NOTE20";"N21EUR",#N/A,FALSE,"NOTE21";"N22EUR",#N/A,FALSE,"NOTE22";"N23EUR",#N/A,FALSE,"NOTE23";"N24EUR",#N/A,FALSE,"NOTE24";"N25EUR",#N/A,FALSE,"NOTE25";"N26EUR",#N/A,FALSE,"NOTE26";"N27EUR",#N/A,FALSE,"NOTE27";"N28EUR",#N/A,FALSE,"NOTE28";"N29EUR",#N/A,FALSE,"NOTE29";"N30EUR",#N/A,FALSE,"NOTE30";"N31EUR",#N/A,FALSE,"NOTE31";"N32EUR",#N/A,FALSE,"NOTE32";"N33EUR",#N/A,FALSE,"NOTE33";"BILSOCEUR",#N/A,FALSE,"bilan soc";"RESSOCEUR",#N/A,FALSE,"PL soc";"cinqexEUR",#N/A,FALSE,"5ex"}</definedName>
    <definedName name="wrn.etatfifrfeur_5_3" localSheetId="12" hidden="1">{#N/A,"francaiseur",FALSE,"UNITE";"ACTEUR",#N/A,FALSE,"ACTIF";"PASEUR",#N/A,FALSE,"PASSIF";"RESEUR",#N/A,FALSE,"RESULTATS";"FPEUR",#N/A,FALSE,"FP";"N03EUR",#N/A,FALSE,"NOTE03";"N04EUR",#N/A,FALSE,"NOTE04";"N05EUR",#N/A,FALSE,"NOTE05";"N06EUR",#N/A,FALSE,"NOTE06";"N07EUR",#N/A,FALSE,"NOTE07";"N08EUR",#N/A,FALSE,"NOTE08";"N09EUR",#N/A,FALSE,"NOTE09";"N10EUR",#N/A,FALSE,"NOTE10";"N11EUR",#N/A,FALSE,"NOTE11";"N12EUR",#N/A,FALSE,"NOTE12";"N13EUR",#N/A,FALSE,"NOTE13";"N14EUR",#N/A,FALSE,"NOTE14";"N15EUR",#N/A,FALSE,"NOTE15";"N16EUR",#N/A,FALSE,"NOTE16";"N18EUR",#N/A,FALSE,"NOTE18";"N19EUR",#N/A,FALSE,"NOTE19";"N20EUR",#N/A,FALSE,"NOTE20";"N21EUR",#N/A,FALSE,"NOTE21";"N22EUR",#N/A,FALSE,"NOTE22";"N23EUR",#N/A,FALSE,"NOTE23";"N24EUR",#N/A,FALSE,"NOTE24";"N25EUR",#N/A,FALSE,"NOTE25";"N26EUR",#N/A,FALSE,"NOTE26";"N27EUR",#N/A,FALSE,"NOTE27";"N28EUR",#N/A,FALSE,"NOTE28";"N29EUR",#N/A,FALSE,"NOTE29";"N30EUR",#N/A,FALSE,"NOTE30";"N31EUR",#N/A,FALSE,"NOTE31";"N32EUR",#N/A,FALSE,"NOTE32";"N33EUR",#N/A,FALSE,"NOTE33";"BILSOCEUR",#N/A,FALSE,"bilan soc";"RESSOCEUR",#N/A,FALSE,"PL soc";"cinqexEUR",#N/A,FALSE,"5ex"}</definedName>
    <definedName name="wrn.etatfifrfeur_5_3" hidden="1">{#N/A,"francaiseur",FALSE,"UNITE";"ACTEUR",#N/A,FALSE,"ACTIF";"PASEUR",#N/A,FALSE,"PASSIF";"RESEUR",#N/A,FALSE,"RESULTATS";"FPEUR",#N/A,FALSE,"FP";"N03EUR",#N/A,FALSE,"NOTE03";"N04EUR",#N/A,FALSE,"NOTE04";"N05EUR",#N/A,FALSE,"NOTE05";"N06EUR",#N/A,FALSE,"NOTE06";"N07EUR",#N/A,FALSE,"NOTE07";"N08EUR",#N/A,FALSE,"NOTE08";"N09EUR",#N/A,FALSE,"NOTE09";"N10EUR",#N/A,FALSE,"NOTE10";"N11EUR",#N/A,FALSE,"NOTE11";"N12EUR",#N/A,FALSE,"NOTE12";"N13EUR",#N/A,FALSE,"NOTE13";"N14EUR",#N/A,FALSE,"NOTE14";"N15EUR",#N/A,FALSE,"NOTE15";"N16EUR",#N/A,FALSE,"NOTE16";"N18EUR",#N/A,FALSE,"NOTE18";"N19EUR",#N/A,FALSE,"NOTE19";"N20EUR",#N/A,FALSE,"NOTE20";"N21EUR",#N/A,FALSE,"NOTE21";"N22EUR",#N/A,FALSE,"NOTE22";"N23EUR",#N/A,FALSE,"NOTE23";"N24EUR",#N/A,FALSE,"NOTE24";"N25EUR",#N/A,FALSE,"NOTE25";"N26EUR",#N/A,FALSE,"NOTE26";"N27EUR",#N/A,FALSE,"NOTE27";"N28EUR",#N/A,FALSE,"NOTE28";"N29EUR",#N/A,FALSE,"NOTE29";"N30EUR",#N/A,FALSE,"NOTE30";"N31EUR",#N/A,FALSE,"NOTE31";"N32EUR",#N/A,FALSE,"NOTE32";"N33EUR",#N/A,FALSE,"NOTE33";"BILSOCEUR",#N/A,FALSE,"bilan soc";"RESSOCEUR",#N/A,FALSE,"PL soc";"cinqexEUR",#N/A,FALSE,"5ex"}</definedName>
    <definedName name="wrn.imprim." hidden="1">{#N/A,#N/A,TRUE,"COFTOT"}</definedName>
    <definedName name="wrn.imprim._1" hidden="1">{#N/A,#N/A,TRUE,"COFTOT"}</definedName>
    <definedName name="wrn.imprim2" hidden="1">{#N/A,#N/A,TRUE,"COFTOT"}</definedName>
    <definedName name="wrn.imprim2_1" hidden="1">{#N/A,#N/A,TRUE,"COFTOT"}</definedName>
    <definedName name="ws" hidden="1">{#N/A,#N/A,TRUE,"COFTOT"}</definedName>
    <definedName name="ws_1" hidden="1">{#N/A,#N/A,TRUE,"COFTOT"}</definedName>
    <definedName name="ww" hidden="1">{#N/A,#N/A,TRUE,"COFTOT"}</definedName>
    <definedName name="ww_1" hidden="1">{#N/A,#N/A,TRUE,"COFTOT"}</definedName>
    <definedName name="WWWWWWWWWWW">[26]BALANCE!$D$2:$D$573</definedName>
    <definedName name="wxw" hidden="1">{"résultats",#N/A,FALSE,"résultats SFS";"indicateurs",#N/A,FALSE,"résultats SFS";"commentaires",#N/A,FALSE,"commentaires SFS";"graphiques",#N/A,FALSE,"graphiques SFS"}</definedName>
    <definedName name="x" hidden="1">{#N/A,"francaiseur",FALSE,"UNITE";"ACTEUR",#N/A,FALSE,"ACTIF";"PASEUR",#N/A,FALSE,"PASSIF";"RESEUR",#N/A,FALSE,"RESULTATS";"FPEUR",#N/A,FALSE,"FP";"N03EUR",#N/A,FALSE,"NOTE03";"N04EUR",#N/A,FALSE,"NOTE04";"N05EUR",#N/A,FALSE,"NOTE05";"N06EUR",#N/A,FALSE,"NOTE06";"N07EUR",#N/A,FALSE,"NOTE07";"N08EUR",#N/A,FALSE,"NOTE08";"N09EUR",#N/A,FALSE,"NOTE09";"N10EUR",#N/A,FALSE,"NOTE10";"N11EUR",#N/A,FALSE,"NOTE11";"N12EUR",#N/A,FALSE,"NOTE12";"N13EUR",#N/A,FALSE,"NOTE13";"N14EUR",#N/A,FALSE,"NOTE14";"N15EUR",#N/A,FALSE,"NOTE15";"N16EUR",#N/A,FALSE,"NOTE16";"N18EUR",#N/A,FALSE,"NOTE18";"N19EUR",#N/A,FALSE,"NOTE19";"N20EUR",#N/A,FALSE,"NOTE20";"N21EUR",#N/A,FALSE,"NOTE21";"N22EUR",#N/A,FALSE,"NOTE22";"N23EUR",#N/A,FALSE,"NOTE23";"N24EUR",#N/A,FALSE,"NOTE24";"N25EUR",#N/A,FALSE,"NOTE25";"N26EUR",#N/A,FALSE,"NOTE26";"N27EUR",#N/A,FALSE,"NOTE27";"N28EUR",#N/A,FALSE,"NOTE28";"N29EUR",#N/A,FALSE,"NOTE29";"N30EUR",#N/A,FALSE,"NOTE30";"N31EUR",#N/A,FALSE,"NOTE31";"N32EUR",#N/A,FALSE,"NOTE32";"N33EUR",#N/A,FALSE,"NOTE33";"BILSOCEUR",#N/A,FALSE,"bilan soc";"RESSOCEUR",#N/A,FALSE,"PL soc";"cinqexEUR",#N/A,FALSE,"5ex"}</definedName>
    <definedName name="XVXVDDVFDCV" localSheetId="5">#REF!</definedName>
    <definedName name="XVXVDDVFDCV">#REF!</definedName>
    <definedName name="XW">[30]VNCI_ASS!$C$2:$C$94</definedName>
    <definedName name="XX" localSheetId="5">[6]BALANCE!#REF!</definedName>
    <definedName name="XX">[6]BALANCE!#REF!</definedName>
    <definedName name="XXWXS" localSheetId="5">[27]BALANCE!#REF!</definedName>
    <definedName name="XXWXS">[27]BALANCE!#REF!</definedName>
    <definedName name="XXX" localSheetId="5">[6]BALANCE!#REF!</definedName>
    <definedName name="XXX">[6]BALANCE!#REF!</definedName>
    <definedName name="xxxx" localSheetId="5" hidden="1">#REF!</definedName>
    <definedName name="xxxx" localSheetId="12" hidden="1">#REF!</definedName>
    <definedName name="xxxx" hidden="1">#REF!</definedName>
    <definedName name="XXXXXX">[27]PART!$B$2:$B$104</definedName>
    <definedName name="xxxxxxxxxx">[25]EXPERTISE!$B$2:$B$122</definedName>
    <definedName name="Y">[37]PART!$I$2:$I$111</definedName>
    <definedName name="y_1" hidden="1">{#N/A,#N/A,TRUE,"COFTOT"}</definedName>
    <definedName name="ytyty" localSheetId="5" hidden="1">#REF!</definedName>
    <definedName name="ytyty" localSheetId="12" hidden="1">#REF!</definedName>
    <definedName name="ytyty" hidden="1">#REF!</definedName>
    <definedName name="yyy" localSheetId="5" hidden="1">#REF!</definedName>
    <definedName name="yyy" localSheetId="12" hidden="1">#REF!</definedName>
    <definedName name="yyy" hidden="1">#REF!</definedName>
    <definedName name="z">#REF!</definedName>
    <definedName name="Z_0988812C_B87C_4041_945B_D3D481C0E3B2_.wvu.Cols" localSheetId="7" hidden="1">Passif!#REF!</definedName>
    <definedName name="Z_0988812C_B87C_4041_945B_D3D481C0E3B2_.wvu.FilterData" localSheetId="12" hidden="1">'Formule Compilation'!$A$1:$B$174</definedName>
    <definedName name="Z_0988812C_B87C_4041_945B_D3D481C0E3B2_.wvu.Rows" localSheetId="6" hidden="1">Actif!#REF!</definedName>
    <definedName name="Z_0988812C_B87C_4041_945B_D3D481C0E3B2_.wvu.Rows" localSheetId="8" hidden="1">Résultat!#REF!,Résultat!#REF!</definedName>
    <definedName name="Z_10FE0AC7_DC28_4361_9D3E_E82A44C052DC_.wvu.FilterData" localSheetId="12" hidden="1">'Formule Compilation'!$A$1:$B$174</definedName>
    <definedName name="Z_10FE0AC7_DC28_4361_9D3E_E82A44C052DC_.wvu.Rows" localSheetId="6" hidden="1">Actif!#REF!</definedName>
    <definedName name="Z_10FE0AC7_DC28_4361_9D3E_E82A44C052DC_.wvu.Rows" localSheetId="7" hidden="1">Passif!$10:$11</definedName>
    <definedName name="Z_15FEF1C5_8ED8_40F7_B190_479F9E1DDCD0_.wvu.Cols" localSheetId="7" hidden="1">Passif!#REF!</definedName>
    <definedName name="Z_15FEF1C5_8ED8_40F7_B190_479F9E1DDCD0_.wvu.FilterData" localSheetId="12" hidden="1">'Formule Compilation'!$A$1:$B$174</definedName>
    <definedName name="Z_15FEF1C5_8ED8_40F7_B190_479F9E1DDCD0_.wvu.Rows" localSheetId="6" hidden="1">Actif!#REF!</definedName>
    <definedName name="Z_15FEF1C5_8ED8_40F7_B190_479F9E1DDCD0_.wvu.Rows" localSheetId="9" hidden="1">'Etat OCI'!#REF!,'Etat OCI'!#REF!,'Etat OCI'!#REF!,'Etat OCI'!#REF!,'Etat OCI'!#REF!,'Etat OCI'!#REF!,'Etat OCI'!#REF!</definedName>
    <definedName name="Z_15FEF1C5_8ED8_40F7_B190_479F9E1DDCD0_.wvu.Rows" localSheetId="8" hidden="1">Résultat!#REF!</definedName>
    <definedName name="Z_1E6FDA0A_7324_47B7_8781_F649F81C62F2_.wvu.FilterData" localSheetId="12" hidden="1">'Formule Compilation'!$A$1:$B$174</definedName>
    <definedName name="Z_21805F0D_5712_4B23_9184_10D1DA874103_.wvu.FilterData" localSheetId="12" hidden="1">'Formule Compilation'!$A$1:$B$174</definedName>
    <definedName name="Z_4561BCBD_DB5E_4D30_A9CE_7BB23B692C5E_.wvu.Cols" localSheetId="7" hidden="1">Passif!#REF!</definedName>
    <definedName name="Z_4561BCBD_DB5E_4D30_A9CE_7BB23B692C5E_.wvu.FilterData" localSheetId="12" hidden="1">'Formule Compilation'!$A$1:$B$174</definedName>
    <definedName name="Z_4561BCBD_DB5E_4D30_A9CE_7BB23B692C5E_.wvu.Rows" localSheetId="6" hidden="1">Actif!#REF!</definedName>
    <definedName name="Z_4561BCBD_DB5E_4D30_A9CE_7BB23B692C5E_.wvu.Rows" localSheetId="8" hidden="1">Résultat!#REF!</definedName>
    <definedName name="Z_5874C782_5C34_4C4C_BCC6_3692259149CA_.wvu.Cols" localSheetId="0" hidden="1">'9.5.4 (2)'!$A:$C,'9.5.4 (2)'!$G:$H</definedName>
    <definedName name="Z_5874C782_5C34_4C4C_BCC6_3692259149CA_.wvu.Cols" localSheetId="1" hidden="1">'9.5.5 (2)'!$A:$C,'9.5.5 (2)'!$F:$H</definedName>
    <definedName name="Z_5874C782_5C34_4C4C_BCC6_3692259149CA_.wvu.Cols" localSheetId="2" hidden="1">'A-DET'!$O:$Q,'A-DET'!$S:$AJ</definedName>
    <definedName name="Z_5874C782_5C34_4C4C_BCC6_3692259149CA_.wvu.Cols" localSheetId="9" hidden="1">'Etat OCI'!#REF!,'Etat OCI'!#REF!,'Etat OCI'!#REF!</definedName>
    <definedName name="Z_5874C782_5C34_4C4C_BCC6_3692259149CA_.wvu.Cols" localSheetId="3" hidden="1">'L-DET'!$P:$R,'L-DET'!$T:$AI</definedName>
    <definedName name="Z_5874C782_5C34_4C4C_BCC6_3692259149CA_.wvu.Cols" localSheetId="4" hidden="1">'R-DET'!$A:$E,'R-DET'!$G:$Q,'R-DET'!$S:$T,'R-DET'!$V:$AL</definedName>
    <definedName name="Z_5874C782_5C34_4C4C_BCC6_3692259149CA_.wvu.FilterData" localSheetId="2" hidden="1">'A-DET'!$A$11:$AM$668</definedName>
    <definedName name="Z_5874C782_5C34_4C4C_BCC6_3692259149CA_.wvu.FilterData" localSheetId="5" hidden="1">Evolution!$A$1:$D$315</definedName>
    <definedName name="Z_5874C782_5C34_4C4C_BCC6_3692259149CA_.wvu.FilterData" localSheetId="12" hidden="1">'Formule Compilation'!$A$1:$B$174</definedName>
    <definedName name="Z_5874C782_5C34_4C4C_BCC6_3692259149CA_.wvu.Rows" localSheetId="0" hidden="1">'9.5.4 (2)'!$1:$5,'9.5.4 (2)'!$12:$26,'9.5.4 (2)'!$28:$42,'9.5.4 (2)'!$44:$118,'9.5.4 (2)'!$120:$203,'9.5.4 (2)'!$205:$205,'9.5.4 (2)'!$210:$551,'9.5.4 (2)'!$553:$567,'9.5.4 (2)'!$569:$583</definedName>
    <definedName name="Z_5874C782_5C34_4C4C_BCC6_3692259149CA_.wvu.Rows" localSheetId="1" hidden="1">'9.5.5 (2)'!$1:$8,'9.5.5 (2)'!$15:$33,'9.5.5 (2)'!$35:$53,'9.5.5 (2)'!$55:$147,'9.5.5 (2)'!$150:$178,'9.5.5 (2)'!$180:$252,'9.5.5 (2)'!$258:$695,'9.5.5 (2)'!$697:$715,'9.5.5 (2)'!$717:$735</definedName>
    <definedName name="Z_5874C782_5C34_4C4C_BCC6_3692259149CA_.wvu.Rows" localSheetId="9" hidden="1">'Etat OCI'!#REF!,'Etat OCI'!#REF!,'Etat OCI'!#REF!</definedName>
    <definedName name="Z_5874C782_5C34_4C4C_BCC6_3692259149CA_.wvu.Rows" localSheetId="3" hidden="1">'L-DET'!$1:$8</definedName>
    <definedName name="Z_5874C782_5C34_4C4C_BCC6_3692259149CA_.wvu.Rows" localSheetId="7" hidden="1">Passif!$13:$14,Passif!$29:$29</definedName>
    <definedName name="Z_5874C782_5C34_4C4C_BCC6_3692259149CA_.wvu.Rows" localSheetId="4" hidden="1">'R-DET'!$1:$9</definedName>
    <definedName name="Z_5874C782_5C34_4C4C_BCC6_3692259149CA_.wvu.Rows" localSheetId="8" hidden="1">Résultat!$19:$20</definedName>
    <definedName name="Z_6026142C_022D_477E_A086_A3D1CB0201B2_.wvu.Cols" localSheetId="7" hidden="1">Passif!#REF!</definedName>
    <definedName name="Z_6026142C_022D_477E_A086_A3D1CB0201B2_.wvu.FilterData" localSheetId="12" hidden="1">'Formule Compilation'!$A$1:$B$174</definedName>
    <definedName name="Z_6026142C_022D_477E_A086_A3D1CB0201B2_.wvu.Rows" localSheetId="6" hidden="1">Actif!#REF!</definedName>
    <definedName name="Z_6026142C_022D_477E_A086_A3D1CB0201B2_.wvu.Rows" localSheetId="8" hidden="1">Résultat!#REF!</definedName>
    <definedName name="Z_6357C996_BE12_4F66_ACBB_1F9F08F8885C_.wvu.Cols" localSheetId="0" hidden="1">'9.5.4 (2)'!$A:$C,'9.5.4 (2)'!$G:$H</definedName>
    <definedName name="Z_6357C996_BE12_4F66_ACBB_1F9F08F8885C_.wvu.Cols" localSheetId="1" hidden="1">'9.5.5 (2)'!$A:$C,'9.5.5 (2)'!$F:$H</definedName>
    <definedName name="Z_6357C996_BE12_4F66_ACBB_1F9F08F8885C_.wvu.Cols" localSheetId="2" hidden="1">'A-DET'!$O:$Q,'A-DET'!$S:$AJ</definedName>
    <definedName name="Z_6357C996_BE12_4F66_ACBB_1F9F08F8885C_.wvu.Cols" localSheetId="9" hidden="1">'Etat OCI'!#REF!,'Etat OCI'!#REF!,'Etat OCI'!#REF!</definedName>
    <definedName name="Z_6357C996_BE12_4F66_ACBB_1F9F08F8885C_.wvu.Cols" localSheetId="3" hidden="1">'L-DET'!$P:$R,'L-DET'!$T:$AI</definedName>
    <definedName name="Z_6357C996_BE12_4F66_ACBB_1F9F08F8885C_.wvu.Cols" localSheetId="4" hidden="1">'R-DET'!$A:$E,'R-DET'!$G:$Q,'R-DET'!$S:$T,'R-DET'!$V:$AL</definedName>
    <definedName name="Z_6357C996_BE12_4F66_ACBB_1F9F08F8885C_.wvu.FilterData" localSheetId="2" hidden="1">'A-DET'!$A$11:$AM$668</definedName>
    <definedName name="Z_6357C996_BE12_4F66_ACBB_1F9F08F8885C_.wvu.FilterData" localSheetId="5" hidden="1">Evolution!$A$1:$D$315</definedName>
    <definedName name="Z_6357C996_BE12_4F66_ACBB_1F9F08F8885C_.wvu.FilterData" localSheetId="12" hidden="1">'Formule Compilation'!$A$1:$B$174</definedName>
    <definedName name="Z_6357C996_BE12_4F66_ACBB_1F9F08F8885C_.wvu.Rows" localSheetId="0" hidden="1">'9.5.4 (2)'!$1:$5,'9.5.4 (2)'!$12:$26,'9.5.4 (2)'!$28:$42,'9.5.4 (2)'!$44:$118,'9.5.4 (2)'!$120:$203,'9.5.4 (2)'!$205:$205,'9.5.4 (2)'!$210:$551,'9.5.4 (2)'!$553:$567,'9.5.4 (2)'!$569:$583</definedName>
    <definedName name="Z_6357C996_BE12_4F66_ACBB_1F9F08F8885C_.wvu.Rows" localSheetId="1" hidden="1">'9.5.5 (2)'!$1:$8,'9.5.5 (2)'!$15:$33,'9.5.5 (2)'!$35:$53,'9.5.5 (2)'!$55:$147,'9.5.5 (2)'!$150:$178,'9.5.5 (2)'!$180:$252,'9.5.5 (2)'!$258:$695,'9.5.5 (2)'!$697:$715,'9.5.5 (2)'!$717:$735</definedName>
    <definedName name="Z_6357C996_BE12_4F66_ACBB_1F9F08F8885C_.wvu.Rows" localSheetId="9" hidden="1">'Etat OCI'!#REF!,'Etat OCI'!#REF!,'Etat OCI'!#REF!</definedName>
    <definedName name="Z_6357C996_BE12_4F66_ACBB_1F9F08F8885C_.wvu.Rows" localSheetId="3" hidden="1">'L-DET'!$1:$8</definedName>
    <definedName name="Z_6357C996_BE12_4F66_ACBB_1F9F08F8885C_.wvu.Rows" localSheetId="7" hidden="1">Passif!$13:$14,Passif!$29:$29</definedName>
    <definedName name="Z_6357C996_BE12_4F66_ACBB_1F9F08F8885C_.wvu.Rows" localSheetId="4" hidden="1">'R-DET'!$1:$9</definedName>
    <definedName name="Z_6357C996_BE12_4F66_ACBB_1F9F08F8885C_.wvu.Rows" localSheetId="8" hidden="1">Résultat!$19:$20</definedName>
    <definedName name="Z_9861AEDC_A168_4FA5_BC34_0FF06E2D98B0_.wvu.FilterData" localSheetId="5" hidden="1">Evolution!$B$1:$D$249</definedName>
    <definedName name="Z_9861AEDC_A168_4FA5_BC34_0FF06E2D98B0_.wvu.FilterData" localSheetId="12" hidden="1">'Formule Compilation'!$A$1:$B$174</definedName>
    <definedName name="Z_9861AEDC_A168_4FA5_BC34_0FF06E2D98B0_.wvu.Rows" localSheetId="6" hidden="1">Actif!$6:$6</definedName>
    <definedName name="Z_9861AEDC_A168_4FA5_BC34_0FF06E2D98B0_.wvu.Rows" localSheetId="9" hidden="1">'Etat OCI'!#REF!,'Etat OCI'!#REF!,'Etat OCI'!#REF!,'Etat OCI'!#REF!,'Etat OCI'!$23:$23</definedName>
    <definedName name="Z_9861AEDC_A168_4FA5_BC34_0FF06E2D98B0_.wvu.Rows" localSheetId="7" hidden="1">Passif!$13:$14,Passif!$29:$29,Passif!$43:$43</definedName>
    <definedName name="Z_9861AEDC_A168_4FA5_BC34_0FF06E2D98B0_.wvu.Rows" localSheetId="8" hidden="1">Résultat!$30:$30,Résultat!#REF!</definedName>
    <definedName name="Z_9B5412D3_CE8B_4D5C_87A1_6A92385B5055_.wvu.FilterData" localSheetId="12" hidden="1">'Formule Compilation'!$A$1:$B$174</definedName>
    <definedName name="Z_B96AA43F_C6B6_4097_9127_C885199888B4_.wvu.FilterData" localSheetId="5" hidden="1">Evolution!$B$1:$D$249</definedName>
    <definedName name="Z_B96AA43F_C6B6_4097_9127_C885199888B4_.wvu.FilterData" localSheetId="12" hidden="1">'Formule Compilation'!$A$1:$B$174</definedName>
    <definedName name="Z_B96AA43F_C6B6_4097_9127_C885199888B4_.wvu.Rows" localSheetId="6" hidden="1">Actif!$6:$6</definedName>
    <definedName name="Z_B96AA43F_C6B6_4097_9127_C885199888B4_.wvu.Rows" localSheetId="9" hidden="1">'Etat OCI'!#REF!,'Etat OCI'!#REF!,'Etat OCI'!#REF!,'Etat OCI'!#REF!,'Etat OCI'!$23:$23</definedName>
    <definedName name="Z_B96AA43F_C6B6_4097_9127_C885199888B4_.wvu.Rows" localSheetId="7" hidden="1">Passif!$13:$14,Passif!$29:$29,Passif!$43:$43</definedName>
    <definedName name="Z_B96AA43F_C6B6_4097_9127_C885199888B4_.wvu.Rows" localSheetId="8" hidden="1">Résultat!$30:$30,Résultat!#REF!</definedName>
    <definedName name="Z_CE92ACAB_D813_42D5_B2CA_1058B4AC8D33_.wvu.FilterData" localSheetId="12" hidden="1">'Formule Compilation'!$A$1:$B$174</definedName>
    <definedName name="za" hidden="1">{#N/A,"francaisfrf",FALSE,"UNITE";"ACTFRF",#N/A,FALSE,"ACTIF";"PASFRF",#N/A,FALSE,"PASSIF";"RESFRF",#N/A,FALSE,"RESULTATS";"FPFRF",#N/A,FALSE,"FP";"N03FRF",#N/A,FALSE,"NOTE03";"N04FRF",#N/A,FALSE,"NOTE04";"N05FRF",#N/A,FALSE,"NOTE05";"N06FRF",#N/A,FALSE,"NOTE06";"N07FRF",#N/A,FALSE,"NOTE07";"N08FRF",#N/A,FALSE,"NOTE08";"N09FRF",#N/A,FALSE,"NOTE09";"N10FRF",#N/A,FALSE,"NOTE10";"N11FRF",#N/A,FALSE,"NOTE11";"N12FRF",#N/A,FALSE,"NOTE12";"N13FRF",#N/A,FALSE,"NOTE13";"N14FRF",#N/A,FALSE,"NOTE14";"N15FRF",#N/A,FALSE,"NOTE15";"N16FRF",#N/A,FALSE,"NOTE16";"N17FRF",#N/A,FALSE,"NOTE17";"N18FRF",#N/A,FALSE,"NOTE18";"N19FRF",#N/A,FALSE,"NOTE19";"N20FRF",#N/A,FALSE,"NOTE20";"N21FRF",#N/A,FALSE,"NOTE21";"N22FRF",#N/A,FALSE,"NOTE22";"N23FRF",#N/A,FALSE,"NOTE23";"N24FRF",#N/A,FALSE,"NOTE24";"N25FRF",#N/A,FALSE,"NOTE25";"N26FRF",#N/A,FALSE,"NOTE26";"N27FRF",#N/A,FALSE,"NOTE27";"N28FRF",#N/A,FALSE,"NOTE28";"N29FRF",#N/A,FALSE,"NOTE29";"N30FRF",#N/A,FALSE,"NOTE30";"N31FRF",#N/A,FALSE,"NOTE31";"N32FRF",#N/A,FALSE,"NOTE32";"N33FRF",#N/A,FALSE,"NOTE33";"BILSOCFRF",#N/A,FALSE,"bilan soc";"RESSOCFRF",#N/A,FALSE,"PL soc";"cinqexFRF",#N/A,FALSE,"5ex"}</definedName>
    <definedName name="zaeaeae" localSheetId="5" hidden="1">#REF!</definedName>
    <definedName name="zaeaeae" localSheetId="12" hidden="1">#REF!</definedName>
    <definedName name="zaeaeae" hidden="1">#REF!</definedName>
    <definedName name="zeaze" localSheetId="5" hidden="1">#REF!</definedName>
    <definedName name="zeaze" localSheetId="12" hidden="1">#REF!</definedName>
    <definedName name="zeaze" hidden="1">#REF!</definedName>
    <definedName name="ZEZER">[26]EXPERTISE!$C$2:$C$122</definedName>
    <definedName name="_xlnm.Print_Area">#REF!</definedName>
    <definedName name="Zone_impression">'[51]10.3 Honoraires'!$C$5:$L$49</definedName>
    <definedName name="zse">[52]BALANCE!$D$2:$D$570</definedName>
    <definedName name="zzazeerer" localSheetId="5" hidden="1">#REF!</definedName>
    <definedName name="zzazeerer" localSheetId="12" hidden="1">#REF!</definedName>
    <definedName name="zzazeerer" hidden="1">#REF!</definedName>
    <definedName name="zZone_d_impression" localSheetId="5">#REF!</definedName>
    <definedName name="zZone_d_impression">#REF!</definedName>
    <definedName name="zzz" hidden="1">{"résultats",#N/A,FALSE,"résultats SFS";"indicateurs",#N/A,FALSE,"résultats SFS";"commentaires",#N/A,FALSE,"commentaires SFS";"graphiques",#N/A,FALSE,"graphiques SFS"}</definedName>
    <definedName name="zzzzz" localSheetId="5" hidden="1">#REF!</definedName>
    <definedName name="zzzzz" localSheetId="12" hidden="1">#REF!</definedName>
    <definedName name="zzzzz" hidden="1">#REF!</definedName>
  </definedNames>
  <calcPr calcId="191029"/>
  <customWorkbookViews>
    <customWorkbookView name="ATANASOVSKI Renata (Prestataire) - Affichage personnalisé" guid="{9861AEDC-A168-4FA5-BC34-0FF06E2D98B0}" mergeInterval="0" personalView="1" maximized="1" xWindow="-9" yWindow="-9" windowWidth="1938" windowHeight="1060" tabRatio="906" activeSheetId="147"/>
    <customWorkbookView name="KOCOLA Marie-Grace (Prestataire) - Affichage personnalisé" guid="{6026142C-022D-477E-A086-A3D1CB0201B2}" mergeInterval="0" personalView="1" maximized="1" xWindow="-9" yWindow="-9" windowWidth="1938" windowHeight="1060" tabRatio="839" activeSheetId="18"/>
    <customWorkbookView name="JULE Patrick (Prestataire) - Affichage personnalisé" guid="{0988812C-B87C-4041-945B-D3D481C0E3B2}" mergeInterval="0" personalView="1" maximized="1" xWindow="-11" yWindow="-11" windowWidth="1942" windowHeight="1056" tabRatio="814" activeSheetId="134"/>
    <customWorkbookView name="SAFIA Oumayma (Prestataire) - Affichage personnalisé" guid="{9B5412D3-CE8B-4D5C-87A1-6A92385B5055}" mergeInterval="0" personalView="1" maximized="1" xWindow="-11" yWindow="-11" windowWidth="1942" windowHeight="1056" activeSheetId="5"/>
    <customWorkbookView name="VERON Nina (Prestataire) - Affichage personnalisé" guid="{1E6FDA0A-7324-47B7-8781-F649F81C62F2}" mergeInterval="0" personalView="1" maximized="1" xWindow="-9" yWindow="-9" windowWidth="1938" windowHeight="1060" activeSheetId="40" showComments="commIndAndComment"/>
    <customWorkbookView name="LE VU Thi (Prestataire) - Affichage personnalisé" guid="{10FE0AC7-DC28-4361-9D3E-E82A44C052DC}" mergeInterval="0" personalView="1" maximized="1" xWindow="1909" yWindow="-11" windowWidth="1942" windowHeight="1056" activeSheetId="120"/>
    <customWorkbookView name="KAAB Meryem (Prestataire) - Affichage personnalisé" guid="{15FEF1C5-8ED8-40F7-B190-479F9E1DDCD0}" mergeInterval="0" personalView="1" maximized="1" xWindow="-9" yWindow="-9" windowWidth="1938" windowHeight="1060" activeSheetId="117"/>
    <customWorkbookView name="ZOSSOUNGBO Mirabelle (Prestataire) - Affichage personnalisé" guid="{4561BCBD-DB5E-4D30-A9CE-7BB23B692C5E}" mergeInterval="0" personalView="1" maximized="1" xWindow="-9" yWindow="-9" windowWidth="1938" windowHeight="1060" tabRatio="814" activeSheetId="128"/>
    <customWorkbookView name="OUEDRAOGO Arnaud (Prestataire) - Affichage personnalisé" guid="{B96AA43F-C6B6-4097-9127-C885199888B4}" mergeInterval="0" personalView="1" maximized="1" xWindow="-8" yWindow="-8" windowWidth="1936" windowHeight="954" tabRatio="906" activeSheetId="147"/>
    <customWorkbookView name="PASQUIO Sophie (Prestataire) - Affichage personnalisé" guid="{6357C996-BE12-4F66-ACBB-1F9F08F8885C}" mergeInterval="0" personalView="1" maximized="1" xWindow="-1928" yWindow="201" windowWidth="1936" windowHeight="1066" tabRatio="906" activeSheetId="137"/>
    <customWorkbookView name="WILLAUME Maxence - Affichage personnalisé" guid="{5874C782-5C34-4C4C-BCC6-3692259149CA}" mergeInterval="0" personalView="1" maximized="1" xWindow="-8" yWindow="-8" windowWidth="1936" windowHeight="1056" tabRatio="906" activeSheetId="61"/>
  </customWorkbookViews>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I9" i="167" l="1"/>
  <c r="I9" i="166"/>
  <c r="J7" i="167"/>
  <c r="J7" i="166"/>
  <c r="J8" i="167"/>
  <c r="J8" i="166"/>
  <c r="H7" i="167"/>
  <c r="H7" i="166"/>
  <c r="H8" i="167"/>
  <c r="H8" i="166"/>
  <c r="I6" i="167"/>
  <c r="I6" i="166"/>
  <c r="I7" i="167"/>
  <c r="I7" i="166"/>
  <c r="J5" i="167"/>
  <c r="J5" i="166"/>
  <c r="J12" i="166"/>
  <c r="H11" i="167"/>
  <c r="H11" i="166"/>
  <c r="J6" i="167"/>
  <c r="J11" i="166"/>
  <c r="H6" i="167"/>
  <c r="I10" i="166"/>
  <c r="I5" i="167"/>
  <c r="J9" i="166"/>
  <c r="H12" i="166"/>
  <c r="H9" i="166"/>
  <c r="J6" i="166"/>
  <c r="J9" i="167"/>
  <c r="I11" i="166"/>
  <c r="J11" i="167"/>
  <c r="J10" i="166"/>
  <c r="I10" i="167"/>
  <c r="H10" i="166"/>
  <c r="H9" i="167"/>
  <c r="H6" i="166"/>
  <c r="I8" i="167"/>
  <c r="H5" i="166"/>
  <c r="I5" i="166"/>
  <c r="I8" i="166"/>
  <c r="H12" i="167"/>
  <c r="H5" i="167"/>
  <c r="CK49" i="25"/>
  <c r="BM49" i="25"/>
  <c r="AO49" i="25"/>
  <c r="Q49" i="25"/>
  <c r="BV48" i="25"/>
  <c r="AX48" i="25"/>
  <c r="Z48" i="25"/>
  <c r="CB33" i="25"/>
  <c r="BD33" i="25"/>
  <c r="AE33" i="25"/>
  <c r="CG32" i="25"/>
  <c r="BI32" i="25"/>
  <c r="AJ32" i="25"/>
  <c r="L32" i="25"/>
  <c r="BN23" i="25"/>
  <c r="AP23" i="25"/>
  <c r="R23" i="25"/>
  <c r="BY22" i="25"/>
  <c r="BA22" i="25"/>
  <c r="AC22" i="25"/>
  <c r="E16" i="25"/>
  <c r="BT45" i="25"/>
  <c r="AV45" i="25"/>
  <c r="X45" i="25"/>
  <c r="BZ29" i="25"/>
  <c r="BB29" i="25"/>
  <c r="AD29" i="25"/>
  <c r="CF19" i="25"/>
  <c r="BH19" i="25"/>
  <c r="AJ19" i="25"/>
  <c r="L19" i="25"/>
  <c r="AM624" i="5"/>
  <c r="AM600" i="5"/>
  <c r="AM576" i="5"/>
  <c r="AM552" i="5"/>
  <c r="AM528" i="5"/>
  <c r="AM504" i="5"/>
  <c r="AM480" i="5"/>
  <c r="AM456" i="5"/>
  <c r="AM432" i="5"/>
  <c r="AM408" i="5"/>
  <c r="AM384" i="5"/>
  <c r="AM360" i="5"/>
  <c r="AM336" i="5"/>
  <c r="AM312" i="5"/>
  <c r="AM288" i="5"/>
  <c r="AM264" i="5"/>
  <c r="AM240" i="5"/>
  <c r="AM216" i="5"/>
  <c r="AM192" i="5"/>
  <c r="AM168" i="5"/>
  <c r="AM144" i="5"/>
  <c r="AM120" i="5"/>
  <c r="AM96" i="5"/>
  <c r="AM72" i="5"/>
  <c r="AM48" i="5"/>
  <c r="AM24" i="5"/>
  <c r="AJ485" i="4"/>
  <c r="AJ461" i="4"/>
  <c r="AJ437" i="4"/>
  <c r="AJ411" i="4"/>
  <c r="AJ387" i="4"/>
  <c r="AJ363" i="4"/>
  <c r="AJ339" i="4"/>
  <c r="AJ315" i="4"/>
  <c r="I12" i="166"/>
  <c r="CI49" i="25"/>
  <c r="BK49" i="25"/>
  <c r="AM49" i="25"/>
  <c r="O49" i="25"/>
  <c r="BT48" i="25"/>
  <c r="AV48" i="25"/>
  <c r="X48" i="25"/>
  <c r="BZ33" i="25"/>
  <c r="BB33" i="25"/>
  <c r="AC33" i="25"/>
  <c r="CE32" i="25"/>
  <c r="BG32" i="25"/>
  <c r="AH32" i="25"/>
  <c r="CJ23" i="25"/>
  <c r="BL23" i="25"/>
  <c r="AN23" i="25"/>
  <c r="P23" i="25"/>
  <c r="BW22" i="25"/>
  <c r="AY22" i="25"/>
  <c r="AA22" i="25"/>
  <c r="F12" i="25"/>
  <c r="BR45" i="25"/>
  <c r="AT45" i="25"/>
  <c r="V45" i="25"/>
  <c r="BX29" i="25"/>
  <c r="AZ29" i="25"/>
  <c r="AB29" i="25"/>
  <c r="CD19" i="25"/>
  <c r="BF19" i="25"/>
  <c r="AH19" i="25"/>
  <c r="AM646" i="5"/>
  <c r="AM622" i="5"/>
  <c r="AM598" i="5"/>
  <c r="AM574" i="5"/>
  <c r="AM550" i="5"/>
  <c r="AM526" i="5"/>
  <c r="AM502" i="5"/>
  <c r="AM478" i="5"/>
  <c r="AM454" i="5"/>
  <c r="AM430" i="5"/>
  <c r="AM406" i="5"/>
  <c r="AM382" i="5"/>
  <c r="AM358" i="5"/>
  <c r="AM334" i="5"/>
  <c r="AM310" i="5"/>
  <c r="AM286" i="5"/>
  <c r="AM262" i="5"/>
  <c r="AM238" i="5"/>
  <c r="AM214" i="5"/>
  <c r="AM190" i="5"/>
  <c r="AM166" i="5"/>
  <c r="AM142" i="5"/>
  <c r="AM118" i="5"/>
  <c r="AM94" i="5"/>
  <c r="AM70" i="5"/>
  <c r="AM46" i="5"/>
  <c r="AM22" i="5"/>
  <c r="AJ483" i="4"/>
  <c r="AJ459" i="4"/>
  <c r="AJ435" i="4"/>
  <c r="AJ409" i="4"/>
  <c r="AJ385" i="4"/>
  <c r="AJ361" i="4"/>
  <c r="AJ337" i="4"/>
  <c r="CC49" i="25"/>
  <c r="BE49" i="25"/>
  <c r="AG49" i="25"/>
  <c r="CL48" i="25"/>
  <c r="BN48" i="25"/>
  <c r="AP48" i="25"/>
  <c r="R48" i="25"/>
  <c r="BT33" i="25"/>
  <c r="AU33" i="25"/>
  <c r="W33" i="25"/>
  <c r="BY32" i="25"/>
  <c r="AZ32" i="25"/>
  <c r="AB32" i="25"/>
  <c r="CD23" i="25"/>
  <c r="BF23" i="25"/>
  <c r="AH23" i="25"/>
  <c r="H23" i="25"/>
  <c r="I11" i="167"/>
  <c r="BU49" i="25"/>
  <c r="AW49" i="25"/>
  <c r="Y49" i="25"/>
  <c r="CD48" i="25"/>
  <c r="BF48" i="25"/>
  <c r="AH48" i="25"/>
  <c r="CJ33" i="25"/>
  <c r="BL33" i="25"/>
  <c r="AM33" i="25"/>
  <c r="O33" i="25"/>
  <c r="BQ32" i="25"/>
  <c r="AR32" i="25"/>
  <c r="T32" i="25"/>
  <c r="BV23" i="25"/>
  <c r="AX23" i="25"/>
  <c r="Z23" i="25"/>
  <c r="CG22" i="25"/>
  <c r="BI22" i="25"/>
  <c r="AK22" i="25"/>
  <c r="M22" i="25"/>
  <c r="CB45" i="25"/>
  <c r="BD45" i="25"/>
  <c r="AF45" i="25"/>
  <c r="CH29" i="25"/>
  <c r="BJ29" i="25"/>
  <c r="AL29" i="25"/>
  <c r="N29" i="25"/>
  <c r="BP19" i="25"/>
  <c r="AR19" i="25"/>
  <c r="T19" i="25"/>
  <c r="AM632" i="5"/>
  <c r="AM608" i="5"/>
  <c r="AM584" i="5"/>
  <c r="AM560" i="5"/>
  <c r="AM536" i="5"/>
  <c r="AM512" i="5"/>
  <c r="AM488" i="5"/>
  <c r="AM464" i="5"/>
  <c r="AM440" i="5"/>
  <c r="AM416" i="5"/>
  <c r="AM392" i="5"/>
  <c r="AM368" i="5"/>
  <c r="AM344" i="5"/>
  <c r="AM320" i="5"/>
  <c r="AM296" i="5"/>
  <c r="AM272" i="5"/>
  <c r="AM248" i="5"/>
  <c r="AM224" i="5"/>
  <c r="AM200" i="5"/>
  <c r="AM176" i="5"/>
  <c r="AM152" i="5"/>
  <c r="BO49" i="25"/>
  <c r="AC49" i="25"/>
  <c r="BX48" i="25"/>
  <c r="AL48" i="25"/>
  <c r="CD33" i="25"/>
  <c r="AQ33" i="25"/>
  <c r="CI32" i="25"/>
  <c r="AV32" i="25"/>
  <c r="N32" i="25"/>
  <c r="BB23" i="25"/>
  <c r="T23" i="25"/>
  <c r="BO22" i="25"/>
  <c r="AI22" i="25"/>
  <c r="D12" i="25"/>
  <c r="BJ45" i="25"/>
  <c r="AD45" i="25"/>
  <c r="BV29" i="25"/>
  <c r="AR29" i="25"/>
  <c r="L29" i="25"/>
  <c r="BD19" i="25"/>
  <c r="Z19" i="25"/>
  <c r="AM630" i="5"/>
  <c r="AM596" i="5"/>
  <c r="AM566" i="5"/>
  <c r="AM534" i="5"/>
  <c r="AM500" i="5"/>
  <c r="AM470" i="5"/>
  <c r="AM438" i="5"/>
  <c r="AM404" i="5"/>
  <c r="AM374" i="5"/>
  <c r="AM342" i="5"/>
  <c r="AM308" i="5"/>
  <c r="AM278" i="5"/>
  <c r="AM246" i="5"/>
  <c r="AM212" i="5"/>
  <c r="AM182" i="5"/>
  <c r="AM150" i="5"/>
  <c r="AM122" i="5"/>
  <c r="AM90" i="5"/>
  <c r="AM62" i="5"/>
  <c r="AM34" i="5"/>
  <c r="AJ491" i="4"/>
  <c r="AJ463" i="4"/>
  <c r="AJ431" i="4"/>
  <c r="AJ401" i="4"/>
  <c r="AJ373" i="4"/>
  <c r="AJ345" i="4"/>
  <c r="AJ317" i="4"/>
  <c r="AJ291" i="4"/>
  <c r="AJ267" i="4"/>
  <c r="AJ243" i="4"/>
  <c r="AJ217" i="4"/>
  <c r="AJ193" i="4"/>
  <c r="AJ169" i="4"/>
  <c r="AJ145" i="4"/>
  <c r="AJ121" i="4"/>
  <c r="AJ97" i="4"/>
  <c r="AJ73" i="4"/>
  <c r="AJ49" i="4"/>
  <c r="AJ25" i="4"/>
  <c r="AK660" i="3"/>
  <c r="AK636" i="3"/>
  <c r="AK612" i="3"/>
  <c r="AK588" i="3"/>
  <c r="AK564" i="3"/>
  <c r="AK537" i="3"/>
  <c r="AK510" i="3"/>
  <c r="AK480" i="3"/>
  <c r="AK456" i="3"/>
  <c r="AK432" i="3"/>
  <c r="AK408" i="3"/>
  <c r="AK384" i="3"/>
  <c r="AK360" i="3"/>
  <c r="AK336" i="3"/>
  <c r="AK312" i="3"/>
  <c r="AK288" i="3"/>
  <c r="AK264" i="3"/>
  <c r="AK240" i="3"/>
  <c r="AK216" i="3"/>
  <c r="AK192" i="3"/>
  <c r="AK168" i="3"/>
  <c r="AK143" i="3"/>
  <c r="AK119" i="3"/>
  <c r="AK95" i="3"/>
  <c r="AK71" i="3"/>
  <c r="AK47" i="3"/>
  <c r="AK22" i="3"/>
  <c r="K586" i="2"/>
  <c r="K330" i="2"/>
  <c r="J253" i="2"/>
  <c r="I117" i="2"/>
  <c r="I99" i="2"/>
  <c r="L57" i="2"/>
  <c r="J580" i="1"/>
  <c r="K572" i="1"/>
  <c r="L563" i="1"/>
  <c r="L555" i="1"/>
  <c r="N546" i="1"/>
  <c r="N538" i="1"/>
  <c r="N530" i="1"/>
  <c r="N522" i="1"/>
  <c r="N514" i="1"/>
  <c r="N506" i="1"/>
  <c r="N498" i="1"/>
  <c r="N490" i="1"/>
  <c r="N482" i="1"/>
  <c r="N474" i="1"/>
  <c r="L466" i="1"/>
  <c r="K458" i="1"/>
  <c r="K450" i="1"/>
  <c r="K442" i="1"/>
  <c r="J434" i="1"/>
  <c r="J426" i="1"/>
  <c r="J418" i="1"/>
  <c r="J410" i="1"/>
  <c r="J402" i="1"/>
  <c r="J394" i="1"/>
  <c r="I386" i="1"/>
  <c r="I378" i="1"/>
  <c r="I370" i="1"/>
  <c r="I362" i="1"/>
  <c r="BI49" i="25"/>
  <c r="AA49" i="25"/>
  <c r="BR48" i="25"/>
  <c r="AJ48" i="25"/>
  <c r="BX33" i="25"/>
  <c r="AO33" i="25"/>
  <c r="CC32" i="25"/>
  <c r="AT32" i="25"/>
  <c r="CH23" i="25"/>
  <c r="AZ23" i="25"/>
  <c r="N23" i="25"/>
  <c r="BM22" i="25"/>
  <c r="AG22" i="25"/>
  <c r="CL45" i="25"/>
  <c r="BH45" i="25"/>
  <c r="AB45" i="25"/>
  <c r="BT29" i="25"/>
  <c r="AP29" i="25"/>
  <c r="CJ19" i="25"/>
  <c r="BB19" i="25"/>
  <c r="X19" i="25"/>
  <c r="AM628" i="5"/>
  <c r="AM594" i="5"/>
  <c r="AM564" i="5"/>
  <c r="AM532" i="5"/>
  <c r="AM498" i="5"/>
  <c r="AM468" i="5"/>
  <c r="AM436" i="5"/>
  <c r="AM402" i="5"/>
  <c r="AM372" i="5"/>
  <c r="AM340" i="5"/>
  <c r="AM306" i="5"/>
  <c r="AM276" i="5"/>
  <c r="AM244" i="5"/>
  <c r="AM210" i="5"/>
  <c r="AM180" i="5"/>
  <c r="AM148" i="5"/>
  <c r="AM116" i="5"/>
  <c r="AM88" i="5"/>
  <c r="AM60" i="5"/>
  <c r="AM32" i="5"/>
  <c r="AJ489" i="4"/>
  <c r="AJ457" i="4"/>
  <c r="AJ429" i="4"/>
  <c r="AJ399" i="4"/>
  <c r="AJ371" i="4"/>
  <c r="AJ343" i="4"/>
  <c r="AJ313" i="4"/>
  <c r="AJ289" i="4"/>
  <c r="AJ265" i="4"/>
  <c r="AJ241" i="4"/>
  <c r="AJ215" i="4"/>
  <c r="AJ191" i="4"/>
  <c r="AJ167" i="4"/>
  <c r="AJ143" i="4"/>
  <c r="AJ119" i="4"/>
  <c r="AJ95" i="4"/>
  <c r="AJ71" i="4"/>
  <c r="AJ47" i="4"/>
  <c r="AJ23" i="4"/>
  <c r="AK658" i="3"/>
  <c r="AK634" i="3"/>
  <c r="AK610" i="3"/>
  <c r="AK586" i="3"/>
  <c r="AK562" i="3"/>
  <c r="AK535" i="3"/>
  <c r="AK507" i="3"/>
  <c r="AK478" i="3"/>
  <c r="AK454" i="3"/>
  <c r="AK430" i="3"/>
  <c r="AK406" i="3"/>
  <c r="AK382" i="3"/>
  <c r="AK358" i="3"/>
  <c r="AK334" i="3"/>
  <c r="AK310" i="3"/>
  <c r="AK286" i="3"/>
  <c r="AK262" i="3"/>
  <c r="AK238" i="3"/>
  <c r="AK214" i="3"/>
  <c r="AK190" i="3"/>
  <c r="AK166" i="3"/>
  <c r="AK141" i="3"/>
  <c r="AK117" i="3"/>
  <c r="AK93" i="3"/>
  <c r="AK69" i="3"/>
  <c r="AK45" i="3"/>
  <c r="AK20" i="3"/>
  <c r="I586" i="2"/>
  <c r="K328" i="2"/>
  <c r="L258" i="2"/>
  <c r="K179" i="2"/>
  <c r="I115" i="2"/>
  <c r="K96" i="2"/>
  <c r="J57" i="2"/>
  <c r="L579" i="1"/>
  <c r="L571" i="1"/>
  <c r="N562" i="1"/>
  <c r="N554" i="1"/>
  <c r="K546" i="1"/>
  <c r="J538" i="1"/>
  <c r="J530" i="1"/>
  <c r="J522" i="1"/>
  <c r="I514" i="1"/>
  <c r="I506" i="1"/>
  <c r="I498" i="1"/>
  <c r="I490" i="1"/>
  <c r="I482" i="1"/>
  <c r="I474" i="1"/>
  <c r="J466" i="1"/>
  <c r="L457" i="1"/>
  <c r="L449" i="1"/>
  <c r="L441" i="1"/>
  <c r="L433" i="1"/>
  <c r="L425" i="1"/>
  <c r="L417" i="1"/>
  <c r="L409" i="1"/>
  <c r="L401" i="1"/>
  <c r="L393" i="1"/>
  <c r="L385" i="1"/>
  <c r="L377" i="1"/>
  <c r="L369" i="1"/>
  <c r="L361" i="1"/>
  <c r="L353" i="1"/>
  <c r="L345" i="1"/>
  <c r="L337" i="1"/>
  <c r="BG49" i="25"/>
  <c r="W49" i="25"/>
  <c r="BP48" i="25"/>
  <c r="AF48" i="25"/>
  <c r="BV33" i="25"/>
  <c r="AK33" i="25"/>
  <c r="CA32" i="25"/>
  <c r="AP32" i="25"/>
  <c r="CF23" i="25"/>
  <c r="AV23" i="25"/>
  <c r="L23" i="25"/>
  <c r="BK22" i="25"/>
  <c r="AE22" i="25"/>
  <c r="CJ45" i="25"/>
  <c r="BF45" i="25"/>
  <c r="Z45" i="25"/>
  <c r="BR29" i="25"/>
  <c r="AN29" i="25"/>
  <c r="CH19" i="25"/>
  <c r="AZ19" i="25"/>
  <c r="V19" i="25"/>
  <c r="AM626" i="5"/>
  <c r="AM592" i="5"/>
  <c r="AM562" i="5"/>
  <c r="AM530" i="5"/>
  <c r="AM496" i="5"/>
  <c r="AM466" i="5"/>
  <c r="AM434" i="5"/>
  <c r="AM400" i="5"/>
  <c r="AM370" i="5"/>
  <c r="AM338" i="5"/>
  <c r="AM304" i="5"/>
  <c r="AM274" i="5"/>
  <c r="AM242" i="5"/>
  <c r="AM208" i="5"/>
  <c r="AM178" i="5"/>
  <c r="AM146" i="5"/>
  <c r="AM114" i="5"/>
  <c r="AM86" i="5"/>
  <c r="AM58" i="5"/>
  <c r="AM30" i="5"/>
  <c r="AJ487" i="4"/>
  <c r="AJ455" i="4"/>
  <c r="AJ426" i="4"/>
  <c r="AJ397" i="4"/>
  <c r="AJ369" i="4"/>
  <c r="AJ341" i="4"/>
  <c r="AJ311" i="4"/>
  <c r="AJ287" i="4"/>
  <c r="AJ263" i="4"/>
  <c r="AJ239" i="4"/>
  <c r="AJ213" i="4"/>
  <c r="AJ189" i="4"/>
  <c r="AJ165" i="4"/>
  <c r="AJ141" i="4"/>
  <c r="AJ117" i="4"/>
  <c r="AJ93" i="4"/>
  <c r="AJ69" i="4"/>
  <c r="AJ45" i="4"/>
  <c r="AJ21" i="4"/>
  <c r="AK656" i="3"/>
  <c r="AK632" i="3"/>
  <c r="AK608" i="3"/>
  <c r="AK584" i="3"/>
  <c r="AK560" i="3"/>
  <c r="AK533" i="3"/>
  <c r="AK505" i="3"/>
  <c r="AK476" i="3"/>
  <c r="AK452" i="3"/>
  <c r="AK428" i="3"/>
  <c r="AK404" i="3"/>
  <c r="AK380" i="3"/>
  <c r="AK356" i="3"/>
  <c r="AK332" i="3"/>
  <c r="AK308" i="3"/>
  <c r="AK284" i="3"/>
  <c r="AK260" i="3"/>
  <c r="AK236" i="3"/>
  <c r="AK212" i="3"/>
  <c r="AK188" i="3"/>
  <c r="AK164" i="3"/>
  <c r="AK139" i="3"/>
  <c r="AK115" i="3"/>
  <c r="AK91" i="3"/>
  <c r="AK67" i="3"/>
  <c r="AK43" i="3"/>
  <c r="AK18" i="3"/>
  <c r="J258" i="2"/>
  <c r="I179" i="2"/>
  <c r="I113" i="2"/>
  <c r="K95" i="2"/>
  <c r="K75" i="2"/>
  <c r="L56" i="2"/>
  <c r="N578" i="1"/>
  <c r="N570" i="1"/>
  <c r="I562" i="1"/>
  <c r="I554" i="1"/>
  <c r="L545" i="1"/>
  <c r="L537" i="1"/>
  <c r="L529" i="1"/>
  <c r="L521" i="1"/>
  <c r="L513" i="1"/>
  <c r="L505" i="1"/>
  <c r="L497" i="1"/>
  <c r="L489" i="1"/>
  <c r="BC49" i="25"/>
  <c r="U49" i="25"/>
  <c r="BL48" i="25"/>
  <c r="AD48" i="25"/>
  <c r="BR33" i="25"/>
  <c r="AI33" i="25"/>
  <c r="BW32" i="25"/>
  <c r="AN32" i="25"/>
  <c r="CB23" i="25"/>
  <c r="AT23" i="25"/>
  <c r="F23" i="25"/>
  <c r="BG22" i="25"/>
  <c r="Y22" i="25"/>
  <c r="CH45" i="25"/>
  <c r="BB45" i="25"/>
  <c r="T45" i="25"/>
  <c r="BP29" i="25"/>
  <c r="AJ29" i="25"/>
  <c r="CB19" i="25"/>
  <c r="AX19" i="25"/>
  <c r="R19" i="25"/>
  <c r="AM620" i="5"/>
  <c r="AM590" i="5"/>
  <c r="AM558" i="5"/>
  <c r="AM524" i="5"/>
  <c r="AM494" i="5"/>
  <c r="AM462" i="5"/>
  <c r="AM428" i="5"/>
  <c r="AM398" i="5"/>
  <c r="AM366" i="5"/>
  <c r="AM332" i="5"/>
  <c r="AM302" i="5"/>
  <c r="AM270" i="5"/>
  <c r="AM236" i="5"/>
  <c r="AM206" i="5"/>
  <c r="AM174" i="5"/>
  <c r="AM140" i="5"/>
  <c r="AM112" i="5"/>
  <c r="AM84" i="5"/>
  <c r="AM56" i="5"/>
  <c r="AM28" i="5"/>
  <c r="AJ481" i="4"/>
  <c r="AJ453" i="4"/>
  <c r="AJ423" i="4"/>
  <c r="AJ395" i="4"/>
  <c r="AJ367" i="4"/>
  <c r="AJ335" i="4"/>
  <c r="AJ309" i="4"/>
  <c r="AJ285" i="4"/>
  <c r="AJ261" i="4"/>
  <c r="AJ237" i="4"/>
  <c r="AJ211" i="4"/>
  <c r="AJ187" i="4"/>
  <c r="AJ163" i="4"/>
  <c r="AJ139" i="4"/>
  <c r="AJ115" i="4"/>
  <c r="AJ91" i="4"/>
  <c r="AJ67" i="4"/>
  <c r="AJ43" i="4"/>
  <c r="AJ19" i="4"/>
  <c r="AK654" i="3"/>
  <c r="AK630" i="3"/>
  <c r="AK606" i="3"/>
  <c r="AK582" i="3"/>
  <c r="AK558" i="3"/>
  <c r="AK531" i="3"/>
  <c r="AK503" i="3"/>
  <c r="AK474" i="3"/>
  <c r="AK450" i="3"/>
  <c r="AK426" i="3"/>
  <c r="AK402" i="3"/>
  <c r="AK378" i="3"/>
  <c r="AK354" i="3"/>
  <c r="AK330" i="3"/>
  <c r="AK306" i="3"/>
  <c r="AK282" i="3"/>
  <c r="AK258" i="3"/>
  <c r="AK234" i="3"/>
  <c r="AK210" i="3"/>
  <c r="AK186" i="3"/>
  <c r="AK162" i="3"/>
  <c r="AK137" i="3"/>
  <c r="AK113" i="3"/>
  <c r="AK89" i="3"/>
  <c r="AK65" i="3"/>
  <c r="AK41" i="3"/>
  <c r="AK16" i="3"/>
  <c r="L257" i="2"/>
  <c r="K134" i="2"/>
  <c r="I111" i="2"/>
  <c r="I95" i="2"/>
  <c r="I75" i="2"/>
  <c r="J56" i="2"/>
  <c r="I578" i="1"/>
  <c r="J570" i="1"/>
  <c r="L561" i="1"/>
  <c r="L553" i="1"/>
  <c r="N544" i="1"/>
  <c r="N536" i="1"/>
  <c r="N528" i="1"/>
  <c r="N520" i="1"/>
  <c r="N512" i="1"/>
  <c r="N504" i="1"/>
  <c r="N496" i="1"/>
  <c r="N488" i="1"/>
  <c r="N480" i="1"/>
  <c r="N472" i="1"/>
  <c r="K464" i="1"/>
  <c r="K456" i="1"/>
  <c r="K448" i="1"/>
  <c r="J440" i="1"/>
  <c r="J432" i="1"/>
  <c r="J424" i="1"/>
  <c r="J416" i="1"/>
  <c r="J408" i="1"/>
  <c r="J400" i="1"/>
  <c r="I392" i="1"/>
  <c r="I384" i="1"/>
  <c r="I376" i="1"/>
  <c r="I368" i="1"/>
  <c r="I360" i="1"/>
  <c r="I352" i="1"/>
  <c r="I344" i="1"/>
  <c r="I336" i="1"/>
  <c r="I328" i="1"/>
  <c r="I320" i="1"/>
  <c r="I312" i="1"/>
  <c r="I304" i="1"/>
  <c r="J296" i="1"/>
  <c r="L287" i="1"/>
  <c r="L279" i="1"/>
  <c r="L271" i="1"/>
  <c r="L263" i="1"/>
  <c r="L255" i="1"/>
  <c r="L247" i="1"/>
  <c r="L239" i="1"/>
  <c r="L231" i="1"/>
  <c r="L223" i="1"/>
  <c r="L215" i="1"/>
  <c r="J208" i="1"/>
  <c r="L199" i="1"/>
  <c r="L191" i="1"/>
  <c r="L183" i="1"/>
  <c r="CA49" i="25"/>
  <c r="AS49" i="25"/>
  <c r="CJ48" i="25"/>
  <c r="BB48" i="25"/>
  <c r="P48" i="25"/>
  <c r="BH33" i="25"/>
  <c r="U33" i="25"/>
  <c r="BM32" i="25"/>
  <c r="Z32" i="25"/>
  <c r="BR23" i="25"/>
  <c r="AF23" i="25"/>
  <c r="CC22" i="25"/>
  <c r="AU22" i="25"/>
  <c r="Q22" i="25"/>
  <c r="BX45" i="25"/>
  <c r="AP45" i="25"/>
  <c r="L45" i="25"/>
  <c r="BF29" i="25"/>
  <c r="X29" i="25"/>
  <c r="BT19" i="25"/>
  <c r="AN19" i="25"/>
  <c r="AM642" i="5"/>
  <c r="AM612" i="5"/>
  <c r="AM580" i="5"/>
  <c r="AM546" i="5"/>
  <c r="AM516" i="5"/>
  <c r="AM484" i="5"/>
  <c r="AM450" i="5"/>
  <c r="AM420" i="5"/>
  <c r="AM388" i="5"/>
  <c r="AM354" i="5"/>
  <c r="AM324" i="5"/>
  <c r="AM292" i="5"/>
  <c r="AM258" i="5"/>
  <c r="AM228" i="5"/>
  <c r="AM196" i="5"/>
  <c r="AM162" i="5"/>
  <c r="AM132" i="5"/>
  <c r="AM104" i="5"/>
  <c r="AM76" i="5"/>
  <c r="AM44" i="5"/>
  <c r="AM16" i="5"/>
  <c r="AJ473" i="4"/>
  <c r="AJ445" i="4"/>
  <c r="AJ415" i="4"/>
  <c r="AJ383" i="4"/>
  <c r="AJ355" i="4"/>
  <c r="AJ327" i="4"/>
  <c r="AJ301" i="4"/>
  <c r="AJ277" i="4"/>
  <c r="AJ253" i="4"/>
  <c r="AJ227" i="4"/>
  <c r="AJ203" i="4"/>
  <c r="AJ179" i="4"/>
  <c r="AJ155" i="4"/>
  <c r="AJ131" i="4"/>
  <c r="AJ107" i="4"/>
  <c r="AJ83" i="4"/>
  <c r="AJ59" i="4"/>
  <c r="AJ35" i="4"/>
  <c r="AJ11" i="4"/>
  <c r="AK646" i="3"/>
  <c r="AK622" i="3"/>
  <c r="AK598" i="3"/>
  <c r="AK574" i="3"/>
  <c r="AK550" i="3"/>
  <c r="AK520" i="3"/>
  <c r="AK494" i="3"/>
  <c r="AK466" i="3"/>
  <c r="AK442" i="3"/>
  <c r="AK418" i="3"/>
  <c r="AK394" i="3"/>
  <c r="AK370" i="3"/>
  <c r="AK346" i="3"/>
  <c r="AK322" i="3"/>
  <c r="AK298" i="3"/>
  <c r="AK274" i="3"/>
  <c r="AK250" i="3"/>
  <c r="AK226" i="3"/>
  <c r="AK202" i="3"/>
  <c r="AK178" i="3"/>
  <c r="AK153" i="3"/>
  <c r="AK129" i="3"/>
  <c r="AK105" i="3"/>
  <c r="AK81" i="3"/>
  <c r="AK57" i="3"/>
  <c r="AK32" i="3"/>
  <c r="I736" i="2"/>
  <c r="K292" i="2"/>
  <c r="L255" i="2"/>
  <c r="K148" i="2"/>
  <c r="J127" i="2"/>
  <c r="I103" i="2"/>
  <c r="J54" i="2"/>
  <c r="J584" i="1"/>
  <c r="L575" i="1"/>
  <c r="N566" i="1"/>
  <c r="N558" i="1"/>
  <c r="K550" i="1"/>
  <c r="K542" i="1"/>
  <c r="J534" i="1"/>
  <c r="J526" i="1"/>
  <c r="J518" i="1"/>
  <c r="I510" i="1"/>
  <c r="I502" i="1"/>
  <c r="I494" i="1"/>
  <c r="CM49" i="25"/>
  <c r="AI49" i="25"/>
  <c r="AZ48" i="25"/>
  <c r="BN33" i="25"/>
  <c r="K33" i="25"/>
  <c r="V32" i="25"/>
  <c r="AJ23" i="25"/>
  <c r="BE22" i="25"/>
  <c r="G22" i="25"/>
  <c r="AN45" i="25"/>
  <c r="BL29" i="25"/>
  <c r="P29" i="25"/>
  <c r="AF19" i="25"/>
  <c r="AM614" i="5"/>
  <c r="AM556" i="5"/>
  <c r="AM508" i="5"/>
  <c r="AM448" i="5"/>
  <c r="AM394" i="5"/>
  <c r="AM346" i="5"/>
  <c r="AM284" i="5"/>
  <c r="AM230" i="5"/>
  <c r="AM172" i="5"/>
  <c r="AM126" i="5"/>
  <c r="AM74" i="5"/>
  <c r="AM20" i="5"/>
  <c r="AJ465" i="4"/>
  <c r="AJ407" i="4"/>
  <c r="AJ357" i="4"/>
  <c r="AJ307" i="4"/>
  <c r="AJ271" i="4"/>
  <c r="AJ225" i="4"/>
  <c r="AJ183" i="4"/>
  <c r="AJ147" i="4"/>
  <c r="AJ103" i="4"/>
  <c r="AJ61" i="4"/>
  <c r="AJ17" i="4"/>
  <c r="AK640" i="3"/>
  <c r="AK596" i="3"/>
  <c r="AK554" i="3"/>
  <c r="AK512" i="3"/>
  <c r="AK462" i="3"/>
  <c r="AK420" i="3"/>
  <c r="AK376" i="3"/>
  <c r="AK340" i="3"/>
  <c r="AK296" i="3"/>
  <c r="AK254" i="3"/>
  <c r="AK218" i="3"/>
  <c r="AK174" i="3"/>
  <c r="AK131" i="3"/>
  <c r="AK87" i="3"/>
  <c r="AK51" i="3"/>
  <c r="I696" i="2"/>
  <c r="K294" i="2"/>
  <c r="J257" i="2"/>
  <c r="K149" i="2"/>
  <c r="I119" i="2"/>
  <c r="L54" i="2"/>
  <c r="L14" i="2"/>
  <c r="L573" i="1"/>
  <c r="K558" i="1"/>
  <c r="L543" i="1"/>
  <c r="L531" i="1"/>
  <c r="N516" i="1"/>
  <c r="N502" i="1"/>
  <c r="I488" i="1"/>
  <c r="I478" i="1"/>
  <c r="I468" i="1"/>
  <c r="L455" i="1"/>
  <c r="L445" i="1"/>
  <c r="L435" i="1"/>
  <c r="L423" i="1"/>
  <c r="L413" i="1"/>
  <c r="L403" i="1"/>
  <c r="L391" i="1"/>
  <c r="L381" i="1"/>
  <c r="L371" i="1"/>
  <c r="L359" i="1"/>
  <c r="I350" i="1"/>
  <c r="N340" i="1"/>
  <c r="L331" i="1"/>
  <c r="N322" i="1"/>
  <c r="I314" i="1"/>
  <c r="L305" i="1"/>
  <c r="L296" i="1"/>
  <c r="N286" i="1"/>
  <c r="J278" i="1"/>
  <c r="L269" i="1"/>
  <c r="N260" i="1"/>
  <c r="I252" i="1"/>
  <c r="L243" i="1"/>
  <c r="N234" i="1"/>
  <c r="I226" i="1"/>
  <c r="L217" i="1"/>
  <c r="J209" i="1"/>
  <c r="K200" i="1"/>
  <c r="N190" i="1"/>
  <c r="J182" i="1"/>
  <c r="I174" i="1"/>
  <c r="I166" i="1"/>
  <c r="I158" i="1"/>
  <c r="I150" i="1"/>
  <c r="J142" i="1"/>
  <c r="L133" i="1"/>
  <c r="L125" i="1"/>
  <c r="L118" i="1"/>
  <c r="I110" i="1"/>
  <c r="I102" i="1"/>
  <c r="I94" i="1"/>
  <c r="I86" i="1"/>
  <c r="I79" i="1"/>
  <c r="N70" i="1"/>
  <c r="N62" i="1"/>
  <c r="L54" i="1"/>
  <c r="L46" i="1"/>
  <c r="N39" i="1"/>
  <c r="N31" i="1"/>
  <c r="P23" i="1"/>
  <c r="P17" i="1"/>
  <c r="L11" i="1"/>
  <c r="BP49" i="25"/>
  <c r="AR49" i="25"/>
  <c r="T49" i="25"/>
  <c r="BY48" i="25"/>
  <c r="BA48" i="25"/>
  <c r="AC48" i="25"/>
  <c r="CE33" i="25"/>
  <c r="BG33" i="25"/>
  <c r="AH33" i="25"/>
  <c r="CJ32" i="25"/>
  <c r="BL32" i="25"/>
  <c r="AM32" i="25"/>
  <c r="O32" i="25"/>
  <c r="BQ23" i="25"/>
  <c r="AS23" i="25"/>
  <c r="U23" i="25"/>
  <c r="CB22" i="25"/>
  <c r="BD22" i="25"/>
  <c r="AF22" i="25"/>
  <c r="F22" i="25"/>
  <c r="BW45" i="25"/>
  <c r="AY45" i="25"/>
  <c r="AA45" i="25"/>
  <c r="CC29" i="25"/>
  <c r="BE29" i="25"/>
  <c r="AG29" i="25"/>
  <c r="CI19" i="25"/>
  <c r="BK19" i="25"/>
  <c r="AM19" i="25"/>
  <c r="O19" i="25"/>
  <c r="AM627" i="5"/>
  <c r="AM603" i="5"/>
  <c r="AM579" i="5"/>
  <c r="AM555" i="5"/>
  <c r="AM531" i="5"/>
  <c r="AM507" i="5"/>
  <c r="AM483" i="5"/>
  <c r="AM459" i="5"/>
  <c r="AM435" i="5"/>
  <c r="AM411" i="5"/>
  <c r="AM387" i="5"/>
  <c r="AM363" i="5"/>
  <c r="AM339" i="5"/>
  <c r="AM315" i="5"/>
  <c r="AM291" i="5"/>
  <c r="AM267" i="5"/>
  <c r="AM243" i="5"/>
  <c r="AM219" i="5"/>
  <c r="AM195" i="5"/>
  <c r="AM171" i="5"/>
  <c r="AM147" i="5"/>
  <c r="AM123" i="5"/>
  <c r="AM99" i="5"/>
  <c r="AM75" i="5"/>
  <c r="AM51" i="5"/>
  <c r="AM27" i="5"/>
  <c r="AJ488" i="4"/>
  <c r="AJ464" i="4"/>
  <c r="AJ440" i="4"/>
  <c r="AJ414" i="4"/>
  <c r="AJ390" i="4"/>
  <c r="AJ366" i="4"/>
  <c r="AJ342" i="4"/>
  <c r="AJ318" i="4"/>
  <c r="AJ294" i="4"/>
  <c r="AJ270" i="4"/>
  <c r="AJ246" i="4"/>
  <c r="AJ220" i="4"/>
  <c r="AJ196" i="4"/>
  <c r="AJ172" i="4"/>
  <c r="AJ148" i="4"/>
  <c r="AJ124" i="4"/>
  <c r="AJ100" i="4"/>
  <c r="AJ76" i="4"/>
  <c r="AJ52" i="4"/>
  <c r="AJ28" i="4"/>
  <c r="AK663" i="3"/>
  <c r="AK639" i="3"/>
  <c r="AK615" i="3"/>
  <c r="AK591" i="3"/>
  <c r="AK567" i="3"/>
  <c r="AK540" i="3"/>
  <c r="AK513" i="3"/>
  <c r="AK484" i="3"/>
  <c r="AK459" i="3"/>
  <c r="AK435" i="3"/>
  <c r="AK411" i="3"/>
  <c r="AK387" i="3"/>
  <c r="AK363" i="3"/>
  <c r="AK339" i="3"/>
  <c r="AK315" i="3"/>
  <c r="AK291" i="3"/>
  <c r="AK267" i="3"/>
  <c r="AK243" i="3"/>
  <c r="AK219" i="3"/>
  <c r="AK195" i="3"/>
  <c r="AK171" i="3"/>
  <c r="AK146" i="3"/>
  <c r="AK122" i="3"/>
  <c r="AK98" i="3"/>
  <c r="AK74" i="3"/>
  <c r="AK50" i="3"/>
  <c r="AK25" i="3"/>
  <c r="I254" i="2"/>
  <c r="I120" i="2"/>
  <c r="L99" i="2"/>
  <c r="I581" i="1"/>
  <c r="I573" i="1"/>
  <c r="L564" i="1"/>
  <c r="L556" i="1"/>
  <c r="N547" i="1"/>
  <c r="N539" i="1"/>
  <c r="N531" i="1"/>
  <c r="N523" i="1"/>
  <c r="N515" i="1"/>
  <c r="N507" i="1"/>
  <c r="N499" i="1"/>
  <c r="N491" i="1"/>
  <c r="N483" i="1"/>
  <c r="N475" i="1"/>
  <c r="N467" i="1"/>
  <c r="K459" i="1"/>
  <c r="K451" i="1"/>
  <c r="K443" i="1"/>
  <c r="J435" i="1"/>
  <c r="J427" i="1"/>
  <c r="J419" i="1"/>
  <c r="J411" i="1"/>
  <c r="J403" i="1"/>
  <c r="J395" i="1"/>
  <c r="I387" i="1"/>
  <c r="I379" i="1"/>
  <c r="I371" i="1"/>
  <c r="I363" i="1"/>
  <c r="I355" i="1"/>
  <c r="I347" i="1"/>
  <c r="I339" i="1"/>
  <c r="I331" i="1"/>
  <c r="I323" i="1"/>
  <c r="I315" i="1"/>
  <c r="I307" i="1"/>
  <c r="I299" i="1"/>
  <c r="L290" i="1"/>
  <c r="L282" i="1"/>
  <c r="L274" i="1"/>
  <c r="L266" i="1"/>
  <c r="L258" i="1"/>
  <c r="L250" i="1"/>
  <c r="L242" i="1"/>
  <c r="L234" i="1"/>
  <c r="L226" i="1"/>
  <c r="L218" i="1"/>
  <c r="K210" i="1"/>
  <c r="L202" i="1"/>
  <c r="L194" i="1"/>
  <c r="L186" i="1"/>
  <c r="L178" i="1"/>
  <c r="L170" i="1"/>
  <c r="L162" i="1"/>
  <c r="L154" i="1"/>
  <c r="L146" i="1"/>
  <c r="N137" i="1"/>
  <c r="N129" i="1"/>
  <c r="N121" i="1"/>
  <c r="L114" i="1"/>
  <c r="J106" i="1"/>
  <c r="L98" i="1"/>
  <c r="L90" i="1"/>
  <c r="K83" i="1"/>
  <c r="K75" i="1"/>
  <c r="J67" i="1"/>
  <c r="N58" i="1"/>
  <c r="N50" i="1"/>
  <c r="K44" i="1"/>
  <c r="I36" i="1"/>
  <c r="J28" i="1"/>
  <c r="I21" i="1"/>
  <c r="J15" i="1"/>
  <c r="CG49" i="25"/>
  <c r="AE49" i="25"/>
  <c r="AT48" i="25"/>
  <c r="BJ33" i="25"/>
  <c r="BU32" i="25"/>
  <c r="R32" i="25"/>
  <c r="AD23" i="25"/>
  <c r="BC22" i="25"/>
  <c r="E22" i="25"/>
  <c r="AL45" i="25"/>
  <c r="BH29" i="25"/>
  <c r="BZ19" i="25"/>
  <c r="AD19" i="25"/>
  <c r="AM610" i="5"/>
  <c r="AM554" i="5"/>
  <c r="AM506" i="5"/>
  <c r="AM446" i="5"/>
  <c r="AM390" i="5"/>
  <c r="AM330" i="5"/>
  <c r="AM282" i="5"/>
  <c r="AM226" i="5"/>
  <c r="AM170" i="5"/>
  <c r="AM124" i="5"/>
  <c r="AM68" i="5"/>
  <c r="AM18" i="5"/>
  <c r="AJ451" i="4"/>
  <c r="AJ405" i="4"/>
  <c r="AJ353" i="4"/>
  <c r="AJ305" i="4"/>
  <c r="AJ269" i="4"/>
  <c r="AJ223" i="4"/>
  <c r="AJ181" i="4"/>
  <c r="AJ137" i="4"/>
  <c r="AJ101" i="4"/>
  <c r="AJ57" i="4"/>
  <c r="AJ15" i="4"/>
  <c r="AK638" i="3"/>
  <c r="AK594" i="3"/>
  <c r="AK552" i="3"/>
  <c r="AK500" i="3"/>
  <c r="AK460" i="3"/>
  <c r="AK416" i="3"/>
  <c r="AK374" i="3"/>
  <c r="AK338" i="3"/>
  <c r="AK294" i="3"/>
  <c r="AK252" i="3"/>
  <c r="AK208" i="3"/>
  <c r="AK172" i="3"/>
  <c r="AK127" i="3"/>
  <c r="AK85" i="3"/>
  <c r="AK49" i="3"/>
  <c r="L368" i="2"/>
  <c r="L256" i="2"/>
  <c r="I149" i="2"/>
  <c r="I109" i="2"/>
  <c r="J14" i="2"/>
  <c r="N572" i="1"/>
  <c r="L557" i="1"/>
  <c r="N542" i="1"/>
  <c r="J528" i="1"/>
  <c r="J516" i="1"/>
  <c r="L501" i="1"/>
  <c r="L487" i="1"/>
  <c r="L477" i="1"/>
  <c r="L467" i="1"/>
  <c r="N454" i="1"/>
  <c r="N444" i="1"/>
  <c r="N434" i="1"/>
  <c r="N422" i="1"/>
  <c r="N412" i="1"/>
  <c r="N402" i="1"/>
  <c r="N390" i="1"/>
  <c r="N380" i="1"/>
  <c r="N370" i="1"/>
  <c r="N358" i="1"/>
  <c r="L349" i="1"/>
  <c r="I340" i="1"/>
  <c r="N330" i="1"/>
  <c r="I322" i="1"/>
  <c r="L313" i="1"/>
  <c r="N304" i="1"/>
  <c r="N294" i="1"/>
  <c r="K286" i="1"/>
  <c r="L277" i="1"/>
  <c r="N268" i="1"/>
  <c r="J260" i="1"/>
  <c r="L251" i="1"/>
  <c r="N242" i="1"/>
  <c r="I234" i="1"/>
  <c r="L225" i="1"/>
  <c r="N216" i="1"/>
  <c r="L208" i="1"/>
  <c r="N198" i="1"/>
  <c r="J190" i="1"/>
  <c r="L181" i="1"/>
  <c r="L173" i="1"/>
  <c r="L165" i="1"/>
  <c r="L157" i="1"/>
  <c r="L149" i="1"/>
  <c r="N140" i="1"/>
  <c r="N132" i="1"/>
  <c r="N124" i="1"/>
  <c r="J118" i="1"/>
  <c r="L109" i="1"/>
  <c r="L101" i="1"/>
  <c r="L93" i="1"/>
  <c r="L85" i="1"/>
  <c r="L78" i="1"/>
  <c r="J70" i="1"/>
  <c r="I62" i="1"/>
  <c r="N53" i="1"/>
  <c r="J46" i="1"/>
  <c r="J39" i="1"/>
  <c r="K31" i="1"/>
  <c r="L23" i="1"/>
  <c r="L17" i="1"/>
  <c r="CL49" i="25"/>
  <c r="BN49" i="25"/>
  <c r="AP49" i="25"/>
  <c r="R49" i="25"/>
  <c r="BW48" i="25"/>
  <c r="AY48" i="25"/>
  <c r="AA48" i="25"/>
  <c r="CC33" i="25"/>
  <c r="BE33" i="25"/>
  <c r="AF33" i="25"/>
  <c r="CH32" i="25"/>
  <c r="BJ32" i="25"/>
  <c r="AK32" i="25"/>
  <c r="M32" i="25"/>
  <c r="BO23" i="25"/>
  <c r="AQ23" i="25"/>
  <c r="S23" i="25"/>
  <c r="BZ22" i="25"/>
  <c r="BB22" i="25"/>
  <c r="AD22" i="25"/>
  <c r="D22" i="25"/>
  <c r="BU45" i="25"/>
  <c r="AW45" i="25"/>
  <c r="Y45" i="25"/>
  <c r="CA29" i="25"/>
  <c r="BC29" i="25"/>
  <c r="AE29" i="25"/>
  <c r="CG19" i="25"/>
  <c r="BI19" i="25"/>
  <c r="AK19" i="25"/>
  <c r="M19" i="25"/>
  <c r="AM625" i="5"/>
  <c r="AM601" i="5"/>
  <c r="AM577" i="5"/>
  <c r="AM553" i="5"/>
  <c r="AM529" i="5"/>
  <c r="AM505" i="5"/>
  <c r="AM481" i="5"/>
  <c r="AM457" i="5"/>
  <c r="AM433" i="5"/>
  <c r="AM409" i="5"/>
  <c r="AM385" i="5"/>
  <c r="AM361" i="5"/>
  <c r="AM337" i="5"/>
  <c r="AM313" i="5"/>
  <c r="AM289" i="5"/>
  <c r="AM265" i="5"/>
  <c r="AM241" i="5"/>
  <c r="AM217" i="5"/>
  <c r="AM193" i="5"/>
  <c r="AM169" i="5"/>
  <c r="AM145" i="5"/>
  <c r="AM121" i="5"/>
  <c r="AM97" i="5"/>
  <c r="AM73" i="5"/>
  <c r="AM49" i="5"/>
  <c r="AM25" i="5"/>
  <c r="AJ486" i="4"/>
  <c r="AJ462" i="4"/>
  <c r="AJ438" i="4"/>
  <c r="AJ412" i="4"/>
  <c r="AJ388" i="4"/>
  <c r="AJ364" i="4"/>
  <c r="AJ340" i="4"/>
  <c r="AJ316" i="4"/>
  <c r="AJ292" i="4"/>
  <c r="AJ268" i="4"/>
  <c r="AJ244" i="4"/>
  <c r="AJ218" i="4"/>
  <c r="AJ194" i="4"/>
  <c r="AJ170" i="4"/>
  <c r="AJ146" i="4"/>
  <c r="AJ122" i="4"/>
  <c r="AJ98" i="4"/>
  <c r="AJ74" i="4"/>
  <c r="AJ50" i="4"/>
  <c r="AJ26" i="4"/>
  <c r="AK661" i="3"/>
  <c r="AK637" i="3"/>
  <c r="AK613" i="3"/>
  <c r="AK589" i="3"/>
  <c r="AK565" i="3"/>
  <c r="AK538" i="3"/>
  <c r="AK511" i="3"/>
  <c r="AK481" i="3"/>
  <c r="AK457" i="3"/>
  <c r="AK433" i="3"/>
  <c r="AK409" i="3"/>
  <c r="AK385" i="3"/>
  <c r="AK361" i="3"/>
  <c r="AK337" i="3"/>
  <c r="AK313" i="3"/>
  <c r="AK289" i="3"/>
  <c r="AK265" i="3"/>
  <c r="AK241" i="3"/>
  <c r="AK217" i="3"/>
  <c r="AK193" i="3"/>
  <c r="AK169" i="3"/>
  <c r="AK144" i="3"/>
  <c r="AK120" i="3"/>
  <c r="AK96" i="3"/>
  <c r="AK72" i="3"/>
  <c r="AK48" i="3"/>
  <c r="AK23" i="3"/>
  <c r="L586" i="2"/>
  <c r="K331" i="2"/>
  <c r="K253" i="2"/>
  <c r="I118" i="2"/>
  <c r="J99" i="2"/>
  <c r="L580" i="1"/>
  <c r="L572" i="1"/>
  <c r="N563" i="1"/>
  <c r="N555" i="1"/>
  <c r="K547" i="1"/>
  <c r="K539" i="1"/>
  <c r="J531" i="1"/>
  <c r="J523" i="1"/>
  <c r="J515" i="1"/>
  <c r="I507" i="1"/>
  <c r="I499" i="1"/>
  <c r="I491" i="1"/>
  <c r="I483" i="1"/>
  <c r="I475" i="1"/>
  <c r="I467" i="1"/>
  <c r="L458" i="1"/>
  <c r="L450" i="1"/>
  <c r="L442" i="1"/>
  <c r="L434" i="1"/>
  <c r="L426" i="1"/>
  <c r="L418" i="1"/>
  <c r="L410" i="1"/>
  <c r="L402" i="1"/>
  <c r="L394" i="1"/>
  <c r="L386" i="1"/>
  <c r="L378" i="1"/>
  <c r="L370" i="1"/>
  <c r="L362" i="1"/>
  <c r="L354" i="1"/>
  <c r="L346" i="1"/>
  <c r="L338" i="1"/>
  <c r="L330" i="1"/>
  <c r="L322" i="1"/>
  <c r="L314" i="1"/>
  <c r="L306" i="1"/>
  <c r="L298" i="1"/>
  <c r="N289" i="1"/>
  <c r="N281" i="1"/>
  <c r="N273" i="1"/>
  <c r="N265" i="1"/>
  <c r="N257" i="1"/>
  <c r="N249" i="1"/>
  <c r="N241" i="1"/>
  <c r="N233" i="1"/>
  <c r="N225" i="1"/>
  <c r="N217" i="1"/>
  <c r="I210" i="1"/>
  <c r="N201" i="1"/>
  <c r="N193" i="1"/>
  <c r="N185" i="1"/>
  <c r="N177" i="1"/>
  <c r="N169" i="1"/>
  <c r="N161" i="1"/>
  <c r="N153" i="1"/>
  <c r="J146" i="1"/>
  <c r="K137" i="1"/>
  <c r="J129" i="1"/>
  <c r="I121" i="1"/>
  <c r="N113" i="1"/>
  <c r="N105" i="1"/>
  <c r="N97" i="1"/>
  <c r="N89" i="1"/>
  <c r="I83" i="1"/>
  <c r="L74" i="1"/>
  <c r="L66" i="1"/>
  <c r="K58" i="1"/>
  <c r="I50" i="1"/>
  <c r="I44" i="1"/>
  <c r="L35" i="1"/>
  <c r="K27" i="1"/>
  <c r="N20" i="1"/>
  <c r="N14" i="1"/>
  <c r="CE49" i="25"/>
  <c r="S49" i="25"/>
  <c r="AR48" i="25"/>
  <c r="BF33" i="25"/>
  <c r="BS32" i="25"/>
  <c r="P32" i="25"/>
  <c r="AB23" i="25"/>
  <c r="AW22" i="25"/>
  <c r="CF45" i="25"/>
  <c r="AJ45" i="25"/>
  <c r="BD29" i="25"/>
  <c r="BX19" i="25"/>
  <c r="AB19" i="25"/>
  <c r="AM606" i="5"/>
  <c r="AM548" i="5"/>
  <c r="AM492" i="5"/>
  <c r="AM444" i="5"/>
  <c r="AM386" i="5"/>
  <c r="AM328" i="5"/>
  <c r="AM280" i="5"/>
  <c r="AM222" i="5"/>
  <c r="AM164" i="5"/>
  <c r="AM110" i="5"/>
  <c r="AM66" i="5"/>
  <c r="AM14" i="5"/>
  <c r="AJ449" i="4"/>
  <c r="AJ403" i="4"/>
  <c r="AJ351" i="4"/>
  <c r="AJ303" i="4"/>
  <c r="AJ259" i="4"/>
  <c r="AJ221" i="4"/>
  <c r="AJ177" i="4"/>
  <c r="AJ135" i="4"/>
  <c r="AJ99" i="4"/>
  <c r="AJ55" i="4"/>
  <c r="AJ13" i="4"/>
  <c r="AK628" i="3"/>
  <c r="AK592" i="3"/>
  <c r="AK545" i="3"/>
  <c r="AK498" i="3"/>
  <c r="AK458" i="3"/>
  <c r="AK414" i="3"/>
  <c r="AK372" i="3"/>
  <c r="AK328" i="3"/>
  <c r="AK292" i="3"/>
  <c r="AK248" i="3"/>
  <c r="AK206" i="3"/>
  <c r="AK170" i="3"/>
  <c r="AK125" i="3"/>
  <c r="AK83" i="3"/>
  <c r="AK39" i="3"/>
  <c r="J368" i="2"/>
  <c r="J256" i="2"/>
  <c r="I148" i="2"/>
  <c r="I107" i="2"/>
  <c r="L584" i="1"/>
  <c r="L569" i="1"/>
  <c r="N556" i="1"/>
  <c r="L541" i="1"/>
  <c r="L527" i="1"/>
  <c r="L515" i="1"/>
  <c r="N500" i="1"/>
  <c r="N486" i="1"/>
  <c r="N476" i="1"/>
  <c r="N464" i="1"/>
  <c r="K454" i="1"/>
  <c r="K444" i="1"/>
  <c r="N432" i="1"/>
  <c r="J422" i="1"/>
  <c r="J412" i="1"/>
  <c r="N400" i="1"/>
  <c r="I390" i="1"/>
  <c r="I380" i="1"/>
  <c r="N368" i="1"/>
  <c r="I358" i="1"/>
  <c r="N348" i="1"/>
  <c r="L339" i="1"/>
  <c r="I330" i="1"/>
  <c r="L321" i="1"/>
  <c r="N312" i="1"/>
  <c r="L303" i="1"/>
  <c r="K294" i="1"/>
  <c r="L285" i="1"/>
  <c r="N276" i="1"/>
  <c r="J268" i="1"/>
  <c r="L259" i="1"/>
  <c r="N250" i="1"/>
  <c r="I242" i="1"/>
  <c r="L233" i="1"/>
  <c r="N224" i="1"/>
  <c r="I216" i="1"/>
  <c r="L207" i="1"/>
  <c r="K198" i="1"/>
  <c r="L189" i="1"/>
  <c r="N180" i="1"/>
  <c r="N172" i="1"/>
  <c r="N164" i="1"/>
  <c r="N156" i="1"/>
  <c r="N148" i="1"/>
  <c r="K140" i="1"/>
  <c r="J132" i="1"/>
  <c r="I124" i="1"/>
  <c r="N116" i="1"/>
  <c r="N108" i="1"/>
  <c r="N100" i="1"/>
  <c r="N92" i="1"/>
  <c r="N84" i="1"/>
  <c r="J78" i="1"/>
  <c r="L69" i="1"/>
  <c r="L61" i="1"/>
  <c r="J53" i="1"/>
  <c r="N45" i="1"/>
  <c r="L38" i="1"/>
  <c r="L30" i="1"/>
  <c r="P22" i="1"/>
  <c r="P16" i="1"/>
  <c r="CJ49" i="25"/>
  <c r="BL49" i="25"/>
  <c r="AN49" i="25"/>
  <c r="P49" i="25"/>
  <c r="BU48" i="25"/>
  <c r="AW48" i="25"/>
  <c r="Y48" i="25"/>
  <c r="CA33" i="25"/>
  <c r="BC33" i="25"/>
  <c r="AD33" i="25"/>
  <c r="CF32" i="25"/>
  <c r="BH32" i="25"/>
  <c r="AI32" i="25"/>
  <c r="K32" i="25"/>
  <c r="BM23" i="25"/>
  <c r="AO23" i="25"/>
  <c r="Q23" i="25"/>
  <c r="BX22" i="25"/>
  <c r="AZ22" i="25"/>
  <c r="AB22" i="25"/>
  <c r="D16" i="25"/>
  <c r="BS45" i="25"/>
  <c r="AU45" i="25"/>
  <c r="W45" i="25"/>
  <c r="BY29" i="25"/>
  <c r="BA29" i="25"/>
  <c r="AC29" i="25"/>
  <c r="CE19" i="25"/>
  <c r="BG19" i="25"/>
  <c r="AI19" i="25"/>
  <c r="K19" i="25"/>
  <c r="AM623" i="5"/>
  <c r="AM599" i="5"/>
  <c r="AM575" i="5"/>
  <c r="AM551" i="5"/>
  <c r="AM527" i="5"/>
  <c r="AM503" i="5"/>
  <c r="AM479" i="5"/>
  <c r="AM455" i="5"/>
  <c r="AM431" i="5"/>
  <c r="AM407" i="5"/>
  <c r="AM383" i="5"/>
  <c r="AM359" i="5"/>
  <c r="AM335" i="5"/>
  <c r="AM311" i="5"/>
  <c r="AM287" i="5"/>
  <c r="AM263" i="5"/>
  <c r="AM239" i="5"/>
  <c r="AM215" i="5"/>
  <c r="AM191" i="5"/>
  <c r="AM167" i="5"/>
  <c r="AM143" i="5"/>
  <c r="AM119" i="5"/>
  <c r="AM95" i="5"/>
  <c r="AM71" i="5"/>
  <c r="AM47" i="5"/>
  <c r="AM23" i="5"/>
  <c r="AJ484" i="4"/>
  <c r="AJ460" i="4"/>
  <c r="AJ436" i="4"/>
  <c r="AJ410" i="4"/>
  <c r="AJ386" i="4"/>
  <c r="AJ362" i="4"/>
  <c r="AJ338" i="4"/>
  <c r="AJ314" i="4"/>
  <c r="AJ290" i="4"/>
  <c r="AJ266" i="4"/>
  <c r="AJ242" i="4"/>
  <c r="AJ216" i="4"/>
  <c r="AJ192" i="4"/>
  <c r="AJ168" i="4"/>
  <c r="AJ144" i="4"/>
  <c r="AJ120" i="4"/>
  <c r="AJ96" i="4"/>
  <c r="AJ72" i="4"/>
  <c r="AJ48" i="4"/>
  <c r="AJ24" i="4"/>
  <c r="AK659" i="3"/>
  <c r="AK635" i="3"/>
  <c r="AK611" i="3"/>
  <c r="AK587" i="3"/>
  <c r="AK563" i="3"/>
  <c r="AK536" i="3"/>
  <c r="AK509" i="3"/>
  <c r="AK479" i="3"/>
  <c r="AK455" i="3"/>
  <c r="AK431" i="3"/>
  <c r="AK407" i="3"/>
  <c r="AK383" i="3"/>
  <c r="AK359" i="3"/>
  <c r="AK335" i="3"/>
  <c r="AK311" i="3"/>
  <c r="AK287" i="3"/>
  <c r="AK263" i="3"/>
  <c r="AK239" i="3"/>
  <c r="AK215" i="3"/>
  <c r="AK191" i="3"/>
  <c r="AK167" i="3"/>
  <c r="AK142" i="3"/>
  <c r="AK118" i="3"/>
  <c r="AK94" i="3"/>
  <c r="AK70" i="3"/>
  <c r="AK46" i="3"/>
  <c r="AK21" i="3"/>
  <c r="J586" i="2"/>
  <c r="K329" i="2"/>
  <c r="I253" i="2"/>
  <c r="L179" i="2"/>
  <c r="I116" i="2"/>
  <c r="K97" i="2"/>
  <c r="K57" i="2"/>
  <c r="N579" i="1"/>
  <c r="N571" i="1"/>
  <c r="J563" i="1"/>
  <c r="J555" i="1"/>
  <c r="L546" i="1"/>
  <c r="L538" i="1"/>
  <c r="L530" i="1"/>
  <c r="L522" i="1"/>
  <c r="L514" i="1"/>
  <c r="L506" i="1"/>
  <c r="L498" i="1"/>
  <c r="L490" i="1"/>
  <c r="L482" i="1"/>
  <c r="L474" i="1"/>
  <c r="K466" i="1"/>
  <c r="N457" i="1"/>
  <c r="N449" i="1"/>
  <c r="N441" i="1"/>
  <c r="N433" i="1"/>
  <c r="N425" i="1"/>
  <c r="N417" i="1"/>
  <c r="N409" i="1"/>
  <c r="N401" i="1"/>
  <c r="N393" i="1"/>
  <c r="N385" i="1"/>
  <c r="N377" i="1"/>
  <c r="N369" i="1"/>
  <c r="N361" i="1"/>
  <c r="N353" i="1"/>
  <c r="N345" i="1"/>
  <c r="N337" i="1"/>
  <c r="N329" i="1"/>
  <c r="N321" i="1"/>
  <c r="N313" i="1"/>
  <c r="N305" i="1"/>
  <c r="N297" i="1"/>
  <c r="K289" i="1"/>
  <c r="J281" i="1"/>
  <c r="J273" i="1"/>
  <c r="J265" i="1"/>
  <c r="I257" i="1"/>
  <c r="I249" i="1"/>
  <c r="I241" i="1"/>
  <c r="I233" i="1"/>
  <c r="I225" i="1"/>
  <c r="I217" i="1"/>
  <c r="K209" i="1"/>
  <c r="K201" i="1"/>
  <c r="J193" i="1"/>
  <c r="J185" i="1"/>
  <c r="I177" i="1"/>
  <c r="I169" i="1"/>
  <c r="I161" i="1"/>
  <c r="I153" i="1"/>
  <c r="N144" i="1"/>
  <c r="L136" i="1"/>
  <c r="L128" i="1"/>
  <c r="L120" i="1"/>
  <c r="J113" i="1"/>
  <c r="J105" i="1"/>
  <c r="I97" i="1"/>
  <c r="I89" i="1"/>
  <c r="L81" i="1"/>
  <c r="N73" i="1"/>
  <c r="N65" i="1"/>
  <c r="L57" i="1"/>
  <c r="L49" i="1"/>
  <c r="K43" i="1"/>
  <c r="N34" i="1"/>
  <c r="I27" i="1"/>
  <c r="I20" i="1"/>
  <c r="J14" i="1"/>
  <c r="BY49" i="25"/>
  <c r="M49" i="25"/>
  <c r="AN48" i="25"/>
  <c r="AY33" i="25"/>
  <c r="BO32" i="25"/>
  <c r="BZ23" i="25"/>
  <c r="X23" i="25"/>
  <c r="AS22" i="25"/>
  <c r="CD45" i="25"/>
  <c r="AH45" i="25"/>
  <c r="AX29" i="25"/>
  <c r="BV19" i="25"/>
  <c r="P19" i="25"/>
  <c r="AM604" i="5"/>
  <c r="AM544" i="5"/>
  <c r="AM490" i="5"/>
  <c r="AM442" i="5"/>
  <c r="AM380" i="5"/>
  <c r="AM326" i="5"/>
  <c r="AM268" i="5"/>
  <c r="AM220" i="5"/>
  <c r="AM160" i="5"/>
  <c r="AM108" i="5"/>
  <c r="AM64" i="5"/>
  <c r="AJ497" i="4"/>
  <c r="AJ447" i="4"/>
  <c r="AJ393" i="4"/>
  <c r="AJ349" i="4"/>
  <c r="AJ299" i="4"/>
  <c r="AJ257" i="4"/>
  <c r="AJ219" i="4"/>
  <c r="AJ175" i="4"/>
  <c r="AJ133" i="4"/>
  <c r="AJ89" i="4"/>
  <c r="AJ53" i="4"/>
  <c r="AK668" i="3"/>
  <c r="AK626" i="3"/>
  <c r="AK590" i="3"/>
  <c r="AK543" i="3"/>
  <c r="AK496" i="3"/>
  <c r="AK448" i="3"/>
  <c r="AK412" i="3"/>
  <c r="AK368" i="3"/>
  <c r="AK326" i="3"/>
  <c r="AK290" i="3"/>
  <c r="AK246" i="3"/>
  <c r="AK204" i="3"/>
  <c r="AK160" i="3"/>
  <c r="AK123" i="3"/>
  <c r="AK79" i="3"/>
  <c r="AK36" i="3"/>
  <c r="J255" i="2"/>
  <c r="I105" i="2"/>
  <c r="N582" i="1"/>
  <c r="L568" i="1"/>
  <c r="J556" i="1"/>
  <c r="N540" i="1"/>
  <c r="N526" i="1"/>
  <c r="I512" i="1"/>
  <c r="I500" i="1"/>
  <c r="I486" i="1"/>
  <c r="I476" i="1"/>
  <c r="L463" i="1"/>
  <c r="L453" i="1"/>
  <c r="L443" i="1"/>
  <c r="L431" i="1"/>
  <c r="L421" i="1"/>
  <c r="L411" i="1"/>
  <c r="L399" i="1"/>
  <c r="L389" i="1"/>
  <c r="L379" i="1"/>
  <c r="L367" i="1"/>
  <c r="L357" i="1"/>
  <c r="I348" i="1"/>
  <c r="N338" i="1"/>
  <c r="L329" i="1"/>
  <c r="N320" i="1"/>
  <c r="L311" i="1"/>
  <c r="N302" i="1"/>
  <c r="L293" i="1"/>
  <c r="N284" i="1"/>
  <c r="J276" i="1"/>
  <c r="L267" i="1"/>
  <c r="N258" i="1"/>
  <c r="I250" i="1"/>
  <c r="L241" i="1"/>
  <c r="N232" i="1"/>
  <c r="I224" i="1"/>
  <c r="N214" i="1"/>
  <c r="J207" i="1"/>
  <c r="L197" i="1"/>
  <c r="N188" i="1"/>
  <c r="J180" i="1"/>
  <c r="I172" i="1"/>
  <c r="I164" i="1"/>
  <c r="I156" i="1"/>
  <c r="I148" i="1"/>
  <c r="L139" i="1"/>
  <c r="L131" i="1"/>
  <c r="L123" i="1"/>
  <c r="J116" i="1"/>
  <c r="K108" i="1"/>
  <c r="J100" i="1"/>
  <c r="I92" i="1"/>
  <c r="K84" i="1"/>
  <c r="N76" i="1"/>
  <c r="N68" i="1"/>
  <c r="N60" i="1"/>
  <c r="L52" i="1"/>
  <c r="K45" i="1"/>
  <c r="N37" i="1"/>
  <c r="N29" i="1"/>
  <c r="L22" i="1"/>
  <c r="L16" i="1"/>
  <c r="CH49" i="25"/>
  <c r="BJ49" i="25"/>
  <c r="AL49" i="25"/>
  <c r="N49" i="25"/>
  <c r="BS48" i="25"/>
  <c r="AU48" i="25"/>
  <c r="W48" i="25"/>
  <c r="BY33" i="25"/>
  <c r="AZ33" i="25"/>
  <c r="AB33" i="25"/>
  <c r="CD32" i="25"/>
  <c r="BF32" i="25"/>
  <c r="AG32" i="25"/>
  <c r="CI23" i="25"/>
  <c r="BK23" i="25"/>
  <c r="AM23" i="25"/>
  <c r="O23" i="25"/>
  <c r="BV22" i="25"/>
  <c r="AX22" i="25"/>
  <c r="Z22" i="25"/>
  <c r="E12" i="25"/>
  <c r="BQ45" i="25"/>
  <c r="AS45" i="25"/>
  <c r="U45" i="25"/>
  <c r="BW29" i="25"/>
  <c r="AY29" i="25"/>
  <c r="AA29" i="25"/>
  <c r="CC19" i="25"/>
  <c r="BE19" i="25"/>
  <c r="AG19" i="25"/>
  <c r="AM645" i="5"/>
  <c r="AM621" i="5"/>
  <c r="AM597" i="5"/>
  <c r="AM573" i="5"/>
  <c r="AM549" i="5"/>
  <c r="AM525" i="5"/>
  <c r="AM501" i="5"/>
  <c r="AM477" i="5"/>
  <c r="AM453" i="5"/>
  <c r="AM429" i="5"/>
  <c r="AM405" i="5"/>
  <c r="AM381" i="5"/>
  <c r="AM357" i="5"/>
  <c r="AM333" i="5"/>
  <c r="AM309" i="5"/>
  <c r="AM285" i="5"/>
  <c r="AM261" i="5"/>
  <c r="AM237" i="5"/>
  <c r="AM213" i="5"/>
  <c r="AM189" i="5"/>
  <c r="AM165" i="5"/>
  <c r="AM141" i="5"/>
  <c r="AM117" i="5"/>
  <c r="AM93" i="5"/>
  <c r="AM69" i="5"/>
  <c r="AM45" i="5"/>
  <c r="AM21" i="5"/>
  <c r="AJ482" i="4"/>
  <c r="AJ458" i="4"/>
  <c r="AJ434" i="4"/>
  <c r="AJ408" i="4"/>
  <c r="AJ384" i="4"/>
  <c r="AJ360" i="4"/>
  <c r="AJ336" i="4"/>
  <c r="AJ312" i="4"/>
  <c r="AJ288" i="4"/>
  <c r="AJ264" i="4"/>
  <c r="AJ240" i="4"/>
  <c r="AJ214" i="4"/>
  <c r="AJ190" i="4"/>
  <c r="AJ166" i="4"/>
  <c r="AJ142" i="4"/>
  <c r="AJ118" i="4"/>
  <c r="AJ94" i="4"/>
  <c r="AJ70" i="4"/>
  <c r="AJ46" i="4"/>
  <c r="AJ22" i="4"/>
  <c r="AK657" i="3"/>
  <c r="AK633" i="3"/>
  <c r="AK609" i="3"/>
  <c r="AK585" i="3"/>
  <c r="AK561" i="3"/>
  <c r="AK534" i="3"/>
  <c r="AK506" i="3"/>
  <c r="AK477" i="3"/>
  <c r="AK453" i="3"/>
  <c r="AK429" i="3"/>
  <c r="AK405" i="3"/>
  <c r="AK381" i="3"/>
  <c r="AK357" i="3"/>
  <c r="AK333" i="3"/>
  <c r="AK309" i="3"/>
  <c r="AK285" i="3"/>
  <c r="AK261" i="3"/>
  <c r="AK237" i="3"/>
  <c r="AK213" i="3"/>
  <c r="AK189" i="3"/>
  <c r="AK165" i="3"/>
  <c r="AK140" i="3"/>
  <c r="AK116" i="3"/>
  <c r="AK92" i="3"/>
  <c r="AK68" i="3"/>
  <c r="AK44" i="3"/>
  <c r="AK19" i="3"/>
  <c r="K327" i="2"/>
  <c r="K258" i="2"/>
  <c r="J179" i="2"/>
  <c r="I114" i="2"/>
  <c r="L95" i="2"/>
  <c r="L75" i="2"/>
  <c r="I57" i="2"/>
  <c r="J579" i="1"/>
  <c r="I571" i="1"/>
  <c r="L562" i="1"/>
  <c r="L554" i="1"/>
  <c r="N545" i="1"/>
  <c r="N537" i="1"/>
  <c r="N529" i="1"/>
  <c r="N521" i="1"/>
  <c r="N513" i="1"/>
  <c r="N505" i="1"/>
  <c r="N497" i="1"/>
  <c r="N489" i="1"/>
  <c r="N481" i="1"/>
  <c r="N473" i="1"/>
  <c r="I466" i="1"/>
  <c r="K457" i="1"/>
  <c r="K449" i="1"/>
  <c r="K441" i="1"/>
  <c r="J433" i="1"/>
  <c r="J425" i="1"/>
  <c r="J417" i="1"/>
  <c r="J409" i="1"/>
  <c r="J401" i="1"/>
  <c r="J393" i="1"/>
  <c r="I385" i="1"/>
  <c r="I377" i="1"/>
  <c r="I369" i="1"/>
  <c r="I361" i="1"/>
  <c r="I353" i="1"/>
  <c r="I345" i="1"/>
  <c r="I337" i="1"/>
  <c r="I329" i="1"/>
  <c r="I321" i="1"/>
  <c r="I313" i="1"/>
  <c r="I305" i="1"/>
  <c r="I297" i="1"/>
  <c r="L288" i="1"/>
  <c r="L280" i="1"/>
  <c r="L272" i="1"/>
  <c r="L264" i="1"/>
  <c r="L256" i="1"/>
  <c r="L248" i="1"/>
  <c r="L240" i="1"/>
  <c r="L232" i="1"/>
  <c r="L224" i="1"/>
  <c r="L216" i="1"/>
  <c r="I209" i="1"/>
  <c r="L200" i="1"/>
  <c r="L192" i="1"/>
  <c r="L184" i="1"/>
  <c r="L176" i="1"/>
  <c r="L168" i="1"/>
  <c r="L160" i="1"/>
  <c r="L152" i="1"/>
  <c r="I144" i="1"/>
  <c r="N135" i="1"/>
  <c r="N127" i="1"/>
  <c r="J120" i="1"/>
  <c r="L112" i="1"/>
  <c r="L104" i="1"/>
  <c r="L96" i="1"/>
  <c r="L88" i="1"/>
  <c r="N80" i="1"/>
  <c r="K73" i="1"/>
  <c r="J65" i="1"/>
  <c r="N56" i="1"/>
  <c r="N48" i="1"/>
  <c r="I43" i="1"/>
  <c r="K34" i="1"/>
  <c r="N25" i="1"/>
  <c r="N19" i="1"/>
  <c r="N13" i="1"/>
  <c r="BA49" i="25"/>
  <c r="CB48" i="25"/>
  <c r="N48" i="25"/>
  <c r="AA33" i="25"/>
  <c r="AX32" i="25"/>
  <c r="BJ23" i="25"/>
  <c r="CE22" i="25"/>
  <c r="W22" i="25"/>
  <c r="BN45" i="25"/>
  <c r="CJ29" i="25"/>
  <c r="AF29" i="25"/>
  <c r="BJ19" i="25"/>
  <c r="AM638" i="5"/>
  <c r="AM582" i="5"/>
  <c r="AM522" i="5"/>
  <c r="AM474" i="5"/>
  <c r="AM418" i="5"/>
  <c r="AM362" i="5"/>
  <c r="AM314" i="5"/>
  <c r="AM254" i="5"/>
  <c r="AM198" i="5"/>
  <c r="AM138" i="5"/>
  <c r="AM98" i="5"/>
  <c r="AM42" i="5"/>
  <c r="AJ477" i="4"/>
  <c r="AJ433" i="4"/>
  <c r="AJ379" i="4"/>
  <c r="AJ329" i="4"/>
  <c r="AJ283" i="4"/>
  <c r="AJ247" i="4"/>
  <c r="AJ201" i="4"/>
  <c r="AJ159" i="4"/>
  <c r="AJ123" i="4"/>
  <c r="AJ79" i="4"/>
  <c r="AJ37" i="4"/>
  <c r="AK652" i="3"/>
  <c r="AK616" i="3"/>
  <c r="AK572" i="3"/>
  <c r="AK527" i="3"/>
  <c r="AK483" i="3"/>
  <c r="AK438" i="3"/>
  <c r="AK396" i="3"/>
  <c r="AK352" i="3"/>
  <c r="AK316" i="3"/>
  <c r="AK272" i="3"/>
  <c r="AK230" i="3"/>
  <c r="AK194" i="3"/>
  <c r="AK149" i="3"/>
  <c r="AK107" i="3"/>
  <c r="AK63" i="3"/>
  <c r="AK26" i="3"/>
  <c r="L474" i="2"/>
  <c r="I131" i="2"/>
  <c r="K99" i="2"/>
  <c r="J34" i="2"/>
  <c r="L577" i="1"/>
  <c r="N564" i="1"/>
  <c r="L549" i="1"/>
  <c r="L535" i="1"/>
  <c r="L523" i="1"/>
  <c r="N508" i="1"/>
  <c r="N494" i="1"/>
  <c r="L483" i="1"/>
  <c r="L471" i="1"/>
  <c r="N460" i="1"/>
  <c r="N450" i="1"/>
  <c r="N438" i="1"/>
  <c r="N428" i="1"/>
  <c r="N418" i="1"/>
  <c r="N406" i="1"/>
  <c r="N396" i="1"/>
  <c r="N386" i="1"/>
  <c r="N374" i="1"/>
  <c r="N364" i="1"/>
  <c r="N354" i="1"/>
  <c r="N344" i="1"/>
  <c r="N334" i="1"/>
  <c r="I326" i="1"/>
  <c r="L317" i="1"/>
  <c r="N308" i="1"/>
  <c r="I300" i="1"/>
  <c r="N290" i="1"/>
  <c r="J282" i="1"/>
  <c r="L273" i="1"/>
  <c r="N264" i="1"/>
  <c r="I256" i="1"/>
  <c r="N246" i="1"/>
  <c r="I238" i="1"/>
  <c r="L229" i="1"/>
  <c r="N220" i="1"/>
  <c r="I212" i="1"/>
  <c r="J204" i="1"/>
  <c r="N194" i="1"/>
  <c r="J186" i="1"/>
  <c r="L177" i="1"/>
  <c r="L169" i="1"/>
  <c r="L161" i="1"/>
  <c r="L153" i="1"/>
  <c r="I146" i="1"/>
  <c r="N136" i="1"/>
  <c r="N128" i="1"/>
  <c r="N120" i="1"/>
  <c r="L113" i="1"/>
  <c r="L105" i="1"/>
  <c r="L97" i="1"/>
  <c r="L89" i="1"/>
  <c r="N81" i="1"/>
  <c r="K74" i="1"/>
  <c r="J66" i="1"/>
  <c r="N57" i="1"/>
  <c r="N49" i="1"/>
  <c r="L43" i="1"/>
  <c r="I35" i="1"/>
  <c r="J27" i="1"/>
  <c r="L20" i="1"/>
  <c r="L14" i="1"/>
  <c r="BZ49" i="25"/>
  <c r="BB49" i="25"/>
  <c r="AD49" i="25"/>
  <c r="CI48" i="25"/>
  <c r="BK48" i="25"/>
  <c r="AM48" i="25"/>
  <c r="O48" i="25"/>
  <c r="BQ33" i="25"/>
  <c r="AR33" i="25"/>
  <c r="T33" i="25"/>
  <c r="BV32" i="25"/>
  <c r="AW32" i="25"/>
  <c r="Y32" i="25"/>
  <c r="CA23" i="25"/>
  <c r="BC23" i="25"/>
  <c r="AE23" i="25"/>
  <c r="E23" i="25"/>
  <c r="BN22" i="25"/>
  <c r="AP22" i="25"/>
  <c r="R22" i="25"/>
  <c r="CG45" i="25"/>
  <c r="BI45" i="25"/>
  <c r="AK45" i="25"/>
  <c r="M45" i="25"/>
  <c r="BO29" i="25"/>
  <c r="AQ29" i="25"/>
  <c r="S29" i="25"/>
  <c r="BU19" i="25"/>
  <c r="AW19" i="25"/>
  <c r="Y19" i="25"/>
  <c r="AM637" i="5"/>
  <c r="AM613" i="5"/>
  <c r="AM589" i="5"/>
  <c r="AM565" i="5"/>
  <c r="AM541" i="5"/>
  <c r="AM517" i="5"/>
  <c r="AM493" i="5"/>
  <c r="AM469" i="5"/>
  <c r="AM445" i="5"/>
  <c r="AM421" i="5"/>
  <c r="AM397" i="5"/>
  <c r="AM373" i="5"/>
  <c r="AM349" i="5"/>
  <c r="AM325" i="5"/>
  <c r="AM301" i="5"/>
  <c r="AM277" i="5"/>
  <c r="AM253" i="5"/>
  <c r="AM229" i="5"/>
  <c r="AM205" i="5"/>
  <c r="AM181" i="5"/>
  <c r="AM157" i="5"/>
  <c r="AM133" i="5"/>
  <c r="AM109" i="5"/>
  <c r="AM85" i="5"/>
  <c r="AM61" i="5"/>
  <c r="AM37" i="5"/>
  <c r="AM13" i="5"/>
  <c r="AJ474" i="4"/>
  <c r="AJ450" i="4"/>
  <c r="AJ424" i="4"/>
  <c r="AJ400" i="4"/>
  <c r="AJ376" i="4"/>
  <c r="AJ352" i="4"/>
  <c r="AJ328" i="4"/>
  <c r="AJ304" i="4"/>
  <c r="AJ280" i="4"/>
  <c r="AJ256" i="4"/>
  <c r="AJ232" i="4"/>
  <c r="AJ206" i="4"/>
  <c r="AJ182" i="4"/>
  <c r="AJ158" i="4"/>
  <c r="AJ134" i="4"/>
  <c r="AJ110" i="4"/>
  <c r="AJ86" i="4"/>
  <c r="AJ62" i="4"/>
  <c r="AJ38" i="4"/>
  <c r="AJ14" i="4"/>
  <c r="AK649" i="3"/>
  <c r="AK625" i="3"/>
  <c r="AK601" i="3"/>
  <c r="AK577" i="3"/>
  <c r="AK553" i="3"/>
  <c r="AK524" i="3"/>
  <c r="AK497" i="3"/>
  <c r="AK469" i="3"/>
  <c r="AK445" i="3"/>
  <c r="AK421" i="3"/>
  <c r="AK397" i="3"/>
  <c r="AK373" i="3"/>
  <c r="AK349" i="3"/>
  <c r="AK325" i="3"/>
  <c r="AK301" i="3"/>
  <c r="AK277" i="3"/>
  <c r="AK253" i="3"/>
  <c r="AK229" i="3"/>
  <c r="AK205" i="3"/>
  <c r="AK181" i="3"/>
  <c r="AK156" i="3"/>
  <c r="AK132" i="3"/>
  <c r="AK108" i="3"/>
  <c r="AK84" i="3"/>
  <c r="AK60" i="3"/>
  <c r="AK35" i="3"/>
  <c r="L736" i="2"/>
  <c r="J716" i="2"/>
  <c r="I368" i="2"/>
  <c r="K256" i="2"/>
  <c r="J149" i="2"/>
  <c r="I130" i="2"/>
  <c r="I106" i="2"/>
  <c r="I55" i="2"/>
  <c r="K34" i="2"/>
  <c r="I14" i="2"/>
  <c r="L576" i="1"/>
  <c r="K568" i="1"/>
  <c r="N559" i="1"/>
  <c r="I552" i="1"/>
  <c r="K543" i="1"/>
  <c r="J535" i="1"/>
  <c r="J527" i="1"/>
  <c r="J519" i="1"/>
  <c r="I511" i="1"/>
  <c r="I503" i="1"/>
  <c r="I495" i="1"/>
  <c r="I487" i="1"/>
  <c r="I479" i="1"/>
  <c r="I471" i="1"/>
  <c r="L462" i="1"/>
  <c r="L454" i="1"/>
  <c r="L446" i="1"/>
  <c r="L438" i="1"/>
  <c r="L430" i="1"/>
  <c r="L422" i="1"/>
  <c r="L414" i="1"/>
  <c r="L406" i="1"/>
  <c r="L398" i="1"/>
  <c r="L390" i="1"/>
  <c r="L382" i="1"/>
  <c r="L374" i="1"/>
  <c r="L366" i="1"/>
  <c r="L358" i="1"/>
  <c r="L350" i="1"/>
  <c r="L342" i="1"/>
  <c r="L334" i="1"/>
  <c r="L326" i="1"/>
  <c r="L318" i="1"/>
  <c r="L310" i="1"/>
  <c r="L302" i="1"/>
  <c r="N293" i="1"/>
  <c r="N285" i="1"/>
  <c r="N277" i="1"/>
  <c r="N269" i="1"/>
  <c r="N261" i="1"/>
  <c r="N253" i="1"/>
  <c r="N245" i="1"/>
  <c r="N237" i="1"/>
  <c r="N229" i="1"/>
  <c r="N221" i="1"/>
  <c r="N213" i="1"/>
  <c r="I207" i="1"/>
  <c r="N197" i="1"/>
  <c r="N189" i="1"/>
  <c r="N181" i="1"/>
  <c r="N173" i="1"/>
  <c r="N165" i="1"/>
  <c r="N157" i="1"/>
  <c r="N149" i="1"/>
  <c r="I142" i="1"/>
  <c r="J133" i="1"/>
  <c r="I125" i="1"/>
  <c r="K118" i="1"/>
  <c r="N109" i="1"/>
  <c r="N101" i="1"/>
  <c r="N93" i="1"/>
  <c r="N85" i="1"/>
  <c r="N78" i="1"/>
  <c r="L70" i="1"/>
  <c r="L62" i="1"/>
  <c r="J54" i="1"/>
  <c r="K46" i="1"/>
  <c r="L39" i="1"/>
  <c r="L31" i="1"/>
  <c r="N23" i="1"/>
  <c r="N17" i="1"/>
  <c r="K11" i="1"/>
  <c r="AY49" i="25"/>
  <c r="V48" i="25"/>
  <c r="M33" i="25"/>
  <c r="BD23" i="25"/>
  <c r="AM22" i="25"/>
  <c r="R45" i="25"/>
  <c r="T29" i="25"/>
  <c r="AM636" i="5"/>
  <c r="AM540" i="5"/>
  <c r="AM452" i="5"/>
  <c r="AM352" i="5"/>
  <c r="AM256" i="5"/>
  <c r="AM158" i="5"/>
  <c r="AM80" i="5"/>
  <c r="AJ475" i="4"/>
  <c r="AJ389" i="4"/>
  <c r="AJ319" i="4"/>
  <c r="AJ235" i="4"/>
  <c r="AJ161" i="4"/>
  <c r="AJ87" i="4"/>
  <c r="AJ29" i="4"/>
  <c r="AK614" i="3"/>
  <c r="AK539" i="3"/>
  <c r="AK464" i="3"/>
  <c r="AK390" i="3"/>
  <c r="AK318" i="3"/>
  <c r="AK244" i="3"/>
  <c r="AK180" i="3"/>
  <c r="AK103" i="3"/>
  <c r="AK30" i="3"/>
  <c r="K696" i="2"/>
  <c r="I100" i="2"/>
  <c r="N574" i="1"/>
  <c r="N548" i="1"/>
  <c r="N524" i="1"/>
  <c r="L503" i="1"/>
  <c r="I480" i="1"/>
  <c r="L461" i="1"/>
  <c r="N442" i="1"/>
  <c r="N426" i="1"/>
  <c r="J406" i="1"/>
  <c r="I388" i="1"/>
  <c r="I372" i="1"/>
  <c r="N352" i="1"/>
  <c r="L335" i="1"/>
  <c r="L319" i="1"/>
  <c r="N306" i="1"/>
  <c r="K290" i="1"/>
  <c r="N274" i="1"/>
  <c r="L261" i="1"/>
  <c r="L245" i="1"/>
  <c r="I230" i="1"/>
  <c r="I214" i="1"/>
  <c r="L201" i="1"/>
  <c r="L185" i="1"/>
  <c r="N170" i="1"/>
  <c r="N158" i="1"/>
  <c r="N143" i="1"/>
  <c r="L129" i="1"/>
  <c r="L115" i="1"/>
  <c r="L103" i="1"/>
  <c r="N88" i="1"/>
  <c r="L75" i="1"/>
  <c r="L63" i="1"/>
  <c r="L48" i="1"/>
  <c r="N35" i="1"/>
  <c r="P21" i="1"/>
  <c r="P12" i="1"/>
  <c r="AZ49" i="25"/>
  <c r="CM48" i="25"/>
  <c r="BC48" i="25"/>
  <c r="K48" i="25"/>
  <c r="AT33" i="25"/>
  <c r="CB32" i="25"/>
  <c r="AQ32" i="25"/>
  <c r="BY23" i="25"/>
  <c r="AI23" i="25"/>
  <c r="CD22" i="25"/>
  <c r="AL22" i="25"/>
  <c r="CI45" i="25"/>
  <c r="AQ45" i="25"/>
  <c r="CG29" i="25"/>
  <c r="AO29" i="25"/>
  <c r="BY19" i="25"/>
  <c r="AO19" i="25"/>
  <c r="AM633" i="5"/>
  <c r="AM591" i="5"/>
  <c r="AM547" i="5"/>
  <c r="AM511" i="5"/>
  <c r="AM467" i="5"/>
  <c r="AM425" i="5"/>
  <c r="AM389" i="5"/>
  <c r="AM345" i="5"/>
  <c r="AM303" i="5"/>
  <c r="AM259" i="5"/>
  <c r="AM223" i="5"/>
  <c r="AM179" i="5"/>
  <c r="AM137" i="5"/>
  <c r="AM101" i="5"/>
  <c r="AM57" i="5"/>
  <c r="AM15" i="5"/>
  <c r="AJ456" i="4"/>
  <c r="AJ418" i="4"/>
  <c r="AJ374" i="4"/>
  <c r="AJ332" i="4"/>
  <c r="AJ296" i="4"/>
  <c r="AJ252" i="4"/>
  <c r="AJ208" i="4"/>
  <c r="AJ164" i="4"/>
  <c r="AJ128" i="4"/>
  <c r="AJ84" i="4"/>
  <c r="AJ42" i="4"/>
  <c r="AK665" i="3"/>
  <c r="AK621" i="3"/>
  <c r="AK579" i="3"/>
  <c r="AK532" i="3"/>
  <c r="AK491" i="3"/>
  <c r="AK443" i="3"/>
  <c r="AK401" i="3"/>
  <c r="AK365" i="3"/>
  <c r="AK321" i="3"/>
  <c r="AK279" i="3"/>
  <c r="AK235" i="3"/>
  <c r="AK199" i="3"/>
  <c r="AK154" i="3"/>
  <c r="AK112" i="3"/>
  <c r="AK76" i="3"/>
  <c r="AK31" i="3"/>
  <c r="L716" i="2"/>
  <c r="K254" i="2"/>
  <c r="L134" i="2"/>
  <c r="L100" i="2"/>
  <c r="N581" i="1"/>
  <c r="L566" i="1"/>
  <c r="K552" i="1"/>
  <c r="J537" i="1"/>
  <c r="J525" i="1"/>
  <c r="L510" i="1"/>
  <c r="L496" i="1"/>
  <c r="L484" i="1"/>
  <c r="N469" i="1"/>
  <c r="K455" i="1"/>
  <c r="L440" i="1"/>
  <c r="L428" i="1"/>
  <c r="N413" i="1"/>
  <c r="N399" i="1"/>
  <c r="N387" i="1"/>
  <c r="I373" i="1"/>
  <c r="I359" i="1"/>
  <c r="L344" i="1"/>
  <c r="L332" i="1"/>
  <c r="N317" i="1"/>
  <c r="N303" i="1"/>
  <c r="K291" i="1"/>
  <c r="L276" i="1"/>
  <c r="L262" i="1"/>
  <c r="N247" i="1"/>
  <c r="N235" i="1"/>
  <c r="I221" i="1"/>
  <c r="I208" i="1"/>
  <c r="K195" i="1"/>
  <c r="L180" i="1"/>
  <c r="L166" i="1"/>
  <c r="N151" i="1"/>
  <c r="K139" i="1"/>
  <c r="L124" i="1"/>
  <c r="I111" i="1"/>
  <c r="J99" i="1"/>
  <c r="L84" i="1"/>
  <c r="J71" i="1"/>
  <c r="K56" i="1"/>
  <c r="J45" i="1"/>
  <c r="N30" i="1"/>
  <c r="N18" i="1"/>
  <c r="AU49" i="25"/>
  <c r="T48" i="25"/>
  <c r="BK32" i="25"/>
  <c r="AR23" i="25"/>
  <c r="U22" i="25"/>
  <c r="P45" i="25"/>
  <c r="R29" i="25"/>
  <c r="AM634" i="5"/>
  <c r="AM538" i="5"/>
  <c r="AM426" i="5"/>
  <c r="AM350" i="5"/>
  <c r="AM252" i="5"/>
  <c r="AM156" i="5"/>
  <c r="AM78" i="5"/>
  <c r="AJ471" i="4"/>
  <c r="AJ381" i="4"/>
  <c r="AJ297" i="4"/>
  <c r="AJ233" i="4"/>
  <c r="AJ157" i="4"/>
  <c r="AJ85" i="4"/>
  <c r="AJ27" i="4"/>
  <c r="AK604" i="3"/>
  <c r="AK529" i="3"/>
  <c r="AK446" i="3"/>
  <c r="AK388" i="3"/>
  <c r="AK314" i="3"/>
  <c r="AK242" i="3"/>
  <c r="AK176" i="3"/>
  <c r="AK101" i="3"/>
  <c r="AK28" i="3"/>
  <c r="L476" i="2"/>
  <c r="K94" i="2"/>
  <c r="I574" i="1"/>
  <c r="K548" i="1"/>
  <c r="J524" i="1"/>
  <c r="L499" i="1"/>
  <c r="L479" i="1"/>
  <c r="K460" i="1"/>
  <c r="N440" i="1"/>
  <c r="N424" i="1"/>
  <c r="L405" i="1"/>
  <c r="L387" i="1"/>
  <c r="N366" i="1"/>
  <c r="L351" i="1"/>
  <c r="I334" i="1"/>
  <c r="N318" i="1"/>
  <c r="I306" i="1"/>
  <c r="L289" i="1"/>
  <c r="J274" i="1"/>
  <c r="I258" i="1"/>
  <c r="N244" i="1"/>
  <c r="N228" i="1"/>
  <c r="L213" i="1"/>
  <c r="N200" i="1"/>
  <c r="N184" i="1"/>
  <c r="I170" i="1"/>
  <c r="L155" i="1"/>
  <c r="I143" i="1"/>
  <c r="I128" i="1"/>
  <c r="N114" i="1"/>
  <c r="N102" i="1"/>
  <c r="I88" i="1"/>
  <c r="N74" i="1"/>
  <c r="K60" i="1"/>
  <c r="N47" i="1"/>
  <c r="L34" i="1"/>
  <c r="L21" i="1"/>
  <c r="L12" i="1"/>
  <c r="AX49" i="25"/>
  <c r="CK48" i="25"/>
  <c r="AS48" i="25"/>
  <c r="CI33" i="25"/>
  <c r="AP33" i="25"/>
  <c r="BZ32" i="25"/>
  <c r="AO32" i="25"/>
  <c r="BW23" i="25"/>
  <c r="AG23" i="25"/>
  <c r="BT22" i="25"/>
  <c r="AJ22" i="25"/>
  <c r="CE45" i="25"/>
  <c r="AO45" i="25"/>
  <c r="CE29" i="25"/>
  <c r="AM29" i="25"/>
  <c r="BW19" i="25"/>
  <c r="AE19" i="25"/>
  <c r="AM631" i="5"/>
  <c r="AM587" i="5"/>
  <c r="AM545" i="5"/>
  <c r="AM509" i="5"/>
  <c r="AM465" i="5"/>
  <c r="AM423" i="5"/>
  <c r="AM379" i="5"/>
  <c r="AM343" i="5"/>
  <c r="AM299" i="5"/>
  <c r="AM257" i="5"/>
  <c r="AM221" i="5"/>
  <c r="AM177" i="5"/>
  <c r="AM135" i="5"/>
  <c r="AM91" i="5"/>
  <c r="AM55" i="5"/>
  <c r="AJ496" i="4"/>
  <c r="AJ454" i="4"/>
  <c r="AJ416" i="4"/>
  <c r="AJ372" i="4"/>
  <c r="AJ330" i="4"/>
  <c r="AJ286" i="4"/>
  <c r="AJ250" i="4"/>
  <c r="AJ204" i="4"/>
  <c r="AJ162" i="4"/>
  <c r="AJ126" i="4"/>
  <c r="AJ82" i="4"/>
  <c r="AJ40" i="4"/>
  <c r="AK655" i="3"/>
  <c r="AK619" i="3"/>
  <c r="AK575" i="3"/>
  <c r="AK530" i="3"/>
  <c r="AK488" i="3"/>
  <c r="AK441" i="3"/>
  <c r="AK399" i="3"/>
  <c r="AK355" i="3"/>
  <c r="AK319" i="3"/>
  <c r="AK275" i="3"/>
  <c r="AK233" i="3"/>
  <c r="AK197" i="3"/>
  <c r="AK152" i="3"/>
  <c r="AK110" i="3"/>
  <c r="AK66" i="3"/>
  <c r="AK29" i="3"/>
  <c r="J134" i="2"/>
  <c r="J100" i="2"/>
  <c r="L578" i="1"/>
  <c r="N565" i="1"/>
  <c r="L550" i="1"/>
  <c r="L536" i="1"/>
  <c r="L524" i="1"/>
  <c r="N509" i="1"/>
  <c r="N495" i="1"/>
  <c r="I481" i="1"/>
  <c r="I469" i="1"/>
  <c r="N453" i="1"/>
  <c r="N439" i="1"/>
  <c r="N427" i="1"/>
  <c r="J413" i="1"/>
  <c r="J399" i="1"/>
  <c r="L384" i="1"/>
  <c r="L372" i="1"/>
  <c r="N357" i="1"/>
  <c r="N343" i="1"/>
  <c r="N331" i="1"/>
  <c r="I317" i="1"/>
  <c r="I303" i="1"/>
  <c r="N287" i="1"/>
  <c r="N275" i="1"/>
  <c r="J261" i="1"/>
  <c r="I247" i="1"/>
  <c r="I235" i="1"/>
  <c r="L220" i="1"/>
  <c r="K207" i="1"/>
  <c r="N191" i="1"/>
  <c r="N179" i="1"/>
  <c r="I165" i="1"/>
  <c r="I151" i="1"/>
  <c r="L138" i="1"/>
  <c r="N123" i="1"/>
  <c r="L110" i="1"/>
  <c r="N95" i="1"/>
  <c r="J84" i="1"/>
  <c r="N69" i="1"/>
  <c r="L55" i="1"/>
  <c r="N44" i="1"/>
  <c r="I30" i="1"/>
  <c r="I18" i="1"/>
  <c r="AQ49" i="25"/>
  <c r="L48" i="25"/>
  <c r="BE32" i="25"/>
  <c r="AL23" i="25"/>
  <c r="S22" i="25"/>
  <c r="N45" i="25"/>
  <c r="BR19" i="25"/>
  <c r="AM618" i="5"/>
  <c r="AM520" i="5"/>
  <c r="AM424" i="5"/>
  <c r="AM348" i="5"/>
  <c r="AM250" i="5"/>
  <c r="AM154" i="5"/>
  <c r="AM54" i="5"/>
  <c r="AJ469" i="4"/>
  <c r="AJ377" i="4"/>
  <c r="AJ295" i="4"/>
  <c r="AJ231" i="4"/>
  <c r="AJ153" i="4"/>
  <c r="AJ81" i="4"/>
  <c r="AK666" i="3"/>
  <c r="AK602" i="3"/>
  <c r="AK523" i="3"/>
  <c r="AK444" i="3"/>
  <c r="AK386" i="3"/>
  <c r="AK304" i="3"/>
  <c r="AK232" i="3"/>
  <c r="AK157" i="3"/>
  <c r="AK99" i="3"/>
  <c r="AK24" i="3"/>
  <c r="L475" i="2"/>
  <c r="I94" i="2"/>
  <c r="L34" i="2"/>
  <c r="J568" i="1"/>
  <c r="L547" i="1"/>
  <c r="J520" i="1"/>
  <c r="I496" i="1"/>
  <c r="N478" i="1"/>
  <c r="L459" i="1"/>
  <c r="L439" i="1"/>
  <c r="N420" i="1"/>
  <c r="N404" i="1"/>
  <c r="N384" i="1"/>
  <c r="I366" i="1"/>
  <c r="N350" i="1"/>
  <c r="L333" i="1"/>
  <c r="I318" i="1"/>
  <c r="I302" i="1"/>
  <c r="N288" i="1"/>
  <c r="N272" i="1"/>
  <c r="L257" i="1"/>
  <c r="I244" i="1"/>
  <c r="I228" i="1"/>
  <c r="N212" i="1"/>
  <c r="N196" i="1"/>
  <c r="J184" i="1"/>
  <c r="N168" i="1"/>
  <c r="N154" i="1"/>
  <c r="L142" i="1"/>
  <c r="L127" i="1"/>
  <c r="J114" i="1"/>
  <c r="L99" i="1"/>
  <c r="L87" i="1"/>
  <c r="L73" i="1"/>
  <c r="I60" i="1"/>
  <c r="I47" i="1"/>
  <c r="N33" i="1"/>
  <c r="P20" i="1"/>
  <c r="CF49" i="25"/>
  <c r="AV49" i="25"/>
  <c r="CG48" i="25"/>
  <c r="AQ48" i="25"/>
  <c r="CG33" i="25"/>
  <c r="AN33" i="25"/>
  <c r="BX32" i="25"/>
  <c r="AE32" i="25"/>
  <c r="BU23" i="25"/>
  <c r="AC23" i="25"/>
  <c r="BR22" i="25"/>
  <c r="AH22" i="25"/>
  <c r="CC45" i="25"/>
  <c r="AM45" i="25"/>
  <c r="BU29" i="25"/>
  <c r="AK29" i="25"/>
  <c r="BS19" i="25"/>
  <c r="AC19" i="25"/>
  <c r="AM629" i="5"/>
  <c r="AM585" i="5"/>
  <c r="AM543" i="5"/>
  <c r="AM499" i="5"/>
  <c r="AM463" i="5"/>
  <c r="AM419" i="5"/>
  <c r="AM377" i="5"/>
  <c r="AM341" i="5"/>
  <c r="AM297" i="5"/>
  <c r="AM255" i="5"/>
  <c r="AM211" i="5"/>
  <c r="AM175" i="5"/>
  <c r="AM131" i="5"/>
  <c r="AM89" i="5"/>
  <c r="AM53" i="5"/>
  <c r="AJ494" i="4"/>
  <c r="AJ452" i="4"/>
  <c r="AJ406" i="4"/>
  <c r="AJ370" i="4"/>
  <c r="AJ326" i="4"/>
  <c r="AJ284" i="4"/>
  <c r="AJ248" i="4"/>
  <c r="AJ202" i="4"/>
  <c r="AJ160" i="4"/>
  <c r="AJ116" i="4"/>
  <c r="AJ80" i="4"/>
  <c r="AJ36" i="4"/>
  <c r="AK653" i="3"/>
  <c r="AK617" i="3"/>
  <c r="AK573" i="3"/>
  <c r="AK528" i="3"/>
  <c r="AK475" i="3"/>
  <c r="AK439" i="3"/>
  <c r="AK395" i="3"/>
  <c r="AK353" i="3"/>
  <c r="AK317" i="3"/>
  <c r="AK273" i="3"/>
  <c r="AK231" i="3"/>
  <c r="AK187" i="3"/>
  <c r="AK150" i="3"/>
  <c r="AK106" i="3"/>
  <c r="AK64" i="3"/>
  <c r="AK27" i="3"/>
  <c r="I132" i="2"/>
  <c r="J95" i="2"/>
  <c r="I34" i="2"/>
  <c r="N577" i="1"/>
  <c r="I565" i="1"/>
  <c r="N549" i="1"/>
  <c r="N535" i="1"/>
  <c r="J521" i="1"/>
  <c r="I509" i="1"/>
  <c r="L494" i="1"/>
  <c r="L480" i="1"/>
  <c r="L468" i="1"/>
  <c r="K453" i="1"/>
  <c r="J439" i="1"/>
  <c r="L424" i="1"/>
  <c r="L412" i="1"/>
  <c r="N397" i="1"/>
  <c r="N383" i="1"/>
  <c r="N371" i="1"/>
  <c r="I357" i="1"/>
  <c r="I343" i="1"/>
  <c r="L328" i="1"/>
  <c r="L316" i="1"/>
  <c r="N301" i="1"/>
  <c r="K287" i="1"/>
  <c r="J275" i="1"/>
  <c r="L260" i="1"/>
  <c r="L246" i="1"/>
  <c r="N231" i="1"/>
  <c r="N219" i="1"/>
  <c r="K206" i="1"/>
  <c r="J191" i="1"/>
  <c r="J179" i="1"/>
  <c r="L164" i="1"/>
  <c r="L150" i="1"/>
  <c r="J135" i="1"/>
  <c r="I123" i="1"/>
  <c r="I109" i="1"/>
  <c r="I95" i="1"/>
  <c r="N83" i="1"/>
  <c r="J69" i="1"/>
  <c r="N54" i="1"/>
  <c r="L41" i="1"/>
  <c r="L29" i="1"/>
  <c r="K17" i="1"/>
  <c r="AK49" i="25"/>
  <c r="CH33" i="25"/>
  <c r="BC32" i="25"/>
  <c r="V23" i="25"/>
  <c r="O22" i="25"/>
  <c r="CF29" i="25"/>
  <c r="BN19" i="25"/>
  <c r="AM616" i="5"/>
  <c r="AM518" i="5"/>
  <c r="AM422" i="5"/>
  <c r="AM322" i="5"/>
  <c r="AM234" i="5"/>
  <c r="AM136" i="5"/>
  <c r="AM52" i="5"/>
  <c r="AJ467" i="4"/>
  <c r="AJ375" i="4"/>
  <c r="AJ293" i="4"/>
  <c r="AJ209" i="4"/>
  <c r="AJ151" i="4"/>
  <c r="AJ77" i="4"/>
  <c r="AK664" i="3"/>
  <c r="AK600" i="3"/>
  <c r="AK518" i="3"/>
  <c r="AK440" i="3"/>
  <c r="AK366" i="3"/>
  <c r="AK302" i="3"/>
  <c r="AK228" i="3"/>
  <c r="AK155" i="3"/>
  <c r="AK97" i="3"/>
  <c r="AK14" i="3"/>
  <c r="L473" i="2"/>
  <c r="I566" i="1"/>
  <c r="K544" i="1"/>
  <c r="L519" i="1"/>
  <c r="L495" i="1"/>
  <c r="L475" i="1"/>
  <c r="N458" i="1"/>
  <c r="J438" i="1"/>
  <c r="J420" i="1"/>
  <c r="J404" i="1"/>
  <c r="L383" i="1"/>
  <c r="L365" i="1"/>
  <c r="L347" i="1"/>
  <c r="N332" i="1"/>
  <c r="N316" i="1"/>
  <c r="L301" i="1"/>
  <c r="K288" i="1"/>
  <c r="J272" i="1"/>
  <c r="N256" i="1"/>
  <c r="N240" i="1"/>
  <c r="L227" i="1"/>
  <c r="L211" i="1"/>
  <c r="K196" i="1"/>
  <c r="N182" i="1"/>
  <c r="I168" i="1"/>
  <c r="I154" i="1"/>
  <c r="N138" i="1"/>
  <c r="N126" i="1"/>
  <c r="N112" i="1"/>
  <c r="N98" i="1"/>
  <c r="N86" i="1"/>
  <c r="N72" i="1"/>
  <c r="L58" i="1"/>
  <c r="I45" i="1"/>
  <c r="I33" i="1"/>
  <c r="P19" i="1"/>
  <c r="CD49" i="25"/>
  <c r="AT49" i="25"/>
  <c r="CE48" i="25"/>
  <c r="AO48" i="25"/>
  <c r="BW33" i="25"/>
  <c r="AL33" i="25"/>
  <c r="BT32" i="25"/>
  <c r="AC32" i="25"/>
  <c r="BS23" i="25"/>
  <c r="AA23" i="25"/>
  <c r="BP22" i="25"/>
  <c r="X22" i="25"/>
  <c r="CA45" i="25"/>
  <c r="AI45" i="25"/>
  <c r="BS29" i="25"/>
  <c r="AI29" i="25"/>
  <c r="BQ19" i="25"/>
  <c r="AA19" i="25"/>
  <c r="AM619" i="5"/>
  <c r="AM583" i="5"/>
  <c r="AM539" i="5"/>
  <c r="AM497" i="5"/>
  <c r="AM461" i="5"/>
  <c r="AM417" i="5"/>
  <c r="AM375" i="5"/>
  <c r="AM331" i="5"/>
  <c r="AM295" i="5"/>
  <c r="AM251" i="5"/>
  <c r="AM209" i="5"/>
  <c r="AM173" i="5"/>
  <c r="AM129" i="5"/>
  <c r="AM87" i="5"/>
  <c r="AM43" i="5"/>
  <c r="AJ492" i="4"/>
  <c r="AJ448" i="4"/>
  <c r="AJ404" i="4"/>
  <c r="AJ368" i="4"/>
  <c r="AJ324" i="4"/>
  <c r="AJ282" i="4"/>
  <c r="AJ238" i="4"/>
  <c r="AJ200" i="4"/>
  <c r="AJ156" i="4"/>
  <c r="AJ114" i="4"/>
  <c r="AJ78" i="4"/>
  <c r="AJ34" i="4"/>
  <c r="AK651" i="3"/>
  <c r="AK607" i="3"/>
  <c r="AK571" i="3"/>
  <c r="AK522" i="3"/>
  <c r="AK473" i="3"/>
  <c r="AK437" i="3"/>
  <c r="AK393" i="3"/>
  <c r="AK351" i="3"/>
  <c r="AK307" i="3"/>
  <c r="AK271" i="3"/>
  <c r="AK227" i="3"/>
  <c r="AK185" i="3"/>
  <c r="AK148" i="3"/>
  <c r="AK104" i="3"/>
  <c r="AK62" i="3"/>
  <c r="AK17" i="3"/>
  <c r="J128" i="2"/>
  <c r="L94" i="2"/>
  <c r="I577" i="1"/>
  <c r="N561" i="1"/>
  <c r="K549" i="1"/>
  <c r="L534" i="1"/>
  <c r="L520" i="1"/>
  <c r="L508" i="1"/>
  <c r="N493" i="1"/>
  <c r="N479" i="1"/>
  <c r="L464" i="1"/>
  <c r="L452" i="1"/>
  <c r="N437" i="1"/>
  <c r="N423" i="1"/>
  <c r="N411" i="1"/>
  <c r="J397" i="1"/>
  <c r="I383" i="1"/>
  <c r="L368" i="1"/>
  <c r="L356" i="1"/>
  <c r="N341" i="1"/>
  <c r="N327" i="1"/>
  <c r="N315" i="1"/>
  <c r="I301" i="1"/>
  <c r="L286" i="1"/>
  <c r="N271" i="1"/>
  <c r="N259" i="1"/>
  <c r="I245" i="1"/>
  <c r="I231" i="1"/>
  <c r="I219" i="1"/>
  <c r="I206" i="1"/>
  <c r="L190" i="1"/>
  <c r="N175" i="1"/>
  <c r="N163" i="1"/>
  <c r="I149" i="1"/>
  <c r="L134" i="1"/>
  <c r="L122" i="1"/>
  <c r="L108" i="1"/>
  <c r="L94" i="1"/>
  <c r="K80" i="1"/>
  <c r="L68" i="1"/>
  <c r="L53" i="1"/>
  <c r="N40" i="1"/>
  <c r="N28" i="1"/>
  <c r="N16" i="1"/>
  <c r="BZ48" i="25"/>
  <c r="AS33" i="25"/>
  <c r="X32" i="25"/>
  <c r="BU22" i="25"/>
  <c r="BP45" i="25"/>
  <c r="AV29" i="25"/>
  <c r="AP19" i="25"/>
  <c r="AM578" i="5"/>
  <c r="AM482" i="5"/>
  <c r="AM396" i="5"/>
  <c r="AM298" i="5"/>
  <c r="AM202" i="5"/>
  <c r="AM106" i="5"/>
  <c r="AM36" i="5"/>
  <c r="AJ421" i="4"/>
  <c r="AJ333" i="4"/>
  <c r="AJ273" i="4"/>
  <c r="AJ197" i="4"/>
  <c r="AJ125" i="4"/>
  <c r="AJ51" i="4"/>
  <c r="AK644" i="3"/>
  <c r="AK570" i="3"/>
  <c r="AK489" i="3"/>
  <c r="AK422" i="3"/>
  <c r="AK348" i="3"/>
  <c r="AK276" i="3"/>
  <c r="AK200" i="3"/>
  <c r="AK135" i="3"/>
  <c r="AK61" i="3"/>
  <c r="K716" i="2"/>
  <c r="J254" i="2"/>
  <c r="J125" i="2"/>
  <c r="I582" i="1"/>
  <c r="I560" i="1"/>
  <c r="N534" i="1"/>
  <c r="N510" i="1"/>
  <c r="L491" i="1"/>
  <c r="I470" i="1"/>
  <c r="L451" i="1"/>
  <c r="N430" i="1"/>
  <c r="N414" i="1"/>
  <c r="J396" i="1"/>
  <c r="N376" i="1"/>
  <c r="N360" i="1"/>
  <c r="N342" i="1"/>
  <c r="N326" i="1"/>
  <c r="N310" i="1"/>
  <c r="I298" i="1"/>
  <c r="L281" i="1"/>
  <c r="J266" i="1"/>
  <c r="N252" i="1"/>
  <c r="N236" i="1"/>
  <c r="L221" i="1"/>
  <c r="L206" i="1"/>
  <c r="N192" i="1"/>
  <c r="N176" i="1"/>
  <c r="N162" i="1"/>
  <c r="N150" i="1"/>
  <c r="L135" i="1"/>
  <c r="L121" i="1"/>
  <c r="I108" i="1"/>
  <c r="L95" i="1"/>
  <c r="K81" i="1"/>
  <c r="L67" i="1"/>
  <c r="K55" i="1"/>
  <c r="N41" i="1"/>
  <c r="L27" i="1"/>
  <c r="P15" i="1"/>
  <c r="BT49" i="25"/>
  <c r="AB49" i="25"/>
  <c r="BO48" i="25"/>
  <c r="AE48" i="25"/>
  <c r="BM33" i="25"/>
  <c r="V33" i="25"/>
  <c r="BD32" i="25"/>
  <c r="S32" i="25"/>
  <c r="BA23" i="25"/>
  <c r="K23" i="25"/>
  <c r="BF22" i="25"/>
  <c r="N22" i="25"/>
  <c r="BK45" i="25"/>
  <c r="S45" i="25"/>
  <c r="BI29" i="25"/>
  <c r="Q29" i="25"/>
  <c r="BA19" i="25"/>
  <c r="Q19" i="25"/>
  <c r="AM609" i="5"/>
  <c r="AM567" i="5"/>
  <c r="AM523" i="5"/>
  <c r="AM487" i="5"/>
  <c r="AM443" i="5"/>
  <c r="AM401" i="5"/>
  <c r="AM365" i="5"/>
  <c r="AM321" i="5"/>
  <c r="AM279" i="5"/>
  <c r="AM235" i="5"/>
  <c r="AM199" i="5"/>
  <c r="AM155" i="5"/>
  <c r="AM113" i="5"/>
  <c r="AM77" i="5"/>
  <c r="AM33" i="5"/>
  <c r="AJ476" i="4"/>
  <c r="AJ432" i="4"/>
  <c r="AJ394" i="4"/>
  <c r="AJ350" i="4"/>
  <c r="AJ308" i="4"/>
  <c r="AJ272" i="4"/>
  <c r="AJ226" i="4"/>
  <c r="AJ184" i="4"/>
  <c r="AJ140" i="4"/>
  <c r="AJ104" i="4"/>
  <c r="AJ60" i="4"/>
  <c r="AJ18" i="4"/>
  <c r="AK641" i="3"/>
  <c r="AK597" i="3"/>
  <c r="AK555" i="3"/>
  <c r="AK504" i="3"/>
  <c r="AK463" i="3"/>
  <c r="AK419" i="3"/>
  <c r="AK377" i="3"/>
  <c r="AK341" i="3"/>
  <c r="AK297" i="3"/>
  <c r="AK255" i="3"/>
  <c r="AK211" i="3"/>
  <c r="AK175" i="3"/>
  <c r="AK130" i="3"/>
  <c r="AK88" i="3"/>
  <c r="AK52" i="3"/>
  <c r="J696" i="2"/>
  <c r="K293" i="2"/>
  <c r="K257" i="2"/>
  <c r="L149" i="2"/>
  <c r="I112" i="2"/>
  <c r="K54" i="2"/>
  <c r="N573" i="1"/>
  <c r="L558" i="1"/>
  <c r="N543" i="1"/>
  <c r="J529" i="1"/>
  <c r="J517" i="1"/>
  <c r="L502" i="1"/>
  <c r="L488" i="1"/>
  <c r="L476" i="1"/>
  <c r="K461" i="1"/>
  <c r="K447" i="1"/>
  <c r="L432" i="1"/>
  <c r="L420" i="1"/>
  <c r="N405" i="1"/>
  <c r="N391" i="1"/>
  <c r="N379" i="1"/>
  <c r="I365" i="1"/>
  <c r="I351" i="1"/>
  <c r="L336" i="1"/>
  <c r="L324" i="1"/>
  <c r="N309" i="1"/>
  <c r="I296" i="1"/>
  <c r="K283" i="1"/>
  <c r="L268" i="1"/>
  <c r="L254" i="1"/>
  <c r="N239" i="1"/>
  <c r="N227" i="1"/>
  <c r="I213" i="1"/>
  <c r="K199" i="1"/>
  <c r="J187" i="1"/>
  <c r="L172" i="1"/>
  <c r="L158" i="1"/>
  <c r="L143" i="1"/>
  <c r="J131" i="1"/>
  <c r="I118" i="1"/>
  <c r="J103" i="1"/>
  <c r="I91" i="1"/>
  <c r="I78" i="1"/>
  <c r="I63" i="1"/>
  <c r="I48" i="1"/>
  <c r="L37" i="1"/>
  <c r="J23" i="1"/>
  <c r="N12" i="1"/>
  <c r="BD48" i="25"/>
  <c r="BX23" i="25"/>
  <c r="BZ45" i="25"/>
  <c r="V29" i="25"/>
  <c r="AM570" i="5"/>
  <c r="AM410" i="5"/>
  <c r="AM232" i="5"/>
  <c r="AM92" i="5"/>
  <c r="AJ419" i="4"/>
  <c r="AJ279" i="4"/>
  <c r="AJ171" i="4"/>
  <c r="AJ39" i="4"/>
  <c r="AK576" i="3"/>
  <c r="AK436" i="3"/>
  <c r="AK324" i="3"/>
  <c r="AK198" i="3"/>
  <c r="AK75" i="3"/>
  <c r="I123" i="2"/>
  <c r="N550" i="1"/>
  <c r="I508" i="1"/>
  <c r="N470" i="1"/>
  <c r="L437" i="1"/>
  <c r="N408" i="1"/>
  <c r="L375" i="1"/>
  <c r="I346" i="1"/>
  <c r="L323" i="1"/>
  <c r="N292" i="1"/>
  <c r="N266" i="1"/>
  <c r="I240" i="1"/>
  <c r="N218" i="1"/>
  <c r="J192" i="1"/>
  <c r="N166" i="1"/>
  <c r="L144" i="1"/>
  <c r="I120" i="1"/>
  <c r="I96" i="1"/>
  <c r="J72" i="1"/>
  <c r="L50" i="1"/>
  <c r="P25" i="1"/>
  <c r="BX49" i="25"/>
  <c r="L49" i="25"/>
  <c r="S48" i="25"/>
  <c r="X33" i="25"/>
  <c r="AA32" i="25"/>
  <c r="AU23" i="25"/>
  <c r="AV22" i="25"/>
  <c r="BO45" i="25"/>
  <c r="CI29" i="25"/>
  <c r="M29" i="25"/>
  <c r="S19" i="25"/>
  <c r="AM581" i="5"/>
  <c r="AM515" i="5"/>
  <c r="AM441" i="5"/>
  <c r="AM369" i="5"/>
  <c r="AM305" i="5"/>
  <c r="AM231" i="5"/>
  <c r="AM159" i="5"/>
  <c r="AM83" i="5"/>
  <c r="AM19" i="5"/>
  <c r="AJ430" i="4"/>
  <c r="AJ356" i="4"/>
  <c r="AJ298" i="4"/>
  <c r="AJ222" i="4"/>
  <c r="AJ150" i="4"/>
  <c r="AJ68" i="4"/>
  <c r="S238" i="4"/>
  <c r="AK595" i="3"/>
  <c r="AK517" i="3"/>
  <c r="AK447" i="3"/>
  <c r="AK371" i="3"/>
  <c r="AK299" i="3"/>
  <c r="AK225" i="3"/>
  <c r="AK161" i="3"/>
  <c r="AK86" i="3"/>
  <c r="AK13" i="3"/>
  <c r="J148" i="2"/>
  <c r="J569" i="1"/>
  <c r="L542" i="1"/>
  <c r="L518" i="1"/>
  <c r="I497" i="1"/>
  <c r="L472" i="1"/>
  <c r="N447" i="1"/>
  <c r="J423" i="1"/>
  <c r="N403" i="1"/>
  <c r="L376" i="1"/>
  <c r="L352" i="1"/>
  <c r="I333" i="1"/>
  <c r="L308" i="1"/>
  <c r="N283" i="1"/>
  <c r="J259" i="1"/>
  <c r="I237" i="1"/>
  <c r="L212" i="1"/>
  <c r="L188" i="1"/>
  <c r="I167" i="1"/>
  <c r="K142" i="1"/>
  <c r="N118" i="1"/>
  <c r="I93" i="1"/>
  <c r="L72" i="1"/>
  <c r="L47" i="1"/>
  <c r="N24" i="1"/>
  <c r="AB48" i="25"/>
  <c r="BT23" i="25"/>
  <c r="BV45" i="25"/>
  <c r="BL19" i="25"/>
  <c r="AM568" i="5"/>
  <c r="AM378" i="5"/>
  <c r="AM218" i="5"/>
  <c r="AM82" i="5"/>
  <c r="AJ417" i="4"/>
  <c r="AJ275" i="4"/>
  <c r="AJ149" i="4"/>
  <c r="AJ33" i="4"/>
  <c r="AK568" i="3"/>
  <c r="AK434" i="3"/>
  <c r="AK320" i="3"/>
  <c r="AK196" i="3"/>
  <c r="AK73" i="3"/>
  <c r="I121" i="2"/>
  <c r="K540" i="1"/>
  <c r="L507" i="1"/>
  <c r="L469" i="1"/>
  <c r="N436" i="1"/>
  <c r="L407" i="1"/>
  <c r="I374" i="1"/>
  <c r="L343" i="1"/>
  <c r="I316" i="1"/>
  <c r="K292" i="1"/>
  <c r="L265" i="1"/>
  <c r="N238" i="1"/>
  <c r="I218" i="1"/>
  <c r="J188" i="1"/>
  <c r="L163" i="1"/>
  <c r="K138" i="1"/>
  <c r="K119" i="1"/>
  <c r="N94" i="1"/>
  <c r="L71" i="1"/>
  <c r="I49" i="1"/>
  <c r="L25" i="1"/>
  <c r="BV49" i="25"/>
  <c r="CC48" i="25"/>
  <c r="Q48" i="25"/>
  <c r="R33" i="25"/>
  <c r="W32" i="25"/>
  <c r="AK23" i="25"/>
  <c r="AT22" i="25"/>
  <c r="BM45" i="25"/>
  <c r="BQ29" i="25"/>
  <c r="K29" i="25"/>
  <c r="AM643" i="5"/>
  <c r="AM571" i="5"/>
  <c r="AM513" i="5"/>
  <c r="AM439" i="5"/>
  <c r="AM367" i="5"/>
  <c r="AM293" i="5"/>
  <c r="AM227" i="5"/>
  <c r="AM153" i="5"/>
  <c r="AM81" i="5"/>
  <c r="AM17" i="5"/>
  <c r="AJ427" i="4"/>
  <c r="AJ354" i="4"/>
  <c r="AJ278" i="4"/>
  <c r="AJ212" i="4"/>
  <c r="AJ138" i="4"/>
  <c r="AJ66" i="4"/>
  <c r="AK667" i="3"/>
  <c r="AK593" i="3"/>
  <c r="AK515" i="3"/>
  <c r="AK427" i="3"/>
  <c r="AK369" i="3"/>
  <c r="AK295" i="3"/>
  <c r="AK223" i="3"/>
  <c r="AK159" i="3"/>
  <c r="AK82" i="3"/>
  <c r="J736" i="2"/>
  <c r="I258" i="2"/>
  <c r="I568" i="1"/>
  <c r="N541" i="1"/>
  <c r="N517" i="1"/>
  <c r="I493" i="1"/>
  <c r="N471" i="1"/>
  <c r="N445" i="1"/>
  <c r="N421" i="1"/>
  <c r="L400" i="1"/>
  <c r="N375" i="1"/>
  <c r="N351" i="1"/>
  <c r="I327" i="1"/>
  <c r="N307" i="1"/>
  <c r="N279" i="1"/>
  <c r="N255" i="1"/>
  <c r="L236" i="1"/>
  <c r="N211" i="1"/>
  <c r="N187" i="1"/>
  <c r="I163" i="1"/>
  <c r="L140" i="1"/>
  <c r="L116" i="1"/>
  <c r="L92" i="1"/>
  <c r="N71" i="1"/>
  <c r="N46" i="1"/>
  <c r="I24" i="1"/>
  <c r="CF33" i="25"/>
  <c r="BP23" i="25"/>
  <c r="BL45" i="25"/>
  <c r="AV19" i="25"/>
  <c r="AM542" i="5"/>
  <c r="AM376" i="5"/>
  <c r="AM204" i="5"/>
  <c r="AM50" i="5"/>
  <c r="AJ413" i="4"/>
  <c r="AJ255" i="4"/>
  <c r="AJ129" i="4"/>
  <c r="AJ31" i="4"/>
  <c r="AK566" i="3"/>
  <c r="AK424" i="3"/>
  <c r="AK300" i="3"/>
  <c r="AK184" i="3"/>
  <c r="AK59" i="3"/>
  <c r="I101" i="2"/>
  <c r="L581" i="1"/>
  <c r="L539" i="1"/>
  <c r="I504" i="1"/>
  <c r="N468" i="1"/>
  <c r="J436" i="1"/>
  <c r="N398" i="1"/>
  <c r="L373" i="1"/>
  <c r="I342" i="1"/>
  <c r="L315" i="1"/>
  <c r="L291" i="1"/>
  <c r="J264" i="1"/>
  <c r="L237" i="1"/>
  <c r="L210" i="1"/>
  <c r="L187" i="1"/>
  <c r="I162" i="1"/>
  <c r="L137" i="1"/>
  <c r="I119" i="1"/>
  <c r="L91" i="1"/>
  <c r="J68" i="1"/>
  <c r="L44" i="1"/>
  <c r="P24" i="1"/>
  <c r="BR49" i="25"/>
  <c r="CA48" i="25"/>
  <c r="M48" i="25"/>
  <c r="P33" i="25"/>
  <c r="U32" i="25"/>
  <c r="Y23" i="25"/>
  <c r="AR22" i="25"/>
  <c r="BG45" i="25"/>
  <c r="BM29" i="25"/>
  <c r="CA19" i="25"/>
  <c r="AM641" i="5"/>
  <c r="AM569" i="5"/>
  <c r="AM495" i="5"/>
  <c r="AM437" i="5"/>
  <c r="AM355" i="5"/>
  <c r="AM283" i="5"/>
  <c r="AM225" i="5"/>
  <c r="AM151" i="5"/>
  <c r="AM79" i="5"/>
  <c r="AJ490" i="4"/>
  <c r="AJ422" i="4"/>
  <c r="AJ348" i="4"/>
  <c r="AJ276" i="4"/>
  <c r="AJ210" i="4"/>
  <c r="AJ136" i="4"/>
  <c r="AJ64" i="4"/>
  <c r="AK647" i="3"/>
  <c r="AK583" i="3"/>
  <c r="AK501" i="3"/>
  <c r="AK425" i="3"/>
  <c r="AK367" i="3"/>
  <c r="AK293" i="3"/>
  <c r="AK221" i="3"/>
  <c r="AK138" i="3"/>
  <c r="AK80" i="3"/>
  <c r="I257" i="2"/>
  <c r="J75" i="2"/>
  <c r="I561" i="1"/>
  <c r="K541" i="1"/>
  <c r="L516" i="1"/>
  <c r="L492" i="1"/>
  <c r="L470" i="1"/>
  <c r="K445" i="1"/>
  <c r="J421" i="1"/>
  <c r="L396" i="1"/>
  <c r="I375" i="1"/>
  <c r="N349" i="1"/>
  <c r="N325" i="1"/>
  <c r="L304" i="1"/>
  <c r="J279" i="1"/>
  <c r="I255" i="1"/>
  <c r="L230" i="1"/>
  <c r="I211" i="1"/>
  <c r="N183" i="1"/>
  <c r="N159" i="1"/>
  <c r="N139" i="1"/>
  <c r="N115" i="1"/>
  <c r="N91" i="1"/>
  <c r="N67" i="1"/>
  <c r="I46" i="1"/>
  <c r="N22" i="1"/>
  <c r="BP33" i="25"/>
  <c r="BH23" i="25"/>
  <c r="AZ45" i="25"/>
  <c r="AT19" i="25"/>
  <c r="AM514" i="5"/>
  <c r="AM364" i="5"/>
  <c r="AM194" i="5"/>
  <c r="AM40" i="5"/>
  <c r="AJ391" i="4"/>
  <c r="AJ251" i="4"/>
  <c r="AJ127" i="4"/>
  <c r="AK662" i="3"/>
  <c r="AK556" i="3"/>
  <c r="AK410" i="3"/>
  <c r="AK280" i="3"/>
  <c r="AK182" i="3"/>
  <c r="AK55" i="3"/>
  <c r="K100" i="2"/>
  <c r="N580" i="1"/>
  <c r="J536" i="1"/>
  <c r="L493" i="1"/>
  <c r="N462" i="1"/>
  <c r="J430" i="1"/>
  <c r="J398" i="1"/>
  <c r="N372" i="1"/>
  <c r="L341" i="1"/>
  <c r="N314" i="1"/>
  <c r="K284" i="1"/>
  <c r="N262" i="1"/>
  <c r="I236" i="1"/>
  <c r="J210" i="1"/>
  <c r="N186" i="1"/>
  <c r="N160" i="1"/>
  <c r="J136" i="1"/>
  <c r="I112" i="1"/>
  <c r="N90" i="1"/>
  <c r="N66" i="1"/>
  <c r="J44" i="1"/>
  <c r="L24" i="1"/>
  <c r="BH49" i="25"/>
  <c r="BQ48" i="25"/>
  <c r="BU33" i="25"/>
  <c r="N33" i="25"/>
  <c r="Q32" i="25"/>
  <c r="W23" i="25"/>
  <c r="AN22" i="25"/>
  <c r="BE45" i="25"/>
  <c r="BK29" i="25"/>
  <c r="BO19" i="25"/>
  <c r="AM639" i="5"/>
  <c r="AM563" i="5"/>
  <c r="AM491" i="5"/>
  <c r="AM427" i="5"/>
  <c r="AM353" i="5"/>
  <c r="AM281" i="5"/>
  <c r="AM207" i="5"/>
  <c r="AM149" i="5"/>
  <c r="AM67" i="5"/>
  <c r="AJ480" i="4"/>
  <c r="AJ420" i="4"/>
  <c r="AJ346" i="4"/>
  <c r="AJ274" i="4"/>
  <c r="AJ198" i="4"/>
  <c r="AJ132" i="4"/>
  <c r="AJ58" i="4"/>
  <c r="AK645" i="3"/>
  <c r="AK581" i="3"/>
  <c r="AK499" i="3"/>
  <c r="AK423" i="3"/>
  <c r="AK347" i="3"/>
  <c r="AK283" i="3"/>
  <c r="AK209" i="3"/>
  <c r="AK136" i="3"/>
  <c r="AK78" i="3"/>
  <c r="I256" i="2"/>
  <c r="J126" i="2"/>
  <c r="K14" i="2"/>
  <c r="L560" i="1"/>
  <c r="L540" i="1"/>
  <c r="I513" i="1"/>
  <c r="I489" i="1"/>
  <c r="N463" i="1"/>
  <c r="L444" i="1"/>
  <c r="N419" i="1"/>
  <c r="N395" i="1"/>
  <c r="N373" i="1"/>
  <c r="I349" i="1"/>
  <c r="I325" i="1"/>
  <c r="L300" i="1"/>
  <c r="L278" i="1"/>
  <c r="I253" i="1"/>
  <c r="I229" i="1"/>
  <c r="K208" i="1"/>
  <c r="J183" i="1"/>
  <c r="I159" i="1"/>
  <c r="N133" i="1"/>
  <c r="J115" i="1"/>
  <c r="N87" i="1"/>
  <c r="L64" i="1"/>
  <c r="L45" i="1"/>
  <c r="J22" i="1"/>
  <c r="AK495" i="3"/>
  <c r="I124" i="2"/>
  <c r="K584" i="1"/>
  <c r="N533" i="1"/>
  <c r="N487" i="1"/>
  <c r="L392" i="1"/>
  <c r="N299" i="1"/>
  <c r="L182" i="1"/>
  <c r="I157" i="1"/>
  <c r="L132" i="1"/>
  <c r="N111" i="1"/>
  <c r="I87" i="1"/>
  <c r="I40" i="1"/>
  <c r="N21" i="1"/>
  <c r="BW49" i="25"/>
  <c r="AW33" i="25"/>
  <c r="D23" i="25"/>
  <c r="AX45" i="25"/>
  <c r="AL19" i="25"/>
  <c r="AM510" i="5"/>
  <c r="AM356" i="5"/>
  <c r="AM188" i="5"/>
  <c r="AM38" i="5"/>
  <c r="AJ365" i="4"/>
  <c r="AJ249" i="4"/>
  <c r="AJ113" i="4"/>
  <c r="AK650" i="3"/>
  <c r="AK541" i="3"/>
  <c r="AK400" i="3"/>
  <c r="AK278" i="3"/>
  <c r="AK151" i="3"/>
  <c r="AK53" i="3"/>
  <c r="N576" i="1"/>
  <c r="L533" i="1"/>
  <c r="N492" i="1"/>
  <c r="K462" i="1"/>
  <c r="L429" i="1"/>
  <c r="L397" i="1"/>
  <c r="I364" i="1"/>
  <c r="I338" i="1"/>
  <c r="I310" i="1"/>
  <c r="L283" i="1"/>
  <c r="J262" i="1"/>
  <c r="L235" i="1"/>
  <c r="L209" i="1"/>
  <c r="L179" i="1"/>
  <c r="I160" i="1"/>
  <c r="N134" i="1"/>
  <c r="L111" i="1"/>
  <c r="I90" i="1"/>
  <c r="L65" i="1"/>
  <c r="J43" i="1"/>
  <c r="L19" i="1"/>
  <c r="BF49" i="25"/>
  <c r="BM48" i="25"/>
  <c r="BS33" i="25"/>
  <c r="L33" i="25"/>
  <c r="CG23" i="25"/>
  <c r="M23" i="25"/>
  <c r="V22" i="25"/>
  <c r="BC45" i="25"/>
  <c r="BG29" i="25"/>
  <c r="BM19" i="25"/>
  <c r="AM635" i="5"/>
  <c r="AM561" i="5"/>
  <c r="AM489" i="5"/>
  <c r="AM415" i="5"/>
  <c r="AM351" i="5"/>
  <c r="AM275" i="5"/>
  <c r="AM203" i="5"/>
  <c r="AM139" i="5"/>
  <c r="AM65" i="5"/>
  <c r="AJ478" i="4"/>
  <c r="AJ402" i="4"/>
  <c r="AJ344" i="4"/>
  <c r="AJ262" i="4"/>
  <c r="AJ188" i="4"/>
  <c r="AJ130" i="4"/>
  <c r="AJ56" i="4"/>
  <c r="AK643" i="3"/>
  <c r="AK569" i="3"/>
  <c r="AK417" i="3"/>
  <c r="AK345" i="3"/>
  <c r="AK281" i="3"/>
  <c r="AK207" i="3"/>
  <c r="AK134" i="3"/>
  <c r="AK58" i="3"/>
  <c r="K255" i="2"/>
  <c r="I559" i="1"/>
  <c r="L512" i="1"/>
  <c r="K463" i="1"/>
  <c r="N443" i="1"/>
  <c r="L416" i="1"/>
  <c r="N367" i="1"/>
  <c r="L348" i="1"/>
  <c r="N323" i="1"/>
  <c r="J277" i="1"/>
  <c r="L252" i="1"/>
  <c r="L228" i="1"/>
  <c r="K204" i="1"/>
  <c r="N63" i="1"/>
  <c r="BS49" i="25"/>
  <c r="AG33" i="25"/>
  <c r="CI22" i="25"/>
  <c r="AR45" i="25"/>
  <c r="N19" i="25"/>
  <c r="AM486" i="5"/>
  <c r="AM318" i="5"/>
  <c r="AM186" i="5"/>
  <c r="AM26" i="5"/>
  <c r="AJ359" i="4"/>
  <c r="AJ245" i="4"/>
  <c r="AJ111" i="4"/>
  <c r="AK648" i="3"/>
  <c r="AK516" i="3"/>
  <c r="AK398" i="3"/>
  <c r="AK270" i="3"/>
  <c r="AK147" i="3"/>
  <c r="AK34" i="3"/>
  <c r="I576" i="1"/>
  <c r="N532" i="1"/>
  <c r="I492" i="1"/>
  <c r="N456" i="1"/>
  <c r="J428" i="1"/>
  <c r="L395" i="1"/>
  <c r="L363" i="1"/>
  <c r="N336" i="1"/>
  <c r="L309" i="1"/>
  <c r="N282" i="1"/>
  <c r="N254" i="1"/>
  <c r="I232" i="1"/>
  <c r="J206" i="1"/>
  <c r="N178" i="1"/>
  <c r="K49" i="25"/>
  <c r="S33" i="25"/>
  <c r="BS22" i="25"/>
  <c r="CB29" i="25"/>
  <c r="AM640" i="5"/>
  <c r="AM472" i="5"/>
  <c r="AM300" i="5"/>
  <c r="AM134" i="5"/>
  <c r="AJ493" i="4"/>
  <c r="AJ331" i="4"/>
  <c r="AJ205" i="4"/>
  <c r="AJ105" i="4"/>
  <c r="AK624" i="3"/>
  <c r="AK492" i="3"/>
  <c r="AK364" i="3"/>
  <c r="AK266" i="3"/>
  <c r="AK133" i="3"/>
  <c r="K736" i="2"/>
  <c r="J564" i="1"/>
  <c r="L525" i="1"/>
  <c r="N484" i="1"/>
  <c r="K452" i="1"/>
  <c r="L419" i="1"/>
  <c r="N392" i="1"/>
  <c r="N356" i="1"/>
  <c r="N328" i="1"/>
  <c r="L307" i="1"/>
  <c r="J280" i="1"/>
  <c r="L253" i="1"/>
  <c r="N226" i="1"/>
  <c r="N202" i="1"/>
  <c r="I176" i="1"/>
  <c r="I152" i="1"/>
  <c r="J130" i="1"/>
  <c r="I106" i="1"/>
  <c r="J83" i="1"/>
  <c r="K57" i="1"/>
  <c r="I37" i="1"/>
  <c r="L15" i="1"/>
  <c r="AH49" i="25"/>
  <c r="BE48" i="25"/>
  <c r="BI33" i="25"/>
  <c r="BN32" i="25"/>
  <c r="BI23" i="25"/>
  <c r="CH22" i="25"/>
  <c r="L22" i="25"/>
  <c r="AE45" i="25"/>
  <c r="AS29" i="25"/>
  <c r="AU19" i="25"/>
  <c r="AM611" i="5"/>
  <c r="AM537" i="5"/>
  <c r="AM473" i="5"/>
  <c r="AM399" i="5"/>
  <c r="AM327" i="5"/>
  <c r="AM269" i="5"/>
  <c r="AM187" i="5"/>
  <c r="AM115" i="5"/>
  <c r="AM41" i="5"/>
  <c r="AJ468" i="4"/>
  <c r="AJ392" i="4"/>
  <c r="AJ320" i="4"/>
  <c r="AJ254" i="4"/>
  <c r="AJ178" i="4"/>
  <c r="AJ106" i="4"/>
  <c r="AJ32" i="4"/>
  <c r="AK627" i="3"/>
  <c r="AK551" i="3"/>
  <c r="AK467" i="3"/>
  <c r="AK403" i="3"/>
  <c r="AK329" i="3"/>
  <c r="AK257" i="3"/>
  <c r="AK183" i="3"/>
  <c r="AK124" i="3"/>
  <c r="AK42" i="3"/>
  <c r="K291" i="2"/>
  <c r="I108" i="2"/>
  <c r="K55" i="2"/>
  <c r="N575" i="1"/>
  <c r="N553" i="1"/>
  <c r="L528" i="1"/>
  <c r="L504" i="1"/>
  <c r="I485" i="1"/>
  <c r="N459" i="1"/>
  <c r="N435" i="1"/>
  <c r="L408" i="1"/>
  <c r="I389" i="1"/>
  <c r="L364" i="1"/>
  <c r="L340" i="1"/>
  <c r="I319" i="1"/>
  <c r="K293" i="1"/>
  <c r="J269" i="1"/>
  <c r="L244" i="1"/>
  <c r="I223" i="1"/>
  <c r="L198" i="1"/>
  <c r="L174" i="1"/>
  <c r="I155" i="1"/>
  <c r="I127" i="1"/>
  <c r="N103" i="1"/>
  <c r="L79" i="1"/>
  <c r="L60" i="1"/>
  <c r="N36" i="1"/>
  <c r="N15" i="1"/>
  <c r="J10" i="167"/>
  <c r="CH48" i="25"/>
  <c r="Q33" i="25"/>
  <c r="BQ22" i="25"/>
  <c r="BN29" i="25"/>
  <c r="AM602" i="5"/>
  <c r="AM460" i="5"/>
  <c r="AM294" i="5"/>
  <c r="AM130" i="5"/>
  <c r="AJ479" i="4"/>
  <c r="AJ325" i="4"/>
  <c r="AJ199" i="4"/>
  <c r="AJ75" i="4"/>
  <c r="AK620" i="3"/>
  <c r="AK485" i="3"/>
  <c r="AK362" i="3"/>
  <c r="AK256" i="3"/>
  <c r="AK121" i="3"/>
  <c r="N560" i="1"/>
  <c r="N518" i="1"/>
  <c r="I484" i="1"/>
  <c r="N448" i="1"/>
  <c r="N416" i="1"/>
  <c r="N388" i="1"/>
  <c r="I356" i="1"/>
  <c r="L327" i="1"/>
  <c r="N300" i="1"/>
  <c r="N278" i="1"/>
  <c r="L249" i="1"/>
  <c r="N222" i="1"/>
  <c r="K202" i="1"/>
  <c r="L175" i="1"/>
  <c r="L151" i="1"/>
  <c r="I126" i="1"/>
  <c r="N104" i="1"/>
  <c r="L80" i="1"/>
  <c r="L56" i="1"/>
  <c r="L36" i="1"/>
  <c r="P14" i="1"/>
  <c r="AF49" i="25"/>
  <c r="AK48" i="25"/>
  <c r="AX33" i="25"/>
  <c r="BB32" i="25"/>
  <c r="BG23" i="25"/>
  <c r="CF22" i="25"/>
  <c r="H22" i="25"/>
  <c r="AC45" i="25"/>
  <c r="Y29" i="25"/>
  <c r="AS19" i="25"/>
  <c r="AM607" i="5"/>
  <c r="AM535" i="5"/>
  <c r="AM471" i="5"/>
  <c r="AM395" i="5"/>
  <c r="AM323" i="5"/>
  <c r="AM249" i="5"/>
  <c r="AM185" i="5"/>
  <c r="AM111" i="5"/>
  <c r="AM39" i="5"/>
  <c r="AJ466" i="4"/>
  <c r="AJ382" i="4"/>
  <c r="AJ310" i="4"/>
  <c r="AJ236" i="4"/>
  <c r="AJ176" i="4"/>
  <c r="AJ102" i="4"/>
  <c r="AJ30" i="4"/>
  <c r="AK623" i="3"/>
  <c r="AK549" i="3"/>
  <c r="H10" i="167"/>
  <c r="CF48" i="25"/>
  <c r="AL32" i="25"/>
  <c r="AQ22" i="25"/>
  <c r="AT29" i="25"/>
  <c r="AM588" i="5"/>
  <c r="AM458" i="5"/>
  <c r="I12" i="167"/>
  <c r="BJ48" i="25"/>
  <c r="AF32" i="25"/>
  <c r="AO22" i="25"/>
  <c r="AH29" i="25"/>
  <c r="AM586" i="5"/>
  <c r="AM414" i="5"/>
  <c r="AM266" i="5"/>
  <c r="AM102" i="5"/>
  <c r="AJ441" i="4"/>
  <c r="AJ321" i="4"/>
  <c r="AJ185" i="4"/>
  <c r="AJ63" i="4"/>
  <c r="AK580" i="3"/>
  <c r="AK470" i="3"/>
  <c r="AK344" i="3"/>
  <c r="AK222" i="3"/>
  <c r="AK109" i="3"/>
  <c r="L253" i="2"/>
  <c r="I134" i="2"/>
  <c r="J55" i="2"/>
  <c r="L552" i="1"/>
  <c r="L511" i="1"/>
  <c r="L473" i="1"/>
  <c r="N446" i="1"/>
  <c r="J414" i="1"/>
  <c r="I382" i="1"/>
  <c r="I354" i="1"/>
  <c r="N324" i="1"/>
  <c r="N298" i="1"/>
  <c r="N270" i="1"/>
  <c r="I248" i="1"/>
  <c r="I220" i="1"/>
  <c r="J194" i="1"/>
  <c r="L171" i="1"/>
  <c r="N146" i="1"/>
  <c r="I122" i="1"/>
  <c r="I98" i="1"/>
  <c r="K79" i="1"/>
  <c r="N51" i="1"/>
  <c r="J29" i="1"/>
  <c r="L13" i="1"/>
  <c r="X49" i="25"/>
  <c r="AG48" i="25"/>
  <c r="AJ33" i="25"/>
  <c r="AU32" i="25"/>
  <c r="AY23" i="25"/>
  <c r="BJ22" i="25"/>
  <c r="CK45" i="25"/>
  <c r="O45" i="25"/>
  <c r="U29" i="25"/>
  <c r="W19" i="25"/>
  <c r="AM595" i="5"/>
  <c r="AM521" i="5"/>
  <c r="AM449" i="5"/>
  <c r="AM391" i="5"/>
  <c r="AM317" i="5"/>
  <c r="BH48" i="25"/>
  <c r="AD32" i="25"/>
  <c r="K22" i="25"/>
  <c r="Z29" i="25"/>
  <c r="AM572" i="5"/>
  <c r="AM412" i="5"/>
  <c r="AM260" i="5"/>
  <c r="AM100" i="5"/>
  <c r="AJ439" i="4"/>
  <c r="AJ281" i="4"/>
  <c r="AJ173" i="4"/>
  <c r="AJ41" i="4"/>
  <c r="AK578" i="3"/>
  <c r="AK468" i="3"/>
  <c r="AK342" i="3"/>
  <c r="AK220" i="3"/>
  <c r="AK77" i="3"/>
  <c r="CD29" i="25"/>
  <c r="AJ195" i="4"/>
  <c r="AK111" i="3"/>
  <c r="J532" i="1"/>
  <c r="N394" i="1"/>
  <c r="N280" i="1"/>
  <c r="I178" i="1"/>
  <c r="L106" i="1"/>
  <c r="L40" i="1"/>
  <c r="BG48" i="25"/>
  <c r="CC23" i="25"/>
  <c r="AG45" i="25"/>
  <c r="AM615" i="5"/>
  <c r="AM403" i="5"/>
  <c r="AM201" i="5"/>
  <c r="AM35" i="5"/>
  <c r="AJ358" i="4"/>
  <c r="AJ180" i="4"/>
  <c r="AJ16" i="4"/>
  <c r="AK493" i="3"/>
  <c r="AK343" i="3"/>
  <c r="AK203" i="3"/>
  <c r="AK56" i="3"/>
  <c r="I255" i="2"/>
  <c r="I122" i="2"/>
  <c r="I584" i="1"/>
  <c r="J533" i="1"/>
  <c r="L486" i="1"/>
  <c r="J437" i="1"/>
  <c r="I391" i="1"/>
  <c r="N347" i="1"/>
  <c r="K296" i="1"/>
  <c r="N251" i="1"/>
  <c r="I204" i="1"/>
  <c r="L156" i="1"/>
  <c r="J108" i="1"/>
  <c r="N61" i="1"/>
  <c r="I19" i="1"/>
  <c r="AM644" i="5"/>
  <c r="AJ109" i="4"/>
  <c r="AK12" i="3"/>
  <c r="L254" i="2"/>
  <c r="L517" i="1"/>
  <c r="N382" i="1"/>
  <c r="L275" i="1"/>
  <c r="N174" i="1"/>
  <c r="J104" i="1"/>
  <c r="L32" i="1"/>
  <c r="AI48" i="25"/>
  <c r="BE23" i="25"/>
  <c r="Q45" i="25"/>
  <c r="AM605" i="5"/>
  <c r="AM393" i="5"/>
  <c r="AM197" i="5"/>
  <c r="AM31" i="5"/>
  <c r="AJ334" i="4"/>
  <c r="AJ174" i="4"/>
  <c r="AJ12" i="4"/>
  <c r="AK471" i="3"/>
  <c r="AK331" i="3"/>
  <c r="AK201" i="3"/>
  <c r="AK54" i="3"/>
  <c r="K368" i="2"/>
  <c r="I110" i="2"/>
  <c r="L582" i="1"/>
  <c r="L532" i="1"/>
  <c r="N485" i="1"/>
  <c r="L436" i="1"/>
  <c r="N389" i="1"/>
  <c r="I341" i="1"/>
  <c r="L294" i="1"/>
  <c r="I251" i="1"/>
  <c r="N199" i="1"/>
  <c r="N155" i="1"/>
  <c r="N106" i="1"/>
  <c r="I61" i="1"/>
  <c r="K16" i="1"/>
  <c r="AM476" i="5"/>
  <c r="AJ65" i="4"/>
  <c r="I716" i="2"/>
  <c r="L509" i="1"/>
  <c r="N378" i="1"/>
  <c r="J270" i="1"/>
  <c r="L167" i="1"/>
  <c r="N96" i="1"/>
  <c r="L28" i="1"/>
  <c r="U48" i="25"/>
  <c r="AW23" i="25"/>
  <c r="K45" i="25"/>
  <c r="AM593" i="5"/>
  <c r="AM371" i="5"/>
  <c r="AM183" i="5"/>
  <c r="AM29" i="5"/>
  <c r="AJ322" i="4"/>
  <c r="AJ154" i="4"/>
  <c r="AK631" i="3"/>
  <c r="AK465" i="3"/>
  <c r="AK327" i="3"/>
  <c r="AK179" i="3"/>
  <c r="AK40" i="3"/>
  <c r="I104" i="2"/>
  <c r="K575" i="1"/>
  <c r="N527" i="1"/>
  <c r="L478" i="1"/>
  <c r="N431" i="1"/>
  <c r="L388" i="1"/>
  <c r="N339" i="1"/>
  <c r="L292" i="1"/>
  <c r="N243" i="1"/>
  <c r="K197" i="1"/>
  <c r="L148" i="1"/>
  <c r="L102" i="1"/>
  <c r="J60" i="1"/>
  <c r="I13" i="1"/>
  <c r="AM316" i="5"/>
  <c r="AK642" i="3"/>
  <c r="L485" i="1"/>
  <c r="N362" i="1"/>
  <c r="I254" i="1"/>
  <c r="L159" i="1"/>
  <c r="I84" i="1"/>
  <c r="P18" i="1"/>
  <c r="BO33" i="25"/>
  <c r="G23" i="25"/>
  <c r="AW29" i="25"/>
  <c r="AM559" i="5"/>
  <c r="AM347" i="5"/>
  <c r="AM163" i="5"/>
  <c r="AJ472" i="4"/>
  <c r="AJ306" i="4"/>
  <c r="AJ152" i="4"/>
  <c r="AK629" i="3"/>
  <c r="AK461" i="3"/>
  <c r="AK323" i="3"/>
  <c r="AK177" i="3"/>
  <c r="AK38" i="3"/>
  <c r="I102" i="2"/>
  <c r="L574" i="1"/>
  <c r="L526" i="1"/>
  <c r="N477" i="1"/>
  <c r="J431" i="1"/>
  <c r="N381" i="1"/>
  <c r="N335" i="1"/>
  <c r="N291" i="1"/>
  <c r="I243" i="1"/>
  <c r="L196" i="1"/>
  <c r="N147" i="1"/>
  <c r="I101" i="1"/>
  <c r="N52" i="1"/>
  <c r="I12" i="1"/>
  <c r="AM290" i="5"/>
  <c r="AK618" i="3"/>
  <c r="L481" i="1"/>
  <c r="L355" i="1"/>
  <c r="N248" i="1"/>
  <c r="N152" i="1"/>
  <c r="L83" i="1"/>
  <c r="L18" i="1"/>
  <c r="BK33" i="25"/>
  <c r="CJ22" i="25"/>
  <c r="AU29" i="25"/>
  <c r="AM557" i="5"/>
  <c r="AM329" i="5"/>
  <c r="AM161" i="5"/>
  <c r="AJ470" i="4"/>
  <c r="AJ302" i="4"/>
  <c r="AJ112" i="4"/>
  <c r="AK605" i="3"/>
  <c r="AK451" i="3"/>
  <c r="AK305" i="3"/>
  <c r="AK173" i="3"/>
  <c r="AK33" i="3"/>
  <c r="J94" i="2"/>
  <c r="L570" i="1"/>
  <c r="N525" i="1"/>
  <c r="I477" i="1"/>
  <c r="N429" i="1"/>
  <c r="I381" i="1"/>
  <c r="I335" i="1"/>
  <c r="K285" i="1"/>
  <c r="I239" i="1"/>
  <c r="N195" i="1"/>
  <c r="I147" i="1"/>
  <c r="L100" i="1"/>
  <c r="J52" i="1"/>
  <c r="I11" i="1"/>
  <c r="AM184" i="5"/>
  <c r="AK514" i="3"/>
  <c r="J129" i="2"/>
  <c r="I472" i="1"/>
  <c r="N346" i="1"/>
  <c r="I246" i="1"/>
  <c r="L147" i="1"/>
  <c r="N79" i="1"/>
  <c r="P13" i="1"/>
  <c r="AV33" i="25"/>
  <c r="BL22" i="25"/>
  <c r="W29" i="25"/>
  <c r="AM533" i="5"/>
  <c r="AM319" i="5"/>
  <c r="AM127" i="5"/>
  <c r="AJ446" i="4"/>
  <c r="AJ300" i="4"/>
  <c r="AJ108" i="4"/>
  <c r="AK603" i="3"/>
  <c r="AK449" i="3"/>
  <c r="AK303" i="3"/>
  <c r="AK163" i="3"/>
  <c r="AK15" i="3"/>
  <c r="N569" i="1"/>
  <c r="N519" i="1"/>
  <c r="I473" i="1"/>
  <c r="J429" i="1"/>
  <c r="L380" i="1"/>
  <c r="N333" i="1"/>
  <c r="L284" i="1"/>
  <c r="L238" i="1"/>
  <c r="J189" i="1"/>
  <c r="N142" i="1"/>
  <c r="N99" i="1"/>
  <c r="L51" i="1"/>
  <c r="J11" i="1"/>
  <c r="AM128" i="5"/>
  <c r="AK472" i="3"/>
  <c r="N452" i="1"/>
  <c r="I332" i="1"/>
  <c r="N230" i="1"/>
  <c r="K146" i="1"/>
  <c r="K76" i="1"/>
  <c r="CB49" i="25"/>
  <c r="Z33" i="25"/>
  <c r="BH22" i="25"/>
  <c r="O29" i="25"/>
  <c r="AM519" i="5"/>
  <c r="AM307" i="5"/>
  <c r="AM125" i="5"/>
  <c r="AJ444" i="4"/>
  <c r="AJ260" i="4"/>
  <c r="AJ92" i="4"/>
  <c r="AK599" i="3"/>
  <c r="AK415" i="3"/>
  <c r="AK269" i="3"/>
  <c r="AK128" i="3"/>
  <c r="K56" i="2"/>
  <c r="N557" i="1"/>
  <c r="N511" i="1"/>
  <c r="N461" i="1"/>
  <c r="N415" i="1"/>
  <c r="I367" i="1"/>
  <c r="L320" i="1"/>
  <c r="J271" i="1"/>
  <c r="I227" i="1"/>
  <c r="J181" i="1"/>
  <c r="N131" i="1"/>
  <c r="L86" i="1"/>
  <c r="N38" i="1"/>
  <c r="AJ495" i="4"/>
  <c r="AK392" i="3"/>
  <c r="L55" i="2"/>
  <c r="L447" i="1"/>
  <c r="L325" i="1"/>
  <c r="I222" i="1"/>
  <c r="J134" i="1"/>
  <c r="N64" i="1"/>
  <c r="BD49" i="25"/>
  <c r="BR32" i="25"/>
  <c r="T22" i="25"/>
  <c r="BC19" i="25"/>
  <c r="AM485" i="5"/>
  <c r="AM273" i="5"/>
  <c r="AM107" i="5"/>
  <c r="AJ442" i="4"/>
  <c r="AJ258" i="4"/>
  <c r="AJ90" i="4"/>
  <c r="AK559" i="3"/>
  <c r="AK413" i="3"/>
  <c r="AK259" i="3"/>
  <c r="AK126" i="3"/>
  <c r="I56" i="2"/>
  <c r="K557" i="1"/>
  <c r="I505" i="1"/>
  <c r="L460" i="1"/>
  <c r="J415" i="1"/>
  <c r="N365" i="1"/>
  <c r="N319" i="1"/>
  <c r="L270" i="1"/>
  <c r="N223" i="1"/>
  <c r="I175" i="1"/>
  <c r="L130" i="1"/>
  <c r="I85" i="1"/>
  <c r="J38" i="1"/>
  <c r="AJ443" i="4"/>
  <c r="AK350" i="3"/>
  <c r="K446" i="1"/>
  <c r="I324" i="1"/>
  <c r="L219" i="1"/>
  <c r="N130" i="1"/>
  <c r="I64" i="1"/>
  <c r="AJ49" i="25"/>
  <c r="BP32" i="25"/>
  <c r="P22" i="25"/>
  <c r="AY19" i="25"/>
  <c r="AM475" i="5"/>
  <c r="AM271" i="5"/>
  <c r="AM105" i="5"/>
  <c r="AJ398" i="4"/>
  <c r="AJ234" i="4"/>
  <c r="AJ88" i="4"/>
  <c r="AK557" i="3"/>
  <c r="AK391" i="3"/>
  <c r="AK251" i="3"/>
  <c r="AK114" i="3"/>
  <c r="L696" i="2"/>
  <c r="I54" i="2"/>
  <c r="I553" i="1"/>
  <c r="N503" i="1"/>
  <c r="L456" i="1"/>
  <c r="N407" i="1"/>
  <c r="N363" i="1"/>
  <c r="L312" i="1"/>
  <c r="N267" i="1"/>
  <c r="L222" i="1"/>
  <c r="I173" i="1"/>
  <c r="L126" i="1"/>
  <c r="J79" i="1"/>
  <c r="L33" i="1"/>
  <c r="BQ49" i="25"/>
  <c r="AJ347" i="4"/>
  <c r="AK268" i="3"/>
  <c r="L565" i="1"/>
  <c r="L427" i="1"/>
  <c r="I308" i="1"/>
  <c r="L204" i="1"/>
  <c r="N122" i="1"/>
  <c r="N55" i="1"/>
  <c r="Z49" i="25"/>
  <c r="AY32" i="25"/>
  <c r="CM45" i="25"/>
  <c r="AQ19" i="25"/>
  <c r="AM451" i="5"/>
  <c r="AM247" i="5"/>
  <c r="AM103" i="5"/>
  <c r="AJ396" i="4"/>
  <c r="AJ230" i="4"/>
  <c r="AJ54" i="4"/>
  <c r="AK544" i="3"/>
  <c r="AK389" i="3"/>
  <c r="AK249" i="3"/>
  <c r="AK102" i="3"/>
  <c r="L548" i="1"/>
  <c r="N501" i="1"/>
  <c r="N455" i="1"/>
  <c r="J407" i="1"/>
  <c r="L360" i="1"/>
  <c r="N311" i="1"/>
  <c r="J267" i="1"/>
  <c r="N215" i="1"/>
  <c r="N171" i="1"/>
  <c r="N125" i="1"/>
  <c r="K78" i="1"/>
  <c r="N32" i="1"/>
  <c r="Y33" i="25"/>
  <c r="AJ323" i="4"/>
  <c r="AK224" i="3"/>
  <c r="L559" i="1"/>
  <c r="L415" i="1"/>
  <c r="L299" i="1"/>
  <c r="L195" i="1"/>
  <c r="K120" i="1"/>
  <c r="J51" i="1"/>
  <c r="V49" i="25"/>
  <c r="AS32" i="25"/>
  <c r="BY45" i="25"/>
  <c r="U19" i="25"/>
  <c r="AM447" i="5"/>
  <c r="AM245" i="5"/>
  <c r="AM63" i="5"/>
  <c r="AJ380" i="4"/>
  <c r="AJ224" i="4"/>
  <c r="AJ44" i="4"/>
  <c r="AK542" i="3"/>
  <c r="AK379" i="3"/>
  <c r="AK247" i="3"/>
  <c r="AK100" i="3"/>
  <c r="K545" i="1"/>
  <c r="I501" i="1"/>
  <c r="N451" i="1"/>
  <c r="J405" i="1"/>
  <c r="N359" i="1"/>
  <c r="I311" i="1"/>
  <c r="N263" i="1"/>
  <c r="I215" i="1"/>
  <c r="I171" i="1"/>
  <c r="L119" i="1"/>
  <c r="L76" i="1"/>
  <c r="I32" i="1"/>
  <c r="CA22" i="25"/>
  <c r="AJ207" i="4"/>
  <c r="AK145" i="3"/>
  <c r="J552" i="1"/>
  <c r="N410" i="1"/>
  <c r="L297" i="1"/>
  <c r="L193" i="1"/>
  <c r="N110" i="1"/>
  <c r="I41" i="1"/>
  <c r="BI48" i="25"/>
  <c r="CE23" i="25"/>
  <c r="BA45" i="25"/>
  <c r="AM617" i="5"/>
  <c r="AM413" i="5"/>
  <c r="AM233" i="5"/>
  <c r="AM59" i="5"/>
  <c r="AJ378" i="4"/>
  <c r="AJ186" i="4"/>
  <c r="AJ20" i="4"/>
  <c r="AK519" i="3"/>
  <c r="AK375" i="3"/>
  <c r="AK245" i="3"/>
  <c r="AK90" i="3"/>
  <c r="L148" i="2"/>
  <c r="L544" i="1"/>
  <c r="L500" i="1"/>
  <c r="L448" i="1"/>
  <c r="L404" i="1"/>
  <c r="N355" i="1"/>
  <c r="I309" i="1"/>
  <c r="J263" i="1"/>
  <c r="L214" i="1"/>
  <c r="N167" i="1"/>
  <c r="J119" i="1"/>
  <c r="N75" i="1"/>
  <c r="I25" i="1"/>
  <c r="H16" i="167"/>
  <c r="I16" i="167"/>
  <c r="I23" i="25" l="1"/>
  <c r="I22" i="25"/>
  <c r="D9" i="25" s="1"/>
  <c r="L52" i="25" l="1"/>
  <c r="M52" i="25"/>
  <c r="N52" i="25"/>
  <c r="O52" i="25"/>
  <c r="P52" i="25"/>
  <c r="Q52" i="25"/>
  <c r="R52" i="25"/>
  <c r="S52" i="25"/>
  <c r="T52" i="25"/>
  <c r="U52" i="25"/>
  <c r="V52" i="25"/>
  <c r="W52" i="25"/>
  <c r="X52" i="25"/>
  <c r="Y52" i="25"/>
  <c r="Z52" i="25"/>
  <c r="AA52" i="25"/>
  <c r="AB52" i="25"/>
  <c r="AC52" i="25"/>
  <c r="AD52" i="25"/>
  <c r="AE52" i="25"/>
  <c r="AF52" i="25"/>
  <c r="AG52" i="25"/>
  <c r="AH52" i="25"/>
  <c r="AI52" i="25"/>
  <c r="AJ52" i="25"/>
  <c r="AK52" i="25"/>
  <c r="AL52" i="25"/>
  <c r="AM52" i="25"/>
  <c r="AN52" i="25"/>
  <c r="AO52" i="25"/>
  <c r="AP52" i="25"/>
  <c r="AQ52" i="25"/>
  <c r="AR52" i="25"/>
  <c r="AS52" i="25"/>
  <c r="AT52" i="25"/>
  <c r="AU52" i="25"/>
  <c r="AV52" i="25"/>
  <c r="AW52" i="25"/>
  <c r="AX52" i="25"/>
  <c r="AY52" i="25"/>
  <c r="AZ52" i="25"/>
  <c r="BA52" i="25"/>
  <c r="BB52" i="25"/>
  <c r="BC52" i="25"/>
  <c r="BD52" i="25"/>
  <c r="BE52" i="25"/>
  <c r="BF52" i="25"/>
  <c r="BG52" i="25"/>
  <c r="BH52" i="25"/>
  <c r="BI52" i="25"/>
  <c r="BJ52" i="25"/>
  <c r="BK52" i="25"/>
  <c r="BL52" i="25"/>
  <c r="BM52" i="25"/>
  <c r="BN52" i="25"/>
  <c r="BO52" i="25"/>
  <c r="BP52" i="25"/>
  <c r="BQ52" i="25"/>
  <c r="BR52" i="25"/>
  <c r="BS52" i="25"/>
  <c r="BT52" i="25"/>
  <c r="BU52" i="25"/>
  <c r="BV52" i="25"/>
  <c r="BW52" i="25"/>
  <c r="BX52" i="25"/>
  <c r="BY52" i="25"/>
  <c r="BZ52" i="25"/>
  <c r="CA52" i="25"/>
  <c r="CB52" i="25"/>
  <c r="CC52" i="25"/>
  <c r="CD52" i="25"/>
  <c r="CE52" i="25"/>
  <c r="CF52" i="25"/>
  <c r="CG52" i="25"/>
  <c r="CH52" i="25"/>
  <c r="CI52" i="25"/>
  <c r="CJ52" i="25"/>
  <c r="CK52" i="25"/>
  <c r="CL52" i="25"/>
  <c r="CM52" i="25"/>
  <c r="L53" i="25"/>
  <c r="M53" i="25"/>
  <c r="N53" i="25"/>
  <c r="O53" i="25"/>
  <c r="P53" i="25"/>
  <c r="Q53" i="25"/>
  <c r="R53" i="25"/>
  <c r="S53" i="25"/>
  <c r="T53" i="25"/>
  <c r="U53" i="25"/>
  <c r="V53" i="25"/>
  <c r="W53" i="25"/>
  <c r="X53" i="25"/>
  <c r="Y53" i="25"/>
  <c r="Z53" i="25"/>
  <c r="AA53" i="25"/>
  <c r="AB53" i="25"/>
  <c r="AC53" i="25"/>
  <c r="AD53" i="25"/>
  <c r="AE53" i="25"/>
  <c r="AF53" i="25"/>
  <c r="AG53" i="25"/>
  <c r="AH53" i="25"/>
  <c r="AI53" i="25"/>
  <c r="AJ53" i="25"/>
  <c r="AK53" i="25"/>
  <c r="AL53" i="25"/>
  <c r="AM53" i="25"/>
  <c r="AN53" i="25"/>
  <c r="AO53" i="25"/>
  <c r="AP53" i="25"/>
  <c r="AQ53" i="25"/>
  <c r="AR53" i="25"/>
  <c r="AS53" i="25"/>
  <c r="AT53" i="25"/>
  <c r="AU53" i="25"/>
  <c r="AV53" i="25"/>
  <c r="AW53" i="25"/>
  <c r="AX53" i="25"/>
  <c r="AY53" i="25"/>
  <c r="AZ53" i="25"/>
  <c r="BA53" i="25"/>
  <c r="BB53" i="25"/>
  <c r="BC53" i="25"/>
  <c r="BD53" i="25"/>
  <c r="BE53" i="25"/>
  <c r="BF53" i="25"/>
  <c r="BG53" i="25"/>
  <c r="BH53" i="25"/>
  <c r="BI53" i="25"/>
  <c r="BJ53" i="25"/>
  <c r="BK53" i="25"/>
  <c r="BL53" i="25"/>
  <c r="BM53" i="25"/>
  <c r="BN53" i="25"/>
  <c r="BO53" i="25"/>
  <c r="BP53" i="25"/>
  <c r="BQ53" i="25"/>
  <c r="BR53" i="25"/>
  <c r="BS53" i="25"/>
  <c r="BT53" i="25"/>
  <c r="BU53" i="25"/>
  <c r="BV53" i="25"/>
  <c r="BW53" i="25"/>
  <c r="BX53" i="25"/>
  <c r="BY53" i="25"/>
  <c r="BZ53" i="25"/>
  <c r="CA53" i="25"/>
  <c r="CB53" i="25"/>
  <c r="CC53" i="25"/>
  <c r="CD53" i="25"/>
  <c r="CE53" i="25"/>
  <c r="CF53" i="25"/>
  <c r="CG53" i="25"/>
  <c r="CH53" i="25"/>
  <c r="CI53" i="25"/>
  <c r="CJ53" i="25"/>
  <c r="CK53" i="25"/>
  <c r="CL53" i="25"/>
  <c r="CM53" i="25"/>
  <c r="K53" i="25"/>
  <c r="K52" i="25"/>
  <c r="K36" i="25"/>
  <c r="P36" i="25"/>
  <c r="K17" i="25"/>
  <c r="CN52" i="25" l="1"/>
  <c r="CN53" i="25"/>
  <c r="CN49" i="25"/>
  <c r="K50" i="25"/>
  <c r="CN48" i="25"/>
  <c r="CM50" i="25"/>
  <c r="CL50" i="25"/>
  <c r="CK50" i="25"/>
  <c r="M50" i="25"/>
  <c r="O50" i="25"/>
  <c r="Q50" i="25"/>
  <c r="S50" i="25"/>
  <c r="U50" i="25"/>
  <c r="W50" i="25"/>
  <c r="Y50" i="25"/>
  <c r="AA50" i="25"/>
  <c r="AC50" i="25"/>
  <c r="AG50" i="25"/>
  <c r="AK50" i="25"/>
  <c r="AO50" i="25"/>
  <c r="AS50" i="25"/>
  <c r="AW50" i="25"/>
  <c r="BA50" i="25"/>
  <c r="BE50" i="25"/>
  <c r="BI50" i="25"/>
  <c r="BM50" i="25"/>
  <c r="BQ50" i="25"/>
  <c r="BU50" i="25"/>
  <c r="BY50" i="25"/>
  <c r="CC50" i="25"/>
  <c r="CG50" i="25"/>
  <c r="L50" i="25"/>
  <c r="N50" i="25"/>
  <c r="P50" i="25"/>
  <c r="R50" i="25"/>
  <c r="T50" i="25"/>
  <c r="V50" i="25"/>
  <c r="X50" i="25"/>
  <c r="Z50" i="25"/>
  <c r="AB50" i="25"/>
  <c r="AE50" i="25"/>
  <c r="AI50" i="25"/>
  <c r="AM50" i="25"/>
  <c r="AQ50" i="25"/>
  <c r="AU50" i="25"/>
  <c r="AY50" i="25"/>
  <c r="BC50" i="25"/>
  <c r="BG50" i="25"/>
  <c r="BK50" i="25"/>
  <c r="BO50" i="25"/>
  <c r="BS50" i="25"/>
  <c r="BW50" i="25"/>
  <c r="CA50" i="25"/>
  <c r="CE50" i="25"/>
  <c r="CI50" i="25"/>
  <c r="AD50" i="25"/>
  <c r="AF50" i="25"/>
  <c r="AH50" i="25"/>
  <c r="AJ50" i="25"/>
  <c r="AL50" i="25"/>
  <c r="AN50" i="25"/>
  <c r="AP50" i="25"/>
  <c r="AR50" i="25"/>
  <c r="AT50" i="25"/>
  <c r="AV50" i="25"/>
  <c r="AX50" i="25"/>
  <c r="AZ50" i="25"/>
  <c r="BB50" i="25"/>
  <c r="BD50" i="25"/>
  <c r="BF50" i="25"/>
  <c r="BH50" i="25"/>
  <c r="BJ50" i="25"/>
  <c r="BL50" i="25"/>
  <c r="BN50" i="25"/>
  <c r="BP50" i="25"/>
  <c r="BR50" i="25"/>
  <c r="BT50" i="25"/>
  <c r="BV50" i="25"/>
  <c r="BX50" i="25"/>
  <c r="BZ50" i="25"/>
  <c r="CB50" i="25"/>
  <c r="CD50" i="25"/>
  <c r="CF50" i="25"/>
  <c r="CH50" i="25"/>
  <c r="CJ50" i="25"/>
  <c r="D10" i="25"/>
  <c r="N9" i="25"/>
  <c r="CN50" i="25" l="1"/>
  <c r="AO158" i="5" l="1"/>
  <c r="A2" i="5" l="1"/>
  <c r="A1" i="5" l="1"/>
  <c r="A5" i="5"/>
  <c r="AD646" i="5"/>
  <c r="AB646" i="5"/>
  <c r="Z646" i="5"/>
  <c r="X646" i="5"/>
  <c r="V646" i="5"/>
  <c r="T646" i="5"/>
  <c r="AD645" i="5"/>
  <c r="AB645" i="5"/>
  <c r="Z645" i="5"/>
  <c r="X645" i="5"/>
  <c r="V645" i="5"/>
  <c r="T645" i="5"/>
  <c r="AD644" i="5"/>
  <c r="AB644" i="5"/>
  <c r="Z644" i="5"/>
  <c r="X644" i="5"/>
  <c r="V644" i="5"/>
  <c r="T644" i="5"/>
  <c r="AD643" i="5"/>
  <c r="AB643" i="5"/>
  <c r="Z643" i="5"/>
  <c r="X643" i="5"/>
  <c r="V643" i="5"/>
  <c r="T643" i="5"/>
  <c r="AD642" i="5"/>
  <c r="AB642" i="5"/>
  <c r="Z642" i="5"/>
  <c r="X642" i="5"/>
  <c r="V642" i="5"/>
  <c r="T642" i="5"/>
  <c r="AD641" i="5"/>
  <c r="AB641" i="5"/>
  <c r="Z641" i="5"/>
  <c r="X641" i="5"/>
  <c r="V641" i="5"/>
  <c r="T641" i="5"/>
  <c r="AD640" i="5"/>
  <c r="AB640" i="5"/>
  <c r="Z640" i="5"/>
  <c r="X640" i="5"/>
  <c r="V640" i="5"/>
  <c r="T640" i="5"/>
  <c r="AD639" i="5"/>
  <c r="AB639" i="5"/>
  <c r="Z639" i="5"/>
  <c r="X639" i="5"/>
  <c r="V639" i="5"/>
  <c r="T639" i="5"/>
  <c r="AD638" i="5"/>
  <c r="AB638" i="5"/>
  <c r="Z638" i="5"/>
  <c r="X638" i="5"/>
  <c r="V638" i="5"/>
  <c r="T638" i="5"/>
  <c r="AD637" i="5"/>
  <c r="AB637" i="5"/>
  <c r="Z637" i="5"/>
  <c r="X637" i="5"/>
  <c r="V637" i="5"/>
  <c r="T637" i="5"/>
  <c r="AD636" i="5"/>
  <c r="AB636" i="5"/>
  <c r="Z636" i="5"/>
  <c r="X636" i="5"/>
  <c r="V636" i="5"/>
  <c r="T636" i="5"/>
  <c r="AD635" i="5"/>
  <c r="AB635" i="5"/>
  <c r="Z635" i="5"/>
  <c r="X635" i="5"/>
  <c r="V635" i="5"/>
  <c r="T635" i="5"/>
  <c r="AD634" i="5"/>
  <c r="AB634" i="5"/>
  <c r="Z634" i="5"/>
  <c r="X634" i="5"/>
  <c r="V634" i="5"/>
  <c r="T634" i="5"/>
  <c r="AD633" i="5"/>
  <c r="AB633" i="5"/>
  <c r="Z633" i="5"/>
  <c r="X633" i="5"/>
  <c r="V633" i="5"/>
  <c r="T633" i="5"/>
  <c r="AD632" i="5"/>
  <c r="AB632" i="5"/>
  <c r="Z632" i="5"/>
  <c r="X632" i="5"/>
  <c r="V632" i="5"/>
  <c r="T632" i="5"/>
  <c r="AD631" i="5"/>
  <c r="AB631" i="5"/>
  <c r="Z631" i="5"/>
  <c r="X631" i="5"/>
  <c r="V631" i="5"/>
  <c r="T631" i="5"/>
  <c r="AD630" i="5"/>
  <c r="AB630" i="5"/>
  <c r="Z630" i="5"/>
  <c r="X630" i="5"/>
  <c r="V630" i="5"/>
  <c r="T630" i="5"/>
  <c r="AD629" i="5"/>
  <c r="AB629" i="5"/>
  <c r="Z629" i="5"/>
  <c r="X629" i="5"/>
  <c r="V629" i="5"/>
  <c r="T629" i="5"/>
  <c r="AD628" i="5"/>
  <c r="AB628" i="5"/>
  <c r="Z628" i="5"/>
  <c r="X628" i="5"/>
  <c r="V628" i="5"/>
  <c r="T628" i="5"/>
  <c r="AD627" i="5"/>
  <c r="AB627" i="5"/>
  <c r="Z627" i="5"/>
  <c r="X627" i="5"/>
  <c r="V627" i="5"/>
  <c r="T627" i="5"/>
  <c r="AD626" i="5"/>
  <c r="AB626" i="5"/>
  <c r="Z626" i="5"/>
  <c r="X626" i="5"/>
  <c r="V626" i="5"/>
  <c r="T626" i="5"/>
  <c r="AD625" i="5"/>
  <c r="AB625" i="5"/>
  <c r="Z625" i="5"/>
  <c r="X625" i="5"/>
  <c r="V625" i="5"/>
  <c r="T625" i="5"/>
  <c r="AD624" i="5"/>
  <c r="AB624" i="5"/>
  <c r="Z624" i="5"/>
  <c r="X624" i="5"/>
  <c r="V624" i="5"/>
  <c r="T624" i="5"/>
  <c r="AD623" i="5"/>
  <c r="AB623" i="5"/>
  <c r="Z623" i="5"/>
  <c r="X623" i="5"/>
  <c r="V623" i="5"/>
  <c r="T623" i="5"/>
  <c r="AD622" i="5"/>
  <c r="AB622" i="5"/>
  <c r="Z622" i="5"/>
  <c r="X622" i="5"/>
  <c r="V622" i="5"/>
  <c r="T622" i="5"/>
  <c r="AD621" i="5"/>
  <c r="AB621" i="5"/>
  <c r="Z621" i="5"/>
  <c r="X621" i="5"/>
  <c r="V621" i="5"/>
  <c r="T621" i="5"/>
  <c r="AD620" i="5"/>
  <c r="AB620" i="5"/>
  <c r="Z620" i="5"/>
  <c r="X620" i="5"/>
  <c r="V620" i="5"/>
  <c r="T620" i="5"/>
  <c r="AD619" i="5"/>
  <c r="AB619" i="5"/>
  <c r="Z619" i="5"/>
  <c r="X619" i="5"/>
  <c r="V619" i="5"/>
  <c r="T619" i="5"/>
  <c r="AD618" i="5"/>
  <c r="AB618" i="5"/>
  <c r="Z618" i="5"/>
  <c r="X618" i="5"/>
  <c r="V618" i="5"/>
  <c r="T618" i="5"/>
  <c r="AD617" i="5"/>
  <c r="AB617" i="5"/>
  <c r="Z617" i="5"/>
  <c r="X617" i="5"/>
  <c r="V617" i="5"/>
  <c r="T617" i="5"/>
  <c r="AD616" i="5"/>
  <c r="AB616" i="5"/>
  <c r="Z616" i="5"/>
  <c r="X616" i="5"/>
  <c r="V616" i="5"/>
  <c r="T616" i="5"/>
  <c r="AD615" i="5"/>
  <c r="AB615" i="5"/>
  <c r="Z615" i="5"/>
  <c r="X615" i="5"/>
  <c r="V615" i="5"/>
  <c r="T615" i="5"/>
  <c r="AD614" i="5"/>
  <c r="AB614" i="5"/>
  <c r="Z614" i="5"/>
  <c r="X614" i="5"/>
  <c r="V614" i="5"/>
  <c r="T614" i="5"/>
  <c r="AD613" i="5"/>
  <c r="AB613" i="5"/>
  <c r="Z613" i="5"/>
  <c r="X613" i="5"/>
  <c r="V613" i="5"/>
  <c r="T613" i="5"/>
  <c r="AD612" i="5"/>
  <c r="AB612" i="5"/>
  <c r="Z612" i="5"/>
  <c r="X612" i="5"/>
  <c r="V612" i="5"/>
  <c r="T612" i="5"/>
  <c r="AD611" i="5"/>
  <c r="AB611" i="5"/>
  <c r="Z611" i="5"/>
  <c r="X611" i="5"/>
  <c r="V611" i="5"/>
  <c r="T611" i="5"/>
  <c r="AD610" i="5"/>
  <c r="AB610" i="5"/>
  <c r="Z610" i="5"/>
  <c r="X610" i="5"/>
  <c r="V610" i="5"/>
  <c r="T610" i="5"/>
  <c r="AD609" i="5"/>
  <c r="AB609" i="5"/>
  <c r="Z609" i="5"/>
  <c r="X609" i="5"/>
  <c r="V609" i="5"/>
  <c r="T609" i="5"/>
  <c r="AD608" i="5"/>
  <c r="AB608" i="5"/>
  <c r="Z608" i="5"/>
  <c r="X608" i="5"/>
  <c r="V608" i="5"/>
  <c r="T608" i="5"/>
  <c r="AD607" i="5"/>
  <c r="AB607" i="5"/>
  <c r="Z607" i="5"/>
  <c r="X607" i="5"/>
  <c r="V607" i="5"/>
  <c r="T607" i="5"/>
  <c r="AD606" i="5"/>
  <c r="AB606" i="5"/>
  <c r="Z606" i="5"/>
  <c r="X606" i="5"/>
  <c r="V606" i="5"/>
  <c r="T606" i="5"/>
  <c r="AD605" i="5"/>
  <c r="AB605" i="5"/>
  <c r="Z605" i="5"/>
  <c r="X605" i="5"/>
  <c r="V605" i="5"/>
  <c r="T605" i="5"/>
  <c r="AD604" i="5"/>
  <c r="AB604" i="5"/>
  <c r="Z604" i="5"/>
  <c r="X604" i="5"/>
  <c r="V604" i="5"/>
  <c r="T604" i="5"/>
  <c r="AD603" i="5"/>
  <c r="AB603" i="5"/>
  <c r="Z603" i="5"/>
  <c r="X603" i="5"/>
  <c r="V603" i="5"/>
  <c r="T603" i="5"/>
  <c r="AD602" i="5"/>
  <c r="AB602" i="5"/>
  <c r="Z602" i="5"/>
  <c r="X602" i="5"/>
  <c r="V602" i="5"/>
  <c r="T602" i="5"/>
  <c r="AD601" i="5"/>
  <c r="AB601" i="5"/>
  <c r="Z601" i="5"/>
  <c r="X601" i="5"/>
  <c r="V601" i="5"/>
  <c r="T601" i="5"/>
  <c r="AD600" i="5"/>
  <c r="AB600" i="5"/>
  <c r="Z600" i="5"/>
  <c r="X600" i="5"/>
  <c r="V600" i="5"/>
  <c r="T600" i="5"/>
  <c r="AD599" i="5"/>
  <c r="AB599" i="5"/>
  <c r="Z599" i="5"/>
  <c r="X599" i="5"/>
  <c r="V599" i="5"/>
  <c r="T599" i="5"/>
  <c r="AD598" i="5"/>
  <c r="AB598" i="5"/>
  <c r="Z598" i="5"/>
  <c r="X598" i="5"/>
  <c r="V598" i="5"/>
  <c r="T598" i="5"/>
  <c r="AD597" i="5"/>
  <c r="AB597" i="5"/>
  <c r="Z597" i="5"/>
  <c r="X597" i="5"/>
  <c r="V597" i="5"/>
  <c r="T597" i="5"/>
  <c r="AD596" i="5"/>
  <c r="AB596" i="5"/>
  <c r="Z596" i="5"/>
  <c r="X596" i="5"/>
  <c r="V596" i="5"/>
  <c r="T596" i="5"/>
  <c r="AD595" i="5"/>
  <c r="AB595" i="5"/>
  <c r="Z595" i="5"/>
  <c r="X595" i="5"/>
  <c r="V595" i="5"/>
  <c r="T595" i="5"/>
  <c r="AD594" i="5"/>
  <c r="AB594" i="5"/>
  <c r="Z594" i="5"/>
  <c r="X594" i="5"/>
  <c r="V594" i="5"/>
  <c r="T594" i="5"/>
  <c r="AD593" i="5"/>
  <c r="AB593" i="5"/>
  <c r="Z593" i="5"/>
  <c r="X593" i="5"/>
  <c r="V593" i="5"/>
  <c r="T593" i="5"/>
  <c r="AD592" i="5"/>
  <c r="AB592" i="5"/>
  <c r="Z592" i="5"/>
  <c r="X592" i="5"/>
  <c r="V592" i="5"/>
  <c r="T592" i="5"/>
  <c r="AD591" i="5"/>
  <c r="AB591" i="5"/>
  <c r="Z591" i="5"/>
  <c r="X591" i="5"/>
  <c r="V591" i="5"/>
  <c r="T591" i="5"/>
  <c r="AD590" i="5"/>
  <c r="AB590" i="5"/>
  <c r="Z590" i="5"/>
  <c r="X590" i="5"/>
  <c r="V590" i="5"/>
  <c r="T590" i="5"/>
  <c r="AD589" i="5"/>
  <c r="AB589" i="5"/>
  <c r="Z589" i="5"/>
  <c r="X589" i="5"/>
  <c r="V589" i="5"/>
  <c r="T589" i="5"/>
  <c r="AD588" i="5"/>
  <c r="AB588" i="5"/>
  <c r="Z588" i="5"/>
  <c r="X588" i="5"/>
  <c r="V588" i="5"/>
  <c r="T588" i="5"/>
  <c r="AD587" i="5"/>
  <c r="AB587" i="5"/>
  <c r="Z587" i="5"/>
  <c r="X587" i="5"/>
  <c r="V587" i="5"/>
  <c r="T587" i="5"/>
  <c r="AD586" i="5"/>
  <c r="AB586" i="5"/>
  <c r="Z586" i="5"/>
  <c r="X586" i="5"/>
  <c r="V586" i="5"/>
  <c r="T586" i="5"/>
  <c r="AD585" i="5"/>
  <c r="AB585" i="5"/>
  <c r="Z585" i="5"/>
  <c r="X585" i="5"/>
  <c r="V585" i="5"/>
  <c r="T585" i="5"/>
  <c r="AD584" i="5"/>
  <c r="AB584" i="5"/>
  <c r="Z584" i="5"/>
  <c r="X584" i="5"/>
  <c r="V584" i="5"/>
  <c r="T584" i="5"/>
  <c r="AD583" i="5"/>
  <c r="AB583" i="5"/>
  <c r="Z583" i="5"/>
  <c r="X583" i="5"/>
  <c r="V583" i="5"/>
  <c r="T583" i="5"/>
  <c r="AD582" i="5"/>
  <c r="AB582" i="5"/>
  <c r="Z582" i="5"/>
  <c r="X582" i="5"/>
  <c r="V582" i="5"/>
  <c r="T582" i="5"/>
  <c r="AD581" i="5"/>
  <c r="AB581" i="5"/>
  <c r="Z581" i="5"/>
  <c r="X581" i="5"/>
  <c r="V581" i="5"/>
  <c r="T581" i="5"/>
  <c r="AD580" i="5"/>
  <c r="AB580" i="5"/>
  <c r="Z580" i="5"/>
  <c r="X580" i="5"/>
  <c r="V580" i="5"/>
  <c r="T580" i="5"/>
  <c r="AD579" i="5"/>
  <c r="AB579" i="5"/>
  <c r="Z579" i="5"/>
  <c r="X579" i="5"/>
  <c r="V579" i="5"/>
  <c r="T579" i="5"/>
  <c r="AD578" i="5"/>
  <c r="AB578" i="5"/>
  <c r="Z578" i="5"/>
  <c r="X578" i="5"/>
  <c r="V578" i="5"/>
  <c r="T578" i="5"/>
  <c r="AD577" i="5"/>
  <c r="AB577" i="5"/>
  <c r="Z577" i="5"/>
  <c r="X577" i="5"/>
  <c r="V577" i="5"/>
  <c r="T577" i="5"/>
  <c r="AD576" i="5"/>
  <c r="AB576" i="5"/>
  <c r="Z576" i="5"/>
  <c r="X576" i="5"/>
  <c r="V576" i="5"/>
  <c r="T576" i="5"/>
  <c r="AD575" i="5"/>
  <c r="AB575" i="5"/>
  <c r="Z575" i="5"/>
  <c r="X575" i="5"/>
  <c r="V575" i="5"/>
  <c r="T575" i="5"/>
  <c r="AD574" i="5"/>
  <c r="AB574" i="5"/>
  <c r="Z574" i="5"/>
  <c r="X574" i="5"/>
  <c r="V574" i="5"/>
  <c r="T574" i="5"/>
  <c r="AD573" i="5"/>
  <c r="AB573" i="5"/>
  <c r="Z573" i="5"/>
  <c r="X573" i="5"/>
  <c r="V573" i="5"/>
  <c r="T573" i="5"/>
  <c r="AD572" i="5"/>
  <c r="AB572" i="5"/>
  <c r="Z572" i="5"/>
  <c r="X572" i="5"/>
  <c r="V572" i="5"/>
  <c r="T572" i="5"/>
  <c r="AD571" i="5"/>
  <c r="AB571" i="5"/>
  <c r="Z571" i="5"/>
  <c r="X571" i="5"/>
  <c r="V571" i="5"/>
  <c r="T571" i="5"/>
  <c r="AD570" i="5"/>
  <c r="AB570" i="5"/>
  <c r="Z570" i="5"/>
  <c r="X570" i="5"/>
  <c r="V570" i="5"/>
  <c r="T570" i="5"/>
  <c r="AD569" i="5"/>
  <c r="AB569" i="5"/>
  <c r="Z569" i="5"/>
  <c r="X569" i="5"/>
  <c r="V569" i="5"/>
  <c r="T569" i="5"/>
  <c r="AD568" i="5"/>
  <c r="AB568" i="5"/>
  <c r="Z568" i="5"/>
  <c r="X568" i="5"/>
  <c r="V568" i="5"/>
  <c r="T568" i="5"/>
  <c r="AD567" i="5"/>
  <c r="AB567" i="5"/>
  <c r="Z567" i="5"/>
  <c r="X567" i="5"/>
  <c r="V567" i="5"/>
  <c r="T567" i="5"/>
  <c r="AD566" i="5"/>
  <c r="AB566" i="5"/>
  <c r="Z566" i="5"/>
  <c r="X566" i="5"/>
  <c r="V566" i="5"/>
  <c r="T566" i="5"/>
  <c r="AD565" i="5"/>
  <c r="AB565" i="5"/>
  <c r="Z565" i="5"/>
  <c r="X565" i="5"/>
  <c r="V565" i="5"/>
  <c r="T565" i="5"/>
  <c r="AD564" i="5"/>
  <c r="AB564" i="5"/>
  <c r="Z564" i="5"/>
  <c r="X564" i="5"/>
  <c r="V564" i="5"/>
  <c r="T564" i="5"/>
  <c r="AD563" i="5"/>
  <c r="AB563" i="5"/>
  <c r="Z563" i="5"/>
  <c r="X563" i="5"/>
  <c r="V563" i="5"/>
  <c r="T563" i="5"/>
  <c r="AD562" i="5"/>
  <c r="AB562" i="5"/>
  <c r="Z562" i="5"/>
  <c r="X562" i="5"/>
  <c r="V562" i="5"/>
  <c r="T562" i="5"/>
  <c r="AD561" i="5"/>
  <c r="AB561" i="5"/>
  <c r="Z561" i="5"/>
  <c r="X561" i="5"/>
  <c r="V561" i="5"/>
  <c r="T561" i="5"/>
  <c r="AD560" i="5"/>
  <c r="AB560" i="5"/>
  <c r="Z560" i="5"/>
  <c r="X560" i="5"/>
  <c r="V560" i="5"/>
  <c r="T560" i="5"/>
  <c r="AD559" i="5"/>
  <c r="AB559" i="5"/>
  <c r="Z559" i="5"/>
  <c r="X559" i="5"/>
  <c r="V559" i="5"/>
  <c r="T559" i="5"/>
  <c r="AD558" i="5"/>
  <c r="AB558" i="5"/>
  <c r="Z558" i="5"/>
  <c r="X558" i="5"/>
  <c r="V558" i="5"/>
  <c r="T558" i="5"/>
  <c r="AD557" i="5"/>
  <c r="AB557" i="5"/>
  <c r="Z557" i="5"/>
  <c r="X557" i="5"/>
  <c r="V557" i="5"/>
  <c r="T557" i="5"/>
  <c r="AD556" i="5"/>
  <c r="AB556" i="5"/>
  <c r="Z556" i="5"/>
  <c r="X556" i="5"/>
  <c r="V556" i="5"/>
  <c r="T556" i="5"/>
  <c r="AD555" i="5"/>
  <c r="AB555" i="5"/>
  <c r="Z555" i="5"/>
  <c r="X555" i="5"/>
  <c r="V555" i="5"/>
  <c r="T555" i="5"/>
  <c r="AD554" i="5"/>
  <c r="AB554" i="5"/>
  <c r="Z554" i="5"/>
  <c r="X554" i="5"/>
  <c r="V554" i="5"/>
  <c r="T554" i="5"/>
  <c r="AD553" i="5"/>
  <c r="AB553" i="5"/>
  <c r="Z553" i="5"/>
  <c r="X553" i="5"/>
  <c r="V553" i="5"/>
  <c r="T553" i="5"/>
  <c r="AD552" i="5"/>
  <c r="AB552" i="5"/>
  <c r="Z552" i="5"/>
  <c r="X552" i="5"/>
  <c r="V552" i="5"/>
  <c r="T552" i="5"/>
  <c r="AD551" i="5"/>
  <c r="AB551" i="5"/>
  <c r="Z551" i="5"/>
  <c r="X551" i="5"/>
  <c r="V551" i="5"/>
  <c r="T551" i="5"/>
  <c r="AD550" i="5"/>
  <c r="AB550" i="5"/>
  <c r="Z550" i="5"/>
  <c r="X550" i="5"/>
  <c r="V550" i="5"/>
  <c r="T550" i="5"/>
  <c r="AD549" i="5"/>
  <c r="AB549" i="5"/>
  <c r="Z549" i="5"/>
  <c r="X549" i="5"/>
  <c r="V549" i="5"/>
  <c r="T549" i="5"/>
  <c r="AD548" i="5"/>
  <c r="AB548" i="5"/>
  <c r="Z548" i="5"/>
  <c r="X548" i="5"/>
  <c r="V548" i="5"/>
  <c r="T548" i="5"/>
  <c r="AD547" i="5"/>
  <c r="AB547" i="5"/>
  <c r="Z547" i="5"/>
  <c r="X547" i="5"/>
  <c r="V547" i="5"/>
  <c r="T547" i="5"/>
  <c r="AD546" i="5"/>
  <c r="AB546" i="5"/>
  <c r="Z546" i="5"/>
  <c r="X546" i="5"/>
  <c r="V546" i="5"/>
  <c r="T546" i="5"/>
  <c r="AD545" i="5"/>
  <c r="AB545" i="5"/>
  <c r="Z545" i="5"/>
  <c r="X545" i="5"/>
  <c r="V545" i="5"/>
  <c r="T545" i="5"/>
  <c r="AD544" i="5"/>
  <c r="AB544" i="5"/>
  <c r="Z544" i="5"/>
  <c r="X544" i="5"/>
  <c r="V544" i="5"/>
  <c r="T544" i="5"/>
  <c r="AD543" i="5"/>
  <c r="AB543" i="5"/>
  <c r="Z543" i="5"/>
  <c r="X543" i="5"/>
  <c r="V543" i="5"/>
  <c r="T543" i="5"/>
  <c r="AD542" i="5"/>
  <c r="AB542" i="5"/>
  <c r="Z542" i="5"/>
  <c r="X542" i="5"/>
  <c r="V542" i="5"/>
  <c r="T542" i="5"/>
  <c r="AD541" i="5"/>
  <c r="AB541" i="5"/>
  <c r="Z541" i="5"/>
  <c r="X541" i="5"/>
  <c r="V541" i="5"/>
  <c r="T541" i="5"/>
  <c r="AD540" i="5"/>
  <c r="AB540" i="5"/>
  <c r="Z540" i="5"/>
  <c r="X540" i="5"/>
  <c r="V540" i="5"/>
  <c r="T540" i="5"/>
  <c r="AD539" i="5"/>
  <c r="AB539" i="5"/>
  <c r="Z539" i="5"/>
  <c r="X539" i="5"/>
  <c r="V539" i="5"/>
  <c r="T539" i="5"/>
  <c r="AD538" i="5"/>
  <c r="AB538" i="5"/>
  <c r="Z538" i="5"/>
  <c r="X538" i="5"/>
  <c r="V538" i="5"/>
  <c r="T538" i="5"/>
  <c r="AD537" i="5"/>
  <c r="AB537" i="5"/>
  <c r="Z537" i="5"/>
  <c r="X537" i="5"/>
  <c r="V537" i="5"/>
  <c r="T537" i="5"/>
  <c r="AD536" i="5"/>
  <c r="AB536" i="5"/>
  <c r="Z536" i="5"/>
  <c r="X536" i="5"/>
  <c r="V536" i="5"/>
  <c r="T536" i="5"/>
  <c r="AD535" i="5"/>
  <c r="AB535" i="5"/>
  <c r="Z535" i="5"/>
  <c r="X535" i="5"/>
  <c r="V535" i="5"/>
  <c r="T535" i="5"/>
  <c r="AD534" i="5"/>
  <c r="AB534" i="5"/>
  <c r="Z534" i="5"/>
  <c r="X534" i="5"/>
  <c r="V534" i="5"/>
  <c r="T534" i="5"/>
  <c r="AD533" i="5"/>
  <c r="AB533" i="5"/>
  <c r="Z533" i="5"/>
  <c r="X533" i="5"/>
  <c r="V533" i="5"/>
  <c r="T533" i="5"/>
  <c r="AD532" i="5"/>
  <c r="AB532" i="5"/>
  <c r="Z532" i="5"/>
  <c r="X532" i="5"/>
  <c r="V532" i="5"/>
  <c r="T532" i="5"/>
  <c r="AD531" i="5"/>
  <c r="AB531" i="5"/>
  <c r="Z531" i="5"/>
  <c r="X531" i="5"/>
  <c r="V531" i="5"/>
  <c r="T531" i="5"/>
  <c r="AD530" i="5"/>
  <c r="AB530" i="5"/>
  <c r="Z530" i="5"/>
  <c r="X530" i="5"/>
  <c r="V530" i="5"/>
  <c r="T530" i="5"/>
  <c r="AD529" i="5"/>
  <c r="AB529" i="5"/>
  <c r="Z529" i="5"/>
  <c r="X529" i="5"/>
  <c r="V529" i="5"/>
  <c r="T529" i="5"/>
  <c r="AD528" i="5"/>
  <c r="AB528" i="5"/>
  <c r="Z528" i="5"/>
  <c r="X528" i="5"/>
  <c r="V528" i="5"/>
  <c r="T528" i="5"/>
  <c r="AD527" i="5"/>
  <c r="AB527" i="5"/>
  <c r="Z527" i="5"/>
  <c r="X527" i="5"/>
  <c r="V527" i="5"/>
  <c r="T527" i="5"/>
  <c r="AD526" i="5"/>
  <c r="AB526" i="5"/>
  <c r="Z526" i="5"/>
  <c r="X526" i="5"/>
  <c r="V526" i="5"/>
  <c r="T526" i="5"/>
  <c r="AD525" i="5"/>
  <c r="AB525" i="5"/>
  <c r="Z525" i="5"/>
  <c r="X525" i="5"/>
  <c r="V525" i="5"/>
  <c r="T525" i="5"/>
  <c r="AD524" i="5"/>
  <c r="AB524" i="5"/>
  <c r="Z524" i="5"/>
  <c r="X524" i="5"/>
  <c r="V524" i="5"/>
  <c r="T524" i="5"/>
  <c r="AD523" i="5"/>
  <c r="AB523" i="5"/>
  <c r="Z523" i="5"/>
  <c r="X523" i="5"/>
  <c r="V523" i="5"/>
  <c r="T523" i="5"/>
  <c r="AD522" i="5"/>
  <c r="AB522" i="5"/>
  <c r="Z522" i="5"/>
  <c r="X522" i="5"/>
  <c r="V522" i="5"/>
  <c r="T522" i="5"/>
  <c r="AD521" i="5"/>
  <c r="AB521" i="5"/>
  <c r="Z521" i="5"/>
  <c r="X521" i="5"/>
  <c r="V521" i="5"/>
  <c r="T521" i="5"/>
  <c r="AD520" i="5"/>
  <c r="AB520" i="5"/>
  <c r="Z520" i="5"/>
  <c r="X520" i="5"/>
  <c r="V520" i="5"/>
  <c r="T520" i="5"/>
  <c r="AD519" i="5"/>
  <c r="AB519" i="5"/>
  <c r="Z519" i="5"/>
  <c r="X519" i="5"/>
  <c r="V519" i="5"/>
  <c r="T519" i="5"/>
  <c r="AD518" i="5"/>
  <c r="AB518" i="5"/>
  <c r="Z518" i="5"/>
  <c r="X518" i="5"/>
  <c r="V518" i="5"/>
  <c r="T518" i="5"/>
  <c r="AD517" i="5"/>
  <c r="AB517" i="5"/>
  <c r="Z517" i="5"/>
  <c r="X517" i="5"/>
  <c r="V517" i="5"/>
  <c r="T517" i="5"/>
  <c r="AD516" i="5"/>
  <c r="AB516" i="5"/>
  <c r="Z516" i="5"/>
  <c r="X516" i="5"/>
  <c r="V516" i="5"/>
  <c r="T516" i="5"/>
  <c r="AD515" i="5"/>
  <c r="AB515" i="5"/>
  <c r="Z515" i="5"/>
  <c r="X515" i="5"/>
  <c r="V515" i="5"/>
  <c r="T515" i="5"/>
  <c r="AD514" i="5"/>
  <c r="AB514" i="5"/>
  <c r="Z514" i="5"/>
  <c r="X514" i="5"/>
  <c r="V514" i="5"/>
  <c r="T514" i="5"/>
  <c r="AD513" i="5"/>
  <c r="AB513" i="5"/>
  <c r="Z513" i="5"/>
  <c r="X513" i="5"/>
  <c r="V513" i="5"/>
  <c r="T513" i="5"/>
  <c r="AD512" i="5"/>
  <c r="AB512" i="5"/>
  <c r="Z512" i="5"/>
  <c r="X512" i="5"/>
  <c r="V512" i="5"/>
  <c r="T512" i="5"/>
  <c r="AD511" i="5"/>
  <c r="AB511" i="5"/>
  <c r="Z511" i="5"/>
  <c r="X511" i="5"/>
  <c r="V511" i="5"/>
  <c r="T511" i="5"/>
  <c r="AD510" i="5"/>
  <c r="AB510" i="5"/>
  <c r="Z510" i="5"/>
  <c r="X510" i="5"/>
  <c r="V510" i="5"/>
  <c r="T510" i="5"/>
  <c r="AD509" i="5"/>
  <c r="AB509" i="5"/>
  <c r="Z509" i="5"/>
  <c r="X509" i="5"/>
  <c r="V509" i="5"/>
  <c r="T509" i="5"/>
  <c r="AD508" i="5"/>
  <c r="AB508" i="5"/>
  <c r="Z508" i="5"/>
  <c r="X508" i="5"/>
  <c r="V508" i="5"/>
  <c r="T508" i="5"/>
  <c r="AD507" i="5"/>
  <c r="AB507" i="5"/>
  <c r="Z507" i="5"/>
  <c r="X507" i="5"/>
  <c r="V507" i="5"/>
  <c r="T507" i="5"/>
  <c r="AD506" i="5"/>
  <c r="AB506" i="5"/>
  <c r="Z506" i="5"/>
  <c r="X506" i="5"/>
  <c r="V506" i="5"/>
  <c r="T506" i="5"/>
  <c r="AD505" i="5"/>
  <c r="AB505" i="5"/>
  <c r="Z505" i="5"/>
  <c r="X505" i="5"/>
  <c r="V505" i="5"/>
  <c r="T505" i="5"/>
  <c r="AD504" i="5"/>
  <c r="AB504" i="5"/>
  <c r="Z504" i="5"/>
  <c r="X504" i="5"/>
  <c r="V504" i="5"/>
  <c r="T504" i="5"/>
  <c r="AD503" i="5"/>
  <c r="AB503" i="5"/>
  <c r="Z503" i="5"/>
  <c r="X503" i="5"/>
  <c r="V503" i="5"/>
  <c r="T503" i="5"/>
  <c r="AD502" i="5"/>
  <c r="AB502" i="5"/>
  <c r="Z502" i="5"/>
  <c r="X502" i="5"/>
  <c r="V502" i="5"/>
  <c r="T502" i="5"/>
  <c r="AD501" i="5"/>
  <c r="AB501" i="5"/>
  <c r="Z501" i="5"/>
  <c r="X501" i="5"/>
  <c r="V501" i="5"/>
  <c r="T501" i="5"/>
  <c r="AD500" i="5"/>
  <c r="AB500" i="5"/>
  <c r="Z500" i="5"/>
  <c r="X500" i="5"/>
  <c r="V500" i="5"/>
  <c r="T500" i="5"/>
  <c r="AD499" i="5"/>
  <c r="AB499" i="5"/>
  <c r="Z499" i="5"/>
  <c r="X499" i="5"/>
  <c r="V499" i="5"/>
  <c r="T499" i="5"/>
  <c r="AD498" i="5"/>
  <c r="AB498" i="5"/>
  <c r="Z498" i="5"/>
  <c r="X498" i="5"/>
  <c r="V498" i="5"/>
  <c r="T498" i="5"/>
  <c r="AD497" i="5"/>
  <c r="AB497" i="5"/>
  <c r="Z497" i="5"/>
  <c r="X497" i="5"/>
  <c r="V497" i="5"/>
  <c r="T497" i="5"/>
  <c r="AD496" i="5"/>
  <c r="AB496" i="5"/>
  <c r="Z496" i="5"/>
  <c r="X496" i="5"/>
  <c r="V496" i="5"/>
  <c r="T496" i="5"/>
  <c r="AD495" i="5"/>
  <c r="AB495" i="5"/>
  <c r="Z495" i="5"/>
  <c r="X495" i="5"/>
  <c r="V495" i="5"/>
  <c r="T495" i="5"/>
  <c r="AD494" i="5"/>
  <c r="AB494" i="5"/>
  <c r="Z494" i="5"/>
  <c r="X494" i="5"/>
  <c r="V494" i="5"/>
  <c r="T494" i="5"/>
  <c r="AD493" i="5"/>
  <c r="AB493" i="5"/>
  <c r="Z493" i="5"/>
  <c r="X493" i="5"/>
  <c r="V493" i="5"/>
  <c r="T493" i="5"/>
  <c r="AD492" i="5"/>
  <c r="AB492" i="5"/>
  <c r="Z492" i="5"/>
  <c r="X492" i="5"/>
  <c r="V492" i="5"/>
  <c r="T492" i="5"/>
  <c r="AD491" i="5"/>
  <c r="AB491" i="5"/>
  <c r="Z491" i="5"/>
  <c r="X491" i="5"/>
  <c r="V491" i="5"/>
  <c r="T491" i="5"/>
  <c r="AD490" i="5"/>
  <c r="AB490" i="5"/>
  <c r="Z490" i="5"/>
  <c r="X490" i="5"/>
  <c r="V490" i="5"/>
  <c r="T490" i="5"/>
  <c r="AD489" i="5"/>
  <c r="AB489" i="5"/>
  <c r="Z489" i="5"/>
  <c r="X489" i="5"/>
  <c r="V489" i="5"/>
  <c r="T489" i="5"/>
  <c r="AD488" i="5"/>
  <c r="AB488" i="5"/>
  <c r="Z488" i="5"/>
  <c r="X488" i="5"/>
  <c r="V488" i="5"/>
  <c r="T488" i="5"/>
  <c r="AD487" i="5"/>
  <c r="AB487" i="5"/>
  <c r="Z487" i="5"/>
  <c r="X487" i="5"/>
  <c r="V487" i="5"/>
  <c r="T487" i="5"/>
  <c r="AD486" i="5"/>
  <c r="AB486" i="5"/>
  <c r="Z486" i="5"/>
  <c r="X486" i="5"/>
  <c r="V486" i="5"/>
  <c r="T486" i="5"/>
  <c r="AD485" i="5"/>
  <c r="AB485" i="5"/>
  <c r="Z485" i="5"/>
  <c r="X485" i="5"/>
  <c r="V485" i="5"/>
  <c r="T485" i="5"/>
  <c r="AD484" i="5"/>
  <c r="AB484" i="5"/>
  <c r="Z484" i="5"/>
  <c r="X484" i="5"/>
  <c r="V484" i="5"/>
  <c r="T484" i="5"/>
  <c r="AD483" i="5"/>
  <c r="AB483" i="5"/>
  <c r="Z483" i="5"/>
  <c r="X483" i="5"/>
  <c r="V483" i="5"/>
  <c r="T483" i="5"/>
  <c r="AD482" i="5"/>
  <c r="AB482" i="5"/>
  <c r="Z482" i="5"/>
  <c r="X482" i="5"/>
  <c r="V482" i="5"/>
  <c r="T482" i="5"/>
  <c r="AD481" i="5"/>
  <c r="AB481" i="5"/>
  <c r="Z481" i="5"/>
  <c r="X481" i="5"/>
  <c r="V481" i="5"/>
  <c r="T481" i="5"/>
  <c r="AD480" i="5"/>
  <c r="AB480" i="5"/>
  <c r="Z480" i="5"/>
  <c r="X480" i="5"/>
  <c r="V480" i="5"/>
  <c r="T480" i="5"/>
  <c r="AD479" i="5"/>
  <c r="AB479" i="5"/>
  <c r="Z479" i="5"/>
  <c r="X479" i="5"/>
  <c r="V479" i="5"/>
  <c r="T479" i="5"/>
  <c r="AD478" i="5"/>
  <c r="AB478" i="5"/>
  <c r="Z478" i="5"/>
  <c r="X478" i="5"/>
  <c r="V478" i="5"/>
  <c r="T478" i="5"/>
  <c r="AD477" i="5"/>
  <c r="AB477" i="5"/>
  <c r="Z477" i="5"/>
  <c r="X477" i="5"/>
  <c r="V477" i="5"/>
  <c r="T477" i="5"/>
  <c r="AD476" i="5"/>
  <c r="AB476" i="5"/>
  <c r="Z476" i="5"/>
  <c r="X476" i="5"/>
  <c r="V476" i="5"/>
  <c r="T476" i="5"/>
  <c r="AD475" i="5"/>
  <c r="AB475" i="5"/>
  <c r="Z475" i="5"/>
  <c r="X475" i="5"/>
  <c r="V475" i="5"/>
  <c r="T475" i="5"/>
  <c r="AD474" i="5"/>
  <c r="AB474" i="5"/>
  <c r="Z474" i="5"/>
  <c r="X474" i="5"/>
  <c r="V474" i="5"/>
  <c r="T474" i="5"/>
  <c r="AD473" i="5"/>
  <c r="AB473" i="5"/>
  <c r="Z473" i="5"/>
  <c r="X473" i="5"/>
  <c r="V473" i="5"/>
  <c r="T473" i="5"/>
  <c r="AD472" i="5"/>
  <c r="AB472" i="5"/>
  <c r="Z472" i="5"/>
  <c r="X472" i="5"/>
  <c r="V472" i="5"/>
  <c r="T472" i="5"/>
  <c r="AD471" i="5"/>
  <c r="AB471" i="5"/>
  <c r="Z471" i="5"/>
  <c r="X471" i="5"/>
  <c r="V471" i="5"/>
  <c r="T471" i="5"/>
  <c r="AD470" i="5"/>
  <c r="AB470" i="5"/>
  <c r="Z470" i="5"/>
  <c r="X470" i="5"/>
  <c r="V470" i="5"/>
  <c r="T470" i="5"/>
  <c r="AD469" i="5"/>
  <c r="AB469" i="5"/>
  <c r="Z469" i="5"/>
  <c r="X469" i="5"/>
  <c r="V469" i="5"/>
  <c r="T469" i="5"/>
  <c r="AD468" i="5"/>
  <c r="AB468" i="5"/>
  <c r="Z468" i="5"/>
  <c r="X468" i="5"/>
  <c r="V468" i="5"/>
  <c r="T468" i="5"/>
  <c r="AD467" i="5"/>
  <c r="AB467" i="5"/>
  <c r="Z467" i="5"/>
  <c r="X467" i="5"/>
  <c r="V467" i="5"/>
  <c r="T467" i="5"/>
  <c r="AD466" i="5"/>
  <c r="AB466" i="5"/>
  <c r="Z466" i="5"/>
  <c r="X466" i="5"/>
  <c r="V466" i="5"/>
  <c r="T466" i="5"/>
  <c r="AD465" i="5"/>
  <c r="AB465" i="5"/>
  <c r="Z465" i="5"/>
  <c r="X465" i="5"/>
  <c r="V465" i="5"/>
  <c r="T465" i="5"/>
  <c r="AD464" i="5"/>
  <c r="AB464" i="5"/>
  <c r="Z464" i="5"/>
  <c r="X464" i="5"/>
  <c r="V464" i="5"/>
  <c r="T464" i="5"/>
  <c r="AD463" i="5"/>
  <c r="AB463" i="5"/>
  <c r="Z463" i="5"/>
  <c r="X463" i="5"/>
  <c r="V463" i="5"/>
  <c r="T463" i="5"/>
  <c r="AD462" i="5"/>
  <c r="AB462" i="5"/>
  <c r="Z462" i="5"/>
  <c r="X462" i="5"/>
  <c r="V462" i="5"/>
  <c r="T462" i="5"/>
  <c r="AD461" i="5"/>
  <c r="AB461" i="5"/>
  <c r="Z461" i="5"/>
  <c r="X461" i="5"/>
  <c r="V461" i="5"/>
  <c r="T461" i="5"/>
  <c r="AD460" i="5"/>
  <c r="AB460" i="5"/>
  <c r="Z460" i="5"/>
  <c r="X460" i="5"/>
  <c r="V460" i="5"/>
  <c r="T460" i="5"/>
  <c r="AD459" i="5"/>
  <c r="AB459" i="5"/>
  <c r="Z459" i="5"/>
  <c r="X459" i="5"/>
  <c r="V459" i="5"/>
  <c r="T459" i="5"/>
  <c r="AD458" i="5"/>
  <c r="AB458" i="5"/>
  <c r="Z458" i="5"/>
  <c r="X458" i="5"/>
  <c r="V458" i="5"/>
  <c r="T458" i="5"/>
  <c r="AD457" i="5"/>
  <c r="AB457" i="5"/>
  <c r="Z457" i="5"/>
  <c r="X457" i="5"/>
  <c r="V457" i="5"/>
  <c r="T457" i="5"/>
  <c r="AD456" i="5"/>
  <c r="AB456" i="5"/>
  <c r="Z456" i="5"/>
  <c r="X456" i="5"/>
  <c r="V456" i="5"/>
  <c r="T456" i="5"/>
  <c r="AD455" i="5"/>
  <c r="AB455" i="5"/>
  <c r="Z455" i="5"/>
  <c r="X455" i="5"/>
  <c r="V455" i="5"/>
  <c r="T455" i="5"/>
  <c r="AD454" i="5"/>
  <c r="AB454" i="5"/>
  <c r="Z454" i="5"/>
  <c r="X454" i="5"/>
  <c r="V454" i="5"/>
  <c r="T454" i="5"/>
  <c r="AD453" i="5"/>
  <c r="AB453" i="5"/>
  <c r="Z453" i="5"/>
  <c r="X453" i="5"/>
  <c r="V453" i="5"/>
  <c r="T453" i="5"/>
  <c r="AD452" i="5"/>
  <c r="AB452" i="5"/>
  <c r="Z452" i="5"/>
  <c r="X452" i="5"/>
  <c r="V452" i="5"/>
  <c r="T452" i="5"/>
  <c r="AD451" i="5"/>
  <c r="AB451" i="5"/>
  <c r="Z451" i="5"/>
  <c r="X451" i="5"/>
  <c r="V451" i="5"/>
  <c r="T451" i="5"/>
  <c r="AD450" i="5"/>
  <c r="AB450" i="5"/>
  <c r="Z450" i="5"/>
  <c r="X450" i="5"/>
  <c r="V450" i="5"/>
  <c r="T450" i="5"/>
  <c r="AD449" i="5"/>
  <c r="AB449" i="5"/>
  <c r="Z449" i="5"/>
  <c r="X449" i="5"/>
  <c r="V449" i="5"/>
  <c r="T449" i="5"/>
  <c r="AD448" i="5"/>
  <c r="AB448" i="5"/>
  <c r="Z448" i="5"/>
  <c r="X448" i="5"/>
  <c r="V448" i="5"/>
  <c r="T448" i="5"/>
  <c r="AD447" i="5"/>
  <c r="AB447" i="5"/>
  <c r="Z447" i="5"/>
  <c r="X447" i="5"/>
  <c r="V447" i="5"/>
  <c r="T447" i="5"/>
  <c r="AD446" i="5"/>
  <c r="AB446" i="5"/>
  <c r="Z446" i="5"/>
  <c r="X446" i="5"/>
  <c r="V446" i="5"/>
  <c r="T446" i="5"/>
  <c r="AD445" i="5"/>
  <c r="AB445" i="5"/>
  <c r="Z445" i="5"/>
  <c r="X445" i="5"/>
  <c r="V445" i="5"/>
  <c r="T445" i="5"/>
  <c r="AD444" i="5"/>
  <c r="AB444" i="5"/>
  <c r="Z444" i="5"/>
  <c r="X444" i="5"/>
  <c r="V444" i="5"/>
  <c r="T444" i="5"/>
  <c r="AD443" i="5"/>
  <c r="AB443" i="5"/>
  <c r="Z443" i="5"/>
  <c r="X443" i="5"/>
  <c r="V443" i="5"/>
  <c r="T443" i="5"/>
  <c r="AD442" i="5"/>
  <c r="AB442" i="5"/>
  <c r="Z442" i="5"/>
  <c r="X442" i="5"/>
  <c r="V442" i="5"/>
  <c r="T442" i="5"/>
  <c r="AD441" i="5"/>
  <c r="AB441" i="5"/>
  <c r="Z441" i="5"/>
  <c r="X441" i="5"/>
  <c r="V441" i="5"/>
  <c r="T441" i="5"/>
  <c r="AD440" i="5"/>
  <c r="AB440" i="5"/>
  <c r="Z440" i="5"/>
  <c r="X440" i="5"/>
  <c r="V440" i="5"/>
  <c r="T440" i="5"/>
  <c r="AD439" i="5"/>
  <c r="AB439" i="5"/>
  <c r="Z439" i="5"/>
  <c r="X439" i="5"/>
  <c r="V439" i="5"/>
  <c r="T439" i="5"/>
  <c r="AD438" i="5"/>
  <c r="AB438" i="5"/>
  <c r="Z438" i="5"/>
  <c r="X438" i="5"/>
  <c r="V438" i="5"/>
  <c r="T438" i="5"/>
  <c r="AD437" i="5"/>
  <c r="AB437" i="5"/>
  <c r="Z437" i="5"/>
  <c r="X437" i="5"/>
  <c r="V437" i="5"/>
  <c r="T437" i="5"/>
  <c r="AD436" i="5"/>
  <c r="AB436" i="5"/>
  <c r="Z436" i="5"/>
  <c r="X436" i="5"/>
  <c r="V436" i="5"/>
  <c r="T436" i="5"/>
  <c r="AD435" i="5"/>
  <c r="AB435" i="5"/>
  <c r="Z435" i="5"/>
  <c r="X435" i="5"/>
  <c r="V435" i="5"/>
  <c r="T435" i="5"/>
  <c r="AD434" i="5"/>
  <c r="AB434" i="5"/>
  <c r="Z434" i="5"/>
  <c r="X434" i="5"/>
  <c r="V434" i="5"/>
  <c r="T434" i="5"/>
  <c r="AD433" i="5"/>
  <c r="AB433" i="5"/>
  <c r="Z433" i="5"/>
  <c r="X433" i="5"/>
  <c r="V433" i="5"/>
  <c r="T433" i="5"/>
  <c r="AD432" i="5"/>
  <c r="AB432" i="5"/>
  <c r="Z432" i="5"/>
  <c r="X432" i="5"/>
  <c r="V432" i="5"/>
  <c r="T432" i="5"/>
  <c r="AD431" i="5"/>
  <c r="AB431" i="5"/>
  <c r="Z431" i="5"/>
  <c r="X431" i="5"/>
  <c r="V431" i="5"/>
  <c r="T431" i="5"/>
  <c r="AD430" i="5"/>
  <c r="AB430" i="5"/>
  <c r="Z430" i="5"/>
  <c r="X430" i="5"/>
  <c r="V430" i="5"/>
  <c r="T430" i="5"/>
  <c r="AD429" i="5"/>
  <c r="AB429" i="5"/>
  <c r="Z429" i="5"/>
  <c r="X429" i="5"/>
  <c r="V429" i="5"/>
  <c r="T429" i="5"/>
  <c r="AD428" i="5"/>
  <c r="AB428" i="5"/>
  <c r="Z428" i="5"/>
  <c r="X428" i="5"/>
  <c r="V428" i="5"/>
  <c r="T428" i="5"/>
  <c r="AD427" i="5"/>
  <c r="AB427" i="5"/>
  <c r="Z427" i="5"/>
  <c r="X427" i="5"/>
  <c r="V427" i="5"/>
  <c r="T427" i="5"/>
  <c r="AD426" i="5"/>
  <c r="AB426" i="5"/>
  <c r="Z426" i="5"/>
  <c r="X426" i="5"/>
  <c r="V426" i="5"/>
  <c r="T426" i="5"/>
  <c r="AD425" i="5"/>
  <c r="AB425" i="5"/>
  <c r="Z425" i="5"/>
  <c r="X425" i="5"/>
  <c r="V425" i="5"/>
  <c r="T425" i="5"/>
  <c r="AD424" i="5"/>
  <c r="AB424" i="5"/>
  <c r="Z424" i="5"/>
  <c r="X424" i="5"/>
  <c r="V424" i="5"/>
  <c r="T424" i="5"/>
  <c r="AD423" i="5"/>
  <c r="AB423" i="5"/>
  <c r="Z423" i="5"/>
  <c r="X423" i="5"/>
  <c r="V423" i="5"/>
  <c r="T423" i="5"/>
  <c r="AD422" i="5"/>
  <c r="AB422" i="5"/>
  <c r="Z422" i="5"/>
  <c r="X422" i="5"/>
  <c r="V422" i="5"/>
  <c r="T422" i="5"/>
  <c r="AD421" i="5"/>
  <c r="AB421" i="5"/>
  <c r="Z421" i="5"/>
  <c r="X421" i="5"/>
  <c r="V421" i="5"/>
  <c r="T421" i="5"/>
  <c r="AD420" i="5"/>
  <c r="AB420" i="5"/>
  <c r="Z420" i="5"/>
  <c r="X420" i="5"/>
  <c r="V420" i="5"/>
  <c r="T420" i="5"/>
  <c r="AD419" i="5"/>
  <c r="AB419" i="5"/>
  <c r="Z419" i="5"/>
  <c r="X419" i="5"/>
  <c r="V419" i="5"/>
  <c r="T419" i="5"/>
  <c r="AD418" i="5"/>
  <c r="AB418" i="5"/>
  <c r="Z418" i="5"/>
  <c r="X418" i="5"/>
  <c r="V418" i="5"/>
  <c r="T418" i="5"/>
  <c r="AD417" i="5"/>
  <c r="AB417" i="5"/>
  <c r="Z417" i="5"/>
  <c r="X417" i="5"/>
  <c r="V417" i="5"/>
  <c r="T417" i="5"/>
  <c r="AD416" i="5"/>
  <c r="AB416" i="5"/>
  <c r="Z416" i="5"/>
  <c r="X416" i="5"/>
  <c r="V416" i="5"/>
  <c r="T416" i="5"/>
  <c r="AD415" i="5"/>
  <c r="AB415" i="5"/>
  <c r="Z415" i="5"/>
  <c r="X415" i="5"/>
  <c r="V415" i="5"/>
  <c r="T415" i="5"/>
  <c r="AD414" i="5"/>
  <c r="AB414" i="5"/>
  <c r="Z414" i="5"/>
  <c r="X414" i="5"/>
  <c r="V414" i="5"/>
  <c r="T414" i="5"/>
  <c r="AD413" i="5"/>
  <c r="AB413" i="5"/>
  <c r="Z413" i="5"/>
  <c r="X413" i="5"/>
  <c r="V413" i="5"/>
  <c r="T413" i="5"/>
  <c r="AD412" i="5"/>
  <c r="AB412" i="5"/>
  <c r="Z412" i="5"/>
  <c r="X412" i="5"/>
  <c r="V412" i="5"/>
  <c r="T412" i="5"/>
  <c r="AD411" i="5"/>
  <c r="AB411" i="5"/>
  <c r="Z411" i="5"/>
  <c r="X411" i="5"/>
  <c r="V411" i="5"/>
  <c r="T411" i="5"/>
  <c r="AD410" i="5"/>
  <c r="AB410" i="5"/>
  <c r="Z410" i="5"/>
  <c r="X410" i="5"/>
  <c r="V410" i="5"/>
  <c r="T410" i="5"/>
  <c r="AD409" i="5"/>
  <c r="AB409" i="5"/>
  <c r="Z409" i="5"/>
  <c r="X409" i="5"/>
  <c r="V409" i="5"/>
  <c r="T409" i="5"/>
  <c r="AD408" i="5"/>
  <c r="AB408" i="5"/>
  <c r="Z408" i="5"/>
  <c r="X408" i="5"/>
  <c r="V408" i="5"/>
  <c r="T408" i="5"/>
  <c r="AD407" i="5"/>
  <c r="AB407" i="5"/>
  <c r="Z407" i="5"/>
  <c r="X407" i="5"/>
  <c r="V407" i="5"/>
  <c r="T407" i="5"/>
  <c r="AD406" i="5"/>
  <c r="AB406" i="5"/>
  <c r="Z406" i="5"/>
  <c r="X406" i="5"/>
  <c r="V406" i="5"/>
  <c r="T406" i="5"/>
  <c r="AD405" i="5"/>
  <c r="AB405" i="5"/>
  <c r="Z405" i="5"/>
  <c r="X405" i="5"/>
  <c r="V405" i="5"/>
  <c r="T405" i="5"/>
  <c r="AD404" i="5"/>
  <c r="AB404" i="5"/>
  <c r="Z404" i="5"/>
  <c r="X404" i="5"/>
  <c r="V404" i="5"/>
  <c r="T404" i="5"/>
  <c r="AD403" i="5"/>
  <c r="AB403" i="5"/>
  <c r="Z403" i="5"/>
  <c r="X403" i="5"/>
  <c r="V403" i="5"/>
  <c r="T403" i="5"/>
  <c r="AD402" i="5"/>
  <c r="AB402" i="5"/>
  <c r="Z402" i="5"/>
  <c r="X402" i="5"/>
  <c r="V402" i="5"/>
  <c r="T402" i="5"/>
  <c r="AD401" i="5"/>
  <c r="AB401" i="5"/>
  <c r="Z401" i="5"/>
  <c r="X401" i="5"/>
  <c r="V401" i="5"/>
  <c r="T401" i="5"/>
  <c r="AD400" i="5"/>
  <c r="AB400" i="5"/>
  <c r="Z400" i="5"/>
  <c r="X400" i="5"/>
  <c r="V400" i="5"/>
  <c r="T400" i="5"/>
  <c r="AD399" i="5"/>
  <c r="AB399" i="5"/>
  <c r="Z399" i="5"/>
  <c r="X399" i="5"/>
  <c r="V399" i="5"/>
  <c r="T399" i="5"/>
  <c r="AD398" i="5"/>
  <c r="AB398" i="5"/>
  <c r="Z398" i="5"/>
  <c r="X398" i="5"/>
  <c r="V398" i="5"/>
  <c r="T398" i="5"/>
  <c r="AD397" i="5"/>
  <c r="AB397" i="5"/>
  <c r="Z397" i="5"/>
  <c r="X397" i="5"/>
  <c r="V397" i="5"/>
  <c r="T397" i="5"/>
  <c r="AD396" i="5"/>
  <c r="AB396" i="5"/>
  <c r="Z396" i="5"/>
  <c r="X396" i="5"/>
  <c r="V396" i="5"/>
  <c r="T396" i="5"/>
  <c r="AD395" i="5"/>
  <c r="AB395" i="5"/>
  <c r="Z395" i="5"/>
  <c r="X395" i="5"/>
  <c r="V395" i="5"/>
  <c r="T395" i="5"/>
  <c r="AD394" i="5"/>
  <c r="AB394" i="5"/>
  <c r="Z394" i="5"/>
  <c r="X394" i="5"/>
  <c r="V394" i="5"/>
  <c r="T394" i="5"/>
  <c r="AD393" i="5"/>
  <c r="AB393" i="5"/>
  <c r="Z393" i="5"/>
  <c r="X393" i="5"/>
  <c r="V393" i="5"/>
  <c r="T393" i="5"/>
  <c r="AD392" i="5"/>
  <c r="AB392" i="5"/>
  <c r="Z392" i="5"/>
  <c r="X392" i="5"/>
  <c r="V392" i="5"/>
  <c r="T392" i="5"/>
  <c r="AD391" i="5"/>
  <c r="AB391" i="5"/>
  <c r="Z391" i="5"/>
  <c r="X391" i="5"/>
  <c r="V391" i="5"/>
  <c r="T391" i="5"/>
  <c r="AD390" i="5"/>
  <c r="AB390" i="5"/>
  <c r="Z390" i="5"/>
  <c r="X390" i="5"/>
  <c r="V390" i="5"/>
  <c r="T390" i="5"/>
  <c r="AD389" i="5"/>
  <c r="AB389" i="5"/>
  <c r="Z389" i="5"/>
  <c r="X389" i="5"/>
  <c r="V389" i="5"/>
  <c r="T389" i="5"/>
  <c r="AD388" i="5"/>
  <c r="AB388" i="5"/>
  <c r="Z388" i="5"/>
  <c r="X388" i="5"/>
  <c r="V388" i="5"/>
  <c r="T388" i="5"/>
  <c r="AD387" i="5"/>
  <c r="AB387" i="5"/>
  <c r="Z387" i="5"/>
  <c r="X387" i="5"/>
  <c r="V387" i="5"/>
  <c r="T387" i="5"/>
  <c r="AD386" i="5"/>
  <c r="AB386" i="5"/>
  <c r="Z386" i="5"/>
  <c r="X386" i="5"/>
  <c r="V386" i="5"/>
  <c r="T386" i="5"/>
  <c r="AD385" i="5"/>
  <c r="AB385" i="5"/>
  <c r="Z385" i="5"/>
  <c r="X385" i="5"/>
  <c r="V385" i="5"/>
  <c r="T385" i="5"/>
  <c r="AD384" i="5"/>
  <c r="AB384" i="5"/>
  <c r="Z384" i="5"/>
  <c r="X384" i="5"/>
  <c r="V384" i="5"/>
  <c r="T384" i="5"/>
  <c r="AD383" i="5"/>
  <c r="AB383" i="5"/>
  <c r="Z383" i="5"/>
  <c r="X383" i="5"/>
  <c r="V383" i="5"/>
  <c r="T383" i="5"/>
  <c r="AD382" i="5"/>
  <c r="AB382" i="5"/>
  <c r="Z382" i="5"/>
  <c r="X382" i="5"/>
  <c r="V382" i="5"/>
  <c r="T382" i="5"/>
  <c r="AD381" i="5"/>
  <c r="AB381" i="5"/>
  <c r="Z381" i="5"/>
  <c r="X381" i="5"/>
  <c r="V381" i="5"/>
  <c r="T381" i="5"/>
  <c r="AD380" i="5"/>
  <c r="AB380" i="5"/>
  <c r="Z380" i="5"/>
  <c r="X380" i="5"/>
  <c r="V380" i="5"/>
  <c r="T380" i="5"/>
  <c r="AD379" i="5"/>
  <c r="AB379" i="5"/>
  <c r="Z379" i="5"/>
  <c r="X379" i="5"/>
  <c r="V379" i="5"/>
  <c r="T379" i="5"/>
  <c r="AD378" i="5"/>
  <c r="AB378" i="5"/>
  <c r="Z378" i="5"/>
  <c r="X378" i="5"/>
  <c r="V378" i="5"/>
  <c r="T378" i="5"/>
  <c r="AD377" i="5"/>
  <c r="AB377" i="5"/>
  <c r="Z377" i="5"/>
  <c r="X377" i="5"/>
  <c r="V377" i="5"/>
  <c r="T377" i="5"/>
  <c r="AD376" i="5"/>
  <c r="AB376" i="5"/>
  <c r="Z376" i="5"/>
  <c r="X376" i="5"/>
  <c r="V376" i="5"/>
  <c r="T376" i="5"/>
  <c r="AD375" i="5"/>
  <c r="AB375" i="5"/>
  <c r="Z375" i="5"/>
  <c r="X375" i="5"/>
  <c r="V375" i="5"/>
  <c r="T375" i="5"/>
  <c r="AD374" i="5"/>
  <c r="AB374" i="5"/>
  <c r="Z374" i="5"/>
  <c r="X374" i="5"/>
  <c r="V374" i="5"/>
  <c r="T374" i="5"/>
  <c r="AD373" i="5"/>
  <c r="AB373" i="5"/>
  <c r="Z373" i="5"/>
  <c r="X373" i="5"/>
  <c r="V373" i="5"/>
  <c r="T373" i="5"/>
  <c r="AD372" i="5"/>
  <c r="AB372" i="5"/>
  <c r="Z372" i="5"/>
  <c r="X372" i="5"/>
  <c r="V372" i="5"/>
  <c r="T372" i="5"/>
  <c r="AD371" i="5"/>
  <c r="AB371" i="5"/>
  <c r="Z371" i="5"/>
  <c r="X371" i="5"/>
  <c r="V371" i="5"/>
  <c r="T371" i="5"/>
  <c r="AD370" i="5"/>
  <c r="AB370" i="5"/>
  <c r="Z370" i="5"/>
  <c r="X370" i="5"/>
  <c r="V370" i="5"/>
  <c r="T370" i="5"/>
  <c r="AD369" i="5"/>
  <c r="AB369" i="5"/>
  <c r="Z369" i="5"/>
  <c r="X369" i="5"/>
  <c r="V369" i="5"/>
  <c r="T369" i="5"/>
  <c r="AD368" i="5"/>
  <c r="AB368" i="5"/>
  <c r="Z368" i="5"/>
  <c r="X368" i="5"/>
  <c r="V368" i="5"/>
  <c r="T368" i="5"/>
  <c r="AD367" i="5"/>
  <c r="AB367" i="5"/>
  <c r="Z367" i="5"/>
  <c r="X367" i="5"/>
  <c r="V367" i="5"/>
  <c r="T367" i="5"/>
  <c r="AD366" i="5"/>
  <c r="AB366" i="5"/>
  <c r="Z366" i="5"/>
  <c r="X366" i="5"/>
  <c r="V366" i="5"/>
  <c r="T366" i="5"/>
  <c r="AD365" i="5"/>
  <c r="AB365" i="5"/>
  <c r="Z365" i="5"/>
  <c r="X365" i="5"/>
  <c r="V365" i="5"/>
  <c r="T365" i="5"/>
  <c r="AD364" i="5"/>
  <c r="AB364" i="5"/>
  <c r="Z364" i="5"/>
  <c r="X364" i="5"/>
  <c r="V364" i="5"/>
  <c r="T364" i="5"/>
  <c r="AD363" i="5"/>
  <c r="AB363" i="5"/>
  <c r="Z363" i="5"/>
  <c r="X363" i="5"/>
  <c r="V363" i="5"/>
  <c r="T363" i="5"/>
  <c r="AD362" i="5"/>
  <c r="AB362" i="5"/>
  <c r="Z362" i="5"/>
  <c r="X362" i="5"/>
  <c r="V362" i="5"/>
  <c r="T362" i="5"/>
  <c r="AD361" i="5"/>
  <c r="AB361" i="5"/>
  <c r="Z361" i="5"/>
  <c r="X361" i="5"/>
  <c r="V361" i="5"/>
  <c r="T361" i="5"/>
  <c r="AD360" i="5"/>
  <c r="AB360" i="5"/>
  <c r="Z360" i="5"/>
  <c r="X360" i="5"/>
  <c r="V360" i="5"/>
  <c r="T360" i="5"/>
  <c r="AD359" i="5"/>
  <c r="AB359" i="5"/>
  <c r="Z359" i="5"/>
  <c r="X359" i="5"/>
  <c r="V359" i="5"/>
  <c r="T359" i="5"/>
  <c r="AD358" i="5"/>
  <c r="AB358" i="5"/>
  <c r="Z358" i="5"/>
  <c r="X358" i="5"/>
  <c r="V358" i="5"/>
  <c r="T358" i="5"/>
  <c r="AD357" i="5"/>
  <c r="AB357" i="5"/>
  <c r="Z357" i="5"/>
  <c r="X357" i="5"/>
  <c r="V357" i="5"/>
  <c r="T357" i="5"/>
  <c r="AD356" i="5"/>
  <c r="AB356" i="5"/>
  <c r="Z356" i="5"/>
  <c r="X356" i="5"/>
  <c r="V356" i="5"/>
  <c r="T356" i="5"/>
  <c r="AD355" i="5"/>
  <c r="AB355" i="5"/>
  <c r="Z355" i="5"/>
  <c r="X355" i="5"/>
  <c r="V355" i="5"/>
  <c r="T355" i="5"/>
  <c r="AD354" i="5"/>
  <c r="AB354" i="5"/>
  <c r="Z354" i="5"/>
  <c r="X354" i="5"/>
  <c r="V354" i="5"/>
  <c r="T354" i="5"/>
  <c r="AD353" i="5"/>
  <c r="AB353" i="5"/>
  <c r="Z353" i="5"/>
  <c r="X353" i="5"/>
  <c r="V353" i="5"/>
  <c r="T353" i="5"/>
  <c r="AD352" i="5"/>
  <c r="AB352" i="5"/>
  <c r="Z352" i="5"/>
  <c r="X352" i="5"/>
  <c r="V352" i="5"/>
  <c r="T352" i="5"/>
  <c r="AD351" i="5"/>
  <c r="AB351" i="5"/>
  <c r="Z351" i="5"/>
  <c r="X351" i="5"/>
  <c r="V351" i="5"/>
  <c r="T351" i="5"/>
  <c r="AD350" i="5"/>
  <c r="AB350" i="5"/>
  <c r="Z350" i="5"/>
  <c r="X350" i="5"/>
  <c r="V350" i="5"/>
  <c r="T350" i="5"/>
  <c r="AD349" i="5"/>
  <c r="AB349" i="5"/>
  <c r="Z349" i="5"/>
  <c r="X349" i="5"/>
  <c r="V349" i="5"/>
  <c r="T349" i="5"/>
  <c r="AD348" i="5"/>
  <c r="AB348" i="5"/>
  <c r="Z348" i="5"/>
  <c r="X348" i="5"/>
  <c r="V348" i="5"/>
  <c r="AD347" i="5"/>
  <c r="AB347" i="5"/>
  <c r="Z347" i="5"/>
  <c r="X347" i="5"/>
  <c r="V347" i="5"/>
  <c r="AD346" i="5"/>
  <c r="AB346" i="5"/>
  <c r="Z346" i="5"/>
  <c r="X346" i="5"/>
  <c r="V346" i="5"/>
  <c r="AD345" i="5"/>
  <c r="AB345" i="5"/>
  <c r="Z345" i="5"/>
  <c r="X345" i="5"/>
  <c r="V345" i="5"/>
  <c r="T345" i="5"/>
  <c r="AD344" i="5"/>
  <c r="AB344" i="5"/>
  <c r="Z344" i="5"/>
  <c r="X344" i="5"/>
  <c r="V344" i="5"/>
  <c r="T344" i="5"/>
  <c r="AD343" i="5"/>
  <c r="AB343" i="5"/>
  <c r="Z343" i="5"/>
  <c r="X343" i="5"/>
  <c r="V343" i="5"/>
  <c r="T343" i="5"/>
  <c r="AD342" i="5"/>
  <c r="AB342" i="5"/>
  <c r="Z342" i="5"/>
  <c r="X342" i="5"/>
  <c r="V342" i="5"/>
  <c r="T342" i="5"/>
  <c r="AD341" i="5"/>
  <c r="AB341" i="5"/>
  <c r="Z341" i="5"/>
  <c r="X341" i="5"/>
  <c r="V341" i="5"/>
  <c r="T341" i="5"/>
  <c r="AD340" i="5"/>
  <c r="AB340" i="5"/>
  <c r="Z340" i="5"/>
  <c r="X340" i="5"/>
  <c r="V340" i="5"/>
  <c r="T340" i="5"/>
  <c r="AD339" i="5"/>
  <c r="AB339" i="5"/>
  <c r="Z339" i="5"/>
  <c r="X339" i="5"/>
  <c r="V339" i="5"/>
  <c r="T339" i="5"/>
  <c r="AD338" i="5"/>
  <c r="AB338" i="5"/>
  <c r="Z338" i="5"/>
  <c r="X338" i="5"/>
  <c r="V338" i="5"/>
  <c r="T338" i="5"/>
  <c r="AD337" i="5"/>
  <c r="AB337" i="5"/>
  <c r="Z337" i="5"/>
  <c r="X337" i="5"/>
  <c r="V337" i="5"/>
  <c r="T337" i="5"/>
  <c r="AD336" i="5"/>
  <c r="AB336" i="5"/>
  <c r="Z336" i="5"/>
  <c r="X336" i="5"/>
  <c r="V336" i="5"/>
  <c r="T336" i="5"/>
  <c r="AD335" i="5"/>
  <c r="AB335" i="5"/>
  <c r="Z335" i="5"/>
  <c r="X335" i="5"/>
  <c r="V335" i="5"/>
  <c r="T335" i="5"/>
  <c r="AD334" i="5"/>
  <c r="AB334" i="5"/>
  <c r="Z334" i="5"/>
  <c r="X334" i="5"/>
  <c r="V334" i="5"/>
  <c r="T334" i="5"/>
  <c r="AD333" i="5"/>
  <c r="AB333" i="5"/>
  <c r="Z333" i="5"/>
  <c r="X333" i="5"/>
  <c r="V333" i="5"/>
  <c r="T333" i="5"/>
  <c r="AD332" i="5"/>
  <c r="AB332" i="5"/>
  <c r="Z332" i="5"/>
  <c r="X332" i="5"/>
  <c r="V332" i="5"/>
  <c r="T332" i="5"/>
  <c r="AD331" i="5"/>
  <c r="AB331" i="5"/>
  <c r="Z331" i="5"/>
  <c r="X331" i="5"/>
  <c r="V331" i="5"/>
  <c r="T331" i="5"/>
  <c r="AD330" i="5"/>
  <c r="AB330" i="5"/>
  <c r="Z330" i="5"/>
  <c r="X330" i="5"/>
  <c r="V330" i="5"/>
  <c r="T330" i="5"/>
  <c r="AD329" i="5"/>
  <c r="AB329" i="5"/>
  <c r="Z329" i="5"/>
  <c r="X329" i="5"/>
  <c r="V329" i="5"/>
  <c r="T329" i="5"/>
  <c r="AD328" i="5"/>
  <c r="AB328" i="5"/>
  <c r="Z328" i="5"/>
  <c r="X328" i="5"/>
  <c r="V328" i="5"/>
  <c r="T328" i="5"/>
  <c r="AD327" i="5"/>
  <c r="AB327" i="5"/>
  <c r="Z327" i="5"/>
  <c r="X327" i="5"/>
  <c r="V327" i="5"/>
  <c r="T327" i="5"/>
  <c r="AD326" i="5"/>
  <c r="AB326" i="5"/>
  <c r="Z326" i="5"/>
  <c r="X326" i="5"/>
  <c r="V326" i="5"/>
  <c r="T326" i="5"/>
  <c r="AD325" i="5"/>
  <c r="AB325" i="5"/>
  <c r="Z325" i="5"/>
  <c r="X325" i="5"/>
  <c r="V325" i="5"/>
  <c r="T325" i="5"/>
  <c r="AD324" i="5"/>
  <c r="AB324" i="5"/>
  <c r="Z324" i="5"/>
  <c r="X324" i="5"/>
  <c r="V324" i="5"/>
  <c r="T324" i="5"/>
  <c r="AD323" i="5"/>
  <c r="AB323" i="5"/>
  <c r="Z323" i="5"/>
  <c r="X323" i="5"/>
  <c r="V323" i="5"/>
  <c r="T323" i="5"/>
  <c r="AD322" i="5"/>
  <c r="AB322" i="5"/>
  <c r="Z322" i="5"/>
  <c r="X322" i="5"/>
  <c r="V322" i="5"/>
  <c r="T322" i="5"/>
  <c r="AD321" i="5"/>
  <c r="AB321" i="5"/>
  <c r="Z321" i="5"/>
  <c r="X321" i="5"/>
  <c r="V321" i="5"/>
  <c r="T321" i="5"/>
  <c r="AD320" i="5"/>
  <c r="AB320" i="5"/>
  <c r="Z320" i="5"/>
  <c r="X320" i="5"/>
  <c r="V320" i="5"/>
  <c r="T320" i="5"/>
  <c r="AD319" i="5"/>
  <c r="AB319" i="5"/>
  <c r="Z319" i="5"/>
  <c r="X319" i="5"/>
  <c r="V319" i="5"/>
  <c r="T319" i="5"/>
  <c r="AD318" i="5"/>
  <c r="AB318" i="5"/>
  <c r="Z318" i="5"/>
  <c r="X318" i="5"/>
  <c r="V318" i="5"/>
  <c r="T318" i="5"/>
  <c r="AD317" i="5"/>
  <c r="AB317" i="5"/>
  <c r="Z317" i="5"/>
  <c r="X317" i="5"/>
  <c r="V317" i="5"/>
  <c r="T317" i="5"/>
  <c r="AD316" i="5"/>
  <c r="AB316" i="5"/>
  <c r="Z316" i="5"/>
  <c r="X316" i="5"/>
  <c r="V316" i="5"/>
  <c r="T316" i="5"/>
  <c r="AD315" i="5"/>
  <c r="AB315" i="5"/>
  <c r="Z315" i="5"/>
  <c r="X315" i="5"/>
  <c r="V315" i="5"/>
  <c r="T315" i="5"/>
  <c r="AD314" i="5"/>
  <c r="AB314" i="5"/>
  <c r="Z314" i="5"/>
  <c r="X314" i="5"/>
  <c r="V314" i="5"/>
  <c r="T314" i="5"/>
  <c r="AD313" i="5"/>
  <c r="AB313" i="5"/>
  <c r="Z313" i="5"/>
  <c r="X313" i="5"/>
  <c r="V313" i="5"/>
  <c r="T313" i="5"/>
  <c r="AD312" i="5"/>
  <c r="AB312" i="5"/>
  <c r="Z312" i="5"/>
  <c r="X312" i="5"/>
  <c r="V312" i="5"/>
  <c r="T312" i="5"/>
  <c r="AD311" i="5"/>
  <c r="AB311" i="5"/>
  <c r="Z311" i="5"/>
  <c r="X311" i="5"/>
  <c r="V311" i="5"/>
  <c r="T311" i="5"/>
  <c r="AD310" i="5"/>
  <c r="AB310" i="5"/>
  <c r="Z310" i="5"/>
  <c r="X310" i="5"/>
  <c r="V310" i="5"/>
  <c r="T310" i="5"/>
  <c r="AD309" i="5"/>
  <c r="AB309" i="5"/>
  <c r="Z309" i="5"/>
  <c r="X309" i="5"/>
  <c r="V309" i="5"/>
  <c r="T309" i="5"/>
  <c r="AD308" i="5"/>
  <c r="AB308" i="5"/>
  <c r="Z308" i="5"/>
  <c r="X308" i="5"/>
  <c r="V308" i="5"/>
  <c r="T308" i="5"/>
  <c r="AD307" i="5"/>
  <c r="AB307" i="5"/>
  <c r="Z307" i="5"/>
  <c r="X307" i="5"/>
  <c r="V307" i="5"/>
  <c r="T307" i="5"/>
  <c r="AD306" i="5"/>
  <c r="AB306" i="5"/>
  <c r="Z306" i="5"/>
  <c r="X306" i="5"/>
  <c r="V306" i="5"/>
  <c r="T306" i="5"/>
  <c r="AD305" i="5"/>
  <c r="AB305" i="5"/>
  <c r="Z305" i="5"/>
  <c r="X305" i="5"/>
  <c r="V305" i="5"/>
  <c r="T305" i="5"/>
  <c r="AD304" i="5"/>
  <c r="AB304" i="5"/>
  <c r="Z304" i="5"/>
  <c r="X304" i="5"/>
  <c r="V304" i="5"/>
  <c r="T304" i="5"/>
  <c r="AD303" i="5"/>
  <c r="AB303" i="5"/>
  <c r="Z303" i="5"/>
  <c r="X303" i="5"/>
  <c r="V303" i="5"/>
  <c r="T303" i="5"/>
  <c r="AD302" i="5"/>
  <c r="AB302" i="5"/>
  <c r="Z302" i="5"/>
  <c r="X302" i="5"/>
  <c r="V302" i="5"/>
  <c r="T302" i="5"/>
  <c r="AD301" i="5"/>
  <c r="AB301" i="5"/>
  <c r="Z301" i="5"/>
  <c r="X301" i="5"/>
  <c r="V301" i="5"/>
  <c r="T301" i="5"/>
  <c r="AD300" i="5"/>
  <c r="AB300" i="5"/>
  <c r="Z300" i="5"/>
  <c r="X300" i="5"/>
  <c r="V300" i="5"/>
  <c r="T300" i="5"/>
  <c r="AD299" i="5"/>
  <c r="AB299" i="5"/>
  <c r="Z299" i="5"/>
  <c r="X299" i="5"/>
  <c r="V299" i="5"/>
  <c r="T299" i="5"/>
  <c r="AD298" i="5"/>
  <c r="AB298" i="5"/>
  <c r="Z298" i="5"/>
  <c r="X298" i="5"/>
  <c r="V298" i="5"/>
  <c r="T298" i="5"/>
  <c r="AD297" i="5"/>
  <c r="AB297" i="5"/>
  <c r="Z297" i="5"/>
  <c r="X297" i="5"/>
  <c r="V297" i="5"/>
  <c r="T297" i="5"/>
  <c r="AD296" i="5"/>
  <c r="AB296" i="5"/>
  <c r="Z296" i="5"/>
  <c r="X296" i="5"/>
  <c r="V296" i="5"/>
  <c r="T296" i="5"/>
  <c r="AD295" i="5"/>
  <c r="AB295" i="5"/>
  <c r="Z295" i="5"/>
  <c r="X295" i="5"/>
  <c r="V295" i="5"/>
  <c r="T295" i="5"/>
  <c r="AD294" i="5"/>
  <c r="AB294" i="5"/>
  <c r="Z294" i="5"/>
  <c r="X294" i="5"/>
  <c r="V294" i="5"/>
  <c r="T294" i="5"/>
  <c r="AD293" i="5"/>
  <c r="AB293" i="5"/>
  <c r="Z293" i="5"/>
  <c r="X293" i="5"/>
  <c r="V293" i="5"/>
  <c r="T293" i="5"/>
  <c r="AD292" i="5"/>
  <c r="AB292" i="5"/>
  <c r="Z292" i="5"/>
  <c r="X292" i="5"/>
  <c r="V292" i="5"/>
  <c r="T292" i="5"/>
  <c r="AD291" i="5"/>
  <c r="AB291" i="5"/>
  <c r="Z291" i="5"/>
  <c r="X291" i="5"/>
  <c r="V291" i="5"/>
  <c r="T291" i="5"/>
  <c r="AD290" i="5"/>
  <c r="AB290" i="5"/>
  <c r="Z290" i="5"/>
  <c r="X290" i="5"/>
  <c r="V290" i="5"/>
  <c r="T290" i="5"/>
  <c r="AD289" i="5"/>
  <c r="AB289" i="5"/>
  <c r="Z289" i="5"/>
  <c r="X289" i="5"/>
  <c r="V289" i="5"/>
  <c r="T289" i="5"/>
  <c r="AD288" i="5"/>
  <c r="AB288" i="5"/>
  <c r="Z288" i="5"/>
  <c r="X288" i="5"/>
  <c r="V288" i="5"/>
  <c r="T288" i="5"/>
  <c r="AD287" i="5"/>
  <c r="AB287" i="5"/>
  <c r="Z287" i="5"/>
  <c r="X287" i="5"/>
  <c r="V287" i="5"/>
  <c r="T287" i="5"/>
  <c r="AD286" i="5"/>
  <c r="AB286" i="5"/>
  <c r="Z286" i="5"/>
  <c r="X286" i="5"/>
  <c r="V286" i="5"/>
  <c r="T286" i="5"/>
  <c r="AD285" i="5"/>
  <c r="AB285" i="5"/>
  <c r="Z285" i="5"/>
  <c r="X285" i="5"/>
  <c r="V285" i="5"/>
  <c r="T285" i="5"/>
  <c r="AD284" i="5"/>
  <c r="AB284" i="5"/>
  <c r="Z284" i="5"/>
  <c r="X284" i="5"/>
  <c r="V284" i="5"/>
  <c r="T284" i="5"/>
  <c r="AD283" i="5"/>
  <c r="AB283" i="5"/>
  <c r="Z283" i="5"/>
  <c r="X283" i="5"/>
  <c r="V283" i="5"/>
  <c r="T283" i="5"/>
  <c r="AD282" i="5"/>
  <c r="AB282" i="5"/>
  <c r="Z282" i="5"/>
  <c r="X282" i="5"/>
  <c r="V282" i="5"/>
  <c r="T282" i="5"/>
  <c r="AD281" i="5"/>
  <c r="AB281" i="5"/>
  <c r="Z281" i="5"/>
  <c r="X281" i="5"/>
  <c r="V281" i="5"/>
  <c r="T281" i="5"/>
  <c r="AD280" i="5"/>
  <c r="AB280" i="5"/>
  <c r="Z280" i="5"/>
  <c r="X280" i="5"/>
  <c r="V280" i="5"/>
  <c r="T280" i="5"/>
  <c r="AD279" i="5"/>
  <c r="AB279" i="5"/>
  <c r="Z279" i="5"/>
  <c r="X279" i="5"/>
  <c r="V279" i="5"/>
  <c r="T279" i="5"/>
  <c r="AD278" i="5"/>
  <c r="AB278" i="5"/>
  <c r="Z278" i="5"/>
  <c r="X278" i="5"/>
  <c r="V278" i="5"/>
  <c r="T278" i="5"/>
  <c r="AD277" i="5"/>
  <c r="AB277" i="5"/>
  <c r="Z277" i="5"/>
  <c r="X277" i="5"/>
  <c r="V277" i="5"/>
  <c r="T277" i="5"/>
  <c r="AD276" i="5"/>
  <c r="AB276" i="5"/>
  <c r="Z276" i="5"/>
  <c r="X276" i="5"/>
  <c r="V276" i="5"/>
  <c r="T276" i="5"/>
  <c r="AD275" i="5"/>
  <c r="AB275" i="5"/>
  <c r="Z275" i="5"/>
  <c r="X275" i="5"/>
  <c r="V275" i="5"/>
  <c r="T275" i="5"/>
  <c r="AD274" i="5"/>
  <c r="AB274" i="5"/>
  <c r="Z274" i="5"/>
  <c r="X274" i="5"/>
  <c r="V274" i="5"/>
  <c r="T274" i="5"/>
  <c r="AD273" i="5"/>
  <c r="AB273" i="5"/>
  <c r="Z273" i="5"/>
  <c r="X273" i="5"/>
  <c r="V273" i="5"/>
  <c r="T273" i="5"/>
  <c r="AD272" i="5"/>
  <c r="AB272" i="5"/>
  <c r="Z272" i="5"/>
  <c r="X272" i="5"/>
  <c r="V272" i="5"/>
  <c r="T272" i="5"/>
  <c r="AD271" i="5"/>
  <c r="AB271" i="5"/>
  <c r="Z271" i="5"/>
  <c r="X271" i="5"/>
  <c r="V271" i="5"/>
  <c r="T271" i="5"/>
  <c r="AD270" i="5"/>
  <c r="AB270" i="5"/>
  <c r="Z270" i="5"/>
  <c r="X270" i="5"/>
  <c r="V270" i="5"/>
  <c r="T270" i="5"/>
  <c r="AD269" i="5"/>
  <c r="AB269" i="5"/>
  <c r="Z269" i="5"/>
  <c r="X269" i="5"/>
  <c r="V269" i="5"/>
  <c r="T269" i="5"/>
  <c r="AD268" i="5"/>
  <c r="AB268" i="5"/>
  <c r="Z268" i="5"/>
  <c r="X268" i="5"/>
  <c r="V268" i="5"/>
  <c r="T268" i="5"/>
  <c r="AD267" i="5"/>
  <c r="AB267" i="5"/>
  <c r="Z267" i="5"/>
  <c r="X267" i="5"/>
  <c r="V267" i="5"/>
  <c r="T267" i="5"/>
  <c r="AD266" i="5"/>
  <c r="AB266" i="5"/>
  <c r="Z266" i="5"/>
  <c r="X266" i="5"/>
  <c r="V266" i="5"/>
  <c r="T266" i="5"/>
  <c r="AD265" i="5"/>
  <c r="AB265" i="5"/>
  <c r="Z265" i="5"/>
  <c r="X265" i="5"/>
  <c r="V265" i="5"/>
  <c r="T265" i="5"/>
  <c r="AD264" i="5"/>
  <c r="AB264" i="5"/>
  <c r="Z264" i="5"/>
  <c r="X264" i="5"/>
  <c r="V264" i="5"/>
  <c r="T264" i="5"/>
  <c r="AD263" i="5"/>
  <c r="AB263" i="5"/>
  <c r="Z263" i="5"/>
  <c r="X263" i="5"/>
  <c r="V263" i="5"/>
  <c r="T263" i="5"/>
  <c r="AD262" i="5"/>
  <c r="AB262" i="5"/>
  <c r="Z262" i="5"/>
  <c r="X262" i="5"/>
  <c r="V262" i="5"/>
  <c r="T262" i="5"/>
  <c r="AD261" i="5"/>
  <c r="AB261" i="5"/>
  <c r="Z261" i="5"/>
  <c r="X261" i="5"/>
  <c r="V261" i="5"/>
  <c r="T261" i="5"/>
  <c r="AD260" i="5"/>
  <c r="AB260" i="5"/>
  <c r="Z260" i="5"/>
  <c r="X260" i="5"/>
  <c r="V260" i="5"/>
  <c r="T260" i="5"/>
  <c r="AD259" i="5"/>
  <c r="AB259" i="5"/>
  <c r="Z259" i="5"/>
  <c r="X259" i="5"/>
  <c r="V259" i="5"/>
  <c r="T259" i="5"/>
  <c r="AD258" i="5"/>
  <c r="AB258" i="5"/>
  <c r="Z258" i="5"/>
  <c r="X258" i="5"/>
  <c r="V258" i="5"/>
  <c r="T258" i="5"/>
  <c r="AD257" i="5"/>
  <c r="AB257" i="5"/>
  <c r="Z257" i="5"/>
  <c r="X257" i="5"/>
  <c r="V257" i="5"/>
  <c r="T257" i="5"/>
  <c r="AD256" i="5"/>
  <c r="AB256" i="5"/>
  <c r="Z256" i="5"/>
  <c r="X256" i="5"/>
  <c r="V256" i="5"/>
  <c r="T256" i="5"/>
  <c r="AD255" i="5"/>
  <c r="AB255" i="5"/>
  <c r="Z255" i="5"/>
  <c r="X255" i="5"/>
  <c r="V255" i="5"/>
  <c r="T255" i="5"/>
  <c r="AD254" i="5"/>
  <c r="AB254" i="5"/>
  <c r="Z254" i="5"/>
  <c r="X254" i="5"/>
  <c r="V254" i="5"/>
  <c r="T254" i="5"/>
  <c r="AD253" i="5"/>
  <c r="AB253" i="5"/>
  <c r="Z253" i="5"/>
  <c r="X253" i="5"/>
  <c r="V253" i="5"/>
  <c r="T253" i="5"/>
  <c r="AD252" i="5"/>
  <c r="AB252" i="5"/>
  <c r="Z252" i="5"/>
  <c r="X252" i="5"/>
  <c r="V252" i="5"/>
  <c r="T252" i="5"/>
  <c r="AD251" i="5"/>
  <c r="AB251" i="5"/>
  <c r="Z251" i="5"/>
  <c r="X251" i="5"/>
  <c r="V251" i="5"/>
  <c r="T251" i="5"/>
  <c r="AD250" i="5"/>
  <c r="AB250" i="5"/>
  <c r="Z250" i="5"/>
  <c r="X250" i="5"/>
  <c r="V250" i="5"/>
  <c r="T250" i="5"/>
  <c r="AD249" i="5"/>
  <c r="AB249" i="5"/>
  <c r="Z249" i="5"/>
  <c r="X249" i="5"/>
  <c r="V249" i="5"/>
  <c r="T249" i="5"/>
  <c r="AD248" i="5"/>
  <c r="AB248" i="5"/>
  <c r="Z248" i="5"/>
  <c r="X248" i="5"/>
  <c r="V248" i="5"/>
  <c r="T248" i="5"/>
  <c r="AD247" i="5"/>
  <c r="AB247" i="5"/>
  <c r="Z247" i="5"/>
  <c r="X247" i="5"/>
  <c r="V247" i="5"/>
  <c r="T247" i="5"/>
  <c r="AD246" i="5"/>
  <c r="AB246" i="5"/>
  <c r="Z246" i="5"/>
  <c r="X246" i="5"/>
  <c r="V246" i="5"/>
  <c r="T246" i="5"/>
  <c r="AD245" i="5"/>
  <c r="AB245" i="5"/>
  <c r="Z245" i="5"/>
  <c r="X245" i="5"/>
  <c r="V245" i="5"/>
  <c r="T245" i="5"/>
  <c r="AD244" i="5"/>
  <c r="AB244" i="5"/>
  <c r="Z244" i="5"/>
  <c r="X244" i="5"/>
  <c r="V244" i="5"/>
  <c r="T244" i="5"/>
  <c r="AD243" i="5"/>
  <c r="AB243" i="5"/>
  <c r="Z243" i="5"/>
  <c r="X243" i="5"/>
  <c r="V243" i="5"/>
  <c r="T243" i="5"/>
  <c r="AD242" i="5"/>
  <c r="AB242" i="5"/>
  <c r="Z242" i="5"/>
  <c r="X242" i="5"/>
  <c r="V242" i="5"/>
  <c r="T242" i="5"/>
  <c r="AD241" i="5"/>
  <c r="AB241" i="5"/>
  <c r="Z241" i="5"/>
  <c r="X241" i="5"/>
  <c r="V241" i="5"/>
  <c r="T241" i="5"/>
  <c r="AD240" i="5"/>
  <c r="AB240" i="5"/>
  <c r="Z240" i="5"/>
  <c r="X240" i="5"/>
  <c r="V240" i="5"/>
  <c r="T240" i="5"/>
  <c r="AD239" i="5"/>
  <c r="AB239" i="5"/>
  <c r="Z239" i="5"/>
  <c r="X239" i="5"/>
  <c r="V239" i="5"/>
  <c r="T239" i="5"/>
  <c r="AD238" i="5"/>
  <c r="AB238" i="5"/>
  <c r="Z238" i="5"/>
  <c r="X238" i="5"/>
  <c r="V238" i="5"/>
  <c r="T238" i="5"/>
  <c r="AD237" i="5"/>
  <c r="AB237" i="5"/>
  <c r="Z237" i="5"/>
  <c r="X237" i="5"/>
  <c r="V237" i="5"/>
  <c r="T237" i="5"/>
  <c r="AD236" i="5"/>
  <c r="AB236" i="5"/>
  <c r="Z236" i="5"/>
  <c r="X236" i="5"/>
  <c r="V236" i="5"/>
  <c r="T236" i="5"/>
  <c r="AD235" i="5"/>
  <c r="AB235" i="5"/>
  <c r="Z235" i="5"/>
  <c r="X235" i="5"/>
  <c r="V235" i="5"/>
  <c r="T235" i="5"/>
  <c r="AD234" i="5"/>
  <c r="AB234" i="5"/>
  <c r="Z234" i="5"/>
  <c r="X234" i="5"/>
  <c r="V234" i="5"/>
  <c r="T234" i="5"/>
  <c r="AD233" i="5"/>
  <c r="AB233" i="5"/>
  <c r="Z233" i="5"/>
  <c r="X233" i="5"/>
  <c r="V233" i="5"/>
  <c r="T233" i="5"/>
  <c r="AD232" i="5"/>
  <c r="AB232" i="5"/>
  <c r="Z232" i="5"/>
  <c r="X232" i="5"/>
  <c r="V232" i="5"/>
  <c r="T232" i="5"/>
  <c r="AD231" i="5"/>
  <c r="AB231" i="5"/>
  <c r="Z231" i="5"/>
  <c r="X231" i="5"/>
  <c r="V231" i="5"/>
  <c r="T231" i="5"/>
  <c r="AD230" i="5"/>
  <c r="AB230" i="5"/>
  <c r="Z230" i="5"/>
  <c r="X230" i="5"/>
  <c r="V230" i="5"/>
  <c r="T230" i="5"/>
  <c r="AD229" i="5"/>
  <c r="AB229" i="5"/>
  <c r="Z229" i="5"/>
  <c r="X229" i="5"/>
  <c r="V229" i="5"/>
  <c r="T229" i="5"/>
  <c r="AD228" i="5"/>
  <c r="AB228" i="5"/>
  <c r="Z228" i="5"/>
  <c r="X228" i="5"/>
  <c r="V228" i="5"/>
  <c r="T228" i="5"/>
  <c r="AD227" i="5"/>
  <c r="AB227" i="5"/>
  <c r="Z227" i="5"/>
  <c r="X227" i="5"/>
  <c r="V227" i="5"/>
  <c r="T227" i="5"/>
  <c r="AD226" i="5"/>
  <c r="AB226" i="5"/>
  <c r="Z226" i="5"/>
  <c r="X226" i="5"/>
  <c r="V226" i="5"/>
  <c r="T226" i="5"/>
  <c r="AD225" i="5"/>
  <c r="AB225" i="5"/>
  <c r="Z225" i="5"/>
  <c r="X225" i="5"/>
  <c r="V225" i="5"/>
  <c r="T225" i="5"/>
  <c r="AD224" i="5"/>
  <c r="AB224" i="5"/>
  <c r="Z224" i="5"/>
  <c r="X224" i="5"/>
  <c r="V224" i="5"/>
  <c r="T224" i="5"/>
  <c r="AD223" i="5"/>
  <c r="AB223" i="5"/>
  <c r="Z223" i="5"/>
  <c r="X223" i="5"/>
  <c r="V223" i="5"/>
  <c r="T223" i="5"/>
  <c r="AD222" i="5"/>
  <c r="AB222" i="5"/>
  <c r="Z222" i="5"/>
  <c r="X222" i="5"/>
  <c r="V222" i="5"/>
  <c r="T222" i="5"/>
  <c r="AD221" i="5"/>
  <c r="AB221" i="5"/>
  <c r="Z221" i="5"/>
  <c r="X221" i="5"/>
  <c r="V221" i="5"/>
  <c r="T221" i="5"/>
  <c r="AD220" i="5"/>
  <c r="AB220" i="5"/>
  <c r="Z220" i="5"/>
  <c r="X220" i="5"/>
  <c r="V220" i="5"/>
  <c r="T220" i="5"/>
  <c r="AD219" i="5"/>
  <c r="AB219" i="5"/>
  <c r="Z219" i="5"/>
  <c r="X219" i="5"/>
  <c r="V219" i="5"/>
  <c r="T219" i="5"/>
  <c r="AD218" i="5"/>
  <c r="AB218" i="5"/>
  <c r="Z218" i="5"/>
  <c r="X218" i="5"/>
  <c r="V218" i="5"/>
  <c r="T218" i="5"/>
  <c r="AD217" i="5"/>
  <c r="AB217" i="5"/>
  <c r="Z217" i="5"/>
  <c r="X217" i="5"/>
  <c r="V217" i="5"/>
  <c r="T217" i="5"/>
  <c r="AD216" i="5"/>
  <c r="AB216" i="5"/>
  <c r="Z216" i="5"/>
  <c r="X216" i="5"/>
  <c r="V216" i="5"/>
  <c r="T216" i="5"/>
  <c r="AD215" i="5"/>
  <c r="AB215" i="5"/>
  <c r="Z215" i="5"/>
  <c r="X215" i="5"/>
  <c r="V215" i="5"/>
  <c r="T215" i="5"/>
  <c r="AD214" i="5"/>
  <c r="AB214" i="5"/>
  <c r="Z214" i="5"/>
  <c r="X214" i="5"/>
  <c r="V214" i="5"/>
  <c r="T214" i="5"/>
  <c r="AD213" i="5"/>
  <c r="AB213" i="5"/>
  <c r="Z213" i="5"/>
  <c r="X213" i="5"/>
  <c r="V213" i="5"/>
  <c r="T213" i="5"/>
  <c r="AD212" i="5"/>
  <c r="AB212" i="5"/>
  <c r="Z212" i="5"/>
  <c r="X212" i="5"/>
  <c r="V212" i="5"/>
  <c r="T212" i="5"/>
  <c r="AD211" i="5"/>
  <c r="AB211" i="5"/>
  <c r="Z211" i="5"/>
  <c r="X211" i="5"/>
  <c r="V211" i="5"/>
  <c r="T211" i="5"/>
  <c r="AD210" i="5"/>
  <c r="AB210" i="5"/>
  <c r="Z210" i="5"/>
  <c r="X210" i="5"/>
  <c r="V210" i="5"/>
  <c r="T210" i="5"/>
  <c r="AD209" i="5"/>
  <c r="AB209" i="5"/>
  <c r="Z209" i="5"/>
  <c r="X209" i="5"/>
  <c r="V209" i="5"/>
  <c r="T209" i="5"/>
  <c r="AD208" i="5"/>
  <c r="AB208" i="5"/>
  <c r="Z208" i="5"/>
  <c r="X208" i="5"/>
  <c r="V208" i="5"/>
  <c r="T208" i="5"/>
  <c r="AD207" i="5"/>
  <c r="AB207" i="5"/>
  <c r="Z207" i="5"/>
  <c r="X207" i="5"/>
  <c r="V207" i="5"/>
  <c r="T207" i="5"/>
  <c r="AD206" i="5"/>
  <c r="AB206" i="5"/>
  <c r="Z206" i="5"/>
  <c r="X206" i="5"/>
  <c r="V206" i="5"/>
  <c r="T206" i="5"/>
  <c r="AD205" i="5"/>
  <c r="AB205" i="5"/>
  <c r="Z205" i="5"/>
  <c r="X205" i="5"/>
  <c r="V205" i="5"/>
  <c r="T205" i="5"/>
  <c r="AD204" i="5"/>
  <c r="AB204" i="5"/>
  <c r="Z204" i="5"/>
  <c r="X204" i="5"/>
  <c r="V204" i="5"/>
  <c r="T204" i="5"/>
  <c r="AD203" i="5"/>
  <c r="AB203" i="5"/>
  <c r="Z203" i="5"/>
  <c r="X203" i="5"/>
  <c r="V203" i="5"/>
  <c r="T203" i="5"/>
  <c r="AD202" i="5"/>
  <c r="AB202" i="5"/>
  <c r="Z202" i="5"/>
  <c r="X202" i="5"/>
  <c r="V202" i="5"/>
  <c r="T202" i="5"/>
  <c r="AD201" i="5"/>
  <c r="AB201" i="5"/>
  <c r="Z201" i="5"/>
  <c r="X201" i="5"/>
  <c r="V201" i="5"/>
  <c r="T201" i="5"/>
  <c r="AD200" i="5"/>
  <c r="AB200" i="5"/>
  <c r="Z200" i="5"/>
  <c r="X200" i="5"/>
  <c r="V200" i="5"/>
  <c r="T200" i="5"/>
  <c r="AD199" i="5"/>
  <c r="AB199" i="5"/>
  <c r="Z199" i="5"/>
  <c r="X199" i="5"/>
  <c r="V199" i="5"/>
  <c r="T199" i="5"/>
  <c r="AD198" i="5"/>
  <c r="AB198" i="5"/>
  <c r="Z198" i="5"/>
  <c r="X198" i="5"/>
  <c r="V198" i="5"/>
  <c r="T198" i="5"/>
  <c r="AD197" i="5"/>
  <c r="AB197" i="5"/>
  <c r="Z197" i="5"/>
  <c r="X197" i="5"/>
  <c r="V197" i="5"/>
  <c r="T197" i="5"/>
  <c r="AD196" i="5"/>
  <c r="AB196" i="5"/>
  <c r="Z196" i="5"/>
  <c r="X196" i="5"/>
  <c r="V196" i="5"/>
  <c r="T196" i="5"/>
  <c r="AD195" i="5"/>
  <c r="AB195" i="5"/>
  <c r="Z195" i="5"/>
  <c r="X195" i="5"/>
  <c r="V195" i="5"/>
  <c r="T195" i="5"/>
  <c r="AD194" i="5"/>
  <c r="AB194" i="5"/>
  <c r="Z194" i="5"/>
  <c r="X194" i="5"/>
  <c r="V194" i="5"/>
  <c r="T194" i="5"/>
  <c r="AD193" i="5"/>
  <c r="AB193" i="5"/>
  <c r="Z193" i="5"/>
  <c r="X193" i="5"/>
  <c r="V193" i="5"/>
  <c r="T193" i="5"/>
  <c r="AD192" i="5"/>
  <c r="AB192" i="5"/>
  <c r="Z192" i="5"/>
  <c r="X192" i="5"/>
  <c r="V192" i="5"/>
  <c r="T192" i="5"/>
  <c r="AD191" i="5"/>
  <c r="AB191" i="5"/>
  <c r="Z191" i="5"/>
  <c r="X191" i="5"/>
  <c r="V191" i="5"/>
  <c r="T191" i="5"/>
  <c r="AD190" i="5"/>
  <c r="AB190" i="5"/>
  <c r="Z190" i="5"/>
  <c r="X190" i="5"/>
  <c r="V190" i="5"/>
  <c r="T190" i="5"/>
  <c r="AD189" i="5"/>
  <c r="AB189" i="5"/>
  <c r="Z189" i="5"/>
  <c r="X189" i="5"/>
  <c r="V189" i="5"/>
  <c r="T189" i="5"/>
  <c r="AD188" i="5"/>
  <c r="AB188" i="5"/>
  <c r="Z188" i="5"/>
  <c r="X188" i="5"/>
  <c r="V188" i="5"/>
  <c r="T188" i="5"/>
  <c r="AD187" i="5"/>
  <c r="AB187" i="5"/>
  <c r="Z187" i="5"/>
  <c r="X187" i="5"/>
  <c r="V187" i="5"/>
  <c r="T187" i="5"/>
  <c r="AD186" i="5"/>
  <c r="AB186" i="5"/>
  <c r="Z186" i="5"/>
  <c r="X186" i="5"/>
  <c r="V186" i="5"/>
  <c r="T186" i="5"/>
  <c r="AD185" i="5"/>
  <c r="AB185" i="5"/>
  <c r="Z185" i="5"/>
  <c r="X185" i="5"/>
  <c r="V185" i="5"/>
  <c r="T185" i="5"/>
  <c r="AD184" i="5"/>
  <c r="AB184" i="5"/>
  <c r="Z184" i="5"/>
  <c r="X184" i="5"/>
  <c r="V184" i="5"/>
  <c r="T184" i="5"/>
  <c r="AD183" i="5"/>
  <c r="AB183" i="5"/>
  <c r="Z183" i="5"/>
  <c r="X183" i="5"/>
  <c r="V183" i="5"/>
  <c r="T183" i="5"/>
  <c r="AD182" i="5"/>
  <c r="AB182" i="5"/>
  <c r="Z182" i="5"/>
  <c r="X182" i="5"/>
  <c r="V182" i="5"/>
  <c r="T182" i="5"/>
  <c r="AD181" i="5"/>
  <c r="AB181" i="5"/>
  <c r="Z181" i="5"/>
  <c r="X181" i="5"/>
  <c r="V181" i="5"/>
  <c r="T181" i="5"/>
  <c r="AD180" i="5"/>
  <c r="AB180" i="5"/>
  <c r="Z180" i="5"/>
  <c r="X180" i="5"/>
  <c r="V180" i="5"/>
  <c r="T180" i="5"/>
  <c r="AD179" i="5"/>
  <c r="AB179" i="5"/>
  <c r="Z179" i="5"/>
  <c r="X179" i="5"/>
  <c r="V179" i="5"/>
  <c r="T179" i="5"/>
  <c r="AD178" i="5"/>
  <c r="AB178" i="5"/>
  <c r="Z178" i="5"/>
  <c r="X178" i="5"/>
  <c r="V178" i="5"/>
  <c r="T178" i="5"/>
  <c r="AD177" i="5"/>
  <c r="AB177" i="5"/>
  <c r="Z177" i="5"/>
  <c r="X177" i="5"/>
  <c r="V177" i="5"/>
  <c r="T177" i="5"/>
  <c r="AD176" i="5"/>
  <c r="AB176" i="5"/>
  <c r="Z176" i="5"/>
  <c r="X176" i="5"/>
  <c r="V176" i="5"/>
  <c r="T176" i="5"/>
  <c r="AD175" i="5"/>
  <c r="AB175" i="5"/>
  <c r="Z175" i="5"/>
  <c r="X175" i="5"/>
  <c r="V175" i="5"/>
  <c r="T175" i="5"/>
  <c r="AD174" i="5"/>
  <c r="AB174" i="5"/>
  <c r="Z174" i="5"/>
  <c r="X174" i="5"/>
  <c r="V174" i="5"/>
  <c r="T174" i="5"/>
  <c r="AD173" i="5"/>
  <c r="AB173" i="5"/>
  <c r="Z173" i="5"/>
  <c r="X173" i="5"/>
  <c r="V173" i="5"/>
  <c r="T173" i="5"/>
  <c r="AD172" i="5"/>
  <c r="AB172" i="5"/>
  <c r="Z172" i="5"/>
  <c r="X172" i="5"/>
  <c r="V172" i="5"/>
  <c r="T172" i="5"/>
  <c r="AD171" i="5"/>
  <c r="AB171" i="5"/>
  <c r="Z171" i="5"/>
  <c r="X171" i="5"/>
  <c r="V171" i="5"/>
  <c r="T171" i="5"/>
  <c r="AD170" i="5"/>
  <c r="AB170" i="5"/>
  <c r="Z170" i="5"/>
  <c r="X170" i="5"/>
  <c r="V170" i="5"/>
  <c r="AD169" i="5"/>
  <c r="AB169" i="5"/>
  <c r="Z169" i="5"/>
  <c r="X169" i="5"/>
  <c r="V169" i="5"/>
  <c r="AD168" i="5"/>
  <c r="AB168" i="5"/>
  <c r="Z168" i="5"/>
  <c r="X168" i="5"/>
  <c r="V168" i="5"/>
  <c r="AD167" i="5"/>
  <c r="AB167" i="5"/>
  <c r="Z167" i="5"/>
  <c r="X167" i="5"/>
  <c r="V167" i="5"/>
  <c r="AD166" i="5"/>
  <c r="AB166" i="5"/>
  <c r="Z166" i="5"/>
  <c r="X166" i="5"/>
  <c r="V166" i="5"/>
  <c r="T166" i="5"/>
  <c r="AD165" i="5"/>
  <c r="AB165" i="5"/>
  <c r="Z165" i="5"/>
  <c r="X165" i="5"/>
  <c r="V165" i="5"/>
  <c r="T165" i="5"/>
  <c r="AD164" i="5"/>
  <c r="AB164" i="5"/>
  <c r="Z164" i="5"/>
  <c r="X164" i="5"/>
  <c r="V164" i="5"/>
  <c r="T164" i="5"/>
  <c r="AD163" i="5"/>
  <c r="AB163" i="5"/>
  <c r="Z163" i="5"/>
  <c r="X163" i="5"/>
  <c r="V163" i="5"/>
  <c r="T163" i="5"/>
  <c r="AD162" i="5"/>
  <c r="AB162" i="5"/>
  <c r="Z162" i="5"/>
  <c r="X162" i="5"/>
  <c r="V162" i="5"/>
  <c r="T162" i="5"/>
  <c r="AD161" i="5"/>
  <c r="AB161" i="5"/>
  <c r="Z161" i="5"/>
  <c r="X161" i="5"/>
  <c r="V161" i="5"/>
  <c r="T161" i="5"/>
  <c r="AD160" i="5"/>
  <c r="AB160" i="5"/>
  <c r="Z160" i="5"/>
  <c r="X160" i="5"/>
  <c r="V160" i="5"/>
  <c r="T160" i="5"/>
  <c r="AD159" i="5"/>
  <c r="AB159" i="5"/>
  <c r="Z159" i="5"/>
  <c r="X159" i="5"/>
  <c r="V159" i="5"/>
  <c r="T159" i="5"/>
  <c r="AD158" i="5"/>
  <c r="AB158" i="5"/>
  <c r="Z158" i="5"/>
  <c r="X158" i="5"/>
  <c r="V158" i="5"/>
  <c r="T158" i="5"/>
  <c r="AD157" i="5"/>
  <c r="AB157" i="5"/>
  <c r="Z157" i="5"/>
  <c r="X157" i="5"/>
  <c r="V157" i="5"/>
  <c r="T157" i="5"/>
  <c r="AD156" i="5"/>
  <c r="AB156" i="5"/>
  <c r="Z156" i="5"/>
  <c r="X156" i="5"/>
  <c r="V156" i="5"/>
  <c r="AD155" i="5"/>
  <c r="AB155" i="5"/>
  <c r="Z155" i="5"/>
  <c r="X155" i="5"/>
  <c r="V155" i="5"/>
  <c r="AD154" i="5"/>
  <c r="AB154" i="5"/>
  <c r="Z154" i="5"/>
  <c r="X154" i="5"/>
  <c r="V154" i="5"/>
  <c r="AD153" i="5"/>
  <c r="AB153" i="5"/>
  <c r="Z153" i="5"/>
  <c r="X153" i="5"/>
  <c r="V153" i="5"/>
  <c r="AD152" i="5"/>
  <c r="AB152" i="5"/>
  <c r="Z152" i="5"/>
  <c r="X152" i="5"/>
  <c r="V152" i="5"/>
  <c r="AD151" i="5"/>
  <c r="AB151" i="5"/>
  <c r="Z151" i="5"/>
  <c r="X151" i="5"/>
  <c r="V151" i="5"/>
  <c r="T151" i="5"/>
  <c r="AD150" i="5"/>
  <c r="AB150" i="5"/>
  <c r="Z150" i="5"/>
  <c r="X150" i="5"/>
  <c r="V150" i="5"/>
  <c r="T150" i="5"/>
  <c r="AD149" i="5"/>
  <c r="AB149" i="5"/>
  <c r="Z149" i="5"/>
  <c r="X149" i="5"/>
  <c r="V149" i="5"/>
  <c r="T149" i="5"/>
  <c r="AD148" i="5"/>
  <c r="AB148" i="5"/>
  <c r="Z148" i="5"/>
  <c r="X148" i="5"/>
  <c r="V148" i="5"/>
  <c r="T148" i="5"/>
  <c r="AD147" i="5"/>
  <c r="AB147" i="5"/>
  <c r="Z147" i="5"/>
  <c r="X147" i="5"/>
  <c r="V147" i="5"/>
  <c r="T147" i="5"/>
  <c r="AD146" i="5"/>
  <c r="AB146" i="5"/>
  <c r="Z146" i="5"/>
  <c r="X146" i="5"/>
  <c r="V146" i="5"/>
  <c r="T146" i="5"/>
  <c r="AD145" i="5"/>
  <c r="AB145" i="5"/>
  <c r="Z145" i="5"/>
  <c r="X145" i="5"/>
  <c r="V145" i="5"/>
  <c r="T145" i="5"/>
  <c r="AD144" i="5"/>
  <c r="AB144" i="5"/>
  <c r="Z144" i="5"/>
  <c r="X144" i="5"/>
  <c r="V144" i="5"/>
  <c r="T144" i="5"/>
  <c r="AD143" i="5"/>
  <c r="AB143" i="5"/>
  <c r="Z143" i="5"/>
  <c r="X143" i="5"/>
  <c r="V143" i="5"/>
  <c r="T143" i="5"/>
  <c r="AD142" i="5"/>
  <c r="AB142" i="5"/>
  <c r="Z142" i="5"/>
  <c r="X142" i="5"/>
  <c r="V142" i="5"/>
  <c r="AD141" i="5"/>
  <c r="AB141" i="5"/>
  <c r="Z141" i="5"/>
  <c r="X141" i="5"/>
  <c r="V141" i="5"/>
  <c r="AD140" i="5"/>
  <c r="AB140" i="5"/>
  <c r="Z140" i="5"/>
  <c r="X140" i="5"/>
  <c r="V140" i="5"/>
  <c r="AD139" i="5"/>
  <c r="AB139" i="5"/>
  <c r="Z139" i="5"/>
  <c r="X139" i="5"/>
  <c r="V139" i="5"/>
  <c r="AD138" i="5"/>
  <c r="AB138" i="5"/>
  <c r="Z138" i="5"/>
  <c r="X138" i="5"/>
  <c r="V138" i="5"/>
  <c r="AD137" i="5"/>
  <c r="AB137" i="5"/>
  <c r="Z137" i="5"/>
  <c r="X137" i="5"/>
  <c r="V137" i="5"/>
  <c r="T137" i="5"/>
  <c r="AD136" i="5"/>
  <c r="AB136" i="5"/>
  <c r="Z136" i="5"/>
  <c r="X136" i="5"/>
  <c r="V136" i="5"/>
  <c r="T136" i="5"/>
  <c r="AD135" i="5"/>
  <c r="AB135" i="5"/>
  <c r="Z135" i="5"/>
  <c r="X135" i="5"/>
  <c r="V135" i="5"/>
  <c r="T135" i="5"/>
  <c r="AD134" i="5"/>
  <c r="AB134" i="5"/>
  <c r="Z134" i="5"/>
  <c r="X134" i="5"/>
  <c r="V134" i="5"/>
  <c r="T134" i="5"/>
  <c r="AD133" i="5"/>
  <c r="AB133" i="5"/>
  <c r="Z133" i="5"/>
  <c r="X133" i="5"/>
  <c r="V133" i="5"/>
  <c r="T133" i="5"/>
  <c r="AD132" i="5"/>
  <c r="AB132" i="5"/>
  <c r="Z132" i="5"/>
  <c r="X132" i="5"/>
  <c r="V132" i="5"/>
  <c r="T132" i="5"/>
  <c r="AD131" i="5"/>
  <c r="AB131" i="5"/>
  <c r="Z131" i="5"/>
  <c r="X131" i="5"/>
  <c r="V131" i="5"/>
  <c r="T131" i="5"/>
  <c r="AD130" i="5"/>
  <c r="AB130" i="5"/>
  <c r="Z130" i="5"/>
  <c r="X130" i="5"/>
  <c r="V130" i="5"/>
  <c r="T130" i="5"/>
  <c r="AD129" i="5"/>
  <c r="AB129" i="5"/>
  <c r="Z129" i="5"/>
  <c r="X129" i="5"/>
  <c r="V129" i="5"/>
  <c r="T129" i="5"/>
  <c r="AD128" i="5"/>
  <c r="AB128" i="5"/>
  <c r="Z128" i="5"/>
  <c r="X128" i="5"/>
  <c r="V128" i="5"/>
  <c r="T128" i="5"/>
  <c r="AD127" i="5"/>
  <c r="AB127" i="5"/>
  <c r="Z127" i="5"/>
  <c r="X127" i="5"/>
  <c r="V127" i="5"/>
  <c r="T127" i="5"/>
  <c r="AD126" i="5"/>
  <c r="AB126" i="5"/>
  <c r="Z126" i="5"/>
  <c r="X126" i="5"/>
  <c r="V126" i="5"/>
  <c r="T126" i="5"/>
  <c r="AD125" i="5"/>
  <c r="AB125" i="5"/>
  <c r="Z125" i="5"/>
  <c r="X125" i="5"/>
  <c r="V125" i="5"/>
  <c r="T125" i="5"/>
  <c r="AD124" i="5"/>
  <c r="AB124" i="5"/>
  <c r="Z124" i="5"/>
  <c r="X124" i="5"/>
  <c r="V124" i="5"/>
  <c r="T124" i="5"/>
  <c r="AD123" i="5"/>
  <c r="AB123" i="5"/>
  <c r="Z123" i="5"/>
  <c r="X123" i="5"/>
  <c r="V123" i="5"/>
  <c r="T123" i="5"/>
  <c r="AD122" i="5"/>
  <c r="AB122" i="5"/>
  <c r="Z122" i="5"/>
  <c r="X122" i="5"/>
  <c r="V122" i="5"/>
  <c r="T122" i="5"/>
  <c r="AD121" i="5"/>
  <c r="AB121" i="5"/>
  <c r="Z121" i="5"/>
  <c r="X121" i="5"/>
  <c r="V121" i="5"/>
  <c r="T121" i="5"/>
  <c r="AD120" i="5"/>
  <c r="AB120" i="5"/>
  <c r="Z120" i="5"/>
  <c r="X120" i="5"/>
  <c r="V120" i="5"/>
  <c r="T120" i="5"/>
  <c r="AD119" i="5"/>
  <c r="AB119" i="5"/>
  <c r="Z119" i="5"/>
  <c r="X119" i="5"/>
  <c r="V119" i="5"/>
  <c r="T119" i="5"/>
  <c r="AD118" i="5"/>
  <c r="AB118" i="5"/>
  <c r="Z118" i="5"/>
  <c r="X118" i="5"/>
  <c r="V118" i="5"/>
  <c r="T118" i="5"/>
  <c r="AD117" i="5"/>
  <c r="AB117" i="5"/>
  <c r="Z117" i="5"/>
  <c r="X117" i="5"/>
  <c r="V117" i="5"/>
  <c r="T117" i="5"/>
  <c r="AD116" i="5"/>
  <c r="AB116" i="5"/>
  <c r="Z116" i="5"/>
  <c r="X116" i="5"/>
  <c r="V116" i="5"/>
  <c r="T116" i="5"/>
  <c r="AD115" i="5"/>
  <c r="AB115" i="5"/>
  <c r="Z115" i="5"/>
  <c r="X115" i="5"/>
  <c r="V115" i="5"/>
  <c r="T115" i="5"/>
  <c r="AD114" i="5"/>
  <c r="AB114" i="5"/>
  <c r="Z114" i="5"/>
  <c r="X114" i="5"/>
  <c r="V114" i="5"/>
  <c r="T114" i="5"/>
  <c r="AD113" i="5"/>
  <c r="AB113" i="5"/>
  <c r="Z113" i="5"/>
  <c r="X113" i="5"/>
  <c r="V113" i="5"/>
  <c r="T113" i="5"/>
  <c r="AD112" i="5"/>
  <c r="AB112" i="5"/>
  <c r="Z112" i="5"/>
  <c r="X112" i="5"/>
  <c r="V112" i="5"/>
  <c r="T112" i="5"/>
  <c r="AD111" i="5"/>
  <c r="AB111" i="5"/>
  <c r="Z111" i="5"/>
  <c r="X111" i="5"/>
  <c r="V111" i="5"/>
  <c r="T111" i="5"/>
  <c r="AD110" i="5"/>
  <c r="AB110" i="5"/>
  <c r="Z110" i="5"/>
  <c r="X110" i="5"/>
  <c r="V110" i="5"/>
  <c r="T110" i="5"/>
  <c r="AD109" i="5"/>
  <c r="AB109" i="5"/>
  <c r="Z109" i="5"/>
  <c r="X109" i="5"/>
  <c r="V109" i="5"/>
  <c r="T109" i="5"/>
  <c r="AD108" i="5"/>
  <c r="AB108" i="5"/>
  <c r="Z108" i="5"/>
  <c r="X108" i="5"/>
  <c r="V108" i="5"/>
  <c r="T108" i="5"/>
  <c r="AD107" i="5"/>
  <c r="AB107" i="5"/>
  <c r="Z107" i="5"/>
  <c r="X107" i="5"/>
  <c r="V107" i="5"/>
  <c r="T107" i="5"/>
  <c r="AD106" i="5"/>
  <c r="AB106" i="5"/>
  <c r="Z106" i="5"/>
  <c r="X106" i="5"/>
  <c r="V106" i="5"/>
  <c r="T106" i="5"/>
  <c r="AD105" i="5"/>
  <c r="AB105" i="5"/>
  <c r="Z105" i="5"/>
  <c r="X105" i="5"/>
  <c r="V105" i="5"/>
  <c r="T105" i="5"/>
  <c r="AD104" i="5"/>
  <c r="AB104" i="5"/>
  <c r="Z104" i="5"/>
  <c r="X104" i="5"/>
  <c r="V104" i="5"/>
  <c r="T104" i="5"/>
  <c r="AD103" i="5"/>
  <c r="AB103" i="5"/>
  <c r="Z103" i="5"/>
  <c r="X103" i="5"/>
  <c r="V103" i="5"/>
  <c r="T103" i="5"/>
  <c r="AD102" i="5"/>
  <c r="AB102" i="5"/>
  <c r="Z102" i="5"/>
  <c r="X102" i="5"/>
  <c r="V102" i="5"/>
  <c r="T102" i="5"/>
  <c r="AD101" i="5"/>
  <c r="AB101" i="5"/>
  <c r="Z101" i="5"/>
  <c r="X101" i="5"/>
  <c r="V101" i="5"/>
  <c r="T101" i="5"/>
  <c r="AD100" i="5"/>
  <c r="AB100" i="5"/>
  <c r="Z100" i="5"/>
  <c r="X100" i="5"/>
  <c r="V100" i="5"/>
  <c r="T100" i="5"/>
  <c r="AD99" i="5"/>
  <c r="AB99" i="5"/>
  <c r="Z99" i="5"/>
  <c r="X99" i="5"/>
  <c r="V99" i="5"/>
  <c r="T99" i="5"/>
  <c r="AD98" i="5"/>
  <c r="AB98" i="5"/>
  <c r="Z98" i="5"/>
  <c r="X98" i="5"/>
  <c r="V98" i="5"/>
  <c r="T98" i="5"/>
  <c r="AD97" i="5"/>
  <c r="AB97" i="5"/>
  <c r="Z97" i="5"/>
  <c r="X97" i="5"/>
  <c r="V97" i="5"/>
  <c r="T97" i="5"/>
  <c r="AD96" i="5"/>
  <c r="AB96" i="5"/>
  <c r="Z96" i="5"/>
  <c r="X96" i="5"/>
  <c r="V96" i="5"/>
  <c r="T96" i="5"/>
  <c r="AD95" i="5"/>
  <c r="AB95" i="5"/>
  <c r="Z95" i="5"/>
  <c r="X95" i="5"/>
  <c r="V95" i="5"/>
  <c r="T95" i="5"/>
  <c r="AD94" i="5"/>
  <c r="AB94" i="5"/>
  <c r="Z94" i="5"/>
  <c r="X94" i="5"/>
  <c r="V94" i="5"/>
  <c r="T94" i="5"/>
  <c r="AD93" i="5"/>
  <c r="AB93" i="5"/>
  <c r="Z93" i="5"/>
  <c r="X93" i="5"/>
  <c r="V93" i="5"/>
  <c r="T93" i="5"/>
  <c r="AD92" i="5"/>
  <c r="AB92" i="5"/>
  <c r="Z92" i="5"/>
  <c r="X92" i="5"/>
  <c r="V92" i="5"/>
  <c r="T92" i="5"/>
  <c r="AD91" i="5"/>
  <c r="AB91" i="5"/>
  <c r="Z91" i="5"/>
  <c r="X91" i="5"/>
  <c r="V91" i="5"/>
  <c r="T91" i="5"/>
  <c r="AD90" i="5"/>
  <c r="AB90" i="5"/>
  <c r="Z90" i="5"/>
  <c r="X90" i="5"/>
  <c r="V90" i="5"/>
  <c r="T90" i="5"/>
  <c r="AD89" i="5"/>
  <c r="AB89" i="5"/>
  <c r="Z89" i="5"/>
  <c r="X89" i="5"/>
  <c r="V89" i="5"/>
  <c r="T89" i="5"/>
  <c r="AD88" i="5"/>
  <c r="AB88" i="5"/>
  <c r="Z88" i="5"/>
  <c r="X88" i="5"/>
  <c r="V88" i="5"/>
  <c r="T88" i="5"/>
  <c r="AD87" i="5"/>
  <c r="AB87" i="5"/>
  <c r="Z87" i="5"/>
  <c r="X87" i="5"/>
  <c r="V87" i="5"/>
  <c r="T87" i="5"/>
  <c r="AD86" i="5"/>
  <c r="AB86" i="5"/>
  <c r="Z86" i="5"/>
  <c r="X86" i="5"/>
  <c r="V86" i="5"/>
  <c r="T86" i="5"/>
  <c r="AD85" i="5"/>
  <c r="AB85" i="5"/>
  <c r="Z85" i="5"/>
  <c r="X85" i="5"/>
  <c r="V85" i="5"/>
  <c r="T85" i="5"/>
  <c r="AD84" i="5"/>
  <c r="AB84" i="5"/>
  <c r="Z84" i="5"/>
  <c r="X84" i="5"/>
  <c r="V84" i="5"/>
  <c r="T84" i="5"/>
  <c r="AD83" i="5"/>
  <c r="AB83" i="5"/>
  <c r="Z83" i="5"/>
  <c r="X83" i="5"/>
  <c r="V83" i="5"/>
  <c r="T83" i="5"/>
  <c r="AD82" i="5"/>
  <c r="AB82" i="5"/>
  <c r="Z82" i="5"/>
  <c r="X82" i="5"/>
  <c r="V82" i="5"/>
  <c r="T82" i="5"/>
  <c r="AD81" i="5"/>
  <c r="AB81" i="5"/>
  <c r="Z81" i="5"/>
  <c r="X81" i="5"/>
  <c r="V81" i="5"/>
  <c r="T81" i="5"/>
  <c r="AD80" i="5"/>
  <c r="AB80" i="5"/>
  <c r="Z80" i="5"/>
  <c r="X80" i="5"/>
  <c r="V80" i="5"/>
  <c r="T80" i="5"/>
  <c r="AD79" i="5"/>
  <c r="AB79" i="5"/>
  <c r="Z79" i="5"/>
  <c r="X79" i="5"/>
  <c r="V79" i="5"/>
  <c r="T79" i="5"/>
  <c r="AD78" i="5"/>
  <c r="AB78" i="5"/>
  <c r="Z78" i="5"/>
  <c r="X78" i="5"/>
  <c r="V78" i="5"/>
  <c r="T78" i="5"/>
  <c r="AD77" i="5"/>
  <c r="AB77" i="5"/>
  <c r="Z77" i="5"/>
  <c r="X77" i="5"/>
  <c r="V77" i="5"/>
  <c r="T77" i="5"/>
  <c r="AD76" i="5"/>
  <c r="AB76" i="5"/>
  <c r="Z76" i="5"/>
  <c r="X76" i="5"/>
  <c r="V76" i="5"/>
  <c r="T76" i="5"/>
  <c r="AD75" i="5"/>
  <c r="AB75" i="5"/>
  <c r="Z75" i="5"/>
  <c r="X75" i="5"/>
  <c r="V75" i="5"/>
  <c r="T75" i="5"/>
  <c r="AD74" i="5"/>
  <c r="AB74" i="5"/>
  <c r="Z74" i="5"/>
  <c r="X74" i="5"/>
  <c r="V74" i="5"/>
  <c r="T74" i="5"/>
  <c r="AD73" i="5"/>
  <c r="AB73" i="5"/>
  <c r="Z73" i="5"/>
  <c r="X73" i="5"/>
  <c r="V73" i="5"/>
  <c r="T73" i="5"/>
  <c r="AD72" i="5"/>
  <c r="AB72" i="5"/>
  <c r="Z72" i="5"/>
  <c r="X72" i="5"/>
  <c r="V72" i="5"/>
  <c r="T72" i="5"/>
  <c r="AD71" i="5"/>
  <c r="AB71" i="5"/>
  <c r="Z71" i="5"/>
  <c r="X71" i="5"/>
  <c r="V71" i="5"/>
  <c r="T71" i="5"/>
  <c r="AD70" i="5"/>
  <c r="AB70" i="5"/>
  <c r="Z70" i="5"/>
  <c r="X70" i="5"/>
  <c r="V70" i="5"/>
  <c r="T70" i="5"/>
  <c r="AD69" i="5"/>
  <c r="AB69" i="5"/>
  <c r="Z69" i="5"/>
  <c r="X69" i="5"/>
  <c r="V69" i="5"/>
  <c r="T69" i="5"/>
  <c r="AD68" i="5"/>
  <c r="AB68" i="5"/>
  <c r="Z68" i="5"/>
  <c r="X68" i="5"/>
  <c r="V68" i="5"/>
  <c r="T68" i="5"/>
  <c r="AD67" i="5"/>
  <c r="AB67" i="5"/>
  <c r="Z67" i="5"/>
  <c r="X67" i="5"/>
  <c r="V67" i="5"/>
  <c r="T67" i="5"/>
  <c r="AD66" i="5"/>
  <c r="AB66" i="5"/>
  <c r="Z66" i="5"/>
  <c r="X66" i="5"/>
  <c r="V66" i="5"/>
  <c r="T66" i="5"/>
  <c r="AD65" i="5"/>
  <c r="AB65" i="5"/>
  <c r="Z65" i="5"/>
  <c r="X65" i="5"/>
  <c r="V65" i="5"/>
  <c r="T65" i="5"/>
  <c r="AD64" i="5"/>
  <c r="AB64" i="5"/>
  <c r="Z64" i="5"/>
  <c r="X64" i="5"/>
  <c r="V64" i="5"/>
  <c r="T64" i="5"/>
  <c r="AD63" i="5"/>
  <c r="AB63" i="5"/>
  <c r="Z63" i="5"/>
  <c r="X63" i="5"/>
  <c r="V63" i="5"/>
  <c r="T63" i="5"/>
  <c r="AD62" i="5"/>
  <c r="AB62" i="5"/>
  <c r="Z62" i="5"/>
  <c r="X62" i="5"/>
  <c r="V62" i="5"/>
  <c r="T62" i="5"/>
  <c r="AD61" i="5"/>
  <c r="AB61" i="5"/>
  <c r="Z61" i="5"/>
  <c r="X61" i="5"/>
  <c r="V61" i="5"/>
  <c r="T61" i="5"/>
  <c r="AD60" i="5"/>
  <c r="AB60" i="5"/>
  <c r="Z60" i="5"/>
  <c r="X60" i="5"/>
  <c r="V60" i="5"/>
  <c r="T60" i="5"/>
  <c r="AD59" i="5"/>
  <c r="AB59" i="5"/>
  <c r="Z59" i="5"/>
  <c r="X59" i="5"/>
  <c r="V59" i="5"/>
  <c r="T59" i="5"/>
  <c r="AD58" i="5"/>
  <c r="AB58" i="5"/>
  <c r="Z58" i="5"/>
  <c r="X58" i="5"/>
  <c r="V58" i="5"/>
  <c r="T58" i="5"/>
  <c r="AD57" i="5"/>
  <c r="AB57" i="5"/>
  <c r="Z57" i="5"/>
  <c r="X57" i="5"/>
  <c r="V57" i="5"/>
  <c r="T57" i="5"/>
  <c r="AD56" i="5"/>
  <c r="AB56" i="5"/>
  <c r="Z56" i="5"/>
  <c r="X56" i="5"/>
  <c r="V56" i="5"/>
  <c r="T56" i="5"/>
  <c r="AD55" i="5"/>
  <c r="AB55" i="5"/>
  <c r="Z55" i="5"/>
  <c r="X55" i="5"/>
  <c r="V55" i="5"/>
  <c r="T55" i="5"/>
  <c r="AD54" i="5"/>
  <c r="AB54" i="5"/>
  <c r="Z54" i="5"/>
  <c r="X54" i="5"/>
  <c r="V54" i="5"/>
  <c r="T54" i="5"/>
  <c r="AD53" i="5"/>
  <c r="AB53" i="5"/>
  <c r="Z53" i="5"/>
  <c r="X53" i="5"/>
  <c r="V53" i="5"/>
  <c r="T53" i="5"/>
  <c r="AD52" i="5"/>
  <c r="AB52" i="5"/>
  <c r="Z52" i="5"/>
  <c r="X52" i="5"/>
  <c r="V52" i="5"/>
  <c r="T52" i="5"/>
  <c r="AD51" i="5"/>
  <c r="AB51" i="5"/>
  <c r="Z51" i="5"/>
  <c r="X51" i="5"/>
  <c r="V51" i="5"/>
  <c r="T51" i="5"/>
  <c r="AD50" i="5"/>
  <c r="AB50" i="5"/>
  <c r="Z50" i="5"/>
  <c r="X50" i="5"/>
  <c r="V50" i="5"/>
  <c r="T50" i="5"/>
  <c r="AD49" i="5"/>
  <c r="AB49" i="5"/>
  <c r="Z49" i="5"/>
  <c r="X49" i="5"/>
  <c r="V49" i="5"/>
  <c r="T49" i="5"/>
  <c r="AD48" i="5"/>
  <c r="AB48" i="5"/>
  <c r="Z48" i="5"/>
  <c r="X48" i="5"/>
  <c r="V48" i="5"/>
  <c r="T48" i="5"/>
  <c r="AD47" i="5"/>
  <c r="AB47" i="5"/>
  <c r="Z47" i="5"/>
  <c r="X47" i="5"/>
  <c r="V47" i="5"/>
  <c r="T47" i="5"/>
  <c r="AD46" i="5"/>
  <c r="AB46" i="5"/>
  <c r="Z46" i="5"/>
  <c r="X46" i="5"/>
  <c r="V46" i="5"/>
  <c r="T46" i="5"/>
  <c r="AD45" i="5"/>
  <c r="AB45" i="5"/>
  <c r="Z45" i="5"/>
  <c r="X45" i="5"/>
  <c r="V45" i="5"/>
  <c r="T45" i="5"/>
  <c r="AD44" i="5"/>
  <c r="AB44" i="5"/>
  <c r="Z44" i="5"/>
  <c r="X44" i="5"/>
  <c r="V44" i="5"/>
  <c r="T44" i="5"/>
  <c r="AD43" i="5"/>
  <c r="AB43" i="5"/>
  <c r="Z43" i="5"/>
  <c r="X43" i="5"/>
  <c r="V43" i="5"/>
  <c r="T43" i="5"/>
  <c r="AD42" i="5"/>
  <c r="AB42" i="5"/>
  <c r="Z42" i="5"/>
  <c r="X42" i="5"/>
  <c r="V42" i="5"/>
  <c r="T42" i="5"/>
  <c r="AD41" i="5"/>
  <c r="AB41" i="5"/>
  <c r="Z41" i="5"/>
  <c r="X41" i="5"/>
  <c r="V41" i="5"/>
  <c r="T41" i="5"/>
  <c r="AD40" i="5"/>
  <c r="AB40" i="5"/>
  <c r="Z40" i="5"/>
  <c r="X40" i="5"/>
  <c r="V40" i="5"/>
  <c r="T40" i="5"/>
  <c r="AD39" i="5"/>
  <c r="AB39" i="5"/>
  <c r="Z39" i="5"/>
  <c r="X39" i="5"/>
  <c r="V39" i="5"/>
  <c r="T39" i="5"/>
  <c r="AD38" i="5"/>
  <c r="AB38" i="5"/>
  <c r="Z38" i="5"/>
  <c r="X38" i="5"/>
  <c r="V38" i="5"/>
  <c r="T38" i="5"/>
  <c r="AD37" i="5"/>
  <c r="AB37" i="5"/>
  <c r="Z37" i="5"/>
  <c r="X37" i="5"/>
  <c r="V37" i="5"/>
  <c r="T37" i="5"/>
  <c r="AD36" i="5"/>
  <c r="AB36" i="5"/>
  <c r="Z36" i="5"/>
  <c r="X36" i="5"/>
  <c r="V36" i="5"/>
  <c r="T36" i="5"/>
  <c r="AD35" i="5"/>
  <c r="AB35" i="5"/>
  <c r="Z35" i="5"/>
  <c r="X35" i="5"/>
  <c r="V35" i="5"/>
  <c r="T35" i="5"/>
  <c r="AD34" i="5"/>
  <c r="AB34" i="5"/>
  <c r="Z34" i="5"/>
  <c r="X34" i="5"/>
  <c r="V34" i="5"/>
  <c r="T34" i="5"/>
  <c r="AD33" i="5"/>
  <c r="AB33" i="5"/>
  <c r="Z33" i="5"/>
  <c r="X33" i="5"/>
  <c r="V33" i="5"/>
  <c r="T33" i="5"/>
  <c r="AD32" i="5"/>
  <c r="AB32" i="5"/>
  <c r="Z32" i="5"/>
  <c r="X32" i="5"/>
  <c r="V32" i="5"/>
  <c r="T32" i="5"/>
  <c r="AD31" i="5"/>
  <c r="AB31" i="5"/>
  <c r="Z31" i="5"/>
  <c r="X31" i="5"/>
  <c r="V31" i="5"/>
  <c r="T31" i="5"/>
  <c r="AD30" i="5"/>
  <c r="AB30" i="5"/>
  <c r="Z30" i="5"/>
  <c r="X30" i="5"/>
  <c r="V30" i="5"/>
  <c r="T30" i="5"/>
  <c r="AD29" i="5"/>
  <c r="AB29" i="5"/>
  <c r="Z29" i="5"/>
  <c r="X29" i="5"/>
  <c r="V29" i="5"/>
  <c r="T29" i="5"/>
  <c r="AD28" i="5"/>
  <c r="AB28" i="5"/>
  <c r="Z28" i="5"/>
  <c r="X28" i="5"/>
  <c r="V28" i="5"/>
  <c r="T28" i="5"/>
  <c r="AD27" i="5"/>
  <c r="AB27" i="5"/>
  <c r="Z27" i="5"/>
  <c r="X27" i="5"/>
  <c r="V27" i="5"/>
  <c r="T27" i="5"/>
  <c r="AD26" i="5"/>
  <c r="AB26" i="5"/>
  <c r="Z26" i="5"/>
  <c r="X26" i="5"/>
  <c r="V26" i="5"/>
  <c r="T26" i="5"/>
  <c r="AD25" i="5"/>
  <c r="AB25" i="5"/>
  <c r="Z25" i="5"/>
  <c r="X25" i="5"/>
  <c r="V25" i="5"/>
  <c r="T25" i="5"/>
  <c r="AD24" i="5"/>
  <c r="AB24" i="5"/>
  <c r="Z24" i="5"/>
  <c r="X24" i="5"/>
  <c r="V24" i="5"/>
  <c r="T24" i="5"/>
  <c r="AD23" i="5"/>
  <c r="AB23" i="5"/>
  <c r="Z23" i="5"/>
  <c r="X23" i="5"/>
  <c r="V23" i="5"/>
  <c r="T23" i="5"/>
  <c r="AD22" i="5"/>
  <c r="AB22" i="5"/>
  <c r="Z22" i="5"/>
  <c r="X22" i="5"/>
  <c r="V22" i="5"/>
  <c r="T22" i="5"/>
  <c r="AD21" i="5"/>
  <c r="AB21" i="5"/>
  <c r="Z21" i="5"/>
  <c r="X21" i="5"/>
  <c r="V21" i="5"/>
  <c r="T21" i="5"/>
  <c r="AD20" i="5"/>
  <c r="AB20" i="5"/>
  <c r="Z20" i="5"/>
  <c r="X20" i="5"/>
  <c r="V20" i="5"/>
  <c r="T20" i="5"/>
  <c r="AD19" i="5"/>
  <c r="AB19" i="5"/>
  <c r="Z19" i="5"/>
  <c r="X19" i="5"/>
  <c r="V19" i="5"/>
  <c r="T19" i="5"/>
  <c r="AD18" i="5"/>
  <c r="AB18" i="5"/>
  <c r="Z18" i="5"/>
  <c r="X18" i="5"/>
  <c r="V18" i="5"/>
  <c r="T18" i="5"/>
  <c r="AD17" i="5"/>
  <c r="AB17" i="5"/>
  <c r="Z17" i="5"/>
  <c r="X17" i="5"/>
  <c r="V17" i="5"/>
  <c r="T17" i="5"/>
  <c r="AD16" i="5"/>
  <c r="AB16" i="5"/>
  <c r="Z16" i="5"/>
  <c r="X16" i="5"/>
  <c r="V16" i="5"/>
  <c r="T16" i="5"/>
  <c r="AD15" i="5"/>
  <c r="AB15" i="5"/>
  <c r="Z15" i="5"/>
  <c r="X15" i="5"/>
  <c r="V15" i="5"/>
  <c r="T15" i="5"/>
  <c r="AD14" i="5"/>
  <c r="AB14" i="5"/>
  <c r="Z14" i="5"/>
  <c r="X14" i="5"/>
  <c r="V14" i="5"/>
  <c r="T14" i="5"/>
  <c r="AD13" i="5"/>
  <c r="AB13" i="5"/>
  <c r="Z13" i="5"/>
  <c r="X13" i="5"/>
  <c r="V13" i="5"/>
  <c r="T13" i="5"/>
  <c r="B1" i="3"/>
  <c r="B1" i="4"/>
  <c r="B5" i="4"/>
  <c r="B2" i="4"/>
  <c r="AJ508" i="4"/>
  <c r="AJ504" i="4"/>
  <c r="AJ501" i="4"/>
  <c r="R478" i="4"/>
  <c r="P365" i="4"/>
  <c r="P364" i="4"/>
  <c r="P363" i="4"/>
  <c r="B5" i="3"/>
  <c r="B2" i="3"/>
  <c r="AB668" i="3"/>
  <c r="Z668" i="3"/>
  <c r="X668" i="3"/>
  <c r="U668" i="3"/>
  <c r="S668" i="3"/>
  <c r="AB667" i="3"/>
  <c r="Z667" i="3"/>
  <c r="X667" i="3"/>
  <c r="U667" i="3"/>
  <c r="S667" i="3"/>
  <c r="AB666" i="3"/>
  <c r="Z666" i="3"/>
  <c r="X666" i="3"/>
  <c r="U666" i="3"/>
  <c r="S666" i="3"/>
  <c r="AB665" i="3"/>
  <c r="Z665" i="3"/>
  <c r="X665" i="3"/>
  <c r="U665" i="3"/>
  <c r="S665" i="3"/>
  <c r="AB664" i="3"/>
  <c r="Z664" i="3"/>
  <c r="X664" i="3"/>
  <c r="U664" i="3"/>
  <c r="S664" i="3"/>
  <c r="AB663" i="3"/>
  <c r="Z663" i="3"/>
  <c r="X663" i="3"/>
  <c r="U663" i="3"/>
  <c r="S663" i="3"/>
  <c r="AB662" i="3"/>
  <c r="Z662" i="3"/>
  <c r="X662" i="3"/>
  <c r="U662" i="3"/>
  <c r="S662" i="3"/>
  <c r="AB661" i="3"/>
  <c r="Z661" i="3"/>
  <c r="X661" i="3"/>
  <c r="U661" i="3"/>
  <c r="S661" i="3"/>
  <c r="AB660" i="3"/>
  <c r="Z660" i="3"/>
  <c r="X660" i="3"/>
  <c r="U660" i="3"/>
  <c r="S660" i="3"/>
  <c r="AB659" i="3"/>
  <c r="Z659" i="3"/>
  <c r="X659" i="3"/>
  <c r="U659" i="3"/>
  <c r="S659" i="3"/>
  <c r="AB658" i="3"/>
  <c r="Z658" i="3"/>
  <c r="X658" i="3"/>
  <c r="U658" i="3"/>
  <c r="S658" i="3"/>
  <c r="AB657" i="3"/>
  <c r="Z657" i="3"/>
  <c r="X657" i="3"/>
  <c r="U657" i="3"/>
  <c r="S657" i="3"/>
  <c r="AB656" i="3"/>
  <c r="Z656" i="3"/>
  <c r="X656" i="3"/>
  <c r="U656" i="3"/>
  <c r="S656" i="3"/>
  <c r="AB655" i="3"/>
  <c r="Z655" i="3"/>
  <c r="X655" i="3"/>
  <c r="U655" i="3"/>
  <c r="S655" i="3"/>
  <c r="AB654" i="3"/>
  <c r="Z654" i="3"/>
  <c r="X654" i="3"/>
  <c r="U654" i="3"/>
  <c r="S654" i="3"/>
  <c r="AB653" i="3"/>
  <c r="Z653" i="3"/>
  <c r="X653" i="3"/>
  <c r="U653" i="3"/>
  <c r="S653" i="3"/>
  <c r="AB652" i="3"/>
  <c r="Z652" i="3"/>
  <c r="X652" i="3"/>
  <c r="U652" i="3"/>
  <c r="S652" i="3"/>
  <c r="AB651" i="3"/>
  <c r="Z651" i="3"/>
  <c r="X651" i="3"/>
  <c r="U651" i="3"/>
  <c r="S651" i="3"/>
  <c r="AB650" i="3"/>
  <c r="Z650" i="3"/>
  <c r="X650" i="3"/>
  <c r="U650" i="3"/>
  <c r="S650" i="3"/>
  <c r="AB649" i="3"/>
  <c r="Z649" i="3"/>
  <c r="X649" i="3"/>
  <c r="U649" i="3"/>
  <c r="S649" i="3"/>
  <c r="AB648" i="3"/>
  <c r="Z648" i="3"/>
  <c r="X648" i="3"/>
  <c r="U648" i="3"/>
  <c r="S648" i="3"/>
  <c r="AB647" i="3"/>
  <c r="Z647" i="3"/>
  <c r="X647" i="3"/>
  <c r="U647" i="3"/>
  <c r="S647" i="3"/>
  <c r="AB646" i="3"/>
  <c r="Z646" i="3"/>
  <c r="X646" i="3"/>
  <c r="U646" i="3"/>
  <c r="S646" i="3"/>
  <c r="AB645" i="3"/>
  <c r="Z645" i="3"/>
  <c r="X645" i="3"/>
  <c r="U645" i="3"/>
  <c r="S645" i="3"/>
  <c r="AB644" i="3"/>
  <c r="Z644" i="3"/>
  <c r="X644" i="3"/>
  <c r="U644" i="3"/>
  <c r="S644" i="3"/>
  <c r="AB643" i="3"/>
  <c r="Z643" i="3"/>
  <c r="X643" i="3"/>
  <c r="U643" i="3"/>
  <c r="S643" i="3"/>
  <c r="AB642" i="3"/>
  <c r="Z642" i="3"/>
  <c r="X642" i="3"/>
  <c r="U642" i="3"/>
  <c r="S642" i="3"/>
  <c r="AB641" i="3"/>
  <c r="Z641" i="3"/>
  <c r="X641" i="3"/>
  <c r="U641" i="3"/>
  <c r="S641" i="3"/>
  <c r="AB640" i="3"/>
  <c r="Z640" i="3"/>
  <c r="X640" i="3"/>
  <c r="U640" i="3"/>
  <c r="S640" i="3"/>
  <c r="AB639" i="3"/>
  <c r="Z639" i="3"/>
  <c r="X639" i="3"/>
  <c r="U639" i="3"/>
  <c r="S639" i="3"/>
  <c r="AB638" i="3"/>
  <c r="Z638" i="3"/>
  <c r="X638" i="3"/>
  <c r="U638" i="3"/>
  <c r="S638" i="3"/>
  <c r="AB637" i="3"/>
  <c r="Z637" i="3"/>
  <c r="X637" i="3"/>
  <c r="U637" i="3"/>
  <c r="S637" i="3"/>
  <c r="AB636" i="3"/>
  <c r="Z636" i="3"/>
  <c r="X636" i="3"/>
  <c r="U636" i="3"/>
  <c r="S636" i="3"/>
  <c r="AB635" i="3"/>
  <c r="Z635" i="3"/>
  <c r="X635" i="3"/>
  <c r="U635" i="3"/>
  <c r="S635" i="3"/>
  <c r="AB634" i="3"/>
  <c r="Z634" i="3"/>
  <c r="X634" i="3"/>
  <c r="U634" i="3"/>
  <c r="S634" i="3"/>
  <c r="AB633" i="3"/>
  <c r="Z633" i="3"/>
  <c r="X633" i="3"/>
  <c r="U633" i="3"/>
  <c r="S633" i="3"/>
  <c r="AB632" i="3"/>
  <c r="Z632" i="3"/>
  <c r="X632" i="3"/>
  <c r="U632" i="3"/>
  <c r="S632" i="3"/>
  <c r="AB631" i="3"/>
  <c r="Z631" i="3"/>
  <c r="X631" i="3"/>
  <c r="U631" i="3"/>
  <c r="S631" i="3"/>
  <c r="AB630" i="3"/>
  <c r="Z630" i="3"/>
  <c r="X630" i="3"/>
  <c r="U630" i="3"/>
  <c r="S630" i="3"/>
  <c r="AB629" i="3"/>
  <c r="Z629" i="3"/>
  <c r="X629" i="3"/>
  <c r="U629" i="3"/>
  <c r="S629" i="3"/>
  <c r="AB628" i="3"/>
  <c r="Z628" i="3"/>
  <c r="X628" i="3"/>
  <c r="U628" i="3"/>
  <c r="S628" i="3"/>
  <c r="AB627" i="3"/>
  <c r="Z627" i="3"/>
  <c r="X627" i="3"/>
  <c r="U627" i="3"/>
  <c r="S627" i="3"/>
  <c r="AB626" i="3"/>
  <c r="Z626" i="3"/>
  <c r="X626" i="3"/>
  <c r="U626" i="3"/>
  <c r="S626" i="3"/>
  <c r="AB625" i="3"/>
  <c r="Z625" i="3"/>
  <c r="X625" i="3"/>
  <c r="U625" i="3"/>
  <c r="S625" i="3"/>
  <c r="AB624" i="3"/>
  <c r="Z624" i="3"/>
  <c r="X624" i="3"/>
  <c r="U624" i="3"/>
  <c r="S624" i="3"/>
  <c r="AB623" i="3"/>
  <c r="Z623" i="3"/>
  <c r="X623" i="3"/>
  <c r="U623" i="3"/>
  <c r="S623" i="3"/>
  <c r="AB622" i="3"/>
  <c r="Z622" i="3"/>
  <c r="X622" i="3"/>
  <c r="U622" i="3"/>
  <c r="S622" i="3"/>
  <c r="AB621" i="3"/>
  <c r="Z621" i="3"/>
  <c r="X621" i="3"/>
  <c r="U621" i="3"/>
  <c r="S621" i="3"/>
  <c r="AB620" i="3"/>
  <c r="Z620" i="3"/>
  <c r="X620" i="3"/>
  <c r="U620" i="3"/>
  <c r="S620" i="3"/>
  <c r="AB619" i="3"/>
  <c r="Z619" i="3"/>
  <c r="X619" i="3"/>
  <c r="U619" i="3"/>
  <c r="S619" i="3"/>
  <c r="AB618" i="3"/>
  <c r="Z618" i="3"/>
  <c r="X618" i="3"/>
  <c r="U618" i="3"/>
  <c r="S618" i="3"/>
  <c r="AB617" i="3"/>
  <c r="Z617" i="3"/>
  <c r="X617" i="3"/>
  <c r="U617" i="3"/>
  <c r="S617" i="3"/>
  <c r="AB616" i="3"/>
  <c r="Z616" i="3"/>
  <c r="X616" i="3"/>
  <c r="U616" i="3"/>
  <c r="S616" i="3"/>
  <c r="AB615" i="3"/>
  <c r="Z615" i="3"/>
  <c r="X615" i="3"/>
  <c r="U615" i="3"/>
  <c r="S615" i="3"/>
  <c r="AB614" i="3"/>
  <c r="Z614" i="3"/>
  <c r="X614" i="3"/>
  <c r="U614" i="3"/>
  <c r="S614" i="3"/>
  <c r="AB613" i="3"/>
  <c r="Z613" i="3"/>
  <c r="X613" i="3"/>
  <c r="U613" i="3"/>
  <c r="S613" i="3"/>
  <c r="AB612" i="3"/>
  <c r="Z612" i="3"/>
  <c r="X612" i="3"/>
  <c r="U612" i="3"/>
  <c r="S612" i="3"/>
  <c r="AB611" i="3"/>
  <c r="Z611" i="3"/>
  <c r="X611" i="3"/>
  <c r="U611" i="3"/>
  <c r="S611" i="3"/>
  <c r="AB610" i="3"/>
  <c r="Z610" i="3"/>
  <c r="X610" i="3"/>
  <c r="U610" i="3"/>
  <c r="S610" i="3"/>
  <c r="AB609" i="3"/>
  <c r="Z609" i="3"/>
  <c r="X609" i="3"/>
  <c r="U609" i="3"/>
  <c r="S609" i="3"/>
  <c r="AB608" i="3"/>
  <c r="Z608" i="3"/>
  <c r="X608" i="3"/>
  <c r="U608" i="3"/>
  <c r="S608" i="3"/>
  <c r="AB607" i="3"/>
  <c r="Z607" i="3"/>
  <c r="X607" i="3"/>
  <c r="U607" i="3"/>
  <c r="S607" i="3"/>
  <c r="AB606" i="3"/>
  <c r="Z606" i="3"/>
  <c r="X606" i="3"/>
  <c r="U606" i="3"/>
  <c r="S606" i="3"/>
  <c r="AB605" i="3"/>
  <c r="Z605" i="3"/>
  <c r="X605" i="3"/>
  <c r="U605" i="3"/>
  <c r="S605" i="3"/>
  <c r="AB604" i="3"/>
  <c r="Z604" i="3"/>
  <c r="X604" i="3"/>
  <c r="U604" i="3"/>
  <c r="S604" i="3"/>
  <c r="AB603" i="3"/>
  <c r="Z603" i="3"/>
  <c r="X603" i="3"/>
  <c r="U603" i="3"/>
  <c r="S603" i="3"/>
  <c r="AB602" i="3"/>
  <c r="Z602" i="3"/>
  <c r="X602" i="3"/>
  <c r="U602" i="3"/>
  <c r="S602" i="3"/>
  <c r="AB601" i="3"/>
  <c r="Z601" i="3"/>
  <c r="X601" i="3"/>
  <c r="U601" i="3"/>
  <c r="S601" i="3"/>
  <c r="AB600" i="3"/>
  <c r="Z600" i="3"/>
  <c r="X600" i="3"/>
  <c r="U600" i="3"/>
  <c r="S600" i="3"/>
  <c r="AB599" i="3"/>
  <c r="Z599" i="3"/>
  <c r="X599" i="3"/>
  <c r="U599" i="3"/>
  <c r="S599" i="3"/>
  <c r="AB598" i="3"/>
  <c r="Z598" i="3"/>
  <c r="X598" i="3"/>
  <c r="U598" i="3"/>
  <c r="S598" i="3"/>
  <c r="AB597" i="3"/>
  <c r="Z597" i="3"/>
  <c r="X597" i="3"/>
  <c r="U597" i="3"/>
  <c r="S597" i="3"/>
  <c r="AB596" i="3"/>
  <c r="Z596" i="3"/>
  <c r="X596" i="3"/>
  <c r="U596" i="3"/>
  <c r="S596" i="3"/>
  <c r="AB595" i="3"/>
  <c r="Z595" i="3"/>
  <c r="X595" i="3"/>
  <c r="U595" i="3"/>
  <c r="S595" i="3"/>
  <c r="AB594" i="3"/>
  <c r="Z594" i="3"/>
  <c r="X594" i="3"/>
  <c r="U594" i="3"/>
  <c r="S594" i="3"/>
  <c r="AB593" i="3"/>
  <c r="Z593" i="3"/>
  <c r="X593" i="3"/>
  <c r="U593" i="3"/>
  <c r="S593" i="3"/>
  <c r="AB592" i="3"/>
  <c r="Z592" i="3"/>
  <c r="X592" i="3"/>
  <c r="U592" i="3"/>
  <c r="S592" i="3"/>
  <c r="AB591" i="3"/>
  <c r="Z591" i="3"/>
  <c r="X591" i="3"/>
  <c r="U591" i="3"/>
  <c r="S591" i="3"/>
  <c r="AB590" i="3"/>
  <c r="Z590" i="3"/>
  <c r="X590" i="3"/>
  <c r="U590" i="3"/>
  <c r="S590" i="3"/>
  <c r="AB589" i="3"/>
  <c r="Z589" i="3"/>
  <c r="X589" i="3"/>
  <c r="U589" i="3"/>
  <c r="S589" i="3"/>
  <c r="AB588" i="3"/>
  <c r="Z588" i="3"/>
  <c r="X588" i="3"/>
  <c r="U588" i="3"/>
  <c r="S588" i="3"/>
  <c r="AB587" i="3"/>
  <c r="Z587" i="3"/>
  <c r="X587" i="3"/>
  <c r="U587" i="3"/>
  <c r="S587" i="3"/>
  <c r="AB586" i="3"/>
  <c r="Z586" i="3"/>
  <c r="X586" i="3"/>
  <c r="U586" i="3"/>
  <c r="S586" i="3"/>
  <c r="AB585" i="3"/>
  <c r="Z585" i="3"/>
  <c r="X585" i="3"/>
  <c r="U585" i="3"/>
  <c r="S585" i="3"/>
  <c r="AB584" i="3"/>
  <c r="Z584" i="3"/>
  <c r="X584" i="3"/>
  <c r="U584" i="3"/>
  <c r="S584" i="3"/>
  <c r="AB583" i="3"/>
  <c r="Z583" i="3"/>
  <c r="X583" i="3"/>
  <c r="U583" i="3"/>
  <c r="S583" i="3"/>
  <c r="AB582" i="3"/>
  <c r="Z582" i="3"/>
  <c r="X582" i="3"/>
  <c r="U582" i="3"/>
  <c r="S582" i="3"/>
  <c r="AB581" i="3"/>
  <c r="Z581" i="3"/>
  <c r="X581" i="3"/>
  <c r="U581" i="3"/>
  <c r="S581" i="3"/>
  <c r="AB580" i="3"/>
  <c r="Z580" i="3"/>
  <c r="X580" i="3"/>
  <c r="U580" i="3"/>
  <c r="S580" i="3"/>
  <c r="AB579" i="3"/>
  <c r="Z579" i="3"/>
  <c r="X579" i="3"/>
  <c r="U579" i="3"/>
  <c r="S579" i="3"/>
  <c r="AB578" i="3"/>
  <c r="Z578" i="3"/>
  <c r="X578" i="3"/>
  <c r="U578" i="3"/>
  <c r="S578" i="3"/>
  <c r="AB577" i="3"/>
  <c r="Z577" i="3"/>
  <c r="X577" i="3"/>
  <c r="U577" i="3"/>
  <c r="S577" i="3"/>
  <c r="AB576" i="3"/>
  <c r="Z576" i="3"/>
  <c r="X576" i="3"/>
  <c r="U576" i="3"/>
  <c r="S576" i="3"/>
  <c r="AB575" i="3"/>
  <c r="Z575" i="3"/>
  <c r="X575" i="3"/>
  <c r="U575" i="3"/>
  <c r="AB574" i="3"/>
  <c r="Z574" i="3"/>
  <c r="X574" i="3"/>
  <c r="U574" i="3"/>
  <c r="S574" i="3"/>
  <c r="AB573" i="3"/>
  <c r="Z573" i="3"/>
  <c r="X573" i="3"/>
  <c r="U573" i="3"/>
  <c r="S573" i="3"/>
  <c r="AB572" i="3"/>
  <c r="Z572" i="3"/>
  <c r="X572" i="3"/>
  <c r="U572" i="3"/>
  <c r="S572" i="3"/>
  <c r="AB571" i="3"/>
  <c r="Z571" i="3"/>
  <c r="X571" i="3"/>
  <c r="U571" i="3"/>
  <c r="S571" i="3"/>
  <c r="AB570" i="3"/>
  <c r="Z570" i="3"/>
  <c r="X570" i="3"/>
  <c r="U570" i="3"/>
  <c r="S570" i="3"/>
  <c r="AB569" i="3"/>
  <c r="Z569" i="3"/>
  <c r="X569" i="3"/>
  <c r="U569" i="3"/>
  <c r="S569" i="3"/>
  <c r="AB568" i="3"/>
  <c r="Z568" i="3"/>
  <c r="X568" i="3"/>
  <c r="U568" i="3"/>
  <c r="S568" i="3"/>
  <c r="AB567" i="3"/>
  <c r="Z567" i="3"/>
  <c r="X567" i="3"/>
  <c r="U567" i="3"/>
  <c r="S567" i="3"/>
  <c r="AB566" i="3"/>
  <c r="Z566" i="3"/>
  <c r="X566" i="3"/>
  <c r="U566" i="3"/>
  <c r="S566" i="3"/>
  <c r="AB565" i="3"/>
  <c r="Z565" i="3"/>
  <c r="X565" i="3"/>
  <c r="U565" i="3"/>
  <c r="S565" i="3"/>
  <c r="AB564" i="3"/>
  <c r="Z564" i="3"/>
  <c r="X564" i="3"/>
  <c r="U564" i="3"/>
  <c r="S564" i="3"/>
  <c r="AB563" i="3"/>
  <c r="Z563" i="3"/>
  <c r="X563" i="3"/>
  <c r="U563" i="3"/>
  <c r="S563" i="3"/>
  <c r="AB562" i="3"/>
  <c r="Z562" i="3"/>
  <c r="X562" i="3"/>
  <c r="U562" i="3"/>
  <c r="S562" i="3"/>
  <c r="AB561" i="3"/>
  <c r="Z561" i="3"/>
  <c r="X561" i="3"/>
  <c r="U561" i="3"/>
  <c r="S561" i="3"/>
  <c r="AB560" i="3"/>
  <c r="Z560" i="3"/>
  <c r="X560" i="3"/>
  <c r="U560" i="3"/>
  <c r="S560" i="3"/>
  <c r="AB559" i="3"/>
  <c r="Z559" i="3"/>
  <c r="X559" i="3"/>
  <c r="U559" i="3"/>
  <c r="S559" i="3"/>
  <c r="AB558" i="3"/>
  <c r="Z558" i="3"/>
  <c r="X558" i="3"/>
  <c r="U558" i="3"/>
  <c r="S558" i="3"/>
  <c r="AB557" i="3"/>
  <c r="Z557" i="3"/>
  <c r="X557" i="3"/>
  <c r="U557" i="3"/>
  <c r="S557" i="3"/>
  <c r="AB556" i="3"/>
  <c r="Z556" i="3"/>
  <c r="X556" i="3"/>
  <c r="U556" i="3"/>
  <c r="S556" i="3"/>
  <c r="AB555" i="3"/>
  <c r="Z555" i="3"/>
  <c r="X555" i="3"/>
  <c r="U555" i="3"/>
  <c r="S555" i="3"/>
  <c r="AB554" i="3"/>
  <c r="Z554" i="3"/>
  <c r="X554" i="3"/>
  <c r="U554" i="3"/>
  <c r="S554" i="3"/>
  <c r="AB553" i="3"/>
  <c r="Z553" i="3"/>
  <c r="X553" i="3"/>
  <c r="U553" i="3"/>
  <c r="S553" i="3"/>
  <c r="AB552" i="3"/>
  <c r="Z552" i="3"/>
  <c r="X552" i="3"/>
  <c r="U552" i="3"/>
  <c r="S552" i="3"/>
  <c r="AB551" i="3"/>
  <c r="Z551" i="3"/>
  <c r="X551" i="3"/>
  <c r="U551" i="3"/>
  <c r="S551" i="3"/>
  <c r="AB550" i="3"/>
  <c r="Z550" i="3"/>
  <c r="X550" i="3"/>
  <c r="U550" i="3"/>
  <c r="S550" i="3"/>
  <c r="AB549" i="3"/>
  <c r="Z549" i="3"/>
  <c r="X549" i="3"/>
  <c r="U549" i="3"/>
  <c r="S549" i="3"/>
  <c r="AB548" i="3"/>
  <c r="Z548" i="3"/>
  <c r="X548" i="3"/>
  <c r="U548" i="3"/>
  <c r="S548" i="3"/>
  <c r="AB547" i="3"/>
  <c r="Z547" i="3"/>
  <c r="X547" i="3"/>
  <c r="U547" i="3"/>
  <c r="S547" i="3"/>
  <c r="AB546" i="3"/>
  <c r="Z546" i="3"/>
  <c r="X546" i="3"/>
  <c r="U546" i="3"/>
  <c r="S546" i="3"/>
  <c r="AB545" i="3"/>
  <c r="Z545" i="3"/>
  <c r="X545" i="3"/>
  <c r="U545" i="3"/>
  <c r="S545" i="3"/>
  <c r="AB544" i="3"/>
  <c r="Z544" i="3"/>
  <c r="X544" i="3"/>
  <c r="U544" i="3"/>
  <c r="S544" i="3"/>
  <c r="AB543" i="3"/>
  <c r="Z543" i="3"/>
  <c r="X543" i="3"/>
  <c r="U543" i="3"/>
  <c r="S543" i="3"/>
  <c r="AB542" i="3"/>
  <c r="Z542" i="3"/>
  <c r="X542" i="3"/>
  <c r="U542" i="3"/>
  <c r="S542" i="3"/>
  <c r="AB541" i="3"/>
  <c r="Z541" i="3"/>
  <c r="X541" i="3"/>
  <c r="U541" i="3"/>
  <c r="S541" i="3"/>
  <c r="AB540" i="3"/>
  <c r="Z540" i="3"/>
  <c r="X540" i="3"/>
  <c r="U540" i="3"/>
  <c r="S540" i="3"/>
  <c r="AB539" i="3"/>
  <c r="Z539" i="3"/>
  <c r="X539" i="3"/>
  <c r="U539" i="3"/>
  <c r="S539" i="3"/>
  <c r="AB538" i="3"/>
  <c r="Z538" i="3"/>
  <c r="X538" i="3"/>
  <c r="U538" i="3"/>
  <c r="S538" i="3"/>
  <c r="AB537" i="3"/>
  <c r="Z537" i="3"/>
  <c r="X537" i="3"/>
  <c r="U537" i="3"/>
  <c r="S537" i="3"/>
  <c r="AB536" i="3"/>
  <c r="Z536" i="3"/>
  <c r="X536" i="3"/>
  <c r="U536" i="3"/>
  <c r="S536" i="3"/>
  <c r="AB535" i="3"/>
  <c r="Z535" i="3"/>
  <c r="X535" i="3"/>
  <c r="U535" i="3"/>
  <c r="S535" i="3"/>
  <c r="AB534" i="3"/>
  <c r="Z534" i="3"/>
  <c r="X534" i="3"/>
  <c r="U534" i="3"/>
  <c r="S534" i="3"/>
  <c r="AB533" i="3"/>
  <c r="Z533" i="3"/>
  <c r="X533" i="3"/>
  <c r="U533" i="3"/>
  <c r="S533" i="3"/>
  <c r="AB532" i="3"/>
  <c r="Z532" i="3"/>
  <c r="X532" i="3"/>
  <c r="U532" i="3"/>
  <c r="S532" i="3"/>
  <c r="AB531" i="3"/>
  <c r="Z531" i="3"/>
  <c r="X531" i="3"/>
  <c r="U531" i="3"/>
  <c r="S531" i="3"/>
  <c r="AB530" i="3"/>
  <c r="Z530" i="3"/>
  <c r="X530" i="3"/>
  <c r="U530" i="3"/>
  <c r="S530" i="3"/>
  <c r="AB529" i="3"/>
  <c r="Z529" i="3"/>
  <c r="X529" i="3"/>
  <c r="U529" i="3"/>
  <c r="S529" i="3"/>
  <c r="AB528" i="3"/>
  <c r="Z528" i="3"/>
  <c r="X528" i="3"/>
  <c r="U528" i="3"/>
  <c r="S528" i="3"/>
  <c r="AB527" i="3"/>
  <c r="Z527" i="3"/>
  <c r="X527" i="3"/>
  <c r="U527" i="3"/>
  <c r="S527" i="3"/>
  <c r="AB526" i="3"/>
  <c r="Z526" i="3"/>
  <c r="X526" i="3"/>
  <c r="U526" i="3"/>
  <c r="S526" i="3"/>
  <c r="AB525" i="3"/>
  <c r="Z525" i="3"/>
  <c r="X525" i="3"/>
  <c r="U525" i="3"/>
  <c r="S525" i="3"/>
  <c r="AB524" i="3"/>
  <c r="Z524" i="3"/>
  <c r="X524" i="3"/>
  <c r="U524" i="3"/>
  <c r="S524" i="3"/>
  <c r="AB523" i="3"/>
  <c r="Z523" i="3"/>
  <c r="X523" i="3"/>
  <c r="U523" i="3"/>
  <c r="S523" i="3"/>
  <c r="AB522" i="3"/>
  <c r="Z522" i="3"/>
  <c r="X522" i="3"/>
  <c r="U522" i="3"/>
  <c r="S522" i="3"/>
  <c r="AB521" i="3"/>
  <c r="Z521" i="3"/>
  <c r="X521" i="3"/>
  <c r="U521" i="3"/>
  <c r="S521" i="3"/>
  <c r="AB520" i="3"/>
  <c r="Z520" i="3"/>
  <c r="X520" i="3"/>
  <c r="U520" i="3"/>
  <c r="S520" i="3"/>
  <c r="AB519" i="3"/>
  <c r="Z519" i="3"/>
  <c r="X519" i="3"/>
  <c r="U519" i="3"/>
  <c r="S519" i="3"/>
  <c r="AB518" i="3"/>
  <c r="Z518" i="3"/>
  <c r="X518" i="3"/>
  <c r="U518" i="3"/>
  <c r="AB517" i="3"/>
  <c r="Z517" i="3"/>
  <c r="X517" i="3"/>
  <c r="U517" i="3"/>
  <c r="S517" i="3"/>
  <c r="AB516" i="3"/>
  <c r="Z516" i="3"/>
  <c r="X516" i="3"/>
  <c r="U516" i="3"/>
  <c r="S516" i="3"/>
  <c r="AB515" i="3"/>
  <c r="Z515" i="3"/>
  <c r="X515" i="3"/>
  <c r="U515" i="3"/>
  <c r="S515" i="3"/>
  <c r="AB514" i="3"/>
  <c r="Z514" i="3"/>
  <c r="X514" i="3"/>
  <c r="U514" i="3"/>
  <c r="S514" i="3"/>
  <c r="AB513" i="3"/>
  <c r="Z513" i="3"/>
  <c r="X513" i="3"/>
  <c r="U513" i="3"/>
  <c r="S513" i="3"/>
  <c r="AB512" i="3"/>
  <c r="Z512" i="3"/>
  <c r="X512" i="3"/>
  <c r="U512" i="3"/>
  <c r="S512" i="3"/>
  <c r="AB511" i="3"/>
  <c r="Z511" i="3"/>
  <c r="X511" i="3"/>
  <c r="U511" i="3"/>
  <c r="S511" i="3"/>
  <c r="AB510" i="3"/>
  <c r="Z510" i="3"/>
  <c r="X510" i="3"/>
  <c r="U510" i="3"/>
  <c r="S510" i="3"/>
  <c r="AB509" i="3"/>
  <c r="Z509" i="3"/>
  <c r="X509" i="3"/>
  <c r="U509" i="3"/>
  <c r="S509" i="3"/>
  <c r="AB508" i="3"/>
  <c r="Z508" i="3"/>
  <c r="X508" i="3"/>
  <c r="U508" i="3"/>
  <c r="S508" i="3"/>
  <c r="AB507" i="3"/>
  <c r="Z507" i="3"/>
  <c r="X507" i="3"/>
  <c r="U507" i="3"/>
  <c r="S507" i="3"/>
  <c r="AB506" i="3"/>
  <c r="Z506" i="3"/>
  <c r="X506" i="3"/>
  <c r="U506" i="3"/>
  <c r="S506" i="3"/>
  <c r="AB505" i="3"/>
  <c r="Z505" i="3"/>
  <c r="X505" i="3"/>
  <c r="U505" i="3"/>
  <c r="S505" i="3"/>
  <c r="AB504" i="3"/>
  <c r="Z504" i="3"/>
  <c r="X504" i="3"/>
  <c r="U504" i="3"/>
  <c r="S504" i="3"/>
  <c r="AB503" i="3"/>
  <c r="Z503" i="3"/>
  <c r="X503" i="3"/>
  <c r="U503" i="3"/>
  <c r="S503" i="3"/>
  <c r="AB502" i="3"/>
  <c r="Z502" i="3"/>
  <c r="X502" i="3"/>
  <c r="U502" i="3"/>
  <c r="S502" i="3"/>
  <c r="AB501" i="3"/>
  <c r="Z501" i="3"/>
  <c r="X501" i="3"/>
  <c r="U501" i="3"/>
  <c r="S501" i="3"/>
  <c r="AB500" i="3"/>
  <c r="Z500" i="3"/>
  <c r="X500" i="3"/>
  <c r="U500" i="3"/>
  <c r="S500" i="3"/>
  <c r="AB499" i="3"/>
  <c r="Z499" i="3"/>
  <c r="X499" i="3"/>
  <c r="U499" i="3"/>
  <c r="S499" i="3"/>
  <c r="AB498" i="3"/>
  <c r="Z498" i="3"/>
  <c r="X498" i="3"/>
  <c r="U498" i="3"/>
  <c r="S498" i="3"/>
  <c r="AB497" i="3"/>
  <c r="Z497" i="3"/>
  <c r="X497" i="3"/>
  <c r="U497" i="3"/>
  <c r="S497" i="3"/>
  <c r="AB496" i="3"/>
  <c r="Z496" i="3"/>
  <c r="X496" i="3"/>
  <c r="U496" i="3"/>
  <c r="S496" i="3"/>
  <c r="AB495" i="3"/>
  <c r="Z495" i="3"/>
  <c r="X495" i="3"/>
  <c r="U495" i="3"/>
  <c r="S495" i="3"/>
  <c r="AB494" i="3"/>
  <c r="Z494" i="3"/>
  <c r="X494" i="3"/>
  <c r="U494" i="3"/>
  <c r="S494" i="3"/>
  <c r="AB493" i="3"/>
  <c r="Z493" i="3"/>
  <c r="X493" i="3"/>
  <c r="U493" i="3"/>
  <c r="S493" i="3"/>
  <c r="AB492" i="3"/>
  <c r="Z492" i="3"/>
  <c r="X492" i="3"/>
  <c r="U492" i="3"/>
  <c r="S492" i="3"/>
  <c r="AB491" i="3"/>
  <c r="Z491" i="3"/>
  <c r="X491" i="3"/>
  <c r="U491" i="3"/>
  <c r="S491" i="3"/>
  <c r="AB490" i="3"/>
  <c r="Z490" i="3"/>
  <c r="X490" i="3"/>
  <c r="U490" i="3"/>
  <c r="S490" i="3"/>
  <c r="AB489" i="3"/>
  <c r="Z489" i="3"/>
  <c r="X489" i="3"/>
  <c r="U489" i="3"/>
  <c r="S489" i="3"/>
  <c r="AB488" i="3"/>
  <c r="Z488" i="3"/>
  <c r="X488" i="3"/>
  <c r="U488" i="3"/>
  <c r="S488" i="3"/>
  <c r="AB487" i="3"/>
  <c r="Z487" i="3"/>
  <c r="X487" i="3"/>
  <c r="U487" i="3"/>
  <c r="S487" i="3"/>
  <c r="AB486" i="3"/>
  <c r="Z486" i="3"/>
  <c r="X486" i="3"/>
  <c r="U486" i="3"/>
  <c r="S486" i="3"/>
  <c r="AB485" i="3"/>
  <c r="Z485" i="3"/>
  <c r="X485" i="3"/>
  <c r="U485" i="3"/>
  <c r="S485" i="3"/>
  <c r="AB484" i="3"/>
  <c r="Z484" i="3"/>
  <c r="X484" i="3"/>
  <c r="U484" i="3"/>
  <c r="S484" i="3"/>
  <c r="AB483" i="3"/>
  <c r="Z483" i="3"/>
  <c r="X483" i="3"/>
  <c r="U483" i="3"/>
  <c r="S483" i="3"/>
  <c r="AB482" i="3"/>
  <c r="Z482" i="3"/>
  <c r="X482" i="3"/>
  <c r="U482" i="3"/>
  <c r="S482" i="3"/>
  <c r="AB481" i="3"/>
  <c r="Z481" i="3"/>
  <c r="X481" i="3"/>
  <c r="U481" i="3"/>
  <c r="S481" i="3"/>
  <c r="AB480" i="3"/>
  <c r="Z480" i="3"/>
  <c r="X480" i="3"/>
  <c r="U480" i="3"/>
  <c r="S480" i="3"/>
  <c r="AB479" i="3"/>
  <c r="Z479" i="3"/>
  <c r="X479" i="3"/>
  <c r="U479" i="3"/>
  <c r="S479" i="3"/>
  <c r="AB478" i="3"/>
  <c r="Z478" i="3"/>
  <c r="X478" i="3"/>
  <c r="U478" i="3"/>
  <c r="S478" i="3"/>
  <c r="AB477" i="3"/>
  <c r="Z477" i="3"/>
  <c r="X477" i="3"/>
  <c r="U477" i="3"/>
  <c r="AB476" i="3"/>
  <c r="Z476" i="3"/>
  <c r="X476" i="3"/>
  <c r="U476" i="3"/>
  <c r="S476" i="3"/>
  <c r="AB475" i="3"/>
  <c r="Z475" i="3"/>
  <c r="X475" i="3"/>
  <c r="U475" i="3"/>
  <c r="S475" i="3"/>
  <c r="AB474" i="3"/>
  <c r="Z474" i="3"/>
  <c r="X474" i="3"/>
  <c r="U474" i="3"/>
  <c r="S474" i="3"/>
  <c r="AB473" i="3"/>
  <c r="Z473" i="3"/>
  <c r="X473" i="3"/>
  <c r="U473" i="3"/>
  <c r="S473" i="3"/>
  <c r="AB472" i="3"/>
  <c r="Z472" i="3"/>
  <c r="X472" i="3"/>
  <c r="U472" i="3"/>
  <c r="S472" i="3"/>
  <c r="AB471" i="3"/>
  <c r="Z471" i="3"/>
  <c r="X471" i="3"/>
  <c r="U471" i="3"/>
  <c r="S471" i="3"/>
  <c r="AB470" i="3"/>
  <c r="Z470" i="3"/>
  <c r="X470" i="3"/>
  <c r="U470" i="3"/>
  <c r="S470" i="3"/>
  <c r="AB469" i="3"/>
  <c r="Z469" i="3"/>
  <c r="X469" i="3"/>
  <c r="U469" i="3"/>
  <c r="S469" i="3"/>
  <c r="AB468" i="3"/>
  <c r="Z468" i="3"/>
  <c r="X468" i="3"/>
  <c r="U468" i="3"/>
  <c r="S468" i="3"/>
  <c r="AB467" i="3"/>
  <c r="Z467" i="3"/>
  <c r="X467" i="3"/>
  <c r="U467" i="3"/>
  <c r="S467" i="3"/>
  <c r="AB466" i="3"/>
  <c r="Z466" i="3"/>
  <c r="X466" i="3"/>
  <c r="U466" i="3"/>
  <c r="S466" i="3"/>
  <c r="AB465" i="3"/>
  <c r="Z465" i="3"/>
  <c r="X465" i="3"/>
  <c r="U465" i="3"/>
  <c r="S465" i="3"/>
  <c r="AB464" i="3"/>
  <c r="Z464" i="3"/>
  <c r="X464" i="3"/>
  <c r="U464" i="3"/>
  <c r="S464" i="3"/>
  <c r="AB463" i="3"/>
  <c r="Z463" i="3"/>
  <c r="X463" i="3"/>
  <c r="U463" i="3"/>
  <c r="S463" i="3"/>
  <c r="AB462" i="3"/>
  <c r="Z462" i="3"/>
  <c r="X462" i="3"/>
  <c r="U462" i="3"/>
  <c r="S462" i="3"/>
  <c r="AB461" i="3"/>
  <c r="Z461" i="3"/>
  <c r="X461" i="3"/>
  <c r="U461" i="3"/>
  <c r="S461" i="3"/>
  <c r="AB460" i="3"/>
  <c r="Z460" i="3"/>
  <c r="X460" i="3"/>
  <c r="U460" i="3"/>
  <c r="S460" i="3"/>
  <c r="AB459" i="3"/>
  <c r="Z459" i="3"/>
  <c r="X459" i="3"/>
  <c r="U459" i="3"/>
  <c r="S459" i="3"/>
  <c r="AB458" i="3"/>
  <c r="Z458" i="3"/>
  <c r="X458" i="3"/>
  <c r="U458" i="3"/>
  <c r="S458" i="3"/>
  <c r="AB457" i="3"/>
  <c r="Z457" i="3"/>
  <c r="X457" i="3"/>
  <c r="U457" i="3"/>
  <c r="S457" i="3"/>
  <c r="AB456" i="3"/>
  <c r="Z456" i="3"/>
  <c r="X456" i="3"/>
  <c r="U456" i="3"/>
  <c r="S456" i="3"/>
  <c r="AB455" i="3"/>
  <c r="Z455" i="3"/>
  <c r="X455" i="3"/>
  <c r="U455" i="3"/>
  <c r="S455" i="3"/>
  <c r="AB454" i="3"/>
  <c r="Z454" i="3"/>
  <c r="X454" i="3"/>
  <c r="U454" i="3"/>
  <c r="S454" i="3"/>
  <c r="AB453" i="3"/>
  <c r="Z453" i="3"/>
  <c r="X453" i="3"/>
  <c r="U453" i="3"/>
  <c r="S453" i="3"/>
  <c r="AB452" i="3"/>
  <c r="Z452" i="3"/>
  <c r="X452" i="3"/>
  <c r="U452" i="3"/>
  <c r="S452" i="3"/>
  <c r="AB451" i="3"/>
  <c r="Z451" i="3"/>
  <c r="X451" i="3"/>
  <c r="U451" i="3"/>
  <c r="S451" i="3"/>
  <c r="AB450" i="3"/>
  <c r="Z450" i="3"/>
  <c r="X450" i="3"/>
  <c r="U450" i="3"/>
  <c r="S450" i="3"/>
  <c r="AB449" i="3"/>
  <c r="Z449" i="3"/>
  <c r="X449" i="3"/>
  <c r="U449" i="3"/>
  <c r="S449" i="3"/>
  <c r="AB448" i="3"/>
  <c r="Z448" i="3"/>
  <c r="X448" i="3"/>
  <c r="U448" i="3"/>
  <c r="S448" i="3"/>
  <c r="AB447" i="3"/>
  <c r="Z447" i="3"/>
  <c r="X447" i="3"/>
  <c r="U447" i="3"/>
  <c r="S447" i="3"/>
  <c r="AB446" i="3"/>
  <c r="Z446" i="3"/>
  <c r="X446" i="3"/>
  <c r="U446" i="3"/>
  <c r="S446" i="3"/>
  <c r="AB445" i="3"/>
  <c r="Z445" i="3"/>
  <c r="X445" i="3"/>
  <c r="U445" i="3"/>
  <c r="S445" i="3"/>
  <c r="AB444" i="3"/>
  <c r="Z444" i="3"/>
  <c r="X444" i="3"/>
  <c r="U444" i="3"/>
  <c r="S444" i="3"/>
  <c r="AB443" i="3"/>
  <c r="Z443" i="3"/>
  <c r="X443" i="3"/>
  <c r="U443" i="3"/>
  <c r="S443" i="3"/>
  <c r="AB442" i="3"/>
  <c r="Z442" i="3"/>
  <c r="X442" i="3"/>
  <c r="U442" i="3"/>
  <c r="S442" i="3"/>
  <c r="AB441" i="3"/>
  <c r="Z441" i="3"/>
  <c r="X441" i="3"/>
  <c r="U441" i="3"/>
  <c r="S441" i="3"/>
  <c r="AB440" i="3"/>
  <c r="Z440" i="3"/>
  <c r="X440" i="3"/>
  <c r="U440" i="3"/>
  <c r="S440" i="3"/>
  <c r="AB439" i="3"/>
  <c r="Z439" i="3"/>
  <c r="X439" i="3"/>
  <c r="U439" i="3"/>
  <c r="S439" i="3"/>
  <c r="AB438" i="3"/>
  <c r="Z438" i="3"/>
  <c r="X438" i="3"/>
  <c r="U438" i="3"/>
  <c r="S438" i="3"/>
  <c r="AB437" i="3"/>
  <c r="Z437" i="3"/>
  <c r="X437" i="3"/>
  <c r="U437" i="3"/>
  <c r="S437" i="3"/>
  <c r="AB436" i="3"/>
  <c r="Z436" i="3"/>
  <c r="X436" i="3"/>
  <c r="U436" i="3"/>
  <c r="S436" i="3"/>
  <c r="AB435" i="3"/>
  <c r="Z435" i="3"/>
  <c r="X435" i="3"/>
  <c r="U435" i="3"/>
  <c r="S435" i="3"/>
  <c r="AB434" i="3"/>
  <c r="Z434" i="3"/>
  <c r="X434" i="3"/>
  <c r="U434" i="3"/>
  <c r="S434" i="3"/>
  <c r="AB433" i="3"/>
  <c r="Z433" i="3"/>
  <c r="X433" i="3"/>
  <c r="U433" i="3"/>
  <c r="S433" i="3"/>
  <c r="AB432" i="3"/>
  <c r="Z432" i="3"/>
  <c r="X432" i="3"/>
  <c r="U432" i="3"/>
  <c r="S432" i="3"/>
  <c r="AB431" i="3"/>
  <c r="Z431" i="3"/>
  <c r="X431" i="3"/>
  <c r="U431" i="3"/>
  <c r="S431" i="3"/>
  <c r="AB430" i="3"/>
  <c r="Z430" i="3"/>
  <c r="X430" i="3"/>
  <c r="U430" i="3"/>
  <c r="S430" i="3"/>
  <c r="AB429" i="3"/>
  <c r="Z429" i="3"/>
  <c r="X429" i="3"/>
  <c r="U429" i="3"/>
  <c r="S429" i="3"/>
  <c r="AB428" i="3"/>
  <c r="Z428" i="3"/>
  <c r="X428" i="3"/>
  <c r="U428" i="3"/>
  <c r="S428" i="3"/>
  <c r="AB427" i="3"/>
  <c r="Z427" i="3"/>
  <c r="X427" i="3"/>
  <c r="U427" i="3"/>
  <c r="S427" i="3"/>
  <c r="AB426" i="3"/>
  <c r="Z426" i="3"/>
  <c r="X426" i="3"/>
  <c r="U426" i="3"/>
  <c r="S426" i="3"/>
  <c r="AB425" i="3"/>
  <c r="Z425" i="3"/>
  <c r="X425" i="3"/>
  <c r="U425" i="3"/>
  <c r="S425" i="3"/>
  <c r="AB424" i="3"/>
  <c r="Z424" i="3"/>
  <c r="X424" i="3"/>
  <c r="U424" i="3"/>
  <c r="S424" i="3"/>
  <c r="AB423" i="3"/>
  <c r="Z423" i="3"/>
  <c r="X423" i="3"/>
  <c r="U423" i="3"/>
  <c r="S423" i="3"/>
  <c r="AB422" i="3"/>
  <c r="Z422" i="3"/>
  <c r="X422" i="3"/>
  <c r="U422" i="3"/>
  <c r="S422" i="3"/>
  <c r="AB421" i="3"/>
  <c r="Z421" i="3"/>
  <c r="X421" i="3"/>
  <c r="U421" i="3"/>
  <c r="S421" i="3"/>
  <c r="AB420" i="3"/>
  <c r="Z420" i="3"/>
  <c r="X420" i="3"/>
  <c r="U420" i="3"/>
  <c r="S420" i="3"/>
  <c r="AB419" i="3"/>
  <c r="Z419" i="3"/>
  <c r="X419" i="3"/>
  <c r="U419" i="3"/>
  <c r="S419" i="3"/>
  <c r="AB418" i="3"/>
  <c r="Z418" i="3"/>
  <c r="X418" i="3"/>
  <c r="U418" i="3"/>
  <c r="S418" i="3"/>
  <c r="AB417" i="3"/>
  <c r="Z417" i="3"/>
  <c r="X417" i="3"/>
  <c r="U417" i="3"/>
  <c r="S417" i="3"/>
  <c r="AB416" i="3"/>
  <c r="Z416" i="3"/>
  <c r="X416" i="3"/>
  <c r="U416" i="3"/>
  <c r="S416" i="3"/>
  <c r="AB415" i="3"/>
  <c r="Z415" i="3"/>
  <c r="X415" i="3"/>
  <c r="U415" i="3"/>
  <c r="S415" i="3"/>
  <c r="AB414" i="3"/>
  <c r="Z414" i="3"/>
  <c r="X414" i="3"/>
  <c r="U414" i="3"/>
  <c r="S414" i="3"/>
  <c r="AB413" i="3"/>
  <c r="Z413" i="3"/>
  <c r="X413" i="3"/>
  <c r="U413" i="3"/>
  <c r="S413" i="3"/>
  <c r="AB412" i="3"/>
  <c r="Z412" i="3"/>
  <c r="X412" i="3"/>
  <c r="U412" i="3"/>
  <c r="S412" i="3"/>
  <c r="AB411" i="3"/>
  <c r="Z411" i="3"/>
  <c r="X411" i="3"/>
  <c r="U411" i="3"/>
  <c r="S411" i="3"/>
  <c r="AB410" i="3"/>
  <c r="Z410" i="3"/>
  <c r="X410" i="3"/>
  <c r="U410" i="3"/>
  <c r="S410" i="3"/>
  <c r="AB409" i="3"/>
  <c r="Z409" i="3"/>
  <c r="X409" i="3"/>
  <c r="U409" i="3"/>
  <c r="S409" i="3"/>
  <c r="AB408" i="3"/>
  <c r="Z408" i="3"/>
  <c r="X408" i="3"/>
  <c r="U408" i="3"/>
  <c r="S408" i="3"/>
  <c r="AB407" i="3"/>
  <c r="Z407" i="3"/>
  <c r="X407" i="3"/>
  <c r="U407" i="3"/>
  <c r="S407" i="3"/>
  <c r="AB406" i="3"/>
  <c r="Z406" i="3"/>
  <c r="X406" i="3"/>
  <c r="U406" i="3"/>
  <c r="S406" i="3"/>
  <c r="AB405" i="3"/>
  <c r="Z405" i="3"/>
  <c r="X405" i="3"/>
  <c r="U405" i="3"/>
  <c r="S405" i="3"/>
  <c r="AB404" i="3"/>
  <c r="Z404" i="3"/>
  <c r="X404" i="3"/>
  <c r="U404" i="3"/>
  <c r="S404" i="3"/>
  <c r="AB403" i="3"/>
  <c r="Z403" i="3"/>
  <c r="X403" i="3"/>
  <c r="U403" i="3"/>
  <c r="S403" i="3"/>
  <c r="AB402" i="3"/>
  <c r="Z402" i="3"/>
  <c r="X402" i="3"/>
  <c r="U402" i="3"/>
  <c r="S402" i="3"/>
  <c r="AB401" i="3"/>
  <c r="Z401" i="3"/>
  <c r="X401" i="3"/>
  <c r="U401" i="3"/>
  <c r="S401" i="3"/>
  <c r="AB400" i="3"/>
  <c r="Z400" i="3"/>
  <c r="X400" i="3"/>
  <c r="U400" i="3"/>
  <c r="S400" i="3"/>
  <c r="AB399" i="3"/>
  <c r="Z399" i="3"/>
  <c r="X399" i="3"/>
  <c r="U399" i="3"/>
  <c r="S399" i="3"/>
  <c r="AB398" i="3"/>
  <c r="Z398" i="3"/>
  <c r="X398" i="3"/>
  <c r="U398" i="3"/>
  <c r="S398" i="3"/>
  <c r="AB397" i="3"/>
  <c r="Z397" i="3"/>
  <c r="X397" i="3"/>
  <c r="U397" i="3"/>
  <c r="S397" i="3"/>
  <c r="AB396" i="3"/>
  <c r="Z396" i="3"/>
  <c r="X396" i="3"/>
  <c r="U396" i="3"/>
  <c r="S396" i="3"/>
  <c r="AB395" i="3"/>
  <c r="Z395" i="3"/>
  <c r="X395" i="3"/>
  <c r="U395" i="3"/>
  <c r="S395" i="3"/>
  <c r="AB394" i="3"/>
  <c r="Z394" i="3"/>
  <c r="X394" i="3"/>
  <c r="U394" i="3"/>
  <c r="S394" i="3"/>
  <c r="AB393" i="3"/>
  <c r="Z393" i="3"/>
  <c r="X393" i="3"/>
  <c r="U393" i="3"/>
  <c r="S393" i="3"/>
  <c r="AB392" i="3"/>
  <c r="Z392" i="3"/>
  <c r="X392" i="3"/>
  <c r="U392" i="3"/>
  <c r="S392" i="3"/>
  <c r="AB391" i="3"/>
  <c r="Z391" i="3"/>
  <c r="X391" i="3"/>
  <c r="U391" i="3"/>
  <c r="S391" i="3"/>
  <c r="AB390" i="3"/>
  <c r="Z390" i="3"/>
  <c r="X390" i="3"/>
  <c r="U390" i="3"/>
  <c r="S390" i="3"/>
  <c r="AB389" i="3"/>
  <c r="Z389" i="3"/>
  <c r="X389" i="3"/>
  <c r="U389" i="3"/>
  <c r="S389" i="3"/>
  <c r="AB388" i="3"/>
  <c r="Z388" i="3"/>
  <c r="X388" i="3"/>
  <c r="U388" i="3"/>
  <c r="S388" i="3"/>
  <c r="AB387" i="3"/>
  <c r="Z387" i="3"/>
  <c r="X387" i="3"/>
  <c r="U387" i="3"/>
  <c r="S387" i="3"/>
  <c r="AB386" i="3"/>
  <c r="Z386" i="3"/>
  <c r="X386" i="3"/>
  <c r="U386" i="3"/>
  <c r="S386" i="3"/>
  <c r="AB385" i="3"/>
  <c r="Z385" i="3"/>
  <c r="X385" i="3"/>
  <c r="U385" i="3"/>
  <c r="S385" i="3"/>
  <c r="AB384" i="3"/>
  <c r="Z384" i="3"/>
  <c r="X384" i="3"/>
  <c r="U384" i="3"/>
  <c r="S384" i="3"/>
  <c r="AB383" i="3"/>
  <c r="Z383" i="3"/>
  <c r="X383" i="3"/>
  <c r="U383" i="3"/>
  <c r="S383" i="3"/>
  <c r="AB382" i="3"/>
  <c r="Z382" i="3"/>
  <c r="X382" i="3"/>
  <c r="U382" i="3"/>
  <c r="S382" i="3"/>
  <c r="AB381" i="3"/>
  <c r="Z381" i="3"/>
  <c r="X381" i="3"/>
  <c r="U381" i="3"/>
  <c r="S381" i="3"/>
  <c r="AB380" i="3"/>
  <c r="Z380" i="3"/>
  <c r="X380" i="3"/>
  <c r="U380" i="3"/>
  <c r="S380" i="3"/>
  <c r="AB379" i="3"/>
  <c r="Z379" i="3"/>
  <c r="X379" i="3"/>
  <c r="U379" i="3"/>
  <c r="S379" i="3"/>
  <c r="AB378" i="3"/>
  <c r="Z378" i="3"/>
  <c r="X378" i="3"/>
  <c r="U378" i="3"/>
  <c r="S378" i="3"/>
  <c r="AB377" i="3"/>
  <c r="Z377" i="3"/>
  <c r="X377" i="3"/>
  <c r="U377" i="3"/>
  <c r="S377" i="3"/>
  <c r="AB376" i="3"/>
  <c r="Z376" i="3"/>
  <c r="X376" i="3"/>
  <c r="U376" i="3"/>
  <c r="S376" i="3"/>
  <c r="AB375" i="3"/>
  <c r="Z375" i="3"/>
  <c r="X375" i="3"/>
  <c r="U375" i="3"/>
  <c r="S375" i="3"/>
  <c r="AB374" i="3"/>
  <c r="Z374" i="3"/>
  <c r="X374" i="3"/>
  <c r="U374" i="3"/>
  <c r="S374" i="3"/>
  <c r="AB373" i="3"/>
  <c r="Z373" i="3"/>
  <c r="X373" i="3"/>
  <c r="U373" i="3"/>
  <c r="S373" i="3"/>
  <c r="AB372" i="3"/>
  <c r="Z372" i="3"/>
  <c r="X372" i="3"/>
  <c r="U372" i="3"/>
  <c r="S372" i="3"/>
  <c r="AB371" i="3"/>
  <c r="Z371" i="3"/>
  <c r="X371" i="3"/>
  <c r="U371" i="3"/>
  <c r="S371" i="3"/>
  <c r="AB370" i="3"/>
  <c r="Z370" i="3"/>
  <c r="X370" i="3"/>
  <c r="U370" i="3"/>
  <c r="S370" i="3"/>
  <c r="AB369" i="3"/>
  <c r="Z369" i="3"/>
  <c r="X369" i="3"/>
  <c r="U369" i="3"/>
  <c r="S369" i="3"/>
  <c r="AB368" i="3"/>
  <c r="Z368" i="3"/>
  <c r="X368" i="3"/>
  <c r="U368" i="3"/>
  <c r="S368" i="3"/>
  <c r="AB367" i="3"/>
  <c r="Z367" i="3"/>
  <c r="X367" i="3"/>
  <c r="U367" i="3"/>
  <c r="S367" i="3"/>
  <c r="AB366" i="3"/>
  <c r="Z366" i="3"/>
  <c r="X366" i="3"/>
  <c r="U366" i="3"/>
  <c r="S366" i="3"/>
  <c r="AB365" i="3"/>
  <c r="Z365" i="3"/>
  <c r="X365" i="3"/>
  <c r="U365" i="3"/>
  <c r="S365" i="3"/>
  <c r="AB364" i="3"/>
  <c r="Z364" i="3"/>
  <c r="X364" i="3"/>
  <c r="U364" i="3"/>
  <c r="S364" i="3"/>
  <c r="AB363" i="3"/>
  <c r="Z363" i="3"/>
  <c r="X363" i="3"/>
  <c r="U363" i="3"/>
  <c r="S363" i="3"/>
  <c r="AB362" i="3"/>
  <c r="Z362" i="3"/>
  <c r="X362" i="3"/>
  <c r="U362" i="3"/>
  <c r="S362" i="3"/>
  <c r="AB361" i="3"/>
  <c r="Z361" i="3"/>
  <c r="X361" i="3"/>
  <c r="U361" i="3"/>
  <c r="S361" i="3"/>
  <c r="AB360" i="3"/>
  <c r="Z360" i="3"/>
  <c r="X360" i="3"/>
  <c r="U360" i="3"/>
  <c r="S360" i="3"/>
  <c r="AB359" i="3"/>
  <c r="Z359" i="3"/>
  <c r="X359" i="3"/>
  <c r="U359" i="3"/>
  <c r="S359" i="3"/>
  <c r="AB358" i="3"/>
  <c r="Z358" i="3"/>
  <c r="X358" i="3"/>
  <c r="U358" i="3"/>
  <c r="S358" i="3"/>
  <c r="AB357" i="3"/>
  <c r="Z357" i="3"/>
  <c r="X357" i="3"/>
  <c r="U357" i="3"/>
  <c r="S357" i="3"/>
  <c r="AB356" i="3"/>
  <c r="Z356" i="3"/>
  <c r="X356" i="3"/>
  <c r="U356" i="3"/>
  <c r="S356" i="3"/>
  <c r="AB355" i="3"/>
  <c r="Z355" i="3"/>
  <c r="X355" i="3"/>
  <c r="U355" i="3"/>
  <c r="S355" i="3"/>
  <c r="AB354" i="3"/>
  <c r="Z354" i="3"/>
  <c r="X354" i="3"/>
  <c r="U354" i="3"/>
  <c r="S354" i="3"/>
  <c r="AB353" i="3"/>
  <c r="Z353" i="3"/>
  <c r="X353" i="3"/>
  <c r="U353" i="3"/>
  <c r="S353" i="3"/>
  <c r="AB352" i="3"/>
  <c r="Z352" i="3"/>
  <c r="X352" i="3"/>
  <c r="U352" i="3"/>
  <c r="S352" i="3"/>
  <c r="AB351" i="3"/>
  <c r="Z351" i="3"/>
  <c r="X351" i="3"/>
  <c r="U351" i="3"/>
  <c r="S351" i="3"/>
  <c r="AB350" i="3"/>
  <c r="Z350" i="3"/>
  <c r="X350" i="3"/>
  <c r="U350" i="3"/>
  <c r="S350" i="3"/>
  <c r="AB349" i="3"/>
  <c r="Z349" i="3"/>
  <c r="X349" i="3"/>
  <c r="U349" i="3"/>
  <c r="S349" i="3"/>
  <c r="AB348" i="3"/>
  <c r="Z348" i="3"/>
  <c r="X348" i="3"/>
  <c r="U348" i="3"/>
  <c r="S348" i="3"/>
  <c r="AB347" i="3"/>
  <c r="Z347" i="3"/>
  <c r="X347" i="3"/>
  <c r="U347" i="3"/>
  <c r="S347" i="3"/>
  <c r="AB346" i="3"/>
  <c r="Z346" i="3"/>
  <c r="X346" i="3"/>
  <c r="U346" i="3"/>
  <c r="S346" i="3"/>
  <c r="AB345" i="3"/>
  <c r="Z345" i="3"/>
  <c r="X345" i="3"/>
  <c r="U345" i="3"/>
  <c r="S345" i="3"/>
  <c r="AB344" i="3"/>
  <c r="Z344" i="3"/>
  <c r="X344" i="3"/>
  <c r="U344" i="3"/>
  <c r="S344" i="3"/>
  <c r="AB343" i="3"/>
  <c r="Z343" i="3"/>
  <c r="X343" i="3"/>
  <c r="U343" i="3"/>
  <c r="S343" i="3"/>
  <c r="AB342" i="3"/>
  <c r="Z342" i="3"/>
  <c r="X342" i="3"/>
  <c r="U342" i="3"/>
  <c r="S342" i="3"/>
  <c r="AB341" i="3"/>
  <c r="Z341" i="3"/>
  <c r="X341" i="3"/>
  <c r="U341" i="3"/>
  <c r="S341" i="3"/>
  <c r="AB340" i="3"/>
  <c r="Z340" i="3"/>
  <c r="X340" i="3"/>
  <c r="U340" i="3"/>
  <c r="S340" i="3"/>
  <c r="AB339" i="3"/>
  <c r="Z339" i="3"/>
  <c r="X339" i="3"/>
  <c r="U339" i="3"/>
  <c r="S339" i="3"/>
  <c r="AB338" i="3"/>
  <c r="Z338" i="3"/>
  <c r="X338" i="3"/>
  <c r="U338" i="3"/>
  <c r="S338" i="3"/>
  <c r="AB337" i="3"/>
  <c r="Z337" i="3"/>
  <c r="X337" i="3"/>
  <c r="U337" i="3"/>
  <c r="S337" i="3"/>
  <c r="AB336" i="3"/>
  <c r="Z336" i="3"/>
  <c r="X336" i="3"/>
  <c r="U336" i="3"/>
  <c r="S336" i="3"/>
  <c r="AB335" i="3"/>
  <c r="Z335" i="3"/>
  <c r="X335" i="3"/>
  <c r="U335" i="3"/>
  <c r="S335" i="3"/>
  <c r="AB334" i="3"/>
  <c r="Z334" i="3"/>
  <c r="X334" i="3"/>
  <c r="U334" i="3"/>
  <c r="S334" i="3"/>
  <c r="AB333" i="3"/>
  <c r="Z333" i="3"/>
  <c r="X333" i="3"/>
  <c r="U333" i="3"/>
  <c r="S333" i="3"/>
  <c r="AB332" i="3"/>
  <c r="Z332" i="3"/>
  <c r="X332" i="3"/>
  <c r="U332" i="3"/>
  <c r="S332" i="3"/>
  <c r="AB331" i="3"/>
  <c r="Z331" i="3"/>
  <c r="X331" i="3"/>
  <c r="U331" i="3"/>
  <c r="S331" i="3"/>
  <c r="AB330" i="3"/>
  <c r="Z330" i="3"/>
  <c r="X330" i="3"/>
  <c r="U330" i="3"/>
  <c r="S330" i="3"/>
  <c r="AB329" i="3"/>
  <c r="Z329" i="3"/>
  <c r="X329" i="3"/>
  <c r="U329" i="3"/>
  <c r="S329" i="3"/>
  <c r="AB328" i="3"/>
  <c r="Z328" i="3"/>
  <c r="X328" i="3"/>
  <c r="U328" i="3"/>
  <c r="S328" i="3"/>
  <c r="AB327" i="3"/>
  <c r="Z327" i="3"/>
  <c r="X327" i="3"/>
  <c r="U327" i="3"/>
  <c r="S327" i="3"/>
  <c r="AB326" i="3"/>
  <c r="Z326" i="3"/>
  <c r="X326" i="3"/>
  <c r="U326" i="3"/>
  <c r="S326" i="3"/>
  <c r="AB325" i="3"/>
  <c r="Z325" i="3"/>
  <c r="X325" i="3"/>
  <c r="U325" i="3"/>
  <c r="S325" i="3"/>
  <c r="AB324" i="3"/>
  <c r="Z324" i="3"/>
  <c r="X324" i="3"/>
  <c r="U324" i="3"/>
  <c r="S324" i="3"/>
  <c r="AB323" i="3"/>
  <c r="Z323" i="3"/>
  <c r="X323" i="3"/>
  <c r="U323" i="3"/>
  <c r="S323" i="3"/>
  <c r="AB322" i="3"/>
  <c r="Z322" i="3"/>
  <c r="X322" i="3"/>
  <c r="U322" i="3"/>
  <c r="S322" i="3"/>
  <c r="AB321" i="3"/>
  <c r="Z321" i="3"/>
  <c r="X321" i="3"/>
  <c r="U321" i="3"/>
  <c r="S321" i="3"/>
  <c r="AB320" i="3"/>
  <c r="Z320" i="3"/>
  <c r="X320" i="3"/>
  <c r="U320" i="3"/>
  <c r="S320" i="3"/>
  <c r="AB319" i="3"/>
  <c r="Z319" i="3"/>
  <c r="X319" i="3"/>
  <c r="U319" i="3"/>
  <c r="S319" i="3"/>
  <c r="AB318" i="3"/>
  <c r="Z318" i="3"/>
  <c r="X318" i="3"/>
  <c r="U318" i="3"/>
  <c r="S318" i="3"/>
  <c r="AB317" i="3"/>
  <c r="Z317" i="3"/>
  <c r="X317" i="3"/>
  <c r="U317" i="3"/>
  <c r="S317" i="3"/>
  <c r="AB316" i="3"/>
  <c r="Z316" i="3"/>
  <c r="X316" i="3"/>
  <c r="U316" i="3"/>
  <c r="S316" i="3"/>
  <c r="AB315" i="3"/>
  <c r="Z315" i="3"/>
  <c r="X315" i="3"/>
  <c r="U315" i="3"/>
  <c r="S315" i="3"/>
  <c r="AB314" i="3"/>
  <c r="Z314" i="3"/>
  <c r="X314" i="3"/>
  <c r="U314" i="3"/>
  <c r="S314" i="3"/>
  <c r="AB313" i="3"/>
  <c r="Z313" i="3"/>
  <c r="X313" i="3"/>
  <c r="U313" i="3"/>
  <c r="S313" i="3"/>
  <c r="AB312" i="3"/>
  <c r="Z312" i="3"/>
  <c r="X312" i="3"/>
  <c r="U312" i="3"/>
  <c r="S312" i="3"/>
  <c r="AB311" i="3"/>
  <c r="Z311" i="3"/>
  <c r="X311" i="3"/>
  <c r="U311" i="3"/>
  <c r="S311" i="3"/>
  <c r="AB310" i="3"/>
  <c r="Z310" i="3"/>
  <c r="X310" i="3"/>
  <c r="U310" i="3"/>
  <c r="S310" i="3"/>
  <c r="AB309" i="3"/>
  <c r="Z309" i="3"/>
  <c r="X309" i="3"/>
  <c r="U309" i="3"/>
  <c r="S309" i="3"/>
  <c r="AB308" i="3"/>
  <c r="Z308" i="3"/>
  <c r="X308" i="3"/>
  <c r="U308" i="3"/>
  <c r="S308" i="3"/>
  <c r="AB307" i="3"/>
  <c r="Z307" i="3"/>
  <c r="X307" i="3"/>
  <c r="U307" i="3"/>
  <c r="S307" i="3"/>
  <c r="AB306" i="3"/>
  <c r="Z306" i="3"/>
  <c r="X306" i="3"/>
  <c r="U306" i="3"/>
  <c r="S306" i="3"/>
  <c r="AB305" i="3"/>
  <c r="Z305" i="3"/>
  <c r="X305" i="3"/>
  <c r="U305" i="3"/>
  <c r="S305" i="3"/>
  <c r="AB304" i="3"/>
  <c r="Z304" i="3"/>
  <c r="X304" i="3"/>
  <c r="U304" i="3"/>
  <c r="S304" i="3"/>
  <c r="AB303" i="3"/>
  <c r="Z303" i="3"/>
  <c r="X303" i="3"/>
  <c r="U303" i="3"/>
  <c r="S303" i="3"/>
  <c r="AB302" i="3"/>
  <c r="Z302" i="3"/>
  <c r="X302" i="3"/>
  <c r="U302" i="3"/>
  <c r="S302" i="3"/>
  <c r="AB301" i="3"/>
  <c r="Z301" i="3"/>
  <c r="X301" i="3"/>
  <c r="U301" i="3"/>
  <c r="S301" i="3"/>
  <c r="AB300" i="3"/>
  <c r="Z300" i="3"/>
  <c r="X300" i="3"/>
  <c r="U300" i="3"/>
  <c r="S300" i="3"/>
  <c r="AB299" i="3"/>
  <c r="Z299" i="3"/>
  <c r="X299" i="3"/>
  <c r="U299" i="3"/>
  <c r="S299" i="3"/>
  <c r="AB298" i="3"/>
  <c r="Z298" i="3"/>
  <c r="X298" i="3"/>
  <c r="U298" i="3"/>
  <c r="S298" i="3"/>
  <c r="AB297" i="3"/>
  <c r="Z297" i="3"/>
  <c r="X297" i="3"/>
  <c r="U297" i="3"/>
  <c r="S297" i="3"/>
  <c r="AB296" i="3"/>
  <c r="Z296" i="3"/>
  <c r="X296" i="3"/>
  <c r="U296" i="3"/>
  <c r="S296" i="3"/>
  <c r="AB295" i="3"/>
  <c r="Z295" i="3"/>
  <c r="X295" i="3"/>
  <c r="U295" i="3"/>
  <c r="S295" i="3"/>
  <c r="AB294" i="3"/>
  <c r="Z294" i="3"/>
  <c r="X294" i="3"/>
  <c r="U294" i="3"/>
  <c r="S294" i="3"/>
  <c r="AB293" i="3"/>
  <c r="Z293" i="3"/>
  <c r="X293" i="3"/>
  <c r="U293" i="3"/>
  <c r="S293" i="3"/>
  <c r="AB292" i="3"/>
  <c r="Z292" i="3"/>
  <c r="X292" i="3"/>
  <c r="U292" i="3"/>
  <c r="S292" i="3"/>
  <c r="AB291" i="3"/>
  <c r="Z291" i="3"/>
  <c r="X291" i="3"/>
  <c r="U291" i="3"/>
  <c r="S291" i="3"/>
  <c r="AB290" i="3"/>
  <c r="Z290" i="3"/>
  <c r="X290" i="3"/>
  <c r="U290" i="3"/>
  <c r="S290" i="3"/>
  <c r="AB289" i="3"/>
  <c r="Z289" i="3"/>
  <c r="X289" i="3"/>
  <c r="U289" i="3"/>
  <c r="S289" i="3"/>
  <c r="AB288" i="3"/>
  <c r="Z288" i="3"/>
  <c r="X288" i="3"/>
  <c r="U288" i="3"/>
  <c r="S288" i="3"/>
  <c r="AB287" i="3"/>
  <c r="Z287" i="3"/>
  <c r="X287" i="3"/>
  <c r="U287" i="3"/>
  <c r="S287" i="3"/>
  <c r="AB286" i="3"/>
  <c r="Z286" i="3"/>
  <c r="X286" i="3"/>
  <c r="U286" i="3"/>
  <c r="S286" i="3"/>
  <c r="AB285" i="3"/>
  <c r="Z285" i="3"/>
  <c r="X285" i="3"/>
  <c r="U285" i="3"/>
  <c r="S285" i="3"/>
  <c r="AB284" i="3"/>
  <c r="Z284" i="3"/>
  <c r="X284" i="3"/>
  <c r="U284" i="3"/>
  <c r="S284" i="3"/>
  <c r="AB283" i="3"/>
  <c r="Z283" i="3"/>
  <c r="X283" i="3"/>
  <c r="U283" i="3"/>
  <c r="S283" i="3"/>
  <c r="AB282" i="3"/>
  <c r="Z282" i="3"/>
  <c r="X282" i="3"/>
  <c r="U282" i="3"/>
  <c r="S282" i="3"/>
  <c r="AB281" i="3"/>
  <c r="Z281" i="3"/>
  <c r="X281" i="3"/>
  <c r="U281" i="3"/>
  <c r="S281" i="3"/>
  <c r="AB280" i="3"/>
  <c r="Z280" i="3"/>
  <c r="X280" i="3"/>
  <c r="U280" i="3"/>
  <c r="S280" i="3"/>
  <c r="AB279" i="3"/>
  <c r="Z279" i="3"/>
  <c r="X279" i="3"/>
  <c r="U279" i="3"/>
  <c r="S279" i="3"/>
  <c r="AB278" i="3"/>
  <c r="Z278" i="3"/>
  <c r="X278" i="3"/>
  <c r="U278" i="3"/>
  <c r="S278" i="3"/>
  <c r="AB277" i="3"/>
  <c r="Z277" i="3"/>
  <c r="X277" i="3"/>
  <c r="U277" i="3"/>
  <c r="S277" i="3"/>
  <c r="AB276" i="3"/>
  <c r="Z276" i="3"/>
  <c r="X276" i="3"/>
  <c r="U276" i="3"/>
  <c r="S276" i="3"/>
  <c r="AB275" i="3"/>
  <c r="Z275" i="3"/>
  <c r="X275" i="3"/>
  <c r="U275" i="3"/>
  <c r="S275" i="3"/>
  <c r="AB274" i="3"/>
  <c r="Z274" i="3"/>
  <c r="X274" i="3"/>
  <c r="U274" i="3"/>
  <c r="S274" i="3"/>
  <c r="AB273" i="3"/>
  <c r="Z273" i="3"/>
  <c r="X273" i="3"/>
  <c r="U273" i="3"/>
  <c r="S273" i="3"/>
  <c r="AB272" i="3"/>
  <c r="Z272" i="3"/>
  <c r="X272" i="3"/>
  <c r="U272" i="3"/>
  <c r="S272" i="3"/>
  <c r="AB271" i="3"/>
  <c r="Z271" i="3"/>
  <c r="X271" i="3"/>
  <c r="U271" i="3"/>
  <c r="S271" i="3"/>
  <c r="AB270" i="3"/>
  <c r="Z270" i="3"/>
  <c r="X270" i="3"/>
  <c r="U270" i="3"/>
  <c r="S270" i="3"/>
  <c r="AB269" i="3"/>
  <c r="Z269" i="3"/>
  <c r="X269" i="3"/>
  <c r="U269" i="3"/>
  <c r="S269" i="3"/>
  <c r="AB268" i="3"/>
  <c r="Z268" i="3"/>
  <c r="X268" i="3"/>
  <c r="U268" i="3"/>
  <c r="S268" i="3"/>
  <c r="AB267" i="3"/>
  <c r="Z267" i="3"/>
  <c r="X267" i="3"/>
  <c r="U267" i="3"/>
  <c r="S267" i="3"/>
  <c r="AB266" i="3"/>
  <c r="Z266" i="3"/>
  <c r="X266" i="3"/>
  <c r="U266" i="3"/>
  <c r="S266" i="3"/>
  <c r="AB265" i="3"/>
  <c r="Z265" i="3"/>
  <c r="X265" i="3"/>
  <c r="U265" i="3"/>
  <c r="S265" i="3"/>
  <c r="AB264" i="3"/>
  <c r="Z264" i="3"/>
  <c r="X264" i="3"/>
  <c r="U264" i="3"/>
  <c r="S264" i="3"/>
  <c r="AB263" i="3"/>
  <c r="Z263" i="3"/>
  <c r="X263" i="3"/>
  <c r="U263" i="3"/>
  <c r="S263" i="3"/>
  <c r="AB262" i="3"/>
  <c r="Z262" i="3"/>
  <c r="X262" i="3"/>
  <c r="U262" i="3"/>
  <c r="S262" i="3"/>
  <c r="AB261" i="3"/>
  <c r="Z261" i="3"/>
  <c r="X261" i="3"/>
  <c r="U261" i="3"/>
  <c r="S261" i="3"/>
  <c r="AB260" i="3"/>
  <c r="Z260" i="3"/>
  <c r="X260" i="3"/>
  <c r="U260" i="3"/>
  <c r="S260" i="3"/>
  <c r="AB259" i="3"/>
  <c r="Z259" i="3"/>
  <c r="X259" i="3"/>
  <c r="U259" i="3"/>
  <c r="S259" i="3"/>
  <c r="AB258" i="3"/>
  <c r="Z258" i="3"/>
  <c r="X258" i="3"/>
  <c r="U258" i="3"/>
  <c r="S258" i="3"/>
  <c r="AB257" i="3"/>
  <c r="Z257" i="3"/>
  <c r="X257" i="3"/>
  <c r="U257" i="3"/>
  <c r="S257" i="3"/>
  <c r="AB256" i="3"/>
  <c r="Z256" i="3"/>
  <c r="X256" i="3"/>
  <c r="U256" i="3"/>
  <c r="S256" i="3"/>
  <c r="AB255" i="3"/>
  <c r="Z255" i="3"/>
  <c r="X255" i="3"/>
  <c r="U255" i="3"/>
  <c r="S255" i="3"/>
  <c r="AB254" i="3"/>
  <c r="Z254" i="3"/>
  <c r="X254" i="3"/>
  <c r="U254" i="3"/>
  <c r="S254" i="3"/>
  <c r="AB253" i="3"/>
  <c r="Z253" i="3"/>
  <c r="X253" i="3"/>
  <c r="U253" i="3"/>
  <c r="S253" i="3"/>
  <c r="AB252" i="3"/>
  <c r="Z252" i="3"/>
  <c r="X252" i="3"/>
  <c r="U252" i="3"/>
  <c r="S252" i="3"/>
  <c r="AB251" i="3"/>
  <c r="Z251" i="3"/>
  <c r="X251" i="3"/>
  <c r="U251" i="3"/>
  <c r="S251" i="3"/>
  <c r="AB250" i="3"/>
  <c r="Z250" i="3"/>
  <c r="X250" i="3"/>
  <c r="U250" i="3"/>
  <c r="S250" i="3"/>
  <c r="AB249" i="3"/>
  <c r="Z249" i="3"/>
  <c r="X249" i="3"/>
  <c r="U249" i="3"/>
  <c r="S249" i="3"/>
  <c r="AB248" i="3"/>
  <c r="Z248" i="3"/>
  <c r="X248" i="3"/>
  <c r="U248" i="3"/>
  <c r="S248" i="3"/>
  <c r="AB247" i="3"/>
  <c r="Z247" i="3"/>
  <c r="X247" i="3"/>
  <c r="U247" i="3"/>
  <c r="S247" i="3"/>
  <c r="AB246" i="3"/>
  <c r="Z246" i="3"/>
  <c r="X246" i="3"/>
  <c r="U246" i="3"/>
  <c r="S246" i="3"/>
  <c r="AB245" i="3"/>
  <c r="Z245" i="3"/>
  <c r="X245" i="3"/>
  <c r="U245" i="3"/>
  <c r="S245" i="3"/>
  <c r="AB244" i="3"/>
  <c r="Z244" i="3"/>
  <c r="X244" i="3"/>
  <c r="U244" i="3"/>
  <c r="S244" i="3"/>
  <c r="AB243" i="3"/>
  <c r="Z243" i="3"/>
  <c r="X243" i="3"/>
  <c r="U243" i="3"/>
  <c r="S243" i="3"/>
  <c r="AB242" i="3"/>
  <c r="Z242" i="3"/>
  <c r="X242" i="3"/>
  <c r="U242" i="3"/>
  <c r="S242" i="3"/>
  <c r="AB241" i="3"/>
  <c r="Z241" i="3"/>
  <c r="X241" i="3"/>
  <c r="U241" i="3"/>
  <c r="S241" i="3"/>
  <c r="AB240" i="3"/>
  <c r="Z240" i="3"/>
  <c r="X240" i="3"/>
  <c r="U240" i="3"/>
  <c r="S240" i="3"/>
  <c r="AB239" i="3"/>
  <c r="Z239" i="3"/>
  <c r="X239" i="3"/>
  <c r="U239" i="3"/>
  <c r="S239" i="3"/>
  <c r="AB238" i="3"/>
  <c r="Z238" i="3"/>
  <c r="X238" i="3"/>
  <c r="U238" i="3"/>
  <c r="S238" i="3"/>
  <c r="AB237" i="3"/>
  <c r="Z237" i="3"/>
  <c r="X237" i="3"/>
  <c r="U237" i="3"/>
  <c r="S237" i="3"/>
  <c r="AB236" i="3"/>
  <c r="Z236" i="3"/>
  <c r="X236" i="3"/>
  <c r="U236" i="3"/>
  <c r="S236" i="3"/>
  <c r="AB235" i="3"/>
  <c r="Z235" i="3"/>
  <c r="X235" i="3"/>
  <c r="U235" i="3"/>
  <c r="S235" i="3"/>
  <c r="AB234" i="3"/>
  <c r="Z234" i="3"/>
  <c r="X234" i="3"/>
  <c r="U234" i="3"/>
  <c r="S234" i="3"/>
  <c r="AB233" i="3"/>
  <c r="Z233" i="3"/>
  <c r="X233" i="3"/>
  <c r="U233" i="3"/>
  <c r="S233" i="3"/>
  <c r="AB232" i="3"/>
  <c r="Z232" i="3"/>
  <c r="X232" i="3"/>
  <c r="U232" i="3"/>
  <c r="S232" i="3"/>
  <c r="AB231" i="3"/>
  <c r="Z231" i="3"/>
  <c r="X231" i="3"/>
  <c r="U231" i="3"/>
  <c r="S231" i="3"/>
  <c r="AB230" i="3"/>
  <c r="Z230" i="3"/>
  <c r="X230" i="3"/>
  <c r="U230" i="3"/>
  <c r="S230" i="3"/>
  <c r="AB229" i="3"/>
  <c r="Z229" i="3"/>
  <c r="X229" i="3"/>
  <c r="U229" i="3"/>
  <c r="S229" i="3"/>
  <c r="AB228" i="3"/>
  <c r="Z228" i="3"/>
  <c r="X228" i="3"/>
  <c r="U228" i="3"/>
  <c r="S228" i="3"/>
  <c r="AB227" i="3"/>
  <c r="Z227" i="3"/>
  <c r="X227" i="3"/>
  <c r="U227" i="3"/>
  <c r="S227" i="3"/>
  <c r="AB226" i="3"/>
  <c r="Z226" i="3"/>
  <c r="X226" i="3"/>
  <c r="U226" i="3"/>
  <c r="S226" i="3"/>
  <c r="AB225" i="3"/>
  <c r="Z225" i="3"/>
  <c r="X225" i="3"/>
  <c r="U225" i="3"/>
  <c r="S225" i="3"/>
  <c r="AB224" i="3"/>
  <c r="Z224" i="3"/>
  <c r="X224" i="3"/>
  <c r="U224" i="3"/>
  <c r="S224" i="3"/>
  <c r="AB223" i="3"/>
  <c r="Z223" i="3"/>
  <c r="X223" i="3"/>
  <c r="U223" i="3"/>
  <c r="S223" i="3"/>
  <c r="AB222" i="3"/>
  <c r="Z222" i="3"/>
  <c r="X222" i="3"/>
  <c r="U222" i="3"/>
  <c r="S222" i="3"/>
  <c r="AB221" i="3"/>
  <c r="Z221" i="3"/>
  <c r="X221" i="3"/>
  <c r="U221" i="3"/>
  <c r="S221" i="3"/>
  <c r="AB220" i="3"/>
  <c r="Z220" i="3"/>
  <c r="X220" i="3"/>
  <c r="U220" i="3"/>
  <c r="S220" i="3"/>
  <c r="AB219" i="3"/>
  <c r="Z219" i="3"/>
  <c r="X219" i="3"/>
  <c r="U219" i="3"/>
  <c r="S219" i="3"/>
  <c r="AB218" i="3"/>
  <c r="Z218" i="3"/>
  <c r="X218" i="3"/>
  <c r="U218" i="3"/>
  <c r="S218" i="3"/>
  <c r="AB217" i="3"/>
  <c r="Z217" i="3"/>
  <c r="X217" i="3"/>
  <c r="U217" i="3"/>
  <c r="S217" i="3"/>
  <c r="AB216" i="3"/>
  <c r="Z216" i="3"/>
  <c r="X216" i="3"/>
  <c r="U216" i="3"/>
  <c r="S216" i="3"/>
  <c r="AB215" i="3"/>
  <c r="Z215" i="3"/>
  <c r="X215" i="3"/>
  <c r="U215" i="3"/>
  <c r="S215" i="3"/>
  <c r="AB214" i="3"/>
  <c r="Z214" i="3"/>
  <c r="X214" i="3"/>
  <c r="U214" i="3"/>
  <c r="S214" i="3"/>
  <c r="AB213" i="3"/>
  <c r="Z213" i="3"/>
  <c r="X213" i="3"/>
  <c r="U213" i="3"/>
  <c r="S213" i="3"/>
  <c r="AB212" i="3"/>
  <c r="Z212" i="3"/>
  <c r="X212" i="3"/>
  <c r="U212" i="3"/>
  <c r="S212" i="3"/>
  <c r="AB211" i="3"/>
  <c r="Z211" i="3"/>
  <c r="X211" i="3"/>
  <c r="U211" i="3"/>
  <c r="S211" i="3"/>
  <c r="AB210" i="3"/>
  <c r="Z210" i="3"/>
  <c r="X210" i="3"/>
  <c r="U210" i="3"/>
  <c r="S210" i="3"/>
  <c r="AB209" i="3"/>
  <c r="Z209" i="3"/>
  <c r="X209" i="3"/>
  <c r="U209" i="3"/>
  <c r="S209" i="3"/>
  <c r="AB208" i="3"/>
  <c r="Z208" i="3"/>
  <c r="X208" i="3"/>
  <c r="U208" i="3"/>
  <c r="S208" i="3"/>
  <c r="AB207" i="3"/>
  <c r="Z207" i="3"/>
  <c r="X207" i="3"/>
  <c r="U207" i="3"/>
  <c r="S207" i="3"/>
  <c r="AB206" i="3"/>
  <c r="Z206" i="3"/>
  <c r="X206" i="3"/>
  <c r="U206" i="3"/>
  <c r="S206" i="3"/>
  <c r="AB205" i="3"/>
  <c r="Z205" i="3"/>
  <c r="X205" i="3"/>
  <c r="U205" i="3"/>
  <c r="S205" i="3"/>
  <c r="AB204" i="3"/>
  <c r="Z204" i="3"/>
  <c r="X204" i="3"/>
  <c r="U204" i="3"/>
  <c r="S204" i="3"/>
  <c r="AB203" i="3"/>
  <c r="Z203" i="3"/>
  <c r="X203" i="3"/>
  <c r="U203" i="3"/>
  <c r="S203" i="3"/>
  <c r="AB202" i="3"/>
  <c r="Z202" i="3"/>
  <c r="X202" i="3"/>
  <c r="U202" i="3"/>
  <c r="S202" i="3"/>
  <c r="AB201" i="3"/>
  <c r="Z201" i="3"/>
  <c r="X201" i="3"/>
  <c r="U201" i="3"/>
  <c r="S201" i="3"/>
  <c r="AB200" i="3"/>
  <c r="Z200" i="3"/>
  <c r="X200" i="3"/>
  <c r="U200" i="3"/>
  <c r="S200" i="3"/>
  <c r="AB199" i="3"/>
  <c r="Z199" i="3"/>
  <c r="X199" i="3"/>
  <c r="U199" i="3"/>
  <c r="S199" i="3"/>
  <c r="AB198" i="3"/>
  <c r="Z198" i="3"/>
  <c r="X198" i="3"/>
  <c r="U198" i="3"/>
  <c r="S198" i="3"/>
  <c r="AB197" i="3"/>
  <c r="Z197" i="3"/>
  <c r="X197" i="3"/>
  <c r="U197" i="3"/>
  <c r="S197" i="3"/>
  <c r="AB196" i="3"/>
  <c r="Z196" i="3"/>
  <c r="X196" i="3"/>
  <c r="U196" i="3"/>
  <c r="S196" i="3"/>
  <c r="AB195" i="3"/>
  <c r="Z195" i="3"/>
  <c r="X195" i="3"/>
  <c r="U195" i="3"/>
  <c r="S195" i="3"/>
  <c r="AB194" i="3"/>
  <c r="Z194" i="3"/>
  <c r="X194" i="3"/>
  <c r="U194" i="3"/>
  <c r="S194" i="3"/>
  <c r="AB193" i="3"/>
  <c r="Z193" i="3"/>
  <c r="X193" i="3"/>
  <c r="U193" i="3"/>
  <c r="S193" i="3"/>
  <c r="AB192" i="3"/>
  <c r="Z192" i="3"/>
  <c r="X192" i="3"/>
  <c r="U192" i="3"/>
  <c r="S192" i="3"/>
  <c r="AB191" i="3"/>
  <c r="Z191" i="3"/>
  <c r="X191" i="3"/>
  <c r="U191" i="3"/>
  <c r="S191" i="3"/>
  <c r="AB190" i="3"/>
  <c r="Z190" i="3"/>
  <c r="X190" i="3"/>
  <c r="U190" i="3"/>
  <c r="S190" i="3"/>
  <c r="AB189" i="3"/>
  <c r="Z189" i="3"/>
  <c r="X189" i="3"/>
  <c r="U189" i="3"/>
  <c r="S189" i="3"/>
  <c r="AB188" i="3"/>
  <c r="Z188" i="3"/>
  <c r="X188" i="3"/>
  <c r="U188" i="3"/>
  <c r="S188" i="3"/>
  <c r="AB187" i="3"/>
  <c r="Z187" i="3"/>
  <c r="X187" i="3"/>
  <c r="U187" i="3"/>
  <c r="S187" i="3"/>
  <c r="AB186" i="3"/>
  <c r="Z186" i="3"/>
  <c r="X186" i="3"/>
  <c r="U186" i="3"/>
  <c r="S186" i="3"/>
  <c r="AB185" i="3"/>
  <c r="Z185" i="3"/>
  <c r="X185" i="3"/>
  <c r="U185" i="3"/>
  <c r="S185" i="3"/>
  <c r="AB184" i="3"/>
  <c r="Z184" i="3"/>
  <c r="X184" i="3"/>
  <c r="U184" i="3"/>
  <c r="S184" i="3"/>
  <c r="AB183" i="3"/>
  <c r="Z183" i="3"/>
  <c r="X183" i="3"/>
  <c r="U183" i="3"/>
  <c r="S183" i="3"/>
  <c r="AB182" i="3"/>
  <c r="Z182" i="3"/>
  <c r="X182" i="3"/>
  <c r="U182" i="3"/>
  <c r="S182" i="3"/>
  <c r="AB181" i="3"/>
  <c r="Z181" i="3"/>
  <c r="X181" i="3"/>
  <c r="U181" i="3"/>
  <c r="S181" i="3"/>
  <c r="AB180" i="3"/>
  <c r="Z180" i="3"/>
  <c r="X180" i="3"/>
  <c r="U180" i="3"/>
  <c r="S180" i="3"/>
  <c r="AB179" i="3"/>
  <c r="Z179" i="3"/>
  <c r="X179" i="3"/>
  <c r="U179" i="3"/>
  <c r="S179" i="3"/>
  <c r="AB178" i="3"/>
  <c r="Z178" i="3"/>
  <c r="X178" i="3"/>
  <c r="U178" i="3"/>
  <c r="S178" i="3"/>
  <c r="AB177" i="3"/>
  <c r="Z177" i="3"/>
  <c r="X177" i="3"/>
  <c r="U177" i="3"/>
  <c r="S177" i="3"/>
  <c r="AB176" i="3"/>
  <c r="Z176" i="3"/>
  <c r="X176" i="3"/>
  <c r="U176" i="3"/>
  <c r="S176" i="3"/>
  <c r="AB175" i="3"/>
  <c r="Z175" i="3"/>
  <c r="X175" i="3"/>
  <c r="U175" i="3"/>
  <c r="S175" i="3"/>
  <c r="AB174" i="3"/>
  <c r="Z174" i="3"/>
  <c r="X174" i="3"/>
  <c r="U174" i="3"/>
  <c r="S174" i="3"/>
  <c r="AB173" i="3"/>
  <c r="Z173" i="3"/>
  <c r="X173" i="3"/>
  <c r="U173" i="3"/>
  <c r="S173" i="3"/>
  <c r="AB172" i="3"/>
  <c r="Z172" i="3"/>
  <c r="X172" i="3"/>
  <c r="U172" i="3"/>
  <c r="S172" i="3"/>
  <c r="AB171" i="3"/>
  <c r="Z171" i="3"/>
  <c r="X171" i="3"/>
  <c r="U171" i="3"/>
  <c r="S171" i="3"/>
  <c r="AB170" i="3"/>
  <c r="Z170" i="3"/>
  <c r="X170" i="3"/>
  <c r="U170" i="3"/>
  <c r="S170" i="3"/>
  <c r="AB169" i="3"/>
  <c r="Z169" i="3"/>
  <c r="X169" i="3"/>
  <c r="U169" i="3"/>
  <c r="S169" i="3"/>
  <c r="AB168" i="3"/>
  <c r="Z168" i="3"/>
  <c r="X168" i="3"/>
  <c r="U168" i="3"/>
  <c r="S168" i="3"/>
  <c r="AB167" i="3"/>
  <c r="Z167" i="3"/>
  <c r="X167" i="3"/>
  <c r="U167" i="3"/>
  <c r="S167" i="3"/>
  <c r="AB166" i="3"/>
  <c r="Z166" i="3"/>
  <c r="X166" i="3"/>
  <c r="U166" i="3"/>
  <c r="S166" i="3"/>
  <c r="AB165" i="3"/>
  <c r="Z165" i="3"/>
  <c r="X165" i="3"/>
  <c r="U165" i="3"/>
  <c r="S165" i="3"/>
  <c r="AB164" i="3"/>
  <c r="Z164" i="3"/>
  <c r="X164" i="3"/>
  <c r="U164" i="3"/>
  <c r="S164" i="3"/>
  <c r="AB163" i="3"/>
  <c r="Z163" i="3"/>
  <c r="X163" i="3"/>
  <c r="U163" i="3"/>
  <c r="S163" i="3"/>
  <c r="AB162" i="3"/>
  <c r="Z162" i="3"/>
  <c r="X162" i="3"/>
  <c r="U162" i="3"/>
  <c r="S162" i="3"/>
  <c r="AB161" i="3"/>
  <c r="Z161" i="3"/>
  <c r="X161" i="3"/>
  <c r="U161" i="3"/>
  <c r="S161" i="3"/>
  <c r="AB160" i="3"/>
  <c r="Z160" i="3"/>
  <c r="X160" i="3"/>
  <c r="U160" i="3"/>
  <c r="S160" i="3"/>
  <c r="AB159" i="3"/>
  <c r="Z159" i="3"/>
  <c r="X159" i="3"/>
  <c r="U159" i="3"/>
  <c r="S159" i="3"/>
  <c r="AB158" i="3"/>
  <c r="Z158" i="3"/>
  <c r="X158" i="3"/>
  <c r="U158" i="3"/>
  <c r="S158" i="3"/>
  <c r="AB157" i="3"/>
  <c r="Z157" i="3"/>
  <c r="X157" i="3"/>
  <c r="U157" i="3"/>
  <c r="S157" i="3"/>
  <c r="AB156" i="3"/>
  <c r="Z156" i="3"/>
  <c r="X156" i="3"/>
  <c r="U156" i="3"/>
  <c r="S156" i="3"/>
  <c r="AB155" i="3"/>
  <c r="Z155" i="3"/>
  <c r="X155" i="3"/>
  <c r="U155" i="3"/>
  <c r="S155" i="3"/>
  <c r="AB154" i="3"/>
  <c r="Z154" i="3"/>
  <c r="X154" i="3"/>
  <c r="U154" i="3"/>
  <c r="S154" i="3"/>
  <c r="AB153" i="3"/>
  <c r="Z153" i="3"/>
  <c r="X153" i="3"/>
  <c r="U153" i="3"/>
  <c r="S153" i="3"/>
  <c r="AB152" i="3"/>
  <c r="Z152" i="3"/>
  <c r="X152" i="3"/>
  <c r="U152" i="3"/>
  <c r="S152" i="3"/>
  <c r="AB151" i="3"/>
  <c r="Z151" i="3"/>
  <c r="X151" i="3"/>
  <c r="U151" i="3"/>
  <c r="S151" i="3"/>
  <c r="AB150" i="3"/>
  <c r="Z150" i="3"/>
  <c r="X150" i="3"/>
  <c r="U150" i="3"/>
  <c r="S150" i="3"/>
  <c r="AB149" i="3"/>
  <c r="Z149" i="3"/>
  <c r="X149" i="3"/>
  <c r="U149" i="3"/>
  <c r="S149" i="3"/>
  <c r="AB148" i="3"/>
  <c r="Z148" i="3"/>
  <c r="X148" i="3"/>
  <c r="U148" i="3"/>
  <c r="S148" i="3"/>
  <c r="AB147" i="3"/>
  <c r="Z147" i="3"/>
  <c r="X147" i="3"/>
  <c r="U147" i="3"/>
  <c r="S147" i="3"/>
  <c r="AB146" i="3"/>
  <c r="Z146" i="3"/>
  <c r="X146" i="3"/>
  <c r="U146" i="3"/>
  <c r="S146" i="3"/>
  <c r="AB145" i="3"/>
  <c r="Z145" i="3"/>
  <c r="X145" i="3"/>
  <c r="U145" i="3"/>
  <c r="S145" i="3"/>
  <c r="AB144" i="3"/>
  <c r="Z144" i="3"/>
  <c r="X144" i="3"/>
  <c r="U144" i="3"/>
  <c r="S144" i="3"/>
  <c r="AB143" i="3"/>
  <c r="Z143" i="3"/>
  <c r="X143" i="3"/>
  <c r="U143" i="3"/>
  <c r="S143" i="3"/>
  <c r="AB142" i="3"/>
  <c r="Z142" i="3"/>
  <c r="X142" i="3"/>
  <c r="U142" i="3"/>
  <c r="S142" i="3"/>
  <c r="AB141" i="3"/>
  <c r="Z141" i="3"/>
  <c r="X141" i="3"/>
  <c r="U141" i="3"/>
  <c r="S141" i="3"/>
  <c r="AB140" i="3"/>
  <c r="Z140" i="3"/>
  <c r="X140" i="3"/>
  <c r="U140" i="3"/>
  <c r="S140" i="3"/>
  <c r="AB139" i="3"/>
  <c r="Z139" i="3"/>
  <c r="X139" i="3"/>
  <c r="U139" i="3"/>
  <c r="S139" i="3"/>
  <c r="AB138" i="3"/>
  <c r="Z138" i="3"/>
  <c r="X138" i="3"/>
  <c r="U138" i="3"/>
  <c r="S138" i="3"/>
  <c r="AB137" i="3"/>
  <c r="Z137" i="3"/>
  <c r="X137" i="3"/>
  <c r="U137" i="3"/>
  <c r="S137" i="3"/>
  <c r="AB136" i="3"/>
  <c r="Z136" i="3"/>
  <c r="X136" i="3"/>
  <c r="U136" i="3"/>
  <c r="S136" i="3"/>
  <c r="AB135" i="3"/>
  <c r="Z135" i="3"/>
  <c r="X135" i="3"/>
  <c r="U135" i="3"/>
  <c r="S135" i="3"/>
  <c r="AB134" i="3"/>
  <c r="Z134" i="3"/>
  <c r="X134" i="3"/>
  <c r="U134" i="3"/>
  <c r="S134" i="3"/>
  <c r="AB133" i="3"/>
  <c r="Z133" i="3"/>
  <c r="X133" i="3"/>
  <c r="U133" i="3"/>
  <c r="S133" i="3"/>
  <c r="AB132" i="3"/>
  <c r="Z132" i="3"/>
  <c r="X132" i="3"/>
  <c r="U132" i="3"/>
  <c r="S132" i="3"/>
  <c r="AB131" i="3"/>
  <c r="Z131" i="3"/>
  <c r="X131" i="3"/>
  <c r="U131" i="3"/>
  <c r="S131" i="3"/>
  <c r="AB130" i="3"/>
  <c r="Z130" i="3"/>
  <c r="X130" i="3"/>
  <c r="U130" i="3"/>
  <c r="S130" i="3"/>
  <c r="AB129" i="3"/>
  <c r="Z129" i="3"/>
  <c r="X129" i="3"/>
  <c r="U129" i="3"/>
  <c r="S129" i="3"/>
  <c r="AB128" i="3"/>
  <c r="Z128" i="3"/>
  <c r="X128" i="3"/>
  <c r="U128" i="3"/>
  <c r="S128" i="3"/>
  <c r="AB127" i="3"/>
  <c r="Z127" i="3"/>
  <c r="X127" i="3"/>
  <c r="U127" i="3"/>
  <c r="S127" i="3"/>
  <c r="AB126" i="3"/>
  <c r="Z126" i="3"/>
  <c r="X126" i="3"/>
  <c r="U126" i="3"/>
  <c r="S126" i="3"/>
  <c r="AB125" i="3"/>
  <c r="Z125" i="3"/>
  <c r="X125" i="3"/>
  <c r="U125" i="3"/>
  <c r="S125" i="3"/>
  <c r="AB124" i="3"/>
  <c r="Z124" i="3"/>
  <c r="X124" i="3"/>
  <c r="U124" i="3"/>
  <c r="S124" i="3"/>
  <c r="AB123" i="3"/>
  <c r="Z123" i="3"/>
  <c r="X123" i="3"/>
  <c r="U123" i="3"/>
  <c r="S123" i="3"/>
  <c r="AB122" i="3"/>
  <c r="Z122" i="3"/>
  <c r="X122" i="3"/>
  <c r="U122" i="3"/>
  <c r="S122" i="3"/>
  <c r="AB121" i="3"/>
  <c r="Z121" i="3"/>
  <c r="X121" i="3"/>
  <c r="U121" i="3"/>
  <c r="S121" i="3"/>
  <c r="AB120" i="3"/>
  <c r="Z120" i="3"/>
  <c r="X120" i="3"/>
  <c r="U120" i="3"/>
  <c r="S120" i="3"/>
  <c r="AB119" i="3"/>
  <c r="Z119" i="3"/>
  <c r="X119" i="3"/>
  <c r="U119" i="3"/>
  <c r="S119" i="3"/>
  <c r="AB118" i="3"/>
  <c r="Z118" i="3"/>
  <c r="X118" i="3"/>
  <c r="U118" i="3"/>
  <c r="S118" i="3"/>
  <c r="AB117" i="3"/>
  <c r="Z117" i="3"/>
  <c r="X117" i="3"/>
  <c r="U117" i="3"/>
  <c r="S117" i="3"/>
  <c r="AB116" i="3"/>
  <c r="Z116" i="3"/>
  <c r="X116" i="3"/>
  <c r="U116" i="3"/>
  <c r="S116" i="3"/>
  <c r="AB115" i="3"/>
  <c r="Z115" i="3"/>
  <c r="X115" i="3"/>
  <c r="U115" i="3"/>
  <c r="S115" i="3"/>
  <c r="AB114" i="3"/>
  <c r="Z114" i="3"/>
  <c r="X114" i="3"/>
  <c r="U114" i="3"/>
  <c r="S114" i="3"/>
  <c r="AB113" i="3"/>
  <c r="Z113" i="3"/>
  <c r="X113" i="3"/>
  <c r="U113" i="3"/>
  <c r="S113" i="3"/>
  <c r="AB112" i="3"/>
  <c r="Z112" i="3"/>
  <c r="X112" i="3"/>
  <c r="U112" i="3"/>
  <c r="S112" i="3"/>
  <c r="AB111" i="3"/>
  <c r="Z111" i="3"/>
  <c r="X111" i="3"/>
  <c r="U111" i="3"/>
  <c r="S111" i="3"/>
  <c r="AB110" i="3"/>
  <c r="Z110" i="3"/>
  <c r="X110" i="3"/>
  <c r="U110" i="3"/>
  <c r="S110" i="3"/>
  <c r="AB109" i="3"/>
  <c r="Z109" i="3"/>
  <c r="X109" i="3"/>
  <c r="U109" i="3"/>
  <c r="S109" i="3"/>
  <c r="AB108" i="3"/>
  <c r="Z108" i="3"/>
  <c r="X108" i="3"/>
  <c r="U108" i="3"/>
  <c r="S108" i="3"/>
  <c r="AB107" i="3"/>
  <c r="Z107" i="3"/>
  <c r="X107" i="3"/>
  <c r="U107" i="3"/>
  <c r="S107" i="3"/>
  <c r="AB106" i="3"/>
  <c r="Z106" i="3"/>
  <c r="X106" i="3"/>
  <c r="U106" i="3"/>
  <c r="S106" i="3"/>
  <c r="AB105" i="3"/>
  <c r="Z105" i="3"/>
  <c r="X105" i="3"/>
  <c r="U105" i="3"/>
  <c r="S105" i="3"/>
  <c r="AB104" i="3"/>
  <c r="Z104" i="3"/>
  <c r="X104" i="3"/>
  <c r="U104" i="3"/>
  <c r="S104" i="3"/>
  <c r="AB103" i="3"/>
  <c r="Z103" i="3"/>
  <c r="X103" i="3"/>
  <c r="U103" i="3"/>
  <c r="S103" i="3"/>
  <c r="AB102" i="3"/>
  <c r="Z102" i="3"/>
  <c r="X102" i="3"/>
  <c r="U102" i="3"/>
  <c r="S102" i="3"/>
  <c r="AB101" i="3"/>
  <c r="Z101" i="3"/>
  <c r="X101" i="3"/>
  <c r="U101" i="3"/>
  <c r="S101" i="3"/>
  <c r="AB100" i="3"/>
  <c r="Z100" i="3"/>
  <c r="X100" i="3"/>
  <c r="U100" i="3"/>
  <c r="S100" i="3"/>
  <c r="AB99" i="3"/>
  <c r="Z99" i="3"/>
  <c r="X99" i="3"/>
  <c r="U99" i="3"/>
  <c r="S99" i="3"/>
  <c r="AB98" i="3"/>
  <c r="Z98" i="3"/>
  <c r="X98" i="3"/>
  <c r="U98" i="3"/>
  <c r="S98" i="3"/>
  <c r="AB97" i="3"/>
  <c r="Z97" i="3"/>
  <c r="X97" i="3"/>
  <c r="U97" i="3"/>
  <c r="S97" i="3"/>
  <c r="AB96" i="3"/>
  <c r="Z96" i="3"/>
  <c r="X96" i="3"/>
  <c r="U96" i="3"/>
  <c r="S96" i="3"/>
  <c r="AB95" i="3"/>
  <c r="Z95" i="3"/>
  <c r="X95" i="3"/>
  <c r="U95" i="3"/>
  <c r="S95" i="3"/>
  <c r="AB94" i="3"/>
  <c r="Z94" i="3"/>
  <c r="X94" i="3"/>
  <c r="U94" i="3"/>
  <c r="S94" i="3"/>
  <c r="AB93" i="3"/>
  <c r="Z93" i="3"/>
  <c r="X93" i="3"/>
  <c r="U93" i="3"/>
  <c r="S93" i="3"/>
  <c r="AB92" i="3"/>
  <c r="Z92" i="3"/>
  <c r="X92" i="3"/>
  <c r="U92" i="3"/>
  <c r="S92" i="3"/>
  <c r="AB91" i="3"/>
  <c r="Z91" i="3"/>
  <c r="X91" i="3"/>
  <c r="U91" i="3"/>
  <c r="S91" i="3"/>
  <c r="AB90" i="3"/>
  <c r="Z90" i="3"/>
  <c r="X90" i="3"/>
  <c r="U90" i="3"/>
  <c r="S90" i="3"/>
  <c r="AB89" i="3"/>
  <c r="Z89" i="3"/>
  <c r="X89" i="3"/>
  <c r="U89" i="3"/>
  <c r="S89" i="3"/>
  <c r="AB88" i="3"/>
  <c r="Z88" i="3"/>
  <c r="X88" i="3"/>
  <c r="U88" i="3"/>
  <c r="S88" i="3"/>
  <c r="AB87" i="3"/>
  <c r="Z87" i="3"/>
  <c r="X87" i="3"/>
  <c r="U87" i="3"/>
  <c r="S87" i="3"/>
  <c r="AB86" i="3"/>
  <c r="Z86" i="3"/>
  <c r="X86" i="3"/>
  <c r="U86" i="3"/>
  <c r="S86" i="3"/>
  <c r="AB85" i="3"/>
  <c r="Z85" i="3"/>
  <c r="X85" i="3"/>
  <c r="U85" i="3"/>
  <c r="S85" i="3"/>
  <c r="AB84" i="3"/>
  <c r="Z84" i="3"/>
  <c r="X84" i="3"/>
  <c r="U84" i="3"/>
  <c r="S84" i="3"/>
  <c r="AB83" i="3"/>
  <c r="Z83" i="3"/>
  <c r="X83" i="3"/>
  <c r="U83" i="3"/>
  <c r="S83" i="3"/>
  <c r="AB82" i="3"/>
  <c r="Z82" i="3"/>
  <c r="X82" i="3"/>
  <c r="U82" i="3"/>
  <c r="S82" i="3"/>
  <c r="AB81" i="3"/>
  <c r="Z81" i="3"/>
  <c r="X81" i="3"/>
  <c r="U81" i="3"/>
  <c r="S81" i="3"/>
  <c r="AB80" i="3"/>
  <c r="Z80" i="3"/>
  <c r="X80" i="3"/>
  <c r="U80" i="3"/>
  <c r="S80" i="3"/>
  <c r="AB79" i="3"/>
  <c r="Z79" i="3"/>
  <c r="X79" i="3"/>
  <c r="U79" i="3"/>
  <c r="S79" i="3"/>
  <c r="AB78" i="3"/>
  <c r="Z78" i="3"/>
  <c r="X78" i="3"/>
  <c r="U78" i="3"/>
  <c r="S78" i="3"/>
  <c r="AB77" i="3"/>
  <c r="Z77" i="3"/>
  <c r="X77" i="3"/>
  <c r="U77" i="3"/>
  <c r="S77" i="3"/>
  <c r="AB76" i="3"/>
  <c r="Z76" i="3"/>
  <c r="X76" i="3"/>
  <c r="U76" i="3"/>
  <c r="S76" i="3"/>
  <c r="AB75" i="3"/>
  <c r="Z75" i="3"/>
  <c r="X75" i="3"/>
  <c r="U75" i="3"/>
  <c r="S75" i="3"/>
  <c r="AB74" i="3"/>
  <c r="Z74" i="3"/>
  <c r="X74" i="3"/>
  <c r="U74" i="3"/>
  <c r="S74" i="3"/>
  <c r="AB73" i="3"/>
  <c r="Z73" i="3"/>
  <c r="X73" i="3"/>
  <c r="U73" i="3"/>
  <c r="S73" i="3"/>
  <c r="AB72" i="3"/>
  <c r="Z72" i="3"/>
  <c r="X72" i="3"/>
  <c r="U72" i="3"/>
  <c r="S72" i="3"/>
  <c r="AB71" i="3"/>
  <c r="Z71" i="3"/>
  <c r="X71" i="3"/>
  <c r="U71" i="3"/>
  <c r="S71" i="3"/>
  <c r="AB70" i="3"/>
  <c r="Z70" i="3"/>
  <c r="X70" i="3"/>
  <c r="U70" i="3"/>
  <c r="S70" i="3"/>
  <c r="AB69" i="3"/>
  <c r="Z69" i="3"/>
  <c r="X69" i="3"/>
  <c r="U69" i="3"/>
  <c r="S69" i="3"/>
  <c r="AB68" i="3"/>
  <c r="Z68" i="3"/>
  <c r="X68" i="3"/>
  <c r="U68" i="3"/>
  <c r="S68" i="3"/>
  <c r="AB67" i="3"/>
  <c r="Z67" i="3"/>
  <c r="X67" i="3"/>
  <c r="U67" i="3"/>
  <c r="S67" i="3"/>
  <c r="AB66" i="3"/>
  <c r="Z66" i="3"/>
  <c r="X66" i="3"/>
  <c r="U66" i="3"/>
  <c r="S66" i="3"/>
  <c r="AB65" i="3"/>
  <c r="Z65" i="3"/>
  <c r="X65" i="3"/>
  <c r="U65" i="3"/>
  <c r="S65" i="3"/>
  <c r="AB64" i="3"/>
  <c r="Z64" i="3"/>
  <c r="X64" i="3"/>
  <c r="U64" i="3"/>
  <c r="S64" i="3"/>
  <c r="AB63" i="3"/>
  <c r="Z63" i="3"/>
  <c r="X63" i="3"/>
  <c r="U63" i="3"/>
  <c r="S63" i="3"/>
  <c r="AB62" i="3"/>
  <c r="Z62" i="3"/>
  <c r="X62" i="3"/>
  <c r="U62" i="3"/>
  <c r="S62" i="3"/>
  <c r="AB61" i="3"/>
  <c r="Z61" i="3"/>
  <c r="X61" i="3"/>
  <c r="U61" i="3"/>
  <c r="S61" i="3"/>
  <c r="AB60" i="3"/>
  <c r="Z60" i="3"/>
  <c r="X60" i="3"/>
  <c r="U60" i="3"/>
  <c r="S60" i="3"/>
  <c r="AB59" i="3"/>
  <c r="Z59" i="3"/>
  <c r="X59" i="3"/>
  <c r="U59" i="3"/>
  <c r="S59" i="3"/>
  <c r="AB58" i="3"/>
  <c r="Z58" i="3"/>
  <c r="X58" i="3"/>
  <c r="U58" i="3"/>
  <c r="S58" i="3"/>
  <c r="AB57" i="3"/>
  <c r="Z57" i="3"/>
  <c r="X57" i="3"/>
  <c r="U57" i="3"/>
  <c r="S57" i="3"/>
  <c r="AB56" i="3"/>
  <c r="Z56" i="3"/>
  <c r="X56" i="3"/>
  <c r="U56" i="3"/>
  <c r="S56" i="3"/>
  <c r="AB55" i="3"/>
  <c r="Z55" i="3"/>
  <c r="X55" i="3"/>
  <c r="U55" i="3"/>
  <c r="S55" i="3"/>
  <c r="AB54" i="3"/>
  <c r="Z54" i="3"/>
  <c r="X54" i="3"/>
  <c r="U54" i="3"/>
  <c r="S54" i="3"/>
  <c r="AB53" i="3"/>
  <c r="Z53" i="3"/>
  <c r="X53" i="3"/>
  <c r="U53" i="3"/>
  <c r="S53" i="3"/>
  <c r="AB52" i="3"/>
  <c r="Z52" i="3"/>
  <c r="X52" i="3"/>
  <c r="U52" i="3"/>
  <c r="S52" i="3"/>
  <c r="AB51" i="3"/>
  <c r="Z51" i="3"/>
  <c r="X51" i="3"/>
  <c r="U51" i="3"/>
  <c r="S51" i="3"/>
  <c r="AB50" i="3"/>
  <c r="Z50" i="3"/>
  <c r="X50" i="3"/>
  <c r="U50" i="3"/>
  <c r="S50" i="3"/>
  <c r="AB49" i="3"/>
  <c r="Z49" i="3"/>
  <c r="X49" i="3"/>
  <c r="U49" i="3"/>
  <c r="S49" i="3"/>
  <c r="AB48" i="3"/>
  <c r="Z48" i="3"/>
  <c r="X48" i="3"/>
  <c r="U48" i="3"/>
  <c r="S48" i="3"/>
  <c r="AB47" i="3"/>
  <c r="Z47" i="3"/>
  <c r="X47" i="3"/>
  <c r="U47" i="3"/>
  <c r="S47" i="3"/>
  <c r="AB46" i="3"/>
  <c r="Z46" i="3"/>
  <c r="X46" i="3"/>
  <c r="U46" i="3"/>
  <c r="S46" i="3"/>
  <c r="AB45" i="3"/>
  <c r="Z45" i="3"/>
  <c r="X45" i="3"/>
  <c r="U45" i="3"/>
  <c r="S45" i="3"/>
  <c r="AB44" i="3"/>
  <c r="Z44" i="3"/>
  <c r="X44" i="3"/>
  <c r="U44" i="3"/>
  <c r="S44" i="3"/>
  <c r="AB43" i="3"/>
  <c r="Z43" i="3"/>
  <c r="X43" i="3"/>
  <c r="U43" i="3"/>
  <c r="S43" i="3"/>
  <c r="AB42" i="3"/>
  <c r="Z42" i="3"/>
  <c r="X42" i="3"/>
  <c r="U42" i="3"/>
  <c r="S42" i="3"/>
  <c r="AB41" i="3"/>
  <c r="Z41" i="3"/>
  <c r="X41" i="3"/>
  <c r="U41" i="3"/>
  <c r="S41" i="3"/>
  <c r="AB40" i="3"/>
  <c r="Z40" i="3"/>
  <c r="X40" i="3"/>
  <c r="U40" i="3"/>
  <c r="S40" i="3"/>
  <c r="AB39" i="3"/>
  <c r="Z39" i="3"/>
  <c r="X39" i="3"/>
  <c r="U39" i="3"/>
  <c r="S39" i="3"/>
  <c r="AB38" i="3"/>
  <c r="Z38" i="3"/>
  <c r="X38" i="3"/>
  <c r="U38" i="3"/>
  <c r="S38" i="3"/>
  <c r="AB37" i="3"/>
  <c r="Z37" i="3"/>
  <c r="X37" i="3"/>
  <c r="U37" i="3"/>
  <c r="S37" i="3"/>
  <c r="AB36" i="3"/>
  <c r="Z36" i="3"/>
  <c r="X36" i="3"/>
  <c r="U36" i="3"/>
  <c r="S36" i="3"/>
  <c r="AB35" i="3"/>
  <c r="Z35" i="3"/>
  <c r="X35" i="3"/>
  <c r="U35" i="3"/>
  <c r="S35" i="3"/>
  <c r="AB34" i="3"/>
  <c r="Z34" i="3"/>
  <c r="X34" i="3"/>
  <c r="U34" i="3"/>
  <c r="S34" i="3"/>
  <c r="AB33" i="3"/>
  <c r="Z33" i="3"/>
  <c r="X33" i="3"/>
  <c r="U33" i="3"/>
  <c r="S33" i="3"/>
  <c r="AB32" i="3"/>
  <c r="Z32" i="3"/>
  <c r="X32" i="3"/>
  <c r="U32" i="3"/>
  <c r="S32" i="3"/>
  <c r="AB31" i="3"/>
  <c r="Z31" i="3"/>
  <c r="X31" i="3"/>
  <c r="U31" i="3"/>
  <c r="S31" i="3"/>
  <c r="AB30" i="3"/>
  <c r="Z30" i="3"/>
  <c r="X30" i="3"/>
  <c r="U30" i="3"/>
  <c r="S30" i="3"/>
  <c r="AB29" i="3"/>
  <c r="Z29" i="3"/>
  <c r="X29" i="3"/>
  <c r="U29" i="3"/>
  <c r="S29" i="3"/>
  <c r="AB28" i="3"/>
  <c r="Z28" i="3"/>
  <c r="X28" i="3"/>
  <c r="U28" i="3"/>
  <c r="S28" i="3"/>
  <c r="AB27" i="3"/>
  <c r="Z27" i="3"/>
  <c r="X27" i="3"/>
  <c r="U27" i="3"/>
  <c r="S27" i="3"/>
  <c r="AB26" i="3"/>
  <c r="Z26" i="3"/>
  <c r="X26" i="3"/>
  <c r="U26" i="3"/>
  <c r="S26" i="3"/>
  <c r="AB25" i="3"/>
  <c r="Z25" i="3"/>
  <c r="X25" i="3"/>
  <c r="U25" i="3"/>
  <c r="S25" i="3"/>
  <c r="AB24" i="3"/>
  <c r="Z24" i="3"/>
  <c r="X24" i="3"/>
  <c r="U24" i="3"/>
  <c r="S24" i="3"/>
  <c r="AB23" i="3"/>
  <c r="Z23" i="3"/>
  <c r="X23" i="3"/>
  <c r="U23" i="3"/>
  <c r="S23" i="3"/>
  <c r="AB22" i="3"/>
  <c r="Z22" i="3"/>
  <c r="X22" i="3"/>
  <c r="U22" i="3"/>
  <c r="S22" i="3"/>
  <c r="AB21" i="3"/>
  <c r="Z21" i="3"/>
  <c r="X21" i="3"/>
  <c r="U21" i="3"/>
  <c r="S21" i="3"/>
  <c r="AB20" i="3"/>
  <c r="Z20" i="3"/>
  <c r="X20" i="3"/>
  <c r="U20" i="3"/>
  <c r="S20" i="3"/>
  <c r="AB19" i="3"/>
  <c r="Z19" i="3"/>
  <c r="X19" i="3"/>
  <c r="U19" i="3"/>
  <c r="S19" i="3"/>
  <c r="AB18" i="3"/>
  <c r="Z18" i="3"/>
  <c r="X18" i="3"/>
  <c r="U18" i="3"/>
  <c r="S18" i="3"/>
  <c r="AB17" i="3"/>
  <c r="Z17" i="3"/>
  <c r="X17" i="3"/>
  <c r="U17" i="3"/>
  <c r="S17" i="3"/>
  <c r="AB16" i="3"/>
  <c r="Z16" i="3"/>
  <c r="X16" i="3"/>
  <c r="U16" i="3"/>
  <c r="S16" i="3"/>
  <c r="AB15" i="3"/>
  <c r="Z15" i="3"/>
  <c r="X15" i="3"/>
  <c r="U15" i="3"/>
  <c r="S15" i="3"/>
  <c r="AB14" i="3"/>
  <c r="Z14" i="3"/>
  <c r="X14" i="3"/>
  <c r="U14" i="3"/>
  <c r="S14" i="3"/>
  <c r="AB13" i="3"/>
  <c r="Z13" i="3"/>
  <c r="X13" i="3"/>
  <c r="U13" i="3"/>
  <c r="S13" i="3"/>
  <c r="AB12" i="3"/>
  <c r="Z12" i="3"/>
  <c r="X12" i="3"/>
  <c r="U12" i="3"/>
  <c r="S12" i="3"/>
  <c r="AK37" i="3" l="1"/>
  <c r="AM650" i="5"/>
  <c r="AM651" i="5"/>
  <c r="AJ515" i="4"/>
  <c r="AJ516" i="4"/>
  <c r="AJ521" i="4"/>
  <c r="AJ499" i="4"/>
  <c r="AJ500" i="4" s="1"/>
  <c r="AJ514" i="4"/>
  <c r="AJ520" i="4"/>
  <c r="AJ503" i="4"/>
  <c r="AJ505" i="4" s="1"/>
  <c r="AJ507" i="4"/>
  <c r="AJ509" i="4" s="1"/>
  <c r="AK670" i="3"/>
  <c r="AK671" i="3" s="1"/>
  <c r="AK679" i="3"/>
  <c r="AK676" i="3"/>
  <c r="AK680" i="3"/>
  <c r="AM553" i="3"/>
  <c r="AM480" i="3"/>
  <c r="AK675" i="3"/>
  <c r="AJ518" i="4" l="1"/>
  <c r="AJ522" i="4"/>
  <c r="AJ517" i="4"/>
  <c r="AK681" i="3"/>
  <c r="AK677" i="3"/>
  <c r="N10" i="25" l="1"/>
  <c r="E11" i="25" l="1"/>
  <c r="B328" i="7" l="1"/>
  <c r="B327" i="7"/>
  <c r="B326" i="7"/>
  <c r="B325" i="7"/>
  <c r="B324" i="7"/>
  <c r="B329" i="7" l="1"/>
  <c r="B335" i="7" s="1"/>
  <c r="B332" i="7" l="1"/>
  <c r="B333" i="7"/>
  <c r="B336" i="7"/>
  <c r="B334" i="7"/>
  <c r="L5" i="25" l="1"/>
  <c r="L6" i="25"/>
  <c r="L7" i="25"/>
  <c r="L8" i="25"/>
  <c r="L9" i="25"/>
  <c r="L10" i="25"/>
  <c r="L11" i="25"/>
  <c r="K5" i="25"/>
  <c r="K6" i="25"/>
  <c r="K7" i="25"/>
  <c r="K8" i="25"/>
  <c r="K9" i="25"/>
  <c r="K10" i="25"/>
  <c r="K11" i="25"/>
  <c r="J9" i="25"/>
  <c r="J10" i="25"/>
  <c r="J11" i="25"/>
  <c r="J5" i="25"/>
  <c r="J6" i="25"/>
  <c r="J7" i="25"/>
  <c r="J8" i="25"/>
  <c r="J4" i="25"/>
  <c r="BA34" i="25"/>
  <c r="CJ27" i="25"/>
  <c r="CI27" i="25"/>
  <c r="CH27" i="25"/>
  <c r="CG27" i="25"/>
  <c r="CF27" i="25"/>
  <c r="CE27" i="25"/>
  <c r="CD27" i="25"/>
  <c r="CC27" i="25"/>
  <c r="CB27" i="25"/>
  <c r="CA27" i="25"/>
  <c r="BZ27" i="25"/>
  <c r="BY27" i="25"/>
  <c r="BX27" i="25"/>
  <c r="BW27" i="25"/>
  <c r="BV27" i="25"/>
  <c r="BU27" i="25"/>
  <c r="BT27" i="25"/>
  <c r="BS27" i="25"/>
  <c r="BR27" i="25"/>
  <c r="BQ27" i="25"/>
  <c r="BP27" i="25"/>
  <c r="BO27" i="25"/>
  <c r="BN27" i="25"/>
  <c r="BM27" i="25"/>
  <c r="BL27" i="25"/>
  <c r="BK27" i="25"/>
  <c r="BJ27" i="25"/>
  <c r="BI27" i="25"/>
  <c r="BH27" i="25"/>
  <c r="BG27" i="25"/>
  <c r="BF27" i="25"/>
  <c r="BE27" i="25"/>
  <c r="BD27" i="25"/>
  <c r="BC27" i="25"/>
  <c r="BB27" i="25"/>
  <c r="BA27" i="25"/>
  <c r="AZ27" i="25"/>
  <c r="AY27" i="25"/>
  <c r="AX27" i="25"/>
  <c r="AW27" i="25"/>
  <c r="AV27" i="25"/>
  <c r="AU27" i="25"/>
  <c r="AT27" i="25"/>
  <c r="AS27" i="25"/>
  <c r="AR27" i="25"/>
  <c r="AQ27" i="25"/>
  <c r="AP27" i="25"/>
  <c r="AO27" i="25"/>
  <c r="AN27" i="25"/>
  <c r="AM27" i="25"/>
  <c r="AL27" i="25"/>
  <c r="AK27" i="25"/>
  <c r="AJ27" i="25"/>
  <c r="AI27" i="25"/>
  <c r="AH27" i="25"/>
  <c r="AG27" i="25"/>
  <c r="AF27" i="25"/>
  <c r="AE27" i="25"/>
  <c r="AD27" i="25"/>
  <c r="AC27" i="25"/>
  <c r="AB27" i="25"/>
  <c r="AA27" i="25"/>
  <c r="Z27" i="25"/>
  <c r="Y27" i="25"/>
  <c r="X27" i="25"/>
  <c r="W27" i="25"/>
  <c r="V27" i="25"/>
  <c r="U27" i="25"/>
  <c r="T27" i="25"/>
  <c r="S27" i="25"/>
  <c r="R27" i="25"/>
  <c r="Q27" i="25"/>
  <c r="P27" i="25"/>
  <c r="O27" i="25"/>
  <c r="N27" i="25"/>
  <c r="M27" i="25"/>
  <c r="L27" i="25"/>
  <c r="K27" i="25"/>
  <c r="CJ17" i="25"/>
  <c r="CI17" i="25"/>
  <c r="CH17" i="25"/>
  <c r="CG17" i="25"/>
  <c r="CF17" i="25"/>
  <c r="CE17" i="25"/>
  <c r="CD17" i="25"/>
  <c r="CC17" i="25"/>
  <c r="CB17" i="25"/>
  <c r="CA17" i="25"/>
  <c r="BZ17" i="25"/>
  <c r="BY17" i="25"/>
  <c r="BX17" i="25"/>
  <c r="BW17" i="25"/>
  <c r="BV17" i="25"/>
  <c r="BU17" i="25"/>
  <c r="BT17" i="25"/>
  <c r="BS17" i="25"/>
  <c r="BR17" i="25"/>
  <c r="BQ17" i="25"/>
  <c r="BP17" i="25"/>
  <c r="BO17" i="25"/>
  <c r="BN17" i="25"/>
  <c r="BM17" i="25"/>
  <c r="BL17" i="25"/>
  <c r="BK17" i="25"/>
  <c r="BJ17" i="25"/>
  <c r="BI17" i="25"/>
  <c r="BH17" i="25"/>
  <c r="BG17" i="25"/>
  <c r="BF17" i="25"/>
  <c r="BE17" i="25"/>
  <c r="BD17" i="25"/>
  <c r="BC17" i="25"/>
  <c r="BB17" i="25"/>
  <c r="BA17" i="25"/>
  <c r="AZ17" i="25"/>
  <c r="AY17" i="25"/>
  <c r="AX17" i="25"/>
  <c r="AW17" i="25"/>
  <c r="AV17" i="25"/>
  <c r="AU17" i="25"/>
  <c r="AT17" i="25"/>
  <c r="AS17" i="25"/>
  <c r="AR17" i="25"/>
  <c r="AQ17" i="25"/>
  <c r="AP17" i="25"/>
  <c r="AO17" i="25"/>
  <c r="AN17" i="25"/>
  <c r="AM17" i="25"/>
  <c r="AL17" i="25"/>
  <c r="AK17" i="25"/>
  <c r="AJ17" i="25"/>
  <c r="AI17" i="25"/>
  <c r="AH17" i="25"/>
  <c r="AG17" i="25"/>
  <c r="AF17" i="25"/>
  <c r="AE17" i="25"/>
  <c r="AD17" i="25"/>
  <c r="AC17" i="25"/>
  <c r="AB17" i="25"/>
  <c r="AA17" i="25"/>
  <c r="Z17" i="25"/>
  <c r="Y17" i="25"/>
  <c r="X17" i="25"/>
  <c r="W17" i="25"/>
  <c r="V17" i="25"/>
  <c r="U17" i="25"/>
  <c r="T17" i="25"/>
  <c r="S17" i="25"/>
  <c r="R17" i="25"/>
  <c r="Q17" i="25"/>
  <c r="P17" i="25"/>
  <c r="O17" i="25"/>
  <c r="N17" i="25"/>
  <c r="M17" i="25"/>
  <c r="L17" i="25"/>
  <c r="M43" i="25" l="1"/>
  <c r="Y43" i="25"/>
  <c r="AK43" i="25"/>
  <c r="AW43" i="25"/>
  <c r="BI43" i="25"/>
  <c r="BU43" i="25"/>
  <c r="CG43" i="25"/>
  <c r="N43" i="25"/>
  <c r="Z43" i="25"/>
  <c r="AL43" i="25"/>
  <c r="BJ43" i="25"/>
  <c r="BV43" i="25"/>
  <c r="CH43" i="25"/>
  <c r="O43" i="25"/>
  <c r="AM43" i="25"/>
  <c r="AY43" i="25"/>
  <c r="BK43" i="25"/>
  <c r="BW43" i="25"/>
  <c r="CI43" i="25"/>
  <c r="AC43" i="25"/>
  <c r="AD43" i="25"/>
  <c r="BN43" i="25"/>
  <c r="CB43" i="25"/>
  <c r="CL43" i="25"/>
  <c r="CC43" i="25"/>
  <c r="V43" i="25"/>
  <c r="BF43" i="25"/>
  <c r="AI43" i="25"/>
  <c r="BG43" i="25"/>
  <c r="X43" i="25"/>
  <c r="BT43" i="25"/>
  <c r="AX43" i="25"/>
  <c r="Q43" i="25"/>
  <c r="BY43" i="25"/>
  <c r="R43" i="25"/>
  <c r="BZ43" i="25"/>
  <c r="AE43" i="25"/>
  <c r="T43" i="25"/>
  <c r="BQ43" i="25"/>
  <c r="AT43" i="25"/>
  <c r="AU43" i="25"/>
  <c r="AV43" i="25"/>
  <c r="AA43" i="25"/>
  <c r="BA43" i="25"/>
  <c r="AP43" i="25"/>
  <c r="BC43" i="25"/>
  <c r="CM43" i="25"/>
  <c r="BD43" i="25"/>
  <c r="CK43" i="25"/>
  <c r="CD43" i="25"/>
  <c r="W43" i="25"/>
  <c r="BS43" i="25"/>
  <c r="CF43" i="25"/>
  <c r="P43" i="25"/>
  <c r="AB43" i="25"/>
  <c r="AN43" i="25"/>
  <c r="AZ43" i="25"/>
  <c r="BL43" i="25"/>
  <c r="BX43" i="25"/>
  <c r="CJ43" i="25"/>
  <c r="AO43" i="25"/>
  <c r="BM43" i="25"/>
  <c r="K43" i="25"/>
  <c r="BB43" i="25"/>
  <c r="S43" i="25"/>
  <c r="AQ43" i="25"/>
  <c r="BO43" i="25"/>
  <c r="CA43" i="25"/>
  <c r="AF43" i="25"/>
  <c r="AR43" i="25"/>
  <c r="BP43" i="25"/>
  <c r="U43" i="25"/>
  <c r="AG43" i="25"/>
  <c r="AS43" i="25"/>
  <c r="BE43" i="25"/>
  <c r="AH43" i="25"/>
  <c r="BR43" i="25"/>
  <c r="CE43" i="25"/>
  <c r="L43" i="25"/>
  <c r="AJ43" i="25"/>
  <c r="BH43" i="25"/>
  <c r="D24" i="25"/>
  <c r="F24" i="25"/>
  <c r="H24" i="25"/>
  <c r="K24" i="25"/>
  <c r="M36" i="25"/>
  <c r="M24" i="25"/>
  <c r="O36" i="25"/>
  <c r="O24" i="25"/>
  <c r="Q36" i="25"/>
  <c r="Q24" i="25"/>
  <c r="S24" i="25"/>
  <c r="S36" i="25"/>
  <c r="U36" i="25"/>
  <c r="U24" i="25"/>
  <c r="W36" i="25"/>
  <c r="W24" i="25"/>
  <c r="Y36" i="25"/>
  <c r="Y24" i="25"/>
  <c r="AA24" i="25"/>
  <c r="AA36" i="25"/>
  <c r="AC36" i="25"/>
  <c r="AC24" i="25"/>
  <c r="AE36" i="25"/>
  <c r="AE24" i="25"/>
  <c r="AG36" i="25"/>
  <c r="AG24" i="25"/>
  <c r="AI24" i="25"/>
  <c r="AI36" i="25"/>
  <c r="AK36" i="25"/>
  <c r="AK24" i="25"/>
  <c r="AM36" i="25"/>
  <c r="AM24" i="25"/>
  <c r="AO36" i="25"/>
  <c r="AO24" i="25"/>
  <c r="AQ24" i="25"/>
  <c r="AQ36" i="25"/>
  <c r="AS36" i="25"/>
  <c r="AS24" i="25"/>
  <c r="AU36" i="25"/>
  <c r="AU24" i="25"/>
  <c r="AW36" i="25"/>
  <c r="AW24" i="25"/>
  <c r="AY24" i="25"/>
  <c r="AY36" i="25"/>
  <c r="BA36" i="25"/>
  <c r="BA40" i="25" s="1"/>
  <c r="BA24" i="25"/>
  <c r="BA38" i="25" s="1"/>
  <c r="BC36" i="25"/>
  <c r="BC24" i="25"/>
  <c r="BE36" i="25"/>
  <c r="BE24" i="25"/>
  <c r="BG24" i="25"/>
  <c r="BG36" i="25"/>
  <c r="BI36" i="25"/>
  <c r="BI24" i="25"/>
  <c r="BK36" i="25"/>
  <c r="BK24" i="25"/>
  <c r="BM36" i="25"/>
  <c r="BM24" i="25"/>
  <c r="BO24" i="25"/>
  <c r="BO36" i="25"/>
  <c r="BQ36" i="25"/>
  <c r="BQ24" i="25"/>
  <c r="BS36" i="25"/>
  <c r="BS24" i="25"/>
  <c r="BU36" i="25"/>
  <c r="BU24" i="25"/>
  <c r="BW36" i="25"/>
  <c r="BW24" i="25"/>
  <c r="BY36" i="25"/>
  <c r="BY24" i="25"/>
  <c r="CA36" i="25"/>
  <c r="CA24" i="25"/>
  <c r="CC36" i="25"/>
  <c r="CC24" i="25"/>
  <c r="CE24" i="25"/>
  <c r="CE36" i="25"/>
  <c r="CG36" i="25"/>
  <c r="CG24" i="25"/>
  <c r="CI36" i="25"/>
  <c r="CI24" i="25"/>
  <c r="M37" i="25"/>
  <c r="Q37" i="25"/>
  <c r="U37" i="25"/>
  <c r="Y37" i="25"/>
  <c r="AC37" i="25"/>
  <c r="AG37" i="25"/>
  <c r="AK37" i="25"/>
  <c r="AO37" i="25"/>
  <c r="AS37" i="25"/>
  <c r="AW37" i="25"/>
  <c r="BA37" i="25"/>
  <c r="BE37" i="25"/>
  <c r="BI37" i="25"/>
  <c r="BM37" i="25"/>
  <c r="BQ37" i="25"/>
  <c r="BU37" i="25"/>
  <c r="BY37" i="25"/>
  <c r="CC37" i="25"/>
  <c r="CG37" i="25"/>
  <c r="K34" i="25"/>
  <c r="S34" i="25"/>
  <c r="AA34" i="25"/>
  <c r="AI34" i="25"/>
  <c r="AQ34" i="25"/>
  <c r="AY34" i="25"/>
  <c r="BH34" i="25"/>
  <c r="BP34" i="25"/>
  <c r="BX34" i="25"/>
  <c r="CF34" i="25"/>
  <c r="E24" i="25"/>
  <c r="G24" i="25"/>
  <c r="L36" i="25"/>
  <c r="L24" i="25"/>
  <c r="N36" i="25"/>
  <c r="N24" i="25"/>
  <c r="P24" i="25"/>
  <c r="R36" i="25"/>
  <c r="R24" i="25"/>
  <c r="T36" i="25"/>
  <c r="T24" i="25"/>
  <c r="V36" i="25"/>
  <c r="V24" i="25"/>
  <c r="X36" i="25"/>
  <c r="X24" i="25"/>
  <c r="Z36" i="25"/>
  <c r="Z24" i="25"/>
  <c r="AB36" i="25"/>
  <c r="AB24" i="25"/>
  <c r="AD36" i="25"/>
  <c r="AD24" i="25"/>
  <c r="AF36" i="25"/>
  <c r="AF24" i="25"/>
  <c r="AH36" i="25"/>
  <c r="AH24" i="25"/>
  <c r="AJ36" i="25"/>
  <c r="AJ24" i="25"/>
  <c r="AL36" i="25"/>
  <c r="AL24" i="25"/>
  <c r="AN36" i="25"/>
  <c r="AN24" i="25"/>
  <c r="AP36" i="25"/>
  <c r="AP24" i="25"/>
  <c r="AR36" i="25"/>
  <c r="AR24" i="25"/>
  <c r="AT36" i="25"/>
  <c r="AT24" i="25"/>
  <c r="AV36" i="25"/>
  <c r="AV24" i="25"/>
  <c r="AX36" i="25"/>
  <c r="AX24" i="25"/>
  <c r="AZ36" i="25"/>
  <c r="AZ24" i="25"/>
  <c r="BB36" i="25"/>
  <c r="BB24" i="25"/>
  <c r="BD36" i="25"/>
  <c r="BD24" i="25"/>
  <c r="BF36" i="25"/>
  <c r="BF24" i="25"/>
  <c r="BH36" i="25"/>
  <c r="BH24" i="25"/>
  <c r="BJ36" i="25"/>
  <c r="BJ24" i="25"/>
  <c r="BL36" i="25"/>
  <c r="BL24" i="25"/>
  <c r="BN36" i="25"/>
  <c r="BN24" i="25"/>
  <c r="BP36" i="25"/>
  <c r="BP24" i="25"/>
  <c r="BR36" i="25"/>
  <c r="BR24" i="25"/>
  <c r="BT36" i="25"/>
  <c r="BT24" i="25"/>
  <c r="BV36" i="25"/>
  <c r="BV24" i="25"/>
  <c r="BX36" i="25"/>
  <c r="BX24" i="25"/>
  <c r="BZ36" i="25"/>
  <c r="BZ24" i="25"/>
  <c r="CB36" i="25"/>
  <c r="CB24" i="25"/>
  <c r="CD36" i="25"/>
  <c r="CD24" i="25"/>
  <c r="CF36" i="25"/>
  <c r="CF24" i="25"/>
  <c r="CH36" i="25"/>
  <c r="CH24" i="25"/>
  <c r="CJ36" i="25"/>
  <c r="CJ24" i="25"/>
  <c r="K37" i="25"/>
  <c r="O37" i="25"/>
  <c r="S37" i="25"/>
  <c r="W37" i="25"/>
  <c r="AA37" i="25"/>
  <c r="AE37" i="25"/>
  <c r="AI37" i="25"/>
  <c r="AM37" i="25"/>
  <c r="AQ37" i="25"/>
  <c r="AU37" i="25"/>
  <c r="AY37" i="25"/>
  <c r="BC37" i="25"/>
  <c r="BG37" i="25"/>
  <c r="BK37" i="25"/>
  <c r="BO37" i="25"/>
  <c r="BS37" i="25"/>
  <c r="BW37" i="25"/>
  <c r="CA37" i="25"/>
  <c r="CE37" i="25"/>
  <c r="CI37" i="25"/>
  <c r="O34" i="25"/>
  <c r="W34" i="25"/>
  <c r="AE34" i="25"/>
  <c r="AM34" i="25"/>
  <c r="AU34" i="25"/>
  <c r="BD34" i="25"/>
  <c r="BL34" i="25"/>
  <c r="BT34" i="25"/>
  <c r="CB34" i="25"/>
  <c r="CJ34" i="25"/>
  <c r="L37" i="25"/>
  <c r="N37" i="25"/>
  <c r="P37" i="25"/>
  <c r="R37" i="25"/>
  <c r="T37" i="25"/>
  <c r="V37" i="25"/>
  <c r="X37" i="25"/>
  <c r="Z37" i="25"/>
  <c r="AB37" i="25"/>
  <c r="AD37" i="25"/>
  <c r="AF37" i="25"/>
  <c r="AH37" i="25"/>
  <c r="AJ37" i="25"/>
  <c r="AL37" i="25"/>
  <c r="AN37" i="25"/>
  <c r="AP37" i="25"/>
  <c r="AR37" i="25"/>
  <c r="AT37" i="25"/>
  <c r="AV37" i="25"/>
  <c r="AX37" i="25"/>
  <c r="AZ37" i="25"/>
  <c r="BB37" i="25"/>
  <c r="BD37" i="25"/>
  <c r="BF37" i="25"/>
  <c r="BH37" i="25"/>
  <c r="BJ37" i="25"/>
  <c r="BL37" i="25"/>
  <c r="BN37" i="25"/>
  <c r="BP37" i="25"/>
  <c r="BR37" i="25"/>
  <c r="BT37" i="25"/>
  <c r="BV37" i="25"/>
  <c r="BX37" i="25"/>
  <c r="BZ37" i="25"/>
  <c r="CB37" i="25"/>
  <c r="CD37" i="25"/>
  <c r="CF37" i="25"/>
  <c r="CH37" i="25"/>
  <c r="CJ37" i="25"/>
  <c r="M34" i="25"/>
  <c r="Q34" i="25"/>
  <c r="U34" i="25"/>
  <c r="Y34" i="25"/>
  <c r="AC34" i="25"/>
  <c r="AG34" i="25"/>
  <c r="AK34" i="25"/>
  <c r="AO34" i="25"/>
  <c r="AS34" i="25"/>
  <c r="AW34" i="25"/>
  <c r="BB34" i="25"/>
  <c r="BF34" i="25"/>
  <c r="BJ34" i="25"/>
  <c r="BN34" i="25"/>
  <c r="BR34" i="25"/>
  <c r="BV34" i="25"/>
  <c r="BZ34" i="25"/>
  <c r="CD34" i="25"/>
  <c r="CH34" i="25"/>
  <c r="L34" i="25"/>
  <c r="N34" i="25"/>
  <c r="P34" i="25"/>
  <c r="P40" i="25" s="1"/>
  <c r="R34" i="25"/>
  <c r="T34" i="25"/>
  <c r="V34" i="25"/>
  <c r="X34" i="25"/>
  <c r="Z34" i="25"/>
  <c r="AB34" i="25"/>
  <c r="AD34" i="25"/>
  <c r="AF34" i="25"/>
  <c r="AH34" i="25"/>
  <c r="AJ34" i="25"/>
  <c r="AL34" i="25"/>
  <c r="AN34" i="25"/>
  <c r="AP34" i="25"/>
  <c r="AR34" i="25"/>
  <c r="AT34" i="25"/>
  <c r="AV34" i="25"/>
  <c r="AX34" i="25"/>
  <c r="AZ34" i="25"/>
  <c r="BC34" i="25"/>
  <c r="BE34" i="25"/>
  <c r="BG34" i="25"/>
  <c r="BI34" i="25"/>
  <c r="BK34" i="25"/>
  <c r="BM34" i="25"/>
  <c r="BO34" i="25"/>
  <c r="BQ34" i="25"/>
  <c r="BS34" i="25"/>
  <c r="BU34" i="25"/>
  <c r="BW34" i="25"/>
  <c r="BY34" i="25"/>
  <c r="CA34" i="25"/>
  <c r="CC34" i="25"/>
  <c r="CE34" i="25"/>
  <c r="CG34" i="25"/>
  <c r="CI34" i="25"/>
  <c r="BX40" i="25" l="1"/>
  <c r="CF38" i="25"/>
  <c r="I24" i="25"/>
  <c r="BP38" i="25"/>
  <c r="BH40" i="25"/>
  <c r="BX38" i="25"/>
  <c r="BH38" i="25"/>
  <c r="CD38" i="25"/>
  <c r="CB38" i="25"/>
  <c r="BV38" i="25"/>
  <c r="BN38" i="25"/>
  <c r="BL38" i="25"/>
  <c r="BF38" i="25"/>
  <c r="AZ38" i="25"/>
  <c r="AV38" i="25"/>
  <c r="AR38" i="25"/>
  <c r="AN38" i="25"/>
  <c r="AJ38" i="25"/>
  <c r="AF38" i="25"/>
  <c r="AB38" i="25"/>
  <c r="X38" i="25"/>
  <c r="T38" i="25"/>
  <c r="P38" i="25"/>
  <c r="L38" i="25"/>
  <c r="CG38" i="25"/>
  <c r="CC38" i="25"/>
  <c r="BY38" i="25"/>
  <c r="BU38" i="25"/>
  <c r="BQ38" i="25"/>
  <c r="BM38" i="25"/>
  <c r="BI38" i="25"/>
  <c r="BE38" i="25"/>
  <c r="AW38" i="25"/>
  <c r="AU38" i="25"/>
  <c r="AQ40" i="25"/>
  <c r="AO38" i="25"/>
  <c r="AG38" i="25"/>
  <c r="AE38" i="25"/>
  <c r="AA40" i="25"/>
  <c r="Y38" i="25"/>
  <c r="Q38" i="25"/>
  <c r="O38" i="25"/>
  <c r="K40" i="25"/>
  <c r="CJ38" i="25"/>
  <c r="CH38" i="25"/>
  <c r="BZ38" i="25"/>
  <c r="BT38" i="25"/>
  <c r="BR38" i="25"/>
  <c r="BJ38" i="25"/>
  <c r="BD38" i="25"/>
  <c r="BB38" i="25"/>
  <c r="AX38" i="25"/>
  <c r="AT38" i="25"/>
  <c r="AP38" i="25"/>
  <c r="AL38" i="25"/>
  <c r="AH38" i="25"/>
  <c r="AD38" i="25"/>
  <c r="Z38" i="25"/>
  <c r="V38" i="25"/>
  <c r="R38" i="25"/>
  <c r="N38" i="25"/>
  <c r="CI38" i="25"/>
  <c r="CE40" i="25"/>
  <c r="CA38" i="25"/>
  <c r="BW38" i="25"/>
  <c r="BS38" i="25"/>
  <c r="BO40" i="25"/>
  <c r="BK38" i="25"/>
  <c r="BG40" i="25"/>
  <c r="BC38" i="25"/>
  <c r="AY40" i="25"/>
  <c r="AS38" i="25"/>
  <c r="AM38" i="25"/>
  <c r="AK38" i="25"/>
  <c r="AI40" i="25"/>
  <c r="AC38" i="25"/>
  <c r="W38" i="25"/>
  <c r="U38" i="25"/>
  <c r="S40" i="25"/>
  <c r="M38" i="25"/>
  <c r="CJ40" i="25"/>
  <c r="CH40" i="25"/>
  <c r="CF40" i="25"/>
  <c r="CD40" i="25"/>
  <c r="CB40" i="25"/>
  <c r="BZ40" i="25"/>
  <c r="BV40" i="25"/>
  <c r="BT40" i="25"/>
  <c r="BR40" i="25"/>
  <c r="BP40" i="25"/>
  <c r="BN40" i="25"/>
  <c r="BL40" i="25"/>
  <c r="BJ40" i="25"/>
  <c r="BF40" i="25"/>
  <c r="BD40" i="25"/>
  <c r="BB40" i="25"/>
  <c r="AZ40" i="25"/>
  <c r="AX40" i="25"/>
  <c r="AV40" i="25"/>
  <c r="AT40" i="25"/>
  <c r="AR40" i="25"/>
  <c r="AP40" i="25"/>
  <c r="AN40" i="25"/>
  <c r="AL40" i="25"/>
  <c r="AJ40" i="25"/>
  <c r="AH40" i="25"/>
  <c r="AF40" i="25"/>
  <c r="AD40" i="25"/>
  <c r="AB40" i="25"/>
  <c r="Z40" i="25"/>
  <c r="X40" i="25"/>
  <c r="V40" i="25"/>
  <c r="T40" i="25"/>
  <c r="R40" i="25"/>
  <c r="N40" i="25"/>
  <c r="L40" i="25"/>
  <c r="CI40" i="25"/>
  <c r="CG40" i="25"/>
  <c r="CE38" i="25"/>
  <c r="CC40" i="25"/>
  <c r="CA40" i="25"/>
  <c r="BY40" i="25"/>
  <c r="BW40" i="25"/>
  <c r="BU40" i="25"/>
  <c r="BS40" i="25"/>
  <c r="BQ40" i="25"/>
  <c r="BO38" i="25"/>
  <c r="BM40" i="25"/>
  <c r="BK40" i="25"/>
  <c r="BI40" i="25"/>
  <c r="BG38" i="25"/>
  <c r="BE40" i="25"/>
  <c r="BC40" i="25"/>
  <c r="AY38" i="25"/>
  <c r="AW40" i="25"/>
  <c r="AU40" i="25"/>
  <c r="AS40" i="25"/>
  <c r="AQ38" i="25"/>
  <c r="AO40" i="25"/>
  <c r="AM40" i="25"/>
  <c r="AK40" i="25"/>
  <c r="AI38" i="25"/>
  <c r="AG40" i="25"/>
  <c r="AE40" i="25"/>
  <c r="AC40" i="25"/>
  <c r="AA38" i="25"/>
  <c r="Y40" i="25"/>
  <c r="W40" i="25"/>
  <c r="U40" i="25"/>
  <c r="S38" i="25"/>
  <c r="Q40" i="25"/>
  <c r="O40" i="25"/>
  <c r="M40" i="25"/>
  <c r="K38" i="25"/>
  <c r="D11" i="25"/>
  <c r="N11" i="25" s="1"/>
  <c r="K4" i="25" l="1"/>
  <c r="L4" i="25"/>
  <c r="E4" i="146" l="1"/>
  <c r="H4" i="146"/>
  <c r="K4" i="146"/>
  <c r="E5" i="146"/>
  <c r="H5" i="146"/>
  <c r="K5" i="146"/>
  <c r="E12" i="146"/>
  <c r="H12" i="146"/>
  <c r="K12" i="146"/>
  <c r="E8" i="146"/>
  <c r="H8" i="146"/>
  <c r="K8" i="146"/>
  <c r="E11" i="146"/>
  <c r="H11" i="146"/>
  <c r="K11" i="146"/>
  <c r="E10" i="146"/>
  <c r="H10" i="146"/>
  <c r="K10" i="146"/>
  <c r="E9" i="146"/>
  <c r="H9" i="146"/>
  <c r="K9" i="146"/>
  <c r="E7" i="146"/>
  <c r="H7" i="146"/>
  <c r="K7" i="146"/>
  <c r="E6" i="146"/>
  <c r="H6" i="146"/>
  <c r="K6" i="146"/>
  <c r="T746" i="2" l="1"/>
  <c r="N746" i="2"/>
  <c r="T745" i="2"/>
  <c r="T744" i="2"/>
  <c r="T743" i="2"/>
  <c r="T742" i="2"/>
  <c r="T741" i="2"/>
  <c r="T740" i="2"/>
  <c r="T739" i="2"/>
  <c r="H734" i="2"/>
  <c r="H733" i="2"/>
  <c r="H732" i="2"/>
  <c r="H731" i="2"/>
  <c r="H730" i="2"/>
  <c r="H729" i="2"/>
  <c r="H728" i="2"/>
  <c r="H727" i="2"/>
  <c r="H726" i="2"/>
  <c r="H725" i="2"/>
  <c r="H724" i="2"/>
  <c r="H723" i="2"/>
  <c r="H722" i="2"/>
  <c r="H721" i="2"/>
  <c r="H720" i="2"/>
  <c r="H719" i="2"/>
  <c r="H718" i="2"/>
  <c r="H717" i="2"/>
  <c r="H714" i="2"/>
  <c r="H713" i="2"/>
  <c r="H712" i="2"/>
  <c r="H711" i="2"/>
  <c r="H710" i="2"/>
  <c r="H709" i="2"/>
  <c r="H708" i="2"/>
  <c r="H707" i="2"/>
  <c r="H706" i="2"/>
  <c r="H705" i="2"/>
  <c r="H704" i="2"/>
  <c r="H703" i="2"/>
  <c r="H702" i="2"/>
  <c r="H701" i="2"/>
  <c r="H700" i="2"/>
  <c r="H699" i="2"/>
  <c r="H698" i="2"/>
  <c r="H697" i="2"/>
  <c r="H694" i="2"/>
  <c r="H693" i="2"/>
  <c r="H692" i="2"/>
  <c r="H691" i="2"/>
  <c r="H690" i="2"/>
  <c r="H689" i="2"/>
  <c r="H688" i="2"/>
  <c r="H687" i="2"/>
  <c r="H686" i="2"/>
  <c r="H685" i="2"/>
  <c r="H684" i="2"/>
  <c r="H683" i="2"/>
  <c r="H682" i="2"/>
  <c r="H681" i="2"/>
  <c r="H680" i="2"/>
  <c r="H679" i="2"/>
  <c r="H678" i="2"/>
  <c r="H677" i="2"/>
  <c r="H676" i="2"/>
  <c r="H675" i="2"/>
  <c r="H674" i="2"/>
  <c r="H673" i="2"/>
  <c r="H672" i="2"/>
  <c r="H671" i="2"/>
  <c r="H670" i="2"/>
  <c r="H669" i="2"/>
  <c r="H668" i="2"/>
  <c r="H667" i="2"/>
  <c r="H666" i="2"/>
  <c r="H665" i="2"/>
  <c r="H664" i="2"/>
  <c r="H663" i="2"/>
  <c r="H662" i="2"/>
  <c r="H661" i="2"/>
  <c r="H660" i="2"/>
  <c r="H659" i="2"/>
  <c r="H658" i="2"/>
  <c r="H657" i="2"/>
  <c r="H656" i="2"/>
  <c r="H655" i="2"/>
  <c r="H654" i="2"/>
  <c r="H653" i="2"/>
  <c r="H652" i="2"/>
  <c r="H651" i="2"/>
  <c r="H650" i="2"/>
  <c r="H649" i="2"/>
  <c r="H648" i="2"/>
  <c r="H647" i="2"/>
  <c r="H646" i="2"/>
  <c r="H645" i="2"/>
  <c r="H644" i="2"/>
  <c r="H643" i="2"/>
  <c r="H642" i="2"/>
  <c r="H641" i="2"/>
  <c r="H640" i="2"/>
  <c r="H639" i="2"/>
  <c r="H638" i="2"/>
  <c r="H637" i="2"/>
  <c r="H636" i="2"/>
  <c r="H635" i="2"/>
  <c r="H634" i="2"/>
  <c r="H633" i="2"/>
  <c r="H632" i="2"/>
  <c r="H631" i="2"/>
  <c r="H630" i="2"/>
  <c r="H629" i="2"/>
  <c r="H628" i="2"/>
  <c r="H627" i="2"/>
  <c r="H626" i="2"/>
  <c r="H625" i="2"/>
  <c r="H624" i="2"/>
  <c r="H623" i="2"/>
  <c r="H622" i="2"/>
  <c r="H621" i="2"/>
  <c r="H620" i="2"/>
  <c r="H619" i="2"/>
  <c r="H618" i="2"/>
  <c r="H617" i="2"/>
  <c r="H616" i="2"/>
  <c r="H615" i="2"/>
  <c r="H614" i="2"/>
  <c r="H613" i="2"/>
  <c r="H612" i="2"/>
  <c r="H611" i="2"/>
  <c r="H610" i="2"/>
  <c r="H609" i="2"/>
  <c r="H608" i="2"/>
  <c r="H607" i="2"/>
  <c r="H606" i="2"/>
  <c r="H605" i="2"/>
  <c r="H604" i="2"/>
  <c r="H603" i="2"/>
  <c r="H602" i="2"/>
  <c r="H601" i="2"/>
  <c r="H600" i="2"/>
  <c r="H599" i="2"/>
  <c r="H598" i="2"/>
  <c r="H597" i="2"/>
  <c r="H596" i="2"/>
  <c r="H595" i="2"/>
  <c r="H594" i="2"/>
  <c r="H593" i="2"/>
  <c r="H592" i="2"/>
  <c r="H591" i="2"/>
  <c r="H590" i="2"/>
  <c r="H589" i="2"/>
  <c r="H588" i="2"/>
  <c r="H587" i="2"/>
  <c r="H584" i="2"/>
  <c r="H583" i="2"/>
  <c r="H582" i="2"/>
  <c r="H581" i="2"/>
  <c r="H580" i="2"/>
  <c r="H579" i="2"/>
  <c r="H578" i="2"/>
  <c r="H577" i="2"/>
  <c r="H576" i="2"/>
  <c r="H575" i="2"/>
  <c r="H574" i="2"/>
  <c r="H573" i="2"/>
  <c r="H572" i="2"/>
  <c r="H571" i="2"/>
  <c r="H570" i="2"/>
  <c r="H569" i="2"/>
  <c r="H568" i="2"/>
  <c r="H567" i="2"/>
  <c r="H566" i="2"/>
  <c r="H565" i="2"/>
  <c r="H564" i="2"/>
  <c r="H563" i="2"/>
  <c r="H562" i="2"/>
  <c r="H561" i="2"/>
  <c r="H560" i="2"/>
  <c r="H559" i="2"/>
  <c r="H558" i="2"/>
  <c r="H557" i="2"/>
  <c r="H556" i="2"/>
  <c r="H555" i="2"/>
  <c r="H554" i="2"/>
  <c r="H553" i="2"/>
  <c r="H552" i="2"/>
  <c r="H551" i="2"/>
  <c r="H550" i="2"/>
  <c r="H549" i="2"/>
  <c r="H548" i="2"/>
  <c r="H547" i="2"/>
  <c r="H546" i="2"/>
  <c r="H545" i="2"/>
  <c r="H544" i="2"/>
  <c r="H543" i="2"/>
  <c r="H542" i="2"/>
  <c r="H541" i="2"/>
  <c r="H540" i="2"/>
  <c r="H539" i="2"/>
  <c r="H538" i="2"/>
  <c r="H537" i="2"/>
  <c r="H536" i="2"/>
  <c r="H535" i="2"/>
  <c r="H534" i="2"/>
  <c r="H533" i="2"/>
  <c r="H532" i="2"/>
  <c r="H531" i="2"/>
  <c r="H530" i="2"/>
  <c r="H529" i="2"/>
  <c r="H528" i="2"/>
  <c r="H527" i="2"/>
  <c r="H526" i="2"/>
  <c r="H525" i="2"/>
  <c r="H524" i="2"/>
  <c r="H523" i="2"/>
  <c r="H522" i="2"/>
  <c r="H521" i="2"/>
  <c r="H520" i="2"/>
  <c r="H519" i="2"/>
  <c r="H518" i="2"/>
  <c r="H517" i="2"/>
  <c r="H516" i="2"/>
  <c r="H515" i="2"/>
  <c r="H514" i="2"/>
  <c r="H513" i="2"/>
  <c r="H512" i="2"/>
  <c r="H511" i="2"/>
  <c r="H510" i="2"/>
  <c r="H509" i="2"/>
  <c r="H508" i="2"/>
  <c r="H507" i="2"/>
  <c r="H506" i="2"/>
  <c r="H505" i="2"/>
  <c r="H504" i="2"/>
  <c r="H503" i="2"/>
  <c r="H502" i="2"/>
  <c r="H501" i="2"/>
  <c r="H500" i="2"/>
  <c r="H499" i="2"/>
  <c r="H498" i="2"/>
  <c r="H497" i="2"/>
  <c r="H496" i="2"/>
  <c r="H495" i="2"/>
  <c r="H494" i="2"/>
  <c r="H493" i="2"/>
  <c r="H492" i="2"/>
  <c r="H491" i="2"/>
  <c r="H490" i="2"/>
  <c r="H489" i="2"/>
  <c r="H488" i="2"/>
  <c r="H487" i="2"/>
  <c r="H486" i="2"/>
  <c r="H485" i="2"/>
  <c r="H484" i="2"/>
  <c r="H483" i="2"/>
  <c r="H482" i="2"/>
  <c r="H481" i="2"/>
  <c r="H480" i="2"/>
  <c r="H479" i="2"/>
  <c r="H478" i="2"/>
  <c r="H477" i="2"/>
  <c r="H476" i="2"/>
  <c r="H475" i="2"/>
  <c r="H474" i="2"/>
  <c r="H473" i="2"/>
  <c r="H472" i="2"/>
  <c r="H471" i="2"/>
  <c r="H470" i="2"/>
  <c r="H469" i="2"/>
  <c r="H468" i="2"/>
  <c r="H467" i="2"/>
  <c r="H466" i="2"/>
  <c r="H465" i="2"/>
  <c r="H464" i="2"/>
  <c r="H463" i="2"/>
  <c r="H462" i="2"/>
  <c r="H461" i="2"/>
  <c r="H460" i="2"/>
  <c r="H459" i="2"/>
  <c r="H458" i="2"/>
  <c r="H457" i="2"/>
  <c r="H456" i="2"/>
  <c r="H455" i="2"/>
  <c r="H454" i="2"/>
  <c r="H453" i="2"/>
  <c r="H452" i="2"/>
  <c r="H451" i="2"/>
  <c r="H450" i="2"/>
  <c r="H449" i="2"/>
  <c r="H448" i="2"/>
  <c r="H447" i="2"/>
  <c r="H446" i="2"/>
  <c r="H445" i="2"/>
  <c r="H444" i="2"/>
  <c r="H443" i="2"/>
  <c r="H442" i="2"/>
  <c r="H441" i="2"/>
  <c r="H440" i="2"/>
  <c r="H439" i="2"/>
  <c r="H438" i="2"/>
  <c r="H437" i="2"/>
  <c r="H436" i="2"/>
  <c r="H435" i="2"/>
  <c r="H434" i="2"/>
  <c r="H433" i="2"/>
  <c r="H432" i="2"/>
  <c r="H431" i="2"/>
  <c r="H430" i="2"/>
  <c r="H429" i="2"/>
  <c r="H428" i="2"/>
  <c r="H427" i="2"/>
  <c r="H426" i="2"/>
  <c r="H425" i="2"/>
  <c r="H424" i="2"/>
  <c r="H423" i="2"/>
  <c r="H422" i="2"/>
  <c r="H421" i="2"/>
  <c r="H420" i="2"/>
  <c r="H419" i="2"/>
  <c r="H418" i="2"/>
  <c r="H417" i="2"/>
  <c r="H416" i="2"/>
  <c r="H415" i="2"/>
  <c r="H414" i="2"/>
  <c r="H413" i="2"/>
  <c r="H412" i="2"/>
  <c r="H411" i="2"/>
  <c r="H410" i="2"/>
  <c r="H409" i="2"/>
  <c r="H408" i="2"/>
  <c r="H407" i="2"/>
  <c r="H406" i="2"/>
  <c r="H405" i="2"/>
  <c r="H404" i="2"/>
  <c r="H403" i="2"/>
  <c r="H402" i="2"/>
  <c r="H401" i="2"/>
  <c r="H400" i="2"/>
  <c r="H399" i="2"/>
  <c r="H398" i="2"/>
  <c r="H397" i="2"/>
  <c r="H396" i="2"/>
  <c r="H395" i="2"/>
  <c r="H394" i="2"/>
  <c r="H393" i="2"/>
  <c r="H392" i="2"/>
  <c r="H391" i="2"/>
  <c r="H390" i="2"/>
  <c r="H389" i="2"/>
  <c r="H388" i="2"/>
  <c r="H387" i="2"/>
  <c r="H386" i="2"/>
  <c r="H385" i="2"/>
  <c r="H384" i="2"/>
  <c r="H383" i="2"/>
  <c r="H382" i="2"/>
  <c r="H381" i="2"/>
  <c r="H380" i="2"/>
  <c r="H379" i="2"/>
  <c r="H378" i="2"/>
  <c r="H377" i="2"/>
  <c r="H376" i="2"/>
  <c r="H375" i="2"/>
  <c r="H374" i="2"/>
  <c r="H373" i="2"/>
  <c r="H372" i="2"/>
  <c r="H371" i="2"/>
  <c r="H370" i="2"/>
  <c r="H369" i="2"/>
  <c r="H366" i="2"/>
  <c r="H365" i="2"/>
  <c r="H364" i="2"/>
  <c r="H363" i="2"/>
  <c r="H362" i="2"/>
  <c r="H361" i="2"/>
  <c r="H360" i="2"/>
  <c r="H359" i="2"/>
  <c r="H358" i="2"/>
  <c r="H357" i="2"/>
  <c r="H356" i="2"/>
  <c r="H355" i="2"/>
  <c r="H354" i="2"/>
  <c r="H353" i="2"/>
  <c r="H352" i="2"/>
  <c r="H351" i="2"/>
  <c r="H350" i="2"/>
  <c r="H349" i="2"/>
  <c r="H348" i="2"/>
  <c r="H347" i="2"/>
  <c r="H346" i="2"/>
  <c r="H345" i="2"/>
  <c r="H344" i="2"/>
  <c r="H343" i="2"/>
  <c r="H342" i="2"/>
  <c r="H341" i="2"/>
  <c r="H340" i="2"/>
  <c r="H339" i="2"/>
  <c r="H338" i="2"/>
  <c r="H337" i="2"/>
  <c r="H336" i="2"/>
  <c r="H335" i="2"/>
  <c r="H334" i="2"/>
  <c r="H333" i="2"/>
  <c r="H332" i="2"/>
  <c r="H331" i="2"/>
  <c r="H330" i="2"/>
  <c r="H329" i="2"/>
  <c r="H328" i="2"/>
  <c r="H327" i="2"/>
  <c r="H326" i="2"/>
  <c r="H325" i="2"/>
  <c r="H324" i="2"/>
  <c r="H323" i="2"/>
  <c r="H322" i="2"/>
  <c r="H321" i="2"/>
  <c r="H320" i="2"/>
  <c r="H319" i="2"/>
  <c r="H318" i="2"/>
  <c r="H317" i="2"/>
  <c r="H316" i="2"/>
  <c r="H315" i="2"/>
  <c r="H314" i="2"/>
  <c r="H313" i="2"/>
  <c r="H312" i="2"/>
  <c r="H311" i="2"/>
  <c r="H310" i="2"/>
  <c r="H309" i="2"/>
  <c r="H308" i="2"/>
  <c r="H307" i="2"/>
  <c r="H306" i="2"/>
  <c r="H305" i="2"/>
  <c r="H304" i="2"/>
  <c r="H303" i="2"/>
  <c r="H302" i="2"/>
  <c r="H301" i="2"/>
  <c r="H300" i="2"/>
  <c r="H299" i="2"/>
  <c r="H298" i="2"/>
  <c r="H297" i="2"/>
  <c r="H296" i="2"/>
  <c r="H295" i="2"/>
  <c r="H294" i="2"/>
  <c r="H293" i="2"/>
  <c r="H292" i="2"/>
  <c r="H291" i="2"/>
  <c r="H290" i="2"/>
  <c r="H289" i="2"/>
  <c r="H288" i="2"/>
  <c r="H287" i="2"/>
  <c r="H286" i="2"/>
  <c r="H285" i="2"/>
  <c r="H284" i="2"/>
  <c r="H283" i="2"/>
  <c r="H282" i="2"/>
  <c r="H281" i="2"/>
  <c r="H280" i="2"/>
  <c r="H279" i="2"/>
  <c r="H278" i="2"/>
  <c r="H277" i="2"/>
  <c r="H276" i="2"/>
  <c r="H275" i="2"/>
  <c r="H274" i="2"/>
  <c r="H273" i="2"/>
  <c r="H272" i="2"/>
  <c r="H271" i="2"/>
  <c r="H270" i="2"/>
  <c r="H269" i="2"/>
  <c r="H268" i="2"/>
  <c r="H267" i="2"/>
  <c r="H266" i="2"/>
  <c r="H265" i="2"/>
  <c r="H264" i="2"/>
  <c r="H263" i="2"/>
  <c r="H262" i="2"/>
  <c r="H261" i="2"/>
  <c r="H260" i="2"/>
  <c r="H259" i="2"/>
  <c r="H251" i="2"/>
  <c r="H250" i="2"/>
  <c r="H249" i="2"/>
  <c r="H248" i="2"/>
  <c r="L247" i="2"/>
  <c r="P247" i="2" s="1"/>
  <c r="H247" i="2"/>
  <c r="H246" i="2"/>
  <c r="H245" i="2"/>
  <c r="H244" i="2"/>
  <c r="H243" i="2"/>
  <c r="H242" i="2"/>
  <c r="H241" i="2"/>
  <c r="H240" i="2"/>
  <c r="H239" i="2"/>
  <c r="H238" i="2"/>
  <c r="H237" i="2"/>
  <c r="H236" i="2"/>
  <c r="H235" i="2"/>
  <c r="H234" i="2"/>
  <c r="H233" i="2"/>
  <c r="H232" i="2"/>
  <c r="H231" i="2"/>
  <c r="H230" i="2"/>
  <c r="H229" i="2"/>
  <c r="H228" i="2"/>
  <c r="H227" i="2"/>
  <c r="H226" i="2"/>
  <c r="H225" i="2"/>
  <c r="H224" i="2"/>
  <c r="H223" i="2"/>
  <c r="H222" i="2"/>
  <c r="H221" i="2"/>
  <c r="H220" i="2"/>
  <c r="H219" i="2"/>
  <c r="H218" i="2"/>
  <c r="H217" i="2"/>
  <c r="H216" i="2"/>
  <c r="H215" i="2"/>
  <c r="H214" i="2"/>
  <c r="H213" i="2"/>
  <c r="H212" i="2"/>
  <c r="H211" i="2"/>
  <c r="H210" i="2"/>
  <c r="H209" i="2"/>
  <c r="H208" i="2"/>
  <c r="H207" i="2"/>
  <c r="H206" i="2"/>
  <c r="H205" i="2"/>
  <c r="H204" i="2"/>
  <c r="H203" i="2"/>
  <c r="H202" i="2"/>
  <c r="H201" i="2"/>
  <c r="H200" i="2"/>
  <c r="H199" i="2"/>
  <c r="H198" i="2"/>
  <c r="H197" i="2"/>
  <c r="H196" i="2"/>
  <c r="H195" i="2"/>
  <c r="H194" i="2"/>
  <c r="H193" i="2"/>
  <c r="H192" i="2"/>
  <c r="H191" i="2"/>
  <c r="H190" i="2"/>
  <c r="H189" i="2"/>
  <c r="H188" i="2"/>
  <c r="H187" i="2"/>
  <c r="H186" i="2"/>
  <c r="H185" i="2"/>
  <c r="H184" i="2"/>
  <c r="H183" i="2"/>
  <c r="H182" i="2"/>
  <c r="H181" i="2"/>
  <c r="H180" i="2"/>
  <c r="H177" i="2"/>
  <c r="H176" i="2"/>
  <c r="H175" i="2"/>
  <c r="H174" i="2"/>
  <c r="H173" i="2"/>
  <c r="H172" i="2"/>
  <c r="H171" i="2"/>
  <c r="H170" i="2"/>
  <c r="H169" i="2"/>
  <c r="H168" i="2"/>
  <c r="H167" i="2"/>
  <c r="H166" i="2"/>
  <c r="H165" i="2"/>
  <c r="H164" i="2"/>
  <c r="H163" i="2"/>
  <c r="H162" i="2"/>
  <c r="H161" i="2"/>
  <c r="H160" i="2"/>
  <c r="H159" i="2"/>
  <c r="H158" i="2"/>
  <c r="H157" i="2"/>
  <c r="H156" i="2"/>
  <c r="H155" i="2"/>
  <c r="H154" i="2"/>
  <c r="H153" i="2"/>
  <c r="H152" i="2"/>
  <c r="H151" i="2"/>
  <c r="H150" i="2"/>
  <c r="H146" i="2"/>
  <c r="H145" i="2"/>
  <c r="H144" i="2"/>
  <c r="H143" i="2"/>
  <c r="H142" i="2"/>
  <c r="H141" i="2"/>
  <c r="H140" i="2"/>
  <c r="H139" i="2"/>
  <c r="H138" i="2"/>
  <c r="H137" i="2"/>
  <c r="H136" i="2"/>
  <c r="H135" i="2"/>
  <c r="H91" i="2"/>
  <c r="H90" i="2"/>
  <c r="H89" i="2"/>
  <c r="H88" i="2"/>
  <c r="H87" i="2"/>
  <c r="H86" i="2"/>
  <c r="H85" i="2"/>
  <c r="H84" i="2"/>
  <c r="H83" i="2"/>
  <c r="H82" i="2"/>
  <c r="H81" i="2"/>
  <c r="H80" i="2"/>
  <c r="H79" i="2"/>
  <c r="H78" i="2"/>
  <c r="H77" i="2"/>
  <c r="H76" i="2"/>
  <c r="H73" i="2"/>
  <c r="H72" i="2"/>
  <c r="H71" i="2"/>
  <c r="H70" i="2"/>
  <c r="H69" i="2"/>
  <c r="H68" i="2"/>
  <c r="H67" i="2"/>
  <c r="H66" i="2"/>
  <c r="H65" i="2"/>
  <c r="H64" i="2"/>
  <c r="H63" i="2"/>
  <c r="H62" i="2"/>
  <c r="H61" i="2"/>
  <c r="H60" i="2"/>
  <c r="H59" i="2"/>
  <c r="H58" i="2"/>
  <c r="H52" i="2"/>
  <c r="H51" i="2"/>
  <c r="H50" i="2"/>
  <c r="H49" i="2"/>
  <c r="H48" i="2"/>
  <c r="H47" i="2"/>
  <c r="H46" i="2"/>
  <c r="H45" i="2"/>
  <c r="H44" i="2"/>
  <c r="H43" i="2"/>
  <c r="H42" i="2"/>
  <c r="H41" i="2"/>
  <c r="H40" i="2"/>
  <c r="H39" i="2"/>
  <c r="H38" i="2"/>
  <c r="H37" i="2"/>
  <c r="H36" i="2"/>
  <c r="H35" i="2"/>
  <c r="H32" i="2"/>
  <c r="H31" i="2"/>
  <c r="H30" i="2"/>
  <c r="H29" i="2"/>
  <c r="H28" i="2"/>
  <c r="H27" i="2"/>
  <c r="H26" i="2"/>
  <c r="H25" i="2"/>
  <c r="H24" i="2"/>
  <c r="H23" i="2"/>
  <c r="H22" i="2"/>
  <c r="H21" i="2"/>
  <c r="H20" i="2"/>
  <c r="H19" i="2"/>
  <c r="H18" i="2"/>
  <c r="H17" i="2"/>
  <c r="H16" i="2"/>
  <c r="H15" i="2"/>
  <c r="O591" i="1"/>
  <c r="C584" i="1"/>
  <c r="B582" i="1"/>
  <c r="B581" i="1"/>
  <c r="B580" i="1"/>
  <c r="B579" i="1"/>
  <c r="B578" i="1"/>
  <c r="B577" i="1"/>
  <c r="B576" i="1"/>
  <c r="B575" i="1"/>
  <c r="B574" i="1"/>
  <c r="B573" i="1"/>
  <c r="B572" i="1"/>
  <c r="B571" i="1"/>
  <c r="B570" i="1"/>
  <c r="B569" i="1"/>
  <c r="C568" i="1"/>
  <c r="B566" i="1"/>
  <c r="B565" i="1"/>
  <c r="B564" i="1"/>
  <c r="B563" i="1"/>
  <c r="B562" i="1"/>
  <c r="B561" i="1"/>
  <c r="B560" i="1"/>
  <c r="B559" i="1"/>
  <c r="B558" i="1"/>
  <c r="B557" i="1"/>
  <c r="B556" i="1"/>
  <c r="B555" i="1"/>
  <c r="B554" i="1"/>
  <c r="B553" i="1"/>
  <c r="N586" i="1"/>
  <c r="C552" i="1"/>
  <c r="B550" i="1"/>
  <c r="A550" i="1"/>
  <c r="B549" i="1"/>
  <c r="A549" i="1"/>
  <c r="B548" i="1"/>
  <c r="A548" i="1"/>
  <c r="B547" i="1"/>
  <c r="A547" i="1"/>
  <c r="B546" i="1"/>
  <c r="A546" i="1"/>
  <c r="B545" i="1"/>
  <c r="A545" i="1"/>
  <c r="B544" i="1"/>
  <c r="A544" i="1"/>
  <c r="B543" i="1"/>
  <c r="A543" i="1"/>
  <c r="B542" i="1"/>
  <c r="A542" i="1"/>
  <c r="B541" i="1"/>
  <c r="A541" i="1"/>
  <c r="B540" i="1"/>
  <c r="A540" i="1"/>
  <c r="B539" i="1"/>
  <c r="A539" i="1"/>
  <c r="B538" i="1"/>
  <c r="A538" i="1"/>
  <c r="B537" i="1"/>
  <c r="A537" i="1"/>
  <c r="B536" i="1"/>
  <c r="A536" i="1"/>
  <c r="B535" i="1"/>
  <c r="A535" i="1"/>
  <c r="B534" i="1"/>
  <c r="A534" i="1"/>
  <c r="B533" i="1"/>
  <c r="A533" i="1"/>
  <c r="B532" i="1"/>
  <c r="A532" i="1"/>
  <c r="B531" i="1"/>
  <c r="A531" i="1"/>
  <c r="B530" i="1"/>
  <c r="A530" i="1"/>
  <c r="B529" i="1"/>
  <c r="A529" i="1"/>
  <c r="B528" i="1"/>
  <c r="A528" i="1"/>
  <c r="B527" i="1"/>
  <c r="A527" i="1"/>
  <c r="B526" i="1"/>
  <c r="A526" i="1"/>
  <c r="B525" i="1"/>
  <c r="A525" i="1"/>
  <c r="B524" i="1"/>
  <c r="A524" i="1"/>
  <c r="B523" i="1"/>
  <c r="A523" i="1"/>
  <c r="B522" i="1"/>
  <c r="A522" i="1"/>
  <c r="B521" i="1"/>
  <c r="A521" i="1"/>
  <c r="B520" i="1"/>
  <c r="A520" i="1"/>
  <c r="B519" i="1"/>
  <c r="A519" i="1"/>
  <c r="B518" i="1"/>
  <c r="A518" i="1"/>
  <c r="B517" i="1"/>
  <c r="A517" i="1"/>
  <c r="B516" i="1"/>
  <c r="A516" i="1"/>
  <c r="B515" i="1"/>
  <c r="A515" i="1"/>
  <c r="B514" i="1"/>
  <c r="A514" i="1"/>
  <c r="B513" i="1"/>
  <c r="A513" i="1"/>
  <c r="B512" i="1"/>
  <c r="A512" i="1"/>
  <c r="B511" i="1"/>
  <c r="A511" i="1"/>
  <c r="B510" i="1"/>
  <c r="A510" i="1"/>
  <c r="B509" i="1"/>
  <c r="A509" i="1"/>
  <c r="B508" i="1"/>
  <c r="A508" i="1"/>
  <c r="B507" i="1"/>
  <c r="A507" i="1"/>
  <c r="B506" i="1"/>
  <c r="A506" i="1"/>
  <c r="B505" i="1"/>
  <c r="A505" i="1"/>
  <c r="B504" i="1"/>
  <c r="A504" i="1"/>
  <c r="B503" i="1"/>
  <c r="A503" i="1"/>
  <c r="B502" i="1"/>
  <c r="A502" i="1"/>
  <c r="B501" i="1"/>
  <c r="A501" i="1"/>
  <c r="B500" i="1"/>
  <c r="A500" i="1"/>
  <c r="B499" i="1"/>
  <c r="A499" i="1"/>
  <c r="B498" i="1"/>
  <c r="A498" i="1"/>
  <c r="B497" i="1"/>
  <c r="A497" i="1"/>
  <c r="B496" i="1"/>
  <c r="A496" i="1"/>
  <c r="B495" i="1"/>
  <c r="A495" i="1"/>
  <c r="B494" i="1"/>
  <c r="A494" i="1"/>
  <c r="B493" i="1"/>
  <c r="A493" i="1"/>
  <c r="B492" i="1"/>
  <c r="A492" i="1"/>
  <c r="B491" i="1"/>
  <c r="A491" i="1"/>
  <c r="B490" i="1"/>
  <c r="A490" i="1"/>
  <c r="B489" i="1"/>
  <c r="A489" i="1"/>
  <c r="B488" i="1"/>
  <c r="A488" i="1"/>
  <c r="B487" i="1"/>
  <c r="A487" i="1"/>
  <c r="B486" i="1"/>
  <c r="A486" i="1"/>
  <c r="B485" i="1"/>
  <c r="A485" i="1"/>
  <c r="B484" i="1"/>
  <c r="A484" i="1"/>
  <c r="B483" i="1"/>
  <c r="A483" i="1"/>
  <c r="B482" i="1"/>
  <c r="A482" i="1"/>
  <c r="B481" i="1"/>
  <c r="A481" i="1"/>
  <c r="B480" i="1"/>
  <c r="A480" i="1"/>
  <c r="B479" i="1"/>
  <c r="A479" i="1"/>
  <c r="B478" i="1"/>
  <c r="A478" i="1"/>
  <c r="B477" i="1"/>
  <c r="A477" i="1"/>
  <c r="B476" i="1"/>
  <c r="A476" i="1"/>
  <c r="B475" i="1"/>
  <c r="A475" i="1"/>
  <c r="B474" i="1"/>
  <c r="A474" i="1"/>
  <c r="B473" i="1"/>
  <c r="A473" i="1"/>
  <c r="B472" i="1"/>
  <c r="A472" i="1"/>
  <c r="B471" i="1"/>
  <c r="A471" i="1"/>
  <c r="B470" i="1"/>
  <c r="A470" i="1"/>
  <c r="B469" i="1"/>
  <c r="A469" i="1"/>
  <c r="B468" i="1"/>
  <c r="A468" i="1"/>
  <c r="B467" i="1"/>
  <c r="A467" i="1"/>
  <c r="C466" i="1"/>
  <c r="B464" i="1"/>
  <c r="A464" i="1"/>
  <c r="B463" i="1"/>
  <c r="A463" i="1"/>
  <c r="B462" i="1"/>
  <c r="A462" i="1"/>
  <c r="B461" i="1"/>
  <c r="A461" i="1"/>
  <c r="B460" i="1"/>
  <c r="A460" i="1"/>
  <c r="B459" i="1"/>
  <c r="A459" i="1"/>
  <c r="B458" i="1"/>
  <c r="A458" i="1"/>
  <c r="B457" i="1"/>
  <c r="A457" i="1"/>
  <c r="B456" i="1"/>
  <c r="A456" i="1"/>
  <c r="B455" i="1"/>
  <c r="A455" i="1"/>
  <c r="B454" i="1"/>
  <c r="A454" i="1"/>
  <c r="B453" i="1"/>
  <c r="A453" i="1"/>
  <c r="B452" i="1"/>
  <c r="A452" i="1"/>
  <c r="B451" i="1"/>
  <c r="A451" i="1"/>
  <c r="B450" i="1"/>
  <c r="A450" i="1"/>
  <c r="B449" i="1"/>
  <c r="A449" i="1"/>
  <c r="B448" i="1"/>
  <c r="A448" i="1"/>
  <c r="B447" i="1"/>
  <c r="A447" i="1"/>
  <c r="B446" i="1"/>
  <c r="A446" i="1"/>
  <c r="B445" i="1"/>
  <c r="A445" i="1"/>
  <c r="B444" i="1"/>
  <c r="A444" i="1"/>
  <c r="B443" i="1"/>
  <c r="A443" i="1"/>
  <c r="B442" i="1"/>
  <c r="A442" i="1"/>
  <c r="B441" i="1"/>
  <c r="A441" i="1"/>
  <c r="B440" i="1"/>
  <c r="A440" i="1"/>
  <c r="B439" i="1"/>
  <c r="A439" i="1"/>
  <c r="B438" i="1"/>
  <c r="A438" i="1"/>
  <c r="B437" i="1"/>
  <c r="A437" i="1"/>
  <c r="B436" i="1"/>
  <c r="A436" i="1"/>
  <c r="B435" i="1"/>
  <c r="A435" i="1"/>
  <c r="B434" i="1"/>
  <c r="A434" i="1"/>
  <c r="B433" i="1"/>
  <c r="A433" i="1"/>
  <c r="B432" i="1"/>
  <c r="A432" i="1"/>
  <c r="B431" i="1"/>
  <c r="A431" i="1"/>
  <c r="B430" i="1"/>
  <c r="A430" i="1"/>
  <c r="B429" i="1"/>
  <c r="A429" i="1"/>
  <c r="B428" i="1"/>
  <c r="A428" i="1"/>
  <c r="B427" i="1"/>
  <c r="A427" i="1"/>
  <c r="B426" i="1"/>
  <c r="A426" i="1"/>
  <c r="B425" i="1"/>
  <c r="A425" i="1"/>
  <c r="B424" i="1"/>
  <c r="A424" i="1"/>
  <c r="B423" i="1"/>
  <c r="A423" i="1"/>
  <c r="B422" i="1"/>
  <c r="A422" i="1"/>
  <c r="B421" i="1"/>
  <c r="A421" i="1"/>
  <c r="B420" i="1"/>
  <c r="A420" i="1"/>
  <c r="B419" i="1"/>
  <c r="A419" i="1"/>
  <c r="B418" i="1"/>
  <c r="A418" i="1"/>
  <c r="B417" i="1"/>
  <c r="A417" i="1"/>
  <c r="B416" i="1"/>
  <c r="A416" i="1"/>
  <c r="B415" i="1"/>
  <c r="A415" i="1"/>
  <c r="B414" i="1"/>
  <c r="A414" i="1"/>
  <c r="B413" i="1"/>
  <c r="A413" i="1"/>
  <c r="B412" i="1"/>
  <c r="A412" i="1"/>
  <c r="B411" i="1"/>
  <c r="A411" i="1"/>
  <c r="B410" i="1"/>
  <c r="A410" i="1"/>
  <c r="B409" i="1"/>
  <c r="A409" i="1"/>
  <c r="B408" i="1"/>
  <c r="A408" i="1"/>
  <c r="B407" i="1"/>
  <c r="A407" i="1"/>
  <c r="B406" i="1"/>
  <c r="A406" i="1"/>
  <c r="B405" i="1"/>
  <c r="A405" i="1"/>
  <c r="B404" i="1"/>
  <c r="A404" i="1"/>
  <c r="B403" i="1"/>
  <c r="A403" i="1"/>
  <c r="B402" i="1"/>
  <c r="A402" i="1"/>
  <c r="B401" i="1"/>
  <c r="A401" i="1"/>
  <c r="B400" i="1"/>
  <c r="A400" i="1"/>
  <c r="B399" i="1"/>
  <c r="A399" i="1"/>
  <c r="B398" i="1"/>
  <c r="A398" i="1"/>
  <c r="B397" i="1"/>
  <c r="A397" i="1"/>
  <c r="B396" i="1"/>
  <c r="A396" i="1"/>
  <c r="B395" i="1"/>
  <c r="A395" i="1"/>
  <c r="B394" i="1"/>
  <c r="A394" i="1"/>
  <c r="B393" i="1"/>
  <c r="A393" i="1"/>
  <c r="B392" i="1"/>
  <c r="A392" i="1"/>
  <c r="B391" i="1"/>
  <c r="A391" i="1"/>
  <c r="B390" i="1"/>
  <c r="A390" i="1"/>
  <c r="B389" i="1"/>
  <c r="A389" i="1"/>
  <c r="B388" i="1"/>
  <c r="A388" i="1"/>
  <c r="B387" i="1"/>
  <c r="A387" i="1"/>
  <c r="B386" i="1"/>
  <c r="A386" i="1"/>
  <c r="B385" i="1"/>
  <c r="A385" i="1"/>
  <c r="B384" i="1"/>
  <c r="A384" i="1"/>
  <c r="B383" i="1"/>
  <c r="A383" i="1"/>
  <c r="B382" i="1"/>
  <c r="A382" i="1"/>
  <c r="B381" i="1"/>
  <c r="A381" i="1"/>
  <c r="B380" i="1"/>
  <c r="A380" i="1"/>
  <c r="B379" i="1"/>
  <c r="A379" i="1"/>
  <c r="B378" i="1"/>
  <c r="A378" i="1"/>
  <c r="B377" i="1"/>
  <c r="A377" i="1"/>
  <c r="B376" i="1"/>
  <c r="A376" i="1"/>
  <c r="B375" i="1"/>
  <c r="A375" i="1"/>
  <c r="B374" i="1"/>
  <c r="A374" i="1"/>
  <c r="B373" i="1"/>
  <c r="A373" i="1"/>
  <c r="B372" i="1"/>
  <c r="A372" i="1"/>
  <c r="B371" i="1"/>
  <c r="A371" i="1"/>
  <c r="B370" i="1"/>
  <c r="A370" i="1"/>
  <c r="B369" i="1"/>
  <c r="A369" i="1"/>
  <c r="B368" i="1"/>
  <c r="A368" i="1"/>
  <c r="B367" i="1"/>
  <c r="A367" i="1"/>
  <c r="B366" i="1"/>
  <c r="A366" i="1"/>
  <c r="B365" i="1"/>
  <c r="A365" i="1"/>
  <c r="B364" i="1"/>
  <c r="A364" i="1"/>
  <c r="B363" i="1"/>
  <c r="A363" i="1"/>
  <c r="B362" i="1"/>
  <c r="A362" i="1"/>
  <c r="B361" i="1"/>
  <c r="A361" i="1"/>
  <c r="B360" i="1"/>
  <c r="A360" i="1"/>
  <c r="B359" i="1"/>
  <c r="A359" i="1"/>
  <c r="B358" i="1"/>
  <c r="A358" i="1"/>
  <c r="B357" i="1"/>
  <c r="A357" i="1"/>
  <c r="B356" i="1"/>
  <c r="A356" i="1"/>
  <c r="B355" i="1"/>
  <c r="A355" i="1"/>
  <c r="B354" i="1"/>
  <c r="A354" i="1"/>
  <c r="B353" i="1"/>
  <c r="A353" i="1"/>
  <c r="B352" i="1"/>
  <c r="A352" i="1"/>
  <c r="B351" i="1"/>
  <c r="A351" i="1"/>
  <c r="B350" i="1"/>
  <c r="A350" i="1"/>
  <c r="B349" i="1"/>
  <c r="A349" i="1"/>
  <c r="B348" i="1"/>
  <c r="A348" i="1"/>
  <c r="B347" i="1"/>
  <c r="A347" i="1"/>
  <c r="B346" i="1"/>
  <c r="A346" i="1"/>
  <c r="B345" i="1"/>
  <c r="A345" i="1"/>
  <c r="B344" i="1"/>
  <c r="A344" i="1"/>
  <c r="B343" i="1"/>
  <c r="A343" i="1"/>
  <c r="B342" i="1"/>
  <c r="A342" i="1"/>
  <c r="B341" i="1"/>
  <c r="A341" i="1"/>
  <c r="B340" i="1"/>
  <c r="A340" i="1"/>
  <c r="B339" i="1"/>
  <c r="A339" i="1"/>
  <c r="B338" i="1"/>
  <c r="A338" i="1"/>
  <c r="B337" i="1"/>
  <c r="A337" i="1"/>
  <c r="B336" i="1"/>
  <c r="A336" i="1"/>
  <c r="B335" i="1"/>
  <c r="A335" i="1"/>
  <c r="B334" i="1"/>
  <c r="A334" i="1"/>
  <c r="B333" i="1"/>
  <c r="A333" i="1"/>
  <c r="B332" i="1"/>
  <c r="A332" i="1"/>
  <c r="B331" i="1"/>
  <c r="A331" i="1"/>
  <c r="B330" i="1"/>
  <c r="A330" i="1"/>
  <c r="B329" i="1"/>
  <c r="A329" i="1"/>
  <c r="B328" i="1"/>
  <c r="A328" i="1"/>
  <c r="B327" i="1"/>
  <c r="A327" i="1"/>
  <c r="B326" i="1"/>
  <c r="A326" i="1"/>
  <c r="B325" i="1"/>
  <c r="A325" i="1"/>
  <c r="B324" i="1"/>
  <c r="A324" i="1"/>
  <c r="B323" i="1"/>
  <c r="A323" i="1"/>
  <c r="B322" i="1"/>
  <c r="A322" i="1"/>
  <c r="B321" i="1"/>
  <c r="A321" i="1"/>
  <c r="B320" i="1"/>
  <c r="A320" i="1"/>
  <c r="B319" i="1"/>
  <c r="A319" i="1"/>
  <c r="B318" i="1"/>
  <c r="A318" i="1"/>
  <c r="B317" i="1"/>
  <c r="A317" i="1"/>
  <c r="B316" i="1"/>
  <c r="A316" i="1"/>
  <c r="B315" i="1"/>
  <c r="A315" i="1"/>
  <c r="B314" i="1"/>
  <c r="A314" i="1"/>
  <c r="B313" i="1"/>
  <c r="A313" i="1"/>
  <c r="B312" i="1"/>
  <c r="A312" i="1"/>
  <c r="B311" i="1"/>
  <c r="A311" i="1"/>
  <c r="B310" i="1"/>
  <c r="A310" i="1"/>
  <c r="B309" i="1"/>
  <c r="A309" i="1"/>
  <c r="B308" i="1"/>
  <c r="A308" i="1"/>
  <c r="B307" i="1"/>
  <c r="A307" i="1"/>
  <c r="B306" i="1"/>
  <c r="A306" i="1"/>
  <c r="B305" i="1"/>
  <c r="A305" i="1"/>
  <c r="B304" i="1"/>
  <c r="A304" i="1"/>
  <c r="B303" i="1"/>
  <c r="A303" i="1"/>
  <c r="B302" i="1"/>
  <c r="A302" i="1"/>
  <c r="B301" i="1"/>
  <c r="A301" i="1"/>
  <c r="B300" i="1"/>
  <c r="A300" i="1"/>
  <c r="B299" i="1"/>
  <c r="A299" i="1"/>
  <c r="B298" i="1"/>
  <c r="A298" i="1"/>
  <c r="B297" i="1"/>
  <c r="A297" i="1"/>
  <c r="C296" i="1"/>
  <c r="J295" i="1"/>
  <c r="B294" i="1"/>
  <c r="A294" i="1"/>
  <c r="B293" i="1"/>
  <c r="A293" i="1"/>
  <c r="B292" i="1"/>
  <c r="A292" i="1"/>
  <c r="B291" i="1"/>
  <c r="A291" i="1"/>
  <c r="B290" i="1"/>
  <c r="A290" i="1"/>
  <c r="B289" i="1"/>
  <c r="A289" i="1"/>
  <c r="B288" i="1"/>
  <c r="A288" i="1"/>
  <c r="B287" i="1"/>
  <c r="A287" i="1"/>
  <c r="B286" i="1"/>
  <c r="A286" i="1"/>
  <c r="B285" i="1"/>
  <c r="A285" i="1"/>
  <c r="B284" i="1"/>
  <c r="A284" i="1"/>
  <c r="B283" i="1"/>
  <c r="A283" i="1"/>
  <c r="B282" i="1"/>
  <c r="A282" i="1"/>
  <c r="B281" i="1"/>
  <c r="A281" i="1"/>
  <c r="B280" i="1"/>
  <c r="A280" i="1"/>
  <c r="B279" i="1"/>
  <c r="A279" i="1"/>
  <c r="B278" i="1"/>
  <c r="A278" i="1"/>
  <c r="B277" i="1"/>
  <c r="A277" i="1"/>
  <c r="B276" i="1"/>
  <c r="A276" i="1"/>
  <c r="B275" i="1"/>
  <c r="A275" i="1"/>
  <c r="B274" i="1"/>
  <c r="A274" i="1"/>
  <c r="B273" i="1"/>
  <c r="A273" i="1"/>
  <c r="B272" i="1"/>
  <c r="A272" i="1"/>
  <c r="B271" i="1"/>
  <c r="A271" i="1"/>
  <c r="B270" i="1"/>
  <c r="A270" i="1"/>
  <c r="B269" i="1"/>
  <c r="A269" i="1"/>
  <c r="B268" i="1"/>
  <c r="A268" i="1"/>
  <c r="B267" i="1"/>
  <c r="A267" i="1"/>
  <c r="B266" i="1"/>
  <c r="A266" i="1"/>
  <c r="B265" i="1"/>
  <c r="A265" i="1"/>
  <c r="B264" i="1"/>
  <c r="A264" i="1"/>
  <c r="B263" i="1"/>
  <c r="A263" i="1"/>
  <c r="B262" i="1"/>
  <c r="A262" i="1"/>
  <c r="B261" i="1"/>
  <c r="A261" i="1"/>
  <c r="B260" i="1"/>
  <c r="A260" i="1"/>
  <c r="B259" i="1"/>
  <c r="A259" i="1"/>
  <c r="B258" i="1"/>
  <c r="A258" i="1"/>
  <c r="B257" i="1"/>
  <c r="A257" i="1"/>
  <c r="B256" i="1"/>
  <c r="A256" i="1"/>
  <c r="B255" i="1"/>
  <c r="A255" i="1"/>
  <c r="B254" i="1"/>
  <c r="A254" i="1"/>
  <c r="B253" i="1"/>
  <c r="A253" i="1"/>
  <c r="B252" i="1"/>
  <c r="A252" i="1"/>
  <c r="B251" i="1"/>
  <c r="A251" i="1"/>
  <c r="B250" i="1"/>
  <c r="A250" i="1"/>
  <c r="B249" i="1"/>
  <c r="A249" i="1"/>
  <c r="B248" i="1"/>
  <c r="A248" i="1"/>
  <c r="B247" i="1"/>
  <c r="A247" i="1"/>
  <c r="B246" i="1"/>
  <c r="A246" i="1"/>
  <c r="B245" i="1"/>
  <c r="A245" i="1"/>
  <c r="B244" i="1"/>
  <c r="A244" i="1"/>
  <c r="B243" i="1"/>
  <c r="A243" i="1"/>
  <c r="B242" i="1"/>
  <c r="A242" i="1"/>
  <c r="B241" i="1"/>
  <c r="A241" i="1"/>
  <c r="B240" i="1"/>
  <c r="A240" i="1"/>
  <c r="B239" i="1"/>
  <c r="A239" i="1"/>
  <c r="B238" i="1"/>
  <c r="A238" i="1"/>
  <c r="B237" i="1"/>
  <c r="A237" i="1"/>
  <c r="B236" i="1"/>
  <c r="A236" i="1"/>
  <c r="B235" i="1"/>
  <c r="A235" i="1"/>
  <c r="B234" i="1"/>
  <c r="A234" i="1"/>
  <c r="B233" i="1"/>
  <c r="A233" i="1"/>
  <c r="B232" i="1"/>
  <c r="A232" i="1"/>
  <c r="B231" i="1"/>
  <c r="A231" i="1"/>
  <c r="B230" i="1"/>
  <c r="A230" i="1"/>
  <c r="B229" i="1"/>
  <c r="A229" i="1"/>
  <c r="B228" i="1"/>
  <c r="A228" i="1"/>
  <c r="B227" i="1"/>
  <c r="A227" i="1"/>
  <c r="B226" i="1"/>
  <c r="A226" i="1"/>
  <c r="B225" i="1"/>
  <c r="A225" i="1"/>
  <c r="B224" i="1"/>
  <c r="A224" i="1"/>
  <c r="B223" i="1"/>
  <c r="A223" i="1"/>
  <c r="B222" i="1"/>
  <c r="A222" i="1"/>
  <c r="B221" i="1"/>
  <c r="A221" i="1"/>
  <c r="B220" i="1"/>
  <c r="A220" i="1"/>
  <c r="B219" i="1"/>
  <c r="A219" i="1"/>
  <c r="B218" i="1"/>
  <c r="A218" i="1"/>
  <c r="B217" i="1"/>
  <c r="A217" i="1"/>
  <c r="B216" i="1"/>
  <c r="A216" i="1"/>
  <c r="B215" i="1"/>
  <c r="A215" i="1"/>
  <c r="B214" i="1"/>
  <c r="A214" i="1"/>
  <c r="B213" i="1"/>
  <c r="A213" i="1"/>
  <c r="B212" i="1"/>
  <c r="A212" i="1"/>
  <c r="B211" i="1"/>
  <c r="A211" i="1"/>
  <c r="C210" i="1"/>
  <c r="C209" i="1"/>
  <c r="C208" i="1"/>
  <c r="C207" i="1"/>
  <c r="C206" i="1"/>
  <c r="C204" i="1"/>
  <c r="B202" i="1"/>
  <c r="A202" i="1"/>
  <c r="B201" i="1"/>
  <c r="A201" i="1"/>
  <c r="B200" i="1"/>
  <c r="A200" i="1"/>
  <c r="B199" i="1"/>
  <c r="A199" i="1"/>
  <c r="B198" i="1"/>
  <c r="A198" i="1"/>
  <c r="B197" i="1"/>
  <c r="A197" i="1"/>
  <c r="B196" i="1"/>
  <c r="A196" i="1"/>
  <c r="B195" i="1"/>
  <c r="A195" i="1"/>
  <c r="B194" i="1"/>
  <c r="A194" i="1"/>
  <c r="B193" i="1"/>
  <c r="A193" i="1"/>
  <c r="B192" i="1"/>
  <c r="A192" i="1"/>
  <c r="B191" i="1"/>
  <c r="A191" i="1"/>
  <c r="B190" i="1"/>
  <c r="A190" i="1"/>
  <c r="B189" i="1"/>
  <c r="A189" i="1"/>
  <c r="B188" i="1"/>
  <c r="A188" i="1"/>
  <c r="B187" i="1"/>
  <c r="A187" i="1"/>
  <c r="B186" i="1"/>
  <c r="A186" i="1"/>
  <c r="B185" i="1"/>
  <c r="A185" i="1"/>
  <c r="B184" i="1"/>
  <c r="A184" i="1"/>
  <c r="B183" i="1"/>
  <c r="A183" i="1"/>
  <c r="B182" i="1"/>
  <c r="A182" i="1"/>
  <c r="B181" i="1"/>
  <c r="A181" i="1"/>
  <c r="B180" i="1"/>
  <c r="A180" i="1"/>
  <c r="B179" i="1"/>
  <c r="A179" i="1"/>
  <c r="B178" i="1"/>
  <c r="A178" i="1"/>
  <c r="B177" i="1"/>
  <c r="A177" i="1"/>
  <c r="B176" i="1"/>
  <c r="A176" i="1"/>
  <c r="B175" i="1"/>
  <c r="A175" i="1"/>
  <c r="B174" i="1"/>
  <c r="A174" i="1"/>
  <c r="B173" i="1"/>
  <c r="A173" i="1"/>
  <c r="B172" i="1"/>
  <c r="A172" i="1"/>
  <c r="B171" i="1"/>
  <c r="A171" i="1"/>
  <c r="B170" i="1"/>
  <c r="A170" i="1"/>
  <c r="B169" i="1"/>
  <c r="A169" i="1"/>
  <c r="B168" i="1"/>
  <c r="A168" i="1"/>
  <c r="B167" i="1"/>
  <c r="A167" i="1"/>
  <c r="B166" i="1"/>
  <c r="A166" i="1"/>
  <c r="B165" i="1"/>
  <c r="A165" i="1"/>
  <c r="B164" i="1"/>
  <c r="A164" i="1"/>
  <c r="B163" i="1"/>
  <c r="A163" i="1"/>
  <c r="B162" i="1"/>
  <c r="A162" i="1"/>
  <c r="B161" i="1"/>
  <c r="A161" i="1"/>
  <c r="B160" i="1"/>
  <c r="A160" i="1"/>
  <c r="B159" i="1"/>
  <c r="A159" i="1"/>
  <c r="B158" i="1"/>
  <c r="A158" i="1"/>
  <c r="B157" i="1"/>
  <c r="A157" i="1"/>
  <c r="B156" i="1"/>
  <c r="A156" i="1"/>
  <c r="B155" i="1"/>
  <c r="A155" i="1"/>
  <c r="B154" i="1"/>
  <c r="A154" i="1"/>
  <c r="B153" i="1"/>
  <c r="A153" i="1"/>
  <c r="B152" i="1"/>
  <c r="A152" i="1"/>
  <c r="B151" i="1"/>
  <c r="A151" i="1"/>
  <c r="B150" i="1"/>
  <c r="A150" i="1"/>
  <c r="B149" i="1"/>
  <c r="A149" i="1"/>
  <c r="B148" i="1"/>
  <c r="A148" i="1"/>
  <c r="B147" i="1"/>
  <c r="A147" i="1"/>
  <c r="B144" i="1"/>
  <c r="A144" i="1"/>
  <c r="B143" i="1"/>
  <c r="A143" i="1"/>
  <c r="C142" i="1"/>
  <c r="B140" i="1"/>
  <c r="A140" i="1"/>
  <c r="B139" i="1"/>
  <c r="A139" i="1"/>
  <c r="B138" i="1"/>
  <c r="A138" i="1"/>
  <c r="B137" i="1"/>
  <c r="A137" i="1"/>
  <c r="B136" i="1"/>
  <c r="A136" i="1"/>
  <c r="B135" i="1"/>
  <c r="A135" i="1"/>
  <c r="B134" i="1"/>
  <c r="A134" i="1"/>
  <c r="B133" i="1"/>
  <c r="A133" i="1"/>
  <c r="B132" i="1"/>
  <c r="A132" i="1"/>
  <c r="B131" i="1"/>
  <c r="A131" i="1"/>
  <c r="B130" i="1"/>
  <c r="A130" i="1"/>
  <c r="B129" i="1"/>
  <c r="A129" i="1"/>
  <c r="B128" i="1"/>
  <c r="A128" i="1"/>
  <c r="B127" i="1"/>
  <c r="A127" i="1"/>
  <c r="B126" i="1"/>
  <c r="A126" i="1"/>
  <c r="B125" i="1"/>
  <c r="A125" i="1"/>
  <c r="B124" i="1"/>
  <c r="A124" i="1"/>
  <c r="B123" i="1"/>
  <c r="A123" i="1"/>
  <c r="B122" i="1"/>
  <c r="A122" i="1"/>
  <c r="B121" i="1"/>
  <c r="A121" i="1"/>
  <c r="C119" i="1"/>
  <c r="C118" i="1"/>
  <c r="B116" i="1"/>
  <c r="A116" i="1"/>
  <c r="B115" i="1"/>
  <c r="A115" i="1"/>
  <c r="B114" i="1"/>
  <c r="A114" i="1"/>
  <c r="B113" i="1"/>
  <c r="A113" i="1"/>
  <c r="B112" i="1"/>
  <c r="A112" i="1"/>
  <c r="B111" i="1"/>
  <c r="A111" i="1"/>
  <c r="B110" i="1"/>
  <c r="A110" i="1"/>
  <c r="B109" i="1"/>
  <c r="A109" i="1"/>
  <c r="C108" i="1"/>
  <c r="B106" i="1"/>
  <c r="A106" i="1"/>
  <c r="B105" i="1"/>
  <c r="A105" i="1"/>
  <c r="B104" i="1"/>
  <c r="A104" i="1"/>
  <c r="B103" i="1"/>
  <c r="A103" i="1"/>
  <c r="B102" i="1"/>
  <c r="A102" i="1"/>
  <c r="B101" i="1"/>
  <c r="A101" i="1"/>
  <c r="B100" i="1"/>
  <c r="A100" i="1"/>
  <c r="B99" i="1"/>
  <c r="A99" i="1"/>
  <c r="B98" i="1"/>
  <c r="A98" i="1"/>
  <c r="B97" i="1"/>
  <c r="A97" i="1"/>
  <c r="B96" i="1"/>
  <c r="A96" i="1"/>
  <c r="B95" i="1"/>
  <c r="A95" i="1"/>
  <c r="B94" i="1"/>
  <c r="A94" i="1"/>
  <c r="B93" i="1"/>
  <c r="A93" i="1"/>
  <c r="B92" i="1"/>
  <c r="A92" i="1"/>
  <c r="B91" i="1"/>
  <c r="A91" i="1"/>
  <c r="B90" i="1"/>
  <c r="A90" i="1"/>
  <c r="B89" i="1"/>
  <c r="A89" i="1"/>
  <c r="B88" i="1"/>
  <c r="A88" i="1"/>
  <c r="B87" i="1"/>
  <c r="A87" i="1"/>
  <c r="B86" i="1"/>
  <c r="A86" i="1"/>
  <c r="B85" i="1"/>
  <c r="A85" i="1"/>
  <c r="C84" i="1"/>
  <c r="C83" i="1"/>
  <c r="B81" i="1"/>
  <c r="A81" i="1"/>
  <c r="B80" i="1"/>
  <c r="A80" i="1"/>
  <c r="C79" i="1"/>
  <c r="C78" i="1"/>
  <c r="B76" i="1"/>
  <c r="A76" i="1"/>
  <c r="B75" i="1"/>
  <c r="A75" i="1"/>
  <c r="B74" i="1"/>
  <c r="A74" i="1"/>
  <c r="B73" i="1"/>
  <c r="A73" i="1"/>
  <c r="B72" i="1"/>
  <c r="A72" i="1"/>
  <c r="B71" i="1"/>
  <c r="A71" i="1"/>
  <c r="B70" i="1"/>
  <c r="A70" i="1"/>
  <c r="B69" i="1"/>
  <c r="A69" i="1"/>
  <c r="B68" i="1"/>
  <c r="A68" i="1"/>
  <c r="B67" i="1"/>
  <c r="A67" i="1"/>
  <c r="B66" i="1"/>
  <c r="A66" i="1"/>
  <c r="B65" i="1"/>
  <c r="A65" i="1"/>
  <c r="B64" i="1"/>
  <c r="A64" i="1"/>
  <c r="B63" i="1"/>
  <c r="A63" i="1"/>
  <c r="B62" i="1"/>
  <c r="A62" i="1"/>
  <c r="B61" i="1"/>
  <c r="A61" i="1"/>
  <c r="C60" i="1"/>
  <c r="B58" i="1"/>
  <c r="A58" i="1"/>
  <c r="B57" i="1"/>
  <c r="A57" i="1"/>
  <c r="B56" i="1"/>
  <c r="A56" i="1"/>
  <c r="B55" i="1"/>
  <c r="A55" i="1"/>
  <c r="B54" i="1"/>
  <c r="A54" i="1"/>
  <c r="B53" i="1"/>
  <c r="A53" i="1"/>
  <c r="B52" i="1"/>
  <c r="A52" i="1"/>
  <c r="B51" i="1"/>
  <c r="A51" i="1"/>
  <c r="B50" i="1"/>
  <c r="A50" i="1"/>
  <c r="B49" i="1"/>
  <c r="A49" i="1"/>
  <c r="B48" i="1"/>
  <c r="A48" i="1"/>
  <c r="B47" i="1"/>
  <c r="A47" i="1"/>
  <c r="C46" i="1"/>
  <c r="C45" i="1"/>
  <c r="C44" i="1"/>
  <c r="J731" i="2"/>
  <c r="I719" i="2"/>
  <c r="I705" i="2"/>
  <c r="K691" i="2"/>
  <c r="I679" i="2"/>
  <c r="I667" i="2"/>
  <c r="K655" i="2"/>
  <c r="I643" i="2"/>
  <c r="I631" i="2"/>
  <c r="K619" i="2"/>
  <c r="I607" i="2"/>
  <c r="I595" i="2"/>
  <c r="K581" i="2"/>
  <c r="I569" i="2"/>
  <c r="I557" i="2"/>
  <c r="K545" i="2"/>
  <c r="I533" i="2"/>
  <c r="I521" i="2"/>
  <c r="K509" i="2"/>
  <c r="I497" i="2"/>
  <c r="I485" i="2"/>
  <c r="K473" i="2"/>
  <c r="I461" i="2"/>
  <c r="I449" i="2"/>
  <c r="K437" i="2"/>
  <c r="I425" i="2"/>
  <c r="I413" i="2"/>
  <c r="K401" i="2"/>
  <c r="I389" i="2"/>
  <c r="I377" i="2"/>
  <c r="K363" i="2"/>
  <c r="I351" i="2"/>
  <c r="I339" i="2"/>
  <c r="I315" i="2"/>
  <c r="I303" i="2"/>
  <c r="I279" i="2"/>
  <c r="I267" i="2"/>
  <c r="K248" i="2"/>
  <c r="I237" i="2"/>
  <c r="I225" i="2"/>
  <c r="K213" i="2"/>
  <c r="I201" i="2"/>
  <c r="I189" i="2"/>
  <c r="K175" i="2"/>
  <c r="I163" i="2"/>
  <c r="I151" i="2"/>
  <c r="I136" i="2"/>
  <c r="I81" i="2"/>
  <c r="J67" i="2"/>
  <c r="J50" i="2"/>
  <c r="I38" i="2"/>
  <c r="I24" i="2"/>
  <c r="I554" i="2"/>
  <c r="J398" i="2"/>
  <c r="I374" i="2"/>
  <c r="I336" i="2"/>
  <c r="I312" i="2"/>
  <c r="J288" i="2"/>
  <c r="I264" i="2"/>
  <c r="I222" i="2"/>
  <c r="I198" i="2"/>
  <c r="I160" i="2"/>
  <c r="K90" i="2"/>
  <c r="J47" i="2"/>
  <c r="I21" i="2"/>
  <c r="I727" i="2"/>
  <c r="I675" i="2"/>
  <c r="J651" i="2"/>
  <c r="I627" i="2"/>
  <c r="I603" i="2"/>
  <c r="J577" i="2"/>
  <c r="I553" i="2"/>
  <c r="I529" i="2"/>
  <c r="I493" i="2"/>
  <c r="J469" i="2"/>
  <c r="J433" i="2"/>
  <c r="I409" i="2"/>
  <c r="I385" i="2"/>
  <c r="I347" i="2"/>
  <c r="J323" i="2"/>
  <c r="I299" i="2"/>
  <c r="I263" i="2"/>
  <c r="I233" i="2"/>
  <c r="I197" i="2"/>
  <c r="I159" i="2"/>
  <c r="K89" i="2"/>
  <c r="I63" i="2"/>
  <c r="J686" i="2"/>
  <c r="I662" i="2"/>
  <c r="J614" i="2"/>
  <c r="I590" i="2"/>
  <c r="I564" i="2"/>
  <c r="I528" i="2"/>
  <c r="J504" i="2"/>
  <c r="I480" i="2"/>
  <c r="I456" i="2"/>
  <c r="J432" i="2"/>
  <c r="J396" i="2"/>
  <c r="I372" i="2"/>
  <c r="I346" i="2"/>
  <c r="I310" i="2"/>
  <c r="J286" i="2"/>
  <c r="J244" i="2"/>
  <c r="I220" i="2"/>
  <c r="I184" i="2"/>
  <c r="I158" i="2"/>
  <c r="K88" i="2"/>
  <c r="I45" i="2"/>
  <c r="I725" i="2"/>
  <c r="I673" i="2"/>
  <c r="J649" i="2"/>
  <c r="J613" i="2"/>
  <c r="I589" i="2"/>
  <c r="I563" i="2"/>
  <c r="J539" i="2"/>
  <c r="I515" i="2"/>
  <c r="I491" i="2"/>
  <c r="J467" i="2"/>
  <c r="I443" i="2"/>
  <c r="I407" i="2"/>
  <c r="I383" i="2"/>
  <c r="I345" i="2"/>
  <c r="I333" i="2"/>
  <c r="J285" i="2"/>
  <c r="I261" i="2"/>
  <c r="I219" i="2"/>
  <c r="I195" i="2"/>
  <c r="I157" i="2"/>
  <c r="J87" i="2"/>
  <c r="J30" i="2"/>
  <c r="I698" i="2"/>
  <c r="I672" i="2"/>
  <c r="J648" i="2"/>
  <c r="J612" i="2"/>
  <c r="I588" i="2"/>
  <c r="I550" i="2"/>
  <c r="I526" i="2"/>
  <c r="J502" i="2"/>
  <c r="J466" i="2"/>
  <c r="I442" i="2"/>
  <c r="I418" i="2"/>
  <c r="J394" i="2"/>
  <c r="I370" i="2"/>
  <c r="I332" i="2"/>
  <c r="I308" i="2"/>
  <c r="J284" i="2"/>
  <c r="J242" i="2"/>
  <c r="I218" i="2"/>
  <c r="I182" i="2"/>
  <c r="I156" i="2"/>
  <c r="I60" i="2"/>
  <c r="I17" i="2"/>
  <c r="I723" i="2"/>
  <c r="I671" i="2"/>
  <c r="J647" i="2"/>
  <c r="I635" i="2"/>
  <c r="I599" i="2"/>
  <c r="J573" i="2"/>
  <c r="J537" i="2"/>
  <c r="I513" i="2"/>
  <c r="J465" i="2"/>
  <c r="I417" i="2"/>
  <c r="J393" i="2"/>
  <c r="J355" i="2"/>
  <c r="I307" i="2"/>
  <c r="I271" i="2"/>
  <c r="J241" i="2"/>
  <c r="J205" i="2"/>
  <c r="I181" i="2"/>
  <c r="I140" i="2"/>
  <c r="K71" i="2"/>
  <c r="J28" i="2"/>
  <c r="K734" i="2"/>
  <c r="K658" i="2"/>
  <c r="K622" i="2"/>
  <c r="I598" i="2"/>
  <c r="I560" i="2"/>
  <c r="I524" i="2"/>
  <c r="I488" i="2"/>
  <c r="I464" i="2"/>
  <c r="K440" i="2"/>
  <c r="K404" i="2"/>
  <c r="I380" i="2"/>
  <c r="I354" i="2"/>
  <c r="J318" i="2"/>
  <c r="I270" i="2"/>
  <c r="I228" i="2"/>
  <c r="J204" i="2"/>
  <c r="J166" i="2"/>
  <c r="I139" i="2"/>
  <c r="I58" i="2"/>
  <c r="J27" i="2"/>
  <c r="I721" i="2"/>
  <c r="I681" i="2"/>
  <c r="K657" i="2"/>
  <c r="I609" i="2"/>
  <c r="K583" i="2"/>
  <c r="I559" i="2"/>
  <c r="I523" i="2"/>
  <c r="I499" i="2"/>
  <c r="I463" i="2"/>
  <c r="K439" i="2"/>
  <c r="I379" i="2"/>
  <c r="I305" i="2"/>
  <c r="I281" i="2"/>
  <c r="I239" i="2"/>
  <c r="K215" i="2"/>
  <c r="I191" i="2"/>
  <c r="I153" i="2"/>
  <c r="I83" i="2"/>
  <c r="I40" i="2"/>
  <c r="J732" i="2"/>
  <c r="I680" i="2"/>
  <c r="K656" i="2"/>
  <c r="K620" i="2"/>
  <c r="I596" i="2"/>
  <c r="K546" i="2"/>
  <c r="I522" i="2"/>
  <c r="I498" i="2"/>
  <c r="I462" i="2"/>
  <c r="K438" i="2"/>
  <c r="I390" i="2"/>
  <c r="K364" i="2"/>
  <c r="I316" i="2"/>
  <c r="I280" i="2"/>
  <c r="I238" i="2"/>
  <c r="K214" i="2"/>
  <c r="I164" i="2"/>
  <c r="I137" i="2"/>
  <c r="I82" i="2"/>
  <c r="I39" i="2"/>
  <c r="J730" i="2"/>
  <c r="I718" i="2"/>
  <c r="I704" i="2"/>
  <c r="J690" i="2"/>
  <c r="I678" i="2"/>
  <c r="I666" i="2"/>
  <c r="J654" i="2"/>
  <c r="I642" i="2"/>
  <c r="I630" i="2"/>
  <c r="J618" i="2"/>
  <c r="I606" i="2"/>
  <c r="I594" i="2"/>
  <c r="J580" i="2"/>
  <c r="I568" i="2"/>
  <c r="I556" i="2"/>
  <c r="J544" i="2"/>
  <c r="I532" i="2"/>
  <c r="I520" i="2"/>
  <c r="J508" i="2"/>
  <c r="I496" i="2"/>
  <c r="I484" i="2"/>
  <c r="J472" i="2"/>
  <c r="I460" i="2"/>
  <c r="I448" i="2"/>
  <c r="J436" i="2"/>
  <c r="I424" i="2"/>
  <c r="I412" i="2"/>
  <c r="J400" i="2"/>
  <c r="I388" i="2"/>
  <c r="I376" i="2"/>
  <c r="J362" i="2"/>
  <c r="I350" i="2"/>
  <c r="I338" i="2"/>
  <c r="J326" i="2"/>
  <c r="I314" i="2"/>
  <c r="I302" i="2"/>
  <c r="J290" i="2"/>
  <c r="I278" i="2"/>
  <c r="I266" i="2"/>
  <c r="I236" i="2"/>
  <c r="I224" i="2"/>
  <c r="K212" i="2"/>
  <c r="I200" i="2"/>
  <c r="I188" i="2"/>
  <c r="K174" i="2"/>
  <c r="I162" i="2"/>
  <c r="I150" i="2"/>
  <c r="I135" i="2"/>
  <c r="I80" i="2"/>
  <c r="J66" i="2"/>
  <c r="J49" i="2"/>
  <c r="I37" i="2"/>
  <c r="I23" i="2"/>
  <c r="I518" i="2"/>
  <c r="I348" i="2"/>
  <c r="J246" i="2"/>
  <c r="I186" i="2"/>
  <c r="I64" i="2"/>
  <c r="I701" i="2"/>
  <c r="I445" i="2"/>
  <c r="J359" i="2"/>
  <c r="J287" i="2"/>
  <c r="J209" i="2"/>
  <c r="J144" i="2"/>
  <c r="K32" i="2"/>
  <c r="J712" i="2"/>
  <c r="I638" i="2"/>
  <c r="I552" i="2"/>
  <c r="I492" i="2"/>
  <c r="I420" i="2"/>
  <c r="I334" i="2"/>
  <c r="I274" i="2"/>
  <c r="I196" i="2"/>
  <c r="I76" i="2"/>
  <c r="J711" i="2"/>
  <c r="I637" i="2"/>
  <c r="J575" i="2"/>
  <c r="J503" i="2"/>
  <c r="I419" i="2"/>
  <c r="I371" i="2"/>
  <c r="I309" i="2"/>
  <c r="I231" i="2"/>
  <c r="J169" i="2"/>
  <c r="I61" i="2"/>
  <c r="J710" i="2"/>
  <c r="I636" i="2"/>
  <c r="I562" i="2"/>
  <c r="I478" i="2"/>
  <c r="J430" i="2"/>
  <c r="J356" i="2"/>
  <c r="I272" i="2"/>
  <c r="I194" i="2"/>
  <c r="J86" i="2"/>
  <c r="J29" i="2"/>
  <c r="J709" i="2"/>
  <c r="I623" i="2"/>
  <c r="I549" i="2"/>
  <c r="I489" i="2"/>
  <c r="I441" i="2"/>
  <c r="I369" i="2"/>
  <c r="I295" i="2"/>
  <c r="I217" i="2"/>
  <c r="I155" i="2"/>
  <c r="I42" i="2"/>
  <c r="I708" i="2"/>
  <c r="I634" i="2"/>
  <c r="I572" i="2"/>
  <c r="I500" i="2"/>
  <c r="I428" i="2"/>
  <c r="I342" i="2"/>
  <c r="K251" i="2"/>
  <c r="I180" i="2"/>
  <c r="K70" i="2"/>
  <c r="I707" i="2"/>
  <c r="I633" i="2"/>
  <c r="I571" i="2"/>
  <c r="K475" i="2"/>
  <c r="K403" i="2"/>
  <c r="I341" i="2"/>
  <c r="K250" i="2"/>
  <c r="K177" i="2"/>
  <c r="I706" i="2"/>
  <c r="I632" i="2"/>
  <c r="I558" i="2"/>
  <c r="I486" i="2"/>
  <c r="I414" i="2"/>
  <c r="I352" i="2"/>
  <c r="I268" i="2"/>
  <c r="I190" i="2"/>
  <c r="J68" i="2"/>
  <c r="J729" i="2"/>
  <c r="I717" i="2"/>
  <c r="I703" i="2"/>
  <c r="J689" i="2"/>
  <c r="I677" i="2"/>
  <c r="I665" i="2"/>
  <c r="J653" i="2"/>
  <c r="I641" i="2"/>
  <c r="I629" i="2"/>
  <c r="J617" i="2"/>
  <c r="I605" i="2"/>
  <c r="I593" i="2"/>
  <c r="J579" i="2"/>
  <c r="I567" i="2"/>
  <c r="I555" i="2"/>
  <c r="J543" i="2"/>
  <c r="I531" i="2"/>
  <c r="I519" i="2"/>
  <c r="J507" i="2"/>
  <c r="I495" i="2"/>
  <c r="I483" i="2"/>
  <c r="J471" i="2"/>
  <c r="I459" i="2"/>
  <c r="I447" i="2"/>
  <c r="J435" i="2"/>
  <c r="I423" i="2"/>
  <c r="I411" i="2"/>
  <c r="J399" i="2"/>
  <c r="I387" i="2"/>
  <c r="I375" i="2"/>
  <c r="J361" i="2"/>
  <c r="I349" i="2"/>
  <c r="I337" i="2"/>
  <c r="J325" i="2"/>
  <c r="I313" i="2"/>
  <c r="I301" i="2"/>
  <c r="J289" i="2"/>
  <c r="I277" i="2"/>
  <c r="I265" i="2"/>
  <c r="I235" i="2"/>
  <c r="I223" i="2"/>
  <c r="J211" i="2"/>
  <c r="I199" i="2"/>
  <c r="I187" i="2"/>
  <c r="J173" i="2"/>
  <c r="I161" i="2"/>
  <c r="J146" i="2"/>
  <c r="K91" i="2"/>
  <c r="I79" i="2"/>
  <c r="I65" i="2"/>
  <c r="J48" i="2"/>
  <c r="I36" i="2"/>
  <c r="I22" i="2"/>
  <c r="I728" i="2"/>
  <c r="K714" i="2"/>
  <c r="I702" i="2"/>
  <c r="J688" i="2"/>
  <c r="I676" i="2"/>
  <c r="I664" i="2"/>
  <c r="J652" i="2"/>
  <c r="I640" i="2"/>
  <c r="I628" i="2"/>
  <c r="J616" i="2"/>
  <c r="I604" i="2"/>
  <c r="I592" i="2"/>
  <c r="J578" i="2"/>
  <c r="I566" i="2"/>
  <c r="J542" i="2"/>
  <c r="I530" i="2"/>
  <c r="J506" i="2"/>
  <c r="I494" i="2"/>
  <c r="I482" i="2"/>
  <c r="J470" i="2"/>
  <c r="I458" i="2"/>
  <c r="I446" i="2"/>
  <c r="J434" i="2"/>
  <c r="I422" i="2"/>
  <c r="I410" i="2"/>
  <c r="I386" i="2"/>
  <c r="J360" i="2"/>
  <c r="J324" i="2"/>
  <c r="I300" i="2"/>
  <c r="I276" i="2"/>
  <c r="I234" i="2"/>
  <c r="J210" i="2"/>
  <c r="J172" i="2"/>
  <c r="J145" i="2"/>
  <c r="I78" i="2"/>
  <c r="I35" i="2"/>
  <c r="K713" i="2"/>
  <c r="J687" i="2"/>
  <c r="I663" i="2"/>
  <c r="I639" i="2"/>
  <c r="J615" i="2"/>
  <c r="I591" i="2"/>
  <c r="I565" i="2"/>
  <c r="J541" i="2"/>
  <c r="I517" i="2"/>
  <c r="J505" i="2"/>
  <c r="I481" i="2"/>
  <c r="I457" i="2"/>
  <c r="I421" i="2"/>
  <c r="J397" i="2"/>
  <c r="I373" i="2"/>
  <c r="I335" i="2"/>
  <c r="I311" i="2"/>
  <c r="I275" i="2"/>
  <c r="J245" i="2"/>
  <c r="I221" i="2"/>
  <c r="I185" i="2"/>
  <c r="J171" i="2"/>
  <c r="I77" i="2"/>
  <c r="I46" i="2"/>
  <c r="I20" i="2"/>
  <c r="I726" i="2"/>
  <c r="I700" i="2"/>
  <c r="I674" i="2"/>
  <c r="J650" i="2"/>
  <c r="I626" i="2"/>
  <c r="I602" i="2"/>
  <c r="J576" i="2"/>
  <c r="J540" i="2"/>
  <c r="I516" i="2"/>
  <c r="J468" i="2"/>
  <c r="I444" i="2"/>
  <c r="I408" i="2"/>
  <c r="I384" i="2"/>
  <c r="J358" i="2"/>
  <c r="J322" i="2"/>
  <c r="I298" i="2"/>
  <c r="I262" i="2"/>
  <c r="I232" i="2"/>
  <c r="J208" i="2"/>
  <c r="J170" i="2"/>
  <c r="J143" i="2"/>
  <c r="I62" i="2"/>
  <c r="K31" i="2"/>
  <c r="I19" i="2"/>
  <c r="I699" i="2"/>
  <c r="J685" i="2"/>
  <c r="I661" i="2"/>
  <c r="I625" i="2"/>
  <c r="I601" i="2"/>
  <c r="I551" i="2"/>
  <c r="I527" i="2"/>
  <c r="I479" i="2"/>
  <c r="I455" i="2"/>
  <c r="J431" i="2"/>
  <c r="J395" i="2"/>
  <c r="J357" i="2"/>
  <c r="J321" i="2"/>
  <c r="I297" i="2"/>
  <c r="I273" i="2"/>
  <c r="J243" i="2"/>
  <c r="J207" i="2"/>
  <c r="I183" i="2"/>
  <c r="I142" i="2"/>
  <c r="K73" i="2"/>
  <c r="I44" i="2"/>
  <c r="I18" i="2"/>
  <c r="I724" i="2"/>
  <c r="J684" i="2"/>
  <c r="I660" i="2"/>
  <c r="I624" i="2"/>
  <c r="I600" i="2"/>
  <c r="J574" i="2"/>
  <c r="J538" i="2"/>
  <c r="I514" i="2"/>
  <c r="I490" i="2"/>
  <c r="I454" i="2"/>
  <c r="I406" i="2"/>
  <c r="I382" i="2"/>
  <c r="I344" i="2"/>
  <c r="J320" i="2"/>
  <c r="I296" i="2"/>
  <c r="I260" i="2"/>
  <c r="I230" i="2"/>
  <c r="J206" i="2"/>
  <c r="J168" i="2"/>
  <c r="I141" i="2"/>
  <c r="K72" i="2"/>
  <c r="I43" i="2"/>
  <c r="I697" i="2"/>
  <c r="J683" i="2"/>
  <c r="I659" i="2"/>
  <c r="J611" i="2"/>
  <c r="I587" i="2"/>
  <c r="I561" i="2"/>
  <c r="I525" i="2"/>
  <c r="J501" i="2"/>
  <c r="I477" i="2"/>
  <c r="I453" i="2"/>
  <c r="J429" i="2"/>
  <c r="I405" i="2"/>
  <c r="I381" i="2"/>
  <c r="I343" i="2"/>
  <c r="J319" i="2"/>
  <c r="J283" i="2"/>
  <c r="I229" i="2"/>
  <c r="I193" i="2"/>
  <c r="J167" i="2"/>
  <c r="J85" i="2"/>
  <c r="I59" i="2"/>
  <c r="I16" i="2"/>
  <c r="I722" i="2"/>
  <c r="K694" i="2"/>
  <c r="I682" i="2"/>
  <c r="I670" i="2"/>
  <c r="I646" i="2"/>
  <c r="I610" i="2"/>
  <c r="K584" i="2"/>
  <c r="I536" i="2"/>
  <c r="K512" i="2"/>
  <c r="K476" i="2"/>
  <c r="I452" i="2"/>
  <c r="I416" i="2"/>
  <c r="I392" i="2"/>
  <c r="K366" i="2"/>
  <c r="I306" i="2"/>
  <c r="I282" i="2"/>
  <c r="J240" i="2"/>
  <c r="I216" i="2"/>
  <c r="I192" i="2"/>
  <c r="I154" i="2"/>
  <c r="J84" i="2"/>
  <c r="I41" i="2"/>
  <c r="I15" i="2"/>
  <c r="K733" i="2"/>
  <c r="K693" i="2"/>
  <c r="I669" i="2"/>
  <c r="I645" i="2"/>
  <c r="K621" i="2"/>
  <c r="I597" i="2"/>
  <c r="K547" i="2"/>
  <c r="I535" i="2"/>
  <c r="K511" i="2"/>
  <c r="I487" i="2"/>
  <c r="I451" i="2"/>
  <c r="I427" i="2"/>
  <c r="I415" i="2"/>
  <c r="I391" i="2"/>
  <c r="K365" i="2"/>
  <c r="I353" i="2"/>
  <c r="I317" i="2"/>
  <c r="I269" i="2"/>
  <c r="I227" i="2"/>
  <c r="I203" i="2"/>
  <c r="I165" i="2"/>
  <c r="I138" i="2"/>
  <c r="K52" i="2"/>
  <c r="I26" i="2"/>
  <c r="I720" i="2"/>
  <c r="K692" i="2"/>
  <c r="I668" i="2"/>
  <c r="I644" i="2"/>
  <c r="I608" i="2"/>
  <c r="K582" i="2"/>
  <c r="I570" i="2"/>
  <c r="I534" i="2"/>
  <c r="K510" i="2"/>
  <c r="K474" i="2"/>
  <c r="I450" i="2"/>
  <c r="I426" i="2"/>
  <c r="K402" i="2"/>
  <c r="I378" i="2"/>
  <c r="I340" i="2"/>
  <c r="I304" i="2"/>
  <c r="K249" i="2"/>
  <c r="I226" i="2"/>
  <c r="I202" i="2"/>
  <c r="K176" i="2"/>
  <c r="I152" i="2"/>
  <c r="K51" i="2"/>
  <c r="I25" i="2"/>
  <c r="N588" i="1" l="1"/>
  <c r="N739" i="2"/>
  <c r="N587" i="1"/>
  <c r="N54" i="2"/>
  <c r="N740" i="2" s="1"/>
  <c r="L42" i="1"/>
  <c r="P27" i="1"/>
  <c r="P31" i="1"/>
  <c r="P35" i="1"/>
  <c r="P38" i="1"/>
  <c r="P41" i="1"/>
  <c r="I591" i="1"/>
  <c r="J59" i="1"/>
  <c r="P55" i="1"/>
  <c r="K587" i="1"/>
  <c r="K26" i="1"/>
  <c r="J42" i="1"/>
  <c r="J588" i="1"/>
  <c r="K591" i="1"/>
  <c r="L59" i="1"/>
  <c r="P45" i="1"/>
  <c r="P49" i="1"/>
  <c r="P53" i="1"/>
  <c r="I77" i="1"/>
  <c r="L141" i="1"/>
  <c r="P120" i="1"/>
  <c r="P124" i="1"/>
  <c r="P128" i="1"/>
  <c r="P132" i="1"/>
  <c r="P136" i="1"/>
  <c r="P140" i="1"/>
  <c r="K145" i="1"/>
  <c r="P143" i="1"/>
  <c r="P276" i="1"/>
  <c r="P277" i="1"/>
  <c r="L465" i="1"/>
  <c r="P296" i="1"/>
  <c r="P28" i="1"/>
  <c r="P32" i="1"/>
  <c r="P36" i="1"/>
  <c r="P86" i="1"/>
  <c r="L587" i="1"/>
  <c r="P11" i="1"/>
  <c r="L26" i="1"/>
  <c r="K42" i="1"/>
  <c r="K588" i="1"/>
  <c r="L591" i="1"/>
  <c r="P44" i="1"/>
  <c r="I59" i="1"/>
  <c r="N59" i="1"/>
  <c r="P48" i="1"/>
  <c r="P52" i="1"/>
  <c r="P56" i="1"/>
  <c r="L77" i="1"/>
  <c r="P60" i="1"/>
  <c r="P63" i="1"/>
  <c r="P64" i="1"/>
  <c r="P67" i="1"/>
  <c r="P68" i="1"/>
  <c r="P71" i="1"/>
  <c r="P72" i="1"/>
  <c r="P76" i="1"/>
  <c r="J107" i="1"/>
  <c r="P211" i="1"/>
  <c r="P215" i="1"/>
  <c r="P219" i="1"/>
  <c r="P223" i="1"/>
  <c r="P227" i="1"/>
  <c r="P231" i="1"/>
  <c r="P235" i="1"/>
  <c r="P237" i="1"/>
  <c r="P241" i="1"/>
  <c r="P245" i="1"/>
  <c r="P249" i="1"/>
  <c r="P253" i="1"/>
  <c r="P303" i="1"/>
  <c r="P304" i="1"/>
  <c r="P311" i="1"/>
  <c r="P312" i="1"/>
  <c r="P319" i="1"/>
  <c r="P320" i="1"/>
  <c r="P327" i="1"/>
  <c r="P328" i="1"/>
  <c r="P335" i="1"/>
  <c r="P336" i="1"/>
  <c r="P343" i="1"/>
  <c r="P344" i="1"/>
  <c r="P351" i="1"/>
  <c r="P352" i="1"/>
  <c r="I587" i="1"/>
  <c r="I26" i="1"/>
  <c r="P29" i="1"/>
  <c r="P33" i="1"/>
  <c r="P37" i="1"/>
  <c r="P40" i="1"/>
  <c r="L588" i="1"/>
  <c r="P43" i="1"/>
  <c r="P47" i="1"/>
  <c r="P51" i="1"/>
  <c r="P57" i="1"/>
  <c r="N77" i="1"/>
  <c r="P90" i="1"/>
  <c r="P94" i="1"/>
  <c r="P98" i="1"/>
  <c r="J117" i="1"/>
  <c r="P204" i="1"/>
  <c r="L590" i="1"/>
  <c r="P207" i="1"/>
  <c r="P268" i="1"/>
  <c r="P269" i="1"/>
  <c r="P284" i="1"/>
  <c r="P285" i="1"/>
  <c r="P30" i="1"/>
  <c r="P34" i="1"/>
  <c r="P39" i="1"/>
  <c r="P102" i="1"/>
  <c r="I203" i="1"/>
  <c r="J587" i="1"/>
  <c r="J26" i="1"/>
  <c r="I42" i="1"/>
  <c r="N42" i="1"/>
  <c r="I588" i="1"/>
  <c r="J591" i="1"/>
  <c r="K59" i="1"/>
  <c r="P46" i="1"/>
  <c r="P50" i="1"/>
  <c r="P54" i="1"/>
  <c r="P79" i="1"/>
  <c r="L82" i="1"/>
  <c r="P110" i="1"/>
  <c r="P114" i="1"/>
  <c r="N203" i="1"/>
  <c r="P149" i="1"/>
  <c r="P153" i="1"/>
  <c r="P157" i="1"/>
  <c r="P161" i="1"/>
  <c r="P165" i="1"/>
  <c r="P169" i="1"/>
  <c r="P173" i="1"/>
  <c r="P177" i="1"/>
  <c r="P181" i="1"/>
  <c r="P185" i="1"/>
  <c r="P189" i="1"/>
  <c r="P193" i="1"/>
  <c r="P197" i="1"/>
  <c r="P201" i="1"/>
  <c r="P260" i="1"/>
  <c r="P299" i="1"/>
  <c r="P300" i="1"/>
  <c r="P307" i="1"/>
  <c r="P308" i="1"/>
  <c r="P315" i="1"/>
  <c r="P316" i="1"/>
  <c r="P323" i="1"/>
  <c r="P324" i="1"/>
  <c r="P331" i="1"/>
  <c r="P332" i="1"/>
  <c r="P339" i="1"/>
  <c r="P340" i="1"/>
  <c r="P347" i="1"/>
  <c r="P348" i="1"/>
  <c r="P355" i="1"/>
  <c r="P356" i="1"/>
  <c r="P58" i="1"/>
  <c r="K77" i="1"/>
  <c r="P61" i="1"/>
  <c r="P65" i="1"/>
  <c r="P69" i="1"/>
  <c r="P73" i="1"/>
  <c r="K82" i="1"/>
  <c r="P80" i="1"/>
  <c r="P83" i="1"/>
  <c r="I107" i="1"/>
  <c r="N107" i="1"/>
  <c r="P87" i="1"/>
  <c r="P91" i="1"/>
  <c r="P95" i="1"/>
  <c r="P99" i="1"/>
  <c r="P103" i="1"/>
  <c r="I117" i="1"/>
  <c r="N117" i="1"/>
  <c r="P111" i="1"/>
  <c r="P115" i="1"/>
  <c r="P118" i="1"/>
  <c r="K141" i="1"/>
  <c r="P121" i="1"/>
  <c r="P125" i="1"/>
  <c r="P129" i="1"/>
  <c r="P133" i="1"/>
  <c r="P137" i="1"/>
  <c r="J145" i="1"/>
  <c r="P144" i="1"/>
  <c r="L203" i="1"/>
  <c r="P146" i="1"/>
  <c r="P150" i="1"/>
  <c r="P154" i="1"/>
  <c r="P158" i="1"/>
  <c r="P162" i="1"/>
  <c r="P166" i="1"/>
  <c r="P170" i="1"/>
  <c r="P174" i="1"/>
  <c r="P178" i="1"/>
  <c r="P182" i="1"/>
  <c r="P186" i="1"/>
  <c r="P190" i="1"/>
  <c r="P194" i="1"/>
  <c r="P198" i="1"/>
  <c r="P202" i="1"/>
  <c r="K590" i="1"/>
  <c r="P208" i="1"/>
  <c r="P212" i="1"/>
  <c r="P216" i="1"/>
  <c r="P220" i="1"/>
  <c r="P224" i="1"/>
  <c r="P228" i="1"/>
  <c r="N295" i="1"/>
  <c r="P232" i="1"/>
  <c r="P236" i="1"/>
  <c r="P240" i="1"/>
  <c r="P244" i="1"/>
  <c r="P248" i="1"/>
  <c r="P252" i="1"/>
  <c r="P257" i="1"/>
  <c r="K589" i="1"/>
  <c r="K551" i="1"/>
  <c r="P359" i="1"/>
  <c r="P360" i="1"/>
  <c r="P363" i="1"/>
  <c r="P364" i="1"/>
  <c r="P367" i="1"/>
  <c r="P368" i="1"/>
  <c r="P371" i="1"/>
  <c r="P372" i="1"/>
  <c r="P375" i="1"/>
  <c r="P376" i="1"/>
  <c r="P379" i="1"/>
  <c r="P380" i="1"/>
  <c r="P383" i="1"/>
  <c r="P384" i="1"/>
  <c r="P387" i="1"/>
  <c r="P388" i="1"/>
  <c r="P391" i="1"/>
  <c r="P392" i="1"/>
  <c r="P395" i="1"/>
  <c r="P396" i="1"/>
  <c r="P399" i="1"/>
  <c r="P400" i="1"/>
  <c r="P403" i="1"/>
  <c r="P404" i="1"/>
  <c r="P407" i="1"/>
  <c r="P408" i="1"/>
  <c r="P411" i="1"/>
  <c r="P412" i="1"/>
  <c r="P415" i="1"/>
  <c r="P416" i="1"/>
  <c r="P419" i="1"/>
  <c r="P420" i="1"/>
  <c r="P423" i="1"/>
  <c r="P424" i="1"/>
  <c r="P427" i="1"/>
  <c r="P428" i="1"/>
  <c r="P431" i="1"/>
  <c r="P432" i="1"/>
  <c r="P435" i="1"/>
  <c r="P436" i="1"/>
  <c r="P439" i="1"/>
  <c r="P440" i="1"/>
  <c r="P75" i="1"/>
  <c r="P78" i="1"/>
  <c r="I82" i="1"/>
  <c r="N82" i="1"/>
  <c r="K107" i="1"/>
  <c r="P85" i="1"/>
  <c r="P89" i="1"/>
  <c r="P93" i="1"/>
  <c r="P97" i="1"/>
  <c r="P101" i="1"/>
  <c r="P105" i="1"/>
  <c r="P106" i="1"/>
  <c r="K117" i="1"/>
  <c r="P109" i="1"/>
  <c r="P113" i="1"/>
  <c r="I141" i="1"/>
  <c r="N141" i="1"/>
  <c r="P123" i="1"/>
  <c r="P127" i="1"/>
  <c r="P131" i="1"/>
  <c r="P135" i="1"/>
  <c r="P139" i="1"/>
  <c r="L145" i="1"/>
  <c r="P142" i="1"/>
  <c r="J203" i="1"/>
  <c r="P148" i="1"/>
  <c r="P152" i="1"/>
  <c r="P156" i="1"/>
  <c r="P160" i="1"/>
  <c r="P164" i="1"/>
  <c r="P168" i="1"/>
  <c r="P172" i="1"/>
  <c r="P176" i="1"/>
  <c r="P180" i="1"/>
  <c r="P184" i="1"/>
  <c r="P188" i="1"/>
  <c r="P192" i="1"/>
  <c r="P196" i="1"/>
  <c r="P200" i="1"/>
  <c r="P206" i="1"/>
  <c r="I590" i="1"/>
  <c r="P210" i="1"/>
  <c r="P214" i="1"/>
  <c r="P218" i="1"/>
  <c r="P222" i="1"/>
  <c r="P226" i="1"/>
  <c r="P230" i="1"/>
  <c r="P234" i="1"/>
  <c r="P239" i="1"/>
  <c r="P243" i="1"/>
  <c r="P247" i="1"/>
  <c r="P251" i="1"/>
  <c r="P261" i="1"/>
  <c r="P444" i="1"/>
  <c r="P448" i="1"/>
  <c r="P452" i="1"/>
  <c r="P456" i="1"/>
  <c r="P460" i="1"/>
  <c r="P464" i="1"/>
  <c r="J77" i="1"/>
  <c r="P62" i="1"/>
  <c r="P66" i="1"/>
  <c r="P70" i="1"/>
  <c r="P74" i="1"/>
  <c r="J82" i="1"/>
  <c r="P81" i="1"/>
  <c r="L107" i="1"/>
  <c r="P84" i="1"/>
  <c r="P88" i="1"/>
  <c r="P92" i="1"/>
  <c r="P96" i="1"/>
  <c r="P100" i="1"/>
  <c r="P104" i="1"/>
  <c r="P108" i="1"/>
  <c r="L117" i="1"/>
  <c r="P112" i="1"/>
  <c r="P116" i="1"/>
  <c r="P119" i="1"/>
  <c r="J141" i="1"/>
  <c r="P122" i="1"/>
  <c r="P126" i="1"/>
  <c r="P130" i="1"/>
  <c r="P134" i="1"/>
  <c r="P138" i="1"/>
  <c r="I145" i="1"/>
  <c r="N145" i="1"/>
  <c r="K203" i="1"/>
  <c r="P147" i="1"/>
  <c r="P151" i="1"/>
  <c r="P155" i="1"/>
  <c r="P159" i="1"/>
  <c r="P163" i="1"/>
  <c r="P167" i="1"/>
  <c r="P171" i="1"/>
  <c r="P175" i="1"/>
  <c r="P179" i="1"/>
  <c r="P183" i="1"/>
  <c r="P187" i="1"/>
  <c r="P191" i="1"/>
  <c r="P195" i="1"/>
  <c r="P199" i="1"/>
  <c r="J590" i="1"/>
  <c r="P209" i="1"/>
  <c r="I295" i="1"/>
  <c r="P213" i="1"/>
  <c r="P217" i="1"/>
  <c r="P221" i="1"/>
  <c r="P225" i="1"/>
  <c r="L295" i="1"/>
  <c r="P229" i="1"/>
  <c r="P233" i="1"/>
  <c r="P256" i="1"/>
  <c r="P264" i="1"/>
  <c r="P265" i="1"/>
  <c r="P272" i="1"/>
  <c r="P273" i="1"/>
  <c r="P280" i="1"/>
  <c r="P281" i="1"/>
  <c r="P288" i="1"/>
  <c r="P289" i="1"/>
  <c r="P292" i="1"/>
  <c r="P293" i="1"/>
  <c r="I465" i="1"/>
  <c r="P553" i="1"/>
  <c r="P557" i="1"/>
  <c r="P561" i="1"/>
  <c r="P576" i="1"/>
  <c r="P580" i="1"/>
  <c r="L44" i="2"/>
  <c r="P44" i="2" s="1"/>
  <c r="J746" i="2"/>
  <c r="L62" i="2"/>
  <c r="P62" i="2" s="1"/>
  <c r="L70" i="2"/>
  <c r="P70" i="2" s="1"/>
  <c r="P99" i="2"/>
  <c r="L127" i="2"/>
  <c r="P127" i="2" s="1"/>
  <c r="L145" i="2"/>
  <c r="P145" i="2" s="1"/>
  <c r="L165" i="2"/>
  <c r="P165" i="2" s="1"/>
  <c r="L241" i="2"/>
  <c r="P241" i="2" s="1"/>
  <c r="L382" i="2"/>
  <c r="P382" i="2" s="1"/>
  <c r="L590" i="2"/>
  <c r="P590" i="2" s="1"/>
  <c r="L583" i="1"/>
  <c r="P568" i="1"/>
  <c r="P572" i="1"/>
  <c r="P575" i="1"/>
  <c r="L48" i="2"/>
  <c r="P48" i="2" s="1"/>
  <c r="L60" i="2"/>
  <c r="P60" i="2" s="1"/>
  <c r="L68" i="2"/>
  <c r="P68" i="2" s="1"/>
  <c r="L102" i="2"/>
  <c r="P102" i="2" s="1"/>
  <c r="L153" i="2"/>
  <c r="P153" i="2" s="1"/>
  <c r="L169" i="2"/>
  <c r="P169" i="2" s="1"/>
  <c r="I744" i="2"/>
  <c r="L414" i="2"/>
  <c r="P414" i="2" s="1"/>
  <c r="L670" i="2"/>
  <c r="P670" i="2" s="1"/>
  <c r="P555" i="1"/>
  <c r="P559" i="1"/>
  <c r="P563" i="1"/>
  <c r="P571" i="1"/>
  <c r="P578" i="1"/>
  <c r="P582" i="1"/>
  <c r="L36" i="2"/>
  <c r="P36" i="2" s="1"/>
  <c r="L52" i="2"/>
  <c r="P52" i="2" s="1"/>
  <c r="L58" i="2"/>
  <c r="P58" i="2" s="1"/>
  <c r="L66" i="2"/>
  <c r="P66" i="2" s="1"/>
  <c r="L120" i="2"/>
  <c r="P120" i="2" s="1"/>
  <c r="L137" i="2"/>
  <c r="P137" i="2" s="1"/>
  <c r="L157" i="2"/>
  <c r="P157" i="2" s="1"/>
  <c r="L173" i="2"/>
  <c r="P173" i="2" s="1"/>
  <c r="P255" i="1"/>
  <c r="P259" i="1"/>
  <c r="P263" i="1"/>
  <c r="P467" i="1"/>
  <c r="P471" i="1"/>
  <c r="P475" i="1"/>
  <c r="P479" i="1"/>
  <c r="P483" i="1"/>
  <c r="P487" i="1"/>
  <c r="P491" i="1"/>
  <c r="P495" i="1"/>
  <c r="P499" i="1"/>
  <c r="P503" i="1"/>
  <c r="P507" i="1"/>
  <c r="P511" i="1"/>
  <c r="P515" i="1"/>
  <c r="P519" i="1"/>
  <c r="P523" i="1"/>
  <c r="P527" i="1"/>
  <c r="P531" i="1"/>
  <c r="P535" i="1"/>
  <c r="P539" i="1"/>
  <c r="P543" i="1"/>
  <c r="P547" i="1"/>
  <c r="J567" i="1"/>
  <c r="J586" i="1"/>
  <c r="L23" i="2"/>
  <c r="L30" i="2"/>
  <c r="L40" i="2"/>
  <c r="P40" i="2" s="1"/>
  <c r="L740" i="2"/>
  <c r="L64" i="2"/>
  <c r="P64" i="2" s="1"/>
  <c r="L97" i="2"/>
  <c r="P97" i="2" s="1"/>
  <c r="L141" i="2"/>
  <c r="P141" i="2" s="1"/>
  <c r="L161" i="2"/>
  <c r="P161" i="2" s="1"/>
  <c r="L225" i="2"/>
  <c r="P225" i="2" s="1"/>
  <c r="P443" i="1"/>
  <c r="P447" i="1"/>
  <c r="P451" i="1"/>
  <c r="P455" i="1"/>
  <c r="P459" i="1"/>
  <c r="P463" i="1"/>
  <c r="L551" i="1"/>
  <c r="P466" i="1"/>
  <c r="L589" i="1"/>
  <c r="N551" i="1"/>
  <c r="P470" i="1"/>
  <c r="P474" i="1"/>
  <c r="P478" i="1"/>
  <c r="P482" i="1"/>
  <c r="P486" i="1"/>
  <c r="P490" i="1"/>
  <c r="P494" i="1"/>
  <c r="P498" i="1"/>
  <c r="P502" i="1"/>
  <c r="P506" i="1"/>
  <c r="P510" i="1"/>
  <c r="P514" i="1"/>
  <c r="P518" i="1"/>
  <c r="P522" i="1"/>
  <c r="P526" i="1"/>
  <c r="P530" i="1"/>
  <c r="P534" i="1"/>
  <c r="P538" i="1"/>
  <c r="P542" i="1"/>
  <c r="P546" i="1"/>
  <c r="P550" i="1"/>
  <c r="K586" i="1"/>
  <c r="K567" i="1"/>
  <c r="N567" i="1"/>
  <c r="L17" i="2"/>
  <c r="L21" i="2"/>
  <c r="L26" i="2"/>
  <c r="L28" i="2"/>
  <c r="I745" i="2"/>
  <c r="I74" i="2"/>
  <c r="I92" i="2"/>
  <c r="J98" i="2"/>
  <c r="L107" i="2"/>
  <c r="P107" i="2" s="1"/>
  <c r="L114" i="2"/>
  <c r="P114" i="2" s="1"/>
  <c r="L132" i="2"/>
  <c r="P132" i="2" s="1"/>
  <c r="K147" i="2"/>
  <c r="L136" i="2"/>
  <c r="P136" i="2" s="1"/>
  <c r="L138" i="2"/>
  <c r="P138" i="2" s="1"/>
  <c r="L140" i="2"/>
  <c r="P140" i="2" s="1"/>
  <c r="L142" i="2"/>
  <c r="P142" i="2" s="1"/>
  <c r="L144" i="2"/>
  <c r="P144" i="2" s="1"/>
  <c r="L146" i="2"/>
  <c r="P146" i="2" s="1"/>
  <c r="P148" i="2"/>
  <c r="I252" i="2"/>
  <c r="L181" i="2"/>
  <c r="P181" i="2" s="1"/>
  <c r="L189" i="2"/>
  <c r="P189" i="2" s="1"/>
  <c r="L197" i="2"/>
  <c r="P197" i="2" s="1"/>
  <c r="L205" i="2"/>
  <c r="P205" i="2" s="1"/>
  <c r="L213" i="2"/>
  <c r="P213" i="2" s="1"/>
  <c r="L229" i="2"/>
  <c r="P229" i="2" s="1"/>
  <c r="L245" i="2"/>
  <c r="P245" i="2" s="1"/>
  <c r="L390" i="2"/>
  <c r="P390" i="2" s="1"/>
  <c r="L542" i="2"/>
  <c r="P542" i="2" s="1"/>
  <c r="L651" i="2"/>
  <c r="P651" i="2" s="1"/>
  <c r="P267" i="1"/>
  <c r="P271" i="1"/>
  <c r="P275" i="1"/>
  <c r="P279" i="1"/>
  <c r="P283" i="1"/>
  <c r="P287" i="1"/>
  <c r="P291" i="1"/>
  <c r="J465" i="1"/>
  <c r="P298" i="1"/>
  <c r="P302" i="1"/>
  <c r="P306" i="1"/>
  <c r="P310" i="1"/>
  <c r="P314" i="1"/>
  <c r="P318" i="1"/>
  <c r="P322" i="1"/>
  <c r="P326" i="1"/>
  <c r="P330" i="1"/>
  <c r="P334" i="1"/>
  <c r="P338" i="1"/>
  <c r="P342" i="1"/>
  <c r="P346" i="1"/>
  <c r="P350" i="1"/>
  <c r="P354" i="1"/>
  <c r="P358" i="1"/>
  <c r="P362" i="1"/>
  <c r="P366" i="1"/>
  <c r="P370" i="1"/>
  <c r="P374" i="1"/>
  <c r="P378" i="1"/>
  <c r="P382" i="1"/>
  <c r="P386" i="1"/>
  <c r="P390" i="1"/>
  <c r="P394" i="1"/>
  <c r="P398" i="1"/>
  <c r="P402" i="1"/>
  <c r="P406" i="1"/>
  <c r="P410" i="1"/>
  <c r="P414" i="1"/>
  <c r="P418" i="1"/>
  <c r="P422" i="1"/>
  <c r="P426" i="1"/>
  <c r="P430" i="1"/>
  <c r="P434" i="1"/>
  <c r="P438" i="1"/>
  <c r="P442" i="1"/>
  <c r="P446" i="1"/>
  <c r="P450" i="1"/>
  <c r="P454" i="1"/>
  <c r="P458" i="1"/>
  <c r="P462" i="1"/>
  <c r="I589" i="1"/>
  <c r="I551" i="1"/>
  <c r="P469" i="1"/>
  <c r="P473" i="1"/>
  <c r="P477" i="1"/>
  <c r="P481" i="1"/>
  <c r="P485" i="1"/>
  <c r="P489" i="1"/>
  <c r="P493" i="1"/>
  <c r="P497" i="1"/>
  <c r="P501" i="1"/>
  <c r="P505" i="1"/>
  <c r="P509" i="1"/>
  <c r="P513" i="1"/>
  <c r="P517" i="1"/>
  <c r="P521" i="1"/>
  <c r="P525" i="1"/>
  <c r="P529" i="1"/>
  <c r="P533" i="1"/>
  <c r="P537" i="1"/>
  <c r="P541" i="1"/>
  <c r="P545" i="1"/>
  <c r="P549" i="1"/>
  <c r="L586" i="1"/>
  <c r="L567" i="1"/>
  <c r="P552" i="1"/>
  <c r="P554" i="1"/>
  <c r="P556" i="1"/>
  <c r="P558" i="1"/>
  <c r="P560" i="1"/>
  <c r="P562" i="1"/>
  <c r="P565" i="1"/>
  <c r="I583" i="1"/>
  <c r="P569" i="1"/>
  <c r="P570" i="1"/>
  <c r="P573" i="1"/>
  <c r="P574" i="1"/>
  <c r="L15" i="2"/>
  <c r="L33" i="2" s="1"/>
  <c r="L22" i="2"/>
  <c r="L31" i="2"/>
  <c r="I53" i="2"/>
  <c r="L35" i="2"/>
  <c r="P35" i="2" s="1"/>
  <c r="L37" i="2"/>
  <c r="P37" i="2" s="1"/>
  <c r="L39" i="2"/>
  <c r="P39" i="2" s="1"/>
  <c r="L41" i="2"/>
  <c r="P41" i="2" s="1"/>
  <c r="L43" i="2"/>
  <c r="P43" i="2" s="1"/>
  <c r="L45" i="2"/>
  <c r="P45" i="2" s="1"/>
  <c r="L47" i="2"/>
  <c r="P47" i="2" s="1"/>
  <c r="L49" i="2"/>
  <c r="P49" i="2" s="1"/>
  <c r="L51" i="2"/>
  <c r="P51" i="2" s="1"/>
  <c r="J745" i="2"/>
  <c r="L59" i="2"/>
  <c r="P59" i="2" s="1"/>
  <c r="L61" i="2"/>
  <c r="P61" i="2" s="1"/>
  <c r="L63" i="2"/>
  <c r="P63" i="2" s="1"/>
  <c r="L65" i="2"/>
  <c r="P65" i="2" s="1"/>
  <c r="L67" i="2"/>
  <c r="P67" i="2" s="1"/>
  <c r="L71" i="2"/>
  <c r="P71" i="2" s="1"/>
  <c r="L73" i="2"/>
  <c r="P73" i="2" s="1"/>
  <c r="J92" i="2"/>
  <c r="L79" i="2"/>
  <c r="P79" i="2" s="1"/>
  <c r="L83" i="2"/>
  <c r="P83" i="2" s="1"/>
  <c r="L87" i="2"/>
  <c r="P87" i="2" s="1"/>
  <c r="L91" i="2"/>
  <c r="P91" i="2" s="1"/>
  <c r="P95" i="2"/>
  <c r="P100" i="2"/>
  <c r="L104" i="2"/>
  <c r="P104" i="2" s="1"/>
  <c r="L111" i="2"/>
  <c r="P111" i="2" s="1"/>
  <c r="L118" i="2"/>
  <c r="P118" i="2" s="1"/>
  <c r="L150" i="2"/>
  <c r="P150" i="2" s="1"/>
  <c r="L154" i="2"/>
  <c r="P154" i="2" s="1"/>
  <c r="L158" i="2"/>
  <c r="P158" i="2" s="1"/>
  <c r="L162" i="2"/>
  <c r="P162" i="2" s="1"/>
  <c r="L166" i="2"/>
  <c r="P166" i="2" s="1"/>
  <c r="L170" i="2"/>
  <c r="P170" i="2" s="1"/>
  <c r="L174" i="2"/>
  <c r="P174" i="2" s="1"/>
  <c r="L217" i="2"/>
  <c r="P217" i="2" s="1"/>
  <c r="L233" i="2"/>
  <c r="P233" i="2" s="1"/>
  <c r="K742" i="2"/>
  <c r="L398" i="2"/>
  <c r="P398" i="2" s="1"/>
  <c r="L606" i="2"/>
  <c r="P606" i="2" s="1"/>
  <c r="P238" i="1"/>
  <c r="P242" i="1"/>
  <c r="P246" i="1"/>
  <c r="P250" i="1"/>
  <c r="P254" i="1"/>
  <c r="P258" i="1"/>
  <c r="P262" i="1"/>
  <c r="P266" i="1"/>
  <c r="P270" i="1"/>
  <c r="P274" i="1"/>
  <c r="P278" i="1"/>
  <c r="P282" i="1"/>
  <c r="P286" i="1"/>
  <c r="P290" i="1"/>
  <c r="K295" i="1"/>
  <c r="P294" i="1"/>
  <c r="K465" i="1"/>
  <c r="P297" i="1"/>
  <c r="P301" i="1"/>
  <c r="P305" i="1"/>
  <c r="P309" i="1"/>
  <c r="P313" i="1"/>
  <c r="P317" i="1"/>
  <c r="P321" i="1"/>
  <c r="P325" i="1"/>
  <c r="P329" i="1"/>
  <c r="P333" i="1"/>
  <c r="P337" i="1"/>
  <c r="P341" i="1"/>
  <c r="P345" i="1"/>
  <c r="P349" i="1"/>
  <c r="P353" i="1"/>
  <c r="P357" i="1"/>
  <c r="P361" i="1"/>
  <c r="P365" i="1"/>
  <c r="P369" i="1"/>
  <c r="P373" i="1"/>
  <c r="P377" i="1"/>
  <c r="P381" i="1"/>
  <c r="P385" i="1"/>
  <c r="P389" i="1"/>
  <c r="P393" i="1"/>
  <c r="P397" i="1"/>
  <c r="P401" i="1"/>
  <c r="P405" i="1"/>
  <c r="P409" i="1"/>
  <c r="P413" i="1"/>
  <c r="P417" i="1"/>
  <c r="P421" i="1"/>
  <c r="P425" i="1"/>
  <c r="P429" i="1"/>
  <c r="P433" i="1"/>
  <c r="P437" i="1"/>
  <c r="P441" i="1"/>
  <c r="P445" i="1"/>
  <c r="P449" i="1"/>
  <c r="P453" i="1"/>
  <c r="P457" i="1"/>
  <c r="P461" i="1"/>
  <c r="J589" i="1"/>
  <c r="J551" i="1"/>
  <c r="P468" i="1"/>
  <c r="P472" i="1"/>
  <c r="P476" i="1"/>
  <c r="P480" i="1"/>
  <c r="P484" i="1"/>
  <c r="P488" i="1"/>
  <c r="P492" i="1"/>
  <c r="P496" i="1"/>
  <c r="P500" i="1"/>
  <c r="P504" i="1"/>
  <c r="P508" i="1"/>
  <c r="P512" i="1"/>
  <c r="P516" i="1"/>
  <c r="P520" i="1"/>
  <c r="P524" i="1"/>
  <c r="P528" i="1"/>
  <c r="P532" i="1"/>
  <c r="P536" i="1"/>
  <c r="P540" i="1"/>
  <c r="P544" i="1"/>
  <c r="P548" i="1"/>
  <c r="I586" i="1"/>
  <c r="I567" i="1"/>
  <c r="J583" i="1"/>
  <c r="P584" i="1"/>
  <c r="K33" i="2"/>
  <c r="L18" i="2"/>
  <c r="L20" i="2"/>
  <c r="L25" i="2"/>
  <c r="L29" i="2"/>
  <c r="J53" i="2"/>
  <c r="J740" i="2"/>
  <c r="I746" i="2"/>
  <c r="L76" i="2"/>
  <c r="P76" i="2" s="1"/>
  <c r="L80" i="2"/>
  <c r="P80" i="2" s="1"/>
  <c r="L84" i="2"/>
  <c r="P84" i="2" s="1"/>
  <c r="L88" i="2"/>
  <c r="P88" i="2" s="1"/>
  <c r="J133" i="2"/>
  <c r="L116" i="2"/>
  <c r="P116" i="2" s="1"/>
  <c r="L123" i="2"/>
  <c r="P123" i="2" s="1"/>
  <c r="L130" i="2"/>
  <c r="P130" i="2" s="1"/>
  <c r="J178" i="2"/>
  <c r="L185" i="2"/>
  <c r="P185" i="2" s="1"/>
  <c r="L193" i="2"/>
  <c r="P193" i="2" s="1"/>
  <c r="L201" i="2"/>
  <c r="P201" i="2" s="1"/>
  <c r="L209" i="2"/>
  <c r="P209" i="2" s="1"/>
  <c r="L221" i="2"/>
  <c r="P221" i="2" s="1"/>
  <c r="L237" i="2"/>
  <c r="P237" i="2" s="1"/>
  <c r="P256" i="2"/>
  <c r="L374" i="2"/>
  <c r="P374" i="2" s="1"/>
  <c r="L406" i="2"/>
  <c r="P406" i="2" s="1"/>
  <c r="L559" i="2"/>
  <c r="P559" i="2" s="1"/>
  <c r="L563" i="2"/>
  <c r="P563" i="2" s="1"/>
  <c r="L567" i="2"/>
  <c r="P567" i="2" s="1"/>
  <c r="J744" i="2"/>
  <c r="I743" i="2"/>
  <c r="L742" i="2"/>
  <c r="P258" i="2"/>
  <c r="L263" i="2"/>
  <c r="P263" i="2" s="1"/>
  <c r="L267" i="2"/>
  <c r="P267" i="2" s="1"/>
  <c r="L271" i="2"/>
  <c r="P271" i="2" s="1"/>
  <c r="L275" i="2"/>
  <c r="P275" i="2" s="1"/>
  <c r="L279" i="2"/>
  <c r="P279" i="2" s="1"/>
  <c r="L283" i="2"/>
  <c r="P283" i="2" s="1"/>
  <c r="L287" i="2"/>
  <c r="P287" i="2" s="1"/>
  <c r="L295" i="2"/>
  <c r="P295" i="2" s="1"/>
  <c r="L299" i="2"/>
  <c r="P299" i="2" s="1"/>
  <c r="L303" i="2"/>
  <c r="P303" i="2" s="1"/>
  <c r="L307" i="2"/>
  <c r="P307" i="2" s="1"/>
  <c r="L311" i="2"/>
  <c r="P311" i="2" s="1"/>
  <c r="L315" i="2"/>
  <c r="P315" i="2" s="1"/>
  <c r="L319" i="2"/>
  <c r="P319" i="2" s="1"/>
  <c r="L323" i="2"/>
  <c r="P323" i="2" s="1"/>
  <c r="L335" i="2"/>
  <c r="P335" i="2" s="1"/>
  <c r="L339" i="2"/>
  <c r="P339" i="2" s="1"/>
  <c r="L343" i="2"/>
  <c r="P343" i="2" s="1"/>
  <c r="L347" i="2"/>
  <c r="P347" i="2" s="1"/>
  <c r="L351" i="2"/>
  <c r="P351" i="2" s="1"/>
  <c r="L355" i="2"/>
  <c r="P355" i="2" s="1"/>
  <c r="L359" i="2"/>
  <c r="P359" i="2" s="1"/>
  <c r="L363" i="2"/>
  <c r="P363" i="2" s="1"/>
  <c r="L372" i="2"/>
  <c r="P372" i="2" s="1"/>
  <c r="L380" i="2"/>
  <c r="P380" i="2" s="1"/>
  <c r="L388" i="2"/>
  <c r="P388" i="2" s="1"/>
  <c r="L396" i="2"/>
  <c r="P396" i="2" s="1"/>
  <c r="L404" i="2"/>
  <c r="P404" i="2" s="1"/>
  <c r="L412" i="2"/>
  <c r="P412" i="2" s="1"/>
  <c r="L420" i="2"/>
  <c r="P420" i="2" s="1"/>
  <c r="L428" i="2"/>
  <c r="P428" i="2" s="1"/>
  <c r="L436" i="2"/>
  <c r="P436" i="2" s="1"/>
  <c r="L444" i="2"/>
  <c r="P444" i="2" s="1"/>
  <c r="L452" i="2"/>
  <c r="P452" i="2" s="1"/>
  <c r="L460" i="2"/>
  <c r="P460" i="2" s="1"/>
  <c r="L468" i="2"/>
  <c r="P468" i="2" s="1"/>
  <c r="L484" i="2"/>
  <c r="P484" i="2" s="1"/>
  <c r="L492" i="2"/>
  <c r="P492" i="2" s="1"/>
  <c r="L500" i="2"/>
  <c r="P500" i="2" s="1"/>
  <c r="L508" i="2"/>
  <c r="P508" i="2" s="1"/>
  <c r="L516" i="2"/>
  <c r="P516" i="2" s="1"/>
  <c r="L524" i="2"/>
  <c r="P524" i="2" s="1"/>
  <c r="L553" i="2"/>
  <c r="P553" i="2" s="1"/>
  <c r="L557" i="2"/>
  <c r="P557" i="2" s="1"/>
  <c r="P586" i="2"/>
  <c r="L620" i="2"/>
  <c r="P620" i="2" s="1"/>
  <c r="L646" i="2"/>
  <c r="P646" i="2" s="1"/>
  <c r="L649" i="2"/>
  <c r="P649" i="2" s="1"/>
  <c r="L652" i="2"/>
  <c r="P652" i="2" s="1"/>
  <c r="L723" i="2"/>
  <c r="P723" i="2" s="1"/>
  <c r="P577" i="1"/>
  <c r="P579" i="1"/>
  <c r="P581" i="1"/>
  <c r="I33" i="2"/>
  <c r="P34" i="2"/>
  <c r="K745" i="2"/>
  <c r="P56" i="2"/>
  <c r="L746" i="2"/>
  <c r="P57" i="2"/>
  <c r="P75" i="2"/>
  <c r="L78" i="2"/>
  <c r="P78" i="2" s="1"/>
  <c r="L82" i="2"/>
  <c r="P82" i="2" s="1"/>
  <c r="L86" i="2"/>
  <c r="P86" i="2" s="1"/>
  <c r="L90" i="2"/>
  <c r="P90" i="2" s="1"/>
  <c r="L106" i="2"/>
  <c r="P106" i="2" s="1"/>
  <c r="L108" i="2"/>
  <c r="P108" i="2" s="1"/>
  <c r="L115" i="2"/>
  <c r="P115" i="2" s="1"/>
  <c r="L122" i="2"/>
  <c r="P122" i="2" s="1"/>
  <c r="L124" i="2"/>
  <c r="P124" i="2" s="1"/>
  <c r="L131" i="2"/>
  <c r="P131" i="2" s="1"/>
  <c r="I147" i="2"/>
  <c r="L152" i="2"/>
  <c r="P152" i="2" s="1"/>
  <c r="L156" i="2"/>
  <c r="P156" i="2" s="1"/>
  <c r="L160" i="2"/>
  <c r="P160" i="2" s="1"/>
  <c r="L164" i="2"/>
  <c r="P164" i="2" s="1"/>
  <c r="L168" i="2"/>
  <c r="P168" i="2" s="1"/>
  <c r="L172" i="2"/>
  <c r="P172" i="2" s="1"/>
  <c r="L176" i="2"/>
  <c r="P176" i="2" s="1"/>
  <c r="L180" i="2"/>
  <c r="P180" i="2" s="1"/>
  <c r="L182" i="2"/>
  <c r="P182" i="2" s="1"/>
  <c r="L184" i="2"/>
  <c r="P184" i="2" s="1"/>
  <c r="L186" i="2"/>
  <c r="P186" i="2" s="1"/>
  <c r="L188" i="2"/>
  <c r="P188" i="2" s="1"/>
  <c r="L190" i="2"/>
  <c r="P190" i="2" s="1"/>
  <c r="L192" i="2"/>
  <c r="P192" i="2" s="1"/>
  <c r="L194" i="2"/>
  <c r="P194" i="2" s="1"/>
  <c r="L196" i="2"/>
  <c r="P196" i="2" s="1"/>
  <c r="L198" i="2"/>
  <c r="P198" i="2" s="1"/>
  <c r="L200" i="2"/>
  <c r="P200" i="2" s="1"/>
  <c r="L202" i="2"/>
  <c r="P202" i="2" s="1"/>
  <c r="L204" i="2"/>
  <c r="P204" i="2" s="1"/>
  <c r="L206" i="2"/>
  <c r="P206" i="2" s="1"/>
  <c r="L208" i="2"/>
  <c r="P208" i="2" s="1"/>
  <c r="L210" i="2"/>
  <c r="P210" i="2" s="1"/>
  <c r="L212" i="2"/>
  <c r="P212" i="2" s="1"/>
  <c r="L214" i="2"/>
  <c r="P214" i="2" s="1"/>
  <c r="L216" i="2"/>
  <c r="P216" i="2" s="1"/>
  <c r="L218" i="2"/>
  <c r="P218" i="2" s="1"/>
  <c r="L220" i="2"/>
  <c r="P220" i="2" s="1"/>
  <c r="L222" i="2"/>
  <c r="P222" i="2" s="1"/>
  <c r="L224" i="2"/>
  <c r="P224" i="2" s="1"/>
  <c r="L226" i="2"/>
  <c r="P226" i="2" s="1"/>
  <c r="L228" i="2"/>
  <c r="P228" i="2" s="1"/>
  <c r="L230" i="2"/>
  <c r="P230" i="2" s="1"/>
  <c r="L232" i="2"/>
  <c r="P232" i="2" s="1"/>
  <c r="L234" i="2"/>
  <c r="P234" i="2" s="1"/>
  <c r="L236" i="2"/>
  <c r="P236" i="2" s="1"/>
  <c r="L238" i="2"/>
  <c r="P238" i="2" s="1"/>
  <c r="L240" i="2"/>
  <c r="P240" i="2" s="1"/>
  <c r="L242" i="2"/>
  <c r="P242" i="2" s="1"/>
  <c r="L244" i="2"/>
  <c r="P244" i="2" s="1"/>
  <c r="L246" i="2"/>
  <c r="P246" i="2" s="1"/>
  <c r="L260" i="2"/>
  <c r="P260" i="2" s="1"/>
  <c r="L264" i="2"/>
  <c r="P264" i="2" s="1"/>
  <c r="L268" i="2"/>
  <c r="P268" i="2" s="1"/>
  <c r="L272" i="2"/>
  <c r="P272" i="2" s="1"/>
  <c r="L276" i="2"/>
  <c r="P276" i="2" s="1"/>
  <c r="L280" i="2"/>
  <c r="P280" i="2" s="1"/>
  <c r="L284" i="2"/>
  <c r="P284" i="2" s="1"/>
  <c r="L288" i="2"/>
  <c r="P288" i="2" s="1"/>
  <c r="L296" i="2"/>
  <c r="P296" i="2" s="1"/>
  <c r="L300" i="2"/>
  <c r="P300" i="2" s="1"/>
  <c r="L304" i="2"/>
  <c r="P304" i="2" s="1"/>
  <c r="L308" i="2"/>
  <c r="P308" i="2" s="1"/>
  <c r="L312" i="2"/>
  <c r="P312" i="2" s="1"/>
  <c r="L316" i="2"/>
  <c r="P316" i="2" s="1"/>
  <c r="L320" i="2"/>
  <c r="P320" i="2" s="1"/>
  <c r="L324" i="2"/>
  <c r="P324" i="2" s="1"/>
  <c r="L332" i="2"/>
  <c r="P332" i="2" s="1"/>
  <c r="L336" i="2"/>
  <c r="P336" i="2" s="1"/>
  <c r="L340" i="2"/>
  <c r="P340" i="2" s="1"/>
  <c r="L344" i="2"/>
  <c r="P344" i="2" s="1"/>
  <c r="L348" i="2"/>
  <c r="P348" i="2" s="1"/>
  <c r="L352" i="2"/>
  <c r="P352" i="2" s="1"/>
  <c r="L356" i="2"/>
  <c r="P356" i="2" s="1"/>
  <c r="L360" i="2"/>
  <c r="P360" i="2" s="1"/>
  <c r="L364" i="2"/>
  <c r="P364" i="2" s="1"/>
  <c r="K585" i="2"/>
  <c r="L370" i="2"/>
  <c r="P370" i="2" s="1"/>
  <c r="L378" i="2"/>
  <c r="P378" i="2" s="1"/>
  <c r="L386" i="2"/>
  <c r="P386" i="2" s="1"/>
  <c r="L394" i="2"/>
  <c r="P394" i="2" s="1"/>
  <c r="L402" i="2"/>
  <c r="P402" i="2" s="1"/>
  <c r="L410" i="2"/>
  <c r="P410" i="2" s="1"/>
  <c r="P474" i="2"/>
  <c r="L528" i="2"/>
  <c r="P528" i="2" s="1"/>
  <c r="L534" i="2"/>
  <c r="P534" i="2" s="1"/>
  <c r="L551" i="2"/>
  <c r="P551" i="2" s="1"/>
  <c r="L575" i="2"/>
  <c r="P575" i="2" s="1"/>
  <c r="L579" i="2"/>
  <c r="P579" i="2" s="1"/>
  <c r="L583" i="2"/>
  <c r="P583" i="2" s="1"/>
  <c r="L598" i="2"/>
  <c r="P598" i="2" s="1"/>
  <c r="L614" i="2"/>
  <c r="P614" i="2" s="1"/>
  <c r="L635" i="2"/>
  <c r="P635" i="2" s="1"/>
  <c r="L702" i="2"/>
  <c r="P702" i="2" s="1"/>
  <c r="L708" i="2"/>
  <c r="P708" i="2" s="1"/>
  <c r="L717" i="2"/>
  <c r="P717" i="2" s="1"/>
  <c r="P564" i="1"/>
  <c r="P566" i="1"/>
  <c r="K583" i="1"/>
  <c r="J33" i="2"/>
  <c r="L16" i="2"/>
  <c r="L19" i="2"/>
  <c r="L24" i="2"/>
  <c r="L27" i="2"/>
  <c r="L32" i="2"/>
  <c r="L38" i="2"/>
  <c r="P38" i="2" s="1"/>
  <c r="L42" i="2"/>
  <c r="P42" i="2" s="1"/>
  <c r="L46" i="2"/>
  <c r="P46" i="2" s="1"/>
  <c r="L50" i="2"/>
  <c r="P50" i="2" s="1"/>
  <c r="I740" i="2"/>
  <c r="L72" i="2"/>
  <c r="P72" i="2" s="1"/>
  <c r="L77" i="2"/>
  <c r="P77" i="2" s="1"/>
  <c r="L81" i="2"/>
  <c r="P81" i="2" s="1"/>
  <c r="L85" i="2"/>
  <c r="P85" i="2" s="1"/>
  <c r="L89" i="2"/>
  <c r="P89" i="2" s="1"/>
  <c r="I98" i="2"/>
  <c r="L96" i="2"/>
  <c r="P96" i="2" s="1"/>
  <c r="I133" i="2"/>
  <c r="L103" i="2"/>
  <c r="P103" i="2" s="1"/>
  <c r="L110" i="2"/>
  <c r="P110" i="2" s="1"/>
  <c r="L112" i="2"/>
  <c r="P112" i="2" s="1"/>
  <c r="L119" i="2"/>
  <c r="P119" i="2" s="1"/>
  <c r="L126" i="2"/>
  <c r="P126" i="2" s="1"/>
  <c r="L128" i="2"/>
  <c r="P128" i="2" s="1"/>
  <c r="J147" i="2"/>
  <c r="L135" i="2"/>
  <c r="P135" i="2" s="1"/>
  <c r="L139" i="2"/>
  <c r="P139" i="2" s="1"/>
  <c r="L143" i="2"/>
  <c r="P143" i="2" s="1"/>
  <c r="I178" i="2"/>
  <c r="L151" i="2"/>
  <c r="P151" i="2" s="1"/>
  <c r="L155" i="2"/>
  <c r="P155" i="2" s="1"/>
  <c r="L159" i="2"/>
  <c r="P159" i="2" s="1"/>
  <c r="L163" i="2"/>
  <c r="P163" i="2" s="1"/>
  <c r="L167" i="2"/>
  <c r="P167" i="2" s="1"/>
  <c r="L171" i="2"/>
  <c r="P171" i="2" s="1"/>
  <c r="L175" i="2"/>
  <c r="P175" i="2" s="1"/>
  <c r="L376" i="2"/>
  <c r="P376" i="2" s="1"/>
  <c r="L384" i="2"/>
  <c r="P384" i="2" s="1"/>
  <c r="L392" i="2"/>
  <c r="P392" i="2" s="1"/>
  <c r="L400" i="2"/>
  <c r="P400" i="2" s="1"/>
  <c r="L408" i="2"/>
  <c r="P408" i="2" s="1"/>
  <c r="L416" i="2"/>
  <c r="P416" i="2" s="1"/>
  <c r="L424" i="2"/>
  <c r="P424" i="2" s="1"/>
  <c r="L432" i="2"/>
  <c r="P432" i="2" s="1"/>
  <c r="L440" i="2"/>
  <c r="P440" i="2" s="1"/>
  <c r="L448" i="2"/>
  <c r="P448" i="2" s="1"/>
  <c r="L456" i="2"/>
  <c r="P456" i="2" s="1"/>
  <c r="L464" i="2"/>
  <c r="P464" i="2" s="1"/>
  <c r="L472" i="2"/>
  <c r="P472" i="2" s="1"/>
  <c r="L480" i="2"/>
  <c r="P480" i="2" s="1"/>
  <c r="L488" i="2"/>
  <c r="P488" i="2" s="1"/>
  <c r="L496" i="2"/>
  <c r="P496" i="2" s="1"/>
  <c r="L504" i="2"/>
  <c r="P504" i="2" s="1"/>
  <c r="L512" i="2"/>
  <c r="P512" i="2" s="1"/>
  <c r="L520" i="2"/>
  <c r="P520" i="2" s="1"/>
  <c r="L529" i="2"/>
  <c r="P529" i="2" s="1"/>
  <c r="L569" i="2"/>
  <c r="P569" i="2" s="1"/>
  <c r="L573" i="2"/>
  <c r="P573" i="2" s="1"/>
  <c r="L630" i="2"/>
  <c r="P630" i="2" s="1"/>
  <c r="L633" i="2"/>
  <c r="P633" i="2" s="1"/>
  <c r="L636" i="2"/>
  <c r="P636" i="2" s="1"/>
  <c r="L676" i="2"/>
  <c r="P676" i="2" s="1"/>
  <c r="P14" i="2"/>
  <c r="K53" i="2"/>
  <c r="K740" i="2"/>
  <c r="L745" i="2"/>
  <c r="P55" i="2"/>
  <c r="K746" i="2"/>
  <c r="J74" i="2"/>
  <c r="K92" i="2"/>
  <c r="P94" i="2"/>
  <c r="K98" i="2"/>
  <c r="K133" i="2"/>
  <c r="L101" i="2"/>
  <c r="P101" i="2" s="1"/>
  <c r="L105" i="2"/>
  <c r="P105" i="2" s="1"/>
  <c r="L109" i="2"/>
  <c r="P109" i="2" s="1"/>
  <c r="L113" i="2"/>
  <c r="P113" i="2" s="1"/>
  <c r="L117" i="2"/>
  <c r="P117" i="2" s="1"/>
  <c r="L121" i="2"/>
  <c r="P121" i="2" s="1"/>
  <c r="L125" i="2"/>
  <c r="P125" i="2" s="1"/>
  <c r="L129" i="2"/>
  <c r="P129" i="2" s="1"/>
  <c r="P134" i="2"/>
  <c r="K178" i="2"/>
  <c r="K252" i="2"/>
  <c r="L248" i="2"/>
  <c r="P248" i="2" s="1"/>
  <c r="L249" i="2"/>
  <c r="P249" i="2" s="1"/>
  <c r="L250" i="2"/>
  <c r="P250" i="2" s="1"/>
  <c r="L251" i="2"/>
  <c r="P251" i="2" s="1"/>
  <c r="K744" i="2"/>
  <c r="J743" i="2"/>
  <c r="L262" i="2"/>
  <c r="P262" i="2" s="1"/>
  <c r="L266" i="2"/>
  <c r="P266" i="2" s="1"/>
  <c r="L270" i="2"/>
  <c r="P270" i="2" s="1"/>
  <c r="L274" i="2"/>
  <c r="P274" i="2" s="1"/>
  <c r="L278" i="2"/>
  <c r="P278" i="2" s="1"/>
  <c r="L282" i="2"/>
  <c r="P282" i="2" s="1"/>
  <c r="L286" i="2"/>
  <c r="P286" i="2" s="1"/>
  <c r="L290" i="2"/>
  <c r="P290" i="2" s="1"/>
  <c r="L298" i="2"/>
  <c r="P298" i="2" s="1"/>
  <c r="L302" i="2"/>
  <c r="P302" i="2" s="1"/>
  <c r="L306" i="2"/>
  <c r="P306" i="2" s="1"/>
  <c r="L310" i="2"/>
  <c r="P310" i="2" s="1"/>
  <c r="L314" i="2"/>
  <c r="P314" i="2" s="1"/>
  <c r="L318" i="2"/>
  <c r="P318" i="2" s="1"/>
  <c r="L322" i="2"/>
  <c r="P322" i="2" s="1"/>
  <c r="L326" i="2"/>
  <c r="P326" i="2" s="1"/>
  <c r="L334" i="2"/>
  <c r="P334" i="2" s="1"/>
  <c r="L338" i="2"/>
  <c r="P338" i="2" s="1"/>
  <c r="L342" i="2"/>
  <c r="P342" i="2" s="1"/>
  <c r="L346" i="2"/>
  <c r="P346" i="2" s="1"/>
  <c r="L350" i="2"/>
  <c r="P350" i="2" s="1"/>
  <c r="L354" i="2"/>
  <c r="P354" i="2" s="1"/>
  <c r="L358" i="2"/>
  <c r="P358" i="2" s="1"/>
  <c r="L362" i="2"/>
  <c r="P362" i="2" s="1"/>
  <c r="L366" i="2"/>
  <c r="P366" i="2" s="1"/>
  <c r="L417" i="2"/>
  <c r="P417" i="2" s="1"/>
  <c r="L421" i="2"/>
  <c r="P421" i="2" s="1"/>
  <c r="L425" i="2"/>
  <c r="P425" i="2" s="1"/>
  <c r="L429" i="2"/>
  <c r="P429" i="2" s="1"/>
  <c r="L433" i="2"/>
  <c r="P433" i="2" s="1"/>
  <c r="L437" i="2"/>
  <c r="P437" i="2" s="1"/>
  <c r="L441" i="2"/>
  <c r="P441" i="2" s="1"/>
  <c r="L445" i="2"/>
  <c r="P445" i="2" s="1"/>
  <c r="L449" i="2"/>
  <c r="P449" i="2" s="1"/>
  <c r="L453" i="2"/>
  <c r="P453" i="2" s="1"/>
  <c r="L457" i="2"/>
  <c r="P457" i="2" s="1"/>
  <c r="L461" i="2"/>
  <c r="P461" i="2" s="1"/>
  <c r="L465" i="2"/>
  <c r="P465" i="2" s="1"/>
  <c r="L469" i="2"/>
  <c r="P469" i="2" s="1"/>
  <c r="L477" i="2"/>
  <c r="P477" i="2" s="1"/>
  <c r="L481" i="2"/>
  <c r="P481" i="2" s="1"/>
  <c r="L485" i="2"/>
  <c r="P485" i="2" s="1"/>
  <c r="L489" i="2"/>
  <c r="P489" i="2" s="1"/>
  <c r="L493" i="2"/>
  <c r="P493" i="2" s="1"/>
  <c r="L497" i="2"/>
  <c r="P497" i="2" s="1"/>
  <c r="L501" i="2"/>
  <c r="P501" i="2" s="1"/>
  <c r="L505" i="2"/>
  <c r="P505" i="2" s="1"/>
  <c r="L509" i="2"/>
  <c r="P509" i="2" s="1"/>
  <c r="L513" i="2"/>
  <c r="P513" i="2" s="1"/>
  <c r="L517" i="2"/>
  <c r="P517" i="2" s="1"/>
  <c r="L521" i="2"/>
  <c r="P521" i="2" s="1"/>
  <c r="L525" i="2"/>
  <c r="P525" i="2" s="1"/>
  <c r="L532" i="2"/>
  <c r="P532" i="2" s="1"/>
  <c r="L594" i="2"/>
  <c r="P594" i="2" s="1"/>
  <c r="L602" i="2"/>
  <c r="P602" i="2" s="1"/>
  <c r="L610" i="2"/>
  <c r="P610" i="2" s="1"/>
  <c r="L618" i="2"/>
  <c r="P618" i="2" s="1"/>
  <c r="L627" i="2"/>
  <c r="P627" i="2" s="1"/>
  <c r="L643" i="2"/>
  <c r="P643" i="2" s="1"/>
  <c r="L657" i="2"/>
  <c r="P657" i="2" s="1"/>
  <c r="L660" i="2"/>
  <c r="P660" i="2" s="1"/>
  <c r="L686" i="2"/>
  <c r="P686" i="2" s="1"/>
  <c r="L692" i="2"/>
  <c r="P692" i="2" s="1"/>
  <c r="P149" i="2"/>
  <c r="L177" i="2"/>
  <c r="P177" i="2" s="1"/>
  <c r="P179" i="2"/>
  <c r="L183" i="2"/>
  <c r="P183" i="2" s="1"/>
  <c r="L187" i="2"/>
  <c r="P187" i="2" s="1"/>
  <c r="L191" i="2"/>
  <c r="P191" i="2" s="1"/>
  <c r="L195" i="2"/>
  <c r="P195" i="2" s="1"/>
  <c r="L199" i="2"/>
  <c r="P199" i="2" s="1"/>
  <c r="L203" i="2"/>
  <c r="P203" i="2" s="1"/>
  <c r="L207" i="2"/>
  <c r="P207" i="2" s="1"/>
  <c r="L211" i="2"/>
  <c r="P211" i="2" s="1"/>
  <c r="L215" i="2"/>
  <c r="P215" i="2" s="1"/>
  <c r="L219" i="2"/>
  <c r="P219" i="2" s="1"/>
  <c r="L223" i="2"/>
  <c r="P223" i="2" s="1"/>
  <c r="L227" i="2"/>
  <c r="P227" i="2" s="1"/>
  <c r="L231" i="2"/>
  <c r="P231" i="2" s="1"/>
  <c r="L235" i="2"/>
  <c r="P235" i="2" s="1"/>
  <c r="L239" i="2"/>
  <c r="P239" i="2" s="1"/>
  <c r="L243" i="2"/>
  <c r="P243" i="2" s="1"/>
  <c r="P254" i="2"/>
  <c r="K743" i="2"/>
  <c r="I742" i="2"/>
  <c r="L261" i="2"/>
  <c r="P261" i="2" s="1"/>
  <c r="L265" i="2"/>
  <c r="P265" i="2" s="1"/>
  <c r="L269" i="2"/>
  <c r="P269" i="2" s="1"/>
  <c r="L273" i="2"/>
  <c r="P273" i="2" s="1"/>
  <c r="L277" i="2"/>
  <c r="P277" i="2" s="1"/>
  <c r="L281" i="2"/>
  <c r="P281" i="2" s="1"/>
  <c r="L285" i="2"/>
  <c r="P285" i="2" s="1"/>
  <c r="L289" i="2"/>
  <c r="P289" i="2" s="1"/>
  <c r="L297" i="2"/>
  <c r="P297" i="2" s="1"/>
  <c r="L301" i="2"/>
  <c r="P301" i="2" s="1"/>
  <c r="L305" i="2"/>
  <c r="P305" i="2" s="1"/>
  <c r="L309" i="2"/>
  <c r="P309" i="2" s="1"/>
  <c r="L313" i="2"/>
  <c r="P313" i="2" s="1"/>
  <c r="L317" i="2"/>
  <c r="P317" i="2" s="1"/>
  <c r="L321" i="2"/>
  <c r="P321" i="2" s="1"/>
  <c r="L325" i="2"/>
  <c r="P325" i="2" s="1"/>
  <c r="L333" i="2"/>
  <c r="P333" i="2" s="1"/>
  <c r="L337" i="2"/>
  <c r="P337" i="2" s="1"/>
  <c r="L341" i="2"/>
  <c r="P341" i="2" s="1"/>
  <c r="L345" i="2"/>
  <c r="P345" i="2" s="1"/>
  <c r="L349" i="2"/>
  <c r="P349" i="2" s="1"/>
  <c r="L353" i="2"/>
  <c r="P353" i="2" s="1"/>
  <c r="L357" i="2"/>
  <c r="P357" i="2" s="1"/>
  <c r="L361" i="2"/>
  <c r="P361" i="2" s="1"/>
  <c r="L365" i="2"/>
  <c r="P365" i="2" s="1"/>
  <c r="J585" i="2"/>
  <c r="L369" i="2"/>
  <c r="P369" i="2" s="1"/>
  <c r="L371" i="2"/>
  <c r="P371" i="2" s="1"/>
  <c r="L373" i="2"/>
  <c r="P373" i="2" s="1"/>
  <c r="L375" i="2"/>
  <c r="P375" i="2" s="1"/>
  <c r="L377" i="2"/>
  <c r="P377" i="2" s="1"/>
  <c r="L379" i="2"/>
  <c r="P379" i="2" s="1"/>
  <c r="L381" i="2"/>
  <c r="P381" i="2" s="1"/>
  <c r="L383" i="2"/>
  <c r="P383" i="2" s="1"/>
  <c r="L385" i="2"/>
  <c r="P385" i="2" s="1"/>
  <c r="L387" i="2"/>
  <c r="P387" i="2" s="1"/>
  <c r="L389" i="2"/>
  <c r="P389" i="2" s="1"/>
  <c r="L391" i="2"/>
  <c r="P391" i="2" s="1"/>
  <c r="L393" i="2"/>
  <c r="P393" i="2" s="1"/>
  <c r="L395" i="2"/>
  <c r="P395" i="2" s="1"/>
  <c r="L397" i="2"/>
  <c r="P397" i="2" s="1"/>
  <c r="L399" i="2"/>
  <c r="P399" i="2" s="1"/>
  <c r="L401" i="2"/>
  <c r="P401" i="2" s="1"/>
  <c r="L403" i="2"/>
  <c r="P403" i="2" s="1"/>
  <c r="L405" i="2"/>
  <c r="P405" i="2" s="1"/>
  <c r="L407" i="2"/>
  <c r="P407" i="2" s="1"/>
  <c r="L409" i="2"/>
  <c r="P409" i="2" s="1"/>
  <c r="L411" i="2"/>
  <c r="P411" i="2" s="1"/>
  <c r="L413" i="2"/>
  <c r="P413" i="2" s="1"/>
  <c r="L415" i="2"/>
  <c r="P415" i="2" s="1"/>
  <c r="P473" i="2"/>
  <c r="L530" i="2"/>
  <c r="P530" i="2" s="1"/>
  <c r="L538" i="2"/>
  <c r="P538" i="2" s="1"/>
  <c r="L546" i="2"/>
  <c r="P546" i="2" s="1"/>
  <c r="L549" i="2"/>
  <c r="P549" i="2" s="1"/>
  <c r="L555" i="2"/>
  <c r="P555" i="2" s="1"/>
  <c r="L561" i="2"/>
  <c r="P561" i="2" s="1"/>
  <c r="L565" i="2"/>
  <c r="P565" i="2" s="1"/>
  <c r="L571" i="2"/>
  <c r="P571" i="2" s="1"/>
  <c r="L577" i="2"/>
  <c r="P577" i="2" s="1"/>
  <c r="L581" i="2"/>
  <c r="P581" i="2" s="1"/>
  <c r="L622" i="2"/>
  <c r="P622" i="2" s="1"/>
  <c r="L625" i="2"/>
  <c r="P625" i="2" s="1"/>
  <c r="L628" i="2"/>
  <c r="P628" i="2" s="1"/>
  <c r="L638" i="2"/>
  <c r="P638" i="2" s="1"/>
  <c r="L641" i="2"/>
  <c r="P641" i="2" s="1"/>
  <c r="L644" i="2"/>
  <c r="P644" i="2" s="1"/>
  <c r="L654" i="2"/>
  <c r="P654" i="2" s="1"/>
  <c r="L733" i="2"/>
  <c r="P733" i="2" s="1"/>
  <c r="P368" i="2"/>
  <c r="L419" i="2"/>
  <c r="P419" i="2" s="1"/>
  <c r="L423" i="2"/>
  <c r="P423" i="2" s="1"/>
  <c r="L427" i="2"/>
  <c r="P427" i="2" s="1"/>
  <c r="L431" i="2"/>
  <c r="P431" i="2" s="1"/>
  <c r="L435" i="2"/>
  <c r="P435" i="2" s="1"/>
  <c r="L439" i="2"/>
  <c r="P439" i="2" s="1"/>
  <c r="L443" i="2"/>
  <c r="P443" i="2" s="1"/>
  <c r="L447" i="2"/>
  <c r="P447" i="2" s="1"/>
  <c r="L451" i="2"/>
  <c r="P451" i="2" s="1"/>
  <c r="L455" i="2"/>
  <c r="P455" i="2" s="1"/>
  <c r="L459" i="2"/>
  <c r="P459" i="2" s="1"/>
  <c r="L463" i="2"/>
  <c r="P463" i="2" s="1"/>
  <c r="L467" i="2"/>
  <c r="P467" i="2" s="1"/>
  <c r="L471" i="2"/>
  <c r="P471" i="2" s="1"/>
  <c r="P476" i="2"/>
  <c r="L479" i="2"/>
  <c r="P479" i="2" s="1"/>
  <c r="L483" i="2"/>
  <c r="P483" i="2" s="1"/>
  <c r="L487" i="2"/>
  <c r="P487" i="2" s="1"/>
  <c r="L491" i="2"/>
  <c r="P491" i="2" s="1"/>
  <c r="L495" i="2"/>
  <c r="P495" i="2" s="1"/>
  <c r="L499" i="2"/>
  <c r="P499" i="2" s="1"/>
  <c r="L503" i="2"/>
  <c r="P503" i="2" s="1"/>
  <c r="L507" i="2"/>
  <c r="P507" i="2" s="1"/>
  <c r="L511" i="2"/>
  <c r="P511" i="2" s="1"/>
  <c r="L515" i="2"/>
  <c r="P515" i="2" s="1"/>
  <c r="L519" i="2"/>
  <c r="P519" i="2" s="1"/>
  <c r="L523" i="2"/>
  <c r="P523" i="2" s="1"/>
  <c r="L527" i="2"/>
  <c r="P527" i="2" s="1"/>
  <c r="L531" i="2"/>
  <c r="P531" i="2" s="1"/>
  <c r="L533" i="2"/>
  <c r="P533" i="2" s="1"/>
  <c r="L537" i="2"/>
  <c r="P537" i="2" s="1"/>
  <c r="L541" i="2"/>
  <c r="P541" i="2" s="1"/>
  <c r="L545" i="2"/>
  <c r="P545" i="2" s="1"/>
  <c r="L623" i="2"/>
  <c r="P623" i="2" s="1"/>
  <c r="L626" i="2"/>
  <c r="P626" i="2" s="1"/>
  <c r="L631" i="2"/>
  <c r="P631" i="2" s="1"/>
  <c r="L634" i="2"/>
  <c r="P634" i="2" s="1"/>
  <c r="L639" i="2"/>
  <c r="P639" i="2" s="1"/>
  <c r="L642" i="2"/>
  <c r="P642" i="2" s="1"/>
  <c r="L647" i="2"/>
  <c r="P647" i="2" s="1"/>
  <c r="L650" i="2"/>
  <c r="P650" i="2" s="1"/>
  <c r="L655" i="2"/>
  <c r="P655" i="2" s="1"/>
  <c r="L658" i="2"/>
  <c r="P658" i="2" s="1"/>
  <c r="L700" i="2"/>
  <c r="P700" i="2" s="1"/>
  <c r="L710" i="2"/>
  <c r="P710" i="2" s="1"/>
  <c r="K735" i="2"/>
  <c r="L725" i="2"/>
  <c r="P725" i="2" s="1"/>
  <c r="L731" i="2"/>
  <c r="P731" i="2" s="1"/>
  <c r="K741" i="2"/>
  <c r="K739" i="2"/>
  <c r="J252" i="2"/>
  <c r="L744" i="2"/>
  <c r="L743" i="2"/>
  <c r="P255" i="2"/>
  <c r="P257" i="2"/>
  <c r="J742" i="2"/>
  <c r="L291" i="2"/>
  <c r="P291" i="2" s="1"/>
  <c r="L292" i="2"/>
  <c r="P292" i="2" s="1"/>
  <c r="L293" i="2"/>
  <c r="P293" i="2" s="1"/>
  <c r="L294" i="2"/>
  <c r="P294" i="2" s="1"/>
  <c r="L327" i="2"/>
  <c r="P327" i="2" s="1"/>
  <c r="L328" i="2"/>
  <c r="P328" i="2" s="1"/>
  <c r="L329" i="2"/>
  <c r="P329" i="2" s="1"/>
  <c r="L330" i="2"/>
  <c r="P330" i="2" s="1"/>
  <c r="L331" i="2"/>
  <c r="P331" i="2" s="1"/>
  <c r="I585" i="2"/>
  <c r="L418" i="2"/>
  <c r="P418" i="2" s="1"/>
  <c r="L422" i="2"/>
  <c r="P422" i="2" s="1"/>
  <c r="L426" i="2"/>
  <c r="P426" i="2" s="1"/>
  <c r="L430" i="2"/>
  <c r="P430" i="2" s="1"/>
  <c r="L434" i="2"/>
  <c r="P434" i="2" s="1"/>
  <c r="L438" i="2"/>
  <c r="P438" i="2" s="1"/>
  <c r="L442" i="2"/>
  <c r="P442" i="2" s="1"/>
  <c r="L446" i="2"/>
  <c r="P446" i="2" s="1"/>
  <c r="L450" i="2"/>
  <c r="P450" i="2" s="1"/>
  <c r="L454" i="2"/>
  <c r="P454" i="2" s="1"/>
  <c r="L458" i="2"/>
  <c r="P458" i="2" s="1"/>
  <c r="L462" i="2"/>
  <c r="P462" i="2" s="1"/>
  <c r="L466" i="2"/>
  <c r="P466" i="2" s="1"/>
  <c r="L470" i="2"/>
  <c r="P470" i="2" s="1"/>
  <c r="P475" i="2"/>
  <c r="L478" i="2"/>
  <c r="P478" i="2" s="1"/>
  <c r="L482" i="2"/>
  <c r="P482" i="2" s="1"/>
  <c r="L486" i="2"/>
  <c r="P486" i="2" s="1"/>
  <c r="L490" i="2"/>
  <c r="P490" i="2" s="1"/>
  <c r="L494" i="2"/>
  <c r="P494" i="2" s="1"/>
  <c r="L498" i="2"/>
  <c r="P498" i="2" s="1"/>
  <c r="L502" i="2"/>
  <c r="P502" i="2" s="1"/>
  <c r="L506" i="2"/>
  <c r="P506" i="2" s="1"/>
  <c r="L510" i="2"/>
  <c r="P510" i="2" s="1"/>
  <c r="L514" i="2"/>
  <c r="P514" i="2" s="1"/>
  <c r="L518" i="2"/>
  <c r="P518" i="2" s="1"/>
  <c r="L522" i="2"/>
  <c r="P522" i="2" s="1"/>
  <c r="L526" i="2"/>
  <c r="P526" i="2" s="1"/>
  <c r="L550" i="2"/>
  <c r="P550" i="2" s="1"/>
  <c r="L589" i="2"/>
  <c r="P589" i="2" s="1"/>
  <c r="L593" i="2"/>
  <c r="P593" i="2" s="1"/>
  <c r="L597" i="2"/>
  <c r="P597" i="2" s="1"/>
  <c r="L601" i="2"/>
  <c r="P601" i="2" s="1"/>
  <c r="L605" i="2"/>
  <c r="P605" i="2" s="1"/>
  <c r="L609" i="2"/>
  <c r="P609" i="2" s="1"/>
  <c r="L613" i="2"/>
  <c r="P613" i="2" s="1"/>
  <c r="L617" i="2"/>
  <c r="P617" i="2" s="1"/>
  <c r="L621" i="2"/>
  <c r="P621" i="2" s="1"/>
  <c r="L624" i="2"/>
  <c r="P624" i="2" s="1"/>
  <c r="L629" i="2"/>
  <c r="P629" i="2" s="1"/>
  <c r="L632" i="2"/>
  <c r="P632" i="2" s="1"/>
  <c r="L637" i="2"/>
  <c r="P637" i="2" s="1"/>
  <c r="L640" i="2"/>
  <c r="P640" i="2" s="1"/>
  <c r="L645" i="2"/>
  <c r="P645" i="2" s="1"/>
  <c r="L648" i="2"/>
  <c r="P648" i="2" s="1"/>
  <c r="L653" i="2"/>
  <c r="P653" i="2" s="1"/>
  <c r="L662" i="2"/>
  <c r="P662" i="2" s="1"/>
  <c r="L668" i="2"/>
  <c r="P668" i="2" s="1"/>
  <c r="L678" i="2"/>
  <c r="P678" i="2" s="1"/>
  <c r="L684" i="2"/>
  <c r="P684" i="2" s="1"/>
  <c r="L694" i="2"/>
  <c r="P694" i="2" s="1"/>
  <c r="P736" i="2"/>
  <c r="L741" i="2"/>
  <c r="L739" i="2"/>
  <c r="L536" i="2"/>
  <c r="P536" i="2" s="1"/>
  <c r="L540" i="2"/>
  <c r="P540" i="2" s="1"/>
  <c r="L544" i="2"/>
  <c r="P544" i="2" s="1"/>
  <c r="L588" i="2"/>
  <c r="P588" i="2" s="1"/>
  <c r="L592" i="2"/>
  <c r="P592" i="2" s="1"/>
  <c r="L596" i="2"/>
  <c r="P596" i="2" s="1"/>
  <c r="L600" i="2"/>
  <c r="P600" i="2" s="1"/>
  <c r="L604" i="2"/>
  <c r="P604" i="2" s="1"/>
  <c r="L608" i="2"/>
  <c r="P608" i="2" s="1"/>
  <c r="L612" i="2"/>
  <c r="P612" i="2" s="1"/>
  <c r="L616" i="2"/>
  <c r="P616" i="2" s="1"/>
  <c r="L656" i="2"/>
  <c r="P656" i="2" s="1"/>
  <c r="L666" i="2"/>
  <c r="P666" i="2" s="1"/>
  <c r="L674" i="2"/>
  <c r="P674" i="2" s="1"/>
  <c r="L682" i="2"/>
  <c r="P682" i="2" s="1"/>
  <c r="L690" i="2"/>
  <c r="P690" i="2" s="1"/>
  <c r="L698" i="2"/>
  <c r="P698" i="2" s="1"/>
  <c r="L706" i="2"/>
  <c r="P706" i="2" s="1"/>
  <c r="L714" i="2"/>
  <c r="P714" i="2" s="1"/>
  <c r="L721" i="2"/>
  <c r="P721" i="2" s="1"/>
  <c r="L729" i="2"/>
  <c r="P729" i="2" s="1"/>
  <c r="L535" i="2"/>
  <c r="P535" i="2" s="1"/>
  <c r="L539" i="2"/>
  <c r="P539" i="2" s="1"/>
  <c r="L543" i="2"/>
  <c r="P543" i="2" s="1"/>
  <c r="L547" i="2"/>
  <c r="P547" i="2" s="1"/>
  <c r="L552" i="2"/>
  <c r="P552" i="2" s="1"/>
  <c r="L554" i="2"/>
  <c r="P554" i="2" s="1"/>
  <c r="L556" i="2"/>
  <c r="P556" i="2" s="1"/>
  <c r="L558" i="2"/>
  <c r="P558" i="2" s="1"/>
  <c r="L560" i="2"/>
  <c r="P560" i="2" s="1"/>
  <c r="L562" i="2"/>
  <c r="P562" i="2" s="1"/>
  <c r="L564" i="2"/>
  <c r="P564" i="2" s="1"/>
  <c r="L566" i="2"/>
  <c r="P566" i="2" s="1"/>
  <c r="L568" i="2"/>
  <c r="P568" i="2" s="1"/>
  <c r="L570" i="2"/>
  <c r="P570" i="2" s="1"/>
  <c r="L572" i="2"/>
  <c r="P572" i="2" s="1"/>
  <c r="L574" i="2"/>
  <c r="P574" i="2" s="1"/>
  <c r="L576" i="2"/>
  <c r="P576" i="2" s="1"/>
  <c r="L578" i="2"/>
  <c r="P578" i="2" s="1"/>
  <c r="L580" i="2"/>
  <c r="P580" i="2" s="1"/>
  <c r="L582" i="2"/>
  <c r="P582" i="2" s="1"/>
  <c r="L584" i="2"/>
  <c r="P584" i="2" s="1"/>
  <c r="I695" i="2"/>
  <c r="L587" i="2"/>
  <c r="P587" i="2" s="1"/>
  <c r="L591" i="2"/>
  <c r="P591" i="2" s="1"/>
  <c r="L595" i="2"/>
  <c r="P595" i="2" s="1"/>
  <c r="L599" i="2"/>
  <c r="P599" i="2" s="1"/>
  <c r="L603" i="2"/>
  <c r="P603" i="2" s="1"/>
  <c r="L607" i="2"/>
  <c r="P607" i="2" s="1"/>
  <c r="L611" i="2"/>
  <c r="P611" i="2" s="1"/>
  <c r="L615" i="2"/>
  <c r="P615" i="2" s="1"/>
  <c r="N619" i="2"/>
  <c r="L619" i="2"/>
  <c r="L664" i="2"/>
  <c r="P664" i="2" s="1"/>
  <c r="L672" i="2"/>
  <c r="P672" i="2" s="1"/>
  <c r="L680" i="2"/>
  <c r="P680" i="2" s="1"/>
  <c r="L688" i="2"/>
  <c r="P688" i="2" s="1"/>
  <c r="L704" i="2"/>
  <c r="P704" i="2" s="1"/>
  <c r="L712" i="2"/>
  <c r="P712" i="2" s="1"/>
  <c r="L719" i="2"/>
  <c r="P719" i="2" s="1"/>
  <c r="L727" i="2"/>
  <c r="P727" i="2" s="1"/>
  <c r="J695" i="2"/>
  <c r="K715" i="2"/>
  <c r="L697" i="2"/>
  <c r="P697" i="2" s="1"/>
  <c r="L699" i="2"/>
  <c r="P699" i="2" s="1"/>
  <c r="L701" i="2"/>
  <c r="P701" i="2" s="1"/>
  <c r="L703" i="2"/>
  <c r="P703" i="2" s="1"/>
  <c r="L705" i="2"/>
  <c r="P705" i="2" s="1"/>
  <c r="L707" i="2"/>
  <c r="P707" i="2" s="1"/>
  <c r="L709" i="2"/>
  <c r="P709" i="2" s="1"/>
  <c r="L711" i="2"/>
  <c r="P711" i="2" s="1"/>
  <c r="L713" i="2"/>
  <c r="P713" i="2" s="1"/>
  <c r="P716" i="2"/>
  <c r="K695" i="2"/>
  <c r="L659" i="2"/>
  <c r="P659" i="2" s="1"/>
  <c r="L661" i="2"/>
  <c r="P661" i="2" s="1"/>
  <c r="L663" i="2"/>
  <c r="P663" i="2" s="1"/>
  <c r="L665" i="2"/>
  <c r="P665" i="2" s="1"/>
  <c r="L667" i="2"/>
  <c r="P667" i="2" s="1"/>
  <c r="L669" i="2"/>
  <c r="P669" i="2" s="1"/>
  <c r="L671" i="2"/>
  <c r="P671" i="2" s="1"/>
  <c r="L673" i="2"/>
  <c r="P673" i="2" s="1"/>
  <c r="L675" i="2"/>
  <c r="P675" i="2" s="1"/>
  <c r="L677" i="2"/>
  <c r="P677" i="2" s="1"/>
  <c r="L679" i="2"/>
  <c r="P679" i="2" s="1"/>
  <c r="L681" i="2"/>
  <c r="P681" i="2" s="1"/>
  <c r="L683" i="2"/>
  <c r="P683" i="2" s="1"/>
  <c r="L685" i="2"/>
  <c r="P685" i="2" s="1"/>
  <c r="L687" i="2"/>
  <c r="P687" i="2" s="1"/>
  <c r="L689" i="2"/>
  <c r="P689" i="2" s="1"/>
  <c r="L691" i="2"/>
  <c r="P691" i="2" s="1"/>
  <c r="L693" i="2"/>
  <c r="P693" i="2" s="1"/>
  <c r="P696" i="2"/>
  <c r="L718" i="2"/>
  <c r="P718" i="2" s="1"/>
  <c r="L720" i="2"/>
  <c r="P720" i="2" s="1"/>
  <c r="L722" i="2"/>
  <c r="P722" i="2" s="1"/>
  <c r="L724" i="2"/>
  <c r="P724" i="2" s="1"/>
  <c r="L726" i="2"/>
  <c r="P726" i="2" s="1"/>
  <c r="L728" i="2"/>
  <c r="P728" i="2" s="1"/>
  <c r="L730" i="2"/>
  <c r="P730" i="2" s="1"/>
  <c r="L732" i="2"/>
  <c r="P732" i="2" s="1"/>
  <c r="I715" i="2"/>
  <c r="I735" i="2"/>
  <c r="L734" i="2"/>
  <c r="P734" i="2" s="1"/>
  <c r="I741" i="2"/>
  <c r="I739" i="2"/>
  <c r="J715" i="2"/>
  <c r="J735" i="2"/>
  <c r="J741" i="2"/>
  <c r="J739" i="2"/>
  <c r="N26" i="1"/>
  <c r="N590" i="1"/>
  <c r="N465" i="1"/>
  <c r="N591" i="1"/>
  <c r="N583" i="1"/>
  <c r="N589" i="1"/>
  <c r="N253" i="2"/>
  <c r="N744" i="2" s="1"/>
  <c r="N743" i="2"/>
  <c r="N742" i="2"/>
  <c r="I548" i="2"/>
  <c r="K69" i="2"/>
  <c r="J69" i="2"/>
  <c r="K548" i="2"/>
  <c r="J259" i="2"/>
  <c r="K259" i="2"/>
  <c r="I259" i="2"/>
  <c r="J93" i="2" l="1"/>
  <c r="L74" i="2"/>
  <c r="P74" i="2" s="1"/>
  <c r="P295" i="1"/>
  <c r="L53" i="2"/>
  <c r="P53" i="2" s="1"/>
  <c r="J367" i="2"/>
  <c r="L69" i="2"/>
  <c r="P69" i="2" s="1"/>
  <c r="I367" i="2"/>
  <c r="L259" i="2"/>
  <c r="K367" i="2"/>
  <c r="K74" i="2"/>
  <c r="K93" i="2" s="1"/>
  <c r="L548" i="2"/>
  <c r="P548" i="2" s="1"/>
  <c r="L178" i="2"/>
  <c r="P178" i="2" s="1"/>
  <c r="P107" i="1"/>
  <c r="L92" i="2"/>
  <c r="P92" i="2" s="1"/>
  <c r="P567" i="1"/>
  <c r="L735" i="2"/>
  <c r="P735" i="2" s="1"/>
  <c r="L252" i="2"/>
  <c r="P252" i="2" s="1"/>
  <c r="I93" i="2"/>
  <c r="P117" i="1"/>
  <c r="L585" i="2"/>
  <c r="P585" i="2" s="1"/>
  <c r="P145" i="1"/>
  <c r="N205" i="1"/>
  <c r="P77" i="1"/>
  <c r="P54" i="2"/>
  <c r="P589" i="1"/>
  <c r="P42" i="1"/>
  <c r="N741" i="2"/>
  <c r="P619" i="2"/>
  <c r="L147" i="2"/>
  <c r="P147" i="2" s="1"/>
  <c r="P551" i="1"/>
  <c r="L133" i="2"/>
  <c r="P133" i="2" s="1"/>
  <c r="P203" i="1"/>
  <c r="K205" i="1"/>
  <c r="P82" i="1"/>
  <c r="P588" i="1"/>
  <c r="L205" i="1"/>
  <c r="P141" i="1"/>
  <c r="P583" i="1"/>
  <c r="P590" i="1"/>
  <c r="P465" i="1"/>
  <c r="P59" i="1"/>
  <c r="L715" i="2"/>
  <c r="P715" i="2" s="1"/>
  <c r="L695" i="2"/>
  <c r="P695" i="2" s="1"/>
  <c r="L98" i="2"/>
  <c r="P98" i="2" s="1"/>
  <c r="P586" i="1"/>
  <c r="P591" i="1"/>
  <c r="I205" i="1"/>
  <c r="P587" i="1"/>
  <c r="P26" i="1"/>
  <c r="P253" i="2"/>
  <c r="J205" i="1"/>
  <c r="L93" i="2" l="1"/>
  <c r="P93" i="2" s="1"/>
  <c r="P259" i="2"/>
  <c r="L367" i="2"/>
  <c r="P367" i="2" s="1"/>
  <c r="P205" i="1"/>
  <c r="C3" i="146" l="1"/>
  <c r="I10" i="146"/>
  <c r="D9" i="146"/>
  <c r="F10" i="146"/>
  <c r="G11" i="146"/>
  <c r="D10" i="146"/>
  <c r="F5" i="146"/>
  <c r="I6" i="146"/>
  <c r="J6" i="146"/>
  <c r="I8" i="146"/>
  <c r="J4" i="146"/>
  <c r="D5" i="146"/>
  <c r="G10" i="146"/>
  <c r="D4" i="146"/>
  <c r="J5" i="146"/>
  <c r="D11" i="146"/>
  <c r="G5" i="146"/>
  <c r="J10" i="146"/>
  <c r="D3" i="146"/>
  <c r="F8" i="146"/>
  <c r="F12" i="146"/>
  <c r="I7" i="146"/>
  <c r="D8" i="146"/>
  <c r="I4" i="146"/>
  <c r="F3" i="146"/>
  <c r="G8" i="146"/>
  <c r="I12" i="146"/>
  <c r="D7" i="146"/>
  <c r="D6" i="146"/>
  <c r="I5" i="146"/>
  <c r="F4" i="146"/>
  <c r="J8" i="146"/>
  <c r="G4" i="146"/>
  <c r="G3" i="146"/>
  <c r="H3" i="146"/>
  <c r="G7" i="146"/>
  <c r="F9" i="146"/>
  <c r="F11" i="146"/>
  <c r="J7" i="146"/>
  <c r="G9" i="146"/>
  <c r="D12" i="146"/>
  <c r="I9" i="146"/>
  <c r="J12" i="146"/>
  <c r="F6" i="146"/>
  <c r="I11" i="146"/>
  <c r="J9" i="146"/>
  <c r="G12" i="146"/>
  <c r="F7" i="146"/>
  <c r="G6" i="146"/>
  <c r="J11" i="146"/>
  <c r="E3" i="146"/>
  <c r="I18" i="166" l="1"/>
  <c r="I17" i="167" l="1"/>
  <c r="H18" i="166" l="1"/>
  <c r="H16" i="166"/>
  <c r="H17" i="166"/>
  <c r="H15" i="166"/>
  <c r="H18" i="167"/>
  <c r="H15" i="167"/>
  <c r="H17" i="167"/>
  <c r="I18" i="167" l="1"/>
  <c r="I16" i="166" l="1"/>
  <c r="J16" i="166" l="1"/>
  <c r="J18" i="166"/>
  <c r="I17" i="166"/>
  <c r="D3" i="167" l="1"/>
  <c r="D4" i="167"/>
  <c r="D5" i="167"/>
  <c r="D6" i="167"/>
  <c r="D7" i="167"/>
  <c r="D8" i="167"/>
  <c r="D9" i="167"/>
  <c r="C9" i="167"/>
  <c r="C8" i="167"/>
  <c r="C7" i="167"/>
  <c r="C6" i="167"/>
  <c r="C5" i="167"/>
  <c r="C4" i="167"/>
  <c r="C3" i="167"/>
  <c r="I3" i="146" l="1"/>
  <c r="J3" i="146"/>
  <c r="K3" i="146" l="1"/>
  <c r="B1" i="26" l="1"/>
  <c r="B2" i="26" s="1"/>
  <c r="B3" i="26" s="1"/>
  <c r="B4" i="26" s="1"/>
  <c r="B5" i="26" s="1"/>
  <c r="B6" i="26" s="1"/>
  <c r="B7" i="26" s="1"/>
  <c r="B8" i="26" s="1"/>
  <c r="B9" i="26" s="1"/>
  <c r="B10" i="26" s="1"/>
  <c r="B11" i="26" s="1"/>
  <c r="B12" i="26" s="1"/>
  <c r="B13" i="26" s="1"/>
  <c r="B14" i="26" s="1"/>
  <c r="B15" i="26" s="1"/>
  <c r="B16" i="26" s="1"/>
  <c r="B17" i="26" s="1"/>
  <c r="B18" i="26" s="1"/>
  <c r="B19" i="26" s="1"/>
  <c r="B20" i="26" s="1"/>
  <c r="B21" i="26" s="1"/>
  <c r="B22" i="26" s="1"/>
  <c r="B23" i="26" s="1"/>
  <c r="B24" i="26" s="1"/>
  <c r="B25" i="26" s="1"/>
  <c r="B26" i="26" s="1"/>
  <c r="B27" i="26" s="1"/>
  <c r="B28" i="26" s="1"/>
  <c r="B29" i="26" s="1"/>
  <c r="B30" i="26" s="1"/>
  <c r="B31" i="26" s="1"/>
  <c r="B32" i="26" s="1"/>
  <c r="B33" i="26" s="1"/>
  <c r="B34" i="26" s="1"/>
  <c r="B35" i="26" s="1"/>
  <c r="B36" i="26" s="1"/>
  <c r="B37" i="26" s="1"/>
  <c r="B38" i="26" s="1"/>
  <c r="B39" i="26" s="1"/>
  <c r="B40" i="26" s="1"/>
  <c r="B41" i="26" s="1"/>
  <c r="B42" i="26" s="1"/>
  <c r="B43" i="26" s="1"/>
  <c r="B44" i="26" s="1"/>
  <c r="B45" i="26" s="1"/>
  <c r="B46" i="26" s="1"/>
  <c r="B47" i="26" s="1"/>
  <c r="B48" i="26" s="1"/>
  <c r="B49" i="26" s="1"/>
  <c r="B50" i="26" s="1"/>
  <c r="B51" i="26" s="1"/>
  <c r="B52" i="26" s="1"/>
  <c r="B53" i="26" s="1"/>
  <c r="B54" i="26" s="1"/>
  <c r="B55" i="26" s="1"/>
  <c r="B56" i="26" s="1"/>
  <c r="B57" i="26" s="1"/>
  <c r="B58" i="26" s="1"/>
  <c r="B59" i="26" s="1"/>
  <c r="B60" i="26" s="1"/>
  <c r="B61" i="26" s="1"/>
  <c r="B62" i="26" s="1"/>
  <c r="B63" i="26" s="1"/>
  <c r="B64" i="26" s="1"/>
  <c r="B65" i="26" s="1"/>
  <c r="B66" i="26" s="1"/>
  <c r="B67" i="26" s="1"/>
  <c r="B68" i="26" s="1"/>
  <c r="B69" i="26" s="1"/>
  <c r="B70" i="26" s="1"/>
  <c r="B71" i="26" s="1"/>
  <c r="B72" i="26" s="1"/>
  <c r="B73" i="26" s="1"/>
  <c r="B74" i="26" s="1"/>
  <c r="B75" i="26" s="1"/>
  <c r="B76" i="26" s="1"/>
  <c r="B77" i="26" s="1"/>
  <c r="B78" i="26" s="1"/>
  <c r="B79" i="26" s="1"/>
  <c r="B80" i="26" s="1"/>
  <c r="B81" i="26" s="1"/>
  <c r="B82" i="26" s="1"/>
  <c r="B83" i="26" s="1"/>
  <c r="B84" i="26" s="1"/>
  <c r="B85" i="26" s="1"/>
  <c r="B86" i="26" s="1"/>
  <c r="B87" i="26" s="1"/>
  <c r="B88" i="26" s="1"/>
  <c r="B89" i="26" s="1"/>
  <c r="B90" i="26" s="1"/>
  <c r="B91" i="26" s="1"/>
  <c r="B92" i="26" s="1"/>
  <c r="B93" i="26" s="1"/>
  <c r="B94" i="26" s="1"/>
  <c r="B95" i="26" s="1"/>
  <c r="B96" i="26" s="1"/>
  <c r="B97" i="26" s="1"/>
  <c r="B98" i="26" s="1"/>
  <c r="B99" i="26" s="1"/>
  <c r="B100" i="26" s="1"/>
  <c r="B101" i="26" s="1"/>
  <c r="B102" i="26" s="1"/>
  <c r="B103" i="26" s="1"/>
  <c r="B104" i="26" s="1"/>
  <c r="B105" i="26" s="1"/>
  <c r="B106" i="26" s="1"/>
  <c r="B107" i="26" s="1"/>
  <c r="B108" i="26" s="1"/>
  <c r="B109" i="26" s="1"/>
  <c r="B110" i="26" s="1"/>
  <c r="B111" i="26" s="1"/>
  <c r="B112" i="26" s="1"/>
  <c r="B113" i="26" s="1"/>
  <c r="B114" i="26" s="1"/>
  <c r="B115" i="26" s="1"/>
  <c r="B116" i="26" s="1"/>
  <c r="B117" i="26" s="1"/>
  <c r="B118" i="26" s="1"/>
  <c r="B119" i="26" s="1"/>
  <c r="B120" i="26" s="1"/>
  <c r="B121" i="26" s="1"/>
  <c r="B122" i="26" s="1"/>
  <c r="B123" i="26" s="1"/>
  <c r="B124" i="26" s="1"/>
  <c r="B125" i="26" s="1"/>
  <c r="B126" i="26" s="1"/>
  <c r="B127" i="26" s="1"/>
  <c r="B128" i="26" s="1"/>
  <c r="B129" i="26" s="1"/>
  <c r="B130" i="26" s="1"/>
  <c r="B131" i="26" s="1"/>
  <c r="B132" i="26" s="1"/>
  <c r="B133" i="26" s="1"/>
  <c r="B134" i="26" s="1"/>
  <c r="B135" i="26" s="1"/>
  <c r="B136" i="26" s="1"/>
  <c r="B137" i="26" s="1"/>
  <c r="B138" i="26" s="1"/>
  <c r="B139" i="26" s="1"/>
  <c r="B140" i="26" s="1"/>
  <c r="B141" i="26" s="1"/>
  <c r="B142" i="26" s="1"/>
  <c r="B143" i="26" s="1"/>
  <c r="B144" i="26" s="1"/>
  <c r="B145" i="26" s="1"/>
  <c r="B146" i="26" s="1"/>
  <c r="B147" i="26" s="1"/>
  <c r="B148" i="26" s="1"/>
  <c r="B149" i="26" s="1"/>
  <c r="B150" i="26" s="1"/>
  <c r="B151" i="26" s="1"/>
  <c r="B152" i="26" s="1"/>
  <c r="B153" i="26" s="1"/>
  <c r="B154" i="26" s="1"/>
  <c r="B155" i="26" s="1"/>
  <c r="B156" i="26" s="1"/>
  <c r="B157" i="26" s="1"/>
  <c r="B158" i="26" s="1"/>
  <c r="B159" i="26" s="1"/>
  <c r="B160" i="26" s="1"/>
  <c r="B161" i="26" s="1"/>
  <c r="B162" i="26" s="1"/>
  <c r="B163" i="26" s="1"/>
  <c r="B164" i="26" s="1"/>
  <c r="B165" i="26" s="1"/>
  <c r="B166" i="26" s="1"/>
  <c r="B167" i="26" s="1"/>
  <c r="B168" i="26" s="1"/>
  <c r="B169" i="26" s="1"/>
  <c r="B170" i="26" s="1"/>
  <c r="B171" i="26" s="1"/>
  <c r="B172" i="26" s="1"/>
  <c r="B173" i="26" s="1"/>
  <c r="B174" i="26" s="1"/>
  <c r="J12" i="167" l="1"/>
  <c r="J16" i="167"/>
  <c r="J17" i="167" l="1"/>
  <c r="I15" i="167"/>
  <c r="I15" i="166" l="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FOUDI-DADADOU Samia (Prestataire)</author>
  </authors>
  <commentList>
    <comment ref="BA32" authorId="0" shapeId="0" xr:uid="{00000000-0006-0000-1400-000001000000}">
      <text>
        <r>
          <rPr>
            <b/>
            <sz val="9"/>
            <color indexed="81"/>
            <rFont val="Tahoma"/>
            <family val="2"/>
          </rPr>
          <t>FOUDI-DADADOU Samia (Prestataire):</t>
        </r>
        <r>
          <rPr>
            <sz val="9"/>
            <color indexed="81"/>
            <rFont val="Tahoma"/>
            <family val="2"/>
          </rPr>
          <t xml:space="preserve">
Correction manuelle car rien n'est renseigné en ANX CNP à tort. Copie écran ci-dessous rappelle les effectifs de la G1404 2022.12</t>
        </r>
      </text>
    </comment>
    <comment ref="BA33" authorId="0" shapeId="0" xr:uid="{00000000-0006-0000-1400-000002000000}">
      <text>
        <r>
          <rPr>
            <b/>
            <sz val="9"/>
            <color indexed="81"/>
            <rFont val="Tahoma"/>
            <family val="2"/>
          </rPr>
          <t>FOUDI-DADADOU Samia (Prestataire):</t>
        </r>
        <r>
          <rPr>
            <sz val="9"/>
            <color indexed="81"/>
            <rFont val="Tahoma"/>
            <family val="2"/>
          </rPr>
          <t xml:space="preserve">
Correction manuelle car rien n'est renseigné en ANX CNP à tort. Copie écran ci-dessous rappelle les effectifs de la G1404 2022.12</t>
        </r>
      </text>
    </comment>
    <comment ref="J36" authorId="0" shapeId="0" xr:uid="{00000000-0006-0000-1400-000003000000}">
      <text>
        <r>
          <rPr>
            <b/>
            <sz val="9"/>
            <color indexed="81"/>
            <rFont val="Tahoma"/>
            <family val="2"/>
          </rPr>
          <t>FOUDI-DADADOU Samia (Prestataire):</t>
        </r>
        <r>
          <rPr>
            <sz val="9"/>
            <color indexed="81"/>
            <rFont val="Tahoma"/>
            <family val="2"/>
          </rPr>
          <t xml:space="preserve">
L'effectif présenté étant l'effectif moyen cette variation n'est pas complètement vraie. Il faudrait refaire un calcul de l'effectif moyen 2022.12 (càd en reprendant l'ensemble des effectifs déclaré sur les 4 trimestres et en faire une moyenne) pour le comparer à l'effectif moyen 2023.06. La variation ici n'a été faite qu'a titre indicatif pour avoir une idée des mouvements sur le 1 er semestre 2023.</t>
        </r>
      </text>
    </comment>
    <comment ref="J37" authorId="0" shapeId="0" xr:uid="{00000000-0006-0000-1400-000004000000}">
      <text>
        <r>
          <rPr>
            <b/>
            <sz val="9"/>
            <color indexed="81"/>
            <rFont val="Tahoma"/>
            <family val="2"/>
          </rPr>
          <t>FOUDI-DADADOU Samia (Prestataire):</t>
        </r>
        <r>
          <rPr>
            <sz val="9"/>
            <color indexed="81"/>
            <rFont val="Tahoma"/>
            <family val="2"/>
          </rPr>
          <t xml:space="preserve">
L'effectif présenté étant l'effectif moyen cette variation n'est pas complètement vraie. Il faudrait refaire un calcul de l'effectif moyen 2022.12 (càd en reprendant l'ensemble des effectifs déclaré sur les 4 trimestres et en faire une moyenne) pour le comparer à l'effectif moyen 2023.06. La variation ici n'a été faite qu'a titre indicatif pour avoir une idée des mouvements sur le 1 er semestre 2023.</t>
        </r>
      </text>
    </comment>
  </commentList>
</comments>
</file>

<file path=xl/sharedStrings.xml><?xml version="1.0" encoding="utf-8"?>
<sst xmlns="http://schemas.openxmlformats.org/spreadsheetml/2006/main" count="39910" uniqueCount="12620">
  <si>
    <t>Bilan consolidé</t>
  </si>
  <si>
    <t>(en millions d’euros)</t>
  </si>
  <si>
    <t>Ecarts d'acquisition</t>
  </si>
  <si>
    <t>Actifs financiers au coût amorti</t>
  </si>
  <si>
    <t>Instruments dérivés</t>
  </si>
  <si>
    <t>Investissements dans les sociétés mises en équivalence</t>
  </si>
  <si>
    <t>Autres créances</t>
  </si>
  <si>
    <t>Autres actifs</t>
  </si>
  <si>
    <t>Trésorerie</t>
  </si>
  <si>
    <t>TOTAL ACTIF</t>
  </si>
  <si>
    <t>Capital</t>
  </si>
  <si>
    <t>Réserve de couverture des flux de trésorerie</t>
  </si>
  <si>
    <t>Titres subordonnés perpétuels classés en capitaux propres</t>
  </si>
  <si>
    <t>Ecarts de conversion</t>
  </si>
  <si>
    <t>Capitaux propres du Groupe</t>
  </si>
  <si>
    <t>Intérêts minoritaires</t>
  </si>
  <si>
    <t>Passifs relatifs à des contrats financiers</t>
  </si>
  <si>
    <t>Dettes subordonnées</t>
  </si>
  <si>
    <t>Instruments dérivés passifs</t>
  </si>
  <si>
    <t>TOTAL PASSIF</t>
  </si>
  <si>
    <t>Produits des activités d'assurance</t>
  </si>
  <si>
    <t>Charges afférentes aux activités d'assurance</t>
  </si>
  <si>
    <t>Charges ou produits nets des contrats de réassurance</t>
  </si>
  <si>
    <t>Résultat des activités d’assurance</t>
  </si>
  <si>
    <t>Produits des placements nets de charges</t>
  </si>
  <si>
    <t>Gains / pertes relatifs à la décomptabilisation d'actifs au coût amorti</t>
  </si>
  <si>
    <t>Variation de juste valeur des placements comptabilisés à la juste valeur par résultat</t>
  </si>
  <si>
    <t>Charges financières d'assurance</t>
  </si>
  <si>
    <t>Produits financiers ou charges financières des contrats de réassurance</t>
  </si>
  <si>
    <t>Total des produits financiers nets de charges</t>
  </si>
  <si>
    <t>Autres produits et charges opérationnels courants</t>
  </si>
  <si>
    <t>Résultat opérationnel courant</t>
  </si>
  <si>
    <t>Autres produits et charges opérationnels non courants</t>
  </si>
  <si>
    <t>Résultat opérationnel</t>
  </si>
  <si>
    <t>Charges de financement</t>
  </si>
  <si>
    <t>Variation de valeur des actifs incorporels</t>
  </si>
  <si>
    <t>Quote-part de résultat dans les sociétés mises en équivalence</t>
  </si>
  <si>
    <t>Impôts sur les résultats</t>
  </si>
  <si>
    <t>Résultat net de l'ensemble consolidé</t>
  </si>
  <si>
    <t>État du résultat net et des gains et pertes comptabilisés</t>
  </si>
  <si>
    <t>Eléments recyclables en résultat</t>
  </si>
  <si>
    <t>Impôts différés</t>
  </si>
  <si>
    <t>Variation de la réserve de réévaluation sur la période</t>
  </si>
  <si>
    <t>Variation de la réserve sur la période</t>
  </si>
  <si>
    <t>Recyclage en résultat sur la période</t>
  </si>
  <si>
    <t>Eléments non recyclables en résultat</t>
  </si>
  <si>
    <t>Total des gains et pertes comptabilisés directement en capitaux propres</t>
  </si>
  <si>
    <t>Tableau de variation des capitaux propres</t>
  </si>
  <si>
    <t>(en millions d'euros)</t>
  </si>
  <si>
    <t>Prime</t>
  </si>
  <si>
    <t>Réserve de réévaluation</t>
  </si>
  <si>
    <t>Résultats cumulés</t>
  </si>
  <si>
    <t>-Distribution de dividendes</t>
  </si>
  <si>
    <t>-Titres subordonnés nets d'impôt</t>
  </si>
  <si>
    <t>-Actions propres nettes d'impôt</t>
  </si>
  <si>
    <t>-Variation de périmètre</t>
  </si>
  <si>
    <t>Autres dettes de financement</t>
  </si>
  <si>
    <t>Total</t>
  </si>
  <si>
    <t>Emission</t>
  </si>
  <si>
    <t>Remboursement</t>
  </si>
  <si>
    <t>Total flux monétaires</t>
  </si>
  <si>
    <t>Variations de juste valeur</t>
  </si>
  <si>
    <t>Variations de périmètre</t>
  </si>
  <si>
    <t>Autres mouvements</t>
  </si>
  <si>
    <t>Total flux non monétaires</t>
  </si>
  <si>
    <t>Banque créditeur</t>
  </si>
  <si>
    <t>F99</t>
  </si>
  <si>
    <t>Prêts et avances</t>
  </si>
  <si>
    <t>Autres</t>
  </si>
  <si>
    <t>Immeubles de placement</t>
  </si>
  <si>
    <t>Coût amorti</t>
  </si>
  <si>
    <t>CC=EUR</t>
  </si>
  <si>
    <t>VA=2IFRS</t>
  </si>
  <si>
    <t>SC=CNPIFRS</t>
  </si>
  <si>
    <t>FL=F99</t>
  </si>
  <si>
    <t>FL=F00</t>
  </si>
  <si>
    <t>FL=F20</t>
  </si>
  <si>
    <t>FL=F30</t>
  </si>
  <si>
    <t>Sortie</t>
  </si>
  <si>
    <t>Sorties de périmètre</t>
  </si>
  <si>
    <t>Réassurance</t>
  </si>
  <si>
    <t>Entrées de périmètre</t>
  </si>
  <si>
    <t>Banque débiteur</t>
  </si>
  <si>
    <t>Passifs financiers</t>
  </si>
  <si>
    <t>Revenus des placements</t>
  </si>
  <si>
    <t>(en nombre de personnes)</t>
  </si>
  <si>
    <t>Cadres</t>
  </si>
  <si>
    <t>Non-cadres</t>
  </si>
  <si>
    <t>Reclassement</t>
  </si>
  <si>
    <t>Participation des salariés</t>
  </si>
  <si>
    <t>Valeur des accords de distribution</t>
  </si>
  <si>
    <t>Résultat net part du Groupe</t>
  </si>
  <si>
    <t>Nombre d'actions</t>
  </si>
  <si>
    <t>Logiciels développés en interne</t>
  </si>
  <si>
    <t>Valeur nette comptable à l'ouverture</t>
  </si>
  <si>
    <t>Entrée de périmètre</t>
  </si>
  <si>
    <t>Acquisitions de l'exercice</t>
  </si>
  <si>
    <t xml:space="preserve">Autres variations </t>
  </si>
  <si>
    <t>VALEUR NETTE COMPTABLE À LA CLÔTURE</t>
  </si>
  <si>
    <t>6.4.1 Logiciels développés en interne</t>
  </si>
  <si>
    <t>Amortissements de l'exercice</t>
  </si>
  <si>
    <t>Cessions de l'exercice*</t>
  </si>
  <si>
    <t>Écarts de conversion</t>
  </si>
  <si>
    <t>6.4.2  Autres logiciels et autres immobilisations incorporelles</t>
  </si>
  <si>
    <t>Solde des actifs à l'ouverture</t>
  </si>
  <si>
    <t>Solde des passifs à l'ouverture</t>
  </si>
  <si>
    <t xml:space="preserve">Solde net d'ouverture                                                                            </t>
  </si>
  <si>
    <t>Résultat des activités d'assurance</t>
  </si>
  <si>
    <t>Effet des différences de change</t>
  </si>
  <si>
    <t>Total des variations du résultat et des OCI</t>
  </si>
  <si>
    <t>Total flux de trésorerie</t>
  </si>
  <si>
    <t>Frais d'acquisition reportés- Affectation aux contrats d'assurance</t>
  </si>
  <si>
    <t>Autres mouvements :</t>
  </si>
  <si>
    <t>dont entrées et sorties de périmètre et autres effets de périmètre</t>
  </si>
  <si>
    <t>Solde net de  clôture</t>
  </si>
  <si>
    <t>Valeur actuelle des flux de trésorerie futurs</t>
  </si>
  <si>
    <t>Ajustement au titre du risque non financier</t>
  </si>
  <si>
    <t>Marge sur services contractuels</t>
  </si>
  <si>
    <t>Solde net d'ouverture</t>
  </si>
  <si>
    <t>Variations liées aux services futurs</t>
  </si>
  <si>
    <t>Changements dans les estimations qui entraînent un ajustement de la marge sur services contractuels</t>
  </si>
  <si>
    <t>Changements dans les estimations entrainant des pertes et reprises sur les groupes de contrats déficitaires</t>
  </si>
  <si>
    <t>Effet des contrats comptabilisés au cours de la période</t>
  </si>
  <si>
    <t>Variations liées aux services rendus au cours de la période</t>
  </si>
  <si>
    <t xml:space="preserve">Montant de la marge sur services contractuels comptabilisé en résultat net en raison de la fourniture de services au cours de la période </t>
  </si>
  <si>
    <t xml:space="preserve">Variation de l'ajustement au titre du risque non financier </t>
  </si>
  <si>
    <t>Ajustements liés à l'expérience</t>
  </si>
  <si>
    <t>Variations liées aux services passés</t>
  </si>
  <si>
    <t>Total des flux de trésorerie</t>
  </si>
  <si>
    <t>Solde des actifs à la clôture</t>
  </si>
  <si>
    <t>Solde des passifs à la clôture</t>
  </si>
  <si>
    <t>Charges ou produits financiers nets des contrats de réassurance</t>
  </si>
  <si>
    <t xml:space="preserve">Effet de l'évolution du risque de non-exécution des réassureurs </t>
  </si>
  <si>
    <t>Actifs incorporels</t>
  </si>
  <si>
    <t>RU=A120</t>
  </si>
  <si>
    <t>Valeur à l'ouverture</t>
  </si>
  <si>
    <t>Transfert d'actifs en cours de vie d'un bucket à l'autre</t>
  </si>
  <si>
    <t>Total après transfert</t>
  </si>
  <si>
    <t>Variations des valeurs comptables brutes et des corrections de pertes de valeur pour pertes</t>
  </si>
  <si>
    <t>Nouvelle production: achat, octroi, origination…</t>
  </si>
  <si>
    <t>Décomptabilisation: cession, remboursement, arrivée à échéance…</t>
  </si>
  <si>
    <t>FL=F60</t>
  </si>
  <si>
    <t>F60</t>
  </si>
  <si>
    <t>Changement de méthode</t>
  </si>
  <si>
    <t>FL=F70</t>
  </si>
  <si>
    <t>F70</t>
  </si>
  <si>
    <t>Restructuration</t>
  </si>
  <si>
    <t>FL=F89</t>
  </si>
  <si>
    <t>F89</t>
  </si>
  <si>
    <t>FL=F90</t>
  </si>
  <si>
    <t>F90</t>
  </si>
  <si>
    <t>FL=F91</t>
  </si>
  <si>
    <t>F91</t>
  </si>
  <si>
    <t>Var. de taux d'intégration</t>
  </si>
  <si>
    <t>FL=F97</t>
  </si>
  <si>
    <t>F97</t>
  </si>
  <si>
    <t>IFRS 5 activité destinée à être cédée / abandonnée</t>
  </si>
  <si>
    <t>FL=F98</t>
  </si>
  <si>
    <t>F98</t>
  </si>
  <si>
    <t>Ecart de conversion</t>
  </si>
  <si>
    <t>FL=F81</t>
  </si>
  <si>
    <t>F81</t>
  </si>
  <si>
    <t>FL=F80</t>
  </si>
  <si>
    <t>F80</t>
  </si>
  <si>
    <t>Valeur à la clôture</t>
  </si>
  <si>
    <t>Titre</t>
  </si>
  <si>
    <t>Description</t>
  </si>
  <si>
    <t>Commentaires</t>
  </si>
  <si>
    <t>Na</t>
  </si>
  <si>
    <t>x</t>
  </si>
  <si>
    <t>Tableau de flux de trésorerie</t>
  </si>
  <si>
    <t>Narratif</t>
  </si>
  <si>
    <t>4.1</t>
  </si>
  <si>
    <t>Champ de consolidation et entreprises associées</t>
  </si>
  <si>
    <t>4.2</t>
  </si>
  <si>
    <t>Regroupements d'entreprises et autres variations de périmètre</t>
  </si>
  <si>
    <t>Opérations entre sociétés consolidées</t>
  </si>
  <si>
    <t>Conversion des états financiers des filiales internationales dans la devise de présentation</t>
  </si>
  <si>
    <t>Sociétés entrant dans le périmètre de consolidation et pourcentage de contrôle</t>
  </si>
  <si>
    <t>5.1</t>
  </si>
  <si>
    <t>5.2</t>
  </si>
  <si>
    <t>5.3</t>
  </si>
  <si>
    <t>5.4</t>
  </si>
  <si>
    <t>6.1</t>
  </si>
  <si>
    <t>Synthèse des actifs incorporels</t>
  </si>
  <si>
    <t>6.2</t>
  </si>
  <si>
    <t>6.2.1</t>
  </si>
  <si>
    <t>6.3</t>
  </si>
  <si>
    <t>6.4</t>
  </si>
  <si>
    <t>8.2</t>
  </si>
  <si>
    <t>Inventaire des placements par nature</t>
  </si>
  <si>
    <t>8.2.1</t>
  </si>
  <si>
    <t>?</t>
  </si>
  <si>
    <t>8.2.2</t>
  </si>
  <si>
    <t>8.3</t>
  </si>
  <si>
    <t>Evaluation des actifs comptabilisés à la juste valeur</t>
  </si>
  <si>
    <t>8.5</t>
  </si>
  <si>
    <t>9.1</t>
  </si>
  <si>
    <t>9.2</t>
  </si>
  <si>
    <t>9.3</t>
  </si>
  <si>
    <t>12.1</t>
  </si>
  <si>
    <t>12.2</t>
  </si>
  <si>
    <t>12.3</t>
  </si>
  <si>
    <t>Note 15</t>
  </si>
  <si>
    <t>15.1</t>
  </si>
  <si>
    <t>15.2</t>
  </si>
  <si>
    <t>Décomptabilisation des actifs financiers au coût amorti</t>
  </si>
  <si>
    <t>Total des autres produits et charges opérationnels courants</t>
  </si>
  <si>
    <t>Trésorerie et équivalents de trésorerie</t>
  </si>
  <si>
    <t xml:space="preserve">Autres élements du résultat global </t>
  </si>
  <si>
    <t>Actifs financiers mesurés à la juste valeur par capitaux propres recyclables</t>
  </si>
  <si>
    <t>Assurance</t>
  </si>
  <si>
    <t>Flux de trésorerie</t>
  </si>
  <si>
    <t>Instruments de capitaux propres classés en JV OCI non recyclables décomptabilisés au cours de la période de reporting</t>
  </si>
  <si>
    <t>AU sum [All values]</t>
  </si>
  <si>
    <t>AC=TA</t>
  </si>
  <si>
    <t>BASE ANNEXES retour</t>
  </si>
  <si>
    <t>RU=G120</t>
  </si>
  <si>
    <t>AC=XCADRE00</t>
  </si>
  <si>
    <t>AC=XEMPLOY00</t>
  </si>
  <si>
    <t>RU=G110</t>
  </si>
  <si>
    <t>RU=G1102</t>
  </si>
  <si>
    <t>RU=G1103</t>
  </si>
  <si>
    <t>RU=G1104</t>
  </si>
  <si>
    <t>RU=G1105</t>
  </si>
  <si>
    <t>RU=G1106</t>
  </si>
  <si>
    <t>RU=G1107</t>
  </si>
  <si>
    <t>RU=G1108</t>
  </si>
  <si>
    <t>RU=G1111</t>
  </si>
  <si>
    <t>RU=G1113</t>
  </si>
  <si>
    <t>RU=G1115</t>
  </si>
  <si>
    <t>RU=G1116</t>
  </si>
  <si>
    <t>RU=G1124</t>
  </si>
  <si>
    <t>RU=PG1101</t>
  </si>
  <si>
    <t>RU=PG1102</t>
  </si>
  <si>
    <t>RU=PG1103</t>
  </si>
  <si>
    <t>RU=PG1104</t>
  </si>
  <si>
    <t>RU=PG1105</t>
  </si>
  <si>
    <t>AC=A29651000</t>
  </si>
  <si>
    <t>AC=A28720000</t>
  </si>
  <si>
    <t>AC=A59051000</t>
  </si>
  <si>
    <t>AC=A59201100</t>
  </si>
  <si>
    <t>AC=A29720000</t>
  </si>
  <si>
    <t>AC=A29710000</t>
  </si>
  <si>
    <t>AC=A59052000</t>
  </si>
  <si>
    <t>AC=A59202100</t>
  </si>
  <si>
    <t>FL=F50</t>
  </si>
  <si>
    <t>6.2.2</t>
  </si>
  <si>
    <t>RU=A241</t>
  </si>
  <si>
    <t>RU=G180</t>
  </si>
  <si>
    <t>RU=G1801</t>
  </si>
  <si>
    <t>RU=G1802</t>
  </si>
  <si>
    <t>RU=G1109</t>
  </si>
  <si>
    <t>RU=G1110</t>
  </si>
  <si>
    <t>RU=G140</t>
  </si>
  <si>
    <t>RU=G1401</t>
  </si>
  <si>
    <t>RU=G1402</t>
  </si>
  <si>
    <t>RU=G1403</t>
  </si>
  <si>
    <t>RU=G1404</t>
  </si>
  <si>
    <t>RU=G1405</t>
  </si>
  <si>
    <t>RU=G1406</t>
  </si>
  <si>
    <t>Terrains - Valeur d'acq. - JV par résultat</t>
  </si>
  <si>
    <t>Terrains - Revalo. - JV par résultat</t>
  </si>
  <si>
    <t>Terrains - Valeur d'acq. - Coût amorti</t>
  </si>
  <si>
    <t>Terrains - Dépréciation - Coût amorti</t>
  </si>
  <si>
    <t>Immobilier de placement - Terrains</t>
  </si>
  <si>
    <t>Immeubles de placement bâtis - Agencmts et install. techn. - Valeur d'acq. - JV par résultat</t>
  </si>
  <si>
    <t>Immeubles de placement bâtis - Agencmts et install. techn. - Revalo. - JV par résultat</t>
  </si>
  <si>
    <t>Immeubles de placement bâtis - Agencmts et install. techn. - Valeur d'acq. - Coût amorti</t>
  </si>
  <si>
    <t>Immeubles de placement bâtis - Agencmts et install. techn. - AM - Coût amorti</t>
  </si>
  <si>
    <t>Immeubles de placement bâtis - Agencmts et install. techn. - Dépréciation - Coût amorti</t>
  </si>
  <si>
    <t>Immobilier de placement - Immeubles de placement bâtis - Constructions</t>
  </si>
  <si>
    <t>Immeubles de placement bâtis - Constructions - Valeur d'acq. - JV par résultat</t>
  </si>
  <si>
    <t>Immeubles de placement bâtis - Constructions - Revalo. - JV par résultat</t>
  </si>
  <si>
    <t>Immeubles de placement bâtis - Constructions - Valeur d'acq. - Coût amorti</t>
  </si>
  <si>
    <t>Immeubles de placement bâtis - Constructions - AM - Coût amorti</t>
  </si>
  <si>
    <t>Immeubles de placement bâtis - Constructions - Dépréciation - Coût amorti</t>
  </si>
  <si>
    <t>Immobilier de placement - En cours</t>
  </si>
  <si>
    <t>Immobilier de placement - En cours - Valeur d'acq. - JV par résultat</t>
  </si>
  <si>
    <t>Immobilier de placement - En cours - Revalo. - JV par résultat</t>
  </si>
  <si>
    <t>Immobilier de placement - En cours - Valeur d'acq. - Coût amorti</t>
  </si>
  <si>
    <t>Immobilier de placement - En cours - Dépréciation - Coût amorti</t>
  </si>
  <si>
    <t>Immob. de placement - Imm. de placement bâtis - Agencmts et install. techn.</t>
  </si>
  <si>
    <t>AC=A21201000T</t>
  </si>
  <si>
    <t>AC=A21202000T</t>
  </si>
  <si>
    <t>AC=A21201000X</t>
  </si>
  <si>
    <t>AC=A29102000X</t>
  </si>
  <si>
    <t>AC=A21211000T</t>
  </si>
  <si>
    <t>AC=A21212000T</t>
  </si>
  <si>
    <t>AC=A21211000X</t>
  </si>
  <si>
    <t>AC=A28121000X</t>
  </si>
  <si>
    <t>AC=A29103000X</t>
  </si>
  <si>
    <t>AC=A21212100T</t>
  </si>
  <si>
    <t>AC=A21212200T</t>
  </si>
  <si>
    <t>AC=A21212000X</t>
  </si>
  <si>
    <t>AC=A28122000X</t>
  </si>
  <si>
    <t>AC=A29101000X</t>
  </si>
  <si>
    <t>AC=A22201000T</t>
  </si>
  <si>
    <t>AC=A22202000T</t>
  </si>
  <si>
    <t>AC=A22200000X</t>
  </si>
  <si>
    <t>AC=A29202000X</t>
  </si>
  <si>
    <t>8.1</t>
  </si>
  <si>
    <t>{FL=F20}</t>
  </si>
  <si>
    <t>{AC=A50501000}+{AC=A59051000}</t>
  </si>
  <si>
    <t>F00</t>
  </si>
  <si>
    <t>Ouverture</t>
  </si>
  <si>
    <t>Clôture</t>
  </si>
  <si>
    <t>RU=A218</t>
  </si>
  <si>
    <t>RU=G150</t>
  </si>
  <si>
    <t>RU=G201</t>
  </si>
  <si>
    <t>RU=G1120</t>
  </si>
  <si>
    <t>RU=G1125</t>
  </si>
  <si>
    <t>Variation de valeurs des actifs incorporels</t>
  </si>
  <si>
    <t>AC=A24010000T</t>
  </si>
  <si>
    <t>AC=A23110000T</t>
  </si>
  <si>
    <t>AC=A23110002T</t>
  </si>
  <si>
    <t>AC=A23110004T</t>
  </si>
  <si>
    <t>AC=A23110006T</t>
  </si>
  <si>
    <t>AC=A23120000T</t>
  </si>
  <si>
    <t>AC=A23120002T</t>
  </si>
  <si>
    <t>AC=A23120004T</t>
  </si>
  <si>
    <t>AC=A23120006T</t>
  </si>
  <si>
    <t>AC=A23130000T</t>
  </si>
  <si>
    <t>AC=A23130002T</t>
  </si>
  <si>
    <t>AC=A23130004T</t>
  </si>
  <si>
    <t>AC=A23130006T</t>
  </si>
  <si>
    <t>AC=A23240000T</t>
  </si>
  <si>
    <t>AC=A23240002T</t>
  </si>
  <si>
    <t>AC=A23240004T</t>
  </si>
  <si>
    <t>AC=A23240006T</t>
  </si>
  <si>
    <t>AC=A23190000T</t>
  </si>
  <si>
    <t>AC=A23190002T</t>
  </si>
  <si>
    <t>AC=A23190004T</t>
  </si>
  <si>
    <t>AC=A23190006T</t>
  </si>
  <si>
    <t>AC=A23050000T</t>
  </si>
  <si>
    <t>AC=A23050002T</t>
  </si>
  <si>
    <t>AC=A23060000T</t>
  </si>
  <si>
    <t>AC=A23060002T</t>
  </si>
  <si>
    <t>AC=A23070000T</t>
  </si>
  <si>
    <t>AC=A23070002T</t>
  </si>
  <si>
    <t>AC=A21380000T</t>
  </si>
  <si>
    <t>AC=A21380002T</t>
  </si>
  <si>
    <t>AC=A23490000T</t>
  </si>
  <si>
    <t>AC=A23490002T</t>
  </si>
  <si>
    <t>AC=A23110010R</t>
  </si>
  <si>
    <t>AC=A23110012R</t>
  </si>
  <si>
    <t>AC=A23110014R</t>
  </si>
  <si>
    <t>AC=A23110016R</t>
  </si>
  <si>
    <t>AC=A29311013R</t>
  </si>
  <si>
    <t>AC=A23110020R</t>
  </si>
  <si>
    <t>AC=A23110022R</t>
  </si>
  <si>
    <t>AC=A23110024R</t>
  </si>
  <si>
    <t>AC=A23110026R</t>
  </si>
  <si>
    <t>AC=A29311023R</t>
  </si>
  <si>
    <t>AC=A23110030R</t>
  </si>
  <si>
    <t>AC=A23110032R</t>
  </si>
  <si>
    <t>AC=A23110034R</t>
  </si>
  <si>
    <t>AC=A23110036R</t>
  </si>
  <si>
    <t>AC=A29311033R</t>
  </si>
  <si>
    <t>AC=A23110050R</t>
  </si>
  <si>
    <t>AC=A23110052R</t>
  </si>
  <si>
    <t>AC=A23110054R</t>
  </si>
  <si>
    <t>AC=A23110056R</t>
  </si>
  <si>
    <t>AC=A29311053R</t>
  </si>
  <si>
    <t>AC=A23120010A</t>
  </si>
  <si>
    <t>AC=A23120014A</t>
  </si>
  <si>
    <t>AC=A23120016A</t>
  </si>
  <si>
    <t>AC=A29312013A</t>
  </si>
  <si>
    <t>AC=A23120020A</t>
  </si>
  <si>
    <t>AC=A23120024A</t>
  </si>
  <si>
    <t>AC=A23120026A</t>
  </si>
  <si>
    <t>AC=A29312023A</t>
  </si>
  <si>
    <t>AC=A23120030A</t>
  </si>
  <si>
    <t>AC=A23120034A</t>
  </si>
  <si>
    <t>AC=A23120036A</t>
  </si>
  <si>
    <t>AC=A29312033A</t>
  </si>
  <si>
    <t>AC=A23120050A</t>
  </si>
  <si>
    <t>AC=A23120054A</t>
  </si>
  <si>
    <t>AC=A23120056A</t>
  </si>
  <si>
    <t>AC=A29312053A</t>
  </si>
  <si>
    <t>AC=A23130010A</t>
  </si>
  <si>
    <t>AC=A23130014A</t>
  </si>
  <si>
    <t>AC=A23130016A</t>
  </si>
  <si>
    <t>AC=A29313013A</t>
  </si>
  <si>
    <t>AC=A23130020A</t>
  </si>
  <si>
    <t>AC=A23130024A</t>
  </si>
  <si>
    <t>AC=A23130026A</t>
  </si>
  <si>
    <t>AC=A29313023A</t>
  </si>
  <si>
    <t>AC=A23130030A</t>
  </si>
  <si>
    <t>AC=A23130034A</t>
  </si>
  <si>
    <t>AC=A23130036A</t>
  </si>
  <si>
    <t>AC=A29313033A</t>
  </si>
  <si>
    <t>AC=A23130050A</t>
  </si>
  <si>
    <t>AC=A23130054A</t>
  </si>
  <si>
    <t>AC=A23130056A</t>
  </si>
  <si>
    <t>AC=A29313053A</t>
  </si>
  <si>
    <t>AC=A23240010A</t>
  </si>
  <si>
    <t>AC=A23240014A</t>
  </si>
  <si>
    <t>AC=A23240016A</t>
  </si>
  <si>
    <t>AC=A29324013A</t>
  </si>
  <si>
    <t>AC=A23240020A</t>
  </si>
  <si>
    <t>AC=A23240024A</t>
  </si>
  <si>
    <t>AC=A23240026A</t>
  </si>
  <si>
    <t>AC=A29324023A</t>
  </si>
  <si>
    <t>AC=A23240030A</t>
  </si>
  <si>
    <t>AC=A23240034A</t>
  </si>
  <si>
    <t>AC=A23240036A</t>
  </si>
  <si>
    <t>AC=A29324033A</t>
  </si>
  <si>
    <t>AC=A23240050A</t>
  </si>
  <si>
    <t>AC=A23240054A</t>
  </si>
  <si>
    <t>AC=A23240056A</t>
  </si>
  <si>
    <t>AC=A29324053A</t>
  </si>
  <si>
    <t>AC=A23190010A</t>
  </si>
  <si>
    <t>AC=A23190014A</t>
  </si>
  <si>
    <t>AC=A23190016A</t>
  </si>
  <si>
    <t>AC=A29319013A</t>
  </si>
  <si>
    <t>AC=A23190020A</t>
  </si>
  <si>
    <t>AC=A23190024A</t>
  </si>
  <si>
    <t>AC=A23190026A</t>
  </si>
  <si>
    <t>AC=A29319023A</t>
  </si>
  <si>
    <t>AC=A23190030A</t>
  </si>
  <si>
    <t>AC=A23190034A</t>
  </si>
  <si>
    <t>AC=A23190036A</t>
  </si>
  <si>
    <t>AC=A29319033A</t>
  </si>
  <si>
    <t>AC=A23190050A</t>
  </si>
  <si>
    <t>AC=A23190054A</t>
  </si>
  <si>
    <t>AC=A23190056A</t>
  </si>
  <si>
    <t>AC=A29319053A</t>
  </si>
  <si>
    <t>AC=A23050000N</t>
  </si>
  <si>
    <t>AC=A23050002N</t>
  </si>
  <si>
    <t>AC=A23060000N</t>
  </si>
  <si>
    <t>AC=A23060002N</t>
  </si>
  <si>
    <t>AC=A21380000N</t>
  </si>
  <si>
    <t>AC=A21380002N</t>
  </si>
  <si>
    <t>AC=A23490000N</t>
  </si>
  <si>
    <t>AC=A23490002N</t>
  </si>
  <si>
    <t>AC=A23110010A</t>
  </si>
  <si>
    <t>AC=A23110014A</t>
  </si>
  <si>
    <t>AC=A23110016A</t>
  </si>
  <si>
    <t>AC=A29311013A</t>
  </si>
  <si>
    <t>AC=A23110020A</t>
  </si>
  <si>
    <t>AC=A23110024A</t>
  </si>
  <si>
    <t>AC=A23110026A</t>
  </si>
  <si>
    <t>AC=A29311023A</t>
  </si>
  <si>
    <t>AC=A23110030A</t>
  </si>
  <si>
    <t>AC=A23110034A</t>
  </si>
  <si>
    <t>AC=A23110036A</t>
  </si>
  <si>
    <t>AC=A29311033A</t>
  </si>
  <si>
    <t>AC=A23110050A</t>
  </si>
  <si>
    <t>AC=A23110054A</t>
  </si>
  <si>
    <t>AC=A23110056A</t>
  </si>
  <si>
    <t>AC=A29311053A</t>
  </si>
  <si>
    <t>JV par résultat - Obligations d'Etat et assimilés</t>
  </si>
  <si>
    <t>AC=A24210000T</t>
  </si>
  <si>
    <t>AC=A24220000T</t>
  </si>
  <si>
    <t>AC=A24230000T</t>
  </si>
  <si>
    <t>AC=A24290000T</t>
  </si>
  <si>
    <t>AC=A24470000T</t>
  </si>
  <si>
    <t>AC=A24150000T</t>
  </si>
  <si>
    <t>AC=A23120010R</t>
  </si>
  <si>
    <t>AC=A23120012R</t>
  </si>
  <si>
    <t>AC=A23120014R</t>
  </si>
  <si>
    <t>AC=A23120016R</t>
  </si>
  <si>
    <t>AC=A29312013R</t>
  </si>
  <si>
    <t>AC=A23120020R</t>
  </si>
  <si>
    <t>AC=A23120022R</t>
  </si>
  <si>
    <t>AC=A23120024R</t>
  </si>
  <si>
    <t>AC=A23120026R</t>
  </si>
  <si>
    <t>AC=A29312023R</t>
  </si>
  <si>
    <t>AC=A23120030R</t>
  </si>
  <si>
    <t>AC=A23120032R</t>
  </si>
  <si>
    <t>AC=A23120034R</t>
  </si>
  <si>
    <t>AC=A23120036R</t>
  </si>
  <si>
    <t>AC=A29312033R</t>
  </si>
  <si>
    <t>AC=A23120050R</t>
  </si>
  <si>
    <t>AC=A23120052R</t>
  </si>
  <si>
    <t>AC=A23120054R</t>
  </si>
  <si>
    <t>AC=A23120056R</t>
  </si>
  <si>
    <t>AC=A29312053R</t>
  </si>
  <si>
    <t>AC=A23130010R</t>
  </si>
  <si>
    <t>AC=A23130012R</t>
  </si>
  <si>
    <t>AC=A23130014R</t>
  </si>
  <si>
    <t>AC=A23130016R</t>
  </si>
  <si>
    <t>AC=A29313013R</t>
  </si>
  <si>
    <t>AC=A23130020R</t>
  </si>
  <si>
    <t>AC=A23130022R</t>
  </si>
  <si>
    <t>AC=A23130024R</t>
  </si>
  <si>
    <t>AC=A23130026R</t>
  </si>
  <si>
    <t>AC=A29313023R</t>
  </si>
  <si>
    <t>AC=A23130030R</t>
  </si>
  <si>
    <t>AC=A23130032R</t>
  </si>
  <si>
    <t>AC=A23130034R</t>
  </si>
  <si>
    <t>AC=A23130036R</t>
  </si>
  <si>
    <t>AC=A29313033R</t>
  </si>
  <si>
    <t>AC=A23130050R</t>
  </si>
  <si>
    <t>AC=A23130052R</t>
  </si>
  <si>
    <t>AC=A23130054R</t>
  </si>
  <si>
    <t>AC=A23130056R</t>
  </si>
  <si>
    <t>AC=A29313053R</t>
  </si>
  <si>
    <t>AC=A23240010R</t>
  </si>
  <si>
    <t>AC=A23240012R</t>
  </si>
  <si>
    <t>AC=A23240014R</t>
  </si>
  <si>
    <t>AC=A23240016R</t>
  </si>
  <si>
    <t>AC=A29324013R</t>
  </si>
  <si>
    <t>AC=A23240020R</t>
  </si>
  <si>
    <t>AC=A23240022R</t>
  </si>
  <si>
    <t>AC=A23240024R</t>
  </si>
  <si>
    <t>AC=A23240026R</t>
  </si>
  <si>
    <t>AC=A29324023R</t>
  </si>
  <si>
    <t>AC=A23240030R</t>
  </si>
  <si>
    <t>AC=A23240032R</t>
  </si>
  <si>
    <t>AC=A23240034R</t>
  </si>
  <si>
    <t>AC=A23240036R</t>
  </si>
  <si>
    <t>AC=A29324033R</t>
  </si>
  <si>
    <t>AC=A23240050R</t>
  </si>
  <si>
    <t>AC=A23240052R</t>
  </si>
  <si>
    <t>AC=A23240054R</t>
  </si>
  <si>
    <t>AC=A23240056R</t>
  </si>
  <si>
    <t>AC=A29324053R</t>
  </si>
  <si>
    <t>AC=A23190010R</t>
  </si>
  <si>
    <t>AC=A23190012R</t>
  </si>
  <si>
    <t>AC=A23190014R</t>
  </si>
  <si>
    <t>AC=A23190016R</t>
  </si>
  <si>
    <t>AC=A29319013R</t>
  </si>
  <si>
    <t>AC=A23190020R</t>
  </si>
  <si>
    <t>AC=A23190022R</t>
  </si>
  <si>
    <t>AC=A23190024R</t>
  </si>
  <si>
    <t>AC=A23190026R</t>
  </si>
  <si>
    <t>AC=A29319023R</t>
  </si>
  <si>
    <t>AC=A23190030R</t>
  </si>
  <si>
    <t>AC=A23190032R</t>
  </si>
  <si>
    <t>AC=A23190034R</t>
  </si>
  <si>
    <t>AC=A23190036R</t>
  </si>
  <si>
    <t>AC=A29319033R</t>
  </si>
  <si>
    <t>AC=A23190050R</t>
  </si>
  <si>
    <t>AC=A23190052R</t>
  </si>
  <si>
    <t>AC=A23190054R</t>
  </si>
  <si>
    <t>AC=A23190056R</t>
  </si>
  <si>
    <t>AC=A29319053R</t>
  </si>
  <si>
    <t>AC=P13501000</t>
  </si>
  <si>
    <t>AC=P13502000</t>
  </si>
  <si>
    <t>AC=P13050000</t>
  </si>
  <si>
    <t>AC=P12000000</t>
  </si>
  <si>
    <t>AC=A24090000T</t>
  </si>
  <si>
    <t>FL=F01</t>
  </si>
  <si>
    <t>Contrôle</t>
  </si>
  <si>
    <t>Résultat de l'exercice</t>
  </si>
  <si>
    <t>AC=A28700000</t>
  </si>
  <si>
    <t>AC=A27200000</t>
  </si>
  <si>
    <t>AC=A50502000</t>
  </si>
  <si>
    <t>Immobilier de placement - Contrats en UC</t>
  </si>
  <si>
    <t>AC=TA1031</t>
  </si>
  <si>
    <t>Contrôle Bilan</t>
  </si>
  <si>
    <t>Contrôle Cohérence N-1</t>
  </si>
  <si>
    <t>AC=A23110000O</t>
  </si>
  <si>
    <t>AC=A23110002O</t>
  </si>
  <si>
    <t>AC=A23110004O</t>
  </si>
  <si>
    <t>AC=A23110006O</t>
  </si>
  <si>
    <t>AC=A23120000O</t>
  </si>
  <si>
    <t>AC=A23120002O</t>
  </si>
  <si>
    <t>AC=A23120004O</t>
  </si>
  <si>
    <t>AC=A23120006O</t>
  </si>
  <si>
    <t>AC=A23130000O</t>
  </si>
  <si>
    <t>AC=A23130002O</t>
  </si>
  <si>
    <t>AC=A23130004O</t>
  </si>
  <si>
    <t>AC=A23130006O</t>
  </si>
  <si>
    <t>AC=A23240000O</t>
  </si>
  <si>
    <t>AC=A23240002O</t>
  </si>
  <si>
    <t>AC=A23240006O</t>
  </si>
  <si>
    <t>AC=TA1032</t>
  </si>
  <si>
    <t>FL=F94</t>
  </si>
  <si>
    <t>AC=A24080000T</t>
  </si>
  <si>
    <t>8.2.6</t>
  </si>
  <si>
    <t>5.7</t>
  </si>
  <si>
    <t>Si vous n'avez pas d'effectif, saisir 1 pour valider la phrase suivante :</t>
  </si>
  <si>
    <t>L'entité ne déclare pas d'effectif</t>
  </si>
  <si>
    <t>AC = XTX009</t>
  </si>
  <si>
    <t>Contrôle XEFFECTIVRAV</t>
  </si>
  <si>
    <t>TOTAL Effectif</t>
  </si>
  <si>
    <t>RU=F233</t>
  </si>
  <si>
    <t>RU=G1122</t>
  </si>
  <si>
    <t>DP=2022.12</t>
  </si>
  <si>
    <t>DP=2023.12</t>
  </si>
  <si>
    <t>DP=2022.06</t>
  </si>
  <si>
    <t>JV par résultat - Obligations d'Etat et assimilés - Valeur d'acq.</t>
  </si>
  <si>
    <t>JV par résultat - Obligations d'Etat et assimilés - Revalo.</t>
  </si>
  <si>
    <t>JV par résultat - Obligations d'Etat et assimilés - Intérêts calculés selon la méthode TIE</t>
  </si>
  <si>
    <t>JV par résultat - Obligations d'Etat et assimilés - ICNE</t>
  </si>
  <si>
    <t>JV par résultat - Obligations corporate non subordonnées - Valeur d'acq.</t>
  </si>
  <si>
    <t>JV par résultat - Obligations corporate non subordonnées - Revalo.</t>
  </si>
  <si>
    <t>JV par résultat - Obligations corporate non subordonnées - Intérêts calculés selon la méthode TIE</t>
  </si>
  <si>
    <t>JV par résultat - Obligations corporate non subordonnées - ICNE</t>
  </si>
  <si>
    <t>JV par résultat - Obligations corporate subordonnées - Valeur d'acq.</t>
  </si>
  <si>
    <t>JV par résultat - Obligations corporate subordonnées - Revalo.</t>
  </si>
  <si>
    <t>JV par résultat - Obligations corporate subordonnées - Intérêts calculés selon la méthode TIE</t>
  </si>
  <si>
    <t>JV par résultat - Obligations corporate subordonnées - ICNE</t>
  </si>
  <si>
    <t>JV par résultat - Prêts et avances - Valeur d'acq.</t>
  </si>
  <si>
    <t>JV par résultat - Prêts et avances - Revalo.</t>
  </si>
  <si>
    <t>JV par résultat - Prêts et avances - Intérêts calculés selon la méthode TIE</t>
  </si>
  <si>
    <t>JV par résultat - Prêts et avances - ICNE</t>
  </si>
  <si>
    <t>JV par résultat - TCN - Valeur d'acq.</t>
  </si>
  <si>
    <t>JV par résultat - TCN - Revalo.</t>
  </si>
  <si>
    <t>JV par résultat - TCN - Intérêts calculés selon la méthode TIE</t>
  </si>
  <si>
    <t>JV par résultat - TCN - ICNE</t>
  </si>
  <si>
    <t>JV par résultat - OPCVM - Valeur d'acq.</t>
  </si>
  <si>
    <t>JV par résultat - OPCVM - Revalo.</t>
  </si>
  <si>
    <t>JV par résultat - Actions et assimilés - Valeur d'acq.</t>
  </si>
  <si>
    <t>JV par résultat - Actions et assimilés - Revalo.</t>
  </si>
  <si>
    <t>JV par résultat - Parts dans sociétés et fonds immobiliers - Valeur d'acq.</t>
  </si>
  <si>
    <t>JV par résultat - Parts dans sociétés et fonds immobiliers - Revalo.</t>
  </si>
  <si>
    <t>JV par résultat - Autres Fonds - Valeur d'acq.</t>
  </si>
  <si>
    <t>JV par résultat - Autres Fonds - Revalo.</t>
  </si>
  <si>
    <t>JV par résultat - Titres de participation non consolidés - Valeur d'acq</t>
  </si>
  <si>
    <t>JV par résultat - Titres de participation non consolidés - Revalo</t>
  </si>
  <si>
    <t>JV par résultat - Contrats en UC - Obligations d'Etat et assimilés</t>
  </si>
  <si>
    <t>JV par résultat - Contrats en UC - Obligations corporate non subordonnées</t>
  </si>
  <si>
    <t>JV par résultat - Contrats en UC - Obligations corporate subordonnées</t>
  </si>
  <si>
    <t>JV par résultat - Contrats en UC - TCN</t>
  </si>
  <si>
    <t>JV par résultat - Contrats en UC - Actions et assimilés</t>
  </si>
  <si>
    <t>JV par résultat - Contrats en UC - OPCVM</t>
  </si>
  <si>
    <t>JV par résultat - Contrats en UC - Parts dans sociétés et fonds immobiliers</t>
  </si>
  <si>
    <t>JV par résultat - Contrats en UC - Autres Fonds</t>
  </si>
  <si>
    <t>OCI recyclable - Obligations d'Etat et assimilés - Valeur d'acquisition - B1</t>
  </si>
  <si>
    <t>OCI recyclable - Obligations d'Etat et assimilés - Revalorisation - B1</t>
  </si>
  <si>
    <t>OCI recyclable - Obligations d'Etat et assimilés - Intérêts calculés selon la méthode TIE - B1</t>
  </si>
  <si>
    <t>OCI recyclable - Obligations d'Etat et assimilés - ICNE - B1</t>
  </si>
  <si>
    <t>OCI recyclable - Obligations d'Etat et assimilés - Dépréciation - B1</t>
  </si>
  <si>
    <t>OCI recyclable - Obligations d'Etat et assimilés - Valeur d'acquisition - B2</t>
  </si>
  <si>
    <t>OCI recyclable - Obligations d'Etat et assimilés - Revalorisation - B2</t>
  </si>
  <si>
    <t>OCI recyclable - Obligations d'Etat et assimilés - Intérêts calculés selon la méthode TIE - B2</t>
  </si>
  <si>
    <t>OCI recyclable - Obligations d'Etat et assimilés - ICNE - B2</t>
  </si>
  <si>
    <t>OCI recyclable - Obligations d'Etat et assimilés - Dépréciation - B2</t>
  </si>
  <si>
    <t>OCI recyclable - Obligations d'Etat et assimilés - Valeur d'acquisition - B3</t>
  </si>
  <si>
    <t>OCI recyclable - Obligations d'Etat et assimilés - Revalorisation - B3</t>
  </si>
  <si>
    <t>OCI recyclable - Obligations d'Etat et assimilés - Intérêts calculés selon la méthode TIE - B3</t>
  </si>
  <si>
    <t>OCI recyclable - Obligations d'Etat et assimilés - ICNE - B3</t>
  </si>
  <si>
    <t>OCI recyclable - Obligations d'Etat et assimilés - Dépréciation - B3</t>
  </si>
  <si>
    <t>OCI recyclable - Obligations d'Etat et assimilés - Valeur d'acquisition - POCI</t>
  </si>
  <si>
    <t>OCI recyclable - Obligations d'Etat et assimilés - Revalorisation - POCI</t>
  </si>
  <si>
    <t>OCI recyclable - Obligations d'Etat et assimilés - Intérêts calculés selon la méthode TIE - POCI</t>
  </si>
  <si>
    <t>OCI recyclable - Obligations d'Etat et assimilés - ICNE - POCI</t>
  </si>
  <si>
    <t>OCI recyclable - Obligations d'Etat et assimilés - Dépréciation - POCI</t>
  </si>
  <si>
    <t>OCI recyclable - Obligations corporate non subordonnées - Valeur d'acquisition - B1</t>
  </si>
  <si>
    <t>OCI recyclable - Obligations corporate non subordonnées - Revalorisation - B1</t>
  </si>
  <si>
    <t>OCI recyclable - Obligations corporate non subordonnées - Intérêts calculés selon la méthode TIE - B1</t>
  </si>
  <si>
    <t>OCI recyclable - Obligations corporate non subordonnées - ICNE - B1</t>
  </si>
  <si>
    <t>OCI recyclable - Obligations corporate non subordonnées - Dépréciation - B1</t>
  </si>
  <si>
    <t>OCI recyclable - Obligations corporate non subordonnées - Valeur d'acquisition - B2</t>
  </si>
  <si>
    <t>OCI recyclable - Obligations corporate non subordonnées - Revalorisation - B2</t>
  </si>
  <si>
    <t>OCI recyclable - Obligations corporate non subordonnées - Intérêts calculés selon la méthode TIE - B2</t>
  </si>
  <si>
    <t>OCI recyclable - Obligations corporate non subordonnées - ICNE - B2</t>
  </si>
  <si>
    <t>OCI recyclable - Obligations corporate non subordonnées - Dépréciation - B2</t>
  </si>
  <si>
    <t>OCI recyclable - Obligations corporate non subordonnées - Valeur d'acquisition - B3</t>
  </si>
  <si>
    <t>OCI recyclable - Obligations corporate non subordonnées - Revalorisation - B3</t>
  </si>
  <si>
    <t>OCI recyclable - Obligations corporate non subordonnées - Intérêts calculés selon la méthode TIE - B3</t>
  </si>
  <si>
    <t>OCI recyclable - Obligations corporate non subordonnées - ICNE - B3</t>
  </si>
  <si>
    <t>OCI recyclable - Obligations corporate non subordonnées - Dépréciation - B3</t>
  </si>
  <si>
    <t>OCI recyclable - Obligations corporate non subordonnées - Valeur d'acquisition - POCI</t>
  </si>
  <si>
    <t>OCI recyclable - Obligations corporate non subordonnées - Revalorisation - POCI</t>
  </si>
  <si>
    <t>OCI recyclable - Obligations corporate non subordonnées - Intérêts calculés selon la méthode TIE - POCI</t>
  </si>
  <si>
    <t>OCI recyclable - Obligations corporate non subordonnées - ICNE - POCI</t>
  </si>
  <si>
    <t>OCI recyclable - Obligations corporate non subordonnées - Dépréciation - POCI</t>
  </si>
  <si>
    <t>OCI recyclable - Obligations corporate subordonnées - Valeur d'acquisition - B1</t>
  </si>
  <si>
    <t>OCI recyclable - Obligations corporate subordonnées - Revalorisation - B1</t>
  </si>
  <si>
    <t>OCI recyclable - Obligations corporate subordonnées - Intérêts calculés selon la méthode TIE - B1</t>
  </si>
  <si>
    <t>OCI recyclable - Obligations corporate subordonnées - ICNE - B1</t>
  </si>
  <si>
    <t>OCI recyclable - Obligations corporate subordonnées - Dépréciation - B1</t>
  </si>
  <si>
    <t>OCI recyclable - Obligations corporate subordonnées - Valeur d'acquisition - B2</t>
  </si>
  <si>
    <t>OCI recyclable - Obligations corporate subordonnées - Revalorisation - B2</t>
  </si>
  <si>
    <t>OCI recyclable - Obligations corporate subordonnées - Intérêts calculés selon la méthode TIE - B2</t>
  </si>
  <si>
    <t>OCI recyclable - Obligations corporate subordonnées - ICNE - B2</t>
  </si>
  <si>
    <t>OCI recyclable - Obligations corporate subordonnées - Dépréciation - B2</t>
  </si>
  <si>
    <t>OCI recyclable - Obligations corporate subordonnées - Valeur d'acquisition - B3</t>
  </si>
  <si>
    <t>OCI recyclable - Obligations corporate subordonnées - Revalorisation - B3</t>
  </si>
  <si>
    <t>OCI recyclable - Obligations corporate subordonnées - Intérêts calculés selon la méthode TIE - B3</t>
  </si>
  <si>
    <t>OCI recyclable - Obligations corporate subordonnées - ICNE - B3</t>
  </si>
  <si>
    <t>OCI recyclable - Obligations corporate subordonnées - Dépréciation - B3</t>
  </si>
  <si>
    <t>OCI recyclable - Obligations corporate subordonnées - Valeur d'acquisition - POCI</t>
  </si>
  <si>
    <t>OCI recyclable - Obligations corporate subordonnées - Revalorisation - POCI</t>
  </si>
  <si>
    <t>OCI recyclable - Obligations corporate subordonnées - Intérêts calculés selon la méthode TIE - POCI</t>
  </si>
  <si>
    <t>OCI recyclable - Obligations corporate subordonnées - ICNE - POCI</t>
  </si>
  <si>
    <t>OCI recyclable - Obligations corporate subordonnées - Dépréciation - POCI</t>
  </si>
  <si>
    <t>OCI recyclable - Prêts et avances - Valeur d'acquisition - B1</t>
  </si>
  <si>
    <t>OCI recyclable - Prêts et avances - Revalorisation - B1</t>
  </si>
  <si>
    <t>OCI recyclable - Prêts et avances - Intérêts calculés selon la méthode TIE - B1</t>
  </si>
  <si>
    <t>OCI recyclable - Prêts et avances - ICNE - B1</t>
  </si>
  <si>
    <t>OCI recyclable - Prêts et avances - Dépréciation - B1</t>
  </si>
  <si>
    <t>OCI recyclable - Prêts et avances - Valeur d'acquisition - B2</t>
  </si>
  <si>
    <t>OCI recyclable - Prêts et avances - Revalorisation - B2</t>
  </si>
  <si>
    <t>OCI recyclable - Prêts et avances - Intérêts calculés selon la méthode TIE - B2</t>
  </si>
  <si>
    <t>OCI recyclable - Prêts et avances - ICNE - B2</t>
  </si>
  <si>
    <t>OCI recyclable - Prêts et avances - Dépréciation - B2</t>
  </si>
  <si>
    <t>OCI recyclable - Prêts et avances - Valeur d'acquisition - B3</t>
  </si>
  <si>
    <t>OCI recyclable - Prêts et avances - Revalorisation - B3</t>
  </si>
  <si>
    <t>OCI recyclable - Prêts et avances - Intérêts calculés selon la méthode TIE - B3</t>
  </si>
  <si>
    <t>OCI recyclable - Prêts et avances - ICNE - B3</t>
  </si>
  <si>
    <t>OCI recyclable - Prêts et avances - Dépréciation - B3</t>
  </si>
  <si>
    <t>OCI recyclable - Prêts et avances - Valeur d'acquisition - POCI</t>
  </si>
  <si>
    <t>OCI recyclable - Prêts et avances - Revalorisation - POCI</t>
  </si>
  <si>
    <t>OCI recyclable - Prêts et avances - Intérêts calculés selon la méthode TIE - POCI</t>
  </si>
  <si>
    <t>OCI recyclable - Prêts et avances - ICNE - POCI</t>
  </si>
  <si>
    <t>OCI recyclable - Prêts et avances - Dépréciation - POCI</t>
  </si>
  <si>
    <t>OCI recyclable - TCN - Valeur d'acquisition - B1</t>
  </si>
  <si>
    <t>OCI recyclable - TCN - Revalorisation - B1</t>
  </si>
  <si>
    <t>OCI recyclable - TCN - Intérêts calculés selon la méthode TIE - B1</t>
  </si>
  <si>
    <t>OCI recyclable - TCN - ICNE - B1</t>
  </si>
  <si>
    <t>OCI recyclable - TCN - Dépréciation - B1</t>
  </si>
  <si>
    <t>OCI recyclable - TCN - Valeur d'acquisition - B2</t>
  </si>
  <si>
    <t>OCI recyclable - TCN - Revalorisation - B2</t>
  </si>
  <si>
    <t>OCI recyclable - TCN - Intérêts calculés selon la méthode TIE - B2</t>
  </si>
  <si>
    <t>OCI recyclable - TCN - ICNE - B2</t>
  </si>
  <si>
    <t>OCI recyclable - TCN - Dépréciation - B2</t>
  </si>
  <si>
    <t>OCI recyclable - TCN - Valeur d'acquisition - B3</t>
  </si>
  <si>
    <t>OCI recyclable - TCN - Revalorisation - B3</t>
  </si>
  <si>
    <t>OCI recyclable - TCN - Intérêts calculés selon la méthode TIE - B3</t>
  </si>
  <si>
    <t>OCI recyclable - TCN - ICNE - B3</t>
  </si>
  <si>
    <t>OCI recyclable - TCN - Dépréciation - B3</t>
  </si>
  <si>
    <t>OCI recyclable - TCN - Valeur d'acquisition - POCI</t>
  </si>
  <si>
    <t>OCI recyclable - TCN - Revalorisation - POCI</t>
  </si>
  <si>
    <t>OCI recyclable - TCN - Intérêts calculés selon la méthode TIE - POCI</t>
  </si>
  <si>
    <t>OCI recyclable - TCN - ICNE - POCI</t>
  </si>
  <si>
    <t>OCI recyclable - TCN - Dépréciation - POCI</t>
  </si>
  <si>
    <t>OCI non recyclable - Actions et assimilés - Valeur d'acquisition</t>
  </si>
  <si>
    <t>OCI non recyclable - Actions et assimilés - Revalorisation</t>
  </si>
  <si>
    <t>OCI non recyclable - Titres de participation - non consolidés - Valeur d'acquisition</t>
  </si>
  <si>
    <t>OCI non recyclable - Titres de participation - non consolidés - Revalo</t>
  </si>
  <si>
    <t>OCI non recyclable - Parts dans sociétés et fonds immobiliers - Valeur d'acquisition</t>
  </si>
  <si>
    <t>OCI non recyclable - Parts dans sociétés et fonds immobiliers - Revalorisation</t>
  </si>
  <si>
    <t>OCI non recyclable - Autres - Valeur d'acquisition</t>
  </si>
  <si>
    <t>OCI non recyclable - Autres - Revalorisation</t>
  </si>
  <si>
    <t>Coût amorti - Obligations d'Etat et assimilés - Valeur d'acquisition - B1</t>
  </si>
  <si>
    <t>Coût amorti - Obligations d'Etat et assimilés - Intérêts calculés selon la méthode TIE - B1</t>
  </si>
  <si>
    <t>Coût amorti - Obligations d'Etat et assimilés - ICNE - B1</t>
  </si>
  <si>
    <t>Coût amorti - Obligations d'Etat et assimilés - Dépréciation - B1</t>
  </si>
  <si>
    <t>Coût amorti - Obligations d'Etat et assimilés - Dépréciation - Coût amorti - B2</t>
  </si>
  <si>
    <t>Coût amorti - Obligations d'Etat et assimilés - Intérêts calculés selon la méthode TIE - B2</t>
  </si>
  <si>
    <t>Coût amorti - Obligations d'Etat et assimilés - ICNE - B2</t>
  </si>
  <si>
    <t>Coût amorti - Obligations d'Etat et assimilés - Dépréciation - B2</t>
  </si>
  <si>
    <t>Coût amorti - Obligations d'Etat et assimilés - Valeur d'acquisition - B3</t>
  </si>
  <si>
    <t>Coût amorti - Obligations d'Etat et assimilés - Intérêts calculés selon la méthode TIE - B3</t>
  </si>
  <si>
    <t>Coût amorti - Obligations d'Etat et assimilés - ICNE - B3</t>
  </si>
  <si>
    <t>Coût amorti - Obligations d'Etat et assimilés - Dépréciation - B3</t>
  </si>
  <si>
    <t>Coût amorti - Obligations d'Etat et assimilés - Valeur d'acquisition - POCI</t>
  </si>
  <si>
    <t>Coût amorti - Obligations d'Etat et assimilés - Intérêts calculés selon la méthode TIE - POCI</t>
  </si>
  <si>
    <t>Coût amorti - Obligations d'Etat et assimilés - ICNE - POCI</t>
  </si>
  <si>
    <t>Coût amorti - Obligations d'Etat et assimilés - Dépréciation - POCI</t>
  </si>
  <si>
    <t>Coût amorti - Obligations corporate non subordonnées- Valeur d'acquisition - B1</t>
  </si>
  <si>
    <t>Coût amorti - Obligations corporate non subordonnées - Intérêts calculés selon la méthode TIE - B1</t>
  </si>
  <si>
    <t>Coût amorti - Obligations corporate non subordonnées - ICNE - B1</t>
  </si>
  <si>
    <t>Coût amorti - Obligations corporate non subordonnées - Dépréciation - B1</t>
  </si>
  <si>
    <t>Coût amorti - Obligations corporate non subordonnées- Valeur d'acquisition - B2</t>
  </si>
  <si>
    <t>Coût amorti - Obligations corporate non subordonnées - Intérêts calculés selon la méthode TIE - B2</t>
  </si>
  <si>
    <t>Coût amorti - Obligations corporate non subordonnées - ICNE - B2</t>
  </si>
  <si>
    <t>Coût amorti - Obligations corporate non subordonnées - Dépréciation - B2</t>
  </si>
  <si>
    <t>Coût amorti - Obligations corporate non subordonnées- Valeur d'acquisition - B3</t>
  </si>
  <si>
    <t>Coût amorti - Obligations corporate non subordonnées - Intérêts calculés selon la méthode TIE - B3</t>
  </si>
  <si>
    <t>Coût amorti - Obligations corporate non subordonnées - ICNE - B3</t>
  </si>
  <si>
    <t>Coût amorti - Obligations corporate non subordonnées - Dépréciation - B3</t>
  </si>
  <si>
    <t>Coût amorti - Obligations corporate non subordonnées - Valeur d'acquisition - POCI</t>
  </si>
  <si>
    <t>Coût amorti - Obligations corporate non subordonnées - Intérêts calculés selon la méthode TIE - POCI</t>
  </si>
  <si>
    <t>Coût amorti - Obligations corporate non subordonnées - ICNE - POCI</t>
  </si>
  <si>
    <t>Coût amorti - Obligations corporate non subordonnées - Dépréciation - POCI</t>
  </si>
  <si>
    <t>Coût amorti - Obligations corporate subordonnées- Valeur d'acquisition - B1</t>
  </si>
  <si>
    <t>Coût amorti - Obligations corporate subordonnées - Intérêts calculés selon la méthode TIE - B1</t>
  </si>
  <si>
    <t>Coût amorti - Obligations corporate subordonnées - ICNE - B1</t>
  </si>
  <si>
    <t>Coût amorti - Obligations corporate subordonnées - Dépréciation - B1</t>
  </si>
  <si>
    <t>Coût amorti - Obligations corporate subordonnées- Valeur d'acquisition - B2</t>
  </si>
  <si>
    <t>Coût amorti - Obligations corporate subordonnées - Intérêts calculés selon la méthode TIE - B2</t>
  </si>
  <si>
    <t>Coût amorti - Obligations corporate subordonnées - ICNE - B2</t>
  </si>
  <si>
    <t>Coût amorti - Obligations corporate subordonnées - Dépréciation - B2</t>
  </si>
  <si>
    <t>Coût amorti - Obligations corporate subordonnées- Valeur d'acquisition - B3</t>
  </si>
  <si>
    <t>Coût amorti - Obligations corporate subordonnées - Intérêts calculés selon la méthode TIE - B3</t>
  </si>
  <si>
    <t>Coût amorti - Obligations corporate subordonnées - ICNE - B3</t>
  </si>
  <si>
    <t>Coût amorti - Obligations corporate subordonnées - Dépréciation - B3</t>
  </si>
  <si>
    <t>Coût amorti - Obligations corporate subordonnées - Valeur d'acquisition - POCI</t>
  </si>
  <si>
    <t>Coût amorti - Obligations corporate subordonnées - Intérêts calculés selon la méthode TIE - POCI</t>
  </si>
  <si>
    <t>Coût amorti - Obligations corporate subordonnées - ICNE - POCI</t>
  </si>
  <si>
    <t>Coût amorti - Obligations corporate subordonnées - Dépréciation - POCI</t>
  </si>
  <si>
    <t>Coût amorti - Prêts et avances - Valeur d'acquisition - B1</t>
  </si>
  <si>
    <t>Coût amorti - Prêts et avances - Intérêts calculés selon la méthode TIE - B1</t>
  </si>
  <si>
    <t>Coût amorti - Prêts et avances - ICNE - B1</t>
  </si>
  <si>
    <t>Coût amorti - Prêts et avances - Dépréciation - B1</t>
  </si>
  <si>
    <t>Coût amorti - Prêts et avances - Valeur d'acquisition - B2</t>
  </si>
  <si>
    <t>Coût amorti - Prêts et avances - Intérêts calculés selon la méthode TIE - B2</t>
  </si>
  <si>
    <t>Coût amorti - Prêts et avances - ICNE - B2</t>
  </si>
  <si>
    <t>Coût amorti - Prêts et avances - Dépréciation - B2</t>
  </si>
  <si>
    <t>Coût amorti - Prêts et avances - Valeur d'acquisition - B3</t>
  </si>
  <si>
    <t>Coût amorti - Prêts et avances - Intérêts calculés selon la méthode TIE - B3</t>
  </si>
  <si>
    <t>Coût amorti - Prêts et avances - ICNE - B3</t>
  </si>
  <si>
    <t>Coût amorti - Prêts et avances - Dépréciation - B3</t>
  </si>
  <si>
    <t>Coût amorti - Prêts et avances - Valeur d'acquisition - POCI</t>
  </si>
  <si>
    <t>Coût amorti - Prêts et avances - Intérêts calculés selon la méthode TIE - POCI</t>
  </si>
  <si>
    <t>Coût amorti - Prêts et avances - ICNE - POCI</t>
  </si>
  <si>
    <t>Coût amorti - Prêts et avances - Dépréciation - POCI</t>
  </si>
  <si>
    <t>Coût amorti - TCN - Valeur d'acquisition - B1</t>
  </si>
  <si>
    <t>Coût amorti - TCN - Intérêts calculés selon la méthode TIE - B1</t>
  </si>
  <si>
    <t>Coût amorti - TCN - ICNE - B1</t>
  </si>
  <si>
    <t>Coût amorti - TCN - Dépréciation - B1</t>
  </si>
  <si>
    <t>Coût amorti - TCN - Valeur d'acquisition - B2</t>
  </si>
  <si>
    <t>Coût amorti - TCN - Intérêts calculés selon la méthode TIE - B2</t>
  </si>
  <si>
    <t>Coût amorti - TCN - ICNE - B2</t>
  </si>
  <si>
    <t>Coût amorti - TCN - Dépréciation - B2</t>
  </si>
  <si>
    <t>Coût amorti - TCN - Valeur d'acquisition - B3</t>
  </si>
  <si>
    <t>Coût amorti - TCN - Intérêts calculés selon la méthode TIE - B3</t>
  </si>
  <si>
    <t>Coût amorti - TCN - ICNE - B3</t>
  </si>
  <si>
    <t>Coût amorti - TCN - Dépréciation - B3</t>
  </si>
  <si>
    <t>Coût amorti - TCN - Valeur d'acquisition - POCI</t>
  </si>
  <si>
    <t>Coût amorti - TCN - Intérêts calculés selon la méthode TIE - POCI</t>
  </si>
  <si>
    <t>Coût amorti - TCN - ICNE - POCI</t>
  </si>
  <si>
    <t>Coût amorti - TCN - Dépréciation - POCI</t>
  </si>
  <si>
    <t>Futures - Actif - Dépôts de garantie</t>
  </si>
  <si>
    <t>Futures - Actif - Revalo.</t>
  </si>
  <si>
    <t>Futures - Actif - Soulte</t>
  </si>
  <si>
    <t>Futures - Actif - ICNE</t>
  </si>
  <si>
    <t>Instruments dérivés -Equity (call &amp; Put)- Actif - Primes</t>
  </si>
  <si>
    <t>Instruments dérivés -Equity (call &amp; Put)-Actif - Revalo.</t>
  </si>
  <si>
    <t>Instruments dérivés -Equity (call &amp; Put)- Actif - ICNE</t>
  </si>
  <si>
    <t>Swaps - Actif - Dépôts de garantie</t>
  </si>
  <si>
    <t>Swaps - Actif - Revalo.</t>
  </si>
  <si>
    <t>Swaps - Actif - Soulte</t>
  </si>
  <si>
    <t>Swaps - Actif - ICNE</t>
  </si>
  <si>
    <t>Forwards - Actif - Dépôts de garantie</t>
  </si>
  <si>
    <t>Forwards - Actif - Revalo.</t>
  </si>
  <si>
    <t>Forwards - Actif - Soulte</t>
  </si>
  <si>
    <t>Forwards - Actif - ICNE</t>
  </si>
  <si>
    <t>Cap - Actif - Primes</t>
  </si>
  <si>
    <t>Cap - Actif - Revalo.</t>
  </si>
  <si>
    <t>Cap - Actif - ICNE</t>
  </si>
  <si>
    <t>Floor - Actif - Primes</t>
  </si>
  <si>
    <t>Floor - Actif - Revalo.</t>
  </si>
  <si>
    <t>Floor - Actif - ICNE</t>
  </si>
  <si>
    <t>Dérivés de crédit - Actif - Dépôts de garantie</t>
  </si>
  <si>
    <t>Dérivés de crédit - Actif - Revalo.</t>
  </si>
  <si>
    <t>Dérivés de crédit - Actif - Soulte</t>
  </si>
  <si>
    <t>Dérivés de crédit - Actif - ICNE</t>
  </si>
  <si>
    <t>Instruments dérivés actifs - Couverture du risq. de change - CFH - JV positive</t>
  </si>
  <si>
    <t>JV par résultat sur option - Obligations d'Etat et assimilés - Valeur d'acq.</t>
  </si>
  <si>
    <t>JV par résultat sur option - Obligations d'Etat et assimilés - Revalo.</t>
  </si>
  <si>
    <t>JV par résultat sur option - Obligations d'Etat et assimilés - Intérêts calculés selon la méthode TIE</t>
  </si>
  <si>
    <t>JV par résultat sur option - Obligations d'Etat et assimilés - ICNE</t>
  </si>
  <si>
    <t>JV par résultat sur option - Obligations corporate non subordonnées - Valeur d'acq.</t>
  </si>
  <si>
    <t>JV par résultat sur option - Obligations corporate non subordonnées - Revalo.</t>
  </si>
  <si>
    <t>JV par résultat sur option - Obligations corporate non subordonnées - Intérêts calculés selon la méthode TIE</t>
  </si>
  <si>
    <t>JV par résultat sur option - Obligations corporate non subordonnées - ICNE</t>
  </si>
  <si>
    <t>JV par résultat sur option - Obligations corporate subordonnées - Valeur d'acq.</t>
  </si>
  <si>
    <t>JV par résultat sur option - Obligations corporate subordonnées - Revalo.</t>
  </si>
  <si>
    <t>JV par résultat sur option - Obligations corporate subordonnées - Intérêts calculés selon la méthode TIE</t>
  </si>
  <si>
    <t>JV par résultat sur option - Obligations corporate subordonnées - ICNE</t>
  </si>
  <si>
    <t>JV par résultat sur option - Prêts et avances - Valeur d'acq.</t>
  </si>
  <si>
    <t>JV par résultat sur option - Prêts et avances - Revalo.</t>
  </si>
  <si>
    <t>JV par résultat sur option - Prêts et avances - ICNE</t>
  </si>
  <si>
    <t>AC=A23812000T</t>
  </si>
  <si>
    <t>AC=A23822000T</t>
  </si>
  <si>
    <t>AC=A23832000T</t>
  </si>
  <si>
    <t>AC=A23842000T</t>
  </si>
  <si>
    <t>AC=A23813000T</t>
  </si>
  <si>
    <t>AC=A23823000T</t>
  </si>
  <si>
    <t>AC=A23843000T</t>
  </si>
  <si>
    <t>AC=A23815000T</t>
  </si>
  <si>
    <t>AC=A23825000T</t>
  </si>
  <si>
    <t>AC=A23835000T</t>
  </si>
  <si>
    <t>AC=A23845000T</t>
  </si>
  <si>
    <t>AC=A23816000T</t>
  </si>
  <si>
    <t>AC=A23826000T</t>
  </si>
  <si>
    <t>AC=A23836000T</t>
  </si>
  <si>
    <t>AC=A23846000T</t>
  </si>
  <si>
    <t>AC=A23817000T</t>
  </si>
  <si>
    <t>AC=A23827000T</t>
  </si>
  <si>
    <t>AC=A23847000T</t>
  </si>
  <si>
    <t>AC=A23818000T</t>
  </si>
  <si>
    <t>AC=A23828000T</t>
  </si>
  <si>
    <t>AC=A23848000T</t>
  </si>
  <si>
    <t>AC=A23819000T</t>
  </si>
  <si>
    <t>AC=A23829000T</t>
  </si>
  <si>
    <t>AC=A23839000T</t>
  </si>
  <si>
    <t>AC=A23849000T</t>
  </si>
  <si>
    <t>AC=A23850000T</t>
  </si>
  <si>
    <t>AC=TA204</t>
  </si>
  <si>
    <t>AC=TA203</t>
  </si>
  <si>
    <t>AC=TA202</t>
  </si>
  <si>
    <t>AC=TA205</t>
  </si>
  <si>
    <t>AC=TA201</t>
  </si>
  <si>
    <t>RU=A219</t>
  </si>
  <si>
    <t>RU=F510</t>
  </si>
  <si>
    <t>A21201000T</t>
  </si>
  <si>
    <t>Terrains - Valeur d'acquisition. - Juste valeur par résultat</t>
  </si>
  <si>
    <t>A21202000T</t>
  </si>
  <si>
    <t>Terrains - Revalorisation - Juste valeur par résultat</t>
  </si>
  <si>
    <t>A21201000X</t>
  </si>
  <si>
    <t>Terrains - Valeur d'acquisition - Coût amorti</t>
  </si>
  <si>
    <t>A29102000X</t>
  </si>
  <si>
    <t>TA20111</t>
  </si>
  <si>
    <t>A21211000T</t>
  </si>
  <si>
    <t>Immeubles de placement bâtis - Agencements et installations techniques - Valeur d'acquisition - Juste valeur par résultat</t>
  </si>
  <si>
    <t>A21212000T</t>
  </si>
  <si>
    <t>Immeubles de placement bâtis - Agencements et installations techniques - Revalorisation - Juste valeur par résultat</t>
  </si>
  <si>
    <t>A21211000X</t>
  </si>
  <si>
    <t>Immeubles de placement bâtis - Agencements et installations techniques - Valeur d'acquisition - Coût amorti</t>
  </si>
  <si>
    <t>A28121000X</t>
  </si>
  <si>
    <t>Immeubles de placement bâtis - Agencements et installations techniques - Amortissement - Coût amorti</t>
  </si>
  <si>
    <t>A29103000X</t>
  </si>
  <si>
    <t>Immeubles de placement bâtis - Agencements et installations techniques - Dépréciation - Coût amorti</t>
  </si>
  <si>
    <t>TA20112</t>
  </si>
  <si>
    <t>A21212100T</t>
  </si>
  <si>
    <t>Immeubles de placement bâtis - Constructions - Valeur d'acquisition - Juste valeur par résultat</t>
  </si>
  <si>
    <t>A21212200T</t>
  </si>
  <si>
    <t>Immeubles de placement bâtis - Constructions - Revalorisation - Juste valeur par résultat</t>
  </si>
  <si>
    <t>A21212000X</t>
  </si>
  <si>
    <t>Immeubles de placement bâtis - Constructions - Valeur d'acquisition - Coût amorti</t>
  </si>
  <si>
    <t>A28122000X</t>
  </si>
  <si>
    <t>Immeubles de placement bâtis - Constructions - Amortissement - Coût amorti</t>
  </si>
  <si>
    <t>A29101000X</t>
  </si>
  <si>
    <t>TA20113</t>
  </si>
  <si>
    <t>A22201000T</t>
  </si>
  <si>
    <t>Immobilier de placement - En cours - Valeur d'acquisition - Juste valeur par résultat</t>
  </si>
  <si>
    <t>A22202000T</t>
  </si>
  <si>
    <t>Immobilier de placement - En cours - Revalorisation - Juste valeur par résultat</t>
  </si>
  <si>
    <t>A22200000X</t>
  </si>
  <si>
    <t>Immobilier de placement - En cours - Valeur d'acquisition - Coût amorti</t>
  </si>
  <si>
    <t>A29202000X</t>
  </si>
  <si>
    <t>TA20114</t>
  </si>
  <si>
    <t>FAITS MARQUANTS ET EVENEMENTS POSTERIEURS A LA CLÔTURE</t>
  </si>
  <si>
    <t>3.1</t>
  </si>
  <si>
    <t>3.1.1</t>
  </si>
  <si>
    <t>3.1.2</t>
  </si>
  <si>
    <t>3.2</t>
  </si>
  <si>
    <t>3.2.1</t>
  </si>
  <si>
    <t>3.2.2</t>
  </si>
  <si>
    <t>Annexes de transition IFRS 9 au 1er janvier 2023</t>
  </si>
  <si>
    <t>Répartition des dépréciations par Bucket</t>
  </si>
  <si>
    <t>PRINCIPES COMPTABLES</t>
  </si>
  <si>
    <t>Déclaration de conformité</t>
  </si>
  <si>
    <t>4.1.1</t>
  </si>
  <si>
    <t>4.1.2</t>
  </si>
  <si>
    <t>4.1.3</t>
  </si>
  <si>
    <t>PERIMETRE DE CONSOLIDATION</t>
  </si>
  <si>
    <t>5.5</t>
  </si>
  <si>
    <t>Effectif moyen employé par les entreprises consolidées</t>
  </si>
  <si>
    <t>ANALYSE DES PRINCIPAUX POSTES DU BILAN</t>
  </si>
  <si>
    <t>7.1</t>
  </si>
  <si>
    <t>Inventaire des placements au 31 décembre 2023</t>
  </si>
  <si>
    <t>Inventaire des placements au 31 décembre 2022</t>
  </si>
  <si>
    <t>Inventaire des placements au 31 décembre 2023 (Suite)</t>
  </si>
  <si>
    <t>Inventaire des placements au 31 décembre 2022 (Suite)</t>
  </si>
  <si>
    <t>Exposition aux dettes souveraines par zone géographique 2023</t>
  </si>
  <si>
    <t>Exposition aux dettes souveraines par zone géographique 2022</t>
  </si>
  <si>
    <t>Analyse par composante comptable</t>
  </si>
  <si>
    <t>Analyse de la marge sur services contractuels</t>
  </si>
  <si>
    <t>ANALYSE DES PRINCIPAUX POSTES DU COMPTE DE RESULTAT</t>
  </si>
  <si>
    <t>Compte de résultat par secteur au 31 décembre 2023</t>
  </si>
  <si>
    <t>Compte de résultat par secteur au 31 décembre 2022</t>
  </si>
  <si>
    <t>AUTRES ANALYSES</t>
  </si>
  <si>
    <t>Actifs financiers à la juste valeur OCI recyclable</t>
  </si>
  <si>
    <t>Ventilation du portefeuille obligataire par notation des émetteurs au 31/12/2023</t>
  </si>
  <si>
    <t>Ventilation du portefeuille obligataire par notation des émetteurs au 31/12/2022</t>
  </si>
  <si>
    <t>AC=TA20311</t>
  </si>
  <si>
    <t>AC=TA20312</t>
  </si>
  <si>
    <t>AC=TA20313</t>
  </si>
  <si>
    <t>AC=TA20314</t>
  </si>
  <si>
    <t>AC=TA2041114</t>
  </si>
  <si>
    <t>AC=TA20315</t>
  </si>
  <si>
    <t>AC=TA20111</t>
  </si>
  <si>
    <t>AC=TA20112</t>
  </si>
  <si>
    <t>AC=TA20113</t>
  </si>
  <si>
    <t>AC=TA20114</t>
  </si>
  <si>
    <t>Produits des activités d'assurance - Modèle BBA - Prestations et frais attendus - Prestations - Variation LRC</t>
  </si>
  <si>
    <t>Produits des activités d'assurance - Modèle BBA - Prestations et frais attendus - Commissions &amp; Frais attribuables - Variation LRC</t>
  </si>
  <si>
    <t>Produits des activités d'assurance - Modèle BBA - Relâchement de l'ajustement pour risque - Var LRC</t>
  </si>
  <si>
    <t>R70705000B</t>
  </si>
  <si>
    <t>Produits des activités d'assurance - Modèle BBA – Ajustements liés à l’expérience sur les primes reçues</t>
  </si>
  <si>
    <t>R70705100B</t>
  </si>
  <si>
    <t>Produits des activités d'assurance - Modèle BBA – Ajustements liés à l’expérience sur les frais d'acquisition</t>
  </si>
  <si>
    <t>Produits des activités d'assurance - Modèle BBA- Cpte liaison réass</t>
  </si>
  <si>
    <t>Produits des activités d'assurance - Modèle BBA - Cpte ajust réass</t>
  </si>
  <si>
    <t>Produits des activités d'assurance - Modèle VFA - Prestations et frais attendus - Prestations -Variation LRC</t>
  </si>
  <si>
    <t>Produits des activités d'assurance - Modèle VFA - Prestations et frais attendus - Commissions &amp; Frais attribuables - Variation LRC</t>
  </si>
  <si>
    <t>Produits des activités d'assurance - Modèle VFA - Relâchement de l'ajustement pour risque - Var LRC</t>
  </si>
  <si>
    <t>R70705000V</t>
  </si>
  <si>
    <t>Produits des activités d'assurance - Modèle VFA – Ajustements liés à l’expérience sur les primes reçues</t>
  </si>
  <si>
    <t>R70705100V</t>
  </si>
  <si>
    <t>Produits des activités d'assurance - Modèle VFA – Ajustements liés à l’expérience sur les frais d'acquisition</t>
  </si>
  <si>
    <t>Produits des activités d'assurance - Modèle VFA - Cpte liaison réass</t>
  </si>
  <si>
    <t>Produits des activités d'assurance - Modèle VFA - Cpte ajust réass</t>
  </si>
  <si>
    <t>AC=R70700000B</t>
  </si>
  <si>
    <t>AC=R70704000B</t>
  </si>
  <si>
    <t>AC=R70701000B</t>
  </si>
  <si>
    <t>AC=R70702000B</t>
  </si>
  <si>
    <t>AC=R70703000B</t>
  </si>
  <si>
    <t>AC=R70705000B</t>
  </si>
  <si>
    <t>AC=R70705100B</t>
  </si>
  <si>
    <t>AC=R7070000BL</t>
  </si>
  <si>
    <t>AC=R7070000BJ</t>
  </si>
  <si>
    <t>AC=R70706000B</t>
  </si>
  <si>
    <t>AC=R70700000V</t>
  </si>
  <si>
    <t>AC=R70704000V</t>
  </si>
  <si>
    <t>AC=R70701000V</t>
  </si>
  <si>
    <t>AC=R70703000V</t>
  </si>
  <si>
    <t>AC=R70705000V</t>
  </si>
  <si>
    <t>AC=R70705100V</t>
  </si>
  <si>
    <t>AC=R7070000VL</t>
  </si>
  <si>
    <t>AC=R7070000VJ</t>
  </si>
  <si>
    <t>AC=R70706000V</t>
  </si>
  <si>
    <t>RU=F500</t>
  </si>
  <si>
    <t>RU=F511</t>
  </si>
  <si>
    <t>RU=F512</t>
  </si>
  <si>
    <t>RU=F513</t>
  </si>
  <si>
    <t>RU=F514</t>
  </si>
  <si>
    <t>RU=F515</t>
  </si>
  <si>
    <t>RU=I110</t>
  </si>
  <si>
    <t>RU=I120</t>
  </si>
  <si>
    <t>RU=I140</t>
  </si>
  <si>
    <t>RU=I150</t>
  </si>
  <si>
    <t>RU=I160</t>
  </si>
  <si>
    <t>RU=I170</t>
  </si>
  <si>
    <t>RU=I190</t>
  </si>
  <si>
    <t>RU=I200</t>
  </si>
  <si>
    <t>RU=I210</t>
  </si>
  <si>
    <t>RU=I220</t>
  </si>
  <si>
    <t>RU=I900</t>
  </si>
  <si>
    <t>RU=I930</t>
  </si>
  <si>
    <t>RU=I950</t>
  </si>
  <si>
    <t>RU=PA1201</t>
  </si>
  <si>
    <t>RU=PA1217</t>
  </si>
  <si>
    <t>RU=PA1220</t>
  </si>
  <si>
    <t>RU=PA1222</t>
  </si>
  <si>
    <t>RU=PA1223</t>
  </si>
  <si>
    <t>RU=G121</t>
  </si>
  <si>
    <t>RU=G160</t>
  </si>
  <si>
    <t>RU=G190</t>
  </si>
  <si>
    <t>Check</t>
  </si>
  <si>
    <t xml:space="preserve">CTRL </t>
  </si>
  <si>
    <t>Actifs à la JV par autres éléments du rés. Global - recyclable</t>
  </si>
  <si>
    <t>Actifs à la JV par autres éléments du rés. Global - non recyclable</t>
  </si>
  <si>
    <t>JV par résultat (Hors UC)</t>
  </si>
  <si>
    <t xml:space="preserve">Variation des dépréciations sur placements </t>
  </si>
  <si>
    <t>AC=R70704000P</t>
  </si>
  <si>
    <t>AC=R7070400PL</t>
  </si>
  <si>
    <t>AC=R7070400PJ</t>
  </si>
  <si>
    <t>R70900000B</t>
  </si>
  <si>
    <t>Produits issus des contrats de réassurance - Modèle BBA - Prestations et frais cédés réels - Prestations cédées réelles</t>
  </si>
  <si>
    <t>R74905000B</t>
  </si>
  <si>
    <t>Produits issus des contrats de réassurance - Modèle BBA - Prestations et frais cédés réels - Commissions</t>
  </si>
  <si>
    <t>R74920000B</t>
  </si>
  <si>
    <t>Produits issus des contrats de réassurance - Modèle BBA - Prestations et frais cédés réels - Frais attrib.</t>
  </si>
  <si>
    <t>R72789000B</t>
  </si>
  <si>
    <t>Produits issus des contrats de réassurance - Modèle BBA - Composante perte - Allocation à l'élément de perte</t>
  </si>
  <si>
    <t>AC=P46900000</t>
  </si>
  <si>
    <t>AC=P46910000</t>
  </si>
  <si>
    <t>AC=P4690000L</t>
  </si>
  <si>
    <t>AC=P4690000AJ</t>
  </si>
  <si>
    <t>AC=P4690090L</t>
  </si>
  <si>
    <t>AC=P4690090AJ</t>
  </si>
  <si>
    <t>AC=P46500000</t>
  </si>
  <si>
    <t>AC=P46860000</t>
  </si>
  <si>
    <t>AC=P48500000</t>
  </si>
  <si>
    <t>AC=P41681000</t>
  </si>
  <si>
    <t>AC=P4168100L</t>
  </si>
  <si>
    <t>AC=P4168100AJ</t>
  </si>
  <si>
    <t>AC=P48100000Y</t>
  </si>
  <si>
    <t>AC=P49810000Y</t>
  </si>
  <si>
    <t>FL=XRF00A</t>
  </si>
  <si>
    <t>FL=XRF00P</t>
  </si>
  <si>
    <t>Rapprochement entre la trésorerie du bilan et du tableau des flux de trésorerie</t>
  </si>
  <si>
    <t>Autres immobilisations incorporelles</t>
  </si>
  <si>
    <t>Immobilier de placement</t>
  </si>
  <si>
    <t>Placements des activités d'assurance</t>
  </si>
  <si>
    <t>Placements des autres activités</t>
  </si>
  <si>
    <t>Créances d'impôts exigibles</t>
  </si>
  <si>
    <t>Autres actifs d'exploitation à long terme</t>
  </si>
  <si>
    <t>Impôts différés actifs</t>
  </si>
  <si>
    <t>Actifs des activités destinées à être cédées ou abandonnées</t>
  </si>
  <si>
    <t>Capitaux propres totaux</t>
  </si>
  <si>
    <t>Actifs à la juste valeur par capitaux propres</t>
  </si>
  <si>
    <t>Instruments dérivés et dérivés et incorporés séparés</t>
  </si>
  <si>
    <t>Charges ou produits nets afférents des contrats de réassurance détenus</t>
  </si>
  <si>
    <t>Résultat après impôt des activités destinées à être cédées ou abandonnées</t>
  </si>
  <si>
    <t>DP=2021.12</t>
  </si>
  <si>
    <t>TA2021</t>
  </si>
  <si>
    <t>AC = XEFFECTIFRAV</t>
  </si>
  <si>
    <t>FL=XRF101AT</t>
  </si>
  <si>
    <t>FL=XRF102A</t>
  </si>
  <si>
    <t>FL=XRF103</t>
  </si>
  <si>
    <t>FL=XRF10T</t>
  </si>
  <si>
    <t>FL=XRF30T</t>
  </si>
  <si>
    <t>FL=XRF50A</t>
  </si>
  <si>
    <t>FL=XRF70T</t>
  </si>
  <si>
    <t>FL=XRF701A</t>
  </si>
  <si>
    <t>FL=XRF702A</t>
  </si>
  <si>
    <t>FL=XRF703A</t>
  </si>
  <si>
    <t>FL=XRF99A</t>
  </si>
  <si>
    <t>FL=XRF99P</t>
  </si>
  <si>
    <t>9.3.2</t>
  </si>
  <si>
    <t>FL=XRF101RT</t>
  </si>
  <si>
    <t>FL=XRF1021R</t>
  </si>
  <si>
    <t>FL=XRF102RT</t>
  </si>
  <si>
    <t>CTRL Clôture</t>
  </si>
  <si>
    <t>AC=Y101ASS1</t>
  </si>
  <si>
    <t>AC=Y101ASS2</t>
  </si>
  <si>
    <t>AC=Y101ASS3</t>
  </si>
  <si>
    <t>AC=Y101ASST</t>
  </si>
  <si>
    <t>FL=XRF1016T</t>
  </si>
  <si>
    <t>FL=XRF10161</t>
  </si>
  <si>
    <t>FL=XRF10162A</t>
  </si>
  <si>
    <t>FL=XRF10163</t>
  </si>
  <si>
    <t>FL=XRF1017AT</t>
  </si>
  <si>
    <t>FL=XRF10171</t>
  </si>
  <si>
    <t>FL=XRF10172</t>
  </si>
  <si>
    <t>FL=XRF10173</t>
  </si>
  <si>
    <t>FL=XRF10181A</t>
  </si>
  <si>
    <t>FL=XRF301</t>
  </si>
  <si>
    <t>CA=C-CNP</t>
  </si>
  <si>
    <t>FL=XRF1017RT</t>
  </si>
  <si>
    <t>FL=XRF1018RT</t>
  </si>
  <si>
    <t>FL=XRF1022RT</t>
  </si>
  <si>
    <t>Portefeuille des contrats financiers</t>
  </si>
  <si>
    <t>RU=I320</t>
  </si>
  <si>
    <t xml:space="preserve">AC=A50501000
</t>
  </si>
  <si>
    <t>AC=TA102</t>
  </si>
  <si>
    <t>AC=TA1033</t>
  </si>
  <si>
    <t>AC=TA101</t>
  </si>
  <si>
    <t>{FL=F50}+{FL=F97}</t>
  </si>
  <si>
    <t xml:space="preserve">Contrôle inter-annexes </t>
  </si>
  <si>
    <t>Conso Prod 17</t>
  </si>
  <si>
    <t>{FL=F50}+{FL=F70}+{FL=F94}+{FL=F16}+{FL=F97}</t>
  </si>
  <si>
    <t xml:space="preserve">Contrôle inter annexes </t>
  </si>
  <si>
    <t>{AC=TA1032}+{AC=A50800000}+{AC=A59080000}+{AC=A59208100}</t>
  </si>
  <si>
    <t>AC=R62710000</t>
  </si>
  <si>
    <t>{AC=A50502000}+{AC=A50800000}</t>
  </si>
  <si>
    <t>{AC=A59052000}+{AC=A59080000}</t>
  </si>
  <si>
    <t>{AC=A50502000}+{AC=A50800000}+{AC=A59052000}+{AC=A59080000}</t>
  </si>
  <si>
    <t>{AC=TA1032}+{AC=TA1034}</t>
  </si>
  <si>
    <t>Ecart</t>
  </si>
  <si>
    <t>AC=R66011000</t>
  </si>
  <si>
    <t>P39701100V</t>
  </si>
  <si>
    <t>Part cédée - Actifs Contrats d'ass. - VFA - Ajustement pour risque pour sinistres survenus</t>
  </si>
  <si>
    <t>P39700100V</t>
  </si>
  <si>
    <t>Part cédée - Actifs Contrats d'ass. - VFA - Provisions techniques BE pour sinistres survenus</t>
  </si>
  <si>
    <t>P39410000V</t>
  </si>
  <si>
    <t>Part cédée - Actifs Contrats d'ass. - VFA - Provisions techniques BE  pour sinistres survenus  - Non actuariel</t>
  </si>
  <si>
    <t>P39701100B</t>
  </si>
  <si>
    <t>Part cédée - Actifs Contrats d'ass. - BBA - Ajustement pour risque pour sinistres survenus</t>
  </si>
  <si>
    <t>P39700100B</t>
  </si>
  <si>
    <t>Part cédée - Actifs Contrats d'ass. - BBA - Provisions techniques BE pour sinistres survenus</t>
  </si>
  <si>
    <t>P39410000B</t>
  </si>
  <si>
    <t>Part cédée - Actifs Contrats d'ass. - BBA - Provisions techniques BE  pour sinistres survenus  - Non actuariel</t>
  </si>
  <si>
    <t>AC=TA204211</t>
  </si>
  <si>
    <t>AC=TA204212</t>
  </si>
  <si>
    <t>AC=TA204213</t>
  </si>
  <si>
    <t>AC=TA204214</t>
  </si>
  <si>
    <t>AC=TA20211</t>
  </si>
  <si>
    <t>AC=TA20212</t>
  </si>
  <si>
    <t>AC=TA20213</t>
  </si>
  <si>
    <t>AC=TA20214</t>
  </si>
  <si>
    <t>AC=TA20215</t>
  </si>
  <si>
    <t>A24010000T</t>
  </si>
  <si>
    <t>AC=TA203211</t>
  </si>
  <si>
    <t>AC=TA203212</t>
  </si>
  <si>
    <t>AC=TA203213</t>
  </si>
  <si>
    <t>AC=TA203214</t>
  </si>
  <si>
    <t>Récupérer sur la plaquette 2021</t>
  </si>
  <si>
    <t>AC=TA60121</t>
  </si>
  <si>
    <t>AC=TP20331</t>
  </si>
  <si>
    <t>AC=TA2032</t>
  </si>
  <si>
    <t>AC=TA2012</t>
  </si>
  <si>
    <t>TP506</t>
  </si>
  <si>
    <t>AC=TP506</t>
  </si>
  <si>
    <t>JV par résultat - Contrats en UC</t>
  </si>
  <si>
    <t>Actifs à la juste valeur par le résultat</t>
  </si>
  <si>
    <t>Actifs à la juste valeur par le résultat sur option</t>
  </si>
  <si>
    <t>Dettes subordonnées - JV par résultat</t>
  </si>
  <si>
    <t>Réserves de couverture de flux de trésorerie</t>
  </si>
  <si>
    <t>Instruments dérivés sur contrat et  incorporés séparés</t>
  </si>
  <si>
    <t>Produits et charges des autres activités</t>
  </si>
  <si>
    <t>AC=TR40</t>
  </si>
  <si>
    <t>RU=I300</t>
  </si>
  <si>
    <t>RU=I310</t>
  </si>
  <si>
    <t>RU=G151</t>
  </si>
  <si>
    <t>RU=G152</t>
  </si>
  <si>
    <t>AC=R67320000</t>
  </si>
  <si>
    <t>AC=R67330000</t>
  </si>
  <si>
    <t>AC=R67350000</t>
  </si>
  <si>
    <t>AC=R67300000</t>
  </si>
  <si>
    <t>AC=R68123000</t>
  </si>
  <si>
    <t>AC=R66405000</t>
  </si>
  <si>
    <t>AC=R68611000</t>
  </si>
  <si>
    <t>AC=R67403000</t>
  </si>
  <si>
    <t>AC=R60629100</t>
  </si>
  <si>
    <t>AC=R60629200</t>
  </si>
  <si>
    <t>AC=R65800001</t>
  </si>
  <si>
    <t>AC=R67401000</t>
  </si>
  <si>
    <t>AC=R681240000</t>
  </si>
  <si>
    <t>AC=R681241000</t>
  </si>
  <si>
    <t>AC=R65800003</t>
  </si>
  <si>
    <t>AC=R67405000</t>
  </si>
  <si>
    <t>AC=Y101REA1</t>
  </si>
  <si>
    <t>AC=Y101REA2</t>
  </si>
  <si>
    <t>AC=Y101REA3</t>
  </si>
  <si>
    <t>AC=Y101REAT</t>
  </si>
  <si>
    <t>FL=XRF10162R</t>
  </si>
  <si>
    <t>Changements d'estimations entrainant des pertes et des reprises sur les contrats  déficitaires  sous-jacents</t>
  </si>
  <si>
    <t>FL=XRF10181R</t>
  </si>
  <si>
    <t>Charges des placements et autres dettes fin. hors coût de l'endettement</t>
  </si>
  <si>
    <t>AC=P3820000AJ</t>
  </si>
  <si>
    <t xml:space="preserve">Flux de trésorerie </t>
  </si>
  <si>
    <t>AC=TP10132</t>
  </si>
  <si>
    <t>AC=TP1014</t>
  </si>
  <si>
    <t>AC=TP401</t>
  </si>
  <si>
    <t>31/12/2023</t>
  </si>
  <si>
    <t>31/12/2022</t>
  </si>
  <si>
    <t>AC=TP4011</t>
  </si>
  <si>
    <t>AC=TP4013</t>
  </si>
  <si>
    <t>Réserve financière d'assurance et de réassurance</t>
  </si>
  <si>
    <t>Ecarts actuariels</t>
  </si>
  <si>
    <t>PE=2022.12</t>
  </si>
  <si>
    <t>RU=A264</t>
  </si>
  <si>
    <t>RU=A223</t>
  </si>
  <si>
    <t>AC=P13078200V</t>
  </si>
  <si>
    <t>AC=P13501000M</t>
  </si>
  <si>
    <t>AC=TP10133</t>
  </si>
  <si>
    <t>AC=TP10215M</t>
  </si>
  <si>
    <t>AC=P13070200V</t>
  </si>
  <si>
    <t>AC=P13001700</t>
  </si>
  <si>
    <t>Actifs financiers mesurés à la juste valeur par capitaux propres non recyclables</t>
  </si>
  <si>
    <t>AC=P10610002M</t>
  </si>
  <si>
    <t>AC=TP501</t>
  </si>
  <si>
    <t>AC=TA2041</t>
  </si>
  <si>
    <t>AC=R66403000</t>
  </si>
  <si>
    <t>AC=R76403000</t>
  </si>
  <si>
    <t>AC=R76401000R</t>
  </si>
  <si>
    <t>AC=R66401000R</t>
  </si>
  <si>
    <t>AC=R76401000T</t>
  </si>
  <si>
    <t>AC=R66401000T</t>
  </si>
  <si>
    <t>AC=R76402000T</t>
  </si>
  <si>
    <t>AC=R66402000T</t>
  </si>
  <si>
    <t>AC=R76401000O</t>
  </si>
  <si>
    <t>AC=R66401000O</t>
  </si>
  <si>
    <t>AC=R66408000</t>
  </si>
  <si>
    <t>AC=R76408000</t>
  </si>
  <si>
    <t>AC=R66407000X</t>
  </si>
  <si>
    <t>AC=R76408000X</t>
  </si>
  <si>
    <t>AC=R66409000X</t>
  </si>
  <si>
    <t>AC=R76409000X</t>
  </si>
  <si>
    <t>AC=R66801004A</t>
  </si>
  <si>
    <t>AC=R66811004A</t>
  </si>
  <si>
    <t>AC=R66801004R</t>
  </si>
  <si>
    <t>AC=R66811004R</t>
  </si>
  <si>
    <t>AC=R66801004T</t>
  </si>
  <si>
    <t>AC=R66811004T</t>
  </si>
  <si>
    <t>AC=R66801004O</t>
  </si>
  <si>
    <t>AC=R66811004O</t>
  </si>
  <si>
    <t>AC=R66961000</t>
  </si>
  <si>
    <t>AC=R76961000</t>
  </si>
  <si>
    <t>AC=R66900013A</t>
  </si>
  <si>
    <t>AC=R66900023A</t>
  </si>
  <si>
    <t>AC=R66900033A</t>
  </si>
  <si>
    <t>AC=R66900053A</t>
  </si>
  <si>
    <t>AC=R76900013A</t>
  </si>
  <si>
    <t>AC=R76900023A</t>
  </si>
  <si>
    <t>AC=R76900033A</t>
  </si>
  <si>
    <t>AC=R76900053A</t>
  </si>
  <si>
    <t>AC=R66903013A</t>
  </si>
  <si>
    <t>AC=R66903023A</t>
  </si>
  <si>
    <t>AC=R66903033A</t>
  </si>
  <si>
    <t>AC=R66903053A</t>
  </si>
  <si>
    <t>AC=R76903013A</t>
  </si>
  <si>
    <t>AC=R76903023A</t>
  </si>
  <si>
    <t>AC=R76903033A</t>
  </si>
  <si>
    <t>AC=R76903053A</t>
  </si>
  <si>
    <t>AC=R66900013R</t>
  </si>
  <si>
    <t>AC=R66900023R</t>
  </si>
  <si>
    <t>AC=R66900033R</t>
  </si>
  <si>
    <t>AC=R66900053R</t>
  </si>
  <si>
    <t>AC=R76900013R</t>
  </si>
  <si>
    <t>AC=R76900023R</t>
  </si>
  <si>
    <t>AC=R76900033R</t>
  </si>
  <si>
    <t>AC=R76900053R</t>
  </si>
  <si>
    <t>AC=R66903013R</t>
  </si>
  <si>
    <t>AC=R66903023R</t>
  </si>
  <si>
    <t>AC=R66903033R</t>
  </si>
  <si>
    <t>AC=R66903053R</t>
  </si>
  <si>
    <t>AC=R76903013R</t>
  </si>
  <si>
    <t>AC=R76903023R</t>
  </si>
  <si>
    <t>AC=R76903033R</t>
  </si>
  <si>
    <t>AC=R76903053R</t>
  </si>
  <si>
    <t>AC=R62801000</t>
  </si>
  <si>
    <t>AC=R62802000</t>
  </si>
  <si>
    <t>AC=R60629000</t>
  </si>
  <si>
    <t>AC=R70629000</t>
  </si>
  <si>
    <t>AC=R76001006T</t>
  </si>
  <si>
    <t>AC=R76002000T</t>
  </si>
  <si>
    <t>AC=R76012000T</t>
  </si>
  <si>
    <t>AC=R76001000O</t>
  </si>
  <si>
    <t>AC=R76001006O</t>
  </si>
  <si>
    <t>AC=R760382000</t>
  </si>
  <si>
    <t>AC=R760382200</t>
  </si>
  <si>
    <t>AC=R76010000X</t>
  </si>
  <si>
    <t>AC=R76020000X</t>
  </si>
  <si>
    <t>AC=R76030000X</t>
  </si>
  <si>
    <t>AC=R66040000X</t>
  </si>
  <si>
    <t>AC=R76040000X</t>
  </si>
  <si>
    <t>AC=R76011000</t>
  </si>
  <si>
    <t>AC=R76012100</t>
  </si>
  <si>
    <t>AC=R66012400</t>
  </si>
  <si>
    <t>AC=R76012400</t>
  </si>
  <si>
    <t>AC=R7601000E</t>
  </si>
  <si>
    <t>AC=R76030000</t>
  </si>
  <si>
    <t>AC=R76001000A</t>
  </si>
  <si>
    <t>AC=R76001006A</t>
  </si>
  <si>
    <t>AC=R76001000R</t>
  </si>
  <si>
    <t>AC=R76001006R</t>
  </si>
  <si>
    <t>AC=R76002000N</t>
  </si>
  <si>
    <t>AC=R76012000N</t>
  </si>
  <si>
    <t>AC=R76001000T</t>
  </si>
  <si>
    <t>AC=R76070000</t>
  </si>
  <si>
    <t>AC=R76073000</t>
  </si>
  <si>
    <t>AC=R76081000</t>
  </si>
  <si>
    <t>AC=R7603000L</t>
  </si>
  <si>
    <t>AC=R7603000AJ</t>
  </si>
  <si>
    <t>AC=P10600002R</t>
  </si>
  <si>
    <t>AC=P10600032R</t>
  </si>
  <si>
    <t>AC=P10600072R</t>
  </si>
  <si>
    <t>AC=P10600082R</t>
  </si>
  <si>
    <t>AC=P10600092R</t>
  </si>
  <si>
    <t>AC=P10600002M</t>
  </si>
  <si>
    <t>AC=P10600072M</t>
  </si>
  <si>
    <t>AC=P10600032M</t>
  </si>
  <si>
    <t>AC=P10600082M</t>
  </si>
  <si>
    <t>AC=P10600092M</t>
  </si>
  <si>
    <t>AC=P10610002N</t>
  </si>
  <si>
    <t>AC=R66423000</t>
  </si>
  <si>
    <t>AC=R76423000</t>
  </si>
  <si>
    <t>AC=R76401002T</t>
  </si>
  <si>
    <t>AC=R66401002T</t>
  </si>
  <si>
    <t>AC=R76402002T</t>
  </si>
  <si>
    <t>AC=R66402002T</t>
  </si>
  <si>
    <t>AC=R76401002O</t>
  </si>
  <si>
    <t>AC=R66401002O</t>
  </si>
  <si>
    <t>AC=R66428000</t>
  </si>
  <si>
    <t>AC=R76429000</t>
  </si>
  <si>
    <t>AC=R66429000</t>
  </si>
  <si>
    <t>AC=R76428000</t>
  </si>
  <si>
    <t>AC=R66425000</t>
  </si>
  <si>
    <t>AC=R76425000</t>
  </si>
  <si>
    <t>AC=R76600000</t>
  </si>
  <si>
    <t>AC=R66600000</t>
  </si>
  <si>
    <t>AC=R76600010</t>
  </si>
  <si>
    <t>AC=R66600010</t>
  </si>
  <si>
    <t>AC=R76401000A</t>
  </si>
  <si>
    <t>AC=R66402000A</t>
  </si>
  <si>
    <t>AC=R66500000</t>
  </si>
  <si>
    <t>AC=R76500000</t>
  </si>
  <si>
    <t>AC=R61521000</t>
  </si>
  <si>
    <t>AC=R68121000</t>
  </si>
  <si>
    <t>AC=R66020000X</t>
  </si>
  <si>
    <t>AC=R66071000</t>
  </si>
  <si>
    <t>AC=R66072000</t>
  </si>
  <si>
    <t>AC=R66030000</t>
  </si>
  <si>
    <t>AC=R62700000</t>
  </si>
  <si>
    <t>AC=R76082000</t>
  </si>
  <si>
    <t>AC=R6602000L</t>
  </si>
  <si>
    <t>AC=R6602000AJ</t>
  </si>
  <si>
    <t>AC=R66010000</t>
  </si>
  <si>
    <t>AC=R66020000</t>
  </si>
  <si>
    <t>AC=R66000006T</t>
  </si>
  <si>
    <t>AC=R66000000T</t>
  </si>
  <si>
    <t>AC=R66000006O</t>
  </si>
  <si>
    <t>AC=R66000000O</t>
  </si>
  <si>
    <t>AC=R66060000</t>
  </si>
  <si>
    <t>AC=R66070000</t>
  </si>
  <si>
    <t>AC=R76032000</t>
  </si>
  <si>
    <t>AC=R6601000L</t>
  </si>
  <si>
    <t>AC=R6601000AJ</t>
  </si>
  <si>
    <t>AC=TR1521</t>
  </si>
  <si>
    <t>AC=TR1522</t>
  </si>
  <si>
    <t>AC=TR1527</t>
  </si>
  <si>
    <t>AC=TR1572</t>
  </si>
  <si>
    <t>AC=TR1571</t>
  </si>
  <si>
    <t>AC=P10600000N</t>
  </si>
  <si>
    <t>AC=P10600000M</t>
  </si>
  <si>
    <t>CA=FTA-CNP</t>
  </si>
  <si>
    <t>Collecte</t>
  </si>
  <si>
    <t>Compte de résultat consolidé</t>
  </si>
  <si>
    <t xml:space="preserve">Etat du résultat net et des gains &amp; pertes comptabilisés directement en capitaux propres </t>
  </si>
  <si>
    <t xml:space="preserve">Rapprochement des flux de trésorerie provenant des activités de financement avec les états financiers </t>
  </si>
  <si>
    <t>NOTE 1</t>
  </si>
  <si>
    <t>FAITS CARACTERISTIQUES DE L'EXERCICE 2023</t>
  </si>
  <si>
    <t>NOTE 2</t>
  </si>
  <si>
    <t>NOTE 3</t>
  </si>
  <si>
    <t>Principaux impacts au passage à l'IFRS17 et IFRS 9</t>
  </si>
  <si>
    <t>Transition des actifs financiers  bilan du 31 décembre 2022 au 1er janvier 2023</t>
  </si>
  <si>
    <t>Collecte hors outil</t>
  </si>
  <si>
    <t>Reclassement au titre d'IFRS 9</t>
  </si>
  <si>
    <t xml:space="preserve">Impacts du passage à IFRS 9 et IFRS 17 sur les capitaux propres au 1er janvier 2023 </t>
  </si>
  <si>
    <t>NOTE 4</t>
  </si>
  <si>
    <t>Base d'établissement des comptes</t>
  </si>
  <si>
    <t>NOTE 5</t>
  </si>
  <si>
    <t>NOTE 6</t>
  </si>
  <si>
    <t>ACTIFS INCORPORELS</t>
  </si>
  <si>
    <t>Écarts d'acquisition</t>
  </si>
  <si>
    <t>Valeur des écarts d'acquisition</t>
  </si>
  <si>
    <t>Réconciliation ouverture / clôture des écarts d'acquisition</t>
  </si>
  <si>
    <t>NOTE 8</t>
  </si>
  <si>
    <t>PLACEMENTS DES ACTIVITES D'ASSURANCE</t>
  </si>
  <si>
    <t>Instruments de capitaux propres à la juste valeur par capitaux propres non recyclables</t>
  </si>
  <si>
    <t>Réconciliation des annexes " Placements des activités d'assurance " et " Inventaire des placements "</t>
  </si>
  <si>
    <t>Méthodologies d'évaluation de la juste valeur au 31 décembre 2023</t>
  </si>
  <si>
    <t>Méthodologies d'évaluation de la juste valeur au 31 décembre 2022</t>
  </si>
  <si>
    <t>Réconciliation ouverture/clôture des titres valorisés selon une technique de valorisation n'utilisant pas uniquement des données de marché observables</t>
  </si>
  <si>
    <t>NOTE 9</t>
  </si>
  <si>
    <t>ACTIFS ET PASSIFS RELATIFS AUX CONTRATS</t>
  </si>
  <si>
    <t>Article 101 - Assurance - Modèles BBA et VFA</t>
  </si>
  <si>
    <t>Article 101 - Assurance - Modèles BBA et VFA France (y compris DOM-TOM et Luxembourg)</t>
  </si>
  <si>
    <t>Article 101 - Assurance - Modèles BBA et VFA Europe hors France</t>
  </si>
  <si>
    <t>Article 101 - Assurance - Modèles BBA et VFA Amérique Latine</t>
  </si>
  <si>
    <t>Article 101 - Réassurance - Modèles BBA et VFA</t>
  </si>
  <si>
    <t>Article 101 - Réassurance - Modèles BBA et VFA France (y compris DOM-TOM et Luxembourg)</t>
  </si>
  <si>
    <t>Article 101 - Réassurance - Modèles BBA et VFA Europe hors France</t>
  </si>
  <si>
    <t>Article 101 - Réassurance - Modèles BBA et VFA Amérique Latine</t>
  </si>
  <si>
    <t>NOTE 11</t>
  </si>
  <si>
    <t>CAPITAUX PROPRES</t>
  </si>
  <si>
    <t>NOTE 15</t>
  </si>
  <si>
    <t>REVENUS D'ASSURANCE</t>
  </si>
  <si>
    <t>NOTE 18</t>
  </si>
  <si>
    <t>PRODUIT DES PLACEMENTS</t>
  </si>
  <si>
    <t>NOTE 20</t>
  </si>
  <si>
    <t>IMPOTS SUR LES BENEFICES</t>
  </si>
  <si>
    <t>ANALYSE SECTORIELLE</t>
  </si>
  <si>
    <t>APPLICATION DE LA NORME IAS 29</t>
  </si>
  <si>
    <t>PASSIFS EVENTUELS</t>
  </si>
  <si>
    <t>Compensation des actifs et passifs financiers 2023</t>
  </si>
  <si>
    <t>Compensation des actifs et passifs financiers 2022</t>
  </si>
  <si>
    <t>Au 30 juin 2022</t>
  </si>
  <si>
    <t>30/06/2023</t>
  </si>
  <si>
    <t>PE=2022.06</t>
  </si>
  <si>
    <t>Participations ne donnant pas le contrôle</t>
  </si>
  <si>
    <t>IG</t>
  </si>
  <si>
    <t>MEE</t>
  </si>
  <si>
    <t>RU=A225</t>
  </si>
  <si>
    <t>RU=I960</t>
  </si>
  <si>
    <t>Actifs à la juste valeur par le résultat net</t>
  </si>
  <si>
    <t>Au 30 Juin 2023</t>
  </si>
  <si>
    <t>Passifs relatifs aux contrats financiers</t>
  </si>
  <si>
    <t xml:space="preserve">Actifs relatifs aux contrats de réassurance </t>
  </si>
  <si>
    <t>Actifs relatifs aux contrats d'assurance</t>
  </si>
  <si>
    <t xml:space="preserve">Réserve financière d'assurance et de réassurance </t>
  </si>
  <si>
    <t>Intérêts calculés selon la méthode du taux d'intérêt effectif</t>
  </si>
  <si>
    <t>Produits financiers ou charges financières des contrats d’assurance</t>
  </si>
  <si>
    <t xml:space="preserve">Résultat net de l'ensemble consolidé </t>
  </si>
  <si>
    <t xml:space="preserve">Résultat net </t>
  </si>
  <si>
    <t xml:space="preserve">Résultat global </t>
  </si>
  <si>
    <t>Capitaux propres du groupe</t>
  </si>
  <si>
    <t>Réserves de conversion</t>
  </si>
  <si>
    <t>FL=A5</t>
  </si>
  <si>
    <t>R60200000B</t>
  </si>
  <si>
    <t>Charges afférentes aux activités d'assurance - Modèle BBA - Prestations et frais réels - Prestations réelles</t>
  </si>
  <si>
    <t>R60200000V</t>
  </si>
  <si>
    <t>Charges afférentes aux activités d'assurance - Modèle VFA - Prestations et frais réels - Prestations réelles</t>
  </si>
  <si>
    <t>R6020000BJ</t>
  </si>
  <si>
    <t>Charges afférentes aux activités d'assurance - Modèle BBA - Cpte ajust - Prestations et frais réels</t>
  </si>
  <si>
    <t>R6020000VJ</t>
  </si>
  <si>
    <t>Charges afférentes aux activités d'assurance - Modèle VFA - Cpte ajust réass</t>
  </si>
  <si>
    <t>R60780000B</t>
  </si>
  <si>
    <t>Charges issues des contrats de réassurance - Modèle BBA - Prestations et frais attendus - Prestations - Variation LRC</t>
  </si>
  <si>
    <t>R60780000V</t>
  </si>
  <si>
    <t>Charges issues des contrats de réassurance - Modèle VFA - Prestations et frais attendus - Prestations - Variation LRC</t>
  </si>
  <si>
    <t>R60781000B</t>
  </si>
  <si>
    <t>Charges issues des contrats de réassurance - Modèle BBA - Relâchement de l'ajustement pour risque LRC cédé</t>
  </si>
  <si>
    <t>R60781000V</t>
  </si>
  <si>
    <t>Charges issues des contrats de réassurance - Modèle VFA - Relâchement de l'ajustement pour risque LRC cédé</t>
  </si>
  <si>
    <t>R60782000B</t>
  </si>
  <si>
    <t>Charges issues des contrats de réassu - Modèle BBA - Allocation de la marge sur services contractuels cédée en résultat</t>
  </si>
  <si>
    <t>R60782000V</t>
  </si>
  <si>
    <t>Charges issues des contrats de réassu - Modèle VFA - Allocation de la marge sur services contractuels cédée en résultat</t>
  </si>
  <si>
    <t>R60783000B</t>
  </si>
  <si>
    <t>Charges issues des contrats de réassurance - Modèle BBA – Ajustements liés à l’expérience sur les frais d'acquisition</t>
  </si>
  <si>
    <t>R60785000B</t>
  </si>
  <si>
    <t>Charges issues des contrats de réassurance - Modèle BBA – Ajustements liés à l’expérience sur les primes reçues</t>
  </si>
  <si>
    <t>R62709000B</t>
  </si>
  <si>
    <t>Charges afférentes aux activités d'assurance - Modèle BBA - Composante de perte - Allocation à l'élément de perte</t>
  </si>
  <si>
    <t>R62709000V</t>
  </si>
  <si>
    <t>Charges afférentes aux activités d'assurance - Modèle VFA - Composante de perte - Allocation à l'élément de perte</t>
  </si>
  <si>
    <t>R64005000B</t>
  </si>
  <si>
    <t>Charges afférentes aux activités d'assurance - Modèle BBA - Prestations et frais réels - Commissions</t>
  </si>
  <si>
    <t>R64005000V</t>
  </si>
  <si>
    <t>Charges afférentes aux activités d'assurance - Modèle VFA - Prestations et frais réels - Commissions</t>
  </si>
  <si>
    <t>R64020000B</t>
  </si>
  <si>
    <t>Charges afférentes aux activités d'assurance - Modèle BBA - Prestations et frais réels - Frais attribuables réels</t>
  </si>
  <si>
    <t>R64020000V</t>
  </si>
  <si>
    <t>Charges afférentes aux activités d'assurance - Modèle VFA - Prestations et frais réels - Frais attribuables réels</t>
  </si>
  <si>
    <t>R70700000B</t>
  </si>
  <si>
    <t>R70700000V</t>
  </si>
  <si>
    <t>R7070000BJ</t>
  </si>
  <si>
    <t>R7070000VJ</t>
  </si>
  <si>
    <t>R70701000B</t>
  </si>
  <si>
    <t>R70701000V</t>
  </si>
  <si>
    <t>R70702000B</t>
  </si>
  <si>
    <t>Produits des activités d'assurance - Modèle BBA - Allocation de la CSM en résultat</t>
  </si>
  <si>
    <t>R70702000V</t>
  </si>
  <si>
    <t>Produits des activités d'assurance - Modèle VFA - Allocation de la CSM en résultat</t>
  </si>
  <si>
    <t>R70704000B</t>
  </si>
  <si>
    <t>Produits des activités d'assu - Modèle BBA - Prestations et frais attendus - Commissions &amp; Frais attrib. - Var LRC</t>
  </si>
  <si>
    <t>R70704000V</t>
  </si>
  <si>
    <t>Produits des activités d'assu - Modèle VFA - Prestations et frais attendus - Commissions &amp; Frais attrib. - Var LRC</t>
  </si>
  <si>
    <t>R70706000B</t>
  </si>
  <si>
    <t>Produits des activités d'assurance - Modèle BBA - Variation de la composante de perte</t>
  </si>
  <si>
    <t>R70706000V</t>
  </si>
  <si>
    <t>Produits des activités d'assurance - Modèle VFA - Variation de la composante de perte</t>
  </si>
  <si>
    <t>R70900000V</t>
  </si>
  <si>
    <t>Produits issus des contrats de réassurance - Modèle VFA - Prestations et frais cédés réels - Prestations cédées réelles</t>
  </si>
  <si>
    <t>R74905000V</t>
  </si>
  <si>
    <t>Produits issus des contrats de réassurance - Modèle VFA - Prestations et frais cédés réels - Commissions</t>
  </si>
  <si>
    <t>Contrats comptabilisés selon le modèle PAA</t>
  </si>
  <si>
    <t>Réconciliation RF par modèles comptables avec les états financiers - Assurance</t>
  </si>
  <si>
    <t>Libellé flux</t>
  </si>
  <si>
    <t>Signe</t>
  </si>
  <si>
    <t>XRF00A</t>
  </si>
  <si>
    <t>AC=A30700000B</t>
  </si>
  <si>
    <t>A30700000B</t>
  </si>
  <si>
    <t>Actifs Contrats d'ass. - Modèle BBA - Provisions techniques BE pour couverture restante</t>
  </si>
  <si>
    <t>AC=A30700100B</t>
  </si>
  <si>
    <t>A30700100B</t>
  </si>
  <si>
    <t>Actifs Contrats d'ass. - Modèle BBA - Provisions techniques BE pour sinistres survenus</t>
  </si>
  <si>
    <t>AC=A30400000B</t>
  </si>
  <si>
    <t>A30400000B</t>
  </si>
  <si>
    <t>Actifs Contrats d'ass. - Modèle BBA - Provisions techniques BE pour couverture restante - Non actuariel</t>
  </si>
  <si>
    <t>AC=A30700000V</t>
  </si>
  <si>
    <t>A30700000V</t>
  </si>
  <si>
    <t>Actifs Contrats d'ass. - Modèle VFA - Provisions techniques BE pour couverture restante</t>
  </si>
  <si>
    <t>AC=A30700100V</t>
  </si>
  <si>
    <t>A30700100V</t>
  </si>
  <si>
    <t>Actifs Contrats d'ass. - Modèle VFA - Provisions techniques BE pour sinistres survenus</t>
  </si>
  <si>
    <t>AC=A30400000V</t>
  </si>
  <si>
    <t>A30400000V</t>
  </si>
  <si>
    <t>Actifs Contrats d'ass. - Modèle VFA - Provisions techniques BE  pour couverture restante - Non actuariel</t>
  </si>
  <si>
    <t>AC=A3078200BJ</t>
  </si>
  <si>
    <t>A3078200BJ</t>
  </si>
  <si>
    <t>Actifs Contrats d'ass - Modèle BBA - Ajustement - couverture restante</t>
  </si>
  <si>
    <t>AC=A3078200VJ</t>
  </si>
  <si>
    <t>A3078200VJ</t>
  </si>
  <si>
    <t>Actifs Contrats d'ass - Modèle VFA - Ajustement - couverture restante</t>
  </si>
  <si>
    <t>AC=A3078201BJ</t>
  </si>
  <si>
    <t>A3078201BJ</t>
  </si>
  <si>
    <t>Actifs Contrats d'ass - Modèle BBA - Ajustement - sinistres survenus</t>
  </si>
  <si>
    <t>AC=A3078201VJ</t>
  </si>
  <si>
    <t>A3078201VJ</t>
  </si>
  <si>
    <t>Actifs Contrats d'ass - Modèle VFA - Ajustement - sinistres survenus</t>
  </si>
  <si>
    <t>AC=A30410000B</t>
  </si>
  <si>
    <t>A30410000B</t>
  </si>
  <si>
    <t>Actifs Contrats d'ass. - Modèle BBA - Provisions techniques BE pour sinistres survenus - Non actuariel</t>
  </si>
  <si>
    <t>AC=A30410000V</t>
  </si>
  <si>
    <t>A30410000V</t>
  </si>
  <si>
    <t>Actifs Contrats d'ass. - Modèle VFA - Provisions techniques BE  pour sinistres survenus - Non actuariel</t>
  </si>
  <si>
    <t>AC=A30701000B</t>
  </si>
  <si>
    <t>A30701000B</t>
  </si>
  <si>
    <t>Actifs Contrats d'ass. - Modèle BBA - Ajustement pour risque pour couverture restante</t>
  </si>
  <si>
    <t>AC=A30701100B</t>
  </si>
  <si>
    <t>A30701100B</t>
  </si>
  <si>
    <t>Actifs Contrats d'ass. - Modèle BBA - Ajustement pour risque pour sinistres survenus</t>
  </si>
  <si>
    <t>AC=A30701000V</t>
  </si>
  <si>
    <t>A30701000V</t>
  </si>
  <si>
    <t>Actifs Contrats d'ass. - Modèle VFA - Ajustement pour risque pour couverture restante</t>
  </si>
  <si>
    <t>AC=A30701100V</t>
  </si>
  <si>
    <t>A30701100V</t>
  </si>
  <si>
    <t>Actifs Contrats d'ass. - Modèle VFA - Ajustement pour risque pour sinistres survenus</t>
  </si>
  <si>
    <t>AC=A30702000B</t>
  </si>
  <si>
    <t>A30702000B</t>
  </si>
  <si>
    <t>Actifs Contrats d'ass. - Modèle BBA - Marge sur services contractuels pour couverture restante</t>
  </si>
  <si>
    <t>AC=A30702000V</t>
  </si>
  <si>
    <t>A30702000V</t>
  </si>
  <si>
    <t>Actifs Contrats d'ass. - Modèle VFA - Marge sur services contractuels pour couverture restante</t>
  </si>
  <si>
    <t>check</t>
  </si>
  <si>
    <t>XRF00P</t>
  </si>
  <si>
    <t>AC=P30700000B</t>
  </si>
  <si>
    <t>P30700000B</t>
  </si>
  <si>
    <t>Passifs Contrats d'ass. - Modèle BBA - Provisions techniques BE pour couverture restante</t>
  </si>
  <si>
    <t>AC=P30700100B</t>
  </si>
  <si>
    <t>P30700100B</t>
  </si>
  <si>
    <t>Passifs Contrats d'ass - Modèle BBA - Provisions techniques BE - Passifs pour sinistres survenus</t>
  </si>
  <si>
    <t>AC=P30400000B</t>
  </si>
  <si>
    <t>P30400000B</t>
  </si>
  <si>
    <t>Passifs Contrats d'ass. - Modèle BBA - Provisions techniques BE pour couverture restante- Non actuariel</t>
  </si>
  <si>
    <t>AC=P30700000V</t>
  </si>
  <si>
    <t>P30700000V</t>
  </si>
  <si>
    <t>Passifs Contrats d'ass - Modèle VFA - Provisions techniques BE pour couverture restante</t>
  </si>
  <si>
    <t>AC=P30700100V</t>
  </si>
  <si>
    <t>P30700100V</t>
  </si>
  <si>
    <t>Passifs Contrats d'ass - Modèle VFA - Provisions techniques BE - Passifs pour sinistres survenus</t>
  </si>
  <si>
    <t>AC=P30400000V</t>
  </si>
  <si>
    <t>P30400000V</t>
  </si>
  <si>
    <t>Passifs Contrats d'ass. - Modèle VFA - Provisions techniques BE pour couverture restante - Non actuariel</t>
  </si>
  <si>
    <t>AC=P3078200BJ</t>
  </si>
  <si>
    <t>P3078200BJ</t>
  </si>
  <si>
    <t>Passifs Contrats d'ass. - Modèle BBA -ajust. - couverture restante</t>
  </si>
  <si>
    <t>AC=P3078200VJ</t>
  </si>
  <si>
    <t>P3078200VJ</t>
  </si>
  <si>
    <t>Passifs Contrats d'ass. - Modèle VFA -ajust. - couverture restante</t>
  </si>
  <si>
    <t>AC=P3078201BJ</t>
  </si>
  <si>
    <t>P3078201BJ</t>
  </si>
  <si>
    <t>Passifs Contrats d'ass - Modèle  BBA -ajust. - sinistres survenus</t>
  </si>
  <si>
    <t>AC=P3078201VJ</t>
  </si>
  <si>
    <t>P3078201VJ</t>
  </si>
  <si>
    <t>Passifs Contrats d'ass - Modèle  VFA -ajust. - sinistres survenus</t>
  </si>
  <si>
    <t>AC=P30410000B</t>
  </si>
  <si>
    <t>P30410000B</t>
  </si>
  <si>
    <t>Passifs Contrats d'ass. - Modèle BBA - Provisions techniques BE pour sinistres survenus - Non actuariel</t>
  </si>
  <si>
    <t>AC=P30410000V</t>
  </si>
  <si>
    <t>P30410000V</t>
  </si>
  <si>
    <t>Passifs Contrats d'ass. - Modèle VFA - Provisions techniques BE pour sinistres survenus - Non actuariel</t>
  </si>
  <si>
    <t>AC=P30701000B</t>
  </si>
  <si>
    <t>P30701000B</t>
  </si>
  <si>
    <t>Passifs Contrats d'ass - Modèle BBA - Ajustement pour risque pour couverture restante</t>
  </si>
  <si>
    <t>AC=P30701100B</t>
  </si>
  <si>
    <t>P30701100B</t>
  </si>
  <si>
    <t>Passifs Contrats d'ass - Modèle BBA - Ajustement pour risque - Passifs pour sinistres survenus</t>
  </si>
  <si>
    <t>AC=P30701000V</t>
  </si>
  <si>
    <t>P30701000V</t>
  </si>
  <si>
    <t>Passifs Contrats d'ass - Modèle VFA - Ajustement pour risque pour couverture restante</t>
  </si>
  <si>
    <t>AC=P30701100V</t>
  </si>
  <si>
    <t>P30701100V</t>
  </si>
  <si>
    <t>Passifs Contrats d'ass - Modèle VFA - Ajustement pour risque - Passifs pour sinistres survenus</t>
  </si>
  <si>
    <t>AC=P30702000B</t>
  </si>
  <si>
    <t>P30702000B</t>
  </si>
  <si>
    <t>Passifs Contrats d'ass - Modèle BBA - Marge sur services contractuels pour couverture restante</t>
  </si>
  <si>
    <t>AC=P30702000V</t>
  </si>
  <si>
    <t>P30702000V</t>
  </si>
  <si>
    <t>Passifs Contrats d'ass - Modèle VFA - Marge sur services contractuels pour couverture restante</t>
  </si>
  <si>
    <t>XRF1016T</t>
  </si>
  <si>
    <t>XRF10161</t>
  </si>
  <si>
    <t>XRF10162A</t>
  </si>
  <si>
    <t>FL=F17G</t>
  </si>
  <si>
    <t>F17G</t>
  </si>
  <si>
    <t>Changement d'hypothèse non économique</t>
  </si>
  <si>
    <t>XRF10163</t>
  </si>
  <si>
    <t>FL=F17B</t>
  </si>
  <si>
    <t>F17B</t>
  </si>
  <si>
    <t>Variation des services futurs liée auF17B primes</t>
  </si>
  <si>
    <t>check total</t>
  </si>
  <si>
    <t>XRF10171</t>
  </si>
  <si>
    <t>Montant de la marge sur services contractuels comptabilisé en résultat net en raison de la fourniture de services</t>
  </si>
  <si>
    <t>AC=R70702000V</t>
  </si>
  <si>
    <t>XRF10172</t>
  </si>
  <si>
    <t>XRF10173</t>
  </si>
  <si>
    <t>AC=R60200000V</t>
  </si>
  <si>
    <t>AC=R64005000V</t>
  </si>
  <si>
    <t>AC=R64020000V</t>
  </si>
  <si>
    <t>AC=R62709000V</t>
  </si>
  <si>
    <t>AC=R60200000B</t>
  </si>
  <si>
    <t>AC=R64005000B</t>
  </si>
  <si>
    <t>AC=R64020000B</t>
  </si>
  <si>
    <t>AC=R62709000B</t>
  </si>
  <si>
    <t>AC=R6020000BJ</t>
  </si>
  <si>
    <t>AC=R6020000VJ</t>
  </si>
  <si>
    <t>FL=F17F</t>
  </si>
  <si>
    <t>F17F</t>
  </si>
  <si>
    <t>Relâchement RA / Amortissement CSM</t>
  </si>
  <si>
    <t>XRF10181A</t>
  </si>
  <si>
    <t>FL=F17I</t>
  </si>
  <si>
    <t>F17I</t>
  </si>
  <si>
    <t>Changement d'estimation des services passés</t>
  </si>
  <si>
    <t>XRF101AT</t>
  </si>
  <si>
    <t>XRF102A</t>
  </si>
  <si>
    <t>Produits financiers ou charges financières d'assurance</t>
  </si>
  <si>
    <t>FL=F17H</t>
  </si>
  <si>
    <t>F17H</t>
  </si>
  <si>
    <t xml:space="preserve">Effets financiers </t>
  </si>
  <si>
    <t>XRF103</t>
  </si>
  <si>
    <t>Ecarts de conversion en liasse</t>
  </si>
  <si>
    <t>XRF50A</t>
  </si>
  <si>
    <t>XRF701A</t>
  </si>
  <si>
    <t>FL=F52</t>
  </si>
  <si>
    <t>F52</t>
  </si>
  <si>
    <t>Transfert de portefeuille</t>
  </si>
  <si>
    <t>FL=F53</t>
  </si>
  <si>
    <t>F53</t>
  </si>
  <si>
    <t>Transfert de portefeuille - Réassurance</t>
  </si>
  <si>
    <t>XRF702A</t>
  </si>
  <si>
    <t>F01</t>
  </si>
  <si>
    <t>XRF703A</t>
  </si>
  <si>
    <t>F50</t>
  </si>
  <si>
    <t>Changement de méthodes</t>
  </si>
  <si>
    <t>F94</t>
  </si>
  <si>
    <t>XRF99A</t>
  </si>
  <si>
    <t>XRF99P</t>
  </si>
  <si>
    <t>(en millions d'euros)/10^3</t>
  </si>
  <si>
    <t>dont transferts de portefeuilles et restructurations (fusions, TUP, etc.)/10^3</t>
  </si>
  <si>
    <t>Chgt de mode (ancien mode)/10^3</t>
  </si>
  <si>
    <t>Chgt de mode (nouveau mode)/10^3</t>
  </si>
  <si>
    <t>dont autres variations (reclassement, changement de méthode etc…)/10^3</t>
  </si>
  <si>
    <t>Réconciliation RF par modèles comptables avec les états financiers - Réassurance</t>
  </si>
  <si>
    <t>AC=A39700000B</t>
  </si>
  <si>
    <t>A39700000B</t>
  </si>
  <si>
    <t>Part cédée - Passifs Contrats d'ass. - BBA - Provisions techniques BE pour couverture restante</t>
  </si>
  <si>
    <t>AC=A39700000V</t>
  </si>
  <si>
    <t>A39700000V</t>
  </si>
  <si>
    <t>Part cédée - Passifs Contrats d'ass. - VFA - Provisions techniques BE pour couverture restante</t>
  </si>
  <si>
    <t>AC=A39701000B</t>
  </si>
  <si>
    <t>A39701000B</t>
  </si>
  <si>
    <t>Part cédée - Passifs Contrats d'ass. - BBA - Ajustement pour risque pour couverture restante</t>
  </si>
  <si>
    <t>AC=A39701000V</t>
  </si>
  <si>
    <t>A39701000V</t>
  </si>
  <si>
    <t>Part cédée - Passifs Contrats d'ass. - VFA - Ajustement pour risque pour couverture restante</t>
  </si>
  <si>
    <t>AC=A39702000B</t>
  </si>
  <si>
    <t>A39702000B</t>
  </si>
  <si>
    <t>Part cédée - Passifs Contrats d'ass. - BBA - Marge sur services contractuels pour couverture restante</t>
  </si>
  <si>
    <t>AC=A39702000V</t>
  </si>
  <si>
    <t>A39702000V</t>
  </si>
  <si>
    <t>Part cédée - Passifs Contrats d'ass. - VFA - Marge sur services contractuels pour couverture restante</t>
  </si>
  <si>
    <t>AC=A39400000B</t>
  </si>
  <si>
    <t>A39400000B</t>
  </si>
  <si>
    <t>Part cédée - Passifs Contrats d'ass. - BBA - Provisions techniques BE pour couverture restante - Non actuariel</t>
  </si>
  <si>
    <t>AC=A39400000V</t>
  </si>
  <si>
    <t>A39400000V</t>
  </si>
  <si>
    <t>Part cédée - Passifs Contrats d'ass. - VFA - Provisions techniques BE pour couverture restante  - Non actuariel</t>
  </si>
  <si>
    <t>AC=A39700100B</t>
  </si>
  <si>
    <t>A39700100B</t>
  </si>
  <si>
    <t>Part cédée - Passifs Contrats d'ass. - BBA - Provisions techniques BE pour sinistres survenus</t>
  </si>
  <si>
    <t>AC=A39700100V</t>
  </si>
  <si>
    <t>A39700100V</t>
  </si>
  <si>
    <t>Part cédée - Passifs Contrats d'ass. - VFA - Provisions techniques BE pour sinistres survenus</t>
  </si>
  <si>
    <t>AC=A39701100B</t>
  </si>
  <si>
    <t>A39701100B</t>
  </si>
  <si>
    <t>Part cédée - Passifs Contrats d'ass. - BBA - Ajustement pour risque pour sinistres survenus</t>
  </si>
  <si>
    <t>AC=A39701100V</t>
  </si>
  <si>
    <t>A39701100V</t>
  </si>
  <si>
    <t>Part cédée - Passifs Contrats d'ass. - VFA - Ajustement pour risque pour sinistres survenus</t>
  </si>
  <si>
    <t>AC=A39410000B</t>
  </si>
  <si>
    <t>A39410000B</t>
  </si>
  <si>
    <t>Part cédée - Passifs Contrats d'ass. - BBA - Provisions techniques BE pour sinistre survenus - Non actuariel</t>
  </si>
  <si>
    <t>AC=A39410000V</t>
  </si>
  <si>
    <t>A39410000V</t>
  </si>
  <si>
    <t>Part cédée - Passifs Contrats d'ass. - VFA - Provisions techniques BE  pour sinistre survenus - Non actuariel</t>
  </si>
  <si>
    <t>AC=P39701000B</t>
  </si>
  <si>
    <t>P39701000B</t>
  </si>
  <si>
    <t>Part cédée - Actifs Contrats d'ass. - BBA - Ajustement pour risque pour couverture restante</t>
  </si>
  <si>
    <t>AC=P39701000V</t>
  </si>
  <si>
    <t>P39701000V</t>
  </si>
  <si>
    <t>Part cédée - Actifs Contrats d'ass. - VFA - Ajustement pour risque pour couverture restante</t>
  </si>
  <si>
    <t>AC=P39700000B</t>
  </si>
  <si>
    <t>P39700000B</t>
  </si>
  <si>
    <t>Part cédée - Actifs Contrats d'ass. - BBA - Provisions techniques BE pour couverture restante</t>
  </si>
  <si>
    <t>AC=P39702000B</t>
  </si>
  <si>
    <t>P39702000B</t>
  </si>
  <si>
    <t>Part cédée - Actifs Contrats d'ass. - BBA - Marge sur services contractuels pour couverture restante</t>
  </si>
  <si>
    <t>AC=P39400000B</t>
  </si>
  <si>
    <t>P39400000B</t>
  </si>
  <si>
    <t>Part cédée - Actifs Contrats d'ass. - BBA - Provisions techniques BE pour couverture restante - Non actuariel</t>
  </si>
  <si>
    <t>AC=P39700000V</t>
  </si>
  <si>
    <t>P39700000V</t>
  </si>
  <si>
    <t>Part cédée - Actifs Contrats d'ass. - VFA - Provisions techniques BE pour couverture restante</t>
  </si>
  <si>
    <t>AC=P39702000V</t>
  </si>
  <si>
    <t>P39702000V</t>
  </si>
  <si>
    <t>Part cédée - Actifs Contrats d'ass. - VFA - Marge sur services contractuels pour couverture restante</t>
  </si>
  <si>
    <t>AC=P39400000V</t>
  </si>
  <si>
    <t>P39400000V</t>
  </si>
  <si>
    <t>Part cédée - Actifs Contrats d'ass. - VFA - Provisions techniques BE pour couverture restante - Non actuariel</t>
  </si>
  <si>
    <t>AC=P39700100B</t>
  </si>
  <si>
    <t>AC=P39700100V</t>
  </si>
  <si>
    <t>AC=P39701100V</t>
  </si>
  <si>
    <t>AC=P39701100B</t>
  </si>
  <si>
    <t>AC=P39410000B</t>
  </si>
  <si>
    <t>AC=P39410000V</t>
  </si>
  <si>
    <t>R74920000V</t>
  </si>
  <si>
    <t>Produits issus des contrats de réassurance - Modèle VFA - Prestations et frais cédés réels - Frais attrib.</t>
  </si>
  <si>
    <t>R60784000B</t>
  </si>
  <si>
    <t>Charges issues des contrats de réassu - Modèle BBA - Prestations et frais attendus - Comm. &amp; Frais attrib. - Var LRC</t>
  </si>
  <si>
    <t>R60784000V</t>
  </si>
  <si>
    <t>Charges issues des contrats de réassu - Modèle VFA - Prestations et frais attendus - Comm &amp; Frais attrib. - Var LRC</t>
  </si>
  <si>
    <t>R60785000V</t>
  </si>
  <si>
    <t>Charges issues des contrats de réassurance - Modèle VFA – Ajustements liés à l’expérience sur les primes reçues</t>
  </si>
  <si>
    <t>R60783000V</t>
  </si>
  <si>
    <t>Charges issues des contrats de réassurance - Modèle VFA – Ajustements liés à l’expérience sur les frais d'acquisition</t>
  </si>
  <si>
    <t>R72789000V</t>
  </si>
  <si>
    <t>Produits issus des contrats de réassurance - Modèle VFA - Composante perte - Allocation à l'élément de perte</t>
  </si>
  <si>
    <t>XRF1021R</t>
  </si>
  <si>
    <t>R60786000B</t>
  </si>
  <si>
    <t>Charges issues des contrats de réassu - Modèle BBA - Effet de l'évolution du risque de non-exécution des réassuranceurs</t>
  </si>
  <si>
    <t>R60786000V</t>
  </si>
  <si>
    <t>Charges issues des contrats de réassu - Modèle VFA - Effet de l'évolution du risque de non-exécution des réassuranceurs</t>
  </si>
  <si>
    <t>Part cédée - Passifs Contrats d'ass. - BBA - Provisions techniques BE pour sinistres survenus - Non actuariel</t>
  </si>
  <si>
    <t>Part cédée - Passifs Contrats d'ass. - VFA - Provisions techniques BE  pour sinistres survenus - Non actuariel</t>
  </si>
  <si>
    <t>Contrats comptabilisés selon les modèles BBA et VFA</t>
  </si>
  <si>
    <t>Produits et charges financiers par nature</t>
  </si>
  <si>
    <t>Amortissement des valeurs de portefeuille et assimilés et valeur des accords de distribution</t>
  </si>
  <si>
    <t>Charges et produits des autres activités</t>
  </si>
  <si>
    <t>R67320000</t>
  </si>
  <si>
    <t>R77320000</t>
  </si>
  <si>
    <t>R67330000</t>
  </si>
  <si>
    <t>R77330000</t>
  </si>
  <si>
    <t>R67350000</t>
  </si>
  <si>
    <t>R77350000</t>
  </si>
  <si>
    <t>R67300000</t>
  </si>
  <si>
    <t>R77300000</t>
  </si>
  <si>
    <t>R68123000</t>
  </si>
  <si>
    <t>R66405000</t>
  </si>
  <si>
    <t>R76405000</t>
  </si>
  <si>
    <t>R68611000</t>
  </si>
  <si>
    <t>R78612000</t>
  </si>
  <si>
    <t>R67403000</t>
  </si>
  <si>
    <t>R77403000</t>
  </si>
  <si>
    <t>R67405000</t>
  </si>
  <si>
    <t>R77405000</t>
  </si>
  <si>
    <t>R60629100</t>
  </si>
  <si>
    <t>R60629200</t>
  </si>
  <si>
    <t>R70629100</t>
  </si>
  <si>
    <t>R70629200</t>
  </si>
  <si>
    <t>R65800001</t>
  </si>
  <si>
    <t>R75000000</t>
  </si>
  <si>
    <t>R67401000</t>
  </si>
  <si>
    <t>R77401000</t>
  </si>
  <si>
    <t>R681240000</t>
  </si>
  <si>
    <t>R781240000</t>
  </si>
  <si>
    <t>R681241000</t>
  </si>
  <si>
    <t>R65800003</t>
  </si>
  <si>
    <t>TR401</t>
  </si>
  <si>
    <t>R60600000</t>
  </si>
  <si>
    <t>R64600000</t>
  </si>
  <si>
    <t>R66000000</t>
  </si>
  <si>
    <t>R68100000</t>
  </si>
  <si>
    <t>R78100000</t>
  </si>
  <si>
    <t>R69100000</t>
  </si>
  <si>
    <t>R79100000</t>
  </si>
  <si>
    <t>R67500000</t>
  </si>
  <si>
    <t>R77500000</t>
  </si>
  <si>
    <t>R64800000</t>
  </si>
  <si>
    <t>R64000000</t>
  </si>
  <si>
    <t>R64700000</t>
  </si>
  <si>
    <t>TR402</t>
  </si>
  <si>
    <t>R66901000</t>
  </si>
  <si>
    <t>R76901000</t>
  </si>
  <si>
    <t>R66907000</t>
  </si>
  <si>
    <t>R76907000</t>
  </si>
  <si>
    <t>R66904000</t>
  </si>
  <si>
    <t>R76904000</t>
  </si>
  <si>
    <t>TR403</t>
  </si>
  <si>
    <t>R69000000</t>
  </si>
  <si>
    <t>TR40</t>
  </si>
  <si>
    <t>AC=R6020002BJ</t>
  </si>
  <si>
    <t>AC=R6020002VJ</t>
  </si>
  <si>
    <t>AC=R6020003VJ</t>
  </si>
  <si>
    <t>AC=R6020002PL</t>
  </si>
  <si>
    <t>AC=R6020002PJ</t>
  </si>
  <si>
    <t>AC=R6020002BL</t>
  </si>
  <si>
    <t>AC=R6020003BL</t>
  </si>
  <si>
    <t>AC=R6020003BJ</t>
  </si>
  <si>
    <t>Charges afférentes aux activités d'assurance - Modèle VFA - Composante de perte - Pertes et reprises sur contrats onéreux</t>
  </si>
  <si>
    <t>Comptes de régularisation créditeurs - Dettes de financement - ICNE</t>
  </si>
  <si>
    <t>8.4.4</t>
  </si>
  <si>
    <t>NOTE 10</t>
  </si>
  <si>
    <t>NOTE 12</t>
  </si>
  <si>
    <t>NOTE 13</t>
  </si>
  <si>
    <t>NOTE 14</t>
  </si>
  <si>
    <t>20.2</t>
  </si>
  <si>
    <t>20.3</t>
  </si>
  <si>
    <t>20.4</t>
  </si>
  <si>
    <t>Portefeuille de contrats financiers</t>
  </si>
  <si>
    <t>Frais non attribuables</t>
  </si>
  <si>
    <t>Actifs relatifs aux contrats</t>
  </si>
  <si>
    <t>Reclassement en résultat sur la période (cessions, dépréciations)</t>
  </si>
  <si>
    <t>Produits financiers ou charges financières d'assurance non comptabilisés au compte de résultat</t>
  </si>
  <si>
    <t>Produits financiers ou charges financières de réassurance non comptabilisés au compte de résultat</t>
  </si>
  <si>
    <t>Actifs relatifs aux contrats financiers</t>
  </si>
  <si>
    <t>Passifs relatifs aux contrats de réassurance</t>
  </si>
  <si>
    <t>Passifs relatifs aux contrats d'assurance</t>
  </si>
  <si>
    <t>Actifs relatifs aux contrats d'assurance comptabilisés selon les modèles BBA et VFA</t>
  </si>
  <si>
    <t>Actifs relatifs aux contrats d'assurance comptabilisés selon le modèle PAA</t>
  </si>
  <si>
    <t>AC=TA6011</t>
  </si>
  <si>
    <t>AC=TA6012</t>
  </si>
  <si>
    <t>Actifs relatifs aux contrats de réassurance comptabilisés selon le modèle PAA</t>
  </si>
  <si>
    <t>Passifs relatifs aux contrats d'assurance comptabilisés selon les modèles BBA et VFA</t>
  </si>
  <si>
    <t>AC=TP2011</t>
  </si>
  <si>
    <t>Passifs relatifs aux contrats d'assurance comptabilisés selon le modèle PAA</t>
  </si>
  <si>
    <t>Passifs relatifs aux contrats de réassurance comptabilisés selon le modèle PAA</t>
  </si>
  <si>
    <t>Produits financiers ou charges financières d'assurance comptabilisés en capitaux propres</t>
  </si>
  <si>
    <t>Produits financiers ou charges financières de réassurance comptabilisés en capitaux propres</t>
  </si>
  <si>
    <t>ACTIF</t>
  </si>
  <si>
    <t>PASSIF</t>
  </si>
  <si>
    <t xml:space="preserve">Effectif moyen employé par les entreprises consolidées </t>
  </si>
  <si>
    <t>Analyse des nouveaux contrats reconnus au cours de la période BBA et VFA</t>
  </si>
  <si>
    <t>Capital social par détenteur</t>
  </si>
  <si>
    <t>Produits des placements</t>
  </si>
  <si>
    <t xml:space="preserve"> Analyse par période de couverture restante et sinistres survenus - Méthodes BBA et VFA – Assurance </t>
  </si>
  <si>
    <t>ÉVENEMENTS SIGNIFICATIFS POSTERIEURS A LA CLOTURE DES ETATS FINANCIERS CONSOLIDES SEMESTRIELS</t>
  </si>
  <si>
    <t xml:space="preserve">Première application d'IFRS9 et IFRS17 </t>
  </si>
  <si>
    <t>Adoption simultanée des normes IFRS 9 – Instruments financiers et IFRS 17 – Contrats d’assurances</t>
  </si>
  <si>
    <t>Modalités et principaux impacts à la transition</t>
  </si>
  <si>
    <t>Montant de l’OCI déterminé à la date de transition</t>
  </si>
  <si>
    <t>3.1.1.1</t>
  </si>
  <si>
    <t>3.1.1.2</t>
  </si>
  <si>
    <t>Effets de la mise en œuvre d’IFRS 17 sur d’autres principes comptables</t>
  </si>
  <si>
    <t>3.1.2.1</t>
  </si>
  <si>
    <t>3.1.2.2</t>
  </si>
  <si>
    <t>3.1.2.3</t>
  </si>
  <si>
    <t>3.1.2.4</t>
  </si>
  <si>
    <t>IAS 40 – Immeubles de placement à la juste valeur</t>
  </si>
  <si>
    <t>IFRS 9 – Report d’application d’IFRS 9 « Instruments financiers » à la date d’entrée en vigueur d’IFRS 17</t>
  </si>
  <si>
    <t>IFRS 4 – Retrait de la norme</t>
  </si>
  <si>
    <t>Nouvelles normes mises en œuvre depuis le 1er janvier 2023</t>
  </si>
  <si>
    <t>Principales normes et interprétations publiées, approuvées par l’UE mais non encore en vigueur</t>
  </si>
  <si>
    <t>Principales normes et interprétations publiées mais non encore approuvées par l’Union européenne</t>
  </si>
  <si>
    <t>NOTE 7</t>
  </si>
  <si>
    <t>Classification</t>
  </si>
  <si>
    <t>7.1.1</t>
  </si>
  <si>
    <t>Méthodes comptables</t>
  </si>
  <si>
    <t>Attribution de la méthode comptable</t>
  </si>
  <si>
    <t>Comptabilisation</t>
  </si>
  <si>
    <t>Décomptabilisation</t>
  </si>
  <si>
    <t>7.1.2</t>
  </si>
  <si>
    <t>7.1.3</t>
  </si>
  <si>
    <t>7.1.4</t>
  </si>
  <si>
    <t>7.2</t>
  </si>
  <si>
    <t>Modalités de dépréciations</t>
  </si>
  <si>
    <t>Principe introduit par IFRS 9</t>
  </si>
  <si>
    <t>7.2.1</t>
  </si>
  <si>
    <t>7.2.2</t>
  </si>
  <si>
    <t>7.3</t>
  </si>
  <si>
    <t>7.4</t>
  </si>
  <si>
    <t>7.4.1</t>
  </si>
  <si>
    <t>7.4.2</t>
  </si>
  <si>
    <t>7.4.3</t>
  </si>
  <si>
    <t>7.4.4</t>
  </si>
  <si>
    <t>7.4.5</t>
  </si>
  <si>
    <t>7.4.6</t>
  </si>
  <si>
    <t>7.5</t>
  </si>
  <si>
    <t>7.5.1</t>
  </si>
  <si>
    <t>7.5.2</t>
  </si>
  <si>
    <t>7.5.3</t>
  </si>
  <si>
    <t>7.6</t>
  </si>
  <si>
    <t>7.7</t>
  </si>
  <si>
    <t>7.7.1</t>
  </si>
  <si>
    <t>7.8</t>
  </si>
  <si>
    <t>7.8.1</t>
  </si>
  <si>
    <t>7.8.2</t>
  </si>
  <si>
    <t>La Building Block Approach (BBA) ou Modèle Général</t>
  </si>
  <si>
    <t>Principes et méthodes comptables IFRS 17 Contrats d’assurance</t>
  </si>
  <si>
    <t>Contrats d’assurance</t>
  </si>
  <si>
    <t>L’agrégation des contrats en groupes de contrats</t>
  </si>
  <si>
    <t>Frontière des contrats et estimation du Best Estimate (BE)</t>
  </si>
  <si>
    <t>Utilisation du carve-out européen sur les cohortes annuelles</t>
  </si>
  <si>
    <t>Modèles d’évaluation des groupes de contrats</t>
  </si>
  <si>
    <t>8.1.1</t>
  </si>
  <si>
    <t>8.1.2</t>
  </si>
  <si>
    <t>8.1.3</t>
  </si>
  <si>
    <t>8.1.4</t>
  </si>
  <si>
    <t>8.1.5</t>
  </si>
  <si>
    <t>8.1.6</t>
  </si>
  <si>
    <t>La Variable Fee Approach (VFA)</t>
  </si>
  <si>
    <t>La Premium Allocation Approach (PAA)</t>
  </si>
  <si>
    <t>Ajustement pour risques non-financiers (RA)</t>
  </si>
  <si>
    <t>Unités de couverture</t>
  </si>
  <si>
    <t>Taux d’actualisation</t>
  </si>
  <si>
    <t>La Variable Fee Approach (VFA) ou Méthode des honoraires variables</t>
  </si>
  <si>
    <t>Imputation dans les autres éléments du résultat global des effets de variation de Juste Valeur des actifs sous-jacents du contrat d’assurance</t>
  </si>
  <si>
    <t>Mesures d’atténuation des risque</t>
  </si>
  <si>
    <t>Marge Intragroupe</t>
  </si>
  <si>
    <t>Contrats de Réassurance</t>
  </si>
  <si>
    <t>Modifications du Modèle Général et PAA</t>
  </si>
  <si>
    <t>Modèles de valorisations excluant la VFA</t>
  </si>
  <si>
    <t>Frontières des contrats</t>
  </si>
  <si>
    <t>Date de reconnaissance des contrats</t>
  </si>
  <si>
    <t>Maille de comptabilisation</t>
  </si>
  <si>
    <t>Définition des portefeuilles de réassurance acceptée</t>
  </si>
  <si>
    <t>Définition des portefeuilles de réassurance détenue</t>
  </si>
  <si>
    <t>8.1.7</t>
  </si>
  <si>
    <t>8.1.8</t>
  </si>
  <si>
    <t>8.1.9</t>
  </si>
  <si>
    <t>8.1.10</t>
  </si>
  <si>
    <t>8.1.11</t>
  </si>
  <si>
    <t>8.1.12</t>
  </si>
  <si>
    <t>8.1.13</t>
  </si>
  <si>
    <t>8.1.14</t>
  </si>
  <si>
    <t>Rapprochement avec les états financiers</t>
  </si>
  <si>
    <t>Tableau des titres subordonnés perpetuels classés en capitaux propres</t>
  </si>
  <si>
    <t>AUTRES PRODUITS ET CHARGES OPERATIONNELS</t>
  </si>
  <si>
    <t>NOTE 16</t>
  </si>
  <si>
    <t>NOTE 17</t>
  </si>
  <si>
    <t>NOTE 19</t>
  </si>
  <si>
    <t>COMPENSATION DES ACTIFS ET PASSIFS</t>
  </si>
  <si>
    <t>19.1</t>
  </si>
  <si>
    <t>19.2</t>
  </si>
  <si>
    <t>RISQUES FINANCIERS</t>
  </si>
  <si>
    <t>20.1</t>
  </si>
  <si>
    <t>L-ANX-00186</t>
  </si>
  <si>
    <t>Effectifs</t>
  </si>
  <si>
    <t>MDD</t>
  </si>
  <si>
    <t>Extra outil</t>
  </si>
  <si>
    <t>7.4.7</t>
  </si>
  <si>
    <r>
      <t>CAPITAUX PROPRES IFRS AU 1</t>
    </r>
    <r>
      <rPr>
        <b/>
        <vertAlign val="superscript"/>
        <sz val="9"/>
        <color rgb="FF000000"/>
        <rFont val="Calibri"/>
        <family val="2"/>
        <scheme val="minor"/>
      </rPr>
      <t>er</t>
    </r>
    <r>
      <rPr>
        <b/>
        <sz val="9"/>
        <color rgb="FF000000"/>
        <rFont val="Calibri"/>
        <family val="2"/>
        <scheme val="minor"/>
      </rPr>
      <t xml:space="preserve"> JANVIER 2023</t>
    </r>
  </si>
  <si>
    <r>
      <t>-Autres variations</t>
    </r>
    <r>
      <rPr>
        <sz val="9"/>
        <rFont val="Calibri"/>
        <family val="2"/>
        <scheme val="minor"/>
      </rPr>
      <t xml:space="preserve"> </t>
    </r>
  </si>
  <si>
    <t>TOTAL DU RESULTAT NET ET DES GAINS ET PERTES COMPTABILISES DIRECTEMENT EN CAPITAUX PROPRES</t>
  </si>
  <si>
    <t>dont total du résultat net et des gains et pertes comptabilisés directement en capitaux propres - Participations ne donnant pas le contrôle</t>
  </si>
  <si>
    <t>dont total du résultat net et des gains et pertes comptabilisés directement en capitaux propres - Part du Groupe</t>
  </si>
  <si>
    <t>1.1</t>
  </si>
  <si>
    <t>Constitution du groupe CNP Assurances</t>
  </si>
  <si>
    <t>1.2</t>
  </si>
  <si>
    <t>Emission de la première obligation subordonnée durable Tier 2</t>
  </si>
  <si>
    <t>1.3</t>
  </si>
  <si>
    <t>CNP Assurances finalise ses acquisitions au Brési</t>
  </si>
  <si>
    <t>1.4</t>
  </si>
  <si>
    <t>Hausse des taux</t>
  </si>
  <si>
    <t>Principales hypothèses et estimations utilisées</t>
  </si>
  <si>
    <t>Prime d’illiquidité</t>
  </si>
  <si>
    <t xml:space="preserve">Frais rattachables aux contrats </t>
  </si>
  <si>
    <t>8.2.3</t>
  </si>
  <si>
    <t>8.2.4</t>
  </si>
  <si>
    <t>8.2.5</t>
  </si>
  <si>
    <t>8.2.7</t>
  </si>
  <si>
    <t>Renouvellement de primes / versements libres futurs</t>
  </si>
  <si>
    <t xml:space="preserve">Ecarts d’expérience  </t>
  </si>
  <si>
    <t xml:space="preserve">Changement d’estimation et de méthode comptable </t>
  </si>
  <si>
    <t>8.2.6.1</t>
  </si>
  <si>
    <t>Changement d’estimation comptable</t>
  </si>
  <si>
    <t>8.2.6.2</t>
  </si>
  <si>
    <t>Changement de méthode comptable</t>
  </si>
  <si>
    <t>8.2.6.3</t>
  </si>
  <si>
    <t>Correction d'erreur</t>
  </si>
  <si>
    <t>Hypothèses de rachats liées aux spécificités du marché italien</t>
  </si>
  <si>
    <t>8.3.1</t>
  </si>
  <si>
    <t>8.3.1.1</t>
  </si>
  <si>
    <t>8.3.1.2</t>
  </si>
  <si>
    <t>8.3.1.3</t>
  </si>
  <si>
    <t>8.3.2</t>
  </si>
  <si>
    <t>8.3.2.1</t>
  </si>
  <si>
    <t>8.3.2.2</t>
  </si>
  <si>
    <t>8.3.2.3</t>
  </si>
  <si>
    <t>8.3.3</t>
  </si>
  <si>
    <t>8.3.3.1</t>
  </si>
  <si>
    <t>8.3.3.2</t>
  </si>
  <si>
    <t>8.4</t>
  </si>
  <si>
    <t>8.4.1</t>
  </si>
  <si>
    <t>8.4.2</t>
  </si>
  <si>
    <t>3.2.1.1</t>
  </si>
  <si>
    <t>3.2.1.2</t>
  </si>
  <si>
    <t>3.2.1.3</t>
  </si>
  <si>
    <t>3.2.1.4</t>
  </si>
  <si>
    <t>TVCP FTA</t>
  </si>
  <si>
    <t>IAS 28 - Exemption d’application de la méthode de la mise en équivalence</t>
  </si>
  <si>
    <t>AC=TA50141</t>
  </si>
  <si>
    <t>AC=TA50142</t>
  </si>
  <si>
    <t>Utilisation de la méthode d’allocation des primes (PAA)</t>
  </si>
  <si>
    <t>AC=TP201111</t>
  </si>
  <si>
    <t>AC=TP201112</t>
  </si>
  <si>
    <t>AC=TP201121</t>
  </si>
  <si>
    <t>AC=TP201122</t>
  </si>
  <si>
    <t>AC=TP201123</t>
  </si>
  <si>
    <t>AC=TP201211</t>
  </si>
  <si>
    <t>AC=TP201212</t>
  </si>
  <si>
    <t>AC=TA501111</t>
  </si>
  <si>
    <t>AC=TA501112</t>
  </si>
  <si>
    <t>AC=TA501113</t>
  </si>
  <si>
    <t>AC=TA501121</t>
  </si>
  <si>
    <t>AC=TA501122</t>
  </si>
  <si>
    <t>AC=TA501123</t>
  </si>
  <si>
    <t>AC=TA501311</t>
  </si>
  <si>
    <t>AC=TA501312</t>
  </si>
  <si>
    <t>AC=TP201113</t>
  </si>
  <si>
    <t>AC=TA501114</t>
  </si>
  <si>
    <t>AC=TA501124</t>
  </si>
  <si>
    <t>AC=TA501313</t>
  </si>
  <si>
    <t>AC=TP201114</t>
  </si>
  <si>
    <t>AC=TP201124</t>
  </si>
  <si>
    <t>AC=TP201213</t>
  </si>
  <si>
    <t>AC=TA601111</t>
  </si>
  <si>
    <t>AC=TA601121</t>
  </si>
  <si>
    <t>AC=TA601211</t>
  </si>
  <si>
    <t>AC=TP203211</t>
  </si>
  <si>
    <t>AC=TP203221</t>
  </si>
  <si>
    <t>AC=TP203311</t>
  </si>
  <si>
    <t>AC=TA601112</t>
  </si>
  <si>
    <t>AC=TA601122</t>
  </si>
  <si>
    <t>AC=TA601212</t>
  </si>
  <si>
    <t>AC=TP203212</t>
  </si>
  <si>
    <t>AC=TP203222</t>
  </si>
  <si>
    <t>AC=TP203312</t>
  </si>
  <si>
    <t>Cap et floor</t>
  </si>
  <si>
    <t>Cap et floor au 31 décembre 2022</t>
  </si>
  <si>
    <t>Taux actuariels à l’achat</t>
  </si>
  <si>
    <t>Taux actuariels à la date de clôture</t>
  </si>
  <si>
    <t>Valeurs comptables par échéance</t>
  </si>
  <si>
    <t>Valeurs comptables par échéance des instruments au coût amorti</t>
  </si>
  <si>
    <t>Durée moyenne des titres</t>
  </si>
  <si>
    <t>Durée moyenne des titres au 31 décembre 2023</t>
  </si>
  <si>
    <t>Durée moyenne des titres au 31 décembre 2022</t>
  </si>
  <si>
    <t>Concentration du risque de taux</t>
  </si>
  <si>
    <t>Analyse de la sensibilité liée aux taux</t>
  </si>
  <si>
    <t>Taux d’intérêt effectif</t>
  </si>
  <si>
    <t>Risque de taux des actifs financiers</t>
  </si>
  <si>
    <t>Annuelle</t>
  </si>
  <si>
    <t>Cap et floor au 31 décembre 2023</t>
  </si>
  <si>
    <t>Sommaire annuel</t>
  </si>
  <si>
    <t>sommaire semestriel</t>
  </si>
  <si>
    <t>26.1</t>
  </si>
  <si>
    <t>26.2</t>
  </si>
  <si>
    <t>26.2.1</t>
  </si>
  <si>
    <t>26.2.2</t>
  </si>
  <si>
    <t>27.1</t>
  </si>
  <si>
    <t>27.2</t>
  </si>
  <si>
    <t>27.2.1</t>
  </si>
  <si>
    <t>27.2.2</t>
  </si>
  <si>
    <t>27.3</t>
  </si>
  <si>
    <t>27.3.1</t>
  </si>
  <si>
    <t>27.3.2</t>
  </si>
  <si>
    <t>Gestion du risque de liquidité</t>
  </si>
  <si>
    <t>Flux futurs d’actifs</t>
  </si>
  <si>
    <t>Flux futurs d’actifs au 31 décembre 2023</t>
  </si>
  <si>
    <t>Flux futurs d’actifs au 31 décembre 2022</t>
  </si>
  <si>
    <t>Analyse de maturité et montants exigibles</t>
  </si>
  <si>
    <t>Gestion des risques liés aux contrats d’assurance et financiers</t>
  </si>
  <si>
    <t>Nature des risques couverts par classe de contrats</t>
  </si>
  <si>
    <t>Expositions aux risques et leurs origines</t>
  </si>
  <si>
    <t>Objectifs, politiques et processus de gestion des risques et méthodes d'évaluation des risques</t>
  </si>
  <si>
    <t>Changements au cours de la période</t>
  </si>
  <si>
    <t>Risque d’assurance</t>
  </si>
  <si>
    <t>Concentration du risque d’assurance</t>
  </si>
  <si>
    <t>Analyse de la sensibilité</t>
  </si>
  <si>
    <t>Risques juridiques spécifiques à l’activité d’assurance</t>
  </si>
  <si>
    <t>Risques de rachat</t>
  </si>
  <si>
    <t>Autres expositions</t>
  </si>
  <si>
    <t>Effet des cadres réglementaires régissant les activités</t>
  </si>
  <si>
    <t>Risque de change</t>
  </si>
  <si>
    <t>Risque actions</t>
  </si>
  <si>
    <t>Concentration du risque actions</t>
  </si>
  <si>
    <t>Analyse de la sensibilité liée aux actions</t>
  </si>
  <si>
    <t>25.2.2</t>
  </si>
  <si>
    <t>25.2.3</t>
  </si>
  <si>
    <t xml:space="preserve">25.2.4 </t>
  </si>
  <si>
    <t>25.2.5</t>
  </si>
  <si>
    <t xml:space="preserve">Risque de crédit des actifs à la juste valeur par résultat </t>
  </si>
  <si>
    <t xml:space="preserve">Risque de crédit des variations de juste valeur des dérivés de crédit liés </t>
  </si>
  <si>
    <t>Exposition du risque crédit global</t>
  </si>
  <si>
    <t>Actifs financiers soumis à une perte attendue</t>
  </si>
  <si>
    <t>Analyse de la sensibilité liée au risque de crédit</t>
  </si>
  <si>
    <t>Comptabilité de couverture (échéancier)</t>
  </si>
  <si>
    <t>25.1</t>
  </si>
  <si>
    <t>Risque de marché</t>
  </si>
  <si>
    <t>25.2</t>
  </si>
  <si>
    <t>Risque de crédit et de notation</t>
  </si>
  <si>
    <t>5.6</t>
  </si>
  <si>
    <t>5.8</t>
  </si>
  <si>
    <t xml:space="preserve">Informations financières résumées : entités consolidées avec des intérêts ne donnant pas le contrôle significatifs </t>
  </si>
  <si>
    <t>5.9.1</t>
  </si>
  <si>
    <t>5.9</t>
  </si>
  <si>
    <t>Informations financières résumées : partenariats et entreprises associées significatifs</t>
  </si>
  <si>
    <t>Partenariats significatifs</t>
  </si>
  <si>
    <t>Entreprises associées significatives</t>
  </si>
  <si>
    <t>5.10</t>
  </si>
  <si>
    <t>Informations financières résumées : partenariats et entreprises associées non significatifs</t>
  </si>
  <si>
    <t>Logiciels et autres actifs incorporels</t>
  </si>
  <si>
    <t>6.5</t>
  </si>
  <si>
    <t>6.5.1</t>
  </si>
  <si>
    <t>6.5.2</t>
  </si>
  <si>
    <t>Autres logiciels et autres immobilisations incorporelles</t>
  </si>
  <si>
    <t>Informations financières sur les sociétés mises en équivalence</t>
  </si>
  <si>
    <t>Contribution des sociétés mises en équivalence</t>
  </si>
  <si>
    <t>8.4.3</t>
  </si>
  <si>
    <t>8.4.5</t>
  </si>
  <si>
    <t>8.4.6</t>
  </si>
  <si>
    <t>8.4.8</t>
  </si>
  <si>
    <t>8.5.1</t>
  </si>
  <si>
    <t>8.5.2</t>
  </si>
  <si>
    <t>8.5.3</t>
  </si>
  <si>
    <t>8.6</t>
  </si>
  <si>
    <t>8.8</t>
  </si>
  <si>
    <t>9.1.14</t>
  </si>
  <si>
    <t>9.2.1</t>
  </si>
  <si>
    <t>9.2.2</t>
  </si>
  <si>
    <t>9.2.3</t>
  </si>
  <si>
    <t>9.2.4</t>
  </si>
  <si>
    <t>9.2.5</t>
  </si>
  <si>
    <t>9.2.6</t>
  </si>
  <si>
    <t>9.2.6.1</t>
  </si>
  <si>
    <t>9.2.6.2</t>
  </si>
  <si>
    <t>9.2.6.3</t>
  </si>
  <si>
    <t>9.2.7</t>
  </si>
  <si>
    <t>9.3.1</t>
  </si>
  <si>
    <t>9.3.1.1</t>
  </si>
  <si>
    <t>9.3.1.2</t>
  </si>
  <si>
    <t>9.3.1.3</t>
  </si>
  <si>
    <t>9.3.2.1</t>
  </si>
  <si>
    <t>9.3.2.2</t>
  </si>
  <si>
    <t>9.3.2.3</t>
  </si>
  <si>
    <t>9.3.3</t>
  </si>
  <si>
    <t>9.3.3.1</t>
  </si>
  <si>
    <t>9.3.3.2</t>
  </si>
  <si>
    <t>9.4</t>
  </si>
  <si>
    <t>9.5</t>
  </si>
  <si>
    <t>9.1.13</t>
  </si>
  <si>
    <t>9.5.1</t>
  </si>
  <si>
    <t>9.5.2</t>
  </si>
  <si>
    <t>Article 100 - Assurance - Modèles BBA et VFA</t>
  </si>
  <si>
    <t>Article 100 - Assurance - Modèles BBA et VFA France (y compris DOM-TOM et Luxembourg)</t>
  </si>
  <si>
    <t>Article 100 - Assurance - Modèles BBA et VFA Europe hors France</t>
  </si>
  <si>
    <t>Article 100 - Assurance - Modèles BBA et VFA Amérique Latine</t>
  </si>
  <si>
    <t>Article 100 - Réassurance - Modèles BBA et VFA</t>
  </si>
  <si>
    <t>Article 100 - Réassurance - Modèles BBA et VFA France (y compris DOM-TOM et Luxembourg)</t>
  </si>
  <si>
    <t>Article 100 - Réassurance - Modèles BBA et VFA Europe hors France</t>
  </si>
  <si>
    <t>Article 100 - Réassurance - Modèles BBA et VFA Amérique Latine</t>
  </si>
  <si>
    <t>9.3.3.3</t>
  </si>
  <si>
    <t>Article 100 - Assurance - Modèle PAA</t>
  </si>
  <si>
    <t>Article 100 - Assurance - Modèle PAA (y compris DOM-TOM et Luxembourg)</t>
  </si>
  <si>
    <t>Article 100 - Assurance - Modèle  PAA Europe hors France</t>
  </si>
  <si>
    <t>Article 100 - Assurance - Modèle PAA Amérique Latine</t>
  </si>
  <si>
    <t>Article 100 - Réassurance - Modèle PAA (y compris DOM-TOM et Luxembourg)</t>
  </si>
  <si>
    <t>Article 100 - Réassurance - Modèle  PAA Europe hors France</t>
  </si>
  <si>
    <t>Article 100 - Réassurance - Modèle PAA Amérique Latine</t>
  </si>
  <si>
    <t>Article 100 - Réassurance - Modèle PAA</t>
  </si>
  <si>
    <t>8.4.9</t>
  </si>
  <si>
    <t>Entités structurées non consolidées au 31/12/2023</t>
  </si>
  <si>
    <t>Entités structurées non consolidées au 31/12/2022</t>
  </si>
  <si>
    <t>8.7</t>
  </si>
  <si>
    <t>Titres mis en pension et titres prêtés</t>
  </si>
  <si>
    <t>8.10</t>
  </si>
  <si>
    <t>8.9.1</t>
  </si>
  <si>
    <t>Réconciliation ouverture / clôture des placements financiers</t>
  </si>
  <si>
    <t>8.9.2</t>
  </si>
  <si>
    <t>Classification des actifs par catégorie et zone géographique</t>
  </si>
  <si>
    <t>8.10.1</t>
  </si>
  <si>
    <t>Classification des actifs par catégorie et zone géographique au 31/12/2023</t>
  </si>
  <si>
    <t>8.10.2</t>
  </si>
  <si>
    <t>8.10.3</t>
  </si>
  <si>
    <t>Classification des actifs par catégorie et zone géographique au 31/12/2022</t>
  </si>
  <si>
    <t>8.10.4</t>
  </si>
  <si>
    <t>8.11</t>
  </si>
  <si>
    <t>Opérations en devises</t>
  </si>
  <si>
    <t>Affectation estimée des frais d'acquisition non alloués aux contrats</t>
  </si>
  <si>
    <t>9.5.1.1</t>
  </si>
  <si>
    <t>9.5.1.2</t>
  </si>
  <si>
    <t>9.5.1.3</t>
  </si>
  <si>
    <t>9.5.2.1</t>
  </si>
  <si>
    <t>9.5.2.2</t>
  </si>
  <si>
    <t>9.5.2.3</t>
  </si>
  <si>
    <t>9.6</t>
  </si>
  <si>
    <t>9.6.1</t>
  </si>
  <si>
    <t>9.6.2</t>
  </si>
  <si>
    <t>9.7</t>
  </si>
  <si>
    <t>9.8</t>
  </si>
  <si>
    <t>Evolution des sinistres - Réassurance</t>
  </si>
  <si>
    <t>Evolution des sinistres - Assurance</t>
  </si>
  <si>
    <t>Evolution des sinistres</t>
  </si>
  <si>
    <t>9.8.1</t>
  </si>
  <si>
    <t>9.8.2</t>
  </si>
  <si>
    <t>9.9</t>
  </si>
  <si>
    <t>9.11</t>
  </si>
  <si>
    <t>Composition des éléments sous-jacents des contrats participatifs directs</t>
  </si>
  <si>
    <t>9.10</t>
  </si>
  <si>
    <t>Gains et pertes sur actifs financiers à la juste valeur directement comptabilisés en capitaux propres liés aux contrats adossés à des contrats d’assurance et pour lesquels l’option OCI a été retenue</t>
  </si>
  <si>
    <t>Ventilation du portefeuille obligataire par notation des émetteurs</t>
  </si>
  <si>
    <t>Risque de crédit</t>
  </si>
  <si>
    <t>AUTRES ACTIFS</t>
  </si>
  <si>
    <t>Immeubles d'exploitation et autres immobilisations corporelles</t>
  </si>
  <si>
    <t>10.1</t>
  </si>
  <si>
    <t>10.2</t>
  </si>
  <si>
    <t>Dividende au titre de l'exercice 2023</t>
  </si>
  <si>
    <t>PROVISIONS POUR RISQUES ET CHARGES</t>
  </si>
  <si>
    <t>11.1</t>
  </si>
  <si>
    <t>11.2</t>
  </si>
  <si>
    <t>Provisions pour risques et charges de l'exercice 2023</t>
  </si>
  <si>
    <t>Provisions pour risques et charges de l'exercice 2022</t>
  </si>
  <si>
    <t>DETTES SUBORDONNEES</t>
  </si>
  <si>
    <t>Dettes subordonnées de l'exercice 2023</t>
  </si>
  <si>
    <t>Dettes subordonnées de l'exercice 2022</t>
  </si>
  <si>
    <t>13.1</t>
  </si>
  <si>
    <t>13.2</t>
  </si>
  <si>
    <t>AUTRES PASSIFS</t>
  </si>
  <si>
    <t>Autres dettes</t>
  </si>
  <si>
    <t>Avantages au personnel</t>
  </si>
  <si>
    <t>Engagements sociaux</t>
  </si>
  <si>
    <t>Principales hypothèses actuarielles</t>
  </si>
  <si>
    <t>Montants comptabilisés</t>
  </si>
  <si>
    <t>Analyse du coût des avantages à long terme</t>
  </si>
  <si>
    <t>Réconciliation des montants inscrits au bilan au titre des régimes à prestations définies</t>
  </si>
  <si>
    <t>Evolution des pertes et gains actuariels</t>
  </si>
  <si>
    <t>Etude de sensibilité</t>
  </si>
  <si>
    <t>Annexe de transition - assurance</t>
  </si>
  <si>
    <t>Annexe de transition - réassurance</t>
  </si>
  <si>
    <t>INVESTISSEMENTS DANS LES ENTREPRISES MISES EN EQUIVALENCE</t>
  </si>
  <si>
    <t>CHARGES PAR NATURE</t>
  </si>
  <si>
    <t>16.1</t>
  </si>
  <si>
    <t>Détail des commissions</t>
  </si>
  <si>
    <t>16.2</t>
  </si>
  <si>
    <t>16.3</t>
  </si>
  <si>
    <t>Honoraires des commissaires aux comptes</t>
  </si>
  <si>
    <t>CHARGES OU PRODUITS NETS DE REASSURANCE</t>
  </si>
  <si>
    <t>17.1</t>
  </si>
  <si>
    <t>Charges ou produits nets liés à la réassurance</t>
  </si>
  <si>
    <t>17.2</t>
  </si>
  <si>
    <t>Produits et charges financiers par zones géographiques</t>
  </si>
  <si>
    <t>Ecart de juste valeur des actifs</t>
  </si>
  <si>
    <t>Réconciliation " Écart de juste valeur " / " Inventaire des placements "</t>
  </si>
  <si>
    <t>18.1</t>
  </si>
  <si>
    <t>18.2</t>
  </si>
  <si>
    <t>18.3</t>
  </si>
  <si>
    <t>18.4</t>
  </si>
  <si>
    <t>18.5</t>
  </si>
  <si>
    <t>NOTE 21</t>
  </si>
  <si>
    <t>21.1</t>
  </si>
  <si>
    <t>21.2</t>
  </si>
  <si>
    <t>Principales composantes de la charge d'impôt</t>
  </si>
  <si>
    <t>Preuve d'impôt</t>
  </si>
  <si>
    <t>Tax proof</t>
  </si>
  <si>
    <t>Impots différés par nature</t>
  </si>
  <si>
    <t>NOTE 22</t>
  </si>
  <si>
    <t>NOTE 23</t>
  </si>
  <si>
    <t>NOTE 24</t>
  </si>
  <si>
    <t>NOTE 25</t>
  </si>
  <si>
    <t>INFORMATION RELATIVE AUX PARTIES LIEES</t>
  </si>
  <si>
    <t>24.1</t>
  </si>
  <si>
    <t>24.2</t>
  </si>
  <si>
    <t>24.3</t>
  </si>
  <si>
    <t>24.4</t>
  </si>
  <si>
    <t>Relations avec les actionnaires du groupe et leurs filiales</t>
  </si>
  <si>
    <t>Relations avec les co-entreprises</t>
  </si>
  <si>
    <t>Relations avec les entreprises associées</t>
  </si>
  <si>
    <t>24.5</t>
  </si>
  <si>
    <t>Termes et conditions des garanties données et reçues</t>
  </si>
  <si>
    <t>Rémunération des dirigeants</t>
  </si>
  <si>
    <t>TP</t>
  </si>
  <si>
    <t>Honoraires conseil</t>
  </si>
  <si>
    <t>NOTE 26</t>
  </si>
  <si>
    <t>NOTE 27</t>
  </si>
  <si>
    <t>NOTE 28</t>
  </si>
  <si>
    <t>RISQUES DE LIQUIDITE</t>
  </si>
  <si>
    <t>RISQUES TECHNIQUES LIES AUX CONTRATS D'ASSURANCE ET FINANCIERS</t>
  </si>
  <si>
    <t>8.4.7</t>
  </si>
  <si>
    <t>8.9</t>
  </si>
  <si>
    <t>Groupe</t>
  </si>
  <si>
    <t>AC=TR</t>
  </si>
  <si>
    <t>9.1.1</t>
  </si>
  <si>
    <t>9.1.2</t>
  </si>
  <si>
    <t>9.1.3</t>
  </si>
  <si>
    <t>9.1.4</t>
  </si>
  <si>
    <t>9.1.5</t>
  </si>
  <si>
    <t>9.1.6</t>
  </si>
  <si>
    <t>9.1.7</t>
  </si>
  <si>
    <t>9.1.8</t>
  </si>
  <si>
    <t>9.1.9</t>
  </si>
  <si>
    <t>9.1.10</t>
  </si>
  <si>
    <t>9.1.11</t>
  </si>
  <si>
    <t>9.1.12</t>
  </si>
  <si>
    <t>9.3.4</t>
  </si>
  <si>
    <t>9.3.4.1</t>
  </si>
  <si>
    <t>9.3.4.2</t>
  </si>
  <si>
    <t>9.3.4.3</t>
  </si>
  <si>
    <t>11.3</t>
  </si>
  <si>
    <t>11.4</t>
  </si>
  <si>
    <t>18.6</t>
  </si>
  <si>
    <t>26.1.1</t>
  </si>
  <si>
    <t xml:space="preserve">26.1.1.1 </t>
  </si>
  <si>
    <t>26.1.1.1.1</t>
  </si>
  <si>
    <t xml:space="preserve">26.1.1.1.2  </t>
  </si>
  <si>
    <t>26.1.1.2</t>
  </si>
  <si>
    <t>26.1.1.2.1</t>
  </si>
  <si>
    <t xml:space="preserve">26.1.1.2.2 </t>
  </si>
  <si>
    <t>26.1.1.3</t>
  </si>
  <si>
    <t xml:space="preserve">26.1.1.3.1 </t>
  </si>
  <si>
    <t>26.1.1.3.2</t>
  </si>
  <si>
    <t>26.1.1.4</t>
  </si>
  <si>
    <t>26.1.1.5</t>
  </si>
  <si>
    <t xml:space="preserve">26.1.1.5.1 </t>
  </si>
  <si>
    <t xml:space="preserve">26.1.1.5.2 </t>
  </si>
  <si>
    <t>26.1.1.6</t>
  </si>
  <si>
    <t xml:space="preserve">26.1.1.7  </t>
  </si>
  <si>
    <t>26.1.2</t>
  </si>
  <si>
    <t>26.1.3</t>
  </si>
  <si>
    <t>26.1.3.1</t>
  </si>
  <si>
    <t>26.1.3.2</t>
  </si>
  <si>
    <t>26.2.1.1</t>
  </si>
  <si>
    <t>26.2.1.2</t>
  </si>
  <si>
    <t>26.2.2.1</t>
  </si>
  <si>
    <t>26.2.2.2</t>
  </si>
  <si>
    <t>26.2.3</t>
  </si>
  <si>
    <t>26.2.3.1</t>
  </si>
  <si>
    <t>26.2.3.2</t>
  </si>
  <si>
    <t>26.2.3.4</t>
  </si>
  <si>
    <t>26.2.3.5</t>
  </si>
  <si>
    <t>14.1</t>
  </si>
  <si>
    <t>14.2</t>
  </si>
  <si>
    <t>14.2.1</t>
  </si>
  <si>
    <t>14.2.2</t>
  </si>
  <si>
    <t>14.2.3</t>
  </si>
  <si>
    <t>14.2.4</t>
  </si>
  <si>
    <t>14.2.5</t>
  </si>
  <si>
    <t>14.2.6</t>
  </si>
  <si>
    <t>14.2.7</t>
  </si>
  <si>
    <t>OK</t>
  </si>
  <si>
    <t>26.2.3.6</t>
  </si>
  <si>
    <t>28.1</t>
  </si>
  <si>
    <t>28.2</t>
  </si>
  <si>
    <t>28.2.1</t>
  </si>
  <si>
    <t>28.2.2</t>
  </si>
  <si>
    <t>28.2.3</t>
  </si>
  <si>
    <t>28.3</t>
  </si>
  <si>
    <t>28.3.1</t>
  </si>
  <si>
    <t>28.3.2</t>
  </si>
  <si>
    <t>28.3.3</t>
  </si>
  <si>
    <t>28.3.4</t>
  </si>
  <si>
    <t>28.3.5</t>
  </si>
  <si>
    <t>28.4</t>
  </si>
  <si>
    <t>Ventilation des passifs IFRS 17</t>
  </si>
  <si>
    <t>Récurrence des passifs d'assurance</t>
  </si>
  <si>
    <t>Exposition au risque de crédit par agent économique</t>
  </si>
  <si>
    <t>28.3.6</t>
  </si>
  <si>
    <t>Risque de taux garantis des passifs relatifs aux contrats</t>
  </si>
  <si>
    <t>L-ANX-0140</t>
  </si>
  <si>
    <t>Eléments du bilan par durée restant à courir</t>
  </si>
  <si>
    <t>Revue des contrats des prestations de service</t>
  </si>
  <si>
    <t>Réconciliation de la charge de location</t>
  </si>
  <si>
    <t>Information financière synthétique à 100%</t>
  </si>
  <si>
    <t>Valeurs comptables des instruments financiers par échéance au 31 décembre 2023</t>
  </si>
  <si>
    <t>Valeurs comptables des instruments financiers par échéance au 31 décembre 2022</t>
  </si>
  <si>
    <t>Risque de crédit des réassureurs</t>
  </si>
  <si>
    <t>EFFET DE L'APPLICATION DES NORMES IFRS 9 ET IFRS 17 AU 1ER JANVIER 2023</t>
  </si>
  <si>
    <t>non</t>
  </si>
  <si>
    <t>5.11</t>
  </si>
  <si>
    <t>IFRS 12 : Informations sur les entités structurées non consolidées sponsorisées</t>
  </si>
  <si>
    <t>Informations parc immobilier par catégorie en mètres carrés</t>
  </si>
  <si>
    <t xml:space="preserve">Couverture de flux de trésorerie - Eléments couverts - Flux de trésorerie </t>
  </si>
  <si>
    <t>XINSTDERP</t>
  </si>
  <si>
    <t>Fair value bonds – FVTPL (excluding Unit-linked)</t>
  </si>
  <si>
    <t>Non-Group data only</t>
  </si>
  <si>
    <t>&gt;</t>
  </si>
  <si>
    <t>Impairment</t>
  </si>
  <si>
    <t xml:space="preserve">Transfert d'actifs non décomptabilisés intégralement </t>
  </si>
  <si>
    <t>=E-sum(I:P)</t>
  </si>
  <si>
    <t>TSS06</t>
  </si>
  <si>
    <t>Résultat de la comptabilité de couverture de flux de trésorerie</t>
  </si>
  <si>
    <t xml:space="preserve">Instruments dérivés de couverture – Notionnel </t>
  </si>
  <si>
    <t>Risque de liquidité -Analyse de maturité</t>
  </si>
  <si>
    <t>Risque de liquidité - passifs des contrats d'assurance nets d'actifs d'assurance - montants exigibles - rachat</t>
  </si>
  <si>
    <t>Actifs à la juste valeur par autres éléments du résultat global</t>
  </si>
  <si>
    <t>CAPITAUX PROPRES IFRS AU 31 DECEMBRE 2023</t>
  </si>
  <si>
    <t>Annexes spécifiques aux besoins LBP ou Internes CNP</t>
  </si>
  <si>
    <t>AC=A50501000</t>
  </si>
  <si>
    <t>Autres logiciels - Valeur d'acq.</t>
  </si>
  <si>
    <t>Autres logiciels - AM</t>
  </si>
  <si>
    <t>Autres logiciels - Dépréciation</t>
  </si>
  <si>
    <t>AC=A50800000</t>
  </si>
  <si>
    <t>Autres immobilisations incorporelles - Valeur d'acq.</t>
  </si>
  <si>
    <t>AC=A59080000</t>
  </si>
  <si>
    <t>Autres immobilisations incorporelles - AM</t>
  </si>
  <si>
    <t>AC=A59208100</t>
  </si>
  <si>
    <t>Autres immobilisations incorporelles - Dépréciation</t>
  </si>
  <si>
    <t>AC=A58000000</t>
  </si>
  <si>
    <t>AC=TA1034</t>
  </si>
  <si>
    <t>AC=TA103</t>
  </si>
  <si>
    <t>N</t>
  </si>
  <si>
    <t>AC=P13001800</t>
  </si>
  <si>
    <t>Produits des contrats de réassurance</t>
  </si>
  <si>
    <t>Charges des contrats de réassurance</t>
  </si>
  <si>
    <t>AC=A42100000</t>
  </si>
  <si>
    <t>AC=A44010000</t>
  </si>
  <si>
    <t>Comptes courants entreprises liées - Débiteurs</t>
  </si>
  <si>
    <t>Autres comptes débiteurs</t>
  </si>
  <si>
    <t>Fournisseurs - Avances et acomptes versés</t>
  </si>
  <si>
    <t>Comptes de régularisation débiteurs</t>
  </si>
  <si>
    <t>Créances au personnel</t>
  </si>
  <si>
    <t>Créances Etat / Sécurité sociale / Collectivités locales</t>
  </si>
  <si>
    <t>Dividendes à recevoir</t>
  </si>
  <si>
    <t>AC=A21921000</t>
  </si>
  <si>
    <t>AC=A29192100</t>
  </si>
  <si>
    <t>Terrains d'exploitation - Dépréciation</t>
  </si>
  <si>
    <t>Terrains d'exploitation</t>
  </si>
  <si>
    <t>AC=A21922000</t>
  </si>
  <si>
    <t>AC=A28192200</t>
  </si>
  <si>
    <t>AC=A29192200</t>
  </si>
  <si>
    <t>AC=A21923000</t>
  </si>
  <si>
    <t>AC=A28192300</t>
  </si>
  <si>
    <t>AC=A29192300</t>
  </si>
  <si>
    <t>Constructions d'exploitation</t>
  </si>
  <si>
    <t>AC=A22900000</t>
  </si>
  <si>
    <t>Immeubles d'exploitation en cours - Valeur brute</t>
  </si>
  <si>
    <t>AC=A29129000</t>
  </si>
  <si>
    <t>Immeubles d'exploitation en cours - Dépréciation</t>
  </si>
  <si>
    <t>Immeubles d'exploitation en cours</t>
  </si>
  <si>
    <t>AC=A51100000</t>
  </si>
  <si>
    <t>AC=A59100000</t>
  </si>
  <si>
    <t>AC=A59200000</t>
  </si>
  <si>
    <t>Autres immobilisations corporelles d'exploitation - Dépréciation</t>
  </si>
  <si>
    <t>Autres immobilisations corporelles d'exploitation</t>
  </si>
  <si>
    <t>Actifs relatifs aux frais d'acquisition non affectés aux contrats d'assurance</t>
  </si>
  <si>
    <t>Sociétés n'entrant pas dans le périmètre de consolidation et pourcentage de contrôle</t>
  </si>
  <si>
    <t>Réserves de cash flow hedge</t>
  </si>
  <si>
    <t>Engagements sociaux - Impact fonds propres</t>
  </si>
  <si>
    <t>Engagements sociaux - Ecarts actuariels</t>
  </si>
  <si>
    <t>Engagements sociaux - Ecarts actuariels - ID</t>
  </si>
  <si>
    <t>Contrôler avec la publication 2022</t>
  </si>
  <si>
    <t>Créances d'assurance et de réassurance</t>
  </si>
  <si>
    <t>Variation N/N-1</t>
  </si>
  <si>
    <t>TOTAL Cadres</t>
  </si>
  <si>
    <t>TOTAL Non Cadres</t>
  </si>
  <si>
    <t>Effectif moyen</t>
  </si>
  <si>
    <t>VARIATION CADRES</t>
  </si>
  <si>
    <t>VARIATION NON CADRES</t>
  </si>
  <si>
    <t>AC=TA5013</t>
  </si>
  <si>
    <t>AC=TP2012</t>
  </si>
  <si>
    <t>AC=TA5014</t>
  </si>
  <si>
    <t>AC=P3078101BL</t>
  </si>
  <si>
    <t>AC=P3078100BL</t>
  </si>
  <si>
    <t>AC=P3078101VL</t>
  </si>
  <si>
    <t>AC=P3078100VL</t>
  </si>
  <si>
    <t>AC=P48100000B</t>
  </si>
  <si>
    <t>AC=P48910000B</t>
  </si>
  <si>
    <t>AC=P48910000V</t>
  </si>
  <si>
    <t>AC=P48100000V</t>
  </si>
  <si>
    <t>P48100000B</t>
  </si>
  <si>
    <t>DAC et assimilés - Modèle BBA</t>
  </si>
  <si>
    <t>P48910000B</t>
  </si>
  <si>
    <t>DAC et assimilés-Dépr-BBA</t>
  </si>
  <si>
    <t>P48910000V</t>
  </si>
  <si>
    <t>DAC et assimilés-Dépr-VFA</t>
  </si>
  <si>
    <t>P48100000V</t>
  </si>
  <si>
    <t>DAC et assimilés - Modèle VFA</t>
  </si>
  <si>
    <t>P3078101BL</t>
  </si>
  <si>
    <t>Pssf Ctrats ass-BBA sin.lsn</t>
  </si>
  <si>
    <t>P3078100BL</t>
  </si>
  <si>
    <t>P3078101VL</t>
  </si>
  <si>
    <t>Pssf Ctrats ass-VFA sin.lsn</t>
  </si>
  <si>
    <t>P3078100VL</t>
  </si>
  <si>
    <t>AC=TA703</t>
  </si>
  <si>
    <t>AC=TA7031</t>
  </si>
  <si>
    <t>Terrains d'exploitation - Valeur d'acquisition</t>
  </si>
  <si>
    <t>AC=TA7032</t>
  </si>
  <si>
    <t>Agencements et installations techniques d'exploitation</t>
  </si>
  <si>
    <t>Agencements et installations techniques d'exploitation - Valeur d'acquisition</t>
  </si>
  <si>
    <t>Agencements et installations techniques d'exploitation - Amortissement</t>
  </si>
  <si>
    <t>Agencements et installations techniques d'exploitation - Dépréciation</t>
  </si>
  <si>
    <t>AC=TA7033</t>
  </si>
  <si>
    <t>Constructions d'exploitation - Gros œuvre - Valeur d'acquisition</t>
  </si>
  <si>
    <t>Constructions d'exploitation - Gros œuvre - Amortissement</t>
  </si>
  <si>
    <t>Constructions d'exploitation - Gros œuvre - Dépréciation</t>
  </si>
  <si>
    <t>AC=A21924000</t>
  </si>
  <si>
    <t>Constructions d'exploitation - Façade - Valeur d'acquisition</t>
  </si>
  <si>
    <t>AC=A28192400</t>
  </si>
  <si>
    <t>Constructions d'exploitation - Façade - Amortissement</t>
  </si>
  <si>
    <t>AC=A29192400</t>
  </si>
  <si>
    <t>Constructions d'exploitation - Façade - Dépréciation</t>
  </si>
  <si>
    <t>AC=TA7034</t>
  </si>
  <si>
    <t>Autres immobilisations corporelles d'exploitation - Valeur d'acquisition</t>
  </si>
  <si>
    <t>Autres immobilisations corporelles d'exploitation - Amortissement</t>
  </si>
  <si>
    <t>AC=TA7035</t>
  </si>
  <si>
    <t>AC=P15300000</t>
  </si>
  <si>
    <t>Code couleur to do Type</t>
  </si>
  <si>
    <t>R70703000B</t>
  </si>
  <si>
    <t>R70703000V</t>
  </si>
  <si>
    <t>AC=TR1041</t>
  </si>
  <si>
    <t>AC=TR1042</t>
  </si>
  <si>
    <t>AC=TR1031</t>
  </si>
  <si>
    <t>AC=TR1032</t>
  </si>
  <si>
    <t>Terminé</t>
  </si>
  <si>
    <t xml:space="preserve">A démarrer </t>
  </si>
  <si>
    <t>En cours</t>
  </si>
  <si>
    <t>Synthese</t>
  </si>
  <si>
    <t>A démarrer / Reprendre texte 2022</t>
  </si>
  <si>
    <t>En cours avec équipe projet</t>
  </si>
  <si>
    <t>Avancée/Statut 21/09/2023</t>
  </si>
  <si>
    <t>Avancée/Statut 27/09/2023</t>
  </si>
  <si>
    <t>Tableau de variation des capitaux propres au 31 décembre 2023</t>
  </si>
  <si>
    <t>AC=TP5081</t>
  </si>
  <si>
    <t>AC=P42300000</t>
  </si>
  <si>
    <t>Dettes au personnel - Provisions pour autres avantages postérieurs à l'emploi</t>
  </si>
  <si>
    <t>AC=P42330000</t>
  </si>
  <si>
    <t>Dettes au personnel - Provisions pour médailles du travail et autres avantages à long terme</t>
  </si>
  <si>
    <t>AC=TP5082</t>
  </si>
  <si>
    <t>ID - Revalo. des actifs - JV par résultat</t>
  </si>
  <si>
    <t>ID - Revalo. des actifs - JV par résultat sur option</t>
  </si>
  <si>
    <t>ID - Revalo. - Instruments dérivés</t>
  </si>
  <si>
    <t>ID - Différences de traitement - LGAAP / IFRS</t>
  </si>
  <si>
    <t>ID s/ dépréciation</t>
  </si>
  <si>
    <t>ID s/ dépréciation - Coût amorti</t>
  </si>
  <si>
    <t>ID s/ dépréciation - JV OCI</t>
  </si>
  <si>
    <t>ID - Autres - Résultat</t>
  </si>
  <si>
    <t>Provisions pour risques et charges</t>
  </si>
  <si>
    <t>Dettes de financement</t>
  </si>
  <si>
    <t>Autres passifs</t>
  </si>
  <si>
    <t>AC=TR75121</t>
  </si>
  <si>
    <t>AC=TR75122</t>
  </si>
  <si>
    <t>AC=TR75123</t>
  </si>
  <si>
    <t>AC=TR75124</t>
  </si>
  <si>
    <t>AC=TR75125</t>
  </si>
  <si>
    <t>AC=TR751251</t>
  </si>
  <si>
    <t>AC=TR751252</t>
  </si>
  <si>
    <t>AC=TR75126</t>
  </si>
  <si>
    <t>AC=TR7512</t>
  </si>
  <si>
    <t>Avancée/Statut 29/09/2023</t>
  </si>
  <si>
    <t xml:space="preserve">en cours </t>
  </si>
  <si>
    <t>en cours</t>
  </si>
  <si>
    <t>Coût amorti - Prêts et avances</t>
  </si>
  <si>
    <t xml:space="preserve">Actualisé en annuel </t>
  </si>
  <si>
    <t xml:space="preserve">Avancée/Statut 03/10/2023 apres </t>
  </si>
  <si>
    <t>Avancée/Statut 03/10/2023 avant</t>
  </si>
  <si>
    <t>JV par résultat - Obligations corporate non subordonnées</t>
  </si>
  <si>
    <t>JV par résultat - Obligations corporate subordonnées</t>
  </si>
  <si>
    <t>JV par résultat - Prêts et avances</t>
  </si>
  <si>
    <t>JV par résultat - TCN</t>
  </si>
  <si>
    <t>JV par résultat - OPCVM</t>
  </si>
  <si>
    <t>JV par résultat - Actions et assimilés</t>
  </si>
  <si>
    <t>JV par résultat - Parts dans sociétés et fonds immobiliers</t>
  </si>
  <si>
    <t>JV par résultat - Autres Fonds</t>
  </si>
  <si>
    <t>JV par résultat - Titres de participation non conso</t>
  </si>
  <si>
    <t>JV par résultat sur option - Obligations d'Etat et assimilés</t>
  </si>
  <si>
    <t>JV par résultat sur option - Obligations corporate non subordonnées</t>
  </si>
  <si>
    <t>JV par résultat sur option - Obligations corporate subordonnées</t>
  </si>
  <si>
    <t>JV par résultat sur option - Prêts et avances</t>
  </si>
  <si>
    <t>OCI recyclable - Obligations d'Etat et assimilés</t>
  </si>
  <si>
    <t>OCI recyclable - Obligations corporate non subordonnées</t>
  </si>
  <si>
    <t>OCI recyclable - Obligations corporate subordonnées</t>
  </si>
  <si>
    <t>OCI recyclable - Prêts et avances</t>
  </si>
  <si>
    <t>OCI recyclable - TCN</t>
  </si>
  <si>
    <t>OCI non recyclable - Instruments de capitaux propres</t>
  </si>
  <si>
    <t>Coût amorti - Obligations d'Etat et assimilés</t>
  </si>
  <si>
    <t>Coût amorti - Obligations corporate non subordonnées</t>
  </si>
  <si>
    <t>Coût amorti - Obligations corporate subordonnées</t>
  </si>
  <si>
    <t>Coût amorti - TCN</t>
  </si>
  <si>
    <t>AC=TA601113</t>
  </si>
  <si>
    <t>AC=TA601123</t>
  </si>
  <si>
    <t>AC=TP203213</t>
  </si>
  <si>
    <t>AC=TP203223</t>
  </si>
  <si>
    <t>AC=P12000000M</t>
  </si>
  <si>
    <t>AC=TR1523</t>
  </si>
  <si>
    <t>AC=TR1524</t>
  </si>
  <si>
    <t>Immeubles de placement - Moins-value de cession</t>
  </si>
  <si>
    <t>Immeubles de placement - Plus-value de cession</t>
  </si>
  <si>
    <t>AC=TR1525</t>
  </si>
  <si>
    <t>Instruments dérivés - Plus ou moins-value de cession</t>
  </si>
  <si>
    <t>Instruments dérivés - Moins -value de cession</t>
  </si>
  <si>
    <t>Instruments dérivés - Plus-value de cession</t>
  </si>
  <si>
    <t>AC=TR1526</t>
  </si>
  <si>
    <t>AC=TR152</t>
  </si>
  <si>
    <t>AC=TR154</t>
  </si>
  <si>
    <t>AC=TR156</t>
  </si>
  <si>
    <t>Goodwill</t>
  </si>
  <si>
    <t xml:space="preserve">directement en capitaux propres </t>
  </si>
  <si>
    <t>AC=TP10211M</t>
  </si>
  <si>
    <t>AC=TP102112M</t>
  </si>
  <si>
    <t>AC=P10610202M</t>
  </si>
  <si>
    <t>AC=TP101311</t>
  </si>
  <si>
    <t>AC=TP101312</t>
  </si>
  <si>
    <t>AC=P10610202N</t>
  </si>
  <si>
    <t>Actifs relatifs aux contrats de réassurance</t>
  </si>
  <si>
    <t>Autres produits d'exploitation</t>
  </si>
  <si>
    <t>R69500000</t>
  </si>
  <si>
    <t>AC=P44400000</t>
  </si>
  <si>
    <t>AC=A44400000</t>
  </si>
  <si>
    <t>AC=A3078100BL</t>
  </si>
  <si>
    <t>Actifs Contrats d'ass - Modèle BBA - Liaison - couverture restante</t>
  </si>
  <si>
    <t>AC=A3078101VL</t>
  </si>
  <si>
    <t>Actifs Contrats d'ass. - Modèle  VFA - Liaison - sinistres survenus</t>
  </si>
  <si>
    <t>AC=A3078100VL</t>
  </si>
  <si>
    <t>Actifs Contrats d'ass - Modèle VFA- Liaison - couverture restante</t>
  </si>
  <si>
    <t>AC=A3078101PL</t>
  </si>
  <si>
    <t>Actifs Contrats d'ass. - Modèle  PAA - Liaison - sinistres survenus</t>
  </si>
  <si>
    <t>Passifs Contrats d'ass. - Modèle BBA- liaison - couverture restante</t>
  </si>
  <si>
    <t>Passifs Contrats d'ass. - Modèle VFA- liaison - couverture restante</t>
  </si>
  <si>
    <t>Passifs Contrats d'ass - Modèle  VFA -liaison - sinistres survenus</t>
  </si>
  <si>
    <t>Passifs Contrats d'ass - Modèle  BBA -liaison - sinistres survenus</t>
  </si>
  <si>
    <t>AC=P3078101PL</t>
  </si>
  <si>
    <t>Passifs Contrats d'ass - PAA -liaison - sinistres survenus</t>
  </si>
  <si>
    <t>Part cédée - Passifs Contrats d'ass. - BBA - Provisions techniques BE</t>
  </si>
  <si>
    <t>Part cédée - Passifs Contrats d'ass. - BBA - Ajustement pour risque</t>
  </si>
  <si>
    <t>Part cédée - Passifs Contrats d'ass. - VFA - Provisions techniques BE</t>
  </si>
  <si>
    <t>Part cédée - Passifs Contrats d'ass. - VFA - Ajustement pour risque</t>
  </si>
  <si>
    <t>Part cédée - Passifs Contrats d'ass. - PAA - Provisions techniques BE</t>
  </si>
  <si>
    <t>Part cédée - Passifs Contrats d'ass. - PAA - Ajustement pour risque</t>
  </si>
  <si>
    <t>Part cédée - Actifs Contrats d'ass. - BBA - Provisions techniques BE</t>
  </si>
  <si>
    <t>Part cédée - Actifs Contrats d'ass. - BBA - Ajustement pour risque</t>
  </si>
  <si>
    <t>Part cédée - Actifs Contrats d'ass. - VFA - Ajustement pour risque</t>
  </si>
  <si>
    <t>Part cédée - Actifs Contrats d'ass. - PAA - Provisions techniques BE</t>
  </si>
  <si>
    <t>Part cédée - Actifs Contrats d'ass. - PAA - Ajustement pour risque</t>
  </si>
  <si>
    <t>Autres immobilisations incorporelles - Logiciels développés en interne</t>
  </si>
  <si>
    <t>TA50141</t>
  </si>
  <si>
    <t>DAC et assimilés - Modèles BBA et VFA</t>
  </si>
  <si>
    <t>AC=TP20131</t>
  </si>
  <si>
    <t>TP20131</t>
  </si>
  <si>
    <t>DAC et assimilés - Modèles BBA/VFA</t>
  </si>
  <si>
    <t>Produits des activités d'assurance - Modèle BBA - Relâchement des coûts d'acquisition</t>
  </si>
  <si>
    <t>Produits des activités d'assurance - Modèle VFA - Relâchement des coûts d'acquisition</t>
  </si>
  <si>
    <t>R6020003BJ</t>
  </si>
  <si>
    <t>Charges afférentes aux activités d'assurance - Modèle BBA - Cpte ajust - Allocation à l'élément de perte</t>
  </si>
  <si>
    <t>R6020003VJ</t>
  </si>
  <si>
    <t>Charges afférentes aux activités d'assurance - Modèle VFA - Cpte ajust - Allocation à l'élément de perte</t>
  </si>
  <si>
    <t>AC=R61701000B</t>
  </si>
  <si>
    <t>R61701000B</t>
  </si>
  <si>
    <t>Charges afférentes aux activités d'assurance - Modèle BBA - Variation de l'ajustement pour risque - LIC</t>
  </si>
  <si>
    <t>AC=R61701000V</t>
  </si>
  <si>
    <t>R61701000V</t>
  </si>
  <si>
    <t>Charges afférentes aux activités d'assurance - Modèle VFA - Variation de l'ajustement pour risque - LIC</t>
  </si>
  <si>
    <t>AC=R64702000B</t>
  </si>
  <si>
    <t>R64702000B</t>
  </si>
  <si>
    <t>Charges afférentes aux activités d'assurance - Modèle BBA - Amortissement des frais d'acquisition</t>
  </si>
  <si>
    <t>AC=R64702000V</t>
  </si>
  <si>
    <t>R64702000V</t>
  </si>
  <si>
    <t>Charges afférentes aux activités d'assurance - Modèle VFA - Amortissement des frais d'acquisition</t>
  </si>
  <si>
    <t>AC=R61700000B</t>
  </si>
  <si>
    <t>R61700000B</t>
  </si>
  <si>
    <t>Charges afférentes aux activités d'assurance - Modèle BBA - Variation liée aux services passés</t>
  </si>
  <si>
    <t>AC=R61700000V</t>
  </si>
  <si>
    <t>R61700000V</t>
  </si>
  <si>
    <t>Charges afférentes aux activités d'assurance - Modèle VFA - Variation liée aux services passés</t>
  </si>
  <si>
    <t>AC=R6020001BJ</t>
  </si>
  <si>
    <t>R6020001BJ</t>
  </si>
  <si>
    <t>Charges afférentes aux activités d'assurance - Modèle BBA - Cpte ajust - Variation liée aux services passés</t>
  </si>
  <si>
    <t>AC=R6020001VJ</t>
  </si>
  <si>
    <t>R6020001VJ</t>
  </si>
  <si>
    <t>Charges afférentes aux activités d'assurance - Modèle VFA - Cpte ajust - Variation liée aux services passés</t>
  </si>
  <si>
    <t>AC=R62700000B</t>
  </si>
  <si>
    <t>R62700000B</t>
  </si>
  <si>
    <t>Charges afférentes aux activités d'assu - Modèle BBA - Composante de perte - Pertes et reprises sur contrats onéreux</t>
  </si>
  <si>
    <t>AC=R62700000V</t>
  </si>
  <si>
    <t>R62700000V</t>
  </si>
  <si>
    <t>Charges afférentes aux activités d'assu - Modèle VFA - Composante de perte - Pertes et reprises sur contrats onéreux</t>
  </si>
  <si>
    <t>R6020002BJ</t>
  </si>
  <si>
    <t>Charges afférentes aux activités d'assurance - Modèle BBA - Cpte ajust - Pertes et reprises sur les contrats onéreux</t>
  </si>
  <si>
    <t>R6020002VJ</t>
  </si>
  <si>
    <t>Charges afférentes aux activités d'assurance - Modèle VFA - Cpte ajust - Pertes et reprises sur les contrats onéreux</t>
  </si>
  <si>
    <t>AC=A48100000B</t>
  </si>
  <si>
    <t>A48100000B</t>
  </si>
  <si>
    <t>AC=A48100000V</t>
  </si>
  <si>
    <t>A48100000V</t>
  </si>
  <si>
    <t>AC=A48910000B</t>
  </si>
  <si>
    <t>DAC et assimilés - Dépréciation - Modèle BBA</t>
  </si>
  <si>
    <t>AC=A48910000V</t>
  </si>
  <si>
    <t>DAC et assimilés - Dépréciation - Modèle VFA</t>
  </si>
  <si>
    <t>Libellé</t>
  </si>
  <si>
    <t>AC=A30700000P</t>
  </si>
  <si>
    <t>A30700000P</t>
  </si>
  <si>
    <t>Actifs Contrats d'ass. - Modèle PAA - Provisions techniques BE pour couverture restante</t>
  </si>
  <si>
    <t>AC=A30400000P</t>
  </si>
  <si>
    <t>A30400000P</t>
  </si>
  <si>
    <t>Actifs Contrats d'ass. - Modèle PAA - Provisions techniques BE pour couverture restante - Non actuariel</t>
  </si>
  <si>
    <t>AC=A3078200PJ</t>
  </si>
  <si>
    <t>A3078200PJ</t>
  </si>
  <si>
    <t>Actifs Contrats d'ass - Modèle PAA-Ajust. - couverture restante</t>
  </si>
  <si>
    <t>AC=A30700100P</t>
  </si>
  <si>
    <t>A30700100P</t>
  </si>
  <si>
    <t>Actifs Contrats d'ass. - Modèle PAA - Provisions techniques BE pour sinistres survenus</t>
  </si>
  <si>
    <t>AC=A30410000P</t>
  </si>
  <si>
    <t>A30410000P</t>
  </si>
  <si>
    <t>AC=A3078201PJ</t>
  </si>
  <si>
    <t>A3078201PJ</t>
  </si>
  <si>
    <t>Actifs Contrats d'ass - Modèle PAA - Ajustement - sinistres survenus</t>
  </si>
  <si>
    <t>AC=A30701000P</t>
  </si>
  <si>
    <t>A30701000P</t>
  </si>
  <si>
    <t>Actifs Contrats d'ass. - Modèle PAA - Ajustement pour risque pour sinistres survenus</t>
  </si>
  <si>
    <t>TA50142</t>
  </si>
  <si>
    <t>DAC et assimilés - Modèle PAA</t>
  </si>
  <si>
    <t>AC=P30700000P</t>
  </si>
  <si>
    <t>P30700000P</t>
  </si>
  <si>
    <t>Passifs Contrats d'ass. - Modèle PAA - Provisions techniques BE pour couverture restante</t>
  </si>
  <si>
    <t>AC=P30400000P</t>
  </si>
  <si>
    <t>P30400000P</t>
  </si>
  <si>
    <t>Passifs Contrats d'ass. - Modèle PAA - Provisions techniques BE pour couverture restante  - Non actuariel</t>
  </si>
  <si>
    <t>AC=P3078200PJ</t>
  </si>
  <si>
    <t>P3078200PJ</t>
  </si>
  <si>
    <t>Passifs Contrats d'ass. - PAA -Ajust. - couverture restante</t>
  </si>
  <si>
    <t>AC=P30700100P</t>
  </si>
  <si>
    <t>P30700100P</t>
  </si>
  <si>
    <t>Passifs Contrats d'ass. - Modèle PAA - Provisions techniques BE - Passifs pour sinistres survenus</t>
  </si>
  <si>
    <t>AC=P30410000P</t>
  </si>
  <si>
    <t>P30410000P</t>
  </si>
  <si>
    <t>Passifs Contrats d'ass. - Modèle PAA - Provisions techniques BE pour sinistres survenus  - Non actuariel</t>
  </si>
  <si>
    <t>AC=P3078201PJ</t>
  </si>
  <si>
    <t>P3078201PJ</t>
  </si>
  <si>
    <t>AC=P30701100P</t>
  </si>
  <si>
    <t>P30701100P</t>
  </si>
  <si>
    <t>Passifs Contrats d'ass. - Modèle PAA - Ajustement pour risque - Passifs pour sinistres survenus</t>
  </si>
  <si>
    <t>AC=TP20132</t>
  </si>
  <si>
    <t>TP20132</t>
  </si>
  <si>
    <t>R70704000P</t>
  </si>
  <si>
    <t>Produits des activités d'assurance - Modèle PAA - Libération de la couverture restante (Primes acquises)</t>
  </si>
  <si>
    <t>R7070400PJ</t>
  </si>
  <si>
    <t>Produits des activités d'assurance - Modèle PAA - Cpte ajust réass</t>
  </si>
  <si>
    <t>AC=R60200000P</t>
  </si>
  <si>
    <t>R60200000P</t>
  </si>
  <si>
    <t>Charges afférentes aux activités d'assurance - Modèle PAA - Prestations et frais réels - Prestations réelles</t>
  </si>
  <si>
    <t>AC=R64005000P</t>
  </si>
  <si>
    <t>R64005000P</t>
  </si>
  <si>
    <t>Charges afférentes aux activités d'assurance - Modèle PAA - Prestations et frais réels - Commissions</t>
  </si>
  <si>
    <t>AC=R64020000P</t>
  </si>
  <si>
    <t>R64020000P</t>
  </si>
  <si>
    <t>Charges afférentes aux activités d'assurance - Modèle PAA - Prestations et frais réels - Frais attribuables réels</t>
  </si>
  <si>
    <t>AC=R6020000PJ</t>
  </si>
  <si>
    <t>R6020000PJ</t>
  </si>
  <si>
    <t>AC=R61701000P</t>
  </si>
  <si>
    <t>R61701000P</t>
  </si>
  <si>
    <t>Charges afférentes aux activités d'assurance - Modèle PAA - Variation de l'ajustement pour risque LIC</t>
  </si>
  <si>
    <t>AC=R64702000P</t>
  </si>
  <si>
    <t>R64702000P</t>
  </si>
  <si>
    <t>Charges afférentes aux activités d'assurance - Modèle PAA - Amortissement des frais d'acquisition</t>
  </si>
  <si>
    <t>AC=R7032000AJ</t>
  </si>
  <si>
    <t>R7032000AJ</t>
  </si>
  <si>
    <t>Chiffre d'affaires ou produits des autres activités - Ajust.</t>
  </si>
  <si>
    <t>AC=R62700000P</t>
  </si>
  <si>
    <t>R62700000P</t>
  </si>
  <si>
    <t>Charges afférentes aux activités d'assurance - Modèle PAA - Pertes et reprises sur les contrats onéreux</t>
  </si>
  <si>
    <t>R6020002PJ</t>
  </si>
  <si>
    <t>Charges afférentes aux activités d'assurance - Modèle PAA - Cpte ajust - Pertes et reprises sur les contrats onéreux</t>
  </si>
  <si>
    <t>AC=A48100000P</t>
  </si>
  <si>
    <t>A48100000P</t>
  </si>
  <si>
    <t>AC=P48100000P</t>
  </si>
  <si>
    <t>P48100000P</t>
  </si>
  <si>
    <t>AC=A48910000P</t>
  </si>
  <si>
    <t>DAC et assimilés - Dépréciation - Modèle PAA</t>
  </si>
  <si>
    <t>AC=P48910000P</t>
  </si>
  <si>
    <t>P48910000P</t>
  </si>
  <si>
    <t>AC=R60782000B</t>
  </si>
  <si>
    <t>AC=R60782000V</t>
  </si>
  <si>
    <t>AC=R70900000B</t>
  </si>
  <si>
    <t>AC=R74905000B</t>
  </si>
  <si>
    <t>AC=R74920000B</t>
  </si>
  <si>
    <t>AC=R70900000V</t>
  </si>
  <si>
    <t>AC=R74905000V</t>
  </si>
  <si>
    <t>AC=R74920000V</t>
  </si>
  <si>
    <t>AC=R60780000B</t>
  </si>
  <si>
    <t>AC=R60784000B</t>
  </si>
  <si>
    <t>AC=R60780000V</t>
  </si>
  <si>
    <t>AC=R60784000V</t>
  </si>
  <si>
    <t>AC=R60785000B</t>
  </si>
  <si>
    <t>AC=R60783000B</t>
  </si>
  <si>
    <t>AC=R60785000V</t>
  </si>
  <si>
    <t>AC=R60783000V</t>
  </si>
  <si>
    <t>AC=R60781000B</t>
  </si>
  <si>
    <t>AC=R60781000V</t>
  </si>
  <si>
    <t>AC=R72789000B</t>
  </si>
  <si>
    <t>AC=R72789000V</t>
  </si>
  <si>
    <t>AC=R60786000B</t>
  </si>
  <si>
    <t>AC=R60786000V</t>
  </si>
  <si>
    <t>AC=A39700000P</t>
  </si>
  <si>
    <t>A39700000P</t>
  </si>
  <si>
    <t>Part cédée - Passifs Contrats d'ass - PAA - Provisions techniques BE pour couverture restante</t>
  </si>
  <si>
    <t>AC=A39400000P</t>
  </si>
  <si>
    <t>A39400000P</t>
  </si>
  <si>
    <t>Part cédée - Passifs Contrats d'ass. - PAA - Provisions techniques BE pour couverture restante - Non actuariel</t>
  </si>
  <si>
    <t>AC=A39700100P</t>
  </si>
  <si>
    <t>A39700100P</t>
  </si>
  <si>
    <t>Part cédée - Passifs Contrats d'ass. - PAA - Provisions techniques BE pour sinistres survenus</t>
  </si>
  <si>
    <t>AC=A39410000P</t>
  </si>
  <si>
    <t>A39410000P</t>
  </si>
  <si>
    <t>Part cédée - Passifs Contrats d'ass. - PAA - Provisions techniques BE pour sinistre survenus - Non actuariel</t>
  </si>
  <si>
    <t>AC=A39701100P</t>
  </si>
  <si>
    <t>A39701100P</t>
  </si>
  <si>
    <t>Part cédée - Passifs Contrats d'ass. - PAA - Ajustement pour risque - Passifs pour sinistres survenus</t>
  </si>
  <si>
    <t>AC=P39700000P</t>
  </si>
  <si>
    <t>P39700000P</t>
  </si>
  <si>
    <t>Part cédée - Actifs Contrats d'ass. - PAA - Provisions techniques BE pour couverture restante</t>
  </si>
  <si>
    <t>AC=P39400000P</t>
  </si>
  <si>
    <t>P39400000P</t>
  </si>
  <si>
    <t>Part cédée - Actifs Contrats d'ass. - PAA - Provisions techniques BE  pour couverture restante - Non actuariel</t>
  </si>
  <si>
    <t>AC=P39700100P</t>
  </si>
  <si>
    <t>P39700100P</t>
  </si>
  <si>
    <t>Part cédée - Actifs Contrats d'ass. - PAA - Provisions techniques BE pour sinistres survenus</t>
  </si>
  <si>
    <t>AC=P39410000P</t>
  </si>
  <si>
    <t>P39410000P</t>
  </si>
  <si>
    <t>Part cédée - Actifs Contrats d'ass. - PAA - Provisions techniques BE  pour sinistres survenus - Non actuariel</t>
  </si>
  <si>
    <t>AC=P39701100P</t>
  </si>
  <si>
    <t>P39701100P</t>
  </si>
  <si>
    <t>Part cédée - Actifs Contrats d'ass. - PAA - Ajustement pour risque pour sinistres survenus</t>
  </si>
  <si>
    <t>AC=R70900000P</t>
  </si>
  <si>
    <t>R70900000P</t>
  </si>
  <si>
    <t>Produits issus des contrats de réassurance - Modèle PAA - Prestations et frais cédés réels - Prestations cédées réelles</t>
  </si>
  <si>
    <t>AC=R74905000P</t>
  </si>
  <si>
    <t>R74905000P</t>
  </si>
  <si>
    <t>Produits issus des contrats de réassurance - Modèle PAA - Prestations et frais cédés réels - Commissions</t>
  </si>
  <si>
    <t>AC=R74920000P</t>
  </si>
  <si>
    <t>R74920000P</t>
  </si>
  <si>
    <t>Produits issus des contrats de réassurance - Modèle PAA - Prestations et frais cédés réels - Frais attrib.</t>
  </si>
  <si>
    <t>AC=R72780000P</t>
  </si>
  <si>
    <t>R72780000P</t>
  </si>
  <si>
    <t>Produits issus des contrats de réassu - Modèle PAA - Chgt d'estim. pertes et rep. sur les contrats onéreux sous-jacents</t>
  </si>
  <si>
    <t>AC=R60786000P</t>
  </si>
  <si>
    <t>R60786000P</t>
  </si>
  <si>
    <t>Charges issues des contrats de réassurance - Modèle PAA - Effet de l'évolution du risque de non-exécution des réassuranceurs</t>
  </si>
  <si>
    <t>AC=R60784000P</t>
  </si>
  <si>
    <t>R60784000P</t>
  </si>
  <si>
    <t>Charges issues des contrats de réassurance - Modèle PAA - Libération de la couverture restante allouée</t>
  </si>
  <si>
    <t>AC=R60781000P</t>
  </si>
  <si>
    <t>R60781000P</t>
  </si>
  <si>
    <t>Charges issues des contrats de réassurance - Modèle PAA - Relâchement de l'ajustement pour risque LIC cédé</t>
  </si>
  <si>
    <t>AC=R69490900</t>
  </si>
  <si>
    <t>R69490900</t>
  </si>
  <si>
    <t>Charges issues des contrats de réassurance - Modèle PAA - Autres charges et produits techn. - Variation des DAC</t>
  </si>
  <si>
    <t>AC=</t>
  </si>
  <si>
    <t>AC=A52200000</t>
  </si>
  <si>
    <t>Instruments dérivés séparés sur contrat</t>
  </si>
  <si>
    <t>RU=</t>
  </si>
  <si>
    <t>non maintenu</t>
  </si>
  <si>
    <t>Sprint de mise à jour</t>
  </si>
  <si>
    <t>Date de mise à jour</t>
  </si>
  <si>
    <t>Types de comptes</t>
  </si>
  <si>
    <t>Niveaux hiérarchie</t>
  </si>
  <si>
    <t>N0</t>
  </si>
  <si>
    <t>N1</t>
  </si>
  <si>
    <t>N2</t>
  </si>
  <si>
    <t>N3</t>
  </si>
  <si>
    <t>N4</t>
  </si>
  <si>
    <t>N5</t>
  </si>
  <si>
    <t>N6</t>
  </si>
  <si>
    <t>Codes comptes 
= 12 caractères max</t>
  </si>
  <si>
    <t>Nb Car</t>
  </si>
  <si>
    <t>Libellés FR - Extra long = 253 caractères max</t>
  </si>
  <si>
    <t>Libellés FR - Long = 120 caractères max</t>
  </si>
  <si>
    <t>Libellés FR - Court = 30 caractères max</t>
  </si>
  <si>
    <t>Document de collecte associé</t>
  </si>
  <si>
    <t>Libéllés EN - Extra long = 253 caractères max</t>
  </si>
  <si>
    <t>Libéllés EN - Long = 120 caractères max</t>
  </si>
  <si>
    <t>Libéllés EN - Court = 30 caractères max</t>
  </si>
  <si>
    <t>Associated Collection Document</t>
  </si>
  <si>
    <t>Code LBP</t>
  </si>
  <si>
    <t>Mapping LBP</t>
  </si>
  <si>
    <t>Track Change
Evol</t>
  </si>
  <si>
    <t>Action Plan de comptes</t>
  </si>
  <si>
    <t>Action Matrice</t>
  </si>
  <si>
    <t>Commentaires IG</t>
  </si>
  <si>
    <t>Sprint 01</t>
  </si>
  <si>
    <t>Agrégat</t>
  </si>
  <si>
    <t>TA</t>
  </si>
  <si>
    <t>Actf</t>
  </si>
  <si>
    <t>NA - Non applicable</t>
  </si>
  <si>
    <t>Assets</t>
  </si>
  <si>
    <t>A conserver</t>
  </si>
  <si>
    <t>NA (agrégat)</t>
  </si>
  <si>
    <t>AC=TA10</t>
  </si>
  <si>
    <t>TA10</t>
  </si>
  <si>
    <t>Actf incrporels</t>
  </si>
  <si>
    <t>L-C-3200 - Actifs incorporels</t>
  </si>
  <si>
    <t>Intangible assets</t>
  </si>
  <si>
    <t>L-C-3200 - Intangible assets</t>
  </si>
  <si>
    <t>TA101</t>
  </si>
  <si>
    <t>Ecarts acq</t>
  </si>
  <si>
    <t>Gw</t>
  </si>
  <si>
    <t>AC=A26500000</t>
  </si>
  <si>
    <t>Sprint 03</t>
  </si>
  <si>
    <t>Comptes sociaux</t>
  </si>
  <si>
    <t>A26500000</t>
  </si>
  <si>
    <t>Ecarts d'acqusition partiel - Brut</t>
  </si>
  <si>
    <t>Ecarts d'acq. partiel - Brut</t>
  </si>
  <si>
    <t>Ecarts acq Prtiel-Brut</t>
  </si>
  <si>
    <t>Partial goodwill - Gross</t>
  </si>
  <si>
    <t>Partial Gw-Gross</t>
  </si>
  <si>
    <t>BA4418EA</t>
  </si>
  <si>
    <t>Ecarts d'acquisition bruts</t>
  </si>
  <si>
    <t>Evol 37</t>
  </si>
  <si>
    <t>A29651000</t>
  </si>
  <si>
    <t>Ecarts d'acquisition partiel - Dépréciation</t>
  </si>
  <si>
    <t>Ecarts d'acq. partiel - Dépréciation</t>
  </si>
  <si>
    <t>Ecarts acq Prtiel-Dépr</t>
  </si>
  <si>
    <t>Partial goodwill - Provisions for impairment</t>
  </si>
  <si>
    <t>Partial Gw-Imp</t>
  </si>
  <si>
    <t>BA4841EA</t>
  </si>
  <si>
    <t>Dépréciations des écarts d'acquisition</t>
  </si>
  <si>
    <t>AC=A26500001</t>
  </si>
  <si>
    <t>A26500001</t>
  </si>
  <si>
    <t>Ecarts d'acqusisition complet IFRS 3 révisé - Brut</t>
  </si>
  <si>
    <t>Ecarts d'acq. complet IFRS 3 révisé - Brut</t>
  </si>
  <si>
    <t>Ecarts acq cmplt IFRS3-Brut</t>
  </si>
  <si>
    <t>Full goodwill (Revised IFRS 3) - Gross</t>
  </si>
  <si>
    <t>Full Gw (Revised IFRS3)-Gross</t>
  </si>
  <si>
    <t>AC=A29651001</t>
  </si>
  <si>
    <t>A29651001</t>
  </si>
  <si>
    <t>Ecarts d'acquisition complet IFRS 3 révisé - Dépréciation</t>
  </si>
  <si>
    <t>Ecarts d'acq. complet IFRS 3 révisé - Dépréciation</t>
  </si>
  <si>
    <t>Ecarts acq cmplt IFRS3-Dépr</t>
  </si>
  <si>
    <t>Full goodwill (Revised IFRS 3) - Provisions for impairment</t>
  </si>
  <si>
    <t>Full Gw (RevisIFRS3)-Imp</t>
  </si>
  <si>
    <t>Sprint 07</t>
  </si>
  <si>
    <t>TA102</t>
  </si>
  <si>
    <t>Portefeuille de contrats des sociétés d'assurance</t>
  </si>
  <si>
    <t>Ptf Ctrats soc ass</t>
  </si>
  <si>
    <t>Contractual customer relationships</t>
  </si>
  <si>
    <t>Cntrac customer relationships</t>
  </si>
  <si>
    <t>Evol 29/ Evol 55 (ex Evol 52)</t>
  </si>
  <si>
    <t>A créer</t>
  </si>
  <si>
    <t>AC=TA1021</t>
  </si>
  <si>
    <t>TA1021</t>
  </si>
  <si>
    <t>Portefeuille de contrats des sociétés d'assurance - Regroupement d'entreprises</t>
  </si>
  <si>
    <t>Portefeuille de contrats des sociétés d'ass. - Regpmt d'entpses</t>
  </si>
  <si>
    <t>Ptf Ctrats soc ass Rgpmt ent</t>
  </si>
  <si>
    <t>Contractual customer relationships - Business combinations</t>
  </si>
  <si>
    <t>Cntrac cust relation-BussCombi</t>
  </si>
  <si>
    <t>Evol 29 / Evol 55 (ex Evol 52)</t>
  </si>
  <si>
    <t>AC=A27000000</t>
  </si>
  <si>
    <t>A27000000</t>
  </si>
  <si>
    <t>Regroupement d'entreprises - Contrats financiers sans PB discrétionnaire - Valeur de portefeuille</t>
  </si>
  <si>
    <t>Ctrats fin PB dis-Val Ptf</t>
  </si>
  <si>
    <t>Business combinations - Inssurance contracts and FI with DPF - Value of in-force business</t>
  </si>
  <si>
    <t>Business combinations - Ins. contracts and FI with DPF - Value of in-force business</t>
  </si>
  <si>
    <t>BussCombi-InsCntraFI w/DPF-Val</t>
  </si>
  <si>
    <t>BA442900</t>
  </si>
  <si>
    <t>Evol 29 / Evol 37 / Evol 55 (ex Evol 52)</t>
  </si>
  <si>
    <t>A28700000</t>
  </si>
  <si>
    <t>Regroupement d'entreprises - Contrats financiers sans PB discrétionnaire - Amortissement</t>
  </si>
  <si>
    <t>Ctrats fin PB dis-AM</t>
  </si>
  <si>
    <t>Business combinations - Inssurance contracts and FI with DPF - Amortisation</t>
  </si>
  <si>
    <t>Business combinations - Ins. contracts and FI with DPF - Amortisation</t>
  </si>
  <si>
    <t>BussCombi-InsCntraFIw/DPF-Amor</t>
  </si>
  <si>
    <t>BA482900</t>
  </si>
  <si>
    <t xml:space="preserve">Portefeuille de contrats des sociétés d'assurance - Amortissements </t>
  </si>
  <si>
    <t>A29710000</t>
  </si>
  <si>
    <t>Regroupement d'entreprises - Contrats financiers sans PB discrétionnaire - Dépréciation</t>
  </si>
  <si>
    <t>Ctrats fin PB dis-Dépr</t>
  </si>
  <si>
    <t>Business combinations - Inssurance contracts and FI with DPF - Provisions for impairment</t>
  </si>
  <si>
    <t>Business combinations - Ins. contracts and FI with DPF - Provisions for impairment</t>
  </si>
  <si>
    <t>BussCombi-InsCntraFI w/DPF-Imp</t>
  </si>
  <si>
    <t>BA492900</t>
  </si>
  <si>
    <t>Portefeuille de contrats des sociétés d'assurance - Dépréciations</t>
  </si>
  <si>
    <t>TA103</t>
  </si>
  <si>
    <t>Autrs Imo incp</t>
  </si>
  <si>
    <t>Other intangible assets</t>
  </si>
  <si>
    <t>OIA</t>
  </si>
  <si>
    <t>TA1031</t>
  </si>
  <si>
    <t>Autrs Imo incp-Logi dév int</t>
  </si>
  <si>
    <t>Other intangible assets - Internally developed software</t>
  </si>
  <si>
    <t>OIA-Inter dev software</t>
  </si>
  <si>
    <t>A50501000</t>
  </si>
  <si>
    <t>Logiciels développés en interne - Valeur d'acquisition</t>
  </si>
  <si>
    <t>Logiciels développés en interne - Valeur d'acq.</t>
  </si>
  <si>
    <t>Logi dév int-Val acq</t>
  </si>
  <si>
    <t>Internally developed software - Historical cost</t>
  </si>
  <si>
    <t>Inter-developed software-HC</t>
  </si>
  <si>
    <t>BA441901</t>
  </si>
  <si>
    <t>Immobilisations incorporelles - Logiciels</t>
  </si>
  <si>
    <t>A59051000</t>
  </si>
  <si>
    <t>Logiciels développés en interne - Amortissement</t>
  </si>
  <si>
    <t>Logiciels développés en interne - AM</t>
  </si>
  <si>
    <t>Logi dév int-AM</t>
  </si>
  <si>
    <t>Internally developed software - Amortisation</t>
  </si>
  <si>
    <t>Inter-dev software-Amort</t>
  </si>
  <si>
    <t>BA481901</t>
  </si>
  <si>
    <t>Immobilisations incorporelles - Logiciels - Amortissements</t>
  </si>
  <si>
    <t>A59201100</t>
  </si>
  <si>
    <t>Logiciels développés en interne - Dépréciation</t>
  </si>
  <si>
    <t>Logi dév int-Dépr</t>
  </si>
  <si>
    <t>Internally developed software - Provisions for impairment</t>
  </si>
  <si>
    <t>Inter-developed software-Imp</t>
  </si>
  <si>
    <t>BA491901</t>
  </si>
  <si>
    <t>Immobilisations incorporelles - Logiciels - Dépréciations</t>
  </si>
  <si>
    <t>TA1032</t>
  </si>
  <si>
    <t>Autres immobilisations incorporelles - Autres logiciels</t>
  </si>
  <si>
    <t>Autrs Imo incp-Autrs logi</t>
  </si>
  <si>
    <t>Other intangible assets - Other software</t>
  </si>
  <si>
    <t>OIA-Other software</t>
  </si>
  <si>
    <t>A50502000</t>
  </si>
  <si>
    <t>Autres logiciels - Valeur d'acquisition</t>
  </si>
  <si>
    <t>Autrs Logi-Val acq</t>
  </si>
  <si>
    <t>Other software - Historical cost</t>
  </si>
  <si>
    <t>Other software-HC</t>
  </si>
  <si>
    <t>A59052000</t>
  </si>
  <si>
    <t>Autres logiciels - Amortissement</t>
  </si>
  <si>
    <t>Autrs Logi-AM</t>
  </si>
  <si>
    <t>Other software - Amortisation</t>
  </si>
  <si>
    <t>Other software-Amort</t>
  </si>
  <si>
    <t>A59202100</t>
  </si>
  <si>
    <t>Autrs Logi-Dépr</t>
  </si>
  <si>
    <t>Other software - Provisions for impairment</t>
  </si>
  <si>
    <t>Other software-Imp</t>
  </si>
  <si>
    <t>TA1033</t>
  </si>
  <si>
    <t>Autres immobilisations incorporelles - Valeur des accords de distribution</t>
  </si>
  <si>
    <t>Autrs Imo incp-Val acc distri</t>
  </si>
  <si>
    <t>Other intangible assets - Value of distribution agreements</t>
  </si>
  <si>
    <t>OIA-Val of Distri agrmt</t>
  </si>
  <si>
    <t>A27200000</t>
  </si>
  <si>
    <t>Valeur des accords de distribution - Valeur d'acquisition</t>
  </si>
  <si>
    <t>Valeur des accords de distribution - Valeur d'acq.</t>
  </si>
  <si>
    <t>Val acc distri-Val acq</t>
  </si>
  <si>
    <t>Value of distribution agreements - Historical cost</t>
  </si>
  <si>
    <t>Val of Distri agrmt-HC</t>
  </si>
  <si>
    <t>BA442700</t>
  </si>
  <si>
    <t>A28720000</t>
  </si>
  <si>
    <t>Valeur des accords de distribution - Amortissement</t>
  </si>
  <si>
    <t>Valeur des accords de distribution - AM</t>
  </si>
  <si>
    <t>Val acc distri-AM</t>
  </si>
  <si>
    <t>Value of distribution agreements - Amortisation</t>
  </si>
  <si>
    <t>Val of Distri agrmt-Amort</t>
  </si>
  <si>
    <t>BA482700</t>
  </si>
  <si>
    <t>Valeur des accords de distribution - Amortissements</t>
  </si>
  <si>
    <t>A29720000</t>
  </si>
  <si>
    <t>Valeur des accords de distribution - Dépréciation</t>
  </si>
  <si>
    <t>Val acc distri-Dépr</t>
  </si>
  <si>
    <t>Value of distribution agreements - Provisions for impairment</t>
  </si>
  <si>
    <t>Val of Distri agrmt-Imp</t>
  </si>
  <si>
    <t>BA492700</t>
  </si>
  <si>
    <t>Valeur des accords de distribution - Dépréciations</t>
  </si>
  <si>
    <t>TA1034</t>
  </si>
  <si>
    <t>Autres immobilisations incorporelles - Autres</t>
  </si>
  <si>
    <t>Autrs Imo incp-Autrs</t>
  </si>
  <si>
    <t>Other intangible assets - Other</t>
  </si>
  <si>
    <t>OIA-Other</t>
  </si>
  <si>
    <t>A50800000</t>
  </si>
  <si>
    <t>Autres immobilisations incorporelles - Valeur d'acquisition</t>
  </si>
  <si>
    <t>Autrs Imo incp-Val acq</t>
  </si>
  <si>
    <t>Other intangible assets - Historical cost</t>
  </si>
  <si>
    <t>OIA-HC</t>
  </si>
  <si>
    <t>BA441900</t>
  </si>
  <si>
    <t>Immobilisations incorporelles - Autres immobilisations incorporelles</t>
  </si>
  <si>
    <t>A59080000</t>
  </si>
  <si>
    <t>Autres immobilisations incorporelles - Amortissement</t>
  </si>
  <si>
    <t>Autrs Imo incp-AM</t>
  </si>
  <si>
    <t>Other intangible assets - Amortisation</t>
  </si>
  <si>
    <t>OIA-Amort</t>
  </si>
  <si>
    <t>BA482100</t>
  </si>
  <si>
    <t>Immobilisations incorporelles - Autres immobilisations incorporelles - Amortissements</t>
  </si>
  <si>
    <t>A59208100</t>
  </si>
  <si>
    <t>Autrs Imo incp-Dépr</t>
  </si>
  <si>
    <t>Other intangible assets - Provisions for impairment</t>
  </si>
  <si>
    <t>OIA-Imp</t>
  </si>
  <si>
    <t>BA481900</t>
  </si>
  <si>
    <t>Immobilisations incorporelles - Autres immobilisations incorporelles - Dépréciations</t>
  </si>
  <si>
    <t>AC=TA1035</t>
  </si>
  <si>
    <t>TA1035</t>
  </si>
  <si>
    <t>Autres immobilisations incorporelles – Valeur des accords clientèle</t>
  </si>
  <si>
    <t>Autrs Imo incp-Val acc client</t>
  </si>
  <si>
    <t>Other intangible assets - Value of customer agreements</t>
  </si>
  <si>
    <t>OIA-Val of customer agrmt</t>
  </si>
  <si>
    <t>AC=A27100000</t>
  </si>
  <si>
    <t>A27100000</t>
  </si>
  <si>
    <t>Valeur des accords clientèle - Valeur d'acq.</t>
  </si>
  <si>
    <t>Val acc client-Val acq</t>
  </si>
  <si>
    <t>Transfer - Inssurance contracts and FI with DPF - Value of in-force business</t>
  </si>
  <si>
    <t>Transfer - Ins. contracts and FI with DPF - Value of in-force business</t>
  </si>
  <si>
    <t>Trf-Ins CntraFI w/DPF-Val</t>
  </si>
  <si>
    <t>BA442710</t>
  </si>
  <si>
    <t>Relation clientèle</t>
  </si>
  <si>
    <t>AC=A28710000</t>
  </si>
  <si>
    <t>A28710000</t>
  </si>
  <si>
    <t>Valeur des accords clientèle - AM</t>
  </si>
  <si>
    <t>Val acc client-AM</t>
  </si>
  <si>
    <t>Transfer - Inssurance contracts and FI with DPF - Amortisation</t>
  </si>
  <si>
    <t>Transfer - Ins. contracts and FI with DPF - Amortisation</t>
  </si>
  <si>
    <t>Trf-Ins CntraFI w/DPF-Amort</t>
  </si>
  <si>
    <t>BA482710</t>
  </si>
  <si>
    <t>Relation clientèle - Amortissements</t>
  </si>
  <si>
    <t>AC=A29711000</t>
  </si>
  <si>
    <t>A29711000</t>
  </si>
  <si>
    <t>Valeur des accords clientèle - Dépréciation</t>
  </si>
  <si>
    <t>Val acc client-Déprs</t>
  </si>
  <si>
    <t>Transfer - Inssurance contracts and FI with DPF - Provisions for impairment</t>
  </si>
  <si>
    <t>Transfer - Ins. contracts and FI with DPF - Provisions for impairment</t>
  </si>
  <si>
    <t>Trf-Ins CntraFI w/DPF-Imp</t>
  </si>
  <si>
    <t>BA492710</t>
  </si>
  <si>
    <t>Relation clientèle - Dépréciations</t>
  </si>
  <si>
    <t>AC=TA20</t>
  </si>
  <si>
    <t>TA20</t>
  </si>
  <si>
    <t>Plcts des activités ass</t>
  </si>
  <si>
    <t>Insurance investments</t>
  </si>
  <si>
    <t>Ins Invest</t>
  </si>
  <si>
    <t>NA - Not applicable</t>
  </si>
  <si>
    <t>TA201</t>
  </si>
  <si>
    <t>Imobilier de Plct</t>
  </si>
  <si>
    <t>L-C-3205 - Immobilier de placement des contrats</t>
  </si>
  <si>
    <t>Investment property</t>
  </si>
  <si>
    <t>Invest ppty</t>
  </si>
  <si>
    <t>L-C-3205 - Investment property held in portfolios</t>
  </si>
  <si>
    <t>Evol 45</t>
  </si>
  <si>
    <t>AC=TA2011</t>
  </si>
  <si>
    <t>TA2011</t>
  </si>
  <si>
    <t>Immobilier de placement - Contrats Hors UC</t>
  </si>
  <si>
    <t>Imo Plct-Ctrats Hors UC</t>
  </si>
  <si>
    <t>Investment property - Non-UL portfolios</t>
  </si>
  <si>
    <t>Invest ppty-Non-UL prf</t>
  </si>
  <si>
    <t>Imo Plct-Terrains</t>
  </si>
  <si>
    <t>Investment property - Land</t>
  </si>
  <si>
    <t>Invest ppty-Land</t>
  </si>
  <si>
    <t>Terrains-Val acq-JV/rés</t>
  </si>
  <si>
    <t>Land - Historical cost - FV through P&amp;L</t>
  </si>
  <si>
    <t>Land-HC-FVP&amp;L</t>
  </si>
  <si>
    <t>BA452400</t>
  </si>
  <si>
    <t>Immeubles de placement - valeur d'acquisition</t>
  </si>
  <si>
    <t>Terrains-Reval-JV/rés</t>
  </si>
  <si>
    <t>Land - FV adjustments - FV through P&amp;L</t>
  </si>
  <si>
    <t>Land-FVadj-FVP&amp;L</t>
  </si>
  <si>
    <t>BA452401</t>
  </si>
  <si>
    <t>Immeubles de placement - réévaluation</t>
  </si>
  <si>
    <t>Terrains-Val acq-CtAM</t>
  </si>
  <si>
    <t>Land - Historical cost - Amortised cost</t>
  </si>
  <si>
    <t>Land-HC-AMc</t>
  </si>
  <si>
    <t>BA452301</t>
  </si>
  <si>
    <t>Immeubles corporels de placement - Terrains</t>
  </si>
  <si>
    <t>Terrains-Dépr-CtAM</t>
  </si>
  <si>
    <t>Land - Provisions for impairment - Amortised cost</t>
  </si>
  <si>
    <t>Land-Prov imp-AMc</t>
  </si>
  <si>
    <t>BA492301</t>
  </si>
  <si>
    <t>Immeubles corporels de placement - Dépréciations - Terrains</t>
  </si>
  <si>
    <t>Immobilier de placement - Immeubles de placement bâtis - Agencements et installations techniques</t>
  </si>
  <si>
    <t>Imo-Agcmts &amp; insta techn</t>
  </si>
  <si>
    <t>Investment property - Investment property - Fixtures and fittings</t>
  </si>
  <si>
    <t>Invest ppty-fix fitt</t>
  </si>
  <si>
    <t>Agcmts-Val acq-JV/rés</t>
  </si>
  <si>
    <t>Investment property - Fixtures and fittings - Historical cost - FV through P&amp;L</t>
  </si>
  <si>
    <t>Invest ppty-fix fitt-HC-FVP&amp;L</t>
  </si>
  <si>
    <t>Agcmts-Reval-JV/rés</t>
  </si>
  <si>
    <t>Investment property - Fixtures and fittings - FV adjustments - FV through P&amp;L</t>
  </si>
  <si>
    <t>Investppty-fix fitt-adjFVP&amp;L</t>
  </si>
  <si>
    <t>Agcmts-Val acq-CtAM</t>
  </si>
  <si>
    <t>Investment property - Fixtures and fittings - Historical cost - Amortised cost</t>
  </si>
  <si>
    <t>Invest ppty-fix fitt-HC-AMc</t>
  </si>
  <si>
    <t>BA452302</t>
  </si>
  <si>
    <t>Immeubles corporels de placement - Agencements &amp; Instal.technique</t>
  </si>
  <si>
    <t>Agcmts-AM-CtAM</t>
  </si>
  <si>
    <t>Investment property - Fixtures and fittings - Depreciation - Amortised cost</t>
  </si>
  <si>
    <t>Invest ppty-fix fitt-Depr-AMc</t>
  </si>
  <si>
    <t>BA482301</t>
  </si>
  <si>
    <t>Immeubles corporels de placement - Amortissements - Agencements &amp; Instal.technique</t>
  </si>
  <si>
    <t>Agcmts-Dépr-CtAM</t>
  </si>
  <si>
    <t>Investment property - Fixtures and fittings - Provisions for impairment - Amortised cost</t>
  </si>
  <si>
    <t>InvestPy-fix fitt-Prov imp-AMc</t>
  </si>
  <si>
    <t>BA492302</t>
  </si>
  <si>
    <t>Immeubles corporels de placement - Dépréciations - Agencements &amp; Instal.technique</t>
  </si>
  <si>
    <t>Imo Plct bâtis-Cstructns</t>
  </si>
  <si>
    <t>Investment property - Investment property - Buildings</t>
  </si>
  <si>
    <t>Invest ppty-Invest ppty-Builds</t>
  </si>
  <si>
    <t>Cstructns-Val acq-JV/rés</t>
  </si>
  <si>
    <t>Investment property - Buildings - Historical cost - FV through P&amp;L</t>
  </si>
  <si>
    <t>Invest ppty-Builds-HC-FVP&amp;L</t>
  </si>
  <si>
    <t>Cstructns-Reval-JV/rés</t>
  </si>
  <si>
    <t>Investment property - Buildings - FV adjustments - FV through P&amp;L</t>
  </si>
  <si>
    <t>Invest ppty-Builds-FVadj-FVP&amp;L</t>
  </si>
  <si>
    <t>Cstructns-Val acq-CtAM</t>
  </si>
  <si>
    <t>Investment property - Buildings - Historical cost - Amortised cost</t>
  </si>
  <si>
    <t>Invest ppty-Builds-HC-AMc</t>
  </si>
  <si>
    <t>BA452303</t>
  </si>
  <si>
    <t>Immeubles corporels de placement - Constructions</t>
  </si>
  <si>
    <t>Cstructns-AM-CtAM</t>
  </si>
  <si>
    <t>Investment property - Buildings - Amortisation - Amortised cost</t>
  </si>
  <si>
    <t>Invest ppty-Builds-Amort-AMc</t>
  </si>
  <si>
    <t>BA482302</t>
  </si>
  <si>
    <t>Immeubles corporels de placement - Amortissements - Constructions</t>
  </si>
  <si>
    <t>Cstructns-Dépr-CtAM</t>
  </si>
  <si>
    <t>Investment property - Buildings - Depreciation - Amortised cost</t>
  </si>
  <si>
    <t>Invest ppty-Builds-Depr-AMc</t>
  </si>
  <si>
    <t>BA492303</t>
  </si>
  <si>
    <t>Immeubles corporels de placement - Dépréciations - Constructions</t>
  </si>
  <si>
    <t>Imo Plct-En cours</t>
  </si>
  <si>
    <t>Investment property - Under construction</t>
  </si>
  <si>
    <t>Invest ppty-Under const</t>
  </si>
  <si>
    <t>Imo Plct-En crs-Val acq-JV/rés</t>
  </si>
  <si>
    <t>Investment property - Under construction - Historical cost - FV through P&amp;L</t>
  </si>
  <si>
    <t>InvestPpty-Underconst-HC-FVP&amp;L</t>
  </si>
  <si>
    <t>Imo Plct-En crs-Reval-JV/rés</t>
  </si>
  <si>
    <t>Investment property - Under construction - FV adjustments - FV through P&amp;L</t>
  </si>
  <si>
    <t>Investppty-Underconst-adjFVP&amp;L</t>
  </si>
  <si>
    <t>Imo Plct-En cours-Val acq-CtAM</t>
  </si>
  <si>
    <t>Investment property - Under construction - Historical cost - Amortised cost</t>
  </si>
  <si>
    <t>Invest ppty-Under const-HC-AMc</t>
  </si>
  <si>
    <t>BA452306</t>
  </si>
  <si>
    <t>Immeubles corporels de placement - Immobilisations en cours</t>
  </si>
  <si>
    <t>Imo Plct-En cours-Dépr-CtAM</t>
  </si>
  <si>
    <t>Investment property - Under construction - Depreciation - Amortised cost</t>
  </si>
  <si>
    <t>InvestPpty-Underconst-Depr-AMc</t>
  </si>
  <si>
    <t>BA492306</t>
  </si>
  <si>
    <t>Immeubles corporels de placement - Dépréciations - Immobilisations en cours</t>
  </si>
  <si>
    <t>TA2012</t>
  </si>
  <si>
    <t>Imo Plct-Contrats UC</t>
  </si>
  <si>
    <t>Investment property - UL portfolios</t>
  </si>
  <si>
    <t>Invest ppty-UL prf</t>
  </si>
  <si>
    <t>TA202</t>
  </si>
  <si>
    <t>Actf fi au CtAM</t>
  </si>
  <si>
    <t>L-C-3210 - Actifs financiers au coût amorti</t>
  </si>
  <si>
    <t>Financial assets at amortised cost</t>
  </si>
  <si>
    <t xml:space="preserve"> Fin assets AMc</t>
  </si>
  <si>
    <t>L-C-3210 - Securities at amortised cost</t>
  </si>
  <si>
    <t>AC=TA2021</t>
  </si>
  <si>
    <t>CtAM</t>
  </si>
  <si>
    <t>Amortised cost</t>
  </si>
  <si>
    <t>AMc</t>
  </si>
  <si>
    <t>TA20211</t>
  </si>
  <si>
    <t>CtAM-Obl Etat&amp;Assi</t>
  </si>
  <si>
    <t>Amortised cost - Government bonds and related instruments</t>
  </si>
  <si>
    <t>AMc-GovBondInst</t>
  </si>
  <si>
    <t>AC=TA202111</t>
  </si>
  <si>
    <t>TA202111</t>
  </si>
  <si>
    <t>Coût amorti - Obligations d'Etat et assimilés - B1</t>
  </si>
  <si>
    <t>CtAM-Obl Etat&amp;Assi-B1</t>
  </si>
  <si>
    <t>Amortised cost - Government bonds and related instruments - B1</t>
  </si>
  <si>
    <t>AMc-GovBondInst-B1</t>
  </si>
  <si>
    <t>A23110010A</t>
  </si>
  <si>
    <t>Coût amorti - Obligations d'Etat et assimilés - Valeur d'acq. - B1</t>
  </si>
  <si>
    <t>CtAM-Obl Etat&amp;Assi-Val acqB1</t>
  </si>
  <si>
    <t>Amortised cost - Government bonds and related instruments - Historical cost - B1</t>
  </si>
  <si>
    <t>AMc-GovBondInst-HC-B1</t>
  </si>
  <si>
    <t>BA304131</t>
  </si>
  <si>
    <t>Clientèle - Effets publics et valeurs assimilées - Titres coût amorti - Valeur de remboursement - B1</t>
  </si>
  <si>
    <t>Evol 14, Evol 37</t>
  </si>
  <si>
    <t>A23110014A</t>
  </si>
  <si>
    <t>CtAM-Obl Etat&amp;Assi-IrêtTIEB1</t>
  </si>
  <si>
    <t>Amortised cost - Government bonds and related instruments - Interest calculated by the effective interest method - B1</t>
  </si>
  <si>
    <t>AMc-GovBondInst-Int-B1</t>
  </si>
  <si>
    <t>BA304132</t>
  </si>
  <si>
    <t>Clientèle - Effets publics et valeurs assimilées - Titres coût amorti - Surcôte/Décôte - B1</t>
  </si>
  <si>
    <t>A23110016A</t>
  </si>
  <si>
    <t>CtAM-Obl Etat&amp;Assi-ICNEB1</t>
  </si>
  <si>
    <t>Amortised cost - Government bonds and related instruments - Accrued interest - B1</t>
  </si>
  <si>
    <t>AMc-GovBondInst-AccInt-B1</t>
  </si>
  <si>
    <t>BA304730</t>
  </si>
  <si>
    <t>Clientèle - Effets publics et valeurs assimilées - Titres coût amorti - Créances rattachées - B1</t>
  </si>
  <si>
    <t>A29311013A</t>
  </si>
  <si>
    <t>CtAM-Obl Etat&amp;Assi-DéprB1</t>
  </si>
  <si>
    <t>Amortised cost - Government bonds and related instruments - Provisions for impairment - B1</t>
  </si>
  <si>
    <t>AMc-GovBondInst-Prov Imp-B1</t>
  </si>
  <si>
    <t>BA305930</t>
  </si>
  <si>
    <t>Clientèle - Effets publics et valeurs assimilées - Titres coût amorti - Dépréciations - B1</t>
  </si>
  <si>
    <t>AC=TA202112</t>
  </si>
  <si>
    <t>TA202112</t>
  </si>
  <si>
    <t>Coût amorti - Obligations d'Etat et assimilés - B2</t>
  </si>
  <si>
    <t>CtAM-Obl Etat&amp;Assi-B2</t>
  </si>
  <si>
    <t>Amortised cost - Government bonds and related instruments - B2</t>
  </si>
  <si>
    <t>AMc-GovBondInst-B2</t>
  </si>
  <si>
    <t>A23110020A</t>
  </si>
  <si>
    <t>Coût amorti - Obligations d'Etat et assimilés - Valeur d'acq. - B2</t>
  </si>
  <si>
    <t>CtAM-Obl Etat&amp;Assi-Val acqB2</t>
  </si>
  <si>
    <t>Amortised cost - Government bonds and related instruments- Historical cost - B2</t>
  </si>
  <si>
    <t>AMc-GovBondInst-HC-B2</t>
  </si>
  <si>
    <t>BA304231</t>
  </si>
  <si>
    <t>Clientèle - Effets publics et valeurs assimilées - Titres coût amorti  - Valeur de remboursement - B2</t>
  </si>
  <si>
    <t>A23110024A</t>
  </si>
  <si>
    <t>CtAM-Obl Etat&amp;Assi-IrêtTIEB2</t>
  </si>
  <si>
    <t>Amortised cost - Government bonds and related instruments - Interest calculated by the effective interest method - B2</t>
  </si>
  <si>
    <t>AMc-GovBondInst-Int-B2</t>
  </si>
  <si>
    <t>BA304232</t>
  </si>
  <si>
    <t>Clientèle - Effets publics et valeurs assimilées - Titres coût amorti - Surcôte/Décôte - B2</t>
  </si>
  <si>
    <t>A23110026A</t>
  </si>
  <si>
    <t>CtAM-Obl Etat&amp;Assi-ICNEB2</t>
  </si>
  <si>
    <t>Amortised cost - Government bonds and related instruments - Accrued interest - B2</t>
  </si>
  <si>
    <t>AMc-GovBondInst-AccInt-B2</t>
  </si>
  <si>
    <t>BA304732</t>
  </si>
  <si>
    <t>Clientèle - Effets publics et valeurs assimilées - Titres coût amorti - Créances rattachées - B2</t>
  </si>
  <si>
    <t>A29311023A</t>
  </si>
  <si>
    <t>CtAM-Obl Etat&amp;Assi-DéprB2</t>
  </si>
  <si>
    <t>Amortised cost - Government bonds and related instruments - Provisions for impairment - B2</t>
  </si>
  <si>
    <t>AMc-GovBondInst-Prov Imp-B2</t>
  </si>
  <si>
    <t>BA305932</t>
  </si>
  <si>
    <t>Clientèle - Effets publics et valeurs assimilées - Titres coût amorti  - Dépréciations - B2</t>
  </si>
  <si>
    <t>AC=TA202113</t>
  </si>
  <si>
    <t>TA202113</t>
  </si>
  <si>
    <t>Coût amorti - Obligations d'Etat et assimilés - B3</t>
  </si>
  <si>
    <t>CtAM-Obl Etat&amp;Assi-B3</t>
  </si>
  <si>
    <t>Amortised cost - Government bonds and related instruments - B3</t>
  </si>
  <si>
    <t>AMc-GovBondInst-B3</t>
  </si>
  <si>
    <t>A23110030A</t>
  </si>
  <si>
    <t>Coût amorti - Obligations d'Etat et assimilés - Valeur d'acq. - B3</t>
  </si>
  <si>
    <t>CtAM-Obl Etat&amp;Assi-Val acqB3</t>
  </si>
  <si>
    <t>Amortised cost - Government bonds and related instruments - Historical cost - B3</t>
  </si>
  <si>
    <t>AMc-GovBondInst-HC-B3</t>
  </si>
  <si>
    <t>BA304331</t>
  </si>
  <si>
    <t>Clientèle - Effets publics et valeurs assimilées - Titres coût amorti - Valeur de remboursement - B3</t>
  </si>
  <si>
    <t>Evol 14 / Evol 23D / Evol 37</t>
  </si>
  <si>
    <t>A23110034A</t>
  </si>
  <si>
    <t>CtAM-Obl Etat&amp;Assi-Irêt TIEB3</t>
  </si>
  <si>
    <t>Amortised cost - Government bonds and related instruments - Interest calculated by the effective interest method - B3</t>
  </si>
  <si>
    <t>AMc-GovBondInst-Int-B3</t>
  </si>
  <si>
    <t>BA304332</t>
  </si>
  <si>
    <t>Clientèle - Effets publics et valeurs assimilées - Titres coût amorti - Surcôte/Décôte - B3</t>
  </si>
  <si>
    <t>A23110036A</t>
  </si>
  <si>
    <t>CtAM-Obl Etat&amp;Assi-ICNEB3</t>
  </si>
  <si>
    <t>Amortised cost - Government bonds and related instruments - Accrued interest - B3</t>
  </si>
  <si>
    <t>AMc-GovBondInst-AccInt-B3</t>
  </si>
  <si>
    <t>BA304733</t>
  </si>
  <si>
    <t>Clientèle - Effets publics et valeurs assimilées - Titres coût amorti - Créances rattachées - B3</t>
  </si>
  <si>
    <t>A29311033A</t>
  </si>
  <si>
    <t>CtAM-Obl Etat&amp;Assi-DéprB3</t>
  </si>
  <si>
    <t>Amortised cost - Government bonds and related instruments - Provisions for impairment - B3</t>
  </si>
  <si>
    <t>AMc-GovBondInst-Prov Imp-B3</t>
  </si>
  <si>
    <t>BA305933</t>
  </si>
  <si>
    <t>Clientèle - Effets publics et valeurs assimilées - Titres coût amorti - Dépréciations - B3</t>
  </si>
  <si>
    <t>AC=TA202114</t>
  </si>
  <si>
    <t>TA202114</t>
  </si>
  <si>
    <t>Coût amorti - Obligations d'Etat et assimilés - POCI</t>
  </si>
  <si>
    <t>CtAM-Obl Etat&amp;Assi-POCI</t>
  </si>
  <si>
    <t>Amortised cost - Government bonds and related instruments - POCI</t>
  </si>
  <si>
    <t>AMc-GovBondInst-POCI</t>
  </si>
  <si>
    <t>A23110050A</t>
  </si>
  <si>
    <t>Coût amorti - Obligations d'Etat et assimilés - Valeur d'acq. - POCI</t>
  </si>
  <si>
    <t>CtAM-Obl Etat&amp;Assi-Val acqPOCI</t>
  </si>
  <si>
    <t>Amortised cost - Government bonds and related instruments - Historical cost - POCI</t>
  </si>
  <si>
    <t>AMc-GovBondInst-HC-POCI</t>
  </si>
  <si>
    <t>A23110054A</t>
  </si>
  <si>
    <t>CtAM-Obl Etat&amp;Assi-IrêtTIEPOCI</t>
  </si>
  <si>
    <t>Amortised cost - Government bonds and related instruments - Interest calculated by the effective interest method - POCI</t>
  </si>
  <si>
    <t>AMc-GovBondInst-Int-POCI</t>
  </si>
  <si>
    <t>A23110056A</t>
  </si>
  <si>
    <t>CtAM-Obl Etat&amp;Assi-ICNEPOCI</t>
  </si>
  <si>
    <t>Amortised cost - Government bonds and related instruments - Accrued interest - POCI</t>
  </si>
  <si>
    <t>AMc-GovBondInst-Acc Int-POCI</t>
  </si>
  <si>
    <t>A29311053A</t>
  </si>
  <si>
    <t>CtAM-Obl Etat&amp;Assi-DéprPOCI</t>
  </si>
  <si>
    <t>Amortised cost - Government bonds and related instruments - Provisions for impairment - POCI</t>
  </si>
  <si>
    <t>AMc-GovBondInst-ProvImp-POCI</t>
  </si>
  <si>
    <t>TA20212</t>
  </si>
  <si>
    <t>CtAM-Obl crp nn sub</t>
  </si>
  <si>
    <t>Amortised cost - Unsubordinated corporate bonds</t>
  </si>
  <si>
    <t>AMc-UnsubCorpBond</t>
  </si>
  <si>
    <t>AC=TA202121</t>
  </si>
  <si>
    <t>TA202121</t>
  </si>
  <si>
    <t>Coût amorti - Obligations corporate non subordonnées - B1</t>
  </si>
  <si>
    <t>CtAM-Obl crp nn sub-B1</t>
  </si>
  <si>
    <t>Amortised cost - Unsubordinated corporate bonds - B1</t>
  </si>
  <si>
    <t>AMc-UnsubCorpBond-B1</t>
  </si>
  <si>
    <t>A23120010A</t>
  </si>
  <si>
    <t>Coût amorti - Obligations corporate non subordonnées - Valeur d'acq. - B1</t>
  </si>
  <si>
    <t>CtAM-Obl crp nn sub-Val acqB1</t>
  </si>
  <si>
    <t>Amortised cost - Unsubordinated corporate bonds - Historical cost - B1</t>
  </si>
  <si>
    <t>AMc-UnsubCorpBond-HC-B1</t>
  </si>
  <si>
    <t>BA304141</t>
  </si>
  <si>
    <t>Clientèle - Obligations - Titres Titres coût amorti - Valeur de remboursement - B1</t>
  </si>
  <si>
    <t>A23120014A</t>
  </si>
  <si>
    <t>CtAM-Obl crp nn sub-IrêtTIEB1</t>
  </si>
  <si>
    <t>Amortised cost - Unsubordinated corporate bonds - Interest calculated by the effective interest method - B1</t>
  </si>
  <si>
    <t>AMc-UnsubCorpBond-Int-B1</t>
  </si>
  <si>
    <t>BA304142</t>
  </si>
  <si>
    <t>Clientèle - Obligations - Titres Titres coût amorti - Surcôte/Décôte - B1</t>
  </si>
  <si>
    <t>A23120016A</t>
  </si>
  <si>
    <t>CtAM-Obl crp nn sub-ICNEB1</t>
  </si>
  <si>
    <t>Amortised cost - Unsubordinated corporate bonds - Accrued interest - B1</t>
  </si>
  <si>
    <t>AMc-UnsubCorpBond-Acc Int-B1</t>
  </si>
  <si>
    <t>BA304740</t>
  </si>
  <si>
    <t>Clientèle - Obligations - Titres Titres coût amorti  - Créances rattachées - B1</t>
  </si>
  <si>
    <t>A29312013A</t>
  </si>
  <si>
    <t>CtAM-Obl crp nn sub-DéprB1</t>
  </si>
  <si>
    <t>Amortised cost - Unsubordinated corporate bonds - Provisions for impairment - B1</t>
  </si>
  <si>
    <t>AMc-UnsubCorpBond-ProvImp-B1</t>
  </si>
  <si>
    <t>BA304940</t>
  </si>
  <si>
    <t>Clientèle - Obligations - Titres Titres coût amorti - Dépréciations - B1</t>
  </si>
  <si>
    <t>AC=TA202122</t>
  </si>
  <si>
    <t>TA202122</t>
  </si>
  <si>
    <t>Coût amorti - Obligations corporate non subordonnées - B2</t>
  </si>
  <si>
    <t>CtAM-Obl crp nn sub-B2</t>
  </si>
  <si>
    <t>Amortised cost - Unsubordinated corporate bonds - B2</t>
  </si>
  <si>
    <t>AMc-UnsubCorpBond-B2</t>
  </si>
  <si>
    <t>A23120020A</t>
  </si>
  <si>
    <t>Coût amorti - Obligations corporate non subordonnées - Valeur d'acq. - B2</t>
  </si>
  <si>
    <t>CtAM-Obl crp nn sub-Val acqB2</t>
  </si>
  <si>
    <t>Amortised cost - Unsubordinated corporate bonds - Historical cost - B2</t>
  </si>
  <si>
    <t>AMc-UnsubCorpBond-HC-B2</t>
  </si>
  <si>
    <t>BA304241</t>
  </si>
  <si>
    <t>Clientèle - Obligations - Titres coût amorti - Valeur de remboursement - B2</t>
  </si>
  <si>
    <t>A23120024A</t>
  </si>
  <si>
    <t>CtAM-Obl crp nn sub-IrêtTIEB2</t>
  </si>
  <si>
    <t>Amortised cost - Unsubordinated corporate bonds - Interest calculated by the effective interest method - B2</t>
  </si>
  <si>
    <t>AMc-UnsubCorpBond-Int-B2</t>
  </si>
  <si>
    <t>BA304242</t>
  </si>
  <si>
    <t>Clientèle - Obligations - Titres coût amorti - Surcôte/Décôte - B2</t>
  </si>
  <si>
    <t>A23120026A</t>
  </si>
  <si>
    <t>CtAM-Obl crp nn sub-ICNEB2</t>
  </si>
  <si>
    <t>Amortised cost - Unsubordinated corporate bonds - Accrued interest - B2</t>
  </si>
  <si>
    <t>AMc-UnsubCorpBond-Acc Int-B2</t>
  </si>
  <si>
    <t>BA304742</t>
  </si>
  <si>
    <t>Clientèle - Obligations - Titres coût amorti  - Créances rattachées - B2</t>
  </si>
  <si>
    <t>A29312023A</t>
  </si>
  <si>
    <t>CtAM-Obl crp nn sub-DéprB2</t>
  </si>
  <si>
    <t>Amortised cost - Unsubordinated corporate bonds - Provisions for impairment - B2</t>
  </si>
  <si>
    <t>AMc-UnsubCorpBond-ProvImp-B2</t>
  </si>
  <si>
    <t>BA304942</t>
  </si>
  <si>
    <t>Clientèle - Obligations - Titres coût amorti - Dépréciations - B2</t>
  </si>
  <si>
    <t>AC=TA202123</t>
  </si>
  <si>
    <t>TA202123</t>
  </si>
  <si>
    <t>Coût amorti - Obligations corporate non subordonnées - B3</t>
  </si>
  <si>
    <t>CtAM-Obl crp nn sub-B3</t>
  </si>
  <si>
    <t>Amortised cost - Unsubordinated corporate bonds - B3</t>
  </si>
  <si>
    <t>AMc-UnsubCorpBond-B3</t>
  </si>
  <si>
    <t>A23120030A</t>
  </si>
  <si>
    <t>Coût amorti - Obligations corporate non subordonnées - Valeur d'acq. - B3</t>
  </si>
  <si>
    <t>CtAM-Obl crp nn sub-Val acqB3</t>
  </si>
  <si>
    <t>Amortised cost - Unsubordinated corporate bonds - Historical cost - B3</t>
  </si>
  <si>
    <t>AMc-UnsubCorpBond-HC-B3</t>
  </si>
  <si>
    <t>BA304341</t>
  </si>
  <si>
    <t>Clientèle - Obligations - Titres coût amorti - Valeur de remboursement - B3</t>
  </si>
  <si>
    <t>A23120034A</t>
  </si>
  <si>
    <t>CtAM-Obl crp nn sub-IrêtTIEB3</t>
  </si>
  <si>
    <t>Amortised cost - Unsubordinated corporate bonds - Interest calculated by the effective interest method - B3</t>
  </si>
  <si>
    <t>AMc-UnsubCorpBond-Int-B3</t>
  </si>
  <si>
    <t>BA304342</t>
  </si>
  <si>
    <t>Clientèle - Obligations - Titres coût amorti - Surcôte/Décôte - B3</t>
  </si>
  <si>
    <t>A23120036A</t>
  </si>
  <si>
    <t>CtAM-Obl crp nn sub-ICNEB3</t>
  </si>
  <si>
    <t>Amortised cost - Unsubordinated corporate bonds - Accrued interest - B3</t>
  </si>
  <si>
    <t>AMc-UnsubCorpBond-Acc Int-B3</t>
  </si>
  <si>
    <t>BA304744</t>
  </si>
  <si>
    <t>Clientèle - Obligations - Titres coût amorti  - Créances rattachées - B3</t>
  </si>
  <si>
    <t>A29312033A</t>
  </si>
  <si>
    <t>CtAM-Obl crp nn sub-DéprB3</t>
  </si>
  <si>
    <t>Amortised cost - Unsubordinated corporate bonds - Provisions for impairment - B3</t>
  </si>
  <si>
    <t>AMc-UnsubCorpBond-ProvImp-B3</t>
  </si>
  <si>
    <t>BA304944</t>
  </si>
  <si>
    <t>Clientèle - Obligations - Titres coût amorti - Dépréciations - B3</t>
  </si>
  <si>
    <t>AC=TA202124</t>
  </si>
  <si>
    <t>TA202124</t>
  </si>
  <si>
    <t>Coût amorti - Obligations corporate non subordonnées - POCI</t>
  </si>
  <si>
    <t>CtAM-Obl crp nn subPOCI</t>
  </si>
  <si>
    <t>Amortised cost - Unsubordinated corporate bonds - POCI</t>
  </si>
  <si>
    <t>AMc-UnsubCorpBond-POCI</t>
  </si>
  <si>
    <t>A23120050A</t>
  </si>
  <si>
    <t>Coût amorti - Obligations corporate non subordonnées - Valeur d'acq. - POCI</t>
  </si>
  <si>
    <t>CtAM-Obl crp nnsub-Val acqPOCI</t>
  </si>
  <si>
    <t>Amortised cost - Unsubordinated corporate bonds - Acquisition value - POCI</t>
  </si>
  <si>
    <t>AMc-UnsubCrpBond-AcquiVal-POCI</t>
  </si>
  <si>
    <t>A23120054A</t>
  </si>
  <si>
    <t>CtAM-Obl crp nnsub-IrêtTIEPOCI</t>
  </si>
  <si>
    <t>Amortised cost - Unsubordinated corporate bonds - Interest calculated by the effective interest method - POCI</t>
  </si>
  <si>
    <t>AMc-UnsubCorpBond-Int-POCI</t>
  </si>
  <si>
    <t>A23120056A</t>
  </si>
  <si>
    <t>CtAM-Obli crp nn sub-ICNEPOCI</t>
  </si>
  <si>
    <t>Amortised cost - Unsubordinated corporate bonds - Accrued interest - POCI</t>
  </si>
  <si>
    <t>AMc-UnsubCorpBond-Acc Int-POCI</t>
  </si>
  <si>
    <t>A29312053A</t>
  </si>
  <si>
    <t>CtAM-Obli crp nn sub-DéprPOCI</t>
  </si>
  <si>
    <t>Amortised cost - Unsubordinated corporate bonds - Provisions for impairment - POCI</t>
  </si>
  <si>
    <t>AMc-UnsubCorpBond-ProvImp-POCI</t>
  </si>
  <si>
    <t>TA20213</t>
  </si>
  <si>
    <t>CtAM-Obl crp sub</t>
  </si>
  <si>
    <t>Amortised cost - Subordinated corporate bonds</t>
  </si>
  <si>
    <t>AMc-SubCorpBond</t>
  </si>
  <si>
    <t>AC=TA202131</t>
  </si>
  <si>
    <t>TA202131</t>
  </si>
  <si>
    <t>Coût amorti - Obligations corporate subordonnées - B1</t>
  </si>
  <si>
    <t>CtAM-Obl crp sub-B1</t>
  </si>
  <si>
    <t>Amortised cost - Subordinated corporate bonds - B1</t>
  </si>
  <si>
    <t>AMc-SubCorpBond-B1</t>
  </si>
  <si>
    <t>A23130010A</t>
  </si>
  <si>
    <t>Coût amorti - Obligations corporate subordonnées - Valeur d'acq. - B1</t>
  </si>
  <si>
    <t>CtAM-Obli crp sub-Val acqB1</t>
  </si>
  <si>
    <t>Amortised cost - Subordinated corporate bonds - Historical cost - B1</t>
  </si>
  <si>
    <t>AMc-SubCorpBond-HC-B1</t>
  </si>
  <si>
    <t>BA304150</t>
  </si>
  <si>
    <t>Clientèle - Titres  subordonnés - Titres coût amorti - Valeur de remboursement - B1</t>
  </si>
  <si>
    <t>A23130014A</t>
  </si>
  <si>
    <t>CtAM-Obl crp sub-Irêt TIEB1</t>
  </si>
  <si>
    <t>Amortised cost - Subordinated corporate bonds - Interest calculated by the effective interest method - B1</t>
  </si>
  <si>
    <t>AMc-SubCorpBond-Int-B1</t>
  </si>
  <si>
    <t>BA304151</t>
  </si>
  <si>
    <t>Clientèle - Titres  subordonnés - Titres coût amorti - Surcôte/Décôte - B1</t>
  </si>
  <si>
    <t>A23130016A</t>
  </si>
  <si>
    <t>CtAM-Obl crp sub-ICNE-B1</t>
  </si>
  <si>
    <t>Amortised cost - Subordinated corporate bonds - Accrued interest - B1</t>
  </si>
  <si>
    <t>AMc-SubCorpBond-AccInt-B1</t>
  </si>
  <si>
    <t>BA304154</t>
  </si>
  <si>
    <t>Clientèle - Titres  subordonnés -  Titres coût amorti  -  Créances rattachées - B1</t>
  </si>
  <si>
    <t>A29313013A</t>
  </si>
  <si>
    <t>CtAM-Obl crp sub-Dépr-B1</t>
  </si>
  <si>
    <t>Amortised cost - Subordinated corporate bonds - Provisions for impairment - B1</t>
  </si>
  <si>
    <t>AMc-SubCorpBond-Prov Imp-B1</t>
  </si>
  <si>
    <t>BA304750</t>
  </si>
  <si>
    <t>Clientèle - Titres  subordonnés -  Titres coût amorti  -  Dépréciations - B1</t>
  </si>
  <si>
    <t>AC=TA202132</t>
  </si>
  <si>
    <t>TA202132</t>
  </si>
  <si>
    <t>Coût amorti - Obligations corporate subordonnées - B2</t>
  </si>
  <si>
    <t>CtAM-Obl crp sub-B2</t>
  </si>
  <si>
    <t>Amortised cost - Subordinated corporate bonds - B2</t>
  </si>
  <si>
    <t>AMc-SubCorpBond-B2</t>
  </si>
  <si>
    <t>A23130020A</t>
  </si>
  <si>
    <t>Coût amorti - Obligations corporate subordonnées - Valeur d'acq. - B2</t>
  </si>
  <si>
    <t>CtAM-Obli crp sub-Val acqB2</t>
  </si>
  <si>
    <t>Amortised cost - Subordinated corporate bonds - Historical cost - B2</t>
  </si>
  <si>
    <t>AMc-SubCorpBond-HC-B2</t>
  </si>
  <si>
    <t>BA304156</t>
  </si>
  <si>
    <t>Clientèle - Titres  subordonnés -  Titres coût amorti - Valeur de remboursement - B2</t>
  </si>
  <si>
    <t>A23130024A</t>
  </si>
  <si>
    <t>CtAM-Obl crp sub-Irêt TIEB2</t>
  </si>
  <si>
    <t>Amortised cost - Subordinated corporate bonds - Interest calculated by the effective interest method - B2</t>
  </si>
  <si>
    <t>AMc-SubCorpBond-Int-B2</t>
  </si>
  <si>
    <t>BA304157</t>
  </si>
  <si>
    <t>Clientèle - Titres  subordonnés - Titres coût amorti - Surcôte/Décôte - B2</t>
  </si>
  <si>
    <t>A23130026A</t>
  </si>
  <si>
    <t>CtAM-Obl crp sub-ICNE-B2</t>
  </si>
  <si>
    <t>Amortised cost - Subordinated corporate bonds - Accrued interest - B2</t>
  </si>
  <si>
    <t>AMc-SubCorpBond-AccInt-B2</t>
  </si>
  <si>
    <t>BA304160</t>
  </si>
  <si>
    <t>Clientèle - Titres  subordonnés -  Titres coût amorti -  Créances rattachées - B2</t>
  </si>
  <si>
    <t>A29313023A</t>
  </si>
  <si>
    <t>CtAM-Obl crp sub-Dépr-B2</t>
  </si>
  <si>
    <t>Amortised cost - Subordinated corporate bonds - Provisions for impairment - B2</t>
  </si>
  <si>
    <t>AMc-SubCorpBond-Prov Imp-B2</t>
  </si>
  <si>
    <t>BA304752</t>
  </si>
  <si>
    <t>Clientèle - Titres  subordonnés -  Titres coût amorti -  Dépréciations - B2</t>
  </si>
  <si>
    <t>AC=TA202133</t>
  </si>
  <si>
    <t>TA202133</t>
  </si>
  <si>
    <t>Coût amorti - Obligations corporate subordonnées - B3</t>
  </si>
  <si>
    <t>CtAM-Obl crp sub-B3</t>
  </si>
  <si>
    <t>Amortised cost - Subordinated corporate bonds - B3</t>
  </si>
  <si>
    <t>AMc-SubCorpBond-B3</t>
  </si>
  <si>
    <t>A23130030A</t>
  </si>
  <si>
    <t>Coût amorti - Obligations corporate subordonnées - Valeur d'acq. - B3</t>
  </si>
  <si>
    <t>CtAM-Obli crp sub-Val acqB3</t>
  </si>
  <si>
    <t>Amortised cost - Subordinated corporate bonds - Historical cost - B3</t>
  </si>
  <si>
    <t>AMc-SubCorpBond-HC-B3</t>
  </si>
  <si>
    <t>BA304162</t>
  </si>
  <si>
    <t>Clientèle - Titres  subordonnés -  Titres coût amorti - Valeur de remboursement - B3</t>
  </si>
  <si>
    <t>A23130034A</t>
  </si>
  <si>
    <t>CtAM-Obl crp sub-Irêt TIEB3</t>
  </si>
  <si>
    <t>Amortised cost - Subordinated corporate bonds - Interest calculated by the effective interest method - B3</t>
  </si>
  <si>
    <t>AMc-SubCorpBond-Int-B3</t>
  </si>
  <si>
    <t>BA304163</t>
  </si>
  <si>
    <t>Clientèle - Titres  subordonnés - Titres coût amorti - Surcôte/Décôte - B3</t>
  </si>
  <si>
    <t>A23130036A</t>
  </si>
  <si>
    <t>CtAM-Obl crp sub-ICNE-B3</t>
  </si>
  <si>
    <t>Amortised cost - Subordinated corporate bonds - Accrued interest - B3</t>
  </si>
  <si>
    <t>AMc-SubCorpBond-AccInt-B3</t>
  </si>
  <si>
    <t>BA304166</t>
  </si>
  <si>
    <t>Clientèle - Titres  subordonnés -  Titres coût amorti -  Créances rattachées- B3</t>
  </si>
  <si>
    <t>A29313033A</t>
  </si>
  <si>
    <t>CtAM-Obl crp sub-Dépr-B3</t>
  </si>
  <si>
    <t>Amortised cost - Subordinated corporate bonds - Provisions for impairment - B3</t>
  </si>
  <si>
    <t>AMc-SubCorpBond-Prov Imp-B3</t>
  </si>
  <si>
    <t>BA304754</t>
  </si>
  <si>
    <t>Clientèle - Titres  subordonnés -  Titres coût amorti -  Dépréciations - B3</t>
  </si>
  <si>
    <t>AC=TA202134</t>
  </si>
  <si>
    <t>TA202134</t>
  </si>
  <si>
    <t>Coût amorti - Obligations corporate subordonnées - POCI</t>
  </si>
  <si>
    <t>CtAM-Obl crp sub-POCI</t>
  </si>
  <si>
    <t>Amortised cost - Subordinated corporate bonds - POCI</t>
  </si>
  <si>
    <t>AMc-SubCorpBond-POCI</t>
  </si>
  <si>
    <t>A23130050A</t>
  </si>
  <si>
    <t>Coût amorti - Obligations corporate subordonnées - Valeur d'acq. - POCI</t>
  </si>
  <si>
    <t>CtAM-Obl crp sub-Val acq-POCI</t>
  </si>
  <si>
    <t>Amortised cost - Subordinated corporate bonds - Historical cost - POCI</t>
  </si>
  <si>
    <t>AMc-SubCorpBond-HC-POCI</t>
  </si>
  <si>
    <t>A23130054A</t>
  </si>
  <si>
    <t>CtAM-Obl crp sub-IrêtTIEPOCI</t>
  </si>
  <si>
    <t>Amortised cost - Subordinated corporate bonds - Interest calculated by the effective interest method - POCI</t>
  </si>
  <si>
    <t>AMc-SubCorpBond-Int-POCI</t>
  </si>
  <si>
    <t>A23130056A</t>
  </si>
  <si>
    <t>CtAM-Obl crp sub-ICNEPOCI</t>
  </si>
  <si>
    <t>Amortised cost - Subordinated corporate bonds - Accrued interest - POCI</t>
  </si>
  <si>
    <t>AMc-SubCorpBond-Acc Int-POCI</t>
  </si>
  <si>
    <t>A29313053A</t>
  </si>
  <si>
    <t>CtAM-Obl crp sub-DéprPOCI</t>
  </si>
  <si>
    <t>Amortised cost - Subordinated corporate bonds - Provisions for impairment - POCI</t>
  </si>
  <si>
    <t>AMc-SubCorpBond-Prov Imp-POCI</t>
  </si>
  <si>
    <t>TA20214</t>
  </si>
  <si>
    <t>CtAM-Prts et Avnce</t>
  </si>
  <si>
    <t>Amortised cost - Loans and advances</t>
  </si>
  <si>
    <t>AMc-Loans adv</t>
  </si>
  <si>
    <t>AC=TA202141</t>
  </si>
  <si>
    <t>TA202141</t>
  </si>
  <si>
    <t>Coût amorti - Prêts et avances - B1</t>
  </si>
  <si>
    <t>CtAM-Prts&amp;Avnce-B1</t>
  </si>
  <si>
    <t>Amortised cost - Loans and advances - B1</t>
  </si>
  <si>
    <t>AMc-Loans adv-B1</t>
  </si>
  <si>
    <t>A23240010A</t>
  </si>
  <si>
    <t>Coût amorti - Prêts et avances - Valeur d'acq. - B1</t>
  </si>
  <si>
    <t>CtAM-Prts&amp;Avnce-Val acqB1</t>
  </si>
  <si>
    <t>Amortised cost - Loans and advances - Historical cost - B1</t>
  </si>
  <si>
    <t>AMc-Loans adv-HC-B1</t>
  </si>
  <si>
    <t xml:space="preserve">BA388919 </t>
  </si>
  <si>
    <t>Autres comptes de régul actif</t>
  </si>
  <si>
    <t>A23240014A</t>
  </si>
  <si>
    <t>CtAM-Prts&amp;Avnce-Irêt TIE-B1</t>
  </si>
  <si>
    <t>Amortised cost - Loans and advances - Interest calculated by the effective interest method - B1</t>
  </si>
  <si>
    <t>AMc-Loans adv-Int-B1</t>
  </si>
  <si>
    <t>A23240016A</t>
  </si>
  <si>
    <t>CtAM-Prts&amp;Avnce-ICNE-B1</t>
  </si>
  <si>
    <t>Amortised cost - Loans and advances - Accrued interest - B1</t>
  </si>
  <si>
    <t>AMc-Loans adv-Acc Int-B1</t>
  </si>
  <si>
    <t>A29324013A</t>
  </si>
  <si>
    <t>CtAM-Prts&amp;Avnce-Dépr-B1</t>
  </si>
  <si>
    <t>Amortised cost - Loans and advances - Provisions for impairment - B1</t>
  </si>
  <si>
    <t>AMc-Loans adv-Prov Imp-B1</t>
  </si>
  <si>
    <t>AC=TA202142</t>
  </si>
  <si>
    <t>TA202142</t>
  </si>
  <si>
    <t>Coût amorti - Prêts et avances - B2</t>
  </si>
  <si>
    <t>CtAM-Prts&amp;Avnce-B2</t>
  </si>
  <si>
    <t>Amortised cost - Loans and advances - B2</t>
  </si>
  <si>
    <t>AMc-Loans adv-B2</t>
  </si>
  <si>
    <t>A23240020A</t>
  </si>
  <si>
    <t>Coût amorti - Prêts et avances - Valeur d'acq. - B2</t>
  </si>
  <si>
    <t>CtAM-Prts&amp;Avnce-Val acqB2</t>
  </si>
  <si>
    <t>Amortised cost - Loans and advances - Historical cost - B2</t>
  </si>
  <si>
    <t>AMc-Loans adv-HC-B2</t>
  </si>
  <si>
    <t>A23240024A</t>
  </si>
  <si>
    <t>CtAM-Prts&amp;Avnce-Irêt TIE-B2</t>
  </si>
  <si>
    <t>Amortised cost - Loans and advances - Interest calculated by the effective interest method - B2</t>
  </si>
  <si>
    <t>AMc-Loans adv-Int-B2</t>
  </si>
  <si>
    <t>A23240026A</t>
  </si>
  <si>
    <t>CtAM-Prts&amp;Avnce-ICNE-B2</t>
  </si>
  <si>
    <t>Amortised cost - Loans and advances - Accrued interest - B2</t>
  </si>
  <si>
    <t>AMc-Loans adv-Acc Int-B2</t>
  </si>
  <si>
    <t>A29324023A</t>
  </si>
  <si>
    <t>CtAM-Prts&amp;Avnce-Dépr-B2</t>
  </si>
  <si>
    <t>Amortised cost - Loans and advances - Provisions for impairment - B2</t>
  </si>
  <si>
    <t>AMc-Loans adv-Prov Imp-B2</t>
  </si>
  <si>
    <t>AC=TA202143</t>
  </si>
  <si>
    <t>TA202143</t>
  </si>
  <si>
    <t>Coût amorti - Prêts et avances - B3</t>
  </si>
  <si>
    <t>CtAM-Prts&amp;Avnce-B3</t>
  </si>
  <si>
    <t>Amortised cost - Loans and advances - B3</t>
  </si>
  <si>
    <t>AMc-Loans adv-B3</t>
  </si>
  <si>
    <t>A23240030A</t>
  </si>
  <si>
    <t>Coût amorti - Prêts et avances - Valeur d'acq. - B3</t>
  </si>
  <si>
    <t>CtAM-Prts&amp;Avnce-Val acqB3</t>
  </si>
  <si>
    <t>Amortised cost - Loans and advances - Historical cost - B3</t>
  </si>
  <si>
    <t>AMc-Loans adv-HC-B3</t>
  </si>
  <si>
    <t>A23240034A</t>
  </si>
  <si>
    <t>CtAM-Prts&amp;Avnce-Irêt TIE-B3</t>
  </si>
  <si>
    <t>Amortised cost - Loans and advances - Interest calculated by the effective interest method - B3</t>
  </si>
  <si>
    <t>AMc-Loans adv-Int-B3</t>
  </si>
  <si>
    <t>A23240036A</t>
  </si>
  <si>
    <t>CtAM-Prts&amp;Avnce-ICNE-B3</t>
  </si>
  <si>
    <t>Amortised cost - Loans and advances - Accrued interest - B3</t>
  </si>
  <si>
    <t>AMc-Loans adv-Acc Int-B3</t>
  </si>
  <si>
    <t>A29324033A</t>
  </si>
  <si>
    <t>CtAM-Prts&amp;Avnce-Dépr-B3</t>
  </si>
  <si>
    <t>Amortised cost - Loans and advances - Provisions for impairment - B3</t>
  </si>
  <si>
    <t>AMc-Loans adv-Prov Imp-B3</t>
  </si>
  <si>
    <t>AC=TA202144</t>
  </si>
  <si>
    <t>TA202144</t>
  </si>
  <si>
    <t>Coût amorti - Prêts et avances - POCI</t>
  </si>
  <si>
    <t>CtAM-Prts&amp;Avnce-POCI</t>
  </si>
  <si>
    <t>Amortised cost - Loans and advances - POCI</t>
  </si>
  <si>
    <t>AMc-Loans adv-POCI</t>
  </si>
  <si>
    <t>A23240050A</t>
  </si>
  <si>
    <t>Coût amorti - Prêts et avances - Valeur d'acq. - POCI</t>
  </si>
  <si>
    <t>CtAM-Prts&amp;Avnce-Val acq-POCI</t>
  </si>
  <si>
    <t>Amortised cost - Loans and advances - Historical cost - POCI</t>
  </si>
  <si>
    <t>AMc-Loans adv-HC-POCI</t>
  </si>
  <si>
    <t>A23240054A</t>
  </si>
  <si>
    <t>CtAM-Prts&amp;avnc-Irêt TIEPOCI</t>
  </si>
  <si>
    <t>Amortised cost - Loans and advances - Interest calculated by the effective interest method - POCI</t>
  </si>
  <si>
    <t>AMc-Loans adv-Int-POCI</t>
  </si>
  <si>
    <t>A23240056A</t>
  </si>
  <si>
    <t>CtAM-Prts&amp;Avnce-ICNEPOCI</t>
  </si>
  <si>
    <t>Amortised cost - Loans and advances - Accrued interest - POCI</t>
  </si>
  <si>
    <t>AMc-Loans adv-Acc Int-POCI</t>
  </si>
  <si>
    <t>A29324053A</t>
  </si>
  <si>
    <t>CtAM-Prts&amp;Avnce-DéprPOCI</t>
  </si>
  <si>
    <t>Amortised cost - Loans and advances - Provisions for impairment - POCI</t>
  </si>
  <si>
    <t>AMc-Loans adv-Prov Imp-POCI</t>
  </si>
  <si>
    <t>AC=TA202145</t>
  </si>
  <si>
    <t>TA202145</t>
  </si>
  <si>
    <t>Coût amorti - Prêts et avances aux assurés</t>
  </si>
  <si>
    <t>CtAM-Prts&amp;Avnce-Assurés</t>
  </si>
  <si>
    <t>Amortised cost - Loans and advances to the insured</t>
  </si>
  <si>
    <t>AMc-Adv insured</t>
  </si>
  <si>
    <t>Evol 22</t>
  </si>
  <si>
    <t>Changement de hiérarchie - ancienne hiérarchie - Cible B</t>
  </si>
  <si>
    <t>TA20215</t>
  </si>
  <si>
    <t>CtAM-TCN</t>
  </si>
  <si>
    <t>Amortised cost - Negotiable debt securities</t>
  </si>
  <si>
    <t>AMc-NegoDebtSec</t>
  </si>
  <si>
    <t>AC=TA202151</t>
  </si>
  <si>
    <t>TA202151</t>
  </si>
  <si>
    <t>Coût amorti - TCN - B1</t>
  </si>
  <si>
    <t>CtAM-TCN-B1</t>
  </si>
  <si>
    <t>Amortised cost - Negotiable debt securities - B1</t>
  </si>
  <si>
    <t>AMc-NegoDebtSec-B1</t>
  </si>
  <si>
    <t>A23190010A</t>
  </si>
  <si>
    <t>Coût amorti - TCN - Valeur d'acq. - B1</t>
  </si>
  <si>
    <t>CtAM-TCN-Val acq-B1</t>
  </si>
  <si>
    <t>Amortised cost - Negotiable debt securities - Acquisition value - B1</t>
  </si>
  <si>
    <t>AMc-NegoDebtSecu-AcquiVal-B1</t>
  </si>
  <si>
    <t>BA304520</t>
  </si>
  <si>
    <t>Clientèle  - TCN - Titres coût amorti - Valeur de remboursement - B1</t>
  </si>
  <si>
    <t>A23190014A</t>
  </si>
  <si>
    <t>CtAM-TCN-Irêt TIE-B1</t>
  </si>
  <si>
    <t>Amortised cost - Negotiable debt securities - Interest calculated using the EIR method - B1</t>
  </si>
  <si>
    <t>AMc-NegoDebtSec-Int EIR-B1</t>
  </si>
  <si>
    <t>BA304522</t>
  </si>
  <si>
    <t>Clientèle  - TCN - Titres coût amorti - Surcôte/Décôte - B1</t>
  </si>
  <si>
    <t>A23190016A</t>
  </si>
  <si>
    <t>CtAM-TCN-ICNE-B1</t>
  </si>
  <si>
    <t>Amortised cost - Negotiable debt securities - Accrued interest - B1</t>
  </si>
  <si>
    <t>AMc-NegoDebtSec-Acc Int-B1</t>
  </si>
  <si>
    <t>BA304608</t>
  </si>
  <si>
    <t>Clientèle  - TCN - Titres coût amorti – Créances rattachées - B1</t>
  </si>
  <si>
    <t>A29319013A</t>
  </si>
  <si>
    <t>CtAM-TCN-Dépr-B1</t>
  </si>
  <si>
    <t>Amortised cost - Negotiable debt securities - Impairment - B1</t>
  </si>
  <si>
    <t>AMc-NegoDebtSec-Imp-B1</t>
  </si>
  <si>
    <t>BA304956</t>
  </si>
  <si>
    <t>Clientèle  - TCN - Titres coût amorti – Déprécations - B1</t>
  </si>
  <si>
    <t>AC=TA202152</t>
  </si>
  <si>
    <t>TA202152</t>
  </si>
  <si>
    <t>Coût amorti - TCN - B2</t>
  </si>
  <si>
    <t>CtAM-TCN-B2</t>
  </si>
  <si>
    <t>Amortised cost - Negotiable debt securities - B2</t>
  </si>
  <si>
    <t>AMc-NegoDebtSec-B2</t>
  </si>
  <si>
    <t>A23190020A</t>
  </si>
  <si>
    <t>Coût amorti - TCN - Valeur d'acq. - B2</t>
  </si>
  <si>
    <t>CtAM-TCN-Val acq-B2</t>
  </si>
  <si>
    <t>Amortised cost - Negotiable debt securities - Acquisition value - B2</t>
  </si>
  <si>
    <t>AMc-NegoDebtSecu-AcquiVal-B2</t>
  </si>
  <si>
    <t>BA304526</t>
  </si>
  <si>
    <t>Clientèle  - TCN - Titres coût amorti - Valeur de remboursement – B2</t>
  </si>
  <si>
    <t>A23190024A</t>
  </si>
  <si>
    <t>CtAM-TCN-Irêt TIE-B2</t>
  </si>
  <si>
    <t>Amortised cost - Negotiable debt securities - Interest calculated using the EIR method - B2</t>
  </si>
  <si>
    <t>AMc-NegoDebtSec-Int EIR-B2</t>
  </si>
  <si>
    <t>BA304528</t>
  </si>
  <si>
    <t>Clientèle  - TCN - Titres coût amorti - Surcôte/Décôte – B2</t>
  </si>
  <si>
    <t>A23190026A</t>
  </si>
  <si>
    <t>CtAM-TCN-ICNE-B2</t>
  </si>
  <si>
    <t>Amortised cost - Negotiable debt securities - Accrued interest - B2</t>
  </si>
  <si>
    <t>AMc-NegoDebtSec-Acc Int-B2</t>
  </si>
  <si>
    <t>BA304610</t>
  </si>
  <si>
    <t>Clientèle  - TCN - Titres coût amorti – Créances rattachées – B2</t>
  </si>
  <si>
    <t>A29319023A</t>
  </si>
  <si>
    <t>CtAM-TCN-Dépr-B2</t>
  </si>
  <si>
    <t>Amortised cost - Negotiable debt securities - Impairment - B2</t>
  </si>
  <si>
    <t>AMc-NegoDebtSec-Imp-B2</t>
  </si>
  <si>
    <t>BA304958</t>
  </si>
  <si>
    <t>Clientèle  - TCN - Titres coût amorti – Déprécations - B2</t>
  </si>
  <si>
    <t>AC=TA202153</t>
  </si>
  <si>
    <t>TA202153</t>
  </si>
  <si>
    <t>Coût amorti - TCN - B3</t>
  </si>
  <si>
    <t>CtAM-TCN-B3</t>
  </si>
  <si>
    <t>Amortised cost - Negotiable debt securities - B3</t>
  </si>
  <si>
    <t>AMc-NegoDebtSec-B3</t>
  </si>
  <si>
    <t>A23190030A</t>
  </si>
  <si>
    <t>Coût amorti - TCN - Valeur d'acq. - B3</t>
  </si>
  <si>
    <t>CtAM-TCN-Val acq-B3</t>
  </si>
  <si>
    <t>Amortised cost - Negotiable debt securities - Acquisition value - B3</t>
  </si>
  <si>
    <t>AMc-NegoDebtSecu-AcquiVal-B3</t>
  </si>
  <si>
    <t>BA304532</t>
  </si>
  <si>
    <t>Clientèle  - TCN - Titres coût amorti - Valeur de remboursement – B3</t>
  </si>
  <si>
    <t>A23190034A</t>
  </si>
  <si>
    <t>CtAM-TCN-Irêt TIE-B3</t>
  </si>
  <si>
    <t>Amortised cost - Negotiable debt securities - Interest calculated using the EIR method - B3</t>
  </si>
  <si>
    <t>AMc-NegoDebtSec-Int EIR-B3</t>
  </si>
  <si>
    <t>BA304534</t>
  </si>
  <si>
    <t>Clientèle  - TCN - Titres coût amorti - Surcôte/Décôte – B3</t>
  </si>
  <si>
    <t>A23190036A</t>
  </si>
  <si>
    <t>CtAM-TCN-ICNE-B3</t>
  </si>
  <si>
    <t>Amortised cost - Negotiable debt securities - Accrued interest - B3</t>
  </si>
  <si>
    <t>AMc-NegoDebtSec-Acc Int-B3</t>
  </si>
  <si>
    <t>BA304612</t>
  </si>
  <si>
    <t>Clientèle  - TCN - Titres coût amorti – Créances rattachées – B3</t>
  </si>
  <si>
    <t>A29319033A</t>
  </si>
  <si>
    <t>CtAM-TCN-Dépr-B3</t>
  </si>
  <si>
    <t>Amortised cost - Negotiable debt securities - Impairment - B3</t>
  </si>
  <si>
    <t>AMc-NegoDebtSec-Imp-B3</t>
  </si>
  <si>
    <t>BA304960</t>
  </si>
  <si>
    <t>Clientèle  - TCN - Titres coût amorti – Déprécations - B3</t>
  </si>
  <si>
    <t>AC=TA202154</t>
  </si>
  <si>
    <t>TA202154</t>
  </si>
  <si>
    <t>Coût amorti - TCN - POCI</t>
  </si>
  <si>
    <t>CtAM-TCN-POCI</t>
  </si>
  <si>
    <t>Amortised cost - Negotiable debt securities - POCI</t>
  </si>
  <si>
    <t>AMc-NegoDebtSec-POCI</t>
  </si>
  <si>
    <t>A23190050A</t>
  </si>
  <si>
    <t>Coût amorti - TCN - Valeur d'acq. - POCI</t>
  </si>
  <si>
    <t>CtAM-TCN-Val acq-POCI</t>
  </si>
  <si>
    <t>Amortised cost - Negotiable debt securities - Acquisition value - POCI</t>
  </si>
  <si>
    <t>AMc-NegoDebtSecu-AcquiVal-POCI</t>
  </si>
  <si>
    <t>A23190054A</t>
  </si>
  <si>
    <t>CtAM-TCN-Irêt TIE-POCI</t>
  </si>
  <si>
    <t>Amortised cost - Negotiable debt securities - Interest calculated using the EIR method - POCI</t>
  </si>
  <si>
    <t>AMc-NegoDebtSecu-Int EIR -POCI</t>
  </si>
  <si>
    <t>A23190056A</t>
  </si>
  <si>
    <t>CtAM-TCN-ICNE-POCI</t>
  </si>
  <si>
    <t>Amortised cost - Negotiable debt securities - Accrued interest - POCI</t>
  </si>
  <si>
    <t>AMc-NegoDebtSecu-Acc Int-POCI</t>
  </si>
  <si>
    <t>A29319053A</t>
  </si>
  <si>
    <t>CtAM-TCN-Dépr-POCI</t>
  </si>
  <si>
    <t>Amortised cost - Negotiable debt securities - Impairment - POCI</t>
  </si>
  <si>
    <t>AMc-NegoDebtSec-Imp-POCI</t>
  </si>
  <si>
    <t>TA203</t>
  </si>
  <si>
    <t>Actf JV/Autrs élmnt rés glb</t>
  </si>
  <si>
    <t>L-C-3215 - Actifs financiers à la JV par OCI Recyclable</t>
  </si>
  <si>
    <t>Financial assets at FV through OCI</t>
  </si>
  <si>
    <t xml:space="preserve"> Fin assets FV OCI</t>
  </si>
  <si>
    <t>L-C-3215 - Assets at FV through other items of global reserve - Recyclable</t>
  </si>
  <si>
    <t>AC=TA2031</t>
  </si>
  <si>
    <t>TA2031</t>
  </si>
  <si>
    <t>Actifs à la juste valeur par autres éléments du résultat global - recyclable</t>
  </si>
  <si>
    <t>Actf JV/Atr élmnts rés Gl-Ryl</t>
  </si>
  <si>
    <t>Financial assets at FV through recyclable OCI</t>
  </si>
  <si>
    <t xml:space="preserve"> Fin assets FV RylOCI</t>
  </si>
  <si>
    <t>TA20311</t>
  </si>
  <si>
    <t>OCIRyl-Obl Etat&amp;Assi</t>
  </si>
  <si>
    <t>Recyclable OCI - Government bonds and related instruments</t>
  </si>
  <si>
    <t>RylOCI-GovBond Inst</t>
  </si>
  <si>
    <t>AC=TA203111</t>
  </si>
  <si>
    <t>TA203111</t>
  </si>
  <si>
    <t>OCI recyclable - Obligations d'Etat et assimilés - B1</t>
  </si>
  <si>
    <t>OCIRyl-Obl Etat&amp;Assi-B1</t>
  </si>
  <si>
    <t>Recyclable OCI - Government bonds and related instruments - B1</t>
  </si>
  <si>
    <t>RylOCI-GovBond Inst-B1</t>
  </si>
  <si>
    <t>A23110010R</t>
  </si>
  <si>
    <t>OCI recyclable - Obligations d'Etat et assimilés - Valeur d'acq. - B1</t>
  </si>
  <si>
    <t>OCIRyl-Obl Etat&amp;Assi-ValacqB1</t>
  </si>
  <si>
    <t>Recyclable OCI - Government bonds and related instruments - Historical cost - B1</t>
  </si>
  <si>
    <t>RylOCI-GovBond Inst-HC-B1</t>
  </si>
  <si>
    <t>BA303111</t>
  </si>
  <si>
    <t>JVOCI R - Effets publics et valeurs assimilées - Valeur de remboursement - B1</t>
  </si>
  <si>
    <t>A23110012R</t>
  </si>
  <si>
    <t>OCI recyclable - Obligations d'Etat et assimilés - Revalo. - B1</t>
  </si>
  <si>
    <t>OCIRyl-Obl Etat&amp;Assi-RevalB1</t>
  </si>
  <si>
    <t>Recyclable OCI - Government bonds and related instruments - FV adjustments - B1</t>
  </si>
  <si>
    <t>RylOCI-GovBond Inst-FVadj-B1</t>
  </si>
  <si>
    <t>BA303115</t>
  </si>
  <si>
    <t>JVOCI R - Effets publics et valeurs assimilées - Réévaluation non couverte en FVH - B1</t>
  </si>
  <si>
    <t>A23110014R</t>
  </si>
  <si>
    <t>OCIRyl-OblEtat&amp;Assi-IrêtTIEB1</t>
  </si>
  <si>
    <t>Recyclable OCI - Government bonds and related instruments - Interest calculated by the effective interest method - B1</t>
  </si>
  <si>
    <t>RylOCI-GovBondInst-Int-B1</t>
  </si>
  <si>
    <t>BA303112</t>
  </si>
  <si>
    <t>JVOCI R - Effets publics et valeurs assimilées - Surcôte/Décôte - B1</t>
  </si>
  <si>
    <t>A23110016R</t>
  </si>
  <si>
    <t>OCIRyl-Obl Etat&amp;Assi-ICNEB1</t>
  </si>
  <si>
    <t>Recyclable OCI - Government bonds and related instruments - Accrued interest - B1</t>
  </si>
  <si>
    <t>RylOCI-GovBond Inst-Acc Int-B1</t>
  </si>
  <si>
    <t>BA303710</t>
  </si>
  <si>
    <t>JVOCI R - Effets publics et valeurs assimilées - Créances rattachées - B1</t>
  </si>
  <si>
    <t>A29311013R</t>
  </si>
  <si>
    <t>OCIRyl-Obl Etat&amp;Assi-DéprB1</t>
  </si>
  <si>
    <t>Recyclable OCI - Government bonds - Impairment - B1</t>
  </si>
  <si>
    <t>RylOCI-GovBond-Imp-B1</t>
  </si>
  <si>
    <t>BA303910</t>
  </si>
  <si>
    <t>JVOCI R - Effets publics et valeurs assimilées - Dépréciations - B1</t>
  </si>
  <si>
    <t>AC=TA203112</t>
  </si>
  <si>
    <t>TA203112</t>
  </si>
  <si>
    <t>OCI recyclable - Obligations d'Etat et assimilés - B2</t>
  </si>
  <si>
    <t>OCIRyl-Obl Etat&amp;Assi-B2</t>
  </si>
  <si>
    <t>Recyclable OCI - Government bonds and related instruments - B2</t>
  </si>
  <si>
    <t>RylOCI-GovBond Inst-B2</t>
  </si>
  <si>
    <t>A23110020R</t>
  </si>
  <si>
    <t>OCI recyclable - Obligations d'Etat et assimilés - Valeur d'acq. - B2</t>
  </si>
  <si>
    <t>OCIRyl-Obl Etat&amp;Assi-ValacqB2</t>
  </si>
  <si>
    <t>Recyclable OCI - Government bonds and related instruments - Historical cost - B2</t>
  </si>
  <si>
    <t>RylOCI-GovBond Inst-HC-B2</t>
  </si>
  <si>
    <t>BA303211</t>
  </si>
  <si>
    <t>JVOCI R - Effets publics et valeurs assimilées - Valeur de remboursement - B2</t>
  </si>
  <si>
    <t>A23110022R</t>
  </si>
  <si>
    <t>OCI recyclable - Obligations d'Etat et assimilés - Revalo. - B2</t>
  </si>
  <si>
    <t>OCIRyl-Obl Etat&amp;Assi-RevalB2</t>
  </si>
  <si>
    <t>Recyclable OCI - Government bonds and related instruments - FV adjustments - B2</t>
  </si>
  <si>
    <t>RylOCI-GovBond Inst-FVadj-B2</t>
  </si>
  <si>
    <t>BA303215</t>
  </si>
  <si>
    <t>JVOCI R - Effets publics et valeurs assimilées - Réévaluation non couverte en FVH - B2</t>
  </si>
  <si>
    <t>A23110024R</t>
  </si>
  <si>
    <t>OCIRyl-Obl Etat&amp;Assi-IrêTIEB2</t>
  </si>
  <si>
    <t>Recyclable OCI - Government bonds and related instruments - Interest calculated by the effective interest method - B2</t>
  </si>
  <si>
    <t>RylOCI-GovBondInst-Int-B2</t>
  </si>
  <si>
    <t>BA303212</t>
  </si>
  <si>
    <t>JVOCI R - Effets publics et valeurs assimilées - Surcôte/Décôte - B2</t>
  </si>
  <si>
    <t>A23110026R</t>
  </si>
  <si>
    <t>OCIRyl-Obl Etat&amp;Assi-ICNEB2</t>
  </si>
  <si>
    <t>Recyclable OCI - Government bonds and related instruments - Accrued interest - B2</t>
  </si>
  <si>
    <t>RylOCI-GovBond Inst-Acc Int-B2</t>
  </si>
  <si>
    <t>BA303712</t>
  </si>
  <si>
    <t>JVOCI R - Effets publics et valeurs assimilées - Créances rattachées - B2</t>
  </si>
  <si>
    <t>A29311023R</t>
  </si>
  <si>
    <t>OCIRyl-Obl Etat&amp;Assi-DéprB2</t>
  </si>
  <si>
    <t>Recyclable OCI - Government bonds - Impairment - B2</t>
  </si>
  <si>
    <t>RylOCI-GovBond-Imp-B2</t>
  </si>
  <si>
    <t>BA303912</t>
  </si>
  <si>
    <t>JVOCI R - Effets publics et valeurs assimilées - Dépréciations - B2</t>
  </si>
  <si>
    <t>AC=TA203113</t>
  </si>
  <si>
    <t>TA203113</t>
  </si>
  <si>
    <t>OCI recyclable - Obligations d'Etat et assimilés - B3</t>
  </si>
  <si>
    <t>OCIRyl-Obl Etat&amp;Assi-B3</t>
  </si>
  <si>
    <t>Recyclable OCI - Government bonds and related instruments - B3</t>
  </si>
  <si>
    <t>RylOCI-GovBond Inst-B3</t>
  </si>
  <si>
    <t>A23110030R</t>
  </si>
  <si>
    <t>OCI recyclable - Obligations d'Etat et assimilés - Valeur d'acq. - B3</t>
  </si>
  <si>
    <t>OCIRyl-Obl Etat&amp;Assi-ValacqB3</t>
  </si>
  <si>
    <t>Recyclable OCI - Government bonds and related instruments - Historical cost - B3</t>
  </si>
  <si>
    <t>RylOCI-GovBond Inst-HC-B3</t>
  </si>
  <si>
    <t>BA303311</t>
  </si>
  <si>
    <t>JVOCI R - Effets publics et valeurs assimilées - Valeur de remboursement - B3</t>
  </si>
  <si>
    <t>A23110032R</t>
  </si>
  <si>
    <t>OCI recyclable - Obligations d'Etat et assimilés - Revalo. - B3</t>
  </si>
  <si>
    <t>OCIRyl-Obl Etat&amp;Assi-RevalB3</t>
  </si>
  <si>
    <t>Recyclable OCI - Government bonds and related instruments - FV adjustments - B3</t>
  </si>
  <si>
    <t>RylOCI-GovBond Inst-FVadj-B3</t>
  </si>
  <si>
    <t>BA303315</t>
  </si>
  <si>
    <t>JVOCI R - Effets publics et valeurs assimilées - Réévaluation non couverte en FVH - B3</t>
  </si>
  <si>
    <t>A23110034R</t>
  </si>
  <si>
    <t>OCIRyl-Obl Etat&amp;Assi-IrêTIEB3</t>
  </si>
  <si>
    <t>Recyclable OCI - Government bonds and related instruments - Interest calculated by the effective interest method - B3</t>
  </si>
  <si>
    <t>RylOCI-GovBondInst-Int-B3</t>
  </si>
  <si>
    <t>BA303312</t>
  </si>
  <si>
    <t>JVOCI R - Effets publics et valeurs assimilées - Surcôte/Décôte - B3</t>
  </si>
  <si>
    <t>A23110036R</t>
  </si>
  <si>
    <t>OCIRyl-Obl Etat&amp;Assi-ICNEB3</t>
  </si>
  <si>
    <t>Recyclable OCI - Government bonds and related instruments - Accrued interest - B3</t>
  </si>
  <si>
    <t>RylOCI-GovBond Inst-Acc Int-B3</t>
  </si>
  <si>
    <t>BA303714</t>
  </si>
  <si>
    <t>JVOCI R - Effets publics et valeurs assimilées - Créances rattachées - B3</t>
  </si>
  <si>
    <t>A29311033R</t>
  </si>
  <si>
    <t>OCIRyl-Obl Etat&amp;Assi-DéprB3</t>
  </si>
  <si>
    <t>Recyclable OCI - Government bonds - Impairment - B3</t>
  </si>
  <si>
    <t>RylOCI-GovBond-Imp-B3</t>
  </si>
  <si>
    <t>BA303914</t>
  </si>
  <si>
    <t>JVOCI R - Effets publics et valeurs assimilées - Dépréciations - B3</t>
  </si>
  <si>
    <t>AC=TA203114</t>
  </si>
  <si>
    <t>TA203114</t>
  </si>
  <si>
    <t>OCI recyclable - Obligations d'Etat et assimilés - POCI</t>
  </si>
  <si>
    <t>OCIRyl-Obl Etat&amp;Assi-POCI</t>
  </si>
  <si>
    <t>Recyclable OCI - Government bonds and related instruments - POCI</t>
  </si>
  <si>
    <t>RylOCI-GovBond Inst-POCI</t>
  </si>
  <si>
    <t>A23110050R</t>
  </si>
  <si>
    <t>OCI recyclable - Obligations d'Etat et assimilés - Valeur d'acq. - POCI</t>
  </si>
  <si>
    <t>OCIRyl-OblEtat&amp;Assi-ValacqPOCI</t>
  </si>
  <si>
    <t>Recyclable OCI - Government bonds and related instruments - Historical cost - POCI</t>
  </si>
  <si>
    <t>RylOCI-GovBond Inst-HC-POCI</t>
  </si>
  <si>
    <t>A23110052R</t>
  </si>
  <si>
    <t>OCI recyclable - Obligations d'Etat et assimilés - Revalo. - POCI</t>
  </si>
  <si>
    <t>OCIRyl-Obl Etat&amp;Assi-RevlPOCI</t>
  </si>
  <si>
    <t>Recyclable OCI - Government bonds and related instruments - FV adjustments - POCI</t>
  </si>
  <si>
    <t>RylOCI-GovBond Inst-FVadj-POCI</t>
  </si>
  <si>
    <t>A23110054R</t>
  </si>
  <si>
    <t>OCIRyl-ObEtat&amp;Assi-IrêtTIEPOCI</t>
  </si>
  <si>
    <t>Recyclable OCI - Government bonds and related instruments - Interest calculated by the effective interest method - POCI</t>
  </si>
  <si>
    <t>RylOCI-GovBond Inst-Int-POCI</t>
  </si>
  <si>
    <t>A23110056R</t>
  </si>
  <si>
    <t>OCIRyl-Obl Etat&amp;Assi-ICNEPOCI</t>
  </si>
  <si>
    <t>Recyclable OCI - Government bonds and related instruments - Accrued interest - POCI</t>
  </si>
  <si>
    <t>RylOCI-GovBondInst-AccInt-POCI</t>
  </si>
  <si>
    <t>A29311053R</t>
  </si>
  <si>
    <t>OCIRyl-Obl Etat&amp;Assi-DéprPOCI</t>
  </si>
  <si>
    <t>Recyclable OCI - Government bonds - Impairment - POCI</t>
  </si>
  <si>
    <t>RylOCI-GovBond-Imp-POCI</t>
  </si>
  <si>
    <t>TA20312</t>
  </si>
  <si>
    <t>OCIRyl-Obl crp nn sub</t>
  </si>
  <si>
    <t>Recyclable OCI - Unsubordinated corporate bonds</t>
  </si>
  <si>
    <t>RylOCI-UnSubCorpBond</t>
  </si>
  <si>
    <t>AC=TA203121</t>
  </si>
  <si>
    <t>TA203121</t>
  </si>
  <si>
    <t>OCI recyclable - Obligations corporate non subordonnées - B1</t>
  </si>
  <si>
    <t>OCIRyl-Obl crp nn subB1</t>
  </si>
  <si>
    <t>Recyclable OCI - Unsubordinated corporate bonds - B1</t>
  </si>
  <si>
    <t>RylOCI-UnSubCorpBond-B1</t>
  </si>
  <si>
    <t>A23120010R</t>
  </si>
  <si>
    <t>OCI recyclable - Obligations corporate non subordonnées - Valeur d'acq. - B1</t>
  </si>
  <si>
    <t>OCIRyl-Obl crp nnsub-ValacqB1</t>
  </si>
  <si>
    <t>Recyclable OCI - Unsubordinated corporate bonds - Historical cost - B1</t>
  </si>
  <si>
    <t>RylOCI-UnSubCorpBond-HC-B1</t>
  </si>
  <si>
    <t>BA303121</t>
  </si>
  <si>
    <t>JVOCI R - Obligations - Valeur de remboursement - B1</t>
  </si>
  <si>
    <t>A23120012R</t>
  </si>
  <si>
    <t>OCI recyclable - Obligations corporate non subordonnées - Revalo. - B1</t>
  </si>
  <si>
    <t>OCIRyl-Obl crp nn sub-RevalB1</t>
  </si>
  <si>
    <t>Recyclable OCI - Unsubordinated corporate bonds - FV adjustments - B1</t>
  </si>
  <si>
    <t>RylOCI-UnsubCorpBond-FVadj-B1</t>
  </si>
  <si>
    <t>BA303125</t>
  </si>
  <si>
    <t>JVOCI R - Obligations - Réévaluation non couverte en FVH - B1</t>
  </si>
  <si>
    <t>A23120014R</t>
  </si>
  <si>
    <t>OCIRyl-Obl crp nnsub-IrêtTIEB1</t>
  </si>
  <si>
    <t>Recyclable OCI - Unsubordinated corporate bonds - Interest calculated by the effective interest method - B1</t>
  </si>
  <si>
    <t>RylOCI-UnSubCorpBond-Int-B1</t>
  </si>
  <si>
    <t>BA303122</t>
  </si>
  <si>
    <t>JVOCI R - Obligations - Surcôte/Décôte - B1</t>
  </si>
  <si>
    <t>A23120016R</t>
  </si>
  <si>
    <t>OCIRyl-Obl crp nn sub-ICNEB1</t>
  </si>
  <si>
    <t>Recyclable OCI - Unsubordinated corporate bonds - Accrued interest - B1</t>
  </si>
  <si>
    <t>RylOCI-UnSubCorpBond-AccInt-B1</t>
  </si>
  <si>
    <t>BA303720</t>
  </si>
  <si>
    <t>JVOCI R - Obligations - Créances rattachées - B1</t>
  </si>
  <si>
    <t>A29312013R</t>
  </si>
  <si>
    <t>OCIRyl-Obl crp nn sub-DéprB1</t>
  </si>
  <si>
    <t>Recyclable OCI - Unsubordinated corporate bonds - Impairment - B1</t>
  </si>
  <si>
    <t>RylOCI-UnSubCorpBond-Imp-B1</t>
  </si>
  <si>
    <t>BA303920</t>
  </si>
  <si>
    <t>JVOCI R - Obligations - Dépréciations - B1</t>
  </si>
  <si>
    <t>AC=TA203122</t>
  </si>
  <si>
    <t>TA203122</t>
  </si>
  <si>
    <t>OCI recyclable - Obligations corporate non subordonnées - B2</t>
  </si>
  <si>
    <t>OCIRyl-Obl crp nn subB2</t>
  </si>
  <si>
    <t>Recyclable OCI - Unsubordinated corporate bonds - B2</t>
  </si>
  <si>
    <t>RylOCI-UnSubCorpBond-B2</t>
  </si>
  <si>
    <t>A23120020R</t>
  </si>
  <si>
    <t>OCI recyclable - Obligations corporate non subordonnées - Valeur d'acq. - B2</t>
  </si>
  <si>
    <t>OCIRyl-Obl crp nnsub-ValacqB2</t>
  </si>
  <si>
    <t>Recyclable OCI - Unsubordinated corporate bonds - Historical cost - B2</t>
  </si>
  <si>
    <t>RylOCI-UnSubCorpBond-HC-B2</t>
  </si>
  <si>
    <t>BA303221</t>
  </si>
  <si>
    <t>JVOCI R - Obligations - Valeur de remboursement - B2</t>
  </si>
  <si>
    <t>A23120022R</t>
  </si>
  <si>
    <t>OCI recyclable - Obligations corporate non subordonnées - Revalo. - B2</t>
  </si>
  <si>
    <t>OCIRyl-Obl crp nn sub-RevalB2</t>
  </si>
  <si>
    <t>Recyclable OCI - Unsubordinated corporate bonds - FV adjustments - B2</t>
  </si>
  <si>
    <t>RylOCI-UnsubCorpBond-FVadj-B2</t>
  </si>
  <si>
    <t>BA303225</t>
  </si>
  <si>
    <t>JVOCI R - Obligations - Réévaluation non couverte en FVH - B2</t>
  </si>
  <si>
    <t>A23120024R</t>
  </si>
  <si>
    <t>OCIRyl-Obl crp nnsub-IrêtTIEB2</t>
  </si>
  <si>
    <t>Recyclable OCI - Unsubordinated corporate bonds - Interest calculated by the effective interest method - B2</t>
  </si>
  <si>
    <t>RylOCI-UnSubCorpBond-Int-B2</t>
  </si>
  <si>
    <t>BA303222</t>
  </si>
  <si>
    <t>JVOCI R - Obligations - Surcôte/Décôte - B2</t>
  </si>
  <si>
    <t>A23120026R</t>
  </si>
  <si>
    <t>OCIRyl-Obl crp nn sub-ICNEB2</t>
  </si>
  <si>
    <t>Recyclable OCI - Unsubordinated corporate bonds - Accrued interest - B2</t>
  </si>
  <si>
    <t>RylOCI-UnSubCorpBond-AccInt-B2</t>
  </si>
  <si>
    <t>BA303722</t>
  </si>
  <si>
    <t>JVOCI R - Obligations - Créances rattachées - B2</t>
  </si>
  <si>
    <t>A29312023R</t>
  </si>
  <si>
    <t>OCIRyl-Obl crp nn sub-DéprB2</t>
  </si>
  <si>
    <t>Recyclable OCI - Unsubordinated corporate bonds - Impairment - B2</t>
  </si>
  <si>
    <t>RylOCI-UnSubCorpBond-Imp-B2</t>
  </si>
  <si>
    <t>BA303922</t>
  </si>
  <si>
    <t>JVOCI R - Obligations - Dépréciations - B2</t>
  </si>
  <si>
    <t>AC=TA203123</t>
  </si>
  <si>
    <t>TA203123</t>
  </si>
  <si>
    <t>OCI recyclable - Obligations corporate non subordonnées - B3</t>
  </si>
  <si>
    <t>OCIRyl-Obl crp nn subB3</t>
  </si>
  <si>
    <t>Recyclable OCI - Unsubordinated corporate bonds - B3</t>
  </si>
  <si>
    <t>RylOCI-UnSubCorpBond-B3</t>
  </si>
  <si>
    <t>A23120030R</t>
  </si>
  <si>
    <t>OCI recyclable - Obligations corporate non subordonnées - Valeur d'acq. - B3</t>
  </si>
  <si>
    <t>OCIRyl-Obl crp nnsub-ValacqB3</t>
  </si>
  <si>
    <t>Recyclable OCI - Unsubordinated corporate bonds - Historical cost - B3</t>
  </si>
  <si>
    <t>RylOCI-UnSubCorpBond-HC-B3</t>
  </si>
  <si>
    <t>BA303321</t>
  </si>
  <si>
    <t>JVOCI R - Obligations - Valeur de remboursement - B3</t>
  </si>
  <si>
    <t>A23120032R</t>
  </si>
  <si>
    <t>OCI recyclable - Obligations corporate non subordonnées - Revalo. - B3</t>
  </si>
  <si>
    <t>OCIRyl-Obl crp nn sub-RevalB3</t>
  </si>
  <si>
    <t>Recyclable OCI - Unsubordinated corporate bonds - FV adjustments - B3</t>
  </si>
  <si>
    <t>RylOCI-UnsubCorpBond-FVadj-B3</t>
  </si>
  <si>
    <t>BA303325</t>
  </si>
  <si>
    <t>JVOCI R - Obligations - Réévaluation non couverte en FVH - B3</t>
  </si>
  <si>
    <t>A23120034R</t>
  </si>
  <si>
    <t>OCIRyl-Obl crp nnsub-IrêtTIEB3</t>
  </si>
  <si>
    <t>Recyclable OCI - Unsubordinated corporate bonds - Interest calculated by the effective interest method - B3</t>
  </si>
  <si>
    <t>RylOCI-UnSubCorpBond-Int-B3</t>
  </si>
  <si>
    <t>BA303322</t>
  </si>
  <si>
    <t>JVOCI R - Obligations - Surcôte/Décôte - B3</t>
  </si>
  <si>
    <t>A23120036R</t>
  </si>
  <si>
    <t>OCIRyl-Obl crp nn sub-ICNEB3</t>
  </si>
  <si>
    <t>Recyclable OCI - Unsubordinated corporate bonds - Accrued interest - B3</t>
  </si>
  <si>
    <t>RylOCI-UnSubCorpBond-AccInt-B3</t>
  </si>
  <si>
    <t>BA303724</t>
  </si>
  <si>
    <t>JVOCI R - Obligations - Créances rattachées - B3</t>
  </si>
  <si>
    <t>A29312033R</t>
  </si>
  <si>
    <t>OCIRyl-Obl crp nn sub-DéprB3</t>
  </si>
  <si>
    <t>Recyclable OCI - Unsubordinated corporate bonds - Impairment - B3</t>
  </si>
  <si>
    <t>RylOCI-UnSubCorpBond-Imp-B3</t>
  </si>
  <si>
    <t>BA303924</t>
  </si>
  <si>
    <t>JVOCI R - Obligations - Dépréciations - B3</t>
  </si>
  <si>
    <t>AC=TA203124</t>
  </si>
  <si>
    <t>TA203124</t>
  </si>
  <si>
    <t>OCI recyclable - Obligations corporate non subordonnées - POCI</t>
  </si>
  <si>
    <t>OCIRyl-Obl crp nn subPOCI</t>
  </si>
  <si>
    <t>Recyclable OCI - Unsubordinated corporate bonds - POCI</t>
  </si>
  <si>
    <t>RylOCI-UnsubCorpBond-POCI</t>
  </si>
  <si>
    <t>A23120050R</t>
  </si>
  <si>
    <t>OCI recyclable - Obligations corporate non subordonnées - Valeur d'acq. - POCI</t>
  </si>
  <si>
    <t>OCIRyl-Obcrp nnsub-ValacqPOCI</t>
  </si>
  <si>
    <t>Recyclable OCI - Unsubordinated corporate bonds - Historical cost - POCI</t>
  </si>
  <si>
    <t>RylOCI-UnSubCorpBond-HC-POCI</t>
  </si>
  <si>
    <t>A23120052R</t>
  </si>
  <si>
    <t>OCI recyclable - Obligations corporate non subordonnées - Revalo. - POCI</t>
  </si>
  <si>
    <t>OCIRyl-Obl crp nnsub-RevalPOCI</t>
  </si>
  <si>
    <t>Recyclable OCI - Unsubordinated corporate bonds - FV adjustments - POCI</t>
  </si>
  <si>
    <t>RyOCI-UnSubCorpBond-FVadj-POCI</t>
  </si>
  <si>
    <t>A23120054R</t>
  </si>
  <si>
    <t>OCIRyl-Obcrp nnsub-IrêtTIEPOCI</t>
  </si>
  <si>
    <t>Recyclable OCI - Unsubordinated corporate bonds - Interest calculated by the effective interest method - POCI</t>
  </si>
  <si>
    <t>RylOCI-UnsubCorp bond-Int-POCI</t>
  </si>
  <si>
    <t>A23120056R</t>
  </si>
  <si>
    <t>OCIRyl-Obl crp nnsub-ICNEPOCI</t>
  </si>
  <si>
    <t>Recyclable OCI - Unsubordinated corporate bonds - Accrued interest - POCI</t>
  </si>
  <si>
    <t>RyOCI-UnSubCrpBond-AccInt-POCI</t>
  </si>
  <si>
    <t>A29312053R</t>
  </si>
  <si>
    <t>OCIRyl-Obl crp nnsub-DéprPOCI</t>
  </si>
  <si>
    <t>Recyclable OCI - Unsubordinated corporate bonds - Impairment - POCI</t>
  </si>
  <si>
    <t>RylOCI-UnsubCorp bond-Imp-POCI</t>
  </si>
  <si>
    <t>TA20313</t>
  </si>
  <si>
    <t>OCIRyl-Obl crp sub</t>
  </si>
  <si>
    <t>Recyclable OCI - Subordinated corporate bonds</t>
  </si>
  <si>
    <t>RylOCI-SubCorpBond</t>
  </si>
  <si>
    <t>AC=TA203131</t>
  </si>
  <si>
    <t>TA203131</t>
  </si>
  <si>
    <t>OCI recyclable - Obligations corporate subordonnées - B1</t>
  </si>
  <si>
    <t>OCIRyl-Obl crp sub-B1</t>
  </si>
  <si>
    <t>Recyclable OCI - Subordinated corporate bonds - B1</t>
  </si>
  <si>
    <t>RylOCI-SubCorpBond-B1</t>
  </si>
  <si>
    <t>A23130010R</t>
  </si>
  <si>
    <t>OCI recyclable - Obligations corporate subordonnées - Valeur d'acq. - B1</t>
  </si>
  <si>
    <t>OCIRyl-Obl crp sub-ValacqB1</t>
  </si>
  <si>
    <t>Recyclable OCI - Subordinated corporate bonds - Historical cost - B1</t>
  </si>
  <si>
    <t>RylOCI-SubCorpBond-HC-B1</t>
  </si>
  <si>
    <t>BA303800</t>
  </si>
  <si>
    <t>JVOCI R - Titres subordonnés - Valeur de remboursement - B1</t>
  </si>
  <si>
    <t>A23130012R</t>
  </si>
  <si>
    <t>OCI recyclable - Obligations corporate subordonnées - Revalo. - B1</t>
  </si>
  <si>
    <t>OCIRyl-Obl crp sub-RevalB1</t>
  </si>
  <si>
    <t>Recyclable OCI - Subordinated corporate bonds - FV adjustments - B1</t>
  </si>
  <si>
    <t>RylOCI-SubCorpBond-FVadj-B1</t>
  </si>
  <si>
    <t>BA303804</t>
  </si>
  <si>
    <t>JVOCI R - Titres subordonnés - Réévaluation non couverte en FVH – B1</t>
  </si>
  <si>
    <t>A23130014R</t>
  </si>
  <si>
    <t>OCIRyl-Obl crp sub-Irêt TIEB1</t>
  </si>
  <si>
    <t>Recyclable OCI - Subordinated corporate bonds - Interest calculated by the effective interest method - B1</t>
  </si>
  <si>
    <t>RylOCI-SubCorpBond-Int-B1</t>
  </si>
  <si>
    <t>BA303801</t>
  </si>
  <si>
    <t>JVOCI R - Titres subordonnés - Surcôte/Décôte - B1</t>
  </si>
  <si>
    <t>A23130016R</t>
  </si>
  <si>
    <t>OCIRyl-Obl crp sub-ICNEB1</t>
  </si>
  <si>
    <t>Recyclable OCI - Subordinated corporate bonds - Accrued interest - B1</t>
  </si>
  <si>
    <t>RylOCI-SubCorp bond-Acc Int-B1</t>
  </si>
  <si>
    <t>BA304176</t>
  </si>
  <si>
    <t>JVOCI R - Titres subordonnés - Créances rattachées - B1</t>
  </si>
  <si>
    <t>A29313013R</t>
  </si>
  <si>
    <t>OCIRyl-Obl crp sub-DéprB1</t>
  </si>
  <si>
    <t>Recyclable OCI - Subordinated corporate bonds - Impairment - B1</t>
  </si>
  <si>
    <t>RylOCI-SubCorpBond-Imp-B1</t>
  </si>
  <si>
    <t>BA303965</t>
  </si>
  <si>
    <t>JVOCI R - Titres subordonnés - Dépréciations - B1</t>
  </si>
  <si>
    <t>AC=TA203132</t>
  </si>
  <si>
    <t>TA203132</t>
  </si>
  <si>
    <t>OCI recyclable - Obligations corporate subordonnées - B2</t>
  </si>
  <si>
    <t>OCIRyl-Obl crp sub-B2</t>
  </si>
  <si>
    <t>Recyclable OCI - Subordinated corporate bonds - B2</t>
  </si>
  <si>
    <t>RylOCI-SubCorpBond-B2</t>
  </si>
  <si>
    <t>A23130020R</t>
  </si>
  <si>
    <t>OCI recyclable - Obligations corporate subordonnées - Valeur d'acq. - B2</t>
  </si>
  <si>
    <t>OCIRyl-Obl crp sub-ValacqB2</t>
  </si>
  <si>
    <t>Recyclable OCI - Subordinated corporate bonds - Historical cost - B2</t>
  </si>
  <si>
    <t>RylOCI-SubCorpBond-HC-B2</t>
  </si>
  <si>
    <t>BA303806</t>
  </si>
  <si>
    <t>JVOCI R - Titres subordonnés - Valeur de remboursement - B2</t>
  </si>
  <si>
    <t>A23130022R</t>
  </si>
  <si>
    <t>OCI recyclable - Obligations corporate subordonnées - Revalo. - B2</t>
  </si>
  <si>
    <t>OCIRyl-Obl crp sub-RevalB2</t>
  </si>
  <si>
    <t>Recyclable OCI - Subordinated corporate bonds - FV adjustments - B2</t>
  </si>
  <si>
    <t>RylOCI-SubCorpBond-FVadj-B2</t>
  </si>
  <si>
    <t>BA303810</t>
  </si>
  <si>
    <t>JVOCI R - Titres subordonnés - Réévaluation non couverte en FVH – B2</t>
  </si>
  <si>
    <t>A23130024R</t>
  </si>
  <si>
    <t>OCIRyl-Obl crp sub-IrêtTIEB2</t>
  </si>
  <si>
    <t>Recyclable OCI - Subordinated corporate bonds - Interest calculated by the effective interest method - B2</t>
  </si>
  <si>
    <t>RylOCI-SubCorpBond-Int-B2</t>
  </si>
  <si>
    <t>BA303807</t>
  </si>
  <si>
    <t>JVOCI R - Titres subordonnés - Surcôte/Décôte - B2</t>
  </si>
  <si>
    <t>A23130026R</t>
  </si>
  <si>
    <t>OCIRyl-Obl crp sub-ICNEB2</t>
  </si>
  <si>
    <t>Recyclable OCI - Subordinated corporate bonds - Accrued interest - B2</t>
  </si>
  <si>
    <t>RylOCI-SubCorp bond-Acc Int-B2</t>
  </si>
  <si>
    <t>BA304178</t>
  </si>
  <si>
    <t>JVOCI R - Titres subordonnés - Créances rattachées - B2</t>
  </si>
  <si>
    <t>A29313023R</t>
  </si>
  <si>
    <t>OCIRyl-Obl crp sub-DéprB2</t>
  </si>
  <si>
    <t>Recyclable OCI - Subordinated corporate bonds - Impairment - B2</t>
  </si>
  <si>
    <t>RylOCI-SubCorpBond-Imp-B2</t>
  </si>
  <si>
    <t>BA303967</t>
  </si>
  <si>
    <t>JVOCI R - Titres subordonnés - Dépréciations - B2</t>
  </si>
  <si>
    <t>AC=TA203133</t>
  </si>
  <si>
    <t>TA203133</t>
  </si>
  <si>
    <t>OCI recyclable - Obligations corporate subordonnées - B3</t>
  </si>
  <si>
    <t>OCIRyl-Obl crp sub-B3</t>
  </si>
  <si>
    <t>Recyclable OCI - Subordinated corporate bonds - B3</t>
  </si>
  <si>
    <t>RylOCI-SubCorpBond-B3</t>
  </si>
  <si>
    <t>A23130030R</t>
  </si>
  <si>
    <t>OCI recyclable - Obligations corporate subordonnées - Valeur d'acq. - B3</t>
  </si>
  <si>
    <t>OCIRyl-Obl crp sub-ValacqB3</t>
  </si>
  <si>
    <t>Recyclable OCI - Subordinated corporate bonds - Historical cost - B3</t>
  </si>
  <si>
    <t>RylOCI-SubCorpBond-HC-B3</t>
  </si>
  <si>
    <t>BA303812</t>
  </si>
  <si>
    <t>JVOCI R - Titres subordonnés - Valeur de remboursement - B3</t>
  </si>
  <si>
    <t>A23130032R</t>
  </si>
  <si>
    <t>OCI recyclable - Obligations corporate subordonnées - Revalo. - B3</t>
  </si>
  <si>
    <t>OCIRyl-Obl crp sub-RevalB3</t>
  </si>
  <si>
    <t>Recyclable OCI - Subordinated corporate bonds - FV adjustments - B3</t>
  </si>
  <si>
    <t>RylOCI-SubCorpBond-FVadj-B3</t>
  </si>
  <si>
    <t>BA303816</t>
  </si>
  <si>
    <t>JVOCI R - Titres subordonnés - Réévaluation non couverte en FVH – B3</t>
  </si>
  <si>
    <t>A23130034R</t>
  </si>
  <si>
    <t>OCIRyl-Obl crp sub-Irêt TIEB3</t>
  </si>
  <si>
    <t>Recyclable OCI - Subordinated corporate bonds - Interest calculated by the effective interest method - B3</t>
  </si>
  <si>
    <t>RylOCI-SubCorpBond-Int-B3</t>
  </si>
  <si>
    <t>BA303813</t>
  </si>
  <si>
    <t>JVOCI R - Titres subordonnés - Surcôte/Décôte - B3</t>
  </si>
  <si>
    <t>A23130036R</t>
  </si>
  <si>
    <t>OCIRyl-Obl crp sub-ICNEB3</t>
  </si>
  <si>
    <t>Recyclable OCI - Subordinated corporate bonds - Accrued interest - B3</t>
  </si>
  <si>
    <t>RylOCI-SubCorp bond-Acc Int-B3</t>
  </si>
  <si>
    <t>BA304180</t>
  </si>
  <si>
    <t>JVOCI R - Titres subordonnés - Créances rattachées - B3</t>
  </si>
  <si>
    <t>A29313033R</t>
  </si>
  <si>
    <t>OCIRyl-Obl crp sub-DéprB3</t>
  </si>
  <si>
    <t>Recyclable OCI - Subordinated corporate bonds - Impairment - B3</t>
  </si>
  <si>
    <t>RylOCI-SubCorpBond-Imp-B3</t>
  </si>
  <si>
    <t>BA303969</t>
  </si>
  <si>
    <t>JVOCI R - Titres subordonnés - Dépréciations - B3</t>
  </si>
  <si>
    <t>AC=TA203134</t>
  </si>
  <si>
    <t>TA203134</t>
  </si>
  <si>
    <t>OCI recyclable - Obligations corporate subordonnées - POCI</t>
  </si>
  <si>
    <t>OCIRyl-Obl crp sub-POCI</t>
  </si>
  <si>
    <t>Recyclable OCI - Subordinated corporate bonds - POCI</t>
  </si>
  <si>
    <t>RylOCI-SubCorpBond-POCI</t>
  </si>
  <si>
    <t>A23130050R</t>
  </si>
  <si>
    <t>OCI recyclable - Obligations corporate subordonnées - Valeur d'acq. - POCI</t>
  </si>
  <si>
    <t>OCIRyl-Obl crp sub-ValacqPOCI</t>
  </si>
  <si>
    <t>Recyclable OCI - Subordinated corporate bonds - Historical cost - POCI</t>
  </si>
  <si>
    <t>RylOCI-SubCorpBond-HC-POCI</t>
  </si>
  <si>
    <t>A23130052R</t>
  </si>
  <si>
    <t>OCI recyclable - Obligations corporate subordonnées - Revalo. - POCI</t>
  </si>
  <si>
    <t>OCIRyl-Obl crp sub-RevalPOCI</t>
  </si>
  <si>
    <t>Recyclable OCI - Subordinated corporate bonds - FV adjustments - POCI</t>
  </si>
  <si>
    <t>RylOCI-SubCorp bond-FVadj-POCI</t>
  </si>
  <si>
    <t>A23130054R</t>
  </si>
  <si>
    <t>OCIRyl-Obl crp sub-IrêtTIEPOCI</t>
  </si>
  <si>
    <t>Recyclable OCI - Subordinated corporate bonds- Interest calculated by the effective interest method - POCI</t>
  </si>
  <si>
    <t>RylOCI-SubCorpBond-Int-POCI</t>
  </si>
  <si>
    <t>A23130056R</t>
  </si>
  <si>
    <t>OCIRyl-Obl crp sub-ICNEPOCI</t>
  </si>
  <si>
    <t>Recyclable OCI - Subordinated corporate bonds - Accrued interest - POCI</t>
  </si>
  <si>
    <t>A29313053R</t>
  </si>
  <si>
    <t>OCIRyl-Obl crp sub-DéprPOCI</t>
  </si>
  <si>
    <t>Recyclable OCI - Subordinated corporate bonds - Impairment - POCI</t>
  </si>
  <si>
    <t>RylOCI-SubCorpBond-Imp-POCI</t>
  </si>
  <si>
    <t>TA20314</t>
  </si>
  <si>
    <t>OCIRyl-Prts&amp;Avnce</t>
  </si>
  <si>
    <t>Recyclable OCI - Loans and advances</t>
  </si>
  <si>
    <t>RylOCI-Loans adv</t>
  </si>
  <si>
    <t>AC=TA203141</t>
  </si>
  <si>
    <t>TA203141</t>
  </si>
  <si>
    <t>OCI recyclable - Prêts et avances - B1</t>
  </si>
  <si>
    <t>OCIRyl-Prts&amp;Avnce-B1</t>
  </si>
  <si>
    <t>Recyclable OCI - Loans and advances - B1</t>
  </si>
  <si>
    <t>RylOCI-Loans adv-B1</t>
  </si>
  <si>
    <t>A23240010R</t>
  </si>
  <si>
    <t>OCI recyclable - Prêts et avances - Valeur d'acq. - B1</t>
  </si>
  <si>
    <t>OCIRyl-Prts&amp;Avnce-ValacqB1</t>
  </si>
  <si>
    <t>Recyclable OCI - Loans and advances - Historical cost - B1</t>
  </si>
  <si>
    <t>RylOCI-Loans adv-HC-B1</t>
  </si>
  <si>
    <t>BA303250</t>
  </si>
  <si>
    <t>JVOCI R - Clientèle - Prêts et créances - Valeur de remboursement - B1</t>
  </si>
  <si>
    <t>A23240012R</t>
  </si>
  <si>
    <t>OCI recyclable - Prêts et avances - Revalo. - B1</t>
  </si>
  <si>
    <t>OCIRyl-Prts&amp;avncs-RevalB1</t>
  </si>
  <si>
    <t>Recyclable OCI - Loans and advances - FV adjustments - B1</t>
  </si>
  <si>
    <t>RylOCI-Loans adv-FVadj-B1</t>
  </si>
  <si>
    <t>BA303254</t>
  </si>
  <si>
    <t>JVOCI R - Clientèle - Prêts et créances - Réévaluation - B1</t>
  </si>
  <si>
    <t>A23240014R</t>
  </si>
  <si>
    <t>OCIRyl-Prts&amp;Avnce-IrêtTIEB1</t>
  </si>
  <si>
    <t>Recyclable OCI - Loans and advances - Interest calculated by the effective interest method - B1</t>
  </si>
  <si>
    <t>RylOCI-Loans adv-Int-B1</t>
  </si>
  <si>
    <t>A23240016R</t>
  </si>
  <si>
    <t>OCIRyl-Prts&amp;Avnce-ICNEB1</t>
  </si>
  <si>
    <t>Recyclable OCI - Loans and advances - Accrued interest - B1</t>
  </si>
  <si>
    <t>RylOCI-Loans adv-AccInt-B1</t>
  </si>
  <si>
    <t>BA303732</t>
  </si>
  <si>
    <t>JVOCI R - Clientèle - Prêts et créances - Créances rattachées - B1</t>
  </si>
  <si>
    <t>A29324013R</t>
  </si>
  <si>
    <t>OCIRyl-Prts&amp;Avnce-DéprB1</t>
  </si>
  <si>
    <t>Recyclable OCI - Loans and receivables - Impairment - B1</t>
  </si>
  <si>
    <t>Recyclable OCI - Loans and advances - Impairment - B1</t>
  </si>
  <si>
    <t>RylOCI-Loans receiv-Imp-B1</t>
  </si>
  <si>
    <t>BA303932</t>
  </si>
  <si>
    <t>JVOCI R - Clientèle - Prêts et créances - Dépréciations - B1</t>
  </si>
  <si>
    <t>AC=TA203142</t>
  </si>
  <si>
    <t>TA203142</t>
  </si>
  <si>
    <t>OCI recyclable - Prêts et avances - B2</t>
  </si>
  <si>
    <t>OCIRyl-Prts&amp;Avnce-B2</t>
  </si>
  <si>
    <t>Recyclable OCI - Loans and advances - B2</t>
  </si>
  <si>
    <t>RylOCI-Loans adv-B2</t>
  </si>
  <si>
    <t>A23240020R</t>
  </si>
  <si>
    <t>OCI recyclable - Prêts et avances - Valeur d'acq. - B2</t>
  </si>
  <si>
    <t>OCIRyl-Prts&amp;Avnce-ValacqB2</t>
  </si>
  <si>
    <t>Recyclable OCI - Loans and advances - Historical cost - B2</t>
  </si>
  <si>
    <t>RylOCI-Loans adv-HC-B2</t>
  </si>
  <si>
    <t>BA303258</t>
  </si>
  <si>
    <t>JVOCI R - Clientèle - Prêts et créances - Valeur de remboursement - B2</t>
  </si>
  <si>
    <t>A23240022R</t>
  </si>
  <si>
    <t>OCI recyclable - Prêts et avances - Revalo. - B2</t>
  </si>
  <si>
    <t>OCIRyl-Prts&amp;avncs-Reval-B2</t>
  </si>
  <si>
    <t>Recyclable OCI - Loans and advances - FV adjustments - B2</t>
  </si>
  <si>
    <t>RylOCI-Loans adv-FVadj-B2</t>
  </si>
  <si>
    <t>BA303262</t>
  </si>
  <si>
    <t>JVOCI R - Clientèle - Prêts et créances - Réévaluation - B2</t>
  </si>
  <si>
    <t>A23240024R</t>
  </si>
  <si>
    <t>OCIRyl-Prts&amp;Avnce-IrêtTIEB2</t>
  </si>
  <si>
    <t>Recyclable OCI - Loans and advances - Interest calculated by the effective interest method - B2</t>
  </si>
  <si>
    <t>RylOCI-Loans adv-Int-B2</t>
  </si>
  <si>
    <t>A23240026R</t>
  </si>
  <si>
    <t>OCIRyl-Prts&amp;Avnce-ICNEB2</t>
  </si>
  <si>
    <t>Recyclable OCI - Loans and advances - Accrued interest - B2</t>
  </si>
  <si>
    <t>RylOCI-Loans adv-AccInt-B2</t>
  </si>
  <si>
    <t>BA303734</t>
  </si>
  <si>
    <t>JVOCI R - Clientèle - Prêts et créances - Créances rattachées - B2</t>
  </si>
  <si>
    <t>A29324023R</t>
  </si>
  <si>
    <t>OCIRyl-Prts&amp;Avnce-DéprB2</t>
  </si>
  <si>
    <t>Recyclable OCI - Loans and receivables - Impairment - B2</t>
  </si>
  <si>
    <t>Recyclable OCI - Loans and advances - Impairment - B2</t>
  </si>
  <si>
    <t>RylOCI-Loans receiv-Imp-B2</t>
  </si>
  <si>
    <t>BA303934</t>
  </si>
  <si>
    <t>JVOCI R - Clientèle - Prêts et créances - Dépréciations - B2</t>
  </si>
  <si>
    <t>AC=TA203143</t>
  </si>
  <si>
    <t>TA203143</t>
  </si>
  <si>
    <t>OCI recyclable - Prêts et avances - B3</t>
  </si>
  <si>
    <t>OCIRyl-Prts&amp;Avnce-B3</t>
  </si>
  <si>
    <t>Recyclable OCI - Loans and advances - B3</t>
  </si>
  <si>
    <t>RylOCI-Loans adv-B3</t>
  </si>
  <si>
    <t>A23240030R</t>
  </si>
  <si>
    <t>OCI recyclable - Prêts et avances - Valeur d'acq. - B3</t>
  </si>
  <si>
    <t>OCIRyl-Prts&amp;Avnce-ValacqB3</t>
  </si>
  <si>
    <t>Recyclable OCI - Loans and advances - Historical cost - B3</t>
  </si>
  <si>
    <t>RylOCI-Loans adv-HC-B3</t>
  </si>
  <si>
    <t>BA303266</t>
  </si>
  <si>
    <t>JVOCI R - Clientèle - Prêts et créances - Valeur de remboursement - B3</t>
  </si>
  <si>
    <t>A23240032R</t>
  </si>
  <si>
    <t>OCI recyclable - Prêts et avances - Revalo. - B3</t>
  </si>
  <si>
    <t>OCIRyl-Prts&amp;Avnce-Reval-B3</t>
  </si>
  <si>
    <t>Recyclable OCI - Loans and advances - FV adjustments - B3</t>
  </si>
  <si>
    <t>RylOCI-Loans adv-FVadj-B3</t>
  </si>
  <si>
    <t>BA303270</t>
  </si>
  <si>
    <t>JVOCI R - Clientèle - Prêts et créances - Réévaluation  - B3</t>
  </si>
  <si>
    <t>A23240034R</t>
  </si>
  <si>
    <t>OCIRyl-Prts&amp;Avnce-IrêtTIEB3</t>
  </si>
  <si>
    <t>Recyclable OCI - Loans and advances - Interest calculated by the effective interest method - B3</t>
  </si>
  <si>
    <t>RylOCI-Loans adv-Int-B3</t>
  </si>
  <si>
    <t>A23240036R</t>
  </si>
  <si>
    <t>OCIRyl-Prts&amp;Avnce-ICNEB3</t>
  </si>
  <si>
    <t>Recyclable OCI - Loans and advances - Accrued interest - B3</t>
  </si>
  <si>
    <t>RylOCI-Loans adv-AccInt-B3</t>
  </si>
  <si>
    <t>BA303736</t>
  </si>
  <si>
    <t>JVOCI R - Clientèle - Prêts et créances - Créances rattachées - B3</t>
  </si>
  <si>
    <t>A29324033R</t>
  </si>
  <si>
    <t>OCIRyl-Prts&amp;Avnce-DéprB3</t>
  </si>
  <si>
    <t>Recyclable OCI - Loans and receivables - Impairment - B3</t>
  </si>
  <si>
    <t>Recyclable OCI - Loans and advances - Impairment - B3</t>
  </si>
  <si>
    <t>RylOCI-Loans receiv-Imp-B3</t>
  </si>
  <si>
    <t>BA303936</t>
  </si>
  <si>
    <t>JVOCI R - Clientèle - Prêts et créances - Dépréciations - B3</t>
  </si>
  <si>
    <t>AC=TA203144</t>
  </si>
  <si>
    <t>TA203144</t>
  </si>
  <si>
    <t>OCI recyclable - Prêts et avances - POCI</t>
  </si>
  <si>
    <t>OCIRyl-Prts&amp;Avnce-POCI</t>
  </si>
  <si>
    <t>Recyclable OCI - Loans and advances - POCI</t>
  </si>
  <si>
    <t>RylOCI-Loans adv-POCI</t>
  </si>
  <si>
    <t>A23240050R</t>
  </si>
  <si>
    <t>OCI recyclable - Prêts et avances - Valeur d'acq. - POCI</t>
  </si>
  <si>
    <t>OCIRyl-Prts&amp;Avnce-VacqPOCI</t>
  </si>
  <si>
    <t>Recyclable OCI - Loans and advances - Historical cost - POCI</t>
  </si>
  <si>
    <t>RylOCI-Loans adv-HC-POCI</t>
  </si>
  <si>
    <t>A23240052R</t>
  </si>
  <si>
    <t>OCI recyclable - Prêts et avances - Revalo. - POCI</t>
  </si>
  <si>
    <t>OCIRyl-Prts&amp;avnc-RevalPOCI</t>
  </si>
  <si>
    <t>Recyclable OCI - Loans and advances - FV adjustments - POCI</t>
  </si>
  <si>
    <t>RylOCI-Loans adv-FVadj-POCI</t>
  </si>
  <si>
    <t>A23240054R</t>
  </si>
  <si>
    <t>OCIRyl-Prts&amp;Avnce-IrêtTIEPOCI</t>
  </si>
  <si>
    <t>Recyclable OCI - Loans and advances - Interest calculated by the effective interest method - POCI</t>
  </si>
  <si>
    <t>RylOCI-Loans adv-Int-POCI</t>
  </si>
  <si>
    <t>A23240056R</t>
  </si>
  <si>
    <t>OCIRyl-Prts&amp;Avnce-ICNE-POCI</t>
  </si>
  <si>
    <t>Recyclable OCI - Loans and advances - ICNE - POCI</t>
  </si>
  <si>
    <t>RylOCI-Loans adv-ICNE-POCI</t>
  </si>
  <si>
    <t>A29324053R</t>
  </si>
  <si>
    <t>OCIRyl-Prts&amp;Avnce-Dépr-POCI</t>
  </si>
  <si>
    <t>Recyclable OCI - Loans and receivables - Impairment - POCI</t>
  </si>
  <si>
    <t>Recyclable OCI - Loans and advances - Impairment - POCI</t>
  </si>
  <si>
    <t>RylOCI-Loans adv-Imp-POCI</t>
  </si>
  <si>
    <t>TA20315</t>
  </si>
  <si>
    <t>OCIRyl-TCN</t>
  </si>
  <si>
    <t>Recyclable OCI - Negotiable debt securities</t>
  </si>
  <si>
    <t>RylOCI-Nego debt secu</t>
  </si>
  <si>
    <t>AC=TA203151</t>
  </si>
  <si>
    <t>TA203151</t>
  </si>
  <si>
    <t>OCI recyclable - TCN - B1</t>
  </si>
  <si>
    <t>OCIRyl-TCN-B1</t>
  </si>
  <si>
    <t>Recyclable OCI - Negotiable debt securities - B1</t>
  </si>
  <si>
    <t>RylOCI-Nego debt secu-B1</t>
  </si>
  <si>
    <t>A23190010R</t>
  </si>
  <si>
    <t>OCI recyclable - TCN - Valeur d'acq. - B1</t>
  </si>
  <si>
    <t>OCIRyl-TCN-Valacq-B1</t>
  </si>
  <si>
    <t>Recyclable OCI - Negotiable debt securities - Acquisition value - B1</t>
  </si>
  <si>
    <t>RyOCI-NegoDebtSec-AcqVal-B1</t>
  </si>
  <si>
    <t>BA304000</t>
  </si>
  <si>
    <t>JVOCI R - TCN -  Valeur de remboursement - B1</t>
  </si>
  <si>
    <t>A23190012R</t>
  </si>
  <si>
    <t>OCI recyclable - TCN - Revalo. - B1</t>
  </si>
  <si>
    <t>OCIRyl-TCN-Reval-B1</t>
  </si>
  <si>
    <t>Recyclable OCI - Negotiable debt securities - FV adjustments - B1</t>
  </si>
  <si>
    <t>RylOCI-NegoDebtSec-FVadj-B1</t>
  </si>
  <si>
    <t>BA304006</t>
  </si>
  <si>
    <t>JVOCI R - TCN -  Réévaluation composante non couverte en FVH - B1</t>
  </si>
  <si>
    <t>A23190014R</t>
  </si>
  <si>
    <t>OCIRyl-TCN-Irêt TIE-B1</t>
  </si>
  <si>
    <t>Recyclable OCI - Negotiable debt securities - Interest calculated using the EIR method- B1</t>
  </si>
  <si>
    <t>RylOCI-NegoDebtSec-Int EIR-B1</t>
  </si>
  <si>
    <t>BA304002</t>
  </si>
  <si>
    <t>JVOCI R - TCN -  Surcôte/Décôte - B1</t>
  </si>
  <si>
    <t>A23190016R</t>
  </si>
  <si>
    <t>OCIRyl-TCN-ICNE-B1</t>
  </si>
  <si>
    <t>Recyclable OCI - Negotiable debt securities - Accrued interest - B1</t>
  </si>
  <si>
    <t>RylOCI-NegoDebtSec-Acc Int-B1</t>
  </si>
  <si>
    <t>BA304170</t>
  </si>
  <si>
    <t>JVOCI R - TCN -  Créances rattachées - B1</t>
  </si>
  <si>
    <t>A29319013R</t>
  </si>
  <si>
    <t>OCIRyl-TCN-Dépr-B1</t>
  </si>
  <si>
    <t>Recyclable OCI - Negotiable debt securities - Impairment - B1</t>
  </si>
  <si>
    <t>RylOCI-NegoDebtSec-Imp-B1</t>
  </si>
  <si>
    <t>BA303962</t>
  </si>
  <si>
    <t>JVOCI R - TCN -  Déprécations - B1</t>
  </si>
  <si>
    <t>AC=TA203152</t>
  </si>
  <si>
    <t>TA203152</t>
  </si>
  <si>
    <t>OCI recyclable - TCN - B2</t>
  </si>
  <si>
    <t>OCIRyl-TCN-B2</t>
  </si>
  <si>
    <t>Recyclable OCI - Negotiable debt securities - B2</t>
  </si>
  <si>
    <t>RylOCI-Nego debt secu-B2</t>
  </si>
  <si>
    <t>A23190020R</t>
  </si>
  <si>
    <t>OCI recyclable - TCN - Valeur d'acq. - B2</t>
  </si>
  <si>
    <t>OCIRyl-TCN-Valacq-B2</t>
  </si>
  <si>
    <t>Recyclable OCI - Negotiable debt securities - Acquisition value - B2</t>
  </si>
  <si>
    <t>RyOCI-NegoDebtSec-AcqVal-B2</t>
  </si>
  <si>
    <t>BA304008</t>
  </si>
  <si>
    <t>JVOCI R - TCN -  Valeur de remboursement – B2</t>
  </si>
  <si>
    <t>A23190022R</t>
  </si>
  <si>
    <t>OCI recyclable - TCN - Revalo. - B2</t>
  </si>
  <si>
    <t>OCIRyl-TCN-Reval-B2</t>
  </si>
  <si>
    <t>Recyclable OCI - Negotiable debt securities - FV adjustments - B2</t>
  </si>
  <si>
    <t>RylOCI-NegoDebtSec-FVadj-B2</t>
  </si>
  <si>
    <t>BA304014</t>
  </si>
  <si>
    <t>JVOCI R - TCN -  Réévaluation composante non couverte en FVH - B2</t>
  </si>
  <si>
    <t>A23190024R</t>
  </si>
  <si>
    <t>OCIRyl-TCN-Irêt TIE-B2</t>
  </si>
  <si>
    <t>Recyclable OCI - Negotiable debt securities - Interest calculated using the EIR method - B2</t>
  </si>
  <si>
    <t>RylOCI-NegoDebtSec-Int EIR-B2</t>
  </si>
  <si>
    <t>BA304010</t>
  </si>
  <si>
    <t>JVOCI R - TCN -  Surcôte/Décôte – B2</t>
  </si>
  <si>
    <t>A23190026R</t>
  </si>
  <si>
    <t>OCIRyl-TCN-ICNE-B2</t>
  </si>
  <si>
    <t>Recyclable OCI - Negotiable debt securities - Accrued interest - B2</t>
  </si>
  <si>
    <t>RylOCI-NegoDebtSec-Acc Int-B2</t>
  </si>
  <si>
    <t>BA304172</t>
  </si>
  <si>
    <t>JVOCI R - TCN -  Créances rattachées – B2</t>
  </si>
  <si>
    <t>A29319023R</t>
  </si>
  <si>
    <t>OCIRyl-TCN-Dépr-B2</t>
  </si>
  <si>
    <t>Recyclable OCI - Negotiable debt securities - Impairment - B2</t>
  </si>
  <si>
    <t>RylOCI-NegoDebtSec-Imp-B2</t>
  </si>
  <si>
    <t>BA303964</t>
  </si>
  <si>
    <t>JVOCI R - TCN -  Déprécations - B2</t>
  </si>
  <si>
    <t>AC=TA203153</t>
  </si>
  <si>
    <t>TA203153</t>
  </si>
  <si>
    <t>OCI recyclable - TCN - B3</t>
  </si>
  <si>
    <t>OCIRyl-TCN-B3</t>
  </si>
  <si>
    <t>Recyclable OCI - Negotiable debt securities - B3</t>
  </si>
  <si>
    <t>RylOCI-Nego debt secu-B3</t>
  </si>
  <si>
    <t>A23190030R</t>
  </si>
  <si>
    <t>OCI recyclable - TCN - Valeur d'acq. - B3</t>
  </si>
  <si>
    <t>OCIRyl-TCN-Valacq-B3</t>
  </si>
  <si>
    <t>Recyclable OCI - Negotiable debt securities - Acquisition value - B3</t>
  </si>
  <si>
    <t>RyOCI-NegoDebtSec-AcqVal-B3</t>
  </si>
  <si>
    <t>BA304016</t>
  </si>
  <si>
    <t>JVOCI R - TCN -  Valeur de remboursement – B3</t>
  </si>
  <si>
    <t>A23190032R</t>
  </si>
  <si>
    <t>OCI recyclable - TCN - Revalo. - B3</t>
  </si>
  <si>
    <t>OCIRyl-TCN-Reval-B3</t>
  </si>
  <si>
    <t>Recyclable OCI - Negotiable debt securities - FV adjustments - B3</t>
  </si>
  <si>
    <t>RylOCI-NegoDebtSec-FVadj-B3</t>
  </si>
  <si>
    <t>BA304022</t>
  </si>
  <si>
    <t>JVOCI R - TCN -  Réévaluation composante non couverte en FVH - B3</t>
  </si>
  <si>
    <t>A23190034R</t>
  </si>
  <si>
    <t>OCIRyl-TCN-Irêt TIE-B3</t>
  </si>
  <si>
    <t>Recyclable OCI - Negotiable debt securities - Interest calculated using the EIR method - B3</t>
  </si>
  <si>
    <t>RylOCI-NegoDebtSec-Int EIR-B3</t>
  </si>
  <si>
    <t>BA304018</t>
  </si>
  <si>
    <t>JVOCI R - TCN -  Surcôte/Décôte – B3</t>
  </si>
  <si>
    <t>A23190036R</t>
  </si>
  <si>
    <t>OCIRyl-TCN-ICNE-B3</t>
  </si>
  <si>
    <t>Recyclable OCI - Negotiable debt securities - Accrued interest - B3</t>
  </si>
  <si>
    <t>RylOCI-NegoDebtSec-Acc Int-B3</t>
  </si>
  <si>
    <t>BA304174</t>
  </si>
  <si>
    <t>JVOCI R - TCN -  Créances rattachées – B3</t>
  </si>
  <si>
    <t>A29319033R</t>
  </si>
  <si>
    <t>OCIRyl-TCN-Dépr-B3</t>
  </si>
  <si>
    <t>Recyclable OCI - Negotiable debt securities - Impairment - B3</t>
  </si>
  <si>
    <t>RylOCI-NegoDebtSec-Imp-B3</t>
  </si>
  <si>
    <t>BA303966</t>
  </si>
  <si>
    <t>JVOCI R - TCN -  Déprécations - B3</t>
  </si>
  <si>
    <t>AC=TA203154</t>
  </si>
  <si>
    <t>TA203154</t>
  </si>
  <si>
    <t>OCI recyclable - TCN - POCI</t>
  </si>
  <si>
    <t>OCIRyl-TCN-POCI</t>
  </si>
  <si>
    <t>Recyclable OCI - Negotiable debt securities - POCI</t>
  </si>
  <si>
    <t>RylOCI-NegoDebtSec-POCI</t>
  </si>
  <si>
    <t>A23190050R</t>
  </si>
  <si>
    <t>OCI recyclable - TCN - Valeur d'acq. - POCI</t>
  </si>
  <si>
    <t>OCIRyl-TCN-Valacq-POCI</t>
  </si>
  <si>
    <t>Recyclable OCI - Negotiable debt securities - Acquisition value - POCI</t>
  </si>
  <si>
    <t>RyOCI-NegoDebtSec-AcqVal-POCI</t>
  </si>
  <si>
    <t>A23190052R</t>
  </si>
  <si>
    <t>OCI recyclable - TCN - Revalo. - POCI</t>
  </si>
  <si>
    <t>OCIRyl-TCN-Reval-POCI</t>
  </si>
  <si>
    <t>Recyclable OCI - Negotiable debt securities - FV adjustments - POCI</t>
  </si>
  <si>
    <t>RylOCI-NegoDebtSec-FVadj-POCI</t>
  </si>
  <si>
    <t>A23190054R</t>
  </si>
  <si>
    <t>OCIRyl-TCN-Irêt TIE-POCI</t>
  </si>
  <si>
    <t>Recyclable OCI - Negotiable debt securities - Interest calculated using the EIR method - POCI</t>
  </si>
  <si>
    <t>RyOCI-NegoDebtSec-Int EIR-POCI</t>
  </si>
  <si>
    <t>A23190056R</t>
  </si>
  <si>
    <t>OCIRyl-TCN-ICNE-POCI</t>
  </si>
  <si>
    <t>Recyclable OCI - Negotiable debt securities - Accrued interest - POCI</t>
  </si>
  <si>
    <t>RylOCI-NegoDebtSec-AccInt-POCI</t>
  </si>
  <si>
    <t>A29319053R</t>
  </si>
  <si>
    <t>OCIRyl-TCN-Dépr-POCI</t>
  </si>
  <si>
    <t>Recyclable OCI - Negotiable debt securities - Impairment - POCI</t>
  </si>
  <si>
    <t>RylOCI-NegoDebtSec-Imp-POCI</t>
  </si>
  <si>
    <t>TA2032</t>
  </si>
  <si>
    <t>Actifs à la juste valeur par autres éléments du résultat global - non recyclable</t>
  </si>
  <si>
    <t>Actf JV Atrs élmt rés gl-nnRyl</t>
  </si>
  <si>
    <t>L-C-3220 - Actifs financiers à la JV par OCI non recyclable</t>
  </si>
  <si>
    <t>Financial assets at FV through non-recyclable OCI</t>
  </si>
  <si>
    <t>Fin assets FV non-Ryl OCI</t>
  </si>
  <si>
    <t>L-C-3220 - Assets at FV through other items of global reserve - Non-recyclable</t>
  </si>
  <si>
    <t>AC=TA20321</t>
  </si>
  <si>
    <t>TA20321</t>
  </si>
  <si>
    <t>OCI nn Ryl-Instcapipro</t>
  </si>
  <si>
    <t>Non-recyclable OCI - Equity instruments</t>
  </si>
  <si>
    <t>NnRyl OCI-EqtyInst</t>
  </si>
  <si>
    <t>TA203211</t>
  </si>
  <si>
    <t>OCI non recyclable - Instruments de capitaux propres - Actions et assimilés</t>
  </si>
  <si>
    <t>Instcapipro-Actns&amp;Ass</t>
  </si>
  <si>
    <t>Non-recyclable OCI - Equity instruments - Equities and related securities</t>
  </si>
  <si>
    <t>NnRyOCI-EqtyInst-Equts secu</t>
  </si>
  <si>
    <t>A23050000N</t>
  </si>
  <si>
    <t>OCI non recyclable - Actions et assimilés - Valeur d'acq.</t>
  </si>
  <si>
    <t>Actns&amp;Ass-Val acq</t>
  </si>
  <si>
    <t>Non-recyclable OCI - Equities and related securities - Historical cost</t>
  </si>
  <si>
    <t>NnRylOCI-Equities secu-HC</t>
  </si>
  <si>
    <t>BA303131</t>
  </si>
  <si>
    <t>JVOCI NR - Actions et autres titres à revenu variable - Valeur d'acquisition</t>
  </si>
  <si>
    <t>A23050002N</t>
  </si>
  <si>
    <t>OCI non recyclable - Actions et assimilés - Revalo.</t>
  </si>
  <si>
    <t>Actns&amp;Ass-Reval</t>
  </si>
  <si>
    <t>Non-recyclable OCI - Equities and related securities - FV adjustments</t>
  </si>
  <si>
    <t>NnRylOCI-Equities secu-FVadj</t>
  </si>
  <si>
    <t>BA303135</t>
  </si>
  <si>
    <t>JVOCI NR - Actions et autres titres à revenu variable - Réévaluation titres non cédés</t>
  </si>
  <si>
    <t>TA203212</t>
  </si>
  <si>
    <t>OCI non recyclable - Instruments de capitaux propres - Titres de participation - non consolidés</t>
  </si>
  <si>
    <t>InstCapPro-Titr Prticp-Nnconso</t>
  </si>
  <si>
    <t>Non-recyclable OCI - Equity instruments - Investments - unconsolidated</t>
  </si>
  <si>
    <t>Non-recyclable OCI - Equity instruments - Investments - Unconsolidated</t>
  </si>
  <si>
    <t>NnRyOCI-EqtyInst-Invt-unconso</t>
  </si>
  <si>
    <t>A23060000N</t>
  </si>
  <si>
    <t>OCI non recyclable - Titres de participation - non consolidés - Valeur d'acq.</t>
  </si>
  <si>
    <t>Titr Prticp-Nnconso-Val acq</t>
  </si>
  <si>
    <t>Non-recyclable OCI - Investments - unconsolidated - Historical cost</t>
  </si>
  <si>
    <t>Non-recyclable OCI - Investments - Unconsolidated - Historical cost</t>
  </si>
  <si>
    <t>NnRyOCI-Invest-Unconso-HC</t>
  </si>
  <si>
    <t>BA412391</t>
  </si>
  <si>
    <t>JVOCI NR - Titres de participation - non consolidés - Valeur d'acquisition</t>
  </si>
  <si>
    <t>A23060002N</t>
  </si>
  <si>
    <t>Titr Prticp-Nnconso-Reval</t>
  </si>
  <si>
    <t>Non-recyclable OCI - Investments - unconsolidated - FV adjustments</t>
  </si>
  <si>
    <t>Non-recyclable OCI - Investments - Unconsolidated - FV adjustments</t>
  </si>
  <si>
    <t>NnRyOCI-Invest-Unconso-FVadj</t>
  </si>
  <si>
    <t>BA412395</t>
  </si>
  <si>
    <t>JVOCI NR - Titres de participation - non consolidés - Réévaluation titres non cédés</t>
  </si>
  <si>
    <t>TA203213</t>
  </si>
  <si>
    <t>OCI non recyclable - Instruments de capitaux propres - Parts dans sociétés et fonds immobiliers</t>
  </si>
  <si>
    <t>InstCapPro-Prts Soc&amp;Fond Imo</t>
  </si>
  <si>
    <t>Non-recyclable OCI - Equity instruments - Interests in real estate companies and funds</t>
  </si>
  <si>
    <t>NnRyOCI-EqtyInst-IntsRECompFnd</t>
  </si>
  <si>
    <t>A21380000N</t>
  </si>
  <si>
    <t>OCI non recyclable - Parts dans sociétés et fonds immobiliers - Valeur d'acq.</t>
  </si>
  <si>
    <t>PrtsSoc&amp;Fond Imo-Val acq</t>
  </si>
  <si>
    <t>Non-recyclable OCI - Interests in real estate companies and funds - Historical cost</t>
  </si>
  <si>
    <t>NnRyOCI-IntRECompFunds-HC</t>
  </si>
  <si>
    <t>BA414401</t>
  </si>
  <si>
    <t>JVOCI NR - Autres Titres détenus à long terme - Valeur d'acquisition</t>
  </si>
  <si>
    <t>A21380002N</t>
  </si>
  <si>
    <t>OCI non recyclable - Parts dans sociétés et fonds immobiliers - Revalo.</t>
  </si>
  <si>
    <t>PrtsSoc&amp;Fond Imo-Reval</t>
  </si>
  <si>
    <t>Non-recyclable OCI - Interests in real estate companies and funds - FV adjustments</t>
  </si>
  <si>
    <t>NnRyOCI-IntRECompFnd-FVadj</t>
  </si>
  <si>
    <t>BA414405</t>
  </si>
  <si>
    <t>JVOCI NR - Autres Titres détenus à long terme - Réévaluation des titres non cédés</t>
  </si>
  <si>
    <t>TA203214</t>
  </si>
  <si>
    <t>OCI non recyclable - Instruments de capitaux propres - Autres</t>
  </si>
  <si>
    <t>OCI nn Ryl-Instru cap pr-Autrs</t>
  </si>
  <si>
    <t>Non-recyclable OCI - Equity instruments - Other</t>
  </si>
  <si>
    <t>NonRylOCI-EqtyInst-Other</t>
  </si>
  <si>
    <t>A23490000N</t>
  </si>
  <si>
    <t>OCI non recyclable - Autres - Valeur d'acq.</t>
  </si>
  <si>
    <t>Instru cap pr-Autrs-Val acq</t>
  </si>
  <si>
    <t>Non-recyclable OCI - Other - Historical cost</t>
  </si>
  <si>
    <t>NnRylOCI-Other-HC</t>
  </si>
  <si>
    <t>A23490002N</t>
  </si>
  <si>
    <t>OCI non recyclable - Autres - Revalo.</t>
  </si>
  <si>
    <t>Instru cap pr-Autrs-Reval</t>
  </si>
  <si>
    <t>Non-recyclable OCI - Other - FV adjustments</t>
  </si>
  <si>
    <t>NnRylOCI-Other-FVadj</t>
  </si>
  <si>
    <t>TA204</t>
  </si>
  <si>
    <t>Actf à la JV par le rés net</t>
  </si>
  <si>
    <t>L-C-3225 - Actifs financiers à la juste valeur par résultat (hors UC)</t>
  </si>
  <si>
    <t>Financial assets at FV through P&amp;L</t>
  </si>
  <si>
    <t xml:space="preserve"> Fin assets FVP&amp;L</t>
  </si>
  <si>
    <t>L-C-3225 - Financial assets at fair value through P&amp;L (excluding UL)</t>
  </si>
  <si>
    <t>TA2041</t>
  </si>
  <si>
    <t>Actf à la JVpar le rés</t>
  </si>
  <si>
    <t>AC=TA20411</t>
  </si>
  <si>
    <t>TA20411</t>
  </si>
  <si>
    <t>Juste valeur par résultat (Hors UC)</t>
  </si>
  <si>
    <t>JV/résultat (Hors UC)</t>
  </si>
  <si>
    <t>FV through P&amp;L (non-UL)</t>
  </si>
  <si>
    <t>FVP&amp;L (non-UL)</t>
  </si>
  <si>
    <t>AC=TA204111</t>
  </si>
  <si>
    <t>TA204111</t>
  </si>
  <si>
    <t>Juste valeur par résultat - Instruments de dettes</t>
  </si>
  <si>
    <t>JV par résultat - Instruments de dettes</t>
  </si>
  <si>
    <t>JV/rés-Instru de dettes</t>
  </si>
  <si>
    <t>FV through P&amp;L - Debt instruments</t>
  </si>
  <si>
    <t>FVP&amp;L-Debt Inst</t>
  </si>
  <si>
    <t>AC=TA2041111</t>
  </si>
  <si>
    <t>TA2041111</t>
  </si>
  <si>
    <t>Juste valeur par résultat - Obligations d'Etat et assimilés</t>
  </si>
  <si>
    <t>JV/rés-Obl Etat&amp;Assi</t>
  </si>
  <si>
    <t>FV through P&amp;L - Government bonds and related instruments</t>
  </si>
  <si>
    <t>FVP&amp;L-Gov bond Inst</t>
  </si>
  <si>
    <t>A23110000T</t>
  </si>
  <si>
    <t>Juste valeur par résultat - Obligations d'Etat et assimilés - Valeur d'acquisition</t>
  </si>
  <si>
    <t>JV/rés-Obl Etat&amp;Assi-Val acq</t>
  </si>
  <si>
    <t>FV through P&amp;L - Government bonds and related instruments - Historical cost</t>
  </si>
  <si>
    <t>FVP&amp;L-Gov bond Inst-HC</t>
  </si>
  <si>
    <t>BA302436</t>
  </si>
  <si>
    <t>JVR non SPPI - Effets publics et valeurs assimilées</t>
  </si>
  <si>
    <t>A23110002T</t>
  </si>
  <si>
    <t>Juste valeur par résultat - Obligations d'Etat et assimilés - Revalorisation</t>
  </si>
  <si>
    <t>JV/rés-Obl Etat&amp;Assi-Reval</t>
  </si>
  <si>
    <t>FV through P&amp;L - Government bonds and related instruments - FV adjustments</t>
  </si>
  <si>
    <t>FVP&amp;L-Gov bond Inst-FVadj</t>
  </si>
  <si>
    <t>A23110004T</t>
  </si>
  <si>
    <t>Juste valeur par résultat - Obligations d'Etat et assimilés - Intérêts calculés selon la méthode TIE</t>
  </si>
  <si>
    <t>JV/rés-Obl Etat&amp;Assi-IrêtTIE</t>
  </si>
  <si>
    <t>FV through P&amp;L - Government bonds and related instruments - Interest calculated by the effective interest method</t>
  </si>
  <si>
    <t xml:space="preserve">FVP&amp;L-Gov bond Inst-Int </t>
  </si>
  <si>
    <t>A23110006T</t>
  </si>
  <si>
    <t>Juste valeur par résultat - Obligations d'Etat et assimilés - ICNE</t>
  </si>
  <si>
    <t>JV pr rés-Obl Etat&amp;Assi-ICNE</t>
  </si>
  <si>
    <t>FV through P&amp;L - Government bonds and related instruments - Accrued interest</t>
  </si>
  <si>
    <t>FVP&amp;L-Gov bond Inst-Acc Int</t>
  </si>
  <si>
    <t>AC=TA2041112</t>
  </si>
  <si>
    <t>TA2041112</t>
  </si>
  <si>
    <t>Juste valeur par résultat - Obligations corporate non subordonnées</t>
  </si>
  <si>
    <t>JV/rés-Obl crp nn sub</t>
  </si>
  <si>
    <t>FV through P&amp;L - Unsubordinated corporate bonds</t>
  </si>
  <si>
    <t>FVP&amp;L-UnSub corp bond</t>
  </si>
  <si>
    <t>A23120000T</t>
  </si>
  <si>
    <t>Juste valeur par résultat - Obligations corporate non subordonnées - Valeur d'acquisition</t>
  </si>
  <si>
    <t>JV/rés-Obl crp nn sub-Val acq</t>
  </si>
  <si>
    <t>FV through P&amp;L - Unsubordinated corporate bonds - Historical cost</t>
  </si>
  <si>
    <t>FVP&amp;L-UnSub corp bond-HC</t>
  </si>
  <si>
    <t>BA302438</t>
  </si>
  <si>
    <t>JVR non SPPI - Obligations  et autres titres à revenu fixe</t>
  </si>
  <si>
    <t>A23120002T</t>
  </si>
  <si>
    <t>Juste valeur par résultat - Obligations corporate non subordonnées - Revalorisation</t>
  </si>
  <si>
    <t>JV/rés-Obl crp nn sub-Reval</t>
  </si>
  <si>
    <t>FV through P&amp;L - Unsubordinated corporate bonds - FV adjustments</t>
  </si>
  <si>
    <t>FVP&amp;L-UnSub corp bond-FVadj</t>
  </si>
  <si>
    <t>A23120004T</t>
  </si>
  <si>
    <t>Juste valeur par résultat - Obligations corporate non subordonnées - Intérêts calculés selon la méthode TIE</t>
  </si>
  <si>
    <t>JV/rés-Obl crp nn sub-IrêtTIE</t>
  </si>
  <si>
    <t>FV through P&amp;L- Unsubordinated corporate bonds - Interest calculated by the effective interest method</t>
  </si>
  <si>
    <t xml:space="preserve">FVP&amp;L-UnSub corp bond-Int </t>
  </si>
  <si>
    <t>A23120006T</t>
  </si>
  <si>
    <t>Juste valeur par résultat - Obligations corporate non subordonnées - ICNE</t>
  </si>
  <si>
    <t>JV/rés-Obl crp nn sub-ICNE</t>
  </si>
  <si>
    <t>FV through P&amp;L - Unsubordinated corporate bonds - Accrued interest</t>
  </si>
  <si>
    <t>FVP&amp;L-UnSub corp bond-Acc Int</t>
  </si>
  <si>
    <t>AC=TA2041113</t>
  </si>
  <si>
    <t>TA2041113</t>
  </si>
  <si>
    <t>Juste valeur par résultat - Obligations corporate subordonnées</t>
  </si>
  <si>
    <t>JV/rés-Obl crp sub</t>
  </si>
  <si>
    <t>FV through P&amp;L - Subordinated corporate bonds</t>
  </si>
  <si>
    <t>FVP&amp;L-Sub corp bond</t>
  </si>
  <si>
    <t>A23130000T</t>
  </si>
  <si>
    <t>Juste valeur par résultat - Obligations corporate subordonnées - Valeur d'acquisition</t>
  </si>
  <si>
    <t>JV/rés-Obl crp sub-Val acq</t>
  </si>
  <si>
    <t>FV through P&amp;L - Subordinated corporate bonds - Historical cost</t>
  </si>
  <si>
    <t>FVP&amp;L-Sub corp bond-HC</t>
  </si>
  <si>
    <t>BA302439</t>
  </si>
  <si>
    <t>JVR non SPPI - Titres subordonnés</t>
  </si>
  <si>
    <t>A23130002T</t>
  </si>
  <si>
    <t>Juste valeur par résultat - Obligations corporate subordonnées - Revalorisation</t>
  </si>
  <si>
    <t>JV/rés-Obl crp subReval</t>
  </si>
  <si>
    <t>FV through P&amp;L - Subordinated corporate bonds - FV adjustments</t>
  </si>
  <si>
    <t>FVP&amp;L-Sub corp bond-FVadj</t>
  </si>
  <si>
    <t>A23130004T</t>
  </si>
  <si>
    <t>Juste valeur par résultat - Obligations corporate subordonnées - Intérêts calculés selon la méthode TIE</t>
  </si>
  <si>
    <t>JV/rés-Obl crp sub-Inrêt TIE</t>
  </si>
  <si>
    <t>FV through P&amp;L - Subordinated corporate bonds - Interest calculated by the effective interest method</t>
  </si>
  <si>
    <t xml:space="preserve">FVP&amp;L-Sub corp bond-Int </t>
  </si>
  <si>
    <t>A23130006T</t>
  </si>
  <si>
    <t>Juste valeur par résultat - Obligations corporate subordonnées - ICNE</t>
  </si>
  <si>
    <t>JV/rés-Obl crp sub-ICNE</t>
  </si>
  <si>
    <t>FV through P&amp;L - Subordinated corporate bonds - Accrued interest</t>
  </si>
  <si>
    <t>FVP&amp;L-Sub corp bond-Acc Int</t>
  </si>
  <si>
    <t>TA2041114</t>
  </si>
  <si>
    <t>Juste valeur par résultat - Prêts et avances</t>
  </si>
  <si>
    <t>JV/rés-Prts et Avnce</t>
  </si>
  <si>
    <t>FV through P&amp;L - Loans and advances</t>
  </si>
  <si>
    <t>FVP&amp;L-Loans adv</t>
  </si>
  <si>
    <t>A23240000T</t>
  </si>
  <si>
    <t>Juste valeur par résultat - Prêts et avances - Valeur d'acquisition</t>
  </si>
  <si>
    <t>JV/rés-Prts&amp;Avnce-Val acq</t>
  </si>
  <si>
    <t>FV through P&amp;L - Loans and advances - Historical cost</t>
  </si>
  <si>
    <t>FVP&amp;L-Loans adv-HC</t>
  </si>
  <si>
    <t>BA302446</t>
  </si>
  <si>
    <t>JVR non SPPI - Clientèle - Prêts et créances</t>
  </si>
  <si>
    <t>A23240002T</t>
  </si>
  <si>
    <t>Juste valeur par résultat - Prêts et avances - Revalorisation</t>
  </si>
  <si>
    <t>JV/rés-prêt&amp;avance-Reval</t>
  </si>
  <si>
    <t>FV through P&amp;L - Loans and advances - FV adjustments</t>
  </si>
  <si>
    <t>FVP&amp;L-Loans adv-FVadj</t>
  </si>
  <si>
    <t>A23240004T</t>
  </si>
  <si>
    <t>Juste valeur par résultat - Prêts et avances - Intérêts calculés selon la méthode TIE</t>
  </si>
  <si>
    <t>JV/rés-Prts&amp;Avnce-IrêtTIE</t>
  </si>
  <si>
    <t>FV through P&amp;L - Loans and advances - Interest calculated by the effective interest method</t>
  </si>
  <si>
    <t xml:space="preserve">FVP&amp;L-Loans adv-Int </t>
  </si>
  <si>
    <t>A23240006T</t>
  </si>
  <si>
    <t>Juste valeur par résultat - Prêts et avances - ICNE</t>
  </si>
  <si>
    <t>JV/rés-Prts&amp;Avnce-ICNE</t>
  </si>
  <si>
    <t>FV through P&amp;L - Loans and advances - Accrued interest</t>
  </si>
  <si>
    <t>FVP&amp;L-Loans adv-Acc Int</t>
  </si>
  <si>
    <t>AC=TA2041115</t>
  </si>
  <si>
    <t>TA2041115</t>
  </si>
  <si>
    <t>Juste valeur par résultat - TCN</t>
  </si>
  <si>
    <t>JV/résultat-TCN</t>
  </si>
  <si>
    <t>FV through P&amp;L - Negotiable debt securities</t>
  </si>
  <si>
    <t>FVP&amp;L-Nego debt secu</t>
  </si>
  <si>
    <t>A23190000T</t>
  </si>
  <si>
    <t>Juste valeur par résultat - TCN - Valeur d'acquisition</t>
  </si>
  <si>
    <t>JV/rés-TCN-Val acq</t>
  </si>
  <si>
    <t>FV through P&amp;L - Negotiable debt securities - Acquisition value</t>
  </si>
  <si>
    <t>FVP&amp;L-NegoDebtSecu-AcquisiVal</t>
  </si>
  <si>
    <t>BA302457</t>
  </si>
  <si>
    <t>JVR non SPPI - TCN et titres du marché interbancaire</t>
  </si>
  <si>
    <t>A23190002T</t>
  </si>
  <si>
    <t>Juste valeur par résultat - TCN - Revalorisation</t>
  </si>
  <si>
    <t>JV/rés-TCN-Reval.</t>
  </si>
  <si>
    <t>FV through P&amp;L - Negotiable debt securities - FV adjustments</t>
  </si>
  <si>
    <t>FVP&amp;L-NegoDebtSecu-FVadj</t>
  </si>
  <si>
    <t>A23190004T</t>
  </si>
  <si>
    <t>Juste valeur par résultat - TCN - Intérêts calculés selon la méthode TIE</t>
  </si>
  <si>
    <t>JV/rés-TCN-Irêt TIE</t>
  </si>
  <si>
    <t>FV through P&amp;L - Negotiable debt securities - Interest calculated using the EIR method</t>
  </si>
  <si>
    <t>FVP&amp;L-NegDebtSecu-Int EIR met</t>
  </si>
  <si>
    <t>A23190006T</t>
  </si>
  <si>
    <t>Juste valeur par résultat - TCN - ICNE</t>
  </si>
  <si>
    <t>JV/résultat-TCN-ICNE</t>
  </si>
  <si>
    <t>FV through P&amp;L - Negotiable debt securities - Accrued interest</t>
  </si>
  <si>
    <t>FVP&amp;L-NegoDebtSecu-AccInt</t>
  </si>
  <si>
    <t>AC=TA2041116</t>
  </si>
  <si>
    <t>TA2041116</t>
  </si>
  <si>
    <t>Juste valeur par résultat - OPCVM</t>
  </si>
  <si>
    <t>JV/résultat-OPCVM</t>
  </si>
  <si>
    <t>FV through P&amp;L - MFU</t>
  </si>
  <si>
    <t>FVP&amp;L-MFU</t>
  </si>
  <si>
    <t>Chgmt de hiérarchie -nouvelle hiérarchie A</t>
  </si>
  <si>
    <t>A23070000T</t>
  </si>
  <si>
    <t>Juste valeur par résultat - OPCVM - Valeur d'acquisition</t>
  </si>
  <si>
    <t>JV/rés-OPCVM-Val acq</t>
  </si>
  <si>
    <t>FV through P&amp;L - MFU - Historical cost</t>
  </si>
  <si>
    <t>FVP&amp;L-MFU-HC</t>
  </si>
  <si>
    <t>BA302442</t>
  </si>
  <si>
    <t>JVR non SPPI - O.P.C.V.M.</t>
  </si>
  <si>
    <t>IGNR</t>
  </si>
  <si>
    <t>A23070002T</t>
  </si>
  <si>
    <t>Juste valeur par résultat - OPCVM - Revalorisation</t>
  </si>
  <si>
    <t>JV/rés-OPCVM-Reval.</t>
  </si>
  <si>
    <t>FV through P&amp;L - MFU - FV adjustments</t>
  </si>
  <si>
    <t>FVP&amp;L-MFU-FVadj</t>
  </si>
  <si>
    <t>AC=TA204112</t>
  </si>
  <si>
    <t>TA204112</t>
  </si>
  <si>
    <t>Juste valeur par résultat - Instruments de capitaux propres</t>
  </si>
  <si>
    <t>JV par résultat - Instruments de capitaux propres</t>
  </si>
  <si>
    <t>JV/rés-Instru de capitx prpres</t>
  </si>
  <si>
    <t>FV through P&amp;L - Equity instruments</t>
  </si>
  <si>
    <t>FVP&amp;L-Equity Inst</t>
  </si>
  <si>
    <t>AC=TA2041121</t>
  </si>
  <si>
    <t>TA2041121</t>
  </si>
  <si>
    <t>Juste valeur par résultat - Actions et assimilés</t>
  </si>
  <si>
    <t>JV/rés-Actions&amp;assi</t>
  </si>
  <si>
    <t>FV through P&amp;L- Equities and related securities</t>
  </si>
  <si>
    <t>FVP&amp;L-Equities secu</t>
  </si>
  <si>
    <t>A23050000T</t>
  </si>
  <si>
    <t>Juste valeur par résultat - Actions et assimilés - Valeur d'acquisition</t>
  </si>
  <si>
    <t>JV/rés-Actions&amp;assi-Val acq</t>
  </si>
  <si>
    <t>FV through P&amp;L - Equities and related securities - Historical cost</t>
  </si>
  <si>
    <t>FVP&amp;L-Equities secu-HC</t>
  </si>
  <si>
    <t>BA302444</t>
  </si>
  <si>
    <t>JVR non SPPI - Actions  et autres titres a revenu variable</t>
  </si>
  <si>
    <t>A23050002T</t>
  </si>
  <si>
    <t>Juste valeur par résultat - Actions et assimilés - Revalorisation</t>
  </si>
  <si>
    <t>JV/rés-Actions&amp;assi-Reval</t>
  </si>
  <si>
    <t>FV through P&amp;L - Equities and related securities - FV adjustments</t>
  </si>
  <si>
    <t>FVP&amp;L-Equities secu-FVadj</t>
  </si>
  <si>
    <t>AC=TA2041122</t>
  </si>
  <si>
    <t>TA2041122</t>
  </si>
  <si>
    <t>Juste valeur par résultat - Parts dans sociétés et fonds immobiliers</t>
  </si>
  <si>
    <t>JV/rés-Prts socs&amp;fonds Imos</t>
  </si>
  <si>
    <t>FV through P&amp;L - Interests in real estate companies and funds</t>
  </si>
  <si>
    <t>FVP&amp;L-Ints in RE comp funds</t>
  </si>
  <si>
    <t>A21380000T</t>
  </si>
  <si>
    <t>Juste valeur par résultat - Parts dans sociétés et fonds immobiliers - Valeur d'acquisition</t>
  </si>
  <si>
    <t>JV/rés-PrtsSoc&amp;Fond Imo-Valacq</t>
  </si>
  <si>
    <t>FV through P&amp;L - Interests in real estate companies and funds - Historical cost</t>
  </si>
  <si>
    <t>FVP&amp;L-Ints RE comp funds-HC</t>
  </si>
  <si>
    <t>A21380002T</t>
  </si>
  <si>
    <t>Juste valeur par résultat - Parts dans sociétés et fonds immobiliers - Revalorisation</t>
  </si>
  <si>
    <t>JV/rés-Prts Soc&amp;Fond Imo-Reval</t>
  </si>
  <si>
    <t>FV through P&amp;L - Interests in real estate companies and funds - FV adjustments</t>
  </si>
  <si>
    <t>FVP&amp;L-Ints RE comp funds-FVadj</t>
  </si>
  <si>
    <t>AC=TA2041123</t>
  </si>
  <si>
    <t>TA2041123</t>
  </si>
  <si>
    <t>Juste valeur par résultat - Autres Fonds</t>
  </si>
  <si>
    <t>JV/résultat-Autrs Fonds</t>
  </si>
  <si>
    <t>FV through P&amp;L - Other funds</t>
  </si>
  <si>
    <t>FVP&amp;L-Other funds</t>
  </si>
  <si>
    <t>A23490000T</t>
  </si>
  <si>
    <t>Juste valeur par résultat - Autres Fonds - Valeur d'acquisition</t>
  </si>
  <si>
    <t>JV/rés-Autrs Fonds-Val acq</t>
  </si>
  <si>
    <t>FV through P&amp;L - Other funds - Historical cost</t>
  </si>
  <si>
    <t>FVP&amp;L-Other funds-HC</t>
  </si>
  <si>
    <t>A23490002T</t>
  </si>
  <si>
    <t>Juste valeur par résultat - Autres Fonds - Revalorisation</t>
  </si>
  <si>
    <t>JV/rés-Autrs Fonds-Reval</t>
  </si>
  <si>
    <t>FV through P&amp;L - Other funds - FV adjustments</t>
  </si>
  <si>
    <t>FVP&amp;L-Other funds-FVadj</t>
  </si>
  <si>
    <t>AC=TA2041124</t>
  </si>
  <si>
    <t>TA2041124</t>
  </si>
  <si>
    <t>Juste valeur par résultat - Titres de participation non consolidés</t>
  </si>
  <si>
    <t>JV/rés-Titres Prticp nn conso</t>
  </si>
  <si>
    <t>FV through P&amp;L - Non-consolidated equity securities</t>
  </si>
  <si>
    <t>FVP&amp;L-Nn-conso equity secu</t>
  </si>
  <si>
    <t>A23060000T</t>
  </si>
  <si>
    <t>Juste valeur par résultat - Titres de participation non consolidés - Valeur d'acquisition</t>
  </si>
  <si>
    <t>JV/rés-TitrPrticpnnconso-Valac</t>
  </si>
  <si>
    <t>FV through P&amp;L - Non-consolidated equity securities - Acquisition value</t>
  </si>
  <si>
    <t>FVP&amp;L-NnConsoEqtySecu-AcqVal</t>
  </si>
  <si>
    <t>BA302445</t>
  </si>
  <si>
    <t>JVR non SPPI - Titres de participations non consolidés</t>
  </si>
  <si>
    <t>A23060002T</t>
  </si>
  <si>
    <t>Juste valeur par résultat - Titres de participation non consolidés - Revalo</t>
  </si>
  <si>
    <t>JV/rés-Titr Prt nn conso-Reval</t>
  </si>
  <si>
    <t>FV through P&amp;L - Non-consolidated equity securities - FV adjustments</t>
  </si>
  <si>
    <t>FVP&amp;L-NnConsoEqtySecu-FVadj</t>
  </si>
  <si>
    <t>AC=TA20412</t>
  </si>
  <si>
    <t>TA20412</t>
  </si>
  <si>
    <t>Juste valeur par résultat - Contrats en UC</t>
  </si>
  <si>
    <t>JV/rés-Contrats en UC</t>
  </si>
  <si>
    <t>L-C-3235 - Actifs financiers en représentation des contrats en UC</t>
  </si>
  <si>
    <t>FV through P&amp;L - UL portfolios</t>
  </si>
  <si>
    <t>FVP&amp;L-UL prf</t>
  </si>
  <si>
    <t>L-C-3235 - Investments held in UL contracts</t>
  </si>
  <si>
    <t>AC=TA204121</t>
  </si>
  <si>
    <t>TA204121</t>
  </si>
  <si>
    <t>Juste valeur par résultat - Contrats en UC - Obligations d'Etat et assimilés</t>
  </si>
  <si>
    <t>JV/rés-Cntrat UC-Obl Etat&amp;Assi</t>
  </si>
  <si>
    <t>FV through P&amp;L - UL portfolios - Government bonds and related instruments</t>
  </si>
  <si>
    <t>FVP&amp;L-UL prf-Gov bond Inst</t>
  </si>
  <si>
    <t>A24210000T</t>
  </si>
  <si>
    <t>BA302451</t>
  </si>
  <si>
    <t>Assur - Actifs représ contrats UC - Effets publics</t>
  </si>
  <si>
    <t>AC=TA204122</t>
  </si>
  <si>
    <t>TA204122</t>
  </si>
  <si>
    <t>Juste valeur par résultat - Contrats en UC - Obligations corporate non subordonnées</t>
  </si>
  <si>
    <t>JV/rés-Ctrats UC-Obl crp nnsub</t>
  </si>
  <si>
    <t>FV through P&amp;L - UL portfolios - Unsubordinated corporate bonds</t>
  </si>
  <si>
    <t>FVP&amp;L-UL prf-UnsubCorpBond</t>
  </si>
  <si>
    <t>A24220000T</t>
  </si>
  <si>
    <t>BA302452</t>
  </si>
  <si>
    <t>Assur - Actifs représ contrats UC - Oblig &amp; ATRF</t>
  </si>
  <si>
    <t>AC=TA204123</t>
  </si>
  <si>
    <t>TA204123</t>
  </si>
  <si>
    <t>Juste valeur par résultat - Contrats en UC - Obligations corporate subordonnées</t>
  </si>
  <si>
    <t>JV/rés-Ctrats UC-Obl crp sub</t>
  </si>
  <si>
    <t>FV through P&amp;L - UL portfolios - Subordinated corporate bonds</t>
  </si>
  <si>
    <t>FVP&amp;L-UL prf-Sub corp bond</t>
  </si>
  <si>
    <t>A24230000T</t>
  </si>
  <si>
    <t>BA302454</t>
  </si>
  <si>
    <t>Assur - Actifs représ contrats UC - Titres subordonnés</t>
  </si>
  <si>
    <t>AC=TA204124</t>
  </si>
  <si>
    <t>TA204124</t>
  </si>
  <si>
    <t>Juste valeur par résultat - Contrats en UC - TCN</t>
  </si>
  <si>
    <t>JV/rés-Contrats en UC-TCN</t>
  </si>
  <si>
    <t>FV through P&amp;L - UA contracts - Negotiable debt securities</t>
  </si>
  <si>
    <t>FVP&amp;L-UA Cntra-Nego debt secu</t>
  </si>
  <si>
    <t>A24290000T</t>
  </si>
  <si>
    <t>AC=TA204125</t>
  </si>
  <si>
    <t>TA204125</t>
  </si>
  <si>
    <t>Juste valeur par résultat - Contrats en UC - Actions et assimilés</t>
  </si>
  <si>
    <t>JV/rés-Ctrats UC-Actns&amp;assi</t>
  </si>
  <si>
    <t>FV through P&amp;L - UL portfolios - Equities and related securities</t>
  </si>
  <si>
    <t>FVP&amp;L-UL prf-Equities secu</t>
  </si>
  <si>
    <t>A24150000T</t>
  </si>
  <si>
    <t>JV/rés-Ctrats UC-Actions&amp;assi</t>
  </si>
  <si>
    <t>BA302461</t>
  </si>
  <si>
    <t>Assur - Actifs représ contrats UC - Actions &amp; ATRV</t>
  </si>
  <si>
    <t>AC=TA204126</t>
  </si>
  <si>
    <t>TA204126</t>
  </si>
  <si>
    <t>Juste valeur par résultat - Contrats en UC - OPCVM</t>
  </si>
  <si>
    <t>JV/rés-Ctrats UCOPCVM</t>
  </si>
  <si>
    <t>FV through P&amp;L - UL portfolios - MFU</t>
  </si>
  <si>
    <t>FVP&amp;L-UL prf-MFU</t>
  </si>
  <si>
    <t>A24470000T</t>
  </si>
  <si>
    <t>BA302453</t>
  </si>
  <si>
    <t>Assur - Actifs représ contrats UC - OPCVM</t>
  </si>
  <si>
    <t>AC=TA204127</t>
  </si>
  <si>
    <t>TA204127</t>
  </si>
  <si>
    <t>Juste valeur par résultat - Contrats en UC - Parts dans sociétés et fonds immobiliers</t>
  </si>
  <si>
    <t>JV/rés-CtraUC-Prts Soc&amp;FondImo</t>
  </si>
  <si>
    <t>FV through P&amp;L - UL portfolios - Interests in real estate companies and funds</t>
  </si>
  <si>
    <t>FVP&amp;L-UL prf-Ints RE CompFunds</t>
  </si>
  <si>
    <t>A24080000T</t>
  </si>
  <si>
    <t>AC=TA204128</t>
  </si>
  <si>
    <t>TA204128</t>
  </si>
  <si>
    <t>Juste valeur par résultat - Contrats en UC - Autres Fonds</t>
  </si>
  <si>
    <t>JV/rés-Ctrats UC-Autrs Fonds</t>
  </si>
  <si>
    <t>FV through P&amp;L - UL portfolios - Other funds</t>
  </si>
  <si>
    <t>FVP&amp;L-UL prf-Other funds</t>
  </si>
  <si>
    <t>A24090000T</t>
  </si>
  <si>
    <t>AC=TA2042</t>
  </si>
  <si>
    <t>TA2042</t>
  </si>
  <si>
    <t>Actf à la JV/rés/opt</t>
  </si>
  <si>
    <t>L-C-3230 - Actifs financiers à la juste valeur par résultat sur option</t>
  </si>
  <si>
    <t>Financial assets at FV through P&amp;L option</t>
  </si>
  <si>
    <t>Fin assets FVP&amp;Lopt</t>
  </si>
  <si>
    <t>L-C-3230 - Financial assets at fair value through P&amp;L option</t>
  </si>
  <si>
    <t>AC=TA20421</t>
  </si>
  <si>
    <t>TA20421</t>
  </si>
  <si>
    <t>Juste valeur par résultat sur option (Hors UC)</t>
  </si>
  <si>
    <t>JV par résultat sur option (Hors UC)</t>
  </si>
  <si>
    <t>JV/rés/opt (Hors UC)</t>
  </si>
  <si>
    <t>FV through P&amp;L option (non-UL)</t>
  </si>
  <si>
    <t>FVP&amp;LOpt (non-UL)</t>
  </si>
  <si>
    <t>TA204211</t>
  </si>
  <si>
    <t>Juste valeur par résultat sur option - Obligations d'Etat et assimilés</t>
  </si>
  <si>
    <t>JV /rés sr opt-ObEtat&amp;Assi</t>
  </si>
  <si>
    <t>FV through P&amp;L option - Government bonds and related instruments</t>
  </si>
  <si>
    <t>FVP&amp;LOpt-GovBondInst</t>
  </si>
  <si>
    <t>A23110000O</t>
  </si>
  <si>
    <t>Juste valeur par résultat sur option - Obligations d'Etat et assimilés - Valeur d'acquisition</t>
  </si>
  <si>
    <t>JV/rés/opt-ObEtat&amp;Assi-Valacq</t>
  </si>
  <si>
    <t>FV through P&amp;L option - Government bonds and related instruments - Historical cost</t>
  </si>
  <si>
    <t>FVP&amp;LOpt-GovBondInst-HC</t>
  </si>
  <si>
    <t>BA302450</t>
  </si>
  <si>
    <t>JVR O - Effets Publics &amp; valeurs assimilées</t>
  </si>
  <si>
    <t>A23110002O</t>
  </si>
  <si>
    <t>Juste valeur par résultat sur option - Obligations d'Etat et assimilés - Revalorisation</t>
  </si>
  <si>
    <t>JV/rés/opt-ObEtat&amp;Assi-Reval</t>
  </si>
  <si>
    <t>FV through P&amp;L option - Government bonds and related instruments - FV adjustments</t>
  </si>
  <si>
    <t>FVP&amp;LOpt-GovBondInst-FVadj</t>
  </si>
  <si>
    <t>A23110004O</t>
  </si>
  <si>
    <t>Juste valeur par résultat sur option - Obligations d'Etat et assimilés - Intérêts calculés selon la méthode TIE</t>
  </si>
  <si>
    <t>JV/rés/opt-ObEtat&amp;Assi-IrêtTIE</t>
  </si>
  <si>
    <t>FV through P&amp;L option - Government bonds and related instruments - Interest calculated by the effective interest method</t>
  </si>
  <si>
    <t xml:space="preserve">FVP&amp;LOpt-GovBondInst-Int </t>
  </si>
  <si>
    <t>A23110006O</t>
  </si>
  <si>
    <t>Juste valeur par résultat sur option - Obligations d'Etat et assimilés - ICNE</t>
  </si>
  <si>
    <t>JV/rés/opt-ObEtat&amp;Assi-ICNE</t>
  </si>
  <si>
    <t>FV through P&amp;L option - Government bonds and related instruments - Accrued interest</t>
  </si>
  <si>
    <t>FVP&amp;LOpt-GovBondInst-AccInt</t>
  </si>
  <si>
    <t>TA204212</t>
  </si>
  <si>
    <t>Juste valeur par résultat sur option - Obligations corporate non subordonnées</t>
  </si>
  <si>
    <t>JV/rés sr opt-Oblcrp nn sub</t>
  </si>
  <si>
    <t>FV through P&amp;L option - Unsubordinated corporate bonds</t>
  </si>
  <si>
    <t>FVP&amp;LOpt-UnsubCorpBond</t>
  </si>
  <si>
    <t>A23120000O</t>
  </si>
  <si>
    <t>Juste valeur par résultat sur option - Obligations corporate non subordonnées - Valeur d'acquisition</t>
  </si>
  <si>
    <t>JV/rés/opt-Obcrp nnsub-Valacq</t>
  </si>
  <si>
    <t>FV through P&amp;L option - Unsubordinated corporate bonds - Historical cost</t>
  </si>
  <si>
    <t>FVP&amp;LOpt-UnSubCorpBond-HC</t>
  </si>
  <si>
    <t>BA302455</t>
  </si>
  <si>
    <t>JVR O - Obligations et autres titres à revenu fixe</t>
  </si>
  <si>
    <t>A23120002O</t>
  </si>
  <si>
    <t>Juste valeur par résultat sur option - Obligations corporate non subordonnées - Revalorisation</t>
  </si>
  <si>
    <t>JV/rés/opt-Obcrp nnsub-Reval</t>
  </si>
  <si>
    <t>FV through P&amp;L option - Unsubordinated corporate bonds - FV adjustments</t>
  </si>
  <si>
    <t>FVP&amp;LOpt-UnSubCrpBond-FVadj</t>
  </si>
  <si>
    <t>A23120004O</t>
  </si>
  <si>
    <t>Juste valeur par résultat sur option - Obligations corporate non subordonnées - Intérêts calculés selon la méthode TIE</t>
  </si>
  <si>
    <t>JV/rés/opt-Obcrp nnsub-IrêtTIE</t>
  </si>
  <si>
    <t>FV through P&amp;L option - Unsubordinated corporate bonds - Interest calculated by the effective interest method</t>
  </si>
  <si>
    <t xml:space="preserve">FVP&amp;LOpt-UnSubCorpBond-Int </t>
  </si>
  <si>
    <t>A23120006O</t>
  </si>
  <si>
    <t>Juste valeur par résultat sur option - Obligations corporate non subordonnées - ICNE</t>
  </si>
  <si>
    <t>JV/rés/opt-Oblcrp nnsub-ICNE</t>
  </si>
  <si>
    <t>FV through P&amp;L option - Unsubordinated corporate bonds - Accrued interest</t>
  </si>
  <si>
    <t>FVP&amp;LOpt-UnSubCorpBond-AccInt</t>
  </si>
  <si>
    <t>TA204213</t>
  </si>
  <si>
    <t>Juste valeur par résultat sur option - Obligations corporate subordonnées</t>
  </si>
  <si>
    <t>JV /rés sur opt-Oblcrp sub</t>
  </si>
  <si>
    <t>FV through P&amp;L option - Subordinated corporate bonds</t>
  </si>
  <si>
    <t>FVP&amp;LOpt-SubCorpBond</t>
  </si>
  <si>
    <t>A23130000O</t>
  </si>
  <si>
    <t>Juste valeur par résultat sur option - Obligations corporate subordonnées - Valeur d'acquisition</t>
  </si>
  <si>
    <t>JV/rés/opt-Oblcrp sub-Valacq</t>
  </si>
  <si>
    <t>FV through P&amp;L option - Subordinated corporate bonds - Historical cost</t>
  </si>
  <si>
    <t>FVP&amp;LOpt-SubCorpBond-HC</t>
  </si>
  <si>
    <t>BA302483</t>
  </si>
  <si>
    <t>JVR O - Titres subordonnés</t>
  </si>
  <si>
    <t>A23130002O</t>
  </si>
  <si>
    <t>Juste valeur par résultat sur option - Obligations corporate subordonnées - Revalorisation</t>
  </si>
  <si>
    <t>JV/rés/opt-Oblcrp sub-Reval</t>
  </si>
  <si>
    <t>FV through P&amp;L option - Subordinated corporate bonds - FV adjustments</t>
  </si>
  <si>
    <t>FVP&amp;LOpt-SubCorpBond-FVadj</t>
  </si>
  <si>
    <t>A23130004O</t>
  </si>
  <si>
    <t>Juste valeur par résultat sur option - Obligations corporate subordonnées - Intérêts calculés selon la méthode TIE</t>
  </si>
  <si>
    <t>JV/rés/opt-Oblcrp sub-IrêtTIE</t>
  </si>
  <si>
    <t>FV through P&amp;L option - Subordinated corporate bonds - Interest calculated by the effective interest method</t>
  </si>
  <si>
    <t xml:space="preserve">FVP&amp;LOpt-SubCorpBond-Int </t>
  </si>
  <si>
    <t>A23130006O</t>
  </si>
  <si>
    <t>Juste valeur par résultat sur option - Obligations corporate subordonnées - ICNE</t>
  </si>
  <si>
    <t>JV/rés opt-Oblcrp sub-ICNE</t>
  </si>
  <si>
    <t>FV through P&amp;L option - Subordinated corporate bonds - Accrued interest</t>
  </si>
  <si>
    <t>FVP&amp;LOpt-SubCorpBond-AccInt</t>
  </si>
  <si>
    <t>TA204214</t>
  </si>
  <si>
    <t>Juste valeur par résultat sur option - Prêts et avances</t>
  </si>
  <si>
    <t>JV pr rés sr opt-Prts&amp;Avnce</t>
  </si>
  <si>
    <t>FV through P&amp;L option - Loans and advances</t>
  </si>
  <si>
    <t>FVP&amp;LOpt-Loans adv</t>
  </si>
  <si>
    <t>A23240000O</t>
  </si>
  <si>
    <t>Juste valeur par résultat sur option - Prêts et avances - Valeur d'acquisition</t>
  </si>
  <si>
    <t>JV/rés/opt-Prts&amp;Avnce-Val acq</t>
  </si>
  <si>
    <t>FV through P&amp;L option - Loans and advances - Historical cost</t>
  </si>
  <si>
    <t>FVP&amp;LOpt-Loans adv-HC</t>
  </si>
  <si>
    <t>BA302485</t>
  </si>
  <si>
    <t>JVR O - Clientèle - Prêts et créances</t>
  </si>
  <si>
    <t>A23240002O</t>
  </si>
  <si>
    <t>Juste valeur par résultat sur option - Prêts et avances - Revalorisation</t>
  </si>
  <si>
    <t>JV/rés opt-Prts&amp;Avnce-Reval</t>
  </si>
  <si>
    <t>FV through P&amp;L option - Loans and advances - FV adjustments</t>
  </si>
  <si>
    <t>FVP&amp;LOpt-Loans adv-FVadj</t>
  </si>
  <si>
    <t>A23240006O</t>
  </si>
  <si>
    <t>Juste valeur par résultat sur option - Prêts et avances - ICNE</t>
  </si>
  <si>
    <t>JV/rés/opt-Prts&amp;Avnce-ICNE</t>
  </si>
  <si>
    <t>FV through P&amp;L option - Loans and advances - Accrued interest</t>
  </si>
  <si>
    <t>FVP&amp;LOpt-Loans adv-Acc Int</t>
  </si>
  <si>
    <t>TA205</t>
  </si>
  <si>
    <t>Instruments dériv</t>
  </si>
  <si>
    <t>L-C-3245 - Instruments dérivés</t>
  </si>
  <si>
    <t>Derivative instruments</t>
  </si>
  <si>
    <t>Deriv Inst</t>
  </si>
  <si>
    <t>L-C-3245 - Derivatives</t>
  </si>
  <si>
    <t>AC=TA2051</t>
  </si>
  <si>
    <t>TA2051</t>
  </si>
  <si>
    <t>Instruments dérivés actifs - Futures</t>
  </si>
  <si>
    <t>Instru dériv Actf-Futures</t>
  </si>
  <si>
    <t>Derivative financial instruments (assets) - Futures</t>
  </si>
  <si>
    <t>DerivInst-Futures</t>
  </si>
  <si>
    <t>A23812000T</t>
  </si>
  <si>
    <t>Futures-Actf-Dépts garantie</t>
  </si>
  <si>
    <t>Futures - Assets - Security deposits</t>
  </si>
  <si>
    <t>Futures-Assets-Secu deposits</t>
  </si>
  <si>
    <t>BA943540</t>
  </si>
  <si>
    <t>JVR T - Taux - Autres instruments - Forward Bonds - GG - JV positive</t>
  </si>
  <si>
    <t>A23822000T</t>
  </si>
  <si>
    <t>Futures - Actif - Revalorisation</t>
  </si>
  <si>
    <t>Futures-Actf-Reval.</t>
  </si>
  <si>
    <t>Futures - Assets - FV adjustments</t>
  </si>
  <si>
    <t>Futures-Assets-FVadj</t>
  </si>
  <si>
    <t>A23832000T</t>
  </si>
  <si>
    <t>Futures-Actf-Soulte</t>
  </si>
  <si>
    <t>Futures - Assets - Equalization payments</t>
  </si>
  <si>
    <t>Futures-Assets-Equa pymnt</t>
  </si>
  <si>
    <t>A23842000T</t>
  </si>
  <si>
    <t>Futures-Actf-ICNE</t>
  </si>
  <si>
    <t>Futures - Assets - Accrued interest</t>
  </si>
  <si>
    <t>Futures-Assets-Acc Int</t>
  </si>
  <si>
    <t>AC=TA2052</t>
  </si>
  <si>
    <t>TA2052</t>
  </si>
  <si>
    <t>Instruments dérivés actifs - Equity (call et put options)</t>
  </si>
  <si>
    <t>Instru dériv Actf-Equity</t>
  </si>
  <si>
    <t>Derivative financial instruments (assets) - (call and put options)</t>
  </si>
  <si>
    <t>DerivInst-Callputop</t>
  </si>
  <si>
    <t>A23813000T</t>
  </si>
  <si>
    <t>Instruments dérivés - Equity (call &amp; Put)- Actif - Primes</t>
  </si>
  <si>
    <t>Instru dériv-Actf-Prime</t>
  </si>
  <si>
    <t>Derivative instruments -Equity (call &amp; Put)- Assets - Premiums</t>
  </si>
  <si>
    <t>Callputop-Assets-Premiums</t>
  </si>
  <si>
    <t>BA945570</t>
  </si>
  <si>
    <t>JVR T - Equity  - GG - JV positive</t>
  </si>
  <si>
    <t>Evol 37 / Evol 40</t>
  </si>
  <si>
    <t>A23823000T</t>
  </si>
  <si>
    <t>Instruments dérivés - Equity (call &amp; Put)-Actif - Revalorisation</t>
  </si>
  <si>
    <t>Instru dériv-Actf-Reval.</t>
  </si>
  <si>
    <t>Derivative instruments -Equity (call &amp; Put)- Assets - FV adjustments</t>
  </si>
  <si>
    <t xml:space="preserve">Callputop-Assets-FVadj </t>
  </si>
  <si>
    <t>A23843000T</t>
  </si>
  <si>
    <t>Instruments dérivés - Equity (call &amp; Put)- Actif - ICNE</t>
  </si>
  <si>
    <t>Instru dériv-Actf-ICNE</t>
  </si>
  <si>
    <t>Derivative instruments -Equity (call &amp; Put)- Assets - Accrued interest</t>
  </si>
  <si>
    <t xml:space="preserve">Callputop-Assets-Acc Int </t>
  </si>
  <si>
    <t>AC=TA2053</t>
  </si>
  <si>
    <t>TA2053</t>
  </si>
  <si>
    <t>Instruments dérivés actifs - Swaps</t>
  </si>
  <si>
    <t>Instru dériv Actf-Swaps</t>
  </si>
  <si>
    <t>Derivative financial instruments (assets) - Swaps</t>
  </si>
  <si>
    <t>DerivInst-Swaps</t>
  </si>
  <si>
    <t>A23815000T</t>
  </si>
  <si>
    <t>Swaps-Actf-Dépts garantie</t>
  </si>
  <si>
    <t>Swaps - Assets - Security deposits</t>
  </si>
  <si>
    <t>Swaps-Assets-Secu deposits</t>
  </si>
  <si>
    <t>BA945510</t>
  </si>
  <si>
    <t>JVR T - Change - Swaps - GG - JV positive</t>
  </si>
  <si>
    <t>Evol 26 / Evol 37</t>
  </si>
  <si>
    <t>20/05 : maintien as-is, ie non IG /!\ suppression des CL dans le PdC passif (coquille vide / grappe)</t>
  </si>
  <si>
    <t>A23825000T</t>
  </si>
  <si>
    <t>Swaps - Actif - Revalorisation</t>
  </si>
  <si>
    <t>Swaps-Actf-Reval.</t>
  </si>
  <si>
    <t>Swaps - Assets - FV adjustments</t>
  </si>
  <si>
    <t>Swaps-Assets-FVadj</t>
  </si>
  <si>
    <t>A23835000T</t>
  </si>
  <si>
    <t>Swaps-Actf-Soulte</t>
  </si>
  <si>
    <t>Swaps - Assets - Equalization payments</t>
  </si>
  <si>
    <t>Swaps-Assets-Equa pymnt</t>
  </si>
  <si>
    <t>A23845000T</t>
  </si>
  <si>
    <t>Swaps-Actf-ICNE</t>
  </si>
  <si>
    <t>Swaps - Assets - Accrued interest</t>
  </si>
  <si>
    <t>Swaps-Assets-Acc Int</t>
  </si>
  <si>
    <t>AC=TA2054</t>
  </si>
  <si>
    <t>TA2054</t>
  </si>
  <si>
    <t>Instruments dérivés actifs - Forwards</t>
  </si>
  <si>
    <t>Instru dériv Actf-Forwards</t>
  </si>
  <si>
    <t>Derivative financial instruments (assets) - Forwards</t>
  </si>
  <si>
    <t>DerivIns-Forwards</t>
  </si>
  <si>
    <t>A23816000T</t>
  </si>
  <si>
    <t>Forwards-Actf-Dépts garantie</t>
  </si>
  <si>
    <t>Forwards - Assets - Security deposits</t>
  </si>
  <si>
    <t>Forwards-Assets-Secu deposits</t>
  </si>
  <si>
    <t>A23826000T</t>
  </si>
  <si>
    <t>Forwards - Actif - Revalorisation</t>
  </si>
  <si>
    <t>Forwards-Actf-Reval.</t>
  </si>
  <si>
    <t>Forwards - Assets - FV adjustments</t>
  </si>
  <si>
    <t>Forwards-Assets-FVadj</t>
  </si>
  <si>
    <t>A23836000T</t>
  </si>
  <si>
    <t>Forwards-Actf-Soulte</t>
  </si>
  <si>
    <t>Forwards - Assets - Equalization payments</t>
  </si>
  <si>
    <t>Forwards-Assets-Equa pymnt</t>
  </si>
  <si>
    <t>A23846000T</t>
  </si>
  <si>
    <t>Forwards-Actf-ICNE</t>
  </si>
  <si>
    <t>Forwards - Assets - Accrued interest</t>
  </si>
  <si>
    <t>Forwards-Assets-Acc Int</t>
  </si>
  <si>
    <t>AC=TA2055</t>
  </si>
  <si>
    <t>TA2055</t>
  </si>
  <si>
    <t>Instruments dérivés actifs - Cap</t>
  </si>
  <si>
    <t>Instruments dériv Actf-Cap</t>
  </si>
  <si>
    <t>Derivative financial instruments (assets) - Caps</t>
  </si>
  <si>
    <t>DerivInst-Caps</t>
  </si>
  <si>
    <t>A23817000T</t>
  </si>
  <si>
    <t>Cap-Actf-Primes</t>
  </si>
  <si>
    <t>Caps - Assets - Premiums</t>
  </si>
  <si>
    <t>Caps-Assets-Premiums</t>
  </si>
  <si>
    <t>BA943921</t>
  </si>
  <si>
    <t>JVR T - Taux - Options - Caps, Floor, Collar, Swaptions - GG -JV positive</t>
  </si>
  <si>
    <t>A23827000T</t>
  </si>
  <si>
    <t>Cap - Actif - Revalorisation</t>
  </si>
  <si>
    <t>Cap-Actf-Reval.</t>
  </si>
  <si>
    <t>Caps - Assets - FV adjustments</t>
  </si>
  <si>
    <t>Caps-Assets-FVadj</t>
  </si>
  <si>
    <t>A23847000T</t>
  </si>
  <si>
    <t>Cap-Actf-ICNE</t>
  </si>
  <si>
    <t>Caps - Assets - Accrued interest</t>
  </si>
  <si>
    <t>Caps-Assets-Acc Int</t>
  </si>
  <si>
    <t>AC=TA2056</t>
  </si>
  <si>
    <t>TA2056</t>
  </si>
  <si>
    <t>Instruments dérivés actifs - Floor</t>
  </si>
  <si>
    <t>Instru dériv Actf-Floor</t>
  </si>
  <si>
    <t>Derivative financial instruments (assets) - Floors</t>
  </si>
  <si>
    <t>DerivInst-Floors</t>
  </si>
  <si>
    <t>A23818000T</t>
  </si>
  <si>
    <t>Floor-Actf-Primes</t>
  </si>
  <si>
    <t>Floors - Assets - Premiums</t>
  </si>
  <si>
    <t>Floors-Assets-Premiums</t>
  </si>
  <si>
    <t>A23828000T</t>
  </si>
  <si>
    <t>Floor - Actif - Revalorisation</t>
  </si>
  <si>
    <t>Floor-Actf-Reval.</t>
  </si>
  <si>
    <t>Floors - Assets - FV adjustments</t>
  </si>
  <si>
    <t>Floors-Assets-FVadj</t>
  </si>
  <si>
    <t>A23848000T</t>
  </si>
  <si>
    <t>Floor-Actf-ICNE</t>
  </si>
  <si>
    <t>Floors - Assets - Accrued interest</t>
  </si>
  <si>
    <t>Floors-Assets-Acc Int</t>
  </si>
  <si>
    <t>AC=TA2057</t>
  </si>
  <si>
    <t>TA2057</t>
  </si>
  <si>
    <t>Instruments dérivés actifs - Dérivés de crédit</t>
  </si>
  <si>
    <t>Instru dériv Actf-Dériv créd</t>
  </si>
  <si>
    <t>Derivative financial instruments (assets) - Credit derivatives</t>
  </si>
  <si>
    <t>DerivInst-Crdt Deriv</t>
  </si>
  <si>
    <t>A23819000T</t>
  </si>
  <si>
    <t>Dériv créd-Actf-Dépts garantie</t>
  </si>
  <si>
    <t>Credit derivatives - Assets - Security deposits</t>
  </si>
  <si>
    <t>Crdt Deriv-Assets-Secu deposit</t>
  </si>
  <si>
    <t>BA945550</t>
  </si>
  <si>
    <t>JVR T - Crédit - CDS  - GG - JV positive</t>
  </si>
  <si>
    <t>A23829000T</t>
  </si>
  <si>
    <t>Dérivés de crédit - Actif - Revalorisation</t>
  </si>
  <si>
    <t>Dériv créd-Actf-Reval</t>
  </si>
  <si>
    <t>Credit derivatives - Assets - FV adjustments</t>
  </si>
  <si>
    <t>Crdt Deriv-Assets-FVadj</t>
  </si>
  <si>
    <t>A23839000T</t>
  </si>
  <si>
    <t>Dériv crédit-Actf-Soulte</t>
  </si>
  <si>
    <t>Credit derivatives - Assets - Equalization payments</t>
  </si>
  <si>
    <t>Crdt Deriv-Assets-Equa pymnt</t>
  </si>
  <si>
    <t>A23849000T</t>
  </si>
  <si>
    <t>Dériv crédit-Actf-ICNE</t>
  </si>
  <si>
    <t>Credit derivatives - Assets - Accrued interest</t>
  </si>
  <si>
    <t>Crdt Deriv-Assets-Acc Int</t>
  </si>
  <si>
    <t>AC=TA2058</t>
  </si>
  <si>
    <t>TA2058</t>
  </si>
  <si>
    <t>Instruments dérivés actifs - Couverture du risque de change - CFH - Juste valeur positive</t>
  </si>
  <si>
    <t>InstDériActf-Risqchang-CFH-JV+</t>
  </si>
  <si>
    <t>Derivative financial instruments (assets) - Currency risk hedges - Cash flow hedges - Positive FV</t>
  </si>
  <si>
    <t>DerivInst-CcyRisk-CF Hdg+FV</t>
  </si>
  <si>
    <t>A23850000T</t>
  </si>
  <si>
    <t>InstDérivAct-Risqchang-CFH-JV+</t>
  </si>
  <si>
    <t>BA953120</t>
  </si>
  <si>
    <t>CFH - change - Swaps - GG - JV positive (ferme)</t>
  </si>
  <si>
    <t>AC=TA30</t>
  </si>
  <si>
    <t>TA30</t>
  </si>
  <si>
    <t>Plcts Autrs activités</t>
  </si>
  <si>
    <t xml:space="preserve">L-C-3240 - Placements des autres activités et autres actifs relatifs à des contrats d'assurance </t>
  </si>
  <si>
    <t>Other investments</t>
  </si>
  <si>
    <t>Other Invest</t>
  </si>
  <si>
    <t xml:space="preserve">L-C-3240 - Other investments and assets related to insurance contracts </t>
  </si>
  <si>
    <t>AC=TA301</t>
  </si>
  <si>
    <t>TA301</t>
  </si>
  <si>
    <t>AC=A23000000</t>
  </si>
  <si>
    <t>A23000000</t>
  </si>
  <si>
    <t>Placements des autres activités - Valeur d'acquisition</t>
  </si>
  <si>
    <t>Placements des autres activités - Valeur d'acq.</t>
  </si>
  <si>
    <t>Plcts Autrs actés-Val acq</t>
  </si>
  <si>
    <t>Other investments - Historical cost</t>
  </si>
  <si>
    <t>Other Invest-HC</t>
  </si>
  <si>
    <t>AC=A23000200</t>
  </si>
  <si>
    <t>A23000200</t>
  </si>
  <si>
    <t>Placements des autres activités - Revalorisation</t>
  </si>
  <si>
    <t>Placements des autres activités - Revalo.</t>
  </si>
  <si>
    <t>Plcts Autrs actés-Reval</t>
  </si>
  <si>
    <t>Other investments - FV adjustments</t>
  </si>
  <si>
    <t>Other Invest-FVadj</t>
  </si>
  <si>
    <t>AC=A23800000</t>
  </si>
  <si>
    <t>A23800000</t>
  </si>
  <si>
    <t>Placements des autres activités - Amortissement</t>
  </si>
  <si>
    <t>Placements des autres activités - AM</t>
  </si>
  <si>
    <t>Plcts Autrs activités-AM</t>
  </si>
  <si>
    <t>Other investments - Amortisation</t>
  </si>
  <si>
    <t>Other Invest-Amort</t>
  </si>
  <si>
    <t>AC=A23900000</t>
  </si>
  <si>
    <t>A23900000</t>
  </si>
  <si>
    <t>Placements des autres activités - Dépréciation</t>
  </si>
  <si>
    <t>Plcts Autrs activités-Dépr</t>
  </si>
  <si>
    <t>Other investments - Provisions for impairment</t>
  </si>
  <si>
    <t>Other Invest-Prov imp</t>
  </si>
  <si>
    <t>AC=TA40</t>
  </si>
  <si>
    <t>TA40</t>
  </si>
  <si>
    <t>Investissements dans les entreprises liées</t>
  </si>
  <si>
    <t>Investist ent lié</t>
  </si>
  <si>
    <t>L-C-3250 - Placements dans les entreprises liées</t>
  </si>
  <si>
    <t>Investments in associates</t>
  </si>
  <si>
    <t>Invest in associates</t>
  </si>
  <si>
    <t>L-C-3250 - Investments in associates</t>
  </si>
  <si>
    <t>AC=TA401</t>
  </si>
  <si>
    <t>TA401</t>
  </si>
  <si>
    <t>AC=TA4011</t>
  </si>
  <si>
    <t>TA4011</t>
  </si>
  <si>
    <t>Emprunts émis par les entreprises liées</t>
  </si>
  <si>
    <t>Emprnts émis ent lié</t>
  </si>
  <si>
    <t>Loans issued by controlled entities</t>
  </si>
  <si>
    <t>Loans iss ctrll ent</t>
  </si>
  <si>
    <t>AC=A25050000X</t>
  </si>
  <si>
    <t>A25050000X</t>
  </si>
  <si>
    <t>Emprnt émis ent lié</t>
  </si>
  <si>
    <t>Loans iss ctrl ent</t>
  </si>
  <si>
    <t>BA292000</t>
  </si>
  <si>
    <t>IGR</t>
  </si>
  <si>
    <t>AC=A25051000X</t>
  </si>
  <si>
    <t>A25051000X</t>
  </si>
  <si>
    <t>Emprunts émis par les entreprises liées - ICNE</t>
  </si>
  <si>
    <t>Emprnt émis ent lié-ICNE</t>
  </si>
  <si>
    <t>Loans issued by controlled entities - Accrued interest</t>
  </si>
  <si>
    <t>Loans iss ctrl cntit-Int</t>
  </si>
  <si>
    <t>AC=A25060000X</t>
  </si>
  <si>
    <t>A25060000X</t>
  </si>
  <si>
    <t>Titres subordonnés émis par les entreprises liées</t>
  </si>
  <si>
    <t>Titr sub émis ent lié</t>
  </si>
  <si>
    <t>Subordinated debt issued by controlled entities</t>
  </si>
  <si>
    <t>Sub debt iss by ctrl ent</t>
  </si>
  <si>
    <t>AC=A25061000X</t>
  </si>
  <si>
    <t>A25061000X</t>
  </si>
  <si>
    <t>Titres subordonnés émis par les entreprises liées - ICNE</t>
  </si>
  <si>
    <t>Titr sub émis ent lié-ICNE</t>
  </si>
  <si>
    <t>Subordinated debt issued by controlled entities - Accrued interest</t>
  </si>
  <si>
    <t>Sub debt iss by ctrl ent-Int</t>
  </si>
  <si>
    <t>AC=TA4012</t>
  </si>
  <si>
    <t>TA4012</t>
  </si>
  <si>
    <t>Placements entreprises liées</t>
  </si>
  <si>
    <t>Plcts ent lié</t>
  </si>
  <si>
    <t>Participating interests</t>
  </si>
  <si>
    <t>Part Ints</t>
  </si>
  <si>
    <t>AC=TA40121</t>
  </si>
  <si>
    <t>TA40121</t>
  </si>
  <si>
    <t>Placements entreprises liées - Titres de participation</t>
  </si>
  <si>
    <t>Plcts ent lié-Titr Prt</t>
  </si>
  <si>
    <t>Participating interests - Investments</t>
  </si>
  <si>
    <t>Part Ints-Invest</t>
  </si>
  <si>
    <t>AC=A26050000X</t>
  </si>
  <si>
    <t>A26050000X</t>
  </si>
  <si>
    <t>Placements entreprises liées - Titres de participation - Valeur d'acquisition</t>
  </si>
  <si>
    <t>Plcts ent lié-Titr Prt-Valacq</t>
  </si>
  <si>
    <t>Participating interests - Investments - Historical cost</t>
  </si>
  <si>
    <t>Part Ints-Invest-HC</t>
  </si>
  <si>
    <t>AC=A29110000X</t>
  </si>
  <si>
    <t>A29110000X</t>
  </si>
  <si>
    <t>Placements entreprises liées - Titres de participation - Dépréciation</t>
  </si>
  <si>
    <t>Plcts ent lié-Titr Prt-Dépr</t>
  </si>
  <si>
    <t>Participating interests - Investments - Provisions for impairment</t>
  </si>
  <si>
    <t>Part Ints-Invest-Prov imp</t>
  </si>
  <si>
    <t>AC=TA40122</t>
  </si>
  <si>
    <t>TA40122</t>
  </si>
  <si>
    <t>Placements entreprises liées - OPCVM</t>
  </si>
  <si>
    <t>Plcts ent lié-OPCVM</t>
  </si>
  <si>
    <t>Participating interests - MFU</t>
  </si>
  <si>
    <t>Part Ints-MFU</t>
  </si>
  <si>
    <t>AC=A26060000X</t>
  </si>
  <si>
    <t>Compte de consolidation</t>
  </si>
  <si>
    <t>A26060000X</t>
  </si>
  <si>
    <t>Placements entreprises liées - OPCVM - Valeur d'acquisition</t>
  </si>
  <si>
    <t>Plcts ent lié-OPCVM-Val acq</t>
  </si>
  <si>
    <t>Participating interests - MFU - Historical cost</t>
  </si>
  <si>
    <t>Part Ints-MFU-HC</t>
  </si>
  <si>
    <t>changement de hiérarchie - ancienne hiérarchie A</t>
  </si>
  <si>
    <t>AC=A26061000X</t>
  </si>
  <si>
    <t>A26061000X</t>
  </si>
  <si>
    <t>Placements entreprises liées - OPCVM - Revalorisation</t>
  </si>
  <si>
    <t>Plcts ent lié-OPCVM-Reval</t>
  </si>
  <si>
    <t>Participating interests - MFU - FV adjustments</t>
  </si>
  <si>
    <t>Part Ints-MFU-FVadj</t>
  </si>
  <si>
    <t>AC=A26090000X</t>
  </si>
  <si>
    <t>A26090000X</t>
  </si>
  <si>
    <t>Placements entreprises liées - OPCVM - Contrats en UC</t>
  </si>
  <si>
    <t>Plcts ent lié-OPCVM-Ctrats UC</t>
  </si>
  <si>
    <t>Participating interests - MFU - UL portfolios</t>
  </si>
  <si>
    <t>Part Ints-MFU-UL prf</t>
  </si>
  <si>
    <t>AC=TA40123</t>
  </si>
  <si>
    <t>TA40123</t>
  </si>
  <si>
    <t>Placements entreprises liées - SCI</t>
  </si>
  <si>
    <t>Plcts ent lié-SCI</t>
  </si>
  <si>
    <t>Participating interests - Shares in NTPC</t>
  </si>
  <si>
    <t>Part Ints-Sh-NTPC</t>
  </si>
  <si>
    <t>AC=A26070000X</t>
  </si>
  <si>
    <t>A26070000X</t>
  </si>
  <si>
    <t>Placements entreprises liées - SCI - Valeur d'acquisition</t>
  </si>
  <si>
    <t>Plcts ent lié-SCI-Val acq</t>
  </si>
  <si>
    <t>Participating interests - Shares in NTPC - Historical cost</t>
  </si>
  <si>
    <t>Part Ints-Sh-NTPC-HC</t>
  </si>
  <si>
    <t>AC=A29670000X</t>
  </si>
  <si>
    <t>A29670000X</t>
  </si>
  <si>
    <t>Placements entreprises liées - SCI - Dépréciation</t>
  </si>
  <si>
    <t>Plcts ent lié-SCI-Dépr</t>
  </si>
  <si>
    <t>Participating interests - Shares in NTPC - Provisions for impairment</t>
  </si>
  <si>
    <t>Part Ints-Sh-NTPC-Prov imp</t>
  </si>
  <si>
    <t>AC=A26080000X</t>
  </si>
  <si>
    <t>A26080000X</t>
  </si>
  <si>
    <t>Placements entreprises liées - SCI - Supports ACAVI - Valeur d'acquisition</t>
  </si>
  <si>
    <t>Plcts ent lié-SCI-ACAVI-Valacq</t>
  </si>
  <si>
    <t>Participating interests - Shares in NTPC - Variable annuities - Historical cost</t>
  </si>
  <si>
    <t>Part Ints-Sh-NTPC-Varannuit-HC</t>
  </si>
  <si>
    <t>AC=TA40124</t>
  </si>
  <si>
    <t>TA40124</t>
  </si>
  <si>
    <t>Placements entreprises liées - Avances, Créances et ICNE associés</t>
  </si>
  <si>
    <t>Plcts ent lié-AvnceCrnces&amp;ICNE</t>
  </si>
  <si>
    <t>Participating interests - Shares in NTPC - Advances, accrued receivables and interest</t>
  </si>
  <si>
    <t>Part Ints-Sh-NTPC-AdvReceivInt</t>
  </si>
  <si>
    <t>AC=A26051000X</t>
  </si>
  <si>
    <t>A26051000X</t>
  </si>
  <si>
    <t>Placements entreprises liées - Avances et prêts</t>
  </si>
  <si>
    <t>Plcts ent lié-Avnce&amp;Prts</t>
  </si>
  <si>
    <t>Participating interests - Shares in NTPC - Advances and loans</t>
  </si>
  <si>
    <t>Part Ints-Sh-NTPC-Adv loans</t>
  </si>
  <si>
    <t>AC=A26052000X</t>
  </si>
  <si>
    <t>A26052000X</t>
  </si>
  <si>
    <t>Placements entreprises liées - Créances rattachées</t>
  </si>
  <si>
    <t>Plcts ent lié-Crnces ratta</t>
  </si>
  <si>
    <t>Participating interests - Shares in NTPC - Accrued receivables</t>
  </si>
  <si>
    <t>Part Ints-Sh-NTPC-Acc receiv</t>
  </si>
  <si>
    <t>AC=A26053000X</t>
  </si>
  <si>
    <t>A26053000X</t>
  </si>
  <si>
    <t>Placements entreprises liées - ICNE sur créances rattachées</t>
  </si>
  <si>
    <t>Plcts ent lié-ICNE</t>
  </si>
  <si>
    <t>Related parties investments - Accrued interest / Related receivables</t>
  </si>
  <si>
    <t>RelPartiesInvest-AccInt/Receiv</t>
  </si>
  <si>
    <t>AC=TA4013</t>
  </si>
  <si>
    <t>TA4013</t>
  </si>
  <si>
    <t>Titres mis en équivalence</t>
  </si>
  <si>
    <t>Titres mis en équi</t>
  </si>
  <si>
    <t>AC=A26600000</t>
  </si>
  <si>
    <t>A26600000</t>
  </si>
  <si>
    <t>Titres mis en équivalence - Valeur d'acquisition</t>
  </si>
  <si>
    <t>Titres mis en équi-Val acq</t>
  </si>
  <si>
    <t>Investments in associates - Historical cost</t>
  </si>
  <si>
    <t>Invest in associates-HC</t>
  </si>
  <si>
    <t>BA412COE</t>
  </si>
  <si>
    <t>Titres mis en équivalence (coentreprises)</t>
  </si>
  <si>
    <t>Evol 49</t>
  </si>
  <si>
    <t>AC=A29660000</t>
  </si>
  <si>
    <t>A29660000</t>
  </si>
  <si>
    <t>Titres mis en équivalence - Dépréciation</t>
  </si>
  <si>
    <t>Titres mis en équi-Dépr</t>
  </si>
  <si>
    <t>Investments in associates - Provisions for impairment</t>
  </si>
  <si>
    <t>Invest in associates-Prov imp</t>
  </si>
  <si>
    <t>AC=A26700000</t>
  </si>
  <si>
    <t>A26700000</t>
  </si>
  <si>
    <t>Titres mis en équivalence - Ecarts d'acqusition - Brut</t>
  </si>
  <si>
    <t>Titres mis en équi-Ecr d'acq</t>
  </si>
  <si>
    <t>Investments in associates - goodwill - Gross</t>
  </si>
  <si>
    <t>Invest in associates -Gw-Gross</t>
  </si>
  <si>
    <t>Evol 61 (ex Evol 58)</t>
  </si>
  <si>
    <t>AC=A29670000</t>
  </si>
  <si>
    <t>A29670000</t>
  </si>
  <si>
    <t>Titres mis en équivalence - Ecarts d'acquisition - Dépréciation</t>
  </si>
  <si>
    <t>TitMis équi- Ecr d'acq - Depr</t>
  </si>
  <si>
    <t>Investments in associates - goodwill - Provisions for impairment</t>
  </si>
  <si>
    <t>Invest in associates-Gw-Imp</t>
  </si>
  <si>
    <t>AC=TA4014</t>
  </si>
  <si>
    <t>TA4014</t>
  </si>
  <si>
    <t>Titres entreprises liées - Compte de liaison</t>
  </si>
  <si>
    <t>Titr entr liée-Cmpt de liaison</t>
  </si>
  <si>
    <t>Participating interests - Liaison accounts</t>
  </si>
  <si>
    <t>Part Ints-Liaison acnts</t>
  </si>
  <si>
    <t>AC=A10000000L</t>
  </si>
  <si>
    <t>A10000000L</t>
  </si>
  <si>
    <t>Titres entreprises liées - Compte de liaison - Titres companie détenue</t>
  </si>
  <si>
    <t>Titres entpses liées - Cpte de liaison - Titres c/ détenue</t>
  </si>
  <si>
    <t>TitrEntlié-Cpteliai-Titdétenu</t>
  </si>
  <si>
    <t>Participating interests - Liaison accounts - Jointly-held securities</t>
  </si>
  <si>
    <t>Part Ints-LiaisAcnts-Held secu</t>
  </si>
  <si>
    <t>BA100L</t>
  </si>
  <si>
    <t>Liaison élimination titres/détenues</t>
  </si>
  <si>
    <t>AC=A10200000L</t>
  </si>
  <si>
    <t>A10200000L</t>
  </si>
  <si>
    <t>Titres entreprises liées - Compte de liaison - Titres companie détentrice</t>
  </si>
  <si>
    <t>Titres entpses liées - Cpte de liaison - Titres c/ détentrice</t>
  </si>
  <si>
    <t>TitrEntlié-Cpteliai-Titdétentr</t>
  </si>
  <si>
    <t>Participating interests - Liaison accounts - Reporting entity's accounts</t>
  </si>
  <si>
    <t>Part Ints--ReportEntityAcnts</t>
  </si>
  <si>
    <t>BA102L</t>
  </si>
  <si>
    <t>Liaison élimination titres/détentrices</t>
  </si>
  <si>
    <t>AC=TA50</t>
  </si>
  <si>
    <t>TA50</t>
  </si>
  <si>
    <t>Actf reltifs aux Ctrats ass</t>
  </si>
  <si>
    <t>Assets related to insurance contracts</t>
  </si>
  <si>
    <t>Assets to Ins Cntra</t>
  </si>
  <si>
    <t>AC=TA501</t>
  </si>
  <si>
    <t>TA501</t>
  </si>
  <si>
    <t>Actifs d'assurance</t>
  </si>
  <si>
    <t>Actf Assu</t>
  </si>
  <si>
    <t>AC=TA5011</t>
  </si>
  <si>
    <t>TA5011</t>
  </si>
  <si>
    <t>Actifs contrats d'assurance - Modèles BBA et VFA</t>
  </si>
  <si>
    <t>Actifs Contrats d'ass. - Modèles BBA et VFA</t>
  </si>
  <si>
    <t xml:space="preserve">Actf Ctrats ass-BBA et VFA </t>
  </si>
  <si>
    <t>L-C-3260 - Actifs relatifs aux contrats d'assurance - Modèles BBA et VFA</t>
  </si>
  <si>
    <t>Assets related to insurance contracts - BBA and VFA models</t>
  </si>
  <si>
    <t>Assets Ins Cntra-BBA and VFA</t>
  </si>
  <si>
    <t>L-C-3260 - Assets related to insurance contracts - BBA and VFA models</t>
  </si>
  <si>
    <t>AC=TA50111</t>
  </si>
  <si>
    <t>TA50111</t>
  </si>
  <si>
    <t>Actifs Contrats d'assurance - Modèle BBA</t>
  </si>
  <si>
    <t>Actifs Contrats d'ass. - Modèle BBA</t>
  </si>
  <si>
    <t>BBA-Actf Ctrats ass</t>
  </si>
  <si>
    <t>Assets related to insurance contracts - BBA model</t>
  </si>
  <si>
    <t>BBA-Assets Ins Cntra</t>
  </si>
  <si>
    <t>Evol 3 / Evol 12</t>
  </si>
  <si>
    <t>TA501111</t>
  </si>
  <si>
    <t>Actifs Contrats d'assurance - Modèle BBA - Provisions techniques BE</t>
  </si>
  <si>
    <t>Actifs Contrats d'ass. - Modèle BBA - Provisions techniques BE</t>
  </si>
  <si>
    <t>BBA-Actf Ctra ass-ProvtechBE</t>
  </si>
  <si>
    <t>Assets related to insurance contracts - BBA model - Technical reserves BE</t>
  </si>
  <si>
    <t>BBA-TechReserBE</t>
  </si>
  <si>
    <t>Evol 12</t>
  </si>
  <si>
    <t>Actifs Contrats d'assurrance - Modèle BBA - Provisions techniques BE pour couverture restante</t>
  </si>
  <si>
    <t>BBA-ProvTechBE</t>
  </si>
  <si>
    <t>Assets related to insurance contracts - BBA model - Technical reserves BE for remaining coverage</t>
  </si>
  <si>
    <t>Evol 2 / E vol 19 / Evol 20 / Evol 37 / Evol 40</t>
  </si>
  <si>
    <t>AC=A30700090B</t>
  </si>
  <si>
    <t>A30700090B</t>
  </si>
  <si>
    <t>Actifs Contrats d'assurrance - Modèle BBA - Provisions techniques BE pour couverture restante - Composante de perte</t>
  </si>
  <si>
    <t>Actifs Contrats d'ass. - Modèle BBA - Provisions techniques BE pour couverture restante - Composante de perte</t>
  </si>
  <si>
    <t>BBA-ProvTechBE-Pert</t>
  </si>
  <si>
    <t>Assets related to insurance contracts - BBA model - Technical reserves BE for remaining coverage - Loss component</t>
  </si>
  <si>
    <t>BBA-TechReserBE-LossComp</t>
  </si>
  <si>
    <t>Evol 2 / Evol 19 / Evol 20  / Evol 37</t>
  </si>
  <si>
    <t>A supprimer</t>
  </si>
  <si>
    <t>Actifs Contrats d'assurrance - Modèle BBA - Provisions techniques BE pour sinistres survenus</t>
  </si>
  <si>
    <t>BBA-ProvTechBE-Sinistr Surv</t>
  </si>
  <si>
    <t>Assets related to insurance contracts - BBA model - Technical reserves BE for incurred claims</t>
  </si>
  <si>
    <t>BBA-TechReserBE-Claims</t>
  </si>
  <si>
    <t>Evol 2 / Evol 37 / Evol 40</t>
  </si>
  <si>
    <r>
      <t xml:space="preserve">Actifs Contrats d'ass. - Modèle BBA - Provisions techniques BE </t>
    </r>
    <r>
      <rPr>
        <sz val="10"/>
        <color rgb="FF00B050"/>
        <rFont val="Calibri"/>
        <family val="2"/>
      </rPr>
      <t xml:space="preserve">pour couverture restante </t>
    </r>
    <r>
      <rPr>
        <sz val="10"/>
        <rFont val="Calibri"/>
        <family val="2"/>
      </rPr>
      <t>- Non actuariel</t>
    </r>
  </si>
  <si>
    <t>BBA-ProvTechBE-CR -Nn Actu</t>
  </si>
  <si>
    <t>Assets related to insurance contracts - BBA model - Technical reserves BE - for remaining coverage - Non actuarial</t>
  </si>
  <si>
    <t>BBA-TechReserBE-Nn actu</t>
  </si>
  <si>
    <t>BA36300A</t>
  </si>
  <si>
    <t>Créances nées d'op d'assurance directes (assur)</t>
  </si>
  <si>
    <r>
      <t xml:space="preserve">Evol 10 / Evol 6 / Evol 24 / Evol 25  / Evol 37 / Evol 40 / </t>
    </r>
    <r>
      <rPr>
        <sz val="10"/>
        <color rgb="FF00B050"/>
        <rFont val="Calibri"/>
        <family val="2"/>
      </rPr>
      <t>Evol 83</t>
    </r>
  </si>
  <si>
    <r>
      <t xml:space="preserve">Actifs Contrats d'ass. - Modèle BBA - Provisions techniques BE </t>
    </r>
    <r>
      <rPr>
        <sz val="10"/>
        <color rgb="FF00B050"/>
        <rFont val="Calibri"/>
        <family val="2"/>
      </rPr>
      <t xml:space="preserve">pour sinistre survenus </t>
    </r>
    <r>
      <rPr>
        <sz val="10"/>
        <rFont val="Calibri"/>
        <family val="2"/>
      </rPr>
      <t>- Non actuariel</t>
    </r>
  </si>
  <si>
    <t>Actifs Contrats d'ass. - Modèle BBA - Provisions techniques BE pour sinistre survenus - Non actuariel</t>
  </si>
  <si>
    <t>BBA-ProvTechBE-SS-Nn Actu</t>
  </si>
  <si>
    <t>Assets related to insurance contracts - BBA model - Technical reserves BE - for incurred claims - Non actuarial</t>
  </si>
  <si>
    <t>Assets related to insurance contracts - BBA model - Technical reserves BE - Non actuarial</t>
  </si>
  <si>
    <t>Evol 83</t>
  </si>
  <si>
    <t>AC=A40210000</t>
  </si>
  <si>
    <t>A40210000</t>
  </si>
  <si>
    <t>Actifs Contrats d'assurance - Modèle BBA - Créances nées d'opérations d'assurance - Autres</t>
  </si>
  <si>
    <t>Actifs Contrats d'ass. - Modèle BBA - Créances nées d'opérations d'assurance - Autres</t>
  </si>
  <si>
    <t>BBA-Crnces opé ass-Autres</t>
  </si>
  <si>
    <t>Assets related to insurance contracts - BBA / VFA models</t>
  </si>
  <si>
    <t>Assets Ins Cntra-BBA/VFA</t>
  </si>
  <si>
    <t xml:space="preserve"> Evol 37</t>
  </si>
  <si>
    <t>AC=A49210000</t>
  </si>
  <si>
    <t>A49210000</t>
  </si>
  <si>
    <t>Actifs Contrats d'assurance - Modèle BBA - Créances nées d'opérations d'assurance - Dépréciation</t>
  </si>
  <si>
    <t>Actifs Contrats d'ass. - Modèle BBA - Créances nées d'opérations d'assurance-Dépréciation</t>
  </si>
  <si>
    <t>BBA-Crnces opé ass-Dépr</t>
  </si>
  <si>
    <t>BA39500A</t>
  </si>
  <si>
    <t>Créances nées d'opération d'assurance  et de réassurance – dépréciations</t>
  </si>
  <si>
    <t>TA501112</t>
  </si>
  <si>
    <t>Actifs Contrats d'assurance - Modèle BBA - Ajustement pour risque</t>
  </si>
  <si>
    <t>Actifs Contrats d'ass. - Modèle BBA - Ajustement pour risque</t>
  </si>
  <si>
    <t>BBA-Actf Ctra ass-Ajstrisq</t>
  </si>
  <si>
    <t>Assets related to insurance contracts - BBA model - Risk adjustment</t>
  </si>
  <si>
    <t>BBA-Assets Ins Cntra-Risk adj</t>
  </si>
  <si>
    <t>Evol 5 / Evol 12</t>
  </si>
  <si>
    <t>Actifs Contrats d'assurrance - Modèle BBA - Ajustement pour risque pour couverture restante</t>
  </si>
  <si>
    <t>BBA-Ajrisq-CouvRest</t>
  </si>
  <si>
    <t>Assets related to insurance contracts - BBA model - Risk adjustment for remaining coverage</t>
  </si>
  <si>
    <t>BBA-Risk adj</t>
  </si>
  <si>
    <t>Evol 2 / Evol 19 / Evol 20 / Evol 37 / Evol 40</t>
  </si>
  <si>
    <t>AC=A30701090B</t>
  </si>
  <si>
    <t>A30701090B</t>
  </si>
  <si>
    <t>Actifs Contrats d'assurrance - Modèle BBA - Ajustement pour risque pour couverture restante - Composante de perte</t>
  </si>
  <si>
    <t>Actifs Contrats d'ass. - Modèle BBA - Ajustement pour risque pour couverture restante - Composante de perte</t>
  </si>
  <si>
    <t>BBA-Ajrisq-CouvRest-Pert</t>
  </si>
  <si>
    <t>Assets related to insurance contracts - BBA model - Risk adjustment for remaining coverage - Loss component</t>
  </si>
  <si>
    <t>BBA-Risk adj-LossComp</t>
  </si>
  <si>
    <t>Evol 2 / Evol 20 / Evol 37</t>
  </si>
  <si>
    <t>Actifs Contrats d'assurrance - Modèle BBA - Ajustement pour risque pour sinistres survenus</t>
  </si>
  <si>
    <t>BBA-Ajrisq-Sinistr Surv</t>
  </si>
  <si>
    <t>Assets related to insurance contracts - BBA model - Risk Adjustment for incurred claims</t>
  </si>
  <si>
    <t>Assets related to insurance contracts - BBA model - Risk adjustment for incurred claims</t>
  </si>
  <si>
    <t>BBA-Risk adj-Claims</t>
  </si>
  <si>
    <t>Evol 2 / Evol 19 / Evol 27 / Evol 37 / Evol 40</t>
  </si>
  <si>
    <t>TA501113</t>
  </si>
  <si>
    <t>Actifs Contrats d'assurance - Modèle BBA - Marge sur services contractuels</t>
  </si>
  <si>
    <t>Actifs Contrats d'ass. - Modèle BBA - Marge sur services contractuels</t>
  </si>
  <si>
    <t>BBA-Mrge Serv Cntrat</t>
  </si>
  <si>
    <t>Assets related to insurance contracts - BBA model - Contractual service margin</t>
  </si>
  <si>
    <t>BBA-Cntrac service margin</t>
  </si>
  <si>
    <t>Actifs Contrats d'assurrance - Modèles BBA - Marge sur services contractuels pour couverture restante</t>
  </si>
  <si>
    <t>BBA-MrgServCntraCouvRest</t>
  </si>
  <si>
    <t>Assets related to insurance contracts - BBA model - Contractual service margin for remaining coverage</t>
  </si>
  <si>
    <t>Assets related to insurance contracts - BBA model - CSM for remaining coverage</t>
  </si>
  <si>
    <t>BBA-Assets Ins Cntra-CSM</t>
  </si>
  <si>
    <t>Evol 2 / Evol 13 / Evol 19 / Evol 27 / Evol 37 / Evol 40</t>
  </si>
  <si>
    <t>TA501114</t>
  </si>
  <si>
    <t>Actifs Contrats d'assurance - Modèle BBA- Cptes liaison et ajust.</t>
  </si>
  <si>
    <t>Actifs Contrats d'ass.- Modèle BBA- Cptes liaison et ajust.</t>
  </si>
  <si>
    <t>Actf Ctra ass-BBA-CptLiai&amp;Ajus</t>
  </si>
  <si>
    <t>Assets related to insurance contracts - BBA models- liaison account &amp; adjust.</t>
  </si>
  <si>
    <t>BBA s-liaison acnt&amp;adj</t>
  </si>
  <si>
    <t>Evol 12 / Evol 40</t>
  </si>
  <si>
    <t>Sprint 10</t>
  </si>
  <si>
    <t>A3078100BL</t>
  </si>
  <si>
    <r>
      <t xml:space="preserve">Actifs Contrats d'assurance - Modèle BBA - Liaison </t>
    </r>
    <r>
      <rPr>
        <sz val="10"/>
        <color rgb="FFFF0000"/>
        <rFont val="Calibri"/>
        <family val="2"/>
      </rPr>
      <t>- couverture restante</t>
    </r>
  </si>
  <si>
    <r>
      <t>Actf Ctrats ass-Mdl BBA-L</t>
    </r>
    <r>
      <rPr>
        <sz val="10"/>
        <color rgb="FFFF0000"/>
        <rFont val="Calibri"/>
        <family val="2"/>
      </rPr>
      <t>Couv</t>
    </r>
  </si>
  <si>
    <r>
      <t xml:space="preserve">Assets related to insurance contracts - BBA models-Liaison account </t>
    </r>
    <r>
      <rPr>
        <sz val="10"/>
        <color rgb="FFFF0000"/>
        <rFont val="Calibri"/>
        <family val="2"/>
      </rPr>
      <t>- remaining coverage</t>
    </r>
  </si>
  <si>
    <r>
      <t xml:space="preserve">BBA s-Liaison acnt </t>
    </r>
    <r>
      <rPr>
        <sz val="10"/>
        <color rgb="FFFF0000"/>
        <rFont val="Calibri"/>
        <family val="2"/>
      </rPr>
      <t>RemCov</t>
    </r>
  </si>
  <si>
    <t>Evol 37 / Evol 40 / Evol 48 /Evol 85</t>
  </si>
  <si>
    <r>
      <t xml:space="preserve">Actifs Contrats d'assurance - Modèle BBA - Ajustement </t>
    </r>
    <r>
      <rPr>
        <sz val="10"/>
        <color rgb="FFFF0000"/>
        <rFont val="Calibri"/>
        <family val="2"/>
      </rPr>
      <t>- couverture restante</t>
    </r>
  </si>
  <si>
    <r>
      <t>Actf Ctrats ass-MdlBBA-Aj</t>
    </r>
    <r>
      <rPr>
        <sz val="10"/>
        <color rgb="FFFF0000"/>
        <rFont val="Calibri"/>
        <family val="2"/>
      </rPr>
      <t>Couv</t>
    </r>
  </si>
  <si>
    <r>
      <t xml:space="preserve">Assets related to insurance contracts - BBA models-adjustment </t>
    </r>
    <r>
      <rPr>
        <sz val="10"/>
        <color rgb="FFFF0000"/>
        <rFont val="Calibri"/>
        <family val="2"/>
      </rPr>
      <t>- remaining coverage</t>
    </r>
  </si>
  <si>
    <r>
      <t>Assets to Ins Cntra-BBA-</t>
    </r>
    <r>
      <rPr>
        <sz val="10"/>
        <color rgb="FFFF0000"/>
        <rFont val="Calibri"/>
        <family val="2"/>
      </rPr>
      <t>adjRem</t>
    </r>
  </si>
  <si>
    <t>AC=A3078101BL</t>
  </si>
  <si>
    <t>A3078101BL</t>
  </si>
  <si>
    <t>Actifs Contrats d'assurance - Modèle  BBA - Liaison - sinistres survenus</t>
  </si>
  <si>
    <t>Actifs Contrats d'ass. - Modèle  BBA - Liaison - sinistres survenus</t>
  </si>
  <si>
    <t>Actf Ctrats ass-Mdl BBA-LiaSin</t>
  </si>
  <si>
    <t>Assets related to insurance contracts - BBA models-Liaison account - incurred claims</t>
  </si>
  <si>
    <t>BBA s-Liaison acntClaims</t>
  </si>
  <si>
    <t>Evol 85</t>
  </si>
  <si>
    <t>Actf Ctrats ass-MdlBBA-AjstSin</t>
  </si>
  <si>
    <t>Assets related to insurance contracts - BBA models-adjustment - incurred claims</t>
  </si>
  <si>
    <t>Assets to Ins Cntra-BBA s-adCl</t>
  </si>
  <si>
    <t>AC=TA50112</t>
  </si>
  <si>
    <t>TA50112</t>
  </si>
  <si>
    <t>Actifs Contrats d'assurrance - Modèle VFA</t>
  </si>
  <si>
    <t>Actifs Contrats d'ass. - Modèle VFA</t>
  </si>
  <si>
    <t>VFA-Actf Ctrats ass</t>
  </si>
  <si>
    <t>Assets related to insurance contracts - VFA model</t>
  </si>
  <si>
    <t>VFA-Assets Ins Cntra</t>
  </si>
  <si>
    <t>Evol 3 / Evol 12 / Evol 40</t>
  </si>
  <si>
    <t>TA501121</t>
  </si>
  <si>
    <t>Actifs Contrats d'assurance - Modèle VFA - Provisions techniques BE</t>
  </si>
  <si>
    <t>Actifs Contrats d'ass - Modèle VFA - Provisions techniques BE</t>
  </si>
  <si>
    <t>VFA-Actf Ctra ass-ProvtechBE</t>
  </si>
  <si>
    <t>Assets related to insurance contracts - VFA model - Technical reserves BE</t>
  </si>
  <si>
    <t>VFA-TechReserBE</t>
  </si>
  <si>
    <t>Actifs Contrats d'assurrance - Modèle VFA - Provisions techniques BE pour couverture restante</t>
  </si>
  <si>
    <t>VFA-ProvTechBE</t>
  </si>
  <si>
    <t>Assets related to insurance contracts - VFA model - Technical reserves BE for remaining coverage</t>
  </si>
  <si>
    <t>Evol 2 / Evol 19 / Evol 20 / Evol 37</t>
  </si>
  <si>
    <t>AC=A30700090V</t>
  </si>
  <si>
    <t>A30700090V</t>
  </si>
  <si>
    <t>Actifs Contrats d'assurrance - Modèle VFA - Provisions techniques BE pour couverture restante - Composante de perte</t>
  </si>
  <si>
    <t>Actifs Contrats d'ass. - Modèle VFA - Provisions techniques BE pour couverture restante - Composante de perte</t>
  </si>
  <si>
    <t>VFA-ProvTechBE-Pert</t>
  </si>
  <si>
    <t>Assets related to insurance contracts - VFA model - Technical reserves BE for remaining coverage - Loss component</t>
  </si>
  <si>
    <t>VFA-TechReserBE-LossComp</t>
  </si>
  <si>
    <t>Actifs Contrats d'assurrance - Modèle VFA - Provisions techniques BE pour sinistres survenus</t>
  </si>
  <si>
    <t>VFA-ProvTechBE-Sinistr Surv</t>
  </si>
  <si>
    <t>Assets related to insurance contracts - VFA model - Technical reserves BE for incurred claims</t>
  </si>
  <si>
    <t>VFA-TechReserBE-Claims</t>
  </si>
  <si>
    <r>
      <t xml:space="preserve">Actifs Contrats d'ass. - Modèle VFA - Provisions techniques BE  </t>
    </r>
    <r>
      <rPr>
        <sz val="10"/>
        <color rgb="FF00B050"/>
        <rFont val="Calibri"/>
        <family val="2"/>
      </rPr>
      <t>pour couverture restante</t>
    </r>
    <r>
      <rPr>
        <sz val="10"/>
        <rFont val="Calibri"/>
        <family val="2"/>
      </rPr>
      <t xml:space="preserve"> - Non actuariel</t>
    </r>
  </si>
  <si>
    <t>VFA-ProvTechBE-CR -Nn Actu</t>
  </si>
  <si>
    <t>Assets related to insurance contracts - VFA model - Technical reserves BE - for remaining coverage - Non actuarial</t>
  </si>
  <si>
    <t>VFA-TechReserBE-Nn actu</t>
  </si>
  <si>
    <r>
      <t xml:space="preserve">Evol 10 / Evol 6 / Evol 19 / Evol 24 / Evol 37 / </t>
    </r>
    <r>
      <rPr>
        <sz val="10"/>
        <color rgb="FF00B050"/>
        <rFont val="Calibri"/>
        <family val="2"/>
      </rPr>
      <t>Evol 83</t>
    </r>
  </si>
  <si>
    <r>
      <t xml:space="preserve">Actifs Contrats d'ass. - Modèle VFA - Provisions techniques BE  </t>
    </r>
    <r>
      <rPr>
        <sz val="10"/>
        <color rgb="FF00B050"/>
        <rFont val="Calibri"/>
        <family val="2"/>
      </rPr>
      <t>pour sinistre survenus</t>
    </r>
    <r>
      <rPr>
        <sz val="10"/>
        <rFont val="Calibri"/>
        <family val="2"/>
      </rPr>
      <t xml:space="preserve"> - Non actuariel</t>
    </r>
  </si>
  <si>
    <t>Actifs Contrats d'ass. - Modèle VFA - Provisions techniques BE  pour sinistre survenus - Non actuariel</t>
  </si>
  <si>
    <t>VFA-ProvTechBE-SS-Nn Actu</t>
  </si>
  <si>
    <t>Assets related to insurance contracts - VFA model - Technical reserves BE - for incurred claims - Non actuarial</t>
  </si>
  <si>
    <t>evol 83</t>
  </si>
  <si>
    <t>TA501122</t>
  </si>
  <si>
    <t>Actifs Contrats d'assurance - Modèle VFA - Ajustement pour risque</t>
  </si>
  <si>
    <t>Actifs Contrats d'ass. - Modèle VFA - Ajustement pour risque</t>
  </si>
  <si>
    <t>VFA-Actf Ctra ass-Ajstrisq</t>
  </si>
  <si>
    <t>Assets related to insurance contracts - VFA model - Risk adjustment</t>
  </si>
  <si>
    <t>VFA-Assets Ins Cntra-Risk adj</t>
  </si>
  <si>
    <t>Actifs Contrats d'assurrance - Modèle VFA - Ajustement pour risque pour couverture restante</t>
  </si>
  <si>
    <t>VFA-Ajrisq-CouvRest</t>
  </si>
  <si>
    <t>Assets related to insurance contracts - VFA model- Risk adjustment for remaining coverage</t>
  </si>
  <si>
    <t>Assets related to insurance contracts - VFA model - Risk adjustment for remaining coverage</t>
  </si>
  <si>
    <t>VFA-Risk adj</t>
  </si>
  <si>
    <t>AC=A30701090V</t>
  </si>
  <si>
    <t>A30701090V</t>
  </si>
  <si>
    <t>Actifs Contrats d'assurrance - Modèle VFA - Ajustement pour risque pour couverture restante - Composante de perte</t>
  </si>
  <si>
    <t>Actifs Contrats d'ass. - Modèle VFA - Ajustement pour risque pour couverture restante - Composante de perte</t>
  </si>
  <si>
    <t>VFA-Ajrisq-CouvRest-Pert</t>
  </si>
  <si>
    <t>Assets related to insurance contracts - VFA model - Risk adjustment for remaining coverage - Loss component</t>
  </si>
  <si>
    <t>VFA-Risk adj-LossComp</t>
  </si>
  <si>
    <t>Actifs Contrats d'assurrance - Modèle VFA - Ajustement pour risque pour sinistres survenus</t>
  </si>
  <si>
    <t>VFA-Ajrisq-Sinistr Surv</t>
  </si>
  <si>
    <t>Assets related to insurance contracts - VFA model - Risk adjustment for incurred claims</t>
  </si>
  <si>
    <t>VFA-Risk adj-Claims</t>
  </si>
  <si>
    <t>Evol 2 / Evol 19 / Evol 37</t>
  </si>
  <si>
    <t>TA501123</t>
  </si>
  <si>
    <t>Actifs Contrats d'assurance - Modèle VFA - Marge sur services contractuels</t>
  </si>
  <si>
    <t>Actifs Contrats d'ass. - Modèle VFA - Marge sur services contractuels</t>
  </si>
  <si>
    <t>VFA-Mrg Serv Cntra</t>
  </si>
  <si>
    <t>Assets related to insurance contracts - VFA model - Contractual service margin</t>
  </si>
  <si>
    <t>VFA-Cntrac service margin</t>
  </si>
  <si>
    <t>Actifs Contrats d'assurrance - Modèle VFA - Marge sur services contractuels pour couverture restante</t>
  </si>
  <si>
    <t>VFA-MrgServCntraCouvRest</t>
  </si>
  <si>
    <t>Assets related to insurance contracts - VFA model - Contractual service margin for remaining coverage</t>
  </si>
  <si>
    <t>Assets related to insurance contracts - VFA model - CSM for remaining coverage</t>
  </si>
  <si>
    <t xml:space="preserve">VFA-Assets Ins Cntra-CSM </t>
  </si>
  <si>
    <t>TA501124</t>
  </si>
  <si>
    <t>Actifs Contrats d'assurance - Modèle VFA - Comptes liaison et ajustement</t>
  </si>
  <si>
    <t>Actifs Contrats d'ass.- Modèle VFA- Cptes liaison et ajust.</t>
  </si>
  <si>
    <t>Actf Ctra ass-VFA-CptLiai&amp;Ajus</t>
  </si>
  <si>
    <t>Assets related to insurance contracts - VFA models- liaison account &amp; adjust.</t>
  </si>
  <si>
    <t>VFA s-liaison acnt&amp;adj</t>
  </si>
  <si>
    <t>A3078100VL</t>
  </si>
  <si>
    <r>
      <t xml:space="preserve">Actifs Contrats d'assurance - Modèle VFA- Liaison </t>
    </r>
    <r>
      <rPr>
        <sz val="10"/>
        <color rgb="FFFF0000"/>
        <rFont val="Calibri"/>
        <family val="2"/>
      </rPr>
      <t>- couverture restante</t>
    </r>
  </si>
  <si>
    <r>
      <t>Actf Ctrats ass-Mdl VFA-L</t>
    </r>
    <r>
      <rPr>
        <sz val="10"/>
        <color rgb="FFFF0000"/>
        <rFont val="Calibri"/>
        <family val="2"/>
      </rPr>
      <t>Couv</t>
    </r>
  </si>
  <si>
    <r>
      <t xml:space="preserve">Assets related to insurance contracts - VFA models-Liaison account </t>
    </r>
    <r>
      <rPr>
        <sz val="10"/>
        <color rgb="FFFF0000"/>
        <rFont val="Calibri"/>
        <family val="2"/>
      </rPr>
      <t>- remaining coverage</t>
    </r>
  </si>
  <si>
    <r>
      <t xml:space="preserve">VFA s-Liaison acnt </t>
    </r>
    <r>
      <rPr>
        <sz val="10"/>
        <color rgb="FFFF0000"/>
        <rFont val="Calibri"/>
        <family val="2"/>
      </rPr>
      <t>RemCov</t>
    </r>
  </si>
  <si>
    <t>Evol 37 / Evol 40 / Evol 48 / Evol 85</t>
  </si>
  <si>
    <r>
      <t xml:space="preserve">Actifs Contrats d'assurance - Modèle VFA - Ajustement </t>
    </r>
    <r>
      <rPr>
        <sz val="10"/>
        <color rgb="FFFF0000"/>
        <rFont val="Calibri"/>
        <family val="2"/>
      </rPr>
      <t>- couverture restante</t>
    </r>
  </si>
  <si>
    <r>
      <t>Actf Ctrats ass-MdlVFA-Aj</t>
    </r>
    <r>
      <rPr>
        <sz val="10"/>
        <color rgb="FFFF0000"/>
        <rFont val="Calibri"/>
        <family val="2"/>
      </rPr>
      <t>Couv</t>
    </r>
  </si>
  <si>
    <r>
      <t xml:space="preserve">Assets related to insurance contracts - VFA models-adjustment </t>
    </r>
    <r>
      <rPr>
        <sz val="10"/>
        <color rgb="FFFF0000"/>
        <rFont val="Calibri"/>
        <family val="2"/>
      </rPr>
      <t>- remaining coverage</t>
    </r>
  </si>
  <si>
    <r>
      <t xml:space="preserve">Assets to Ins Cntra-VFA </t>
    </r>
    <r>
      <rPr>
        <sz val="10"/>
        <color rgb="FFFF0000"/>
        <rFont val="Calibri"/>
        <family val="2"/>
      </rPr>
      <t>adjRem</t>
    </r>
  </si>
  <si>
    <t>Evol 19 / Evol 37 / Evol 39 / Evol 40 / Evol 48 / Evol 85</t>
  </si>
  <si>
    <t>A3078101VL</t>
  </si>
  <si>
    <t>Actifs Contrats d'assurance - Modèle  VFA- Liaison - sinistres survenus</t>
  </si>
  <si>
    <t>Actf Ctrats ass-Mdl VFA-LiaSin</t>
  </si>
  <si>
    <t>Assets related to insurance contracts - VFA models-Liaison account - incurred claims</t>
  </si>
  <si>
    <t>VFA s-Liaison acntClaims</t>
  </si>
  <si>
    <t>Actf Ctrats ass-MdlVFA-AjstSin</t>
  </si>
  <si>
    <t>Assets related to insurance contracts - VFA models-adjustment - incurred claims</t>
  </si>
  <si>
    <t>Assets to Ins Cntra-VFA s-adCl</t>
  </si>
  <si>
    <t>TA5013</t>
  </si>
  <si>
    <t>Actifs Contrats d'assurance - Modèle PAA</t>
  </si>
  <si>
    <t>Actifs Contrats d'ass. - Modèle PAA</t>
  </si>
  <si>
    <t>PAA-Actf Ctrats ass</t>
  </si>
  <si>
    <t>L-C-3265 - Actifs relatifs aux contrats d'assurance - Modèle PAA</t>
  </si>
  <si>
    <t>Assets related to insurance contracts - PAA model</t>
  </si>
  <si>
    <t>PAA-Assets Ins Cntra</t>
  </si>
  <si>
    <t>L-C-3265 - Assets related to insurance contracts - PAA model</t>
  </si>
  <si>
    <t>Evol 3</t>
  </si>
  <si>
    <t>AC=TA50131</t>
  </si>
  <si>
    <t>TA50131</t>
  </si>
  <si>
    <t>PAA-Actf Cntrats ass</t>
  </si>
  <si>
    <t>Evol 3 / Evol 15 / Evol 19</t>
  </si>
  <si>
    <t>TA501311</t>
  </si>
  <si>
    <t>Actifs Contrats d'assurance - Modèle PAA - Provisions techniques BE</t>
  </si>
  <si>
    <t>Actifs Contrats d'ass. - Modèle PAA - Provisions techniques BE</t>
  </si>
  <si>
    <t>PAA-Actf Ctra ass-ProvtechBE</t>
  </si>
  <si>
    <t>Assets related to insurance contracts - PAA model - Technical reserves BE</t>
  </si>
  <si>
    <t>PAA-TechReserBE</t>
  </si>
  <si>
    <t>Evol 15</t>
  </si>
  <si>
    <t>Actifs Contrats d'assurrance - Modèle PAA - Provisions techniques BE pour couverture restante</t>
  </si>
  <si>
    <t>PAA-ProvtechBE</t>
  </si>
  <si>
    <t>Assets related to insurance contracts - PAA model - Technical reserves BE for remaining coverage</t>
  </si>
  <si>
    <t>Evol 2 / Evol 11 / Evol 13 / Evol 19 / Evol 20 / Evol 27 / Evol 37</t>
  </si>
  <si>
    <t>AC=A30700090P</t>
  </si>
  <si>
    <t>A30700090P</t>
  </si>
  <si>
    <t>Actifs Contrats d'assurrance - Modèle PAA - Provisions techniques BE pour couverture restante - Composante de perte</t>
  </si>
  <si>
    <t>Actifs Contrats d'ass. - Modèle PAA - Provisions techniques BE pour couverture restante - Composante de perte</t>
  </si>
  <si>
    <t>PAA-ProvtechBE-Pert</t>
  </si>
  <si>
    <t>Assets related to insurance contracts - PAA model - Technical reserves BE for remaining coverage - Loss component</t>
  </si>
  <si>
    <t>PAA-TechReserBE-LossComp</t>
  </si>
  <si>
    <t>Evol 2 / Evol 11 / Evol 19 / Evol 20 / Evol 37</t>
  </si>
  <si>
    <t>Actifs Contrats d'assurrance - Modèle PAA - Provisions techniques BE pour sinistres survenus</t>
  </si>
  <si>
    <t>PAA-ProvTechBE-Sinistr Surv</t>
  </si>
  <si>
    <t>Assets related to insurance contracts - PAA model - Technical reserves BE for incurred claims</t>
  </si>
  <si>
    <t>PAA-TechReserBE-Claims</t>
  </si>
  <si>
    <t>Evol 2 / Evol 19 / Evol 27 / Evol 37</t>
  </si>
  <si>
    <r>
      <t xml:space="preserve">Actifs Contrats d'ass. - Modèle PAA - Provisions techniques BE </t>
    </r>
    <r>
      <rPr>
        <sz val="10"/>
        <color rgb="FF00B050"/>
        <rFont val="Calibri"/>
        <family val="2"/>
      </rPr>
      <t>pour couverture restante</t>
    </r>
    <r>
      <rPr>
        <sz val="10"/>
        <rFont val="Calibri"/>
        <family val="2"/>
      </rPr>
      <t xml:space="preserve"> - Non actuariel</t>
    </r>
  </si>
  <si>
    <t>PAA-ProvTechBE-CR -Nn Actu</t>
  </si>
  <si>
    <t>Assets related to insurance contracts - PAA model - Technical reserves BE - for remaining coverage - Non actuarial</t>
  </si>
  <si>
    <t>PAA-TechReserBE-Nn actu</t>
  </si>
  <si>
    <t>Evol 10 / Evol 6 / Evol 19 / Evol 24 / Evol 25 / Evol 37 / Evol 40 / evol 83</t>
  </si>
  <si>
    <r>
      <t xml:space="preserve">Actifs Contrats d'ass. - Modèle PAA - Provisions techniques BE </t>
    </r>
    <r>
      <rPr>
        <sz val="10"/>
        <color rgb="FF00B050"/>
        <rFont val="Calibri"/>
        <family val="2"/>
      </rPr>
      <t xml:space="preserve">pour sinistre survenus </t>
    </r>
    <r>
      <rPr>
        <sz val="10"/>
        <rFont val="Calibri"/>
        <family val="2"/>
      </rPr>
      <t>- Non actuariel</t>
    </r>
  </si>
  <si>
    <t>Actifs Contrats d'ass. - Modèle PAA - Provisions techniques BE pour sinistre survenus - Non actuariel</t>
  </si>
  <si>
    <t>PAA-ProvTechBE-SS-Nn Actu</t>
  </si>
  <si>
    <t>Assets related to insurance contracts - PAA model - Technical reserves BE - for incurred claims - Non actuarial</t>
  </si>
  <si>
    <t>Actifs Contrats d'assurance - Modèle PAA - Créances nées d'opérations d'assurance - Autres</t>
  </si>
  <si>
    <t>Actifs Contrats d'ass. - Modèle PAA - Créances nées d'opérations d'assurance - Autres</t>
  </si>
  <si>
    <t>PAA-Crnce né opé ass-Autrs</t>
  </si>
  <si>
    <t>Assets related to insurance contracts - PAA model - Receivables arising from insurance transactions - Other</t>
  </si>
  <si>
    <t>PAA-xx</t>
  </si>
  <si>
    <t>Evol 10 / Evol 13 / Evol 37</t>
  </si>
  <si>
    <t>Actifs Contrats d'assurance - Modèle PAA - Créances nées d'opérations d'assurance- Dépréciation</t>
  </si>
  <si>
    <t>Actifs Contrats d'ass. - Modèle PAA - Créances nées d'opérations d'assurance- Dépréciation</t>
  </si>
  <si>
    <t>PAA-Crnce né opé ass-Dépr</t>
  </si>
  <si>
    <t>Assets related to insurance contracts - PAA model - Receivables arising from insurance transactions - Provisions for impairment</t>
  </si>
  <si>
    <t>Assets related to insurance contracts - PAA model - Receivables arising from insurance transactions - Prov for impair</t>
  </si>
  <si>
    <t>TA501312</t>
  </si>
  <si>
    <t>Actifs Contrats d'assurance - Modèle PAA - Ajustement pour risque</t>
  </si>
  <si>
    <t>Actifs Contrats d'ass. - Modèle PAA - Ajustement pour risque</t>
  </si>
  <si>
    <t>PAA-Actf Ctra ass-Ajstrisq</t>
  </si>
  <si>
    <t>Assets related to insurance contracts - PAA model - Risk adjustment</t>
  </si>
  <si>
    <t>PAA-Assets Ins Cntra-Risk adj</t>
  </si>
  <si>
    <t>Actifs Contrats d'assurrance - Modèle PAA - Ajustement pour risque pour sinistres survenus</t>
  </si>
  <si>
    <t>PAA-Ajrisq-Sinistr Surv</t>
  </si>
  <si>
    <t>Assets related to insurance contracts - PAA model - Risk adjustment for incurred claims</t>
  </si>
  <si>
    <t>PAA-Risk adj-Claims</t>
  </si>
  <si>
    <t>Evol 2 / Evol 37</t>
  </si>
  <si>
    <t>TA501313</t>
  </si>
  <si>
    <t>Actifs Contrats d'assurance - Modèle PAA - Comptes de liaison et ajustement</t>
  </si>
  <si>
    <t>Actifs Contrats d'ass.- Modèle PAA- Cptes liaison et ajust.</t>
  </si>
  <si>
    <t>Actf Ctra ass-PAA-CptLiai&amp;Ajus</t>
  </si>
  <si>
    <t>Assets related to insurance contracts - PAA models- liaison account &amp; adjust.</t>
  </si>
  <si>
    <t>PAA-Liaison acc&amp;adjust</t>
  </si>
  <si>
    <t>AC=A3078100PL</t>
  </si>
  <si>
    <t>A3078100PL</t>
  </si>
  <si>
    <r>
      <t xml:space="preserve">Actifs Contrats d'assurance - Modèle PAA - Liaison </t>
    </r>
    <r>
      <rPr>
        <sz val="10"/>
        <color rgb="FFFF0000"/>
        <rFont val="Calibri"/>
        <family val="2"/>
      </rPr>
      <t>- couverture restante</t>
    </r>
  </si>
  <si>
    <t>Actifs Contrats d'ass - Modèle PAA- liaison - couverture restante</t>
  </si>
  <si>
    <r>
      <t>Actf Ctrats ass-Mdl PAA-L</t>
    </r>
    <r>
      <rPr>
        <sz val="10"/>
        <color rgb="FFFF0000"/>
        <rFont val="Calibri"/>
        <family val="2"/>
      </rPr>
      <t>Couv</t>
    </r>
  </si>
  <si>
    <r>
      <t xml:space="preserve">Assets related to insurance contracts - PAA models-Liaison account </t>
    </r>
    <r>
      <rPr>
        <sz val="10"/>
        <color rgb="FFFF0000"/>
        <rFont val="Calibri"/>
        <family val="2"/>
      </rPr>
      <t>- remaining coverage</t>
    </r>
  </si>
  <si>
    <r>
      <t xml:space="preserve">PAA-Liaison acc </t>
    </r>
    <r>
      <rPr>
        <sz val="10"/>
        <color rgb="FFFF0000"/>
        <rFont val="Calibri"/>
        <family val="2"/>
      </rPr>
      <t>RemCov</t>
    </r>
  </si>
  <si>
    <t>Evol 19 / Evol 37 / Evol 40 / Evol 48 / Evol 85</t>
  </si>
  <si>
    <r>
      <t xml:space="preserve">Actifs Contrats d'assurance - Modèle PAA - Ajustement </t>
    </r>
    <r>
      <rPr>
        <sz val="10"/>
        <color rgb="FFFF0000"/>
        <rFont val="Calibri"/>
        <family val="2"/>
      </rPr>
      <t>- couverture restante</t>
    </r>
  </si>
  <si>
    <r>
      <t>Actf Ctrats ass-MdlePAA-Aj</t>
    </r>
    <r>
      <rPr>
        <sz val="10"/>
        <color rgb="FFFF0000"/>
        <rFont val="Calibri"/>
        <family val="2"/>
      </rPr>
      <t>Couv</t>
    </r>
  </si>
  <si>
    <r>
      <t xml:space="preserve">Assets related to insurance contracts - PAA models-adjustment </t>
    </r>
    <r>
      <rPr>
        <sz val="10"/>
        <color rgb="FFFF0000"/>
        <rFont val="Calibri"/>
        <family val="2"/>
      </rPr>
      <t>- remaining coverage</t>
    </r>
  </si>
  <si>
    <r>
      <t xml:space="preserve">PAA-Adjust </t>
    </r>
    <r>
      <rPr>
        <sz val="10"/>
        <color rgb="FFFF0000"/>
        <rFont val="Calibri"/>
        <family val="2"/>
      </rPr>
      <t>RemCov</t>
    </r>
  </si>
  <si>
    <t>Evol 4/ Evol 19 / Evol 37 / Evol 39 / Evol 40 / Evol 48 / Evol 85</t>
  </si>
  <si>
    <t>A3078101PL</t>
  </si>
  <si>
    <t>Actifs Contrats d'assurance - Modèle PAA - Liaison - sinistres survenus</t>
  </si>
  <si>
    <t>Actf Ctrats ass-Mdl PAA-LiaSin</t>
  </si>
  <si>
    <t>Assets related to insurance contracts - PAA models-Liaison account - incurred claims</t>
  </si>
  <si>
    <t>PAA-Liaison accClaims</t>
  </si>
  <si>
    <t>Actifs Contrats d'ass - Modèle PAA-Ajust. - sinistres survenus</t>
  </si>
  <si>
    <t>Actf Ctrats ass-MdlPAA-AjstSin</t>
  </si>
  <si>
    <t>Assets related to insurance contracts - PAA models-adjustment - incurred claims</t>
  </si>
  <si>
    <t>PAA-AdjustClaims</t>
  </si>
  <si>
    <t>TA5014</t>
  </si>
  <si>
    <t>Actf frais acq nn aff ctt assu</t>
  </si>
  <si>
    <t>L-C-3280 - Actifs comptabilisés au titre des flux de trésorerie liés aux flux d'acquisition</t>
  </si>
  <si>
    <t>Assets related to acquisition costs non allocated to insurance contracts</t>
  </si>
  <si>
    <t>Assets acq costs nn Ins Cntra</t>
  </si>
  <si>
    <t>L-C-3280 - Asset booked as cash flow related to acquisition costs</t>
  </si>
  <si>
    <t>Evol 1 / Evol 54 (ex Evol 51)</t>
  </si>
  <si>
    <t>DAC et assimilés-BBA/VFA</t>
  </si>
  <si>
    <t>Deferred acquisition costs - BBA and VFA models</t>
  </si>
  <si>
    <t>Evol 17</t>
  </si>
  <si>
    <t>AC=TA501411</t>
  </si>
  <si>
    <t>TA501411</t>
  </si>
  <si>
    <t>BBA-DAC et assimilés</t>
  </si>
  <si>
    <t>Deferred acquisition costs - BBA model</t>
  </si>
  <si>
    <t>BBA-DAC</t>
  </si>
  <si>
    <t>Evol 1 / Evol 37</t>
  </si>
  <si>
    <r>
      <t>A48</t>
    </r>
    <r>
      <rPr>
        <sz val="10"/>
        <color rgb="FFFF0000"/>
        <rFont val="Calibri"/>
        <family val="2"/>
      </rPr>
      <t>91</t>
    </r>
    <r>
      <rPr>
        <sz val="10"/>
        <rFont val="Calibri"/>
        <family val="2"/>
      </rPr>
      <t>0000B</t>
    </r>
  </si>
  <si>
    <t>BBA-DAC dépréciation</t>
  </si>
  <si>
    <t>Deferred acquisition costs - Provisions for impairment - BBA model</t>
  </si>
  <si>
    <t>BBA-DAC impairment</t>
  </si>
  <si>
    <t>AC=TA501412</t>
  </si>
  <si>
    <t>TA501412</t>
  </si>
  <si>
    <t>VFA-DAC et assimilés</t>
  </si>
  <si>
    <t>Deferred acquisition costs - VFA model</t>
  </si>
  <si>
    <t>VFA-DAC</t>
  </si>
  <si>
    <t xml:space="preserve">Evol 1 / Evol 37 </t>
  </si>
  <si>
    <r>
      <t>A48</t>
    </r>
    <r>
      <rPr>
        <sz val="10"/>
        <color rgb="FFFF0000"/>
        <rFont val="Calibri"/>
        <family val="2"/>
      </rPr>
      <t>91</t>
    </r>
    <r>
      <rPr>
        <sz val="10"/>
        <rFont val="Calibri"/>
        <family val="2"/>
      </rPr>
      <t>0000V</t>
    </r>
  </si>
  <si>
    <t>Deferred acquisition costs - Provisions for impairment - VFA model</t>
  </si>
  <si>
    <t>VFA-DAC impairment</t>
  </si>
  <si>
    <t>PAA-DAC et assimilés</t>
  </si>
  <si>
    <t>Deferred acquisition costs - PAA model</t>
  </si>
  <si>
    <t>PAA-DAC</t>
  </si>
  <si>
    <t>AC=TA501421</t>
  </si>
  <si>
    <t>TA501421</t>
  </si>
  <si>
    <r>
      <t>A48</t>
    </r>
    <r>
      <rPr>
        <sz val="10"/>
        <color rgb="FFFF0000"/>
        <rFont val="Calibri"/>
        <family val="2"/>
      </rPr>
      <t>91</t>
    </r>
    <r>
      <rPr>
        <sz val="10"/>
        <rFont val="Calibri"/>
        <family val="2"/>
      </rPr>
      <t>0000P</t>
    </r>
  </si>
  <si>
    <t>PAA-DAC dépréciation</t>
  </si>
  <si>
    <t>Deferred acquisition costs - Provisions for impairment - PAA model</t>
  </si>
  <si>
    <t>PAA-DAC impairment</t>
  </si>
  <si>
    <t>AC=A23220000</t>
  </si>
  <si>
    <t>A23220000</t>
  </si>
  <si>
    <t>Avances aux assurés</t>
  </si>
  <si>
    <t xml:space="preserve"> Avnce aux assurés</t>
  </si>
  <si>
    <t>Advances to the insured</t>
  </si>
  <si>
    <t>adv to the Insured</t>
  </si>
  <si>
    <t>Parts des cessionnaires et rétrocessionnaires dans les provisions techniques et les passifs financiers</t>
  </si>
  <si>
    <t>Cess&amp;Rétro ProvTech&amp;Psif Fi</t>
  </si>
  <si>
    <t>Reinsurance assets</t>
  </si>
  <si>
    <t>ReIns assets</t>
  </si>
  <si>
    <t>Parts des réassureurs dans les passifs relatifs aux contrats d'assurance</t>
  </si>
  <si>
    <t>Parts des réassureurs dans les passifs relatifs aux contrats d'ass.</t>
  </si>
  <si>
    <t>Prts réass Psifs Ctrats ass</t>
  </si>
  <si>
    <t>Reinsurers' share in insurance liabilities</t>
  </si>
  <si>
    <t xml:space="preserve">ReInsurers' sh. in Ins liab </t>
  </si>
  <si>
    <t>AC=TA60</t>
  </si>
  <si>
    <t>TA60</t>
  </si>
  <si>
    <t>Actf relatifs Ctrats réass</t>
  </si>
  <si>
    <t>Assets related to Reinsurance contracts</t>
  </si>
  <si>
    <t xml:space="preserve">Assets to ReIns Cntra </t>
  </si>
  <si>
    <t>Evol 40</t>
  </si>
  <si>
    <t>AC=TA601</t>
  </si>
  <si>
    <t>TA601</t>
  </si>
  <si>
    <t>Actifs de réassurance</t>
  </si>
  <si>
    <t>Actif de réass</t>
  </si>
  <si>
    <t>Assets related to reinsurance contracts</t>
  </si>
  <si>
    <t>Evol 3 / Evol 19</t>
  </si>
  <si>
    <t>TA6011</t>
  </si>
  <si>
    <t>Part des réassureurs dans les passifs relatifs aux contrats d'assurance - Modèles BBA et VFA</t>
  </si>
  <si>
    <t>Part des réassureurs dans les passifs relatifs aux contrats d'ass. - Modèles BBA et VFA</t>
  </si>
  <si>
    <t>Prtréass-Psif Ctra ass-BBA/VFA</t>
  </si>
  <si>
    <t>L-C-3270 - Part des réassureurs dans les passifs relatifs aux contrats d'assurance - Modèles BBA et VFA</t>
  </si>
  <si>
    <t>Reinsurer's share in insurance contacts liabilities - BBA and VFA models</t>
  </si>
  <si>
    <t xml:space="preserve">Reins. Sh Ins-BBA/VFA </t>
  </si>
  <si>
    <t>L-C-3270 - Reinsurer's share in insurance contacts liabilities - BBA and VFA models</t>
  </si>
  <si>
    <t>AC=TA60111</t>
  </si>
  <si>
    <t>TA60111</t>
  </si>
  <si>
    <t>Part des réassureurs dans les passifs relatifs aux contrats d'assurance - Modèle BBA</t>
  </si>
  <si>
    <t>Part des réassureurs dans les passifs relatifs aux contrats d'ass. - Modèle BBA</t>
  </si>
  <si>
    <t>BBA-Psifs Ctra ass</t>
  </si>
  <si>
    <t>Reinsurer's share in insurance contacts liabilities - BBA model</t>
  </si>
  <si>
    <t>BBA-Reins. Sh Ins</t>
  </si>
  <si>
    <t>TA601111</t>
  </si>
  <si>
    <t>Part cédée - Passifs Contrats d'assurance - Modèle BBA - Provisions techniques BE</t>
  </si>
  <si>
    <t>BBA-Psifs Ctra ass-ProvtechBE</t>
  </si>
  <si>
    <t>Reinsurer's share in insurance contacts liabilities - BBA model - Technical reserve BE</t>
  </si>
  <si>
    <t>Reinsurer's share in insurance contacts liabilities - BBA model - Technical reserves BE</t>
  </si>
  <si>
    <t>BBA-Reins-TechReserBE</t>
  </si>
  <si>
    <t>Part cédée - Passifs Contrats d'assurrance - Modèle BBA - Provisions techniques BE pour couverture restante</t>
  </si>
  <si>
    <t>BBA-Psif-ProvtechBE</t>
  </si>
  <si>
    <t>Reinsurer's share in insurance contacts liabilities - BBA model - Technical reserves BE for remaining coverage</t>
  </si>
  <si>
    <t>Reinsurer's share in ins. Cont. L - BBA model - Technical reserves BE for remaining coverage</t>
  </si>
  <si>
    <t>Part cédée - Passifs Contrats d'assurrance - Modèle BBA - Provisions techniques BE pour sinistres survenus</t>
  </si>
  <si>
    <t>BBA-Psif-ProvtechBE-Sinistr</t>
  </si>
  <si>
    <t>Reinsurer's share in insurance contacts liabilities - BBA model - Technical reserves BE for incurred claims</t>
  </si>
  <si>
    <t>Reinsurer's share in ins. Cont. L - BBA model - Technical reserves BE for incurred claims</t>
  </si>
  <si>
    <t>BBA-Reins-TechReserBE-Claims</t>
  </si>
  <si>
    <t>Evol 2 / Evol 11 / Evol 27 / Evol 37</t>
  </si>
  <si>
    <r>
      <t xml:space="preserve">Part cédée - Passifs Contrats d'ass. - BBA - Provisions techniques BE </t>
    </r>
    <r>
      <rPr>
        <sz val="10"/>
        <color rgb="FF00B050"/>
        <rFont val="Calibri"/>
        <family val="2"/>
      </rPr>
      <t>pour couverture restante</t>
    </r>
    <r>
      <rPr>
        <sz val="10"/>
        <rFont val="Calibri"/>
        <family val="2"/>
      </rPr>
      <t xml:space="preserve"> - Non actuariel</t>
    </r>
  </si>
  <si>
    <t>BBA-Psif-ProvtechBE-CR-Nn Actu</t>
  </si>
  <si>
    <t>Reinsurer's share in insurance contacts liabilities - BBA model - Technical reserves BE - for remaining coverage - Non actuarial</t>
  </si>
  <si>
    <t>Reinsurer's share in ins. Cont. L - BBA model - Technical reserves BE - for remaining coverage - Non actuarial</t>
  </si>
  <si>
    <t>BBA-Reins-TechReserBE-Nn actu</t>
  </si>
  <si>
    <t>BA36400A</t>
  </si>
  <si>
    <t>Créances nées d'op de réassurance (assur)</t>
  </si>
  <si>
    <t>Evol 10 / Evol 6 / Evol 24 / Evol 37 / evol 83</t>
  </si>
  <si>
    <r>
      <t xml:space="preserve">Part cédée - Passifs Contrats d'ass. - BBA - Provisions techniques BE </t>
    </r>
    <r>
      <rPr>
        <sz val="10"/>
        <color rgb="FF00B050"/>
        <rFont val="Calibri"/>
        <family val="2"/>
      </rPr>
      <t>pour sinistre survenus</t>
    </r>
    <r>
      <rPr>
        <sz val="10"/>
        <rFont val="Calibri"/>
        <family val="2"/>
      </rPr>
      <t xml:space="preserve"> - Non actuariel</t>
    </r>
  </si>
  <si>
    <t>BBA-Psif-ProvtechBE-SS-Nn Actu</t>
  </si>
  <si>
    <t>Reinsurer's share in insurance contacts liabilities - BBA model - Technical reserves BE - for incurred claims - Non actuarial</t>
  </si>
  <si>
    <t>Reinsurer's share in ins. Cont. L - BBA model - Technical reserves BE - for incurred claims - Non actuarial</t>
  </si>
  <si>
    <t>TA601112</t>
  </si>
  <si>
    <t>Part cédée - Passifs Contrats d'assurance - Modèle BBA - Ajustement pour risque</t>
  </si>
  <si>
    <t>BAA-Psifs Ctra ass-Ajstrisq</t>
  </si>
  <si>
    <t>Reinsurer's share in insurance contacts liabilities - BBA model - Risk adjustment</t>
  </si>
  <si>
    <t>BBA-Reins. Sh Ins-Risk adj</t>
  </si>
  <si>
    <t>Evol 12 / Evol 19</t>
  </si>
  <si>
    <t>Part cédée - Passifs Contrats d'assurrance - Modèle BBA - Ajustement pour risque pour couverture restante</t>
  </si>
  <si>
    <t>BBA-Ajrisq-Psif</t>
  </si>
  <si>
    <t>Reinsurer's share in insurance contacts liabilities - BBA model - Risk adjustment for remaining coverage</t>
  </si>
  <si>
    <t>Reinsurer's share in ins. Cont. L - BBA model - Risk adjustment for remaining coverage</t>
  </si>
  <si>
    <t>BBA-Reins-Risk adj</t>
  </si>
  <si>
    <t>Part cédée - Passifs Contrats d'assurrance - Modèle BBA - Ajustement pour risque pour sinistres survenus</t>
  </si>
  <si>
    <t>BBA-AjtRisq-Psif-Sinistr Surv</t>
  </si>
  <si>
    <t>Reinsurer's share in insurance contacts liabilities - BBA model - Risk adjustements for incurred claims</t>
  </si>
  <si>
    <t>Reinsurer's share in ins. Cont. L - BBA model - Risk adjustment for incurred claims</t>
  </si>
  <si>
    <t>BBA-Reins-Risk adj-Claims</t>
  </si>
  <si>
    <t>TA601113</t>
  </si>
  <si>
    <t>Part cédée - Passifs Contrats d'assurance - Modèle BBA - Marge sur services contractuels</t>
  </si>
  <si>
    <t>Part cédée - Passifs Contrats d'ass. - BBA - Marge sur services contractuels</t>
  </si>
  <si>
    <t>BBA-Mrg Serv Cntra</t>
  </si>
  <si>
    <t>Reinsurer's share in insurance contacts liabilities - BBA model - CSM</t>
  </si>
  <si>
    <t>BBA-Reins. Sh Ins-CSM</t>
  </si>
  <si>
    <t>Part cédée - Passifs Contrats d'assurrance - Modèle BBA - Marge sur services contractuels pour couverture restante</t>
  </si>
  <si>
    <t>BBA-MargServCtra-PsifCouvRest</t>
  </si>
  <si>
    <t>Reinsurer's share in insurance contacts liabilities - BBA model - CSM for remaining coverage</t>
  </si>
  <si>
    <t>Reinsurer's share in ins. Cont. L - BBA model - CSM for remaining coverage</t>
  </si>
  <si>
    <t>BBA-Reins-CSM</t>
  </si>
  <si>
    <t>Evol 2 / Evol 13 / Evol 37</t>
  </si>
  <si>
    <t>AC=TA60112</t>
  </si>
  <si>
    <t>TA60112</t>
  </si>
  <si>
    <t>Part des réassureurs dans les passifs relatifs aux contrats d'assurrance - Modèle VFA</t>
  </si>
  <si>
    <t>Part des réassureurs dans les passifs relatifs aux contrats d'ass. - Modèle VFA</t>
  </si>
  <si>
    <t>VFA-Psifs Ctra ass</t>
  </si>
  <si>
    <t>Reinsurer's share in insurance contacts liabilities - VFA model</t>
  </si>
  <si>
    <t>VFA-Reins. Sh Ins</t>
  </si>
  <si>
    <t>TA601121</t>
  </si>
  <si>
    <t>Part cédée - Passifs Contrats d'assurance - Modèle VFA - Provisions techniques BE</t>
  </si>
  <si>
    <t>VFA-Psifs Ctra ass-ProvtechBE</t>
  </si>
  <si>
    <t>Reinsurer's share in insurance contacts liabilities - VFA model - Technical reserves BE</t>
  </si>
  <si>
    <t>VFA-Reins-TechReserBE</t>
  </si>
  <si>
    <t>Part cédée - Passifs Contrats d'assurrance - Modèle VFA - Provisions techniques BE pour couverture restante</t>
  </si>
  <si>
    <t>VFA-Psif-ProvtechBE</t>
  </si>
  <si>
    <t>Reinsurer's share in insurance contacts liabilities - VFA model - Technical reserves BE for remaining coverage</t>
  </si>
  <si>
    <t>Reinsurer's share in ins. Cont. L - VFA model - Technical reserves BE for remaining coverage</t>
  </si>
  <si>
    <t>Part cédée - Passifs Contrats d'assurrance - Modèle VFA - Provisions techniques BE pour sinistres survenus</t>
  </si>
  <si>
    <t>VFA-Psif-ProvtechBE-Sinistr</t>
  </si>
  <si>
    <t>Reinsurer's share in insurance contacts liabilities - VFA model - Technical reserves BE for incurred claims</t>
  </si>
  <si>
    <t>Reinsurer's share in ins. Cont. L - VFA model - Technical reserves BE for incurred claims</t>
  </si>
  <si>
    <t>VFA-Reins-TechReserBE-Claims</t>
  </si>
  <si>
    <r>
      <t xml:space="preserve">Part cédée - Passifs Contrats d'ass. - VFA - Provisions techniques BE </t>
    </r>
    <r>
      <rPr>
        <sz val="10"/>
        <color rgb="FF00B050"/>
        <rFont val="Calibri"/>
        <family val="2"/>
      </rPr>
      <t>pour couverture restante</t>
    </r>
    <r>
      <rPr>
        <sz val="10"/>
        <rFont val="Calibri"/>
        <family val="2"/>
      </rPr>
      <t xml:space="preserve">  - Non actuariel</t>
    </r>
  </si>
  <si>
    <t>VFA-Psif-Prov t BE-CR -Nn Actu</t>
  </si>
  <si>
    <t>Reinsurer's share in insurance contacts liabilities - VFA model - Technical reserves BE - for remaining coverage - Non actuarial</t>
  </si>
  <si>
    <t>Reinsurer's share in ins. Cont. L - VFA model - Technical reserves BE - for remaining coverage - Non actuarial</t>
  </si>
  <si>
    <t>VFA-Reins-TechReserBE-Nn actu</t>
  </si>
  <si>
    <t>Evol 10 / Evol 6 / Evol 24 / Evol 25 / Evol 37 / evol 83</t>
  </si>
  <si>
    <r>
      <t xml:space="preserve">Part cédée - Passifs Contrats d'ass. - VFA - Provisions techniques BE  </t>
    </r>
    <r>
      <rPr>
        <sz val="10"/>
        <color rgb="FF00B050"/>
        <rFont val="Calibri"/>
        <family val="2"/>
      </rPr>
      <t>pour sinistre survenus</t>
    </r>
    <r>
      <rPr>
        <sz val="10"/>
        <rFont val="Calibri"/>
        <family val="2"/>
      </rPr>
      <t xml:space="preserve"> - Non actuariel</t>
    </r>
  </si>
  <si>
    <t>VFA-Psif-Prov t BE- SS-Nn Actu</t>
  </si>
  <si>
    <t>Reinsurer's share in insurance contacts liabilities - VFA model - Technical reserves BE - for incurred claims - Non actuarial</t>
  </si>
  <si>
    <t>Reinsurer's share in ins. Cont. L - VFA model - Technical reserves BE - for incurred claims - Non actuarial</t>
  </si>
  <si>
    <t>TA601122</t>
  </si>
  <si>
    <t>Part cédée - Passifs Contrats d'assurance - Modèle VFA - Ajustement pour risque</t>
  </si>
  <si>
    <t>VFA-Psifs Ctra ass-Ajsrisq</t>
  </si>
  <si>
    <t>Reinsurer's share in insurance contacts liabilities - VFA model - Risk adjustment</t>
  </si>
  <si>
    <t>VFA-Reins. Sh Ins-Risk adj</t>
  </si>
  <si>
    <t>Part cédée - Passifs Contrats d'assurrance - Modèle VFA - Ajustement pour risque pour couverture restante</t>
  </si>
  <si>
    <t>VFA-Ajrisq-Psif</t>
  </si>
  <si>
    <t>Reinsurer's share in insurance contacts liabilities - VFA model - Risk adjustment for remaining coverage</t>
  </si>
  <si>
    <t>Reinsurer's share in ins. Cont. L - VFA model - Risk adjustment for remaining coverage</t>
  </si>
  <si>
    <t>VFA-Reins-Risk adj</t>
  </si>
  <si>
    <t>Part cédée - Passifs Contrats d'assurrance - Modèle VFA - Ajustement pour risque pour sinistres survenus</t>
  </si>
  <si>
    <t>VFA-AjtRisq-Psif-Sinistr Surv</t>
  </si>
  <si>
    <t>Reinsurer's share in insurance contacts liabilities - VFA model - Risk adjustements for incurred claims</t>
  </si>
  <si>
    <t>Reinsurer's share in ins. Cont. L - VFA model - Risk adjustements for incurred claims</t>
  </si>
  <si>
    <t>VFA-Reins-Risk adj-Claims</t>
  </si>
  <si>
    <t>TA601123</t>
  </si>
  <si>
    <t>Part cédée - Passifs Contrats d'assurance - Modèle VFA - Marge sur services contractuels</t>
  </si>
  <si>
    <t>Part cédée - Passifs Contrats d'ass. - VFA - Marge sur services contractuels</t>
  </si>
  <si>
    <t>Reinsurer's share in insurance contacts liabilities - VFA model - CSM</t>
  </si>
  <si>
    <t>VFA-Reins. Sh Ins-CSM</t>
  </si>
  <si>
    <t>Part cédée - Passifs Contrats d'assurrance - Modèle VFA - Marge sur services contractuels pour couverture restante</t>
  </si>
  <si>
    <t>VFA-MrgServCntra-PsifCouvRest</t>
  </si>
  <si>
    <t>Reinsurer's share in insurance contacts liabilities - VFA model - CSM for remaining coverage</t>
  </si>
  <si>
    <t>Reinsurer's share in ins. Cont. L - VFA model - CSM for remaining coverage</t>
  </si>
  <si>
    <t>VFA-Reins-CSM</t>
  </si>
  <si>
    <t>TA6012</t>
  </si>
  <si>
    <t>Part des réassureurs dans les passifs relatifs aux contrats d'assurance - Modèle PAA</t>
  </si>
  <si>
    <t>Part des réassureurs dans les passifs relatifs aux contrats d'ass. - Modèle PAA</t>
  </si>
  <si>
    <t>Prtréass-Psifs Ctra ass-PAA</t>
  </si>
  <si>
    <t>L-C-3275 - Part des réassureurs dans les passifs relatifs aux contrats d'ass. - Modèle PAA</t>
  </si>
  <si>
    <t>Reinsurer's share in insurance contacts liabilities - PAA model</t>
  </si>
  <si>
    <t>Reins. Sh Ins - PAA</t>
  </si>
  <si>
    <t xml:space="preserve">L-C-3275 - Reinsurer's share in insurance contacts liabilities - PAA model </t>
  </si>
  <si>
    <t>Evol 3 / Evol 15 / Evol 40</t>
  </si>
  <si>
    <t>TA60121</t>
  </si>
  <si>
    <t>PAA-Psifs Ctra ass</t>
  </si>
  <si>
    <t>PAA-Reins. Sh Ins</t>
  </si>
  <si>
    <t>TA601211</t>
  </si>
  <si>
    <t>Part cédée - Passifs Contrats d'assurance - PAA - Provisions techniques BE</t>
  </si>
  <si>
    <t>PAA-Psifs Ctra ass-ProvtechBE</t>
  </si>
  <si>
    <t>Reinsurer's share in insurance contacts liabilities - PAA model - Technical reserves BE</t>
  </si>
  <si>
    <t>PAA-Reins-TechReserBE</t>
  </si>
  <si>
    <t>Part cédée - Passifs Contrats d'assurance - PAA - Provisions techniques BE pour couverture restante</t>
  </si>
  <si>
    <t>PAA-Psif-ProvtechBE</t>
  </si>
  <si>
    <t>Reinsurer's share in insurance contacts liabilities - PAA model - Technical reserves BE for remaining coverage</t>
  </si>
  <si>
    <t>Reinsurer's share in ins. Cont. L - PAA model - Technical reserves BE for remaining coverage</t>
  </si>
  <si>
    <t>Evol 2 / Evol 11 / Evol 13 / Evol 20 / Evol 27 / Evol 37</t>
  </si>
  <si>
    <t>Part cédée - Passifs Contrats d'assurance - PAA - Provisions techniques BE pour sinistres survenus</t>
  </si>
  <si>
    <t>PAA-Psif-ProvtechBE-Sinistr</t>
  </si>
  <si>
    <t>Reinsurer's share in insurance contacts liabilities - PAA model - Technical reserves BE for incurred claims</t>
  </si>
  <si>
    <t>Reinsurer's share in ins. Cont. L - PAA model - Technical reserves BE for incurred claims</t>
  </si>
  <si>
    <t>PAA-Reins-TechReserBE-Claims</t>
  </si>
  <si>
    <r>
      <t xml:space="preserve">Part cédée - Passifs Contrats d'ass. - PAA - Provisions techniques BE </t>
    </r>
    <r>
      <rPr>
        <sz val="10"/>
        <color rgb="FF00B050"/>
        <rFont val="Calibri"/>
        <family val="2"/>
      </rPr>
      <t>pour couverture restante</t>
    </r>
    <r>
      <rPr>
        <sz val="10"/>
        <rFont val="Calibri"/>
        <family val="2"/>
      </rPr>
      <t xml:space="preserve"> - Non actuariel</t>
    </r>
  </si>
  <si>
    <t>PAA-Psif-Prov t BE-CR -Nn Actu</t>
  </si>
  <si>
    <t>Reinsurer's share in insurance contacts liabilities - PAA model - Technical reserves BE - for remaining coverage - Non actuarial</t>
  </si>
  <si>
    <t>Reinsurer's share in ins. Cont. L - PAA model - Technical reserves BE - for remaining coverage - Non actuarial</t>
  </si>
  <si>
    <t>PAA-Reins-TechReserBE-Nn actu</t>
  </si>
  <si>
    <t>Evol 10 / Evol 6 / Evol 19 / Evol 24 / Evol 37 / evol 83</t>
  </si>
  <si>
    <r>
      <t xml:space="preserve">Part cédée - Passifs Contrats d'ass. - PAA - Provisions techniques BE </t>
    </r>
    <r>
      <rPr>
        <sz val="10"/>
        <color rgb="FF00B050"/>
        <rFont val="Calibri"/>
        <family val="2"/>
      </rPr>
      <t>pour sinistre survenus</t>
    </r>
    <r>
      <rPr>
        <sz val="10"/>
        <rFont val="Calibri"/>
        <family val="2"/>
      </rPr>
      <t xml:space="preserve"> - Non actuariel</t>
    </r>
  </si>
  <si>
    <t>PAA-Psif-ProvtechBE-SS-Nn Actu</t>
  </si>
  <si>
    <t>Reinsurer's share in insurance contacts liabilities - PAA model - Technical reserves BE - for incurred claims - Non actuarial</t>
  </si>
  <si>
    <t>Reinsurer's share in ins. Cont. L - PAA model - Technical reserves BE - for incurred claims - Non actuarial</t>
  </si>
  <si>
    <t>TA601212</t>
  </si>
  <si>
    <t>Part cédée - Passifs Contrats d'assurance - PAA - Ajustement pour risque</t>
  </si>
  <si>
    <t>PAA-Psifs Ctra ass-Ajsrisq</t>
  </si>
  <si>
    <t>Reinsurer's share in insurance contacts liabilities - PAA model - Risk adjustment</t>
  </si>
  <si>
    <t>PAA-Reins. Sh Ins-Risk adj</t>
  </si>
  <si>
    <t>Evol 15 / Evol 19</t>
  </si>
  <si>
    <t>Part cédée - Passifs Contrats d'assurance - PAA - Ajustement pour risque - Passifs pour sinistres survenus</t>
  </si>
  <si>
    <t>PAA-AjtRisq-Psif-Sinistr Surv</t>
  </si>
  <si>
    <t>Reinsurer's share in insurance contacts liabilities - PAA model - Risk adjustment for incurred claims</t>
  </si>
  <si>
    <t>Reinsurer's share in ins. Cont. L - PAA model - Risk adjustment for incurred claims</t>
  </si>
  <si>
    <t>PAA-Reins-Risk adj-Claims</t>
  </si>
  <si>
    <t>AC=TA70</t>
  </si>
  <si>
    <t>TA70</t>
  </si>
  <si>
    <t>Autrs Actf</t>
  </si>
  <si>
    <t>Other assets</t>
  </si>
  <si>
    <t>AC=TA700</t>
  </si>
  <si>
    <t>TA700</t>
  </si>
  <si>
    <t>Créances d’assurance et de réassurance relatives à des contrats financiers</t>
  </si>
  <si>
    <t>Cr assu et réass des ctts fi</t>
  </si>
  <si>
    <t>Insurance and reinsurance receivables related to financial contracts</t>
  </si>
  <si>
    <t>Ins and reins rec rel fi contr</t>
  </si>
  <si>
    <t>Evol 57 (ex Evol 54)</t>
  </si>
  <si>
    <t>Prêts et avances aux assurés - Contrats financiers sans PB discrétionnaire</t>
  </si>
  <si>
    <t>Prts&amp;Avnce-Assurés-ssPB</t>
  </si>
  <si>
    <t xml:space="preserve"> Loans and advances to Policyholders</t>
  </si>
  <si>
    <t xml:space="preserve"> Loans advances to PH</t>
  </si>
  <si>
    <t>Evol 22 / Evol 30 / Evol 37 / Evol 40 / Evol 57 (ex Evol 54) / Evol 77</t>
  </si>
  <si>
    <t>Changement de hiérarchie - nouvelle hiérarchie - Cible B</t>
  </si>
  <si>
    <t>AC=A39804200</t>
  </si>
  <si>
    <t>A39804200</t>
  </si>
  <si>
    <t>Part cédée - Passifs Contrats financiers sans PB discrétionnaire - Dépôts</t>
  </si>
  <si>
    <t>PsifCtraFi ssPB discr-dépo</t>
  </si>
  <si>
    <t>L-C-3255 - Autres créances et créances d'impôt exigible</t>
  </si>
  <si>
    <t>Ceded portion - Financial liabilities - FI without DPF - Deposits</t>
  </si>
  <si>
    <t>Fin liab-FI witht DPF-UL-Depo</t>
  </si>
  <si>
    <t>L-C-3255 - Insurance and reinsurance receivables/Other receivables and current tax assets</t>
  </si>
  <si>
    <t>Evol 7 / Evol 21 / Evol 37 / Evol 57 (ex Evol 54) / Evol 77</t>
  </si>
  <si>
    <t>AC=TA701</t>
  </si>
  <si>
    <t>TA701</t>
  </si>
  <si>
    <t>Crnces d'impôts exigibles</t>
  </si>
  <si>
    <t>Current tax assets</t>
  </si>
  <si>
    <t>A44400000</t>
  </si>
  <si>
    <t>Crnce d'impôt exigible</t>
  </si>
  <si>
    <t>BA361651</t>
  </si>
  <si>
    <t>Créance d'IS vis-à-vis du Trésor</t>
  </si>
  <si>
    <t>Evol 37 / Evol 45</t>
  </si>
  <si>
    <t>AC=A44410000</t>
  </si>
  <si>
    <t>A44410000</t>
  </si>
  <si>
    <t>Créance d'intégration fiscale</t>
  </si>
  <si>
    <t>Crnce d'intégration fiscale</t>
  </si>
  <si>
    <t>Group relief receivables</t>
  </si>
  <si>
    <t>Group relief receiv</t>
  </si>
  <si>
    <t>BA361650</t>
  </si>
  <si>
    <t>AC=TA702</t>
  </si>
  <si>
    <t>TA702</t>
  </si>
  <si>
    <t xml:space="preserve">Autrs Crnces </t>
  </si>
  <si>
    <t>Other receivables</t>
  </si>
  <si>
    <t>Other receiv</t>
  </si>
  <si>
    <t>AC=TA7021</t>
  </si>
  <si>
    <t>TA7021</t>
  </si>
  <si>
    <t>Crnces au personnel</t>
  </si>
  <si>
    <t>Employee loans and advances</t>
  </si>
  <si>
    <t>Employee loans adv</t>
  </si>
  <si>
    <t>A42100000</t>
  </si>
  <si>
    <t>BA361640</t>
  </si>
  <si>
    <t>Autres débiteurs divers</t>
  </si>
  <si>
    <t>AC=TA7022</t>
  </si>
  <si>
    <t>TA7022</t>
  </si>
  <si>
    <t>Crnces Etat/ Sécu/Colleclo</t>
  </si>
  <si>
    <t>Prepaid and recoverable taxes and social security (national/local/payroll taxes)</t>
  </si>
  <si>
    <t xml:space="preserve">Prep rcvrabl tax social secu </t>
  </si>
  <si>
    <t>A44010000</t>
  </si>
  <si>
    <t>Créances Etat / Securité sociale / Collectivités locales</t>
  </si>
  <si>
    <t>AC=TA7023</t>
  </si>
  <si>
    <t>TA7023</t>
  </si>
  <si>
    <t>Dividends receivable</t>
  </si>
  <si>
    <t>AC=A45501000</t>
  </si>
  <si>
    <t>A45501000</t>
  </si>
  <si>
    <t>BA361681</t>
  </si>
  <si>
    <t>AC=TA7024</t>
  </si>
  <si>
    <t>TA7024</t>
  </si>
  <si>
    <t>Cmpts crnts ent liées-Débit</t>
  </si>
  <si>
    <t>Current account advances to controlled entities</t>
  </si>
  <si>
    <t>Current acnt adv Cntrl Entit</t>
  </si>
  <si>
    <t>AC=A46000000</t>
  </si>
  <si>
    <t>A46000000</t>
  </si>
  <si>
    <t>Cmpts crnts ent lié-Débit</t>
  </si>
  <si>
    <t>Curr acnt adv Cntrl Entit</t>
  </si>
  <si>
    <t>AC=A46100000</t>
  </si>
  <si>
    <t>A46100000</t>
  </si>
  <si>
    <t>Comptes courants entreprises liées - Débiteurs - ICNE</t>
  </si>
  <si>
    <t>Cmpts crnts ent lié-Débit-ICNE</t>
  </si>
  <si>
    <t>Current account advances to controlled entities - Accrued interest</t>
  </si>
  <si>
    <t>Curr acnt adv Cntrl Entit-Int</t>
  </si>
  <si>
    <t>AC=A49610000</t>
  </si>
  <si>
    <t>A49610000</t>
  </si>
  <si>
    <t>Comptes courants entreprises liées - Débiteurs - Dépréciation</t>
  </si>
  <si>
    <t>Cmpts crnts ent lié-Débit-Dépr</t>
  </si>
  <si>
    <t>Current account advances to controlled entities - Provisions for impairment</t>
  </si>
  <si>
    <t>Curr acnt adv Cntrl Entit-Imp</t>
  </si>
  <si>
    <t>BA369000</t>
  </si>
  <si>
    <t>Prov. pour dépréciation</t>
  </si>
  <si>
    <t>AC=TA7025</t>
  </si>
  <si>
    <t>TA7025</t>
  </si>
  <si>
    <t>Autrs cmpts débit</t>
  </si>
  <si>
    <t>AC=A46010000</t>
  </si>
  <si>
    <t>A46010000</t>
  </si>
  <si>
    <t>AC=A46010001</t>
  </si>
  <si>
    <t>A46010001</t>
  </si>
  <si>
    <t>Dépôts et caut. versés - Appels de marge versés OTC</t>
  </si>
  <si>
    <t>Dpts et caut. - Appls mrg OTC</t>
  </si>
  <si>
    <t>Deposits and guarantees paid - Margin calls paid OTC</t>
  </si>
  <si>
    <t>Depst grtees Margin calls OTC</t>
  </si>
  <si>
    <t>Evol 51 (ex Evol 48)</t>
  </si>
  <si>
    <t>AC=A46011000</t>
  </si>
  <si>
    <t>A46011000</t>
  </si>
  <si>
    <t>Autres comptes débiteurs - Titres reçus en pension</t>
  </si>
  <si>
    <t>Autrs cmpts débit-Titr pens</t>
  </si>
  <si>
    <t>Other receivables - securities received under repurchase agreement</t>
  </si>
  <si>
    <t>Other receiv-Repurchs agrmt</t>
  </si>
  <si>
    <t>BA301114</t>
  </si>
  <si>
    <t>Titres reçus en pension livrée - Clientèle - B1</t>
  </si>
  <si>
    <t>Evol 8 / Evol 16 / Evol 37</t>
  </si>
  <si>
    <t>Rework</t>
  </si>
  <si>
    <t>AC=A46020000</t>
  </si>
  <si>
    <t>A46020000</t>
  </si>
  <si>
    <t>Autres comptes débiteurs - ICNE</t>
  </si>
  <si>
    <t>Autrs cmpts débit-ICNE</t>
  </si>
  <si>
    <t>Other receivables - Accrued interest</t>
  </si>
  <si>
    <t>Other receiv-Acc Int</t>
  </si>
  <si>
    <t>AC=A49601000</t>
  </si>
  <si>
    <t>A49601000</t>
  </si>
  <si>
    <t>Autres comptes débiteurs - Dépréciation</t>
  </si>
  <si>
    <t>Autrs cmpts débit-Dépr</t>
  </si>
  <si>
    <t>Other receivables - Provisions for impairment</t>
  </si>
  <si>
    <t>Other receiv-Prov imp</t>
  </si>
  <si>
    <t>AC=TA7026</t>
  </si>
  <si>
    <t>TA7026</t>
  </si>
  <si>
    <t>Fournissr-Avnce&amp;acmpts versés</t>
  </si>
  <si>
    <t>Supplier accounts - Advances and down payments</t>
  </si>
  <si>
    <t>Supplier acnt-Adv down pymnt</t>
  </si>
  <si>
    <t>AC=A46500000</t>
  </si>
  <si>
    <t>A46500000</t>
  </si>
  <si>
    <t>BA361620</t>
  </si>
  <si>
    <t>Fournisseurs avances et acomptes</t>
  </si>
  <si>
    <t>AC=TA7027</t>
  </si>
  <si>
    <t>TA7027</t>
  </si>
  <si>
    <t>Cmpts de régul débit</t>
  </si>
  <si>
    <t>Accrued income and prepaid expenses</t>
  </si>
  <si>
    <t>Acc incom prepaid expenses</t>
  </si>
  <si>
    <t>AC=A46870000</t>
  </si>
  <si>
    <t>A46870000</t>
  </si>
  <si>
    <t>Comptes de régularisation débiteurs - Produits à recevoir</t>
  </si>
  <si>
    <t>Cmpts régul débit-Prdts recev</t>
  </si>
  <si>
    <t>Accrued income and prepaid expenses - Accrued income</t>
  </si>
  <si>
    <t>Acc incom prep exp-Acc income</t>
  </si>
  <si>
    <t>BA388400</t>
  </si>
  <si>
    <t>Produits à recevoir</t>
  </si>
  <si>
    <t>AC=A48310000</t>
  </si>
  <si>
    <t>A48310000</t>
  </si>
  <si>
    <t>Comptes de régularisation débiteurs - Charges constatées d'avance</t>
  </si>
  <si>
    <t>Cmpts régul débit-CCA</t>
  </si>
  <si>
    <t>Accrued income and prepaid expenses - Prepaid expenses</t>
  </si>
  <si>
    <t>Acc incom prep exp-Prep exp</t>
  </si>
  <si>
    <t>BA388100</t>
  </si>
  <si>
    <t>Charges constatées d'avance</t>
  </si>
  <si>
    <t>TA703</t>
  </si>
  <si>
    <t>Imo exploit&amp;Autrs Imo crpo</t>
  </si>
  <si>
    <t>L-C-3285 - Immobilisations et actifs d'exploitation</t>
  </si>
  <si>
    <t>Property and equipment</t>
  </si>
  <si>
    <t>Ppty equip</t>
  </si>
  <si>
    <t>L-C-3285 - Non-current and operating assets</t>
  </si>
  <si>
    <t>TA7031</t>
  </si>
  <si>
    <t>Land - Owner-occupied (operating) property</t>
  </si>
  <si>
    <t>Land-Owner-occup(oprting)ppty</t>
  </si>
  <si>
    <t>A21921000</t>
  </si>
  <si>
    <t>Terrains d'exploitation - Valeur d'acq.</t>
  </si>
  <si>
    <t>Terrains exploit-Val acq</t>
  </si>
  <si>
    <t>Land - Owner-occupied (operating) property - Historical cost</t>
  </si>
  <si>
    <t>Land-Owner-occup ppty-HC</t>
  </si>
  <si>
    <t>BA442200</t>
  </si>
  <si>
    <t>Immobilisations corporelles - Terrains</t>
  </si>
  <si>
    <t>A29192100</t>
  </si>
  <si>
    <t>Terrains exploit-Dépr</t>
  </si>
  <si>
    <t>Land - Owner-occupied (operating) property - Provisions for impairment</t>
  </si>
  <si>
    <t>Land-Owner-occup ppty-Prov imp</t>
  </si>
  <si>
    <t>BA449220</t>
  </si>
  <si>
    <t>Immobilisations corporelles - Terrains - Dépréciations</t>
  </si>
  <si>
    <t>TA7032</t>
  </si>
  <si>
    <t>Agencmts et install. techn. d'exploitation</t>
  </si>
  <si>
    <t>Agcmts&amp;Install techn exploit</t>
  </si>
  <si>
    <t>Fixtures and fittings - Owner-occupied (operating) property</t>
  </si>
  <si>
    <t>Fix fitt-Owner-occup ppty</t>
  </si>
  <si>
    <t>A21922000</t>
  </si>
  <si>
    <t>Agencmts et install. d'exploitation - Valeur d'acq.</t>
  </si>
  <si>
    <t>Agcmts&amp;Install exploit-Val acq</t>
  </si>
  <si>
    <t>Fixtures and fittings - Owner-occupied (operating) property - Historical cost</t>
  </si>
  <si>
    <t>Fix fitt-Owner-occup ppty-HC</t>
  </si>
  <si>
    <t>BA442103</t>
  </si>
  <si>
    <t>Immobilisations corporelles - Installations générales, agencements, aménagements</t>
  </si>
  <si>
    <t>A28192200</t>
  </si>
  <si>
    <t>Agencmts et install. d'exploitation - AM</t>
  </si>
  <si>
    <t>Agcmts&amp;Install exploit-AM</t>
  </si>
  <si>
    <t>Fixtures and fittings - Owner-occupied (operating) property - Depreciation</t>
  </si>
  <si>
    <t>Fix fitt-Owner-occup ppty-Depr</t>
  </si>
  <si>
    <t>BA482103</t>
  </si>
  <si>
    <t>Immobilisations corporelles - Installations générales, agencements, aménagements - Amortissements</t>
  </si>
  <si>
    <t>A29192200</t>
  </si>
  <si>
    <t>Agencmts et install. d'exploitation - Dépréciation</t>
  </si>
  <si>
    <t>Agcmts&amp;Install exploit-Dépr</t>
  </si>
  <si>
    <t>Fixtures and fittings - Owner-occupied (operating) property - Provisions for impairment</t>
  </si>
  <si>
    <t>Fix fitt-OwnerOccupPpty-Prvimp</t>
  </si>
  <si>
    <t>BA492103</t>
  </si>
  <si>
    <t>Immobilisations corporelles - Installations générales, agencements, aménagements - Dépréciations</t>
  </si>
  <si>
    <t>TA7033</t>
  </si>
  <si>
    <t>Buildings - Owner-occupied (operating) property</t>
  </si>
  <si>
    <t>Builds-Owner-occup oprtng ppty</t>
  </si>
  <si>
    <t>A21923000</t>
  </si>
  <si>
    <t>Constructions d'exploitation - Gros œuvre - Valeur d'acq.</t>
  </si>
  <si>
    <t>Cstruc exploit-Gr oeu-Val acq</t>
  </si>
  <si>
    <t>Buildings - Owner-occupied (operating) property - Structural work - Historical cost</t>
  </si>
  <si>
    <t>BuildsOwnOccupPptyStrucWork-HC</t>
  </si>
  <si>
    <t>BA442410</t>
  </si>
  <si>
    <t>Immobilisations corporelles - Gros oeuvre</t>
  </si>
  <si>
    <t>A28192300</t>
  </si>
  <si>
    <t>Constructions d'exploitation - Gros œuvre - AM</t>
  </si>
  <si>
    <t>Cstruc exploit-Grs œuv-AM</t>
  </si>
  <si>
    <t>Buildings - Owner-occupied (operating) property - Structural work - Depreciation</t>
  </si>
  <si>
    <t>BuildOwnOccupPpty-StrctWrk-Dep</t>
  </si>
  <si>
    <t>BA482410</t>
  </si>
  <si>
    <t>Immobilisations corporelles - Gros œuvre - Amortissements</t>
  </si>
  <si>
    <t>A29192300</t>
  </si>
  <si>
    <t>Cstruc exploit-Grs oeuv-Dépr</t>
  </si>
  <si>
    <t>Buildings - Owner-occupied (operating) property - Structural work - Provisions for impairment</t>
  </si>
  <si>
    <t>BuildOwnOccupPptyStructWrk-Imp</t>
  </si>
  <si>
    <t>BA492410</t>
  </si>
  <si>
    <t>Immobilisations corporelles - Gros œuvre - Dépréciations</t>
  </si>
  <si>
    <t>A21924000</t>
  </si>
  <si>
    <t>Constructions d'exploitation - Façade - Valeur d'acq.</t>
  </si>
  <si>
    <t>Cstruc exploit-Façade-Val acq</t>
  </si>
  <si>
    <t>Buildings - Owner-occupied (operating) property - Facade - Historical cost</t>
  </si>
  <si>
    <t>BuildsOwner-Occupppty-FacadeHC</t>
  </si>
  <si>
    <t>A28192400</t>
  </si>
  <si>
    <t>Constructions d'exploitation - Façade - AM</t>
  </si>
  <si>
    <t>Cstruc exploit-Façade-AM</t>
  </si>
  <si>
    <t>Buildings - Owner-occupied (operating) property - Facade - Depreciation</t>
  </si>
  <si>
    <t>Builds-Owner-OccupPpty-Fac-Dep</t>
  </si>
  <si>
    <t>A29192400</t>
  </si>
  <si>
    <t>Cstruc exploit-Façade-Dépr</t>
  </si>
  <si>
    <t>Buildings - Owner-occupied (operating) property - Facade - Provisions for impairment</t>
  </si>
  <si>
    <t>Builds-OwnOccupPpty-Fac-Imp</t>
  </si>
  <si>
    <t>TA7034</t>
  </si>
  <si>
    <t>Autrs Imo crpo exploit</t>
  </si>
  <si>
    <t>Other - Owner-occupied (operating) property</t>
  </si>
  <si>
    <t>Other-Owner-occup oprtng ppty</t>
  </si>
  <si>
    <t>A51100000</t>
  </si>
  <si>
    <t>Autres immobilisations corporelles d'exploitation - Valeur d'acq.</t>
  </si>
  <si>
    <t>Autrs Imo crp exploit-Val acq</t>
  </si>
  <si>
    <t>Other property and equipment - Owner-occupied (operating) property - Historical cost</t>
  </si>
  <si>
    <t>OthPptyEquip-Own-OccupPpty-HC</t>
  </si>
  <si>
    <t>BA442104</t>
  </si>
  <si>
    <t>Immobilisations corporelles - Autres immobilisations corporelles et assimilées</t>
  </si>
  <si>
    <t>A59100000</t>
  </si>
  <si>
    <t>Autres immobilisations corporelles d'exploitation - AM</t>
  </si>
  <si>
    <t>Autrs Imo crpo exploit-AM</t>
  </si>
  <si>
    <t>Other property and equipment - Owner-occupied (operating) property - Depreciation</t>
  </si>
  <si>
    <t>OthPptyEquip-OwnOccupPpty-Dep</t>
  </si>
  <si>
    <t>BA482104</t>
  </si>
  <si>
    <t>Immobilisations corporelles - Autres immobilisations corporelles et assimilées - Amortissements</t>
  </si>
  <si>
    <t>A59200000</t>
  </si>
  <si>
    <t>Autrs Imo crpo exploit-Dépr</t>
  </si>
  <si>
    <t>Other property and equipment - Owner-occupied (operating) property - Provisions for impairment</t>
  </si>
  <si>
    <t>OthPptyEquip-OwnOccupPpty-Imp</t>
  </si>
  <si>
    <t>BA492104</t>
  </si>
  <si>
    <t>Immobilisations corporelles - Autres immobilisations corporelles et assimilées - Dépréciations</t>
  </si>
  <si>
    <t>TA7035</t>
  </si>
  <si>
    <t>Imo d'exploit en cours</t>
  </si>
  <si>
    <t>Owner-occupied (operating) property under construction</t>
  </si>
  <si>
    <t>Owner-occup ppty under const</t>
  </si>
  <si>
    <t>A22900000</t>
  </si>
  <si>
    <t>Imo exploit en cours-Val brt</t>
  </si>
  <si>
    <t>Owner-occupied (operating) property under construction - Cost</t>
  </si>
  <si>
    <t>OwnerOccupppty UnderConst-Cost</t>
  </si>
  <si>
    <t>BA432100</t>
  </si>
  <si>
    <t>Immobilisations corporelles - Immobilisations corporelles en cours</t>
  </si>
  <si>
    <t>A29129000</t>
  </si>
  <si>
    <t>Imo exploit en cours-Dépr</t>
  </si>
  <si>
    <t>Owner-occupied (operating) property under construction - Provisions for impairment</t>
  </si>
  <si>
    <t>Owner-OccupPpty underConst-Imp</t>
  </si>
  <si>
    <t>BA439210</t>
  </si>
  <si>
    <t>Immobilisations corporelles - Immobilisations corporelles en cours - Dépréciations</t>
  </si>
  <si>
    <t>AC=TA704</t>
  </si>
  <si>
    <t>TA704</t>
  </si>
  <si>
    <t>Autrs Actf d'exploit à LT</t>
  </si>
  <si>
    <t>Other non-current assets</t>
  </si>
  <si>
    <t>AC=TA7041</t>
  </si>
  <si>
    <t>TA7041</t>
  </si>
  <si>
    <t>AC=A51000000</t>
  </si>
  <si>
    <t>A51000000</t>
  </si>
  <si>
    <t>Autres actifs d'exploitation à long terme - Avances et dépôts</t>
  </si>
  <si>
    <t>Autrs Actf exploitàLT-AvceDépt</t>
  </si>
  <si>
    <t>Other non-current assets - Advances and deposits</t>
  </si>
  <si>
    <t>Other nnCurr asset-adv depsits</t>
  </si>
  <si>
    <t>BA361610</t>
  </si>
  <si>
    <t>Dépots et cautionnements versés</t>
  </si>
  <si>
    <t>AC=A52000000</t>
  </si>
  <si>
    <t>A52000000</t>
  </si>
  <si>
    <t>Autres actifs d'exploitation à long terme - Autres</t>
  </si>
  <si>
    <t>Autrs Actf exploitàLT-Autrs</t>
  </si>
  <si>
    <t>BA361660</t>
  </si>
  <si>
    <t>Autres créances d'exploitation</t>
  </si>
  <si>
    <t>AC=TA705</t>
  </si>
  <si>
    <t>TA705</t>
  </si>
  <si>
    <t>Impôts différés Actf</t>
  </si>
  <si>
    <t>L-C-3290 - Impôts différés Actifs</t>
  </si>
  <si>
    <t>Deferred tax assets</t>
  </si>
  <si>
    <t>L-C-3290 - Deferred tax assets</t>
  </si>
  <si>
    <t>AC=TA7051</t>
  </si>
  <si>
    <t>TA7051</t>
  </si>
  <si>
    <t>ID actifs - Revalorisation - Juste valeur par OCI</t>
  </si>
  <si>
    <t>ID actifs - Revalo. - JV par OCI</t>
  </si>
  <si>
    <t>ID Actf-Reval.-JV par OCI</t>
  </si>
  <si>
    <t>DTA - FV adjustments - FV through OCI</t>
  </si>
  <si>
    <t>DTA-FVadj-FV OCI</t>
  </si>
  <si>
    <t>AC=A15000007R</t>
  </si>
  <si>
    <t>A15000007R</t>
  </si>
  <si>
    <t>IDA - Revalorisation - OCI recyclable</t>
  </si>
  <si>
    <t>IDA - Revalo - OCI recyclable</t>
  </si>
  <si>
    <t>IDA-Reval-OCI ryl</t>
  </si>
  <si>
    <t>DTA - FV adjustments - Recyclable OCI</t>
  </si>
  <si>
    <t>DTA-FVadj-Ryl OCI</t>
  </si>
  <si>
    <t>BA363IDA</t>
  </si>
  <si>
    <t>Impôts différés actif par JV OCI R</t>
  </si>
  <si>
    <t>AC=A15000007N</t>
  </si>
  <si>
    <t>A15000007N</t>
  </si>
  <si>
    <t>IDA - Revalorisation - OCI non recyclable</t>
  </si>
  <si>
    <t>IDA - Revalo. - OCI non recyclable</t>
  </si>
  <si>
    <t>IDA-Reval-OCI nn ryl</t>
  </si>
  <si>
    <t>DTA - FV adjustments - Non recyclable OCI</t>
  </si>
  <si>
    <t>DTA-FVadj-Non Ryl OCI</t>
  </si>
  <si>
    <t>BA364IDA</t>
  </si>
  <si>
    <t>Impôts différés actif par JV OCI NR</t>
  </si>
  <si>
    <t>AC=TA7052</t>
  </si>
  <si>
    <t>TA7052</t>
  </si>
  <si>
    <t>ID actifs - Réserve financière</t>
  </si>
  <si>
    <t xml:space="preserve">ID Actf-Réserve financière </t>
  </si>
  <si>
    <t>DTA on Insurance and Reinsurance Financial Reserve</t>
  </si>
  <si>
    <t xml:space="preserve">DTA on Ins &amp; Reins Fin reser </t>
  </si>
  <si>
    <t>AC=A15070000N</t>
  </si>
  <si>
    <t>A15070000N</t>
  </si>
  <si>
    <t>IDA - Réserve financière d'assurance - Non recyclable</t>
  </si>
  <si>
    <t>IDA-Réserve fi ass-Nn ryl</t>
  </si>
  <si>
    <t>DTA on Insurance Financial Reserve - Non Recyclable</t>
  </si>
  <si>
    <t>DTA-Ins Fin reser-Non ryl</t>
  </si>
  <si>
    <t>Evol 24D / Evol 37</t>
  </si>
  <si>
    <t>AC=A15070000R</t>
  </si>
  <si>
    <t>A15070000R</t>
  </si>
  <si>
    <t>IDA - Réserve financière d'assurance - Recyclable</t>
  </si>
  <si>
    <t>IDA-Réserve fi ass-Ryl</t>
  </si>
  <si>
    <t>DTA on Insurance Financial Reserve - Recyclable</t>
  </si>
  <si>
    <t>DTA-Ins Fin reser-Ryl</t>
  </si>
  <si>
    <t>AC=A15071000N</t>
  </si>
  <si>
    <t>A15071000N</t>
  </si>
  <si>
    <t>IDA - Réserve financière de réassurance - Non Recyclable</t>
  </si>
  <si>
    <t xml:space="preserve">IDA-Réserve fi réass-Nn Ryl </t>
  </si>
  <si>
    <t>DTA on Reinsurance Financial Reserve - Non Recyclable</t>
  </si>
  <si>
    <t>DTA-Reins Fin reser- Non Ryl</t>
  </si>
  <si>
    <t>Evol 21 / Evol 37 / Evol 40</t>
  </si>
  <si>
    <t>AC=A15071000R</t>
  </si>
  <si>
    <t>A15071000R</t>
  </si>
  <si>
    <t>IDA - Réserve financière de réassurance - Recyclable</t>
  </si>
  <si>
    <t xml:space="preserve">IDA-Réserve fi réass-Ryl </t>
  </si>
  <si>
    <t>DTA on Reinsurance Financial Reserve - Recyclable</t>
  </si>
  <si>
    <t>DTA-Reins Fin reser-Ryl</t>
  </si>
  <si>
    <t>Evol 24D / Evol 37 / Evol 40</t>
  </si>
  <si>
    <t>AC=TA7053</t>
  </si>
  <si>
    <t>TA7053</t>
  </si>
  <si>
    <t>ID actifs - Revalorisation - Juste valeur par résultat</t>
  </si>
  <si>
    <t>ID actifs - Revalo. - JV par résultat</t>
  </si>
  <si>
    <t>ID Actf-Reval.-JV/rés</t>
  </si>
  <si>
    <t>DTA - FV adjustments - FV through P&amp;L</t>
  </si>
  <si>
    <t>DTA-FVadj-FV P&amp;L</t>
  </si>
  <si>
    <t>AC=A15000007T</t>
  </si>
  <si>
    <t>A15000007T</t>
  </si>
  <si>
    <t>IDA - Revalorisation - Juste valeur par résultat</t>
  </si>
  <si>
    <t>IDA - Revalo - JV par résultat</t>
  </si>
  <si>
    <t>IDA-Reval-JV/rés</t>
  </si>
  <si>
    <t>BA361IDA</t>
  </si>
  <si>
    <t>Impôts différés actif - Résultat (hors déficit reportable)</t>
  </si>
  <si>
    <t>AC=A15000007O</t>
  </si>
  <si>
    <t>A15000007O</t>
  </si>
  <si>
    <t>IDA - Revalorisation - Juste valeur par résultat sur option</t>
  </si>
  <si>
    <t>IDA - Revalo. - JV par résultat sur option</t>
  </si>
  <si>
    <t>IDA-Reval-JV/rés/opt</t>
  </si>
  <si>
    <t>DTA - FV adjustments - FV through P&amp;L option</t>
  </si>
  <si>
    <t>DTA-FVadj-FV P&amp;L option</t>
  </si>
  <si>
    <t>AC=A15002111T</t>
  </si>
  <si>
    <t>A15002111T</t>
  </si>
  <si>
    <t>IDA - Revalorisation - Instruments dérivés</t>
  </si>
  <si>
    <t>IDA - Revalo. - Instruments dérivés</t>
  </si>
  <si>
    <t>IDA-Reval-Instru dériv</t>
  </si>
  <si>
    <t>DTA - FV adjustments - Derivative instruments</t>
  </si>
  <si>
    <t>DTA-FVadj-Deriv Inst</t>
  </si>
  <si>
    <t>AC=TA7054</t>
  </si>
  <si>
    <t>TA7054</t>
  </si>
  <si>
    <t>ID actifs - Réévaluation des contrats d'assurance et de réassurance</t>
  </si>
  <si>
    <t>ID actifs - Rééval. des contrats d'assur. et de réassur.</t>
  </si>
  <si>
    <t>DTA - Revaluation of insurance and reinsurance contracts</t>
  </si>
  <si>
    <t>DTA - Reval. of insur. and reinsur. contracts</t>
  </si>
  <si>
    <t>Evol 63 (ex Evol 60)</t>
  </si>
  <si>
    <t>AC=A15002100B</t>
  </si>
  <si>
    <t>A15002100B</t>
  </si>
  <si>
    <t>IDA - Différences de traitement - BBA - LGAAP / IFRS</t>
  </si>
  <si>
    <t>IDA-Diff trait BBA</t>
  </si>
  <si>
    <t>DTA - SA adjustments BBA</t>
  </si>
  <si>
    <t>BA366IDA</t>
  </si>
  <si>
    <t>Impôts différés actif - Autres</t>
  </si>
  <si>
    <t>Evol 37 / Evol 40 / Evol 63 (ex Evol 60)</t>
  </si>
  <si>
    <t>AC=A15002100V</t>
  </si>
  <si>
    <r>
      <t>A15002100</t>
    </r>
    <r>
      <rPr>
        <sz val="10"/>
        <rFont val="Calibri"/>
        <family val="2"/>
      </rPr>
      <t>V</t>
    </r>
  </si>
  <si>
    <t>IDA - Différences de traitement - VFA - LGAAP / IFRS</t>
  </si>
  <si>
    <t>IDA-Diff trait VFA</t>
  </si>
  <si>
    <t>DTA - SA adjustments VFA</t>
  </si>
  <si>
    <t>Evol 63 (ex Evol 60) / Evol 80</t>
  </si>
  <si>
    <t>AC=A15002100P</t>
  </si>
  <si>
    <r>
      <t>A15002100</t>
    </r>
    <r>
      <rPr>
        <sz val="10"/>
        <rFont val="Calibri"/>
        <family val="2"/>
      </rPr>
      <t>P</t>
    </r>
  </si>
  <si>
    <t>IDA - Différences de traitement - PAA - LGAAP / IFRS</t>
  </si>
  <si>
    <t>IDA-Diff trait PAA</t>
  </si>
  <si>
    <t>DTA - SA adjustments PAA</t>
  </si>
  <si>
    <t>AC=TA7055</t>
  </si>
  <si>
    <t>TA7055</t>
  </si>
  <si>
    <t>ID actifs - Autres</t>
  </si>
  <si>
    <t>ID Actf-Autrs</t>
  </si>
  <si>
    <t>DTA - Other</t>
  </si>
  <si>
    <t>DTA-Other</t>
  </si>
  <si>
    <t>AC=A15002100</t>
  </si>
  <si>
    <t>A15002100</t>
  </si>
  <si>
    <t>IDA - Différences de traitement</t>
  </si>
  <si>
    <t>IDA-Différences de traitement</t>
  </si>
  <si>
    <t>DTA - SA adjustments</t>
  </si>
  <si>
    <t xml:space="preserve">DTA-SA adj </t>
  </si>
  <si>
    <t>AC=A15002101</t>
  </si>
  <si>
    <t>A15002101</t>
  </si>
  <si>
    <t xml:space="preserve">IDA - Différence de traitement - LGAAP / IFRS - Ecarts actuariels </t>
  </si>
  <si>
    <t>IDA-Diff de trmt- Ecart actu</t>
  </si>
  <si>
    <t>DTA - SA adjustments - Local GAAP/IFRS -Actuarial gains and losses</t>
  </si>
  <si>
    <t>DTA-SA Adj-Local GAAP/IFRS Act</t>
  </si>
  <si>
    <t>Evol 74</t>
  </si>
  <si>
    <t>AC=A15000007A</t>
  </si>
  <si>
    <t>A15000007A</t>
  </si>
  <si>
    <t>IDA - Dépréciation - Titres au coût amorti</t>
  </si>
  <si>
    <t>IDA-Dépr-Titres au CtAM</t>
  </si>
  <si>
    <t>DTA - Provisions for impairment - Financial assets at amortised cost</t>
  </si>
  <si>
    <t>DTA-Prov-imp-Fin asst-AMc</t>
  </si>
  <si>
    <t>AC=A15090007R</t>
  </si>
  <si>
    <t>A15090007R</t>
  </si>
  <si>
    <t>IDA - Dépréciation - Juste valeur OCI Recyclable</t>
  </si>
  <si>
    <t>IDA - Dépréciation - JV OCI Recyclable</t>
  </si>
  <si>
    <t>IDA-Dépr-JV OCI Recyclable</t>
  </si>
  <si>
    <t>DTA - Provisions for impairment - Financial assets at FV through recyclable OCI</t>
  </si>
  <si>
    <t>DTA-Provimp-Fin asst FV-RylOCI</t>
  </si>
  <si>
    <t>AC=A15002300</t>
  </si>
  <si>
    <t>A15002300</t>
  </si>
  <si>
    <t>IDA - Réserve de CFH</t>
  </si>
  <si>
    <t>IDA-Réserve de CFH</t>
  </si>
  <si>
    <t>DTA - Cash Flow Hedge Reserve</t>
  </si>
  <si>
    <t>DTA-Cash Flow Hedge Reser</t>
  </si>
  <si>
    <t>AC=A15009000</t>
  </si>
  <si>
    <t>A15009000</t>
  </si>
  <si>
    <t>IDA - Autres</t>
  </si>
  <si>
    <t>IDA-Autrs</t>
  </si>
  <si>
    <t>AC=TA80</t>
  </si>
  <si>
    <t>TA80</t>
  </si>
  <si>
    <t>Actf à la vente&amp;abandon d'act</t>
  </si>
  <si>
    <t>Assets held for sale or discontinued</t>
  </si>
  <si>
    <t>Assets related to assets held for sale or discontinued</t>
  </si>
  <si>
    <t>As rltd to assts held for sale</t>
  </si>
  <si>
    <t>Evol 72</t>
  </si>
  <si>
    <t>AC=TA801</t>
  </si>
  <si>
    <t>TA801</t>
  </si>
  <si>
    <t>A58000000</t>
  </si>
  <si>
    <t>BA380900</t>
  </si>
  <si>
    <t>IFRS 5 - Actifs des filiales destinés à être cédés</t>
  </si>
  <si>
    <t>Evol 37 / Evol 64 / Evol 72</t>
  </si>
  <si>
    <t>AC=TA90</t>
  </si>
  <si>
    <t>TA90</t>
  </si>
  <si>
    <t>L-C-3295 - Actifs destinés à être cédés / Trésorerie et équivalents de trésorerie</t>
  </si>
  <si>
    <t>Cash and cash equivalents</t>
  </si>
  <si>
    <t>AC=TA901</t>
  </si>
  <si>
    <t>TA901</t>
  </si>
  <si>
    <t>Tréso et équivalents tréso</t>
  </si>
  <si>
    <t>A52200000</t>
  </si>
  <si>
    <t>Cash at bank</t>
  </si>
  <si>
    <t>BA121000</t>
  </si>
  <si>
    <t>EDC à vue - CCP débiteurs - B1</t>
  </si>
  <si>
    <t>AC=A52300000</t>
  </si>
  <si>
    <t>A52300000</t>
  </si>
  <si>
    <t>Caisse</t>
  </si>
  <si>
    <t>Cash in hand</t>
  </si>
  <si>
    <t>BA100000</t>
  </si>
  <si>
    <t>Evol 37 / Evol 47</t>
  </si>
  <si>
    <t>Déséquilibre actif/passif</t>
  </si>
  <si>
    <t>Actifs d'assurance - BE non actuariels</t>
  </si>
  <si>
    <t>Actifs d'assurance total</t>
  </si>
  <si>
    <t>Actifs de réassurance- BE non actuariels</t>
  </si>
  <si>
    <t>Actifs de réassurance- total</t>
  </si>
  <si>
    <t>Agrégats</t>
  </si>
  <si>
    <t>AC sum AC-L-FTAXX15</t>
  </si>
  <si>
    <t>Sprint 3</t>
  </si>
  <si>
    <t/>
  </si>
  <si>
    <t>L-C-3110 - balance en solde passif</t>
  </si>
  <si>
    <t>Liabilities</t>
  </si>
  <si>
    <t>L-C-3110 - Closing balances Liabilities</t>
  </si>
  <si>
    <t>AC=TP10</t>
  </si>
  <si>
    <t>TP10</t>
  </si>
  <si>
    <t>L-C-3305 - Capitaux propres</t>
  </si>
  <si>
    <t>Total equity</t>
  </si>
  <si>
    <t>L-C-3305 - Equity</t>
  </si>
  <si>
    <t>AC=TP101</t>
  </si>
  <si>
    <t>TP101</t>
  </si>
  <si>
    <t>Equity attributable to equity holders of the parent</t>
  </si>
  <si>
    <t>Eqty attr to eqty hldr of prnt</t>
  </si>
  <si>
    <t>AC=TP1011</t>
  </si>
  <si>
    <t>TP1011</t>
  </si>
  <si>
    <t>Share capital</t>
  </si>
  <si>
    <t>AC=P10100000</t>
  </si>
  <si>
    <t>P10100000</t>
  </si>
  <si>
    <t>Capital social</t>
  </si>
  <si>
    <t xml:space="preserve">Share capital </t>
  </si>
  <si>
    <t>AC=TP1012</t>
  </si>
  <si>
    <t>TP1012</t>
  </si>
  <si>
    <t>Primes d'émission, de fusion et d'apport</t>
  </si>
  <si>
    <t>Prims d'émission fusion apport</t>
  </si>
  <si>
    <t>Share premium account</t>
  </si>
  <si>
    <t>AC=P10400000</t>
  </si>
  <si>
    <t>P10400000</t>
  </si>
  <si>
    <t>Primes liées au capital</t>
  </si>
  <si>
    <t>Additional paid-in capital</t>
  </si>
  <si>
    <t>AC=TP1013</t>
  </si>
  <si>
    <t>TP1013</t>
  </si>
  <si>
    <t>Gains ou pertes nets d'impôts comptabilisés directement en capitaux propres</t>
  </si>
  <si>
    <t>Gain/perte nets d'impôts CP</t>
  </si>
  <si>
    <t>Net gains and losses recognized in equity</t>
  </si>
  <si>
    <t>Net Gn&amp;Los recgnzed in equity</t>
  </si>
  <si>
    <t>AC=TP10131</t>
  </si>
  <si>
    <t>TP10131</t>
  </si>
  <si>
    <t>Revaluation reserve</t>
  </si>
  <si>
    <t>TP101311</t>
  </si>
  <si>
    <t>Réserves JV OCI Recyclable</t>
  </si>
  <si>
    <t>Reserves - FV through recyclable OCI</t>
  </si>
  <si>
    <t xml:space="preserve">Rsv-FV through Recyclable OCI </t>
  </si>
  <si>
    <t>AC=TP1013111</t>
  </si>
  <si>
    <t>TP1013111</t>
  </si>
  <si>
    <t>Réserves JV OCI Recyclable - Obligations d'Etat et assimilés</t>
  </si>
  <si>
    <t>Résvs JV OCI R-Obl Etat&amp;assi</t>
  </si>
  <si>
    <t>FV through OCI R Reserve - Government bonds</t>
  </si>
  <si>
    <t>FV OCI R Rsv-Governement.Bond</t>
  </si>
  <si>
    <t>P10600002R</t>
  </si>
  <si>
    <t>JV OCI R - Réserves de réévaluation - Obligations d'Etat et assimilés - valeur brute</t>
  </si>
  <si>
    <t>Résvs réval-Obl Etat-V.Br</t>
  </si>
  <si>
    <t>FV through OCI R - FV adjust. reserves - Government bonds - Gross value</t>
  </si>
  <si>
    <t>FV OCI R-FV Adj rsv-Gov.Bd-GV</t>
  </si>
  <si>
    <t>AC=P10600202R</t>
  </si>
  <si>
    <t>P10600202R</t>
  </si>
  <si>
    <t>JV OCI R - Réserves de réévaluation - Obligations d'Etat et assimilés - ID</t>
  </si>
  <si>
    <t>JV OCI R-Rés réval-Obl Etat-ID</t>
  </si>
  <si>
    <t>FV through OCI R - FV adjust. reserves - Government bonds - DT</t>
  </si>
  <si>
    <t>FV OCI R-FV Adj rsv-Gov.Bd-DT</t>
  </si>
  <si>
    <t>AC=TP1013112</t>
  </si>
  <si>
    <t>TP1013112</t>
  </si>
  <si>
    <t>Réserves JV OCI Recyclable - Obligations corporate non subordonnées</t>
  </si>
  <si>
    <t>Rés JV OCI R- Obl crp nn sub</t>
  </si>
  <si>
    <t>FV through OCI R Reserve - Non subordinated bonds</t>
  </si>
  <si>
    <t>FV OCI R Rsv-NonSubordBond</t>
  </si>
  <si>
    <t>P10600072R</t>
  </si>
  <si>
    <t>JV OCI R - Réserves de réévaluation - Obligations corporate non subordonnées - valeur brute</t>
  </si>
  <si>
    <t>JvOCI R-RésRéval-OblCrp NSb-VB</t>
  </si>
  <si>
    <t>FV through OCI R - FV adjust. reserves - non subordinated corporate Bonds - Gross value</t>
  </si>
  <si>
    <t>FVOCI R-FVAdjRsv-NSubCorpBd-GV</t>
  </si>
  <si>
    <t>AC=P10600272R</t>
  </si>
  <si>
    <t>P10600272R</t>
  </si>
  <si>
    <t>JV OCI R - Réserves de réévaluation - Obligations corporate non subordonnées - ID</t>
  </si>
  <si>
    <t>JVOCI R-RésRéval-OblCrp NSb-ID</t>
  </si>
  <si>
    <t>FV through OCI R - FV adjust. reserves - non subordinated corporate Bonds - DT</t>
  </si>
  <si>
    <t>FVOCI R-FVAdjRsv-NSubCorpBd-DT</t>
  </si>
  <si>
    <t>AC=TP1013113</t>
  </si>
  <si>
    <t>TP1013113</t>
  </si>
  <si>
    <t>Réserves JV OCI Recyclable - Obligations corporate subordonnées</t>
  </si>
  <si>
    <t>Rés JV OCI R-Obl corpo subord</t>
  </si>
  <si>
    <t>FV through OCI R Reserve - Subordinated bonds</t>
  </si>
  <si>
    <t>FV OCI R Rsv-SubordinatedBond</t>
  </si>
  <si>
    <t>P10600032R</t>
  </si>
  <si>
    <t>JV OCI R - Réserves de réévaluation - Obligations corporate subordonnées - valeur brute</t>
  </si>
  <si>
    <t>JVOCI R-RésRéval-Obl crp sub-B</t>
  </si>
  <si>
    <t>FV through OCI R - FV adjust. reserves - subordinated corporate Bonds - Gross value</t>
  </si>
  <si>
    <t>FVOCI R-FVAdjRsv-SubCorpBd-GV</t>
  </si>
  <si>
    <t>AC=P10600232R</t>
  </si>
  <si>
    <t>P10600232R</t>
  </si>
  <si>
    <t>JV OCI R - Réserves de réévaluation - Obligations corporate subordonnées - ID</t>
  </si>
  <si>
    <t>JVOCI R-RésRéval-OblCrp sub-ID</t>
  </si>
  <si>
    <t>FV through OCI R - FV adjust. reserves - subordinated corporate Bonds - DT</t>
  </si>
  <si>
    <t>FVOCI R-FVAdjRsv-Sub CorpBd-DT</t>
  </si>
  <si>
    <t>AC=TP1013114</t>
  </si>
  <si>
    <t>TP1013114</t>
  </si>
  <si>
    <t>Réserves JV OCI Recyclable - Prêts et avances</t>
  </si>
  <si>
    <t>Rés JV OCI R-Prêts &amp; Avances</t>
  </si>
  <si>
    <t>FV through OCI R Reserve - Loans and advances</t>
  </si>
  <si>
    <t xml:space="preserve">FV OCI R Rsv-Loans&amp;Advances </t>
  </si>
  <si>
    <t>P10600082R</t>
  </si>
  <si>
    <t>JV OCI R - Réserves de réévaluation - Prêts et avances - valeur brute</t>
  </si>
  <si>
    <t>JV OCI R-Rés réval-Prt&amp;Av-V.Br</t>
  </si>
  <si>
    <t>FV through OCI R - FV adjust. reserves - Loans and advances - Gross value</t>
  </si>
  <si>
    <t>FV OCI R-FV Adj rsv-Ls&amp;Ad-GV</t>
  </si>
  <si>
    <t>AC=P10600282R</t>
  </si>
  <si>
    <t>P10600282R</t>
  </si>
  <si>
    <t>JV OCI R - Réserves de réévaluation - Prêts et avances - ID</t>
  </si>
  <si>
    <t>JV OCI R-Rés réval-Prt&amp;Av-ID</t>
  </si>
  <si>
    <t>FV through OCI R - FV adjust. reserves - Loans and advances - DT</t>
  </si>
  <si>
    <t>FV OCI R-FV Adj rsv-Ls&amp;Ad-DT</t>
  </si>
  <si>
    <t>AC=TP1013115</t>
  </si>
  <si>
    <t>TP1013115</t>
  </si>
  <si>
    <t>Réserves JV OCI Recyclable - TCN</t>
  </si>
  <si>
    <t>Rés JV OCI R - TCN</t>
  </si>
  <si>
    <t>FV through OCI R Reserve - Negotiable debt securities</t>
  </si>
  <si>
    <t xml:space="preserve">FV OCI R Rsv-Nego deb sec </t>
  </si>
  <si>
    <t>Evol 52 (ex Evol 49)</t>
  </si>
  <si>
    <t>P10600092R</t>
  </si>
  <si>
    <t>JV OCI R - Réserves de réévaluation - TCN - valeur brute</t>
  </si>
  <si>
    <t>JV OCI R-Rés réval-TCN-V.Br</t>
  </si>
  <si>
    <t>FV through OCI R - FV adjust. reserves - Negotiable debt securities - Gross value</t>
  </si>
  <si>
    <t>FV OCI R Rsv-Nego deb sec-GV</t>
  </si>
  <si>
    <t>AC=P10600292R</t>
  </si>
  <si>
    <t>P10600292R</t>
  </si>
  <si>
    <t>JV OCI R - Réserves de réévaluation - TCN - ID</t>
  </si>
  <si>
    <t>JV OCI R-Rés réval-TCN-ID</t>
  </si>
  <si>
    <t>FV through OCI R - FV adjust. reserves - Negotiable debt securities - DT</t>
  </si>
  <si>
    <t>FV OCI R Rsv-Nego deb sec-DT</t>
  </si>
  <si>
    <t>TP101312</t>
  </si>
  <si>
    <t>Réserves JV OCI Non Recyclable</t>
  </si>
  <si>
    <t>Reserves - FV through non-recyclable OCI</t>
  </si>
  <si>
    <t>Reserves-FV NonRecyclable OCI</t>
  </si>
  <si>
    <t>P10610002N</t>
  </si>
  <si>
    <t>JV OCI NR - Réserves de réévaluation - valeur brute</t>
  </si>
  <si>
    <t>JV OCI NR-Rés réval-Val.Brute</t>
  </si>
  <si>
    <t>FV through non-recyclable OCI - Revaluation reserves - Gross value</t>
  </si>
  <si>
    <t>FV NR OCI-Revaluation rsv-GV</t>
  </si>
  <si>
    <t>P10610202N</t>
  </si>
  <si>
    <t>JV OCI NR - Réserves de réévaluation - ID</t>
  </si>
  <si>
    <t>JV OCI NR-Rés réévaluation-ID</t>
  </si>
  <si>
    <t>FV through non-recyclable OCI - Revaluation reserves - DT</t>
  </si>
  <si>
    <t>FV NR OCI-Revaluation rsv-DT</t>
  </si>
  <si>
    <t>TP10132</t>
  </si>
  <si>
    <t>Cash flow hedge reserves</t>
  </si>
  <si>
    <t>P13501000</t>
  </si>
  <si>
    <t>Réserves de CFH-Valeur brute</t>
  </si>
  <si>
    <t>CFH reserves - Gross value</t>
  </si>
  <si>
    <t>P13502000</t>
  </si>
  <si>
    <t>Réserves de CFH - ID</t>
  </si>
  <si>
    <t>CFH reserves - DT</t>
  </si>
  <si>
    <t>TP10133</t>
  </si>
  <si>
    <t>Translation reserves</t>
  </si>
  <si>
    <t>AC=P10600000C</t>
  </si>
  <si>
    <t>P10600000C</t>
  </si>
  <si>
    <t>Réserves de conversion à ventiler</t>
  </si>
  <si>
    <t>Rés de conversion à ventiler</t>
  </si>
  <si>
    <t>Unallocated translation reserves</t>
  </si>
  <si>
    <t>Unallocated translation rsv</t>
  </si>
  <si>
    <t>AC=P106700000</t>
  </si>
  <si>
    <t>P106700000</t>
  </si>
  <si>
    <t>PPA - Ecart de conversion part du groupe</t>
  </si>
  <si>
    <t>PPA-Ecart cnvrsn part du Grp</t>
  </si>
  <si>
    <t>PPA - Translation reserve Attributable to equity holders of the parent</t>
  </si>
  <si>
    <t>PPA-TrnslRsvAtr EqtyHld-parnt</t>
  </si>
  <si>
    <t>AC=P10650000</t>
  </si>
  <si>
    <t>P10650000</t>
  </si>
  <si>
    <t>Ecart de conversion part du groupe</t>
  </si>
  <si>
    <t>Ecart conversion part du Grp</t>
  </si>
  <si>
    <t>Translation reserve - Attributable to equity holders of the parent</t>
  </si>
  <si>
    <t>TrsnlRsv-Atr EqtyHold-parent</t>
  </si>
  <si>
    <t>AC=TP10134</t>
  </si>
  <si>
    <t>TP10134</t>
  </si>
  <si>
    <t>Ecarts actuartiels</t>
  </si>
  <si>
    <t>Actuarial gains and losses</t>
  </si>
  <si>
    <t>P13001700</t>
  </si>
  <si>
    <t>Engagemnt sociaux-Ecarts actu</t>
  </si>
  <si>
    <t>Employee benefit obligations - Actuarial gains and losses</t>
  </si>
  <si>
    <t>EmplBenOblig-Actuarial Gn&amp;Los</t>
  </si>
  <si>
    <t>P13001800</t>
  </si>
  <si>
    <t>Engagemnt soc-Ecarts actu-ID</t>
  </si>
  <si>
    <t>Employee benefit obligations - Actuarial gains and losses - DT</t>
  </si>
  <si>
    <t>EmplBenOblig-Actuari Gn&amp;Los-DT</t>
  </si>
  <si>
    <t>AC=TP10135</t>
  </si>
  <si>
    <t>TP10135</t>
  </si>
  <si>
    <t>Réserve financière d'assurance</t>
  </si>
  <si>
    <t xml:space="preserve">Réserves Fin d'assurances </t>
  </si>
  <si>
    <t>Insurance Financial Reserve</t>
  </si>
  <si>
    <t>AC=TP101351</t>
  </si>
  <si>
    <t>TP101351</t>
  </si>
  <si>
    <t>Réserve financière d'assurance - Modèle VFA - Non recyclable</t>
  </si>
  <si>
    <t>Résv Fin ass-Modèle VFA-NR</t>
  </si>
  <si>
    <t>Insurance Financial Reserve - VFA Model - Non recyclable</t>
  </si>
  <si>
    <t>Insurance Fin. Reserve-VFA-NR</t>
  </si>
  <si>
    <t>P13070200V</t>
  </si>
  <si>
    <r>
      <t xml:space="preserve">Réserve financière d'assurance - Modèle VFA - Non recyclable </t>
    </r>
    <r>
      <rPr>
        <strike/>
        <sz val="10"/>
        <rFont val="Calibri"/>
        <family val="2"/>
        <scheme val="minor"/>
      </rPr>
      <t xml:space="preserve">- Effets financiers </t>
    </r>
    <r>
      <rPr>
        <sz val="10"/>
        <color rgb="FF00B050"/>
        <rFont val="Calibri"/>
        <family val="2"/>
        <scheme val="minor"/>
      </rPr>
      <t xml:space="preserve">Variation de la juste valeur des éléments sous-jacents </t>
    </r>
  </si>
  <si>
    <r>
      <t xml:space="preserve">Réserve financière d'assurance - Modèle VFA - Non recyclable </t>
    </r>
    <r>
      <rPr>
        <strike/>
        <sz val="10"/>
        <rFont val="Calibri"/>
        <family val="2"/>
        <scheme val="minor"/>
      </rPr>
      <t xml:space="preserve"> </t>
    </r>
    <r>
      <rPr>
        <sz val="10"/>
        <rFont val="Calibri"/>
        <family val="2"/>
        <scheme val="minor"/>
      </rPr>
      <t xml:space="preserve">Variation de la juste valeur des éléments sous-jacents </t>
    </r>
  </si>
  <si>
    <r>
      <t>Résv Fin ass-VFA-NR-</t>
    </r>
    <r>
      <rPr>
        <strike/>
        <sz val="10"/>
        <rFont val="Calibri"/>
        <family val="2"/>
        <scheme val="minor"/>
      </rPr>
      <t xml:space="preserve">Ef.Fin </t>
    </r>
    <r>
      <rPr>
        <sz val="10"/>
        <rFont val="Calibri"/>
        <family val="2"/>
        <scheme val="minor"/>
      </rPr>
      <t>Var ss jacent</t>
    </r>
  </si>
  <si>
    <r>
      <t xml:space="preserve">Insurance Financial Reserve - VFA Model - Non recyclable - </t>
    </r>
    <r>
      <rPr>
        <strike/>
        <sz val="10"/>
        <rFont val="Calibri"/>
        <family val="2"/>
        <scheme val="minor"/>
      </rPr>
      <t>Financial Effects</t>
    </r>
    <r>
      <rPr>
        <sz val="10"/>
        <rFont val="Calibri"/>
        <family val="2"/>
        <scheme val="minor"/>
      </rPr>
      <t xml:space="preserve"> Change in fair value of underlying items</t>
    </r>
  </si>
  <si>
    <r>
      <t>Ins Fin.Rsv-VFA-NR-</t>
    </r>
    <r>
      <rPr>
        <strike/>
        <sz val="10"/>
        <rFont val="Calibri"/>
        <family val="2"/>
        <scheme val="minor"/>
      </rPr>
      <t xml:space="preserve">Fin.Effects </t>
    </r>
    <r>
      <rPr>
        <sz val="10"/>
        <rFont val="Calibri"/>
        <family val="2"/>
        <scheme val="minor"/>
      </rPr>
      <t>Ch F V Un</t>
    </r>
  </si>
  <si>
    <t>Evol 76/ Evol 78 / evol 84</t>
  </si>
  <si>
    <t>AC=P13070210V</t>
  </si>
  <si>
    <t>P13070210V</t>
  </si>
  <si>
    <r>
      <t>Réserve financière d'assurance - Modèle VFA - Non recyclable -</t>
    </r>
    <r>
      <rPr>
        <strike/>
        <sz val="10"/>
        <rFont val="Calibri"/>
        <family val="2"/>
        <scheme val="minor"/>
      </rPr>
      <t xml:space="preserve"> Effets financiers </t>
    </r>
    <r>
      <rPr>
        <sz val="10"/>
        <color rgb="FF00B050"/>
        <rFont val="Calibri"/>
        <family val="2"/>
        <scheme val="minor"/>
      </rPr>
      <t xml:space="preserve">Variation de la juste valeur des éléments sous-jacents </t>
    </r>
    <r>
      <rPr>
        <sz val="10"/>
        <rFont val="Calibri"/>
        <family val="2"/>
        <scheme val="minor"/>
      </rPr>
      <t>- ID</t>
    </r>
  </si>
  <si>
    <r>
      <t>Réserve financière d'assurance - Modèle VFA - Non recyclable -</t>
    </r>
    <r>
      <rPr>
        <sz val="10"/>
        <rFont val="Calibri"/>
        <family val="2"/>
        <scheme val="minor"/>
      </rPr>
      <t>Variation de la juste valeur des éléments sous-jacents - ID</t>
    </r>
  </si>
  <si>
    <r>
      <t>Résv Fin ass-VFA-NR-</t>
    </r>
    <r>
      <rPr>
        <strike/>
        <sz val="10"/>
        <rFont val="Calibri"/>
        <family val="2"/>
        <scheme val="minor"/>
      </rPr>
      <t>Ef.Fin</t>
    </r>
    <r>
      <rPr>
        <sz val="10"/>
        <rFont val="Calibri"/>
        <family val="2"/>
        <scheme val="minor"/>
      </rPr>
      <t>Var ss jacent -ID</t>
    </r>
  </si>
  <si>
    <r>
      <t xml:space="preserve">Insurance Financial Reserve - VFA Model - Non recyclable - </t>
    </r>
    <r>
      <rPr>
        <strike/>
        <sz val="10"/>
        <rFont val="Calibri"/>
        <family val="2"/>
        <scheme val="minor"/>
      </rPr>
      <t>Financial Effects</t>
    </r>
    <r>
      <rPr>
        <sz val="10"/>
        <rFont val="Calibri"/>
        <family val="2"/>
        <scheme val="minor"/>
      </rPr>
      <t xml:space="preserve"> Change in fair value of underlying items - DT</t>
    </r>
  </si>
  <si>
    <r>
      <t xml:space="preserve">Insurance Financial Reserve - VFA Model - Non recyclable - </t>
    </r>
    <r>
      <rPr>
        <strike/>
        <sz val="10"/>
        <rFont val="Calibri"/>
        <family val="2"/>
        <scheme val="minor"/>
      </rPr>
      <t>Financial Effects</t>
    </r>
    <r>
      <rPr>
        <sz val="10"/>
        <rFont val="Calibri"/>
        <family val="2"/>
        <scheme val="minor"/>
      </rPr>
      <t xml:space="preserve"> Change in fair value of underlying items-DT</t>
    </r>
  </si>
  <si>
    <r>
      <t>InsFin.Rsv-VFA-NR-</t>
    </r>
    <r>
      <rPr>
        <strike/>
        <sz val="10"/>
        <rFont val="Calibri"/>
        <family val="2"/>
        <scheme val="minor"/>
      </rPr>
      <t>Fin.Eff</t>
    </r>
    <r>
      <rPr>
        <sz val="10"/>
        <rFont val="Calibri"/>
        <family val="2"/>
        <scheme val="minor"/>
      </rPr>
      <t>-DT</t>
    </r>
  </si>
  <si>
    <t>Evol 78 / Evol 79 / evol 84</t>
  </si>
  <si>
    <t>AC=TP101352</t>
  </si>
  <si>
    <t>TP101352</t>
  </si>
  <si>
    <t>Réserve financière d'assurance - Modèle BBA - Recyclable</t>
  </si>
  <si>
    <t>Résv Fin assu-BBA-Recyclable</t>
  </si>
  <si>
    <t>Insurance Financial Reserve - BBA Model-Recyclable</t>
  </si>
  <si>
    <t>Insurance Fin. Reserve-BBA-R</t>
  </si>
  <si>
    <t>AC=P13070200B</t>
  </si>
  <si>
    <t>P13070200B</t>
  </si>
  <si>
    <r>
      <t xml:space="preserve">Réserve financière d'assurance - Modèle BBA - Recyclable - </t>
    </r>
    <r>
      <rPr>
        <strike/>
        <sz val="10"/>
        <rFont val="Calibri"/>
        <family val="2"/>
        <scheme val="minor"/>
      </rPr>
      <t xml:space="preserve">Effets financiers </t>
    </r>
    <r>
      <rPr>
        <sz val="10"/>
        <color rgb="FF00B050"/>
        <rFont val="Calibri"/>
        <family val="2"/>
        <scheme val="minor"/>
      </rPr>
      <t>Changement de taux et d'environnement économique</t>
    </r>
  </si>
  <si>
    <t>Réserve financière d'assurance - Modèle BBA - Recyclable -Changement de taux et d'environnement économique</t>
  </si>
  <si>
    <r>
      <t>Résv Fin ass-BBA-R-</t>
    </r>
    <r>
      <rPr>
        <strike/>
        <sz val="10"/>
        <rFont val="Calibri"/>
        <family val="2"/>
        <scheme val="minor"/>
      </rPr>
      <t xml:space="preserve">Effet.Fin  </t>
    </r>
    <r>
      <rPr>
        <sz val="10"/>
        <rFont val="Calibri"/>
        <family val="2"/>
        <scheme val="minor"/>
      </rPr>
      <t>Ch tx</t>
    </r>
  </si>
  <si>
    <r>
      <t xml:space="preserve">Insurance Financial Reserve - BBA Model - recyclable - </t>
    </r>
    <r>
      <rPr>
        <strike/>
        <sz val="10"/>
        <rFont val="Calibri"/>
        <family val="2"/>
        <scheme val="minor"/>
      </rPr>
      <t xml:space="preserve">Financial Effects </t>
    </r>
    <r>
      <rPr>
        <sz val="10"/>
        <rFont val="Calibri"/>
        <family val="2"/>
        <scheme val="minor"/>
      </rPr>
      <t>Change in rates and economic environment</t>
    </r>
  </si>
  <si>
    <r>
      <t>Ins Fin.Rsv-BBA-R-</t>
    </r>
    <r>
      <rPr>
        <strike/>
        <sz val="10"/>
        <rFont val="Calibri"/>
        <family val="2"/>
        <scheme val="minor"/>
      </rPr>
      <t>Fin. Effects</t>
    </r>
  </si>
  <si>
    <t>Evol 76 / evol 84</t>
  </si>
  <si>
    <t>AC=P13070210B</t>
  </si>
  <si>
    <t>P13070210B</t>
  </si>
  <si>
    <r>
      <t xml:space="preserve">Réserve financière d'assurance - Modèle BBA - Recyclable - </t>
    </r>
    <r>
      <rPr>
        <strike/>
        <sz val="10"/>
        <rFont val="Calibri"/>
        <family val="2"/>
        <scheme val="minor"/>
      </rPr>
      <t xml:space="preserve">Effets financiers </t>
    </r>
    <r>
      <rPr>
        <sz val="10"/>
        <color rgb="FF00B050"/>
        <rFont val="Calibri"/>
        <family val="2"/>
        <scheme val="minor"/>
      </rPr>
      <t>Changement de taux et d'environnement économique</t>
    </r>
    <r>
      <rPr>
        <sz val="10"/>
        <rFont val="Calibri"/>
        <family val="2"/>
        <scheme val="minor"/>
      </rPr>
      <t>-ID</t>
    </r>
  </si>
  <si>
    <t>Réserve financière d'assurance - Modèle BBA - Recyclable - Changement de taux et d'environnement économique-ID</t>
  </si>
  <si>
    <r>
      <t>Résv Fin ass-BBA-R-</t>
    </r>
    <r>
      <rPr>
        <strike/>
        <sz val="10"/>
        <rFont val="Calibri"/>
        <family val="2"/>
        <scheme val="minor"/>
      </rPr>
      <t>Effet.Fi</t>
    </r>
    <r>
      <rPr>
        <sz val="10"/>
        <rFont val="Calibri"/>
        <family val="2"/>
        <scheme val="minor"/>
      </rPr>
      <t>-ID</t>
    </r>
  </si>
  <si>
    <r>
      <t xml:space="preserve">Insurance Financial Reserve - BBA Model - recyclable - </t>
    </r>
    <r>
      <rPr>
        <strike/>
        <sz val="10"/>
        <rFont val="Calibri"/>
        <family val="2"/>
        <scheme val="minor"/>
      </rPr>
      <t xml:space="preserve">Financial Effects </t>
    </r>
    <r>
      <rPr>
        <sz val="10"/>
        <rFont val="Calibri"/>
        <family val="2"/>
        <scheme val="minor"/>
      </rPr>
      <t>Change in rates and economic environment - DT</t>
    </r>
  </si>
  <si>
    <r>
      <t>InsFin.Rsv-BBA-R-</t>
    </r>
    <r>
      <rPr>
        <strike/>
        <sz val="10"/>
        <rFont val="Calibri"/>
        <family val="2"/>
        <scheme val="minor"/>
      </rPr>
      <t>Fin.Effct</t>
    </r>
    <r>
      <rPr>
        <sz val="10"/>
        <rFont val="Calibri"/>
        <family val="2"/>
        <scheme val="minor"/>
      </rPr>
      <t>- DT</t>
    </r>
  </si>
  <si>
    <t>evol 84</t>
  </si>
  <si>
    <t>AC=TP101353</t>
  </si>
  <si>
    <t>TP101353</t>
  </si>
  <si>
    <t>Réserve financière d'assurance - Modèle PAA- Recyclable</t>
  </si>
  <si>
    <t>Résv Fin assu-PAA- Recyclable</t>
  </si>
  <si>
    <t>Insurance Financial Reserve - PAA Model - Recyclable</t>
  </si>
  <si>
    <t>Ins Fin. Rsv-PAA-Recyclable</t>
  </si>
  <si>
    <t>AC=P13070200P</t>
  </si>
  <si>
    <t>P13070200P</t>
  </si>
  <si>
    <r>
      <t xml:space="preserve">Réserve financière d'assurance - Modèle PAA - Recyclable - </t>
    </r>
    <r>
      <rPr>
        <strike/>
        <sz val="10"/>
        <rFont val="Calibri"/>
        <family val="2"/>
        <scheme val="minor"/>
      </rPr>
      <t xml:space="preserve">Effets financiers </t>
    </r>
    <r>
      <rPr>
        <sz val="10"/>
        <color rgb="FF00B050"/>
        <rFont val="Calibri"/>
        <family val="2"/>
        <scheme val="minor"/>
      </rPr>
      <t>Changement de taux et d'environnement économique</t>
    </r>
  </si>
  <si>
    <t>Réserve financière d'assurance - Modèle PAA - Recyclable - Changement de taux et d'environnement économique</t>
  </si>
  <si>
    <r>
      <t>Résv Fin ass-PAA-R-</t>
    </r>
    <r>
      <rPr>
        <strike/>
        <sz val="10"/>
        <rFont val="Calibri"/>
        <family val="2"/>
        <scheme val="minor"/>
      </rPr>
      <t>Ef.Fin</t>
    </r>
  </si>
  <si>
    <r>
      <t xml:space="preserve">Insurance Financial Reserve - PAA Model - recyclable - </t>
    </r>
    <r>
      <rPr>
        <strike/>
        <sz val="10"/>
        <rFont val="Calibri"/>
        <family val="2"/>
        <scheme val="minor"/>
      </rPr>
      <t>Financial Effects</t>
    </r>
    <r>
      <rPr>
        <sz val="10"/>
        <rFont val="Calibri"/>
        <family val="2"/>
        <scheme val="minor"/>
      </rPr>
      <t xml:space="preserve"> Change in rates and economic environment</t>
    </r>
  </si>
  <si>
    <r>
      <t>Ins Fin.Rsv-PAA-R-</t>
    </r>
    <r>
      <rPr>
        <strike/>
        <sz val="10"/>
        <rFont val="Calibri"/>
        <family val="2"/>
        <scheme val="minor"/>
      </rPr>
      <t>Fin. Effects</t>
    </r>
  </si>
  <si>
    <t>AC=P13070210P</t>
  </si>
  <si>
    <t>P13070210P</t>
  </si>
  <si>
    <r>
      <t xml:space="preserve">Réserve financière d'assurance - Modèle PAA - Recyclable - </t>
    </r>
    <r>
      <rPr>
        <strike/>
        <sz val="10"/>
        <rFont val="Calibri"/>
        <family val="2"/>
        <scheme val="minor"/>
      </rPr>
      <t xml:space="preserve">Effets financiers </t>
    </r>
    <r>
      <rPr>
        <sz val="10"/>
        <color rgb="FF00B050"/>
        <rFont val="Calibri"/>
        <family val="2"/>
        <scheme val="minor"/>
      </rPr>
      <t>Changement de taux et d'environnement économique</t>
    </r>
    <r>
      <rPr>
        <sz val="10"/>
        <rFont val="Calibri"/>
        <family val="2"/>
        <scheme val="minor"/>
      </rPr>
      <t>-ID</t>
    </r>
  </si>
  <si>
    <r>
      <t>Réserve financière d'assurance - Modèle PAA - Recyclable -</t>
    </r>
    <r>
      <rPr>
        <strike/>
        <sz val="10"/>
        <rFont val="Calibri"/>
        <family val="2"/>
        <scheme val="minor"/>
      </rPr>
      <t xml:space="preserve"> </t>
    </r>
    <r>
      <rPr>
        <sz val="10"/>
        <rFont val="Calibri"/>
        <family val="2"/>
        <scheme val="minor"/>
      </rPr>
      <t>Changement de taux et d'environnement économique-ID</t>
    </r>
  </si>
  <si>
    <r>
      <t>Résv Fin ass-PAA-R-</t>
    </r>
    <r>
      <rPr>
        <strike/>
        <sz val="10"/>
        <rFont val="Calibri"/>
        <family val="2"/>
        <scheme val="minor"/>
      </rPr>
      <t>Ef.Fin-</t>
    </r>
    <r>
      <rPr>
        <sz val="10"/>
        <rFont val="Calibri"/>
        <family val="2"/>
        <scheme val="minor"/>
      </rPr>
      <t>ID</t>
    </r>
  </si>
  <si>
    <r>
      <t xml:space="preserve">Insurance Financial Reserve - PAA Model - recyclable - </t>
    </r>
    <r>
      <rPr>
        <strike/>
        <sz val="10"/>
        <rFont val="Calibri"/>
        <family val="2"/>
        <scheme val="minor"/>
      </rPr>
      <t>Financial Effects</t>
    </r>
    <r>
      <rPr>
        <sz val="10"/>
        <rFont val="Calibri"/>
        <family val="2"/>
        <scheme val="minor"/>
      </rPr>
      <t xml:space="preserve"> Change in rates and economic environment - DT</t>
    </r>
  </si>
  <si>
    <r>
      <t>InsFin.Rsv-PAA-R-</t>
    </r>
    <r>
      <rPr>
        <strike/>
        <sz val="10"/>
        <rFont val="Calibri"/>
        <family val="2"/>
        <scheme val="minor"/>
      </rPr>
      <t>Fin. Effct</t>
    </r>
    <r>
      <rPr>
        <sz val="10"/>
        <rFont val="Calibri"/>
        <family val="2"/>
        <scheme val="minor"/>
      </rPr>
      <t>-DT</t>
    </r>
  </si>
  <si>
    <t>AC=TP101354</t>
  </si>
  <si>
    <t>TP101354</t>
  </si>
  <si>
    <t>Réserve financière d'assurance - Modèle VFA - Recyclable</t>
  </si>
  <si>
    <t>Résv Fin assu-VFA-Recyclable</t>
  </si>
  <si>
    <t>Insurance Financial Reserve - VFA Model-Recyclable</t>
  </si>
  <si>
    <t>Insurance Fin. Reserve-VFA-R</t>
  </si>
  <si>
    <t>Evol 62 (ex Evol 59)</t>
  </si>
  <si>
    <t>AC=P13071200V</t>
  </si>
  <si>
    <t>P13071200V</t>
  </si>
  <si>
    <r>
      <t xml:space="preserve">Réserve financière d'assurance - Modèle VFA - Recyclable - </t>
    </r>
    <r>
      <rPr>
        <strike/>
        <sz val="10"/>
        <rFont val="Calibri"/>
        <family val="2"/>
        <scheme val="minor"/>
      </rPr>
      <t xml:space="preserve">Effets financiers </t>
    </r>
    <r>
      <rPr>
        <sz val="10"/>
        <rFont val="Calibri"/>
        <family val="2"/>
        <scheme val="minor"/>
      </rPr>
      <t>- Hors transfert de l'atténuation du risque</t>
    </r>
  </si>
  <si>
    <t>Réserve financière d'assurance - Modèle VFA - Recyclable - Hors transfert de l'atténuation du risque</t>
  </si>
  <si>
    <r>
      <t>Résv Fin ass-VFA-R</t>
    </r>
    <r>
      <rPr>
        <strike/>
        <sz val="10"/>
        <rFont val="Calibri"/>
        <family val="2"/>
        <scheme val="minor"/>
      </rPr>
      <t>-EF</t>
    </r>
    <r>
      <rPr>
        <sz val="10"/>
        <rFont val="Calibri"/>
        <family val="2"/>
        <scheme val="minor"/>
      </rPr>
      <t xml:space="preserve"> H RM</t>
    </r>
  </si>
  <si>
    <r>
      <t xml:space="preserve">Insurance Financial Reserve - VFA Model - recyclable - </t>
    </r>
    <r>
      <rPr>
        <strike/>
        <sz val="10"/>
        <rFont val="Calibri"/>
        <family val="2"/>
        <scheme val="minor"/>
      </rPr>
      <t>Financial Effects</t>
    </r>
    <r>
      <rPr>
        <sz val="10"/>
        <rFont val="Calibri"/>
        <family val="2"/>
        <scheme val="minor"/>
      </rPr>
      <t xml:space="preserve"> - Without Risk Mitigation</t>
    </r>
  </si>
  <si>
    <r>
      <t xml:space="preserve">Insurance Financial Reserve - VFA Model - recyclable - </t>
    </r>
    <r>
      <rPr>
        <strike/>
        <sz val="10"/>
        <rFont val="Calibri"/>
        <family val="2"/>
        <scheme val="minor"/>
      </rPr>
      <t xml:space="preserve">Financial Effects </t>
    </r>
    <r>
      <rPr>
        <sz val="10"/>
        <rFont val="Calibri"/>
        <family val="2"/>
        <scheme val="minor"/>
      </rPr>
      <t>- Without Risk Mitigation</t>
    </r>
  </si>
  <si>
    <r>
      <t>Ins Fin.Rsv-VFA-R</t>
    </r>
    <r>
      <rPr>
        <strike/>
        <sz val="10"/>
        <rFont val="Calibri"/>
        <family val="2"/>
        <scheme val="minor"/>
      </rPr>
      <t>-FE</t>
    </r>
    <r>
      <rPr>
        <sz val="10"/>
        <rFont val="Calibri"/>
        <family val="2"/>
        <scheme val="minor"/>
      </rPr>
      <t>- No RM</t>
    </r>
  </si>
  <si>
    <t>Evol 62 (ex Evol 59) Evol 76 / Evol 79</t>
  </si>
  <si>
    <t>AC=P13071210V</t>
  </si>
  <si>
    <t>P13071210V</t>
  </si>
  <si>
    <r>
      <t xml:space="preserve">Réserve financière d'assurance - Modèle VFA - Recyclable - </t>
    </r>
    <r>
      <rPr>
        <strike/>
        <sz val="10"/>
        <rFont val="Calibri"/>
        <family val="2"/>
        <scheme val="minor"/>
      </rPr>
      <t>Effets financiers</t>
    </r>
    <r>
      <rPr>
        <sz val="10"/>
        <rFont val="Calibri"/>
        <family val="2"/>
        <scheme val="minor"/>
      </rPr>
      <t xml:space="preserve"> Hors transf</t>
    </r>
    <r>
      <rPr>
        <sz val="10"/>
        <color rgb="FF00B050"/>
        <rFont val="Calibri"/>
        <family val="2"/>
        <scheme val="minor"/>
      </rPr>
      <t>ert</t>
    </r>
    <r>
      <rPr>
        <sz val="10"/>
        <rFont val="Calibri"/>
        <family val="2"/>
        <scheme val="minor"/>
      </rPr>
      <t xml:space="preserve"> l'atténuation du risque - ID</t>
    </r>
  </si>
  <si>
    <t>Réserve financière d'assurance - Modèle VFA - Recyclable - Hors transfert l'atténuation du risque - ID</t>
  </si>
  <si>
    <r>
      <t>Résv Fin ass-VFA-R</t>
    </r>
    <r>
      <rPr>
        <strike/>
        <sz val="10"/>
        <rFont val="Calibri"/>
        <family val="2"/>
        <scheme val="minor"/>
      </rPr>
      <t>-EF</t>
    </r>
    <r>
      <rPr>
        <sz val="10"/>
        <rFont val="Calibri"/>
        <family val="2"/>
        <scheme val="minor"/>
      </rPr>
      <t>-ID H RM</t>
    </r>
  </si>
  <si>
    <r>
      <t>Insurance Financial Reserve - VFA Model - recyclable -</t>
    </r>
    <r>
      <rPr>
        <strike/>
        <sz val="10"/>
        <rFont val="Calibri"/>
        <family val="2"/>
        <scheme val="minor"/>
      </rPr>
      <t xml:space="preserve"> Financial Effects</t>
    </r>
    <r>
      <rPr>
        <sz val="10"/>
        <rFont val="Calibri"/>
        <family val="2"/>
        <scheme val="minor"/>
      </rPr>
      <t>- - Without Risk Mitigation - DT</t>
    </r>
  </si>
  <si>
    <r>
      <t xml:space="preserve">Insurance Financial Reserve - VFA Model - recyclable - </t>
    </r>
    <r>
      <rPr>
        <strike/>
        <sz val="10"/>
        <rFont val="Calibri"/>
        <family val="2"/>
        <scheme val="minor"/>
      </rPr>
      <t>Financial Effects</t>
    </r>
    <r>
      <rPr>
        <sz val="10"/>
        <rFont val="Calibri"/>
        <family val="2"/>
        <scheme val="minor"/>
      </rPr>
      <t>-  Without Risk Mitigation - DT</t>
    </r>
  </si>
  <si>
    <r>
      <t>InsFin.Rsv-VFA-R-</t>
    </r>
    <r>
      <rPr>
        <strike/>
        <sz val="10"/>
        <rFont val="Calibri"/>
        <family val="2"/>
        <scheme val="minor"/>
      </rPr>
      <t>FE</t>
    </r>
    <r>
      <rPr>
        <sz val="10"/>
        <rFont val="Calibri"/>
        <family val="2"/>
        <scheme val="minor"/>
      </rPr>
      <t>- No RM - DT</t>
    </r>
  </si>
  <si>
    <t>AC=P13071300V</t>
  </si>
  <si>
    <t>P13071300V</t>
  </si>
  <si>
    <r>
      <t xml:space="preserve">Réserve financière d'assurance - Modèle VFA - Recyclable - </t>
    </r>
    <r>
      <rPr>
        <strike/>
        <sz val="10"/>
        <rFont val="Calibri"/>
        <family val="2"/>
        <scheme val="minor"/>
      </rPr>
      <t xml:space="preserve">Effets financiers </t>
    </r>
    <r>
      <rPr>
        <sz val="10"/>
        <rFont val="Calibri"/>
        <family val="2"/>
        <scheme val="minor"/>
      </rPr>
      <t>- Transfert de l'atténuation du risque</t>
    </r>
  </si>
  <si>
    <t>Réserve financière d'assurance - Modèle VFA - Recyclable - Transfert de l'atténuation du risque</t>
  </si>
  <si>
    <r>
      <t>Résv Fin ass-VFA-R-</t>
    </r>
    <r>
      <rPr>
        <strike/>
        <sz val="10"/>
        <rFont val="Calibri"/>
        <family val="2"/>
        <scheme val="minor"/>
      </rPr>
      <t>EF</t>
    </r>
    <r>
      <rPr>
        <sz val="10"/>
        <rFont val="Calibri"/>
        <family val="2"/>
        <scheme val="minor"/>
      </rPr>
      <t xml:space="preserve"> RM</t>
    </r>
  </si>
  <si>
    <r>
      <t xml:space="preserve">Insurance Financial Reserve - VFA Model - recyclable - </t>
    </r>
    <r>
      <rPr>
        <strike/>
        <sz val="10"/>
        <rFont val="Calibri"/>
        <family val="2"/>
        <scheme val="minor"/>
      </rPr>
      <t>Financial Effects</t>
    </r>
    <r>
      <rPr>
        <sz val="10"/>
        <rFont val="Calibri"/>
        <family val="2"/>
        <scheme val="minor"/>
      </rPr>
      <t xml:space="preserve"> - Transfer of risk mitigation</t>
    </r>
  </si>
  <si>
    <r>
      <t xml:space="preserve">Insurance Financial Reserve - VFA Model - recyclable - </t>
    </r>
    <r>
      <rPr>
        <strike/>
        <sz val="10"/>
        <rFont val="Calibri"/>
        <family val="2"/>
        <scheme val="minor"/>
      </rPr>
      <t xml:space="preserve">Financial Effects </t>
    </r>
    <r>
      <rPr>
        <sz val="10"/>
        <rFont val="Calibri"/>
        <family val="2"/>
        <scheme val="minor"/>
      </rPr>
      <t>- Risk Mitigation</t>
    </r>
  </si>
  <si>
    <r>
      <t>Ins Fin.Rsv-VFA-R-</t>
    </r>
    <r>
      <rPr>
        <strike/>
        <sz val="10"/>
        <rFont val="Calibri"/>
        <family val="2"/>
        <scheme val="minor"/>
      </rPr>
      <t>Fin. Eff</t>
    </r>
    <r>
      <rPr>
        <sz val="10"/>
        <rFont val="Calibri"/>
        <family val="2"/>
        <scheme val="minor"/>
      </rPr>
      <t xml:space="preserve"> RM</t>
    </r>
  </si>
  <si>
    <t>Evol 62 (ex Evol 59) Evol 76 / Evol 79/ Evol 90</t>
  </si>
  <si>
    <t>AC=P13071310V</t>
  </si>
  <si>
    <t>P13071310V</t>
  </si>
  <si>
    <r>
      <t xml:space="preserve">Réserve financière d'assurance - Modèle VFA - Rrecyclable </t>
    </r>
    <r>
      <rPr>
        <strike/>
        <sz val="10"/>
        <rFont val="Calibri"/>
        <family val="2"/>
        <scheme val="minor"/>
      </rPr>
      <t>- Effets financiers</t>
    </r>
    <r>
      <rPr>
        <sz val="10"/>
        <rFont val="Calibri"/>
        <family val="2"/>
        <scheme val="minor"/>
      </rPr>
      <t>Transfert l'atténuation du risque -  ID</t>
    </r>
  </si>
  <si>
    <r>
      <t xml:space="preserve">Réserve financière d'assurance - Modèle VFA - Rrecyclable </t>
    </r>
    <r>
      <rPr>
        <strike/>
        <sz val="10"/>
        <rFont val="Calibri"/>
        <family val="2"/>
        <scheme val="minor"/>
      </rPr>
      <t xml:space="preserve"> </t>
    </r>
    <r>
      <rPr>
        <sz val="10"/>
        <rFont val="Calibri"/>
        <family val="2"/>
        <scheme val="minor"/>
      </rPr>
      <t>Transfert l'atténuation du risque -  ID</t>
    </r>
  </si>
  <si>
    <r>
      <t>Résv Fin ass-VFA-R-</t>
    </r>
    <r>
      <rPr>
        <strike/>
        <sz val="10"/>
        <rFont val="Calibri"/>
        <family val="2"/>
        <scheme val="minor"/>
      </rPr>
      <t>Effet.F</t>
    </r>
    <r>
      <rPr>
        <sz val="10"/>
        <rFont val="Calibri"/>
        <family val="2"/>
        <scheme val="minor"/>
      </rPr>
      <t>i H RM-ID</t>
    </r>
  </si>
  <si>
    <r>
      <t>Insurance Financial Reserve - VFA Model - recyclable -</t>
    </r>
    <r>
      <rPr>
        <strike/>
        <sz val="10"/>
        <rFont val="Calibri"/>
        <family val="2"/>
        <scheme val="minor"/>
      </rPr>
      <t xml:space="preserve"> Financial Effects</t>
    </r>
    <r>
      <rPr>
        <sz val="10"/>
        <rFont val="Calibri"/>
        <family val="2"/>
        <scheme val="minor"/>
      </rPr>
      <t xml:space="preserve"> - Risk Mitigation- DT</t>
    </r>
  </si>
  <si>
    <r>
      <t>InsFin.Rsv-VFA-R-</t>
    </r>
    <r>
      <rPr>
        <strike/>
        <sz val="10"/>
        <rFont val="Calibri"/>
        <family val="2"/>
        <scheme val="minor"/>
      </rPr>
      <t>Fin.Eff</t>
    </r>
    <r>
      <rPr>
        <sz val="10"/>
        <rFont val="Calibri"/>
        <family val="2"/>
        <scheme val="minor"/>
      </rPr>
      <t xml:space="preserve"> RM - DT</t>
    </r>
  </si>
  <si>
    <t>AC=TP101355</t>
  </si>
  <si>
    <t>TP101355</t>
  </si>
  <si>
    <r>
      <t xml:space="preserve">Réserve financière d'assurance - Modèle BBA - Recyclable </t>
    </r>
    <r>
      <rPr>
        <b/>
        <sz val="10"/>
        <color rgb="FF00B050"/>
        <rFont val="Calibri"/>
        <family val="2"/>
        <scheme val="minor"/>
      </rPr>
      <t xml:space="preserve">- Cptes liaison et ajust. Ass. </t>
    </r>
  </si>
  <si>
    <t>Réserve financière d'assurance - Modèle BBA - Cptes liaison et ajust. Ass.</t>
  </si>
  <si>
    <t>Insurance Financial Reserve - VFA Model-Recyclable - Transfer of risk mitigation</t>
  </si>
  <si>
    <t>Evol 62 (ex Evol 59)/ Evol 92</t>
  </si>
  <si>
    <t>AC=P1307120BJ</t>
  </si>
  <si>
    <t>P1307120BJ</t>
  </si>
  <si>
    <t>P13078200B</t>
  </si>
  <si>
    <t>Réserve financière d'assurance - Modèle BBA - Ajustement</t>
  </si>
  <si>
    <t>Réserve financière d'assurance - Modèle BBA- Ajustement</t>
  </si>
  <si>
    <t>Résv Fin ass-BBA-Aju</t>
  </si>
  <si>
    <t>Insurance Financial Reserve - BBA Model - Adjustment account</t>
  </si>
  <si>
    <t>Ins Fin. Resv-BBA-Adju</t>
  </si>
  <si>
    <t>Evol 62 (ex Evol 59) Evol 76</t>
  </si>
  <si>
    <t>AC=P1307120BL</t>
  </si>
  <si>
    <t>P1307120BL</t>
  </si>
  <si>
    <t>Réserve financière d'assurance - Modèle BBA - Liaison</t>
  </si>
  <si>
    <t>Résv Fin ass-BBA-Liaison</t>
  </si>
  <si>
    <t>Insurance Financial Reserve - BBA Model - Liaison account</t>
  </si>
  <si>
    <t>Ins Fin. Resv-BBA-Liaison</t>
  </si>
  <si>
    <t>AC=P1307120VJ</t>
  </si>
  <si>
    <t>P1307120VJ</t>
  </si>
  <si>
    <t>Réserve financière d'assurance - Modèle VFA - Ajustement</t>
  </si>
  <si>
    <t>Evol 92</t>
  </si>
  <si>
    <t>AC=P1307120VL</t>
  </si>
  <si>
    <t>P1307120VL</t>
  </si>
  <si>
    <t>Réserve financière d'assurance - Modèle VFA - Liaison</t>
  </si>
  <si>
    <t>AC=P1307120PJ</t>
  </si>
  <si>
    <t>P1307120PJ</t>
  </si>
  <si>
    <t>Réserve financière d'assurance - Modèle PAA- Ajustement</t>
  </si>
  <si>
    <t>AC=TP10136</t>
  </si>
  <si>
    <t>TP10136</t>
  </si>
  <si>
    <t>Réserve financière de réassurance</t>
  </si>
  <si>
    <t>Réserve Fin de réassurance</t>
  </si>
  <si>
    <t>Reinsurance Financial Reserve</t>
  </si>
  <si>
    <t>AC=TP101361</t>
  </si>
  <si>
    <t>TP101361</t>
  </si>
  <si>
    <t>Réserve financière de réassurance - Modèle VFA - Non recyclable</t>
  </si>
  <si>
    <t>Résv Fin réass-VFA-NonRecycl</t>
  </si>
  <si>
    <t>Reinsurance Financial Reserve - VFA Model - Non recyclable</t>
  </si>
  <si>
    <t>Reinsu. Fin. Rsv-VFA-NonRecycl</t>
  </si>
  <si>
    <t>P13078200V</t>
  </si>
  <si>
    <r>
      <t xml:space="preserve">Réserve financière de réassurance - Modèle VFA - Non recyclable </t>
    </r>
    <r>
      <rPr>
        <strike/>
        <sz val="10"/>
        <rFont val="Calibri"/>
        <family val="2"/>
        <scheme val="minor"/>
      </rPr>
      <t xml:space="preserve">- Effets financiers </t>
    </r>
    <r>
      <rPr>
        <sz val="10"/>
        <color rgb="FF00B050"/>
        <rFont val="Calibri"/>
        <family val="2"/>
        <scheme val="minor"/>
      </rPr>
      <t xml:space="preserve">Variation de la juste valeur des éléments sous-jacents </t>
    </r>
  </si>
  <si>
    <r>
      <t xml:space="preserve">Réserve financière de réassurance - Modèle VFA - Non recyclable </t>
    </r>
    <r>
      <rPr>
        <strike/>
        <sz val="10"/>
        <color theme="1"/>
        <rFont val="Calibri"/>
        <family val="2"/>
        <scheme val="minor"/>
      </rPr>
      <t>-</t>
    </r>
    <r>
      <rPr>
        <sz val="10"/>
        <color theme="1"/>
        <rFont val="Calibri"/>
        <family val="2"/>
        <scheme val="minor"/>
      </rPr>
      <t xml:space="preserve">Variation de la juste valeur des éléments sous-jacents </t>
    </r>
  </si>
  <si>
    <r>
      <t>Résv Fin réass-VFA-NR-</t>
    </r>
    <r>
      <rPr>
        <strike/>
        <sz val="10"/>
        <rFont val="Calibri"/>
        <family val="2"/>
        <scheme val="minor"/>
      </rPr>
      <t>Ef.Fin</t>
    </r>
  </si>
  <si>
    <r>
      <t xml:space="preserve">Reinsurance Financial Reserve - VFA Model - Non recyclable - </t>
    </r>
    <r>
      <rPr>
        <strike/>
        <sz val="10"/>
        <rFont val="Calibri"/>
        <family val="2"/>
        <scheme val="minor"/>
      </rPr>
      <t xml:space="preserve">Financial Effects </t>
    </r>
    <r>
      <rPr>
        <sz val="10"/>
        <rFont val="Calibri"/>
        <family val="2"/>
        <scheme val="minor"/>
      </rPr>
      <t>- Change in fair value of underlying items</t>
    </r>
  </si>
  <si>
    <t>Reinsu.Fin.Rsv-VFA-NR-Fin.Efct</t>
  </si>
  <si>
    <t>Evol 76/ Evol 78 / Evol 79</t>
  </si>
  <si>
    <t>AC=P13078210V</t>
  </si>
  <si>
    <t>P13078210V</t>
  </si>
  <si>
    <r>
      <t xml:space="preserve">Réserve financière de réassurance - Modèle VFA - Non recyclable </t>
    </r>
    <r>
      <rPr>
        <strike/>
        <sz val="10"/>
        <rFont val="Calibri"/>
        <family val="2"/>
        <scheme val="minor"/>
      </rPr>
      <t xml:space="preserve">- Effets financiers </t>
    </r>
    <r>
      <rPr>
        <sz val="10"/>
        <color rgb="FF00B050"/>
        <rFont val="Calibri"/>
        <family val="2"/>
        <scheme val="minor"/>
      </rPr>
      <t>Variation de la juste valeur des éléments sous-jacents</t>
    </r>
    <r>
      <rPr>
        <strike/>
        <sz val="10"/>
        <rFont val="Calibri"/>
        <family val="2"/>
        <scheme val="minor"/>
      </rPr>
      <t xml:space="preserve"> </t>
    </r>
    <r>
      <rPr>
        <sz val="10"/>
        <rFont val="Calibri"/>
        <family val="2"/>
        <scheme val="minor"/>
      </rPr>
      <t>- ID</t>
    </r>
  </si>
  <si>
    <t>Réserve financière de réassurance - Modèle VFA - Non recyclable -  Variation de la juste valeur des éléments sous-jacents - ID</t>
  </si>
  <si>
    <r>
      <t>RésvFin réass-VFA-NR-</t>
    </r>
    <r>
      <rPr>
        <strike/>
        <sz val="10"/>
        <rFont val="Calibri"/>
        <family val="2"/>
        <scheme val="minor"/>
      </rPr>
      <t>Ef.Fin-</t>
    </r>
    <r>
      <rPr>
        <sz val="10"/>
        <rFont val="Calibri"/>
        <family val="2"/>
        <scheme val="minor"/>
      </rPr>
      <t>ID</t>
    </r>
  </si>
  <si>
    <r>
      <t xml:space="preserve"> -DTReinsurance Financial Reserve - VFA Model - Non recyclable - </t>
    </r>
    <r>
      <rPr>
        <strike/>
        <sz val="10"/>
        <rFont val="Calibri"/>
        <family val="2"/>
        <scheme val="minor"/>
      </rPr>
      <t xml:space="preserve">Financial Effects </t>
    </r>
    <r>
      <rPr>
        <sz val="10"/>
        <rFont val="Calibri"/>
        <family val="2"/>
        <scheme val="minor"/>
      </rPr>
      <t>- Change in fair value of underlying items - DT</t>
    </r>
  </si>
  <si>
    <t>ReinsuFinRsv-VFA-NR-FinEfct-DT</t>
  </si>
  <si>
    <t>Evol 78 / Evol 79</t>
  </si>
  <si>
    <t>AC=TP101362</t>
  </si>
  <si>
    <t>TP101362</t>
  </si>
  <si>
    <t>Réserve financière de réassurance - Modèle BBA - Recyclable</t>
  </si>
  <si>
    <t>Résv Fin réass-BBA-Recyclable</t>
  </si>
  <si>
    <t>Reinsurance Financial Reserve - BBA Model - Recyclable</t>
  </si>
  <si>
    <t>Reinsu. Fin. Rsv-BBA- Recycl</t>
  </si>
  <si>
    <t>AC=P13078200B</t>
  </si>
  <si>
    <r>
      <t xml:space="preserve">Réserve financière de réassurance - Modèle BBA - Recyclable - </t>
    </r>
    <r>
      <rPr>
        <strike/>
        <sz val="10"/>
        <rFont val="Calibri"/>
        <family val="2"/>
        <scheme val="minor"/>
      </rPr>
      <t>Effets financiers</t>
    </r>
    <r>
      <rPr>
        <sz val="10"/>
        <rFont val="Calibri"/>
        <family val="2"/>
        <scheme val="minor"/>
      </rPr>
      <t xml:space="preserve"> </t>
    </r>
    <r>
      <rPr>
        <sz val="10"/>
        <color rgb="FF00B050"/>
        <rFont val="Calibri"/>
        <family val="2"/>
        <scheme val="minor"/>
      </rPr>
      <t>Changement de taux et d'environnement économique</t>
    </r>
  </si>
  <si>
    <t>Réserve financière de réassurance - Modèle BBA - Recyclable -  Changement de taux et d'environnement économique</t>
  </si>
  <si>
    <r>
      <t>Résv Fin réass-BBA-R-E</t>
    </r>
    <r>
      <rPr>
        <strike/>
        <sz val="10"/>
        <rFont val="Calibri"/>
        <family val="2"/>
        <scheme val="minor"/>
      </rPr>
      <t>f.Fin</t>
    </r>
  </si>
  <si>
    <r>
      <t>Reinsurance Financial Reserve - BBA Model - recyclable</t>
    </r>
    <r>
      <rPr>
        <strike/>
        <sz val="10"/>
        <rFont val="Calibri"/>
        <family val="2"/>
        <scheme val="minor"/>
      </rPr>
      <t xml:space="preserve"> - Financial Effects </t>
    </r>
    <r>
      <rPr>
        <sz val="10"/>
        <rFont val="Calibri"/>
        <family val="2"/>
        <scheme val="minor"/>
      </rPr>
      <t>- Change in rates and economic environment</t>
    </r>
  </si>
  <si>
    <r>
      <t>ReinsuFinRsv-BBA-R-</t>
    </r>
    <r>
      <rPr>
        <strike/>
        <sz val="10"/>
        <rFont val="Calibri"/>
        <family val="2"/>
        <scheme val="minor"/>
      </rPr>
      <t>FinEffects</t>
    </r>
  </si>
  <si>
    <t>AC=P13078210B</t>
  </si>
  <si>
    <t>P13078210B</t>
  </si>
  <si>
    <r>
      <t>Réserve financière de réassurance - Modèle BBA - Recyclable -</t>
    </r>
    <r>
      <rPr>
        <strike/>
        <sz val="10"/>
        <rFont val="Calibri"/>
        <family val="2"/>
        <scheme val="minor"/>
      </rPr>
      <t xml:space="preserve"> Effets financiers</t>
    </r>
    <r>
      <rPr>
        <sz val="10"/>
        <color rgb="FF00B050"/>
        <rFont val="Calibri"/>
        <family val="2"/>
        <scheme val="minor"/>
      </rPr>
      <t>Changement de taux et d'environnement économique</t>
    </r>
    <r>
      <rPr>
        <sz val="10"/>
        <rFont val="Calibri"/>
        <family val="2"/>
        <scheme val="minor"/>
      </rPr>
      <t>-ID</t>
    </r>
  </si>
  <si>
    <t>Réserve financière de réassurance - Modèle BBA - Recyclable - Changement de taux et d'environnement économique-ID</t>
  </si>
  <si>
    <r>
      <t>Résv Fin réass-BBA-R-E</t>
    </r>
    <r>
      <rPr>
        <strike/>
        <sz val="10"/>
        <rFont val="Calibri"/>
        <family val="2"/>
        <scheme val="minor"/>
      </rPr>
      <t>f.Fin-ID</t>
    </r>
  </si>
  <si>
    <r>
      <t>Reinsurance Financial Reserve - BBA Model - recyclable</t>
    </r>
    <r>
      <rPr>
        <strike/>
        <sz val="10"/>
        <rFont val="Calibri"/>
        <family val="2"/>
        <scheme val="minor"/>
      </rPr>
      <t xml:space="preserve"> - Financial Effects - </t>
    </r>
    <r>
      <rPr>
        <sz val="10"/>
        <rFont val="Calibri"/>
        <family val="2"/>
        <scheme val="minor"/>
      </rPr>
      <t>Change in rates and economic environment - DT</t>
    </r>
  </si>
  <si>
    <r>
      <t>ReinsuFinRsv-BBA-R-</t>
    </r>
    <r>
      <rPr>
        <strike/>
        <sz val="10"/>
        <rFont val="Calibri"/>
        <family val="2"/>
        <scheme val="minor"/>
      </rPr>
      <t>FinEfct</t>
    </r>
    <r>
      <rPr>
        <sz val="10"/>
        <rFont val="Calibri"/>
        <family val="2"/>
        <scheme val="minor"/>
      </rPr>
      <t>-DT</t>
    </r>
  </si>
  <si>
    <t>AC=TP101363</t>
  </si>
  <si>
    <t>TP101363</t>
  </si>
  <si>
    <t>Réserve financière de réassurance - Modèle PAA -Recyclable</t>
  </si>
  <si>
    <t>Résv Fin réass-PAA -Recyclable</t>
  </si>
  <si>
    <t>Reinsurance Financial Reserve - PAA Model - recyclable</t>
  </si>
  <si>
    <t>Reinsu. Fin. Rsv-PAA-Recycl</t>
  </si>
  <si>
    <t>AC=P13078200P</t>
  </si>
  <si>
    <t>P13078200P</t>
  </si>
  <si>
    <r>
      <t xml:space="preserve">Réserve financière de réassurance - Modèle PAA - Recyclable - </t>
    </r>
    <r>
      <rPr>
        <strike/>
        <sz val="10"/>
        <rFont val="Calibri"/>
        <family val="2"/>
        <scheme val="minor"/>
      </rPr>
      <t>Effets financiers</t>
    </r>
    <r>
      <rPr>
        <sz val="10"/>
        <color rgb="FF00B050"/>
        <rFont val="Calibri"/>
        <family val="2"/>
        <scheme val="minor"/>
      </rPr>
      <t>Changement de taux et d'environnement économique</t>
    </r>
  </si>
  <si>
    <t>Réserve financière de réassurance - Modèle PAA - Recyclable - Changement de taux et d'environnement économique</t>
  </si>
  <si>
    <r>
      <t>Résv Fin réass-PAA-R-</t>
    </r>
    <r>
      <rPr>
        <strike/>
        <sz val="10"/>
        <rFont val="Calibri"/>
        <family val="2"/>
        <scheme val="minor"/>
      </rPr>
      <t>Ef.Fin</t>
    </r>
  </si>
  <si>
    <r>
      <t xml:space="preserve">Reinsurance Financial Reserve - PAA Model - recyclable - </t>
    </r>
    <r>
      <rPr>
        <strike/>
        <sz val="10"/>
        <rFont val="Calibri"/>
        <family val="2"/>
        <scheme val="minor"/>
      </rPr>
      <t xml:space="preserve">Financial Effects </t>
    </r>
    <r>
      <rPr>
        <sz val="10"/>
        <rFont val="Calibri"/>
        <family val="2"/>
        <scheme val="minor"/>
      </rPr>
      <t>Change in rates and economic environment</t>
    </r>
  </si>
  <si>
    <r>
      <t>ReinsuFinRsv-PAA-R</t>
    </r>
    <r>
      <rPr>
        <strike/>
        <sz val="10"/>
        <rFont val="Calibri"/>
        <family val="2"/>
        <scheme val="minor"/>
      </rPr>
      <t>-FinEfct</t>
    </r>
  </si>
  <si>
    <t>AC=P13078210P</t>
  </si>
  <si>
    <t>P13078210P</t>
  </si>
  <si>
    <r>
      <t xml:space="preserve">Réserve financière de réassurance - Modèle PAA - Recyclable - </t>
    </r>
    <r>
      <rPr>
        <strike/>
        <sz val="10"/>
        <rFont val="Calibri"/>
        <family val="2"/>
        <scheme val="minor"/>
      </rPr>
      <t>Effets financiers</t>
    </r>
    <r>
      <rPr>
        <sz val="10"/>
        <color rgb="FF00B050"/>
        <rFont val="Calibri"/>
        <family val="2"/>
        <scheme val="minor"/>
      </rPr>
      <t>Changement de taux et d'environnement économique</t>
    </r>
    <r>
      <rPr>
        <sz val="10"/>
        <rFont val="Calibri"/>
        <family val="2"/>
        <scheme val="minor"/>
      </rPr>
      <t>-ID</t>
    </r>
  </si>
  <si>
    <t>Réserve financière de réassurance - Modèle PAA - Recyclable - Changement de taux et d'environnement économique-ID</t>
  </si>
  <si>
    <r>
      <t>Résv Fin réass-PAA-R-</t>
    </r>
    <r>
      <rPr>
        <strike/>
        <sz val="10"/>
        <rFont val="Calibri"/>
        <family val="2"/>
        <scheme val="minor"/>
      </rPr>
      <t>Ef.Fin</t>
    </r>
    <r>
      <rPr>
        <sz val="10"/>
        <rFont val="Calibri"/>
        <family val="2"/>
        <scheme val="minor"/>
      </rPr>
      <t>-ID</t>
    </r>
  </si>
  <si>
    <r>
      <t xml:space="preserve">Reinsurance Financial Reserve - PAA Model - recyclable - </t>
    </r>
    <r>
      <rPr>
        <strike/>
        <sz val="10"/>
        <rFont val="Calibri"/>
        <family val="2"/>
        <scheme val="minor"/>
      </rPr>
      <t xml:space="preserve">Financial Effects </t>
    </r>
    <r>
      <rPr>
        <sz val="10"/>
        <rFont val="Calibri"/>
        <family val="2"/>
        <scheme val="minor"/>
      </rPr>
      <t>Change in rates and economic environment - DT</t>
    </r>
  </si>
  <si>
    <r>
      <t>ReinsuFinRsv-PAA-R-</t>
    </r>
    <r>
      <rPr>
        <strike/>
        <sz val="10"/>
        <rFont val="Calibri"/>
        <family val="2"/>
        <scheme val="minor"/>
      </rPr>
      <t>FinEfc-</t>
    </r>
    <r>
      <rPr>
        <sz val="10"/>
        <rFont val="Calibri"/>
        <family val="2"/>
        <scheme val="minor"/>
      </rPr>
      <t>DT</t>
    </r>
  </si>
  <si>
    <t>AC=TP101364</t>
  </si>
  <si>
    <t>TP101364</t>
  </si>
  <si>
    <t>Réserve financière de réassurance - Modèle VFA - Recyclable</t>
  </si>
  <si>
    <t>Résv Fin réass-VFA-Recyclable</t>
  </si>
  <si>
    <t>Reinsurance Financial Reserve - VFA Model - Recyclable</t>
  </si>
  <si>
    <t>Reinsu. Fin. Rsv-VFA- Recycl</t>
  </si>
  <si>
    <t>AC=P13078201V</t>
  </si>
  <si>
    <t>P13078201V</t>
  </si>
  <si>
    <r>
      <t>Réserve financière de réassurance - Modèle VFA - Recyclable</t>
    </r>
    <r>
      <rPr>
        <strike/>
        <sz val="10"/>
        <rFont val="Calibri"/>
        <family val="2"/>
        <scheme val="minor"/>
      </rPr>
      <t xml:space="preserve"> - Effets financiers</t>
    </r>
  </si>
  <si>
    <t xml:space="preserve">Réserve financière de réassurance - Modèle VFA - Recyclable - </t>
  </si>
  <si>
    <r>
      <t>Résv Fin réass-VFA-R-</t>
    </r>
    <r>
      <rPr>
        <strike/>
        <sz val="10"/>
        <rFont val="Calibri"/>
        <family val="2"/>
        <scheme val="minor"/>
      </rPr>
      <t>Ef.Fin</t>
    </r>
  </si>
  <si>
    <t>Reinsurance Financial Reserve - VFA Model - recyclable - Financial Effects</t>
  </si>
  <si>
    <r>
      <t xml:space="preserve">Reinsurance Financial Reserve - VFA Model - recyclable - </t>
    </r>
    <r>
      <rPr>
        <strike/>
        <sz val="10"/>
        <rFont val="Calibri"/>
        <family val="2"/>
        <scheme val="minor"/>
      </rPr>
      <t>Financial Effects</t>
    </r>
  </si>
  <si>
    <t>ReinsuFinRsv-VFA-R-FinEffects</t>
  </si>
  <si>
    <t>Evol 62 (ex Evol 59) / Evol 79</t>
  </si>
  <si>
    <t>AC=P13078211V</t>
  </si>
  <si>
    <t>P13078211V</t>
  </si>
  <si>
    <r>
      <t xml:space="preserve">Réserve financière de réassurance - Modèle VFA - Recyclable - </t>
    </r>
    <r>
      <rPr>
        <strike/>
        <sz val="10"/>
        <rFont val="Calibri"/>
        <family val="2"/>
        <scheme val="minor"/>
      </rPr>
      <t>Effets financiers-</t>
    </r>
    <r>
      <rPr>
        <sz val="10"/>
        <rFont val="Calibri"/>
        <family val="2"/>
        <scheme val="minor"/>
      </rPr>
      <t>ID</t>
    </r>
  </si>
  <si>
    <t>Réserve financière de réassurance - Modèle VFA - Recyclable - -ID</t>
  </si>
  <si>
    <t>Résv Fin réass-VFA-R-Ef.Fin-ID</t>
  </si>
  <si>
    <t>Reinsurance Financial Reserve - VFA Model - recyclable - Financial Effects - DT</t>
  </si>
  <si>
    <r>
      <t xml:space="preserve">Reinsurance Financial Reserve - VFA Model - recyclable - </t>
    </r>
    <r>
      <rPr>
        <strike/>
        <sz val="10"/>
        <rFont val="Calibri"/>
        <family val="2"/>
        <scheme val="minor"/>
      </rPr>
      <t>Financial Effects</t>
    </r>
    <r>
      <rPr>
        <sz val="10"/>
        <rFont val="Calibri"/>
        <family val="2"/>
        <scheme val="minor"/>
      </rPr>
      <t xml:space="preserve"> - DT</t>
    </r>
  </si>
  <si>
    <r>
      <t>ReinsuFinRsv-VFA-R-</t>
    </r>
    <r>
      <rPr>
        <strike/>
        <sz val="10"/>
        <rFont val="Calibri"/>
        <family val="2"/>
        <scheme val="minor"/>
      </rPr>
      <t>FinEfct</t>
    </r>
    <r>
      <rPr>
        <sz val="10"/>
        <rFont val="Calibri"/>
        <family val="2"/>
        <scheme val="minor"/>
      </rPr>
      <t>-DT</t>
    </r>
  </si>
  <si>
    <t>TP1014</t>
  </si>
  <si>
    <t>Titres subs perpétu(cap prprs)</t>
  </si>
  <si>
    <t>Undated subordinated debt classified as equity</t>
  </si>
  <si>
    <t>Undated Sub debt class. equity</t>
  </si>
  <si>
    <t>P13050000</t>
  </si>
  <si>
    <t>Titres super subordonnés</t>
  </si>
  <si>
    <t>Deeply-subordinated debt</t>
  </si>
  <si>
    <t>AC=TP1015</t>
  </si>
  <si>
    <t>TP1015</t>
  </si>
  <si>
    <t>Retained earnings/(losses)</t>
  </si>
  <si>
    <t>AC=P10600000E</t>
  </si>
  <si>
    <t>P10600000E</t>
  </si>
  <si>
    <t>Réserves - Ecritures de consolidation (rub. tech.)</t>
  </si>
  <si>
    <t>Rés-Ecritures conso(rub.tech.)</t>
  </si>
  <si>
    <t>Reserves - Consolidation entries (technical account)</t>
  </si>
  <si>
    <t>Rsv-Conso entries(TechAccount)</t>
  </si>
  <si>
    <t>AC=TP10151</t>
  </si>
  <si>
    <t>TP10151</t>
  </si>
  <si>
    <t>Réserves consolidées et autres</t>
  </si>
  <si>
    <t>Consolidated reserves and others</t>
  </si>
  <si>
    <t>Consolidated rsv and others</t>
  </si>
  <si>
    <t>AC=P10530000</t>
  </si>
  <si>
    <t>P10530000</t>
  </si>
  <si>
    <t>Réserves de revalo. légale Immeubles et forêts</t>
  </si>
  <si>
    <t>Rés revalo. légale Imbl/forêt</t>
  </si>
  <si>
    <t>Revaluation reserves - Statutory revaluation - Property and forestry assets</t>
  </si>
  <si>
    <t>RevlRsv-StatRevl-Pty/ForstAsts</t>
  </si>
  <si>
    <t>AC=P10620000</t>
  </si>
  <si>
    <t>P10620000</t>
  </si>
  <si>
    <t>Réserves indisponibles</t>
  </si>
  <si>
    <t>Non-distributable reserves</t>
  </si>
  <si>
    <t>AC=P10630000</t>
  </si>
  <si>
    <t>P10630000</t>
  </si>
  <si>
    <t>Réserves légales</t>
  </si>
  <si>
    <t>Statutory reserves</t>
  </si>
  <si>
    <t>AC=P10641000</t>
  </si>
  <si>
    <t>P10641000</t>
  </si>
  <si>
    <t>Réserves de PV à long terme</t>
  </si>
  <si>
    <t>Long-term capital gains reserves</t>
  </si>
  <si>
    <t>Long-term capital gains rsv</t>
  </si>
  <si>
    <t>AC=P10643000</t>
  </si>
  <si>
    <t>P10643000</t>
  </si>
  <si>
    <t>Fonds pour risques bancaires généraux</t>
  </si>
  <si>
    <t>Fonds - Rsq bancaires généraux</t>
  </si>
  <si>
    <t>General banking risks reserves</t>
  </si>
  <si>
    <t>AC=P10645000</t>
  </si>
  <si>
    <t>P10645000</t>
  </si>
  <si>
    <t>Réserves de capitalisation</t>
  </si>
  <si>
    <t>Capitalization reserves</t>
  </si>
  <si>
    <t>AC=P10680000</t>
  </si>
  <si>
    <t>P10680000</t>
  </si>
  <si>
    <t>Autres réserves</t>
  </si>
  <si>
    <t>Other reserves</t>
  </si>
  <si>
    <t>AC=P10681000</t>
  </si>
  <si>
    <t>P10681000</t>
  </si>
  <si>
    <t>Réserves facultatives</t>
  </si>
  <si>
    <t>Discretionary reserves</t>
  </si>
  <si>
    <t>AC=P10900000</t>
  </si>
  <si>
    <t>P10900000</t>
  </si>
  <si>
    <t>Réserves consolidées</t>
  </si>
  <si>
    <t>Consolidated reserves</t>
  </si>
  <si>
    <t>Evol 50</t>
  </si>
  <si>
    <t>AC=P11000000</t>
  </si>
  <si>
    <t>P11000000</t>
  </si>
  <si>
    <t>Report à nouveau</t>
  </si>
  <si>
    <t>Retained earnings</t>
  </si>
  <si>
    <t>AC=P13000000</t>
  </si>
  <si>
    <t>P13000000</t>
  </si>
  <si>
    <t>Impact of change in accounting policies</t>
  </si>
  <si>
    <t>Impct chng in accntng policies</t>
  </si>
  <si>
    <t>AC=P13001500</t>
  </si>
  <si>
    <t>P13001500</t>
  </si>
  <si>
    <t>Impact fonds propres immeubles - Impact composant</t>
  </si>
  <si>
    <t>Impact FP immbles-Impact compo</t>
  </si>
  <si>
    <t>Adjustments to property (application of components method) recognized in equity</t>
  </si>
  <si>
    <t>Adj to Ppty(Compo)recgd Equity</t>
  </si>
  <si>
    <t>AC=P13001600</t>
  </si>
  <si>
    <t>P13001600</t>
  </si>
  <si>
    <t>Engmt soc-Impact fonds prprs</t>
  </si>
  <si>
    <t>Employee benefit obligations - Adjustments recognized in equity</t>
  </si>
  <si>
    <t>EmplBenOblig-Adj recgd equity</t>
  </si>
  <si>
    <t>Evol 75</t>
  </si>
  <si>
    <t>Changement de hierarchie</t>
  </si>
  <si>
    <t>AC=P14600000</t>
  </si>
  <si>
    <t>P14600000</t>
  </si>
  <si>
    <t>Prov. de revalo. Légale</t>
  </si>
  <si>
    <t>Statutory revaluation reserve</t>
  </si>
  <si>
    <t>AC=P14610000</t>
  </si>
  <si>
    <t>P14610000</t>
  </si>
  <si>
    <t>Prov. dépréciation durable</t>
  </si>
  <si>
    <t>Provisions for other-than-temporary impairment</t>
  </si>
  <si>
    <t>Prov for other-than-temp Imp</t>
  </si>
  <si>
    <t>AC=P106910000</t>
  </si>
  <si>
    <t>P106910000</t>
  </si>
  <si>
    <t>Réserve à la FTA (non recyclable) IFRS9 - VB</t>
  </si>
  <si>
    <t>Résv à FTA (NR) IFRS9-VB</t>
  </si>
  <si>
    <t>FTA reserve IFRS9 (non recycling) - IFRS9- Gross value</t>
  </si>
  <si>
    <t>FTA reserve IFRS9 (non recycling) - IFRS9 - Gross value</t>
  </si>
  <si>
    <t>FTA Rsv IFRS9(NR)-IFRS9-GV</t>
  </si>
  <si>
    <t>Evol 59 (ex Evol 56)</t>
  </si>
  <si>
    <t>AC=P106912000</t>
  </si>
  <si>
    <t>P106912000</t>
  </si>
  <si>
    <t>Réserve à la FTA (non recyclable) IFRS9 - ID</t>
  </si>
  <si>
    <t>Résv à FTA (NR) IFRS9-ID</t>
  </si>
  <si>
    <t>FTA reserve IFRS9 (non recycling) - IFRS9 - DT</t>
  </si>
  <si>
    <t>FTA Rsv IFRS9(NR)-IFRS9-DT</t>
  </si>
  <si>
    <t>AC=P106913000</t>
  </si>
  <si>
    <t>P106913000</t>
  </si>
  <si>
    <t>Réserve à la FTA (non recyclable) IFRS 17 - VB</t>
  </si>
  <si>
    <t>Réserve à la FTA (non recyclable)IFRS 17 - VB</t>
  </si>
  <si>
    <t>Résv à FTA (NR) IFRS17-VB</t>
  </si>
  <si>
    <t>FTA reserve IFRS9 (non recycling) - IFRS 17 - Gross value</t>
  </si>
  <si>
    <t>AC=P106914000</t>
  </si>
  <si>
    <t>P106914000</t>
  </si>
  <si>
    <t>Réserve à la FTA (non recyclable) IFRS 17 - ID</t>
  </si>
  <si>
    <t>Résv à FTA (NR) IFRS17-ID</t>
  </si>
  <si>
    <t>FTA reserve IFRS9 (non recycling) - IFRS17 - DT</t>
  </si>
  <si>
    <t>FTA Rsv IFRS9(NR)-IFRS9,17-DT</t>
  </si>
  <si>
    <t>AC=P106600000</t>
  </si>
  <si>
    <t>P106600000</t>
  </si>
  <si>
    <t>Réserve PPA - VB</t>
  </si>
  <si>
    <t>PPA reserve - Gross value</t>
  </si>
  <si>
    <t>AC=P106602000</t>
  </si>
  <si>
    <t>P106602000</t>
  </si>
  <si>
    <t>Réserve PPA - ID</t>
  </si>
  <si>
    <t>PPA reserve - DT</t>
  </si>
  <si>
    <t>AC=TP10152</t>
  </si>
  <si>
    <t>TP10152</t>
  </si>
  <si>
    <t>Actifs OCI - NR - Plus ou moins Value de Cession</t>
  </si>
  <si>
    <t>Actfs OCI-NR-+/-V.Cession</t>
  </si>
  <si>
    <t>Non-recyclable OCI - Gain or loss on disposal</t>
  </si>
  <si>
    <t>NR OCI-Gain/Loss on disposal</t>
  </si>
  <si>
    <t>P10600000N</t>
  </si>
  <si>
    <t>JV OCI - Non recyclable - PMV - valeur brute</t>
  </si>
  <si>
    <t>JV OCI-NonRecycl-PMV-V.Brute</t>
  </si>
  <si>
    <t>FV through non-recyclable OCI - Proceeds - Gross value</t>
  </si>
  <si>
    <t>FV through NR OCI-Proceeds-GV</t>
  </si>
  <si>
    <t>AC=P10600200N</t>
  </si>
  <si>
    <t>P10600200N</t>
  </si>
  <si>
    <t>JV OCI - Non recyclable - PMV - Impôt</t>
  </si>
  <si>
    <t>JV OCI-NonRecyclable-PMV-Impôt</t>
  </si>
  <si>
    <t>FV through non-recyclable OCI - Proceeds - Tax</t>
  </si>
  <si>
    <t>FV through NR OCI-Proceeds-Tax</t>
  </si>
  <si>
    <t>AC=TP10153</t>
  </si>
  <si>
    <t>TP10153</t>
  </si>
  <si>
    <t>Autres impacts résultat</t>
  </si>
  <si>
    <t>Other impact on net earnings</t>
  </si>
  <si>
    <t>AC=TP101531</t>
  </si>
  <si>
    <t>TP101531</t>
  </si>
  <si>
    <t>Différences de traitement - LGAAP / IFRS</t>
  </si>
  <si>
    <t>Diff de trmt-LGAAP / IFRS</t>
  </si>
  <si>
    <t>SA adjustments - Local GAAP/IFRS</t>
  </si>
  <si>
    <t>SA Adj-Local GAAP/IFRS</t>
  </si>
  <si>
    <t>AC=TP1015311</t>
  </si>
  <si>
    <t>TP1015311</t>
  </si>
  <si>
    <t>Différences de traitement - Aff. résultats antérieurs</t>
  </si>
  <si>
    <t>Diff de trmt-Aff. rés antér</t>
  </si>
  <si>
    <t>DP - SA adjustments - Prev. Year appropriation</t>
  </si>
  <si>
    <t>DP-SA Adj-PrevYear appropr</t>
  </si>
  <si>
    <t>AC=P13001000</t>
  </si>
  <si>
    <t>P13001000</t>
  </si>
  <si>
    <t>AC=P13002000</t>
  </si>
  <si>
    <t>P13002000</t>
  </si>
  <si>
    <t>Différences de traitement - Aff. résultats antérieurs - ID</t>
  </si>
  <si>
    <t>Diff de trmt-Aff. rés antér-ID</t>
  </si>
  <si>
    <t>SA adjustments - Prev. Year appropriation - DT</t>
  </si>
  <si>
    <t>SA Adjust-PrevYear appr.-DT</t>
  </si>
  <si>
    <t>AC=TP1015312</t>
  </si>
  <si>
    <t>TP1015312</t>
  </si>
  <si>
    <t>Différences de traitement - Actions propres</t>
  </si>
  <si>
    <t>Diff traitemnt-Actions propres</t>
  </si>
  <si>
    <t>SA adjustments - Treasury stock</t>
  </si>
  <si>
    <t>SA Adjust-Treasury stock</t>
  </si>
  <si>
    <t>AC=P13005000</t>
  </si>
  <si>
    <t>P13005000</t>
  </si>
  <si>
    <t>AC=P13006000</t>
  </si>
  <si>
    <t>P13006000</t>
  </si>
  <si>
    <t>Différences de traitement - Actions propres - ID</t>
  </si>
  <si>
    <t>Diff trmt-Actions porpres-ID</t>
  </si>
  <si>
    <t>SA adjustments - Treasury stock - DT</t>
  </si>
  <si>
    <t>SA Adjust-Treasury stock-DT</t>
  </si>
  <si>
    <t>AC=TP1015313</t>
  </si>
  <si>
    <t>TP1015313</t>
  </si>
  <si>
    <t>Différences de traitement - ICNE et intérêts s/ TSS</t>
  </si>
  <si>
    <t>Diff trmt-ICNE &amp; Irêts s/ TSS</t>
  </si>
  <si>
    <t>SA adjustments - Accrued interest on deeply-subordinated debt</t>
  </si>
  <si>
    <t>SA Adj-AccInt dply-Sub debt</t>
  </si>
  <si>
    <t>AC=P13007000</t>
  </si>
  <si>
    <t>P13007000</t>
  </si>
  <si>
    <t>Différences de traitement - ICNE et intérêts s/ titres super subordonnés</t>
  </si>
  <si>
    <t>Dif tmt-ICNE Its s/ttrs supSub</t>
  </si>
  <si>
    <t>AC=P13007005</t>
  </si>
  <si>
    <t>P13007005</t>
  </si>
  <si>
    <t>Différences de traitement - ICNE et intérêts s/ titres super subordonnés - Aff. résultats antérieurs</t>
  </si>
  <si>
    <t>DifTmt-ICNE Its TtrSsub-AfRAnt</t>
  </si>
  <si>
    <t>SA adjustments - Accrued interest on deeply-subordinated debt - Prev. Year appropriation</t>
  </si>
  <si>
    <t>SA Ad-AccInt dply-SbDbt-PY apr</t>
  </si>
  <si>
    <t>AC=P13008000</t>
  </si>
  <si>
    <t>P13008000</t>
  </si>
  <si>
    <t>Différences de traitement - ICNE et intérêts s/ titres super subordonnés - ID</t>
  </si>
  <si>
    <t>DifTmt-ICNE Its Ttrs Ssub-ID</t>
  </si>
  <si>
    <t>SA adjustments - Accrued interest on deeply-subordinated debt - DT</t>
  </si>
  <si>
    <t>SA Adj-AccInt Dply-SbDebt-DT</t>
  </si>
  <si>
    <t>AC=P13008005</t>
  </si>
  <si>
    <t>P13008005</t>
  </si>
  <si>
    <t>Différences de traitement - ICNE et intérêts s/ titres super subordonnés - ID - Aff. résultats antérieurs</t>
  </si>
  <si>
    <t>DTmt-ICNE ItsTtrSsub-ID-AfRAnt</t>
  </si>
  <si>
    <t>SA adjustments - Accrued interest on deeply-subordinated debt - DT- Prev. Year appropriation</t>
  </si>
  <si>
    <t>SAad-AccInt DplySbDbt-DT-PYapr</t>
  </si>
  <si>
    <t>AC=TP1016</t>
  </si>
  <si>
    <t>TP1016</t>
  </si>
  <si>
    <t>Profit/(loss) for the period</t>
  </si>
  <si>
    <t>P12000000</t>
  </si>
  <si>
    <t>AC=TP102M</t>
  </si>
  <si>
    <t>TP102M</t>
  </si>
  <si>
    <t>Minority interests</t>
  </si>
  <si>
    <t>AC=TP1021M</t>
  </si>
  <si>
    <t>TP1021M</t>
  </si>
  <si>
    <t>Part des mino. - Gains ou pertes nets d'impôts comptabilisés directement en capitaux propres</t>
  </si>
  <si>
    <t>PM-Gn/Prt nets d'impôts en CP</t>
  </si>
  <si>
    <t>Minority interests - Net gains and losses recognized in equity</t>
  </si>
  <si>
    <t>M.Int-Net Gn&amp;Los recgd in eqty</t>
  </si>
  <si>
    <t>TP10211M</t>
  </si>
  <si>
    <t>Part des mino. - Réserve de réévaluation</t>
  </si>
  <si>
    <t>PM-Résv de réval</t>
  </si>
  <si>
    <t>Minority interests - Other reserves</t>
  </si>
  <si>
    <t>Mino.Interest-Other reserves</t>
  </si>
  <si>
    <t>AC=TP102111M</t>
  </si>
  <si>
    <t>TP102111M</t>
  </si>
  <si>
    <t>Part des mino. - Réserves JV OCI Recyclable</t>
  </si>
  <si>
    <t>PM-Rés JV OCI R</t>
  </si>
  <si>
    <t>Minority interests - FV through recyclable OCI</t>
  </si>
  <si>
    <t>Mino.Int-FV through Recycl OCI</t>
  </si>
  <si>
    <t>AC=TP1021111M</t>
  </si>
  <si>
    <t>TP1021111M</t>
  </si>
  <si>
    <t>P10600002M</t>
  </si>
  <si>
    <t>Part des mino. - JV OCI R - Réserves de réévaluation - Obligations d'Etat et assimilés - valeur brute</t>
  </si>
  <si>
    <t>PM-JVOCI R-RésRéval-Obl Etat-B</t>
  </si>
  <si>
    <t>Minority interests - FV through OCI R - FV adjust. reserves - Government bonds - Gross value</t>
  </si>
  <si>
    <t>M.Int-FVOCI R-AdjRsv-GovBd-G</t>
  </si>
  <si>
    <t>AC=P10600202M</t>
  </si>
  <si>
    <t>P10600202M</t>
  </si>
  <si>
    <t>Part des mino. - JV OCI R - Réserves de réévaluation - Obligations d'Etat et assimilés - ID</t>
  </si>
  <si>
    <t>PM-JVOCI R-RésRéval-Ob Etat-ID</t>
  </si>
  <si>
    <t>Minority interests - FV through OCI R - FV adjust. reserves - Government bonds - DT</t>
  </si>
  <si>
    <t>M.Int-FVOCI R-AdjRsv-GovBd-DT</t>
  </si>
  <si>
    <t>AC=TP1021112M</t>
  </si>
  <si>
    <t>TP1021112M</t>
  </si>
  <si>
    <t>Rés JV OCI R-Obl crp nn sub</t>
  </si>
  <si>
    <t>FV through OCI R Reserve - Bonds</t>
  </si>
  <si>
    <t>FV through OCI Recycl Rsv-Bond</t>
  </si>
  <si>
    <t>P10600072M</t>
  </si>
  <si>
    <t>Part des mino. - JV OCI R - Réserves de réévaluation - Obligations corporate non subordonnées - valeur brute</t>
  </si>
  <si>
    <t>M-JVOCI R-RésRévl-OblCp NSub-B</t>
  </si>
  <si>
    <t>Minority interests - FV through OCI R - FV adjust. reserves - non subordinated corporate Bonds - Gross value</t>
  </si>
  <si>
    <t>M.Int-FVOCIR-AdjRsv-NSbCrpBd-G</t>
  </si>
  <si>
    <t>AC=P10600272M</t>
  </si>
  <si>
    <t>P10600272M</t>
  </si>
  <si>
    <t>Part des mino. - JV OCI R - Réserves de réévaluation - Obligations corporate non subordonnées - ID</t>
  </si>
  <si>
    <t>M-JVOCI R-RésRéva-ObCrpNSub-ID</t>
  </si>
  <si>
    <t>Minority interests - FV through OCI R - FV adjust. reserves - non subordinated corporate Bonds - DT</t>
  </si>
  <si>
    <t>M.It-FVOCIR-AdjRsv-NSbCrpBd-DT</t>
  </si>
  <si>
    <t>AC=TP1021113M</t>
  </si>
  <si>
    <t>TP1021113M</t>
  </si>
  <si>
    <t>Rés JV OCI R-Obl crp  sub</t>
  </si>
  <si>
    <t>Minority interests - FV through OCI R - FV adjust. reserves - Subordinated corporate Bonds</t>
  </si>
  <si>
    <t xml:space="preserve">M.Int-FVOCI R-AdjRsv-SubCrpBd </t>
  </si>
  <si>
    <t>P10600032M</t>
  </si>
  <si>
    <t>Part des mino. - JV OCI R - Réserves de réévaluation - Obligations corporate subordonnées - valeur brute</t>
  </si>
  <si>
    <t>PM-JVOCI R-RésRéval-ObCrpSub-B</t>
  </si>
  <si>
    <t>Minority interests - FV through OCI R - FV adjust. reserves - Subordinated corporate Bonds - Gross value</t>
  </si>
  <si>
    <t>M.Int-FVOCIR-AdjRsv-SubCrpBd-G</t>
  </si>
  <si>
    <t>AC=P10600232M</t>
  </si>
  <si>
    <t>P10600232M</t>
  </si>
  <si>
    <t>Part des mino. - JV OCI R - Réserves de réévaluation - Obligations corporate subordonnées - ID</t>
  </si>
  <si>
    <t>M-JVOCI R-RésRéval-ObCrpSub-ID</t>
  </si>
  <si>
    <t>Minority interests - FV through OCI R - FV adjust. reserves - Subordinated corporate Bonds - DT</t>
  </si>
  <si>
    <t>M.Int-FVOCIR-AdjRsv-SbCrpBd-DT</t>
  </si>
  <si>
    <t>AC=TP1021114M</t>
  </si>
  <si>
    <t>TP1021114M</t>
  </si>
  <si>
    <t>P10600082M</t>
  </si>
  <si>
    <t>Part des mino. - JV OCI R - Réserves de réévaluation - Prêts et avances - valeur brute</t>
  </si>
  <si>
    <t>PM-JV OCI R-Rés réval-Prt&amp;Av-B</t>
  </si>
  <si>
    <t>Minority interests - FV through OCI R - FV adjust. reserves - Loans and receivables - Gross value</t>
  </si>
  <si>
    <t>M.Int-FVOCI R-AdjRsv-Lon&amp;Rec-G</t>
  </si>
  <si>
    <t>AC=P10600282M</t>
  </si>
  <si>
    <t>P10600282M</t>
  </si>
  <si>
    <t>Part des mino. - JV OCI R - Réserves de réévaluation - Prêts et avances - ID</t>
  </si>
  <si>
    <t>PM-JVOCI R-Rés réval-Prt&amp;Av-ID</t>
  </si>
  <si>
    <t>Minority interests - FV through OCI R - FV adjust. reserves - Loans and receivables - DT</t>
  </si>
  <si>
    <t>M.Int-FVOCIR-AdjRsv-Lon&amp;Rec-DT</t>
  </si>
  <si>
    <t>AC=TP1021115M</t>
  </si>
  <si>
    <t>TP1021115M</t>
  </si>
  <si>
    <t>P10600092M</t>
  </si>
  <si>
    <t>Part des mino. - JV OCI R - Réserves de réévaluation - TCN - valeur brute</t>
  </si>
  <si>
    <t>PM-JV OCI R-Rés réval-TCN-V.Br</t>
  </si>
  <si>
    <t>Minority interests - FV through OCI R - FV adjust. reserves - Negotiable debt securities - Gross value</t>
  </si>
  <si>
    <t>M.Int-FVOCI R Rsv-NegDebSec-GV</t>
  </si>
  <si>
    <t>AC=P10600292M</t>
  </si>
  <si>
    <t>P10600292M</t>
  </si>
  <si>
    <t>Part des mino. - JV OCI R - Réserves de réévaluation - TCN - ID</t>
  </si>
  <si>
    <t>PM-JV OCI R-Rés réval-TCN-ID</t>
  </si>
  <si>
    <t>Minority interests - FV through OCI R - FV adjust. reserves - Negotiable debt securities - DT</t>
  </si>
  <si>
    <t>M.Int-FVOCI R Rsv-NegDebSec-DT</t>
  </si>
  <si>
    <t>TP102112M</t>
  </si>
  <si>
    <t>Part des mino. - Réserves JV OCI Non Recyclable</t>
  </si>
  <si>
    <t>Part Mino -Rés JV OCI NonRecy</t>
  </si>
  <si>
    <t>Minority interests - Reserves - FV through non-recyclable OCI</t>
  </si>
  <si>
    <t>MinoInt-Rsv-FV NonRecycl OCI</t>
  </si>
  <si>
    <t>P10610002M</t>
  </si>
  <si>
    <t>Part des mino. - JV OCI NR - Réserves de réévaluation - valeur brute</t>
  </si>
  <si>
    <t>PM-JV OCI NR-Rés réval-V.Br</t>
  </si>
  <si>
    <t>Minority interests - FV through non-recyclable OCI - Revaluation reserves - Gross value</t>
  </si>
  <si>
    <t>M.Int-FV NR OCI-Reval rsv-GV</t>
  </si>
  <si>
    <t>P10610202M</t>
  </si>
  <si>
    <t>Part des mino. - JV OCI NR - Réserves de réévaluation - ID</t>
  </si>
  <si>
    <t>PM-JV OCI NR-Rés réval-ID</t>
  </si>
  <si>
    <t>Minority interests - FV through non-recyclable OCI - Revaluation reserves - DT</t>
  </si>
  <si>
    <t>M.Int-FV NR OCI-Reval rsv-DT</t>
  </si>
  <si>
    <t>AC=TP10212M</t>
  </si>
  <si>
    <t>TP10212M</t>
  </si>
  <si>
    <t>Part des mino. - Réserves de cash flow hedge</t>
  </si>
  <si>
    <t>PM-Rés de cash flow hedge</t>
  </si>
  <si>
    <t>Minority interests - CFH reserves</t>
  </si>
  <si>
    <t>Mino.Int-CFH reserves</t>
  </si>
  <si>
    <t>P13501000M</t>
  </si>
  <si>
    <t>Part des mino. - Réserve de CFH -Valeur brute</t>
  </si>
  <si>
    <t>PM-Résv de CFH -Valeur Br</t>
  </si>
  <si>
    <t>Minority interests - CFH reserve - Gross value</t>
  </si>
  <si>
    <t>Mino.Int-CFH Resv-GrossValue</t>
  </si>
  <si>
    <t>AC=P13502000M</t>
  </si>
  <si>
    <t>P13502000M</t>
  </si>
  <si>
    <t>Part des mino. - Réserve de CFH - ID</t>
  </si>
  <si>
    <t>Part Mino-Réserve de CFH-ID</t>
  </si>
  <si>
    <t>Minority interests - CFH reserve - DT</t>
  </si>
  <si>
    <t>Mino.Int-CFH Reserve-DT</t>
  </si>
  <si>
    <t>AC=TP10213M</t>
  </si>
  <si>
    <t>TP10213M</t>
  </si>
  <si>
    <t>Intérêts minoritaires relatifs aux contrats d’assurance</t>
  </si>
  <si>
    <t>Its M relatifs au ctrats d’ass</t>
  </si>
  <si>
    <t>Minority interests related to insurance contracts</t>
  </si>
  <si>
    <t>M.Int rltd to Ins contracts</t>
  </si>
  <si>
    <t>AC=TP102131M</t>
  </si>
  <si>
    <t>TP102131M</t>
  </si>
  <si>
    <t>Part des mino. - Réserve financière d'assurance - Modèle VFA- Non recyclable</t>
  </si>
  <si>
    <t>PM-Résv Fin d'ass-VFA- NR</t>
  </si>
  <si>
    <t>Minority interests - Insurance Financial Reserve - VFA Model - Non recyclable</t>
  </si>
  <si>
    <t>Mino.Int-Ins Fin. Rsv-VFA-NR</t>
  </si>
  <si>
    <t>AC=P1307020VM</t>
  </si>
  <si>
    <t>P1307020VM</t>
  </si>
  <si>
    <r>
      <t xml:space="preserve">Part des mino. - Réserve financière d'assurance - Modèle VFA - Non recyclable </t>
    </r>
    <r>
      <rPr>
        <strike/>
        <sz val="10"/>
        <rFont val="Calibri"/>
        <family val="2"/>
        <scheme val="minor"/>
      </rPr>
      <t>- Effets financiers</t>
    </r>
    <r>
      <rPr>
        <sz val="10"/>
        <rFont val="Calibri"/>
        <family val="2"/>
        <scheme val="minor"/>
      </rPr>
      <t xml:space="preserve"> </t>
    </r>
    <r>
      <rPr>
        <sz val="10"/>
        <color rgb="FF00B050"/>
        <rFont val="Calibri"/>
        <family val="2"/>
        <scheme val="minor"/>
      </rPr>
      <t xml:space="preserve">Variation de la juste valeur des éléments sous-jacents </t>
    </r>
  </si>
  <si>
    <t xml:space="preserve">Part des mino. - Réserve financière d'assurance - Modèle VFA - Non recyclable -  Variation de la juste valeur des éléments sous-jacents </t>
  </si>
  <si>
    <t>PartMino-Résv Fin d'ass-VFA-NR</t>
  </si>
  <si>
    <t>Minority interests - Insurance Financial Reserve - VFA Model - Non recyclable -  Financial Effects Change in rates and economic environment
Change in fair value of underlying items</t>
  </si>
  <si>
    <t xml:space="preserve">Mino.Int-Ins Fin. Rsv-VFA-NR </t>
  </si>
  <si>
    <t>Evol 40 / Evol 60 (ex Evol 57) / Evol 71 / evol 84</t>
  </si>
  <si>
    <t>AC=P1307021VM</t>
  </si>
  <si>
    <t>P1307021VM</t>
  </si>
  <si>
    <r>
      <t xml:space="preserve">Part des mino. - Réserve financière d'assurance - Modèle VFA - Non recyclable </t>
    </r>
    <r>
      <rPr>
        <strike/>
        <sz val="10"/>
        <rFont val="Calibri"/>
        <family val="2"/>
        <scheme val="minor"/>
      </rPr>
      <t xml:space="preserve">- Effets financiers </t>
    </r>
    <r>
      <rPr>
        <sz val="10"/>
        <color rgb="FF00B050"/>
        <rFont val="Calibri"/>
        <family val="2"/>
        <scheme val="minor"/>
      </rPr>
      <t xml:space="preserve">Variation de la juste valeur des éléments sous-jacents </t>
    </r>
    <r>
      <rPr>
        <sz val="10"/>
        <rFont val="Calibri"/>
        <family val="2"/>
        <scheme val="minor"/>
      </rPr>
      <t xml:space="preserve">- ID </t>
    </r>
  </si>
  <si>
    <t xml:space="preserve">Part des mino. - Réserve financière d'assurance - Modèle VFA - Non recyclable -  Variation de la juste valeur des éléments sous-jacents - ID </t>
  </si>
  <si>
    <t>PM-Résv Fin ass-VFA-NR-ID</t>
  </si>
  <si>
    <t>Minority interests - Insurance Financial Reserve - VFA Model - Non recyclable - Financial Effects Change in rates and economic environment - DT
Change in fair value of underlying items DT</t>
  </si>
  <si>
    <t>Mino.Int-Ins Fin.Rsv-VFA-NR-DT</t>
  </si>
  <si>
    <t>Evol 60 (ex Evol 57) / evol 84</t>
  </si>
  <si>
    <t>AC=TP102132M</t>
  </si>
  <si>
    <t>TP102132M</t>
  </si>
  <si>
    <t>Part des mino. - Réserve financière d'assurance - Modèle BBA- Recyclable</t>
  </si>
  <si>
    <t>PartMino-Résv Fin d'ass-BBA- R</t>
  </si>
  <si>
    <t>Minority interests - Insurance Financial Reserve - BBA Model-Recyclable</t>
  </si>
  <si>
    <t>Mino.Int-Ins Fin. Rsv-BBA-R</t>
  </si>
  <si>
    <t>AC=P1307030BM</t>
  </si>
  <si>
    <t>P1307030BM</t>
  </si>
  <si>
    <r>
      <t xml:space="preserve">Part des mino. - Réserve financière d'assurance - Modèle BBA - Recyclable  </t>
    </r>
    <r>
      <rPr>
        <strike/>
        <sz val="10"/>
        <rFont val="Calibri"/>
        <family val="2"/>
        <scheme val="minor"/>
      </rPr>
      <t>- Effets financiers</t>
    </r>
    <r>
      <rPr>
        <sz val="10"/>
        <rFont val="Calibri"/>
        <family val="2"/>
        <scheme val="minor"/>
      </rPr>
      <t xml:space="preserve"> </t>
    </r>
    <r>
      <rPr>
        <sz val="10"/>
        <color rgb="FF00B050"/>
        <rFont val="Calibri"/>
        <family val="2"/>
        <scheme val="minor"/>
      </rPr>
      <t>Changement de taux et d'environnement économique</t>
    </r>
  </si>
  <si>
    <t>Part des mino. - Réserve financière d'assurance - Modèle BBA - Recyclable  -  Changement de taux et d'environnement économique</t>
  </si>
  <si>
    <r>
      <t>PM-RésFin d'ass-BBA-R-</t>
    </r>
    <r>
      <rPr>
        <strike/>
        <sz val="10"/>
        <rFont val="Calibri"/>
        <family val="2"/>
        <scheme val="minor"/>
      </rPr>
      <t>Ef.Fin</t>
    </r>
  </si>
  <si>
    <t>Minority interests - Insurance Financial Reserve - BBA Model - Recyclable - Change in rates and economic environment</t>
  </si>
  <si>
    <t xml:space="preserve">Mino.Int-Ins Fin. Rsv-BBA-NR </t>
  </si>
  <si>
    <t>Evol 40 / Evol 57 / Evol 71 / evol 84</t>
  </si>
  <si>
    <t>AC=P1307031BM</t>
  </si>
  <si>
    <t>P1307031BM</t>
  </si>
  <si>
    <r>
      <t>Part des mino. - Réserve financière d'assurance - Modèle BBA - Recyclable</t>
    </r>
    <r>
      <rPr>
        <strike/>
        <sz val="10"/>
        <rFont val="Calibri"/>
        <family val="2"/>
        <scheme val="minor"/>
      </rPr>
      <t xml:space="preserve"> - Effets financiers</t>
    </r>
    <r>
      <rPr>
        <sz val="10"/>
        <color rgb="FF00B050"/>
        <rFont val="Calibri"/>
        <family val="2"/>
        <scheme val="minor"/>
      </rPr>
      <t xml:space="preserve"> Changement de taux et d'environnement économique</t>
    </r>
    <r>
      <rPr>
        <sz val="10"/>
        <rFont val="Calibri"/>
        <family val="2"/>
        <scheme val="minor"/>
      </rPr>
      <t xml:space="preserve"> -ID</t>
    </r>
  </si>
  <si>
    <t>Part des mino. - Réserve financière d'assurance - Modèle BBA - Recyclable -  Changement de taux et d'environnement économique -ID</t>
  </si>
  <si>
    <r>
      <t>PM-RésFin d'ass-BBA-R-</t>
    </r>
    <r>
      <rPr>
        <strike/>
        <sz val="10"/>
        <rFont val="Calibri"/>
        <family val="2"/>
        <scheme val="minor"/>
      </rPr>
      <t>Ef.Fin - ID</t>
    </r>
  </si>
  <si>
    <t>Minority interests - Insurance Financial Reserve - BBA Model - Recyclable - Change in rates and economic environment - DT</t>
  </si>
  <si>
    <t>Mino.Int-Ins Fin.Rsv-BBA-NR-DT</t>
  </si>
  <si>
    <t>Evol 57 / evol 84</t>
  </si>
  <si>
    <t>AC=TP102133M</t>
  </si>
  <si>
    <t>TP102133M</t>
  </si>
  <si>
    <t>Part des mino. - Réserve financière d'assurance - Modèle PAA- Recyclable</t>
  </si>
  <si>
    <t>PartMino-Résv Fin d'ass-PAA- R</t>
  </si>
  <si>
    <t>Minority interests - Insurance Financial Reserve - PAA Model - Recyclable</t>
  </si>
  <si>
    <t>Mino.Int-Ins Fin. Rsv-PAA-R</t>
  </si>
  <si>
    <t>AC=P1307030PM</t>
  </si>
  <si>
    <t>P1307030PM</t>
  </si>
  <si>
    <r>
      <t xml:space="preserve">Part des mino. - Réserve financière d'assurance - Modèle PAA - Recyclable </t>
    </r>
    <r>
      <rPr>
        <strike/>
        <sz val="10"/>
        <rFont val="Calibri"/>
        <family val="2"/>
        <scheme val="minor"/>
      </rPr>
      <t>- Effets financiers</t>
    </r>
    <r>
      <rPr>
        <sz val="10"/>
        <rFont val="Calibri"/>
        <family val="2"/>
        <scheme val="minor"/>
      </rPr>
      <t xml:space="preserve"> </t>
    </r>
    <r>
      <rPr>
        <sz val="10"/>
        <color rgb="FF00B050"/>
        <rFont val="Calibri"/>
        <family val="2"/>
        <scheme val="minor"/>
      </rPr>
      <t>Changement de taux et d'environnement économique</t>
    </r>
  </si>
  <si>
    <t>Part des mino. - Réserve financière d'assurance - Modèle PAA - Recyclable -  Changement de taux et d'environnement économique</t>
  </si>
  <si>
    <r>
      <t>PM-RésFin d'ass-PAA-R-</t>
    </r>
    <r>
      <rPr>
        <strike/>
        <sz val="10"/>
        <rFont val="Calibri"/>
        <family val="2"/>
        <scheme val="minor"/>
      </rPr>
      <t>Ef.Fin</t>
    </r>
  </si>
  <si>
    <t>Minority interests - Insurance Financial Reserve - PAA Model - Recyclable - Change in rates and economic environment</t>
  </si>
  <si>
    <t xml:space="preserve">Mino.Int-Ins Fin. Rsv-PAA-NR </t>
  </si>
  <si>
    <t>AC=P1307031PM</t>
  </si>
  <si>
    <t>P1307031PM</t>
  </si>
  <si>
    <r>
      <t xml:space="preserve">Part des mino. - Réserve financière d'assurance - Modèle PAA - Recyclable </t>
    </r>
    <r>
      <rPr>
        <strike/>
        <sz val="10"/>
        <rFont val="Calibri"/>
        <family val="2"/>
        <scheme val="minor"/>
      </rPr>
      <t>- Effets financiers</t>
    </r>
    <r>
      <rPr>
        <sz val="10"/>
        <rFont val="Calibri"/>
        <family val="2"/>
        <scheme val="minor"/>
      </rPr>
      <t xml:space="preserve"> </t>
    </r>
    <r>
      <rPr>
        <sz val="10"/>
        <color rgb="FF00B050"/>
        <rFont val="Calibri"/>
        <family val="2"/>
        <scheme val="minor"/>
      </rPr>
      <t>Changement de taux et d'environnement économique</t>
    </r>
    <r>
      <rPr>
        <sz val="10"/>
        <rFont val="Calibri"/>
        <family val="2"/>
        <scheme val="minor"/>
      </rPr>
      <t xml:space="preserve"> - ID</t>
    </r>
  </si>
  <si>
    <t>Part des mino. - Réserve financière d'assurance - Modèle PAA - Recyclable -  Changement de taux et d'environnement économique - ID</t>
  </si>
  <si>
    <r>
      <t>PM-RésFind'ass-PAA-R-</t>
    </r>
    <r>
      <rPr>
        <strike/>
        <sz val="10"/>
        <rFont val="Calibri"/>
        <family val="2"/>
        <scheme val="minor"/>
      </rPr>
      <t>Ef.Fin ID</t>
    </r>
  </si>
  <si>
    <t>Minority interests - Insurance Financial Reserve - PAA Model - Recyclable - Change in rates and economic environment DT</t>
  </si>
  <si>
    <t>Mino.Int-Ins Fin.Rsv-PAA-NR-DT</t>
  </si>
  <si>
    <t>Evol 57 / Evol 71 / evol 84</t>
  </si>
  <si>
    <t>AC=TP102134M</t>
  </si>
  <si>
    <t>TP102134M</t>
  </si>
  <si>
    <t>Part des mino. - Réserve financière d'assurance - Modèle VFA- Recyclable</t>
  </si>
  <si>
    <t>PartMino-Résv Fin d'ass-VFA- R</t>
  </si>
  <si>
    <t>Minority interests - Insurance Financial Reserve - VFA Model-Recyclable</t>
  </si>
  <si>
    <t>Mino.Int-Ins Fin. Rsv-VFA-R</t>
  </si>
  <si>
    <t>AC=P1307030VM</t>
  </si>
  <si>
    <t>P1307030VM</t>
  </si>
  <si>
    <r>
      <t xml:space="preserve">Part des mino. - Réserve financière d'assurance - Modèle VFA - Recyclable - </t>
    </r>
    <r>
      <rPr>
        <strike/>
        <sz val="10"/>
        <rFont val="Calibri"/>
        <family val="2"/>
        <scheme val="minor"/>
      </rPr>
      <t xml:space="preserve">Effets financiers </t>
    </r>
    <r>
      <rPr>
        <sz val="10"/>
        <color rgb="FF00B050"/>
        <rFont val="Calibri"/>
        <family val="2"/>
        <scheme val="minor"/>
      </rPr>
      <t>Hors transfert de l'atténuation du risque</t>
    </r>
  </si>
  <si>
    <t>Part des mino. - Réserve financière d'assurance - Modèle VFA - Recyclable -  Hors transfert de l'atténuation du risque</t>
  </si>
  <si>
    <r>
      <t>PM-RésFin d'ass-VFA-R-</t>
    </r>
    <r>
      <rPr>
        <strike/>
        <sz val="10"/>
        <rFont val="Calibri"/>
        <family val="2"/>
        <scheme val="minor"/>
      </rPr>
      <t>Ef.Fin</t>
    </r>
    <r>
      <rPr>
        <sz val="10"/>
        <rFont val="Calibri"/>
        <family val="2"/>
        <scheme val="minor"/>
      </rPr>
      <t xml:space="preserve"> No RM</t>
    </r>
  </si>
  <si>
    <t>Minority interests - Insurance Financial Reserve - VFA Model - Recyclable</t>
  </si>
  <si>
    <t>Minority interests - Insurance Financial Reserve - VFA Model - Recyclable Without Risk Mitigation</t>
  </si>
  <si>
    <t>Evol 62 (ex Evol 59) / Evol 71 / Evol 79 / Evol 91</t>
  </si>
  <si>
    <t>AC=P1307031VM</t>
  </si>
  <si>
    <t>P1307031VM</t>
  </si>
  <si>
    <r>
      <t>Part des mino. - Réserve financière d'assurance - Modèle VFA - Recyclable -</t>
    </r>
    <r>
      <rPr>
        <strike/>
        <sz val="10"/>
        <rFont val="Calibri"/>
        <family val="2"/>
        <scheme val="minor"/>
      </rPr>
      <t xml:space="preserve"> Effets financiers</t>
    </r>
    <r>
      <rPr>
        <sz val="10"/>
        <rFont val="Calibri"/>
        <family val="2"/>
        <scheme val="minor"/>
      </rPr>
      <t xml:space="preserve"> - </t>
    </r>
    <r>
      <rPr>
        <sz val="10"/>
        <color rgb="FF00B050"/>
        <rFont val="Calibri"/>
        <family val="2"/>
        <scheme val="minor"/>
      </rPr>
      <t xml:space="preserve">Hors transfert de l'atténuation du risque </t>
    </r>
    <r>
      <rPr>
        <sz val="10"/>
        <rFont val="Calibri"/>
        <family val="2"/>
        <scheme val="minor"/>
      </rPr>
      <t>- ID</t>
    </r>
  </si>
  <si>
    <t>Part des mino. - Réserve financière d'assurance - Modèle VFA - Recyclable -  - Hors transfert de l'atténuation du risque - ID</t>
  </si>
  <si>
    <r>
      <t>PM-RésFind'ass-VFA-R-</t>
    </r>
    <r>
      <rPr>
        <strike/>
        <sz val="10"/>
        <rFont val="Calibri"/>
        <family val="2"/>
        <scheme val="minor"/>
      </rPr>
      <t>Ef.Fin</t>
    </r>
    <r>
      <rPr>
        <sz val="10"/>
        <rFont val="Calibri"/>
        <family val="2"/>
        <scheme val="minor"/>
      </rPr>
      <t xml:space="preserve"> No RM ID</t>
    </r>
  </si>
  <si>
    <t>Minority interests - Insurance Financial Reserve - VFA Model - Recyclable - DT</t>
  </si>
  <si>
    <t>Minority interests - Insurance Financial Reserve - VFA Model - Recyclable -Without Risk Mitigation - DT</t>
  </si>
  <si>
    <t>Evol 62 (ex Evol 59) / Evol 79 / Evol 91</t>
  </si>
  <si>
    <t>AC=TP10214M</t>
  </si>
  <si>
    <t>TP10214M</t>
  </si>
  <si>
    <t>Intérêts minoritaires relatifs aux contrats de réassurance</t>
  </si>
  <si>
    <t>Its Mino ctrats de réassu</t>
  </si>
  <si>
    <t>Minority interests related to reinsurance contracts</t>
  </si>
  <si>
    <t>M.Int reltd to Reinsu. cntrcts</t>
  </si>
  <si>
    <t>AC=TP102141M</t>
  </si>
  <si>
    <t>TP102141M</t>
  </si>
  <si>
    <t>Part des mino. - Réserve financière de réassurance - Modèle VFA- Non recyclable</t>
  </si>
  <si>
    <t>PM-Résv Fin réass-VFA- NR</t>
  </si>
  <si>
    <t>Minority interests - Reinsurance Financial Reserve - VFA Model - Non recyclable</t>
  </si>
  <si>
    <t>Mino.Int-Reinsu.Fin.Rsv-VFA-NR</t>
  </si>
  <si>
    <t>AC=P1307820VM</t>
  </si>
  <si>
    <t>P1307820VM</t>
  </si>
  <si>
    <r>
      <t>Part des mino. - Réserve financière de réassurance - Modèle VFA - Non recyclable -</t>
    </r>
    <r>
      <rPr>
        <strike/>
        <sz val="10"/>
        <rFont val="Calibri"/>
        <family val="2"/>
        <scheme val="minor"/>
      </rPr>
      <t xml:space="preserve"> Effets financiers</t>
    </r>
    <r>
      <rPr>
        <sz val="10"/>
        <rFont val="Calibri"/>
        <family val="2"/>
        <scheme val="minor"/>
      </rPr>
      <t xml:space="preserve"> </t>
    </r>
    <r>
      <rPr>
        <sz val="10"/>
        <color rgb="FF00B050"/>
        <rFont val="Calibri"/>
        <family val="2"/>
        <scheme val="minor"/>
      </rPr>
      <t>Variation de la juste valeur des éléments sous-jacents</t>
    </r>
  </si>
  <si>
    <t>Part des mino. - Réserve financière de réassurance - Modèle VFA - Non recyclable -  Variation de la juste valeur des éléments sous-jacents</t>
  </si>
  <si>
    <t>PartMino-Résv Fin réass-VFA-NR</t>
  </si>
  <si>
    <t>Minority interests - Reinsurance Financial Reserve - VFA Model - Non recyclable -
Change in fair value of underlying items</t>
  </si>
  <si>
    <t xml:space="preserve">M.Int-Reinsu.Fin.Rsv-VFA-NR </t>
  </si>
  <si>
    <t>Evol 40 / Evol 57 / Evol 71</t>
  </si>
  <si>
    <t>AC=P1307821VM</t>
  </si>
  <si>
    <t>P1307821VM</t>
  </si>
  <si>
    <r>
      <t xml:space="preserve">Part des mino. - Réserve financière de réassurance - Modèle VFA - Non recyclable </t>
    </r>
    <r>
      <rPr>
        <strike/>
        <sz val="10"/>
        <rFont val="Calibri"/>
        <family val="2"/>
        <scheme val="minor"/>
      </rPr>
      <t>- Effets financiers</t>
    </r>
    <r>
      <rPr>
        <sz val="10"/>
        <color rgb="FF00B050"/>
        <rFont val="Calibri"/>
        <family val="2"/>
        <scheme val="minor"/>
      </rPr>
      <t xml:space="preserve"> Variation de la juste valeur des éléments sous-jacents </t>
    </r>
    <r>
      <rPr>
        <sz val="10"/>
        <rFont val="Calibri"/>
        <family val="2"/>
        <scheme val="minor"/>
      </rPr>
      <t xml:space="preserve"> - ID</t>
    </r>
  </si>
  <si>
    <t>Part des mino. - Réserve financière de réassurance - Modèle VFA - Non recyclable -  Variation de la juste valeur des éléments sous-jacents  - ID</t>
  </si>
  <si>
    <t>PM-Résv Fin réass-VFA-NR-ID</t>
  </si>
  <si>
    <t>Minority interests - Reinsurance Financial Reserve - VFA Model - Non recyclable-
Change in fair value of underlying items -DT</t>
  </si>
  <si>
    <t>M.Int-Reinsu.Fin.Rsv-VFA-NR-DT</t>
  </si>
  <si>
    <t>Evol 57</t>
  </si>
  <si>
    <t>AC=TP102142M</t>
  </si>
  <si>
    <t>TP102142M</t>
  </si>
  <si>
    <t>Part des mino. - Réserve financière de réassurance - Modèle BBA- Recyclable</t>
  </si>
  <si>
    <t>PartMino-Résv Fin réass-BBA- R</t>
  </si>
  <si>
    <t>Minority interests - Reinsurance Financial Reserve - BBA Model- Recyclable</t>
  </si>
  <si>
    <t>Mino.Int-Reinsu.Fin.Rsv-BBA- R</t>
  </si>
  <si>
    <t>AC=P1307830BM</t>
  </si>
  <si>
    <t>P1307830BM</t>
  </si>
  <si>
    <r>
      <t xml:space="preserve">Part des mino. - Réserve financière de réassurance - Modèle BBA – Recyclable </t>
    </r>
    <r>
      <rPr>
        <strike/>
        <sz val="10"/>
        <rFont val="Calibri"/>
        <family val="2"/>
        <scheme val="minor"/>
      </rPr>
      <t>- Effets financiers</t>
    </r>
    <r>
      <rPr>
        <sz val="10"/>
        <rFont val="Calibri"/>
        <family val="2"/>
        <scheme val="minor"/>
      </rPr>
      <t xml:space="preserve"> </t>
    </r>
    <r>
      <rPr>
        <sz val="10"/>
        <color rgb="FF00B050"/>
        <rFont val="Calibri"/>
        <family val="2"/>
        <scheme val="minor"/>
      </rPr>
      <t>Changement de taux et d'environnement économique</t>
    </r>
  </si>
  <si>
    <t>Part des mino. - Réserve financière de réassurance - Modèle BBA – Recyclable -  Changement de taux et d'environnement économique</t>
  </si>
  <si>
    <t>Minority interests - Reinsurance Financial Reserve - BBA Model- Recyclable - Change in rates and economic environment</t>
  </si>
  <si>
    <t>AC=P1307831BM</t>
  </si>
  <si>
    <t>P1307831BM</t>
  </si>
  <si>
    <r>
      <t xml:space="preserve">Part des mino. - Réserve financière de réassurance - Modèle BBA - Recyclable </t>
    </r>
    <r>
      <rPr>
        <strike/>
        <sz val="10"/>
        <rFont val="Calibri"/>
        <family val="2"/>
        <scheme val="minor"/>
      </rPr>
      <t>- Effets financiers</t>
    </r>
    <r>
      <rPr>
        <sz val="10"/>
        <rFont val="Calibri"/>
        <family val="2"/>
        <scheme val="minor"/>
      </rPr>
      <t xml:space="preserve"> </t>
    </r>
    <r>
      <rPr>
        <sz val="10"/>
        <color rgb="FF00B050"/>
        <rFont val="Calibri"/>
        <family val="2"/>
        <scheme val="minor"/>
      </rPr>
      <t>Changement de taux et d'environnement économique</t>
    </r>
    <r>
      <rPr>
        <sz val="10"/>
        <rFont val="Calibri"/>
        <family val="2"/>
        <scheme val="minor"/>
      </rPr>
      <t xml:space="preserve"> – ID</t>
    </r>
  </si>
  <si>
    <t>Part des mino. - Réserve financière de réassurance - Modèle BBA - Recyclable -  Changement de taux et d'environnement économique – ID</t>
  </si>
  <si>
    <r>
      <t>PM-RésFind'ass-BBA-R-</t>
    </r>
    <r>
      <rPr>
        <strike/>
        <sz val="10"/>
        <rFont val="Calibri"/>
        <family val="2"/>
        <scheme val="minor"/>
      </rPr>
      <t>Ef.Fin ID</t>
    </r>
  </si>
  <si>
    <t>Minority interests - Reinsurance Financial Reserve - BBA Model- Recyclable - Change in rates and economic environment - DT</t>
  </si>
  <si>
    <t>M.Int-Reinsu.Fin.Rsv-BBA- R-ID</t>
  </si>
  <si>
    <t>AC=TP102143M</t>
  </si>
  <si>
    <t>TP102143M</t>
  </si>
  <si>
    <t>Part des mino. - Réserve financière de réassurance - Modèle PAA-Recyclable</t>
  </si>
  <si>
    <t>PartMino-Résv Fin réass-PAA-R</t>
  </si>
  <si>
    <t>Minority interests - Reinsurance Financial Reserve - PAA Model- Recyclable</t>
  </si>
  <si>
    <t>Mino.Int-Reinsu.Fin.Rsv-PAA- R</t>
  </si>
  <si>
    <t>AC=P1307830PM</t>
  </si>
  <si>
    <t>P1307830PM</t>
  </si>
  <si>
    <r>
      <t>PM-RésFin d'ass Réas -PAA-R-</t>
    </r>
    <r>
      <rPr>
        <strike/>
        <sz val="10"/>
        <rFont val="Calibri"/>
        <family val="2"/>
        <scheme val="minor"/>
      </rPr>
      <t>Ef.Fin</t>
    </r>
  </si>
  <si>
    <t xml:space="preserve">Minority interests - Reinsurance Financial Reserve - PAA Model- Recyclable - Change in rates and economic environment </t>
  </si>
  <si>
    <t>AC=P1307831PM</t>
  </si>
  <si>
    <t>P1307831PM</t>
  </si>
  <si>
    <t>Minority interests - Reinsurance Financial Reserve - PAA Model- Recyclable - Change in rates and economic environment - DT</t>
  </si>
  <si>
    <t>M.Int-Reinsu.Fin.Rsv-PAA- R-DT</t>
  </si>
  <si>
    <t>AC=TP102144M</t>
  </si>
  <si>
    <t>TP102144M</t>
  </si>
  <si>
    <t>Part des mino. - Réserve financière de réassurance - Modèle VFA- Recyclable</t>
  </si>
  <si>
    <t>PartMino-Résv Fin réass-VFA- R</t>
  </si>
  <si>
    <t>Minority interests - Reinsurance Financial Reserve - VFA Model- Recyclable</t>
  </si>
  <si>
    <t>Mino.Int-Reinsu.Fin.Rsv-VFA- R</t>
  </si>
  <si>
    <t>AC=P1307830VM</t>
  </si>
  <si>
    <t>P1307830VM</t>
  </si>
  <si>
    <r>
      <t xml:space="preserve">Part des mino. - Réserve financière de réassurance - Modèle VFA – Recyclable </t>
    </r>
    <r>
      <rPr>
        <strike/>
        <sz val="10"/>
        <rFont val="Calibri"/>
        <family val="2"/>
        <scheme val="minor"/>
      </rPr>
      <t>- Effets financiers</t>
    </r>
  </si>
  <si>
    <t xml:space="preserve">Part des mino. - Réserve financière de réassurance - Modèle VFA – Recyclable - </t>
  </si>
  <si>
    <r>
      <t>PM-RésFin Réas-VFA-R-</t>
    </r>
    <r>
      <rPr>
        <strike/>
        <sz val="10"/>
        <rFont val="Calibri"/>
        <family val="2"/>
        <scheme val="minor"/>
      </rPr>
      <t>Ef.Fin</t>
    </r>
  </si>
  <si>
    <t>Evol 62 (ex Evol 59) / Evol 71 / Evol 79</t>
  </si>
  <si>
    <t>AC=P1307831VM</t>
  </si>
  <si>
    <t>P1307831VM</t>
  </si>
  <si>
    <r>
      <t>Part des mino. - Réserve financière de réassurance - Modèle VFA - Recyclable</t>
    </r>
    <r>
      <rPr>
        <strike/>
        <sz val="10"/>
        <rFont val="Calibri"/>
        <family val="2"/>
        <scheme val="minor"/>
      </rPr>
      <t xml:space="preserve"> - Effets financiers </t>
    </r>
    <r>
      <rPr>
        <sz val="10"/>
        <rFont val="Calibri"/>
        <family val="2"/>
        <scheme val="minor"/>
      </rPr>
      <t>– ID</t>
    </r>
  </si>
  <si>
    <t>Part des mino. - Réserve financière de réassurance - Modèle VFA - Recyclable -  – ID</t>
  </si>
  <si>
    <r>
      <t>PM-RésFinRéas-VFA-R-</t>
    </r>
    <r>
      <rPr>
        <strike/>
        <sz val="10"/>
        <rFont val="Calibri"/>
        <family val="2"/>
        <scheme val="minor"/>
      </rPr>
      <t>Ef.Fin</t>
    </r>
    <r>
      <rPr>
        <sz val="10"/>
        <rFont val="Calibri"/>
        <family val="2"/>
        <scheme val="minor"/>
      </rPr>
      <t xml:space="preserve"> ID</t>
    </r>
  </si>
  <si>
    <t>M.Int-Reinsu.Fin.Rsv-VFA- R-ID</t>
  </si>
  <si>
    <t>TP10215M</t>
  </si>
  <si>
    <t>Part des mino. - Réserves de conversion</t>
  </si>
  <si>
    <t>PartMino-Rés de conversion</t>
  </si>
  <si>
    <t>Minority interests - Translation reserve</t>
  </si>
  <si>
    <t>Mino.Int-Translation Reserve</t>
  </si>
  <si>
    <t>AC=P10650000M</t>
  </si>
  <si>
    <t>P10650000M</t>
  </si>
  <si>
    <t>Part des mino. - Ecart de conversion</t>
  </si>
  <si>
    <t>PartMino-Ecart de conversion</t>
  </si>
  <si>
    <t>AC=P10670000M</t>
  </si>
  <si>
    <t>P10670000M</t>
  </si>
  <si>
    <t>PPA - Part des mino. - Ecart de conversion</t>
  </si>
  <si>
    <t>PPA-PMino-Ecart de conversion</t>
  </si>
  <si>
    <t>Minority interests PPA translation reserve</t>
  </si>
  <si>
    <t>Mino.Int PPA  translation Rsv</t>
  </si>
  <si>
    <t>AC=TP10216M</t>
  </si>
  <si>
    <t>TP10216M</t>
  </si>
  <si>
    <t>Part des mino. - Ecarts actuartiels</t>
  </si>
  <si>
    <t>PartMino-Ecarts actuartiels</t>
  </si>
  <si>
    <t>Minority interests - Actuarial gains and losses</t>
  </si>
  <si>
    <t>Mino.Int-Actuarial Gain&amp;Loss</t>
  </si>
  <si>
    <t>AC=P13001600M</t>
  </si>
  <si>
    <t>P13001600M</t>
  </si>
  <si>
    <t>Part des mino. - Engagements sociaux - Impact fonds propres</t>
  </si>
  <si>
    <t>PM-Engmt soc-Impct f.prprs</t>
  </si>
  <si>
    <t>Minority interests - Employee benefit obligations - Adjustments recognized in equity</t>
  </si>
  <si>
    <t>M.Int-EmplBenOblig-AdjRecgEqty</t>
  </si>
  <si>
    <t>AC=P13001700M</t>
  </si>
  <si>
    <t>P13001700M</t>
  </si>
  <si>
    <t>Part des mino. - Engagements sociaux - Ecarts actuariels</t>
  </si>
  <si>
    <t>PartMino-Engmt soc-Ecarts actu</t>
  </si>
  <si>
    <t>Minority interests - Employee benefit obligations - Actuarial gains and losses</t>
  </si>
  <si>
    <t>M.Int-EmplBenOblig-Actu Gn&amp;Los</t>
  </si>
  <si>
    <t>AC=P13001800M</t>
  </si>
  <si>
    <t>P13001800M</t>
  </si>
  <si>
    <t>Part des mino. - Engagements sociaux - Ecarts actuariels - ID</t>
  </si>
  <si>
    <t>PM-Engmt soc-Ecarts actu-ID</t>
  </si>
  <si>
    <t>EmplBenOblig-Actu Gn&amp;Los-DT</t>
  </si>
  <si>
    <t>AC=TP1022M</t>
  </si>
  <si>
    <t>TP1022M</t>
  </si>
  <si>
    <t>Part des mino. - Titres super subordonnés</t>
  </si>
  <si>
    <t>PartMino-Titres super subordon</t>
  </si>
  <si>
    <t>Minority interests - Deeply-subordinated debt</t>
  </si>
  <si>
    <t>Mino.Int-deeply-Sub debt</t>
  </si>
  <si>
    <t>AC=P13050000M</t>
  </si>
  <si>
    <t>P13050000M</t>
  </si>
  <si>
    <t>AC=TP1023M</t>
  </si>
  <si>
    <t>TP1023M</t>
  </si>
  <si>
    <t>Part des mino. - Résultats cumulés</t>
  </si>
  <si>
    <t>PartMino-Résultats cumulés</t>
  </si>
  <si>
    <t>Minority interests - Retained earnings/(losses)</t>
  </si>
  <si>
    <t xml:space="preserve">M.Int-Retnd earnings/(losses) </t>
  </si>
  <si>
    <t>AC=TP10231M</t>
  </si>
  <si>
    <t>TP10231M</t>
  </si>
  <si>
    <t>Part des mino. - Réserves consolidées et autres</t>
  </si>
  <si>
    <t>PM-Rés consolidées et autrs</t>
  </si>
  <si>
    <t>Minority interests - Consolidated reserves and others</t>
  </si>
  <si>
    <t>M.Int-Consolidated rsv &amp;Others</t>
  </si>
  <si>
    <t>AC=P10530000M</t>
  </si>
  <si>
    <t>P10530000M</t>
  </si>
  <si>
    <t>Part des mino. - Rés. de revalo. légale Immeubles et forêts</t>
  </si>
  <si>
    <t>PM-Rés reval légl Imbls,forêts</t>
  </si>
  <si>
    <t>Minority interests - Revaluation reserves - Statutory revaluation - Property and forestry assets</t>
  </si>
  <si>
    <t>MInt-RevRsv-StatRev-Pty&amp;forstA</t>
  </si>
  <si>
    <t>AC=P10620000M</t>
  </si>
  <si>
    <t>P10620000M</t>
  </si>
  <si>
    <t>Part des mino. - Rés. indisponibles</t>
  </si>
  <si>
    <t>PartMino-Rés. indisponibles</t>
  </si>
  <si>
    <t>Minority interests - Non-distributable reserves</t>
  </si>
  <si>
    <t>Mino.Int-Non-distributable rsv</t>
  </si>
  <si>
    <t>AC=P10630000M</t>
  </si>
  <si>
    <t>P10630000M</t>
  </si>
  <si>
    <t>Part des mino. - Rés. légales</t>
  </si>
  <si>
    <t>Minority interests - Statutory reserves</t>
  </si>
  <si>
    <t>Mino.Int-Statutory reserves</t>
  </si>
  <si>
    <t>AC=P10641000M</t>
  </si>
  <si>
    <t>P10641000M</t>
  </si>
  <si>
    <t>Part des mino. - Rés. de PV à long terme</t>
  </si>
  <si>
    <t>PM-Rés. de PV à long terme</t>
  </si>
  <si>
    <t>Minority interests - Long-term capital gains reserves</t>
  </si>
  <si>
    <t>M.Int-LT capital gains rsv</t>
  </si>
  <si>
    <t>AC=P10643000M</t>
  </si>
  <si>
    <t>P10643000M</t>
  </si>
  <si>
    <t>Part des mino. - Fonds pour risques bancaires généraux</t>
  </si>
  <si>
    <t>PM-Fonds Rsq bancaires gnrx</t>
  </si>
  <si>
    <t>Minority interests - General banking risks reserves</t>
  </si>
  <si>
    <t>M.Int-Genral banking risks rsv</t>
  </si>
  <si>
    <t>AC=P10645000M</t>
  </si>
  <si>
    <t>P10645000M</t>
  </si>
  <si>
    <t>Part des mino. - Rés. de capitalisation</t>
  </si>
  <si>
    <t>PM-Rés. de capitalisation</t>
  </si>
  <si>
    <t>Minority interests - Capitalization reserves</t>
  </si>
  <si>
    <t>Mino.Int-Capitalization rsv</t>
  </si>
  <si>
    <t>AC=P10680000M</t>
  </si>
  <si>
    <t>P10680000M</t>
  </si>
  <si>
    <t>Part des mino. - Autres Rés.</t>
  </si>
  <si>
    <t>Mino.Int-Other reserves</t>
  </si>
  <si>
    <t>AC=P10681000M</t>
  </si>
  <si>
    <t>P10681000M</t>
  </si>
  <si>
    <t>Part des mino. - Rés. facultatives</t>
  </si>
  <si>
    <t>PartMino-Rés. Facultatives</t>
  </si>
  <si>
    <t>Minority interests - Discretionary reserves</t>
  </si>
  <si>
    <t>Mino.Int-Discretionary rsv</t>
  </si>
  <si>
    <t>AC=P10900000M</t>
  </si>
  <si>
    <t>P10900000M</t>
  </si>
  <si>
    <t>Part des mino. - Rés. consolidées</t>
  </si>
  <si>
    <t>PartMino-Rés. consolidées</t>
  </si>
  <si>
    <t>Minority interests - Consolidated reserves</t>
  </si>
  <si>
    <t>Mino.Int-Consolidated reserves</t>
  </si>
  <si>
    <t>AC=P11000000M</t>
  </si>
  <si>
    <t>P11000000M</t>
  </si>
  <si>
    <t>Part des mino. - Report à nouveau</t>
  </si>
  <si>
    <t>PartMino-Report à nouveau</t>
  </si>
  <si>
    <t>Minority interests - Retained earnings</t>
  </si>
  <si>
    <t>Mino.Int-Retained earnings</t>
  </si>
  <si>
    <t>AC=P13000000M</t>
  </si>
  <si>
    <t>P13000000M</t>
  </si>
  <si>
    <t>Part des mino. - Changement de méthode</t>
  </si>
  <si>
    <t>PartMino-Changement de méthode</t>
  </si>
  <si>
    <t>Minority interests - Impact of change in accounting policies</t>
  </si>
  <si>
    <t>MInt-Change in accnting policy</t>
  </si>
  <si>
    <t>AC=P13001500M</t>
  </si>
  <si>
    <t>P13001500M</t>
  </si>
  <si>
    <t>Part des mino. Impact fonds propres immeubles - Impact composant</t>
  </si>
  <si>
    <t>PM Impact FP imbls-ImpactCompo</t>
  </si>
  <si>
    <t>Minority interests - Adjustments to property (application of components method) recognized in equity</t>
  </si>
  <si>
    <t>M.Int-AdjPty(Compo)RecgdEquity</t>
  </si>
  <si>
    <t>AC=P14600000M</t>
  </si>
  <si>
    <t>P14600000M</t>
  </si>
  <si>
    <t>Part des mino. - Prov. de revalo. Légale</t>
  </si>
  <si>
    <t>PM-Prov. de revalo. Légale</t>
  </si>
  <si>
    <t>Minority interests - Statutory revaluation reserve</t>
  </si>
  <si>
    <t>Mino.Int-Statutory reval Resv</t>
  </si>
  <si>
    <t>AC=P14610000M</t>
  </si>
  <si>
    <t>P14610000M</t>
  </si>
  <si>
    <t>Part des mino. - Prov. dépréciation durable</t>
  </si>
  <si>
    <t>PartMino-Prov. dépr durable</t>
  </si>
  <si>
    <t>Minority interests - Provisions for other-than-temporary impairment</t>
  </si>
  <si>
    <t>M.Int-Prov other-than-temp Imp</t>
  </si>
  <si>
    <t>AC=P10691000M</t>
  </si>
  <si>
    <t>P10691000M</t>
  </si>
  <si>
    <t>Part des mino. - Réserve à la FTA (non recyclable) IFRS9 - VB</t>
  </si>
  <si>
    <t>PM-Résv FTA(NR) IFRS9-VB</t>
  </si>
  <si>
    <t>Minority interests - FTA reserve (non recycling) - IFRS9 - Gross value</t>
  </si>
  <si>
    <t>M.Int-FTA Rsv IFRS9(NR)-G</t>
  </si>
  <si>
    <t>Evol 40 / Evol 59 (ex Evol 56)</t>
  </si>
  <si>
    <t>AC=P10691200M</t>
  </si>
  <si>
    <t>P10691200M</t>
  </si>
  <si>
    <t>Part des mino. - Réserve à la FTA (non recyclable) IFRS9 - ID</t>
  </si>
  <si>
    <t>PM-Résv FTA(NR) IFRS9-ID</t>
  </si>
  <si>
    <t>Minority interests - FTA reserve (non recycling) - IFRS9 - DT</t>
  </si>
  <si>
    <t>M.Int-FTA Rsv IFRS9(NR)-DT</t>
  </si>
  <si>
    <t>AC=P10691300M</t>
  </si>
  <si>
    <t>P10691300M</t>
  </si>
  <si>
    <t>Part des mino. - Réserve à la FTA (non recyclable) IFRS 17 - VB</t>
  </si>
  <si>
    <t>PM-Résv FTA(NR) IFRS17-VB</t>
  </si>
  <si>
    <t>Minority interests - FTA reserve (non recycling) - IFRS 17 - Gross value</t>
  </si>
  <si>
    <t>M.Int-FTA Rsv IFRS17(NR)-G</t>
  </si>
  <si>
    <t>AC=P10691400M</t>
  </si>
  <si>
    <t>P10691400M</t>
  </si>
  <si>
    <t>Part des mino. - Réserve à la FTA (non recyclable) IFRS 17 - ID</t>
  </si>
  <si>
    <t>PM-Résv FTA(NR) IFRS17-ID</t>
  </si>
  <si>
    <t>Minority interests - FTA reserve (non recycling) - IFRS 17 - DT</t>
  </si>
  <si>
    <t>M.Int-FTA Rsv IFRS17(NR)-DT</t>
  </si>
  <si>
    <t>AC=P10660000M</t>
  </si>
  <si>
    <t>P10660000M</t>
  </si>
  <si>
    <t>Part des mino. - Réserve PPA - VB</t>
  </si>
  <si>
    <t>PartMino-Réserve PPA-VB</t>
  </si>
  <si>
    <t>Minority interests - PPA reserve - Gross value</t>
  </si>
  <si>
    <t>Mino.Int-PPA Rsv-GrossValue</t>
  </si>
  <si>
    <t>AC=P10660200M</t>
  </si>
  <si>
    <t>P10660200M</t>
  </si>
  <si>
    <t>Part des mino. - Réserve PPA - ID</t>
  </si>
  <si>
    <t>PartMino-Réserve PPA-ID</t>
  </si>
  <si>
    <t>Minority interests - PPA reserve - DT</t>
  </si>
  <si>
    <t>Mino.Int-PPA Reserve-DT</t>
  </si>
  <si>
    <t>AC=TP10232M</t>
  </si>
  <si>
    <t>TP10232M</t>
  </si>
  <si>
    <t>Part des mino. - Actifs OCI - NR - Plus ou moins Value de Cession</t>
  </si>
  <si>
    <t>PM-Actfs OCI-NR-+/- V.Cession</t>
  </si>
  <si>
    <t>Minority interests - non-recyclable OCI (assets) - Gain or loss on disposal</t>
  </si>
  <si>
    <t>M.Int-NROCI Ast-Gn/los on disp</t>
  </si>
  <si>
    <t>P10600000M</t>
  </si>
  <si>
    <t>Part des mino - Réserve de revalo- JV -OCI - Non recyclable - PV de cession</t>
  </si>
  <si>
    <t>M-RésvRevalo-JVOCI-NR-PV cessn</t>
  </si>
  <si>
    <t>Minority interests - FV adjustments - FV through non-recyclable OCI - Gain on disposal</t>
  </si>
  <si>
    <t>M.Int-FV Adj-NR OCI-Gn on disp</t>
  </si>
  <si>
    <t>AC=P10600200M</t>
  </si>
  <si>
    <t>P10600200M</t>
  </si>
  <si>
    <t>Part des mino - Impôt s/Reserve de revalo- JV -OCI - Non recyclable - Plus-value de cession</t>
  </si>
  <si>
    <t>M-Ipt ResReval-JVOCINR-PV cess</t>
  </si>
  <si>
    <t>Minority interests - Tax on FV adjustments - FV through non-recyclable OCI - Gain on disposal</t>
  </si>
  <si>
    <t>M.Int-Tax FVadj-NROCI-Gn Disp</t>
  </si>
  <si>
    <t>AC=TP10233M</t>
  </si>
  <si>
    <t>TP10233M</t>
  </si>
  <si>
    <t>Part des mino. - Autres impacts résultat</t>
  </si>
  <si>
    <t>PM-Autrs impacts rés</t>
  </si>
  <si>
    <t>Minority interests - Other impacts on net earnings</t>
  </si>
  <si>
    <t>M.Int-Other impct on NetEarngs</t>
  </si>
  <si>
    <t>AC=TP102331M</t>
  </si>
  <si>
    <t>TP102331M</t>
  </si>
  <si>
    <t>Part des mino. - Différences de traitement - LGAAP / IFRS</t>
  </si>
  <si>
    <t>PM-Diff de trmt-LGAAP/IFRS</t>
  </si>
  <si>
    <t>Minority interests - SA adjustments - LGAAP / IFRS</t>
  </si>
  <si>
    <t>Mino.Int-SA Adj-LGAAP / IFRS</t>
  </si>
  <si>
    <t>AC=TP1023311M</t>
  </si>
  <si>
    <t>TP1023311M</t>
  </si>
  <si>
    <t>Part des mino. - Différences de traitement - Aff. résultats antérieurs</t>
  </si>
  <si>
    <t>PM-Diff trmt-Aff. rés antér</t>
  </si>
  <si>
    <t>Minority interests - SA adjustments - LGAAP / IFRS - Prev. Year appropriation</t>
  </si>
  <si>
    <t>M.Int-SAadj-LGAAP/IFRS-PY appr</t>
  </si>
  <si>
    <t>AC=P13001000M</t>
  </si>
  <si>
    <t>P13001000M</t>
  </si>
  <si>
    <t>AC=P13002000M</t>
  </si>
  <si>
    <t>P13002000M</t>
  </si>
  <si>
    <t>Part des mino. - Différences de traitement - Aff. résultats antérieurs - ID</t>
  </si>
  <si>
    <t>PM-Diff trmt-Aff. rés antér-ID</t>
  </si>
  <si>
    <t>Minority interests - SA adjustments - LGAAP / IFRS - Prev. Year appropriation - DT</t>
  </si>
  <si>
    <t>MInt-SAadj-LGAAP/IFRS-PYapr-DT</t>
  </si>
  <si>
    <t>AC=TP1023312M</t>
  </si>
  <si>
    <t>TP1023312M</t>
  </si>
  <si>
    <t>Part des mino. - Différences de traitement - Actions propres</t>
  </si>
  <si>
    <t>PartMino-Diff trmt-Actns prprs</t>
  </si>
  <si>
    <t>Minority interests - SA adjustments - Treasury stock</t>
  </si>
  <si>
    <t>Mino.Int-SA Adj-Treasury stock</t>
  </si>
  <si>
    <t>AC=P13005000M</t>
  </si>
  <si>
    <t>P13005000M</t>
  </si>
  <si>
    <t>Part des mino. - Différences de traitement - Actions propres - Brute</t>
  </si>
  <si>
    <t>PM-Diff trmt-Actns prprs-Br</t>
  </si>
  <si>
    <t>Minority interests - SA adjustments - Treasury stock - Gross</t>
  </si>
  <si>
    <t>M.Int-SA Adj-Treasury stock-G</t>
  </si>
  <si>
    <t>AC=P13006000M</t>
  </si>
  <si>
    <t>P13006000M</t>
  </si>
  <si>
    <t>Part des mino. - Différences de traitement - Actions propres - ID</t>
  </si>
  <si>
    <t>PM-Diff trmt-Actns prprs-ID</t>
  </si>
  <si>
    <t>Minority interests - SA adjustments - Treasury stock - DT</t>
  </si>
  <si>
    <t>M.Int-SA Adj-Treasury stock-DT</t>
  </si>
  <si>
    <t>AC=TP1023313M</t>
  </si>
  <si>
    <t>TP1023313M</t>
  </si>
  <si>
    <t>Part des mino. - Différences de traitement - ICNE et intérêts s/ titres super subordonnés</t>
  </si>
  <si>
    <t>PM-DifTmt-ICNE Its s/Ttrs Ssub</t>
  </si>
  <si>
    <t>Minority interests - SA adjustments - Accrued interest on deeply-subordinated debt</t>
  </si>
  <si>
    <t>M.Int-SA Adj-AccInt DplySbDebt</t>
  </si>
  <si>
    <t>AC=P13007000M</t>
  </si>
  <si>
    <t>P13007000M</t>
  </si>
  <si>
    <t>AC=P13007005M</t>
  </si>
  <si>
    <t>P13007005M</t>
  </si>
  <si>
    <t>Part des mino. - Différences de traitement - ICNE et intérêts s/ titres super subordonnés- Aff. résultats antérieurs</t>
  </si>
  <si>
    <t>M-DTmt-ICNE I Tit Ssub-Af.RAnt</t>
  </si>
  <si>
    <t>Minority interests - SA adjustments - Accrued interest on deeply-subordinated debt- Prev. Year appropriation</t>
  </si>
  <si>
    <t>MInt-SAad-AcInt DplSbDbt-PYapr</t>
  </si>
  <si>
    <t>AC=P13008000M</t>
  </si>
  <si>
    <t>P13008000M</t>
  </si>
  <si>
    <t>Part des mino. - Différences de traitement - ICNE et intérêts s/ titres super subordonnés - ID</t>
  </si>
  <si>
    <t>M-DTmt-ICNE Its s/Ttrs Ssub-ID</t>
  </si>
  <si>
    <t>Minority interests - SA adjustments - Accrued interest on deeply-subordinated debt - DT</t>
  </si>
  <si>
    <t>MIt-SA Adj-AccInt DplSbDebt-DT</t>
  </si>
  <si>
    <t>AC=P13008005M</t>
  </si>
  <si>
    <t>P13008005M</t>
  </si>
  <si>
    <t>Part des mino. - Différences de traitement - ICNE et intérêts s/ titres super subordonnés - ID-Aff. résultats antérieurs</t>
  </si>
  <si>
    <t>MDTmt-ICNE I Tit SsubID-AfRAnt</t>
  </si>
  <si>
    <t>Minority interests - SA adjustments - Accrued interest on deeply-subordinated debt - DT- Prev. Year appropriation</t>
  </si>
  <si>
    <t>MIt-SA Adj-AccInt DSD-DT-PYapr</t>
  </si>
  <si>
    <t>AC=TP1024M</t>
  </si>
  <si>
    <t>TP1024M</t>
  </si>
  <si>
    <t>Part des mino. - Résultat de l'exercice</t>
  </si>
  <si>
    <t>PartMino-Rés de l'exercice</t>
  </si>
  <si>
    <t>Minority interests - Profit/(loss) for the period</t>
  </si>
  <si>
    <t>M.Int-Profit/(loss) for period</t>
  </si>
  <si>
    <t>P12000000M</t>
  </si>
  <si>
    <t>Part des mino. - Résultat</t>
  </si>
  <si>
    <t>Minority interests - Profit/(loss)</t>
  </si>
  <si>
    <t>Mino.Int-Profit/(loss)</t>
  </si>
  <si>
    <t>AC=TP20</t>
  </si>
  <si>
    <t>TP20</t>
  </si>
  <si>
    <t>Passifs relatifs aux contrats</t>
  </si>
  <si>
    <t>Insurance and financial liabilities</t>
  </si>
  <si>
    <t>Insu and Fin. Liab</t>
  </si>
  <si>
    <t>AC=P3100000L</t>
  </si>
  <si>
    <t>P3100000L</t>
  </si>
  <si>
    <t>Passifs Contrats d'ass. - Non Vie - Réass. - Liaison</t>
  </si>
  <si>
    <t>Pssf Ctrats d'ass.-Non Vie-Réass.-Lsn</t>
  </si>
  <si>
    <t>Insurance liabilities - Non-life - Reinsurance - Liaison accounts</t>
  </si>
  <si>
    <t>Ins Liab-Non-life-Reinsu.-Liaison accounts</t>
  </si>
  <si>
    <t>AC=P3100000AJ</t>
  </si>
  <si>
    <t>P3100000AJ</t>
  </si>
  <si>
    <t>Passifs Contrats d'ass. - Non Vie - Réass. - Ajust.</t>
  </si>
  <si>
    <t>Pssf Ctrats d'ass.-Non Vie-Réass.-Ajust.</t>
  </si>
  <si>
    <t>Insurance liabilities - Non-life - Reinsurance - Adjustments</t>
  </si>
  <si>
    <t>Ins Liab-Non-life-Reinsu.-Adj</t>
  </si>
  <si>
    <t>AC=TP201</t>
  </si>
  <si>
    <t>TP201</t>
  </si>
  <si>
    <t>Pssf relatifs aux ctrats d'ass</t>
  </si>
  <si>
    <t>L-C-3310 - Passifs relatifs à des contrats</t>
  </si>
  <si>
    <t>Liabilities related to insurance contracts</t>
  </si>
  <si>
    <t>Liab related to Ins contrats</t>
  </si>
  <si>
    <t>L-C-3310 - Insurance and Financial liabilities</t>
  </si>
  <si>
    <t>TP2011</t>
  </si>
  <si>
    <t>Passifs relatifs à des contrats d'assurance Modèles BBA et VFA</t>
  </si>
  <si>
    <t>Psf rltifs ctrat d'ass-BBA&amp;VFA</t>
  </si>
  <si>
    <t>Liabilities related to insurance contracts - BBA and VFA models</t>
  </si>
  <si>
    <t>Liab rltd to Ins ctrat-BBA&amp;VFA</t>
  </si>
  <si>
    <t>AC=TP20111</t>
  </si>
  <si>
    <t>TP20111</t>
  </si>
  <si>
    <t>Passifs Contrats d'ass.- Modèle BBA</t>
  </si>
  <si>
    <t xml:space="preserve">Passif Contrats d'ass.-BBA </t>
  </si>
  <si>
    <t>Liabilities related to insurance contracts - BBA model</t>
  </si>
  <si>
    <t>Liab rltd to Ins contracts-BBA</t>
  </si>
  <si>
    <t>TP201111</t>
  </si>
  <si>
    <t>Passifs Contrats d'ass - Modèle BBA - Provisions techniques BE</t>
  </si>
  <si>
    <t>Passifs Contrats d'ass. - Modèle BBA - Provisions techniques BE</t>
  </si>
  <si>
    <t>Pssf Ctrats ass -BBA-PrvTechBE</t>
  </si>
  <si>
    <t>Liabilities related to insurance contracts - BBA model - Technical Reserves BE</t>
  </si>
  <si>
    <t>Liab Ins ctrats-BBA-TechRsvBE</t>
  </si>
  <si>
    <t>Evol 40 / Evol 45</t>
  </si>
  <si>
    <t>Passifs Contrats d'ass - Modèle BBA - Provisions techniques BE pour couverture restante</t>
  </si>
  <si>
    <t>BBA-Psf-PrvTechBE CouverRestnt</t>
  </si>
  <si>
    <t>L-C-3345 - Passifs relatifs aux contrats d'assurance - Modèles BBA et VFA</t>
  </si>
  <si>
    <t>Liabilities related to insurance contracts - BBA model - Technical Reserves BE for remaining coverage</t>
  </si>
  <si>
    <t>LbInsCts-BBA-TechRsvBE RemCver</t>
  </si>
  <si>
    <t xml:space="preserve">L-C-3345 - Liabilities related to insurance contracts - BBA and VFA models </t>
  </si>
  <si>
    <t>Evol 19 / Evol 40 / Evol 45 / Evol 71</t>
  </si>
  <si>
    <t>Passifs Contrats d'ass. - Modèle BBA - Provisions techniques BE - Passifs pour sinistres survenus</t>
  </si>
  <si>
    <t>BBA-Psf-PrvTechBE-Sinistres</t>
  </si>
  <si>
    <t>Liabilities related to insurance contracts - BBA model - Technical Reserves BE - Liability for incurred claims</t>
  </si>
  <si>
    <t>LbInsCts-BBA-TechRsvBE-IncrClm</t>
  </si>
  <si>
    <t>Evol 40 / Evol 45 / Evol 71</t>
  </si>
  <si>
    <r>
      <t xml:space="preserve">Passifs Contrats d'ass. - Modèle BBA - Provisions techniques BE </t>
    </r>
    <r>
      <rPr>
        <sz val="10"/>
        <color rgb="FF00B050"/>
        <rFont val="Calibri"/>
        <family val="2"/>
        <scheme val="minor"/>
      </rPr>
      <t>pour couverture restante</t>
    </r>
    <r>
      <rPr>
        <sz val="10"/>
        <rFont val="Calibri"/>
        <family val="2"/>
        <scheme val="minor"/>
      </rPr>
      <t>- Non actuariel</t>
    </r>
  </si>
  <si>
    <t>BBA-Psf -Prv t BE-CR -nn actu</t>
  </si>
  <si>
    <t>Liabilities related to insurance contracts - BBA model - Technical Reserves BE - Non-actuarial</t>
  </si>
  <si>
    <t>LbInsCts-BBA-TechRsvBE-NActuri</t>
  </si>
  <si>
    <t>Evol 40 / Evol 45 / evol 83</t>
  </si>
  <si>
    <r>
      <t xml:space="preserve">Passifs Contrats d'ass. - Modèle BBA - Provisions techniques BE </t>
    </r>
    <r>
      <rPr>
        <sz val="10"/>
        <color rgb="FF00B050"/>
        <rFont val="Calibri"/>
        <family val="2"/>
        <scheme val="minor"/>
      </rPr>
      <t>pour sinistres survenus</t>
    </r>
    <r>
      <rPr>
        <sz val="10"/>
        <rFont val="Calibri"/>
        <family val="2"/>
        <scheme val="minor"/>
      </rPr>
      <t xml:space="preserve"> - Non actuariel</t>
    </r>
  </si>
  <si>
    <t>BBA-Psf -Prv t BE-SS-nn actu</t>
  </si>
  <si>
    <t>Liabilities related to insurance contracts - BBA model - Technical Reserves BE for claims that have occurred - Non-actuarial</t>
  </si>
  <si>
    <t>TP201112</t>
  </si>
  <si>
    <t>Passifs Contrats d'ass - Modèle BBA - Ajustement pour risque</t>
  </si>
  <si>
    <t>BBA-Passif cntrt ass-Ajt Risq</t>
  </si>
  <si>
    <t>Liabilities related to insurance contracts - BBA model - Risk Adjustment</t>
  </si>
  <si>
    <t>LbInsCts-BBA-Risk Adjustment</t>
  </si>
  <si>
    <t>Passifs Contrats d'ass. - Modèle BBA - Ajustement pour risque pour couverture restante</t>
  </si>
  <si>
    <t>BBA-Psf-Ajmt Rsq CouvRest</t>
  </si>
  <si>
    <t>Liabilities related to insurance contracts - BBA model - Risk Adjustment for remaining coverage</t>
  </si>
  <si>
    <t>LbInsCts-BBA -RskAdjuRemCvg</t>
  </si>
  <si>
    <t>Evol 19 / Evol 40 /Evol 45 / Evol 71</t>
  </si>
  <si>
    <t>Passifs Contrats d'ass. - Modèle BBA - Ajustement pour risque - Passifs pour sinistres survenus</t>
  </si>
  <si>
    <t>BBA-Psf-Ajmt Rsq Psf Sinistres</t>
  </si>
  <si>
    <t>Liabilities related to insurance contracts - BBA model - Risk Adjustment - Liability for incurred claims</t>
  </si>
  <si>
    <t>LbInsCts-BBA -RskAdju-IncurClm</t>
  </si>
  <si>
    <t>Evol 28 / Evol 40 /Evol 45 / Evol 71</t>
  </si>
  <si>
    <t>TP201113</t>
  </si>
  <si>
    <t>Passifs Contrats d'ass - Modèle BBA - Marge sur services contractuels</t>
  </si>
  <si>
    <t>Passifs Contrats d'ass. - Modèle BBA - Marge sur services contractuels</t>
  </si>
  <si>
    <t>BBA-Passif contrat d'ass -CSM</t>
  </si>
  <si>
    <t>Liabilities related to insurance contracts - BBA model - CSM</t>
  </si>
  <si>
    <t>LiabInsurContracts-BBA-CSM</t>
  </si>
  <si>
    <t>Evol 40 /Evol 45</t>
  </si>
  <si>
    <t>Passifs Contrats d'ass. - Modèle BBA - Marge sur services contractuels pour couverture restante</t>
  </si>
  <si>
    <t>BBA-Psf-CSM  couverture rest</t>
  </si>
  <si>
    <t>Liabilities related to insurance contracts - BBA model - CSM for remaining coverage</t>
  </si>
  <si>
    <t>LbInsCts-BBA-CSM for RemngCvg</t>
  </si>
  <si>
    <t>Evol 28 /Evol 45 / Evol 71</t>
  </si>
  <si>
    <t>TP201114</t>
  </si>
  <si>
    <t>Passifs Contrats d'ass - Modèle BBA - Cptes liaison et ajust.</t>
  </si>
  <si>
    <t>Passifs Contrats d'ass. - Modèle BBA - Cptes liaison et ajust.</t>
  </si>
  <si>
    <t>BBA-PsfAssu-Cptes lsn&amp;ajust.</t>
  </si>
  <si>
    <t>Liabilities related to insurance contracts - BBA model - Liaison accounts &amp; adjustment</t>
  </si>
  <si>
    <t>LbInsCts-BBA -LsnAccnts &amp; Adj</t>
  </si>
  <si>
    <r>
      <t>Passifs Contrats d'ass - Modèle BBA- liaison -</t>
    </r>
    <r>
      <rPr>
        <sz val="10"/>
        <color rgb="FF00B050"/>
        <rFont val="Calibri"/>
        <family val="2"/>
        <scheme val="minor"/>
      </rPr>
      <t xml:space="preserve"> couverture restante</t>
    </r>
  </si>
  <si>
    <r>
      <t>Pssf Ctrats d'ass-BBA-lsn</t>
    </r>
    <r>
      <rPr>
        <sz val="10"/>
        <color rgb="FFFF0000"/>
        <rFont val="Calibri"/>
        <family val="2"/>
        <scheme val="minor"/>
      </rPr>
      <t>couv</t>
    </r>
  </si>
  <si>
    <r>
      <t xml:space="preserve">Liabilities related to insurance contracts - BBA model - Liaison account </t>
    </r>
    <r>
      <rPr>
        <sz val="10"/>
        <color rgb="FFFF0000"/>
        <rFont val="Calibri"/>
        <family val="2"/>
        <scheme val="minor"/>
      </rPr>
      <t>- remaining coverage</t>
    </r>
  </si>
  <si>
    <r>
      <t>LbInsCts-BBA -</t>
    </r>
    <r>
      <rPr>
        <sz val="10"/>
        <color rgb="FFFF0000"/>
        <rFont val="Calibri"/>
        <family val="2"/>
        <scheme val="minor"/>
      </rPr>
      <t>LaccRemCvg</t>
    </r>
  </si>
  <si>
    <t>Evol 40 / Evol 45 / Evol 48 / Evol 67 / Evol 72</t>
  </si>
  <si>
    <t>créer</t>
  </si>
  <si>
    <r>
      <t xml:space="preserve">Passifs Contrats d'ass - Modèle BBA -ajust. - </t>
    </r>
    <r>
      <rPr>
        <sz val="10"/>
        <color rgb="FF00B050"/>
        <rFont val="Calibri"/>
        <family val="2"/>
        <scheme val="minor"/>
      </rPr>
      <t>couverture restante</t>
    </r>
  </si>
  <si>
    <t>Pssf Ctrats d'ass -BBA -aj.-CR</t>
  </si>
  <si>
    <r>
      <t xml:space="preserve">Liabilities related to insurance contracts - BBA model - Adjustment account </t>
    </r>
    <r>
      <rPr>
        <sz val="10"/>
        <color rgb="FFFF0000"/>
        <rFont val="Calibri"/>
        <family val="2"/>
        <scheme val="minor"/>
      </rPr>
      <t>- remaining coverage</t>
    </r>
  </si>
  <si>
    <r>
      <t>LiabInsCtcts-BBA -Adj</t>
    </r>
    <r>
      <rPr>
        <sz val="10"/>
        <color rgb="FFFF0000"/>
        <rFont val="Calibri"/>
        <family val="2"/>
        <scheme val="minor"/>
      </rPr>
      <t>AccRemCvg</t>
    </r>
  </si>
  <si>
    <t>Evol 39  / Evol 40 / Evol 45 / Evol 48 / Evol 67 / Evol 72 / Evol 85</t>
  </si>
  <si>
    <t>Passifs Contrats d'ass - Modèle  BBA- liaison - sinistres survenus</t>
  </si>
  <si>
    <t>Liabilities related to insurance contracts - BBA model - Liaison account - incurred claims</t>
  </si>
  <si>
    <t>LiabInsCtcts-BBA-LiaisIncrClm</t>
  </si>
  <si>
    <t>Pssf Ctrats ass-BBA sin.ajust.</t>
  </si>
  <si>
    <t>Liabilities related to insurance contracts - BBA model - Adjustment account - incurred claims</t>
  </si>
  <si>
    <t>LiabInsCtcts-BBA-AdjAccIncrClm</t>
  </si>
  <si>
    <t>AC=TP20112</t>
  </si>
  <si>
    <t>TP20112</t>
  </si>
  <si>
    <t>Passifs Contrats d'ass.- Modèle VFA</t>
  </si>
  <si>
    <t>Passif Contrats d'ass.-VFA</t>
  </si>
  <si>
    <t>Liabilities related to insurance contracts - VFA model</t>
  </si>
  <si>
    <t>LbInsCtrcts-VFA  model</t>
  </si>
  <si>
    <t>TP201121</t>
  </si>
  <si>
    <t>Passifs Contrats d'ass - Modèle VFA - Provisions techniques BE</t>
  </si>
  <si>
    <t>Pssf Ctrats ass-VFA-PrvTechBE</t>
  </si>
  <si>
    <t>Liabilities related to insurance contracts - VFA model - Technical Reserves BE</t>
  </si>
  <si>
    <t>LbInsuCts-VFA-TechnicalRsvBE</t>
  </si>
  <si>
    <t>Passifs Contrats d'ass. - Modèle VFA - Provisions techniques BE pour couverture restante</t>
  </si>
  <si>
    <t>VFA-Psf-PrvTechBE CouvRest</t>
  </si>
  <si>
    <t>Liabilities related to insurance contracts - VFA model - Technical Reserves BE for remaining coverage</t>
  </si>
  <si>
    <t>LbInsCts-VFA-TechRsvBE RemCvg</t>
  </si>
  <si>
    <t>Passifs Contrats d'ass. - Modèle VFA - Provisions techniques BE - Passifs pour sinistres survenus</t>
  </si>
  <si>
    <t>VFA-Psf-PrvTechBE-Sinistres</t>
  </si>
  <si>
    <t>Liabilities related to insurance contracts - VFA model - Technical Reserves BE - Liability for incurred claims</t>
  </si>
  <si>
    <t>LbInsCtVFA-TechRsvBE-LbIncrClm</t>
  </si>
  <si>
    <r>
      <t xml:space="preserve">Passifs Contrats d'ass. - Modèle VFA - Provisions techniques BE </t>
    </r>
    <r>
      <rPr>
        <sz val="10"/>
        <color rgb="FF00B050"/>
        <rFont val="Calibri"/>
        <family val="2"/>
        <scheme val="minor"/>
      </rPr>
      <t xml:space="preserve">pour couverture restante </t>
    </r>
    <r>
      <rPr>
        <sz val="10"/>
        <rFont val="Calibri"/>
        <family val="2"/>
        <scheme val="minor"/>
      </rPr>
      <t>- Non actuariel</t>
    </r>
  </si>
  <si>
    <t>VFA-Psf-PrvTech BE-CR -nn actu</t>
  </si>
  <si>
    <t>Liabilities related to insurance contracts - VFA model - Technical Reserves BE - Non-actuarial</t>
  </si>
  <si>
    <t>LbInsCts-VFA-TechRsvBE-Nactu</t>
  </si>
  <si>
    <t>Evol 40 / Evol 43 / Evol 45 / evol 83</t>
  </si>
  <si>
    <r>
      <t xml:space="preserve">Passifs Contrats d'ass. - Modèle VFA - Provisions techniques BE </t>
    </r>
    <r>
      <rPr>
        <sz val="10"/>
        <color rgb="FF00B050"/>
        <rFont val="Calibri"/>
        <family val="2"/>
        <scheme val="minor"/>
      </rPr>
      <t>pour sinistres survenus</t>
    </r>
    <r>
      <rPr>
        <sz val="10"/>
        <rFont val="Calibri"/>
        <family val="2"/>
        <scheme val="minor"/>
      </rPr>
      <t xml:space="preserve"> - Non actuariel</t>
    </r>
  </si>
  <si>
    <t>VFA-Psf-PrvTech BE-SS-nn actu</t>
  </si>
  <si>
    <t>Liabilities related to insurance contracts - VFA model - Technical Reserves BE for claims that have occurred - Non-actuarial</t>
  </si>
  <si>
    <t>TP201122</t>
  </si>
  <si>
    <t>Passifs Contrats d'ass - Modèle VFA - Ajustement pour risque</t>
  </si>
  <si>
    <t>Passifs Contrats d'ass. - Modèle VFA - Ajustement pour risque</t>
  </si>
  <si>
    <t>Pssf Ctrats d'ass-VFA-Ajmt Rsq</t>
  </si>
  <si>
    <t>Liabilities related to insurance contracts - VFA model - Risk Adjustment</t>
  </si>
  <si>
    <t>LbInsCts-VFA-Risk Adjustment</t>
  </si>
  <si>
    <t>Passifs Contrats d'ass. - Modèle VFA - Ajustement pour risque pour couverture restante</t>
  </si>
  <si>
    <t>VFA-Psf-Ajmt Rsq CouvRest</t>
  </si>
  <si>
    <t>Liabilities related to insurance contracts - VFA model - Risk Adjustment for remaining coverage</t>
  </si>
  <si>
    <t>LbInsCts-VFA -RskAdju-RemngCvg</t>
  </si>
  <si>
    <t>Passifs Contrats d'ass. - Modèle VFA - Ajustement pour risque - Passifs pour sinistres survenus</t>
  </si>
  <si>
    <t>VFA-Psf-Ajmt Rsq-Sinistres</t>
  </si>
  <si>
    <t>Liabilities related to insurance contracts - VFA model - Risk Adjustment - Liability for incurred claims</t>
  </si>
  <si>
    <t>LbInsCt-VFA -RskAdj-LbIncurClm</t>
  </si>
  <si>
    <t>Evol 28 / Evol 40 / Evol 45 / Evol 71</t>
  </si>
  <si>
    <t>TP201123</t>
  </si>
  <si>
    <t>Passifs Contrats d'ass - Modèle VFA - Marge sur services contractuels</t>
  </si>
  <si>
    <t>Passifs Contrats d'ass. - Modèle VFA - Marge sur services contractuels</t>
  </si>
  <si>
    <t>Pssf Ctrats d'ass -VFA-CSM</t>
  </si>
  <si>
    <t>Liabilities related to insurance contracts - VFA model - CSM</t>
  </si>
  <si>
    <t>Lb Insurance Contracts-VFA-CSM</t>
  </si>
  <si>
    <t>Passifs Contrats d'ass. - Modèle VFA - Marge sur services contractuels pour couverture restante</t>
  </si>
  <si>
    <t>VFA-Psf-CSM couverture restant</t>
  </si>
  <si>
    <t>Liabilities related to insurance contracts - VFA model - CSM for remaining coverage</t>
  </si>
  <si>
    <t>LbInsCts-VFA-CSM RemCvg</t>
  </si>
  <si>
    <t>TP201124</t>
  </si>
  <si>
    <t>Passifs Contrats d'ass - Modèle VFA - Cptes liaison et ajust.</t>
  </si>
  <si>
    <t>Passifs Contrats d'ass. - Modèle VFA - Cptes liaison et ajust.</t>
  </si>
  <si>
    <t>VFA-Psf-Cptes lsn et ajust.</t>
  </si>
  <si>
    <t>Liabilities related to insurance contracts - VFA model - Liaison accounts &amp; adjustment</t>
  </si>
  <si>
    <t>LbInsCts-VFA -LsnAccounts&amp;Adj</t>
  </si>
  <si>
    <r>
      <t>Passifs Contrats d'ass - Modèle VFA- liaison -</t>
    </r>
    <r>
      <rPr>
        <sz val="10"/>
        <color rgb="FF00B050"/>
        <rFont val="Calibri"/>
        <family val="2"/>
        <scheme val="minor"/>
      </rPr>
      <t xml:space="preserve"> couverture restante</t>
    </r>
  </si>
  <si>
    <r>
      <t>Pssf Ctrats d'ass-VFA-lsn</t>
    </r>
    <r>
      <rPr>
        <sz val="10"/>
        <color rgb="FFFF0000"/>
        <rFont val="Calibri"/>
        <family val="2"/>
        <scheme val="minor"/>
      </rPr>
      <t>couv</t>
    </r>
  </si>
  <si>
    <r>
      <t xml:space="preserve">Liabilities related to insurance contracts - VFA model - Liaison account </t>
    </r>
    <r>
      <rPr>
        <sz val="10"/>
        <color rgb="FFFF0000"/>
        <rFont val="Calibri"/>
        <family val="2"/>
        <scheme val="minor"/>
      </rPr>
      <t>- remaining coverage</t>
    </r>
  </si>
  <si>
    <r>
      <t>LbInsCts-VFA -</t>
    </r>
    <r>
      <rPr>
        <sz val="10"/>
        <color rgb="FFFF0000"/>
        <rFont val="Calibri"/>
        <family val="2"/>
        <scheme val="minor"/>
      </rPr>
      <t>LaccRemCvg</t>
    </r>
  </si>
  <si>
    <t>Evol 39 / Evol 40 / Evol 45 / Evol 48 / Evol 67 / Evol 72 / Evol 85</t>
  </si>
  <si>
    <r>
      <t xml:space="preserve">Passifs Contrats d'ass - Modèle VFA -ajust. - </t>
    </r>
    <r>
      <rPr>
        <sz val="10"/>
        <color rgb="FF00B050"/>
        <rFont val="Calibri"/>
        <family val="2"/>
        <scheme val="minor"/>
      </rPr>
      <t>couverture restante</t>
    </r>
  </si>
  <si>
    <r>
      <t>Pssf Ctrats d'ass -VFA -aj</t>
    </r>
    <r>
      <rPr>
        <sz val="10"/>
        <color rgb="FFFF0000"/>
        <rFont val="Calibri"/>
        <family val="2"/>
        <scheme val="minor"/>
      </rPr>
      <t>couv</t>
    </r>
  </si>
  <si>
    <r>
      <t xml:space="preserve">Liabilities related to insurance contracts - VFA model - Adjustment account </t>
    </r>
    <r>
      <rPr>
        <sz val="10"/>
        <color rgb="FFFF0000"/>
        <rFont val="Calibri"/>
        <family val="2"/>
        <scheme val="minor"/>
      </rPr>
      <t>- remaining coverage</t>
    </r>
  </si>
  <si>
    <r>
      <t>LbInsCts-VFA -</t>
    </r>
    <r>
      <rPr>
        <sz val="10"/>
        <color rgb="FFFF0000"/>
        <rFont val="Calibri"/>
        <family val="2"/>
        <scheme val="minor"/>
      </rPr>
      <t>AdjAccRemCvg</t>
    </r>
  </si>
  <si>
    <t>Passifs Contrats d'ass - Modèle  VFA- liaison - sinistres survenus</t>
  </si>
  <si>
    <t>Liabilities related to insurance contracts - VFA model - Liaison account - incurred claims</t>
  </si>
  <si>
    <t>LiabInsCtcts-VFA-LiaisIncrClm</t>
  </si>
  <si>
    <t>Pssf Ctrats ass-VFA sin.ajust.</t>
  </si>
  <si>
    <t>Liabilities related to insurance contracts - VFA model - Adjustment account - incurred claims</t>
  </si>
  <si>
    <t>LiabInsCtcts-VFA-AdjAccIncrClm</t>
  </si>
  <si>
    <t xml:space="preserve"> Evol 85</t>
  </si>
  <si>
    <t>TP2012</t>
  </si>
  <si>
    <t>Passifs Contrats d'ass. - Modèle PAA</t>
  </si>
  <si>
    <t>Pssf Ctrats d'ass.-Modèle PAA</t>
  </si>
  <si>
    <t>Liabilities related to insurance contracts - PAA model</t>
  </si>
  <si>
    <t>Lb Insur Contracts-PAA model</t>
  </si>
  <si>
    <t>AC=TP20121</t>
  </si>
  <si>
    <t>TP20121</t>
  </si>
  <si>
    <t>TP201211</t>
  </si>
  <si>
    <t>Passifs Contrats d'ass. - Modèle PAA - Provisions techniques BE</t>
  </si>
  <si>
    <t>PAA-Passif-Prov Technique BE</t>
  </si>
  <si>
    <t>L-C-3350 - Passifs relatifs aux contrats d'assurance - Modèle PAA</t>
  </si>
  <si>
    <t>Liabilities related to insurance contracts - PAA model - Technical Reserves BE</t>
  </si>
  <si>
    <t>LbInsCts-PAA-Tech Reserve BE</t>
  </si>
  <si>
    <t>L-C-3350 - Liabilities related to insurance contracts - PAA model</t>
  </si>
  <si>
    <t>PAA-Psf-PrvTechBE CouvRest</t>
  </si>
  <si>
    <t>Liabilities related to insurance contracts - PAA model - Technical Reserves BE for remaining coverage</t>
  </si>
  <si>
    <t>LbInsCts-PAA-TechRsvBE RemCvg</t>
  </si>
  <si>
    <t>Evol 19 / Evol 28 / Evol 71</t>
  </si>
  <si>
    <t>PAA-Psf-PrvTechBE-SS</t>
  </si>
  <si>
    <t>Liabilities related to insurance contracts - PAA model - Technical Reserves BE - Liability for incurred claims</t>
  </si>
  <si>
    <t>LbInsCt-PAA-TechRsvBE-IncurClm</t>
  </si>
  <si>
    <t>Evol 28 / Evol 71</t>
  </si>
  <si>
    <r>
      <t>Passifs Contrats d'ass. - Modèle PAA - Provisions techniques BE</t>
    </r>
    <r>
      <rPr>
        <sz val="10"/>
        <color rgb="FF00B050"/>
        <rFont val="Calibri"/>
        <family val="2"/>
        <scheme val="minor"/>
      </rPr>
      <t xml:space="preserve"> pour couverture restante </t>
    </r>
    <r>
      <rPr>
        <sz val="10"/>
        <rFont val="Calibri"/>
        <family val="2"/>
        <scheme val="minor"/>
      </rPr>
      <t xml:space="preserve"> - Non actuariel</t>
    </r>
  </si>
  <si>
    <t>PAA-Psf-Prv tech BE-CR-nn actu</t>
  </si>
  <si>
    <t>Liabilities related to insurance contracts - PAA model - Non-actuarial</t>
  </si>
  <si>
    <t>LbInsCts-PAA- Non-actuariel</t>
  </si>
  <si>
    <t>Evol 40 / Evol 43 / evol 83</t>
  </si>
  <si>
    <r>
      <t>Passifs Contrats d'ass. - Modèle PAA - Provisions techniques BE</t>
    </r>
    <r>
      <rPr>
        <sz val="10"/>
        <color rgb="FF00B050"/>
        <rFont val="Calibri"/>
        <family val="2"/>
        <scheme val="minor"/>
      </rPr>
      <t xml:space="preserve"> pour sinistres survenus </t>
    </r>
    <r>
      <rPr>
        <sz val="10"/>
        <rFont val="Calibri"/>
        <family val="2"/>
        <scheme val="minor"/>
      </rPr>
      <t xml:space="preserve"> - Non actuariel</t>
    </r>
  </si>
  <si>
    <t>PAA-Psf-Prv tech BE-SS-nn actu</t>
  </si>
  <si>
    <t>Liabilities related to insurance contracts - PAA model - Technical Reserves BE for claims that have occurred - Non-actuarial</t>
  </si>
  <si>
    <t>TP201212</t>
  </si>
  <si>
    <t>Passifs Contrats d'ass. - Modèle PAA - Ajustement pour risque</t>
  </si>
  <si>
    <t>Pssf Ctrats d'ass-PAA-Ajmt Rsq</t>
  </si>
  <si>
    <t>Liabilities related to insurance contracts - PAA model - Risk Adjustment</t>
  </si>
  <si>
    <t>LbInsCts-PAA-Risk Adjustment</t>
  </si>
  <si>
    <t>PAA-Psf-Ajmt Rsq-Passifs SS</t>
  </si>
  <si>
    <t>Liabilities related to insurance contracts - PAA model - Liabilities for incurred claims</t>
  </si>
  <si>
    <t>LbInsCts-PAA-Lb IncurredClaims</t>
  </si>
  <si>
    <t>TP201213</t>
  </si>
  <si>
    <t>Passifs Contrats d'ass - PAA - Cptes liaison et ajust.</t>
  </si>
  <si>
    <t>PAA-Psf-Cptes lsn et ajust.</t>
  </si>
  <si>
    <t>Liabilities related to insurance contracts - PAA model - Liaison accounts &amp; adjustment</t>
  </si>
  <si>
    <t>LbInsCts -PAA -LsnAccounts&amp;Adj</t>
  </si>
  <si>
    <t>AC=P3078100PL</t>
  </si>
  <si>
    <t>P3078100PL</t>
  </si>
  <si>
    <r>
      <t xml:space="preserve">Passifs Contrats d'ass - PAA - liaison - </t>
    </r>
    <r>
      <rPr>
        <sz val="10"/>
        <color rgb="FF00B050"/>
        <rFont val="Calibri"/>
        <family val="2"/>
        <scheme val="minor"/>
      </rPr>
      <t>couverture restante</t>
    </r>
  </si>
  <si>
    <t>Passifs Contrats d'ass. - PAA - liaison - couverture restante</t>
  </si>
  <si>
    <t>Pssf Ctrats d'ass-PAA-lsncouv</t>
  </si>
  <si>
    <r>
      <t xml:space="preserve">Liabilities related to insurance contracts - PAA model - Liaison account </t>
    </r>
    <r>
      <rPr>
        <sz val="10"/>
        <color rgb="FFFF0000"/>
        <rFont val="Calibri"/>
        <family val="2"/>
        <scheme val="minor"/>
      </rPr>
      <t>- remaining coverage</t>
    </r>
  </si>
  <si>
    <r>
      <t>LbInsCts-PAA -</t>
    </r>
    <r>
      <rPr>
        <sz val="10"/>
        <color rgb="FFFF0000"/>
        <rFont val="Calibri"/>
        <family val="2"/>
        <scheme val="minor"/>
      </rPr>
      <t>LaccRemCvg</t>
    </r>
  </si>
  <si>
    <t>Evol 40 / Evol 45 / Evol 48 / Evol 72 / Evol 85</t>
  </si>
  <si>
    <r>
      <t xml:space="preserve">Passifs Contrats d'ass - PAA -Ajust. - </t>
    </r>
    <r>
      <rPr>
        <sz val="10"/>
        <color rgb="FF00B050"/>
        <rFont val="Calibri"/>
        <family val="2"/>
        <scheme val="minor"/>
      </rPr>
      <t>couverture restante</t>
    </r>
  </si>
  <si>
    <t>Pssf Ctrats d'ass-PAA -Ajcouv</t>
  </si>
  <si>
    <r>
      <t xml:space="preserve">Liabilities related to insurance contracts - PAA model - Adjustment account </t>
    </r>
    <r>
      <rPr>
        <sz val="10"/>
        <color rgb="FFFF0000"/>
        <rFont val="Calibri"/>
        <family val="2"/>
        <scheme val="minor"/>
      </rPr>
      <t>- remaining coverage</t>
    </r>
  </si>
  <si>
    <r>
      <t>LbInsCts-PAA -</t>
    </r>
    <r>
      <rPr>
        <sz val="10"/>
        <color rgb="FFFF0000"/>
        <rFont val="Calibri"/>
        <family val="2"/>
        <scheme val="minor"/>
      </rPr>
      <t>AdjAccRemCvg</t>
    </r>
  </si>
  <si>
    <t>P3078101PL</t>
  </si>
  <si>
    <t>Passifs Contrats d'ass - PAA - liaison - sinistres survenus</t>
  </si>
  <si>
    <t>Pssf Ctrats ass-PAA sin.lsn</t>
  </si>
  <si>
    <t>Liabilities related to insurance contracts - PAA model - Liaison account - incurred claims</t>
  </si>
  <si>
    <t>LiabInsCtcts-PAA-LiaisIncrClm</t>
  </si>
  <si>
    <t>Passifs Contrats d'ass - PAA -Ajust. - sinistres survenus</t>
  </si>
  <si>
    <t>Pssf Ctrats ass-PAA sin.ajust.</t>
  </si>
  <si>
    <t>Liabilities related to insurance contracts - PAA model - Adjustment account - incurred claims</t>
  </si>
  <si>
    <t>LiabInsCtcts-PAA-AdjAccIncrClm</t>
  </si>
  <si>
    <t>AC=TP2013</t>
  </si>
  <si>
    <t>TP2013</t>
  </si>
  <si>
    <t>Passifs relatifs aux frais d'acquisition non affectés aux contrats d'assurance</t>
  </si>
  <si>
    <t>Passf frais acq nn aff ct assu</t>
  </si>
  <si>
    <t>L-C-3365 - Passifs comptabilisés au titre des flux de trésorerie liés aux flux d'acquisition</t>
  </si>
  <si>
    <t>Liabilities related to acquisition costs non allocated to insurance contracts</t>
  </si>
  <si>
    <t>Lb acq costs nn Ins Cntra</t>
  </si>
  <si>
    <t>L-C-3365 - Liabilites booked as cash flow related to acquisition costs</t>
  </si>
  <si>
    <t>Evol 54 (ex Evol 51)</t>
  </si>
  <si>
    <t>Deferred acquisition costs - BBA/VFA model</t>
  </si>
  <si>
    <t>Deferred acq costs-BBA/VFA</t>
  </si>
  <si>
    <t>Evol 18 / Evol 45</t>
  </si>
  <si>
    <t>AC=TP201311</t>
  </si>
  <si>
    <t>TP201311</t>
  </si>
  <si>
    <t>Deferred acq costs-BBA model</t>
  </si>
  <si>
    <t>Evol 18</t>
  </si>
  <si>
    <t>Deferred acq costs-ProvImp-BBA</t>
  </si>
  <si>
    <t>AC=TP201312</t>
  </si>
  <si>
    <t>TP201312</t>
  </si>
  <si>
    <t xml:space="preserve"> Deferred acq costs-VFA model</t>
  </si>
  <si>
    <t>Evol 18 / Evol 40</t>
  </si>
  <si>
    <t>Deferrd acq costs-Prov Imp-VFA</t>
  </si>
  <si>
    <t>Deferred acq costs-PAA model</t>
  </si>
  <si>
    <t>AC=TP201321</t>
  </si>
  <si>
    <t>TP201321</t>
  </si>
  <si>
    <t>DAC et assimilés-Dépr-PAA</t>
  </si>
  <si>
    <t>Dfrrd acq cost-Prov Imp-PAA</t>
  </si>
  <si>
    <t>AC=TP202</t>
  </si>
  <si>
    <t>TP202</t>
  </si>
  <si>
    <t xml:space="preserve">Pssf relatifs à ctrats fin </t>
  </si>
  <si>
    <t>Financial liabilities</t>
  </si>
  <si>
    <t>AC=TP2021</t>
  </si>
  <si>
    <t>TP2021</t>
  </si>
  <si>
    <t>Passifs relatifs à des contrats financiers sans participation discrétionnaire</t>
  </si>
  <si>
    <t>Psf relat ctrFin ss parti disc</t>
  </si>
  <si>
    <t>FI without DPF</t>
  </si>
  <si>
    <t xml:space="preserve">FI without DPF </t>
  </si>
  <si>
    <t>changement de hierarchie - nouvelle hiérarchie F</t>
  </si>
  <si>
    <t>AC=TP20211</t>
  </si>
  <si>
    <t>TP20211</t>
  </si>
  <si>
    <t>Passifs Contrats fin. sans PB discr. - Dépôts</t>
  </si>
  <si>
    <t>PsfCtat fin ss PB discr.-Dépts</t>
  </si>
  <si>
    <t>Financial liabilities - FI without DPF - Deposits</t>
  </si>
  <si>
    <t>Fin Lb-FI w/o DPF-Deposits</t>
  </si>
  <si>
    <t>AC=P38004200</t>
  </si>
  <si>
    <t>P38004200</t>
  </si>
  <si>
    <t>Passifs Contrats fin. sans PB discr. - Dépôts assurés</t>
  </si>
  <si>
    <t>PsfCtatFin ss PBdiscr DéptAssu</t>
  </si>
  <si>
    <t>Financial liabilities - FI without DPF - Deposits insured</t>
  </si>
  <si>
    <t>FinLb-FI w/o DPF-DepositInsurd</t>
  </si>
  <si>
    <t>changement de Libellé - nouvelle hiérarchie E</t>
  </si>
  <si>
    <t>AC=P38004300</t>
  </si>
  <si>
    <t>P38004300</t>
  </si>
  <si>
    <t>Passifs Contrats fin. sans PB discr. - Dépôts réassureurs</t>
  </si>
  <si>
    <t>PsfCtatFin ss PBdiscr DéptRéas</t>
  </si>
  <si>
    <t>Financial liabilities - FI without DPF - Deposits reinsurer</t>
  </si>
  <si>
    <t>FinLb-FI w/o DPF-DepReinsurer</t>
  </si>
  <si>
    <t>Evol 73</t>
  </si>
  <si>
    <t>AC=TP20212</t>
  </si>
  <si>
    <t>TP20212</t>
  </si>
  <si>
    <t>Passifs Contrats fin. sans PB discr. - Dépôt - Cptes liaison et ajust.</t>
  </si>
  <si>
    <t>PsfCttFi ss PBdiscDpt CptLs&amp;aj</t>
  </si>
  <si>
    <t>Financial liabilities - FI without DPF - Deposit - Liaison accounts &amp; adjustments</t>
  </si>
  <si>
    <t>Financial liabilities - Deposit - FI without DPF - Liaison accounts &amp; adjustments</t>
  </si>
  <si>
    <t>FinLb-FI w/oDPF-Dps LsnAct&amp;Adj</t>
  </si>
  <si>
    <t>changement de hierarchie</t>
  </si>
  <si>
    <t>AC=P3820000L</t>
  </si>
  <si>
    <t>P3820000L</t>
  </si>
  <si>
    <t>Passifs Contrats fin. sans PB discr.- Dépôt - Liaison</t>
  </si>
  <si>
    <t>PsfCtatFin ss Pbdisc Dept Lsn</t>
  </si>
  <si>
    <t>FI without DPF - Deposit - Liaison accounts</t>
  </si>
  <si>
    <t>FI without DPF - Déposit - Liaison accounts</t>
  </si>
  <si>
    <t>FinLb-FI w/o DPF-Dpst- Lsn Act</t>
  </si>
  <si>
    <t>P3820000AJ</t>
  </si>
  <si>
    <t>Passifs Contrats fin. sans PB discr.- Dépôt - Ajust.</t>
  </si>
  <si>
    <t>PsfCtatFin ss Pbdisc Dept Ajus</t>
  </si>
  <si>
    <t>FI without DPF - Deposit - Adjustments</t>
  </si>
  <si>
    <t>FinLb-FI w/o DPF-Dpst- Adj Act</t>
  </si>
  <si>
    <t>AC=TP20213</t>
  </si>
  <si>
    <t>TP20213</t>
  </si>
  <si>
    <t>Passifs Contrats fin. sans PB discr.- Cptes liaison et ajust.</t>
  </si>
  <si>
    <t>PsfCttFi ss Pbdisc Cpt Ls&amp;aj</t>
  </si>
  <si>
    <t>Financial liabilities - FI without DPF - Liaison accounts &amp; adjustments</t>
  </si>
  <si>
    <t>FinLb-FI w/o DPF-LsnAccnts&amp;Adj</t>
  </si>
  <si>
    <t>AC=P3400000L</t>
  </si>
  <si>
    <t>P3400000L</t>
  </si>
  <si>
    <t>Passifs Contrats fin. sans PB discr. Liaison</t>
  </si>
  <si>
    <t>PsfCtatFin ss Pb discr  Lsn</t>
  </si>
  <si>
    <t>Financial liabilities - FI without DPF - Liaison accounts</t>
  </si>
  <si>
    <t>FinLb-FI w/o DPF - Lsn Accnts</t>
  </si>
  <si>
    <t>Evol 33 / Evol 48</t>
  </si>
  <si>
    <t>changement de hierarchien - nouvelle hiérarchie C</t>
  </si>
  <si>
    <t>AC=P3400000AJ</t>
  </si>
  <si>
    <t>P3400000AJ</t>
  </si>
  <si>
    <t>Passifs Contrats fin. sans PB discr Ajust.</t>
  </si>
  <si>
    <t>PsfCtatFin ss Pb discr  Ajus</t>
  </si>
  <si>
    <t>Financial liabilities - FI without DPF - Adjustments</t>
  </si>
  <si>
    <t>FinLb-FI w/o DPF - Adju Accnts</t>
  </si>
  <si>
    <t>changement de hierarchien - nouvelle hiérarchie D</t>
  </si>
  <si>
    <t>AC=TP203</t>
  </si>
  <si>
    <t>TP203</t>
  </si>
  <si>
    <t>Passifs relatifs à des contrats de réassurance</t>
  </si>
  <si>
    <t xml:space="preserve">Pssf relatifs à ctrats réassu </t>
  </si>
  <si>
    <t>Liabilities related to reinsurance contracts</t>
  </si>
  <si>
    <t>Liab related to reins contr</t>
  </si>
  <si>
    <t>Evol 65</t>
  </si>
  <si>
    <t>Recodif</t>
  </si>
  <si>
    <t>AC=TP2032</t>
  </si>
  <si>
    <t>TP2022TP2032</t>
  </si>
  <si>
    <r>
      <rPr>
        <b/>
        <strike/>
        <sz val="10"/>
        <color rgb="FFFF0000"/>
        <rFont val="Calibri"/>
        <family val="2"/>
        <scheme val="minor"/>
      </rPr>
      <t>TP2022</t>
    </r>
    <r>
      <rPr>
        <b/>
        <sz val="10"/>
        <color rgb="FF003366"/>
        <rFont val="Calibri"/>
        <family val="2"/>
        <scheme val="minor"/>
      </rPr>
      <t>TP2032</t>
    </r>
  </si>
  <si>
    <t>Part des réassureurs dans les Actifs relatifs aux contrats d'ass. - Modèles BBA et VFA</t>
  </si>
  <si>
    <t>Part Réassu-ActCtatAss-BBA VFA</t>
  </si>
  <si>
    <t>Reinsurer's share in insurance contracts assets - BBA and VFA models</t>
  </si>
  <si>
    <t>BBA&amp;VFA-ReIns sh Ins ctct asst</t>
  </si>
  <si>
    <t>AC=TP20321</t>
  </si>
  <si>
    <t>TP20221TP20321</t>
  </si>
  <si>
    <r>
      <rPr>
        <b/>
        <strike/>
        <sz val="10"/>
        <color rgb="FFFF0000"/>
        <rFont val="Calibri"/>
        <family val="2"/>
        <scheme val="minor"/>
      </rPr>
      <t>TP20221</t>
    </r>
    <r>
      <rPr>
        <b/>
        <sz val="10"/>
        <color rgb="FF003366"/>
        <rFont val="Calibri"/>
        <family val="2"/>
        <scheme val="minor"/>
      </rPr>
      <t>TP20321</t>
    </r>
  </si>
  <si>
    <t>Part des réassureurs dans les Actifs relatifs aux contrats d'ass. - Modèle BBA</t>
  </si>
  <si>
    <t>PartRéassu-ActfsCtatAssu-BBA</t>
  </si>
  <si>
    <t>Reinsurer's share in insurance contracts assets - BBA model</t>
  </si>
  <si>
    <t>BBA-ReIns sh in Ins ctc asst</t>
  </si>
  <si>
    <t>TP202211TP203211</t>
  </si>
  <si>
    <r>
      <rPr>
        <b/>
        <strike/>
        <sz val="10"/>
        <color rgb="FFFF0000"/>
        <rFont val="Calibri"/>
        <family val="2"/>
        <scheme val="minor"/>
      </rPr>
      <t>TP202211</t>
    </r>
    <r>
      <rPr>
        <b/>
        <sz val="10"/>
        <color rgb="FF003366"/>
        <rFont val="Calibri"/>
        <family val="2"/>
        <scheme val="minor"/>
      </rPr>
      <t>TP203211</t>
    </r>
  </si>
  <si>
    <t>BBA-Actif-Prov Technique BE</t>
  </si>
  <si>
    <t>L-C-3355 - Part des réassureurs dans les passifs relatifs aux contrats d'ass. - Modèle BBA et VFA</t>
  </si>
  <si>
    <t>Reinsurer's share in insurance contracts assets - BBA model - technical reserve BE</t>
  </si>
  <si>
    <t>BBA-ReIns sh in Ins-Tech RsvBE</t>
  </si>
  <si>
    <t>L-C-3355 - Reinsurer's share in insurance contracts liabilities - BBA and VFA models</t>
  </si>
  <si>
    <t>BBA-Actf-PrvTechBE couv rest</t>
  </si>
  <si>
    <t>Reinsurer's share in insurance contracts assets - BBA model - technical reserve BE for remaining coverage</t>
  </si>
  <si>
    <t>BBA-ReIns-TechRsvBE RemCvg</t>
  </si>
  <si>
    <t>Evol 19 / Evol 65 / Evol 71</t>
  </si>
  <si>
    <t>Chgmt hiérarchie</t>
  </si>
  <si>
    <t>BBA-Actf-PrvTechBE Sinistres</t>
  </si>
  <si>
    <t>Reinsurer's share in insurance contracts assets - BBA model - technical reserve BE for incurred claims</t>
  </si>
  <si>
    <t>BBA-ReIns-TechRsvBE IncurClms</t>
  </si>
  <si>
    <t>Evol 65 / Evol 71</t>
  </si>
  <si>
    <r>
      <t xml:space="preserve">Part cédée - Actifs Contrats d'ass. - BBA - Provisions techniques BE </t>
    </r>
    <r>
      <rPr>
        <sz val="10"/>
        <color rgb="FF00B050"/>
        <rFont val="Calibri"/>
        <family val="2"/>
        <scheme val="minor"/>
      </rPr>
      <t>pour couverture restante</t>
    </r>
    <r>
      <rPr>
        <sz val="10"/>
        <rFont val="Calibri"/>
        <family val="2"/>
        <scheme val="minor"/>
      </rPr>
      <t xml:space="preserve"> - Non actuariel</t>
    </r>
  </si>
  <si>
    <t>BBA-Actf-Prv t BE-CR -nn actu</t>
  </si>
  <si>
    <t>Reinsurer's share in insurance contracts assets - BBA model - Non actuarial</t>
  </si>
  <si>
    <t>BBA-ReIns sh Ins ctct-Non Actu</t>
  </si>
  <si>
    <t>Evol 24 / Evol 65 / evol 83</t>
  </si>
  <si>
    <r>
      <t xml:space="preserve">Part cédée - Actifs Contrats d'ass. - BBA - Provisions techniques BE  </t>
    </r>
    <r>
      <rPr>
        <sz val="10"/>
        <color rgb="FF00B050"/>
        <rFont val="Calibri"/>
        <family val="2"/>
        <scheme val="minor"/>
      </rPr>
      <t xml:space="preserve">pour sinistres survenus  </t>
    </r>
    <r>
      <rPr>
        <sz val="10"/>
        <rFont val="Calibri"/>
        <family val="2"/>
        <scheme val="minor"/>
      </rPr>
      <t>- Non actuariel</t>
    </r>
  </si>
  <si>
    <t>BBA-Actf-Prv t BE-SS-nn actu</t>
  </si>
  <si>
    <t>Reinsurer's share in insurance contracts assets - BBA model - Technical Reserves BE for claims that have occurred  - Non actuarial</t>
  </si>
  <si>
    <t>TP202212TP203212</t>
  </si>
  <si>
    <r>
      <rPr>
        <b/>
        <strike/>
        <sz val="10"/>
        <color rgb="FFFF0000"/>
        <rFont val="Calibri"/>
        <family val="2"/>
        <scheme val="minor"/>
      </rPr>
      <t>TP202212</t>
    </r>
    <r>
      <rPr>
        <b/>
        <sz val="10"/>
        <color rgb="FF003366"/>
        <rFont val="Calibri"/>
        <family val="2"/>
        <scheme val="minor"/>
      </rPr>
      <t>TP203212</t>
    </r>
  </si>
  <si>
    <t>BBA-Actif d'ass- Ajust Risque</t>
  </si>
  <si>
    <t>Reinsurer's share in insurance contacts assets - BBA model - Risk adjustment</t>
  </si>
  <si>
    <t>BBA-Re Ins sh in Ins-Risk Adj</t>
  </si>
  <si>
    <t>BBA-Actf-Ajmt Rsq couv rest</t>
  </si>
  <si>
    <t>Reinsurer's share in insurance contacts assets - BBA model - Risk adjustment for remaining coverage</t>
  </si>
  <si>
    <t>BBA-ReIns-Risk Adj for RemCvg</t>
  </si>
  <si>
    <t>BBA-Actf-Ajmt Rsq sinistres</t>
  </si>
  <si>
    <t>Reinsurer's share in insurance contacts assets - BBA model - Risk adjustements for incurred claims</t>
  </si>
  <si>
    <t>BBA-ReIns-Risk adju IncurClaim</t>
  </si>
  <si>
    <t>Evol 28 / Evol 65 / Evol 71</t>
  </si>
  <si>
    <t>TP202213TP203213</t>
  </si>
  <si>
    <r>
      <rPr>
        <b/>
        <strike/>
        <sz val="10"/>
        <color rgb="FFFF0000"/>
        <rFont val="Calibri"/>
        <family val="2"/>
        <scheme val="minor"/>
      </rPr>
      <t>TP202213</t>
    </r>
    <r>
      <rPr>
        <b/>
        <sz val="10"/>
        <color rgb="FF003366"/>
        <rFont val="Calibri"/>
        <family val="2"/>
        <scheme val="minor"/>
      </rPr>
      <t>TP203213</t>
    </r>
  </si>
  <si>
    <t>Part cédée - Actifs Contrats d'ass. - BBA - Marge sur services contractuels</t>
  </si>
  <si>
    <t>BBA-Actif contrat d'ass-CSM</t>
  </si>
  <si>
    <t>Reinsurer's share in insurance contacts Assets - BBA model - CSM</t>
  </si>
  <si>
    <t>BBA-Re Ins sh in Ins-CSM</t>
  </si>
  <si>
    <t>BBA-Actif-CSM couv rest</t>
  </si>
  <si>
    <t>BBA-ReIns-CSM for remainng Cvg</t>
  </si>
  <si>
    <t>AC=TP20322</t>
  </si>
  <si>
    <t>TP20222TP20322</t>
  </si>
  <si>
    <r>
      <rPr>
        <b/>
        <strike/>
        <sz val="10"/>
        <color rgb="FFFF0000"/>
        <rFont val="Calibri"/>
        <family val="2"/>
        <scheme val="minor"/>
      </rPr>
      <t>TP20222</t>
    </r>
    <r>
      <rPr>
        <b/>
        <sz val="10"/>
        <color rgb="FF003366"/>
        <rFont val="Calibri"/>
        <family val="2"/>
        <scheme val="minor"/>
      </rPr>
      <t>TP20322</t>
    </r>
  </si>
  <si>
    <t>Part des réassureurs dans les Actifs relatifs aux contrats d'ass. - Modèle VFA</t>
  </si>
  <si>
    <t>PartRéassu-ActfsCtatsAssu-VFA</t>
  </si>
  <si>
    <t>Reinsurer's share in insurance contracts assets - VFA model</t>
  </si>
  <si>
    <t>VFA model - ReIns sh in Ins</t>
  </si>
  <si>
    <t>TP202221TP203221</t>
  </si>
  <si>
    <r>
      <rPr>
        <b/>
        <strike/>
        <sz val="10"/>
        <color rgb="FFFF0000"/>
        <rFont val="Calibri"/>
        <family val="2"/>
        <scheme val="minor"/>
      </rPr>
      <t>TP202221</t>
    </r>
    <r>
      <rPr>
        <b/>
        <sz val="10"/>
        <color rgb="FF003366"/>
        <rFont val="Calibri"/>
        <family val="2"/>
        <scheme val="minor"/>
      </rPr>
      <t>TP203221</t>
    </r>
  </si>
  <si>
    <t>Part cédée - Actifs Contrats d'ass. - VFA - Provisions techniques BE</t>
  </si>
  <si>
    <t>VFA-Actif-Prov technique BE</t>
  </si>
  <si>
    <t>Reinsurer's share in insurance contracts assets - VFA model - technical reserve BE</t>
  </si>
  <si>
    <t>VFA-ReIns sh in Ins-TechRsv BE</t>
  </si>
  <si>
    <t>VFA-Actf-PrvTechBE couv rest</t>
  </si>
  <si>
    <t>Reinsurer's share in insurance contracts assets - VFA model - technical reserve BE for remaining coverage</t>
  </si>
  <si>
    <t>VFA-ReIns-TechRsvBE RemCvg</t>
  </si>
  <si>
    <t>VFA-Actf-PrvTechBE sinistres</t>
  </si>
  <si>
    <t>Reinsurer's share in insurance contracts assets - VFA model - technical reserve BE for incurred claims</t>
  </si>
  <si>
    <t>VFA-ReIns-TechRsvBE IncurClaim</t>
  </si>
  <si>
    <r>
      <t xml:space="preserve">Part cédée - Actifs Contrats d'ass. - VFA - Provisions techniques BE </t>
    </r>
    <r>
      <rPr>
        <sz val="10"/>
        <color rgb="FF00B050"/>
        <rFont val="Calibri"/>
        <family val="2"/>
        <scheme val="minor"/>
      </rPr>
      <t xml:space="preserve">pour couverture restante </t>
    </r>
    <r>
      <rPr>
        <sz val="10"/>
        <rFont val="Calibri"/>
        <family val="2"/>
        <scheme val="minor"/>
      </rPr>
      <t>- Non actuariel</t>
    </r>
  </si>
  <si>
    <t>VFA-Actf-Prv t BE-CR-nn actu</t>
  </si>
  <si>
    <t>Reinsurer's share in insurance contracts assets - VFA model - Non actuarial</t>
  </si>
  <si>
    <t>VFA-ReIns-Non acturial</t>
  </si>
  <si>
    <r>
      <t>Part cédée - Actifs Contrats d'ass. - VFA - Provisions techniques BE</t>
    </r>
    <r>
      <rPr>
        <sz val="10"/>
        <color rgb="FF00B050"/>
        <rFont val="Calibri"/>
        <family val="2"/>
        <scheme val="minor"/>
      </rPr>
      <t xml:space="preserve">  pour sinistres survenus </t>
    </r>
    <r>
      <rPr>
        <sz val="10"/>
        <rFont val="Calibri"/>
        <family val="2"/>
        <scheme val="minor"/>
      </rPr>
      <t xml:space="preserve"> - Non actuariel</t>
    </r>
  </si>
  <si>
    <t>VFA-Actf-Prv t BE-SS-nn actu</t>
  </si>
  <si>
    <t>Reinsurer's share in insurance contracts assets - VFA model -Technical Reserves BE for claims that have occurred - Non actuarial</t>
  </si>
  <si>
    <t xml:space="preserve"> evol 83</t>
  </si>
  <si>
    <t>TP202222TP203222</t>
  </si>
  <si>
    <r>
      <rPr>
        <b/>
        <strike/>
        <sz val="10"/>
        <color rgb="FFFF0000"/>
        <rFont val="Calibri"/>
        <family val="2"/>
        <scheme val="minor"/>
      </rPr>
      <t>TP202222</t>
    </r>
    <r>
      <rPr>
        <b/>
        <sz val="10"/>
        <color rgb="FF003366"/>
        <rFont val="Calibri"/>
        <family val="2"/>
        <scheme val="minor"/>
      </rPr>
      <t>TP203222</t>
    </r>
  </si>
  <si>
    <t>VFA-Actif-Ajustement Risque</t>
  </si>
  <si>
    <t>Reinsurer's share in insurance contacts assets - VFA model - Risk adjustment</t>
  </si>
  <si>
    <t>VFA-ReIns sh in Ins-Risk Adj</t>
  </si>
  <si>
    <t>VFA-Actf-Ajmt Rsq couv rest</t>
  </si>
  <si>
    <t>Reinsurer's share in insurance contacts assets - VFA model - Risk adjustment for remaining coverage</t>
  </si>
  <si>
    <t>VFA-ReIns-Risk Adj Remain Cvg</t>
  </si>
  <si>
    <t>VFA-Actf-Ajmt Rsq sinistres</t>
  </si>
  <si>
    <t>Reinsurer's share in insurance contacts assets - VFA model - Risk adjustements for incurred claims</t>
  </si>
  <si>
    <t>VFA-ReIns-RskAdju IncurClaims</t>
  </si>
  <si>
    <t>TP202223TP203223</t>
  </si>
  <si>
    <r>
      <rPr>
        <b/>
        <strike/>
        <sz val="10"/>
        <color rgb="FFFF0000"/>
        <rFont val="Calibri"/>
        <family val="2"/>
        <scheme val="minor"/>
      </rPr>
      <t>TP202223</t>
    </r>
    <r>
      <rPr>
        <b/>
        <sz val="10"/>
        <color rgb="FF003366"/>
        <rFont val="Calibri"/>
        <family val="2"/>
        <scheme val="minor"/>
      </rPr>
      <t>TP203223</t>
    </r>
  </si>
  <si>
    <t>Part cédée - Actifs Contrats d'ass. - VFA - Marge sur services contractuels</t>
  </si>
  <si>
    <t>VFA-Actif contrat d'ass-CSM</t>
  </si>
  <si>
    <t>Reinsurer's share in insurance contacts Assets - VFA model - CSM</t>
  </si>
  <si>
    <t>VFA-ReIns sh in Ins ctct-CSM</t>
  </si>
  <si>
    <t>VFA-Actif d'ass-CSM Couv Rest</t>
  </si>
  <si>
    <t>VFA-ReIns-CSM for Remain Cvg</t>
  </si>
  <si>
    <t>AC=TP2033</t>
  </si>
  <si>
    <t>TP2023TP2033</t>
  </si>
  <si>
    <r>
      <rPr>
        <b/>
        <strike/>
        <sz val="10"/>
        <color rgb="FFFF0000"/>
        <rFont val="Calibri"/>
        <family val="2"/>
        <scheme val="minor"/>
      </rPr>
      <t>TP2023</t>
    </r>
    <r>
      <rPr>
        <b/>
        <sz val="10"/>
        <color rgb="FF003366"/>
        <rFont val="Calibri"/>
        <family val="2"/>
        <scheme val="minor"/>
      </rPr>
      <t>TP2033</t>
    </r>
  </si>
  <si>
    <t>Part des réassureurs dans les Actifs relatifs aux contrats d'ass. - Modèle PAA</t>
  </si>
  <si>
    <t>PartRéassu-ActfsCtatsAssu-PAA</t>
  </si>
  <si>
    <t>Reinsurer's share in insurance contacts Assets - PAA model</t>
  </si>
  <si>
    <t>PAA model - ReIns</t>
  </si>
  <si>
    <t>TP20231TP20331</t>
  </si>
  <si>
    <r>
      <rPr>
        <b/>
        <strike/>
        <sz val="10"/>
        <color rgb="FFFF0000"/>
        <rFont val="Calibri"/>
        <family val="2"/>
        <scheme val="minor"/>
      </rPr>
      <t>TP20231</t>
    </r>
    <r>
      <rPr>
        <b/>
        <sz val="10"/>
        <color rgb="FF003366"/>
        <rFont val="Calibri"/>
        <family val="2"/>
        <scheme val="minor"/>
      </rPr>
      <t>TP20331</t>
    </r>
  </si>
  <si>
    <t>TP202311TP203311</t>
  </si>
  <si>
    <r>
      <rPr>
        <b/>
        <strike/>
        <sz val="10"/>
        <color rgb="FFFF0000"/>
        <rFont val="Calibri"/>
        <family val="2"/>
        <scheme val="minor"/>
      </rPr>
      <t>TP202311</t>
    </r>
    <r>
      <rPr>
        <b/>
        <sz val="10"/>
        <color rgb="FF003366"/>
        <rFont val="Calibri"/>
        <family val="2"/>
        <scheme val="minor"/>
      </rPr>
      <t>TP203311</t>
    </r>
  </si>
  <si>
    <t>PAA-Actif-Prov technique BE</t>
  </si>
  <si>
    <t>Reinsurer's share in insurance contacts Assets - PAA model - Technical reserves BE</t>
  </si>
  <si>
    <t>PAA-ReIns sh in Ins-Tech RsvBE</t>
  </si>
  <si>
    <t>PAA-Actf-PrvTechBE couv rest</t>
  </si>
  <si>
    <t>L-C-3360 - Part des réassureurs dans les passifs relatifs aux contrats d'ass. - Modèle PAA</t>
  </si>
  <si>
    <t>Reinsurer's share in insurance contacts Assets - PAA model - Technical reserves BE for remaining coverage</t>
  </si>
  <si>
    <t>PAA-ReIns-TechRsvBE RemCvg</t>
  </si>
  <si>
    <t>L-C-3360 - Reinsurer's share in insurance contacts liabilities - PAA model</t>
  </si>
  <si>
    <t>Evol 19 / Evol 28 / Evol 65 / Evol 71</t>
  </si>
  <si>
    <t>PAA-Actf-PrvTechBE sinistres</t>
  </si>
  <si>
    <t>Reinsurer's share in insurance contacts Assets - PAA - Tech Reserves BE for remaining coverage - Incurred claims Assets</t>
  </si>
  <si>
    <t>PAA-RInsTecRsvBERCvg-IncClmAst</t>
  </si>
  <si>
    <t>Evol 40 / Evol 65 / Evol 71</t>
  </si>
  <si>
    <r>
      <t xml:space="preserve">Part cédée - Actifs Contrats d'ass. - PAA - Provisions techniques BE </t>
    </r>
    <r>
      <rPr>
        <sz val="10"/>
        <color rgb="FF00B050"/>
        <rFont val="Calibri"/>
        <family val="2"/>
        <scheme val="minor"/>
      </rPr>
      <t xml:space="preserve"> pour couverture restante</t>
    </r>
    <r>
      <rPr>
        <sz val="10"/>
        <rFont val="Calibri"/>
        <family val="2"/>
        <scheme val="minor"/>
      </rPr>
      <t xml:space="preserve"> - Non actuariel</t>
    </r>
  </si>
  <si>
    <t>PAA-Actf-Prv t BE-CR -nn actu</t>
  </si>
  <si>
    <t>Reinsurer's share in insurance contacts Assets - PAA model - Non actuarial</t>
  </si>
  <si>
    <t>PAA-ReIns-Non actuarial</t>
  </si>
  <si>
    <r>
      <t xml:space="preserve">Part cédée - Actifs Contrats d'ass. - PAA - Provisions techniques BE  </t>
    </r>
    <r>
      <rPr>
        <sz val="10"/>
        <color rgb="FF00B050"/>
        <rFont val="Calibri"/>
        <family val="2"/>
        <scheme val="minor"/>
      </rPr>
      <t>pour sinistres survenus</t>
    </r>
    <r>
      <rPr>
        <sz val="10"/>
        <rFont val="Calibri"/>
        <family val="2"/>
        <scheme val="minor"/>
      </rPr>
      <t xml:space="preserve"> - Non actuariel</t>
    </r>
  </si>
  <si>
    <t>PAA-Actf-Prv t BE-SS-nn actu</t>
  </si>
  <si>
    <t>Reinsurer's share in insurance contacts Assets - PAA model - Technical Reserves BE for claims that have occurred -  Non actuarial</t>
  </si>
  <si>
    <t>TP202312TP203312</t>
  </si>
  <si>
    <r>
      <rPr>
        <b/>
        <strike/>
        <sz val="10"/>
        <color rgb="FFFF0000"/>
        <rFont val="Calibri"/>
        <family val="2"/>
        <scheme val="minor"/>
      </rPr>
      <t>TP202312</t>
    </r>
    <r>
      <rPr>
        <b/>
        <sz val="10"/>
        <color rgb="FF003366"/>
        <rFont val="Calibri"/>
        <family val="2"/>
        <scheme val="minor"/>
      </rPr>
      <t>TP203312</t>
    </r>
  </si>
  <si>
    <t>PAA-Actif ass-Ajust Risque</t>
  </si>
  <si>
    <t>Reinsurer's share in insurance contacts Assets - PAA model - Risk adjustment</t>
  </si>
  <si>
    <t>PAA-ReIns sh in Ins-Risk Adj</t>
  </si>
  <si>
    <t>PAA-Actf-Ajmt Rsq sinistres</t>
  </si>
  <si>
    <t>Reinsurer's share in insurance contacts Assets - PAA model - Risk adjustment on Incurred claims</t>
  </si>
  <si>
    <t>PAA-ReIns-Risk Adj IncurClaims</t>
  </si>
  <si>
    <t>AC=TP204</t>
  </si>
  <si>
    <t>TP203TP204</t>
  </si>
  <si>
    <r>
      <rPr>
        <b/>
        <strike/>
        <sz val="10"/>
        <color rgb="FFFF0000"/>
        <rFont val="Calibri"/>
        <family val="2"/>
        <scheme val="minor"/>
      </rPr>
      <t>TP203</t>
    </r>
    <r>
      <rPr>
        <b/>
        <sz val="10"/>
        <color rgb="FF003366"/>
        <rFont val="Calibri"/>
        <family val="2"/>
        <scheme val="minor"/>
      </rPr>
      <t>TP204</t>
    </r>
  </si>
  <si>
    <t>Instru dériv séparés sur ctrat</t>
  </si>
  <si>
    <t>Embedded derivatives</t>
  </si>
  <si>
    <t>AC=P33810000</t>
  </si>
  <si>
    <t>P33810000</t>
  </si>
  <si>
    <t>Instruments dérivés séparés s/ contrats</t>
  </si>
  <si>
    <t>Instru dériv séparés s/ ctrats</t>
  </si>
  <si>
    <t>AC=TP30</t>
  </si>
  <si>
    <t>TP30</t>
  </si>
  <si>
    <t>Prov pour Risques et charges</t>
  </si>
  <si>
    <t>L-C-3320 - Provisions pour risques et charges et Dettes subordonnées</t>
  </si>
  <si>
    <t>Provisions for liabilities and charges</t>
  </si>
  <si>
    <t>Prov for Liab and charges</t>
  </si>
  <si>
    <t>L-C-3320 - Provisions for liabilities and charges and Subordinated debts</t>
  </si>
  <si>
    <t>AC=TP301</t>
  </si>
  <si>
    <t>TP301</t>
  </si>
  <si>
    <t>AC=P15200000</t>
  </si>
  <si>
    <t>P15200000</t>
  </si>
  <si>
    <t>Prov. pour engagements sociaux</t>
  </si>
  <si>
    <t>Provisions for employee benefit obligations</t>
  </si>
  <si>
    <t>Prov employee benefit oblign</t>
  </si>
  <si>
    <t>P15300000</t>
  </si>
  <si>
    <t>Prov. pour litiges</t>
  </si>
  <si>
    <t>Provisions for claims and litigation</t>
  </si>
  <si>
    <t>Prov for claims and litigation</t>
  </si>
  <si>
    <t>IG NR</t>
  </si>
  <si>
    <t>AC=P15500000</t>
  </si>
  <si>
    <t>P15500000</t>
  </si>
  <si>
    <t>Prov. pour impôts</t>
  </si>
  <si>
    <t>Provisions for taxes</t>
  </si>
  <si>
    <t>AC=P15800000</t>
  </si>
  <si>
    <t>P15800000</t>
  </si>
  <si>
    <t>Autres prov. pour risques et charges</t>
  </si>
  <si>
    <t>Autrs prov. -Rsqs et charges</t>
  </si>
  <si>
    <t>Provisions for other liabilities and charges</t>
  </si>
  <si>
    <t>Prov for other Liab &amp; charges</t>
  </si>
  <si>
    <t>AC=TP40</t>
  </si>
  <si>
    <t>TP40</t>
  </si>
  <si>
    <t>Financing liabilities</t>
  </si>
  <si>
    <t>TP401</t>
  </si>
  <si>
    <t>Subordinated debt</t>
  </si>
  <si>
    <t>TP4011</t>
  </si>
  <si>
    <t>Dettes subordonnées - Coût amorti</t>
  </si>
  <si>
    <t>Dettes sub-Coût amorti</t>
  </si>
  <si>
    <t>Subordinated debt - Amortised cost</t>
  </si>
  <si>
    <t>Sub debt-Amortised cost</t>
  </si>
  <si>
    <t>AC=P16011000</t>
  </si>
  <si>
    <t>P16011000</t>
  </si>
  <si>
    <t>Dettes subordonnées à terme - Coût amorti</t>
  </si>
  <si>
    <t>D.sub à terme-Coût amorti</t>
  </si>
  <si>
    <t>Dated subordinated debt - Amortised cost</t>
  </si>
  <si>
    <t>Dated Sub debt-Amortised cost</t>
  </si>
  <si>
    <t>AC=P16012000</t>
  </si>
  <si>
    <t>P16012000</t>
  </si>
  <si>
    <t>Dettes subordonnées perpétuelles - Coût amorti</t>
  </si>
  <si>
    <t>D.sub perpétuelles-Coût amorti</t>
  </si>
  <si>
    <t>Undated (perpetual) subordinated debt - Amortised cost</t>
  </si>
  <si>
    <t>Undated(perpetual) SubDebt-Amc</t>
  </si>
  <si>
    <t>AC=TP4012</t>
  </si>
  <si>
    <t>TP4012</t>
  </si>
  <si>
    <t>D.subordonnées-JV/résultat</t>
  </si>
  <si>
    <t>Subordinated debt - FV through P&amp;L</t>
  </si>
  <si>
    <t>Sub debt-FV through P&amp;L</t>
  </si>
  <si>
    <t>AC=P16000000T</t>
  </si>
  <si>
    <t>P16000000T</t>
  </si>
  <si>
    <t>Dettes subordonnées à terme - juste valeur par résultat</t>
  </si>
  <si>
    <t>D.sub à terme-JV/résultat</t>
  </si>
  <si>
    <t>Dated subordinated debt - FV through P&amp;L</t>
  </si>
  <si>
    <t>Dated Sub debt-FV through P&amp;L</t>
  </si>
  <si>
    <t>AC=P16010000T</t>
  </si>
  <si>
    <t>P16010000T</t>
  </si>
  <si>
    <t>Dettes subordonnées perpétuelles - juste valeur par résultat</t>
  </si>
  <si>
    <t>D.sub perpétuelles-JV/rés</t>
  </si>
  <si>
    <t>Undated (perpetual) subordinated debt - FV through P&amp;L</t>
  </si>
  <si>
    <t>Undated (perp) SubDebt-FV P&amp;L</t>
  </si>
  <si>
    <t>AC=P16000000O</t>
  </si>
  <si>
    <t>P16000000O</t>
  </si>
  <si>
    <t>Dettes subordonnées à terme - JV par résultat sur option</t>
  </si>
  <si>
    <t>D.sub à terme-JV/rés sur optn</t>
  </si>
  <si>
    <t>Dated subordinated debt - FVO</t>
  </si>
  <si>
    <t>AC=P16010000O</t>
  </si>
  <si>
    <t>P16010000O</t>
  </si>
  <si>
    <t>Dettes subordonnées perpétuelles - JV par résultat sur option</t>
  </si>
  <si>
    <t>D.sub perpét-JV/rés sur optn</t>
  </si>
  <si>
    <t>Undated (perpetual) subordinated debt - FVO</t>
  </si>
  <si>
    <t>Undated (perp) Sub debt-FVO</t>
  </si>
  <si>
    <t>TP4013</t>
  </si>
  <si>
    <t>Dettes subordonnées couvertes par CFH</t>
  </si>
  <si>
    <t>D.sub couvertes par CFH</t>
  </si>
  <si>
    <t>Subordinated debt hedged by cash flow hedges</t>
  </si>
  <si>
    <t>Sub debt hedged by CF hedges</t>
  </si>
  <si>
    <t>AC=P16016000</t>
  </si>
  <si>
    <t>P16016000</t>
  </si>
  <si>
    <t>Dettes subordonnées à terme couvertes par CFH</t>
  </si>
  <si>
    <t>D.sub à terme couvertes/CFH</t>
  </si>
  <si>
    <t>Dated subordinated debt hedged by cash flow hedges</t>
  </si>
  <si>
    <t>Dated SubDebt hedged by CF hdg</t>
  </si>
  <si>
    <t>AC=P16017000</t>
  </si>
  <si>
    <t>P16017000</t>
  </si>
  <si>
    <t>Dettes subordonnées perpétuelles couvertes par CFH</t>
  </si>
  <si>
    <t>D.sub perpét couvertes/CFH</t>
  </si>
  <si>
    <t>Undated (perpetual) subordinated debt hedged by cash flow hedges</t>
  </si>
  <si>
    <t>Undat(perp) SbDebt hdgd-CF hdg</t>
  </si>
  <si>
    <t>AC=TP402</t>
  </si>
  <si>
    <t>TP402</t>
  </si>
  <si>
    <t>Autres emprunts et dettes assimilées</t>
  </si>
  <si>
    <t>Autrs emprnts et dettes asmlés</t>
  </si>
  <si>
    <t>Other financing liabilities</t>
  </si>
  <si>
    <t>AC=P16800000</t>
  </si>
  <si>
    <t>P16800000</t>
  </si>
  <si>
    <t>Autres emprunts et dettes assimilées auprès des entpses liées</t>
  </si>
  <si>
    <t>Autrs emp D. asmilés ent liées</t>
  </si>
  <si>
    <t>Other financing liabilities with controlled entities</t>
  </si>
  <si>
    <t>Other FinLb with CtrldEntities</t>
  </si>
  <si>
    <t>AC=TP403</t>
  </si>
  <si>
    <t>TP403</t>
  </si>
  <si>
    <t>Dettes de financement - Cptes liaison et ajust.</t>
  </si>
  <si>
    <t>D.fincmnt-Cptes lsn et ajust.</t>
  </si>
  <si>
    <t>Financing liabilities - Liaison &amp; adjustments</t>
  </si>
  <si>
    <t>Financing Liab-Liaison &amp; Adj</t>
  </si>
  <si>
    <t>AC=P1600000L</t>
  </si>
  <si>
    <t>P1600000L</t>
  </si>
  <si>
    <t>Dettes de financement - Liaison</t>
  </si>
  <si>
    <t>Dettes financement-Liaison</t>
  </si>
  <si>
    <t>Financing liabilities - Liaison accounts</t>
  </si>
  <si>
    <t>Financing Lb-Liaison accounts</t>
  </si>
  <si>
    <t>AC=P1600000AJ</t>
  </si>
  <si>
    <t>P1600000AJ</t>
  </si>
  <si>
    <t>Dettes de financement - Ajust.</t>
  </si>
  <si>
    <t>Financing liabilities - Adjustments</t>
  </si>
  <si>
    <t>Financing Liab-Adj</t>
  </si>
  <si>
    <t>AC=TP50</t>
  </si>
  <si>
    <t>TP50</t>
  </si>
  <si>
    <t>Other liabilities</t>
  </si>
  <si>
    <t>TP501</t>
  </si>
  <si>
    <t>Dettes d'exploitation représentées par des titres</t>
  </si>
  <si>
    <t>D.Expltn représentées/titres</t>
  </si>
  <si>
    <t>L-C-3330 - Autres passifs</t>
  </si>
  <si>
    <t>Operating liabilities represented by securities</t>
  </si>
  <si>
    <t>Operatng Lb rep by securities</t>
  </si>
  <si>
    <t>L-C-3330 - Other liabilities</t>
  </si>
  <si>
    <t>AC=P46200000</t>
  </si>
  <si>
    <t>P46200000</t>
  </si>
  <si>
    <t>AC=P46200001</t>
  </si>
  <si>
    <t>P46200001</t>
  </si>
  <si>
    <t>Dettes d'exploitation représentées par un titre - Emprunts obligataires - Valeur nominale</t>
  </si>
  <si>
    <t>AC=P46200002</t>
  </si>
  <si>
    <t>P46200002</t>
  </si>
  <si>
    <t>Dettes d'exploitation représentées par un titre - Emprunts obligataires - Dettes rattachées</t>
  </si>
  <si>
    <t>AC=P46210000</t>
  </si>
  <si>
    <t>P46210000</t>
  </si>
  <si>
    <t>Dettes d'exploitation représentées par des titres - ICNE</t>
  </si>
  <si>
    <t>AC=TP502</t>
  </si>
  <si>
    <t>TP502</t>
  </si>
  <si>
    <t>Dettes d'exploitation envers les entreprises du secteur bancaire</t>
  </si>
  <si>
    <t>D.Expltn envers ent Sec.banc.</t>
  </si>
  <si>
    <t>Operating liabilities due to banks</t>
  </si>
  <si>
    <t>Operating Lb due to banks</t>
  </si>
  <si>
    <t>AC=P16013000</t>
  </si>
  <si>
    <t>P16013000</t>
  </si>
  <si>
    <t>Emprunts auprès des établissements de crédit</t>
  </si>
  <si>
    <t>Emprts auprès établ.de crédit</t>
  </si>
  <si>
    <t>Borrowings with credit institutions</t>
  </si>
  <si>
    <t>Borrowings with credit instit</t>
  </si>
  <si>
    <t>AC=P52200000</t>
  </si>
  <si>
    <t>P52200000</t>
  </si>
  <si>
    <t>Bank overdrafts</t>
  </si>
  <si>
    <t>AC=TP503</t>
  </si>
  <si>
    <t>TP503</t>
  </si>
  <si>
    <t>Dettes d'impôts exigibles</t>
  </si>
  <si>
    <t>Current taxes payable</t>
  </si>
  <si>
    <t>AC=TP5031</t>
  </si>
  <si>
    <t>TP5031</t>
  </si>
  <si>
    <t>Dettes d'impôts exigibles s/ les sociétés</t>
  </si>
  <si>
    <t>D.d'impts exigibles s/Sociétés</t>
  </si>
  <si>
    <t>Current income tax payable</t>
  </si>
  <si>
    <t>P44400000</t>
  </si>
  <si>
    <t>AC=TP5032</t>
  </si>
  <si>
    <t>TP5032</t>
  </si>
  <si>
    <t>Dettes d'intégration fiscale - Groupe</t>
  </si>
  <si>
    <t>D.d'intégration fiscale-Grp</t>
  </si>
  <si>
    <t>Group relief liabilities</t>
  </si>
  <si>
    <t>AC=P44410000</t>
  </si>
  <si>
    <t>P44410000</t>
  </si>
  <si>
    <t>Dettes d'intégration fiscale</t>
  </si>
  <si>
    <t>AC=TP5033</t>
  </si>
  <si>
    <t>TP5033</t>
  </si>
  <si>
    <t>Intégration fiscale - Cptes liaison et ajust.</t>
  </si>
  <si>
    <t>Intégr fisc Cptes lsn &amp; ajust.</t>
  </si>
  <si>
    <t>Group relief - Liaison accounts &amp; adjustments</t>
  </si>
  <si>
    <t>Group relief-Lsn accounts&amp;Adj</t>
  </si>
  <si>
    <t>AC=P4400000L</t>
  </si>
  <si>
    <t>P4400000L</t>
  </si>
  <si>
    <t>Intégration fiscale - Liaison</t>
  </si>
  <si>
    <t>Group relief - Liaison accounts</t>
  </si>
  <si>
    <t>Group relief-Liaison accounts</t>
  </si>
  <si>
    <t>AC=P4400000AJ</t>
  </si>
  <si>
    <t>P4400000AJ</t>
  </si>
  <si>
    <t>Intégration fiscale - Ajust.</t>
  </si>
  <si>
    <t>Group relief - Adjustments</t>
  </si>
  <si>
    <t>AC=TP504</t>
  </si>
  <si>
    <t>TP504</t>
  </si>
  <si>
    <t>Comptes courants créditeurs</t>
  </si>
  <si>
    <t>Current account advances (liabilities)</t>
  </si>
  <si>
    <t>Current account advances (Lb)</t>
  </si>
  <si>
    <t>AC=P16400000</t>
  </si>
  <si>
    <t>P16400000</t>
  </si>
  <si>
    <t>AC=TP505</t>
  </si>
  <si>
    <t>TP505</t>
  </si>
  <si>
    <t>Dettes envers les porteurs de parts d'OPCVM contrôlés</t>
  </si>
  <si>
    <t>D.vers prteur prts OPCVM ctrl</t>
  </si>
  <si>
    <t>Liabilities towards holders of units in controlled MFU</t>
  </si>
  <si>
    <t>Lb twd hldr of unt in ctrl MFU</t>
  </si>
  <si>
    <t>AC=P11911900</t>
  </si>
  <si>
    <t>P11911900</t>
  </si>
  <si>
    <t>Dettes envers les porteurs de parts d'OPCVM</t>
  </si>
  <si>
    <t>D.envers porteurs parts OPCVM</t>
  </si>
  <si>
    <t>Liabilities towards holders of MFU</t>
  </si>
  <si>
    <t>Lb towards holders of MFU</t>
  </si>
  <si>
    <t>Derivative financial instruments (liabilities)</t>
  </si>
  <si>
    <t>Derivative Fin. Instru (Lb)</t>
  </si>
  <si>
    <t>AC=TP5061</t>
  </si>
  <si>
    <t>TP5061</t>
  </si>
  <si>
    <t>Instruments dérivés passifs - Futures</t>
  </si>
  <si>
    <t>Instru dérivé Passif-Futures</t>
  </si>
  <si>
    <t>Derivative financial instruments (liabilities) - Futures</t>
  </si>
  <si>
    <t>Deriv Fin Instru (Lb)-Futures</t>
  </si>
  <si>
    <t>AC=P16921000T</t>
  </si>
  <si>
    <t>P16921000T</t>
  </si>
  <si>
    <t>Futures - Passif - Dépôts de garantie</t>
  </si>
  <si>
    <t>Ftrs-Pssf-Dépts de garantie</t>
  </si>
  <si>
    <t>Futures - Liabilities - Security deposits</t>
  </si>
  <si>
    <t>Futures-Lb-Security deposits</t>
  </si>
  <si>
    <t>AC=P16922000T</t>
  </si>
  <si>
    <t>P16922000T</t>
  </si>
  <si>
    <t>Futures - Passif - Revalo.</t>
  </si>
  <si>
    <t>Futures - Liabilities - FV adjustments</t>
  </si>
  <si>
    <t>Futures-Lb-FV Adjust</t>
  </si>
  <si>
    <t>AC=P16923000T</t>
  </si>
  <si>
    <t>P16923000T</t>
  </si>
  <si>
    <t>Futures - Passif - Soulte</t>
  </si>
  <si>
    <t>Futures - Liabilities - Equalization payments</t>
  </si>
  <si>
    <t>Futures-Lb-EqualizationPayment</t>
  </si>
  <si>
    <t>AC=P16924000T</t>
  </si>
  <si>
    <t>P16924000T</t>
  </si>
  <si>
    <t>Futures - Passif - ICNE</t>
  </si>
  <si>
    <t>Futures - Liabilities - Accrued interest</t>
  </si>
  <si>
    <t>Futures-Lb-Accrued Int</t>
  </si>
  <si>
    <t>AC=TP5062</t>
  </si>
  <si>
    <t>TP5062</t>
  </si>
  <si>
    <t>Instruments dérivés passifs - Call options</t>
  </si>
  <si>
    <t>Instru dériv Pssf-Call optn</t>
  </si>
  <si>
    <t>Derivative financial instruments (liabilities) - Call options</t>
  </si>
  <si>
    <t>DerivFinInstru (Lb)-Call optns</t>
  </si>
  <si>
    <t>AC=P16931000T</t>
  </si>
  <si>
    <t>P16931000T</t>
  </si>
  <si>
    <t>Call options - Passif - Primes</t>
  </si>
  <si>
    <t>Call options - Liabilities - Premiums</t>
  </si>
  <si>
    <t>Call options-Lb-Premiums</t>
  </si>
  <si>
    <t>AC=P16932000T</t>
  </si>
  <si>
    <t>P16932000T</t>
  </si>
  <si>
    <t>Call options - Passif - Revalo.</t>
  </si>
  <si>
    <t>Call option-Passif-Revalo.</t>
  </si>
  <si>
    <t>Call options - Liabilities - FV adjustments</t>
  </si>
  <si>
    <t>Call options-Lb-FV Adjust</t>
  </si>
  <si>
    <t>AC=P16934000T</t>
  </si>
  <si>
    <t>P16934000T</t>
  </si>
  <si>
    <t>Call options - Passif - ICNE</t>
  </si>
  <si>
    <t>Call options - Liabilities - Accrued interest</t>
  </si>
  <si>
    <t>Call options-Lb-Accrued Int</t>
  </si>
  <si>
    <t>AC=TP5063</t>
  </si>
  <si>
    <t>TP5063</t>
  </si>
  <si>
    <t>Instruments dérivés passifs - Put options</t>
  </si>
  <si>
    <t>Instru dériv Pssf-Put optn</t>
  </si>
  <si>
    <t>Derivative financial instruments (liabilities) - Put options</t>
  </si>
  <si>
    <t>Deriv FinInstru (Lb)-Put optns</t>
  </si>
  <si>
    <t>AC=P16941000T</t>
  </si>
  <si>
    <t>P16941000T</t>
  </si>
  <si>
    <t>Put options - Passif - Primes</t>
  </si>
  <si>
    <t>Put options - Liabilities - Premiums</t>
  </si>
  <si>
    <t>Put options-Lb-Premiums</t>
  </si>
  <si>
    <t>AC=P16942000T</t>
  </si>
  <si>
    <t>P16942000T</t>
  </si>
  <si>
    <t>Put options - Passif - Revalo.</t>
  </si>
  <si>
    <t>Put options - Liabilities - FV adjustments</t>
  </si>
  <si>
    <t>Put options-Lb-FV Adjust</t>
  </si>
  <si>
    <t>AC=P16944000T</t>
  </si>
  <si>
    <t>P16944000T</t>
  </si>
  <si>
    <t>Put options - Passif - ICNE</t>
  </si>
  <si>
    <t>Put options - Liabilities - Accrued interest</t>
  </si>
  <si>
    <t>Put options-Lb-Accrued Int</t>
  </si>
  <si>
    <t>AC=TP5064</t>
  </si>
  <si>
    <t>TP5064</t>
  </si>
  <si>
    <t>Instruments dérivés passifs- Swaps</t>
  </si>
  <si>
    <t>Instru dérivé Passif- Swaps</t>
  </si>
  <si>
    <t>Derivative financial instruments (liabilities) - Swaps</t>
  </si>
  <si>
    <t>Deriv Fin Instru (Lb)-Swaps</t>
  </si>
  <si>
    <t>AC=P16951000T</t>
  </si>
  <si>
    <t>P16951000T</t>
  </si>
  <si>
    <t>Swaps - Passif - Dépôts de garantie</t>
  </si>
  <si>
    <t>Swaps-Pssf-Dépts de garantie</t>
  </si>
  <si>
    <t>Swaps - Liabilities - Security deposits</t>
  </si>
  <si>
    <t>Swaps-Lb-Security deposits</t>
  </si>
  <si>
    <t>Evol 26</t>
  </si>
  <si>
    <t>AC=P16952000T</t>
  </si>
  <si>
    <t>P16952000T</t>
  </si>
  <si>
    <t>Swaps - Passif - Revalo.</t>
  </si>
  <si>
    <t>Swaps - Liabilities - FV adjustments</t>
  </si>
  <si>
    <t>Swaps-Lb-FV Adjust</t>
  </si>
  <si>
    <t>AC=P16953000T</t>
  </si>
  <si>
    <t>P16953000T</t>
  </si>
  <si>
    <t>Swaps - Passif - Soulte</t>
  </si>
  <si>
    <t>Swaps - Liabilities - Equalization payments</t>
  </si>
  <si>
    <t>Swaps-Lb-Equalization payments</t>
  </si>
  <si>
    <t>AC=P16954000T</t>
  </si>
  <si>
    <t>P16954000T</t>
  </si>
  <si>
    <t>Swaps - Passif - ICNE</t>
  </si>
  <si>
    <t>Swaps - Liabilities - Accrued interest</t>
  </si>
  <si>
    <t>Swaps-Lb-Accrued Int</t>
  </si>
  <si>
    <t>AC=TP5065</t>
  </si>
  <si>
    <t>TP5065</t>
  </si>
  <si>
    <t>Instruments dérivés passifs - Forwards</t>
  </si>
  <si>
    <t>Instru dériv Passif-Forwards</t>
  </si>
  <si>
    <t>Derivative financial instruments (liabilities) - Forwards</t>
  </si>
  <si>
    <t>Deriv Fin Instru (Lb)-Forwards</t>
  </si>
  <si>
    <t>AC=P16961000T</t>
  </si>
  <si>
    <t>P16961000T</t>
  </si>
  <si>
    <t>Forwards - Passif - Dépôts de garantie</t>
  </si>
  <si>
    <t>Fwds-Pssf-Dépts de garantie</t>
  </si>
  <si>
    <t>Forwards - Liabilities - Security deposits</t>
  </si>
  <si>
    <t>Forwards-Lb-Security deposits</t>
  </si>
  <si>
    <t>AC=P16962000T</t>
  </si>
  <si>
    <t>P16962000T</t>
  </si>
  <si>
    <t>Forwards - Passif - Revalo.</t>
  </si>
  <si>
    <t>Forwards - Liabilities - FV adjustments</t>
  </si>
  <si>
    <t>Forwards-Lb-FV Adjust</t>
  </si>
  <si>
    <t>AC=P16963000T</t>
  </si>
  <si>
    <t>P16963000T</t>
  </si>
  <si>
    <t>Forwards - Passif - Soulte</t>
  </si>
  <si>
    <t>Forwards - Liabilities - Equalization payments</t>
  </si>
  <si>
    <t>Forwards-Lb-EqualizationPaymnt</t>
  </si>
  <si>
    <t>AC=P16964000T</t>
  </si>
  <si>
    <t>P16964000T</t>
  </si>
  <si>
    <t>Forwards - Passif - ICNE</t>
  </si>
  <si>
    <t>Forwards - Liabilities - Accrued interest</t>
  </si>
  <si>
    <t>Forwards-Lb-Accrued Int</t>
  </si>
  <si>
    <t>AC=TP5066</t>
  </si>
  <si>
    <t>TP5066</t>
  </si>
  <si>
    <t>Instruments dérivés passifs - Cap</t>
  </si>
  <si>
    <t>Instru dériv Pssf-Cap</t>
  </si>
  <si>
    <t>Derivative financial instruments (liabilities) - Caps</t>
  </si>
  <si>
    <t>Deriv Fin Instru (Lb)-Caps</t>
  </si>
  <si>
    <t>AC=P16971000T</t>
  </si>
  <si>
    <t>P16971000T</t>
  </si>
  <si>
    <t>Cap - Passif - Primes</t>
  </si>
  <si>
    <t>Caps - Liabilities - Premiums</t>
  </si>
  <si>
    <t>AC=P16972000T</t>
  </si>
  <si>
    <t>P16972000T</t>
  </si>
  <si>
    <t>Cap - Passif - Revalo.</t>
  </si>
  <si>
    <t>Caps - Liabilities - FV adjustments</t>
  </si>
  <si>
    <t>Caps-Lb-FV Adjust</t>
  </si>
  <si>
    <t>AC=P16974000T</t>
  </si>
  <si>
    <t>P16974000T</t>
  </si>
  <si>
    <t>Cap - Passif - ICNE</t>
  </si>
  <si>
    <t>Caps - Liabilities - Accrued interest</t>
  </si>
  <si>
    <t>Caps-Lb-Accrued Int</t>
  </si>
  <si>
    <t>AC=TP5067</t>
  </si>
  <si>
    <t>TP5067</t>
  </si>
  <si>
    <t>Instruments dérivés passifs - Floor</t>
  </si>
  <si>
    <t>Instru dériv Pssf-Floor</t>
  </si>
  <si>
    <t>Derivative financial instruments (liabilities) - Floors</t>
  </si>
  <si>
    <t>Deriv Fin Instru (Lb)-Floors</t>
  </si>
  <si>
    <t>AC=P16981000T</t>
  </si>
  <si>
    <t>P16981000T</t>
  </si>
  <si>
    <t>Floor - Passif - Primes</t>
  </si>
  <si>
    <t>Floors - Liabilities - Premiums</t>
  </si>
  <si>
    <t>Floors-Lb-Premiums</t>
  </si>
  <si>
    <t>AC=P16982000T</t>
  </si>
  <si>
    <t>P16982000T</t>
  </si>
  <si>
    <t>Floor - Passif - Revalo.</t>
  </si>
  <si>
    <t>Floors - Liabilities - FV adjustments</t>
  </si>
  <si>
    <t>Floors-Lb-FV Adjust</t>
  </si>
  <si>
    <t>AC=P16984000T</t>
  </si>
  <si>
    <t>P16984000T</t>
  </si>
  <si>
    <t>Floor - Passif - ICNE</t>
  </si>
  <si>
    <t>Floors - Liabilities - Accrued interest</t>
  </si>
  <si>
    <t>Floors-Lb-Accrued Int</t>
  </si>
  <si>
    <t>AC=TP5068</t>
  </si>
  <si>
    <t>TP5068</t>
  </si>
  <si>
    <t>Instruments dérivés passifs - Dérivés de crédit</t>
  </si>
  <si>
    <t>Instru dériv Pssf-dériv crédit</t>
  </si>
  <si>
    <t>Derivative financial instruments (liabilities) - Credit derivatives</t>
  </si>
  <si>
    <t>DerivFinInstru(Lb)-CreditDeriv</t>
  </si>
  <si>
    <t>AC=P16991000T</t>
  </si>
  <si>
    <t>P16991000T</t>
  </si>
  <si>
    <t>Dérivés de crédit - Passif - Dépôts de garantie</t>
  </si>
  <si>
    <t>dériv crédit-Pssf-Dépts grntie</t>
  </si>
  <si>
    <t>Credit derivatives - Liabilities - Security deposits</t>
  </si>
  <si>
    <t>CreditDeriv-Lb-SecurityDeposit</t>
  </si>
  <si>
    <t>AC=P16992000T</t>
  </si>
  <si>
    <t>P16992000T</t>
  </si>
  <si>
    <t>Dérivés de crédit - Passif - Revalo.</t>
  </si>
  <si>
    <t>dériv crédit-Pssf-Revalo.</t>
  </si>
  <si>
    <t>Credit derivatives - Liabilities - FV adjustments</t>
  </si>
  <si>
    <t>Credit derivatives-Lb-FV Adj</t>
  </si>
  <si>
    <t>AC=P16993000T</t>
  </si>
  <si>
    <t>P16993000T</t>
  </si>
  <si>
    <t>Dérivés de crédit - Passif - Soulte</t>
  </si>
  <si>
    <t>dérivé crédit-Passif-Soulte</t>
  </si>
  <si>
    <t>Credit derivatives - Liabilities - Equalization payments</t>
  </si>
  <si>
    <t>CreditDeriv-Lb-EqualistnPaymnt</t>
  </si>
  <si>
    <t>AC=P16994000T</t>
  </si>
  <si>
    <t>P16994000T</t>
  </si>
  <si>
    <t>Dérivés de crédit - Passif - ICNE</t>
  </si>
  <si>
    <t>dérivé crédit-Passif-ICNE</t>
  </si>
  <si>
    <t>Credit derivatives - Liabilities - Accrued interest</t>
  </si>
  <si>
    <t>Credit derivatives-Lb-AccInt</t>
  </si>
  <si>
    <t>AC=TP5069</t>
  </si>
  <si>
    <t>TP5069</t>
  </si>
  <si>
    <t>Instruments dérivés de couverture du risque de change - CFH - JV négative</t>
  </si>
  <si>
    <t>InstrDérivCouv RsqFx-CFH-JVnég</t>
  </si>
  <si>
    <t>Derivative financial instruments (currency risk hedges) - Cash flow hedges - Negative FV</t>
  </si>
  <si>
    <t>Deriv Inst (CcyRsk)-CF Hdg FV-</t>
  </si>
  <si>
    <t>AC=P16910000</t>
  </si>
  <si>
    <t>P16910000</t>
  </si>
  <si>
    <t>Instruments dérivés passifs - Couverture du risq. de change - CFH - JV négative</t>
  </si>
  <si>
    <t>IstrDérivPsf-CouvRsqFx-CFH JV-</t>
  </si>
  <si>
    <t>Derivative financial instruments (liabilities) - Currency risk hedges - Cash flow hedges - Negative FV</t>
  </si>
  <si>
    <t>DerivInstLb-CcyRsk-CF hdg FV-</t>
  </si>
  <si>
    <t>AC=TP507</t>
  </si>
  <si>
    <t>TP507</t>
  </si>
  <si>
    <t>Impôts différés passifs</t>
  </si>
  <si>
    <t>L-C-3325 - Impôts différés Passifs</t>
  </si>
  <si>
    <t>Deferred tax liabilities</t>
  </si>
  <si>
    <t>L-C-3325 - Deferred tax liabilities</t>
  </si>
  <si>
    <t>AC=TP5071</t>
  </si>
  <si>
    <t>TP5071</t>
  </si>
  <si>
    <t>ID passifs - Revalo. - JV par OCI</t>
  </si>
  <si>
    <t>ID Passif-Revalo.-JV par OCI</t>
  </si>
  <si>
    <t>Deferred tax liabilities - FV adjustments - FV through OCI</t>
  </si>
  <si>
    <t>Deferred tax Lb-FV Adj-FV OCI</t>
  </si>
  <si>
    <t>AC=P15000007R</t>
  </si>
  <si>
    <t>P15000007R</t>
  </si>
  <si>
    <t>IDP - Revalo. - OCI recyclable</t>
  </si>
  <si>
    <t>Deferred tax liabilities - FV adjustments through recyclable OCI</t>
  </si>
  <si>
    <t>Deferred tax Lb-FV Adj R OCI</t>
  </si>
  <si>
    <t>AC=P15000007N</t>
  </si>
  <si>
    <t>P15000007N</t>
  </si>
  <si>
    <t>IDP - Revalo. - OCI non recyclable</t>
  </si>
  <si>
    <t>IDP-Revalo.-OCI NR</t>
  </si>
  <si>
    <t>DTL - FV adjustments through non-recyclable OCI</t>
  </si>
  <si>
    <t>DTL-FV Adj through NR OCI</t>
  </si>
  <si>
    <t>AC=TP5072</t>
  </si>
  <si>
    <t>TP5072</t>
  </si>
  <si>
    <t>ID passifs - Réserve financière</t>
  </si>
  <si>
    <t>ID Passif-Réserve Financière</t>
  </si>
  <si>
    <t>DTL on Insurance &amp; reinsurance Financial Reserve</t>
  </si>
  <si>
    <t xml:space="preserve">DTL on Ins &amp; Reinsu. Fin. Rsv </t>
  </si>
  <si>
    <t>AC=àcréer</t>
  </si>
  <si>
    <t>àcréer</t>
  </si>
  <si>
    <t>ID passifs - Réserve financière relative aux contrats d'assurance</t>
  </si>
  <si>
    <t xml:space="preserve">ID Pssf-Résv Fin relative aux ctrats d'ass </t>
  </si>
  <si>
    <t>DTL on Insurance Financial Reserve</t>
  </si>
  <si>
    <t xml:space="preserve">DTL on Ins Fin. Rsv </t>
  </si>
  <si>
    <t>AC=P1500017N</t>
  </si>
  <si>
    <t>P1500017N</t>
  </si>
  <si>
    <t>IDP - Réserve financière d'assurance - Non recyclable</t>
  </si>
  <si>
    <t>IDP- Résv Fin d'ass-NonRecy</t>
  </si>
  <si>
    <t>DTL on Insurance Financial Reserve Non Recyclable</t>
  </si>
  <si>
    <t>DTL on Ins Fin. Rsv NonRecycl</t>
  </si>
  <si>
    <t>Evol 28 / Evol 45</t>
  </si>
  <si>
    <t>AC=P1500017R</t>
  </si>
  <si>
    <t>P1500017R</t>
  </si>
  <si>
    <t>IDP - Réserve financière d'assurance - Recyclable</t>
  </si>
  <si>
    <t>IDP- Résv Fin d'ass-Recyclable</t>
  </si>
  <si>
    <t>DTL on Insurance Financial Reserve Recyclable</t>
  </si>
  <si>
    <t>DTL on Ins Fin. Rsv  Recycl</t>
  </si>
  <si>
    <t>Evol 28 / Evol 40 / Evol 45</t>
  </si>
  <si>
    <t>ID passifs - Réserve financière relative aux contrats de réassurance</t>
  </si>
  <si>
    <t xml:space="preserve">ID Pssf-Résv Fin relative aux ctrats de réass </t>
  </si>
  <si>
    <t>DTL on Reinsurance Financial Reserve</t>
  </si>
  <si>
    <t xml:space="preserve">DTL on Reinsu. Fin. Rsv </t>
  </si>
  <si>
    <t>AC=P15900027N</t>
  </si>
  <si>
    <t>P15900027N</t>
  </si>
  <si>
    <t>IDP- Réserve financière de réassurance - Non recyclable</t>
  </si>
  <si>
    <t>IDP- Résv Fin de réass-NR</t>
  </si>
  <si>
    <t>DTL on Reinsurance Financial Reserve Non Recyclable</t>
  </si>
  <si>
    <t>DTL on Reinsu. Fin. Rsv NR</t>
  </si>
  <si>
    <t>Evol 28</t>
  </si>
  <si>
    <t>AC=P15900027R</t>
  </si>
  <si>
    <t>P15900027R</t>
  </si>
  <si>
    <t>IDP - Réserve financière de réassurance - Recyclable</t>
  </si>
  <si>
    <t>IDP-Résv Fin de réass-Recycl</t>
  </si>
  <si>
    <t>DTL on Reinsurance Financial Reserve - Recyclable</t>
  </si>
  <si>
    <t>DTL on Reinsu. Fin. Rsv-Recly</t>
  </si>
  <si>
    <t>Evol 28 / Evol 40</t>
  </si>
  <si>
    <t>AC=TP5073</t>
  </si>
  <si>
    <t>TP5073</t>
  </si>
  <si>
    <t>ID passifs - Revalo. - JV par résultat</t>
  </si>
  <si>
    <t>ID Passif-Revalo.-JV/résultat</t>
  </si>
  <si>
    <t>Deferred tax liabilities - FV adjustments - FV through P&amp;L</t>
  </si>
  <si>
    <t>Deferred tax Lb-FV Adj-FV P&amp;L</t>
  </si>
  <si>
    <t>AC=P15000007T</t>
  </si>
  <si>
    <t>P15000007T</t>
  </si>
  <si>
    <t>IDP - Revalo. - JV par résultat</t>
  </si>
  <si>
    <t>IDP-Revalo.-JV/résultat</t>
  </si>
  <si>
    <t>DTL - FV adjustments - FV through P&amp;L</t>
  </si>
  <si>
    <t>DTL-FV Adj-FV through P&amp;L</t>
  </si>
  <si>
    <t>AC=P15000007O</t>
  </si>
  <si>
    <t>P15000007O</t>
  </si>
  <si>
    <t>IDP - Revalo. - JV par résultat sur option</t>
  </si>
  <si>
    <t>IDP-Revalo.-JV/rés sur optn</t>
  </si>
  <si>
    <t>DTL - FV through P&amp;L option</t>
  </si>
  <si>
    <t>AC=P15002111T</t>
  </si>
  <si>
    <t>P15002111T</t>
  </si>
  <si>
    <t>IDP - Revalo. - Instruments dérivés</t>
  </si>
  <si>
    <t>IDP-Revalo.-Instrument dérivé</t>
  </si>
  <si>
    <t>DTL - FV adjustments - Derivative instruments</t>
  </si>
  <si>
    <t>DTL-FV Adj-Derivative Instru</t>
  </si>
  <si>
    <t>AC=TP5074</t>
  </si>
  <si>
    <t>TP5074</t>
  </si>
  <si>
    <t>ID Passifs - Réévaluation des contrats d'assurance et de réassurance</t>
  </si>
  <si>
    <t>ID passifs - Rééval ctra Ass</t>
  </si>
  <si>
    <t>Deferred tax liabilities - Revaluation of insurance and reinsurance contracts</t>
  </si>
  <si>
    <t>Deferred tax Lb-Revaluation of insur. and reinsur.contracts</t>
  </si>
  <si>
    <t>AC=P15002100B</t>
  </si>
  <si>
    <t>P15002100B</t>
  </si>
  <si>
    <t>IDP - Différences de traitement -BBA - LGAAP / IFRS</t>
  </si>
  <si>
    <t>IDP-Diff de trmt- BBA</t>
  </si>
  <si>
    <t>DTL - SA adjustments - Local GAAP/IFRS BBA</t>
  </si>
  <si>
    <t>DTL-SA Adj-Local GAAP/IFRS BBA</t>
  </si>
  <si>
    <t>Evol 63 (ex Evol 60) Evol 70</t>
  </si>
  <si>
    <t>AC=P15002100V</t>
  </si>
  <si>
    <t>P15002100V</t>
  </si>
  <si>
    <t>IDP - Différences de traitement -VFA - LGAAP / IFRS</t>
  </si>
  <si>
    <t>IDP-Diff de trmt-VFA</t>
  </si>
  <si>
    <t>DTL - SA adjustments - Local GAAP/IFRS VFA</t>
  </si>
  <si>
    <t>DTL-SA Adj-Local GAAP/IFRS VFA</t>
  </si>
  <si>
    <t>AC=P15002100P</t>
  </si>
  <si>
    <t>P15002100P</t>
  </si>
  <si>
    <t>IDP - Différences de traitement -PAA - LGAAP / IFRS</t>
  </si>
  <si>
    <t>IDP-Diff de trmt-PAA</t>
  </si>
  <si>
    <t>DTL - SA adjustments - Local GAAP/IFRS PAA</t>
  </si>
  <si>
    <t>DTL-SA Adj-Local GAAP/IFRS PAA</t>
  </si>
  <si>
    <t>AC=TP5075</t>
  </si>
  <si>
    <t>TP5075</t>
  </si>
  <si>
    <t>ID passifs - Autres</t>
  </si>
  <si>
    <t>Deferred tax liabilities - Other</t>
  </si>
  <si>
    <t>Deferred tax Lb-Other</t>
  </si>
  <si>
    <t>AC=P15002100</t>
  </si>
  <si>
    <t>P15002100</t>
  </si>
  <si>
    <t>IDP - Différences de traitement - LGAAP / IFRS</t>
  </si>
  <si>
    <t>IDP-Diff de trmt</t>
  </si>
  <si>
    <t>DTL - SA adjustments - Local GAAP/IFRS</t>
  </si>
  <si>
    <t>DTL-SA Adj-Local GAAP/IFRS</t>
  </si>
  <si>
    <t>AC=P15002101</t>
  </si>
  <si>
    <t>P15002101</t>
  </si>
  <si>
    <t xml:space="preserve">IDP - Différence de traitement - LGAAP / IFRS - Ecarts actuariels </t>
  </si>
  <si>
    <t>IDP-Diff de trmt- Ecart actu</t>
  </si>
  <si>
    <t>DTL - SA adjustments - Local GAAP/IFRS -Actuarial gains and losses</t>
  </si>
  <si>
    <t>DTL-SA Adj-Local GAAP/IFRS Act</t>
  </si>
  <si>
    <t>AC=P15000007A</t>
  </si>
  <si>
    <t>P15000007A</t>
  </si>
  <si>
    <t>IDP - Dépréciation - Titres au coût amorti</t>
  </si>
  <si>
    <t>IDP-Dépr-Titres au Coût Amorti</t>
  </si>
  <si>
    <t>DTL - Provisions for impairment - Securities at amortised cost</t>
  </si>
  <si>
    <t>DTL-Prov Imp-Securities at AMc</t>
  </si>
  <si>
    <t>AC=P15090007R</t>
  </si>
  <si>
    <t>P15090007R</t>
  </si>
  <si>
    <t>IDP - Dépréciation - JV OCI Recyclable</t>
  </si>
  <si>
    <t>IDP-Dépr-JV OCI Recyclable</t>
  </si>
  <si>
    <t>DTL - Provision for impairment - FV through OCI R</t>
  </si>
  <si>
    <t>DTL-Prov Impairment-FV OCI R</t>
  </si>
  <si>
    <t>AC=P15002300</t>
  </si>
  <si>
    <t>P15002300</t>
  </si>
  <si>
    <t>IDP - Réserve de CFH</t>
  </si>
  <si>
    <t>DTL - CFH reserve</t>
  </si>
  <si>
    <t>AC=P15009000</t>
  </si>
  <si>
    <t>P15009000</t>
  </si>
  <si>
    <t>IDP - Autres</t>
  </si>
  <si>
    <t>DTL - Other</t>
  </si>
  <si>
    <t>AC=TP508</t>
  </si>
  <si>
    <t>TP508</t>
  </si>
  <si>
    <t>TP5081</t>
  </si>
  <si>
    <t>Dettes au personnel</t>
  </si>
  <si>
    <t>Amounts owed to employees</t>
  </si>
  <si>
    <t>AC=P42100000</t>
  </si>
  <si>
    <t>P42100000</t>
  </si>
  <si>
    <t>Dettes au personnel - Salaires</t>
  </si>
  <si>
    <t>Amounts owed to employees - Wages</t>
  </si>
  <si>
    <t>Amount owed to employees-Wages</t>
  </si>
  <si>
    <t>AC=P42310000</t>
  </si>
  <si>
    <t>P42310000</t>
  </si>
  <si>
    <t>Dettes au personnel - Provisions pour indemnités de départ à la retraite</t>
  </si>
  <si>
    <t>D.Pers-Prv indemnité-dprt rtrt</t>
  </si>
  <si>
    <t>Amounts owed to employees - Provision for retiring benefits</t>
  </si>
  <si>
    <t>Amt owed to Empl-Prov RetirBen</t>
  </si>
  <si>
    <t>AC=P42320000</t>
  </si>
  <si>
    <t>P42320000</t>
  </si>
  <si>
    <t>Dettes au personnel - Provisions pour autres régimes de retraite</t>
  </si>
  <si>
    <t>D.Pers-Prv autrs régimes rtrte</t>
  </si>
  <si>
    <t>Amounts owed to employees - Provision for other retirement plans</t>
  </si>
  <si>
    <t>AmtOwdEmp-ProvOtherRetirePlans</t>
  </si>
  <si>
    <t>P42300000</t>
  </si>
  <si>
    <t>D.Pers-Prv avntg PostérEmploi</t>
  </si>
  <si>
    <t>Amounts owed to employees - Provision for other post-employment benefits</t>
  </si>
  <si>
    <t>AmtOwEmp-ProvOthrPstEmplymtBen</t>
  </si>
  <si>
    <t>P42330000</t>
  </si>
  <si>
    <t>D.Pers-Prv Médl travl/avntg LT</t>
  </si>
  <si>
    <t>Amounts owed to employees - Provision for length-of-service awards and jubilees and other long-term benefits</t>
  </si>
  <si>
    <t>AOE-Pr LthOfSvc Awd&amp;jble&amp;LTBen</t>
  </si>
  <si>
    <t>AC=P42340000</t>
  </si>
  <si>
    <t>P42340000</t>
  </si>
  <si>
    <t>Dettes au personnel - Provision pour autres indemnités de rupture de contrat (dont DFC)</t>
  </si>
  <si>
    <t>D.Pers-PrvIndemRupturCtat(DFC)</t>
  </si>
  <si>
    <t>Amounts owed to employees - Provisions for Termination benefits</t>
  </si>
  <si>
    <t>AmtOwEmp-Prv Termination Ben</t>
  </si>
  <si>
    <t>Evol 23</t>
  </si>
  <si>
    <t>AC=P42350000</t>
  </si>
  <si>
    <t>P42350000</t>
  </si>
  <si>
    <t>Dettes au personnel - Provision pour compte épargne temps</t>
  </si>
  <si>
    <t>D.Pers-Prv Cmpts épargne temps</t>
  </si>
  <si>
    <t>Amounts owed to employees - Provision for time savings account</t>
  </si>
  <si>
    <t>AmtOwEmps-Prov TimeSavingsAcct</t>
  </si>
  <si>
    <t>AC=P42820000</t>
  </si>
  <si>
    <t>P42820000</t>
  </si>
  <si>
    <t>Dettes au personnel - Charges à payer</t>
  </si>
  <si>
    <t>D.Pers-Charges à payer</t>
  </si>
  <si>
    <t>Amounts owed to employees - Accrued expenses</t>
  </si>
  <si>
    <t>Amt Owed Empls-AccExp</t>
  </si>
  <si>
    <t>AC=P42840000</t>
  </si>
  <si>
    <t>P42840000</t>
  </si>
  <si>
    <t>Dettes au personnel - Participation salariés</t>
  </si>
  <si>
    <t>D.Pers-Participation salariés</t>
  </si>
  <si>
    <t>Amounts owed to employees - Statutory employee profit-sharing liabilities</t>
  </si>
  <si>
    <t>AmtOwEmp-StatEmpl PrftShP Lb</t>
  </si>
  <si>
    <t>AC=P42860000</t>
  </si>
  <si>
    <t>P42860000</t>
  </si>
  <si>
    <t>Dettes au personnel - Intéressement salariés</t>
  </si>
  <si>
    <t>D.Pers-Intéressement salariés</t>
  </si>
  <si>
    <t>Amounts owed to employees - Discretionary employee profit-sharing liabilities</t>
  </si>
  <si>
    <t>AmtOwEmp-Discrtion Empl PSP Lb</t>
  </si>
  <si>
    <t>TP5082</t>
  </si>
  <si>
    <t>Dettes Etat / Organismes de sécurité sociale / Collectivités publiques</t>
  </si>
  <si>
    <t>D.Etat, Org de Sécu,CollectPub</t>
  </si>
  <si>
    <t>Accrued payroll and other taxes</t>
  </si>
  <si>
    <t>Acc payroll and other taxes</t>
  </si>
  <si>
    <t>AC=P43010000</t>
  </si>
  <si>
    <t>P43010000</t>
  </si>
  <si>
    <t>AC=TP5083</t>
  </si>
  <si>
    <t>TP5083</t>
  </si>
  <si>
    <t>Dividendes à payer</t>
  </si>
  <si>
    <t>Dividends payable</t>
  </si>
  <si>
    <t>AC=TP50831</t>
  </si>
  <si>
    <t>TP50831</t>
  </si>
  <si>
    <t>AC=P45501000</t>
  </si>
  <si>
    <t>P45501000</t>
  </si>
  <si>
    <t>AC=TP50832</t>
  </si>
  <si>
    <t>TP50832</t>
  </si>
  <si>
    <t>Dividendes à payer - Cptes liaison et ajust.</t>
  </si>
  <si>
    <t>Dvdnd à payer-Cptes lsn&amp;ajust</t>
  </si>
  <si>
    <t>Dividends payable - Liaison accounts &amp; adjustments</t>
  </si>
  <si>
    <t>Dvdnd payable-LsnAccounts&amp;Adj</t>
  </si>
  <si>
    <t>AC=P4550000L</t>
  </si>
  <si>
    <t>P4550000L</t>
  </si>
  <si>
    <t>Dividendes à payer et/ou à recevoir - Liaison</t>
  </si>
  <si>
    <t>Dvdnd à payer/recevoir-Lsn</t>
  </si>
  <si>
    <t>Liaison account (dividends payable and/or receivable)</t>
  </si>
  <si>
    <t>LsnAccnt (Dvdnd Payble/Receiv)</t>
  </si>
  <si>
    <t>AC=P4550000AJ</t>
  </si>
  <si>
    <t>P4550000AJ</t>
  </si>
  <si>
    <t>Dividendes à payer et/ou à recevoir - Ajust.</t>
  </si>
  <si>
    <t>Dvdnd à payer:recevoir-Ajust.</t>
  </si>
  <si>
    <t>Adjustments (dividends payable and/or receivable)</t>
  </si>
  <si>
    <t>Adj (Dvdnd payable/receivable)</t>
  </si>
  <si>
    <t>AC=TP5084</t>
  </si>
  <si>
    <t>TP5084</t>
  </si>
  <si>
    <t>Comptes courants entpses liées - Créditeurs</t>
  </si>
  <si>
    <t>CompteCourant ent liées-Crédtr</t>
  </si>
  <si>
    <t>Current account advances from controlled entities</t>
  </si>
  <si>
    <t>CAA from controlled entities</t>
  </si>
  <si>
    <t>AC=TP50841</t>
  </si>
  <si>
    <t>TP50841</t>
  </si>
  <si>
    <t>AC=P46000000</t>
  </si>
  <si>
    <t>P46000000</t>
  </si>
  <si>
    <t>AC=P46100000</t>
  </si>
  <si>
    <t>P46100000</t>
  </si>
  <si>
    <t>Comptes courants entpses liées - Créditeurs - ICNE</t>
  </si>
  <si>
    <t>C.C. ent liées-Crédtr-ICNE</t>
  </si>
  <si>
    <t>Current account advances from controlled entities - Accrued interest</t>
  </si>
  <si>
    <t>CAA from CntrldEntities-AccInt</t>
  </si>
  <si>
    <t>AC=TP50842</t>
  </si>
  <si>
    <t>TP50842</t>
  </si>
  <si>
    <t>Comptes courants entpses liées - Créditeurs - Cptes liaison et ajust.</t>
  </si>
  <si>
    <t>C.C.Ent liées-Crédtr-CptLsn&amp;Aj</t>
  </si>
  <si>
    <t>CAA/CC - Liaison accounts &amp; adjustments</t>
  </si>
  <si>
    <t>CAA/CC-Liaison accounts &amp; Adj</t>
  </si>
  <si>
    <t>AC=P4600000L</t>
  </si>
  <si>
    <t>P4600000L</t>
  </si>
  <si>
    <t>Comptes courants entpses liées - Créditeurs - Liaison</t>
  </si>
  <si>
    <t>C.C. ent liées-Crédtr-Lsn</t>
  </si>
  <si>
    <t>CAA/CC - Liaison accounts</t>
  </si>
  <si>
    <t>AC=P4600000AJ</t>
  </si>
  <si>
    <t>P4600000AJ</t>
  </si>
  <si>
    <t>Comptes courants entpses liées - Créditeurs - Ajust.</t>
  </si>
  <si>
    <t>C.C. ent liées-Crédtr-Ajust.</t>
  </si>
  <si>
    <t>CAA/CC - Adjustments</t>
  </si>
  <si>
    <t>AC=P4600090L</t>
  </si>
  <si>
    <t>P4600090L</t>
  </si>
  <si>
    <t>Comptes courants entpses liées - Créditeurs - ICNE - Liaison</t>
  </si>
  <si>
    <t>C.C. ent liées-Crédtr-ICNE-Lsn</t>
  </si>
  <si>
    <t>CAA/CC - Accrued interest - Liaison accounts</t>
  </si>
  <si>
    <t>CAA/CC-AccInt-Liaison accounts</t>
  </si>
  <si>
    <t>AC=P4600090AJ</t>
  </si>
  <si>
    <t>P4600090AJ</t>
  </si>
  <si>
    <t>Comptes courants entpses liées - Créditeurs - ICNE - Ajust.</t>
  </si>
  <si>
    <t>C.C. ent liées-Crédtr-ICNE-Aju</t>
  </si>
  <si>
    <t>CAA/CC - Accrued interest - Adjustments</t>
  </si>
  <si>
    <t>CAA/CC-AccInt-Adj</t>
  </si>
  <si>
    <t>AC=TP5085</t>
  </si>
  <si>
    <t>TP5085</t>
  </si>
  <si>
    <t>Autres comptes créditeurs</t>
  </si>
  <si>
    <t>Other payables</t>
  </si>
  <si>
    <t>AC=TP50851</t>
  </si>
  <si>
    <t>TP50851</t>
  </si>
  <si>
    <t>P46900000</t>
  </si>
  <si>
    <t>AC=P46900001</t>
  </si>
  <si>
    <t>P46900001</t>
  </si>
  <si>
    <t>Dépôts et caut. reçus - Appels de marge reçus OTC</t>
  </si>
  <si>
    <t>P46910000</t>
  </si>
  <si>
    <t>Autres comptes créditeurs - ICNE</t>
  </si>
  <si>
    <t>Autres Comptes créditeur-ICNE</t>
  </si>
  <si>
    <t>Other payables - Accrued interest</t>
  </si>
  <si>
    <t>Other payables-Accrued Int</t>
  </si>
  <si>
    <t>AC=TP50852</t>
  </si>
  <si>
    <t>TP50852</t>
  </si>
  <si>
    <t>Autres comptes créditeurs - Cptes liaison et ajust.</t>
  </si>
  <si>
    <t>Autr Cmpt crédtr-Cptes lsn&amp;aju</t>
  </si>
  <si>
    <t>Financing liabilities - Liaison accounts &amp; adjustments</t>
  </si>
  <si>
    <t>Financing Lb-LsnAccounts &amp; Adj</t>
  </si>
  <si>
    <t>P4690000L</t>
  </si>
  <si>
    <t>Autres comptes créditeurs - Liaison</t>
  </si>
  <si>
    <t>Autres Cmoptes créditeur-Lsn</t>
  </si>
  <si>
    <t>Other payables - Liaison accounts</t>
  </si>
  <si>
    <t>Other payables-LiaisonAccounts</t>
  </si>
  <si>
    <t>P4690000AJ</t>
  </si>
  <si>
    <t>Autres comptes créditeurs - Ajust.</t>
  </si>
  <si>
    <t>Autrs Cmpts crédtr-Ajust.</t>
  </si>
  <si>
    <t>Other payables - Adjustments</t>
  </si>
  <si>
    <t>P4690090L</t>
  </si>
  <si>
    <t>Autres comptes créditeurs - ICNE - Liaison</t>
  </si>
  <si>
    <t>Autrs Cmpts crédtr-ICNE-Lsn</t>
  </si>
  <si>
    <t>Other payables - Accrued interest - Liaison accounts</t>
  </si>
  <si>
    <t>Other payables-AccInt-LsnAccnt</t>
  </si>
  <si>
    <t>P4690090AJ</t>
  </si>
  <si>
    <t>Autres comptes créditeurs - ICNE - Ajust.</t>
  </si>
  <si>
    <t>Autrs Cmpts crédtr-ICNE-Ajust.</t>
  </si>
  <si>
    <t>Other payables - Accrued interest - Adjustments</t>
  </si>
  <si>
    <t>Other payables-Accrued Int-Adj</t>
  </si>
  <si>
    <t>AC=TP5086</t>
  </si>
  <si>
    <t>TP5086</t>
  </si>
  <si>
    <t>Fournisseurs - Autres dettes</t>
  </si>
  <si>
    <t>Supplier accounts - Other payables</t>
  </si>
  <si>
    <t>SupplierAccount-Other payables</t>
  </si>
  <si>
    <t>P46500000</t>
  </si>
  <si>
    <t>AC=TP5087</t>
  </si>
  <si>
    <t>TP5087</t>
  </si>
  <si>
    <t>Comptes de régularisation créditeurs</t>
  </si>
  <si>
    <t>Cmpts de régularisation crédtr</t>
  </si>
  <si>
    <t>Deferred income and accrued expenses</t>
  </si>
  <si>
    <t>Deferred income and AccExp</t>
  </si>
  <si>
    <t>AC=TP50871</t>
  </si>
  <si>
    <t>TP50871</t>
  </si>
  <si>
    <t>P46860000</t>
  </si>
  <si>
    <t>Comptes de régularisation créditeurs - Charges à payer</t>
  </si>
  <si>
    <t>Cmpts de régul. crédtr-CAP</t>
  </si>
  <si>
    <t>Deferred income and accrued expenses - Accrued expenses</t>
  </si>
  <si>
    <t>Deferred income&amp;AccExp-AccExp</t>
  </si>
  <si>
    <t>P48500000</t>
  </si>
  <si>
    <t>Comptes de régularisation créditeurs - Produits constatés d'avance</t>
  </si>
  <si>
    <t>Cmpts de régul crédtr-PCA</t>
  </si>
  <si>
    <t>Deferred income and accrued expenses - Deferred income</t>
  </si>
  <si>
    <t>DefrrdIncom&amp;AccExp-DfrrdIncome</t>
  </si>
  <si>
    <t>P41681000</t>
  </si>
  <si>
    <t>CmptsRégulCrédtr-D.fin-ICNE</t>
  </si>
  <si>
    <t>Deferred income and accrued expenses - Financing liabilities - Accrued interest</t>
  </si>
  <si>
    <t>DfrrdInc&amp;AccExp-Fin Lb-AccInt</t>
  </si>
  <si>
    <t>AC=TP50872</t>
  </si>
  <si>
    <t>TP50872</t>
  </si>
  <si>
    <t>Comptes de régul. créditeurs - Dettes de financement - Cptes liaison et ajust.</t>
  </si>
  <si>
    <t>CptRégul. crdt-D.Fin-lsn&amp;ajust</t>
  </si>
  <si>
    <t>Deferred income and accrued expenses - Financing liabilities - Liaison accounts &amp; adjustments</t>
  </si>
  <si>
    <t>DfrdInc&amp;AccExp-FinLb-Lsn&amp;Adj</t>
  </si>
  <si>
    <t>P4168100L</t>
  </si>
  <si>
    <t>Comptes de régularisation créditeurs - Dettes de financement - ICNE - Liaison</t>
  </si>
  <si>
    <t>CptRégul crédtr-D.fin-ICNE-Lsn</t>
  </si>
  <si>
    <t>Deferred income and accrued expenses - Financing liabilities - Accrued interest - Liaison accounts</t>
  </si>
  <si>
    <t>DfdInc&amp;AccExp-FinLb-AccInt-Lsn</t>
  </si>
  <si>
    <t>P4168100AJ</t>
  </si>
  <si>
    <t>Comptes de régularisation créditeurs - Dettes de financement - ICNE - Ajust.</t>
  </si>
  <si>
    <t>CptRégul crédtr-D.fin-ICNE-Aju</t>
  </si>
  <si>
    <t>Deferred income and accrued expenses - Financing liabilities - Accrued interest - Adjustments</t>
  </si>
  <si>
    <t>DfrdInc&amp;AccExp-FinLb-AccInt-Ad</t>
  </si>
  <si>
    <t>AC=TP60</t>
  </si>
  <si>
    <t>TP60</t>
  </si>
  <si>
    <t>Passifs des activités destinées à être cédées ou abandonnées</t>
  </si>
  <si>
    <t>Psf activités dest cédé/abando</t>
  </si>
  <si>
    <t>Liabilities related to assets held for sale or discontinued</t>
  </si>
  <si>
    <t>Lb rltd to assts held for sale</t>
  </si>
  <si>
    <t>AC=TP601</t>
  </si>
  <si>
    <t>TP601</t>
  </si>
  <si>
    <t>AC=P58000000</t>
  </si>
  <si>
    <t>P58000000</t>
  </si>
  <si>
    <t>Evol 64 / Evol 72</t>
  </si>
  <si>
    <t>RNPG au bilan</t>
  </si>
  <si>
    <t>RNPG au compte de résultat</t>
  </si>
  <si>
    <t>Résultat IM au bilan</t>
  </si>
  <si>
    <t>Résultat IM au CDR</t>
  </si>
  <si>
    <t>Passifs d'assurance - BE non actuariels</t>
  </si>
  <si>
    <t>Passifs d'assurance</t>
  </si>
  <si>
    <t>Total des passifs d'assurance et financiers</t>
  </si>
  <si>
    <t>Passifs de réassurance- BE non actuariels</t>
  </si>
  <si>
    <t>Passifs de réassurance- total</t>
  </si>
  <si>
    <t>Opening</t>
  </si>
  <si>
    <t>Closing balance</t>
  </si>
  <si>
    <t>Modèle de données IFRS 9 - P&amp;L</t>
  </si>
  <si>
    <t>AC</t>
  </si>
  <si>
    <t>Code sous-totaux</t>
  </si>
  <si>
    <t>Code comptes</t>
  </si>
  <si>
    <t>Libellé FR - extra long = 253 caractères max</t>
  </si>
  <si>
    <t>Nbcar</t>
  </si>
  <si>
    <t>Libellé FR -  long = 120 caractères max</t>
  </si>
  <si>
    <t>Libellé FR -  court = 30 caractères max</t>
  </si>
  <si>
    <t>Libellé EN - extra long = 253 caractères max</t>
  </si>
  <si>
    <t>Libellé EN - long = 120 caractères max</t>
  </si>
  <si>
    <t>Libellé EN - court = 30 caractères max</t>
  </si>
  <si>
    <t>Action</t>
  </si>
  <si>
    <t>Evol</t>
  </si>
  <si>
    <t>TR</t>
  </si>
  <si>
    <t>Résultat net (part du Groupe)</t>
  </si>
  <si>
    <t>Profit/(loss) attributable to equity holders of the parent</t>
  </si>
  <si>
    <t>ProfitLoss Attri EquHoldParent</t>
  </si>
  <si>
    <t>AC=TR10</t>
  </si>
  <si>
    <t>TR10</t>
  </si>
  <si>
    <t>Rés. des activités d'assurance</t>
  </si>
  <si>
    <t>Technical result from insurance activities</t>
  </si>
  <si>
    <t>Technical result from Ins act</t>
  </si>
  <si>
    <t>AC=TR101</t>
  </si>
  <si>
    <t>TR101</t>
  </si>
  <si>
    <t>Prod Act Assu</t>
  </si>
  <si>
    <t>Insurance revenue</t>
  </si>
  <si>
    <t>06/08/2021</t>
  </si>
  <si>
    <t>AC=TR1011</t>
  </si>
  <si>
    <t>TR1011</t>
  </si>
  <si>
    <t>Produits des activités d'assurance modèles BBA et VFA</t>
  </si>
  <si>
    <t>Prod Act Assu-BBA VFA</t>
  </si>
  <si>
    <t xml:space="preserve">Insurance revenue - BBA and VFA </t>
  </si>
  <si>
    <t>Insurance revenue - BBA and VFA</t>
  </si>
  <si>
    <t xml:space="preserve">Insurance revenue - BBA  VFA </t>
  </si>
  <si>
    <t>AC=TR10111</t>
  </si>
  <si>
    <t>TR10111</t>
  </si>
  <si>
    <t>Produits des activités d'assurance - Modèle BBA</t>
  </si>
  <si>
    <t xml:space="preserve">Prod Act Assu-BBA </t>
  </si>
  <si>
    <t xml:space="preserve">Insurance revenue - BBA </t>
  </si>
  <si>
    <t>Insurance revenue - BBA</t>
  </si>
  <si>
    <t>AC=TR101111</t>
  </si>
  <si>
    <t>TR101111</t>
  </si>
  <si>
    <t>Produits des activités d'assurance - Modèle BBA - Prestations et frais attendus</t>
  </si>
  <si>
    <t>Prod act Assu BBA - Pres&amp;Frais</t>
  </si>
  <si>
    <t>Insurance revenue - BBA  - Expected claims and expenses</t>
  </si>
  <si>
    <t>Insurance revenue - BBA - Expected claims and expenses</t>
  </si>
  <si>
    <t>Ins rev-BBA- Exp Claims Ex</t>
  </si>
  <si>
    <t>Prod act Assu BBA Pres Var LRC</t>
  </si>
  <si>
    <t>Insurance revenue - BBA - Expected claims and expenses - Expected claims - Variation LRC</t>
  </si>
  <si>
    <t>InsRev-BBA-Exp Clai-VarLRC</t>
  </si>
  <si>
    <t>BR73101B</t>
  </si>
  <si>
    <t>Prestations attendues - Modèle BBA/VFA</t>
  </si>
  <si>
    <t>Auto</t>
  </si>
  <si>
    <t>Prod act Assu BBA Comm Var LRC</t>
  </si>
  <si>
    <t>Insurance revenue - BBA - Expected claims and expenses - Expected commissions &amp; attributable expenses - Variation LRC</t>
  </si>
  <si>
    <t>InsRev-BBA-ExpComAttriEx-VLRC</t>
  </si>
  <si>
    <t>BR73102B</t>
  </si>
  <si>
    <t>Commissions &amp; autres frais attribuables attendus - Modèle BBA/VFA</t>
  </si>
  <si>
    <t>AC=TR101112</t>
  </si>
  <si>
    <t>TR101112</t>
  </si>
  <si>
    <t>Prod Act Assu-BBA-RA-Var LRC</t>
  </si>
  <si>
    <t>Insurance revenue - BBA  - Risk adjustment release - Var LRC</t>
  </si>
  <si>
    <t>Insurance revenue - BBA - Risk adjustment release - Var LRC</t>
  </si>
  <si>
    <t>InsRev-BBA-Rsk adj rlse-VarLRC</t>
  </si>
  <si>
    <t>Prod act Assu-BBA-RA-Var LRC</t>
  </si>
  <si>
    <t>BR73201B</t>
  </si>
  <si>
    <t>Relâchement de l'ajustement pour risque - Modèle BBA/VFA</t>
  </si>
  <si>
    <t>AC=TR101113</t>
  </si>
  <si>
    <t>TR101113</t>
  </si>
  <si>
    <t>Prod Act Assu-BBA-Alloc CSM R</t>
  </si>
  <si>
    <t>Insurance revenue - BBA  -  CSM release through P&amp;L</t>
  </si>
  <si>
    <t>Insurance revenue - BBA - CSM release through P&amp;L</t>
  </si>
  <si>
    <t>Ins rev-BBA-CSM rlse thrgh P&amp;L</t>
  </si>
  <si>
    <t>BR73301B</t>
  </si>
  <si>
    <t>Allocation de la CSM en résultat - Modèle BBA/VFA</t>
  </si>
  <si>
    <t>AC=TR101114</t>
  </si>
  <si>
    <t>TR101114</t>
  </si>
  <si>
    <t>Prod Act Assu-BBA-Relach acq</t>
  </si>
  <si>
    <t>Insurance revenue - BBA  - Release of acquisition costs</t>
  </si>
  <si>
    <t>Insurance revenue - BBA - Release of acquisition costs</t>
  </si>
  <si>
    <t>Ins rev-BBA-Rlse acq costs</t>
  </si>
  <si>
    <t>BR73401B</t>
  </si>
  <si>
    <t>Relâchement des frais d'acquisition - Modèle BBA/VFA</t>
  </si>
  <si>
    <t>AC=TR101115</t>
  </si>
  <si>
    <t>TR101115</t>
  </si>
  <si>
    <t>Produits des activités d'assurance - Modèle BBA – Ajustements liés à l’expérience</t>
  </si>
  <si>
    <t>Prod Act Assu-BBA-Aju xp</t>
  </si>
  <si>
    <t>Insurance revenue - BBA  - Experience adjustment on received premiums</t>
  </si>
  <si>
    <t>Insurance revenue - BBA - Experience adjustment on received premiums</t>
  </si>
  <si>
    <t>Ins rev-BBA-Expce adj rec prem</t>
  </si>
  <si>
    <t>Prod Act Assu-BBA-Aju prim rec</t>
  </si>
  <si>
    <t>BR73501B</t>
  </si>
  <si>
    <t>Ajustements liés à l'expérience sur les primes reçues - Modèle BBA/VFA</t>
  </si>
  <si>
    <t>Prod Act Assu-BBA-Aju xp acq</t>
  </si>
  <si>
    <t>Insurance revenue - BBA  - Experience adjustment on acquisition costs</t>
  </si>
  <si>
    <t>Insurance revenue - BBA - Experience adjustment on acquisition costs</t>
  </si>
  <si>
    <t>Ins rev-BBA-Expce adj acq cost</t>
  </si>
  <si>
    <t>BR73502B</t>
  </si>
  <si>
    <t>Ajustements liés à l'expérience sur les frais d'acquisition - Modèle BBA/VFA</t>
  </si>
  <si>
    <t>AC=TR101116</t>
  </si>
  <si>
    <t>TR101116</t>
  </si>
  <si>
    <t>Produits des activités d'assurance - Modèle BBA - Cptes liaison et ajust. réass.</t>
  </si>
  <si>
    <t>Prod Act Assu-BBA-Liaison&amp;Aju</t>
  </si>
  <si>
    <t xml:space="preserve">Insurance revenue - BBA  - liaison and adjustment account </t>
  </si>
  <si>
    <t>Insurance revenue - BBA - liaison and adjustment account</t>
  </si>
  <si>
    <t xml:space="preserve">Ins rev-BBA-liais adj account </t>
  </si>
  <si>
    <t>R7070000BL</t>
  </si>
  <si>
    <t>Prod Act Assu-BBA-Lias réass</t>
  </si>
  <si>
    <t xml:space="preserve">Insurance revenue - BBA  - liaison account </t>
  </si>
  <si>
    <t>Insurance revenue - BBA - liaison account</t>
  </si>
  <si>
    <t xml:space="preserve">Ins rev-BBA- liaison account </t>
  </si>
  <si>
    <t>BR84111L</t>
  </si>
  <si>
    <t>Comptes de Liaison - Produits et charges activités ass. et réass. - Modèle BBA/VFA</t>
  </si>
  <si>
    <t>Prod Act Assu-BBA-Aju réass</t>
  </si>
  <si>
    <t xml:space="preserve">Insurance revenue - BBA  - adjustment account </t>
  </si>
  <si>
    <t>Insurance revenue - BBA - adjustment account</t>
  </si>
  <si>
    <t xml:space="preserve">Ins rev-BBA-adj account </t>
  </si>
  <si>
    <t>BR84111A</t>
  </si>
  <si>
    <t>Comptes d'ajustement - Produits et charges activités ass. et réass. - Modèle BBA/VFA</t>
  </si>
  <si>
    <t>AC=TR101117</t>
  </si>
  <si>
    <t>TR101117</t>
  </si>
  <si>
    <t>Prod Act Assu-BBA-Var LC</t>
  </si>
  <si>
    <t>Insurance revenue - BBA  -  LC Variation</t>
  </si>
  <si>
    <t>Ins rev-BBA-Var LC</t>
  </si>
  <si>
    <t>Evol 56 (ex Evol 53)</t>
  </si>
  <si>
    <t>BR73701B</t>
  </si>
  <si>
    <t>Variation de la composante de perte sur produits des activités d'assurance - Modèle BBA/VFA</t>
  </si>
  <si>
    <t>AC=TR10112</t>
  </si>
  <si>
    <t>TR10112</t>
  </si>
  <si>
    <t>Produits des activités d'assurance - Modèle VFA</t>
  </si>
  <si>
    <t>Prod Act Assu-VFA</t>
  </si>
  <si>
    <t xml:space="preserve">Insurance revenue - VFA </t>
  </si>
  <si>
    <t>Insurance revenue - VFA</t>
  </si>
  <si>
    <t>AC=TR101121</t>
  </si>
  <si>
    <t>TR101121</t>
  </si>
  <si>
    <t>Produits des activités d'assurance - Modèle VFA - Prestations et frais attendus</t>
  </si>
  <si>
    <t>Prod Act Assu-VFA-Presta&amp;Frais</t>
  </si>
  <si>
    <t>Insurance revenue - VFA  - Expected claims and expenses</t>
  </si>
  <si>
    <t>Insurance revenue - VFA - Expected claims and expenses</t>
  </si>
  <si>
    <t>Ins rev-VFA- Exp Claims Ex</t>
  </si>
  <si>
    <t>Prod Act Assu-VFA-Prest-VarLRC</t>
  </si>
  <si>
    <t>Insurance revenue - VFA - Expected claims and expenses - Expected claims - Variation LRC</t>
  </si>
  <si>
    <t>InsRev-VFA-Exp Clai-VarLRC</t>
  </si>
  <si>
    <t>Prod act ASSU-VFA-Comm-Var LRC</t>
  </si>
  <si>
    <t>Insurance revenue - VFA - Expected claims and expenses - Expected commissions &amp; attributable expenses - Variation LRC</t>
  </si>
  <si>
    <t>InsRev-VFA-ExpComAttriEx-VLRC</t>
  </si>
  <si>
    <t>AC=TR101122</t>
  </si>
  <si>
    <t>TR101122</t>
  </si>
  <si>
    <t>Prod Act Assu-VFA-RA-Var LRC</t>
  </si>
  <si>
    <t>Insurance revenue - VFA  - Risk adjustment release - Var LRC</t>
  </si>
  <si>
    <t>Insurance revenue - VFA - Risk adjustment release - Var LRC</t>
  </si>
  <si>
    <t>InsRev-VFA-Rsk adj rlse-VarLRC</t>
  </si>
  <si>
    <t>AC=TR101123</t>
  </si>
  <si>
    <t>TR101123</t>
  </si>
  <si>
    <t>Prod Act Assu-VFA Alloc CSM R</t>
  </si>
  <si>
    <t>Insurance revenue - VFA  -  CSM release through P&amp;L</t>
  </si>
  <si>
    <t>Insurance revenue - VFA - CSM release through P&amp;L</t>
  </si>
  <si>
    <t>Ins rev-VFA-CSM rlse thrgh P&amp;L</t>
  </si>
  <si>
    <t>AC=TR101124</t>
  </si>
  <si>
    <t>TR101124</t>
  </si>
  <si>
    <t>Prod Act Assu-VFA-Rela coû acq</t>
  </si>
  <si>
    <t>Insurance revenue - VFA  - Release of acquisition costs</t>
  </si>
  <si>
    <t>Insurance revenue - VFA - Release of acquisition costs</t>
  </si>
  <si>
    <t>Ins rev-VFA-Rlse acq costs</t>
  </si>
  <si>
    <t>AC=TR101125</t>
  </si>
  <si>
    <t>TR101125</t>
  </si>
  <si>
    <t>Produits des activités d'assurance - Modèle VFA – Ajustements liés à l’expérience</t>
  </si>
  <si>
    <t>Prod Act Assu-VFA-Aju xp</t>
  </si>
  <si>
    <t>Insurance revenue - VFA  - Experience adjustment on received premiums</t>
  </si>
  <si>
    <t>Insurance revenue - VFA - Experience adjustment on received premiums</t>
  </si>
  <si>
    <t>Ins rev-VFA-Expce adj rec prem</t>
  </si>
  <si>
    <t>Prod Act Assu-VFA-Aju prim rec</t>
  </si>
  <si>
    <t>Prod Act Assu-VFA-Aju frais aq</t>
  </si>
  <si>
    <t>Insurance revenue - VFA  - Experience adjustment on acquisition costs</t>
  </si>
  <si>
    <t>Insurance revenue - VFA - Experience adjustment on acquisition costs</t>
  </si>
  <si>
    <t>Ins rev-VFA-Expce adj acq cost</t>
  </si>
  <si>
    <t>AC=TR101126</t>
  </si>
  <si>
    <t>TR101126</t>
  </si>
  <si>
    <t>Produits des activités d'assurance - Modèle VFA - Cptes liaison et ajust. réass.</t>
  </si>
  <si>
    <t>Prod Act Assu-VFA-Cpteliai&amp;Aju</t>
  </si>
  <si>
    <t xml:space="preserve">Insurance revenue - VFA  - liaison and adjustment account </t>
  </si>
  <si>
    <t>Insurance revenue - VFA - liaison and adjustment account</t>
  </si>
  <si>
    <t xml:space="preserve">Ins rev-VFA-liais adj account </t>
  </si>
  <si>
    <t>R7070000VL</t>
  </si>
  <si>
    <t>Prod Act Assu-VFA-Cpteliai réa</t>
  </si>
  <si>
    <t xml:space="preserve">Insurance revenue - VFA  - liaison account </t>
  </si>
  <si>
    <t>Insurance revenue - VFA - liaison account</t>
  </si>
  <si>
    <t xml:space="preserve">Ins rev-VFA- liaison account </t>
  </si>
  <si>
    <t>Prod Act Assu-VFA-Cpte Aju réa</t>
  </si>
  <si>
    <t xml:space="preserve">Insurance revenue - VFA  - adjustment account </t>
  </si>
  <si>
    <t>Insurance revenue - VFA - adjustment account</t>
  </si>
  <si>
    <t xml:space="preserve">Ins rev-VFA-adj account </t>
  </si>
  <si>
    <t>AC=TR101127</t>
  </si>
  <si>
    <t>TR101127</t>
  </si>
  <si>
    <t>Prod Act Assu-VFA-Var LC</t>
  </si>
  <si>
    <t>Insurance revenue - VFA  -  LC Variation</t>
  </si>
  <si>
    <t>Ins rev-VFA-Var LC</t>
  </si>
  <si>
    <t>AC=TR1012</t>
  </si>
  <si>
    <t>TR1012</t>
  </si>
  <si>
    <t>Produits des activités d'assurance - Modèle PAA</t>
  </si>
  <si>
    <t>Prod Act Assu-PAA</t>
  </si>
  <si>
    <t>Insurance revenue PAA</t>
  </si>
  <si>
    <t>AC=TR10121</t>
  </si>
  <si>
    <t>TR10121</t>
  </si>
  <si>
    <t>AC=TR101211</t>
  </si>
  <si>
    <t>TR101211</t>
  </si>
  <si>
    <t>Prod Act Assu-PAA-Lib cou (PA)</t>
  </si>
  <si>
    <t>Insurance revenue - PAA - Reversable of liability of remaning coverage (Earned preniums)</t>
  </si>
  <si>
    <t>InsRev-PAA-ReverLiaRemCovEaPre</t>
  </si>
  <si>
    <t>BR73601P</t>
  </si>
  <si>
    <t>Libération de la couverture restante (Primes acquises) - Modèle PAA</t>
  </si>
  <si>
    <t>AC=TR101212</t>
  </si>
  <si>
    <t>TR101212</t>
  </si>
  <si>
    <t>Produits des activités d'assurance - Modèle PAA- Cptes liaison et ajust. réass.</t>
  </si>
  <si>
    <t>Prod Act Assu-PAA-Liais&amp;Aju</t>
  </si>
  <si>
    <t xml:space="preserve">Insurance revenue - PAA  - liaison and adjustment account </t>
  </si>
  <si>
    <t>Insurance revenue - PAA - liaison and adjustment account</t>
  </si>
  <si>
    <t xml:space="preserve">Ins rev-PAA-liaison adj acc </t>
  </si>
  <si>
    <t>R7070400PL</t>
  </si>
  <si>
    <t>Produits des activités d'assurance - Modèle PAA - Cpte liaison réass</t>
  </si>
  <si>
    <t>Prod Act Assu-PAA-Cmpt liaison</t>
  </si>
  <si>
    <t xml:space="preserve">Insurance revenue - PAA  - liaison account </t>
  </si>
  <si>
    <t>Insurance revenue - PAA - liaison account</t>
  </si>
  <si>
    <t xml:space="preserve">Ins rev-PAA-liaison account </t>
  </si>
  <si>
    <t>BR84121L</t>
  </si>
  <si>
    <t>Comptes de Liaison - Produits et charges activités ass. et réass. - Modèle PAA</t>
  </si>
  <si>
    <t>Prod Act Assu-PAA-Cmpt Aju</t>
  </si>
  <si>
    <t xml:space="preserve">Insurance revenue - PAA  - adjustment account </t>
  </si>
  <si>
    <t>Insurance revenue - PAA - adjustment account</t>
  </si>
  <si>
    <t xml:space="preserve">Ins rev-PAA-adj account </t>
  </si>
  <si>
    <t>BR84121A</t>
  </si>
  <si>
    <t>Comptes d'ajustement - Produits et charges activités ass. et réass. - Modèle PAA</t>
  </si>
  <si>
    <t>AC=TR102</t>
  </si>
  <si>
    <t>TR102</t>
  </si>
  <si>
    <t>Chrg Act Assu</t>
  </si>
  <si>
    <t xml:space="preserve">Charges related to insurance activities </t>
  </si>
  <si>
    <t>Charges related to insurance activities</t>
  </si>
  <si>
    <t xml:space="preserve">Chges  Ins act </t>
  </si>
  <si>
    <t>AC=TR1021</t>
  </si>
  <si>
    <t>TR1021</t>
  </si>
  <si>
    <t>Charges afférentes aux activités d'assurance - Modèle BBA et VFA</t>
  </si>
  <si>
    <t>Chrg Act Assu-BBA VFA</t>
  </si>
  <si>
    <t>Charges related to insurance activities BBA and VFA</t>
  </si>
  <si>
    <t>Chges  Ins act BBA and VFA</t>
  </si>
  <si>
    <t>AC=TR10211</t>
  </si>
  <si>
    <t>TR10211</t>
  </si>
  <si>
    <t>Charges afférentes aux activités d'assurance - Modèle BBA</t>
  </si>
  <si>
    <t>Chrg Act Assu-BBA</t>
  </si>
  <si>
    <t>Charges related to insurance activities BBA</t>
  </si>
  <si>
    <t>Chges  Ins act BBA</t>
  </si>
  <si>
    <t>AC=TR102111</t>
  </si>
  <si>
    <t>TR102111</t>
  </si>
  <si>
    <t>Charges afférentes aux activités d'assurance - Modèle BBA - Prestations et frais réels</t>
  </si>
  <si>
    <t>Chrg Act Assu-BBA-Pres&amp;frais R</t>
  </si>
  <si>
    <t>Charges related to insurance activities - BBA  - Incurred claims and expenses</t>
  </si>
  <si>
    <t>Charges related to insurance activities - BBA - Incurred claims and expenses</t>
  </si>
  <si>
    <t>Chges Ins act-BBA-Inc clai  Ex</t>
  </si>
  <si>
    <t>Chrg Act Assu-BBA-Prest réelle</t>
  </si>
  <si>
    <t>Charges related to insurance activities - BBA - Incurred claims and expenses - Incurred claims</t>
  </si>
  <si>
    <t>ChrgInsAct-BBA-Incurred Claims</t>
  </si>
  <si>
    <t>BR64101B</t>
  </si>
  <si>
    <t>Prestations réelles - Modèle BBA/VFA</t>
  </si>
  <si>
    <t>Chrg Act Assu-BBA-Comm</t>
  </si>
  <si>
    <t>Charges related to insurance activities - BBA - Incurred claims and expenses - Incurred expenses &amp; attributable expenses</t>
  </si>
  <si>
    <t>ChrgInsAct-BBA-IncEx AttriEx</t>
  </si>
  <si>
    <t>BR64102B</t>
  </si>
  <si>
    <t>Commissions réelles - Modèle BBA/VFA</t>
  </si>
  <si>
    <t>Chrg Act Assu-BBA-Frais att</t>
  </si>
  <si>
    <t>Charges related to insurance activities - BBA - Incurred claims and expenses - Incurred attributable expenses</t>
  </si>
  <si>
    <t>Chges Ins Act-BBA- Inc Attr Ex</t>
  </si>
  <si>
    <t>BR64103B</t>
  </si>
  <si>
    <t>Autres frais attribuables - Modèle BBA/VFA</t>
  </si>
  <si>
    <t>AC=TR102112</t>
  </si>
  <si>
    <t>TR102112</t>
  </si>
  <si>
    <t>Chrg Act Assu-BBA-Var servpass</t>
  </si>
  <si>
    <t>Charges related to insurance activities - BBA  - Incurred claims and expenses - Variation due to past services</t>
  </si>
  <si>
    <t>Charges related to insurance activities - BBA - Incurred claims and expenses - Variation due to past services</t>
  </si>
  <si>
    <t>ChgesInsAct-BBA-VarPastServ</t>
  </si>
  <si>
    <t>BR64201B</t>
  </si>
  <si>
    <t>Variation liée aux services passés - Modèle BBA/VFA</t>
  </si>
  <si>
    <t>AC=TR102113</t>
  </si>
  <si>
    <t>TR102113</t>
  </si>
  <si>
    <t>Charges afférentes aux activités d'assurance - Modèle BBA - Composante de perte</t>
  </si>
  <si>
    <t>Chrg Act Assu-BBA-CP</t>
  </si>
  <si>
    <t>Charges related to insurance activities - BBA - Incurred claims and expenses - Loss component</t>
  </si>
  <si>
    <t>ChInsAct-BBA-IncClaiEx-LosComp</t>
  </si>
  <si>
    <t>Charges afférentes aux activités d'assurance - Modèle BBA - Composante de perte - Pertes et reprises sur contrats onéreux</t>
  </si>
  <si>
    <t>Chrg Act Assu-BBA-CP-p/r CToné</t>
  </si>
  <si>
    <t>Charges related to insurance activities - BBA - Incurred claims and expenses - Recognition and reversal of loss component</t>
  </si>
  <si>
    <t>Charges related to ins activities - BBA - Incurred claims and expenses - Recognition and reversal of loss component</t>
  </si>
  <si>
    <t>ChgesInsAct-BBA-RecoRevLosComp</t>
  </si>
  <si>
    <t>BR64301B</t>
  </si>
  <si>
    <t>Constatation et reprise de la composante de perte - Modèle BBA/VFA</t>
  </si>
  <si>
    <t>Evol 69</t>
  </si>
  <si>
    <t>Chrg Act Assu-BBA-CP-Alloc per</t>
  </si>
  <si>
    <t>Charges related to insurance activities - BBA - Incurred claims and expenses - Allocation to the loss component</t>
  </si>
  <si>
    <t>ChgesInsAct-BBA-AllocLosComp</t>
  </si>
  <si>
    <t>BR64302B</t>
  </si>
  <si>
    <t>Allocation de la composante de perte - Modèle BBA/VFA</t>
  </si>
  <si>
    <t>AC=TR102114</t>
  </si>
  <si>
    <t>TR102114</t>
  </si>
  <si>
    <t>Chrg Act Assu-BBA-Amo frais aq</t>
  </si>
  <si>
    <t>Charges related to insurance activities - BBA - Incurred claims and expenses - Loss component - Acquisition costs amortization</t>
  </si>
  <si>
    <t>Charges related to ins activities - BBA - Incurred claims and expenses - Loss component - Acquisition costs amortization</t>
  </si>
  <si>
    <t>ChgesInsAct-BBA-LosCom-AcqCoAM</t>
  </si>
  <si>
    <t>Charges related to insurance activities - BBA - Incurred claims and expenses - Acquisition costs amortization</t>
  </si>
  <si>
    <t>Charges related to ins activities - BBA - Incurred claims and expenses - Acquisition costs amortization</t>
  </si>
  <si>
    <t>ChgesInsAct-BBA-AcqCoAM</t>
  </si>
  <si>
    <t>BR64401B</t>
  </si>
  <si>
    <t>Amortissement des frais d'acquisition - Modèle BBA/VFA</t>
  </si>
  <si>
    <t>Evol 40 / Evol 69</t>
  </si>
  <si>
    <t>AC=TR102115</t>
  </si>
  <si>
    <t>TR102115</t>
  </si>
  <si>
    <t>Chrg Act Assu-BBA-Var Aju-LIC</t>
  </si>
  <si>
    <t>Charges related to insurance activities - BBA  - Variation in risk adjustment - LIC</t>
  </si>
  <si>
    <t>Charges related to insurance activities - BBA - Variation in risk adjustment - LIC</t>
  </si>
  <si>
    <t>ChgesInsAct-BBA-VarRskAdj-LIC</t>
  </si>
  <si>
    <t>BR64601B</t>
  </si>
  <si>
    <t>Variation RA LIC - Modèle BBA/VFA</t>
  </si>
  <si>
    <t>Evol 40 / Evol 115</t>
  </si>
  <si>
    <t>AC=TR102116</t>
  </si>
  <si>
    <t>TR102116</t>
  </si>
  <si>
    <r>
      <t xml:space="preserve">Charges afférentes aux activités d'assurance - Modèle BBA- Cptes liaison et ajust. réass. - </t>
    </r>
    <r>
      <rPr>
        <b/>
        <sz val="10"/>
        <color rgb="FF00B050"/>
        <rFont val="Arial"/>
        <family val="2"/>
      </rPr>
      <t>Prestations et frais réels</t>
    </r>
  </si>
  <si>
    <t>Charges afférentes aux activités d'assurance - Modèle BBA- Cptes liaison et ajust. réass. -</t>
  </si>
  <si>
    <t>Chrg Act Assu-BBA-Cpt Liai&amp;Aju</t>
  </si>
  <si>
    <t xml:space="preserve">Charges related to insurance activities - BAA  - liaison and adjustment account </t>
  </si>
  <si>
    <t>Charges related to insurance activities - BAA - liaison and adjustment account</t>
  </si>
  <si>
    <t xml:space="preserve">ChgesInsAct- BAA -LiaisAdjAcc </t>
  </si>
  <si>
    <t>Evol 40 / Evol 86</t>
  </si>
  <si>
    <t>AC=R6020000BL</t>
  </si>
  <si>
    <t>R6020000BL</t>
  </si>
  <si>
    <r>
      <t xml:space="preserve">Charges afférentes aux activités d'assurance - Modèle BBA - Cpte liaison </t>
    </r>
    <r>
      <rPr>
        <strike/>
        <sz val="10"/>
        <color rgb="FFFF0000"/>
        <rFont val="Arial"/>
        <family val="2"/>
      </rPr>
      <t>réass</t>
    </r>
    <r>
      <rPr>
        <sz val="10"/>
        <color rgb="FF00B050"/>
        <rFont val="Arial"/>
        <family val="2"/>
      </rPr>
      <t xml:space="preserve"> - Prestations et frais réels</t>
    </r>
  </si>
  <si>
    <t>Charges afférentes aux activités d'assurance - Modèle BBA - Cpte liaison - Prestations et frais réels</t>
  </si>
  <si>
    <t>Chrg Act Assu-BBA-Liai - prest</t>
  </si>
  <si>
    <t xml:space="preserve">Charges related to insurance activities - BBA - liaison account - Incurred claims and expenses </t>
  </si>
  <si>
    <t>ChgesInsAct-BBA-liaison-claims</t>
  </si>
  <si>
    <t>BR83111L</t>
  </si>
  <si>
    <r>
      <t xml:space="preserve">Charges afférentes aux activités d'assurance - Modèle BBA - Cpte ajust </t>
    </r>
    <r>
      <rPr>
        <strike/>
        <sz val="10"/>
        <color rgb="FFFF0000"/>
        <rFont val="Arial"/>
        <family val="2"/>
      </rPr>
      <t>réass</t>
    </r>
    <r>
      <rPr>
        <sz val="10"/>
        <color rgb="FF00B050"/>
        <rFont val="Arial"/>
        <family val="2"/>
      </rPr>
      <t xml:space="preserve"> - Prestations et frais réels</t>
    </r>
  </si>
  <si>
    <t>Charges afférentes aux activités d'assurance - Modèle BBA - Cpte ajust  - Prestations et frais réels</t>
  </si>
  <si>
    <t>Chrg Act Assu-BBA-Aju-prest</t>
  </si>
  <si>
    <t xml:space="preserve">Charges related to insurance activities - BAA - adjustment account - Incurred claims and expenses </t>
  </si>
  <si>
    <t>ChgesInsAct- BAA -adj-claims</t>
  </si>
  <si>
    <t>BR83111A</t>
  </si>
  <si>
    <t>AC=R6020001BL</t>
  </si>
  <si>
    <t>R6020001BL</t>
  </si>
  <si>
    <t>Charges afférentes aux activités d'assurance - Modèle BBA - Cpte liaison - Variation liée aux services passés</t>
  </si>
  <si>
    <t>Chrg Act Assu-BBA-Liai-var-ser</t>
  </si>
  <si>
    <t>Charges related to insurance activities - BBA - liaison account - Variation due to past services</t>
  </si>
  <si>
    <t>ChgesInsAct-BBA-liaison-past-s</t>
  </si>
  <si>
    <t>BR83113L</t>
  </si>
  <si>
    <t>Chrg Act Assu-BBA-Aju-var-ser</t>
  </si>
  <si>
    <t>Charges related to insurance activities - BAA - adjustment account -Variation due to past services</t>
  </si>
  <si>
    <t>ChgesInsAct-BBA-ladj-past-s</t>
  </si>
  <si>
    <t>BR83113A</t>
  </si>
  <si>
    <t>R6020002BL</t>
  </si>
  <si>
    <t>Charges afférentes aux activités d'assurance - Modèle BBA - Cpte liaison - Pertes et reprises sur les contrats onéreux</t>
  </si>
  <si>
    <t>Chrg Act Assu-BBA-Liai-ctt-oné</t>
  </si>
  <si>
    <t>Charges related to insurance activities - BBA - liaison account - Recognition and reversal of loss component</t>
  </si>
  <si>
    <t>ChgesInsAct-BBA-liaison-reco</t>
  </si>
  <si>
    <t>BR83114L</t>
  </si>
  <si>
    <t>Chrg Act Assu-BBA-Aju-ctt-oné</t>
  </si>
  <si>
    <t>Charges related to insurance activities - BBA -adjustment account - Recognition and reversal of loss component</t>
  </si>
  <si>
    <t>ChgesInsAct-BBA-adj-reco</t>
  </si>
  <si>
    <t>BR83114A</t>
  </si>
  <si>
    <t>R6020003BL</t>
  </si>
  <si>
    <t>Charges afférentes aux activités d'assurance - Modèle BBA - Cpte liaison - Allocation à l'élément de perte</t>
  </si>
  <si>
    <t>Chrg Act Assu-BBA-Liai-alloc-p</t>
  </si>
  <si>
    <t>Charges related to insurance activities - BBA -adjustment account - Acquisition costs amortization</t>
  </si>
  <si>
    <t>ChgesInsAct-BBA-liaison-acqu-c</t>
  </si>
  <si>
    <t>Chrg Act Assu-BBA-Aju-valloc-p</t>
  </si>
  <si>
    <t>ChgesInsAct-BBA-adj-acqu-c</t>
  </si>
  <si>
    <t>AC=TR10212</t>
  </si>
  <si>
    <t>TR10212</t>
  </si>
  <si>
    <t>Charges afférentes aux activités d'assurance - Modèle VFA</t>
  </si>
  <si>
    <t>Chrg Act Assu-VFA</t>
  </si>
  <si>
    <t>Charges related to insurance activities VFA</t>
  </si>
  <si>
    <t>Chges  Ins act VFA</t>
  </si>
  <si>
    <t>AC=TR102121</t>
  </si>
  <si>
    <t>TR102121</t>
  </si>
  <si>
    <t>Charges afférentes aux activités d'assurance - Modèle VFA - Prestations et frais réels</t>
  </si>
  <si>
    <t>Chrg Act Assu-VFA-Prest frais</t>
  </si>
  <si>
    <t>Charges related to insurance activities - VFA  - Incurred claims and expenses</t>
  </si>
  <si>
    <t>Charges related to insurance activities - VFA - Incurred claims and expenses</t>
  </si>
  <si>
    <t>ChgesInsAct- VFA-Inc clai  Ex</t>
  </si>
  <si>
    <t>Charges related to insurance activities - VFA - Incurred claims and expenses - Incurred claims</t>
  </si>
  <si>
    <t>ChgesInsAct-VFA-IncClai</t>
  </si>
  <si>
    <t>Chrg Act Assu-VFA-Comm</t>
  </si>
  <si>
    <t>Charges related to insurance activities - VFA - Incurred claims and expenses - Incurred expenses &amp; attributable expenses</t>
  </si>
  <si>
    <t>ChgesInsAct-VFA-IncExAttriEx</t>
  </si>
  <si>
    <t>Chrg Act Assu-VFA-Frais attrib</t>
  </si>
  <si>
    <t>Charges related to insurance activities - VFA - Incurred claims and expenses - Incurred attributable expenses</t>
  </si>
  <si>
    <t>ChgesInsAct-VFA-IncAttriEx</t>
  </si>
  <si>
    <t>AC=TR102122</t>
  </si>
  <si>
    <t>TR102122</t>
  </si>
  <si>
    <t>Chrg Act Assu-VFA-Var serv paC</t>
  </si>
  <si>
    <t>Charges related to insurance activities - VFA  - Incurred claims and expenses - Variation due to past services</t>
  </si>
  <si>
    <t>Charges related to insurance activities - VFA - Incurred claims and expenses - Variation due to past services</t>
  </si>
  <si>
    <t>ChgesInsAct-VFA-var past serv</t>
  </si>
  <si>
    <t>AC=TR102123</t>
  </si>
  <si>
    <t>TR102123</t>
  </si>
  <si>
    <t>Charges afférentes aux activités d'assurance - Modèle VFA - Composante de perte</t>
  </si>
  <si>
    <t>Chrg Act Assu-VFA-CP</t>
  </si>
  <si>
    <t>Charges related to insurance activities - VFA - Incurred claims and expenses - Loss component</t>
  </si>
  <si>
    <t>ChgesInsAct-VFA-Loss component</t>
  </si>
  <si>
    <t>Chrg Act Assu-VFA-CP-p/r oné</t>
  </si>
  <si>
    <t>Charges related to insurance activities - VFA - Incurred claims and expenses - Recognition and reversal of loss component</t>
  </si>
  <si>
    <t>Charges related to ins activities - VFA - Incurred claims and expenses - Recognition and reversal of loss component</t>
  </si>
  <si>
    <t>ChgesInsAct-VFA-RecoRevLosComp</t>
  </si>
  <si>
    <t>Chrg Act Assu-VFA-CP-Alloc per</t>
  </si>
  <si>
    <t>Charges related to insurance activities - VFA - Incurred claims and expenses - Allocation to the loss component</t>
  </si>
  <si>
    <t>ChgesInsAct-VFA-AllocLosComp</t>
  </si>
  <si>
    <t>AC=TR102124</t>
  </si>
  <si>
    <t>TR102124</t>
  </si>
  <si>
    <t>Chrg Act Assu-VFA-Amo frais aq</t>
  </si>
  <si>
    <t>Charges related to insurance activities - VFA - Incurred claims and expenses - Loss component - Acquisition costs amortization</t>
  </si>
  <si>
    <t>Charges related to ins activities - VFA - Incurred claims and expenses - Acquisition costs amortization</t>
  </si>
  <si>
    <t>ChgesInsAct-VFA-Loscomp-AcCoAM</t>
  </si>
  <si>
    <t>Charges related to insurance activities - VFA - Incurred claims and expenses - Acquisition costs amortization</t>
  </si>
  <si>
    <t>ChgesInsAct-VFA-AcCoAM</t>
  </si>
  <si>
    <t>AC=TR102125</t>
  </si>
  <si>
    <t>TR102125</t>
  </si>
  <si>
    <t>Chrg Act Assu-VFA-Var aju LIC</t>
  </si>
  <si>
    <t>Charges related to insurance activities - VFA  - Variation in risk adjustment - LIC</t>
  </si>
  <si>
    <t>Charges related to insurance activities - VFA - Variation in risk adjustment - LIC</t>
  </si>
  <si>
    <t>ChgesInsAct-VFA-VarRskAdj-LIC</t>
  </si>
  <si>
    <t>AC=TR102126</t>
  </si>
  <si>
    <t>TR102126</t>
  </si>
  <si>
    <r>
      <t xml:space="preserve">Charges afférentes aux activités d'assurance - Modèle VFA- Cptes liaison et ajust. réass. - </t>
    </r>
    <r>
      <rPr>
        <b/>
        <sz val="10"/>
        <color rgb="FF00B050"/>
        <rFont val="Arial"/>
        <family val="2"/>
      </rPr>
      <t>Prestations et frais réels</t>
    </r>
  </si>
  <si>
    <t>Charges afférentes aux activités d'assurance - Modèle VFA- Cptes liaison et ajust. réass.</t>
  </si>
  <si>
    <t>Chrg Act Assu-VFA-Liaison&amp;Aju</t>
  </si>
  <si>
    <t xml:space="preserve">Charges related to insurance activities - VFA  - liaison and adjustment account </t>
  </si>
  <si>
    <t>Charges related to insurance activities - VFA - liaison and adjustment account</t>
  </si>
  <si>
    <t xml:space="preserve">ChgesInsAct-VFA-liais adj acc </t>
  </si>
  <si>
    <t>AC=R6020000VL</t>
  </si>
  <si>
    <t>R6020000VL</t>
  </si>
  <si>
    <r>
      <t>Charges afférentes aux activités d'assurance - Modèle VFA - Cpte liaison</t>
    </r>
    <r>
      <rPr>
        <strike/>
        <sz val="10"/>
        <rFont val="Arial"/>
        <family val="2"/>
      </rPr>
      <t xml:space="preserve"> </t>
    </r>
    <r>
      <rPr>
        <strike/>
        <sz val="10"/>
        <color rgb="FFFF0000"/>
        <rFont val="Arial"/>
        <family val="2"/>
      </rPr>
      <t>réass</t>
    </r>
    <r>
      <rPr>
        <sz val="10"/>
        <rFont val="Arial"/>
        <family val="2"/>
      </rPr>
      <t xml:space="preserve"> - </t>
    </r>
    <r>
      <rPr>
        <sz val="10"/>
        <color rgb="FF00B050"/>
        <rFont val="Arial"/>
        <family val="2"/>
      </rPr>
      <t>Prestations et frais réels</t>
    </r>
  </si>
  <si>
    <r>
      <t>Charges afférentes aux activités d'assurance - Modèle VFA - Cpte liaison</t>
    </r>
    <r>
      <rPr>
        <strike/>
        <sz val="10"/>
        <color theme="1"/>
        <rFont val="Arial"/>
        <family val="2"/>
      </rPr>
      <t xml:space="preserve">  </t>
    </r>
    <r>
      <rPr>
        <sz val="10"/>
        <color theme="1"/>
        <rFont val="Arial"/>
        <family val="2"/>
      </rPr>
      <t xml:space="preserve"> Prestations et frais réels</t>
    </r>
  </si>
  <si>
    <t>Chrg Act Assu-VFA-Liai - prest</t>
  </si>
  <si>
    <t xml:space="preserve">Charges related to insurance activities - VFA - liaison account - Incurred claims and expenses </t>
  </si>
  <si>
    <t>ChgesInsAct-VFA-liaison-claims</t>
  </si>
  <si>
    <r>
      <t xml:space="preserve">Charges afférentes aux activités d'assurance - Modèle VFA - Cpte aust </t>
    </r>
    <r>
      <rPr>
        <strike/>
        <sz val="10"/>
        <color rgb="FFFF0000"/>
        <rFont val="Arial"/>
        <family val="2"/>
      </rPr>
      <t>réass</t>
    </r>
    <r>
      <rPr>
        <strike/>
        <sz val="10"/>
        <rFont val="Arial"/>
        <family val="2"/>
      </rPr>
      <t xml:space="preserve"> </t>
    </r>
    <r>
      <rPr>
        <sz val="10"/>
        <rFont val="Arial"/>
        <family val="2"/>
      </rPr>
      <t xml:space="preserve">- </t>
    </r>
    <r>
      <rPr>
        <sz val="10"/>
        <color rgb="FF00B050"/>
        <rFont val="Arial"/>
        <family val="2"/>
      </rPr>
      <t>Prestations et frais réels</t>
    </r>
  </si>
  <si>
    <t>Charges afférentes aux activités d'assurance - Modèle VFA - Cpte aust - Prestations et frais réels</t>
  </si>
  <si>
    <t>Chrg Act Assu-VFA-Aju-prest</t>
  </si>
  <si>
    <t xml:space="preserve">Charges related to insurance activities - VFA- adjustment account - Incurred claims and expenses </t>
  </si>
  <si>
    <t xml:space="preserve">Charges related to insurance activities -VFA - adjustment account - Incurred claims and expenses </t>
  </si>
  <si>
    <t>ChgesInsAct- VFA -adj-claims</t>
  </si>
  <si>
    <t>AC=R6020001VL</t>
  </si>
  <si>
    <t>R6020001VL</t>
  </si>
  <si>
    <t>Charges afférentes aux activités d'assurance - Modèle VFA - Cpte liaison - Variation liée aux services passés</t>
  </si>
  <si>
    <t>Chrg Act Assu-VFA-Liai-var-ser</t>
  </si>
  <si>
    <t>Charges related to insurance activities - VFA - liaison account - Variation due to past services</t>
  </si>
  <si>
    <t>ChgesInsAct-VFA-liaison-past-s</t>
  </si>
  <si>
    <t>Chrg Act Assu-VFA-Aju-var-ser</t>
  </si>
  <si>
    <t>Charges related to insurance activities - VFA- adjustment account -Variation due to past services</t>
  </si>
  <si>
    <t>Charges related to insurance activities - VFA - adjustment account -Variation due to past services</t>
  </si>
  <si>
    <t>ChgesInsAct-VFA-ladj-past-s</t>
  </si>
  <si>
    <t>AC=R6020002VL</t>
  </si>
  <si>
    <t>R6020002VL</t>
  </si>
  <si>
    <t>Charges afférentes aux activités d'assurance - Modèle VFA - Cpte liaison - Pertes et reprises sur les contrats onéreux</t>
  </si>
  <si>
    <t>Chrg Act Assu-VFA-Liai-ctt-oné</t>
  </si>
  <si>
    <t>Charges related to insurance activities - VFA - liaison account - Recognition and reversal of loss component</t>
  </si>
  <si>
    <t>ChgesInsAct-VFA-liaison-reco</t>
  </si>
  <si>
    <t>Chrg Act Assu-VFA-Aju-ctt-oné</t>
  </si>
  <si>
    <t>Charges related to insurance activities - VFA -adjustment account - Recognition and reversal of loss component</t>
  </si>
  <si>
    <t>ChgesInsAct-VFA-adj-reco</t>
  </si>
  <si>
    <t>AC=R6020003VL</t>
  </si>
  <si>
    <t>R6020003VL</t>
  </si>
  <si>
    <t>Charges afférentes aux activités d'assurance - Modèle VFA - Cpte liaison - Allocation à l'élément de perte</t>
  </si>
  <si>
    <t>Chrg Act Assu-VFA-Liai-alloc-p</t>
  </si>
  <si>
    <t>Charges related to insurance activities - VFA -adjustment account - Acquisition costs amortization</t>
  </si>
  <si>
    <t>ChgesInsAct-VFA-liaison-acqu-c</t>
  </si>
  <si>
    <t>Chrg Act Assu-VFA-Aju-valloc-p</t>
  </si>
  <si>
    <t>ChgesInsAct-VFA-adj-acqu-c</t>
  </si>
  <si>
    <t>AC=TR1022</t>
  </si>
  <si>
    <t>TR1022</t>
  </si>
  <si>
    <t>Charges afférentes aux activités d'assurance - Modèle PAA</t>
  </si>
  <si>
    <t>Chrg Act Assu-PAA</t>
  </si>
  <si>
    <t>Charges related to insurance activities PAA</t>
  </si>
  <si>
    <t>Chges  Ins act PAA</t>
  </si>
  <si>
    <t>AC=TR10221</t>
  </si>
  <si>
    <t>TR10221</t>
  </si>
  <si>
    <t>AC=TR102211</t>
  </si>
  <si>
    <t>TR102211</t>
  </si>
  <si>
    <t>Charges afférentes aux activités d'assurance - Modèle PAA - Prestations et frais réels</t>
  </si>
  <si>
    <t>Chrg Act Assu-PAA-Prest&amp;fraisR</t>
  </si>
  <si>
    <t>Charges related to insurance activities - PAA - Incurred claims and expenses</t>
  </si>
  <si>
    <t>ChgesInsAct-PAA- Inc clai  Ex</t>
  </si>
  <si>
    <t>Chrg Act Assu-PAA-Prest frais</t>
  </si>
  <si>
    <t>Charges related to insurance activities - PAA - Incurred claims and expenses - Incurred claims</t>
  </si>
  <si>
    <t>ChgesInsAct-PAA-Inc clai</t>
  </si>
  <si>
    <t>BR64101P</t>
  </si>
  <si>
    <t>Prestations réelles - Modèle PAA</t>
  </si>
  <si>
    <t>Chrg Act Assu-PAA-Comm</t>
  </si>
  <si>
    <t>Charges related to insurance activities - PAA - Incurred claims and expenses - Incurred expenses &amp; attributable expenses</t>
  </si>
  <si>
    <t>ChgesInsAct-PAA-Inc ex attr Ex</t>
  </si>
  <si>
    <t>BR64102P</t>
  </si>
  <si>
    <t>Commissions réelles - Modèle PAA</t>
  </si>
  <si>
    <t>Chrg Act Assu-PAA-Frais attrib</t>
  </si>
  <si>
    <t>Charges related to insurance activities - PAA - Incurred claims and expenses - Incurred attributable expenses</t>
  </si>
  <si>
    <t>ChgesInsAct-PAA- Inc attr Ex</t>
  </si>
  <si>
    <t>BR64103P</t>
  </si>
  <si>
    <t>Autres frais attribuables - Modèle PAA</t>
  </si>
  <si>
    <t>AC=TR102212</t>
  </si>
  <si>
    <t>TR102212</t>
  </si>
  <si>
    <t>Charges afférentes aux activités d'assurance - Modèle PAA - Variation liée aux services passés</t>
  </si>
  <si>
    <t>Chrg Act Assu-PAA-Var serv paC</t>
  </si>
  <si>
    <r>
      <t xml:space="preserve">Charges related to insurance activities - PAA - Incurred claims and expenses - </t>
    </r>
    <r>
      <rPr>
        <b/>
        <strike/>
        <sz val="10"/>
        <color rgb="FF003366"/>
        <rFont val="Arial"/>
        <family val="2"/>
      </rPr>
      <t>Changes linked to past services</t>
    </r>
    <r>
      <rPr>
        <b/>
        <sz val="10"/>
        <color rgb="FF003366"/>
        <rFont val="Arial"/>
        <family val="2"/>
      </rPr>
      <t xml:space="preserve"> </t>
    </r>
    <r>
      <rPr>
        <b/>
        <sz val="10"/>
        <color rgb="FF00B050"/>
        <rFont val="Arial"/>
        <family val="2"/>
      </rPr>
      <t>Variation due to past services</t>
    </r>
  </si>
  <si>
    <r>
      <t xml:space="preserve">Charges related to insurance activities - PAA - Incurred claims and expenses - </t>
    </r>
    <r>
      <rPr>
        <b/>
        <strike/>
        <sz val="10"/>
        <color rgb="FF003366"/>
        <rFont val="Arial"/>
        <family val="2"/>
      </rPr>
      <t>Changes linked to past services</t>
    </r>
    <r>
      <rPr>
        <b/>
        <sz val="10"/>
        <color rgb="FF003366"/>
        <rFont val="Arial"/>
        <family val="2"/>
      </rPr>
      <t xml:space="preserve">  </t>
    </r>
    <r>
      <rPr>
        <b/>
        <sz val="10"/>
        <color rgb="FF00B050"/>
        <rFont val="Arial"/>
        <family val="2"/>
      </rPr>
      <t>Variation due to past services</t>
    </r>
  </si>
  <si>
    <t>ChgesInsAct-PAA-ChgLinPastServ</t>
  </si>
  <si>
    <t>AC=R61700000P</t>
  </si>
  <si>
    <t>R61700000P</t>
  </si>
  <si>
    <t>Charges related to insurance activities - PAA - Incurred claims and expenses - Changes linked to past services</t>
  </si>
  <si>
    <t>BR64201P</t>
  </si>
  <si>
    <t>Variation liée aux services passés - Modèle PAA</t>
  </si>
  <si>
    <t>AC=TR102213</t>
  </si>
  <si>
    <t>TR102213</t>
  </si>
  <si>
    <t>Chrg Act Assu-PAA-Amo frais aq</t>
  </si>
  <si>
    <t>Charges related to insurance activities - PAA - Incurred claims and expenses - Acquisition costs amortization</t>
  </si>
  <si>
    <t>ChgesInsAct-PAA-Acq Costs AM</t>
  </si>
  <si>
    <t>BR64401P</t>
  </si>
  <si>
    <t>Amortissement des frais d'acquisition - Modèle PAA</t>
  </si>
  <si>
    <t>AC=TR102214</t>
  </si>
  <si>
    <t>TR102214</t>
  </si>
  <si>
    <t>Charges afférentes aux activités d'assurance - Modèle PAA - Composante perte</t>
  </si>
  <si>
    <t>Chrg Act Assu-PAA-CP</t>
  </si>
  <si>
    <t>Charges related to insurance activities - PAA - Loss component</t>
  </si>
  <si>
    <t>ChgesInsAct-PAA- Los component</t>
  </si>
  <si>
    <t>Chrg Act Assu-PAA-p/r frais on</t>
  </si>
  <si>
    <t>Charges related to insurance activities - PAA - Incurred claims and expenses - Recognintion and reversale of loss component</t>
  </si>
  <si>
    <t>Charges related to ins activities - PAA - Incurred claims and expenses - Recognintion and reversale of loss component</t>
  </si>
  <si>
    <t>ChgesInsAct-PAA-RecoRevLosComp</t>
  </si>
  <si>
    <t>BR64301P</t>
  </si>
  <si>
    <t>Constatation et reprise de la composante de perte - Modèle PAA</t>
  </si>
  <si>
    <t>AC=TR102215</t>
  </si>
  <si>
    <t>TR102215</t>
  </si>
  <si>
    <t>Chrg Act Assu-PAA-Var Aju LIC</t>
  </si>
  <si>
    <t>Charges related to insurance activities - PAA  - Variation in risk adjustment - LIC</t>
  </si>
  <si>
    <t>Charges related to insurance activities - PAA - Variation in risk adjustment - LIC</t>
  </si>
  <si>
    <t>ChgesInsAct-PAA-VarRskAdj-LIC</t>
  </si>
  <si>
    <t>BR64601P</t>
  </si>
  <si>
    <t>Variation RA LIC - Modèle PAA</t>
  </si>
  <si>
    <t>AC=TR102216</t>
  </si>
  <si>
    <t>TR102216</t>
  </si>
  <si>
    <r>
      <t>Charges afférentes aux activités d'assurance - Modèle PAA- Cptes liaison et ajust. réass. -</t>
    </r>
    <r>
      <rPr>
        <b/>
        <sz val="10"/>
        <color rgb="FF00B050"/>
        <rFont val="Arial"/>
        <family val="2"/>
      </rPr>
      <t xml:space="preserve"> Prestations et frais réels</t>
    </r>
  </si>
  <si>
    <t>Charges afférentes aux activités d'assurance - Modèle PAA- Cptes liaison et ajust. réass.</t>
  </si>
  <si>
    <t>Chrg Act Assu-PAA-Liaison&amp;Aju</t>
  </si>
  <si>
    <t xml:space="preserve">Charges related to insurance activities - PAA  - liaison and adjustment account </t>
  </si>
  <si>
    <t>Charges related to insurance activities - PAA - liaison and adjustment account</t>
  </si>
  <si>
    <t xml:space="preserve">ChgesInsAct-PAA-LiaisonAdjAcc </t>
  </si>
  <si>
    <t>AC=R6020000PL</t>
  </si>
  <si>
    <t>R6020000PL</t>
  </si>
  <si>
    <r>
      <t>Charges afférentes aux activités d'assurance - Modèle PAA - Cpte liaison</t>
    </r>
    <r>
      <rPr>
        <sz val="10"/>
        <color rgb="FFFF0000"/>
        <rFont val="Arial"/>
        <family val="2"/>
      </rPr>
      <t xml:space="preserve"> </t>
    </r>
    <r>
      <rPr>
        <strike/>
        <sz val="10"/>
        <color rgb="FFFF0000"/>
        <rFont val="Arial"/>
        <family val="2"/>
      </rPr>
      <t>réass</t>
    </r>
    <r>
      <rPr>
        <sz val="10"/>
        <rFont val="Arial"/>
        <family val="2"/>
      </rPr>
      <t xml:space="preserve"> - </t>
    </r>
    <r>
      <rPr>
        <sz val="10"/>
        <color rgb="FF00B050"/>
        <rFont val="Arial"/>
        <family val="2"/>
      </rPr>
      <t>Prestations et frais réels</t>
    </r>
  </si>
  <si>
    <t>Charges afférentes aux activités d'assurance - Modèle PAA - Cpte liaison - Prestations et frais réels</t>
  </si>
  <si>
    <t>Chrg Act Assu-PAA-Liai - prest</t>
  </si>
  <si>
    <t xml:space="preserve">Charges related to insurance activities - PAA - liaison account - Incurred claims and expenses </t>
  </si>
  <si>
    <t>ChgesInsAct-PAA-liaison-claims</t>
  </si>
  <si>
    <t>BR83611L</t>
  </si>
  <si>
    <r>
      <t>Charges afférentes aux activités d'assurance - Modèle PAA - Cpte ajust</t>
    </r>
    <r>
      <rPr>
        <strike/>
        <sz val="10"/>
        <color rgb="FFFF0000"/>
        <rFont val="Arial"/>
        <family val="2"/>
      </rPr>
      <t xml:space="preserve"> réass</t>
    </r>
    <r>
      <rPr>
        <sz val="10"/>
        <rFont val="Arial"/>
        <family val="2"/>
      </rPr>
      <t xml:space="preserve"> - </t>
    </r>
    <r>
      <rPr>
        <sz val="10"/>
        <color rgb="FF00B050"/>
        <rFont val="Arial"/>
        <family val="2"/>
      </rPr>
      <t>Prestations et frais réels</t>
    </r>
  </si>
  <si>
    <t>Charges afférentes aux activités d'assurance - Modèle PAA - Cpte ajust - Prestations et frais réels</t>
  </si>
  <si>
    <t>Chrg Act Assu-PAA-Aju-prest</t>
  </si>
  <si>
    <t xml:space="preserve">Charges related to insurance activities - PAA- adjustment account - Incurred claims and expenses </t>
  </si>
  <si>
    <t xml:space="preserve">Charges related to insurance activities -PAA - adjustment account - Incurred claims and expenses </t>
  </si>
  <si>
    <t>ChgesInsAct- PAA -adj-claims</t>
  </si>
  <si>
    <t>BR83611A</t>
  </si>
  <si>
    <t>AC=R6020001PL</t>
  </si>
  <si>
    <t>R6020001PL</t>
  </si>
  <si>
    <t>Charges afférentes aux activités d'assurance - Modèle PAA - Cpte ajust - Variation liée aux services passés</t>
  </si>
  <si>
    <t>Chrg Act Assu-PAA-Liai-var-ser</t>
  </si>
  <si>
    <t>Charges related to insurance activities - PAA - liaison account - Variation due to past services</t>
  </si>
  <si>
    <t>ChgesInsAct-PAA-liaison-past-s</t>
  </si>
  <si>
    <t>BR83613L</t>
  </si>
  <si>
    <t>AC=R6020001PJ</t>
  </si>
  <si>
    <t>R6020001PJ</t>
  </si>
  <si>
    <t>Chrg Act Assu-PAA-Aju-var-ser</t>
  </si>
  <si>
    <t>Charges related to insurance activities - PAA- adjustment account -Variation due to past services</t>
  </si>
  <si>
    <t>Charges related to insurance activities - PAA - adjustment account -Variation due to past services</t>
  </si>
  <si>
    <t>ChgesInsAct-PAA-ladj-past-s</t>
  </si>
  <si>
    <t>BR83613A</t>
  </si>
  <si>
    <t>R6020002PL</t>
  </si>
  <si>
    <t>Charges afférentes aux activités d'assurance - Modèle PAA - Cpte liaison - Pertes et reprises sur les contrats onéreux</t>
  </si>
  <si>
    <t>Chrg Act Assu-PAA-Liai-ctt-oné</t>
  </si>
  <si>
    <t>Charges related to insurance activities - PAA - liaison account - Recognition and reversal of loss component</t>
  </si>
  <si>
    <t>ChgesInsAct-PAA-liaison-reco</t>
  </si>
  <si>
    <t>BR83614L</t>
  </si>
  <si>
    <t>Chrg Act Assu-PAA-Aju-ctt-oné</t>
  </si>
  <si>
    <t>Charges related to insurance activities - PAA -adjustment account - Recognition and reversal of loss component</t>
  </si>
  <si>
    <t>ChgesInsAct-PAA-adj-reco</t>
  </si>
  <si>
    <t>BR83614A</t>
  </si>
  <si>
    <t>AC=TR103</t>
  </si>
  <si>
    <t>TR103</t>
  </si>
  <si>
    <t>TR1031</t>
  </si>
  <si>
    <t>Produits issus des contrats de réassurance - Modèles BBA et VFA</t>
  </si>
  <si>
    <t>AC=TR10311</t>
  </si>
  <si>
    <t>TR10311</t>
  </si>
  <si>
    <t>Produits issus des contrats de réassurance - Modèle BBA</t>
  </si>
  <si>
    <t>Prod cntrt Réassu-BBA</t>
  </si>
  <si>
    <t>Revenue related to  reinsurance contracts - BBA</t>
  </si>
  <si>
    <t>Revenue related to reinsurance contracts - BBA</t>
  </si>
  <si>
    <t>Rev reIns contracts - BBA</t>
  </si>
  <si>
    <t>AC=TR103111</t>
  </si>
  <si>
    <t>TR103111</t>
  </si>
  <si>
    <t>Produits issus des contrats de réassurance - Modèle BBA - Prestations et frais cédés réels</t>
  </si>
  <si>
    <t>Prod cntr Réassu-BBA-Pres&amp;Frai</t>
  </si>
  <si>
    <t>Revenue related to  reinsurance contracts - BBA - Ceded incurred claims and expenses</t>
  </si>
  <si>
    <t>Revenue related to reinsurance contracts - BBA - Ceded incurred claims and expenses</t>
  </si>
  <si>
    <t>RevReinsContr-BBA-CedIncClaiEx</t>
  </si>
  <si>
    <t>Prod cntr Réassu-BBA-Prest. Ré</t>
  </si>
  <si>
    <t>Revenue related to  reinsurance contracts - BBA - Ceded incurred claims and expenses - Ceded incurred claims</t>
  </si>
  <si>
    <t>Revenue related to reinsurance contracts - BBA - Ceded incurred claims and expenses - Ceded incurred claims</t>
  </si>
  <si>
    <t>RevReinsContr-BBA-CededIncClai</t>
  </si>
  <si>
    <t>BR75101B</t>
  </si>
  <si>
    <t>Produits issus des contrats de réassurance - Prestations cédées réelles - Modèle BBA</t>
  </si>
  <si>
    <t>Prod cntr Réassu-BBA-Comm</t>
  </si>
  <si>
    <t>Revenue related to  reinsurance contracts - BBA - Ceded incurred claims and expenses - Commissions &amp; attributable expenses</t>
  </si>
  <si>
    <t>Revenue related to reins contracts - BBA - Ceded incurred claims and expenses - Commissions &amp; attributable expenses</t>
  </si>
  <si>
    <t>RevReinsContr-BBA-ComAttriEx</t>
  </si>
  <si>
    <t>BR75102B</t>
  </si>
  <si>
    <t>Produits issus des contrats de réassurance - Commissions - Modèle BBA</t>
  </si>
  <si>
    <t>Prod cntr Réassu-BBA-Frais att</t>
  </si>
  <si>
    <t>Revenue related to  reinsurance contracts - BBA - Ceded incurred claims and expenses - Ceded attributable expenses</t>
  </si>
  <si>
    <t>Revenue related to reinsurance contracts - BBA - Ceded incurred claims and expenses - Ceded attributable expenses</t>
  </si>
  <si>
    <t>RevReinsContr-BBA-CededAttriEx</t>
  </si>
  <si>
    <t>BR75107B</t>
  </si>
  <si>
    <t>Produits issus des contrats de réassurance - Frais attribuables - Modèle BBA</t>
  </si>
  <si>
    <t>AC=TR103112</t>
  </si>
  <si>
    <t>TR103112</t>
  </si>
  <si>
    <t>Produits issus des contrats de réassurance - Modèle BBA - Variation liée aux services passés</t>
  </si>
  <si>
    <t>Prod cntr Réassu-BBA-Var Serv</t>
  </si>
  <si>
    <t>Revenue related to  reinsurance contracts - BBA - Ceded incurred claims and expenses - Variation due to past services</t>
  </si>
  <si>
    <t>Revenue related to reinsurance contracts - BBA - Ceded incurred claims and expenses - Variation due to past services</t>
  </si>
  <si>
    <t>RevReinsContr-BBA-VarPastServ</t>
  </si>
  <si>
    <t>AC=R71780000B</t>
  </si>
  <si>
    <t>R71780000B</t>
  </si>
  <si>
    <t>BR75103B</t>
  </si>
  <si>
    <t>Variation cédée des services passés - Modèle BBA</t>
  </si>
  <si>
    <t>AC=TR103113</t>
  </si>
  <si>
    <t>TR103113</t>
  </si>
  <si>
    <t>Produits issus des contrats de réassurance - Modèle BBA - Composante perte</t>
  </si>
  <si>
    <t>Prod cntr Réassu-BBA-CP</t>
  </si>
  <si>
    <t>Revenue related to  reinsurance contracts - BBA - Loss component</t>
  </si>
  <si>
    <t>Revenue related to reinsurance contracts - BBA - Loss component</t>
  </si>
  <si>
    <t>RevReinsContr-BBA-Loss Comp</t>
  </si>
  <si>
    <t>AC=R72780000B</t>
  </si>
  <si>
    <t>R72780000B</t>
  </si>
  <si>
    <t>Produits issus des contrats de réassurance - Modèle BBA - Changement d'estimation liée aux pertes et reprises sur les contrats onéreux sous-jacents</t>
  </si>
  <si>
    <t>Produits issus des contrats de réassu - Modèle BBA - Chgt d'estim pertes et rep. sur les contrats onéreux sous-jacents</t>
  </si>
  <si>
    <t>Prod cntr Réassu-BBA-Chgt esti</t>
  </si>
  <si>
    <t>Revenue related to  reinsurance contracts - BBA - Estimation changes due to lost and reversal on underlying onerous contracts</t>
  </si>
  <si>
    <t>Revenue related to reins contracts - BBA - Estimation changes due to lost and reversal on underlying onerous contracts</t>
  </si>
  <si>
    <t>RevReinsContr-BBA-EstChgLosRev</t>
  </si>
  <si>
    <t>BR75104B</t>
  </si>
  <si>
    <t>Changement d'estimation liée aux pertes et reprises sur les contrats onéreux sous-jacents - Modèle BBA</t>
  </si>
  <si>
    <t>Prod cntr Réassu-BBA-CP-Alloc</t>
  </si>
  <si>
    <t>Revenue related to  reinsurance contracts - BBA - Incurred claims and expenses - Allocation to the loss component</t>
  </si>
  <si>
    <t>Revenue related to reinsurance contracts - BBA - Incurred claims and expenses - Allocation to the loss component</t>
  </si>
  <si>
    <t>RevReinsContr-BBA-AllocLosComp</t>
  </si>
  <si>
    <t>BR75105B</t>
  </si>
  <si>
    <t>Allocation à l'élément de recouvrement de perte - Modèle BBA</t>
  </si>
  <si>
    <t>Evol 35 / Evol 40</t>
  </si>
  <si>
    <t>AC=TR103114</t>
  </si>
  <si>
    <t>TR103114</t>
  </si>
  <si>
    <t>Produits issus des contrats de réassurance - Modèle BBA - Variation de l'ajustement pour risque LIC</t>
  </si>
  <si>
    <t>Produits issus des contrats de réassurance - Modèles BBA - Variation de l'ajustement pour risque LIC</t>
  </si>
  <si>
    <t>Prod cntr Réassu-BBA-Var LIC</t>
  </si>
  <si>
    <t>Revenue related to  reinsurance contracts - BBA  - Variation in risk adjustment - LIC</t>
  </si>
  <si>
    <t>Revenue related to reinsurance contracts - BBA - Variation in risk adjustment - LIC</t>
  </si>
  <si>
    <t>RevReinsContr-BBA-VaRskAdj-LIC</t>
  </si>
  <si>
    <t>AC=R71781000B</t>
  </si>
  <si>
    <t>R71781000B</t>
  </si>
  <si>
    <t>BR75108B</t>
  </si>
  <si>
    <t>Produits issus des contrats de réassurance - Variation RA LIC - Modèle BBA</t>
  </si>
  <si>
    <t>AC=TR103115</t>
  </si>
  <si>
    <t>TR103115</t>
  </si>
  <si>
    <t>Produits issus des contrats de réassurance - Modèle BBA - Amortissement des coûts d'acquisition</t>
  </si>
  <si>
    <t>Prod cntr Réassu-BBA-Amo fraq</t>
  </si>
  <si>
    <t>Revenue related to reinsurance contracts - BBA - Acquisition costs amortization</t>
  </si>
  <si>
    <t>RevReinsContr-BBA-Acq Costs AM</t>
  </si>
  <si>
    <t>Evol 110</t>
  </si>
  <si>
    <t>AC=R74782000B</t>
  </si>
  <si>
    <t>R74782000B</t>
  </si>
  <si>
    <t>AC=TR10312</t>
  </si>
  <si>
    <t>TR10312</t>
  </si>
  <si>
    <t>Produits issus des contrats de réassurance - Modèle VFA</t>
  </si>
  <si>
    <t>Prod cntrt Réassu-VFA</t>
  </si>
  <si>
    <t>Revenue related to  reinsurance contracts - VFA</t>
  </si>
  <si>
    <t>Revenue related to reinsurance contracts - VFA</t>
  </si>
  <si>
    <t>Rev reIns contracts - VFA</t>
  </si>
  <si>
    <t>AC=TR103121</t>
  </si>
  <si>
    <t>TR103121</t>
  </si>
  <si>
    <t>Produits issus des contrats de réassurance - Modèle VFA - Prestations et frais cédés réels</t>
  </si>
  <si>
    <t>Prod cntrt Réassu-VFA-Pre&amp;Frai</t>
  </si>
  <si>
    <t>Revenue related to  reinsurance contracts - VFA - Ceded incurred claims and expenses</t>
  </si>
  <si>
    <t>Revenue related to reinsurance contracts - VFA - Ceded incurred claims and expenses</t>
  </si>
  <si>
    <t>RevReinsContr-VFA-CedIncClaiEx</t>
  </si>
  <si>
    <t>Prod cntrt Réassu-VFA-Prest ré</t>
  </si>
  <si>
    <t>Revenue related to  reinsurance contracts - VFA - Ceded incurred claims and expenses - Ceded incurred claims</t>
  </si>
  <si>
    <t>Revenue related to reinsurance contracts - VFA - Ceded incurred claims and expenses - Ceded incurred claims</t>
  </si>
  <si>
    <t>RevReinsContr-VFA-CededIncClai</t>
  </si>
  <si>
    <t>Prod cntrt Réassu-VFA-Comm</t>
  </si>
  <si>
    <t>Revenue related to  reinsurance contracts - VFA - Ceded incurred claims and expenses - Commissions &amp; attributable expenses</t>
  </si>
  <si>
    <t>Revenue related to reins contracts - VFA - Ceded incurred claims and expenses - Commissions &amp; attributable expenses</t>
  </si>
  <si>
    <t>RevReinsContr-VFA-ComAttriEx</t>
  </si>
  <si>
    <t>Prod cntrt Réassu-VFA-Frais at</t>
  </si>
  <si>
    <t>Revenue related to  reinsurance contracts - VFA - Ceded incurred claims and expenses - Ceded attributable expenses</t>
  </si>
  <si>
    <t>Revenue related to reinsurance contracts - VFA - Ceded incurred claims and expenses - Ceded attributable expenses</t>
  </si>
  <si>
    <t>RevReinsContr-VFA-CededAttriEx</t>
  </si>
  <si>
    <t>AC=TR103122</t>
  </si>
  <si>
    <t>TR103122</t>
  </si>
  <si>
    <t>Produits issus des contrats de réassurance - Modèle VFA - Variation liée aux services passés</t>
  </si>
  <si>
    <t>Prod cntrt Réassu-VFA-Var paC</t>
  </si>
  <si>
    <t>Revenue related to  reinsurance contracts - VFA - Ceded incurred claims and expenses - Variation due to past services</t>
  </si>
  <si>
    <t>Revenue related to reinsurance contracts - VFA - Ceded incurred claims and expenses - Variation due to past services</t>
  </si>
  <si>
    <t>RevReinsContr-VFA-VarPastServ</t>
  </si>
  <si>
    <t>AC=R71780000V</t>
  </si>
  <si>
    <t>R71780000V</t>
  </si>
  <si>
    <t>AC=TR103123</t>
  </si>
  <si>
    <t>TR103123</t>
  </si>
  <si>
    <t>Produits issus des contrats de réassurance - Modèle VFA- Composante perte</t>
  </si>
  <si>
    <t>Prod cntrt Réassu-VFA-CP</t>
  </si>
  <si>
    <t>Revenue related to  reinsurance contracts - VFA - Loss Component</t>
  </si>
  <si>
    <t>Revenue related to reinsurance contracts - VFA - Loss Component</t>
  </si>
  <si>
    <t>RevReinsContr-VFA-Loss Comp</t>
  </si>
  <si>
    <t>AC=R72780000V</t>
  </si>
  <si>
    <t>R72780000V</t>
  </si>
  <si>
    <t>Produits issus des contrats de réassurance - Modèle VFA - Changement d'estimation liée aux pertes et reprises sur les contrats onéreux sous-jacents</t>
  </si>
  <si>
    <t>Produits issus des contrats de réassu - Modèle VFA - Chgt d'estim. pertes et rep. sur les contrats onéreux sous-jacents</t>
  </si>
  <si>
    <t>Prod cntrt Réassu-VFA-Chgt est</t>
  </si>
  <si>
    <t>Revenue related to  reinsurance contracts - VFA - Estimation changes due to lost and reversal on underlying onerous contracts</t>
  </si>
  <si>
    <t>Revenue related to reins contracts - VFA - Estimation changes due to lost and reversal on underlying onerous contracts</t>
  </si>
  <si>
    <t>RevReinsContr-VFA-EstChgLosRev</t>
  </si>
  <si>
    <t>Prod cntrt Réassu-VFA-CP-Alloc</t>
  </si>
  <si>
    <t>Revenue related to reinsurance contracts - VFA - Incurred claims and expenses - Allocation to the loss component</t>
  </si>
  <si>
    <t>RevReinsContr-VFA-AllocLosComp</t>
  </si>
  <si>
    <t>Evol 35</t>
  </si>
  <si>
    <t>AC=TR103124</t>
  </si>
  <si>
    <t>TR103124</t>
  </si>
  <si>
    <t>Produits issus des contrats de réassurance - Modèle VFA - Variation de l'ajustement pour risque LIC</t>
  </si>
  <si>
    <t>Prod cntrt Réassu-VFA-Aju LIC</t>
  </si>
  <si>
    <t>Revenue related to  reinsurance contracts - VFA  - Variation in risk adjustment - LIC</t>
  </si>
  <si>
    <t>Revenue related to reinsurance contracts - VFA - Variation in risk adjustment - LIC</t>
  </si>
  <si>
    <t>RevReinsContr-VFA-VaRskAdj-LIC</t>
  </si>
  <si>
    <t>AC=R71781000V</t>
  </si>
  <si>
    <t>R71781000V</t>
  </si>
  <si>
    <t>AC=TR103125</t>
  </si>
  <si>
    <t>TR103125</t>
  </si>
  <si>
    <t>Produits issus des contrats de réassurance - Modèle VFA - Amortissement des coûts d'acquisition</t>
  </si>
  <si>
    <t>Prod cntr Réassu-VFA-Amo fraq</t>
  </si>
  <si>
    <t>Revenue related to reinsurance contracts - VFA - Acquisition costs amortization</t>
  </si>
  <si>
    <t>RevReinsContr-VFA-Acq Costs AM</t>
  </si>
  <si>
    <t>AC=R74782000V</t>
  </si>
  <si>
    <t>R74782000V</t>
  </si>
  <si>
    <t>TR1032</t>
  </si>
  <si>
    <t>Produits issus des contrats de réassurance - Modèle PAA</t>
  </si>
  <si>
    <t>Prod cntrt Réassu-PAA</t>
  </si>
  <si>
    <t>Revenue related to  reinsurance contracts - PAA</t>
  </si>
  <si>
    <t>Revenue related to reinsurance contracts - PAA</t>
  </si>
  <si>
    <t>Rev   reIns contracts - PAA</t>
  </si>
  <si>
    <t>AC=TR10321</t>
  </si>
  <si>
    <t>TR10321</t>
  </si>
  <si>
    <t>AC=TR103211</t>
  </si>
  <si>
    <t>TR103211</t>
  </si>
  <si>
    <t>Produits issus des contrats de réassurance - Modèle PAA - Prestations et frais cédés réels</t>
  </si>
  <si>
    <t>Prod cntrt Réassu-PAA-Pre&amp;Frai</t>
  </si>
  <si>
    <t>Revenue related to  reinsurance contracts - PAA - Ceded incurred claims and expenses</t>
  </si>
  <si>
    <t>Revenue related to reinsurance contracts - PAA - Ceded incurred claims and expenses</t>
  </si>
  <si>
    <t>RevReinsContr-PAA-CedIncClaiEx</t>
  </si>
  <si>
    <t>Prod cntrt Réassu-PAA-Prest ré</t>
  </si>
  <si>
    <t>Revenue related to  reinsurance contracts - PAA - Ceded incurred claims and expenses - Ceded incurred claims</t>
  </si>
  <si>
    <t>Revenue related to reinsurance contracts - PAA - Ceded incurred claims and expenses - Ceded incurred claims</t>
  </si>
  <si>
    <t>RevReinsContr-PAA-CededIncClai</t>
  </si>
  <si>
    <t>BR75101P</t>
  </si>
  <si>
    <t>Produits issus des contrats de réassurance - Prestations cédées réelles - Modèle PAA</t>
  </si>
  <si>
    <t>Prod cntrt Réassu-PAA-Comm</t>
  </si>
  <si>
    <t>Revenue related to  reinsurance contracts - PAA - Ceded incurred claims and expenses - Commissions &amp; attributable expenses</t>
  </si>
  <si>
    <t>Revenue related to reins contracts - PAA - Ceded incurred claims and expenses - Commissions &amp; attributable expenses</t>
  </si>
  <si>
    <t>RevReinsContr-PAA-ComAttriEx</t>
  </si>
  <si>
    <t>BR75102P</t>
  </si>
  <si>
    <t>Produits issus des contrats de réassurance - Commissions - Modèle PAA</t>
  </si>
  <si>
    <t>Prod cntrt Réassu-PAA-Frais at</t>
  </si>
  <si>
    <t>Revenue related to  reinsurance contracts - PAA - Ceded incurred claims and expenses - Ceded attributable expenses</t>
  </si>
  <si>
    <t>Revenue related to reinsurance contracts - PAA - Ceded incurred claims and expenses - Ceded attributable expenses</t>
  </si>
  <si>
    <t>RevReinsContr-PAA-CededAttriEx</t>
  </si>
  <si>
    <t>BR75107P</t>
  </si>
  <si>
    <t>Produits issus des contrats de réassurance - Frais attribuables - Modèle PAA</t>
  </si>
  <si>
    <t>AC=TR103212</t>
  </si>
  <si>
    <t>TR103212</t>
  </si>
  <si>
    <t>Produits issus des contrats de réassurance - Modèle PAA - Variation liée aux services passés</t>
  </si>
  <si>
    <t>Prod cntrt Réassu-PAA-Var paC</t>
  </si>
  <si>
    <t>Revenue related to  reinsurance contracts - PAA - Ceded incurred claims and expenses - Variation due to past services</t>
  </si>
  <si>
    <t>Revenue related to reinsurance contracts - PAA - Ceded incurred claims and expenses - Variation due to past services</t>
  </si>
  <si>
    <t>RevReinsContr-PAA-VarPastServ</t>
  </si>
  <si>
    <t>AC=R71780000P</t>
  </si>
  <si>
    <t>R71780000P</t>
  </si>
  <si>
    <t>BR75103P</t>
  </si>
  <si>
    <t>Variation cédée des services passés - Modèle PAA</t>
  </si>
  <si>
    <t>AC=TR103213</t>
  </si>
  <si>
    <t>TR103213</t>
  </si>
  <si>
    <t>Produits issus des contrats de réassurance - Modèle PAA - Composante perte</t>
  </si>
  <si>
    <t>Prod cntrt Réassu-PAA-CP</t>
  </si>
  <si>
    <t>Revenue related to  reinsurance contracts - PAA - Loss Component</t>
  </si>
  <si>
    <t>Revenue related to reinsurance contracts - PAA - Loss Component</t>
  </si>
  <si>
    <t>RevReinsContr-PAA-Loss Comp</t>
  </si>
  <si>
    <t>Produits issus des contrats de réassurance - Modèle PAA - Changement d'estimation lié aux pertes et reprises sur les contrats onéreux sous-jacents</t>
  </si>
  <si>
    <t>Prod cntrt Réassu-PAA-Chgt est</t>
  </si>
  <si>
    <t>Revenue related to  reinsurance contracts - PAA - Estimation changes due to lost and reversal on underlying onerous contracts</t>
  </si>
  <si>
    <t>Revenue related to reins contracts - PAA - Estimation changes due to lost and reversal on underlying onerous contracts</t>
  </si>
  <si>
    <t>RevReinsContr-PAA-EstChgLosRev</t>
  </si>
  <si>
    <t>BR75104P</t>
  </si>
  <si>
    <t>Composante de perte cédée - Modèle PAA</t>
  </si>
  <si>
    <t>AC=TR103214</t>
  </si>
  <si>
    <t>TR103214</t>
  </si>
  <si>
    <t>Produits issus des contrats de réassurance - Modèle PAA - Variation de l'ajustement pour risque LIC</t>
  </si>
  <si>
    <t>Prod cntrt Réassu-PAA-Aju LIC</t>
  </si>
  <si>
    <t>Revenue related to  reinsurance contracts - PAA  - Variation in risk adjustment - LIC</t>
  </si>
  <si>
    <t>Revenue related to reinsurance contracts - PAA - Variation in risk adjustment - LIC</t>
  </si>
  <si>
    <t>RevReinsContr-PAA-VaRskAdj-LIC</t>
  </si>
  <si>
    <t>AC=R71781000P</t>
  </si>
  <si>
    <t>R71781000P</t>
  </si>
  <si>
    <t>BR75108P</t>
  </si>
  <si>
    <t>Produits issus des contrats de réassurance - Variation RA LIC - Modèle PAA</t>
  </si>
  <si>
    <t>AC=TR103215</t>
  </si>
  <si>
    <t>TR103215</t>
  </si>
  <si>
    <t>Produits issus des contrats de réassurance - Modèle PAA - Amortissement des frais d'acquisition</t>
  </si>
  <si>
    <t>Prod Réassu-PAA-Amo frais acq</t>
  </si>
  <si>
    <t>Revenue related to reinsurance contracts - PAA  - Acquisition costs amortization</t>
  </si>
  <si>
    <t>Rev Reins-PAA-Acq Costs AM</t>
  </si>
  <si>
    <t>AC=R74782000P</t>
  </si>
  <si>
    <t>R74782000P</t>
  </si>
  <si>
    <t>AC=TR104</t>
  </si>
  <si>
    <t>TR104</t>
  </si>
  <si>
    <t>Charges contrats de réassur</t>
  </si>
  <si>
    <t>Charges related to  reinsurance contracts</t>
  </si>
  <si>
    <t>Charges related to reinsurance contracts</t>
  </si>
  <si>
    <t>Chges reIns contracts</t>
  </si>
  <si>
    <t>TR1041</t>
  </si>
  <si>
    <t>Charges issues des contrats de réassurance - Modèles BBA et VFA</t>
  </si>
  <si>
    <t>ChContRéas-VFA et BBA</t>
  </si>
  <si>
    <t>Charges related to  reinsurance contracts - BBA and VFA</t>
  </si>
  <si>
    <t>Charges related to reinsurance contracts - BBA and VFA</t>
  </si>
  <si>
    <t>Chges   Reins contr - BBA  VFA</t>
  </si>
  <si>
    <t>AC=TR10411</t>
  </si>
  <si>
    <t>TR10411</t>
  </si>
  <si>
    <t>Charges issues des contrats de réassurance - Modèle BBA</t>
  </si>
  <si>
    <t>Charges Cont Réassur-BBA</t>
  </si>
  <si>
    <t>Charges related to  reinsurance contracts - BBA</t>
  </si>
  <si>
    <t>Charges related to reinsurance contracts - BBA</t>
  </si>
  <si>
    <t>Chges   reIns contracts - BBA</t>
  </si>
  <si>
    <t>AC=TR104111</t>
  </si>
  <si>
    <t>TR104111</t>
  </si>
  <si>
    <t>Charges issues des contrats de réassurance - Modèle BBA - Prestations et frais attendus</t>
  </si>
  <si>
    <t>Chrg cntrt Réassu-BBA-Pre&amp;Frai</t>
  </si>
  <si>
    <t>Charges related to  reinsurance contracts - BBA - Ceded expected claims and expenses</t>
  </si>
  <si>
    <t>Charges related to reinsurance contracts - BBA - Ceded expected claims and expenses</t>
  </si>
  <si>
    <t>ChgesReinsContr-BBA-CdExpClaEx</t>
  </si>
  <si>
    <t>Chrg cntrt Réassu-BBA-Var LRC</t>
  </si>
  <si>
    <t>Charges related to  reinsurance contracts - BBA - Ceded expected claims and expenses - Ceded expected claims - Variation LRC</t>
  </si>
  <si>
    <t>Charges related to reins contracts - BBA - Ceded expected claims and expenses - Ceded expected claims - Variation LRC</t>
  </si>
  <si>
    <t>ChReinsContr-BBA-CdExpCl-VrLRC</t>
  </si>
  <si>
    <t>BR65201B</t>
  </si>
  <si>
    <t>Prestations cédées attendues - Modèle BBA</t>
  </si>
  <si>
    <t>Charges issues des contrats de réassurance - Modèle BBA - Prestations et frais attendus - Commissions &amp; Frais attrib. - Variation LRC</t>
  </si>
  <si>
    <t>Chrg cntrt Réassu-BBA-ComVaLRC</t>
  </si>
  <si>
    <t>Charges related to  reinsurance contracts - BBA - Ceded expected claims and expenses - Commissions &amp; attributable expenses - Variation LRC</t>
  </si>
  <si>
    <t>Charges related to reins contracts - BBA - Ceded exp claims and expenses - Commissions &amp; attributable expenses - Var LRC</t>
  </si>
  <si>
    <t>ChReinsContr-BBA-ComAtEx-VrLRC</t>
  </si>
  <si>
    <t>BR65202B</t>
  </si>
  <si>
    <t>Commissions &amp; autres frais de réassurance attendus - Modèle BBA</t>
  </si>
  <si>
    <t>AC=TR104112</t>
  </si>
  <si>
    <t>TR104112</t>
  </si>
  <si>
    <t>Chrg cntrt Réassu-BBA-ReAjuLRC</t>
  </si>
  <si>
    <t>Charges related to  reinsurance contracts - BBA - Release of ceded risk adjustment - LRC</t>
  </si>
  <si>
    <t>Charges related to reinsurance contracts - BBA - Release of ceded risk adjustment - LRC</t>
  </si>
  <si>
    <t>ChReinsContr-BBA-ReCdRkAdj-LRC</t>
  </si>
  <si>
    <t>BR65203B</t>
  </si>
  <si>
    <t>Relâchement de la l'ajustement pour risque cédé - Modèle BBA</t>
  </si>
  <si>
    <t>AC=TR104113</t>
  </si>
  <si>
    <t>TR104113</t>
  </si>
  <si>
    <t>Charges issues des contrats de réassurance - Modèle BBA - Allocation de la marge sur services contractuels cédée en résultat</t>
  </si>
  <si>
    <t>Charges issues des contrats de réass - Modèle BBA - Allocation de la marge sur services contractuels cédée en résultat</t>
  </si>
  <si>
    <t>Chrg cntrt Réassu-BBA-Allo cR</t>
  </si>
  <si>
    <t>Charges related to  reinsurance contracts - BBA - Allocation of the ceded CSM in P&amp;L</t>
  </si>
  <si>
    <t>Charges related to reinsurance contracts - BBA - Allocation of the ceded CSM in P&amp;L</t>
  </si>
  <si>
    <t>ChReinsContr-BBA-AllCedCSMP&amp;L</t>
  </si>
  <si>
    <t>BR65204B</t>
  </si>
  <si>
    <t>Allocation de la CSM cédée en résultat - Modèle BBA</t>
  </si>
  <si>
    <t>AC=TR104114</t>
  </si>
  <si>
    <t>TR104114</t>
  </si>
  <si>
    <t>Charges issues des contrats de réassurance - Modèle BBA - Ajustements liés à l'expérience</t>
  </si>
  <si>
    <t>ChargesContRéassur-BBA-AjusExp</t>
  </si>
  <si>
    <t>Charges related to  reinsurance contracts - BBA - Experience adjustment</t>
  </si>
  <si>
    <t>Charges related to reinsurance contracts - BBA - Experience adjustment</t>
  </si>
  <si>
    <t>ChgesReinsContr-BBA- Expe adj</t>
  </si>
  <si>
    <t>Chrg contr Réassu-BBA-Prim Reç</t>
  </si>
  <si>
    <t>Charges related to reinsurance contracts - BBA  - Experience adjustment on received premiums</t>
  </si>
  <si>
    <t>Charges related to reinsurance contracts - BBA - Experience adjustment on received premiums</t>
  </si>
  <si>
    <t>Char.reins.contr-BBA-Rec.prem.</t>
  </si>
  <si>
    <t>BR65205B</t>
  </si>
  <si>
    <t>Ajustements liés à l'expérience - Primes cédées liées à la période de couverture en cours - Modèle BBA</t>
  </si>
  <si>
    <t>ChargesContRéassur-BBA-FraiAcq</t>
  </si>
  <si>
    <t>Charges related to reinsurance contracts - BBA  - Experience adjustment on acquisition costs</t>
  </si>
  <si>
    <t>Charges related to reinsurance contracts - BBA - Experience adjustment on acquisition costs</t>
  </si>
  <si>
    <t>Char.reins.contr-BBA-Acq.cost</t>
  </si>
  <si>
    <t>BR65206B</t>
  </si>
  <si>
    <t>Ajustements liés à l'expérience - Frais d'acquisitions - Modèle BBA</t>
  </si>
  <si>
    <t>AC=TR104115</t>
  </si>
  <si>
    <t>TR104115</t>
  </si>
  <si>
    <t>Charges issues des contrats de réassurance - Modèle BBA - Effet de l'évolution du risque de non-exécution des réassuranceurs</t>
  </si>
  <si>
    <t>ChargesContRéas-BBA-NonExéRéas</t>
  </si>
  <si>
    <t>Charges related to  reinsurance contracts - BBA - reinsurer credit risk changes (non-performance)</t>
  </si>
  <si>
    <t>ChgesReinsContr-BBA- RéasNnExé</t>
  </si>
  <si>
    <t>Evol 58 (ex Evol 55)</t>
  </si>
  <si>
    <t>BR65207B</t>
  </si>
  <si>
    <t>Effet de l'évolution du risque de non-exécution des réassureurs - Modèle BBA</t>
  </si>
  <si>
    <t>AC=TR104116</t>
  </si>
  <si>
    <t>TR104116</t>
  </si>
  <si>
    <t>Charges issues des contrats de réassurance - Modèle BBA - Variation de la composante de perte</t>
  </si>
  <si>
    <t>Charges Cont Réassu-BBA-Var LC</t>
  </si>
  <si>
    <t>Charges related to  reinsurance contracts - BBA -  LC Variation</t>
  </si>
  <si>
    <t>ChgesReinsContr-BBA-Var LC</t>
  </si>
  <si>
    <t>AC=R60787000B</t>
  </si>
  <si>
    <t>R60787000B</t>
  </si>
  <si>
    <t>BR65208B</t>
  </si>
  <si>
    <t>Variation de la composante de perte sur Charges liées aux traités de réassurance cédée - Modèle BBA</t>
  </si>
  <si>
    <t>AC=TR104117</t>
  </si>
  <si>
    <t>TR104117</t>
  </si>
  <si>
    <t>Charges issues des contrats de réassurance - Modèle BBA - Relâchement des coûts d'acquisition</t>
  </si>
  <si>
    <t>Charges Réass-BBA-Relach acq</t>
  </si>
  <si>
    <t>Charges related to  reinsurance contracts - BBA - Release of acquisition costs</t>
  </si>
  <si>
    <t>Chges Reins-BBA-Releas cost</t>
  </si>
  <si>
    <t>AC=R60789000B</t>
  </si>
  <si>
    <t>R60789000B</t>
  </si>
  <si>
    <t>AC=TR10412</t>
  </si>
  <si>
    <t>TR10412</t>
  </si>
  <si>
    <t>Charges issues des contrats de réassurance - Modèle VFA</t>
  </si>
  <si>
    <t>ChContRéas-VFA</t>
  </si>
  <si>
    <t>Charges related to  reinsurance contracts - VFA</t>
  </si>
  <si>
    <t>Charges related to reinsurance contracts - VFA</t>
  </si>
  <si>
    <t>Chges   reIns contracts - VFA</t>
  </si>
  <si>
    <t>AC=TR104121</t>
  </si>
  <si>
    <t>TR104121</t>
  </si>
  <si>
    <t>Charges issues des contrats de réassurance - Modèle VFA - Prestations et frais attendus</t>
  </si>
  <si>
    <t>CharContRéas-VFA-PrestFrais</t>
  </si>
  <si>
    <t>Charges related to  reinsurance contracts - VFA - Ceded expected claims and expenses</t>
  </si>
  <si>
    <t>Charges related to reinsurance contracts - VFA - Ceded expected claims and expenses</t>
  </si>
  <si>
    <t>ChReinsContr-VFA-CdExpClaiEx</t>
  </si>
  <si>
    <t>CharContRéas-VFA-Pres-VarLRC</t>
  </si>
  <si>
    <t>Charges related to  reinsurance contracts - VFA - Ceded expected claims and expenses - Ceded expected claims - Variation LRC</t>
  </si>
  <si>
    <t>Charges related to reins contracts - VFA - Ceded expected claims and expenses - Ceded expected claims - Variation LRC</t>
  </si>
  <si>
    <t>ChReinsContr-VFA-CdExpeCl-VLRC</t>
  </si>
  <si>
    <t>Charges issues des contrats de réassurance - Modèle VFA - Prestations et frais attendus - Commissions &amp; Frais attrib. - Variation LRC</t>
  </si>
  <si>
    <t>CharContRéas-VFA-ComFrai-VaLRC</t>
  </si>
  <si>
    <t>Charges related to  reinsurance contracts - VFA - Ceded expected claims and expenses - Commissions &amp; attributable expenses - Variation LRC</t>
  </si>
  <si>
    <t>Charges related to reins contracts - VFA - Ceded exp claims and expenses - Comm &amp; attributable expenses - Var LRC</t>
  </si>
  <si>
    <t>ChReinsContr-VFA-ComAttEx-VLRC</t>
  </si>
  <si>
    <t>AC=TR104122</t>
  </si>
  <si>
    <t>TR104122</t>
  </si>
  <si>
    <t>CharContRéas-VFA-RelaAjaLRCCéd</t>
  </si>
  <si>
    <t>Charges related to  reinsurance contracts - VFA - Release of ceded risk adjustment - LRC</t>
  </si>
  <si>
    <t>Charges related to reinsurance contracts - VFA - Release of ceded risk adjustment - LRC</t>
  </si>
  <si>
    <t>ChReinsContr-VFA-RelCdRkAd-LRC</t>
  </si>
  <si>
    <t>AC=TR104123</t>
  </si>
  <si>
    <t>TR104123</t>
  </si>
  <si>
    <t>Charges issues des contrats de réassurance - Modèle VFA - Allocation de la marge sur services contractuels cédée en résultat</t>
  </si>
  <si>
    <t>ChContRéas-VFA-Mar/SerContRés</t>
  </si>
  <si>
    <t>Charges related to  reinsurance contracts - VFA - Allocation of the ceded CSM in P&amp;L</t>
  </si>
  <si>
    <t>Charges related to reinsurance contracts - VFA - Allocation of the ceded CSM in P&amp;L</t>
  </si>
  <si>
    <t>ChgesReinsContr-VFA-AlCdCSMP&amp;L</t>
  </si>
  <si>
    <t>AC=TR104124</t>
  </si>
  <si>
    <t>TR104124</t>
  </si>
  <si>
    <t>Charges issues des contrats de réassurance - Modèle VFA - Ajustements liés à l'expérience</t>
  </si>
  <si>
    <t>CharContRéassur-VFA-AjuExp</t>
  </si>
  <si>
    <t>Charges related to  reinsurance contracts - VFA - Experience adjustment</t>
  </si>
  <si>
    <t>Charges related to reinsurance contracts - VFA - Experience adjustment</t>
  </si>
  <si>
    <t>ChgesReinsContr-VFA-Exp adj</t>
  </si>
  <si>
    <t>ChContRéas-VFA-AjuPrimReç</t>
  </si>
  <si>
    <t>Charges related to reinsurance contracts - VFA  - Experience adjustment on received premiums</t>
  </si>
  <si>
    <t>Charges related to reinsurance contracts - VFA - Experience adjustment on received premiums</t>
  </si>
  <si>
    <t>ChReinsContr-VFA-ExpAdjRecPrem</t>
  </si>
  <si>
    <t>ChContRéas-VFA-AjuFraisAcq</t>
  </si>
  <si>
    <t>Charges related to reinsurance contracts - VFA  - Experience adjustment on acquisition costs</t>
  </si>
  <si>
    <t>Charges related to reinsurance contracts - VFA - Experience adjustment on acquisition costs</t>
  </si>
  <si>
    <t>ChReinsContr-VFA-ExpeAdjAcqCos</t>
  </si>
  <si>
    <t>AC=TR104125</t>
  </si>
  <si>
    <t>TR104125</t>
  </si>
  <si>
    <t>Charges issues des contrats de réassurance - Modèle VFA - Effet de l'évolution du risque de non-exécution des réassuranceurs</t>
  </si>
  <si>
    <t>ChargesContRéas-VFA-NonExéRéas</t>
  </si>
  <si>
    <t>Charges related to  reinsurance contracts - VFA - reinsurer credit risk changes (non-performance)</t>
  </si>
  <si>
    <t>ChgesReinsContr-VFA- RéasNnExé</t>
  </si>
  <si>
    <t>AC=TR104126</t>
  </si>
  <si>
    <t>TR104126</t>
  </si>
  <si>
    <t>Charges issues des contrats de réassurance - Modèle VFA - Variation de la composante de perte</t>
  </si>
  <si>
    <t>Charges Cont Réassu-VFA-Var LC</t>
  </si>
  <si>
    <t>Charges related to reinsurance contracts - VFA - LC Variation</t>
  </si>
  <si>
    <t>ChgesReinsContr-VFA-Var LC</t>
  </si>
  <si>
    <t>AC=R60787000V</t>
  </si>
  <si>
    <t>R60787000V</t>
  </si>
  <si>
    <t>AC=TR104127</t>
  </si>
  <si>
    <t>TR104127</t>
  </si>
  <si>
    <t>Charges issues des contrats de réassurance - Modèle VFA - Relâchement des coûts d'acquisition</t>
  </si>
  <si>
    <t>Charges Réass-VFA-Relach acq</t>
  </si>
  <si>
    <t>Charges related to reinsurance contracts - VFA - Release of acquisition costs</t>
  </si>
  <si>
    <t>Chges Reins-VFA-Releas cost</t>
  </si>
  <si>
    <t>AC=R60789000V</t>
  </si>
  <si>
    <t>R60789000V</t>
  </si>
  <si>
    <t>TR1042</t>
  </si>
  <si>
    <t>Charges issues des contrats de réassurance - Modèle PAA</t>
  </si>
  <si>
    <t>Charges contrats réassur - PAA</t>
  </si>
  <si>
    <t>Charges related to  reinsurance contracts - PAA</t>
  </si>
  <si>
    <t>Charges related to reinsurance contracts - PAA</t>
  </si>
  <si>
    <t>Chges reIns contracts - PAA</t>
  </si>
  <si>
    <t>AC=TR10421</t>
  </si>
  <si>
    <t>TR10421</t>
  </si>
  <si>
    <t>AC=TR104211</t>
  </si>
  <si>
    <t>TR104211</t>
  </si>
  <si>
    <t>ChContRéas-PAA-LibCouvRestAll</t>
  </si>
  <si>
    <t>Charges related to  reinsurance contracts - PAA - Reversable of liability of the allocated remaning coverage</t>
  </si>
  <si>
    <t>Charges related to reinsurance contracts - PAA - Reversable of liability of the allocated remaning coverage</t>
  </si>
  <si>
    <t>ChReinsContr-PAA-RevLiaAlReCov</t>
  </si>
  <si>
    <t>BR65201P</t>
  </si>
  <si>
    <t>Libération de la couverture restante allouée - Modèle PAA</t>
  </si>
  <si>
    <t>AC=TR104212</t>
  </si>
  <si>
    <t>TR104212</t>
  </si>
  <si>
    <t>ChContRéas-PAA-RelAju LIC Céd</t>
  </si>
  <si>
    <t>Charges related to  reinsurance contracts - PAA - Release of ceded risk adjustment - incurred claims</t>
  </si>
  <si>
    <t>Charges related to reinsurance contracts - PAA - Release of ceded risk adjustment - incurred claims</t>
  </si>
  <si>
    <t>ChReinContr-PAA-ReCdRkAd-InCla</t>
  </si>
  <si>
    <t>BR65203P</t>
  </si>
  <si>
    <t>Relâchement de la l'ajustement pour risque cédé - Modèle PAA</t>
  </si>
  <si>
    <t>AC=TR104213</t>
  </si>
  <si>
    <t>TR104213</t>
  </si>
  <si>
    <t>Charges issues des contrats de réassurance - Modèle PAA -Variation des DAC</t>
  </si>
  <si>
    <t>ChContRéas-PAA-var DAC</t>
  </si>
  <si>
    <t>Charges related to  reinsurance contracts - PAA - Reinsurers' share - Other underwriting income and expense - Adj. to DAC</t>
  </si>
  <si>
    <t>Charges related to reins contracts - PAA - Reinsurers' share - Other underwriting income and expense - Adj. to DAC</t>
  </si>
  <si>
    <t>ChgeReinsContr-PAA-Reins share</t>
  </si>
  <si>
    <t>ChContRéas-PAA-ChPdTec-vaDAC</t>
  </si>
  <si>
    <t>ChReinContr-PAA-OtUnInEx-AdDAC</t>
  </si>
  <si>
    <t>BR65202P</t>
  </si>
  <si>
    <t>Variation des DAC cédés - Modèle PAA</t>
  </si>
  <si>
    <t>AC=TR104214</t>
  </si>
  <si>
    <t>TR104214</t>
  </si>
  <si>
    <t>Charges issues des contrats de réassu - Modèle PAA - Effet de l'évolution du risque de non-exécution des réassuranceurs</t>
  </si>
  <si>
    <t>ChargesContRéas-PAA-NonExéRéas</t>
  </si>
  <si>
    <t>Charges related to  reinsurance contracts - PAA - reinsurer credit risk changes (non-performance)</t>
  </si>
  <si>
    <t>ChgesReinsContr-PAA- RéasNnExé</t>
  </si>
  <si>
    <t>BR65204P</t>
  </si>
  <si>
    <t>Effet de l'évolution du risque de non-exécution des réassureurs - Modèle PAA</t>
  </si>
  <si>
    <t>AC=TR15</t>
  </si>
  <si>
    <t>TR15</t>
  </si>
  <si>
    <t>Produits financiers nets de charges</t>
  </si>
  <si>
    <t xml:space="preserve">Prod fin. nets de charges </t>
  </si>
  <si>
    <t>Net financial résult</t>
  </si>
  <si>
    <t>AC=TR151</t>
  </si>
  <si>
    <t>TR151</t>
  </si>
  <si>
    <t>Produits des placements, hors intérêts calculés selon la méthode TIE, nets de charges</t>
  </si>
  <si>
    <t>PdtPlacHorsIntCalMéthTIENetCha</t>
  </si>
  <si>
    <t xml:space="preserve">Investment income net of expenses excl. calculated interest by the effective interest method </t>
  </si>
  <si>
    <t>Investment income net of expenses excl. calculated interest by the effective interest method</t>
  </si>
  <si>
    <t>Invest income net exp excl int</t>
  </si>
  <si>
    <t>AC=TR1511</t>
  </si>
  <si>
    <t>TR1511</t>
  </si>
  <si>
    <t>Investment income</t>
  </si>
  <si>
    <t>AC=TR15111</t>
  </si>
  <si>
    <t>TR15111</t>
  </si>
  <si>
    <t>Immeubles de placement - Revenus</t>
  </si>
  <si>
    <t>Imm. de placement - Revenus</t>
  </si>
  <si>
    <t>Investment property - Revenue</t>
  </si>
  <si>
    <t>R7601000E</t>
  </si>
  <si>
    <t>Elimination des dividendes (rub. tech.)</t>
  </si>
  <si>
    <t>Elim. dividendes (rub. tech.)</t>
  </si>
  <si>
    <t>Elimination of dividends (technical adjustment)</t>
  </si>
  <si>
    <t>Elimin dividends (technic adj)</t>
  </si>
  <si>
    <t>BR7611E</t>
  </si>
  <si>
    <t>Elimination Dividendes - Rubrique d'élimination</t>
  </si>
  <si>
    <t>R76030000</t>
  </si>
  <si>
    <t>BR774002</t>
  </si>
  <si>
    <t>Produits sur immeubles de placement</t>
  </si>
  <si>
    <t>R7603000L</t>
  </si>
  <si>
    <t>Refacturation de loyers et frais-liaison</t>
  </si>
  <si>
    <t>Refactu loyers&amp;frais-liaison</t>
  </si>
  <si>
    <t xml:space="preserve">Re-invoicing of rents and expenses  - liaison account </t>
  </si>
  <si>
    <t>Re-invoicing of rents and expenses - liaison account</t>
  </si>
  <si>
    <t>Re-invoic ents exp-liaison acc</t>
  </si>
  <si>
    <t>BR82207L</t>
  </si>
  <si>
    <t>CL autres produits et charges d'exploitation</t>
  </si>
  <si>
    <t>Evol 36 / Evol 40</t>
  </si>
  <si>
    <t>R7603000AJ</t>
  </si>
  <si>
    <t>Refacturation de loyers et frais-Ajustement</t>
  </si>
  <si>
    <t>Refactu loyers&amp;frais-Aju</t>
  </si>
  <si>
    <t xml:space="preserve">Re-invoicing of rents and expenses  - adjustment account </t>
  </si>
  <si>
    <t>Re-invoicing of rents and expenses - adjustment account</t>
  </si>
  <si>
    <t>Re-invoic ents exp-ajd acc</t>
  </si>
  <si>
    <t>BR84207A</t>
  </si>
  <si>
    <t>Ajustement autres produits et charges d'exploitation</t>
  </si>
  <si>
    <t>AC=TR15112</t>
  </si>
  <si>
    <t>TR15112</t>
  </si>
  <si>
    <t>Coût amorti - Revenus</t>
  </si>
  <si>
    <t>Amortised cost - Revenue</t>
  </si>
  <si>
    <t>R76001000A</t>
  </si>
  <si>
    <t>Coût amorti - Revenus - Instruments de dettes - Intérêts reçus</t>
  </si>
  <si>
    <t>Ct Amo-Rev-InstDet-IntReç</t>
  </si>
  <si>
    <t>Amortised cost - Revenue - Debt instruments - Interest income</t>
  </si>
  <si>
    <t>AMc-Rev-Debt Instr-InterIncome</t>
  </si>
  <si>
    <t>BR703130</t>
  </si>
  <si>
    <t>Clientèle - Produits d'intérêts - Titres au cout amorti</t>
  </si>
  <si>
    <t>Evol 125</t>
  </si>
  <si>
    <t>R76001006A</t>
  </si>
  <si>
    <t>Coût amorti - Revenus - Instruments de dettes - ICNE</t>
  </si>
  <si>
    <t>Ct Amo-Rev-InstDet-ICNE</t>
  </si>
  <si>
    <t>Amortised cost - Revenue - Debt instruments - Accrued income</t>
  </si>
  <si>
    <t>AMc-Rev-DebtInst-AccruedIncome</t>
  </si>
  <si>
    <t>AC=TR15113</t>
  </si>
  <si>
    <t>TR15113</t>
  </si>
  <si>
    <t>JV OCI - Revenus</t>
  </si>
  <si>
    <t>FV through OCI - Revenue</t>
  </si>
  <si>
    <t>AC=TR151131</t>
  </si>
  <si>
    <t>TR151131</t>
  </si>
  <si>
    <t>JV OCI R - Revenus - Instruments de dettes</t>
  </si>
  <si>
    <t>JV OCI R-Instruments dettes</t>
  </si>
  <si>
    <t>FV through OCI - R - Revenue - Debt instruments</t>
  </si>
  <si>
    <t>FVthrghOCI-R-Rev-Debt Instr</t>
  </si>
  <si>
    <t>R76001000R</t>
  </si>
  <si>
    <t>JV OCI R- Instruments de dettes - Intérêts reçus</t>
  </si>
  <si>
    <t>JV OCI R-InstDettes-IntReç</t>
  </si>
  <si>
    <t>FV through OCI - R- Debt instruments - Interest income</t>
  </si>
  <si>
    <t>FVthrghOCI-R-DebtInst-InterInc</t>
  </si>
  <si>
    <t>BR703310</t>
  </si>
  <si>
    <t>JV OCI R - Produits d'intérêts sur instruments de dettes</t>
  </si>
  <si>
    <t>Evol 127</t>
  </si>
  <si>
    <t>R76001006R</t>
  </si>
  <si>
    <t>JV OCI R- Instruments de dettes- ICNE</t>
  </si>
  <si>
    <t>JV OCI R-InstDettes-ICNE</t>
  </si>
  <si>
    <t>FV through OCI - R- Debt instruments- Accrued income</t>
  </si>
  <si>
    <t>FVthrghOCI-R-DebtInst-AccruInc</t>
  </si>
  <si>
    <t>AC=TR151132</t>
  </si>
  <si>
    <t>TR151132</t>
  </si>
  <si>
    <t>JV OCI NR - Revenus - Instruments de capitaux propres</t>
  </si>
  <si>
    <t>JV OCI NR- InstCapProp</t>
  </si>
  <si>
    <t>FV through OCI - NR - Revenue - Equity instruments</t>
  </si>
  <si>
    <t>FVthrghOCI-NR-Rev-Equity Instr</t>
  </si>
  <si>
    <t>R76002000N</t>
  </si>
  <si>
    <t>JV OCI NR- Instruments de capitaux propres-dividendes</t>
  </si>
  <si>
    <t>JV OCI NR- InstCapProp-divid</t>
  </si>
  <si>
    <t>FV through OCI - NR- Equity instruments - dividends</t>
  </si>
  <si>
    <t>FVthrghOCI-NR-EquityInstr-divi</t>
  </si>
  <si>
    <t>BR703350</t>
  </si>
  <si>
    <t>JVOCI NR - Dividendes et revenus assimilés sur instruments de capitaux propres</t>
  </si>
  <si>
    <t>R76012000N</t>
  </si>
  <si>
    <t>JV OCI NR- Instruments de capitaux propres-autres</t>
  </si>
  <si>
    <t>JV OCI NR- InstCapProp-autres</t>
  </si>
  <si>
    <t>FV through OCI - NR- Equity instruments - other</t>
  </si>
  <si>
    <t>FVthrghOCI-NR-EquityInstr-Othr</t>
  </si>
  <si>
    <t>AC=TR15114</t>
  </si>
  <si>
    <t>TR15114</t>
  </si>
  <si>
    <t>JV par résultat - Revenus</t>
  </si>
  <si>
    <t>FV through P&amp;L - Revenue</t>
  </si>
  <si>
    <t>AC=TR151141</t>
  </si>
  <si>
    <t>TR151141</t>
  </si>
  <si>
    <t>JV par résultat - Revenus - Instruments de dettes</t>
  </si>
  <si>
    <t>JVR-Rev-Instruments dettes</t>
  </si>
  <si>
    <t>FV through P&amp;L - Revenue - Debt instruments</t>
  </si>
  <si>
    <t>FVthrghP&amp;L-Rev-Debt Instr</t>
  </si>
  <si>
    <t>R76001000T</t>
  </si>
  <si>
    <t>JV par résultat - Revenus - Instruments dettes - Intérêts reçus</t>
  </si>
  <si>
    <t>JVR-Revenus-InstDet-IntReç</t>
  </si>
  <si>
    <t>FV through P&amp;L - Revenue - Debt instruments - Interest income</t>
  </si>
  <si>
    <t>FVthrghP&amp;L-Rev-DebInst-IntInco</t>
  </si>
  <si>
    <t>BR703278</t>
  </si>
  <si>
    <t>JVR non SPPI - Produits d'intérêts sur instruments de dettes</t>
  </si>
  <si>
    <t>R76001006T</t>
  </si>
  <si>
    <t>JV par résultat - Revenus - Instruments dettes - ICNE</t>
  </si>
  <si>
    <t>JVR-Revenus-InstDet-ICNE</t>
  </si>
  <si>
    <t>FV through P&amp;L - Revenue - Debt instruments - Accrued income</t>
  </si>
  <si>
    <t>FVthrghP&amp;L-Rev-DebInst-AccInco</t>
  </si>
  <si>
    <t>AC=TR151142</t>
  </si>
  <si>
    <t>TR151142</t>
  </si>
  <si>
    <t>JV par résultat - Revenus - Instruments de capitaux propres</t>
  </si>
  <si>
    <t>JVR-Rev-Instruments CapPro</t>
  </si>
  <si>
    <t>FV through P&amp;L - Revenue - Equity instruments</t>
  </si>
  <si>
    <t>FVthrghP&amp;L-Rev-Equity Instr</t>
  </si>
  <si>
    <t>R76002000T</t>
  </si>
  <si>
    <t>JV par résultat - Revenus - Instruments de capitaux propres - dividendes</t>
  </si>
  <si>
    <t>JVR-Rev-InstCapPro-divi</t>
  </si>
  <si>
    <t>FV through P&amp;L - Revenue - Equity instruments - dividends</t>
  </si>
  <si>
    <t>FVthrghP&amp;L-Rev-EqIns-Dividends</t>
  </si>
  <si>
    <t>BR703284</t>
  </si>
  <si>
    <t>JVR non SPPI - Dividendes et revenus assimilés sur instruments de capitaux propres</t>
  </si>
  <si>
    <t>R76012000T</t>
  </si>
  <si>
    <t>JV par résultat - Revenus - Instruments de capitaux propres - autres</t>
  </si>
  <si>
    <t>JVR.-Rev-InstCapPro-autres</t>
  </si>
  <si>
    <t>FV through P&amp;L - Revenue - Equity instruments - other</t>
  </si>
  <si>
    <t>FVthrghP&amp;L-Rev-Equi Instr-Othr</t>
  </si>
  <si>
    <t>AC=TR15115</t>
  </si>
  <si>
    <t>TR15115</t>
  </si>
  <si>
    <t>JV par résultat sur option - Revenus</t>
  </si>
  <si>
    <t>JVR sur option-Revenus</t>
  </si>
  <si>
    <t>FV through P&amp;L option - Revenue</t>
  </si>
  <si>
    <t>FV through P&amp;L option - Rev</t>
  </si>
  <si>
    <t>R76001000O</t>
  </si>
  <si>
    <t>JV par résultat sur option - Revenus - Instruments de dettes - Intérêts reçus</t>
  </si>
  <si>
    <t>JVROpt-Rev-InsDet-IntRec</t>
  </si>
  <si>
    <t>FV through P&amp;L option - Revenue - Debt instruments - Interest income</t>
  </si>
  <si>
    <t>FVthrghP&amp;Lopt-Rev-DebIns-IntIn</t>
  </si>
  <si>
    <t>BR703231</t>
  </si>
  <si>
    <t>JVR O - Produits d'intérêts sur instruments de dettes</t>
  </si>
  <si>
    <t>R76001006O</t>
  </si>
  <si>
    <t>JV par résultat sur option - Revenus - Instruments de dettes - ICNE</t>
  </si>
  <si>
    <t>JVROpt-Rev-InsDet-ICNE</t>
  </si>
  <si>
    <t>FV through P&amp;L option - Revenue - Debt instruments - Accrued income</t>
  </si>
  <si>
    <t>FVthrghP&amp;Lopt-Rev-DebIns-AccIn</t>
  </si>
  <si>
    <t>AC=TR15116</t>
  </si>
  <si>
    <t>TR15116</t>
  </si>
  <si>
    <t>Instruments dérivés - Revenus</t>
  </si>
  <si>
    <t>Derivative instruments - Revenue</t>
  </si>
  <si>
    <t>Derivative Instr - Revenue</t>
  </si>
  <si>
    <t>R760382000</t>
  </si>
  <si>
    <t>BR707400</t>
  </si>
  <si>
    <t>JVR T - Produits d'intérêts sur instruments dérivés</t>
  </si>
  <si>
    <t>R760382200</t>
  </si>
  <si>
    <t>Instruments dérivés - Revenus - ICNE</t>
  </si>
  <si>
    <t>Instr. dérivés-Revenus-ICNE</t>
  </si>
  <si>
    <t>Derivative instruments - Revenue - Accrued interest</t>
  </si>
  <si>
    <t>Deriv Instr-Rev-Acc Interest</t>
  </si>
  <si>
    <t>AC=TR15117</t>
  </si>
  <si>
    <t>TR15117</t>
  </si>
  <si>
    <t>Entpses liées - Revenus</t>
  </si>
  <si>
    <t>Controlled entities - Revenue</t>
  </si>
  <si>
    <t>AC=TR151171</t>
  </si>
  <si>
    <t>TR151171</t>
  </si>
  <si>
    <t>Entpses liées - Revenus - Participations</t>
  </si>
  <si>
    <t>Entpses liées-Revenus-Particip</t>
  </si>
  <si>
    <t>Controlled entities - Revenue - Investments</t>
  </si>
  <si>
    <t>Control Entit - Rev - Invest</t>
  </si>
  <si>
    <t>R76010000X</t>
  </si>
  <si>
    <t>Entpses liées - Revenus - Participations - Dividendes</t>
  </si>
  <si>
    <t>Ents liées-Rev-Part-Dividendes</t>
  </si>
  <si>
    <t>Controlled entities - Revenue - Investments - Dividends</t>
  </si>
  <si>
    <t>Cont Entit-Rev-Invest-Divid</t>
  </si>
  <si>
    <t>R76020000X</t>
  </si>
  <si>
    <t>Entpses liées - Revenus - Participations - ICNE s/ avances et créances</t>
  </si>
  <si>
    <t>EntLiées-Rev-Part-ICNEs/AvaCré</t>
  </si>
  <si>
    <t>Controlled entities - Revenue - Investments - Accrued interest on advances and receivables</t>
  </si>
  <si>
    <t>ContEntit-Rev-Invest-AcIntAdRe</t>
  </si>
  <si>
    <t>BR747900</t>
  </si>
  <si>
    <t>Produits des activités annexes</t>
  </si>
  <si>
    <t>R76030000X</t>
  </si>
  <si>
    <t>Entpses liées - Revenus - Participations - Autres revenus</t>
  </si>
  <si>
    <t>Ents liées-Rev-Part-AutrRev</t>
  </si>
  <si>
    <t>Controlled entities - Revenue - Investments - Other revenue</t>
  </si>
  <si>
    <t>ContEntit-Rev-Invest-OthrRev</t>
  </si>
  <si>
    <t>R66040000X</t>
  </si>
  <si>
    <t>Entpses liées - Participations - Dot. Dépréciation</t>
  </si>
  <si>
    <t>Ents liées-Part-DotationDépré</t>
  </si>
  <si>
    <t>Controlled entities - Investments - Charges to provisions for impairment</t>
  </si>
  <si>
    <t>ContEntit-Invest-ChgesProvImp</t>
  </si>
  <si>
    <t>BR703292</t>
  </si>
  <si>
    <t>JVR non SPPI - Gains et pertes nets de réévaluation (pdc) - Instruments de capitaux propres</t>
  </si>
  <si>
    <t>R76040000X</t>
  </si>
  <si>
    <t>Entpses liées - Participations - Reprise dépréciation</t>
  </si>
  <si>
    <t>Ents liées-Part-RepriseDépré</t>
  </si>
  <si>
    <t>Controlled entities - Investments - Reversals of provisions for impairment</t>
  </si>
  <si>
    <t>ContEntit-Invest-ReversProvImp</t>
  </si>
  <si>
    <t>AC=TR151172</t>
  </si>
  <si>
    <t>TR151172</t>
  </si>
  <si>
    <t>Entpses liées - Revenus - OPCVM</t>
  </si>
  <si>
    <t>Entpses liées-Revenus-OPCVM</t>
  </si>
  <si>
    <t>Controlled entities - Revenue - MFU</t>
  </si>
  <si>
    <t>Control Entit - Rev - MFU</t>
  </si>
  <si>
    <t>R76011000</t>
  </si>
  <si>
    <t>AC=TR151173</t>
  </si>
  <si>
    <t>TR151173</t>
  </si>
  <si>
    <t>Entpses liées - Revenus - SCI</t>
  </si>
  <si>
    <t>Controlled entities - Revenue - Non-trading property companies</t>
  </si>
  <si>
    <t>ContEntit-Rev-NnTradPropComp</t>
  </si>
  <si>
    <t>R76012100</t>
  </si>
  <si>
    <t>Entpses liées - Revenus - SCI - Dividendes</t>
  </si>
  <si>
    <t>Ents liées-Rev-SCI-Dividendes</t>
  </si>
  <si>
    <t>Controlled entities - Revenue - NTPC - Dividends</t>
  </si>
  <si>
    <t>ContEntit-Rev-NTPC-Dividends</t>
  </si>
  <si>
    <t>R66012400</t>
  </si>
  <si>
    <t>Entpses liées - SCI - Dot. Dépréciation</t>
  </si>
  <si>
    <t>Ents liées-SCI-DotationDépré</t>
  </si>
  <si>
    <t>Controlled entities - NTPC - Charges to provisions for impairment</t>
  </si>
  <si>
    <t>ContEntit-NTPC-ChgesProvImp</t>
  </si>
  <si>
    <t>R76012400</t>
  </si>
  <si>
    <t>Entpses liées - SCI - Reprise dépréciation</t>
  </si>
  <si>
    <t>Ents liées-SCI-RepriseDépré</t>
  </si>
  <si>
    <t>Controlled entities - NTPC - Reversals of provisions for impairment</t>
  </si>
  <si>
    <t>ContEntit-NTPC-ReverssProvImp</t>
  </si>
  <si>
    <t>AC=TR15118</t>
  </si>
  <si>
    <t>TR15118</t>
  </si>
  <si>
    <t>Autres Revenus</t>
  </si>
  <si>
    <t>Other revenue</t>
  </si>
  <si>
    <t>R76070000</t>
  </si>
  <si>
    <t>Autres Revenus - Autres produits des valeurs mobilières</t>
  </si>
  <si>
    <t>AutresRev-AutresProdValeursMob</t>
  </si>
  <si>
    <t>Other revenue - Revenue from other securities</t>
  </si>
  <si>
    <t>OthrRev-RevOthrSecurities</t>
  </si>
  <si>
    <t>BR702240</t>
  </si>
  <si>
    <t>Clientèle - Autres produits d'intérêts et assimilés</t>
  </si>
  <si>
    <t>R76073000</t>
  </si>
  <si>
    <t>Autres Revenus - Commissions reçues/opérations s/ titres</t>
  </si>
  <si>
    <t>AutreRev-ComReçues/opér/titres</t>
  </si>
  <si>
    <t>Other revenue - Commissions received/transaction fees</t>
  </si>
  <si>
    <t>OthrRev-ComReceivedTransacFees</t>
  </si>
  <si>
    <t>BR703910</t>
  </si>
  <si>
    <t>Commissions reçues sur opérations sur titres - Commissions de placement</t>
  </si>
  <si>
    <t>R76081000</t>
  </si>
  <si>
    <t>Autres Revenus - Prêts et comptes à terme - ICNE</t>
  </si>
  <si>
    <t>AutRev-PrêtsComptesTerme-ICNE</t>
  </si>
  <si>
    <t>Other revenue - Loans and time deposits - Accrued interest</t>
  </si>
  <si>
    <t>OthrRev-LoaTimeDepos-AccrInt</t>
  </si>
  <si>
    <t>AC=TR1512</t>
  </si>
  <si>
    <t>TR1512</t>
  </si>
  <si>
    <t>ChPlacAutDetFinHorsCtEndet</t>
  </si>
  <si>
    <t>Investment expenses and interest expenses excl. finance costs</t>
  </si>
  <si>
    <t>InvExIntEx excl finance costs</t>
  </si>
  <si>
    <t>AC=TR15121</t>
  </si>
  <si>
    <t>TR15121</t>
  </si>
  <si>
    <t>Charges des immeubles de placement</t>
  </si>
  <si>
    <t>ChargesImmeublesPlacement</t>
  </si>
  <si>
    <t>Investment property expenses</t>
  </si>
  <si>
    <t>R61521000</t>
  </si>
  <si>
    <t>Charges des immeubles de placement - Entretiens, réparations et charges diverses</t>
  </si>
  <si>
    <t>ChargesImmPlac-EntrRépChaDiver</t>
  </si>
  <si>
    <t>Investment property expenses - Maintenance, repair and other costs</t>
  </si>
  <si>
    <t>InvestPropEx-MaintRepOthrCosts</t>
  </si>
  <si>
    <t>BR674001</t>
  </si>
  <si>
    <t>Charges sur immeubles de placement</t>
  </si>
  <si>
    <t>R68121000</t>
  </si>
  <si>
    <t>Charges des immeubles de placement - Dot. aux amortissements</t>
  </si>
  <si>
    <t>ChargesImmPlac-Dot aux amort</t>
  </si>
  <si>
    <t>Investment property expenses - Impairment expense</t>
  </si>
  <si>
    <t>Invest property Ex - Imp ex</t>
  </si>
  <si>
    <t>BR674210</t>
  </si>
  <si>
    <t>Dotation aux amortissements sur immeubles de placement</t>
  </si>
  <si>
    <t>AC=TR15122</t>
  </si>
  <si>
    <t>TR15122</t>
  </si>
  <si>
    <t>Charges des placements financiers</t>
  </si>
  <si>
    <t>Charges des placements fin.</t>
  </si>
  <si>
    <t>Investment expenses</t>
  </si>
  <si>
    <t>AC=TR151221</t>
  </si>
  <si>
    <t>TR151221</t>
  </si>
  <si>
    <t>Charges des placements fin. - Entpses liées</t>
  </si>
  <si>
    <t>ChargesPlacemtFin-EntpsesLiées</t>
  </si>
  <si>
    <t xml:space="preserve">Investment expenses - Controlled entities  </t>
  </si>
  <si>
    <t>Investment expenses - Controlled entities</t>
  </si>
  <si>
    <t xml:space="preserve">Invest Ex - Control Entit  </t>
  </si>
  <si>
    <t>R66020000X</t>
  </si>
  <si>
    <t>Charges des placements fin. - Entpses liées - ICNE s/ avances et créances rattachées</t>
  </si>
  <si>
    <t>ChPlaFin-EntLié-ICNEAvaCréaRat</t>
  </si>
  <si>
    <t>Investment expenses - Controlled entities - Accrued interest on advances and receivables</t>
  </si>
  <si>
    <t>InvestEx-ContEnt-AccIntAdvRec</t>
  </si>
  <si>
    <t>BR646220</t>
  </si>
  <si>
    <t>Pertes sur créances rattachées à des participations consolidées</t>
  </si>
  <si>
    <t>AC=TR151222</t>
  </si>
  <si>
    <t>TR151222</t>
  </si>
  <si>
    <t>Charges des placements fin. - Autres charges</t>
  </si>
  <si>
    <t>ChargesPlacFin-AutresCharges</t>
  </si>
  <si>
    <t>Investment expenses - Other expenditure</t>
  </si>
  <si>
    <t>Invest Ex - Other expenditure</t>
  </si>
  <si>
    <t>R66071000</t>
  </si>
  <si>
    <t>Charges des placements fin. - Commissions versées/opérations s/ titres</t>
  </si>
  <si>
    <t>ChPlacFin-ComVers/OpérTitres</t>
  </si>
  <si>
    <t>Investment expenses - Commissions paid/transaction fees</t>
  </si>
  <si>
    <t>InvestEx-ComPaid/TransFees</t>
  </si>
  <si>
    <t>BR608221</t>
  </si>
  <si>
    <t>Commissions versées prestations de services financiers - frais de courtage et de gestion sur titres</t>
  </si>
  <si>
    <t>R66072000</t>
  </si>
  <si>
    <t>Charges des placements fin. - Commissions versées/autres presta. de services fin.</t>
  </si>
  <si>
    <t>ChPlacFin-ComVers/PrestSerFin</t>
  </si>
  <si>
    <t>Investment expenses - Commissions paid/other financial services</t>
  </si>
  <si>
    <t>InvestEx-ComPaid/OthrFinServ</t>
  </si>
  <si>
    <t>R66030000</t>
  </si>
  <si>
    <t>Charges des placements fin. - Intérêts s/ pensions</t>
  </si>
  <si>
    <t>ChPlacFin-Intérêts s/pensions</t>
  </si>
  <si>
    <t>Investment expenses - Interest on repo transactions</t>
  </si>
  <si>
    <t>InvestEx-IntRepoTrans</t>
  </si>
  <si>
    <t>BR603120</t>
  </si>
  <si>
    <t>Clientèle - Charges d'intérêts sur titres et valeurs donnés en pension</t>
  </si>
  <si>
    <t>R62700000</t>
  </si>
  <si>
    <t>Charges des placements fin. - Autres charges s/ valeurs mobilières</t>
  </si>
  <si>
    <t>ChPlacFin-AutresCharges/ValMob</t>
  </si>
  <si>
    <t>Investment expenses - Other securities-related expenses</t>
  </si>
  <si>
    <t>InvestEx-OthrSecurit-RelatEx</t>
  </si>
  <si>
    <t>Evol 104</t>
  </si>
  <si>
    <t>R76082000</t>
  </si>
  <si>
    <t>Charges des placements fin. - Instruments dérivés - Amortissements</t>
  </si>
  <si>
    <t>ChPlacFin-InstrumentsDéri-Amor</t>
  </si>
  <si>
    <t>Investment expenses - Derivative instruments - Amortisation</t>
  </si>
  <si>
    <t>Invest Ex - Deriv Instr - AM</t>
  </si>
  <si>
    <t>BR607500</t>
  </si>
  <si>
    <t>JVR T - Pertes nettes de réévaluation (pdc) des instruments dérivés</t>
  </si>
  <si>
    <t>AC=TR151224</t>
  </si>
  <si>
    <t>TR151223</t>
  </si>
  <si>
    <t>TR151224</t>
  </si>
  <si>
    <t>Charges des placements fin. - Frais s/ valeurs mobilières - charge par nature - Frais non attribuables</t>
  </si>
  <si>
    <t>ChPfFrVMChgNatFrNnAttri</t>
  </si>
  <si>
    <t>Investment expenses and interest expenses excl. finance costs - Liaison accounts and adjustments</t>
  </si>
  <si>
    <t>InvExIntExExcFinCo-LiaisAccAdj</t>
  </si>
  <si>
    <t>Evol 94</t>
  </si>
  <si>
    <t>R62710000</t>
  </si>
  <si>
    <t>Investment expenses - Other securities-related expenses - Expense by type - non attributable charges</t>
  </si>
  <si>
    <t>InvestEx-DerivInstr-ExpType-na</t>
  </si>
  <si>
    <t>(vide)</t>
  </si>
  <si>
    <t>Err.</t>
  </si>
  <si>
    <t>AC=TR151223</t>
  </si>
  <si>
    <t>Chges placemts/autres dettes fin. hors coût endettmnt - Cptes liaison et ajust.</t>
  </si>
  <si>
    <t>ChPlcAutDetFinHorCtEnd-LiaAju</t>
  </si>
  <si>
    <t>R6602000L</t>
  </si>
  <si>
    <t>Charges des placements et autres dettes fin. hors coût de l'endettement - Liaison</t>
  </si>
  <si>
    <t>ChPlacAutrDetFinHorCtEndet-Lia</t>
  </si>
  <si>
    <t xml:space="preserve">Investment expenses and interest expense, excl. finance costs - Liaison accounts </t>
  </si>
  <si>
    <t>Investment expenses and interest expense, excl. finance costs - Liaison accounts</t>
  </si>
  <si>
    <t xml:space="preserve">InvExIntExExcFinCo-LiaisAcc </t>
  </si>
  <si>
    <t>R6602000AJ</t>
  </si>
  <si>
    <t>Charges des placements et autres dettes fin. hors coût de l'endettement - Ajust.</t>
  </si>
  <si>
    <t>ChPlacAutrDetFinHorCtEndet-Aju</t>
  </si>
  <si>
    <t>Investment expenses and interest expense, excl. finance costs - Adjustments</t>
  </si>
  <si>
    <t xml:space="preserve">InvExIntExExcFinCo-Adjustment </t>
  </si>
  <si>
    <t>TR152</t>
  </si>
  <si>
    <t>Plus ou moins-values des cessions de placements (hors actifs au coût amorti)</t>
  </si>
  <si>
    <t>PluMoinValuCesPlacHorActCtAmor</t>
  </si>
  <si>
    <t>Investment capital gains or losses on disposal (excluding securities at amortised cost)</t>
  </si>
  <si>
    <t>InvCapGainslosDisp exc sec AMc</t>
  </si>
  <si>
    <t>TR1521</t>
  </si>
  <si>
    <t>Immeubles de placement - Plus ou moins-value de cession</t>
  </si>
  <si>
    <t>ImPlacmnt-PlusMoinsValue cess.</t>
  </si>
  <si>
    <t xml:space="preserve">Investment income - Capital gains or losses on disposal </t>
  </si>
  <si>
    <t>Investment income - Capital gains or losses on disposal</t>
  </si>
  <si>
    <t xml:space="preserve">Inv incom-Cap gainslos dispos </t>
  </si>
  <si>
    <t>R66403000</t>
  </si>
  <si>
    <t>ImmPlacement-MoinsValue cess.</t>
  </si>
  <si>
    <t>Investment property - Capital losses on disposal</t>
  </si>
  <si>
    <t>Inv Property-Cap loss disposal</t>
  </si>
  <si>
    <t>BR674100</t>
  </si>
  <si>
    <t>Moins-value de cession sur immeubles de placement</t>
  </si>
  <si>
    <t>R76403000</t>
  </si>
  <si>
    <t>ImmPlacement-PlusValue cess.</t>
  </si>
  <si>
    <t>Investment property - Capital gains on disposal</t>
  </si>
  <si>
    <t>Inv Property-Cap gain disposal</t>
  </si>
  <si>
    <t>BR774004</t>
  </si>
  <si>
    <t>Plus value de cession sur immeubles de placement</t>
  </si>
  <si>
    <t>TR1522</t>
  </si>
  <si>
    <t>JV par OCI - R- Plus ou moins-value de cession</t>
  </si>
  <si>
    <t>JV/OCI-R-PlusMoinsValueCession</t>
  </si>
  <si>
    <t>FV through OCI - R - Capital gains or losses on disposal</t>
  </si>
  <si>
    <t>FVthrghOCI-R-Cap gainslos disp</t>
  </si>
  <si>
    <t>R76401000R</t>
  </si>
  <si>
    <t>JV par OCI - R - Plus-value de cession - Instruments de dettes</t>
  </si>
  <si>
    <t>JV/OCI-R-PlusValueCes-InstrDet</t>
  </si>
  <si>
    <t>FV through OCI - R - Capital gains on disposal - Debt instruments</t>
  </si>
  <si>
    <t>FVthrghOCI-R-CapGaiDis-DebInst</t>
  </si>
  <si>
    <t>BR703361</t>
  </si>
  <si>
    <t>JVOCI R - Plus values de cession - Instruments de dettes</t>
  </si>
  <si>
    <t>R66401000R</t>
  </si>
  <si>
    <t>JV par OCI - R - Moins-value de cession - Instruments de dettes</t>
  </si>
  <si>
    <t>JV/OCI-R-MoinValueCes-InstrDet</t>
  </si>
  <si>
    <t>FV through OCI - R - Capital losses on disposal - Debt instruments</t>
  </si>
  <si>
    <t>FVthrghOCI-R-CapLosDis-DebInst</t>
  </si>
  <si>
    <t>BR603361</t>
  </si>
  <si>
    <t>JVOCI R - Moins values de cession - Instruments de dettes</t>
  </si>
  <si>
    <t>AC=TR152X</t>
  </si>
  <si>
    <t>TR1523</t>
  </si>
  <si>
    <t>TR152X</t>
  </si>
  <si>
    <t>JV par OCI - NR - Plus ou moins-value de cession</t>
  </si>
  <si>
    <t>JVR.-PlusMoinsValueCession</t>
  </si>
  <si>
    <t>FV through P&amp;L - Capital gains or losses on disposal</t>
  </si>
  <si>
    <t>FVthrghP&amp;L-CapGainslosDisposal</t>
  </si>
  <si>
    <t>JV par résultat - Plus ou moins-value de cession</t>
  </si>
  <si>
    <t>R76401000T</t>
  </si>
  <si>
    <t>JV par résultat - Plus-value de cession - Instruments de dettes</t>
  </si>
  <si>
    <t>JVR-PlusValueCess-InstrDet</t>
  </si>
  <si>
    <t>FV through P&amp;L - Capital gains on disposal - Debt instruments</t>
  </si>
  <si>
    <t>FVthrghP&amp;L-CapGaiDis-DebtInstr</t>
  </si>
  <si>
    <t>BR703283</t>
  </si>
  <si>
    <t>JVR Non SPPI - Plus et moins values de cession sur instruments de dettes</t>
  </si>
  <si>
    <t>R66401000T</t>
  </si>
  <si>
    <t>JV par résultat - Moins-value de cession - Instruments de dettes</t>
  </si>
  <si>
    <t>JVR-MoinsValueCess-InstrDet</t>
  </si>
  <si>
    <t>FV through P&amp;L - Capital losses on disposal - Debt instruments</t>
  </si>
  <si>
    <t>FVthrghP&amp;L-CapLosDis-DebtInstr</t>
  </si>
  <si>
    <t>R76402000T</t>
  </si>
  <si>
    <t>JV par résultat - Plus-value de cession - Instruments de capitaux propres</t>
  </si>
  <si>
    <t>JVR-PluValueCes-InstrCapPro</t>
  </si>
  <si>
    <t>FV through P&amp;L - Capital gains on disposal - Equity instruments</t>
  </si>
  <si>
    <t>FVthrghP&amp;L-CapGaiDis-EquInstr</t>
  </si>
  <si>
    <t>BR703287</t>
  </si>
  <si>
    <t>JVR Non SPPI - Plus et moins values de cession sur instruments de capitaux propres</t>
  </si>
  <si>
    <t>R66402000T</t>
  </si>
  <si>
    <t>JV par résultat - Moins-value de cession - Instruments de capitaux propres</t>
  </si>
  <si>
    <t>JVR-MoinValueCes-InstCapPro</t>
  </si>
  <si>
    <t>FV through P&amp;L - Capital losses on disposal - Equity instruments</t>
  </si>
  <si>
    <t>FVthrghP&amp;L-CapLosDis-EquInstr</t>
  </si>
  <si>
    <t>TR1524</t>
  </si>
  <si>
    <t>JV par résultat sur option - Plus ou moins-value de cession</t>
  </si>
  <si>
    <t>JV/R s/Opti-PlusMoinsValueCess</t>
  </si>
  <si>
    <t>FV through P&amp;L option - Capital gains or losses on disposal</t>
  </si>
  <si>
    <t>FVthrghP&amp;Lop-CapGainslosDisp</t>
  </si>
  <si>
    <t>R76401000O</t>
  </si>
  <si>
    <t>JV par résultat sur option - Plus-value de cession - Instruments de dettes</t>
  </si>
  <si>
    <t>JVR s/Opt-PlusValueCes-InstDet</t>
  </si>
  <si>
    <t>FV through P&amp;L option - Capital gains on disposal - Debt instruments</t>
  </si>
  <si>
    <t>FVthrghP&amp;Lop-CapGaiDis-DebInst</t>
  </si>
  <si>
    <t>BR703294</t>
  </si>
  <si>
    <t>JVR O - Plus et moins values de cession sur instruments de dettes</t>
  </si>
  <si>
    <t>R66401000O</t>
  </si>
  <si>
    <t>JV par résultat sur option - Moins-value de cession - Instruments de dettes</t>
  </si>
  <si>
    <t>JVR s/Opt-MoinsValuCes-InstDet</t>
  </si>
  <si>
    <t>FV through P&amp;L option - Capital losses on disposal - Debt instruments</t>
  </si>
  <si>
    <t>FVthrghP&amp;Lop-CapLosDis-DebInst</t>
  </si>
  <si>
    <t>TR1525</t>
  </si>
  <si>
    <t>InstrDer-PlusMoinsValueCession</t>
  </si>
  <si>
    <t>Derivative instruments - Capital gains or losses on disposal</t>
  </si>
  <si>
    <t>DerivInstr-CapGainlos disposal</t>
  </si>
  <si>
    <t>R76408000</t>
  </si>
  <si>
    <t>InstrDérivés-PlusValueCession</t>
  </si>
  <si>
    <t>Derivative instruments - Capital gains on disposal</t>
  </si>
  <si>
    <t>DerivInstr-Cap Gains disposal</t>
  </si>
  <si>
    <t>BR603208</t>
  </si>
  <si>
    <t>CFH - Plus et moins values - Résultat cession ou rupture d'instruments de couverture - instruments de dettes</t>
  </si>
  <si>
    <t>R66408000</t>
  </si>
  <si>
    <t>InstrDérivés-MoinsValueCession</t>
  </si>
  <si>
    <t>Derivative instruments - Capital losses on disposal</t>
  </si>
  <si>
    <t>DerivInstr-Cap losses disposal</t>
  </si>
  <si>
    <t>TR1526</t>
  </si>
  <si>
    <t>Résultat de change</t>
  </si>
  <si>
    <t>Exchange gains and losses</t>
  </si>
  <si>
    <t>R66500000</t>
  </si>
  <si>
    <r>
      <t>Perte de change</t>
    </r>
    <r>
      <rPr>
        <sz val="10"/>
        <color theme="9" tint="-0.249977111117893"/>
        <rFont val="Arial"/>
        <family val="2"/>
      </rPr>
      <t xml:space="preserve"> relatives à des actifs ou des passifs financiers </t>
    </r>
  </si>
  <si>
    <t xml:space="preserve">Perte de change relatives à des actifs ou des passifs financiers </t>
  </si>
  <si>
    <t>Perte de change contrats fi</t>
  </si>
  <si>
    <t>Exchange losses relating to financial assets or liabilities</t>
  </si>
  <si>
    <t>ExchLosOnFinancial Ass.OrLia</t>
  </si>
  <si>
    <t>BR606100</t>
  </si>
  <si>
    <t>Pertes de change</t>
  </si>
  <si>
    <t>Evol 67</t>
  </si>
  <si>
    <t>R76500000</t>
  </si>
  <si>
    <r>
      <t>Gain de change</t>
    </r>
    <r>
      <rPr>
        <sz val="10"/>
        <color theme="9" tint="-0.249977111117893"/>
        <rFont val="Arial"/>
        <family val="2"/>
      </rPr>
      <t xml:space="preserve"> relatifs à des actifs ou des passifs financiers</t>
    </r>
  </si>
  <si>
    <t>Gain de change relatifs à des actifs ou des passifs financiers</t>
  </si>
  <si>
    <t>Gain de change contrats fi</t>
  </si>
  <si>
    <t>Exchange gains relating to financial assets or liabilities</t>
  </si>
  <si>
    <t>ExchGainOnFinancial Ass.OrLia</t>
  </si>
  <si>
    <t>BR706100</t>
  </si>
  <si>
    <t>Gains de change</t>
  </si>
  <si>
    <t>Evol 40 / Evol 67</t>
  </si>
  <si>
    <t>TR1527</t>
  </si>
  <si>
    <r>
      <t>Coût amorti</t>
    </r>
    <r>
      <rPr>
        <b/>
        <strike/>
        <sz val="10"/>
        <color rgb="FFFF0000"/>
        <rFont val="Arial"/>
        <family val="2"/>
      </rPr>
      <t xml:space="preserve"> - Rééval. QP précédemment détenue ou conservée - IFRS 3 révisé</t>
    </r>
  </si>
  <si>
    <t>CtAm-RéévQPprécDetCon-IFRS3rév</t>
  </si>
  <si>
    <t>Investments at amortised cost - Rem. of share previously held (revised IFRS 3)</t>
  </si>
  <si>
    <t>InvAMc-RemSharePrvHeldRevIFRS3</t>
  </si>
  <si>
    <t>Evol 93</t>
  </si>
  <si>
    <t>R66407000X</t>
  </si>
  <si>
    <t>Réévaluation de la QP précédemment détenue ou conservée - IFRS 3 révisé</t>
  </si>
  <si>
    <t>RéévaQPPrécédDétCons-IFRS3révi</t>
  </si>
  <si>
    <t>Rem. of share previously held (revised IFRS 3)</t>
  </si>
  <si>
    <t>Rem Share prev held rev IFRS3</t>
  </si>
  <si>
    <t>BR646510</t>
  </si>
  <si>
    <t>Opération de regroupement - réévaluation de la QP antérieurement détenue</t>
  </si>
  <si>
    <t>R76408000X</t>
  </si>
  <si>
    <t>+/- value de consolidation</t>
  </si>
  <si>
    <t>Gain or loss Consolidation value</t>
  </si>
  <si>
    <t>Gain loss Consolidation value</t>
  </si>
  <si>
    <t>R76409000X</t>
  </si>
  <si>
    <t>Produits de fusion</t>
  </si>
  <si>
    <t>Merger income</t>
  </si>
  <si>
    <t>Evol 93 / Evol 108</t>
  </si>
  <si>
    <t>R66409000X</t>
  </si>
  <si>
    <t>Charges de fusion</t>
  </si>
  <si>
    <t>Merger expenses</t>
  </si>
  <si>
    <t>AC=TR153</t>
  </si>
  <si>
    <t>TR153</t>
  </si>
  <si>
    <t>+/- décompta actif coût amo</t>
  </si>
  <si>
    <t>Gains and losses related to derecognition of assets at the amortised cost</t>
  </si>
  <si>
    <t>Gain Los Derec assets AMc</t>
  </si>
  <si>
    <t>AC=TR1531</t>
  </si>
  <si>
    <t>TR1531</t>
  </si>
  <si>
    <t>Coût amorti - Gains et Pertes relatifs à la décomptabilisation d'actifs au coût amorti</t>
  </si>
  <si>
    <t>Coût amo- +/- décompta</t>
  </si>
  <si>
    <t xml:space="preserve">Amortised cost - Gains and losses related to derecognition of assets at the amortised cost </t>
  </si>
  <si>
    <t>Amortised cost - Gains and losses related to derecognition of assets at the amortised cost</t>
  </si>
  <si>
    <t xml:space="preserve">AMc-Gain Los Derec Assets AMc </t>
  </si>
  <si>
    <t>R76401000A</t>
  </si>
  <si>
    <t>Coût amorti - Gains relatifs à la décomptabilisation d'actifs au coût amorti - Instruments de dettes</t>
  </si>
  <si>
    <t>CtAm-GaRelDécActCtAmo-InstrDet</t>
  </si>
  <si>
    <t xml:space="preserve">Amortised cost - Gains related to derecognition of assets at the amortised cost - Debt instruments </t>
  </si>
  <si>
    <t>Amortised cost - Gains related to derecognition of assets at the amortised cost - Debt instruments</t>
  </si>
  <si>
    <t xml:space="preserve">AMc-GainsDerAssetsAMc-DebInst </t>
  </si>
  <si>
    <t>BR705315</t>
  </si>
  <si>
    <t>Titres au coût amorti - Instruments de dettes - Plus value de cession</t>
  </si>
  <si>
    <t>R66402000A</t>
  </si>
  <si>
    <t>Coût amorti - Pertes relatives à la décomptabilisation d'actifs au coût amorti - Instruments de dettes</t>
  </si>
  <si>
    <t>Coût amo-(-)décompta-In dettes</t>
  </si>
  <si>
    <t xml:space="preserve">Amortised cost - Losses related to derecognition of assets at the amortised cost - Debt instruments </t>
  </si>
  <si>
    <t>Amortised cost - Losses related to derecognition of assets at the amortised cost - Debt instruments</t>
  </si>
  <si>
    <t xml:space="preserve">AMc-LossDerAssetsAMc-DebInst </t>
  </si>
  <si>
    <t>BR605310</t>
  </si>
  <si>
    <t>Titres au coût amorti- Instruments de dettes - Moins value de cession</t>
  </si>
  <si>
    <t>TR154</t>
  </si>
  <si>
    <t>VarJustValPlaceCompJustVal/rés</t>
  </si>
  <si>
    <t>Change in fair value of financial assets at FV through P&amp;L</t>
  </si>
  <si>
    <t>ChgFairValFinAssets FVthrghP&amp;L</t>
  </si>
  <si>
    <t>AC=TR1541</t>
  </si>
  <si>
    <t>TR1541</t>
  </si>
  <si>
    <t>Variation de JV par résultat - Immobiliers de placement</t>
  </si>
  <si>
    <t>Var JVR - ImPla</t>
  </si>
  <si>
    <t>FV adjustments through P&amp;L - Investment property</t>
  </si>
  <si>
    <t>FV adj thrghP&amp;L-InvestProperty</t>
  </si>
  <si>
    <t>R66423000</t>
  </si>
  <si>
    <t>Immobiliers de placement - Charge de revalo.</t>
  </si>
  <si>
    <t>ImPla-Charge de revalo.</t>
  </si>
  <si>
    <t>Investment property - Negative FV adjustments</t>
  </si>
  <si>
    <t>Invest property - Neg FV adj</t>
  </si>
  <si>
    <t>BR674000</t>
  </si>
  <si>
    <t>Charges de réévaluation des immeubles de placement</t>
  </si>
  <si>
    <t>R76423000</t>
  </si>
  <si>
    <t>Immobiliers de placement - Produit de revalo.</t>
  </si>
  <si>
    <t>ImPla - Produit de revalo.</t>
  </si>
  <si>
    <t>Investment property - Positive FV adjustments</t>
  </si>
  <si>
    <t>Invest property - Pos FV adj</t>
  </si>
  <si>
    <t>BR774000</t>
  </si>
  <si>
    <t>Produits  de réévaluation d'immeubles de placement</t>
  </si>
  <si>
    <t>AC=TR1542</t>
  </si>
  <si>
    <t>TR1542</t>
  </si>
  <si>
    <t>Variation de JV par résultat</t>
  </si>
  <si>
    <t xml:space="preserve">FV adjustments through P&amp;L  </t>
  </si>
  <si>
    <t>FV adjustments through P&amp;L</t>
  </si>
  <si>
    <t>R76401002T</t>
  </si>
  <si>
    <t>JV par résultat - Produit de revalo. - Instruments de dettes</t>
  </si>
  <si>
    <t>JVR - PdtRevalo.-InstrDettes</t>
  </si>
  <si>
    <t>FV through P&amp;L - Positive FV adjustments - Debt instruments</t>
  </si>
  <si>
    <t>FVthrghP&amp;L-PosFVadj-DebtInstr</t>
  </si>
  <si>
    <t>BR703280</t>
  </si>
  <si>
    <t>JVR non SPPI - Gains et pertes nets de réévaluation (pdc) - instruments de dettes</t>
  </si>
  <si>
    <t>R66401002T</t>
  </si>
  <si>
    <t>JV par résultat - Charge de revalo. - Instruments de dettes</t>
  </si>
  <si>
    <t>JVR - ChaRevalo.-InstrDettes</t>
  </si>
  <si>
    <t>FV through P&amp;L - Negative FV adjustments - Debt instruments</t>
  </si>
  <si>
    <t>FVthrghP&amp;L-NegFVadj-DebtInstr</t>
  </si>
  <si>
    <t>R76402002T</t>
  </si>
  <si>
    <t>JV par résultat - Produit de revalo. - Instruments de capitaux propres</t>
  </si>
  <si>
    <t>JVR - PdtRevalo.-InstrCapPro</t>
  </si>
  <si>
    <t>FV through P&amp;L - Positive FV adjustments - Equity instruments</t>
  </si>
  <si>
    <t>FVthrghP&amp;L-PosFVadj-EquityInst</t>
  </si>
  <si>
    <t>R66402002T</t>
  </si>
  <si>
    <t>JV par résultat - Charge de revalo. - Instruments de capitaux propres</t>
  </si>
  <si>
    <t>JVR - ChaRevalo.-InstrCapPro</t>
  </si>
  <si>
    <t>FV through P&amp;L - Negative FV adjustments - Equity instruments</t>
  </si>
  <si>
    <t>FVthrghP&amp;L-NegFVadj-EquityInst</t>
  </si>
  <si>
    <t>AC=TR1543</t>
  </si>
  <si>
    <t>TR1543</t>
  </si>
  <si>
    <t>Variation de JV par résultat sur option</t>
  </si>
  <si>
    <t>Variation de JVR s/option</t>
  </si>
  <si>
    <t>FV adjustments through P&amp;L option</t>
  </si>
  <si>
    <t>FV adjs through P&amp;L option</t>
  </si>
  <si>
    <t>R76401002O</t>
  </si>
  <si>
    <t>JV par résultat sur option - Produit de revalo. - Instruments de dettes</t>
  </si>
  <si>
    <t>JVR s/option-PdtReval-InstrDet</t>
  </si>
  <si>
    <t>FV through P&amp;L option - Positive FV adjustments - Debt instruments</t>
  </si>
  <si>
    <t>FVthghP&amp;Lopt-PosFVadj-DebtInst</t>
  </si>
  <si>
    <t>BR703271</t>
  </si>
  <si>
    <t>JVR O - Gains et pertes nets de réévaluation (pdc) - Instruments de dettes</t>
  </si>
  <si>
    <t>R66401002O</t>
  </si>
  <si>
    <t>JV par résultat sur option - Charge de revalo. - Instruments de dettes</t>
  </si>
  <si>
    <t>JVR s/option-ChaReval-InstrDet</t>
  </si>
  <si>
    <t>FV through P&amp;L option - Negative FV adjustments - Debt instruments</t>
  </si>
  <si>
    <t>FVthghP&amp;Lopt-NegFVadj-DebtInst</t>
  </si>
  <si>
    <t>AC=TR1544</t>
  </si>
  <si>
    <t>TR1544</t>
  </si>
  <si>
    <t>Variation de JV - Instruments dérivés</t>
  </si>
  <si>
    <t>Variation de JV-InstruDérivés</t>
  </si>
  <si>
    <t>FV adjustments - Derivative instruments</t>
  </si>
  <si>
    <t>FV adjs - Derivative Instr</t>
  </si>
  <si>
    <t>R76428000</t>
  </si>
  <si>
    <t>Instruments dérivés - Produit de revalo.</t>
  </si>
  <si>
    <t>Instruments dérivés-PdtRevalo.</t>
  </si>
  <si>
    <t>Derivative instruments - Positive FV adjustments</t>
  </si>
  <si>
    <t>Deriv Instr - Pos FV adj</t>
  </si>
  <si>
    <t>BR707500</t>
  </si>
  <si>
    <t>JVR T - Gains nets de réévaluation (pdc) des instruments dérivés</t>
  </si>
  <si>
    <t>R66428000</t>
  </si>
  <si>
    <t>Instruments dérivés - Charge de revalo.</t>
  </si>
  <si>
    <t>Instruments dérivés-CharRevalo</t>
  </si>
  <si>
    <t>Derivative instruments - Negative FV adjustments</t>
  </si>
  <si>
    <t>Deriv Instr - Neg FV adj</t>
  </si>
  <si>
    <t>R76429000</t>
  </si>
  <si>
    <t>Instruments dérivés - Produits de revalo liée à l'inefficacité des instruments de couverture</t>
  </si>
  <si>
    <t>InstDéri-ProdRevaInefInstrCouv</t>
  </si>
  <si>
    <t>Derivatives - Reval. revenues related to the ineffectiveness of hedging instruments</t>
  </si>
  <si>
    <t>Deriv-RevalRevIneffectHedgInst</t>
  </si>
  <si>
    <t>BR605960</t>
  </si>
  <si>
    <t>Inefficacite des couvertures de CFH - risque de change</t>
  </si>
  <si>
    <t>R66429000</t>
  </si>
  <si>
    <t>Instruments dérivés - Charge de revalo liée à l'inefficacité des instruments de couverture</t>
  </si>
  <si>
    <t>InstDéri-ChaRevaloInefInstCouv</t>
  </si>
  <si>
    <t>Derivatives - Reval. expenses related to the ineffectiveness of hedging instruments</t>
  </si>
  <si>
    <t>Deriv-RevalExIneffectHedgInstr</t>
  </si>
  <si>
    <t>AC=TR1545</t>
  </si>
  <si>
    <t>TR1545</t>
  </si>
  <si>
    <t>Variation de JV par résultat - Passifs fin.</t>
  </si>
  <si>
    <t>Variation de JVR-Passifs fin.</t>
  </si>
  <si>
    <t>FV adjustments through P&amp;L - Financial liabilities</t>
  </si>
  <si>
    <t>FV Adj thrghP&amp;L-FinLiabilities</t>
  </si>
  <si>
    <t>R66425000</t>
  </si>
  <si>
    <t>Passifs fin. - Charge de revalo.</t>
  </si>
  <si>
    <t>Passifs fin-Charge de revalo.</t>
  </si>
  <si>
    <t>Financial liabilities - Negative FV adjustments</t>
  </si>
  <si>
    <t>Fin liabilities - Neg FV adj</t>
  </si>
  <si>
    <t>BR703296</t>
  </si>
  <si>
    <t>Assur - réévaluation des instruments de dettes en UC (Ajustement ACAV)</t>
  </si>
  <si>
    <t>R76425000</t>
  </si>
  <si>
    <t>Passifs fin. - Produit de revalo.</t>
  </si>
  <si>
    <t>Passifs fin.-Pdt de revalo.</t>
  </si>
  <si>
    <t>Financial liabilities - Positive FV adjustments</t>
  </si>
  <si>
    <t>Fin liabilities - Pos FV adj</t>
  </si>
  <si>
    <t>AC=TR1546</t>
  </si>
  <si>
    <t>TR1546</t>
  </si>
  <si>
    <t>Variation de JV - Contrats en UC - Ajustements ACAV</t>
  </si>
  <si>
    <t>Var JV-Contrats UC-Ajust ACAV</t>
  </si>
  <si>
    <t>FV adjustments - Unit-linked portfolios - FV adjustments ACAV</t>
  </si>
  <si>
    <t>FVadj-UnitLlinkPortf-FVadjACAV</t>
  </si>
  <si>
    <t>R76600000</t>
  </si>
  <si>
    <t>Contrats en UC - Ajustements ACAV - Positif</t>
  </si>
  <si>
    <t>Contrats UC - Ajust ACAV-Pos</t>
  </si>
  <si>
    <t>Unit-linked portfolios - Positive FV adjustments ACAV</t>
  </si>
  <si>
    <t>Unit-linkPortfol-PosFVadjACAV</t>
  </si>
  <si>
    <t>R66600000</t>
  </si>
  <si>
    <t>Contrats en UC - Ajustements ACAV - Négatif</t>
  </si>
  <si>
    <t>Contrats UC-Ajust ACAV-Nég</t>
  </si>
  <si>
    <t>Unit-linked portfolios - Negative FV adjustments ACAV</t>
  </si>
  <si>
    <t>Unit-linkPortfol-NegFVadjACAV</t>
  </si>
  <si>
    <t>AC=TR1547</t>
  </si>
  <si>
    <t>TR1547</t>
  </si>
  <si>
    <t>Variation de JV - Contrats en UC - Ajustements ACAVI</t>
  </si>
  <si>
    <t>Var JV-Contrats UC-Ajust ACAVI</t>
  </si>
  <si>
    <t>FV adjustments - Unit-linked portfolios - FV adjustments ACAVI</t>
  </si>
  <si>
    <t>FVadj-Unt-linkPortf-FVadjACAVI</t>
  </si>
  <si>
    <t>R76600010</t>
  </si>
  <si>
    <t>Contrats en UC - Ajustements ACAVI - Positif</t>
  </si>
  <si>
    <t>Contrats UC-Ajust ACAVI-Pos</t>
  </si>
  <si>
    <t>Unit-linked portfolios - Positive FV adjustments ACAVI</t>
  </si>
  <si>
    <t>Unit-linkPortfol-PosFVadjACAVI</t>
  </si>
  <si>
    <t>R66600010</t>
  </si>
  <si>
    <t>Contrats en UC - Ajustements ACAVI - Négatif</t>
  </si>
  <si>
    <t>Contrats UC-Ajust ACAVI-Nég</t>
  </si>
  <si>
    <t>Unit-linked portfolios - Negative FV adjustments ACAVI</t>
  </si>
  <si>
    <t>Unit-linkPortfol-NegFVadjACAVI</t>
  </si>
  <si>
    <t>AC=TR155</t>
  </si>
  <si>
    <t>TR155</t>
  </si>
  <si>
    <t>Variation des dépréciations sur placements (ECL)</t>
  </si>
  <si>
    <t>Var. dépré S/placements (ECL)</t>
  </si>
  <si>
    <t>Adjustment to impairment on investments (ECL)</t>
  </si>
  <si>
    <t>adj to Imp on Invest (ECL)</t>
  </si>
  <si>
    <t>AC=TR1551</t>
  </si>
  <si>
    <t>TR1551</t>
  </si>
  <si>
    <t>Immeubles de placement - Variation dépréciation</t>
  </si>
  <si>
    <t>ImPla-Variation dépréciation</t>
  </si>
  <si>
    <t>Investment property - Change in provisions for impairment</t>
  </si>
  <si>
    <t>InvProp-Change in Prov for Imp</t>
  </si>
  <si>
    <t>R66961000</t>
  </si>
  <si>
    <t>Immeubles de placement - Dot. Dépréciation</t>
  </si>
  <si>
    <t>ImPla-Dot. Dépréciation</t>
  </si>
  <si>
    <t>Investment property - Charges to provisions for impairment</t>
  </si>
  <si>
    <t>InvProp-Chges to Prov for Imp</t>
  </si>
  <si>
    <t>BR674310</t>
  </si>
  <si>
    <t>Dotation aux dépréciations sur immeubles de placement</t>
  </si>
  <si>
    <t>R76961000</t>
  </si>
  <si>
    <t>Immeubles de placement - Reprise dépréciation</t>
  </si>
  <si>
    <t>ImPla-Rep. Dépréciation</t>
  </si>
  <si>
    <t>Investment property - Reversals of provisions for impairment</t>
  </si>
  <si>
    <t>InvProp-Reverss Prov for Imp</t>
  </si>
  <si>
    <t>BR774006</t>
  </si>
  <si>
    <t>Reprise de provisions sur immeubles de placement</t>
  </si>
  <si>
    <t>AC=TR1555</t>
  </si>
  <si>
    <t>TR1555</t>
  </si>
  <si>
    <t>Var. des dépréciations des créances des opérations nées d'ass. et de réass.</t>
  </si>
  <si>
    <t>Evol 116 / Evol 117</t>
  </si>
  <si>
    <t>R60629000</t>
  </si>
  <si>
    <t>Contrats financiers sans PB discr. - Dot. Dépréciation</t>
  </si>
  <si>
    <t>ContrFi.sansPB-Dot.Dep</t>
  </si>
  <si>
    <t>Investment property to policyholders - Charges to provisions for impairment</t>
  </si>
  <si>
    <t>Loans adv. to PH-Chg.ProvImp</t>
  </si>
  <si>
    <t>Changement de hiérarchie - nouvelle hiérarchie [G]</t>
  </si>
  <si>
    <t>Evol 116 / Evol 117 / Evol 126</t>
  </si>
  <si>
    <t>R70629000</t>
  </si>
  <si>
    <t>Contrats financiers sans PB discr. - Rep. Dépréciation</t>
  </si>
  <si>
    <t>ContrFi.sansPB-Rep.Dep</t>
  </si>
  <si>
    <t>Investment property to policyholders - Reversals of provisions for impairment</t>
  </si>
  <si>
    <t>Loans adv. to PH-Rev.ProvImp</t>
  </si>
  <si>
    <t>AC=TR1552</t>
  </si>
  <si>
    <t>TR1552</t>
  </si>
  <si>
    <t>Coût amorti - Variation dépréciation</t>
  </si>
  <si>
    <t>Coût amorti-Var. Dépréciation</t>
  </si>
  <si>
    <t>Amortised cost - Change in provisions for impairment</t>
  </si>
  <si>
    <t>AMc - Change in Prov for Imp</t>
  </si>
  <si>
    <t>AC=TR15521</t>
  </si>
  <si>
    <t>TR15521</t>
  </si>
  <si>
    <t>Coût amorti - Variation dépréciation - instruments de dettes</t>
  </si>
  <si>
    <t>Ct amorti-VarDépré-InstrDettes</t>
  </si>
  <si>
    <t>Amortised cost - Impairment variations  - Debt instruments</t>
  </si>
  <si>
    <t>Amortised cost - Impairment variations - Debt instruments</t>
  </si>
  <si>
    <t>AMc - Imp vars  - Debt Instr</t>
  </si>
  <si>
    <t>R66900013A</t>
  </si>
  <si>
    <t>Coût amorti - Dot. dépréciation - instruments de dettes - B1</t>
  </si>
  <si>
    <t>CtAmorti-DotDépré-InstDet-B1</t>
  </si>
  <si>
    <t>Amortised cost - Impairment allowances - Debt instruments - B1</t>
  </si>
  <si>
    <t>AMc-ImpAllow-DebtInstr-B1</t>
  </si>
  <si>
    <t>BR671614</t>
  </si>
  <si>
    <t>Dotations aux Dépréciations - Titres au coût amorti - Clientèle - B1</t>
  </si>
  <si>
    <t>R66900023A</t>
  </si>
  <si>
    <t>Coût amorti - Dot. dépréciation - instruments de dettes - B2</t>
  </si>
  <si>
    <t>CtAmorti-DotDépré-InstDet-B2</t>
  </si>
  <si>
    <t>Amortised cost - Impairment allowances - Debt instruments - B2</t>
  </si>
  <si>
    <t>AMc-ImpAllow-DebtInstr-B2</t>
  </si>
  <si>
    <t>BR671616</t>
  </si>
  <si>
    <t>Dotations aux Dépréciations - Titres au coût amorti - Clientèle - B2</t>
  </si>
  <si>
    <t>R66900033A</t>
  </si>
  <si>
    <t>Coût amorti - Dot. dépréciation - instruments de dettes -B3</t>
  </si>
  <si>
    <t>CtAmorti-DotDépré-InstDet-B3</t>
  </si>
  <si>
    <t>Amortised cost - Impairment allowances - Debt instruments -B3</t>
  </si>
  <si>
    <t>AMc-ImpAllow-DebtInstr-B3</t>
  </si>
  <si>
    <t>BR671618</t>
  </si>
  <si>
    <t>Dotations aux Dépréciations - Titres au coût amorti - Clientèle - B3</t>
  </si>
  <si>
    <t>R66900053A</t>
  </si>
  <si>
    <t>Coût amorti - Dot. dépréciation - instruments de dettes - POCI</t>
  </si>
  <si>
    <t>CtAmorti-DotDépré-InstDet-POCI</t>
  </si>
  <si>
    <t>Amortised cost - Impairment allowances - Debt instruments - POCI</t>
  </si>
  <si>
    <t>AMc-ImpAllow-DebtInstr-POCI</t>
  </si>
  <si>
    <t>R76900013A</t>
  </si>
  <si>
    <t>Coût amorti - Reprise dépréciation - instruments de dettes - B1</t>
  </si>
  <si>
    <t>CtAmorti-RepDépré-InstDet-B1</t>
  </si>
  <si>
    <t>Amortised cost - Impairment reversal   - Debt instruments - B1</t>
  </si>
  <si>
    <t>Amortised cost - Impairment reversal - Debt instruments - B1</t>
  </si>
  <si>
    <t>AMc-ImpRevers-DebtInstr-B1</t>
  </si>
  <si>
    <t>BR771614</t>
  </si>
  <si>
    <t>Reprises de Dépréciations - Titres au coût amorti - Clientèle - B1</t>
  </si>
  <si>
    <t>R76900023A</t>
  </si>
  <si>
    <t>Coût amorti - Reprise dépréciation - instruments de dettes - B2</t>
  </si>
  <si>
    <t>CtAmorti-RepDépré-InstDet-B2</t>
  </si>
  <si>
    <t>Amortised cost - Impairment reversal   - Debt instruments - B2</t>
  </si>
  <si>
    <t>Amortised cost - Impairment reversal - Debt instruments - B2</t>
  </si>
  <si>
    <t>AMc-ImpRevers-DebtInstr-B2</t>
  </si>
  <si>
    <t>BR771616</t>
  </si>
  <si>
    <t>Reprises de Dépréciations - Titres au coût amorti - Clientèle - B2</t>
  </si>
  <si>
    <t>R76900033A</t>
  </si>
  <si>
    <t>Coût amorti - Reprise dépréciation - instruments de dettes - B3</t>
  </si>
  <si>
    <t>CtAmorti-RepDépré-InstDet-B3</t>
  </si>
  <si>
    <t>Amortised cost - Impairment reversal   - Debt instruments - B3</t>
  </si>
  <si>
    <t>Amortised cost - Impairment reversal - Debt instruments - B3</t>
  </si>
  <si>
    <t>AMc-ImpRevers-DebtInstr-B3</t>
  </si>
  <si>
    <t>BR771618</t>
  </si>
  <si>
    <t>Reprises de Dépréciations - Titres au coût amorti - Clientèle - B3</t>
  </si>
  <si>
    <t>R76900053A</t>
  </si>
  <si>
    <t>Coût amorti - Reprise dépréciation - instruments de dettes - POCI</t>
  </si>
  <si>
    <t>CtAmorti-RepDépré-InstDet-POCI</t>
  </si>
  <si>
    <t>Amortised cost - Impairment reversal   - Debt instruments - POCI</t>
  </si>
  <si>
    <t>Amortised cost - Impairment reversal - Debt instruments - POCI</t>
  </si>
  <si>
    <t>AMc-ImpRevers-DebtInstr-POCI</t>
  </si>
  <si>
    <t>AC=TR15522</t>
  </si>
  <si>
    <t>TR15522</t>
  </si>
  <si>
    <t>Coût amorti - Variation dépréciation - Prêts et avances</t>
  </si>
  <si>
    <t>CtAmorti-VarDépré-PrêtsAvances</t>
  </si>
  <si>
    <t xml:space="preserve">Amortised cost - Impairment variations  - Loans and receivables </t>
  </si>
  <si>
    <t>Amortised cost - Impairment variations - Loans and receivables</t>
  </si>
  <si>
    <t>AMc-ImpVars-LoansReceiv</t>
  </si>
  <si>
    <t>R66903013A</t>
  </si>
  <si>
    <t>Coût amorti - Dot. dépréciation - Prêts et avances - B1</t>
  </si>
  <si>
    <t>CtAmorti-DotDépré-PrêtAvanc-B1</t>
  </si>
  <si>
    <t>Amortised cost - Impairment allowances - Loans and receivables - B1</t>
  </si>
  <si>
    <t>AMc-ImpAllow-LoansReceiv-B1</t>
  </si>
  <si>
    <t>BR649000</t>
  </si>
  <si>
    <t>Autres produits et charges divers d'exploitation</t>
  </si>
  <si>
    <t>R66903023A</t>
  </si>
  <si>
    <t>Coût amorti - Dot. dépréciation - Prêts et avances - B2</t>
  </si>
  <si>
    <t>CtAmorti-DotDépré-PrêtAvanc-B2</t>
  </si>
  <si>
    <t>Amortised cost - Impairment allowances - Loans and receivables - B2</t>
  </si>
  <si>
    <t>AMc-ImpAllow-LoansReceiv-B2</t>
  </si>
  <si>
    <t>R66903033A</t>
  </si>
  <si>
    <t>Coût amorti - Dot. dépréciation - Prêts et avances - B3</t>
  </si>
  <si>
    <t>CtAmorti-DotDépré-PrêtAvanc-B3</t>
  </si>
  <si>
    <t>Amortised cost - Impairment allowances - Loans and receivables - B3</t>
  </si>
  <si>
    <t>AMc-ImpAllow-LoansReceiv-B3</t>
  </si>
  <si>
    <t>R66903053A</t>
  </si>
  <si>
    <t>Coût amorti - Dot. dépréciation - Prêts et avances - POCI</t>
  </si>
  <si>
    <t>CtAmort-DotDépré-PrêAvanc-POCI</t>
  </si>
  <si>
    <t>Amortised cost - Impairment allowances - Loans and receivables - POCI</t>
  </si>
  <si>
    <t>AMc-ImpAllow-LoansReceiv-POCI</t>
  </si>
  <si>
    <t>R76903013A</t>
  </si>
  <si>
    <t>Coût amorti - Reprise dépréciation - Prêts et avances - B1</t>
  </si>
  <si>
    <t>CtAmorti-RepDépré-PrêtAvanc-B1</t>
  </si>
  <si>
    <t>Amortised cost - Impairment reversal   - Loans and receivables - B1</t>
  </si>
  <si>
    <t>Amortised cost - Impairment reversal - Loans and receivables - B1</t>
  </si>
  <si>
    <t>AMc-ImpRevers-LoansReceiv-B1</t>
  </si>
  <si>
    <t>R76903023A</t>
  </si>
  <si>
    <t>Coût amorti - Reprise dépréciation - Prêts et avances - B2</t>
  </si>
  <si>
    <t>CtAmorti-RepDépré-PrêtAvanc-B2</t>
  </si>
  <si>
    <t>Amortised cost - Impairment reversal   - Loans and receivables - B2</t>
  </si>
  <si>
    <t>Amortised cost - Impairment reversal - Loans and receivables - B2</t>
  </si>
  <si>
    <t>AMc-ImpRevers-LoansReceiv-B2</t>
  </si>
  <si>
    <t>R76903033A</t>
  </si>
  <si>
    <t>Coût amorti - Reprise dépréciation - Prêts et avances - B3</t>
  </si>
  <si>
    <t>CtAmorti-RepDépré-PrêtAvanc-B3</t>
  </si>
  <si>
    <t>Amortised cost - Impairment reversal   - Loans and receivables - B3</t>
  </si>
  <si>
    <t>Amortised cost - Impairment reversal - Loans and receivables - B3</t>
  </si>
  <si>
    <t>AMc-ImpRevers-LoansReceiv-B3</t>
  </si>
  <si>
    <t>R76903053A</t>
  </si>
  <si>
    <t>Coût amorti - Reprise dépréciation - Prêts et avances - POCI</t>
  </si>
  <si>
    <t>CtAmorti-RepDép-PrêtAvanc-POCI</t>
  </si>
  <si>
    <t>Amortised cost - Impairment reversal   - Loans and receivables - POCI</t>
  </si>
  <si>
    <t>Amortised cost - Impairment reversal - Loans and receivables - POCI</t>
  </si>
  <si>
    <t>AMc-ImpRevers-LoansRecei-POCI</t>
  </si>
  <si>
    <t>AC=TR1553</t>
  </si>
  <si>
    <t>TR1553</t>
  </si>
  <si>
    <t>JV OCI - Variation dépréciation</t>
  </si>
  <si>
    <t>JV OCI - Var. dépréciation</t>
  </si>
  <si>
    <t>FV through OCI - Change in provisions for impairment</t>
  </si>
  <si>
    <t>FVthrghOCI-Chg Prov Imp</t>
  </si>
  <si>
    <t>AC=TR15531</t>
  </si>
  <si>
    <t>TR15531</t>
  </si>
  <si>
    <t>JV OCI - Variation dépréciation - instruments de dettes</t>
  </si>
  <si>
    <t>JVOCI-Var Dépré-Inst Dettes</t>
  </si>
  <si>
    <t>FVOCI - Impairment variations  - Debt instruments</t>
  </si>
  <si>
    <t>FVOCI - Impairment variations - Debt instruments</t>
  </si>
  <si>
    <t>FVOCI - Imp vars  - Debt Instr</t>
  </si>
  <si>
    <t>R66900013R</t>
  </si>
  <si>
    <t>Dot. dépréciation - JV OCI recyclable - Instruments de dettes - B1</t>
  </si>
  <si>
    <t>Dot Dépré-JVOCIRyl-Inst Det-B1</t>
  </si>
  <si>
    <t>Impairment allowances - FVOCI R - Debt instruments - B1</t>
  </si>
  <si>
    <t>ImpAllow-FVOCIR-DebtInstr-B1</t>
  </si>
  <si>
    <t>BR671620</t>
  </si>
  <si>
    <t>Dotation aux provisions - Instruments de dettes - JVOCI R - B1</t>
  </si>
  <si>
    <t>R66900023R</t>
  </si>
  <si>
    <t>Dot. dépréciation - JV OCI recyclable - Instruments de dettes - B2</t>
  </si>
  <si>
    <t>Dot Dépré-JVOCIRyl-Inst Det-B2</t>
  </si>
  <si>
    <t>Impairment allowances - FVOCI R - Debt instruments - B2</t>
  </si>
  <si>
    <t>ImpAllow-FVOCIR-DebtInstr-B2</t>
  </si>
  <si>
    <t>BR671622</t>
  </si>
  <si>
    <t>Dotation aux provisions - Instruments de dettes - JVOCI R - B2</t>
  </si>
  <si>
    <t>R66900033R</t>
  </si>
  <si>
    <t>Dot. dépréciation - JV OCI recyclable - Instruments de dettes - B3</t>
  </si>
  <si>
    <t>Dot Dépré-JVOCIRyl-Inst Det-B3</t>
  </si>
  <si>
    <t>Impairment allowances - FVOCI R - Debt instruments - B3</t>
  </si>
  <si>
    <t>ImpAllow-FVOCIR-DebtInstr-B3</t>
  </si>
  <si>
    <t>BR671624</t>
  </si>
  <si>
    <t>Dotation aux provisions - Instruments de dettes - JVOCI R - B3</t>
  </si>
  <si>
    <t>R66900053R</t>
  </si>
  <si>
    <t>Dot. dépréciation - JV OCI recyclable - Instruments de dettes - POCI</t>
  </si>
  <si>
    <t>DotDépré-JVOCIRyl-InstDet-POCI</t>
  </si>
  <si>
    <t>Impairment allowances - FVOCI R - Debt instruments - POCI</t>
  </si>
  <si>
    <t>ImpAllow-FVOCIR-DebtInstr-POCI</t>
  </si>
  <si>
    <t>R76900013R</t>
  </si>
  <si>
    <t>Reprise dépréciation - JV OCI recyclable -Instruments de dettes - B1</t>
  </si>
  <si>
    <t>RepDépré-JVOCIRyl-Inst det-B1</t>
  </si>
  <si>
    <t>Impairment reversal   - FVOCI R -Debt instruments - B1</t>
  </si>
  <si>
    <t>Impairment reversal - FVOCI R -Debt instruments - B1</t>
  </si>
  <si>
    <t>ImpRevers-FVOCIR-DebtInstr-B1</t>
  </si>
  <si>
    <t>BR771620</t>
  </si>
  <si>
    <t>Reprise de provisions - Instruments de dettes - JVOCI R - B1</t>
  </si>
  <si>
    <t>R76900023R</t>
  </si>
  <si>
    <t>Reprise dépréciation - JV OCI recyclable - Instruments de dettes - B2</t>
  </si>
  <si>
    <t>RepDépré-JVOCIRyl-Inst det-B2</t>
  </si>
  <si>
    <t>Impairment reversal   - FVOCI R - Debt instruments - B2</t>
  </si>
  <si>
    <t>Impairment reversal - FVOCI R - Debt instruments - B2</t>
  </si>
  <si>
    <t>ImpRevers-FVOCIR-DebtInstr-B2</t>
  </si>
  <si>
    <t>BR771622</t>
  </si>
  <si>
    <t>Reprise de provisions - Instruments de dettes - JVOCI R - B2</t>
  </si>
  <si>
    <t>R76900033R</t>
  </si>
  <si>
    <t>Reprise dépréciation - JV OCI recyclable -Instruments de dettes - B3</t>
  </si>
  <si>
    <t>RepDépré-JVOCIRyl-Inst det-B3</t>
  </si>
  <si>
    <t>Impairment reversal   - FVOCI R -Debt instruments - B3</t>
  </si>
  <si>
    <t>Impairment reversal - FVOCI R -Debt instruments - B3</t>
  </si>
  <si>
    <t>ImpRevers-FVOCIR-DebtInstr-B3</t>
  </si>
  <si>
    <t>BR771624</t>
  </si>
  <si>
    <t>Reprise de provisions - Instruments de dettes - JVOCI R - B3</t>
  </si>
  <si>
    <t>R76900053R</t>
  </si>
  <si>
    <t>Reprise dépréciation - JV OCI recyclable - Instruments de dettes - POCI</t>
  </si>
  <si>
    <t>RepDépré-JVOCIRyl-InstDet-POCI</t>
  </si>
  <si>
    <t>Impairment reversal   - FVOCI R - Debt instruments - POCI</t>
  </si>
  <si>
    <t>Impairment reversal - FVOCI R - Debt instruments - POCI</t>
  </si>
  <si>
    <t>ImpRevers-FVOCIR-DebtInst-POCI</t>
  </si>
  <si>
    <t>AC=TR15532</t>
  </si>
  <si>
    <t>TR15532</t>
  </si>
  <si>
    <t>JV OCI - Variation dépréciation - Prêts et avances</t>
  </si>
  <si>
    <t>JVOCI-VarDépréciation-PrêtAvce</t>
  </si>
  <si>
    <t xml:space="preserve">FVOCI - Impairment variations  - Loans and receivables </t>
  </si>
  <si>
    <t>FVOCI - Impairment variations - Loans and receivables</t>
  </si>
  <si>
    <t>FVOCI-Impvars-LoansReceiv</t>
  </si>
  <si>
    <t>R66903013R</t>
  </si>
  <si>
    <t>Dot. dépréciation - JV OCI recyclable - Prêts et avances - B1</t>
  </si>
  <si>
    <t>DotDépré-JVOCIRyl-PrêtAvnce-B1</t>
  </si>
  <si>
    <t>Impairment allowances - FVOCI R - Loans and receivables - B1</t>
  </si>
  <si>
    <t>ImpAllow-FVOCIR-LoanReceiv-B1</t>
  </si>
  <si>
    <t>BR671626</t>
  </si>
  <si>
    <t>Dotation aux provisions - Prêts et créances - JVOCI R - B1</t>
  </si>
  <si>
    <t>R66903023R</t>
  </si>
  <si>
    <t>Dot. dépréciation - JV OCI recyclable - Prêts et avances - B2</t>
  </si>
  <si>
    <t>DotDépré-JVOCIRyl-PrêtAvnce-B2</t>
  </si>
  <si>
    <t>Impairment allowances - FVOCI R - Loans and receivables - B2</t>
  </si>
  <si>
    <t>ImpAllow-FVOCIR-LoanReceiv-B2</t>
  </si>
  <si>
    <t>BR671628</t>
  </si>
  <si>
    <t>Dotation aux provisions - Prêts et créances - JVOCI R - B2</t>
  </si>
  <si>
    <t>R66903033R</t>
  </si>
  <si>
    <t>Dot. dépréciation - JV OCI recyclable - Prêts et avances - B3</t>
  </si>
  <si>
    <t>DotDépré-JVOCIRyl-PrêtAvnce-B3</t>
  </si>
  <si>
    <t>Impairment allowances - FVOCI R - Loans and receivables - B3</t>
  </si>
  <si>
    <t>ImpAllow-FVOCIR-LoanReceiv-B3</t>
  </si>
  <si>
    <t>BR671630</t>
  </si>
  <si>
    <t>Dotation aux provisions - Prêts et créances - JVOCI R - B3</t>
  </si>
  <si>
    <t>R66903053R</t>
  </si>
  <si>
    <t>Dot. dépréciation - JV OCI recyclable - Prêts et avances - POCI</t>
  </si>
  <si>
    <t>DotDépré-JVOCIRyl-PrêAvnc-POCI</t>
  </si>
  <si>
    <t>Impairment allowances - FVOCI R - Loans and receivables - POCI</t>
  </si>
  <si>
    <t>ImpAllow-FVOCIR-LoanRecei-POCI</t>
  </si>
  <si>
    <t>R76903013R</t>
  </si>
  <si>
    <t>Reprise dépréciation - JV OCI recyclable - Prêts et avances - B1</t>
  </si>
  <si>
    <t>RepDépre-JVOCIRyl-PrêtAvnce-B1</t>
  </si>
  <si>
    <t>Impairment reversal   - FVOCI R - Loans and receivables - B1</t>
  </si>
  <si>
    <t>Impairment reversal - FVOCI R - Loans and receivables - B1</t>
  </si>
  <si>
    <t>ImpRevers-FVOCIR-LoanReceiv-B1</t>
  </si>
  <si>
    <t>BR771626</t>
  </si>
  <si>
    <t>Reprise de provisions - Prêts et créances - JVOCI R - B1</t>
  </si>
  <si>
    <t>R76903023R</t>
  </si>
  <si>
    <t>Reprise dépréciation - JV OCI recyclable - Prêts et avances - B2</t>
  </si>
  <si>
    <t>RepDépre-JVOCIRyl-PrêtAvnce-B2</t>
  </si>
  <si>
    <t>Impairment reversal   - FVOCI R - Loans and receivables - B2</t>
  </si>
  <si>
    <t>Impairment reversal - FVOCI R - Loans and receivables - B2</t>
  </si>
  <si>
    <t>ImpRevers-FVOCIR-LoanReceiv-B2</t>
  </si>
  <si>
    <t>BR771628</t>
  </si>
  <si>
    <t>Reprise de provisions - Prêts et créances - JVOCI R - B2</t>
  </si>
  <si>
    <t>R76903033R</t>
  </si>
  <si>
    <t>Reprise dépréciation - JV OCI recyclable - Prêts et avances -B3</t>
  </si>
  <si>
    <t>RepDépre-JVOCIRyl-PrêtAvnce-B3</t>
  </si>
  <si>
    <t>Impairment reversal   - FVOCI R -Loans and receivables - B3</t>
  </si>
  <si>
    <t>Impairment reversal - FVOCI R -Loans and receivables - B3</t>
  </si>
  <si>
    <t>ImpRevers-FVOCIR-LoanReceiv-B3</t>
  </si>
  <si>
    <t>BR771630</t>
  </si>
  <si>
    <t>Reprise de provisions - Prêts et créances - JVOCI R - B3</t>
  </si>
  <si>
    <t>R76903053R</t>
  </si>
  <si>
    <t>Reprise dépréciation - JV OCI recyclable - Prêts et avances - POCI</t>
  </si>
  <si>
    <t>RepDépre-JVOCIRyl-PrêtAve-POCI</t>
  </si>
  <si>
    <t>Impairment reversal   - FVOCI R -Loans and receivables - POCI</t>
  </si>
  <si>
    <t>Impairment reversal - FVOCI R -Loans and receivables - POCI</t>
  </si>
  <si>
    <t>ImpRevers-FVOCIR-LoanRece-POCI</t>
  </si>
  <si>
    <t>AC=TR1554</t>
  </si>
  <si>
    <t>TR1554</t>
  </si>
  <si>
    <t>Contrats fin. - Instruments dérivés - Variation des prov.</t>
  </si>
  <si>
    <t>ContFin-InstruDérivés-VarProv</t>
  </si>
  <si>
    <t xml:space="preserve">Financial instruments - Derivative instruments - Change in provisions for impairment </t>
  </si>
  <si>
    <t>Financial instruments - Derivative instruments - Change in provisions for impairment</t>
  </si>
  <si>
    <t xml:space="preserve">FinInstr-DeriInst-ChngProvImp </t>
  </si>
  <si>
    <t>R62801000</t>
  </si>
  <si>
    <t>Contrats fin. - Instruments dérivés - Dot. aux prov.</t>
  </si>
  <si>
    <t>ContFin-InstruDérivés-DotProv</t>
  </si>
  <si>
    <t>Financial instruments - Derivative instruments - Charges to provisions for impairment</t>
  </si>
  <si>
    <t>FinInstr-DeriInst-ChrgProvImp</t>
  </si>
  <si>
    <t>R62802000</t>
  </si>
  <si>
    <t>Contrats fin. - Instruments dérivés - Reprise des prov.</t>
  </si>
  <si>
    <t>ContFin-InstruDérivés-RepProv</t>
  </si>
  <si>
    <t>Financial instruments - Derivative instruments - Reversals of provisions for impairment</t>
  </si>
  <si>
    <t>FinInstr-DeriInst-RvrProvImp</t>
  </si>
  <si>
    <t>TR156</t>
  </si>
  <si>
    <t>Pertes sur créances irrécouvrables</t>
  </si>
  <si>
    <t>Pertes s/ créances irrécouvr.</t>
  </si>
  <si>
    <t>Losses on bad debts</t>
  </si>
  <si>
    <t>AC=TR1561</t>
  </si>
  <si>
    <t>TR1561</t>
  </si>
  <si>
    <t>Coût amorti - Pertes sur créances irrécouvrables</t>
  </si>
  <si>
    <t>CtAM-PertesS/CréanIrrécouvrabl</t>
  </si>
  <si>
    <t>Amortized cost - Losses on bad debts</t>
  </si>
  <si>
    <t>AMc - Losses on bad debts</t>
  </si>
  <si>
    <t>AC=R66801000A</t>
  </si>
  <si>
    <t>R66801000A</t>
  </si>
  <si>
    <t>Coût amorti - Pertes sur créances irrécouvrables couvertes par des Dépréciations</t>
  </si>
  <si>
    <t>CtAM-PertCréanIrrécCouv/Dépré</t>
  </si>
  <si>
    <t>Amortized cost - Losses on bad debts covered by impairments</t>
  </si>
  <si>
    <t>AMc-Loss bad debts covered Imp</t>
  </si>
  <si>
    <t>BR675168</t>
  </si>
  <si>
    <t>Pertes sur créances irrécouvrables couvertes par des Dépréciations - Titres au coût amorti</t>
  </si>
  <si>
    <t>AC=R66811000A</t>
  </si>
  <si>
    <t>R66811000A</t>
  </si>
  <si>
    <t>Coût amorti - Pertes sur créances irrécouvrables non couvertes par des Dépréciations</t>
  </si>
  <si>
    <t>CtAM-PertCréanIrrécNnCouv/Dépr</t>
  </si>
  <si>
    <t>Amortized cost - Losses on bad debts uncovered by impairments</t>
  </si>
  <si>
    <t>AMc-Loss bad debts uncov Imp</t>
  </si>
  <si>
    <t>BR675170</t>
  </si>
  <si>
    <t>Pertes sur créances irrécouvrables non couvertes par des Dépréciations- Titres au coût amorti</t>
  </si>
  <si>
    <t>AC=TR1562</t>
  </si>
  <si>
    <t>TR1562</t>
  </si>
  <si>
    <t>JV OCI - Instruments de dettes - Pertes sur créances irrécouvrables</t>
  </si>
  <si>
    <t>JVOCIR-InstDett-PertCréanIrréc</t>
  </si>
  <si>
    <t>FV through OCI - Debt instruments - Losses on bad debts</t>
  </si>
  <si>
    <t>FVthrghOCI-DebtInst-LosBadDebt</t>
  </si>
  <si>
    <t>AC=R66801000R</t>
  </si>
  <si>
    <t>R66801000R</t>
  </si>
  <si>
    <t>JVOCI R - Pertes sur créances irrécouvrables couvertes par des dépréciations</t>
  </si>
  <si>
    <t>JVOCIR-Pert/CréIrrécCouv/dépré</t>
  </si>
  <si>
    <t>Losses on bad debts covered by impairments - FV through OCI</t>
  </si>
  <si>
    <t>LosBadDebtsCovImp-FVthrghOCI</t>
  </si>
  <si>
    <t>BR675180</t>
  </si>
  <si>
    <t>Pertes sur créances irrécouvrables couvertes par des dépréciations - JVOCI R</t>
  </si>
  <si>
    <t>AC=R66811000R</t>
  </si>
  <si>
    <t>R66811000R</t>
  </si>
  <si>
    <t>JVOCI R - Pertes sur créances irrécouvrables non couvertes par des dépréciations</t>
  </si>
  <si>
    <t>JVOCIR-Pert/CréIrrécNnCouv/dép</t>
  </si>
  <si>
    <t>Losses on bad debts uncovered by impairments - FV through OCI</t>
  </si>
  <si>
    <t>LosBadDebtsUncovImp-FVthrghOCI</t>
  </si>
  <si>
    <t>BR675182</t>
  </si>
  <si>
    <t>Pertes sur créances irrécouvrables non couvertes par des dépréciations - JVOCI R</t>
  </si>
  <si>
    <t>AC=TR1563</t>
  </si>
  <si>
    <t>TR1563</t>
  </si>
  <si>
    <t>JV OCI - Instruments de dettes - Prêts et créances - Pertes sur créances irrécouvrables</t>
  </si>
  <si>
    <t>JVOCI-InsDe-PrêCré-PerS/CréIrr</t>
  </si>
  <si>
    <t>FV through OCI - Debt instruments - Loans and receivables - Losses on bad debts</t>
  </si>
  <si>
    <t>FVthrghOCI-DebtInstr-LosBadDeb</t>
  </si>
  <si>
    <t>AC=R66802000R</t>
  </si>
  <si>
    <t>R66802000R</t>
  </si>
  <si>
    <t>JVOCI R - Prêts et créances - Pertes sur créances irrécouvrables couvertes par des Dépréciations</t>
  </si>
  <si>
    <t>JVOCIR-PrêCré-PertCréIrCouvDép</t>
  </si>
  <si>
    <t>Losses on bad debts covered by impairments - Loans and receivables - FV through OCI</t>
  </si>
  <si>
    <t>LosBadDebCovImp- FVthrghOCI</t>
  </si>
  <si>
    <t>BR675184</t>
  </si>
  <si>
    <t>Pertes sur créances irrécouvrables couvertes par des Dépréciations - Prêts et créances - JVOCI R</t>
  </si>
  <si>
    <t>AC=R66812000R</t>
  </si>
  <si>
    <t>R66812000R</t>
  </si>
  <si>
    <t>JVOCI R - Prêts et créances - Pertes sur créances irrécouvrables non couvertes par des Dépréciations</t>
  </si>
  <si>
    <t>JVOCIR-PrêCré-PerCréIrNnCouDép</t>
  </si>
  <si>
    <t>Losses on bad debts uncovered by impairments - Loans and receivables - FV through OCI</t>
  </si>
  <si>
    <t>LosBadDebUncovImp- FVthrghOCI</t>
  </si>
  <si>
    <t>BR675186</t>
  </si>
  <si>
    <t>Pertes sur créances irrécouvrables non couvertes par des Dépréciations - Prêts et créances - JVOCI R</t>
  </si>
  <si>
    <t>AC=TR157</t>
  </si>
  <si>
    <t>TR157</t>
  </si>
  <si>
    <t>Intérêts calculés selon la méthode TIE</t>
  </si>
  <si>
    <t>Intérêts calculés méthode TIE</t>
  </si>
  <si>
    <t>Interest calculated by the effective interest method</t>
  </si>
  <si>
    <t>Interest effective method</t>
  </si>
  <si>
    <t>TR1571</t>
  </si>
  <si>
    <t>Intérêts calculés selon la méthode TIE - Coût amorti</t>
  </si>
  <si>
    <t>Irêts Calc. méthode TIE-CtAM</t>
  </si>
  <si>
    <t>Interest calculated by the effective interest method - Amortised cost</t>
  </si>
  <si>
    <t>Int effective method- AMc</t>
  </si>
  <si>
    <t>R66801004A</t>
  </si>
  <si>
    <t>Coût amorti - Instruments de dettes - gains d'Intérêts selon méthode TIE</t>
  </si>
  <si>
    <t>CtAM-InsDet-GainIntérêtsMétTIE</t>
  </si>
  <si>
    <t xml:space="preserve">Amortised cost - Debt instruments - interest revenue calculated by the effective interest method </t>
  </si>
  <si>
    <t>Amortised cost - Debt instruments - interest revenue calculated by the effective interest method</t>
  </si>
  <si>
    <t>AMc-DebtInstr-IntRev EffMeth</t>
  </si>
  <si>
    <t>BR703133</t>
  </si>
  <si>
    <t>Clientèle - Etalement des surcôtes et décôtes - Titres au cout amorti</t>
  </si>
  <si>
    <t>R66811004A</t>
  </si>
  <si>
    <t>Coût amorti - Instruments de dettes - charges d'Intérêts selon méthode TIE</t>
  </si>
  <si>
    <t>CtAM-InsDet-CharIntérêtsMétTIE</t>
  </si>
  <si>
    <t xml:space="preserve">Amortised cost - Debt instruments - interest expenses calculated by the effective interest method </t>
  </si>
  <si>
    <t>Amortised cost - Debt instruments - interest expenses calculated by the effective interest method</t>
  </si>
  <si>
    <t>AMc-DebtInstr-IntExp EffMeth</t>
  </si>
  <si>
    <t>TR1572</t>
  </si>
  <si>
    <t>Intérêts calculés selon la méthode TIE - JV OCI</t>
  </si>
  <si>
    <t>Irêts Calc. méthode TIE-JV OCI</t>
  </si>
  <si>
    <t>Interest calculated by the effective interest method - FV through OCI</t>
  </si>
  <si>
    <t>Int EffectiveMethod-FVthrghOCI</t>
  </si>
  <si>
    <t>R66801004R</t>
  </si>
  <si>
    <t>JV OCI - Instruments de dettes - gains d'Intérêts selon méthode TIE</t>
  </si>
  <si>
    <t>JVOCI-InstrDet-GainIrêtsMétTIE</t>
  </si>
  <si>
    <t>FV through OCI - Debt instruments - interest revenue calculated by the effective interest method</t>
  </si>
  <si>
    <t>FVthrghOCI-DebInst-IntRevEfMet</t>
  </si>
  <si>
    <t>BR703320</t>
  </si>
  <si>
    <t>JV OCI R - Etalement des surcôtes et décôtes - Instruments de dettes</t>
  </si>
  <si>
    <t>R66811004R</t>
  </si>
  <si>
    <t>JV OCI - Instruments de dettes - charges d'Intérêts selon méthode TIE</t>
  </si>
  <si>
    <t>JVOCI-InstrDet-CharIrêtsMétTIE</t>
  </si>
  <si>
    <t>FV through OCI - Debt instruments - interest expenses calculated by the effective interest method</t>
  </si>
  <si>
    <t>FVthrghOCI-DebInst-IntExpEfMet</t>
  </si>
  <si>
    <t>AC=TR1573</t>
  </si>
  <si>
    <t>TR1573</t>
  </si>
  <si>
    <t>Intérêts calculés selon la méthode TIE - JV par résultat</t>
  </si>
  <si>
    <t>Irêts calculés méthode TIE-JVR</t>
  </si>
  <si>
    <t>Interest calculated by the effective interest method - FV through P&amp;L</t>
  </si>
  <si>
    <t>Int Eff Methode-FVthrghP&amp;L</t>
  </si>
  <si>
    <t>R66801004T</t>
  </si>
  <si>
    <t>JV par résultat - Instruments de dettes - gains d'Intérêts selon méthode TIE</t>
  </si>
  <si>
    <t>JVR-InstDet-GainsIrêtsMéthTIE</t>
  </si>
  <si>
    <t xml:space="preserve">FV through P&amp;L - Debt instruments - interest revenue calculated by the effective interest method </t>
  </si>
  <si>
    <t>FV through P&amp;L - Debt instruments - interest revenue calculated by the effective interest method</t>
  </si>
  <si>
    <t>FVthrghP&amp;L-DebInst-IntRevEfMet</t>
  </si>
  <si>
    <t>R66811004T</t>
  </si>
  <si>
    <t>JV par résultat - Instruments de dettes - charges d'Intérêts selon méthode TIE</t>
  </si>
  <si>
    <t>JVR-InstDet-ChargIrêtsMéthTIE</t>
  </si>
  <si>
    <t xml:space="preserve">FV through P&amp;L - Debt instruments - interest expenses calculated by the effective interest method </t>
  </si>
  <si>
    <t>FV through P&amp;L - Debt instruments - interest expenses calculated by the effective interest method</t>
  </si>
  <si>
    <t>FVthrghP&amp;L-DebInst-IntExpEfMet</t>
  </si>
  <si>
    <t>AC=TR1574</t>
  </si>
  <si>
    <t>TR1574</t>
  </si>
  <si>
    <t>Intérêts calculés selon la méthode TIE - JV par résultat sur option</t>
  </si>
  <si>
    <t>Irêts méth. TIE - JVR s/option</t>
  </si>
  <si>
    <t>Interest calculated by the effective interest method - FV through P&amp;L option</t>
  </si>
  <si>
    <t>Int Eff Methode-FVthrghP&amp;Lopt</t>
  </si>
  <si>
    <t>R66801004O</t>
  </si>
  <si>
    <t>JV par résultat sur option - Instruments de dettes - gains d'Intérêts selon méthode TIE</t>
  </si>
  <si>
    <t>JVRoption-InstDet-GaIrêtMétTIE</t>
  </si>
  <si>
    <t xml:space="preserve">FV through P&amp;L option - Debt instruments - interest revenue calculated by the effective interest method </t>
  </si>
  <si>
    <t>FV through P&amp;L option - Debt instruments - interest revenue calculated by the effective interest method</t>
  </si>
  <si>
    <t>FVthrghP&amp;Lop-DebIns-InRevEfMet</t>
  </si>
  <si>
    <t>R66811004O</t>
  </si>
  <si>
    <t>JV par résultat sur option - Instruments de dettes - charges d'Intérêts selon méthode TIE</t>
  </si>
  <si>
    <t>JVRoption-InstDet-ChIrêtMétTIE</t>
  </si>
  <si>
    <t xml:space="preserve">FV through P&amp;L option - Debt instruments - interest expenses calculated by the effective interest method </t>
  </si>
  <si>
    <t>FV through P&amp;L option - Debt instruments - interest expenses calculated by the effective interest method</t>
  </si>
  <si>
    <t>FVthrghP&amp;Lop-DebIns-InExpEfMet</t>
  </si>
  <si>
    <t>AC=TR158A</t>
  </si>
  <si>
    <t>TR158A</t>
  </si>
  <si>
    <t>Gains ou pertes nets relatifs au reclassement d'actifs financiers au coût amorti en actifs financiers à la JVR</t>
  </si>
  <si>
    <t>GaiPerNtReclActFinCtAMActFiJVR</t>
  </si>
  <si>
    <t>Net G/L related to the reclassification of financial assets at amortised cost in financial assets at FV through P&amp;L</t>
  </si>
  <si>
    <t>NtGLReclFinassetsAMcFVthrghP&amp;L</t>
  </si>
  <si>
    <t>AC=R76401008A</t>
  </si>
  <si>
    <t>R76401008A</t>
  </si>
  <si>
    <t>Reclassement d'actifs financiers au coût amorti en actifs financiers à la JVR - Gain (brut d'ID)</t>
  </si>
  <si>
    <t>RecActFinCtAMActfinJVR-GaiBrID</t>
  </si>
  <si>
    <t>Reclassification of financial assets at amortized cost to financial assets at FVTPL - Income (before DT)</t>
  </si>
  <si>
    <t>ReclassFinAssetsAMcToFVTPL-Inc</t>
  </si>
  <si>
    <t>BR605440</t>
  </si>
  <si>
    <t>Gains et pertes nets résultant du reclassement d'actifs financiers au coût amorti en actifs financier à la JVR</t>
  </si>
  <si>
    <t>AC=R66401008A</t>
  </si>
  <si>
    <t>R66401008A</t>
  </si>
  <si>
    <t>Reclassement d'actifs financiers au coût amorti en actifs financiers à la JVR - Perte (brute d'ID)</t>
  </si>
  <si>
    <t>RecActFinCtAMActfinJVR-PerBrID</t>
  </si>
  <si>
    <t>Reclassification of financial assets at amortized cost to financial assets at FVTPL -  Loss (before d'DT)</t>
  </si>
  <si>
    <t>Reclassification of financial assets at amortized cost to financial assets at FVTPL - Loss (before d'DT)</t>
  </si>
  <si>
    <t>ReclassFinAssetsAMcToFVTPL-Los</t>
  </si>
  <si>
    <t>AC=TR158B</t>
  </si>
  <si>
    <t>TR158B</t>
  </si>
  <si>
    <t>Gains ou pertes nets relatifs au reclassement d'actifs financiers à la JV par OCI en actifs financiers à la JVR</t>
  </si>
  <si>
    <t>GaiPerNtRecActFiJVOCIActFiJVR</t>
  </si>
  <si>
    <t>Net gains or losses related to the reclassification of financial assets at JV OCI in financial assets at FV through P&amp;L</t>
  </si>
  <si>
    <t>NtGaLosRecFiAstJVOCIFVthrghP&amp;L</t>
  </si>
  <si>
    <t>AC=R76401008O</t>
  </si>
  <si>
    <t>R76401008O</t>
  </si>
  <si>
    <t>Reclassement d'actifs financiers à la JV OCI R en actifs financiers à la JVR - Gain (brut d'ID)</t>
  </si>
  <si>
    <t>RecActFiJVOCIRActiFiJVR-GaBtID</t>
  </si>
  <si>
    <t>Reclassification of Financial Assets to FV through P&amp;L recyclable OCI in Financial Assets at FV - Gain (gross DT)</t>
  </si>
  <si>
    <t>ReclFinAsstFVtrghP&amp;LRyOCIFV-Ga</t>
  </si>
  <si>
    <t>BR605450</t>
  </si>
  <si>
    <t>Gains et pertes nets résultant du reclassement d'actifs financiers à la JV OCI en actifs financiers à la JVR</t>
  </si>
  <si>
    <t>AC=R66401008O</t>
  </si>
  <si>
    <t>R66401008O</t>
  </si>
  <si>
    <t>Reclassement d'actifs financiers à la JV OCI R en actifs financiers à la JVR - Perte (brute d'ID)</t>
  </si>
  <si>
    <t>RecActFiJVOCIRActiFiJVR-PeBtID</t>
  </si>
  <si>
    <t>Reclassification of Financial Assets to FV through P&amp;L recyclable OCI in Financial Assets at FV - Loss (Gross DT)</t>
  </si>
  <si>
    <t>ReclFinAsstFVtrghP&amp;LRyOCIFV-Lo</t>
  </si>
  <si>
    <t>AC=TR158</t>
  </si>
  <si>
    <t>TR158</t>
  </si>
  <si>
    <t>Charges fin. d'assurance</t>
  </si>
  <si>
    <t xml:space="preserve">Financial charges related to insurance activities </t>
  </si>
  <si>
    <t>Financial charges related to insurance activities</t>
  </si>
  <si>
    <t xml:space="preserve">Financial Chges  Ins act </t>
  </si>
  <si>
    <t>AC=TR1581</t>
  </si>
  <si>
    <t>TR1581</t>
  </si>
  <si>
    <t>Charges financières d'assurance – Modèle BBA</t>
  </si>
  <si>
    <t xml:space="preserve">Charges fi. d'assurance-BBA </t>
  </si>
  <si>
    <t>Financial charges related to insurance activities - BBA</t>
  </si>
  <si>
    <t>Financial Chges  Ins act - BBA</t>
  </si>
  <si>
    <t>AC=TR15811</t>
  </si>
  <si>
    <t>TR15811</t>
  </si>
  <si>
    <t xml:space="preserve">Charges fin. d'assurance-BBA </t>
  </si>
  <si>
    <t>AC=R661701000B</t>
  </si>
  <si>
    <t>R661701000B</t>
  </si>
  <si>
    <r>
      <t xml:space="preserve">Charges financières d'assurance – Modèle BBA - </t>
    </r>
    <r>
      <rPr>
        <strike/>
        <sz val="10"/>
        <rFont val="Arial"/>
        <family val="2"/>
      </rPr>
      <t xml:space="preserve">Intérêts accumulés </t>
    </r>
    <r>
      <rPr>
        <sz val="10"/>
        <color rgb="FF00B050"/>
        <rFont val="Arial"/>
        <family val="2"/>
      </rPr>
      <t>Effet de désactualisation</t>
    </r>
  </si>
  <si>
    <r>
      <t>Charges financières d'assurance – Modèle BBA -</t>
    </r>
    <r>
      <rPr>
        <strike/>
        <sz val="10"/>
        <color theme="1"/>
        <rFont val="Arial"/>
        <family val="2"/>
      </rPr>
      <t xml:space="preserve"> </t>
    </r>
    <r>
      <rPr>
        <sz val="10"/>
        <color theme="1"/>
        <rFont val="Arial"/>
        <family val="2"/>
      </rPr>
      <t>Effet de désactualisation</t>
    </r>
  </si>
  <si>
    <t>CharFinAss-BBA-Effet de désac</t>
  </si>
  <si>
    <t>Financial charges related to insurance activities - BBA - Effect of undiscounting</t>
  </si>
  <si>
    <t>FinChgesInsAct-BBA-undisc</t>
  </si>
  <si>
    <t>BR66105B</t>
  </si>
  <si>
    <t>Effet de désactualisation - Modèle BBA/VFA</t>
  </si>
  <si>
    <t>AC=R661702000B</t>
  </si>
  <si>
    <t>R661702000B</t>
  </si>
  <si>
    <r>
      <t xml:space="preserve">Charges financières d'assurance – Modèle BBA - </t>
    </r>
    <r>
      <rPr>
        <strike/>
        <sz val="10"/>
        <rFont val="Arial"/>
        <family val="2"/>
      </rPr>
      <t>Effets financiers</t>
    </r>
    <r>
      <rPr>
        <sz val="10"/>
        <color rgb="FF00B050"/>
        <rFont val="Arial"/>
        <family val="2"/>
      </rPr>
      <t xml:space="preserve"> Changement de taux et d'environnement économique</t>
    </r>
  </si>
  <si>
    <t>Charges financières d'assurance – Modèle BBA -Changement de taux et d'environnement économique</t>
  </si>
  <si>
    <t>CharFinAss-BBA-chgt tx et env</t>
  </si>
  <si>
    <t>Financial charges related to insurance activities - BBA - Change in rates and economic environment</t>
  </si>
  <si>
    <t>FinChgesInsAct-BBA- ch rates</t>
  </si>
  <si>
    <t>BR66106B</t>
  </si>
  <si>
    <t>Changement de taux et d'environnement économique - Modèle BBA/VFA</t>
  </si>
  <si>
    <t>AC=R661704000B</t>
  </si>
  <si>
    <t>R661704000B</t>
  </si>
  <si>
    <t>Charges financières d'assurance - Modèle BBA - Ecarts de change</t>
  </si>
  <si>
    <t>CharFinAss-BBA-EcarChang</t>
  </si>
  <si>
    <t>Financial charges related to insurance activities - BBA - Exchange difference</t>
  </si>
  <si>
    <t>FinChgesInsAct-BBA- ExchDiff</t>
  </si>
  <si>
    <t>BR66104B</t>
  </si>
  <si>
    <t>Ecarts de change - Modèle BBA/VFA</t>
  </si>
  <si>
    <t>Evol 68</t>
  </si>
  <si>
    <t>AC=TR15812</t>
  </si>
  <si>
    <t>TR15812</t>
  </si>
  <si>
    <t>Charges financières d'assurance- Modèle BBA Cptes liaison et ajust.</t>
  </si>
  <si>
    <t>ChargeFinAssur-BBA cpt AjuLiai</t>
  </si>
  <si>
    <t>Financial charges related to insurance activities - BBA - Liaison and adjustment accounts</t>
  </si>
  <si>
    <t>FinChgesInsAct-BBA-LiaisAdjAcc</t>
  </si>
  <si>
    <t>AC=R66170000BL</t>
  </si>
  <si>
    <t>R66170000BL</t>
  </si>
  <si>
    <t>Charges financières d'assurance-Modèle BBA Cpte liaison</t>
  </si>
  <si>
    <t>ChargeFinAssur-BBA cpt liaison</t>
  </si>
  <si>
    <t>Financial charges related to insurance activities - BBA -Liaison account</t>
  </si>
  <si>
    <t>FinChgesInsAct-BBA-Liaison acc</t>
  </si>
  <si>
    <t>BR86611L</t>
  </si>
  <si>
    <t>Comptes de liaison - Produits et charges financières ass. et réass. - Modèle BBA/VFA</t>
  </si>
  <si>
    <t>AC=R66170000BJ</t>
  </si>
  <si>
    <t>R66170000BJ</t>
  </si>
  <si>
    <t>Charges financières d'assurance- Modèle BBA Cpte Ajust</t>
  </si>
  <si>
    <t>ChargeFinAssur-BBA cpt ajust</t>
  </si>
  <si>
    <t>Financial charges related to insurance activities - BBA - Adjustment account</t>
  </si>
  <si>
    <t>Fin ChgesInsAct-BBA- adj acc</t>
  </si>
  <si>
    <t>BR86611A</t>
  </si>
  <si>
    <t>Comptes d'ajustement - Produits et charges financières ass. et réass. - Modèle BBA/VFA</t>
  </si>
  <si>
    <t>AC=TR1582</t>
  </si>
  <si>
    <t>TR1582</t>
  </si>
  <si>
    <t>Charges financières d'assurance – Modèle PAA</t>
  </si>
  <si>
    <t>ChargesFinancièreAssurance-PAA</t>
  </si>
  <si>
    <t>Financial charges related to insurance activities - PAA</t>
  </si>
  <si>
    <t>Financial Chges  Ins act - PAA</t>
  </si>
  <si>
    <t>AC=TR15821</t>
  </si>
  <si>
    <t>TR15821</t>
  </si>
  <si>
    <t>Charges fin. d'assurance-PAA</t>
  </si>
  <si>
    <t>AC=R661701000P</t>
  </si>
  <si>
    <t>R661701000P</t>
  </si>
  <si>
    <r>
      <t>Charges financières d'assurance – Modèle PAA -</t>
    </r>
    <r>
      <rPr>
        <strike/>
        <sz val="10"/>
        <rFont val="Arial"/>
        <family val="2"/>
      </rPr>
      <t xml:space="preserve"> Intérêts accumulés</t>
    </r>
    <r>
      <rPr>
        <sz val="10"/>
        <color rgb="FF00B050"/>
        <rFont val="Arial"/>
        <family val="2"/>
      </rPr>
      <t xml:space="preserve"> Effet de désactualisation</t>
    </r>
  </si>
  <si>
    <t>Charges financières d'assurance – Modèle PAA - Effet de désactualisation</t>
  </si>
  <si>
    <t>ChargesFinAssur-PAA-Effet de désac</t>
  </si>
  <si>
    <t>Financial charges related to insurance activities - PAA - Effect of undiscounting</t>
  </si>
  <si>
    <t>FinChgesInsAct-PAA- undic</t>
  </si>
  <si>
    <t>BR66305P</t>
  </si>
  <si>
    <t>Effet de désactualisation - Modèle PAA</t>
  </si>
  <si>
    <t>AC=R661702000P</t>
  </si>
  <si>
    <t>R661702000P</t>
  </si>
  <si>
    <r>
      <t xml:space="preserve">Charges financières d'assurance – Modèle PAA - </t>
    </r>
    <r>
      <rPr>
        <strike/>
        <sz val="10"/>
        <rFont val="Arial"/>
        <family val="2"/>
      </rPr>
      <t xml:space="preserve">Effets financiers </t>
    </r>
    <r>
      <rPr>
        <sz val="10"/>
        <color rgb="FF00B050"/>
        <rFont val="Arial"/>
        <family val="2"/>
      </rPr>
      <t>Changement de taux et d'environnement économique</t>
    </r>
  </si>
  <si>
    <r>
      <t xml:space="preserve">Charges financières d'assurance – Modèle PAA </t>
    </r>
    <r>
      <rPr>
        <strike/>
        <sz val="10"/>
        <color theme="1"/>
        <rFont val="Arial"/>
        <family val="2"/>
      </rPr>
      <t xml:space="preserve"> </t>
    </r>
    <r>
      <rPr>
        <sz val="10"/>
        <color theme="1"/>
        <rFont val="Arial"/>
        <family val="2"/>
      </rPr>
      <t>Changement de taux et d'environnement économique</t>
    </r>
  </si>
  <si>
    <t>ChargesFinAssur-PAA--chgt tx et env</t>
  </si>
  <si>
    <t>Financial charges related to insurance activities - PAA - Change in rates and economic environment</t>
  </si>
  <si>
    <t>FinChgesInsAct-PAA- ch rates</t>
  </si>
  <si>
    <t>BR66306P</t>
  </si>
  <si>
    <t>Changement de taux et d'environnement économique - Modèle PAA</t>
  </si>
  <si>
    <t>AC=R661704000P</t>
  </si>
  <si>
    <t>R661704000P</t>
  </si>
  <si>
    <t>Charges financières d'assurance - Modèle PAA - Ecarts de change</t>
  </si>
  <si>
    <t>CharFinAss-PAA-EcarChang</t>
  </si>
  <si>
    <t>Financial charges related to insurance activities - PAA - Exchange difference</t>
  </si>
  <si>
    <t>FinChgesInsAct-PAA- ExchDiff</t>
  </si>
  <si>
    <t>BR66304P</t>
  </si>
  <si>
    <t>Ecarts de change - Modèle PAA</t>
  </si>
  <si>
    <t>AC=TR15822</t>
  </si>
  <si>
    <t>TR15822</t>
  </si>
  <si>
    <t>Charges financières d'assurance- Modèle PAA Cptes liaison et ajust.</t>
  </si>
  <si>
    <t>CharFinAssurance-PAA-LiaisAjus</t>
  </si>
  <si>
    <t>Financial charges related to insurance activities - PAA - Liaison and adjustment accounts</t>
  </si>
  <si>
    <t>FinChgesInsAct-PAA-LiaisAdjAcc</t>
  </si>
  <si>
    <t>AC=R66170000PL</t>
  </si>
  <si>
    <t>R66170000PL</t>
  </si>
  <si>
    <t>Charges financières d'assurance- Modèle PAA-Cpte liaison</t>
  </si>
  <si>
    <t>CharFinAssurance-PAA-Liais.</t>
  </si>
  <si>
    <t>Financial charges related to insurance activities - PAA -Liaison account</t>
  </si>
  <si>
    <t>FinChgesInsAct-PAA-Liaison acc</t>
  </si>
  <si>
    <t>BR86631L</t>
  </si>
  <si>
    <t>Comptes de liaison - Produits et charges financières ass. et réass. - Modèle PAA</t>
  </si>
  <si>
    <t>AC=R66170000PJ</t>
  </si>
  <si>
    <t>R66170000PJ</t>
  </si>
  <si>
    <t>Charges financières d'assurance Modèle PAA -Cpte Ajust</t>
  </si>
  <si>
    <t>CharFinAssurance-PAA-Ajust.</t>
  </si>
  <si>
    <t>Financial charges related to insurance activities - PAA - Adjustment account</t>
  </si>
  <si>
    <t>Fin ChgesInsAct-PAA- adj acc</t>
  </si>
  <si>
    <t>BR86631A</t>
  </si>
  <si>
    <t>Comptes d'ajustement - Produits et charges financières ass. et réass. - Modèle PAA</t>
  </si>
  <si>
    <t>AC=TR1583</t>
  </si>
  <si>
    <t>TR1583</t>
  </si>
  <si>
    <t>Charges financières d'assurance – Modèle VFA</t>
  </si>
  <si>
    <t>ChargesFinancièreAssurance-VFA</t>
  </si>
  <si>
    <t>Financial charges related to insurance activities - VFA</t>
  </si>
  <si>
    <t>Financial Chges  Ins act - VFA</t>
  </si>
  <si>
    <t>AC=TR15831</t>
  </si>
  <si>
    <t>TR15831</t>
  </si>
  <si>
    <t>Financial charges related to insurance activities - VFA - financial effects</t>
  </si>
  <si>
    <t>FinChgesInsAct-VFA- Fineffects</t>
  </si>
  <si>
    <t>AC=R661702000V</t>
  </si>
  <si>
    <t>R661702000V</t>
  </si>
  <si>
    <r>
      <t>Charges financières d'assurance – Modèle VFA -</t>
    </r>
    <r>
      <rPr>
        <strike/>
        <sz val="10"/>
        <rFont val="Arial"/>
        <family val="2"/>
      </rPr>
      <t xml:space="preserve"> Effets financiers </t>
    </r>
    <r>
      <rPr>
        <sz val="10"/>
        <color rgb="FF00B050"/>
        <rFont val="Arial"/>
        <family val="2"/>
      </rPr>
      <t xml:space="preserve">Variation de la juste valeur des éléments sous-jacents </t>
    </r>
  </si>
  <si>
    <r>
      <t>Charges financières d'assurance – Modèle VFA -</t>
    </r>
    <r>
      <rPr>
        <strike/>
        <sz val="10"/>
        <color theme="1"/>
        <rFont val="Arial"/>
        <family val="2"/>
      </rPr>
      <t xml:space="preserve"> </t>
    </r>
    <r>
      <rPr>
        <sz val="10"/>
        <color theme="1"/>
        <rFont val="Arial"/>
        <family val="2"/>
      </rPr>
      <t xml:space="preserve">Variation de la juste valeur des éléments sous-jacents </t>
    </r>
  </si>
  <si>
    <t>CharFinAssurance-VFA-var jv sj</t>
  </si>
  <si>
    <t>Financial charges related to insurance activities - VFA - Change in fair value of underlying items</t>
  </si>
  <si>
    <t>FinChgesInsAct-VFA-ch fv under</t>
  </si>
  <si>
    <t>BR66107B</t>
  </si>
  <si>
    <t>Variation de la JV des éléments sous-jacents  - Modèle BBA/VFA</t>
  </si>
  <si>
    <t>AC=R661703000V</t>
  </si>
  <si>
    <t>R661703000V</t>
  </si>
  <si>
    <r>
      <t>Charges fin d'assu – Modèle VFA -</t>
    </r>
    <r>
      <rPr>
        <strike/>
        <sz val="10"/>
        <rFont val="Arial"/>
        <family val="2"/>
      </rPr>
      <t xml:space="preserve"> Var FCF ou risque lié part de l'assu dans les sous-jacents qui n'ajuste pas la CSM</t>
    </r>
    <r>
      <rPr>
        <sz val="10"/>
        <color rgb="FF00B050"/>
        <rFont val="Arial"/>
        <family val="2"/>
      </rPr>
      <t xml:space="preserve"> Effet de l'atténuation du risque</t>
    </r>
  </si>
  <si>
    <t>Charges fin d'assu – Modèle VFA -Effet de l'atténuation du risque</t>
  </si>
  <si>
    <t>ChFiAss-VFA-att risque</t>
  </si>
  <si>
    <t>Financial charges related to insurance activities - VFA- risk mitigation</t>
  </si>
  <si>
    <t>FinChgesInsAct-VFA-risk miti</t>
  </si>
  <si>
    <t>BR66108B</t>
  </si>
  <si>
    <t>Effet de l'atténuation du risque - Modèle BBA/VFA</t>
  </si>
  <si>
    <t>Evol 76 / evol 84/ evol 90</t>
  </si>
  <si>
    <t>AC=R661704000V</t>
  </si>
  <si>
    <t>R661704000V</t>
  </si>
  <si>
    <t>Charges financières d'assurance - Modèle VFA - Ecarts de change</t>
  </si>
  <si>
    <t>CharFinAss-VFA-EcarChang</t>
  </si>
  <si>
    <t>Financial charges related to insurance activities - VFA - Exchange difference</t>
  </si>
  <si>
    <t>FinChgesInsAct-VFA- ExchDiff</t>
  </si>
  <si>
    <t>AC=TR15832</t>
  </si>
  <si>
    <t>TR15832</t>
  </si>
  <si>
    <t>Charges financières d'assurance- Modèle VFA Cptes liaison et ajust.</t>
  </si>
  <si>
    <t>CharFinAssurance-VFA-LiaisAjus</t>
  </si>
  <si>
    <t>Financial charges related to insurance activities - VFA - Liaison and adjustment accounts</t>
  </si>
  <si>
    <t>FinChgesInsAct-VFA-LiaisAdjAcc</t>
  </si>
  <si>
    <t>AC=R66170000VL</t>
  </si>
  <si>
    <t>R66170000VL</t>
  </si>
  <si>
    <t>Charges financières d'assurance-Modèle VFA Cpte liaison</t>
  </si>
  <si>
    <t>CharFinAssurance-VFA-Liais.</t>
  </si>
  <si>
    <t>Financial charges related to insurance activities - VFA -Liaison account</t>
  </si>
  <si>
    <t>FinChgesInsAct-VFA-Liaison acc</t>
  </si>
  <si>
    <t>AC=R66170000VJ</t>
  </si>
  <si>
    <t>R66170000VJ</t>
  </si>
  <si>
    <t>Charges financières d'assurance- Modèle VFA Cpte Ajust</t>
  </si>
  <si>
    <t>CharFinAssurance-VFA-Ajust</t>
  </si>
  <si>
    <t>Financial charges related to insurance activities - VFA - Adjustment account</t>
  </si>
  <si>
    <t>Fin ChgesInsAct-VFA- adj acc</t>
  </si>
  <si>
    <t>AC=TR159</t>
  </si>
  <si>
    <t>TR159</t>
  </si>
  <si>
    <t>Prodfin Chgesfin ContraRéassur</t>
  </si>
  <si>
    <t>Financial revenues of charges related to  reinsurance</t>
  </si>
  <si>
    <t>Financial revenues of charges related to reinsurance</t>
  </si>
  <si>
    <t>Fin revenues of Chges   reIns</t>
  </si>
  <si>
    <t>AC=TR1591</t>
  </si>
  <si>
    <t>TR1591</t>
  </si>
  <si>
    <t>Produits ou charges financières des contrats de réassurance – Modèle BBA</t>
  </si>
  <si>
    <t>ProdChgesFinContratsRéas-BBA</t>
  </si>
  <si>
    <t>Financial revenues or charges related to reinsurance contracts - BBA</t>
  </si>
  <si>
    <t>FinRevsChgesReins contr - BBA</t>
  </si>
  <si>
    <t>AC=R661781200B</t>
  </si>
  <si>
    <t>R661781200B</t>
  </si>
  <si>
    <r>
      <t>Produits ou charges financières des contrats de réassurance – Modèle BBA -</t>
    </r>
    <r>
      <rPr>
        <strike/>
        <sz val="10"/>
        <rFont val="Arial"/>
        <family val="2"/>
      </rPr>
      <t xml:space="preserve"> Intérêts accumulés</t>
    </r>
    <r>
      <rPr>
        <sz val="10"/>
        <rFont val="Arial"/>
        <family val="2"/>
      </rPr>
      <t xml:space="preserve"> </t>
    </r>
    <r>
      <rPr>
        <sz val="10"/>
        <color rgb="FF00B050"/>
        <rFont val="Arial"/>
        <family val="2"/>
      </rPr>
      <t>Effet de désactualisation</t>
    </r>
  </si>
  <si>
    <r>
      <t>Produits ou charges financières des contrats de réassurance – Modèle BBA</t>
    </r>
    <r>
      <rPr>
        <sz val="10"/>
        <color theme="1"/>
        <rFont val="Arial"/>
        <family val="2"/>
      </rPr>
      <t xml:space="preserve"> -Effet de désactualisation</t>
    </r>
  </si>
  <si>
    <t>ProdCharFiContRéas-BBA-effet desac</t>
  </si>
  <si>
    <t>Financial revenues or charges related to reinsurance contracts - BBA - Effect of undiscounting</t>
  </si>
  <si>
    <t>FinRevChgeReinCont-BBA-undisc</t>
  </si>
  <si>
    <t>BR67105B</t>
  </si>
  <si>
    <t>Effet de désactualisation - Modèle BBA</t>
  </si>
  <si>
    <t>AC=R661782100B</t>
  </si>
  <si>
    <t>R661782100B</t>
  </si>
  <si>
    <r>
      <t xml:space="preserve">Produits ou charges financières des contrats de réassurance – Modèle BBA - </t>
    </r>
    <r>
      <rPr>
        <strike/>
        <sz val="10"/>
        <rFont val="Arial"/>
        <family val="2"/>
      </rPr>
      <t xml:space="preserve">Effets financiers </t>
    </r>
    <r>
      <rPr>
        <sz val="10"/>
        <color rgb="FF00B050"/>
        <rFont val="Arial"/>
        <family val="2"/>
      </rPr>
      <t>Changement de taux et d'environnement économique</t>
    </r>
  </si>
  <si>
    <t>Produits ou charges financières des contrats de réassurance – Modèle BBA -Changement de taux et d'environnement économique</t>
  </si>
  <si>
    <t>ProdCharFiContRéas-BBA-chgt tx et env</t>
  </si>
  <si>
    <t>Financial revenues or charges related to reinsurance contracts - BBA -Change in rates and economic environment</t>
  </si>
  <si>
    <t>FinRevChgeReinCont-BBA-ch rates</t>
  </si>
  <si>
    <t>BR67106B</t>
  </si>
  <si>
    <t>Changement de taux et d'environnement économique - Modèle BBA</t>
  </si>
  <si>
    <t>AC=R661784000B</t>
  </si>
  <si>
    <t>R661784000B</t>
  </si>
  <si>
    <t>Produits ou charges financières des contrats de réassurance - Modèle BBA - Variation de la revalorisation de la dette pour espèces déposées</t>
  </si>
  <si>
    <t>Produits ou charges financières des contrats de réassurance - Modèle BBA - Var de la rev de la dette pour esp. déposées</t>
  </si>
  <si>
    <t>ProdCharFiRéas-BBA-VarDepEsp</t>
  </si>
  <si>
    <t>Financial revenues or charges related to reinsurance contracts - BBA - Change in fair value of cash deposit debt</t>
  </si>
  <si>
    <t>FinRevChgeRein-BBA-ChgCashDep</t>
  </si>
  <si>
    <t>Evol 119</t>
  </si>
  <si>
    <t>AC=R661783000B</t>
  </si>
  <si>
    <t>R661783000B</t>
  </si>
  <si>
    <t>Produits ou charges financières des contrats de réassurance - Modèle BBA - Ecarts de change</t>
  </si>
  <si>
    <t>ProdCharFiContRéas-BBA-EcartCh</t>
  </si>
  <si>
    <t>Financial revenues or charges related to reinsurance contracts - BBA - Exchange difference</t>
  </si>
  <si>
    <t>FinRevChgeReinCont-BBA- ExcDif</t>
  </si>
  <si>
    <t>BR67104B</t>
  </si>
  <si>
    <t>Ecarts de change - Modèle BBA</t>
  </si>
  <si>
    <t>AC=TR1592</t>
  </si>
  <si>
    <t>TR1592</t>
  </si>
  <si>
    <t>Produits ou charges financières des contrats de réassurance – Modèle VFA</t>
  </si>
  <si>
    <t>ProdChgesFinContratsRéas-VFA</t>
  </si>
  <si>
    <t>Financial revenues or charges related to reinsurance contracts - VFA</t>
  </si>
  <si>
    <t>FinRevsChgesReins contr - VFA</t>
  </si>
  <si>
    <t>AC=R661782100V</t>
  </si>
  <si>
    <t>R661782100V</t>
  </si>
  <si>
    <r>
      <t xml:space="preserve">Produits ou charges financières des contrats de réassurance – Modèle VFA - </t>
    </r>
    <r>
      <rPr>
        <strike/>
        <sz val="10"/>
        <rFont val="Arial"/>
        <family val="2"/>
      </rPr>
      <t xml:space="preserve">Effets financiers </t>
    </r>
    <r>
      <rPr>
        <sz val="10"/>
        <color rgb="FF00B050"/>
        <rFont val="Arial"/>
        <family val="2"/>
      </rPr>
      <t xml:space="preserve">Variation de la juste valeur des éléments sous-jacents </t>
    </r>
  </si>
  <si>
    <r>
      <t>Produits ou charges financières des contrats de réassurance – Modèle VFA -</t>
    </r>
    <r>
      <rPr>
        <strike/>
        <sz val="10"/>
        <color theme="1"/>
        <rFont val="Arial"/>
        <family val="2"/>
      </rPr>
      <t xml:space="preserve"> </t>
    </r>
    <r>
      <rPr>
        <sz val="10"/>
        <color theme="1"/>
        <rFont val="Arial"/>
        <family val="2"/>
      </rPr>
      <t xml:space="preserve">Variation de la juste valeur des éléments sous-jacents </t>
    </r>
  </si>
  <si>
    <t>ProdCharFiContRéas-VFA-jv sj</t>
  </si>
  <si>
    <t>Financial revenues or charges related to reinsurance contracts - VFA- Change in fair value of underlying items</t>
  </si>
  <si>
    <t>FinRevChgeReinCont-VFA- ch rat</t>
  </si>
  <si>
    <t>AC=R661783000V</t>
  </si>
  <si>
    <t>R661783000V</t>
  </si>
  <si>
    <t>Produits ou charges financières des contrats de réassurance - Modèle VFA - Ecarts de change</t>
  </si>
  <si>
    <t>ProdCharFiContRéas-VFA-EcartCh</t>
  </si>
  <si>
    <t>Financial revenues or charges related to reinsurance contracts - VFA - Exchange difference</t>
  </si>
  <si>
    <t>FinRevChgeReinCont-VFA- ExcDif</t>
  </si>
  <si>
    <t>AC=TR1593</t>
  </si>
  <si>
    <t>TR1593</t>
  </si>
  <si>
    <t>Produits ou charges financières des contrats de réassurance – Modèle PAA</t>
  </si>
  <si>
    <t>Prod CharFi ContRéas-PAA</t>
  </si>
  <si>
    <t>Financial revenues or charges related to reinsurance contracts -PAA</t>
  </si>
  <si>
    <t>FinRevsChgesReinsContr-PAA</t>
  </si>
  <si>
    <t>AC=R661781200P</t>
  </si>
  <si>
    <t>R661781200P</t>
  </si>
  <si>
    <r>
      <t xml:space="preserve">Produits ou charges financières des contrats de réassurance – Modèle PAA - </t>
    </r>
    <r>
      <rPr>
        <strike/>
        <sz val="10"/>
        <rFont val="Arial"/>
        <family val="2"/>
      </rPr>
      <t>Intérêts accumulés</t>
    </r>
    <r>
      <rPr>
        <sz val="10"/>
        <rFont val="Arial"/>
        <family val="2"/>
      </rPr>
      <t xml:space="preserve"> </t>
    </r>
    <r>
      <rPr>
        <sz val="10"/>
        <color rgb="FF00B050"/>
        <rFont val="Arial"/>
        <family val="2"/>
      </rPr>
      <t>Effet de désactualisation</t>
    </r>
  </si>
  <si>
    <t>Produits ou charges financières des contrats de réassurance – Modèle PAA -Effet de désactualisation</t>
  </si>
  <si>
    <t>ProdCharFiContRéas-PAA-désac</t>
  </si>
  <si>
    <t>Financial revenues or charges related to reinsurance contracts - PAA- Effect of undiscounting</t>
  </si>
  <si>
    <t>FinRevChgeReinCont-PAA-undisc</t>
  </si>
  <si>
    <t>BR67105P</t>
  </si>
  <si>
    <t>AC=R661782100P</t>
  </si>
  <si>
    <t>R661782100P</t>
  </si>
  <si>
    <r>
      <t>Produits ou charges financières des contrats de réassurance – Modèle PAA - Effets financiers</t>
    </r>
    <r>
      <rPr>
        <sz val="10"/>
        <color rgb="FF00B050"/>
        <rFont val="Arial"/>
        <family val="2"/>
      </rPr>
      <t xml:space="preserve"> Changement de taux et d'environnement économique</t>
    </r>
  </si>
  <si>
    <t>Produits ou charges financières des contrats de réassurance – Modèle PAA - Effets financiers Changement de taux et d'environnement économique</t>
  </si>
  <si>
    <t>ProdCharFiContRéas-PAA-chgt tx</t>
  </si>
  <si>
    <t>Financial revenues or charges related to reinsurance contracts - PAA - Change in rates and economic environment</t>
  </si>
  <si>
    <t>FinRevChgeReinCont-PAA-ch rate</t>
  </si>
  <si>
    <t>BR67106P</t>
  </si>
  <si>
    <t>AC=R661783000P</t>
  </si>
  <si>
    <t>R661783000P</t>
  </si>
  <si>
    <t>Produits ou charges financières des contrats de réassurance - Modèle PAA - Ecarts de change</t>
  </si>
  <si>
    <t>ProdCharFiContRéas-PAA-EcartCh</t>
  </si>
  <si>
    <t>Financial revenues or charges related to reinsurance contracts - PAA - Exchange difference</t>
  </si>
  <si>
    <t>FinRevChgeReinCont-PAA- ExcDif</t>
  </si>
  <si>
    <t>BR67104P</t>
  </si>
  <si>
    <t>AC=TR20</t>
  </si>
  <si>
    <t>TR20</t>
  </si>
  <si>
    <t>Chiffre d'affaires ou produits des autres activités</t>
  </si>
  <si>
    <t>Revenue from other activities</t>
  </si>
  <si>
    <t>Other operating income</t>
  </si>
  <si>
    <t>AC=TR201</t>
  </si>
  <si>
    <t>TR201</t>
  </si>
  <si>
    <t>CA ou prod autres activités</t>
  </si>
  <si>
    <t>AC=TR3011</t>
  </si>
  <si>
    <t>TR2011</t>
  </si>
  <si>
    <t>TR3011</t>
  </si>
  <si>
    <t>Revenus - Contrats fin. sans PB discr.</t>
  </si>
  <si>
    <t>Revenus - Produits IAS18</t>
  </si>
  <si>
    <t>Revenue - FI without DPF</t>
  </si>
  <si>
    <t>AC=R70002020</t>
  </si>
  <si>
    <t>R70002020</t>
  </si>
  <si>
    <t>Contrats fin. sans PB discr. - Chargements</t>
  </si>
  <si>
    <t>ContFinS.PBdiscr-Charge</t>
  </si>
  <si>
    <t>FI without DPF - Loading</t>
  </si>
  <si>
    <t>FI without DPF - Asset loading</t>
  </si>
  <si>
    <t>BR613703</t>
  </si>
  <si>
    <t>Charges nettes provision technique relatives à des contrats financiers (sans part discrétionnaire)</t>
  </si>
  <si>
    <t>AC=R70002030</t>
  </si>
  <si>
    <t>R70002030</t>
  </si>
  <si>
    <t>Contrats fin. sans PB discr. - Variation de DIR</t>
  </si>
  <si>
    <t>ContFinS.PBdiscr-VarDIR</t>
  </si>
  <si>
    <t>FI without DPF - Adjustments to unearned loading &amp; withdrawals reserves</t>
  </si>
  <si>
    <t>Fi Ctracts without PB discr. - Variat of DIR</t>
  </si>
  <si>
    <t>FI without DPF - Adj ULR</t>
  </si>
  <si>
    <t>réactivation rubrique</t>
  </si>
  <si>
    <t>Evol 66</t>
  </si>
  <si>
    <t>AC=R70002050</t>
  </si>
  <si>
    <t>R70002050</t>
  </si>
  <si>
    <t>Contrats fin. sans PB discr. - Prélèvements s/ encours</t>
  </si>
  <si>
    <t>ContFinS.PBdiscr-Pré s/encours</t>
  </si>
  <si>
    <t>Service revenues (IAS 18)</t>
  </si>
  <si>
    <t>AC=TR3012</t>
  </si>
  <si>
    <t>TR2012</t>
  </si>
  <si>
    <t>TR3012</t>
  </si>
  <si>
    <t>Revenus - Autres Prod d'exp</t>
  </si>
  <si>
    <t>AC=R70600000</t>
  </si>
  <si>
    <t>R70600000</t>
  </si>
  <si>
    <t>Revenue - Other businesses</t>
  </si>
  <si>
    <t>BR712702</t>
  </si>
  <si>
    <t>Produits des autres activités comptabilisés selon IFRS15</t>
  </si>
  <si>
    <t>AC=TR3013</t>
  </si>
  <si>
    <t>TR2013</t>
  </si>
  <si>
    <t>TR3013</t>
  </si>
  <si>
    <t>Revenus - Autres activités</t>
  </si>
  <si>
    <t>AC=R70700000</t>
  </si>
  <si>
    <t>R70700000</t>
  </si>
  <si>
    <t>AC=R74800000</t>
  </si>
  <si>
    <t>R74800000</t>
  </si>
  <si>
    <t>Revenus - Autres Produits d'exploitation</t>
  </si>
  <si>
    <t>Revenus - Autres prod expl</t>
  </si>
  <si>
    <t>Revenue - Other operating income</t>
  </si>
  <si>
    <t>Rev - Other operating income</t>
  </si>
  <si>
    <t>AC=TR3014</t>
  </si>
  <si>
    <t>TR2014</t>
  </si>
  <si>
    <t>TR3014</t>
  </si>
  <si>
    <t>Chiffre d'affaires ou produits des autres activités - Cptes liaison et ajust.</t>
  </si>
  <si>
    <t>CA ou Prod autres activités</t>
  </si>
  <si>
    <t>Revenue from other activities - Liaison accounts &amp; adjustments</t>
  </si>
  <si>
    <t>AC=R7032000L</t>
  </si>
  <si>
    <t>R7032000L</t>
  </si>
  <si>
    <t>Chiffre d'affaires ou produits des autres activités - Liaison</t>
  </si>
  <si>
    <t>CA PdtAutrAct-Cmpt Liais</t>
  </si>
  <si>
    <t>Revenue from other activities - Liaison accounts</t>
  </si>
  <si>
    <t xml:space="preserve">Rev Othr act- Liaison Acc </t>
  </si>
  <si>
    <t>CA PdtAutrAct-Cmpt Ajust</t>
  </si>
  <si>
    <t>Revenue from other activities - Adjustments</t>
  </si>
  <si>
    <t>Rev Othr act- Liaison Adj</t>
  </si>
  <si>
    <t>AC=TR30</t>
  </si>
  <si>
    <t>TR30</t>
  </si>
  <si>
    <t>Autres prod expl</t>
  </si>
  <si>
    <t>AC=R71000000</t>
  </si>
  <si>
    <t>R71000000</t>
  </si>
  <si>
    <t>Autres produits et charges courants</t>
  </si>
  <si>
    <t>Autres Prod et chges courants</t>
  </si>
  <si>
    <t>Other recurring operating income and expense</t>
  </si>
  <si>
    <t>Othr recurring ope inc ex</t>
  </si>
  <si>
    <t>AC=TR401</t>
  </si>
  <si>
    <t>Chges et Prod autres activités</t>
  </si>
  <si>
    <t>Income and expenses of other businesses</t>
  </si>
  <si>
    <t>Income  Ex of other businesses</t>
  </si>
  <si>
    <t>AC=TR4011</t>
  </si>
  <si>
    <t>TR4011</t>
  </si>
  <si>
    <t>Autres activités - Achats et autres charges d'exploitation</t>
  </si>
  <si>
    <t>AutrActivités-AchtAutrChgesExp</t>
  </si>
  <si>
    <t>Other businesses - Purchases and other operating expenses</t>
  </si>
  <si>
    <t>OthrBusinss-Purch othr ope Ex</t>
  </si>
  <si>
    <t>AC=R60600000</t>
  </si>
  <si>
    <t>Autres activités - Achats consommés</t>
  </si>
  <si>
    <t>Autres activités-Achats conso</t>
  </si>
  <si>
    <t>Other businesses - Purchases used during the period</t>
  </si>
  <si>
    <t>OthrBusinss-Purchases period</t>
  </si>
  <si>
    <t>BR649020</t>
  </si>
  <si>
    <t>Achats non stockés</t>
  </si>
  <si>
    <t>AC=R64600000</t>
  </si>
  <si>
    <t>Autres activités - Autres charges d'exploitation</t>
  </si>
  <si>
    <t>AutresActivités-AutresChgesExp</t>
  </si>
  <si>
    <t>Other businesses - Other operating expenses</t>
  </si>
  <si>
    <t>OthrBusinss- Othr operating Ex</t>
  </si>
  <si>
    <t>AC=TR4012</t>
  </si>
  <si>
    <t>TR4012</t>
  </si>
  <si>
    <t>Autres activités - Charges et produits fin.</t>
  </si>
  <si>
    <t>AutreActivités-Chges Prod fin.</t>
  </si>
  <si>
    <t>Other businesses - Financial income and expenses</t>
  </si>
  <si>
    <t>Othr Businss - Fin income  Ex</t>
  </si>
  <si>
    <t>AC=R66000000</t>
  </si>
  <si>
    <t>AutresActivités-Chges Prod fin</t>
  </si>
  <si>
    <t>AC=TR4013</t>
  </si>
  <si>
    <t>TR4013</t>
  </si>
  <si>
    <t>Autres activités - Placements - Variation des AM</t>
  </si>
  <si>
    <t>AutresActivités-Plcmnts-Var.AM</t>
  </si>
  <si>
    <t>Other businesses - Investments - Adjustments to provisions</t>
  </si>
  <si>
    <t>OthrBusinss-Invest-adj to Prov</t>
  </si>
  <si>
    <t>AC=R68100000</t>
  </si>
  <si>
    <t>Autres activités - Placements - Dot. aux AM</t>
  </si>
  <si>
    <t>AutresActivités-Plcmnts-Dot.AM</t>
  </si>
  <si>
    <t>Other businesses - Investments - Charges to amortisation expense</t>
  </si>
  <si>
    <t>OthrBusinss-Invest-Chges AM ex</t>
  </si>
  <si>
    <t>AC=R78100000</t>
  </si>
  <si>
    <t>Autres activités - Placements - Reprise des AM</t>
  </si>
  <si>
    <t>AutresActivités-Plcmnts-Rep.AM</t>
  </si>
  <si>
    <t>Other businesses - Investments - Reversals of provisions</t>
  </si>
  <si>
    <t>OthrBusinss-Invest-Revers Prov</t>
  </si>
  <si>
    <t>AC=TR4014</t>
  </si>
  <si>
    <t>TR4014</t>
  </si>
  <si>
    <t>Autres activités - Placements - Variation des prov.</t>
  </si>
  <si>
    <t>AutresActivités-Plcmnt-VarProv</t>
  </si>
  <si>
    <t>Other businesses - Investments - Adjustments to reserves</t>
  </si>
  <si>
    <t>OthrBusinss-Invest-adj reserv</t>
  </si>
  <si>
    <t>AC=R69100000</t>
  </si>
  <si>
    <t>Autres activités - Placements - Dot. aux prov.</t>
  </si>
  <si>
    <t>AutresActivités-Plcmnt-DotProv</t>
  </si>
  <si>
    <t>AC=R79100000</t>
  </si>
  <si>
    <t>Autres activités - Placements - Reprise des prov.</t>
  </si>
  <si>
    <t>AutresActivités-Plcmnt-RepProv</t>
  </si>
  <si>
    <t>AC=TR4015</t>
  </si>
  <si>
    <t>TR4015</t>
  </si>
  <si>
    <t>Autres activités - Actifs cédés - PMV de cession</t>
  </si>
  <si>
    <t>AutrActivit-ActiCéd-PMVCession</t>
  </si>
  <si>
    <t>Other businesses - Asset disposals - Proceeds of disposal</t>
  </si>
  <si>
    <t>OthrBusinss-AssetDisp-ProcDisp</t>
  </si>
  <si>
    <t>AC=R67500000</t>
  </si>
  <si>
    <t>Autres activités - Actifs cédés - Valeur nette comptable</t>
  </si>
  <si>
    <t>AutrActivités-ActifsCédés-VNC</t>
  </si>
  <si>
    <t>AC=R77500000</t>
  </si>
  <si>
    <t>Autres activités - Actifs cédés - Produits de cession</t>
  </si>
  <si>
    <t>AutrActivités-ActiCéd-ProdCess</t>
  </si>
  <si>
    <t>Other businesses - Asset disposals - Carrying amount</t>
  </si>
  <si>
    <t>OthrBusinss-AssetDisp-CarryAmo</t>
  </si>
  <si>
    <t>AC=TR4016</t>
  </si>
  <si>
    <t>TR4016</t>
  </si>
  <si>
    <t>Autres activités - Charges d'exploitation</t>
  </si>
  <si>
    <t>Autres Activités-Charges d'exp</t>
  </si>
  <si>
    <t>Other businesses - Operating expenses</t>
  </si>
  <si>
    <t>Othr Businss - Operating Ex</t>
  </si>
  <si>
    <t>AC=R64800000</t>
  </si>
  <si>
    <t>AC=TR4017</t>
  </si>
  <si>
    <t>TR4017</t>
  </si>
  <si>
    <t>Autres activités - Charges de personnel</t>
  </si>
  <si>
    <t>Autres Activités-ChargesPerson</t>
  </si>
  <si>
    <t>Other businesses - Employee benefits expense</t>
  </si>
  <si>
    <t>OthrBusinss-Employ benefits ex</t>
  </si>
  <si>
    <t>AC=R64000000</t>
  </si>
  <si>
    <t>AC=TR4018</t>
  </si>
  <si>
    <t>TR4018</t>
  </si>
  <si>
    <t>Autres activités - Impôts et taxes</t>
  </si>
  <si>
    <t>Autres Activités-Impôts Taxes</t>
  </si>
  <si>
    <t>Other businesses - Taxes other than on income</t>
  </si>
  <si>
    <t>OthrBusinss-Tax Othr thn incom</t>
  </si>
  <si>
    <t>AC=R64700000</t>
  </si>
  <si>
    <t>AC=TR402</t>
  </si>
  <si>
    <t>AMValPortAssimAccordsDistrib</t>
  </si>
  <si>
    <t>Changes in value of distribution agreements</t>
  </si>
  <si>
    <t>Chng value distr agreements</t>
  </si>
  <si>
    <t>AC=TR4021</t>
  </si>
  <si>
    <t>TR4021</t>
  </si>
  <si>
    <t>AM des valeurs de ptf et assimilés et valeur des accords de distribution</t>
  </si>
  <si>
    <t>AMValPtfAssimilésAccordDistrib</t>
  </si>
  <si>
    <t>Amort. of value of in-force business acquired and distrib. agreements</t>
  </si>
  <si>
    <t>AmValue InfrceBusinss DistrAgr</t>
  </si>
  <si>
    <t>AC=TR40211</t>
  </si>
  <si>
    <t>TR40211</t>
  </si>
  <si>
    <t>Variation des valeurs de portefeuille et assimilés</t>
  </si>
  <si>
    <t>Var val portefeuille et assim</t>
  </si>
  <si>
    <t>Changes in value of in-force business</t>
  </si>
  <si>
    <t>Chng value in-force business</t>
  </si>
  <si>
    <t>AC=R66901000</t>
  </si>
  <si>
    <t>Valeurs de portefeuille - Dot. aux AM</t>
  </si>
  <si>
    <t>Val. portefeuille-Dot. aux AM</t>
  </si>
  <si>
    <t>Value of in-force business - Charges to amortisation expense</t>
  </si>
  <si>
    <t>ValueIn-forceBusinss-Chrg AMex</t>
  </si>
  <si>
    <t>BR674810</t>
  </si>
  <si>
    <t>Dot. amort s/ Relation clientèle</t>
  </si>
  <si>
    <t>AC=R76901000</t>
  </si>
  <si>
    <t>Valeurs de portefeuille - Reprise des AM</t>
  </si>
  <si>
    <t>Val. portefeuille-Reprise AM</t>
  </si>
  <si>
    <t>Value of in-force business - Reversals of amortisation expense</t>
  </si>
  <si>
    <t>ValueIn-forceBusinss-ReverAMex</t>
  </si>
  <si>
    <t>BR774012</t>
  </si>
  <si>
    <t>Rep dép s/ Relation clientèle</t>
  </si>
  <si>
    <t>AC=TR40212</t>
  </si>
  <si>
    <t>TR40212</t>
  </si>
  <si>
    <t>Variation des Relations clientèle</t>
  </si>
  <si>
    <t>Var. des Relations clientèle</t>
  </si>
  <si>
    <t>Changes in Customer Relationships</t>
  </si>
  <si>
    <t>Chng in Customer Relationships</t>
  </si>
  <si>
    <t>AC=R66907000</t>
  </si>
  <si>
    <t>Relation clientèle - Dot. aux AM</t>
  </si>
  <si>
    <t>Relation clientèle-Dot. aux AM</t>
  </si>
  <si>
    <t>Customer Relationships - Charges to amortisation expense</t>
  </si>
  <si>
    <t>CustomerRelationshp-Chges AMex</t>
  </si>
  <si>
    <t>AC=R76907000</t>
  </si>
  <si>
    <t>Relation clientèle - Reprise des AM</t>
  </si>
  <si>
    <t>Relation clientèle-Reprise AM</t>
  </si>
  <si>
    <t>Customer Relationships - Reversals of amortisation expense</t>
  </si>
  <si>
    <t>CustomerRelationshp-ReversAMex</t>
  </si>
  <si>
    <t>AC=TR40213</t>
  </si>
  <si>
    <t>TR40213</t>
  </si>
  <si>
    <t>Variation des valeurs des accords de distribution</t>
  </si>
  <si>
    <t>VarValeursAccordsDistribution</t>
  </si>
  <si>
    <t>AC=R66904000</t>
  </si>
  <si>
    <t>Valeur des accords de distribution - Dot. aux AM</t>
  </si>
  <si>
    <t>Val AccordsDistribution-DotAM</t>
  </si>
  <si>
    <t>Value of distribution agreements - Charges to amortisation expense</t>
  </si>
  <si>
    <t>ValueDistribAgreets-ChgesAMex</t>
  </si>
  <si>
    <t>BR674410</t>
  </si>
  <si>
    <t>Dot. amort s/ Valeur des accords de distribution</t>
  </si>
  <si>
    <t>AC=R76904000</t>
  </si>
  <si>
    <t>Valeur des accords de distribution - Reprise des AM</t>
  </si>
  <si>
    <t>Val AccordsDistribution-RepAM</t>
  </si>
  <si>
    <t>Value of distribution agreements - Reversal of amortisation expense</t>
  </si>
  <si>
    <t>ValueDistribAgreets-ReversAMex</t>
  </si>
  <si>
    <t>AC=TR403</t>
  </si>
  <si>
    <t>AutrProduitsChargesOpéCourants</t>
  </si>
  <si>
    <t>AC=TR4031</t>
  </si>
  <si>
    <t>TR4031</t>
  </si>
  <si>
    <t xml:space="preserve">Frais non attribuables </t>
  </si>
  <si>
    <t>Non-Attributable Expenses</t>
  </si>
  <si>
    <t>#N/A</t>
  </si>
  <si>
    <t>AC=TR4032</t>
  </si>
  <si>
    <t>TR4032</t>
  </si>
  <si>
    <t>AC=TR40321</t>
  </si>
  <si>
    <t>TR40321</t>
  </si>
  <si>
    <t>Variation des prov. pour risques et charges</t>
  </si>
  <si>
    <t>Var des prov. risques chges</t>
  </si>
  <si>
    <t>Adjustments to provisions for liabilities and charges</t>
  </si>
  <si>
    <t>adj to Prov for liab Chges</t>
  </si>
  <si>
    <t>AC=TR403211</t>
  </si>
  <si>
    <t>TR403211</t>
  </si>
  <si>
    <t>Variation des prov. pour engagements sociaux</t>
  </si>
  <si>
    <t>Var des prov. engagements soc.</t>
  </si>
  <si>
    <t>Adjustments to provisions for employee benefit obligations</t>
  </si>
  <si>
    <t>Adj Prov employ benef oblig</t>
  </si>
  <si>
    <t>Prov. pour engagements sociaux - Dot.</t>
  </si>
  <si>
    <t>Prov. engagements sociaux-Dot.</t>
  </si>
  <si>
    <t>Provisions for employee benefit obligations - Charges</t>
  </si>
  <si>
    <t>Prov employ benef oblig-Chges</t>
  </si>
  <si>
    <t>BR673330</t>
  </si>
  <si>
    <t>Dotations aux provisions sur avantages postérieures à l'emploi</t>
  </si>
  <si>
    <t>AC=R77320000</t>
  </si>
  <si>
    <t>Prov. pour engagements sociaux - Reprise</t>
  </si>
  <si>
    <t>Prov. engagements sociaux-Rep.</t>
  </si>
  <si>
    <t>Provisions for employee benefit obligations - Reversals</t>
  </si>
  <si>
    <t>Prov employ benef oblig-Revers</t>
  </si>
  <si>
    <t>BR773330</t>
  </si>
  <si>
    <t>Reprises de provisions sur avantages postérieures à l'emploi</t>
  </si>
  <si>
    <t>AC=TR403212</t>
  </si>
  <si>
    <t>TR403212</t>
  </si>
  <si>
    <t>Variation des prov. pour litiges</t>
  </si>
  <si>
    <t>Var. des prov. pour litiges</t>
  </si>
  <si>
    <t>Adjustments to provisions for claims and litigation</t>
  </si>
  <si>
    <t>Adj to Prov clai litigation</t>
  </si>
  <si>
    <t>Prov. pour litiges - Dot.</t>
  </si>
  <si>
    <t>Provisions for claims and litigation - Charges</t>
  </si>
  <si>
    <t>Prov for clai  litigat-Chges</t>
  </si>
  <si>
    <t>BR673410</t>
  </si>
  <si>
    <t>Dotations aux provisions pour autres litiges - CHEX</t>
  </si>
  <si>
    <t>AC=R77330000</t>
  </si>
  <si>
    <t>Prov. pour litiges - Reprise</t>
  </si>
  <si>
    <t>Provisions for claims and litigation - Reversals</t>
  </si>
  <si>
    <t>Prov for clai  litigat-Reverss</t>
  </si>
  <si>
    <t>BR773410</t>
  </si>
  <si>
    <t>Reprises de provisions pour autres litiges - CHEX</t>
  </si>
  <si>
    <t>AC=TR403213</t>
  </si>
  <si>
    <t>TR403213</t>
  </si>
  <si>
    <t>Variation des prov. pour impôts</t>
  </si>
  <si>
    <t>Var. des prov. pour impôts</t>
  </si>
  <si>
    <t>Adjustments to provisions for taxes</t>
  </si>
  <si>
    <t>adjs to provisions for taxes</t>
  </si>
  <si>
    <t>Prov. pour impôts - Dot.</t>
  </si>
  <si>
    <t>Provisions for taxes - Charges</t>
  </si>
  <si>
    <t>BR673810</t>
  </si>
  <si>
    <t>Dotations aux prov. pour risques impôts sur les bénéfices</t>
  </si>
  <si>
    <t>AC=R77350000</t>
  </si>
  <si>
    <t>Prov. pour impôts - Reprise</t>
  </si>
  <si>
    <t>Provisions for taxes - Reversals</t>
  </si>
  <si>
    <t>Prov for taxes - Reversals</t>
  </si>
  <si>
    <t>BR773810</t>
  </si>
  <si>
    <t>Reprise de prov. pour risques impôts sur les bénéfices</t>
  </si>
  <si>
    <t>AC=TR403214</t>
  </si>
  <si>
    <t>TR403214</t>
  </si>
  <si>
    <t>Variation des autres prov. pour risques et charges</t>
  </si>
  <si>
    <t>Var autres prov. risques chges</t>
  </si>
  <si>
    <t>Adjustments to provisions for other liabilities and charges</t>
  </si>
  <si>
    <t>Adj Prov Othr liab Chges</t>
  </si>
  <si>
    <t>Autres prov. pour risques et charges - Dot.</t>
  </si>
  <si>
    <t>Autres prov. Risques Chges-Dot</t>
  </si>
  <si>
    <t>BR673422</t>
  </si>
  <si>
    <t>Dotations aux prov. pour risques épargne - PNB</t>
  </si>
  <si>
    <t>AC=R77300000</t>
  </si>
  <si>
    <t>Autres prov. pour risques et charges - Reprise</t>
  </si>
  <si>
    <t>Autres prov. Risques Chges-Rep</t>
  </si>
  <si>
    <t>BR773423</t>
  </si>
  <si>
    <t>Reprises de prov. pour risques et charges - PNB- Epargne</t>
  </si>
  <si>
    <t>AC=TR40322</t>
  </si>
  <si>
    <t>TR40322</t>
  </si>
  <si>
    <t>Autres produits et charges courants - Immobilisations d'exploitation</t>
  </si>
  <si>
    <t>AutProdChgesCouran-Immos d'exp</t>
  </si>
  <si>
    <t>Other recurring inc. &amp; exp. - Owner-occupied property</t>
  </si>
  <si>
    <t>OthrRecurIncExp-Own-occup prop</t>
  </si>
  <si>
    <t>AC=TR403221</t>
  </si>
  <si>
    <t>TR403221</t>
  </si>
  <si>
    <t>Immobilisations d'exploitation - Dot. aux AM</t>
  </si>
  <si>
    <t>Immos d'exploitation-Dot. AM</t>
  </si>
  <si>
    <t>Owner-occupied property - Charges to amort. expense</t>
  </si>
  <si>
    <t>Owner-occup prop-Chges AM ex</t>
  </si>
  <si>
    <t>BR661230</t>
  </si>
  <si>
    <t>Dotations aux amortissements des immobilisations corporelles</t>
  </si>
  <si>
    <t>AC=TR403222</t>
  </si>
  <si>
    <t>TR403222</t>
  </si>
  <si>
    <t>Immeubles d'exploitation - PMV de cession</t>
  </si>
  <si>
    <t>Immeubles d'exp-PMV de cession</t>
  </si>
  <si>
    <t>Owner-occupied property - Capital gains and losses</t>
  </si>
  <si>
    <t>Owner-occup prop-Cap GainLoss</t>
  </si>
  <si>
    <t>Immeubles d'exploitation - MV de cession</t>
  </si>
  <si>
    <t>Immeubles d'exp-MV de cession</t>
  </si>
  <si>
    <t>Owner-occupied property - Capital losses</t>
  </si>
  <si>
    <t>Owner-occup prop-Capital Loss</t>
  </si>
  <si>
    <t>BR646120</t>
  </si>
  <si>
    <t>Moins value de cession des immos corporelles</t>
  </si>
  <si>
    <t>AC=R76405000</t>
  </si>
  <si>
    <t>Immeubles d'exploitation - PV de cession</t>
  </si>
  <si>
    <t>Immeubles d'exp-PV de cession</t>
  </si>
  <si>
    <t>Owner-occupied property - Capital gains</t>
  </si>
  <si>
    <t>Owner-occup prop-Capital Gain</t>
  </si>
  <si>
    <t>BR746120</t>
  </si>
  <si>
    <t>Plus values de cession d'immobilisations corporelles</t>
  </si>
  <si>
    <t>AC=TR403223</t>
  </si>
  <si>
    <t>TR403223</t>
  </si>
  <si>
    <t>Immobilisations d'exploitation - Sté immo - Variation des dépréciations</t>
  </si>
  <si>
    <t>Immos exp-Sté immo-Var. Dépré</t>
  </si>
  <si>
    <t>Owner-occupied property - Property companies - Adjustments to imp. exp.</t>
  </si>
  <si>
    <t>Own-occupProp-PropCom-AdjImExp</t>
  </si>
  <si>
    <t>Immobilisations d'exploitation - Sté immo - Dot. Dépréciation</t>
  </si>
  <si>
    <t>Immos exp-Sté immo-Dot. Dépré</t>
  </si>
  <si>
    <t>Owner-occupied property - Property companies - Charges to imp</t>
  </si>
  <si>
    <t>Own-occupProp-PropCom-ChrgIm</t>
  </si>
  <si>
    <t>BR662210</t>
  </si>
  <si>
    <t>Dotations aux Dépréciations des immobilisations corporelles</t>
  </si>
  <si>
    <t>AC=R78612000</t>
  </si>
  <si>
    <t>Immobilisations d'exploitation - Sté immo - Reprise dépréciation</t>
  </si>
  <si>
    <t>Immos exp-Sté immo-Rep. Dépré</t>
  </si>
  <si>
    <t>Owner-occupied property - Property companies - Reversals of imp exp.</t>
  </si>
  <si>
    <t>Own-occupProp-PropCom-RevImExp</t>
  </si>
  <si>
    <t>BR748510</t>
  </si>
  <si>
    <t>Reprises des dépréciations des immobilisations corporelles</t>
  </si>
  <si>
    <t>AC=TR40323</t>
  </si>
  <si>
    <t>TR40323</t>
  </si>
  <si>
    <t>Autres immobilisations corporelles - PMV de cession</t>
  </si>
  <si>
    <t>Autres immo corp-PMV cession</t>
  </si>
  <si>
    <t>Other tangible assets - Disposal income or loss</t>
  </si>
  <si>
    <t>OthrTangAssets-DispIncomeloss</t>
  </si>
  <si>
    <t>Autres immobilisations corporelles - MV de cession</t>
  </si>
  <si>
    <t>Autres immo corp-MV de cession</t>
  </si>
  <si>
    <t>Other tangible assets - Disposal loss</t>
  </si>
  <si>
    <t>Othr tangible assets-Disp loss</t>
  </si>
  <si>
    <t>AC=R77403000</t>
  </si>
  <si>
    <t>Autres immobilisations corporelles - PV de cession</t>
  </si>
  <si>
    <t>Autres immo corp-PV de cession</t>
  </si>
  <si>
    <t>Other tangible assets - Disposal income</t>
  </si>
  <si>
    <t>Othr tangible assets-Disp inc</t>
  </si>
  <si>
    <t>AC=TR40324</t>
  </si>
  <si>
    <t>TR40324</t>
  </si>
  <si>
    <t>Autres immobilisations incorporelles - PMV de cession</t>
  </si>
  <si>
    <t>Autres immo incorp-PMV cession</t>
  </si>
  <si>
    <t>Other intangible assets - Disposal income or loss</t>
  </si>
  <si>
    <t>OthrIntangAsset-DispIncomeloss</t>
  </si>
  <si>
    <t>Autres immobilisations incorporelles - MV de cession</t>
  </si>
  <si>
    <t>Autres immo incorp-MV cession</t>
  </si>
  <si>
    <t>Other intangible assets - Disposal loss</t>
  </si>
  <si>
    <t>OthrIntangibleAssets-DispLoss</t>
  </si>
  <si>
    <t>BR646130</t>
  </si>
  <si>
    <t>Moins value de cession des immos incorporelles</t>
  </si>
  <si>
    <t>AC=R77405000</t>
  </si>
  <si>
    <t>Autres immobilisations incorporelles - PV de cession</t>
  </si>
  <si>
    <t>Autres immo incorp-PV cession</t>
  </si>
  <si>
    <t>Other intangible assets - Disposal income</t>
  </si>
  <si>
    <t>OthrIntangibleAssets-Disp inc</t>
  </si>
  <si>
    <t>BR746130</t>
  </si>
  <si>
    <t>Plus values de cession d'immobilisation incorporelles</t>
  </si>
  <si>
    <t>AC=TR40325</t>
  </si>
  <si>
    <t>TR40325</t>
  </si>
  <si>
    <t>Var. DépréCréancesOpéAssRéass</t>
  </si>
  <si>
    <t>Adjustment to impairment of insurance and reinsurance receivables</t>
  </si>
  <si>
    <t>adj to Imp Ins  reIns Receiv</t>
  </si>
  <si>
    <t>Evol 116</t>
  </si>
  <si>
    <t>Créances des opérations nées d'ass. et de réass. - Dot. Dépréciation</t>
  </si>
  <si>
    <t>CréanOpéAssRéass-Dot. Dépré</t>
  </si>
  <si>
    <t>Ins. and reinsurance receivables - Charges to provisions for impairment</t>
  </si>
  <si>
    <t>Ins.ReinsReceiv-ChrgProvImp</t>
  </si>
  <si>
    <t>BR671705</t>
  </si>
  <si>
    <t>Dotations aux Dépréciations - Créances nées d'opérations d'assurance et de réassurance</t>
  </si>
  <si>
    <t>Changement de hiérarchie - ancienne hiérarchie [G]</t>
  </si>
  <si>
    <t>Créances des opérations nées d'ass. et de réass. - Reprise dépréciation</t>
  </si>
  <si>
    <t>CréanOpéAssRéass-Rep. Dépré</t>
  </si>
  <si>
    <t>Ins. and reinsurance receivables - Reversals of provisions for impairment</t>
  </si>
  <si>
    <t>Ins.ReinsReceiv-ReversProvImp</t>
  </si>
  <si>
    <t>BR771706</t>
  </si>
  <si>
    <t>Reprises de Dépréciations - Créances nées d'opérations d'assurance et de réassurance</t>
  </si>
  <si>
    <t>AC=TR40326</t>
  </si>
  <si>
    <t>TR40326</t>
  </si>
  <si>
    <t>Variation des dépréciations des autres créances</t>
  </si>
  <si>
    <t>Var. dépré autres créances</t>
  </si>
  <si>
    <t>Adjustment to impairment of other receivables</t>
  </si>
  <si>
    <t>adj to Imp of other Receivs</t>
  </si>
  <si>
    <t>Autres comptes débiteurs - Dot. Dépréciation</t>
  </si>
  <si>
    <t>AutresCptesDébteurs-Dot. Dépré</t>
  </si>
  <si>
    <t>Other receivables - Charges to provisions for impairment</t>
  </si>
  <si>
    <t>Othr Receiv-Chges Prov Imp</t>
  </si>
  <si>
    <t>Comptes courants débiteurs des entpses liées - Dot. Dépréciation</t>
  </si>
  <si>
    <t>C/CDébteursEnsesLiées-DotDépré</t>
  </si>
  <si>
    <t>Current account advances to controlled entities - Charges to provisions for impairment</t>
  </si>
  <si>
    <t>CurAccAdContEntit-ChgesProvImp</t>
  </si>
  <si>
    <t>AC=R70629100</t>
  </si>
  <si>
    <t>Autres comptes débiteurs - Reprise dépréciation</t>
  </si>
  <si>
    <t>AutresComptesDébteurs-RepDépré</t>
  </si>
  <si>
    <t>Other receivables - Reversals of provisions for impairment</t>
  </si>
  <si>
    <t>OthrReceiv-ReversProvImp</t>
  </si>
  <si>
    <t>AC=R70629200</t>
  </si>
  <si>
    <t>Comptes courants débiteurs des entpses liées - Reprise dépréciation</t>
  </si>
  <si>
    <t>C/CDébteursEnsesLiées-RepDépré</t>
  </si>
  <si>
    <t>Current account advances to controlled entities - Reversals of provisions for impairment</t>
  </si>
  <si>
    <t>CurrAccAdvContEnt-RevProvImp</t>
  </si>
  <si>
    <t>AC=TR40327</t>
  </si>
  <si>
    <t>TR40327</t>
  </si>
  <si>
    <t>AC=TR403271</t>
  </si>
  <si>
    <t>TR403271</t>
  </si>
  <si>
    <t>Autres produits et charges non techn.</t>
  </si>
  <si>
    <t>Autres prod&amp;ch non techn.</t>
  </si>
  <si>
    <t>Other non-underwriting income and expense</t>
  </si>
  <si>
    <t>Othr non-underwriting inc ex</t>
  </si>
  <si>
    <t>Autres charges non techn</t>
  </si>
  <si>
    <t>Other non-underwriting expenses</t>
  </si>
  <si>
    <t>Other non-underwriting Ex</t>
  </si>
  <si>
    <t>AC=R75000000</t>
  </si>
  <si>
    <t>Autres produits non techn.</t>
  </si>
  <si>
    <t>Other non-underwriting income</t>
  </si>
  <si>
    <t>AC=TR403272</t>
  </si>
  <si>
    <t>TR403272</t>
  </si>
  <si>
    <t>Produits et charges courants</t>
  </si>
  <si>
    <t>Recurring operating income and expense</t>
  </si>
  <si>
    <t>Recurring operating income  ex</t>
  </si>
  <si>
    <t>Charges courantes</t>
  </si>
  <si>
    <t>Recurring expenses</t>
  </si>
  <si>
    <t>AC=R77401000</t>
  </si>
  <si>
    <t>Produits courants</t>
  </si>
  <si>
    <t>Recurring income</t>
  </si>
  <si>
    <t>TR40328</t>
  </si>
  <si>
    <t>Variation des coûts marginaux liés à la commercialisation des contrats -  IFRS15</t>
  </si>
  <si>
    <t>Var Coûts margin IFRS15</t>
  </si>
  <si>
    <t>Change in incremental costs of marketing contracts - IFRS15</t>
  </si>
  <si>
    <t>Var Marginal costs IFRS15</t>
  </si>
  <si>
    <t>Evol 114</t>
  </si>
  <si>
    <t>Coûts marginaux liés à la commercialisation des contrats  IFRS15  - Dot. Dépréciation</t>
  </si>
  <si>
    <t>Var Coûts margin IFRS15-Dot Dé</t>
  </si>
  <si>
    <t>Marginal costs related to the marketing of IFRS 15 contracts - Impairment</t>
  </si>
  <si>
    <t>Var Marg costs IFRS15-Imp</t>
  </si>
  <si>
    <t>AC=R781240000</t>
  </si>
  <si>
    <t>Coûts marginaux liés à la commercialisation des contrats  IFRS15 - Reprise dépréciation</t>
  </si>
  <si>
    <t>Var Coûts margin IFRS15-Rep Dé</t>
  </si>
  <si>
    <t>Incremental costs related to the marketing of IFRS15 contracts - Reversal of impairment</t>
  </si>
  <si>
    <t>Var Marg costs IFRS15-Rev Imp</t>
  </si>
  <si>
    <t>Coûts marginaux liés à la commercialisation des contrats  IFRS15  - Dot. aux AM</t>
  </si>
  <si>
    <t>Var Coûts margin IFRS15-Dot AM</t>
  </si>
  <si>
    <t>Incremental costs related to the marketing of IFRS15 contracts - Depreciation and amortization</t>
  </si>
  <si>
    <t>Var Marg costs IFRS15-Dep&amp;AM</t>
  </si>
  <si>
    <t>AC=TR4033</t>
  </si>
  <si>
    <t>TR4033</t>
  </si>
  <si>
    <t>Statutory employee profit-sharing</t>
  </si>
  <si>
    <t>Statutory employ ProfitSharing</t>
  </si>
  <si>
    <t>AC=R69000000</t>
  </si>
  <si>
    <t>BR613000</t>
  </si>
  <si>
    <t>AC=TR4000000</t>
  </si>
  <si>
    <t>TR4000000</t>
  </si>
  <si>
    <t>Recurring operating profit/loss</t>
  </si>
  <si>
    <t>Recurring ope profit/loss</t>
  </si>
  <si>
    <t>AC=TR50</t>
  </si>
  <si>
    <t>TR50</t>
  </si>
  <si>
    <t>Autres Pdt Chge Opé Nn Courant</t>
  </si>
  <si>
    <t>Other non-recurring operating income and expense</t>
  </si>
  <si>
    <t>Othr non-recurring ope inc ex</t>
  </si>
  <si>
    <t>AC=TR501</t>
  </si>
  <si>
    <t>TR501</t>
  </si>
  <si>
    <t>AC=R67402000</t>
  </si>
  <si>
    <t>R67402000</t>
  </si>
  <si>
    <t>Charges opérationnelles non courantes</t>
  </si>
  <si>
    <t>Charges Opé non courantes</t>
  </si>
  <si>
    <t>Non-recurring operating expenses</t>
  </si>
  <si>
    <t>Non-recurring operating Ex</t>
  </si>
  <si>
    <t>AC=R67404000</t>
  </si>
  <si>
    <t>R67404000</t>
  </si>
  <si>
    <t>Complément de prix conditionnel - IFRS3 révisé</t>
  </si>
  <si>
    <t>ComplémentPrixConditi-IFRS3rév</t>
  </si>
  <si>
    <t>Contingent consideration - Revised IFRS 3</t>
  </si>
  <si>
    <t>Conting considerat-RevIFRS3</t>
  </si>
  <si>
    <t>BR646500</t>
  </si>
  <si>
    <t>Ajustement de prix sur opération de regroupement</t>
  </si>
  <si>
    <t>AC=R77701000</t>
  </si>
  <si>
    <t>R77701000</t>
  </si>
  <si>
    <t>Reprise de la réserve de revalo. légale Immeubles et forêts</t>
  </si>
  <si>
    <t>ReprRéserveRevaloLégImmForêts</t>
  </si>
  <si>
    <t>Reversals of revaluation reserves - Buildings and forestry assets</t>
  </si>
  <si>
    <t>ReversRevalRes-BuildForestAsst</t>
  </si>
  <si>
    <t>AC=R77702000</t>
  </si>
  <si>
    <t>R77702000</t>
  </si>
  <si>
    <t>Produits opérationnels non courants</t>
  </si>
  <si>
    <t>Prod opérationnels nn courants</t>
  </si>
  <si>
    <t>Non-recurring operating income</t>
  </si>
  <si>
    <t>AC=TR5000000</t>
  </si>
  <si>
    <t>TR5000000</t>
  </si>
  <si>
    <t>Operating profit/loss</t>
  </si>
  <si>
    <t>AC=TR60</t>
  </si>
  <si>
    <t>TR60</t>
  </si>
  <si>
    <t>Finance costs</t>
  </si>
  <si>
    <t>AC=TR601</t>
  </si>
  <si>
    <t>TR601</t>
  </si>
  <si>
    <t>AC=TR6011</t>
  </si>
  <si>
    <t>TR6011</t>
  </si>
  <si>
    <t>Charges de financement - TS et emprunts perpétuels - Coût amorti</t>
  </si>
  <si>
    <t>Charges fi-TS emp perp-Ct AM</t>
  </si>
  <si>
    <t>Finance costs - Dated and undated SD - Amortised cost</t>
  </si>
  <si>
    <t>Fin costs-Dated undated SD-AMc</t>
  </si>
  <si>
    <t>R66010000</t>
  </si>
  <si>
    <t>Titres subordonnés et emprunts perpétuels - Coût amorti - ICNE</t>
  </si>
  <si>
    <t>Titr sub emp perp-Ct AM-ICNE</t>
  </si>
  <si>
    <t>Dated and undated SD - Amortised cost - accrued interest</t>
  </si>
  <si>
    <t>Dated undated SD-AMc-accr int</t>
  </si>
  <si>
    <t>BR603660</t>
  </si>
  <si>
    <t>Dettes représentées par un titre - Charges d'intérêts - Dettes subordonnées</t>
  </si>
  <si>
    <t>R66020000</t>
  </si>
  <si>
    <t>Titres subordonnés et emprunts perpétuels - Coût amorti - Intérêts</t>
  </si>
  <si>
    <t>Titr sub emp perp-Ct AM-Irêts</t>
  </si>
  <si>
    <t>Dated and undated SD - Amortised cost - Interest</t>
  </si>
  <si>
    <t>Dated undated SD-AMc-Interest</t>
  </si>
  <si>
    <t>AC=TR6012</t>
  </si>
  <si>
    <t>TR6012</t>
  </si>
  <si>
    <t>Charges de financement - TS et emprunts perpétuels - Juste valeur par résultat</t>
  </si>
  <si>
    <t>Charges fi-TS emp perp-JVR</t>
  </si>
  <si>
    <t xml:space="preserve">Finance costs - Dated and undated SD - FV through P&amp;L  </t>
  </si>
  <si>
    <t>Finance costs - Dated and undated SD - FV through P&amp;L</t>
  </si>
  <si>
    <t xml:space="preserve">FinCos-DatUndatSD-FVthrghP&amp;L  </t>
  </si>
  <si>
    <t>R66000006T</t>
  </si>
  <si>
    <t>Titres subordonnés et emprunts perpétuels - JV par résultat- ICNE</t>
  </si>
  <si>
    <t>Titr sub emp perp-JVR-ICNE</t>
  </si>
  <si>
    <t>Dated and undated SD - FV through P&amp;L - accrued interest</t>
  </si>
  <si>
    <t>DatUndatSD-FVthrghP&amp;L-AccrInt</t>
  </si>
  <si>
    <t>BR603210</t>
  </si>
  <si>
    <t>JVR T - Charges dintérêts sur instruments de dettes -Taux dintérêt négatif</t>
  </si>
  <si>
    <t>R66000000T</t>
  </si>
  <si>
    <t>Titres subordonnés et emprunts perpétuels - JV par résultat- Intérêts</t>
  </si>
  <si>
    <t>Titr sub emp perp-JVR-Irêts</t>
  </si>
  <si>
    <t>Dated and undated SD - FV through P&amp;L - interest</t>
  </si>
  <si>
    <t>DatUndatSD-FVthrghP&amp;L-Interest</t>
  </si>
  <si>
    <t>AC=TR6013</t>
  </si>
  <si>
    <t>TR6013</t>
  </si>
  <si>
    <t>Charges de financement - Titres subordonnés et emprunts perpétuels - JVRO</t>
  </si>
  <si>
    <t>Charges fi-TS emp perp-JVRO</t>
  </si>
  <si>
    <t>Finance costs - Dated and undated SD - FV through P&amp;L option</t>
  </si>
  <si>
    <t>FiCost-DatUndatSD-FVtrghP&amp;Lopt</t>
  </si>
  <si>
    <t>R66000006O</t>
  </si>
  <si>
    <t>Titres subordonnés et emprunts perpétuels - JV par résultat sur option - ICNE</t>
  </si>
  <si>
    <t>Tit sub emp per- JVRs/opt-ICNE</t>
  </si>
  <si>
    <t>Dated and undated SD - FV through P&amp;L option - accrued interest</t>
  </si>
  <si>
    <t>DatUndatSD-FVtrghP&amp;Lopt-AccrIn</t>
  </si>
  <si>
    <t>BR603235</t>
  </si>
  <si>
    <t>JVR O - Charges d'intérêts sur instruments de dettes - Taux d'intérêt negatif</t>
  </si>
  <si>
    <t>R66000000O</t>
  </si>
  <si>
    <t>Titres subordonnés et emprunts perpétuels - JV par résultat sur option - Intérêts</t>
  </si>
  <si>
    <t>Tit sub emp per- JVRs/opt-Irêt</t>
  </si>
  <si>
    <t>Dated and undated SD - FV through P&amp;L option - interest</t>
  </si>
  <si>
    <t>DatUndatSD-FVtrghP&amp;Lopt-Int</t>
  </si>
  <si>
    <t>AC=TR6014</t>
  </si>
  <si>
    <t>TR6014</t>
  </si>
  <si>
    <t>Charges de financement - Emprunts auprès des établissements de crédit</t>
  </si>
  <si>
    <t>Charges fi-Emp éts de crédit</t>
  </si>
  <si>
    <t>Finance costs - Bank overdrafts</t>
  </si>
  <si>
    <t>Finance costs-Bank overdrafts</t>
  </si>
  <si>
    <t>R66011000</t>
  </si>
  <si>
    <t>Emprunts auprès des établissements de crédit - Intérêts</t>
  </si>
  <si>
    <t>Emprunts ets de crédit - Irêts</t>
  </si>
  <si>
    <t>Bank overdrafts - Interest</t>
  </si>
  <si>
    <t>BR601300</t>
  </si>
  <si>
    <t>EDC - Charges d'intérêts sur comptes et emprunts</t>
  </si>
  <si>
    <t>AC=TR6015</t>
  </si>
  <si>
    <t>TR6015</t>
  </si>
  <si>
    <t>Charges de financement - Opérations de couverture de CFH</t>
  </si>
  <si>
    <t>Chges fi-Opé de couverture CFH</t>
  </si>
  <si>
    <t>Finance costs - Cash flow hedges</t>
  </si>
  <si>
    <t>Finance costs-CF hedges</t>
  </si>
  <si>
    <t>R66060000</t>
  </si>
  <si>
    <t>Opérations de couverture de CFH - Inefficacité résultant des opérations de couverture</t>
  </si>
  <si>
    <t>OpéCouvCFH-Ineff rés opé couv</t>
  </si>
  <si>
    <t>Cash flow hedges - Ineffective portion</t>
  </si>
  <si>
    <t>CF hedges-Ineffective portion</t>
  </si>
  <si>
    <t>R66070000</t>
  </si>
  <si>
    <t>Opérations de couverture de CFH - Recyclage des couvertures</t>
  </si>
  <si>
    <t>OpéCouvCFH-Recyclage couv</t>
  </si>
  <si>
    <t>Cash flow hedges - Recycled portion</t>
  </si>
  <si>
    <t>CF hedges-Recycled portion</t>
  </si>
  <si>
    <t>R76032000</t>
  </si>
  <si>
    <t>Opérations de couverture de CFH - Instruments dérivés - Intérêts</t>
  </si>
  <si>
    <t>OpéCouvCFH-Inst dér-Intérêts</t>
  </si>
  <si>
    <t>Cash flow hedges - Derivative instruments - Interest</t>
  </si>
  <si>
    <t>CF hedges-Deriv Instr-Interest</t>
  </si>
  <si>
    <t>BR707232</t>
  </si>
  <si>
    <t>CFH - Produits d'intérêts sur dérivés de couverture - Titres de dettes au coût amorti</t>
  </si>
  <si>
    <t>AC=TR6016</t>
  </si>
  <si>
    <t>TR6016</t>
  </si>
  <si>
    <t>Charges de financement - Intérêts s/ TS - Cptes liaison et ajust.</t>
  </si>
  <si>
    <t>ChgesFi-IrêtS/TS-CptLiaisAjust</t>
  </si>
  <si>
    <t>Finance costs - Interest on SD - Liaison accounts &amp; adjustments</t>
  </si>
  <si>
    <t>FinanceCosts-IntSD-LiaisAccAdj</t>
  </si>
  <si>
    <t>R6601000L</t>
  </si>
  <si>
    <t>Charges de financement - Intérêts s/ titres subordonnés - Liaison</t>
  </si>
  <si>
    <t>ChgesFi-IrêtsS/TitrSub-Liaison</t>
  </si>
  <si>
    <t>Finance costs - Subordinated debt interest - Liaison accounts</t>
  </si>
  <si>
    <t>FinanceCosts-SubDebInt-LiaiAcc</t>
  </si>
  <si>
    <t>BR82201L</t>
  </si>
  <si>
    <t>CL Produits et Charges d'intérêt</t>
  </si>
  <si>
    <t>R6601000AJ</t>
  </si>
  <si>
    <t>Charges de financement - Intérêts s/ titres subordonnés - Ajust.</t>
  </si>
  <si>
    <t>ChgesFi-IrêtsS/TitrSub-Ajust</t>
  </si>
  <si>
    <t>Finance costs - Subordinated debt interest - Adjustments</t>
  </si>
  <si>
    <t>FinanceCosts-SubDebInt-Adj</t>
  </si>
  <si>
    <t>BR84201A</t>
  </si>
  <si>
    <t>Ajustements Produits et Charges d'intérêt</t>
  </si>
  <si>
    <t>AC=TR65</t>
  </si>
  <si>
    <t>TR65</t>
  </si>
  <si>
    <t>Variations de valeurs des actifs incorporels</t>
  </si>
  <si>
    <t>Var de val des actifs incorp</t>
  </si>
  <si>
    <t>Changes in value of intangible assets</t>
  </si>
  <si>
    <t>Chng value intangible assets</t>
  </si>
  <si>
    <t>AC=TR651</t>
  </si>
  <si>
    <t>TR651</t>
  </si>
  <si>
    <t>AC=TR6511</t>
  </si>
  <si>
    <t>TR6511</t>
  </si>
  <si>
    <t>Ecarts d'acq. - Produits ou perte de valeur pour dépréciation</t>
  </si>
  <si>
    <t>Ecarts acq-Prod perte val dépr</t>
  </si>
  <si>
    <t>Goodwill - Impairment losses or impairment reversals</t>
  </si>
  <si>
    <t>Gw - Imp losses or Imp Reverss</t>
  </si>
  <si>
    <t>AC=R66980000</t>
  </si>
  <si>
    <t>R66980000</t>
  </si>
  <si>
    <t>Ecarts d'acq. positif partiel - Perte de valeur pour dépréciation</t>
  </si>
  <si>
    <t>EcartAcqPosPrtl-Pert val dép</t>
  </si>
  <si>
    <t>Partial goodwill - Impairment losses</t>
  </si>
  <si>
    <t>Partial Gw - Imp losses</t>
  </si>
  <si>
    <t>BR6610EA</t>
  </si>
  <si>
    <t>Pertes de valeur sur les écarts d'acquisition</t>
  </si>
  <si>
    <t>AC=R66980001</t>
  </si>
  <si>
    <t>R66980001</t>
  </si>
  <si>
    <t>Ecarts d'acq. positif complet - Perte de valeur pour dépréciation</t>
  </si>
  <si>
    <t>EcartAcqPosCmplt-Pert val dép</t>
  </si>
  <si>
    <t>Full goodwill - Impairment losses</t>
  </si>
  <si>
    <t>Full Gw - Imp losses</t>
  </si>
  <si>
    <t>AC=R66990000</t>
  </si>
  <si>
    <t>R66990000</t>
  </si>
  <si>
    <t>Ecarts d'acq. négatif - Produits</t>
  </si>
  <si>
    <t>Ecarts d'acq. négatif - Prod</t>
  </si>
  <si>
    <t>Negative goodwill - Recognized in profit</t>
  </si>
  <si>
    <t>Neg Gw - Recognized in profit</t>
  </si>
  <si>
    <t>BR7611EA</t>
  </si>
  <si>
    <t>Variation de valeur des écarts d'acquisition</t>
  </si>
  <si>
    <t>AC=TR6512</t>
  </si>
  <si>
    <t>TR6512</t>
  </si>
  <si>
    <t>Valeurs de portefeuille - Variation des dépréciations</t>
  </si>
  <si>
    <t>Val portefeuille-Var  dépr</t>
  </si>
  <si>
    <t>Value of in-force business - Adjustment to provisions for impairment</t>
  </si>
  <si>
    <t>ValuIn-forceBusinss-AdjProvImp</t>
  </si>
  <si>
    <t>AC=R66902000</t>
  </si>
  <si>
    <t>R66902000</t>
  </si>
  <si>
    <t>Valeurs de portefeuille - Dot. Dépréciation</t>
  </si>
  <si>
    <t>Val portefeuille-Dot. Dépr</t>
  </si>
  <si>
    <t>Value of in-force business - Charges to provisions for impairment</t>
  </si>
  <si>
    <t>ValuIn-forceBusinss-ChgProvImp</t>
  </si>
  <si>
    <t>BR674910</t>
  </si>
  <si>
    <t>Dot. dép s/ Relation clientèle</t>
  </si>
  <si>
    <t>AC=R76902000</t>
  </si>
  <si>
    <t>R76902000</t>
  </si>
  <si>
    <t>Valeurs de portefeuille - Reprise dépréciation</t>
  </si>
  <si>
    <t>Val portefeuille-Reprise dépr</t>
  </si>
  <si>
    <t>Value of in-force business - Reversals of provisions for impairment</t>
  </si>
  <si>
    <t>ValuIn-forceBusinss-RevProvImp</t>
  </si>
  <si>
    <t>AC=TR6513</t>
  </si>
  <si>
    <t>TR6513</t>
  </si>
  <si>
    <t>Accords de distribution - Prov. pour dépréciation</t>
  </si>
  <si>
    <t>Accords distribution-Prov dépr</t>
  </si>
  <si>
    <t>Distribution agreements - Provisions for impairment</t>
  </si>
  <si>
    <t>Distrib Agreemts-Chg Prov Imp</t>
  </si>
  <si>
    <t>AC=R66903000</t>
  </si>
  <si>
    <t>R66903000</t>
  </si>
  <si>
    <t>Accords de distribution - Dot. Dépréciation</t>
  </si>
  <si>
    <t>Accords distribution-Dot Dépr</t>
  </si>
  <si>
    <t>Distribution agreements - Charges to provisions for impairment</t>
  </si>
  <si>
    <t>BR674510</t>
  </si>
  <si>
    <t>Dot. dép s/ Valeur des accords de distribution</t>
  </si>
  <si>
    <t>AC=R76903000</t>
  </si>
  <si>
    <t>R76903000</t>
  </si>
  <si>
    <t>Accords de distribution - Reprise dépréciation</t>
  </si>
  <si>
    <t>Accords distribution-Rep Dépr</t>
  </si>
  <si>
    <t>Distribution agreements - Reversals to provisions for impairment</t>
  </si>
  <si>
    <t>Distrib Agreemts-Rev Prov Imp</t>
  </si>
  <si>
    <t>BR774008</t>
  </si>
  <si>
    <t>Rep dép s/ Valeur des accords de distribution</t>
  </si>
  <si>
    <t>Evol 53 (ex Evol 50)</t>
  </si>
  <si>
    <t>AC=TR6514</t>
  </si>
  <si>
    <t>TR6514</t>
  </si>
  <si>
    <t>DAC - Variation des Prov. pour dépréciation</t>
  </si>
  <si>
    <t>DAC-Var des Prov pour dépr</t>
  </si>
  <si>
    <t>DAC - Adjustments to provisions for impairment</t>
  </si>
  <si>
    <t>DAC - adjs to Prov for Imp</t>
  </si>
  <si>
    <t>AC=R64900900</t>
  </si>
  <si>
    <t>R64900900</t>
  </si>
  <si>
    <t>DAC - Dot. Dépréciation</t>
  </si>
  <si>
    <t>DAC - Charges to provisions for impairment</t>
  </si>
  <si>
    <t>DAC - Chges to Prov for Imp</t>
  </si>
  <si>
    <t>BR649163</t>
  </si>
  <si>
    <t>Frais d'acquisition reportés - Dotation dépréciation</t>
  </si>
  <si>
    <t>AC=R74900900</t>
  </si>
  <si>
    <t>R74900900</t>
  </si>
  <si>
    <t>DAC - Reprise dépréciation</t>
  </si>
  <si>
    <t>DAC - Reversals of provisions for impairment</t>
  </si>
  <si>
    <t>DAC - Reverss Prov for Imp</t>
  </si>
  <si>
    <t>BR749163</t>
  </si>
  <si>
    <t>Frais d'acquisition reportés - Reprise dépréciation</t>
  </si>
  <si>
    <t>AC=TR6515</t>
  </si>
  <si>
    <t>TR6515</t>
  </si>
  <si>
    <t>DIR - Variation des amortissements exceptionnels</t>
  </si>
  <si>
    <t>DIR-Var des AM exceptionnels</t>
  </si>
  <si>
    <t>Unearned loading &amp; with. reserves - Adjustments to extraordinary amort.</t>
  </si>
  <si>
    <t>UnearnedLoadReserve-AdjExtraAM</t>
  </si>
  <si>
    <t>AC=R64909900</t>
  </si>
  <si>
    <t>R64909900</t>
  </si>
  <si>
    <t>DIR - Dot. aux AM exceptionnels</t>
  </si>
  <si>
    <t>DIR-Dot aux AM exceptionnels</t>
  </si>
  <si>
    <t>Unearned loading &amp; with. reserves - Charges to extraordinary amort.</t>
  </si>
  <si>
    <t>UnearnedLoadReserve-ChgExtraAM</t>
  </si>
  <si>
    <t>AC=R74909900</t>
  </si>
  <si>
    <t>R74909900</t>
  </si>
  <si>
    <t>DIR - Reprise des AM exceptionnels</t>
  </si>
  <si>
    <t>DIR-Reprise AM exceptionnels</t>
  </si>
  <si>
    <t>Unearned loading &amp; with. reserves - Reversals of extraordinary amort.</t>
  </si>
  <si>
    <t>UnearnedLoadReserve-RevExtraAM</t>
  </si>
  <si>
    <t>AC=TR6516</t>
  </si>
  <si>
    <t>TR6516</t>
  </si>
  <si>
    <t>Relation clientèle - Variation des dépréciations</t>
  </si>
  <si>
    <t>Relation client-Var des dépr</t>
  </si>
  <si>
    <t>Distribution agreement - Provisions for impairment</t>
  </si>
  <si>
    <t>Distrib agreement-Prov Imp</t>
  </si>
  <si>
    <t>AC=R66906000</t>
  </si>
  <si>
    <t>R66906000</t>
  </si>
  <si>
    <t>Impairment of customer relationships</t>
  </si>
  <si>
    <t>Imp of customer relationships</t>
  </si>
  <si>
    <t>AC=R76906000</t>
  </si>
  <si>
    <t>R76906000</t>
  </si>
  <si>
    <t>Impairment reversal on customer relationships</t>
  </si>
  <si>
    <t>Imp Revers customer relations</t>
  </si>
  <si>
    <t>AC=TR70</t>
  </si>
  <si>
    <t>TR70</t>
  </si>
  <si>
    <t>Quote-part de résultat dans les entreprises liées</t>
  </si>
  <si>
    <t>QP de rés des entpses liées</t>
  </si>
  <si>
    <t>Share of profit/(loss) of associates</t>
  </si>
  <si>
    <t>Share profit/(loss) associates</t>
  </si>
  <si>
    <t>AC=TR701</t>
  </si>
  <si>
    <t>TR701</t>
  </si>
  <si>
    <t>Quote-part dans les résultats des entpses associées</t>
  </si>
  <si>
    <t>QP dans rés des entpses assoc</t>
  </si>
  <si>
    <t>AC=TR7011</t>
  </si>
  <si>
    <t>TR7011</t>
  </si>
  <si>
    <t>Quote-part du résultat des entpses associées</t>
  </si>
  <si>
    <t>QP résultat des entses assoc</t>
  </si>
  <si>
    <t>AC=R76910000</t>
  </si>
  <si>
    <t>R76910000</t>
  </si>
  <si>
    <t>Quote-part de résultat dans les entpses associées</t>
  </si>
  <si>
    <t>QP résultat dans entses assoc</t>
  </si>
  <si>
    <t>BR800COE</t>
  </si>
  <si>
    <t>Quote part de résultat des coentreprises</t>
  </si>
  <si>
    <t>AC=TR7012</t>
  </si>
  <si>
    <t>TR7012</t>
  </si>
  <si>
    <t>Participations mises en équivalence - Variation des prov.</t>
  </si>
  <si>
    <t>Particip mis équival- Var prov</t>
  </si>
  <si>
    <t>Investments in associates - Adjustments to provisions</t>
  </si>
  <si>
    <t>Invest in associates-adj Prov</t>
  </si>
  <si>
    <t>AC=R67200000</t>
  </si>
  <si>
    <t>R67200000</t>
  </si>
  <si>
    <t>Participations mises en équivalence - Dot. aux prov.</t>
  </si>
  <si>
    <t>Particip mis équival-Dot prov</t>
  </si>
  <si>
    <t>Investments in associates - Charges to provisions</t>
  </si>
  <si>
    <t>Invest associates-Chges Prov</t>
  </si>
  <si>
    <t>BR673710</t>
  </si>
  <si>
    <t>Dotations aux prov pour risque participations consolidées</t>
  </si>
  <si>
    <t>AC=R77200000</t>
  </si>
  <si>
    <t>R77200000</t>
  </si>
  <si>
    <t>Participations mises en équivalence - Reprise des prov.</t>
  </si>
  <si>
    <t>Particip mis équival-Rep prov</t>
  </si>
  <si>
    <t>Investments in associates - Reversals of provisions</t>
  </si>
  <si>
    <t>Invest associates-Rever Prov</t>
  </si>
  <si>
    <t>BR773710</t>
  </si>
  <si>
    <t>Reprises de prov. pour risque participations consolidées</t>
  </si>
  <si>
    <t>AC=TR7000000</t>
  </si>
  <si>
    <t>TR7000000</t>
  </si>
  <si>
    <t>Résultat avant impôt</t>
  </si>
  <si>
    <t>Profit/(loss) before tax</t>
  </si>
  <si>
    <t>AC=TR75</t>
  </si>
  <si>
    <t>TR75</t>
  </si>
  <si>
    <t>Income tax expense</t>
  </si>
  <si>
    <t>AC=TR751</t>
  </si>
  <si>
    <t>TR751</t>
  </si>
  <si>
    <t>AC=TR7511</t>
  </si>
  <si>
    <t>TR7511</t>
  </si>
  <si>
    <t>Impôt exigible</t>
  </si>
  <si>
    <t>Current taxes</t>
  </si>
  <si>
    <t>AC=R69500000</t>
  </si>
  <si>
    <t>BR695000</t>
  </si>
  <si>
    <t>Impôt sur les sociétés (hors intégration fiscale)</t>
  </si>
  <si>
    <t>AC=R69520000</t>
  </si>
  <si>
    <t>R69520000</t>
  </si>
  <si>
    <t>Avoirs fiscaux et crédits d'impôt</t>
  </si>
  <si>
    <t>Avoirs fiscaux crédits d'impôt</t>
  </si>
  <si>
    <t>Tax credits</t>
  </si>
  <si>
    <t>TR7512</t>
  </si>
  <si>
    <t>Deferred tax</t>
  </si>
  <si>
    <t>TR75121</t>
  </si>
  <si>
    <t>ID-Revalo des actifs-JVR</t>
  </si>
  <si>
    <t xml:space="preserve">DT - FV adjustments of assets - FV through P&amp;L  </t>
  </si>
  <si>
    <t>DT - FV adjustments of assets - FV through P&amp;L</t>
  </si>
  <si>
    <t xml:space="preserve">DT-FV adj assets-FVthrghP&amp;L  </t>
  </si>
  <si>
    <t>AC=TR751211</t>
  </si>
  <si>
    <t>TR751211</t>
  </si>
  <si>
    <t>ID - Revalo - JV par résultat</t>
  </si>
  <si>
    <t>DT - FV adjustments - FV through P&amp;L</t>
  </si>
  <si>
    <t>DT - FV adjs - FV through P&amp;L</t>
  </si>
  <si>
    <t>AC=R69100007T</t>
  </si>
  <si>
    <t>R69100007T</t>
  </si>
  <si>
    <t>BR6950ID</t>
  </si>
  <si>
    <t>TR75122</t>
  </si>
  <si>
    <t>ID-Revalo des actifs-JVR s/opt</t>
  </si>
  <si>
    <t>DT - FV adjustments of assets - FV through P&amp;L option</t>
  </si>
  <si>
    <t>DT-FV adj assets-FVthrghP&amp;Lopt</t>
  </si>
  <si>
    <t>AC=TR751221</t>
  </si>
  <si>
    <t>TR751221</t>
  </si>
  <si>
    <t>ID - Revalo - JV par résultat sur option</t>
  </si>
  <si>
    <t>ID-Revalo des actifs-JV s/opti</t>
  </si>
  <si>
    <t>DT - FV adjustments - FV through P&amp;L option</t>
  </si>
  <si>
    <t>DT-FV adj-FVthrghP&amp;L option</t>
  </si>
  <si>
    <t>AC=R69100007O</t>
  </si>
  <si>
    <t>R69100007O</t>
  </si>
  <si>
    <t>TR75123</t>
  </si>
  <si>
    <t>ID - Revalo. - Instru. dérivés</t>
  </si>
  <si>
    <t>DT - FV adjustments - Derivative instruments</t>
  </si>
  <si>
    <t>DT - FV adj - Derivative instr</t>
  </si>
  <si>
    <t>Evol 41</t>
  </si>
  <si>
    <t>AC=TR751231</t>
  </si>
  <si>
    <t>TR751231</t>
  </si>
  <si>
    <t>ID - Revalo. - Instru. Dérivés</t>
  </si>
  <si>
    <t>DT - FV adj - Derivative Instr</t>
  </si>
  <si>
    <t>AC=R69111081</t>
  </si>
  <si>
    <t>R69111081</t>
  </si>
  <si>
    <t>ID-Revalo-Instruments dérivés</t>
  </si>
  <si>
    <t>AC=R69111082</t>
  </si>
  <si>
    <t>R69111082</t>
  </si>
  <si>
    <t>ID - Revalo. Des actifs - Inefficacité des instruments de couverture</t>
  </si>
  <si>
    <t>ID-RevaloActifs-IneffInstrCouv</t>
  </si>
  <si>
    <t>DT - Assets revaluation - Ineffectiveness of hedging instruments</t>
  </si>
  <si>
    <t>DT-AssetsReval-IneffHedgInstr</t>
  </si>
  <si>
    <t>TR75124</t>
  </si>
  <si>
    <t>ID-Diff traitement-LGAAP/IFRS</t>
  </si>
  <si>
    <t>DT - Diff. in acct. treatment - LGAAP / IFRS</t>
  </si>
  <si>
    <t>DT-Diff acct treat-LGAAP IFRS</t>
  </si>
  <si>
    <t>AC=TR751241</t>
  </si>
  <si>
    <t>TR751241</t>
  </si>
  <si>
    <t>ID - Différences de traitement</t>
  </si>
  <si>
    <t>Deferred tax - Diff. in acct. treatment</t>
  </si>
  <si>
    <t>Def tax-Diff acc treatment</t>
  </si>
  <si>
    <t>AC=R69111000</t>
  </si>
  <si>
    <t>R69111000</t>
  </si>
  <si>
    <t>TR75125</t>
  </si>
  <si>
    <t>Deferred tax on provisions for impairment</t>
  </si>
  <si>
    <t>Deferred tax on Prov for Imp</t>
  </si>
  <si>
    <t>TR751251</t>
  </si>
  <si>
    <t>ID s/ dépréciation-Ct AM</t>
  </si>
  <si>
    <t>DT on provisions for impairment - Amortised cost</t>
  </si>
  <si>
    <t>DT on Prov for Imp - AMc cost</t>
  </si>
  <si>
    <t>AC=R69100007A</t>
  </si>
  <si>
    <t>R69100007A</t>
  </si>
  <si>
    <t>ID - Dépréciation - Titres au coût amorti</t>
  </si>
  <si>
    <t>ID-Dépr-Titr ct AM</t>
  </si>
  <si>
    <t>DT - Provisions for impairment - Securities at amortised cost</t>
  </si>
  <si>
    <t>DT-Prov Imp-Securities AMc</t>
  </si>
  <si>
    <t>TR751252</t>
  </si>
  <si>
    <t>DT on provisions for impairment - FV through OCI</t>
  </si>
  <si>
    <t>DT Prov Imp-FVthrghOCI</t>
  </si>
  <si>
    <t>AC=R69100007R</t>
  </si>
  <si>
    <t>R69100007R</t>
  </si>
  <si>
    <t>ID - Dépréciation - JV OCI</t>
  </si>
  <si>
    <t>DT - Provisions for impairment - FV through OCI</t>
  </si>
  <si>
    <t>DT-Prov Imp-FVthrghOCI</t>
  </si>
  <si>
    <t>TR75126</t>
  </si>
  <si>
    <t>Deferred tax - Other - Income statement</t>
  </si>
  <si>
    <t>Deferred tax-Othr-Inc state</t>
  </si>
  <si>
    <t>AC=R69130000</t>
  </si>
  <si>
    <t>R69130000</t>
  </si>
  <si>
    <t>AC=TR80</t>
  </si>
  <si>
    <t>TR80</t>
  </si>
  <si>
    <t>Résultat après impôt des activités discontinues</t>
  </si>
  <si>
    <t>Rés après impôt act discont</t>
  </si>
  <si>
    <t>Profit (loss) from discontinued operations, after tax</t>
  </si>
  <si>
    <t>Prof los discont ope after tax</t>
  </si>
  <si>
    <t>AC=R88000000</t>
  </si>
  <si>
    <t>R88000000</t>
  </si>
  <si>
    <t>BR751000</t>
  </si>
  <si>
    <t>Résultat avant IS des activités abandonnées</t>
  </si>
  <si>
    <t>AC=TR8000000</t>
  </si>
  <si>
    <t>TR8000000</t>
  </si>
  <si>
    <t>Résultat net ensemble conso</t>
  </si>
  <si>
    <t>Net profit/(loss) of consolidated group (before minority interests)</t>
  </si>
  <si>
    <t>NetProfLos ConsoGp Bf MinorInt</t>
  </si>
  <si>
    <t>AC=TR85</t>
  </si>
  <si>
    <t>TR85</t>
  </si>
  <si>
    <t>AC=R69900000</t>
  </si>
  <si>
    <t>R69900000</t>
  </si>
  <si>
    <t>Résultat part des minoritaires</t>
  </si>
  <si>
    <t>Profit/(loss) attributable to minority interests</t>
  </si>
  <si>
    <t>ProfitLoss attri to minor Int</t>
  </si>
  <si>
    <t>BR803000</t>
  </si>
  <si>
    <t>Participations ne donnant pas droit au contrôle</t>
  </si>
  <si>
    <t>Attribuables</t>
  </si>
  <si>
    <t>Non attribuables</t>
  </si>
  <si>
    <t>Actifs relatifs aux contrats de réassurance comptabilisés selon le modèle BBA</t>
  </si>
  <si>
    <t>Passifs relatifs aux contrats de réassurance comptabilisés selon le modèle BBA</t>
  </si>
  <si>
    <t>RU=I230</t>
  </si>
  <si>
    <t>RU=I240</t>
  </si>
  <si>
    <t>RU=I250</t>
  </si>
  <si>
    <t>Fusionnée</t>
  </si>
  <si>
    <t>Valeur des accords de distribution et autres incorporels</t>
  </si>
  <si>
    <t>Tableau de variation des capitaux propres au 31 décembre 2024</t>
  </si>
  <si>
    <t>CAPITAUX PROPRES IFRS AU 31 DECEMBRE 2024</t>
  </si>
  <si>
    <t>DP=2024.03</t>
  </si>
  <si>
    <t>DP=2024.06</t>
  </si>
  <si>
    <t>DP=2024.09</t>
  </si>
  <si>
    <t>Réserves consolidées (hors résultat) </t>
  </si>
  <si>
    <t xml:space="preserve">Réserves consolidées </t>
  </si>
  <si>
    <t>Plus ou moins-values de cession des placements nettes de reprises de dépréciation et d’amortissements</t>
  </si>
  <si>
    <t>C</t>
  </si>
  <si>
    <t>D</t>
  </si>
  <si>
    <t>J</t>
  </si>
  <si>
    <t>G</t>
  </si>
  <si>
    <t>H</t>
  </si>
  <si>
    <t>K</t>
  </si>
  <si>
    <t>E/F</t>
  </si>
  <si>
    <t>L</t>
  </si>
  <si>
    <t>M</t>
  </si>
  <si>
    <t>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</si>
</sst>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6">
    <numFmt numFmtId="43" formatCode="_-* #,##0.00_-;\-* #,##0.00_-;_-* &quot;-&quot;??_-;_-@_-"/>
    <numFmt numFmtId="164" formatCode="_-* #,##0.00\ _€_-;\-* #,##0.00\ _€_-;_-* &quot;-&quot;??\ _€_-;_-@_-"/>
    <numFmt numFmtId="165" formatCode="#,##0.0"/>
    <numFmt numFmtId="166" formatCode="_-* #,##0\ _€_-;\-* #,##0\ _€_-;_-* &quot;-&quot;??\ _€_-;_-@_-"/>
    <numFmt numFmtId="167" formatCode="0.0%"/>
    <numFmt numFmtId="168" formatCode="#,##0,"/>
    <numFmt numFmtId="169" formatCode="_-* #,##0_-;\-* #,##0_-;_-* &quot;-&quot;??_-;_-@_-"/>
    <numFmt numFmtId="171" formatCode="_-* #,##0.00\ _F_-;\-* #,##0.00\ _F_-;_-* &quot;-&quot;??\ _F_-;_-@_-"/>
    <numFmt numFmtId="172" formatCode="_-* #,##0.0,_-;\-* #,##0.0,_-;_-* &quot;-&quot;??_-;_-@_-"/>
    <numFmt numFmtId="174" formatCode="#,##0.0,"/>
    <numFmt numFmtId="175" formatCode="_-* #\ ##0.0,_-;\-* #,##0.0,_-;_-* &quot;-&quot;??_-;_-@_-"/>
    <numFmt numFmtId="176" formatCode="_-* #\ ##0.0,_-;\-* #\ ##0.0,_-;_-* &quot;-&quot;??_-;_-@_-"/>
    <numFmt numFmtId="177" formatCode="dd\/mm\/yyyy"/>
    <numFmt numFmtId="178" formatCode="#,##0.0_ ;\-#,##0.0\ "/>
    <numFmt numFmtId="179" formatCode="_-\ #,##0.0,_-;\-\ #,##0.0,_-;_-\ &quot;-&quot;??_-;_-@_-"/>
    <numFmt numFmtId="180" formatCode="d/m;@"/>
  </numFmts>
  <fonts count="152">
    <font>
      <sz val="11"/>
      <color theme="1"/>
      <name val="Calibri"/>
      <family val="2"/>
      <scheme val="minor"/>
    </font>
    <font>
      <sz val="11"/>
      <color theme="1"/>
      <name val="Calibri"/>
      <family val="2"/>
      <scheme val="minor"/>
    </font>
    <font>
      <sz val="10"/>
      <name val="MS Sans Serif"/>
      <family val="2"/>
    </font>
    <font>
      <sz val="10"/>
      <name val="Arial"/>
      <family val="2"/>
    </font>
    <font>
      <u/>
      <sz val="11"/>
      <color theme="10"/>
      <name val="Calibri"/>
      <family val="2"/>
      <scheme val="minor"/>
    </font>
    <font>
      <sz val="8"/>
      <name val="Arial"/>
      <family val="2"/>
    </font>
    <font>
      <sz val="10"/>
      <color theme="1"/>
      <name val="Arial"/>
      <family val="2"/>
    </font>
    <font>
      <sz val="8"/>
      <color rgb="FFFFFFFF"/>
      <name val="Arial"/>
      <family val="2"/>
    </font>
    <font>
      <sz val="9"/>
      <color theme="1"/>
      <name val="Arial"/>
      <family val="2"/>
    </font>
    <font>
      <sz val="11"/>
      <color theme="1"/>
      <name val="Arial"/>
      <family val="2"/>
    </font>
    <font>
      <b/>
      <sz val="8"/>
      <color rgb="FFFFFFFF"/>
      <name val="Arial"/>
      <family val="2"/>
    </font>
    <font>
      <sz val="8"/>
      <color theme="1"/>
      <name val="Arial"/>
      <family val="2"/>
    </font>
    <font>
      <u/>
      <sz val="8.5"/>
      <color indexed="12"/>
      <name val="Arial"/>
      <family val="2"/>
    </font>
    <font>
      <sz val="9"/>
      <color indexed="18"/>
      <name val="Arial"/>
      <family val="2"/>
    </font>
    <font>
      <i/>
      <sz val="8"/>
      <color rgb="FFFF0000"/>
      <name val="Arial"/>
      <family val="2"/>
    </font>
    <font>
      <b/>
      <i/>
      <sz val="11"/>
      <color indexed="18"/>
      <name val="Arial"/>
      <family val="2"/>
    </font>
    <font>
      <sz val="8.5"/>
      <color rgb="FF000000"/>
      <name val="Arial"/>
      <family val="2"/>
    </font>
    <font>
      <b/>
      <outline/>
      <sz val="8"/>
      <color rgb="FFFFFFFF"/>
      <name val="Arial"/>
      <family val="2"/>
    </font>
    <font>
      <sz val="8"/>
      <color rgb="FF000000"/>
      <name val="Arial"/>
      <family val="2"/>
    </font>
    <font>
      <b/>
      <sz val="8"/>
      <color rgb="FF000000"/>
      <name val="Arial"/>
      <family val="2"/>
    </font>
    <font>
      <i/>
      <sz val="8"/>
      <color rgb="FFFFFFFF"/>
      <name val="Arial"/>
      <family val="2"/>
    </font>
    <font>
      <b/>
      <sz val="8.5"/>
      <color rgb="FF000000"/>
      <name val="Arial"/>
      <family val="2"/>
    </font>
    <font>
      <b/>
      <sz val="8.5"/>
      <color rgb="FFFFFFFF"/>
      <name val="Arial"/>
      <family val="2"/>
    </font>
    <font>
      <sz val="8"/>
      <color rgb="FFFF0000"/>
      <name val="Arial"/>
      <family val="2"/>
    </font>
    <font>
      <b/>
      <sz val="8"/>
      <color theme="0"/>
      <name val="Arial"/>
      <family val="2"/>
    </font>
    <font>
      <b/>
      <sz val="7"/>
      <color theme="0"/>
      <name val="Arial"/>
      <family val="2"/>
    </font>
    <font>
      <b/>
      <sz val="10"/>
      <color theme="1"/>
      <name val="Arial"/>
      <family val="2"/>
    </font>
    <font>
      <sz val="7"/>
      <color theme="1"/>
      <name val="Arial"/>
      <family val="2"/>
    </font>
    <font>
      <i/>
      <sz val="8.5"/>
      <color rgb="FFFFFFFF"/>
      <name val="Arial"/>
      <family val="2"/>
    </font>
    <font>
      <sz val="8.5"/>
      <color rgb="FFFFFFFF"/>
      <name val="Arial"/>
      <family val="2"/>
    </font>
    <font>
      <b/>
      <sz val="8.5"/>
      <color rgb="FF000080"/>
      <name val="Arial"/>
      <family val="2"/>
    </font>
    <font>
      <b/>
      <sz val="7"/>
      <color rgb="FF000000"/>
      <name val="Arial"/>
      <family val="2"/>
    </font>
    <font>
      <sz val="7"/>
      <color rgb="FF000000"/>
      <name val="Arial"/>
      <family val="2"/>
    </font>
    <font>
      <sz val="11"/>
      <color rgb="FFFF0000"/>
      <name val="Arial"/>
      <family val="2"/>
    </font>
    <font>
      <sz val="8.5"/>
      <color rgb="FFFF0000"/>
      <name val="Arial"/>
      <family val="2"/>
    </font>
    <font>
      <outline/>
      <sz val="8.5"/>
      <color rgb="FFFFFFFF"/>
      <name val="Arial"/>
      <family val="2"/>
    </font>
    <font>
      <i/>
      <sz val="11"/>
      <color rgb="FFFF0000"/>
      <name val="Arial"/>
      <family val="2"/>
    </font>
    <font>
      <sz val="7"/>
      <color rgb="FF002060"/>
      <name val="Arial"/>
      <family val="2"/>
    </font>
    <font>
      <i/>
      <sz val="8.5"/>
      <color rgb="FFFF0000"/>
      <name val="Arial"/>
      <family val="2"/>
    </font>
    <font>
      <b/>
      <sz val="7"/>
      <color rgb="FF002060"/>
      <name val="Arial"/>
      <family val="2"/>
    </font>
    <font>
      <b/>
      <sz val="10"/>
      <color theme="3"/>
      <name val="Arial"/>
      <family val="2"/>
    </font>
    <font>
      <i/>
      <sz val="8"/>
      <color theme="1"/>
      <name val="Arial"/>
      <family val="2"/>
    </font>
    <font>
      <b/>
      <sz val="8"/>
      <color rgb="FF002060"/>
      <name val="Arial"/>
      <family val="2"/>
    </font>
    <font>
      <sz val="8"/>
      <color rgb="FF002060"/>
      <name val="Arial"/>
      <family val="2"/>
    </font>
    <font>
      <b/>
      <sz val="11"/>
      <color rgb="FF002060"/>
      <name val="Calibri"/>
      <family val="2"/>
      <scheme val="minor"/>
    </font>
    <font>
      <b/>
      <sz val="11"/>
      <color rgb="FFC00000"/>
      <name val="Calibri"/>
      <family val="2"/>
      <scheme val="minor"/>
    </font>
    <font>
      <sz val="11"/>
      <color rgb="FFFF0000"/>
      <name val="Calibri"/>
      <family val="2"/>
      <scheme val="minor"/>
    </font>
    <font>
      <sz val="9"/>
      <name val="Calibri"/>
      <family val="2"/>
      <scheme val="minor"/>
    </font>
    <font>
      <sz val="8"/>
      <color theme="1"/>
      <name val="Calibri"/>
      <family val="2"/>
      <scheme val="minor"/>
    </font>
    <font>
      <sz val="8"/>
      <color rgb="FFFF0000"/>
      <name val="Calibri"/>
      <family val="2"/>
      <scheme val="minor"/>
    </font>
    <font>
      <b/>
      <sz val="8"/>
      <color rgb="FFFF0000"/>
      <name val="Arial"/>
      <family val="2"/>
    </font>
    <font>
      <sz val="10"/>
      <name val="Geneva"/>
    </font>
    <font>
      <sz val="9"/>
      <name val="Calibri"/>
      <family val="2"/>
    </font>
    <font>
      <b/>
      <sz val="10"/>
      <color rgb="FF034EA2"/>
      <name val="Arial"/>
      <family val="2"/>
    </font>
    <font>
      <b/>
      <i/>
      <sz val="8"/>
      <color rgb="FF002060"/>
      <name val="Arial"/>
      <family val="2"/>
    </font>
    <font>
      <b/>
      <i/>
      <sz val="8"/>
      <color rgb="FF002060"/>
      <name val="Calibri"/>
      <family val="2"/>
      <scheme val="minor"/>
    </font>
    <font>
      <sz val="9"/>
      <color theme="1"/>
      <name val="Calibri"/>
      <family val="2"/>
      <scheme val="minor"/>
    </font>
    <font>
      <b/>
      <i/>
      <sz val="7"/>
      <color rgb="FF002060"/>
      <name val="Arial"/>
      <family val="2"/>
    </font>
    <font>
      <b/>
      <i/>
      <sz val="7"/>
      <color rgb="FF002060"/>
      <name val="Calibri"/>
      <family val="2"/>
    </font>
    <font>
      <b/>
      <sz val="12"/>
      <color indexed="18"/>
      <name val="Calibri"/>
      <family val="2"/>
      <scheme val="minor"/>
    </font>
    <font>
      <b/>
      <sz val="8"/>
      <color rgb="FF002060"/>
      <name val="Calibri"/>
      <family val="2"/>
      <scheme val="minor"/>
    </font>
    <font>
      <b/>
      <sz val="11"/>
      <color theme="0"/>
      <name val="Calibri"/>
      <family val="2"/>
      <scheme val="minor"/>
    </font>
    <font>
      <sz val="9"/>
      <color indexed="81"/>
      <name val="Tahoma"/>
      <family val="2"/>
    </font>
    <font>
      <b/>
      <sz val="9"/>
      <color indexed="81"/>
      <name val="Tahoma"/>
      <family val="2"/>
    </font>
    <font>
      <sz val="8"/>
      <color rgb="FF002060"/>
      <name val="Calibri"/>
      <family val="2"/>
      <scheme val="minor"/>
    </font>
    <font>
      <b/>
      <sz val="8"/>
      <color theme="0"/>
      <name val="Calibri"/>
      <family val="2"/>
      <scheme val="minor"/>
    </font>
    <font>
      <b/>
      <sz val="9"/>
      <color theme="1"/>
      <name val="Calibri"/>
      <family val="2"/>
      <scheme val="minor"/>
    </font>
    <font>
      <sz val="9"/>
      <color theme="0"/>
      <name val="Calibri"/>
      <family val="2"/>
      <scheme val="minor"/>
    </font>
    <font>
      <b/>
      <sz val="9"/>
      <color theme="0"/>
      <name val="Calibri"/>
      <family val="2"/>
      <scheme val="minor"/>
    </font>
    <font>
      <b/>
      <sz val="9"/>
      <name val="Calibri"/>
      <family val="2"/>
      <scheme val="minor"/>
    </font>
    <font>
      <b/>
      <sz val="12"/>
      <color rgb="FF002364"/>
      <name val="Calibri"/>
      <family val="2"/>
    </font>
    <font>
      <sz val="9"/>
      <color theme="1"/>
      <name val="Calibri"/>
      <family val="2"/>
    </font>
    <font>
      <b/>
      <sz val="9"/>
      <color theme="0"/>
      <name val="Calibri"/>
      <family val="2"/>
    </font>
    <font>
      <i/>
      <sz val="9"/>
      <color rgb="FFFFFFFF"/>
      <name val="Calibri"/>
      <family val="2"/>
    </font>
    <font>
      <sz val="9"/>
      <color rgb="FFFFFFFF"/>
      <name val="Calibri"/>
      <family val="2"/>
    </font>
    <font>
      <b/>
      <sz val="9"/>
      <color rgb="FFFFFFFF"/>
      <name val="Calibri"/>
      <family val="2"/>
    </font>
    <font>
      <sz val="9"/>
      <color rgb="FF000000"/>
      <name val="Calibri"/>
      <family val="2"/>
    </font>
    <font>
      <b/>
      <sz val="9"/>
      <color rgb="FF000000"/>
      <name val="Calibri"/>
      <family val="2"/>
    </font>
    <font>
      <b/>
      <outline/>
      <sz val="9"/>
      <color rgb="FFFFFFFF"/>
      <name val="Calibri"/>
      <family val="2"/>
    </font>
    <font>
      <sz val="9"/>
      <color rgb="FFFF0000"/>
      <name val="Calibri"/>
      <family val="2"/>
    </font>
    <font>
      <b/>
      <sz val="9"/>
      <color rgb="FFFF0000"/>
      <name val="Calibri"/>
      <family val="2"/>
    </font>
    <font>
      <b/>
      <sz val="9"/>
      <color theme="1"/>
      <name val="Calibri"/>
      <family val="2"/>
    </font>
    <font>
      <sz val="9"/>
      <color rgb="FF002060"/>
      <name val="Calibri"/>
      <family val="2"/>
    </font>
    <font>
      <b/>
      <sz val="14"/>
      <color rgb="FF002364"/>
      <name val="Calibri"/>
      <family val="2"/>
    </font>
    <font>
      <u/>
      <sz val="9"/>
      <color theme="10"/>
      <name val="Calibri"/>
      <family val="2"/>
      <scheme val="minor"/>
    </font>
    <font>
      <b/>
      <sz val="9"/>
      <color rgb="FF002364"/>
      <name val="Calibri"/>
      <family val="2"/>
      <scheme val="minor"/>
    </font>
    <font>
      <b/>
      <sz val="9"/>
      <color rgb="FF7030A0"/>
      <name val="Calibri"/>
      <family val="2"/>
      <scheme val="minor"/>
    </font>
    <font>
      <i/>
      <sz val="9"/>
      <color rgb="FFFFFFFF"/>
      <name val="Calibri"/>
      <family val="2"/>
      <scheme val="minor"/>
    </font>
    <font>
      <sz val="9"/>
      <color rgb="FFFFFFFF"/>
      <name val="Calibri"/>
      <family val="2"/>
      <scheme val="minor"/>
    </font>
    <font>
      <b/>
      <sz val="9"/>
      <color rgb="FFFFFFFF"/>
      <name val="Calibri"/>
      <family val="2"/>
      <scheme val="minor"/>
    </font>
    <font>
      <sz val="9"/>
      <color rgb="FF000000"/>
      <name val="Calibri"/>
      <family val="2"/>
      <scheme val="minor"/>
    </font>
    <font>
      <b/>
      <sz val="9"/>
      <color rgb="FF000000"/>
      <name val="Calibri"/>
      <family val="2"/>
      <scheme val="minor"/>
    </font>
    <font>
      <b/>
      <outline/>
      <sz val="9"/>
      <color rgb="FFFFFFFF"/>
      <name val="Calibri"/>
      <family val="2"/>
      <scheme val="minor"/>
    </font>
    <font>
      <b/>
      <sz val="9"/>
      <color rgb="FF7030A0"/>
      <name val="Calibri"/>
      <family val="2"/>
    </font>
    <font>
      <b/>
      <outline/>
      <sz val="9"/>
      <color theme="0"/>
      <name val="Calibri"/>
      <family val="2"/>
    </font>
    <font>
      <outline/>
      <sz val="9"/>
      <color theme="0"/>
      <name val="Calibri"/>
      <family val="2"/>
    </font>
    <font>
      <sz val="9"/>
      <color theme="0"/>
      <name val="Calibri"/>
      <family val="2"/>
    </font>
    <font>
      <b/>
      <vertAlign val="superscript"/>
      <sz val="9"/>
      <color rgb="FF000000"/>
      <name val="Calibri"/>
      <family val="2"/>
      <scheme val="minor"/>
    </font>
    <font>
      <i/>
      <sz val="9"/>
      <color theme="1"/>
      <name val="Calibri"/>
      <family val="2"/>
    </font>
    <font>
      <b/>
      <sz val="9"/>
      <name val="Calibri"/>
      <family val="2"/>
    </font>
    <font>
      <i/>
      <sz val="9"/>
      <color rgb="FFFF0000"/>
      <name val="Calibri"/>
      <family val="2"/>
    </font>
    <font>
      <i/>
      <sz val="9"/>
      <name val="Calibri"/>
      <family val="2"/>
    </font>
    <font>
      <b/>
      <sz val="12"/>
      <color rgb="FF002364"/>
      <name val="Calibri"/>
      <family val="2"/>
      <scheme val="minor"/>
    </font>
    <font>
      <b/>
      <strike/>
      <sz val="9"/>
      <color theme="0"/>
      <name val="Calibri"/>
      <family val="2"/>
      <scheme val="minor"/>
    </font>
    <font>
      <strike/>
      <sz val="9"/>
      <color theme="0"/>
      <name val="Calibri"/>
      <family val="2"/>
      <scheme val="minor"/>
    </font>
    <font>
      <b/>
      <sz val="14"/>
      <color theme="0"/>
      <name val="Calibri"/>
      <family val="2"/>
      <scheme val="minor"/>
    </font>
    <font>
      <b/>
      <sz val="10"/>
      <color theme="0"/>
      <name val="Arial"/>
      <family val="2"/>
    </font>
    <font>
      <sz val="11"/>
      <color theme="0"/>
      <name val="Arial"/>
      <family val="2"/>
    </font>
    <font>
      <sz val="10"/>
      <name val="Calibri"/>
      <family val="2"/>
    </font>
    <font>
      <sz val="10"/>
      <color rgb="FFFF0000"/>
      <name val="Calibri"/>
      <family val="2"/>
      <scheme val="minor"/>
    </font>
    <font>
      <sz val="10"/>
      <color theme="0"/>
      <name val="Arial"/>
      <family val="2"/>
    </font>
    <font>
      <sz val="10"/>
      <color rgb="FFFF0000"/>
      <name val="Arial"/>
      <family val="2"/>
    </font>
    <font>
      <b/>
      <sz val="10"/>
      <color rgb="FF003366"/>
      <name val="Arial"/>
      <family val="2"/>
    </font>
    <font>
      <b/>
      <sz val="10"/>
      <color theme="0"/>
      <name val="Calibri"/>
      <family val="2"/>
      <scheme val="minor"/>
    </font>
    <font>
      <sz val="10"/>
      <color rgb="FF000000"/>
      <name val="Calibri"/>
      <family val="2"/>
    </font>
    <font>
      <sz val="9"/>
      <color rgb="FF002060"/>
      <name val="Calibri Light"/>
      <family val="2"/>
      <scheme val="major"/>
    </font>
    <font>
      <b/>
      <sz val="10"/>
      <color rgb="FFFFFFFF"/>
      <name val="Calibri"/>
      <family val="2"/>
    </font>
    <font>
      <sz val="10"/>
      <color rgb="FFFF0000"/>
      <name val="Calibri"/>
      <family val="2"/>
    </font>
    <font>
      <b/>
      <sz val="10"/>
      <color rgb="FF1F497D"/>
      <name val="Calibri"/>
      <family val="2"/>
    </font>
    <font>
      <b/>
      <sz val="10"/>
      <name val="Calibri"/>
      <family val="2"/>
    </font>
    <font>
      <b/>
      <sz val="10"/>
      <color theme="0"/>
      <name val="Calibri"/>
      <family val="2"/>
    </font>
    <font>
      <sz val="10"/>
      <color rgb="FF00B050"/>
      <name val="Calibri"/>
      <family val="2"/>
    </font>
    <font>
      <sz val="10"/>
      <name val="Calibri"/>
      <family val="2"/>
      <scheme val="minor"/>
    </font>
    <font>
      <b/>
      <strike/>
      <sz val="10"/>
      <name val="Calibri"/>
      <family val="2"/>
    </font>
    <font>
      <sz val="10"/>
      <color theme="0"/>
      <name val="Calibri"/>
      <family val="2"/>
    </font>
    <font>
      <sz val="10"/>
      <color theme="1"/>
      <name val="Calibri"/>
      <family val="2"/>
      <scheme val="minor"/>
    </font>
    <font>
      <sz val="9"/>
      <color theme="1"/>
      <name val="Calibri Light"/>
      <family val="2"/>
      <scheme val="major"/>
    </font>
    <font>
      <b/>
      <sz val="10"/>
      <color rgb="FF003366"/>
      <name val="Calibri"/>
      <family val="2"/>
      <scheme val="minor"/>
    </font>
    <font>
      <b/>
      <sz val="10"/>
      <name val="Calibri"/>
      <family val="2"/>
      <scheme val="minor"/>
    </font>
    <font>
      <strike/>
      <sz val="10"/>
      <color theme="1"/>
      <name val="Calibri"/>
      <family val="2"/>
      <scheme val="minor"/>
    </font>
    <font>
      <b/>
      <strike/>
      <sz val="10"/>
      <color rgb="FF003366"/>
      <name val="Calibri"/>
      <family val="2"/>
      <scheme val="minor"/>
    </font>
    <font>
      <strike/>
      <sz val="10"/>
      <name val="Calibri"/>
      <family val="2"/>
      <scheme val="minor"/>
    </font>
    <font>
      <sz val="10"/>
      <color rgb="FF00B050"/>
      <name val="Calibri"/>
      <family val="2"/>
      <scheme val="minor"/>
    </font>
    <font>
      <b/>
      <sz val="10"/>
      <color rgb="FF00B050"/>
      <name val="Calibri"/>
      <family val="2"/>
      <scheme val="minor"/>
    </font>
    <font>
      <b/>
      <sz val="10"/>
      <color rgb="FF002060"/>
      <name val="Calibri"/>
      <family val="2"/>
      <scheme val="minor"/>
    </font>
    <font>
      <sz val="10"/>
      <color rgb="FF0070C0"/>
      <name val="Calibri"/>
      <family val="2"/>
      <scheme val="minor"/>
    </font>
    <font>
      <b/>
      <strike/>
      <sz val="10"/>
      <color rgb="FFFF0000"/>
      <name val="Calibri"/>
      <family val="2"/>
      <scheme val="minor"/>
    </font>
    <font>
      <b/>
      <sz val="10"/>
      <color rgb="FF000000"/>
      <name val="Calibri"/>
      <family val="2"/>
      <scheme val="minor"/>
    </font>
    <font>
      <b/>
      <sz val="10"/>
      <name val="Arial"/>
      <family val="2"/>
    </font>
    <font>
      <b/>
      <sz val="10"/>
      <color indexed="56"/>
      <name val="Arial"/>
      <family val="2"/>
    </font>
    <font>
      <b/>
      <sz val="10"/>
      <color rgb="FF00B050"/>
      <name val="Arial"/>
      <family val="2"/>
    </font>
    <font>
      <strike/>
      <sz val="10"/>
      <color rgb="FFFF0000"/>
      <name val="Arial"/>
      <family val="2"/>
    </font>
    <font>
      <sz val="10"/>
      <color rgb="FF00B050"/>
      <name val="Arial"/>
      <family val="2"/>
    </font>
    <font>
      <strike/>
      <sz val="10"/>
      <name val="Arial"/>
      <family val="2"/>
    </font>
    <font>
      <strike/>
      <sz val="10"/>
      <color theme="1"/>
      <name val="Arial"/>
      <family val="2"/>
    </font>
    <font>
      <b/>
      <strike/>
      <sz val="10"/>
      <color rgb="FF003366"/>
      <name val="Arial"/>
      <family val="2"/>
    </font>
    <font>
      <sz val="10"/>
      <color theme="9" tint="-0.249977111117893"/>
      <name val="Arial"/>
      <family val="2"/>
    </font>
    <font>
      <b/>
      <strike/>
      <sz val="10"/>
      <color rgb="FFFF0000"/>
      <name val="Arial"/>
      <family val="2"/>
    </font>
    <font>
      <sz val="10"/>
      <color rgb="FF000000"/>
      <name val="Arial"/>
      <family val="2"/>
    </font>
    <font>
      <sz val="10"/>
      <color rgb="FF003366"/>
      <name val="Arial"/>
      <family val="2"/>
    </font>
    <font>
      <strike/>
      <sz val="10"/>
      <name val="Calibri Light"/>
      <family val="2"/>
    </font>
    <font>
      <b/>
      <sz val="9"/>
      <color rgb="FF00B050"/>
      <name val="Calibri"/>
      <family val="2"/>
    </font>
  </fonts>
  <fills count="73">
    <fill>
      <patternFill patternType="none"/>
    </fill>
    <fill>
      <patternFill patternType="gray125"/>
    </fill>
    <fill>
      <patternFill patternType="solid">
        <fgColor rgb="FF6F89C3"/>
        <bgColor indexed="64"/>
      </patternFill>
    </fill>
    <fill>
      <patternFill patternType="solid">
        <fgColor rgb="FF1F245F"/>
        <bgColor indexed="64"/>
      </patternFill>
    </fill>
    <fill>
      <patternFill patternType="solid">
        <fgColor theme="4" tint="0.79998168889431442"/>
        <bgColor indexed="64"/>
      </patternFill>
    </fill>
    <fill>
      <patternFill patternType="solid">
        <fgColor theme="2" tint="-0.249977111117893"/>
        <bgColor indexed="64"/>
      </patternFill>
    </fill>
    <fill>
      <patternFill patternType="solid">
        <fgColor rgb="FFFFFFFF"/>
        <bgColor indexed="64"/>
      </patternFill>
    </fill>
    <fill>
      <patternFill patternType="solid">
        <fgColor rgb="FF002060"/>
        <bgColor indexed="64"/>
      </patternFill>
    </fill>
    <fill>
      <patternFill patternType="solid">
        <fgColor rgb="FFF2F2F2"/>
        <bgColor indexed="64"/>
      </patternFill>
    </fill>
    <fill>
      <patternFill patternType="solid">
        <fgColor theme="0"/>
        <bgColor indexed="64"/>
      </patternFill>
    </fill>
    <fill>
      <patternFill patternType="solid">
        <fgColor indexed="9"/>
        <bgColor indexed="64"/>
      </patternFill>
    </fill>
    <fill>
      <patternFill patternType="solid">
        <fgColor rgb="FFD9D9D9"/>
        <bgColor indexed="64"/>
      </patternFill>
    </fill>
    <fill>
      <patternFill patternType="solid">
        <fgColor rgb="FFFFFF00"/>
        <bgColor indexed="64"/>
      </patternFill>
    </fill>
    <fill>
      <patternFill patternType="solid">
        <fgColor theme="0" tint="-0.14999847407452621"/>
        <bgColor indexed="64"/>
      </patternFill>
    </fill>
    <fill>
      <patternFill patternType="solid">
        <fgColor theme="4" tint="0.59999389629810485"/>
        <bgColor indexed="64"/>
      </patternFill>
    </fill>
    <fill>
      <patternFill patternType="solid">
        <fgColor rgb="FFFFC000"/>
        <bgColor indexed="64"/>
      </patternFill>
    </fill>
    <fill>
      <patternFill patternType="solid">
        <fgColor theme="2" tint="-9.9978637043366805E-2"/>
        <bgColor indexed="64"/>
      </patternFill>
    </fill>
    <fill>
      <patternFill patternType="solid">
        <fgColor theme="8" tint="0.39997558519241921"/>
        <bgColor indexed="64"/>
      </patternFill>
    </fill>
    <fill>
      <patternFill patternType="solid">
        <fgColor theme="0" tint="-0.249977111117893"/>
        <bgColor indexed="64"/>
      </patternFill>
    </fill>
    <fill>
      <patternFill patternType="solid">
        <fgColor rgb="FFFFCCFF"/>
        <bgColor indexed="64"/>
      </patternFill>
    </fill>
    <fill>
      <patternFill patternType="solid">
        <fgColor theme="9" tint="-0.249977111117893"/>
        <bgColor indexed="64"/>
      </patternFill>
    </fill>
    <fill>
      <patternFill patternType="solid">
        <fgColor rgb="FF92D050"/>
        <bgColor indexed="64"/>
      </patternFill>
    </fill>
    <fill>
      <patternFill patternType="solid">
        <fgColor theme="9" tint="0.79998168889431442"/>
        <bgColor indexed="64"/>
      </patternFill>
    </fill>
    <fill>
      <patternFill patternType="solid">
        <fgColor theme="9" tint="0.59999389629810485"/>
        <bgColor indexed="64"/>
      </patternFill>
    </fill>
    <fill>
      <patternFill patternType="solid">
        <fgColor theme="3" tint="0.59999389629810485"/>
        <bgColor indexed="64"/>
      </patternFill>
    </fill>
    <fill>
      <patternFill patternType="solid">
        <fgColor rgb="FF6F87C3"/>
        <bgColor indexed="64"/>
      </patternFill>
    </fill>
    <fill>
      <patternFill patternType="solid">
        <fgColor rgb="FFFF7C80"/>
        <bgColor indexed="64"/>
      </patternFill>
    </fill>
    <fill>
      <patternFill patternType="solid">
        <fgColor rgb="FFE26B0A"/>
        <bgColor rgb="FF000000"/>
      </patternFill>
    </fill>
    <fill>
      <patternFill patternType="solid">
        <fgColor rgb="FFB1A0C7"/>
        <bgColor indexed="64"/>
      </patternFill>
    </fill>
    <fill>
      <patternFill patternType="solid">
        <fgColor theme="3" tint="-0.249977111117893"/>
        <bgColor indexed="64"/>
      </patternFill>
    </fill>
    <fill>
      <patternFill patternType="solid">
        <fgColor rgb="FFFAA8EA"/>
        <bgColor indexed="64"/>
      </patternFill>
    </fill>
    <fill>
      <patternFill patternType="solid">
        <fgColor theme="7" tint="0.39997558519241921"/>
        <bgColor indexed="64"/>
      </patternFill>
    </fill>
    <fill>
      <patternFill patternType="solid">
        <fgColor rgb="FF008080"/>
        <bgColor indexed="64"/>
      </patternFill>
    </fill>
    <fill>
      <patternFill patternType="solid">
        <fgColor theme="6"/>
        <bgColor indexed="64"/>
      </patternFill>
    </fill>
    <fill>
      <patternFill patternType="solid">
        <fgColor theme="3" tint="0.39997558519241921"/>
        <bgColor indexed="64"/>
      </patternFill>
    </fill>
    <fill>
      <patternFill patternType="solid">
        <fgColor rgb="FF00B4AA"/>
        <bgColor indexed="64"/>
      </patternFill>
    </fill>
    <fill>
      <patternFill patternType="solid">
        <fgColor rgb="FF7030A0"/>
        <bgColor indexed="64"/>
      </patternFill>
    </fill>
    <fill>
      <patternFill patternType="solid">
        <fgColor theme="9"/>
        <bgColor indexed="64"/>
      </patternFill>
    </fill>
    <fill>
      <patternFill patternType="solid">
        <fgColor rgb="FFD9D9D9"/>
        <bgColor rgb="FF000000"/>
      </patternFill>
    </fill>
    <fill>
      <patternFill patternType="solid">
        <fgColor theme="2" tint="-9.9978637043366805E-2"/>
        <bgColor rgb="FF000000"/>
      </patternFill>
    </fill>
    <fill>
      <patternFill patternType="solid">
        <fgColor rgb="FF00FFFF"/>
        <bgColor indexed="64"/>
      </patternFill>
    </fill>
    <fill>
      <patternFill patternType="solid">
        <fgColor rgb="FF33CCCC"/>
        <bgColor indexed="64"/>
      </patternFill>
    </fill>
    <fill>
      <patternFill patternType="solid">
        <fgColor rgb="FF002060"/>
        <bgColor rgb="FF000000"/>
      </patternFill>
    </fill>
    <fill>
      <patternFill patternType="solid">
        <fgColor theme="4" tint="-0.249977111117893"/>
        <bgColor rgb="FF000000"/>
      </patternFill>
    </fill>
    <fill>
      <patternFill patternType="solid">
        <fgColor rgb="FF92D050"/>
        <bgColor rgb="FF000000"/>
      </patternFill>
    </fill>
    <fill>
      <patternFill patternType="solid">
        <fgColor rgb="FF7030A0"/>
        <bgColor rgb="FF000000"/>
      </patternFill>
    </fill>
    <fill>
      <patternFill patternType="solid">
        <fgColor rgb="FF8DB4E2"/>
        <bgColor rgb="FF000000"/>
      </patternFill>
    </fill>
    <fill>
      <patternFill patternType="solid">
        <fgColor rgb="FFBFBFBF"/>
        <bgColor rgb="FF000000"/>
      </patternFill>
    </fill>
    <fill>
      <patternFill patternType="solid">
        <fgColor rgb="FFF2F2F2"/>
        <bgColor rgb="FF000000"/>
      </patternFill>
    </fill>
    <fill>
      <patternFill patternType="solid">
        <fgColor theme="9" tint="0.59999389629810485"/>
        <bgColor rgb="FF000000"/>
      </patternFill>
    </fill>
    <fill>
      <patternFill patternType="solid">
        <fgColor theme="0" tint="-0.14999847407452621"/>
        <bgColor rgb="FF000000"/>
      </patternFill>
    </fill>
    <fill>
      <patternFill patternType="solid">
        <fgColor rgb="FFB1A0C7"/>
        <bgColor rgb="FF000000"/>
      </patternFill>
    </fill>
    <fill>
      <patternFill patternType="solid">
        <fgColor indexed="65"/>
        <bgColor indexed="64"/>
      </patternFill>
    </fill>
    <fill>
      <patternFill patternType="solid">
        <fgColor theme="7" tint="0.59999389629810485"/>
        <bgColor rgb="FF000000"/>
      </patternFill>
    </fill>
    <fill>
      <patternFill patternType="gray0625">
        <fgColor rgb="FF000000"/>
        <bgColor theme="5" tint="0.39994506668294322"/>
      </patternFill>
    </fill>
    <fill>
      <patternFill patternType="solid">
        <fgColor theme="5" tint="0.39997558519241921"/>
        <bgColor rgb="FF000000"/>
      </patternFill>
    </fill>
    <fill>
      <patternFill patternType="solid">
        <fgColor rgb="FFFF99FF"/>
        <bgColor indexed="64"/>
      </patternFill>
    </fill>
    <fill>
      <patternFill patternType="solid">
        <fgColor rgb="FF00B050"/>
        <bgColor rgb="FF000000"/>
      </patternFill>
    </fill>
    <fill>
      <patternFill patternType="solid">
        <fgColor rgb="FF00B050"/>
        <bgColor indexed="64"/>
      </patternFill>
    </fill>
    <fill>
      <patternFill patternType="solid">
        <fgColor theme="5" tint="0.39991454817346722"/>
        <bgColor rgb="FF000000"/>
      </patternFill>
    </fill>
    <fill>
      <patternFill patternType="solid">
        <fgColor rgb="FFB7DEE8"/>
        <bgColor indexed="64"/>
      </patternFill>
    </fill>
    <fill>
      <patternFill patternType="solid">
        <fgColor rgb="FFFFFF00"/>
        <bgColor rgb="FF000000"/>
      </patternFill>
    </fill>
    <fill>
      <patternFill patternType="solid">
        <fgColor rgb="FF8DB4E2"/>
        <bgColor indexed="64"/>
      </patternFill>
    </fill>
    <fill>
      <patternFill patternType="solid">
        <fgColor rgb="FFE26B0A"/>
        <bgColor indexed="64"/>
      </patternFill>
    </fill>
    <fill>
      <patternFill patternType="gray0625">
        <fgColor rgb="FF000000"/>
        <bgColor rgb="FFF77979"/>
      </patternFill>
    </fill>
    <fill>
      <patternFill patternType="solid">
        <fgColor rgb="FF0097A9"/>
        <bgColor indexed="64"/>
      </patternFill>
    </fill>
    <fill>
      <patternFill patternType="solid">
        <fgColor rgb="FFF331EE"/>
        <bgColor indexed="64"/>
      </patternFill>
    </fill>
    <fill>
      <patternFill patternType="solid">
        <fgColor rgb="FF75FBD8"/>
        <bgColor indexed="64"/>
      </patternFill>
    </fill>
    <fill>
      <patternFill patternType="solid">
        <fgColor theme="5" tint="-0.249977111117893"/>
        <bgColor indexed="64"/>
      </patternFill>
    </fill>
    <fill>
      <patternFill patternType="solid">
        <fgColor rgb="FF92D060"/>
        <bgColor indexed="64"/>
      </patternFill>
    </fill>
    <fill>
      <patternFill patternType="solid">
        <fgColor rgb="FFFAA8EA"/>
        <bgColor rgb="FF000000"/>
      </patternFill>
    </fill>
    <fill>
      <patternFill patternType="solid">
        <fgColor theme="5"/>
        <bgColor indexed="64"/>
      </patternFill>
    </fill>
    <fill>
      <patternFill patternType="solid">
        <fgColor theme="7"/>
        <bgColor indexed="64"/>
      </patternFill>
    </fill>
  </fills>
  <borders count="71">
    <border>
      <left/>
      <right/>
      <top/>
      <bottom/>
      <diagonal/>
    </border>
    <border>
      <left/>
      <right/>
      <top/>
      <bottom style="medium">
        <color rgb="FF000000"/>
      </bottom>
      <diagonal/>
    </border>
    <border>
      <left/>
      <right/>
      <top style="medium">
        <color rgb="FF000000"/>
      </top>
      <bottom style="medium">
        <color rgb="FF000000"/>
      </bottom>
      <diagonal/>
    </border>
    <border>
      <left/>
      <right/>
      <top style="medium">
        <color rgb="FF000000"/>
      </top>
      <bottom/>
      <diagonal/>
    </border>
    <border>
      <left/>
      <right/>
      <top/>
      <bottom style="medium">
        <color rgb="FFC9C0BA"/>
      </bottom>
      <diagonal/>
    </border>
    <border>
      <left/>
      <right/>
      <top/>
      <bottom style="thin">
        <color indexed="64"/>
      </bottom>
      <diagonal/>
    </border>
    <border>
      <left/>
      <right/>
      <top style="thin">
        <color indexed="64"/>
      </top>
      <bottom style="thin">
        <color indexed="64"/>
      </bottom>
      <diagonal/>
    </border>
    <border>
      <left/>
      <right/>
      <top style="thin">
        <color indexed="64"/>
      </top>
      <bottom/>
      <diagonal/>
    </border>
    <border>
      <left/>
      <right/>
      <top/>
      <bottom style="medium">
        <color indexed="64"/>
      </bottom>
      <diagonal/>
    </border>
    <border>
      <left/>
      <right style="medium">
        <color indexed="64"/>
      </right>
      <top/>
      <bottom/>
      <diagonal/>
    </border>
    <border>
      <left style="thin">
        <color auto="1"/>
      </left>
      <right style="thin">
        <color auto="1"/>
      </right>
      <top style="thin">
        <color auto="1"/>
      </top>
      <bottom style="thin">
        <color auto="1"/>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right/>
      <top style="thin">
        <color auto="1"/>
      </top>
      <bottom style="medium">
        <color theme="4"/>
      </bottom>
      <diagonal/>
    </border>
    <border>
      <left style="thin">
        <color auto="1"/>
      </left>
      <right/>
      <top style="thin">
        <color auto="1"/>
      </top>
      <bottom style="thin">
        <color auto="1"/>
      </bottom>
      <diagonal/>
    </border>
    <border>
      <left/>
      <right/>
      <top style="medium">
        <color indexed="64"/>
      </top>
      <bottom style="medium">
        <color indexed="64"/>
      </bottom>
      <diagonal/>
    </border>
    <border>
      <left/>
      <right/>
      <top/>
      <bottom style="thin">
        <color rgb="FF000000"/>
      </bottom>
      <diagonal/>
    </border>
    <border>
      <left/>
      <right/>
      <top style="thin">
        <color rgb="FF000000"/>
      </top>
      <bottom/>
      <diagonal/>
    </border>
    <border>
      <left/>
      <right/>
      <top/>
      <bottom style="medium">
        <color rgb="FF002364"/>
      </bottom>
      <diagonal/>
    </border>
    <border>
      <left/>
      <right/>
      <top/>
      <bottom style="thin">
        <color rgb="FF002060"/>
      </bottom>
      <diagonal/>
    </border>
    <border>
      <left style="thin">
        <color indexed="64"/>
      </left>
      <right style="thin">
        <color indexed="64"/>
      </right>
      <top/>
      <bottom/>
      <diagonal/>
    </border>
    <border>
      <left/>
      <right/>
      <top style="medium">
        <color auto="1"/>
      </top>
      <bottom/>
      <diagonal/>
    </border>
    <border>
      <left/>
      <right/>
      <top style="thin">
        <color theme="0"/>
      </top>
      <bottom/>
      <diagonal/>
    </border>
    <border>
      <left style="medium">
        <color indexed="64"/>
      </left>
      <right style="medium">
        <color indexed="64"/>
      </right>
      <top/>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top/>
      <bottom/>
      <diagonal/>
    </border>
    <border>
      <left style="medium">
        <color indexed="64"/>
      </left>
      <right/>
      <top/>
      <bottom style="medium">
        <color indexed="64"/>
      </bottom>
      <diagonal/>
    </border>
    <border>
      <left/>
      <right style="medium">
        <color indexed="64"/>
      </right>
      <top/>
      <bottom style="medium">
        <color indexed="64"/>
      </bottom>
      <diagonal/>
    </border>
    <border>
      <left/>
      <right/>
      <top style="medium">
        <color rgb="FF000000"/>
      </top>
      <bottom style="medium">
        <color indexed="64"/>
      </bottom>
      <diagonal/>
    </border>
    <border>
      <left/>
      <right style="thin">
        <color theme="0"/>
      </right>
      <top/>
      <bottom/>
      <diagonal/>
    </border>
    <border>
      <left/>
      <right/>
      <top style="thin">
        <color theme="0"/>
      </top>
      <bottom style="thin">
        <color theme="0"/>
      </bottom>
      <diagonal/>
    </border>
    <border>
      <left/>
      <right/>
      <top/>
      <bottom style="thick">
        <color theme="0"/>
      </bottom>
      <diagonal/>
    </border>
    <border>
      <left/>
      <right/>
      <top style="medium">
        <color rgb="FF002364"/>
      </top>
      <bottom style="medium">
        <color rgb="FF002364"/>
      </bottom>
      <diagonal/>
    </border>
    <border>
      <left/>
      <right/>
      <top/>
      <bottom style="thin">
        <color theme="0" tint="-0.14996795556505021"/>
      </bottom>
      <diagonal/>
    </border>
    <border>
      <left/>
      <right/>
      <top style="thin">
        <color theme="0" tint="-0.14996795556505021"/>
      </top>
      <bottom style="thin">
        <color theme="0" tint="-0.14996795556505021"/>
      </bottom>
      <diagonal/>
    </border>
    <border>
      <left/>
      <right/>
      <top style="thin">
        <color theme="0" tint="-0.14993743705557422"/>
      </top>
      <bottom style="thin">
        <color theme="0" tint="-0.14996795556505021"/>
      </bottom>
      <diagonal/>
    </border>
    <border>
      <left/>
      <right/>
      <top style="thin">
        <color theme="0" tint="-0.14996795556505021"/>
      </top>
      <bottom/>
      <diagonal/>
    </border>
    <border>
      <left/>
      <right/>
      <top style="thin">
        <color theme="0" tint="-0.14996795556505021"/>
      </top>
      <bottom style="thin">
        <color auto="1"/>
      </bottom>
      <diagonal/>
    </border>
    <border>
      <left/>
      <right/>
      <top style="medium">
        <color rgb="FF002364"/>
      </top>
      <bottom/>
      <diagonal/>
    </border>
    <border>
      <left/>
      <right/>
      <top style="medium">
        <color auto="1"/>
      </top>
      <bottom style="thin">
        <color rgb="FF000000"/>
      </bottom>
      <diagonal/>
    </border>
    <border>
      <left style="medium">
        <color theme="4"/>
      </left>
      <right style="medium">
        <color theme="4"/>
      </right>
      <top/>
      <bottom/>
      <diagonal/>
    </border>
    <border>
      <left style="thick">
        <color theme="0"/>
      </left>
      <right style="thick">
        <color theme="0"/>
      </right>
      <top style="thick">
        <color theme="0"/>
      </top>
      <bottom/>
      <diagonal/>
    </border>
    <border>
      <left style="thin">
        <color indexed="64"/>
      </left>
      <right style="thin">
        <color indexed="64"/>
      </right>
      <top style="thick">
        <color rgb="FF0070C0"/>
      </top>
      <bottom style="thick">
        <color rgb="FF0070C0"/>
      </bottom>
      <diagonal/>
    </border>
    <border>
      <left style="medium">
        <color rgb="FFFFFFFF"/>
      </left>
      <right style="medium">
        <color rgb="FFFFFFFF"/>
      </right>
      <top style="medium">
        <color rgb="FFFFFFFF"/>
      </top>
      <bottom style="medium">
        <color rgb="FFFFFFFF"/>
      </bottom>
      <diagonal/>
    </border>
    <border>
      <left style="thin">
        <color indexed="64"/>
      </left>
      <right style="thin">
        <color indexed="64"/>
      </right>
      <top style="medium">
        <color rgb="FFFFFFFF"/>
      </top>
      <bottom/>
      <diagonal/>
    </border>
    <border>
      <left style="thin">
        <color indexed="64"/>
      </left>
      <right style="thin">
        <color rgb="FF4F81BD"/>
      </right>
      <top/>
      <bottom style="thin">
        <color rgb="FF4F81BD"/>
      </bottom>
      <diagonal/>
    </border>
    <border>
      <left style="thin">
        <color indexed="64"/>
      </left>
      <right/>
      <top/>
      <bottom style="thin">
        <color rgb="FF4F81BD"/>
      </bottom>
      <diagonal/>
    </border>
    <border>
      <left style="thin">
        <color theme="8"/>
      </left>
      <right style="thin">
        <color theme="8"/>
      </right>
      <top/>
      <bottom/>
      <diagonal/>
    </border>
    <border>
      <left style="thin">
        <color auto="1"/>
      </left>
      <right style="thin">
        <color rgb="FF4F81BD"/>
      </right>
      <top style="thin">
        <color rgb="FF4F81BD"/>
      </top>
      <bottom style="thin">
        <color rgb="FF4F81BD"/>
      </bottom>
      <diagonal/>
    </border>
    <border>
      <left style="thin">
        <color auto="1"/>
      </left>
      <right/>
      <top style="thin">
        <color rgb="FF4F81BD"/>
      </top>
      <bottom style="thin">
        <color rgb="FF4F81BD"/>
      </bottom>
      <diagonal/>
    </border>
    <border>
      <left style="thin">
        <color indexed="64"/>
      </left>
      <right style="thin">
        <color indexed="64"/>
      </right>
      <top style="thin">
        <color rgb="FF4F81BD"/>
      </top>
      <bottom style="thin">
        <color rgb="FF4F81BD"/>
      </bottom>
      <diagonal/>
    </border>
    <border>
      <left style="thin">
        <color indexed="64"/>
      </left>
      <right style="thin">
        <color rgb="FF4F81BD"/>
      </right>
      <top/>
      <bottom/>
      <diagonal/>
    </border>
    <border>
      <left style="thin">
        <color indexed="64"/>
      </left>
      <right style="thin">
        <color indexed="64"/>
      </right>
      <top style="thin">
        <color rgb="FFD9D9D9"/>
      </top>
      <bottom style="thin">
        <color rgb="FFD9D9D9"/>
      </bottom>
      <diagonal/>
    </border>
    <border>
      <left style="thin">
        <color auto="1"/>
      </left>
      <right style="thin">
        <color rgb="FF003366"/>
      </right>
      <top style="thin">
        <color rgb="FF4F81BD"/>
      </top>
      <bottom style="thin">
        <color rgb="FF4F81BD"/>
      </bottom>
      <diagonal/>
    </border>
    <border>
      <left style="thin">
        <color theme="0" tint="-0.14996795556505021"/>
      </left>
      <right style="thin">
        <color theme="0" tint="-0.14996795556505021"/>
      </right>
      <top style="thin">
        <color theme="0" tint="-0.14996795556505021"/>
      </top>
      <bottom style="thin">
        <color theme="0" tint="-0.14996795556505021"/>
      </bottom>
      <diagonal/>
    </border>
    <border>
      <left style="thin">
        <color theme="0" tint="-0.14993743705557422"/>
      </left>
      <right/>
      <top style="thin">
        <color theme="0" tint="-0.14993743705557422"/>
      </top>
      <bottom style="thin">
        <color theme="0" tint="-0.14993743705557422"/>
      </bottom>
      <diagonal/>
    </border>
    <border>
      <left style="thin">
        <color indexed="64"/>
      </left>
      <right style="thin">
        <color rgb="FF4F81BD"/>
      </right>
      <top style="thin">
        <color indexed="64"/>
      </top>
      <bottom style="thin">
        <color indexed="64"/>
      </bottom>
      <diagonal/>
    </border>
    <border>
      <left style="thin">
        <color indexed="64"/>
      </left>
      <right style="thin">
        <color indexed="64"/>
      </right>
      <top style="thin">
        <color rgb="FF4F81BD"/>
      </top>
      <bottom/>
      <diagonal/>
    </border>
    <border>
      <left style="thin">
        <color indexed="64"/>
      </left>
      <right style="thin">
        <color indexed="64"/>
      </right>
      <top style="thin">
        <color theme="4"/>
      </top>
      <bottom style="thin">
        <color theme="4"/>
      </bottom>
      <diagonal/>
    </border>
    <border>
      <left style="thin">
        <color indexed="64"/>
      </left>
      <right style="thin">
        <color indexed="64"/>
      </right>
      <top style="thin">
        <color rgb="FF4F81BD"/>
      </top>
      <bottom style="thin">
        <color indexed="64"/>
      </bottom>
      <diagonal/>
    </border>
    <border>
      <left style="thin">
        <color indexed="64"/>
      </left>
      <right style="thin">
        <color rgb="FF4F81BD"/>
      </right>
      <top/>
      <bottom style="thin">
        <color indexed="64"/>
      </bottom>
      <diagonal/>
    </border>
    <border>
      <left style="thin">
        <color theme="0" tint="-0.14993743705557422"/>
      </left>
      <right/>
      <top style="thin">
        <color theme="0" tint="-0.14993743705557422"/>
      </top>
      <bottom style="thin">
        <color indexed="64"/>
      </bottom>
      <diagonal/>
    </border>
    <border>
      <left style="thin">
        <color theme="0" tint="-0.14996795556505021"/>
      </left>
      <right style="thin">
        <color theme="0" tint="-0.14996795556505021"/>
      </right>
      <top style="thin">
        <color theme="0" tint="-0.14996795556505021"/>
      </top>
      <bottom style="thin">
        <color indexed="64"/>
      </bottom>
      <diagonal/>
    </border>
    <border>
      <left style="medium">
        <color theme="0"/>
      </left>
      <right style="medium">
        <color theme="0"/>
      </right>
      <top style="medium">
        <color theme="0"/>
      </top>
      <bottom style="medium">
        <color theme="0"/>
      </bottom>
      <diagonal/>
    </border>
    <border>
      <left style="thin">
        <color theme="0" tint="-0.14993743705557422"/>
      </left>
      <right style="thin">
        <color theme="0" tint="-0.14993743705557422"/>
      </right>
      <top style="thin">
        <color theme="0" tint="-0.14993743705557422"/>
      </top>
      <bottom style="thin">
        <color theme="0" tint="-0.14993743705557422"/>
      </bottom>
      <diagonal/>
    </border>
    <border>
      <left style="medium">
        <color theme="4"/>
      </left>
      <right style="thin">
        <color theme="4"/>
      </right>
      <top style="thin">
        <color theme="4"/>
      </top>
      <bottom style="thin">
        <color theme="4"/>
      </bottom>
      <diagonal/>
    </border>
  </borders>
  <cellStyleXfs count="85">
    <xf numFmtId="0" fontId="0" fillId="0" borderId="0"/>
    <xf numFmtId="43" fontId="1" fillId="0" borderId="0" applyFont="0" applyFill="0" applyBorder="0" applyAlignment="0" applyProtection="0"/>
    <xf numFmtId="9" fontId="1" fillId="0" borderId="0" applyFont="0" applyFill="0" applyBorder="0" applyAlignment="0" applyProtection="0"/>
    <xf numFmtId="0" fontId="2" fillId="0" borderId="0"/>
    <xf numFmtId="164" fontId="3" fillId="0" borderId="0" applyFont="0" applyFill="0" applyBorder="0" applyAlignment="0" applyProtection="0"/>
    <xf numFmtId="0" fontId="4" fillId="0" borderId="0" applyNumberFormat="0" applyFill="0" applyBorder="0" applyAlignment="0" applyProtection="0"/>
    <xf numFmtId="0" fontId="2" fillId="0" borderId="0"/>
    <xf numFmtId="164" fontId="1" fillId="0" borderId="0" applyFont="0" applyFill="0" applyBorder="0" applyAlignment="0" applyProtection="0"/>
    <xf numFmtId="0" fontId="5" fillId="0" borderId="0"/>
    <xf numFmtId="0" fontId="3" fillId="0" borderId="0"/>
    <xf numFmtId="0" fontId="12" fillId="0" borderId="0" applyNumberFormat="0" applyFill="0" applyBorder="0" applyAlignment="0" applyProtection="0">
      <alignment vertical="top"/>
      <protection locked="0"/>
    </xf>
    <xf numFmtId="9" fontId="3" fillId="0" borderId="0" applyFont="0" applyFill="0" applyBorder="0" applyAlignment="0" applyProtection="0"/>
    <xf numFmtId="0" fontId="3" fillId="0" borderId="0"/>
    <xf numFmtId="0" fontId="3" fillId="0" borderId="0"/>
    <xf numFmtId="0" fontId="3" fillId="0" borderId="0"/>
    <xf numFmtId="43" fontId="1" fillId="0" borderId="0" applyFont="0" applyFill="0" applyBorder="0" applyAlignment="0" applyProtection="0"/>
    <xf numFmtId="43" fontId="1" fillId="0" borderId="0" applyFont="0" applyFill="0" applyBorder="0" applyAlignment="0" applyProtection="0"/>
    <xf numFmtId="0" fontId="4" fillId="0" borderId="0" applyNumberFormat="0" applyFill="0" applyBorder="0" applyAlignment="0" applyProtection="0"/>
    <xf numFmtId="43" fontId="1" fillId="0" borderId="0" applyFont="0" applyFill="0" applyBorder="0" applyAlignment="0" applyProtection="0"/>
    <xf numFmtId="0" fontId="3" fillId="0" borderId="0"/>
    <xf numFmtId="43" fontId="1" fillId="0" borderId="0" applyFont="0" applyFill="0" applyBorder="0" applyAlignment="0" applyProtection="0"/>
    <xf numFmtId="0" fontId="1" fillId="0" borderId="0"/>
    <xf numFmtId="0" fontId="47" fillId="0" borderId="0">
      <alignment horizontal="center" vertical="center" wrapText="1"/>
    </xf>
    <xf numFmtId="171" fontId="2" fillId="0" borderId="0" applyFont="0" applyFill="0" applyBorder="0" applyAlignment="0" applyProtection="0"/>
    <xf numFmtId="43" fontId="1" fillId="0" borderId="0" applyFont="0" applyFill="0" applyBorder="0" applyAlignment="0" applyProtection="0"/>
    <xf numFmtId="0" fontId="5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5" fillId="0" borderId="0"/>
    <xf numFmtId="9" fontId="5" fillId="0" borderId="0" applyFont="0" applyFill="0" applyBorder="0" applyAlignment="0" applyProtection="0"/>
    <xf numFmtId="43" fontId="1" fillId="0" borderId="0" applyFont="0" applyFill="0" applyBorder="0" applyAlignment="0" applyProtection="0"/>
    <xf numFmtId="0" fontId="1" fillId="0" borderId="0"/>
    <xf numFmtId="0" fontId="4" fillId="0" borderId="0" applyNumberForma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3"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cellStyleXfs>
  <cellXfs count="1163">
    <xf numFmtId="0" fontId="0" fillId="0" borderId="0" xfId="0"/>
    <xf numFmtId="0" fontId="6" fillId="0" borderId="0" xfId="0" applyFont="1" applyAlignment="1">
      <alignment horizontal="justify" vertical="center"/>
    </xf>
    <xf numFmtId="0" fontId="9" fillId="0" borderId="0" xfId="0" applyFont="1"/>
    <xf numFmtId="3" fontId="13" fillId="10" borderId="0" xfId="3" applyNumberFormat="1" applyFont="1" applyFill="1"/>
    <xf numFmtId="3" fontId="15" fillId="10" borderId="0" xfId="3" applyNumberFormat="1" applyFont="1" applyFill="1"/>
    <xf numFmtId="3" fontId="13" fillId="10" borderId="0" xfId="3" applyNumberFormat="1" applyFont="1" applyFill="1" applyAlignment="1">
      <alignment horizontal="right"/>
    </xf>
    <xf numFmtId="0" fontId="11" fillId="0" borderId="0" xfId="0" applyFont="1"/>
    <xf numFmtId="0" fontId="11" fillId="0" borderId="0" xfId="0" applyFont="1" applyFill="1"/>
    <xf numFmtId="0" fontId="20" fillId="2" borderId="0" xfId="0" applyFont="1" applyFill="1" applyBorder="1" applyAlignment="1">
      <alignment vertical="center" wrapText="1"/>
    </xf>
    <xf numFmtId="14" fontId="7" fillId="2" borderId="0" xfId="0" applyNumberFormat="1" applyFont="1" applyFill="1" applyBorder="1" applyAlignment="1">
      <alignment horizontal="right" vertical="center" wrapText="1"/>
    </xf>
    <xf numFmtId="0" fontId="28" fillId="2" borderId="0" xfId="0" applyFont="1" applyFill="1" applyAlignment="1">
      <alignment wrapText="1"/>
    </xf>
    <xf numFmtId="0" fontId="29" fillId="2" borderId="0" xfId="0" applyFont="1" applyFill="1" applyAlignment="1">
      <alignment horizontal="center" vertical="center" wrapText="1"/>
    </xf>
    <xf numFmtId="0" fontId="9" fillId="0" borderId="0" xfId="0" applyFont="1" applyFill="1"/>
    <xf numFmtId="0" fontId="36" fillId="0" borderId="0" xfId="0" applyFont="1"/>
    <xf numFmtId="0" fontId="25" fillId="2" borderId="20" xfId="0" applyFont="1" applyFill="1" applyBorder="1" applyAlignment="1">
      <alignment horizontal="left" vertical="center" wrapText="1" readingOrder="1"/>
    </xf>
    <xf numFmtId="0" fontId="31" fillId="0" borderId="6" xfId="0" applyFont="1" applyBorder="1" applyAlignment="1">
      <alignment horizontal="left" wrapText="1" readingOrder="1"/>
    </xf>
    <xf numFmtId="0" fontId="32" fillId="0" borderId="0" xfId="0" applyFont="1" applyAlignment="1">
      <alignment horizontal="left" vertical="center" wrapText="1" indent="2" readingOrder="1"/>
    </xf>
    <xf numFmtId="166" fontId="40" fillId="0" borderId="0" xfId="7" applyNumberFormat="1" applyFont="1" applyFill="1" applyBorder="1"/>
    <xf numFmtId="0" fontId="14" fillId="0" borderId="0" xfId="0" applyFont="1"/>
    <xf numFmtId="0" fontId="41" fillId="0" borderId="0" xfId="0" quotePrefix="1" applyFont="1" applyFill="1"/>
    <xf numFmtId="0" fontId="25" fillId="2" borderId="0" xfId="0" applyFont="1" applyFill="1" applyBorder="1" applyAlignment="1">
      <alignment horizontal="left" vertical="center" wrapText="1" readingOrder="1"/>
    </xf>
    <xf numFmtId="0" fontId="26" fillId="14" borderId="0" xfId="0" applyFont="1" applyFill="1" applyAlignment="1"/>
    <xf numFmtId="0" fontId="45" fillId="17" borderId="0" xfId="5" applyFont="1" applyFill="1"/>
    <xf numFmtId="0" fontId="0" fillId="0" borderId="0" xfId="0" applyAlignment="1">
      <alignment vertical="center"/>
    </xf>
    <xf numFmtId="3" fontId="0" fillId="0" borderId="0" xfId="0" applyNumberFormat="1"/>
    <xf numFmtId="0" fontId="48" fillId="0" borderId="0" xfId="0" applyFont="1" applyFill="1" applyBorder="1"/>
    <xf numFmtId="165" fontId="14" fillId="9" borderId="0" xfId="0" applyNumberFormat="1" applyFont="1" applyFill="1" applyAlignment="1">
      <alignment horizontal="center"/>
    </xf>
    <xf numFmtId="165" fontId="38" fillId="9" borderId="0" xfId="0" applyNumberFormat="1" applyFont="1" applyFill="1" applyBorder="1" applyAlignment="1">
      <alignment horizontal="center" vertical="center" wrapText="1"/>
    </xf>
    <xf numFmtId="3" fontId="13" fillId="9" borderId="0" xfId="9" applyNumberFormat="1" applyFont="1" applyFill="1" applyBorder="1" applyAlignment="1">
      <alignment horizontal="left" vertical="center"/>
    </xf>
    <xf numFmtId="0" fontId="46" fillId="0" borderId="0" xfId="0" applyFont="1"/>
    <xf numFmtId="0" fontId="0" fillId="0" borderId="0" xfId="0"/>
    <xf numFmtId="0" fontId="0" fillId="0" borderId="0" xfId="0" applyAlignment="1">
      <alignment wrapText="1"/>
    </xf>
    <xf numFmtId="15" fontId="6" fillId="14" borderId="0" xfId="0" applyNumberFormat="1" applyFont="1" applyFill="1" applyAlignment="1">
      <alignment horizontal="left" vertical="center"/>
    </xf>
    <xf numFmtId="15" fontId="0" fillId="14" borderId="0" xfId="0" applyNumberFormat="1" applyFill="1" applyAlignment="1">
      <alignment horizontal="left" vertical="center"/>
    </xf>
    <xf numFmtId="0" fontId="52" fillId="0" borderId="0" xfId="0" applyFont="1" applyFill="1" applyBorder="1" applyAlignment="1">
      <alignment horizontal="left" vertical="center"/>
    </xf>
    <xf numFmtId="0" fontId="53" fillId="0" borderId="0" xfId="0" applyFont="1" applyAlignment="1">
      <alignment vertical="center"/>
    </xf>
    <xf numFmtId="0" fontId="21" fillId="6" borderId="8" xfId="0" applyFont="1" applyFill="1" applyBorder="1" applyAlignment="1">
      <alignment horizontal="right" vertical="center" wrapText="1"/>
    </xf>
    <xf numFmtId="0" fontId="16" fillId="6" borderId="0" xfId="0" applyFont="1" applyFill="1" applyAlignment="1">
      <alignment vertical="center" wrapText="1"/>
    </xf>
    <xf numFmtId="0" fontId="16" fillId="6" borderId="0" xfId="0" applyFont="1" applyFill="1" applyAlignment="1">
      <alignment horizontal="right" vertical="center" wrapText="1"/>
    </xf>
    <xf numFmtId="0" fontId="21" fillId="6" borderId="19" xfId="0" applyFont="1" applyFill="1" applyBorder="1" applyAlignment="1">
      <alignment vertical="center" wrapText="1"/>
    </xf>
    <xf numFmtId="0" fontId="21" fillId="6" borderId="19" xfId="0" applyFont="1" applyFill="1" applyBorder="1" applyAlignment="1">
      <alignment horizontal="right" vertical="center" wrapText="1"/>
    </xf>
    <xf numFmtId="0" fontId="21" fillId="6" borderId="25" xfId="0" applyFont="1" applyFill="1" applyBorder="1" applyAlignment="1">
      <alignment vertical="center" wrapText="1"/>
    </xf>
    <xf numFmtId="0" fontId="35" fillId="7" borderId="0" xfId="0" applyFont="1" applyFill="1" applyAlignment="1">
      <alignment horizontal="center" vertical="center" wrapText="1"/>
    </xf>
    <xf numFmtId="0" fontId="0" fillId="0" borderId="0" xfId="0" applyFont="1" applyFill="1" applyBorder="1" applyAlignment="1"/>
    <xf numFmtId="15" fontId="6" fillId="14" borderId="0" xfId="0" applyNumberFormat="1" applyFont="1" applyFill="1" applyAlignment="1">
      <alignment horizontal="left" vertical="center"/>
    </xf>
    <xf numFmtId="15" fontId="0" fillId="14" borderId="0" xfId="0" applyNumberFormat="1" applyFill="1" applyAlignment="1">
      <alignment horizontal="left" vertical="center"/>
    </xf>
    <xf numFmtId="0" fontId="45" fillId="17" borderId="0" xfId="0" applyFont="1" applyFill="1"/>
    <xf numFmtId="0" fontId="48" fillId="0" borderId="0" xfId="0" applyFont="1"/>
    <xf numFmtId="0" fontId="48" fillId="0" borderId="0" xfId="0" applyFont="1" applyFill="1"/>
    <xf numFmtId="3" fontId="11" fillId="0" borderId="0" xfId="9" applyNumberFormat="1" applyFont="1" applyFill="1" applyBorder="1" applyAlignment="1">
      <alignment horizontal="left" vertical="center"/>
    </xf>
    <xf numFmtId="0" fontId="54" fillId="0" borderId="0" xfId="0" applyFont="1" applyAlignment="1">
      <alignment horizontal="center" vertical="center"/>
    </xf>
    <xf numFmtId="0" fontId="53" fillId="0" borderId="0" xfId="0" applyFont="1" applyAlignment="1">
      <alignment horizontal="justify" vertical="top"/>
    </xf>
    <xf numFmtId="0" fontId="58" fillId="0" borderId="0" xfId="12" applyFont="1" applyFill="1" applyBorder="1" applyAlignment="1">
      <alignment horizontal="left"/>
    </xf>
    <xf numFmtId="3" fontId="57" fillId="0" borderId="0" xfId="9" applyNumberFormat="1" applyFont="1" applyFill="1" applyBorder="1" applyAlignment="1">
      <alignment horizontal="left" vertical="center"/>
    </xf>
    <xf numFmtId="3" fontId="57" fillId="0" borderId="0" xfId="9" applyNumberFormat="1" applyFont="1" applyFill="1" applyBorder="1" applyAlignment="1">
      <alignment horizontal="left" vertical="center" wrapText="1"/>
    </xf>
    <xf numFmtId="165" fontId="59" fillId="10" borderId="0" xfId="3" applyNumberFormat="1" applyFont="1" applyFill="1" applyBorder="1"/>
    <xf numFmtId="169" fontId="57" fillId="0" borderId="0" xfId="0" applyNumberFormat="1" applyFont="1" applyAlignment="1">
      <alignment horizontal="center" vertical="center"/>
    </xf>
    <xf numFmtId="0" fontId="0" fillId="0" borderId="0" xfId="0" applyFont="1" applyAlignment="1">
      <alignment vertical="center"/>
    </xf>
    <xf numFmtId="3" fontId="46" fillId="0" borderId="0" xfId="0" applyNumberFormat="1" applyFont="1" applyBorder="1"/>
    <xf numFmtId="172" fontId="16" fillId="11" borderId="0" xfId="0" applyNumberFormat="1" applyFont="1" applyFill="1" applyBorder="1" applyAlignment="1">
      <alignment horizontal="right" vertical="center" wrapText="1"/>
    </xf>
    <xf numFmtId="172" fontId="16" fillId="9" borderId="0" xfId="0" applyNumberFormat="1" applyFont="1" applyFill="1" applyBorder="1" applyAlignment="1">
      <alignment horizontal="right" vertical="center" wrapText="1"/>
    </xf>
    <xf numFmtId="172" fontId="22" fillId="3" borderId="0" xfId="0" applyNumberFormat="1" applyFont="1" applyFill="1" applyBorder="1" applyAlignment="1">
      <alignment horizontal="right" vertical="center" wrapText="1"/>
    </xf>
    <xf numFmtId="172" fontId="22" fillId="2" borderId="0" xfId="0" applyNumberFormat="1" applyFont="1" applyFill="1" applyBorder="1" applyAlignment="1">
      <alignment horizontal="right" vertical="center" wrapText="1"/>
    </xf>
    <xf numFmtId="3" fontId="11" fillId="0" borderId="0" xfId="0" applyNumberFormat="1" applyFont="1" applyAlignment="1">
      <alignment horizontal="left" vertical="center" wrapText="1"/>
    </xf>
    <xf numFmtId="168" fontId="38" fillId="9" borderId="0" xfId="0" applyNumberFormat="1" applyFont="1" applyFill="1" applyBorder="1" applyAlignment="1">
      <alignment horizontal="center" vertical="center" wrapText="1"/>
    </xf>
    <xf numFmtId="0" fontId="48" fillId="9" borderId="0" xfId="0" applyFont="1" applyFill="1" applyBorder="1"/>
    <xf numFmtId="3" fontId="11" fillId="9" borderId="0" xfId="9" applyNumberFormat="1" applyFont="1" applyFill="1" applyBorder="1" applyAlignment="1">
      <alignment horizontal="left" vertical="center" wrapText="1"/>
    </xf>
    <xf numFmtId="0" fontId="0" fillId="0" borderId="0" xfId="0" applyFont="1" applyFill="1" applyBorder="1"/>
    <xf numFmtId="0" fontId="56" fillId="0" borderId="0" xfId="0" applyFont="1" applyBorder="1"/>
    <xf numFmtId="172" fontId="11" fillId="0" borderId="0" xfId="0" applyNumberFormat="1" applyFont="1"/>
    <xf numFmtId="0" fontId="26" fillId="14" borderId="0" xfId="0" applyFont="1" applyFill="1"/>
    <xf numFmtId="3" fontId="15" fillId="10" borderId="0" xfId="3" applyNumberFormat="1" applyFont="1" applyFill="1" applyBorder="1"/>
    <xf numFmtId="165" fontId="14" fillId="9" borderId="0" xfId="0" applyNumberFormat="1" applyFont="1" applyFill="1" applyAlignment="1">
      <alignment horizontal="center" vertical="top"/>
    </xf>
    <xf numFmtId="165" fontId="38" fillId="9" borderId="0" xfId="0" applyNumberFormat="1" applyFont="1" applyFill="1" applyAlignment="1">
      <alignment horizontal="center" vertical="center" wrapText="1"/>
    </xf>
    <xf numFmtId="15" fontId="6" fillId="14" borderId="0" xfId="0" applyNumberFormat="1" applyFont="1" applyFill="1" applyAlignment="1">
      <alignment horizontal="left" vertical="center"/>
    </xf>
    <xf numFmtId="15" fontId="0" fillId="14" borderId="0" xfId="0" applyNumberFormat="1" applyFill="1" applyAlignment="1">
      <alignment horizontal="left" vertical="center"/>
    </xf>
    <xf numFmtId="15" fontId="0" fillId="14" borderId="0" xfId="0" applyNumberFormat="1" applyFont="1" applyFill="1" applyAlignment="1">
      <alignment horizontal="left" vertical="center"/>
    </xf>
    <xf numFmtId="3" fontId="13" fillId="10" borderId="0" xfId="3" applyNumberFormat="1" applyFont="1" applyFill="1" applyAlignment="1">
      <alignment horizontal="right" vertical="top"/>
    </xf>
    <xf numFmtId="168" fontId="38" fillId="9" borderId="0" xfId="0" applyNumberFormat="1" applyFont="1" applyFill="1" applyAlignment="1">
      <alignment horizontal="center" vertical="center" wrapText="1"/>
    </xf>
    <xf numFmtId="172" fontId="38" fillId="9" borderId="0" xfId="0" applyNumberFormat="1" applyFont="1" applyFill="1" applyAlignment="1">
      <alignment horizontal="center" vertical="center" wrapText="1"/>
    </xf>
    <xf numFmtId="14" fontId="21" fillId="6" borderId="8" xfId="0" applyNumberFormat="1" applyFont="1" applyFill="1" applyBorder="1" applyAlignment="1">
      <alignment horizontal="left" vertical="center" wrapText="1"/>
    </xf>
    <xf numFmtId="0" fontId="30" fillId="10" borderId="0" xfId="3" applyFont="1" applyFill="1" applyBorder="1" applyAlignment="1">
      <alignment vertical="center"/>
    </xf>
    <xf numFmtId="0" fontId="33" fillId="0" borderId="0" xfId="0" applyFont="1"/>
    <xf numFmtId="0" fontId="0" fillId="0" borderId="0" xfId="0" applyNumberFormat="1" applyFont="1" applyFill="1" applyBorder="1"/>
    <xf numFmtId="14" fontId="22" fillId="2" borderId="0" xfId="0" applyNumberFormat="1" applyFont="1" applyFill="1" applyAlignment="1">
      <alignment horizontal="left" vertical="center" wrapText="1"/>
    </xf>
    <xf numFmtId="0" fontId="10" fillId="2" borderId="0" xfId="0" applyFont="1" applyFill="1" applyBorder="1" applyAlignment="1">
      <alignment horizontal="left" vertical="center" wrapText="1"/>
    </xf>
    <xf numFmtId="172" fontId="34" fillId="9" borderId="0" xfId="0" applyNumberFormat="1" applyFont="1" applyFill="1" applyBorder="1" applyAlignment="1">
      <alignment horizontal="right" vertical="center" wrapText="1"/>
    </xf>
    <xf numFmtId="0" fontId="0" fillId="0" borderId="0" xfId="0"/>
    <xf numFmtId="49" fontId="10" fillId="2" borderId="0" xfId="0" applyNumberFormat="1" applyFont="1" applyFill="1" applyBorder="1" applyAlignment="1">
      <alignment horizontal="center" vertical="center" wrapText="1"/>
    </xf>
    <xf numFmtId="3" fontId="13" fillId="10" borderId="0" xfId="3" applyNumberFormat="1" applyFont="1" applyFill="1" applyAlignment="1">
      <alignment vertical="center"/>
    </xf>
    <xf numFmtId="49" fontId="17" fillId="3" borderId="0" xfId="0" applyNumberFormat="1" applyFont="1" applyFill="1" applyBorder="1" applyAlignment="1">
      <alignment horizontal="center" vertical="center" wrapText="1"/>
    </xf>
    <xf numFmtId="3" fontId="15" fillId="10" borderId="0" xfId="0" applyNumberFormat="1" applyFont="1" applyFill="1" applyAlignment="1">
      <alignment vertical="center"/>
    </xf>
    <xf numFmtId="3" fontId="15" fillId="10" borderId="0" xfId="3" applyNumberFormat="1" applyFont="1" applyFill="1" applyAlignment="1">
      <alignment vertical="center"/>
    </xf>
    <xf numFmtId="3" fontId="15" fillId="10" borderId="0" xfId="3" applyNumberFormat="1" applyFont="1" applyFill="1" applyBorder="1" applyAlignment="1">
      <alignment vertical="center"/>
    </xf>
    <xf numFmtId="3" fontId="13" fillId="10" borderId="0" xfId="3" applyNumberFormat="1" applyFont="1" applyFill="1" applyAlignment="1">
      <alignment horizontal="center" vertical="center"/>
    </xf>
    <xf numFmtId="172" fontId="21" fillId="11" borderId="20" xfId="0" applyNumberFormat="1" applyFont="1" applyFill="1" applyBorder="1" applyAlignment="1">
      <alignment horizontal="right" vertical="center" wrapText="1"/>
    </xf>
    <xf numFmtId="172" fontId="21" fillId="9" borderId="20" xfId="0" applyNumberFormat="1" applyFont="1" applyFill="1" applyBorder="1" applyAlignment="1">
      <alignment horizontal="right" vertical="center" wrapText="1"/>
    </xf>
    <xf numFmtId="0" fontId="41" fillId="0" borderId="0" xfId="0" applyFont="1" applyAlignment="1">
      <alignment vertical="center"/>
    </xf>
    <xf numFmtId="2" fontId="14" fillId="0" borderId="0" xfId="0" applyNumberFormat="1" applyFont="1" applyAlignment="1">
      <alignment vertical="center"/>
    </xf>
    <xf numFmtId="0" fontId="14" fillId="0" borderId="0" xfId="0" applyFont="1" applyAlignment="1">
      <alignment vertical="center"/>
    </xf>
    <xf numFmtId="165" fontId="14" fillId="9" borderId="0" xfId="0" applyNumberFormat="1" applyFont="1" applyFill="1" applyAlignment="1">
      <alignment horizontal="center" vertical="center"/>
    </xf>
    <xf numFmtId="0" fontId="9" fillId="0" borderId="0" xfId="0" applyFont="1" applyFill="1" applyAlignment="1">
      <alignment vertical="center"/>
    </xf>
    <xf numFmtId="0" fontId="8" fillId="0" borderId="0" xfId="0" applyFont="1" applyFill="1" applyAlignment="1">
      <alignment vertical="center"/>
    </xf>
    <xf numFmtId="165" fontId="19" fillId="0" borderId="20" xfId="0" applyNumberFormat="1" applyFont="1" applyBorder="1" applyAlignment="1">
      <alignment horizontal="left" vertical="center" wrapText="1"/>
    </xf>
    <xf numFmtId="165" fontId="18" fillId="0" borderId="0" xfId="0" applyNumberFormat="1" applyFont="1" applyBorder="1" applyAlignment="1">
      <alignment horizontal="left" vertical="center" wrapText="1"/>
    </xf>
    <xf numFmtId="165" fontId="18" fillId="0" borderId="0" xfId="0" applyNumberFormat="1" applyFont="1" applyFill="1" applyBorder="1" applyAlignment="1">
      <alignment horizontal="left" vertical="center" wrapText="1"/>
    </xf>
    <xf numFmtId="172" fontId="43" fillId="0" borderId="0" xfId="0" applyNumberFormat="1" applyFont="1"/>
    <xf numFmtId="172" fontId="42" fillId="0" borderId="0" xfId="0" applyNumberFormat="1" applyFont="1"/>
    <xf numFmtId="0" fontId="60" fillId="0" borderId="0" xfId="0" applyFont="1" applyAlignment="1">
      <alignment horizontal="left"/>
    </xf>
    <xf numFmtId="0" fontId="23" fillId="0" borderId="0" xfId="0" applyFont="1"/>
    <xf numFmtId="49" fontId="7" fillId="2" borderId="0" xfId="0" applyNumberFormat="1" applyFont="1" applyFill="1" applyBorder="1" applyAlignment="1">
      <alignment horizontal="center" vertical="center" wrapText="1"/>
    </xf>
    <xf numFmtId="0" fontId="44" fillId="0" borderId="0" xfId="0" applyFont="1" applyAlignment="1">
      <alignment vertical="top"/>
    </xf>
    <xf numFmtId="0" fontId="21" fillId="6" borderId="25" xfId="0" applyFont="1" applyFill="1" applyBorder="1" applyAlignment="1">
      <alignment horizontal="right" vertical="center" wrapText="1"/>
    </xf>
    <xf numFmtId="0" fontId="35" fillId="7" borderId="0" xfId="0" applyFont="1" applyFill="1" applyBorder="1" applyAlignment="1">
      <alignment horizontal="right" vertical="center" wrapText="1"/>
    </xf>
    <xf numFmtId="0" fontId="27" fillId="14" borderId="0" xfId="0" applyFont="1" applyFill="1" applyBorder="1"/>
    <xf numFmtId="0" fontId="64" fillId="0" borderId="0" xfId="0" applyFont="1"/>
    <xf numFmtId="0" fontId="64" fillId="0" borderId="0" xfId="0" applyFont="1" applyAlignment="1">
      <alignment horizontal="left"/>
    </xf>
    <xf numFmtId="0" fontId="64" fillId="0" borderId="0" xfId="0" applyFont="1" applyBorder="1" applyAlignment="1">
      <alignment horizontal="left"/>
    </xf>
    <xf numFmtId="0" fontId="49" fillId="0" borderId="0" xfId="0" applyFont="1" applyAlignment="1">
      <alignment horizontal="right"/>
    </xf>
    <xf numFmtId="0" fontId="64" fillId="14" borderId="0" xfId="0" applyFont="1" applyFill="1" applyAlignment="1">
      <alignment horizontal="left" vertical="center"/>
    </xf>
    <xf numFmtId="0" fontId="60" fillId="0" borderId="0" xfId="0" applyFont="1"/>
    <xf numFmtId="174" fontId="55" fillId="0" borderId="0" xfId="0" applyNumberFormat="1" applyFont="1" applyAlignment="1">
      <alignment horizontal="center"/>
    </xf>
    <xf numFmtId="174" fontId="65" fillId="7" borderId="22" xfId="0" applyNumberFormat="1" applyFont="1" applyFill="1" applyBorder="1" applyAlignment="1">
      <alignment horizontal="center" vertical="center" wrapText="1" readingOrder="1"/>
    </xf>
    <xf numFmtId="172" fontId="55" fillId="0" borderId="0" xfId="0" applyNumberFormat="1" applyFont="1" applyAlignment="1">
      <alignment horizontal="left" vertical="center"/>
    </xf>
    <xf numFmtId="172" fontId="55" fillId="0" borderId="0" xfId="0" applyNumberFormat="1" applyFont="1" applyBorder="1" applyAlignment="1">
      <alignment horizontal="left" vertical="center"/>
    </xf>
    <xf numFmtId="37" fontId="39" fillId="0" borderId="37" xfId="0" applyNumberFormat="1" applyFont="1" applyFill="1" applyBorder="1" applyAlignment="1">
      <alignment horizontal="left" vertical="center" wrapText="1" readingOrder="1"/>
    </xf>
    <xf numFmtId="37" fontId="37" fillId="0" borderId="37" xfId="0" applyNumberFormat="1" applyFont="1" applyFill="1" applyBorder="1" applyAlignment="1">
      <alignment horizontal="right" vertical="center" wrapText="1" readingOrder="1"/>
    </xf>
    <xf numFmtId="37" fontId="37" fillId="0" borderId="37" xfId="0" applyNumberFormat="1" applyFont="1" applyFill="1" applyBorder="1" applyAlignment="1">
      <alignment vertical="center" wrapText="1" readingOrder="1"/>
    </xf>
    <xf numFmtId="37" fontId="64" fillId="0" borderId="0" xfId="0" applyNumberFormat="1" applyFont="1" applyAlignment="1">
      <alignment readingOrder="1"/>
    </xf>
    <xf numFmtId="37" fontId="49" fillId="0" borderId="0" xfId="0" applyNumberFormat="1" applyFont="1" applyAlignment="1">
      <alignment horizontal="right"/>
    </xf>
    <xf numFmtId="0" fontId="64" fillId="0" borderId="38" xfId="0" applyFont="1" applyBorder="1" applyAlignment="1">
      <alignment horizontal="left"/>
    </xf>
    <xf numFmtId="0" fontId="64" fillId="0" borderId="38" xfId="0" applyFont="1" applyBorder="1"/>
    <xf numFmtId="37" fontId="64" fillId="0" borderId="39" xfId="0" applyNumberFormat="1" applyFont="1" applyFill="1" applyBorder="1" applyAlignment="1">
      <alignment horizontal="right" vertical="center" wrapText="1" readingOrder="1"/>
    </xf>
    <xf numFmtId="37" fontId="37" fillId="0" borderId="38" xfId="0" applyNumberFormat="1" applyFont="1" applyFill="1" applyBorder="1" applyAlignment="1">
      <alignment vertical="center" wrapText="1" readingOrder="1"/>
    </xf>
    <xf numFmtId="0" fontId="64" fillId="0" borderId="39" xfId="0" applyFont="1" applyBorder="1" applyAlignment="1">
      <alignment horizontal="left"/>
    </xf>
    <xf numFmtId="0" fontId="64" fillId="0" borderId="39" xfId="0" applyFont="1" applyBorder="1"/>
    <xf numFmtId="37" fontId="37" fillId="0" borderId="39" xfId="0" applyNumberFormat="1" applyFont="1" applyFill="1" applyBorder="1" applyAlignment="1">
      <alignment vertical="center" wrapText="1" readingOrder="1"/>
    </xf>
    <xf numFmtId="0" fontId="49" fillId="0" borderId="39" xfId="0" applyFont="1" applyBorder="1"/>
    <xf numFmtId="37" fontId="49" fillId="0" borderId="39" xfId="0" applyNumberFormat="1" applyFont="1" applyBorder="1" applyAlignment="1">
      <alignment readingOrder="1"/>
    </xf>
    <xf numFmtId="37" fontId="25" fillId="7" borderId="8" xfId="0" applyNumberFormat="1" applyFont="1" applyFill="1" applyBorder="1" applyAlignment="1">
      <alignment vertical="center" wrapText="1" readingOrder="1"/>
    </xf>
    <xf numFmtId="0" fontId="64" fillId="0" borderId="0" xfId="0" applyFont="1" applyFill="1"/>
    <xf numFmtId="172" fontId="55" fillId="0" borderId="0" xfId="0" applyNumberFormat="1" applyFont="1" applyFill="1" applyAlignment="1">
      <alignment horizontal="left" vertical="center"/>
    </xf>
    <xf numFmtId="172" fontId="55" fillId="0" borderId="0" xfId="0" applyNumberFormat="1" applyFont="1" applyFill="1" applyBorder="1" applyAlignment="1">
      <alignment horizontal="left" vertical="center"/>
    </xf>
    <xf numFmtId="37" fontId="64" fillId="0" borderId="0" xfId="0" applyNumberFormat="1" applyFont="1" applyFill="1" applyAlignment="1">
      <alignment readingOrder="1"/>
    </xf>
    <xf numFmtId="0" fontId="49" fillId="0" borderId="0" xfId="0" applyFont="1" applyFill="1" applyAlignment="1">
      <alignment horizontal="right"/>
    </xf>
    <xf numFmtId="0" fontId="64" fillId="0" borderId="0" xfId="0" applyFont="1" applyBorder="1" applyAlignment="1">
      <alignment horizontal="left" indent="2"/>
    </xf>
    <xf numFmtId="0" fontId="64" fillId="0" borderId="0" xfId="0" applyFont="1" applyBorder="1"/>
    <xf numFmtId="37" fontId="64" fillId="0" borderId="0" xfId="0" applyNumberFormat="1" applyFont="1" applyBorder="1" applyAlignment="1">
      <alignment readingOrder="1"/>
    </xf>
    <xf numFmtId="0" fontId="64" fillId="0" borderId="40" xfId="0" applyFont="1" applyBorder="1" applyAlignment="1">
      <alignment horizontal="left"/>
    </xf>
    <xf numFmtId="0" fontId="64" fillId="0" borderId="40" xfId="0" applyFont="1" applyBorder="1"/>
    <xf numFmtId="37" fontId="64" fillId="0" borderId="40" xfId="0" applyNumberFormat="1" applyFont="1" applyFill="1" applyBorder="1" applyAlignment="1">
      <alignment horizontal="right" vertical="center" wrapText="1" readingOrder="1"/>
    </xf>
    <xf numFmtId="37" fontId="37" fillId="0" borderId="40" xfId="0" applyNumberFormat="1" applyFont="1" applyFill="1" applyBorder="1" applyAlignment="1">
      <alignment vertical="center" wrapText="1" readingOrder="1"/>
    </xf>
    <xf numFmtId="0" fontId="49" fillId="0" borderId="39" xfId="0" applyFont="1" applyBorder="1" applyAlignment="1">
      <alignment horizontal="left" indent="2"/>
    </xf>
    <xf numFmtId="0" fontId="64" fillId="0" borderId="5" xfId="0" applyFont="1" applyBorder="1" applyAlignment="1">
      <alignment horizontal="left" indent="2"/>
    </xf>
    <xf numFmtId="0" fontId="64" fillId="0" borderId="5" xfId="0" applyFont="1" applyBorder="1"/>
    <xf numFmtId="37" fontId="64" fillId="0" borderId="5" xfId="0" applyNumberFormat="1" applyFont="1" applyBorder="1" applyAlignment="1">
      <alignment readingOrder="1"/>
    </xf>
    <xf numFmtId="37" fontId="64" fillId="0" borderId="39" xfId="0" applyNumberFormat="1" applyFont="1" applyBorder="1" applyAlignment="1">
      <alignment readingOrder="1"/>
    </xf>
    <xf numFmtId="0" fontId="49" fillId="0" borderId="41" xfId="0" applyFont="1" applyBorder="1" applyAlignment="1">
      <alignment horizontal="left" indent="2"/>
    </xf>
    <xf numFmtId="0" fontId="49" fillId="0" borderId="41" xfId="0" applyFont="1" applyBorder="1"/>
    <xf numFmtId="37" fontId="49" fillId="0" borderId="41" xfId="0" applyNumberFormat="1" applyFont="1" applyBorder="1" applyAlignment="1">
      <alignment readingOrder="1"/>
    </xf>
    <xf numFmtId="0" fontId="49" fillId="0" borderId="0" xfId="0" applyFont="1" applyBorder="1"/>
    <xf numFmtId="37" fontId="49" fillId="0" borderId="0" xfId="0" applyNumberFormat="1" applyFont="1" applyBorder="1" applyAlignment="1">
      <alignment readingOrder="1"/>
    </xf>
    <xf numFmtId="37" fontId="49" fillId="0" borderId="0" xfId="0" applyNumberFormat="1" applyFont="1" applyFill="1" applyAlignment="1">
      <alignment horizontal="right"/>
    </xf>
    <xf numFmtId="3" fontId="49" fillId="0" borderId="0" xfId="0" applyNumberFormat="1" applyFont="1" applyAlignment="1">
      <alignment horizontal="right"/>
    </xf>
    <xf numFmtId="0" fontId="60" fillId="0" borderId="0" xfId="0" applyFont="1" applyBorder="1" applyAlignment="1">
      <alignment horizontal="left"/>
    </xf>
    <xf numFmtId="0" fontId="23" fillId="0" borderId="0" xfId="0" applyFont="1" applyAlignment="1">
      <alignment horizontal="left" vertical="center" wrapText="1" readingOrder="1"/>
    </xf>
    <xf numFmtId="172" fontId="23" fillId="0" borderId="0" xfId="0" applyNumberFormat="1" applyFont="1" applyAlignment="1">
      <alignment horizontal="center" readingOrder="1"/>
    </xf>
    <xf numFmtId="3" fontId="23" fillId="0" borderId="0" xfId="0" applyNumberFormat="1" applyFont="1" applyBorder="1" applyAlignment="1"/>
    <xf numFmtId="172" fontId="23" fillId="0" borderId="0" xfId="0" applyNumberFormat="1" applyFont="1" applyAlignment="1">
      <alignment horizontal="right"/>
    </xf>
    <xf numFmtId="0" fontId="23" fillId="0" borderId="0" xfId="0" applyFont="1" applyAlignment="1">
      <alignment horizontal="left" vertical="center"/>
    </xf>
    <xf numFmtId="172" fontId="50" fillId="0" borderId="0" xfId="0" applyNumberFormat="1" applyFont="1" applyAlignment="1">
      <alignment horizontal="right"/>
    </xf>
    <xf numFmtId="0" fontId="23" fillId="0" borderId="0" xfId="0" applyFont="1" applyAlignment="1">
      <alignment horizontal="right"/>
    </xf>
    <xf numFmtId="37" fontId="64" fillId="0" borderId="0" xfId="0" applyNumberFormat="1" applyFont="1"/>
    <xf numFmtId="37" fontId="37" fillId="0" borderId="39" xfId="0" applyNumberFormat="1" applyFont="1" applyFill="1" applyBorder="1" applyAlignment="1">
      <alignment horizontal="right" vertical="center" wrapText="1" readingOrder="1"/>
    </xf>
    <xf numFmtId="0" fontId="49" fillId="0" borderId="42" xfId="0" applyFont="1" applyBorder="1"/>
    <xf numFmtId="37" fontId="49" fillId="0" borderId="42" xfId="0" applyNumberFormat="1" applyFont="1" applyBorder="1" applyAlignment="1">
      <alignment horizontal="right" readingOrder="1"/>
    </xf>
    <xf numFmtId="0" fontId="60" fillId="0" borderId="0" xfId="0" applyFont="1" applyAlignment="1">
      <alignment horizontal="left" vertical="center"/>
    </xf>
    <xf numFmtId="37" fontId="25" fillId="7" borderId="8" xfId="0" applyNumberFormat="1" applyFont="1" applyFill="1" applyBorder="1" applyAlignment="1">
      <alignment horizontal="right" vertical="center" wrapText="1" readingOrder="1"/>
    </xf>
    <xf numFmtId="37" fontId="39" fillId="0" borderId="37" xfId="0" applyNumberFormat="1" applyFont="1" applyFill="1" applyBorder="1" applyAlignment="1">
      <alignment horizontal="right" vertical="center" wrapText="1" readingOrder="1"/>
    </xf>
    <xf numFmtId="37" fontId="37" fillId="0" borderId="43" xfId="0" applyNumberFormat="1" applyFont="1" applyFill="1" applyBorder="1" applyAlignment="1">
      <alignment horizontal="left" vertical="center" wrapText="1" readingOrder="1"/>
    </xf>
    <xf numFmtId="37" fontId="37" fillId="0" borderId="43" xfId="0" applyNumberFormat="1" applyFont="1" applyFill="1" applyBorder="1" applyAlignment="1">
      <alignment horizontal="right" vertical="center" wrapText="1" readingOrder="1"/>
    </xf>
    <xf numFmtId="37" fontId="37" fillId="0" borderId="0" xfId="0" applyNumberFormat="1" applyFont="1" applyFill="1" applyBorder="1" applyAlignment="1">
      <alignment horizontal="left" vertical="center" wrapText="1" readingOrder="1"/>
    </xf>
    <xf numFmtId="37" fontId="37" fillId="0" borderId="0" xfId="0" applyNumberFormat="1" applyFont="1" applyFill="1" applyBorder="1" applyAlignment="1">
      <alignment horizontal="right" vertical="center" wrapText="1" readingOrder="1"/>
    </xf>
    <xf numFmtId="37" fontId="37" fillId="0" borderId="38" xfId="0" applyNumberFormat="1" applyFont="1" applyFill="1" applyBorder="1" applyAlignment="1">
      <alignment horizontal="right" vertical="center" wrapText="1" readingOrder="1"/>
    </xf>
    <xf numFmtId="37" fontId="49" fillId="0" borderId="41" xfId="0" applyNumberFormat="1" applyFont="1" applyBorder="1" applyAlignment="1">
      <alignment horizontal="right" readingOrder="1"/>
    </xf>
    <xf numFmtId="0" fontId="31" fillId="0" borderId="21" xfId="0" applyFont="1" applyBorder="1" applyAlignment="1">
      <alignment horizontal="left" vertical="center" wrapText="1" readingOrder="1"/>
    </xf>
    <xf numFmtId="0" fontId="25" fillId="2" borderId="25" xfId="0" applyFont="1" applyFill="1" applyBorder="1" applyAlignment="1">
      <alignment horizontal="left" vertical="center" wrapText="1" readingOrder="1"/>
    </xf>
    <xf numFmtId="0" fontId="25" fillId="2" borderId="44" xfId="0" applyFont="1" applyFill="1" applyBorder="1" applyAlignment="1">
      <alignment horizontal="left" vertical="center" wrapText="1" readingOrder="1"/>
    </xf>
    <xf numFmtId="3" fontId="23" fillId="0" borderId="0" xfId="0" applyNumberFormat="1" applyFont="1" applyAlignment="1"/>
    <xf numFmtId="0" fontId="56" fillId="0" borderId="0" xfId="0" applyFont="1" applyAlignment="1">
      <alignment vertical="center"/>
    </xf>
    <xf numFmtId="0" fontId="24" fillId="2" borderId="28" xfId="0" applyFont="1" applyFill="1" applyBorder="1" applyAlignment="1">
      <alignment horizontal="left" vertical="center" wrapText="1"/>
    </xf>
    <xf numFmtId="3" fontId="46" fillId="0" borderId="25" xfId="0" applyNumberFormat="1" applyFont="1" applyBorder="1"/>
    <xf numFmtId="3" fontId="46" fillId="0" borderId="29" xfId="0" applyNumberFormat="1" applyFont="1" applyBorder="1"/>
    <xf numFmtId="0" fontId="0" fillId="0" borderId="30" xfId="0" applyBorder="1" applyAlignment="1">
      <alignment wrapText="1"/>
    </xf>
    <xf numFmtId="3" fontId="46" fillId="0" borderId="9" xfId="0" applyNumberFormat="1" applyFont="1" applyBorder="1"/>
    <xf numFmtId="0" fontId="24" fillId="2" borderId="30" xfId="0" applyFont="1" applyFill="1" applyBorder="1" applyAlignment="1">
      <alignment horizontal="left" vertical="center" wrapText="1"/>
    </xf>
    <xf numFmtId="0" fontId="24" fillId="2" borderId="31" xfId="0" applyFont="1" applyFill="1" applyBorder="1" applyAlignment="1">
      <alignment horizontal="left" vertical="center" wrapText="1"/>
    </xf>
    <xf numFmtId="3" fontId="46" fillId="0" borderId="8" xfId="0" applyNumberFormat="1" applyFont="1" applyBorder="1"/>
    <xf numFmtId="3" fontId="46" fillId="0" borderId="32" xfId="0" applyNumberFormat="1" applyFont="1" applyBorder="1"/>
    <xf numFmtId="0" fontId="66" fillId="0" borderId="0" xfId="0" applyFont="1"/>
    <xf numFmtId="0" fontId="56" fillId="0" borderId="0" xfId="0" applyFont="1"/>
    <xf numFmtId="0" fontId="56" fillId="0" borderId="24" xfId="0" applyFont="1" applyBorder="1"/>
    <xf numFmtId="0" fontId="56" fillId="0" borderId="24" xfId="0" applyFont="1" applyFill="1" applyBorder="1"/>
    <xf numFmtId="0" fontId="67" fillId="29" borderId="24" xfId="0" applyFont="1" applyFill="1" applyBorder="1"/>
    <xf numFmtId="0" fontId="67" fillId="5" borderId="24" xfId="0" applyFont="1" applyFill="1" applyBorder="1"/>
    <xf numFmtId="0" fontId="56" fillId="0" borderId="0" xfId="0" applyFont="1" applyFill="1" applyBorder="1"/>
    <xf numFmtId="0" fontId="71" fillId="0" borderId="0" xfId="0" applyFont="1"/>
    <xf numFmtId="0" fontId="71" fillId="0" borderId="0" xfId="0" applyFont="1" applyFill="1"/>
    <xf numFmtId="0" fontId="71" fillId="0" borderId="0" xfId="0" applyFont="1" applyAlignment="1">
      <alignment horizontal="left" vertical="center"/>
    </xf>
    <xf numFmtId="0" fontId="73" fillId="2" borderId="0" xfId="0" applyFont="1" applyFill="1" applyBorder="1" applyAlignment="1">
      <alignment horizontal="left" vertical="center" wrapText="1"/>
    </xf>
    <xf numFmtId="0" fontId="76" fillId="0" borderId="0" xfId="0" applyFont="1" applyFill="1" applyAlignment="1">
      <alignment horizontal="left" vertical="center" wrapText="1"/>
    </xf>
    <xf numFmtId="0" fontId="76" fillId="0" borderId="0" xfId="0" applyFont="1" applyAlignment="1">
      <alignment horizontal="left" vertical="center" wrapText="1" readingOrder="1"/>
    </xf>
    <xf numFmtId="172" fontId="76" fillId="11" borderId="0" xfId="1" applyNumberFormat="1" applyFont="1" applyFill="1" applyAlignment="1">
      <alignment vertical="center" readingOrder="1"/>
    </xf>
    <xf numFmtId="176" fontId="76" fillId="0" borderId="0" xfId="1" applyNumberFormat="1" applyFont="1" applyFill="1" applyAlignment="1">
      <alignment vertical="center" readingOrder="1"/>
    </xf>
    <xf numFmtId="0" fontId="71" fillId="9" borderId="0" xfId="0" applyFont="1" applyFill="1"/>
    <xf numFmtId="0" fontId="77" fillId="0" borderId="2" xfId="0" applyFont="1" applyBorder="1" applyAlignment="1">
      <alignment horizontal="left" vertical="center" wrapText="1" readingOrder="1"/>
    </xf>
    <xf numFmtId="172" fontId="77" fillId="11" borderId="2" xfId="1" applyNumberFormat="1" applyFont="1" applyFill="1" applyBorder="1" applyAlignment="1">
      <alignment vertical="center" readingOrder="1"/>
    </xf>
    <xf numFmtId="176" fontId="77" fillId="0" borderId="2" xfId="1" applyNumberFormat="1" applyFont="1" applyFill="1" applyBorder="1" applyAlignment="1">
      <alignment vertical="center" readingOrder="1"/>
    </xf>
    <xf numFmtId="0" fontId="72" fillId="26" borderId="0" xfId="0" applyFont="1" applyFill="1"/>
    <xf numFmtId="172" fontId="77" fillId="11" borderId="0" xfId="1" applyNumberFormat="1" applyFont="1" applyFill="1" applyAlignment="1">
      <alignment vertical="center" readingOrder="1"/>
    </xf>
    <xf numFmtId="176" fontId="77" fillId="0" borderId="0" xfId="1" applyNumberFormat="1" applyFont="1" applyFill="1" applyAlignment="1">
      <alignment vertical="center" readingOrder="1"/>
    </xf>
    <xf numFmtId="0" fontId="76" fillId="0" borderId="2" xfId="0" applyFont="1" applyBorder="1" applyAlignment="1">
      <alignment horizontal="left" vertical="center" wrapText="1" readingOrder="1"/>
    </xf>
    <xf numFmtId="172" fontId="76" fillId="11" borderId="2" xfId="1" applyNumberFormat="1" applyFont="1" applyFill="1" applyBorder="1" applyAlignment="1">
      <alignment vertical="center" wrapText="1" readingOrder="1"/>
    </xf>
    <xf numFmtId="175" fontId="76" fillId="0" borderId="2" xfId="1" applyNumberFormat="1" applyFont="1" applyFill="1" applyBorder="1" applyAlignment="1">
      <alignment vertical="center" wrapText="1" readingOrder="1"/>
    </xf>
    <xf numFmtId="0" fontId="77" fillId="0" borderId="3" xfId="0" applyFont="1" applyFill="1" applyBorder="1" applyAlignment="1">
      <alignment horizontal="left" vertical="center" wrapText="1" readingOrder="1"/>
    </xf>
    <xf numFmtId="172" fontId="77" fillId="11" borderId="3" xfId="1" applyNumberFormat="1" applyFont="1" applyFill="1" applyBorder="1" applyAlignment="1">
      <alignment vertical="center" readingOrder="1"/>
    </xf>
    <xf numFmtId="176" fontId="77" fillId="0" borderId="3" xfId="1" applyNumberFormat="1" applyFont="1" applyFill="1" applyBorder="1" applyAlignment="1">
      <alignment vertical="center" readingOrder="1"/>
    </xf>
    <xf numFmtId="0" fontId="75" fillId="2" borderId="0" xfId="0" applyFont="1" applyFill="1" applyBorder="1" applyAlignment="1">
      <alignment vertical="center" wrapText="1"/>
    </xf>
    <xf numFmtId="172" fontId="78" fillId="7" borderId="0" xfId="1" applyNumberFormat="1" applyFont="1" applyFill="1" applyBorder="1" applyAlignment="1">
      <alignment vertical="center" readingOrder="1"/>
    </xf>
    <xf numFmtId="176" fontId="78" fillId="2" borderId="0" xfId="0" applyNumberFormat="1" applyFont="1" applyFill="1" applyBorder="1" applyAlignment="1">
      <alignment vertical="center" readingOrder="1"/>
    </xf>
    <xf numFmtId="0" fontId="71" fillId="0" borderId="0" xfId="0" applyFont="1" applyAlignment="1">
      <alignment vertical="center"/>
    </xf>
    <xf numFmtId="0" fontId="82" fillId="0" borderId="0" xfId="0" applyFont="1"/>
    <xf numFmtId="0" fontId="73" fillId="2" borderId="0" xfId="0" applyFont="1" applyFill="1" applyAlignment="1">
      <alignment vertical="center" wrapText="1"/>
    </xf>
    <xf numFmtId="0" fontId="76" fillId="0" borderId="0" xfId="0" applyFont="1" applyAlignment="1">
      <alignment vertical="center" wrapText="1"/>
    </xf>
    <xf numFmtId="0" fontId="76" fillId="0" borderId="1" xfId="0" applyFont="1" applyBorder="1" applyAlignment="1">
      <alignment vertical="center" wrapText="1"/>
    </xf>
    <xf numFmtId="0" fontId="71" fillId="0" borderId="0" xfId="0" applyFont="1" applyAlignment="1">
      <alignment vertical="center" wrapText="1"/>
    </xf>
    <xf numFmtId="0" fontId="85" fillId="0" borderId="0" xfId="0" applyFont="1" applyAlignment="1">
      <alignment horizontal="center" vertical="center"/>
    </xf>
    <xf numFmtId="0" fontId="86" fillId="0" borderId="0" xfId="0" applyFont="1" applyAlignment="1">
      <alignment vertical="center"/>
    </xf>
    <xf numFmtId="0" fontId="87" fillId="2" borderId="0" xfId="0" applyFont="1" applyFill="1" applyAlignment="1">
      <alignment vertical="center" wrapText="1"/>
    </xf>
    <xf numFmtId="0" fontId="90" fillId="0" borderId="0" xfId="0" applyFont="1" applyAlignment="1">
      <alignment horizontal="left" vertical="center" wrapText="1" readingOrder="1"/>
    </xf>
    <xf numFmtId="179" fontId="90" fillId="13" borderId="0" xfId="1" applyNumberFormat="1" applyFont="1" applyFill="1" applyAlignment="1">
      <alignment horizontal="right" vertical="center" wrapText="1" readingOrder="1"/>
    </xf>
    <xf numFmtId="179" fontId="90" fillId="0" borderId="0" xfId="1" applyNumberFormat="1" applyFont="1" applyFill="1" applyAlignment="1">
      <alignment horizontal="right" vertical="center" wrapText="1" readingOrder="1"/>
    </xf>
    <xf numFmtId="0" fontId="56" fillId="0" borderId="0" xfId="0" applyFont="1" applyAlignment="1">
      <alignment horizontal="left" vertical="center" wrapText="1" readingOrder="1"/>
    </xf>
    <xf numFmtId="0" fontId="56" fillId="0" borderId="0" xfId="0" applyFont="1" applyAlignment="1">
      <alignment horizontal="left" vertical="center" readingOrder="1"/>
    </xf>
    <xf numFmtId="0" fontId="56" fillId="0" borderId="0" xfId="0" applyFont="1" applyFill="1" applyAlignment="1">
      <alignment horizontal="left" vertical="center" wrapText="1" readingOrder="1"/>
    </xf>
    <xf numFmtId="0" fontId="91" fillId="0" borderId="2" xfId="0" applyFont="1" applyBorder="1" applyAlignment="1">
      <alignment horizontal="left" vertical="center" wrapText="1" readingOrder="1"/>
    </xf>
    <xf numFmtId="172" fontId="91" fillId="11" borderId="2" xfId="1" applyNumberFormat="1" applyFont="1" applyFill="1" applyBorder="1" applyAlignment="1">
      <alignment horizontal="right" vertical="center" wrapText="1" readingOrder="1"/>
    </xf>
    <xf numFmtId="175" fontId="91" fillId="0" borderId="2" xfId="1" applyNumberFormat="1" applyFont="1" applyFill="1" applyBorder="1" applyAlignment="1">
      <alignment horizontal="right" vertical="center" wrapText="1" readingOrder="1"/>
    </xf>
    <xf numFmtId="0" fontId="90" fillId="0" borderId="2" xfId="0" applyFont="1" applyFill="1" applyBorder="1" applyAlignment="1">
      <alignment horizontal="left" vertical="center" wrapText="1" readingOrder="1"/>
    </xf>
    <xf numFmtId="172" fontId="90" fillId="11" borderId="0" xfId="1" applyNumberFormat="1" applyFont="1" applyFill="1" applyAlignment="1">
      <alignment horizontal="right" vertical="center" wrapText="1" readingOrder="1"/>
    </xf>
    <xf numFmtId="0" fontId="90" fillId="0" borderId="0" xfId="0" applyFont="1" applyFill="1" applyBorder="1" applyAlignment="1">
      <alignment horizontal="left" vertical="center" wrapText="1" readingOrder="1"/>
    </xf>
    <xf numFmtId="175" fontId="90" fillId="0" borderId="0" xfId="1" applyNumberFormat="1" applyFont="1" applyFill="1" applyBorder="1" applyAlignment="1">
      <alignment horizontal="right" vertical="center" wrapText="1" readingOrder="1"/>
    </xf>
    <xf numFmtId="0" fontId="90" fillId="0" borderId="2" xfId="0" applyFont="1" applyBorder="1" applyAlignment="1">
      <alignment horizontal="left" vertical="center" wrapText="1" readingOrder="1"/>
    </xf>
    <xf numFmtId="172" fontId="90" fillId="11" borderId="2" xfId="1" applyNumberFormat="1" applyFont="1" applyFill="1" applyBorder="1" applyAlignment="1">
      <alignment horizontal="right" vertical="center" wrapText="1" readingOrder="1"/>
    </xf>
    <xf numFmtId="175" fontId="90" fillId="0" borderId="2" xfId="1" applyNumberFormat="1" applyFont="1" applyFill="1" applyBorder="1" applyAlignment="1">
      <alignment horizontal="right" vertical="center" wrapText="1" readingOrder="1"/>
    </xf>
    <xf numFmtId="0" fontId="90" fillId="0" borderId="0" xfId="0" applyFont="1" applyBorder="1" applyAlignment="1">
      <alignment horizontal="left" vertical="center" wrapText="1" readingOrder="1"/>
    </xf>
    <xf numFmtId="172" fontId="91" fillId="11" borderId="33" xfId="1" applyNumberFormat="1" applyFont="1" applyFill="1" applyBorder="1" applyAlignment="1">
      <alignment horizontal="right" vertical="center" wrapText="1" readingOrder="1"/>
    </xf>
    <xf numFmtId="175" fontId="91" fillId="0" borderId="33" xfId="1" applyNumberFormat="1" applyFont="1" applyFill="1" applyBorder="1" applyAlignment="1">
      <alignment horizontal="right" vertical="center" wrapText="1" readingOrder="1"/>
    </xf>
    <xf numFmtId="0" fontId="90" fillId="0" borderId="8" xfId="0" applyFont="1" applyBorder="1" applyAlignment="1">
      <alignment horizontal="left" vertical="center" wrapText="1" readingOrder="1"/>
    </xf>
    <xf numFmtId="179" fontId="90" fillId="13" borderId="8" xfId="1" applyNumberFormat="1" applyFont="1" applyFill="1" applyBorder="1" applyAlignment="1">
      <alignment horizontal="right" vertical="center" wrapText="1" readingOrder="1"/>
    </xf>
    <xf numFmtId="179" fontId="90" fillId="0" borderId="8" xfId="1" applyNumberFormat="1" applyFont="1" applyFill="1" applyBorder="1" applyAlignment="1">
      <alignment horizontal="right" vertical="center" wrapText="1" readingOrder="1"/>
    </xf>
    <xf numFmtId="0" fontId="91" fillId="0" borderId="8" xfId="0" applyFont="1" applyBorder="1" applyAlignment="1">
      <alignment horizontal="left" vertical="center" wrapText="1" readingOrder="1"/>
    </xf>
    <xf numFmtId="172" fontId="91" fillId="11" borderId="8" xfId="1" applyNumberFormat="1" applyFont="1" applyFill="1" applyBorder="1" applyAlignment="1">
      <alignment horizontal="right" vertical="center" wrapText="1" readingOrder="1"/>
    </xf>
    <xf numFmtId="175" fontId="91" fillId="0" borderId="8" xfId="1" applyNumberFormat="1" applyFont="1" applyFill="1" applyBorder="1" applyAlignment="1">
      <alignment horizontal="right" vertical="center" wrapText="1" readingOrder="1"/>
    </xf>
    <xf numFmtId="0" fontId="91" fillId="0" borderId="0" xfId="0" applyFont="1" applyBorder="1" applyAlignment="1">
      <alignment horizontal="left" vertical="center" readingOrder="1"/>
    </xf>
    <xf numFmtId="172" fontId="90" fillId="11" borderId="0" xfId="1" applyNumberFormat="1" applyFont="1" applyFill="1" applyBorder="1" applyAlignment="1">
      <alignment horizontal="right" vertical="center" wrapText="1" readingOrder="1"/>
    </xf>
    <xf numFmtId="175" fontId="91" fillId="0" borderId="0" xfId="1" applyNumberFormat="1" applyFont="1" applyFill="1" applyBorder="1" applyAlignment="1">
      <alignment horizontal="right" vertical="center" wrapText="1" readingOrder="1"/>
    </xf>
    <xf numFmtId="0" fontId="89" fillId="2" borderId="0" xfId="0" applyFont="1" applyFill="1" applyBorder="1" applyAlignment="1">
      <alignment vertical="center" wrapText="1"/>
    </xf>
    <xf numFmtId="172" fontId="92" fillId="3" borderId="0" xfId="1" applyNumberFormat="1" applyFont="1" applyFill="1" applyBorder="1" applyAlignment="1">
      <alignment horizontal="right" vertical="top" wrapText="1" readingOrder="1"/>
    </xf>
    <xf numFmtId="175" fontId="92" fillId="2" borderId="0" xfId="1" applyNumberFormat="1" applyFont="1" applyFill="1" applyBorder="1" applyAlignment="1">
      <alignment horizontal="right" vertical="top" wrapText="1" readingOrder="1"/>
    </xf>
    <xf numFmtId="37" fontId="71" fillId="0" borderId="0" xfId="0" applyNumberFormat="1" applyFont="1" applyAlignment="1">
      <alignment horizontal="right" vertical="center"/>
    </xf>
    <xf numFmtId="0" fontId="93" fillId="0" borderId="0" xfId="0" applyFont="1" applyAlignment="1">
      <alignment vertical="center" wrapText="1"/>
    </xf>
    <xf numFmtId="0" fontId="79" fillId="0" borderId="0" xfId="0" applyFont="1" applyAlignment="1">
      <alignment vertical="center" wrapText="1"/>
    </xf>
    <xf numFmtId="0" fontId="76" fillId="9" borderId="0" xfId="0" applyFont="1" applyFill="1" applyAlignment="1">
      <alignment horizontal="left" vertical="center" wrapText="1"/>
    </xf>
    <xf numFmtId="179" fontId="76" fillId="13" borderId="0" xfId="1" applyNumberFormat="1" applyFont="1" applyFill="1" applyAlignment="1">
      <alignment horizontal="right" vertical="center" wrapText="1" readingOrder="1"/>
    </xf>
    <xf numFmtId="0" fontId="76" fillId="9" borderId="1" xfId="0" applyFont="1" applyFill="1" applyBorder="1" applyAlignment="1">
      <alignment vertical="center" wrapText="1"/>
    </xf>
    <xf numFmtId="0" fontId="77" fillId="0" borderId="19" xfId="0" applyFont="1" applyBorder="1" applyAlignment="1">
      <alignment horizontal="left" vertical="center" wrapText="1"/>
    </xf>
    <xf numFmtId="176" fontId="77" fillId="13" borderId="2" xfId="1" applyNumberFormat="1" applyFont="1" applyFill="1" applyBorder="1" applyAlignment="1">
      <alignment horizontal="right" vertical="center" wrapText="1"/>
    </xf>
    <xf numFmtId="0" fontId="76" fillId="9" borderId="0" xfId="0" applyFont="1" applyFill="1" applyBorder="1" applyAlignment="1">
      <alignment horizontal="left" vertical="center" wrapText="1"/>
    </xf>
    <xf numFmtId="0" fontId="76" fillId="9" borderId="4" xfId="0" applyFont="1" applyFill="1" applyBorder="1" applyAlignment="1">
      <alignment vertical="center" wrapText="1"/>
    </xf>
    <xf numFmtId="179" fontId="76" fillId="13" borderId="8" xfId="1" applyNumberFormat="1" applyFont="1" applyFill="1" applyBorder="1" applyAlignment="1">
      <alignment horizontal="right" vertical="center" wrapText="1" readingOrder="1"/>
    </xf>
    <xf numFmtId="179" fontId="77" fillId="13" borderId="19" xfId="1" applyNumberFormat="1" applyFont="1" applyFill="1" applyBorder="1" applyAlignment="1">
      <alignment horizontal="right" vertical="center" wrapText="1" readingOrder="1"/>
    </xf>
    <xf numFmtId="0" fontId="52" fillId="9" borderId="0" xfId="0" applyFont="1" applyFill="1" applyBorder="1" applyAlignment="1">
      <alignment vertical="center" wrapText="1"/>
    </xf>
    <xf numFmtId="0" fontId="76" fillId="0" borderId="0" xfId="0" applyFont="1" applyBorder="1" applyAlignment="1">
      <alignment vertical="center" wrapText="1"/>
    </xf>
    <xf numFmtId="0" fontId="77" fillId="9" borderId="8" xfId="0" applyFont="1" applyFill="1" applyBorder="1" applyAlignment="1">
      <alignment vertical="center" wrapText="1"/>
    </xf>
    <xf numFmtId="0" fontId="76" fillId="0" borderId="19" xfId="0" applyFont="1" applyBorder="1" applyAlignment="1">
      <alignment horizontal="left" vertical="center" wrapText="1"/>
    </xf>
    <xf numFmtId="0" fontId="76" fillId="0" borderId="0" xfId="0" applyFont="1" applyBorder="1" applyAlignment="1">
      <alignment horizontal="left" vertical="center" wrapText="1"/>
    </xf>
    <xf numFmtId="0" fontId="76" fillId="0" borderId="0" xfId="0" applyFont="1" applyAlignment="1">
      <alignment horizontal="left" vertical="center" wrapText="1"/>
    </xf>
    <xf numFmtId="0" fontId="77" fillId="0" borderId="2" xfId="0" applyFont="1" applyBorder="1" applyAlignment="1">
      <alignment horizontal="left" vertical="center" wrapText="1"/>
    </xf>
    <xf numFmtId="4" fontId="71" fillId="0" borderId="0" xfId="0" applyNumberFormat="1" applyFont="1" applyAlignment="1">
      <alignment vertical="center"/>
    </xf>
    <xf numFmtId="0" fontId="71" fillId="0" borderId="0" xfId="0" applyFont="1" applyBorder="1" applyAlignment="1">
      <alignment vertical="center"/>
    </xf>
    <xf numFmtId="0" fontId="71" fillId="0" borderId="0" xfId="0" applyFont="1" applyAlignment="1">
      <alignment horizontal="center" vertical="center" wrapText="1"/>
    </xf>
    <xf numFmtId="0" fontId="80" fillId="0" borderId="0" xfId="0" applyFont="1" applyAlignment="1">
      <alignment vertical="center" wrapText="1"/>
    </xf>
    <xf numFmtId="0" fontId="77" fillId="0" borderId="1" xfId="0" applyFont="1" applyBorder="1" applyAlignment="1">
      <alignment horizontal="left" vertical="center" wrapText="1"/>
    </xf>
    <xf numFmtId="0" fontId="77" fillId="0" borderId="0" xfId="0" applyFont="1" applyFill="1" applyAlignment="1">
      <alignment horizontal="left" vertical="center" wrapText="1"/>
    </xf>
    <xf numFmtId="179" fontId="77" fillId="16" borderId="0" xfId="1" applyNumberFormat="1" applyFont="1" applyFill="1" applyAlignment="1">
      <alignment horizontal="right" vertical="center" wrapText="1" readingOrder="1"/>
    </xf>
    <xf numFmtId="179" fontId="77" fillId="0" borderId="0" xfId="1" applyNumberFormat="1" applyFont="1" applyFill="1" applyAlignment="1">
      <alignment horizontal="right" vertical="center" wrapText="1" readingOrder="1"/>
    </xf>
    <xf numFmtId="179" fontId="76" fillId="16" borderId="0" xfId="1" applyNumberFormat="1" applyFont="1" applyFill="1" applyAlignment="1">
      <alignment horizontal="right" vertical="center" wrapText="1" readingOrder="1"/>
    </xf>
    <xf numFmtId="179" fontId="76" fillId="0" borderId="0" xfId="1" applyNumberFormat="1" applyFont="1" applyFill="1" applyAlignment="1">
      <alignment horizontal="right" vertical="center" wrapText="1" readingOrder="1"/>
    </xf>
    <xf numFmtId="0" fontId="77" fillId="0" borderId="0" xfId="0" applyFont="1" applyFill="1" applyBorder="1" applyAlignment="1">
      <alignment horizontal="left" vertical="center" wrapText="1"/>
    </xf>
    <xf numFmtId="0" fontId="77" fillId="0" borderId="2" xfId="0" applyFont="1" applyFill="1" applyBorder="1" applyAlignment="1">
      <alignment horizontal="left" vertical="center" wrapText="1"/>
    </xf>
    <xf numFmtId="179" fontId="77" fillId="16" borderId="19" xfId="1" applyNumberFormat="1" applyFont="1" applyFill="1" applyBorder="1" applyAlignment="1">
      <alignment horizontal="right" vertical="center" wrapText="1" readingOrder="1"/>
    </xf>
    <xf numFmtId="179" fontId="77" fillId="0" borderId="19" xfId="1" applyNumberFormat="1" applyFont="1" applyFill="1" applyBorder="1" applyAlignment="1">
      <alignment horizontal="right" vertical="center" wrapText="1" readingOrder="1"/>
    </xf>
    <xf numFmtId="179" fontId="77" fillId="16" borderId="0" xfId="1" applyNumberFormat="1" applyFont="1" applyFill="1" applyBorder="1" applyAlignment="1">
      <alignment horizontal="right" vertical="center" wrapText="1" readingOrder="1"/>
    </xf>
    <xf numFmtId="179" fontId="77" fillId="0" borderId="0" xfId="1" applyNumberFormat="1" applyFont="1" applyFill="1" applyBorder="1" applyAlignment="1">
      <alignment horizontal="right" vertical="center" wrapText="1" readingOrder="1"/>
    </xf>
    <xf numFmtId="0" fontId="77" fillId="0" borderId="7" xfId="0" applyFont="1" applyBorder="1" applyAlignment="1">
      <alignment horizontal="left" vertical="center" wrapText="1"/>
    </xf>
    <xf numFmtId="179" fontId="77" fillId="16" borderId="7" xfId="1" applyNumberFormat="1" applyFont="1" applyFill="1" applyBorder="1" applyAlignment="1">
      <alignment horizontal="right" vertical="center" wrapText="1" readingOrder="1"/>
    </xf>
    <xf numFmtId="179" fontId="77" fillId="0" borderId="7" xfId="1" applyNumberFormat="1" applyFont="1" applyFill="1" applyBorder="1" applyAlignment="1">
      <alignment horizontal="right" vertical="center" wrapText="1" readingOrder="1"/>
    </xf>
    <xf numFmtId="0" fontId="75" fillId="2" borderId="0" xfId="0" applyFont="1" applyFill="1" applyAlignment="1">
      <alignment vertical="center"/>
    </xf>
    <xf numFmtId="179" fontId="72" fillId="3" borderId="0" xfId="1" applyNumberFormat="1" applyFont="1" applyFill="1" applyAlignment="1">
      <alignment horizontal="right" vertical="center" wrapText="1" readingOrder="1"/>
    </xf>
    <xf numFmtId="179" fontId="72" fillId="2" borderId="0" xfId="1" applyNumberFormat="1" applyFont="1" applyFill="1" applyAlignment="1">
      <alignment horizontal="right" vertical="center" wrapText="1" readingOrder="1"/>
    </xf>
    <xf numFmtId="0" fontId="84" fillId="0" borderId="0" xfId="5" applyFont="1" applyAlignment="1">
      <alignment vertical="center"/>
    </xf>
    <xf numFmtId="0" fontId="87" fillId="2" borderId="0" xfId="0" applyFont="1" applyFill="1" applyBorder="1" applyAlignment="1">
      <alignment horizontal="left" wrapText="1"/>
    </xf>
    <xf numFmtId="0" fontId="88" fillId="2" borderId="0" xfId="0" applyFont="1" applyFill="1" applyBorder="1" applyAlignment="1">
      <alignment horizontal="center" vertical="center" wrapText="1"/>
    </xf>
    <xf numFmtId="0" fontId="89" fillId="7" borderId="0" xfId="0" applyFont="1" applyFill="1" applyBorder="1" applyAlignment="1">
      <alignment horizontal="center" vertical="center" wrapText="1"/>
    </xf>
    <xf numFmtId="0" fontId="91" fillId="0" borderId="1" xfId="0" applyFont="1" applyFill="1" applyBorder="1" applyAlignment="1">
      <alignment horizontal="left" vertical="center" wrapText="1"/>
    </xf>
    <xf numFmtId="179" fontId="91" fillId="0" borderId="8" xfId="1" applyNumberFormat="1" applyFont="1" applyFill="1" applyBorder="1" applyAlignment="1">
      <alignment horizontal="right" vertical="center" wrapText="1" readingOrder="1"/>
    </xf>
    <xf numFmtId="179" fontId="91" fillId="16" borderId="8" xfId="1" applyNumberFormat="1" applyFont="1" applyFill="1" applyBorder="1" applyAlignment="1">
      <alignment horizontal="right" vertical="center" wrapText="1" readingOrder="1"/>
    </xf>
    <xf numFmtId="0" fontId="90" fillId="0" borderId="0" xfId="0" applyFont="1" applyFill="1" applyBorder="1" applyAlignment="1">
      <alignment horizontal="left" vertical="center" wrapText="1"/>
    </xf>
    <xf numFmtId="179" fontId="90" fillId="0" borderId="0" xfId="1" applyNumberFormat="1" applyFont="1" applyFill="1" applyBorder="1" applyAlignment="1">
      <alignment horizontal="right" vertical="center" wrapText="1" readingOrder="1"/>
    </xf>
    <xf numFmtId="179" fontId="91" fillId="16" borderId="0" xfId="1" applyNumberFormat="1" applyFont="1" applyFill="1" applyBorder="1" applyAlignment="1">
      <alignment horizontal="right" vertical="center" wrapText="1" readingOrder="1"/>
    </xf>
    <xf numFmtId="0" fontId="91" fillId="0" borderId="19" xfId="0" applyFont="1" applyBorder="1" applyAlignment="1">
      <alignment horizontal="left" vertical="center" wrapText="1"/>
    </xf>
    <xf numFmtId="179" fontId="91" fillId="0" borderId="19" xfId="1" applyNumberFormat="1" applyFont="1" applyFill="1" applyBorder="1" applyAlignment="1">
      <alignment horizontal="right" vertical="center" wrapText="1" readingOrder="1"/>
    </xf>
    <xf numFmtId="179" fontId="91" fillId="16" borderId="19" xfId="1" applyNumberFormat="1" applyFont="1" applyFill="1" applyBorder="1" applyAlignment="1">
      <alignment horizontal="right" vertical="center" wrapText="1" readingOrder="1"/>
    </xf>
    <xf numFmtId="0" fontId="47" fillId="0" borderId="0" xfId="0" quotePrefix="1" applyFont="1" applyBorder="1" applyAlignment="1">
      <alignment vertical="center" wrapText="1"/>
    </xf>
    <xf numFmtId="179" fontId="91" fillId="16" borderId="0" xfId="1" applyNumberFormat="1" applyFont="1" applyFill="1" applyAlignment="1">
      <alignment horizontal="right" vertical="center" wrapText="1" readingOrder="1"/>
    </xf>
    <xf numFmtId="0" fontId="90" fillId="0" borderId="0" xfId="0" quotePrefix="1" applyFont="1" applyAlignment="1">
      <alignment horizontal="left" vertical="center" wrapText="1"/>
    </xf>
    <xf numFmtId="0" fontId="47" fillId="0" borderId="0" xfId="0" quotePrefix="1" applyFont="1" applyAlignment="1">
      <alignment vertical="center" wrapText="1"/>
    </xf>
    <xf numFmtId="0" fontId="89" fillId="2" borderId="0" xfId="0" applyFont="1" applyFill="1" applyAlignment="1">
      <alignment vertical="center" wrapText="1"/>
    </xf>
    <xf numFmtId="179" fontId="68" fillId="2" borderId="0" xfId="1" applyNumberFormat="1" applyFont="1" applyFill="1" applyAlignment="1">
      <alignment horizontal="right" vertical="center" wrapText="1" readingOrder="1"/>
    </xf>
    <xf numFmtId="179" fontId="68" fillId="7" borderId="0" xfId="1" applyNumberFormat="1" applyFont="1" applyFill="1" applyAlignment="1">
      <alignment horizontal="right" vertical="center" wrapText="1" readingOrder="1"/>
    </xf>
    <xf numFmtId="0" fontId="52" fillId="0" borderId="0" xfId="0" applyFont="1" applyAlignment="1">
      <alignment horizontal="left" vertical="center" wrapText="1"/>
    </xf>
    <xf numFmtId="0" fontId="52" fillId="0" borderId="0" xfId="0" applyFont="1" applyBorder="1" applyAlignment="1">
      <alignment horizontal="left" vertical="center" wrapText="1"/>
    </xf>
    <xf numFmtId="0" fontId="98" fillId="0" borderId="0" xfId="0" applyFont="1"/>
    <xf numFmtId="0" fontId="75" fillId="2" borderId="0" xfId="0" applyFont="1" applyFill="1" applyBorder="1" applyAlignment="1">
      <alignment horizontal="left" vertical="center" wrapText="1"/>
    </xf>
    <xf numFmtId="3" fontId="71" fillId="0" borderId="0" xfId="0" applyNumberFormat="1" applyFont="1"/>
    <xf numFmtId="3" fontId="76" fillId="0" borderId="0" xfId="0" applyNumberFormat="1" applyFont="1" applyFill="1" applyBorder="1" applyAlignment="1">
      <alignment horizontal="right" vertical="center" wrapText="1"/>
    </xf>
    <xf numFmtId="0" fontId="72" fillId="0" borderId="0" xfId="0" applyFont="1" applyFill="1" applyAlignment="1">
      <alignment vertical="center"/>
    </xf>
    <xf numFmtId="177" fontId="72" fillId="7" borderId="0" xfId="0" applyNumberFormat="1" applyFont="1" applyFill="1" applyBorder="1" applyAlignment="1">
      <alignment horizontal="center" vertical="center" wrapText="1"/>
    </xf>
    <xf numFmtId="177" fontId="72" fillId="25" borderId="0" xfId="0" applyNumberFormat="1" applyFont="1" applyFill="1" applyBorder="1" applyAlignment="1">
      <alignment horizontal="center" vertical="center" wrapText="1"/>
    </xf>
    <xf numFmtId="3" fontId="76" fillId="16" borderId="0" xfId="0" applyNumberFormat="1" applyFont="1" applyFill="1" applyBorder="1" applyAlignment="1">
      <alignment horizontal="right" vertical="center" wrapText="1"/>
    </xf>
    <xf numFmtId="3" fontId="76" fillId="9" borderId="34" xfId="0" applyNumberFormat="1" applyFont="1" applyFill="1" applyBorder="1" applyAlignment="1">
      <alignment horizontal="right" vertical="center" wrapText="1"/>
    </xf>
    <xf numFmtId="10" fontId="82" fillId="0" borderId="0" xfId="2" applyNumberFormat="1" applyFont="1"/>
    <xf numFmtId="3" fontId="75" fillId="7" borderId="0" xfId="0" applyNumberFormat="1" applyFont="1" applyFill="1" applyBorder="1" applyAlignment="1">
      <alignment horizontal="right" vertical="center" wrapText="1"/>
    </xf>
    <xf numFmtId="3" fontId="78" fillId="2" borderId="0" xfId="0" applyNumberFormat="1" applyFont="1" applyFill="1" applyBorder="1" applyAlignment="1">
      <alignment horizontal="right" vertical="center" wrapText="1"/>
    </xf>
    <xf numFmtId="3" fontId="78" fillId="2" borderId="34" xfId="0" applyNumberFormat="1" applyFont="1" applyFill="1" applyBorder="1" applyAlignment="1">
      <alignment horizontal="right" vertical="center" wrapText="1"/>
    </xf>
    <xf numFmtId="0" fontId="100" fillId="0" borderId="0" xfId="0" applyFont="1" applyAlignment="1">
      <alignment horizontal="right"/>
    </xf>
    <xf numFmtId="3" fontId="100" fillId="9" borderId="0" xfId="0" applyNumberFormat="1" applyFont="1" applyFill="1" applyBorder="1" applyAlignment="1">
      <alignment horizontal="center" vertical="center" wrapText="1"/>
    </xf>
    <xf numFmtId="0" fontId="101" fillId="33" borderId="0" xfId="0" applyFont="1" applyFill="1" applyAlignment="1">
      <alignment horizontal="left" vertical="center" wrapText="1"/>
    </xf>
    <xf numFmtId="0" fontId="52" fillId="33" borderId="0" xfId="0" applyFont="1" applyFill="1" applyAlignment="1">
      <alignment horizontal="left" vertical="center" wrapText="1"/>
    </xf>
    <xf numFmtId="3" fontId="76" fillId="0" borderId="0" xfId="0" applyNumberFormat="1" applyFont="1" applyFill="1" applyBorder="1" applyAlignment="1">
      <alignment horizontal="center" vertical="center" wrapText="1"/>
    </xf>
    <xf numFmtId="0" fontId="70" fillId="0" borderId="0" xfId="0" applyFont="1" applyAlignment="1">
      <alignment horizontal="center" vertical="center" wrapText="1"/>
    </xf>
    <xf numFmtId="0" fontId="102" fillId="0" borderId="0" xfId="0" applyFont="1" applyAlignment="1">
      <alignment horizontal="left" vertical="center"/>
    </xf>
    <xf numFmtId="0" fontId="68" fillId="29" borderId="24" xfId="0" applyFont="1" applyFill="1" applyBorder="1"/>
    <xf numFmtId="0" fontId="68" fillId="7" borderId="24" xfId="0" applyFont="1" applyFill="1" applyBorder="1" applyAlignment="1">
      <alignment vertical="center"/>
    </xf>
    <xf numFmtId="0" fontId="56" fillId="0" borderId="24" xfId="0" applyFont="1" applyBorder="1" applyAlignment="1">
      <alignment horizontal="left" indent="1"/>
    </xf>
    <xf numFmtId="0" fontId="67" fillId="5" borderId="24" xfId="0" applyFont="1" applyFill="1" applyBorder="1" applyAlignment="1">
      <alignment horizontal="left" indent="1"/>
    </xf>
    <xf numFmtId="0" fontId="56" fillId="0" borderId="0" xfId="0" applyFont="1" applyAlignment="1">
      <alignment horizontal="left" indent="1"/>
    </xf>
    <xf numFmtId="0" fontId="66" fillId="0" borderId="24" xfId="0" applyFont="1" applyBorder="1"/>
    <xf numFmtId="0" fontId="68" fillId="5" borderId="24" xfId="0" applyFont="1" applyFill="1" applyBorder="1"/>
    <xf numFmtId="0" fontId="66" fillId="5" borderId="24" xfId="0" applyFont="1" applyFill="1" applyBorder="1"/>
    <xf numFmtId="0" fontId="56" fillId="5" borderId="24" xfId="0" applyFont="1" applyFill="1" applyBorder="1"/>
    <xf numFmtId="0" fontId="66" fillId="19" borderId="24" xfId="0" applyFont="1" applyFill="1" applyBorder="1"/>
    <xf numFmtId="0" fontId="56" fillId="19" borderId="24" xfId="0" applyFont="1" applyFill="1" applyBorder="1"/>
    <xf numFmtId="0" fontId="56" fillId="5" borderId="24" xfId="0" applyFont="1" applyFill="1" applyBorder="1" applyAlignment="1">
      <alignment horizontal="left" indent="1"/>
    </xf>
    <xf numFmtId="0" fontId="56" fillId="0" borderId="24" xfId="0" applyFont="1" applyBorder="1" applyAlignment="1"/>
    <xf numFmtId="0" fontId="66" fillId="0" borderId="24" xfId="0" applyFont="1" applyFill="1" applyBorder="1"/>
    <xf numFmtId="0" fontId="56" fillId="19" borderId="24" xfId="0" applyFont="1" applyFill="1" applyBorder="1" applyAlignment="1">
      <alignment horizontal="left" indent="1"/>
    </xf>
    <xf numFmtId="0" fontId="66" fillId="19" borderId="24" xfId="0" applyFont="1" applyFill="1" applyBorder="1" applyAlignment="1">
      <alignment horizontal="left"/>
    </xf>
    <xf numFmtId="0" fontId="68" fillId="5" borderId="24" xfId="0" applyFont="1" applyFill="1" applyBorder="1" applyAlignment="1">
      <alignment horizontal="left" indent="1"/>
    </xf>
    <xf numFmtId="0" fontId="56" fillId="0" borderId="24" xfId="0" applyFont="1" applyFill="1" applyBorder="1" applyAlignment="1">
      <alignment horizontal="left" indent="1"/>
    </xf>
    <xf numFmtId="0" fontId="66" fillId="0" borderId="0" xfId="0" applyFont="1" applyAlignment="1">
      <alignment vertical="center"/>
    </xf>
    <xf numFmtId="0" fontId="68" fillId="7" borderId="24" xfId="0" applyFont="1" applyFill="1" applyBorder="1" applyAlignment="1">
      <alignment vertical="center" wrapText="1"/>
    </xf>
    <xf numFmtId="0" fontId="68" fillId="5" borderId="47" xfId="0" applyFont="1" applyFill="1" applyBorder="1"/>
    <xf numFmtId="0" fontId="67" fillId="5" borderId="47" xfId="0" applyFont="1" applyFill="1" applyBorder="1"/>
    <xf numFmtId="0" fontId="103" fillId="5" borderId="47" xfId="0" applyFont="1" applyFill="1" applyBorder="1"/>
    <xf numFmtId="0" fontId="103" fillId="5" borderId="24" xfId="0" applyFont="1" applyFill="1" applyBorder="1"/>
    <xf numFmtId="0" fontId="104" fillId="5" borderId="24" xfId="0" applyFont="1" applyFill="1" applyBorder="1"/>
    <xf numFmtId="0" fontId="103" fillId="5" borderId="24" xfId="0" applyFont="1" applyFill="1" applyBorder="1" applyAlignment="1">
      <alignment horizontal="left"/>
    </xf>
    <xf numFmtId="177" fontId="75" fillId="7" borderId="23" xfId="0" applyNumberFormat="1" applyFont="1" applyFill="1" applyBorder="1" applyAlignment="1">
      <alignment horizontal="center" vertical="center" wrapText="1"/>
    </xf>
    <xf numFmtId="177" fontId="74" fillId="2" borderId="0" xfId="0" applyNumberFormat="1" applyFont="1" applyFill="1" applyBorder="1" applyAlignment="1">
      <alignment horizontal="center" vertical="center" wrapText="1"/>
    </xf>
    <xf numFmtId="0" fontId="0" fillId="0" borderId="0" xfId="0"/>
    <xf numFmtId="0" fontId="73" fillId="2" borderId="0" xfId="0" applyFont="1" applyFill="1" applyBorder="1" applyAlignment="1">
      <alignment horizontal="left" wrapText="1"/>
    </xf>
    <xf numFmtId="0" fontId="73" fillId="2" borderId="0" xfId="0" applyFont="1" applyFill="1" applyBorder="1" applyAlignment="1">
      <alignment horizontal="left" vertical="center" wrapText="1"/>
    </xf>
    <xf numFmtId="0" fontId="72" fillId="32" borderId="0" xfId="0" applyFont="1" applyFill="1" applyAlignment="1">
      <alignment vertical="center"/>
    </xf>
    <xf numFmtId="177" fontId="96" fillId="25" borderId="0" xfId="0" applyNumberFormat="1" applyFont="1" applyFill="1" applyBorder="1" applyAlignment="1">
      <alignment horizontal="center" vertical="center" wrapText="1"/>
    </xf>
    <xf numFmtId="0" fontId="81" fillId="9" borderId="0" xfId="0" applyFont="1" applyFill="1" applyAlignment="1">
      <alignment vertical="center" wrapText="1"/>
    </xf>
    <xf numFmtId="14" fontId="78" fillId="3" borderId="0" xfId="0" applyNumberFormat="1" applyFont="1" applyFill="1" applyBorder="1" applyAlignment="1">
      <alignment horizontal="right" vertical="center" wrapText="1"/>
    </xf>
    <xf numFmtId="0" fontId="71" fillId="31" borderId="0" xfId="0" applyFont="1" applyFill="1" applyAlignment="1">
      <alignment horizontal="center" vertical="center" wrapText="1"/>
    </xf>
    <xf numFmtId="0" fontId="52" fillId="0" borderId="0" xfId="0" applyFont="1" applyBorder="1" applyAlignment="1">
      <alignment horizontal="left" wrapText="1"/>
    </xf>
    <xf numFmtId="3" fontId="76" fillId="12" borderId="0" xfId="0" applyNumberFormat="1" applyFont="1" applyFill="1" applyBorder="1" applyAlignment="1">
      <alignment horizontal="right" vertical="center" wrapText="1"/>
    </xf>
    <xf numFmtId="3" fontId="52" fillId="11" borderId="0" xfId="2" applyNumberFormat="1" applyFont="1" applyFill="1" applyBorder="1" applyAlignment="1">
      <alignment horizontal="right" wrapText="1"/>
    </xf>
    <xf numFmtId="0" fontId="81" fillId="9" borderId="0" xfId="0" applyFont="1" applyFill="1" applyAlignment="1">
      <alignment horizontal="right" vertical="center" wrapText="1"/>
    </xf>
    <xf numFmtId="3" fontId="76" fillId="31" borderId="0" xfId="0" applyNumberFormat="1" applyFont="1" applyFill="1" applyBorder="1" applyAlignment="1">
      <alignment horizontal="right" vertical="center" wrapText="1"/>
    </xf>
    <xf numFmtId="0" fontId="99" fillId="0" borderId="17" xfId="0" applyFont="1" applyBorder="1" applyAlignment="1">
      <alignment horizontal="left" vertical="center" wrapText="1"/>
    </xf>
    <xf numFmtId="3" fontId="99" fillId="11" borderId="17" xfId="2" applyNumberFormat="1" applyFont="1" applyFill="1" applyBorder="1" applyAlignment="1">
      <alignment horizontal="right" vertical="center" wrapText="1"/>
    </xf>
    <xf numFmtId="3" fontId="99" fillId="31" borderId="17" xfId="2" applyNumberFormat="1" applyFont="1" applyFill="1" applyBorder="1" applyAlignment="1">
      <alignment horizontal="right" vertical="center" wrapText="1"/>
    </xf>
    <xf numFmtId="3" fontId="71" fillId="37" borderId="0" xfId="0" applyNumberFormat="1" applyFont="1" applyFill="1"/>
    <xf numFmtId="167" fontId="71" fillId="0" borderId="0" xfId="2" applyNumberFormat="1" applyFont="1"/>
    <xf numFmtId="0" fontId="108" fillId="0" borderId="0" xfId="12" applyNumberFormat="1" applyFont="1" applyFill="1" applyBorder="1" applyAlignment="1">
      <alignment horizontal="center"/>
    </xf>
    <xf numFmtId="0" fontId="105" fillId="7" borderId="0" xfId="0" applyFont="1" applyFill="1" applyAlignment="1">
      <alignment horizontal="left"/>
    </xf>
    <xf numFmtId="0" fontId="68" fillId="0" borderId="24" xfId="0" applyFont="1" applyBorder="1"/>
    <xf numFmtId="0" fontId="68" fillId="26" borderId="24" xfId="0" applyFont="1" applyFill="1" applyBorder="1"/>
    <xf numFmtId="0" fontId="68" fillId="36" borderId="24" xfId="0" applyFont="1" applyFill="1" applyBorder="1"/>
    <xf numFmtId="0" fontId="68" fillId="0" borderId="0" xfId="0" applyFont="1"/>
    <xf numFmtId="0" fontId="68" fillId="18" borderId="24" xfId="0" applyFont="1" applyFill="1" applyBorder="1"/>
    <xf numFmtId="0" fontId="68" fillId="2" borderId="24" xfId="0" applyFont="1" applyFill="1" applyBorder="1"/>
    <xf numFmtId="0" fontId="68" fillId="35" borderId="24" xfId="0" applyFont="1" applyFill="1" applyBorder="1"/>
    <xf numFmtId="0" fontId="68" fillId="26" borderId="24" xfId="0" applyFont="1" applyFill="1" applyBorder="1" applyAlignment="1">
      <alignment horizontal="left"/>
    </xf>
    <xf numFmtId="0" fontId="68" fillId="2" borderId="24" xfId="0" applyFont="1" applyFill="1" applyBorder="1" applyAlignment="1">
      <alignment horizontal="left"/>
    </xf>
    <xf numFmtId="0" fontId="112" fillId="14" borderId="24" xfId="0" applyFont="1" applyFill="1" applyBorder="1"/>
    <xf numFmtId="0" fontId="56" fillId="0" borderId="28" xfId="0" applyFont="1" applyBorder="1"/>
    <xf numFmtId="0" fontId="56" fillId="0" borderId="29" xfId="0" applyFont="1" applyBorder="1" applyAlignment="1">
      <alignment horizontal="center"/>
    </xf>
    <xf numFmtId="0" fontId="56" fillId="0" borderId="30" xfId="0" applyFont="1" applyBorder="1"/>
    <xf numFmtId="0" fontId="56" fillId="0" borderId="9" xfId="0" applyFont="1" applyBorder="1" applyAlignment="1">
      <alignment horizontal="center"/>
    </xf>
    <xf numFmtId="0" fontId="66" fillId="0" borderId="31" xfId="0" applyFont="1" applyBorder="1"/>
    <xf numFmtId="0" fontId="69" fillId="0" borderId="32" xfId="0" applyFont="1" applyBorder="1" applyAlignment="1">
      <alignment horizontal="center"/>
    </xf>
    <xf numFmtId="9" fontId="69" fillId="0" borderId="29" xfId="2" applyFont="1" applyBorder="1" applyAlignment="1">
      <alignment horizontal="center"/>
    </xf>
    <xf numFmtId="9" fontId="69" fillId="0" borderId="9" xfId="2" applyFont="1" applyBorder="1" applyAlignment="1">
      <alignment horizontal="center"/>
    </xf>
    <xf numFmtId="0" fontId="56" fillId="0" borderId="31" xfId="0" applyFont="1" applyBorder="1"/>
    <xf numFmtId="9" fontId="69" fillId="0" borderId="32" xfId="2" applyFont="1" applyBorder="1" applyAlignment="1">
      <alignment horizontal="center"/>
    </xf>
    <xf numFmtId="0" fontId="56" fillId="0" borderId="28" xfId="0" applyFont="1" applyFill="1" applyBorder="1"/>
    <xf numFmtId="178" fontId="71" fillId="0" borderId="0" xfId="0" applyNumberFormat="1" applyFont="1" applyAlignment="1">
      <alignment vertical="center"/>
    </xf>
    <xf numFmtId="0" fontId="105" fillId="7" borderId="0" xfId="0" applyFont="1" applyFill="1" applyAlignment="1">
      <alignment horizontal="left"/>
    </xf>
    <xf numFmtId="0" fontId="71" fillId="0" borderId="0" xfId="0" applyFont="1" applyAlignment="1">
      <alignment vertical="center"/>
    </xf>
    <xf numFmtId="0" fontId="73" fillId="2" borderId="0" xfId="0" applyFont="1" applyFill="1" applyBorder="1" applyAlignment="1">
      <alignment horizontal="left" wrapText="1"/>
    </xf>
    <xf numFmtId="0" fontId="71" fillId="0" borderId="0" xfId="0" applyFont="1" applyAlignment="1"/>
    <xf numFmtId="0" fontId="6" fillId="0" borderId="0" xfId="0" applyFont="1"/>
    <xf numFmtId="0" fontId="6" fillId="0" borderId="0" xfId="0" applyFont="1" applyFill="1"/>
    <xf numFmtId="179" fontId="72" fillId="3" borderId="35" xfId="1" applyNumberFormat="1" applyFont="1" applyFill="1" applyBorder="1" applyAlignment="1">
      <alignment horizontal="right" vertical="center" wrapText="1" readingOrder="1"/>
    </xf>
    <xf numFmtId="179" fontId="72" fillId="2" borderId="35" xfId="1" applyNumberFormat="1" applyFont="1" applyFill="1" applyBorder="1" applyAlignment="1">
      <alignment horizontal="right" vertical="center" wrapText="1" readingOrder="1"/>
    </xf>
    <xf numFmtId="179" fontId="72" fillId="3" borderId="26" xfId="1" applyNumberFormat="1" applyFont="1" applyFill="1" applyBorder="1" applyAlignment="1">
      <alignment horizontal="right" vertical="center" wrapText="1" readingOrder="1"/>
    </xf>
    <xf numFmtId="179" fontId="72" fillId="2" borderId="26" xfId="1" applyNumberFormat="1" applyFont="1" applyFill="1" applyBorder="1" applyAlignment="1">
      <alignment horizontal="right" vertical="center" wrapText="1" readingOrder="1"/>
    </xf>
    <xf numFmtId="0" fontId="71" fillId="0" borderId="0" xfId="0" applyFont="1" applyAlignment="1">
      <alignment vertical="center"/>
    </xf>
    <xf numFmtId="177" fontId="74" fillId="2" borderId="0" xfId="0" applyNumberFormat="1" applyFont="1" applyFill="1" applyBorder="1" applyAlignment="1">
      <alignment horizontal="center" vertical="center" wrapText="1"/>
    </xf>
    <xf numFmtId="177" fontId="75" fillId="7" borderId="23" xfId="0" applyNumberFormat="1" applyFont="1" applyFill="1" applyBorder="1" applyAlignment="1">
      <alignment horizontal="center" vertical="center" wrapText="1"/>
    </xf>
    <xf numFmtId="0" fontId="72" fillId="32" borderId="0" xfId="0" applyFont="1" applyFill="1" applyAlignment="1">
      <alignment vertical="center"/>
    </xf>
    <xf numFmtId="169" fontId="66" fillId="4" borderId="0" xfId="1" applyNumberFormat="1" applyFont="1" applyFill="1" applyAlignment="1">
      <alignment horizontal="center" vertical="center" wrapText="1"/>
    </xf>
    <xf numFmtId="169" fontId="66" fillId="0" borderId="0" xfId="1" applyNumberFormat="1" applyFont="1"/>
    <xf numFmtId="169" fontId="66" fillId="0" borderId="0" xfId="1" applyNumberFormat="1" applyFont="1" applyFill="1"/>
    <xf numFmtId="169" fontId="66" fillId="31" borderId="0" xfId="1" applyNumberFormat="1" applyFont="1" applyFill="1"/>
    <xf numFmtId="179" fontId="77" fillId="16" borderId="1" xfId="0" applyNumberFormat="1" applyFont="1" applyFill="1" applyBorder="1" applyAlignment="1">
      <alignment horizontal="right" vertical="center" wrapText="1" readingOrder="1"/>
    </xf>
    <xf numFmtId="179" fontId="77" fillId="0" borderId="1" xfId="0" applyNumberFormat="1" applyFont="1" applyFill="1" applyBorder="1" applyAlignment="1">
      <alignment horizontal="right" vertical="center" wrapText="1" readingOrder="1"/>
    </xf>
    <xf numFmtId="179" fontId="77" fillId="16" borderId="2" xfId="0" applyNumberFormat="1" applyFont="1" applyFill="1" applyBorder="1" applyAlignment="1">
      <alignment horizontal="right" vertical="center" wrapText="1" readingOrder="1"/>
    </xf>
    <xf numFmtId="179" fontId="77" fillId="0" borderId="2" xfId="0" applyNumberFormat="1" applyFont="1" applyFill="1" applyBorder="1" applyAlignment="1">
      <alignment horizontal="right" vertical="center" wrapText="1" readingOrder="1"/>
    </xf>
    <xf numFmtId="179" fontId="77" fillId="16" borderId="0" xfId="0" applyNumberFormat="1" applyFont="1" applyFill="1" applyBorder="1" applyAlignment="1">
      <alignment horizontal="right" vertical="center" wrapText="1" readingOrder="1"/>
    </xf>
    <xf numFmtId="179" fontId="77" fillId="0" borderId="0" xfId="0" applyNumberFormat="1" applyFont="1" applyFill="1" applyBorder="1" applyAlignment="1">
      <alignment horizontal="right" vertical="center" wrapText="1" readingOrder="1"/>
    </xf>
    <xf numFmtId="179" fontId="77" fillId="16" borderId="0" xfId="0" applyNumberFormat="1" applyFont="1" applyFill="1" applyAlignment="1">
      <alignment horizontal="right" vertical="center" wrapText="1" readingOrder="1"/>
    </xf>
    <xf numFmtId="179" fontId="77" fillId="0" borderId="0" xfId="0" applyNumberFormat="1" applyFont="1" applyFill="1" applyAlignment="1">
      <alignment horizontal="right" vertical="center" wrapText="1" readingOrder="1"/>
    </xf>
    <xf numFmtId="176" fontId="77" fillId="0" borderId="2" xfId="1" applyNumberFormat="1" applyFont="1" applyFill="1" applyBorder="1" applyAlignment="1">
      <alignment horizontal="right" vertical="center" wrapText="1"/>
    </xf>
    <xf numFmtId="179" fontId="76" fillId="0" borderId="8" xfId="1" applyNumberFormat="1" applyFont="1" applyFill="1" applyBorder="1" applyAlignment="1">
      <alignment horizontal="right" vertical="center" wrapText="1" readingOrder="1"/>
    </xf>
    <xf numFmtId="0" fontId="75" fillId="2" borderId="35" xfId="0" applyFont="1" applyFill="1" applyBorder="1" applyAlignment="1">
      <alignment vertical="center" wrapText="1"/>
    </xf>
    <xf numFmtId="0" fontId="83" fillId="0" borderId="0" xfId="0" applyFont="1" applyAlignment="1">
      <alignment horizontal="left" vertical="center"/>
    </xf>
    <xf numFmtId="0" fontId="114" fillId="0" borderId="0" xfId="0" applyFont="1" applyFill="1" applyBorder="1"/>
    <xf numFmtId="0" fontId="115" fillId="41" borderId="0" xfId="0" applyFont="1" applyFill="1" applyBorder="1"/>
    <xf numFmtId="0" fontId="114" fillId="0" borderId="0" xfId="0" applyFont="1" applyFill="1" applyBorder="1" applyAlignment="1">
      <alignment horizontal="center"/>
    </xf>
    <xf numFmtId="0" fontId="114" fillId="0" borderId="0" xfId="0" applyFont="1" applyFill="1" applyBorder="1" applyAlignment="1">
      <alignment horizontal="left"/>
    </xf>
    <xf numFmtId="0" fontId="114" fillId="0" borderId="0" xfId="0" applyFont="1" applyFill="1" applyBorder="1" applyAlignment="1">
      <alignment horizontal="center" vertical="center"/>
    </xf>
    <xf numFmtId="0" fontId="114" fillId="0" borderId="0" xfId="0" applyFont="1" applyFill="1" applyBorder="1" applyAlignment="1"/>
    <xf numFmtId="0" fontId="108" fillId="0" borderId="0" xfId="0" applyFont="1" applyFill="1" applyBorder="1" applyAlignment="1">
      <alignment horizontal="left"/>
    </xf>
    <xf numFmtId="0" fontId="108" fillId="0" borderId="0" xfId="0" applyFont="1" applyFill="1" applyBorder="1" applyAlignment="1">
      <alignment horizontal="center" wrapText="1"/>
    </xf>
    <xf numFmtId="0" fontId="116" fillId="0" borderId="0" xfId="0" applyFont="1" applyFill="1" applyBorder="1"/>
    <xf numFmtId="0" fontId="116" fillId="0" borderId="0" xfId="0" applyFont="1" applyFill="1" applyBorder="1" applyAlignment="1">
      <alignment horizontal="center"/>
    </xf>
    <xf numFmtId="14" fontId="116" fillId="0" borderId="0" xfId="0" applyNumberFormat="1" applyFont="1" applyFill="1" applyBorder="1" applyAlignment="1">
      <alignment horizontal="left"/>
    </xf>
    <xf numFmtId="0" fontId="108" fillId="0" borderId="0" xfId="0" applyFont="1" applyFill="1" applyBorder="1" applyAlignment="1">
      <alignment horizontal="center"/>
    </xf>
    <xf numFmtId="0" fontId="116" fillId="0" borderId="0" xfId="0" applyFont="1" applyFill="1" applyBorder="1" applyAlignment="1">
      <alignment horizontal="center" vertical="center"/>
    </xf>
    <xf numFmtId="0" fontId="114" fillId="0" borderId="0" xfId="0" applyFont="1" applyFill="1" applyBorder="1" applyAlignment="1">
      <alignment horizontal="left" vertical="center"/>
    </xf>
    <xf numFmtId="0" fontId="117" fillId="0" borderId="0" xfId="0" applyFont="1" applyFill="1" applyBorder="1" applyAlignment="1">
      <alignment horizontal="center" vertical="center"/>
    </xf>
    <xf numFmtId="0" fontId="108" fillId="0" borderId="0" xfId="0" applyFont="1" applyFill="1" applyBorder="1" applyAlignment="1">
      <alignment horizontal="left" vertical="center"/>
    </xf>
    <xf numFmtId="0" fontId="118" fillId="0" borderId="0" xfId="0" applyFont="1" applyFill="1" applyBorder="1" applyAlignment="1">
      <alignment vertical="center"/>
    </xf>
    <xf numFmtId="0" fontId="116" fillId="42" borderId="48" xfId="0" applyFont="1" applyFill="1" applyBorder="1" applyAlignment="1">
      <alignment horizontal="center" vertical="center" wrapText="1"/>
    </xf>
    <xf numFmtId="0" fontId="119" fillId="43" borderId="48" xfId="0" applyFont="1" applyFill="1" applyBorder="1" applyAlignment="1">
      <alignment horizontal="center" vertical="center"/>
    </xf>
    <xf numFmtId="0" fontId="119" fillId="44" borderId="48" xfId="0" applyFont="1" applyFill="1" applyBorder="1" applyAlignment="1">
      <alignment horizontal="center" vertical="center"/>
    </xf>
    <xf numFmtId="0" fontId="119" fillId="45" borderId="48" xfId="0" applyFont="1" applyFill="1" applyBorder="1" applyAlignment="1">
      <alignment horizontal="center" vertical="center"/>
    </xf>
    <xf numFmtId="0" fontId="119" fillId="46" borderId="48" xfId="0" applyFont="1" applyFill="1" applyBorder="1" applyAlignment="1">
      <alignment horizontal="center" vertical="center"/>
    </xf>
    <xf numFmtId="0" fontId="119" fillId="27" borderId="48" xfId="0" applyFont="1" applyFill="1" applyBorder="1" applyAlignment="1">
      <alignment horizontal="center" vertical="center"/>
    </xf>
    <xf numFmtId="0" fontId="119" fillId="47" borderId="48" xfId="0" applyFont="1" applyFill="1" applyBorder="1" applyAlignment="1">
      <alignment horizontal="center" vertical="center"/>
    </xf>
    <xf numFmtId="0" fontId="119" fillId="48" borderId="48" xfId="0" applyFont="1" applyFill="1" applyBorder="1" applyAlignment="1">
      <alignment horizontal="center" vertical="center"/>
    </xf>
    <xf numFmtId="0" fontId="116" fillId="42" borderId="48" xfId="0" applyFont="1" applyFill="1" applyBorder="1" applyAlignment="1">
      <alignment horizontal="center" vertical="center"/>
    </xf>
    <xf numFmtId="0" fontId="116" fillId="42" borderId="48" xfId="0" quotePrefix="1" applyFont="1" applyFill="1" applyBorder="1" applyAlignment="1">
      <alignment horizontal="center" vertical="center"/>
    </xf>
    <xf numFmtId="0" fontId="120" fillId="42" borderId="0" xfId="0" applyFont="1" applyFill="1" applyBorder="1" applyAlignment="1">
      <alignment horizontal="center" vertical="center" wrapText="1"/>
    </xf>
    <xf numFmtId="180" fontId="115" fillId="16" borderId="46" xfId="0" applyNumberFormat="1" applyFont="1" applyFill="1" applyBorder="1" applyAlignment="1">
      <alignment horizontal="center" vertical="center" wrapText="1"/>
    </xf>
    <xf numFmtId="0" fontId="108" fillId="0" borderId="24" xfId="0" applyFont="1" applyFill="1" applyBorder="1"/>
    <xf numFmtId="14" fontId="108" fillId="0" borderId="24" xfId="0" applyNumberFormat="1" applyFont="1" applyFill="1" applyBorder="1" applyAlignment="1">
      <alignment horizontal="center"/>
    </xf>
    <xf numFmtId="0" fontId="108" fillId="0" borderId="24" xfId="0" applyFont="1" applyFill="1" applyBorder="1" applyAlignment="1">
      <alignment horizontal="left"/>
    </xf>
    <xf numFmtId="0" fontId="108" fillId="0" borderId="24" xfId="12" applyFont="1" applyFill="1" applyBorder="1" applyAlignment="1">
      <alignment horizontal="center" vertical="center"/>
    </xf>
    <xf numFmtId="0" fontId="119" fillId="0" borderId="49" xfId="12" applyFont="1" applyFill="1" applyBorder="1" applyAlignment="1">
      <alignment horizontal="left" vertical="center"/>
    </xf>
    <xf numFmtId="0" fontId="119" fillId="0" borderId="0" xfId="12" applyFont="1" applyFill="1" applyBorder="1" applyAlignment="1">
      <alignment horizontal="left" vertical="center"/>
    </xf>
    <xf numFmtId="0" fontId="108" fillId="0" borderId="49" xfId="12" applyNumberFormat="1" applyFont="1" applyFill="1" applyBorder="1" applyAlignment="1">
      <alignment horizontal="center" vertical="center"/>
    </xf>
    <xf numFmtId="0" fontId="119" fillId="0" borderId="50" xfId="12" applyFont="1" applyFill="1" applyBorder="1" applyAlignment="1">
      <alignment horizontal="center" vertical="center" wrapText="1"/>
    </xf>
    <xf numFmtId="0" fontId="119" fillId="0" borderId="50" xfId="12" applyFont="1" applyFill="1" applyBorder="1" applyAlignment="1">
      <alignment horizontal="left" vertical="center" wrapText="1"/>
    </xf>
    <xf numFmtId="0" fontId="119" fillId="0" borderId="50" xfId="12" applyFont="1" applyFill="1" applyBorder="1" applyAlignment="1">
      <alignment horizontal="left" vertical="center"/>
    </xf>
    <xf numFmtId="0" fontId="119" fillId="0" borderId="51" xfId="12" applyFont="1" applyFill="1" applyBorder="1" applyAlignment="1">
      <alignment horizontal="left" vertical="center" wrapText="1"/>
    </xf>
    <xf numFmtId="0" fontId="119" fillId="0" borderId="52" xfId="12" applyFont="1" applyFill="1" applyBorder="1" applyAlignment="1">
      <alignment horizontal="center" vertical="center" wrapText="1"/>
    </xf>
    <xf numFmtId="0" fontId="108" fillId="49" borderId="52" xfId="12" applyNumberFormat="1" applyFont="1" applyFill="1" applyBorder="1" applyAlignment="1">
      <alignment horizontal="center" vertical="center"/>
    </xf>
    <xf numFmtId="0" fontId="108" fillId="50" borderId="52" xfId="12" applyNumberFormat="1" applyFont="1" applyFill="1" applyBorder="1" applyAlignment="1">
      <alignment horizontal="center" vertical="center"/>
    </xf>
    <xf numFmtId="37" fontId="108" fillId="0" borderId="50" xfId="12" applyNumberFormat="1" applyFont="1" applyFill="1" applyBorder="1" applyAlignment="1">
      <alignment horizontal="right" vertical="center" wrapText="1"/>
    </xf>
    <xf numFmtId="0" fontId="119" fillId="44" borderId="24" xfId="12" applyFont="1" applyFill="1" applyBorder="1" applyAlignment="1">
      <alignment horizontal="left" vertical="center"/>
    </xf>
    <xf numFmtId="0" fontId="119" fillId="44" borderId="0" xfId="12" applyFont="1" applyFill="1" applyBorder="1" applyAlignment="1">
      <alignment horizontal="left" vertical="center"/>
    </xf>
    <xf numFmtId="0" fontId="108" fillId="44" borderId="24" xfId="12" applyNumberFormat="1" applyFont="1" applyFill="1" applyBorder="1" applyAlignment="1">
      <alignment horizontal="center" vertical="center"/>
    </xf>
    <xf numFmtId="0" fontId="119" fillId="44" borderId="53" xfId="12" applyFont="1" applyFill="1" applyBorder="1" applyAlignment="1">
      <alignment horizontal="center" vertical="center" wrapText="1"/>
    </xf>
    <xf numFmtId="0" fontId="119" fillId="44" borderId="53" xfId="12" applyFont="1" applyFill="1" applyBorder="1" applyAlignment="1">
      <alignment horizontal="left" vertical="center" wrapText="1"/>
    </xf>
    <xf numFmtId="0" fontId="119" fillId="44" borderId="53" xfId="12" applyFont="1" applyFill="1" applyBorder="1" applyAlignment="1">
      <alignment horizontal="left" vertical="center"/>
    </xf>
    <xf numFmtId="0" fontId="119" fillId="44" borderId="54" xfId="12" applyFont="1" applyFill="1" applyBorder="1" applyAlignment="1">
      <alignment horizontal="left" vertical="center" wrapText="1"/>
    </xf>
    <xf numFmtId="0" fontId="108" fillId="0" borderId="52" xfId="12" applyFont="1" applyFill="1" applyBorder="1" applyAlignment="1">
      <alignment horizontal="left" vertical="center" wrapText="1"/>
    </xf>
    <xf numFmtId="0" fontId="108" fillId="0" borderId="52" xfId="12" applyFont="1" applyFill="1" applyBorder="1" applyAlignment="1">
      <alignment horizontal="center" vertical="center" wrapText="1"/>
    </xf>
    <xf numFmtId="37" fontId="119" fillId="44" borderId="53" xfId="12" applyNumberFormat="1" applyFont="1" applyFill="1" applyBorder="1" applyAlignment="1">
      <alignment horizontal="right" vertical="center" wrapText="1"/>
    </xf>
    <xf numFmtId="0" fontId="119" fillId="0" borderId="24" xfId="12" applyFont="1" applyFill="1" applyBorder="1" applyAlignment="1">
      <alignment horizontal="left"/>
    </xf>
    <xf numFmtId="0" fontId="119" fillId="51" borderId="24" xfId="12" applyFont="1" applyFill="1" applyBorder="1" applyAlignment="1">
      <alignment horizontal="left"/>
    </xf>
    <xf numFmtId="0" fontId="119" fillId="51" borderId="0" xfId="12" applyFont="1" applyFill="1" applyBorder="1" applyAlignment="1">
      <alignment horizontal="left"/>
    </xf>
    <xf numFmtId="0" fontId="108" fillId="51" borderId="24" xfId="12" applyNumberFormat="1" applyFont="1" applyFill="1" applyBorder="1" applyAlignment="1">
      <alignment horizontal="center"/>
    </xf>
    <xf numFmtId="0" fontId="119" fillId="51" borderId="53" xfId="12" applyFont="1" applyFill="1" applyBorder="1" applyAlignment="1">
      <alignment horizontal="center" vertical="center" wrapText="1"/>
    </xf>
    <xf numFmtId="0" fontId="119" fillId="51" borderId="53" xfId="12" applyFont="1" applyFill="1" applyBorder="1" applyAlignment="1">
      <alignment horizontal="left" vertical="center" wrapText="1"/>
    </xf>
    <xf numFmtId="0" fontId="119" fillId="51" borderId="53" xfId="12" applyFont="1" applyFill="1" applyBorder="1" applyAlignment="1">
      <alignment horizontal="left" vertical="center"/>
    </xf>
    <xf numFmtId="0" fontId="119" fillId="51" borderId="54" xfId="12" applyFont="1" applyFill="1" applyBorder="1" applyAlignment="1">
      <alignment horizontal="left" vertical="center" wrapText="1"/>
    </xf>
    <xf numFmtId="37" fontId="119" fillId="51" borderId="53" xfId="12" applyNumberFormat="1" applyFont="1" applyFill="1" applyBorder="1" applyAlignment="1">
      <alignment horizontal="right" vertical="center" wrapText="1"/>
    </xf>
    <xf numFmtId="0" fontId="108" fillId="0" borderId="0" xfId="0" applyFont="1" applyFill="1" applyBorder="1"/>
    <xf numFmtId="0" fontId="108" fillId="0" borderId="24" xfId="12" applyNumberFormat="1" applyFont="1" applyFill="1" applyBorder="1" applyAlignment="1">
      <alignment horizontal="center"/>
    </xf>
    <xf numFmtId="0" fontId="108" fillId="0" borderId="53" xfId="12" applyFont="1" applyFill="1" applyBorder="1" applyAlignment="1">
      <alignment horizontal="center" vertical="center"/>
    </xf>
    <xf numFmtId="0" fontId="108" fillId="0" borderId="53" xfId="12" applyFont="1" applyFill="1" applyBorder="1" applyAlignment="1">
      <alignment horizontal="left" vertical="center"/>
    </xf>
    <xf numFmtId="0" fontId="108" fillId="0" borderId="54" xfId="12" applyFont="1" applyFill="1" applyBorder="1" applyAlignment="1">
      <alignment horizontal="left" vertical="center"/>
    </xf>
    <xf numFmtId="37" fontId="108" fillId="0" borderId="53" xfId="12" applyNumberFormat="1" applyFont="1" applyFill="1" applyBorder="1" applyAlignment="1">
      <alignment horizontal="right" vertical="center"/>
    </xf>
    <xf numFmtId="0" fontId="108" fillId="52" borderId="24" xfId="0" applyFont="1" applyFill="1" applyBorder="1"/>
    <xf numFmtId="14" fontId="108" fillId="52" borderId="24" xfId="0" applyNumberFormat="1" applyFont="1" applyFill="1" applyBorder="1" applyAlignment="1">
      <alignment horizontal="center"/>
    </xf>
    <xf numFmtId="0" fontId="108" fillId="52" borderId="24" xfId="0" applyFont="1" applyFill="1" applyBorder="1" applyAlignment="1">
      <alignment horizontal="left"/>
    </xf>
    <xf numFmtId="0" fontId="108" fillId="52" borderId="24" xfId="12" applyFont="1" applyFill="1" applyBorder="1" applyAlignment="1">
      <alignment horizontal="center" vertical="center"/>
    </xf>
    <xf numFmtId="0" fontId="119" fillId="52" borderId="24" xfId="12" applyFont="1" applyFill="1" applyBorder="1" applyAlignment="1">
      <alignment horizontal="left"/>
    </xf>
    <xf numFmtId="0" fontId="119" fillId="52" borderId="50" xfId="12" applyFont="1" applyFill="1" applyBorder="1" applyAlignment="1">
      <alignment horizontal="center" vertical="center" wrapText="1"/>
    </xf>
    <xf numFmtId="0" fontId="119" fillId="52" borderId="50" xfId="12" applyFont="1" applyFill="1" applyBorder="1" applyAlignment="1">
      <alignment horizontal="left" vertical="center"/>
    </xf>
    <xf numFmtId="0" fontId="108" fillId="52" borderId="52" xfId="12" applyFont="1" applyFill="1" applyBorder="1" applyAlignment="1">
      <alignment horizontal="left" vertical="center" wrapText="1"/>
    </xf>
    <xf numFmtId="0" fontId="108" fillId="53" borderId="52" xfId="0" applyFont="1" applyFill="1" applyBorder="1" applyAlignment="1">
      <alignment horizontal="center"/>
    </xf>
    <xf numFmtId="0" fontId="108" fillId="52" borderId="52" xfId="12" applyFont="1" applyFill="1" applyBorder="1" applyAlignment="1">
      <alignment horizontal="center" vertical="center" wrapText="1"/>
    </xf>
    <xf numFmtId="0" fontId="119" fillId="46" borderId="24" xfId="12" applyFont="1" applyFill="1" applyBorder="1" applyAlignment="1">
      <alignment horizontal="left"/>
    </xf>
    <xf numFmtId="0" fontId="119" fillId="46" borderId="0" xfId="12" applyFont="1" applyFill="1" applyBorder="1" applyAlignment="1">
      <alignment horizontal="left"/>
    </xf>
    <xf numFmtId="0" fontId="108" fillId="46" borderId="24" xfId="12" applyNumberFormat="1" applyFont="1" applyFill="1" applyBorder="1" applyAlignment="1">
      <alignment horizontal="center"/>
    </xf>
    <xf numFmtId="0" fontId="119" fillId="46" borderId="53" xfId="12" applyFont="1" applyFill="1" applyBorder="1" applyAlignment="1">
      <alignment horizontal="center" vertical="center" wrapText="1"/>
    </xf>
    <xf numFmtId="0" fontId="119" fillId="46" borderId="53" xfId="12" applyFont="1" applyFill="1" applyBorder="1" applyAlignment="1">
      <alignment horizontal="left" vertical="center" wrapText="1"/>
    </xf>
    <xf numFmtId="0" fontId="119" fillId="46" borderId="53" xfId="12" applyFont="1" applyFill="1" applyBorder="1" applyAlignment="1">
      <alignment horizontal="left" vertical="center"/>
    </xf>
    <xf numFmtId="0" fontId="119" fillId="46" borderId="54" xfId="12" applyFont="1" applyFill="1" applyBorder="1" applyAlignment="1">
      <alignment horizontal="left" vertical="center" wrapText="1"/>
    </xf>
    <xf numFmtId="37" fontId="119" fillId="46" borderId="53" xfId="12" applyNumberFormat="1" applyFont="1" applyFill="1" applyBorder="1" applyAlignment="1">
      <alignment horizontal="right" vertical="center" wrapText="1"/>
    </xf>
    <xf numFmtId="0" fontId="108" fillId="52" borderId="24" xfId="12" applyFont="1" applyFill="1" applyBorder="1"/>
    <xf numFmtId="0" fontId="108" fillId="52" borderId="0" xfId="12" applyFont="1" applyFill="1" applyBorder="1"/>
    <xf numFmtId="0" fontId="108" fillId="52" borderId="24" xfId="12" applyNumberFormat="1" applyFont="1" applyFill="1" applyBorder="1" applyAlignment="1">
      <alignment horizontal="center"/>
    </xf>
    <xf numFmtId="0" fontId="108" fillId="52" borderId="53" xfId="12" applyFont="1" applyFill="1" applyBorder="1" applyAlignment="1">
      <alignment horizontal="center" vertical="center"/>
    </xf>
    <xf numFmtId="0" fontId="108" fillId="52" borderId="53" xfId="12" applyFont="1" applyFill="1" applyBorder="1" applyAlignment="1">
      <alignment horizontal="left" vertical="center"/>
    </xf>
    <xf numFmtId="0" fontId="108" fillId="52" borderId="54" xfId="12" applyFont="1" applyFill="1" applyBorder="1" applyAlignment="1">
      <alignment horizontal="left" vertical="center"/>
    </xf>
    <xf numFmtId="37" fontId="108" fillId="52" borderId="53" xfId="12" applyNumberFormat="1" applyFont="1" applyFill="1" applyBorder="1" applyAlignment="1">
      <alignment horizontal="right" vertical="center"/>
    </xf>
    <xf numFmtId="0" fontId="108" fillId="0" borderId="24" xfId="12" applyFont="1" applyFill="1" applyBorder="1"/>
    <xf numFmtId="0" fontId="108" fillId="0" borderId="0" xfId="12" applyFont="1" applyFill="1" applyBorder="1"/>
    <xf numFmtId="0" fontId="119" fillId="51" borderId="55" xfId="12" applyFont="1" applyFill="1" applyBorder="1" applyAlignment="1">
      <alignment horizontal="left" vertical="center"/>
    </xf>
    <xf numFmtId="0" fontId="119" fillId="0" borderId="24" xfId="12" applyFont="1" applyFill="1" applyBorder="1" applyAlignment="1">
      <alignment horizontal="left" vertical="center" wrapText="1"/>
    </xf>
    <xf numFmtId="0" fontId="119" fillId="46" borderId="24" xfId="12" applyFont="1" applyFill="1" applyBorder="1" applyAlignment="1">
      <alignment horizontal="left" vertical="center" wrapText="1"/>
    </xf>
    <xf numFmtId="0" fontId="119" fillId="46" borderId="0" xfId="12" applyFont="1" applyFill="1" applyBorder="1" applyAlignment="1">
      <alignment horizontal="left" vertical="center" wrapText="1"/>
    </xf>
    <xf numFmtId="0" fontId="119" fillId="46" borderId="24" xfId="12" applyFont="1" applyFill="1" applyBorder="1" applyAlignment="1">
      <alignment horizontal="center" vertical="center" wrapText="1"/>
    </xf>
    <xf numFmtId="0" fontId="119" fillId="46" borderId="55" xfId="12" applyFont="1" applyFill="1" applyBorder="1" applyAlignment="1">
      <alignment horizontal="left" vertical="center"/>
    </xf>
    <xf numFmtId="0" fontId="119" fillId="27" borderId="24" xfId="12" applyFont="1" applyFill="1" applyBorder="1" applyAlignment="1">
      <alignment horizontal="left" vertical="center" wrapText="1"/>
    </xf>
    <xf numFmtId="0" fontId="119" fillId="27" borderId="0" xfId="12" applyFont="1" applyFill="1" applyBorder="1" applyAlignment="1">
      <alignment horizontal="left" vertical="center" wrapText="1"/>
    </xf>
    <xf numFmtId="0" fontId="119" fillId="27" borderId="24" xfId="12" applyFont="1" applyFill="1" applyBorder="1" applyAlignment="1">
      <alignment horizontal="center" vertical="center" wrapText="1"/>
    </xf>
    <xf numFmtId="0" fontId="119" fillId="27" borderId="53" xfId="12" applyFont="1" applyFill="1" applyBorder="1" applyAlignment="1">
      <alignment horizontal="center" vertical="center" wrapText="1"/>
    </xf>
    <xf numFmtId="0" fontId="119" fillId="27" borderId="53" xfId="12" applyFont="1" applyFill="1" applyBorder="1" applyAlignment="1">
      <alignment horizontal="left" vertical="center" wrapText="1"/>
    </xf>
    <xf numFmtId="0" fontId="119" fillId="27" borderId="53" xfId="12" applyFont="1" applyFill="1" applyBorder="1" applyAlignment="1">
      <alignment horizontal="left" vertical="center"/>
    </xf>
    <xf numFmtId="0" fontId="119" fillId="27" borderId="55" xfId="12" applyFont="1" applyFill="1" applyBorder="1" applyAlignment="1">
      <alignment horizontal="left" vertical="center"/>
    </xf>
    <xf numFmtId="0" fontId="119" fillId="27" borderId="54" xfId="12" applyFont="1" applyFill="1" applyBorder="1" applyAlignment="1">
      <alignment horizontal="left" vertical="center" wrapText="1"/>
    </xf>
    <xf numFmtId="37" fontId="119" fillId="27" borderId="53" xfId="12" applyNumberFormat="1" applyFont="1" applyFill="1" applyBorder="1" applyAlignment="1">
      <alignment horizontal="right" vertical="center" wrapText="1"/>
    </xf>
    <xf numFmtId="0" fontId="119" fillId="27" borderId="24" xfId="12" applyFont="1" applyFill="1" applyBorder="1" applyAlignment="1">
      <alignment horizontal="left"/>
    </xf>
    <xf numFmtId="0" fontId="119" fillId="27" borderId="0" xfId="12" applyFont="1" applyFill="1" applyBorder="1" applyAlignment="1">
      <alignment horizontal="left"/>
    </xf>
    <xf numFmtId="0" fontId="108" fillId="27" borderId="24" xfId="12" applyNumberFormat="1" applyFont="1" applyFill="1" applyBorder="1" applyAlignment="1">
      <alignment horizontal="center"/>
    </xf>
    <xf numFmtId="0" fontId="119" fillId="0" borderId="24" xfId="14" applyFont="1" applyFill="1" applyBorder="1" applyAlignment="1">
      <alignment horizontal="left"/>
    </xf>
    <xf numFmtId="0" fontId="119" fillId="38" borderId="24" xfId="14" applyFont="1" applyFill="1" applyBorder="1" applyAlignment="1">
      <alignment horizontal="left"/>
    </xf>
    <xf numFmtId="0" fontId="119" fillId="38" borderId="0" xfId="14" applyFont="1" applyFill="1" applyBorder="1" applyAlignment="1">
      <alignment horizontal="left"/>
    </xf>
    <xf numFmtId="0" fontId="108" fillId="38" borderId="24" xfId="14" applyFont="1" applyFill="1" applyBorder="1" applyAlignment="1">
      <alignment horizontal="center"/>
    </xf>
    <xf numFmtId="0" fontId="119" fillId="38" borderId="53" xfId="14" applyFont="1" applyFill="1" applyBorder="1" applyAlignment="1">
      <alignment horizontal="center" vertical="center" wrapText="1"/>
    </xf>
    <xf numFmtId="0" fontId="119" fillId="38" borderId="53" xfId="14" applyFont="1" applyFill="1" applyBorder="1" applyAlignment="1">
      <alignment horizontal="left" vertical="center" wrapText="1"/>
    </xf>
    <xf numFmtId="0" fontId="119" fillId="38" borderId="53" xfId="14" applyFont="1" applyFill="1" applyBorder="1" applyAlignment="1">
      <alignment horizontal="left" vertical="center"/>
    </xf>
    <xf numFmtId="0" fontId="119" fillId="38" borderId="55" xfId="14" applyFont="1" applyFill="1" applyBorder="1" applyAlignment="1">
      <alignment horizontal="left" vertical="center"/>
    </xf>
    <xf numFmtId="0" fontId="119" fillId="38" borderId="54" xfId="14" applyFont="1" applyFill="1" applyBorder="1" applyAlignment="1">
      <alignment horizontal="left" vertical="center" wrapText="1"/>
    </xf>
    <xf numFmtId="37" fontId="119" fillId="38" borderId="53" xfId="14" applyNumberFormat="1" applyFont="1" applyFill="1" applyBorder="1" applyAlignment="1">
      <alignment horizontal="right" vertical="center" wrapText="1"/>
    </xf>
    <xf numFmtId="0" fontId="119" fillId="0" borderId="24" xfId="12" applyFont="1" applyFill="1" applyBorder="1" applyAlignment="1">
      <alignment horizontal="left" indent="4"/>
    </xf>
    <xf numFmtId="0" fontId="119" fillId="0" borderId="0" xfId="12" applyFont="1" applyFill="1" applyBorder="1" applyAlignment="1">
      <alignment horizontal="left" indent="4"/>
    </xf>
    <xf numFmtId="0" fontId="108" fillId="54" borderId="52" xfId="0" applyFont="1" applyFill="1" applyBorder="1" applyAlignment="1">
      <alignment horizontal="center" vertical="center"/>
    </xf>
    <xf numFmtId="0" fontId="119" fillId="27" borderId="24" xfId="12" applyFont="1" applyFill="1" applyBorder="1" applyAlignment="1">
      <alignment horizontal="center" vertical="center"/>
    </xf>
    <xf numFmtId="0" fontId="119" fillId="27" borderId="24" xfId="12" applyFont="1" applyFill="1" applyBorder="1" applyAlignment="1">
      <alignment horizontal="left" vertical="center"/>
    </xf>
    <xf numFmtId="0" fontId="119" fillId="27" borderId="13" xfId="12" applyFont="1" applyFill="1" applyBorder="1" applyAlignment="1">
      <alignment horizontal="left" vertical="center"/>
    </xf>
    <xf numFmtId="37" fontId="119" fillId="27" borderId="56" xfId="12" applyNumberFormat="1" applyFont="1" applyFill="1" applyBorder="1" applyAlignment="1">
      <alignment horizontal="right" vertical="center"/>
    </xf>
    <xf numFmtId="0" fontId="119" fillId="38" borderId="57" xfId="14" applyFont="1" applyFill="1" applyBorder="1" applyAlignment="1">
      <alignment horizontal="center"/>
    </xf>
    <xf numFmtId="0" fontId="108" fillId="38" borderId="57" xfId="14" applyFont="1" applyFill="1" applyBorder="1" applyAlignment="1">
      <alignment horizontal="center"/>
    </xf>
    <xf numFmtId="0" fontId="119" fillId="51" borderId="24" xfId="12" applyFont="1" applyFill="1" applyBorder="1" applyAlignment="1">
      <alignment horizontal="center"/>
    </xf>
    <xf numFmtId="0" fontId="119" fillId="46" borderId="24" xfId="12" applyFont="1" applyFill="1" applyBorder="1" applyAlignment="1">
      <alignment horizontal="center"/>
    </xf>
    <xf numFmtId="0" fontId="119" fillId="27" borderId="24" xfId="12" applyFont="1" applyFill="1" applyBorder="1" applyAlignment="1">
      <alignment horizontal="center"/>
    </xf>
    <xf numFmtId="0" fontId="119" fillId="38" borderId="24" xfId="14" applyFont="1" applyFill="1" applyBorder="1" applyAlignment="1">
      <alignment horizontal="center"/>
    </xf>
    <xf numFmtId="0" fontId="108" fillId="0" borderId="24" xfId="12" applyFont="1" applyFill="1" applyBorder="1" applyAlignment="1">
      <alignment horizontal="center"/>
    </xf>
    <xf numFmtId="0" fontId="108" fillId="0" borderId="0" xfId="12" applyFont="1" applyFill="1" applyBorder="1" applyAlignment="1">
      <alignment horizontal="center"/>
    </xf>
    <xf numFmtId="0" fontId="119" fillId="48" borderId="0" xfId="14" applyFont="1" applyFill="1" applyBorder="1" applyAlignment="1">
      <alignment horizontal="left"/>
    </xf>
    <xf numFmtId="0" fontId="108" fillId="48" borderId="24" xfId="14" applyFont="1" applyFill="1" applyBorder="1" applyAlignment="1">
      <alignment horizontal="center"/>
    </xf>
    <xf numFmtId="0" fontId="119" fillId="48" borderId="58" xfId="14" applyFont="1" applyFill="1" applyBorder="1" applyAlignment="1">
      <alignment horizontal="center" vertical="center" wrapText="1"/>
    </xf>
    <xf numFmtId="0" fontId="119" fillId="48" borderId="58" xfId="14" applyFont="1" applyFill="1" applyBorder="1" applyAlignment="1">
      <alignment horizontal="left" vertical="center" wrapText="1"/>
    </xf>
    <xf numFmtId="0" fontId="119" fillId="48" borderId="58" xfId="14" applyFont="1" applyFill="1" applyBorder="1" applyAlignment="1">
      <alignment horizontal="left" vertical="center"/>
    </xf>
    <xf numFmtId="0" fontId="119" fillId="48" borderId="54" xfId="14" applyFont="1" applyFill="1" applyBorder="1" applyAlignment="1">
      <alignment horizontal="left" vertical="center" wrapText="1"/>
    </xf>
    <xf numFmtId="37" fontId="119" fillId="48" borderId="53" xfId="14" applyNumberFormat="1" applyFont="1" applyFill="1" applyBorder="1" applyAlignment="1">
      <alignment horizontal="right" vertical="center" wrapText="1"/>
    </xf>
    <xf numFmtId="0" fontId="108" fillId="55" borderId="52" xfId="0" applyFont="1" applyFill="1" applyBorder="1" applyAlignment="1">
      <alignment horizontal="left" vertical="center"/>
    </xf>
    <xf numFmtId="0" fontId="119" fillId="48" borderId="24" xfId="14" applyFont="1" applyFill="1" applyBorder="1" applyAlignment="1">
      <alignment horizontal="center"/>
    </xf>
    <xf numFmtId="0" fontId="119" fillId="48" borderId="24" xfId="14" applyFont="1" applyFill="1" applyBorder="1" applyAlignment="1">
      <alignment horizontal="center" vertical="center"/>
    </xf>
    <xf numFmtId="0" fontId="119" fillId="48" borderId="24" xfId="14" applyFont="1" applyFill="1" applyBorder="1" applyAlignment="1">
      <alignment horizontal="left" vertical="center"/>
    </xf>
    <xf numFmtId="0" fontId="119" fillId="48" borderId="13" xfId="14" applyFont="1" applyFill="1" applyBorder="1" applyAlignment="1">
      <alignment horizontal="left" vertical="center"/>
    </xf>
    <xf numFmtId="37" fontId="119" fillId="48" borderId="56" xfId="14" applyNumberFormat="1" applyFont="1" applyFill="1" applyBorder="1" applyAlignment="1">
      <alignment horizontal="right" vertical="center"/>
    </xf>
    <xf numFmtId="0" fontId="108" fillId="38" borderId="57" xfId="14" applyNumberFormat="1" applyFont="1" applyFill="1" applyBorder="1" applyAlignment="1">
      <alignment horizontal="center"/>
    </xf>
    <xf numFmtId="0" fontId="119" fillId="0" borderId="53" xfId="12" applyFont="1" applyFill="1" applyBorder="1" applyAlignment="1">
      <alignment horizontal="left" vertical="center"/>
    </xf>
    <xf numFmtId="0" fontId="119" fillId="44" borderId="24" xfId="12" applyFont="1" applyFill="1" applyBorder="1" applyAlignment="1">
      <alignment horizontal="center" vertical="center"/>
    </xf>
    <xf numFmtId="0" fontId="119" fillId="44" borderId="13" xfId="12" applyFont="1" applyFill="1" applyBorder="1" applyAlignment="1">
      <alignment horizontal="center" vertical="center"/>
    </xf>
    <xf numFmtId="0" fontId="119" fillId="44" borderId="13" xfId="12" applyFont="1" applyFill="1" applyBorder="1" applyAlignment="1">
      <alignment horizontal="left" vertical="center"/>
    </xf>
    <xf numFmtId="37" fontId="119" fillId="44" borderId="56" xfId="12" applyNumberFormat="1" applyFont="1" applyFill="1" applyBorder="1" applyAlignment="1">
      <alignment horizontal="right" vertical="center"/>
    </xf>
    <xf numFmtId="0" fontId="119" fillId="0" borderId="24" xfId="12" applyFont="1" applyFill="1" applyBorder="1" applyAlignment="1"/>
    <xf numFmtId="0" fontId="119" fillId="51" borderId="24" xfId="12" applyFont="1" applyFill="1" applyBorder="1" applyAlignment="1"/>
    <xf numFmtId="0" fontId="119" fillId="51" borderId="0" xfId="12" applyFont="1" applyFill="1" applyBorder="1" applyAlignment="1"/>
    <xf numFmtId="0" fontId="119" fillId="51" borderId="13" xfId="12" applyFont="1" applyFill="1" applyBorder="1" applyAlignment="1">
      <alignment horizontal="center"/>
    </xf>
    <xf numFmtId="0" fontId="119" fillId="51" borderId="13" xfId="12" applyFont="1" applyFill="1" applyBorder="1" applyAlignment="1">
      <alignment horizontal="left"/>
    </xf>
    <xf numFmtId="37" fontId="119" fillId="51" borderId="56" xfId="12" applyNumberFormat="1" applyFont="1" applyFill="1" applyBorder="1" applyAlignment="1">
      <alignment horizontal="right"/>
    </xf>
    <xf numFmtId="0" fontId="119" fillId="46" borderId="13" xfId="12" applyFont="1" applyFill="1" applyBorder="1" applyAlignment="1">
      <alignment horizontal="center"/>
    </xf>
    <xf numFmtId="0" fontId="119" fillId="46" borderId="13" xfId="12" applyFont="1" applyFill="1" applyBorder="1" applyAlignment="1">
      <alignment horizontal="left"/>
    </xf>
    <xf numFmtId="37" fontId="119" fillId="46" borderId="56" xfId="12" applyNumberFormat="1" applyFont="1" applyFill="1" applyBorder="1" applyAlignment="1">
      <alignment horizontal="right"/>
    </xf>
    <xf numFmtId="0" fontId="119" fillId="27" borderId="24" xfId="12" applyNumberFormat="1" applyFont="1" applyFill="1" applyBorder="1" applyAlignment="1">
      <alignment horizontal="center"/>
    </xf>
    <xf numFmtId="0" fontId="119" fillId="27" borderId="55" xfId="12" applyFont="1" applyFill="1" applyBorder="1" applyAlignment="1">
      <alignment horizontal="center" vertical="center" wrapText="1"/>
    </xf>
    <xf numFmtId="0" fontId="119" fillId="27" borderId="55" xfId="12" applyFont="1" applyFill="1" applyBorder="1" applyAlignment="1">
      <alignment horizontal="left" vertical="center" wrapText="1"/>
    </xf>
    <xf numFmtId="0" fontId="108" fillId="0" borderId="24" xfId="12" applyFont="1" applyFill="1" applyBorder="1" applyAlignment="1">
      <alignment horizontal="left" vertical="center" wrapText="1" indent="1"/>
    </xf>
    <xf numFmtId="0" fontId="119" fillId="38" borderId="24" xfId="12" applyFont="1" applyFill="1" applyBorder="1" applyAlignment="1">
      <alignment horizontal="left"/>
    </xf>
    <xf numFmtId="0" fontId="119" fillId="38" borderId="0" xfId="12" applyFont="1" applyFill="1" applyBorder="1" applyAlignment="1">
      <alignment horizontal="left"/>
    </xf>
    <xf numFmtId="0" fontId="119" fillId="38" borderId="24" xfId="12" applyNumberFormat="1" applyFont="1" applyFill="1" applyBorder="1" applyAlignment="1">
      <alignment horizontal="center"/>
    </xf>
    <xf numFmtId="0" fontId="119" fillId="38" borderId="55" xfId="12" applyFont="1" applyFill="1" applyBorder="1" applyAlignment="1">
      <alignment horizontal="center" vertical="center" wrapText="1"/>
    </xf>
    <xf numFmtId="0" fontId="119" fillId="38" borderId="55" xfId="12" applyFont="1" applyFill="1" applyBorder="1" applyAlignment="1">
      <alignment horizontal="left" vertical="center" wrapText="1"/>
    </xf>
    <xf numFmtId="0" fontId="119" fillId="38" borderId="55" xfId="12" applyFont="1" applyFill="1" applyBorder="1" applyAlignment="1">
      <alignment horizontal="left" vertical="center"/>
    </xf>
    <xf numFmtId="0" fontId="119" fillId="38" borderId="54" xfId="12" applyFont="1" applyFill="1" applyBorder="1" applyAlignment="1">
      <alignment horizontal="left" vertical="center" wrapText="1"/>
    </xf>
    <xf numFmtId="37" fontId="119" fillId="38" borderId="53" xfId="12" applyNumberFormat="1" applyFont="1" applyFill="1" applyBorder="1" applyAlignment="1">
      <alignment horizontal="right" vertical="center" wrapText="1"/>
    </xf>
    <xf numFmtId="37" fontId="0" fillId="0" borderId="0" xfId="0" applyNumberFormat="1"/>
    <xf numFmtId="0" fontId="108" fillId="0" borderId="0" xfId="12" applyFont="1" applyFill="1" applyBorder="1" applyAlignment="1">
      <alignment horizontal="left" vertical="center" wrapText="1" indent="1"/>
    </xf>
    <xf numFmtId="0" fontId="108" fillId="0" borderId="57" xfId="12" applyNumberFormat="1" applyFont="1" applyFill="1" applyBorder="1" applyAlignment="1">
      <alignment horizontal="center"/>
    </xf>
    <xf numFmtId="0" fontId="108" fillId="16" borderId="14" xfId="12" applyNumberFormat="1" applyFont="1" applyFill="1" applyBorder="1" applyAlignment="1">
      <alignment horizontal="left"/>
    </xf>
    <xf numFmtId="0" fontId="108" fillId="16" borderId="24" xfId="12" applyFont="1" applyFill="1" applyBorder="1"/>
    <xf numFmtId="0" fontId="108" fillId="16" borderId="0" xfId="12" applyFont="1" applyFill="1" applyBorder="1"/>
    <xf numFmtId="0" fontId="108" fillId="16" borderId="24" xfId="12" applyNumberFormat="1" applyFont="1" applyFill="1" applyBorder="1" applyAlignment="1">
      <alignment horizontal="center"/>
    </xf>
    <xf numFmtId="0" fontId="108" fillId="16" borderId="53" xfId="12" applyFont="1" applyFill="1" applyBorder="1" applyAlignment="1">
      <alignment horizontal="center" vertical="center"/>
    </xf>
    <xf numFmtId="0" fontId="108" fillId="16" borderId="53" xfId="12" applyFont="1" applyFill="1" applyBorder="1" applyAlignment="1">
      <alignment horizontal="left" vertical="center"/>
    </xf>
    <xf numFmtId="0" fontId="119" fillId="16" borderId="50" xfId="12" applyFont="1" applyFill="1" applyBorder="1" applyAlignment="1">
      <alignment horizontal="center" vertical="center" wrapText="1"/>
    </xf>
    <xf numFmtId="0" fontId="119" fillId="16" borderId="50" xfId="12" applyFont="1" applyFill="1" applyBorder="1" applyAlignment="1">
      <alignment horizontal="left" vertical="center"/>
    </xf>
    <xf numFmtId="0" fontId="108" fillId="16" borderId="54" xfId="12" applyFont="1" applyFill="1" applyBorder="1" applyAlignment="1">
      <alignment horizontal="left" vertical="center"/>
    </xf>
    <xf numFmtId="0" fontId="108" fillId="16" borderId="52" xfId="12" applyFont="1" applyFill="1" applyBorder="1" applyAlignment="1">
      <alignment horizontal="left" vertical="center" wrapText="1"/>
    </xf>
    <xf numFmtId="0" fontId="108" fillId="39" borderId="52" xfId="12" applyNumberFormat="1" applyFont="1" applyFill="1" applyBorder="1" applyAlignment="1">
      <alignment horizontal="center" vertical="center"/>
    </xf>
    <xf numFmtId="0" fontId="108" fillId="16" borderId="52" xfId="12" applyFont="1" applyFill="1" applyBorder="1" applyAlignment="1">
      <alignment horizontal="center" vertical="center" wrapText="1"/>
    </xf>
    <xf numFmtId="37" fontId="108" fillId="16" borderId="53" xfId="12" applyNumberFormat="1" applyFont="1" applyFill="1" applyBorder="1" applyAlignment="1">
      <alignment horizontal="right" vertical="center"/>
    </xf>
    <xf numFmtId="0" fontId="108" fillId="56" borderId="53" xfId="12" applyFont="1" applyFill="1" applyBorder="1" applyAlignment="1">
      <alignment horizontal="left" vertical="center"/>
    </xf>
    <xf numFmtId="0" fontId="108" fillId="12" borderId="24" xfId="0" applyFont="1" applyFill="1" applyBorder="1"/>
    <xf numFmtId="14" fontId="108" fillId="12" borderId="24" xfId="0" applyNumberFormat="1" applyFont="1" applyFill="1" applyBorder="1" applyAlignment="1">
      <alignment horizontal="center"/>
    </xf>
    <xf numFmtId="0" fontId="121" fillId="0" borderId="52" xfId="12" applyFont="1" applyFill="1" applyBorder="1" applyAlignment="1">
      <alignment horizontal="left" vertical="center" wrapText="1"/>
    </xf>
    <xf numFmtId="0" fontId="108" fillId="0" borderId="53" xfId="12" applyFont="1" applyFill="1" applyBorder="1" applyAlignment="1">
      <alignment horizontal="left" vertical="center" wrapText="1"/>
    </xf>
    <xf numFmtId="37" fontId="108" fillId="0" borderId="53" xfId="12" applyNumberFormat="1" applyFont="1" applyFill="1" applyBorder="1" applyAlignment="1">
      <alignment horizontal="right" vertical="center" wrapText="1"/>
    </xf>
    <xf numFmtId="0" fontId="122" fillId="40" borderId="24" xfId="0" applyFont="1" applyFill="1" applyBorder="1"/>
    <xf numFmtId="14" fontId="122" fillId="0" borderId="24" xfId="0" applyNumberFormat="1" applyFont="1" applyFill="1" applyBorder="1" applyAlignment="1">
      <alignment horizontal="center"/>
    </xf>
    <xf numFmtId="0" fontId="108" fillId="57" borderId="52" xfId="0" applyFont="1" applyFill="1" applyBorder="1" applyAlignment="1">
      <alignment horizontal="center"/>
    </xf>
    <xf numFmtId="0" fontId="108" fillId="0" borderId="54" xfId="12" applyFont="1" applyFill="1" applyBorder="1" applyAlignment="1">
      <alignment horizontal="center" vertical="center"/>
    </xf>
    <xf numFmtId="0" fontId="108" fillId="38" borderId="24" xfId="12" applyNumberFormat="1" applyFont="1" applyFill="1" applyBorder="1" applyAlignment="1">
      <alignment horizontal="center"/>
    </xf>
    <xf numFmtId="0" fontId="119" fillId="38" borderId="57" xfId="12" applyNumberFormat="1" applyFont="1" applyFill="1" applyBorder="1" applyAlignment="1">
      <alignment horizontal="center"/>
    </xf>
    <xf numFmtId="0" fontId="108" fillId="0" borderId="53" xfId="12" applyFont="1" applyFill="1" applyBorder="1" applyAlignment="1">
      <alignment horizontal="left" vertical="center" indent="1"/>
    </xf>
    <xf numFmtId="37" fontId="108" fillId="0" borderId="53" xfId="12" applyNumberFormat="1" applyFont="1" applyFill="1" applyBorder="1" applyAlignment="1">
      <alignment horizontal="right" vertical="center" indent="1"/>
    </xf>
    <xf numFmtId="0" fontId="108" fillId="0" borderId="13" xfId="12" applyFont="1" applyFill="1" applyBorder="1" applyAlignment="1">
      <alignment horizontal="center" vertical="center"/>
    </xf>
    <xf numFmtId="0" fontId="108" fillId="0" borderId="13" xfId="12" applyFont="1" applyFill="1" applyBorder="1" applyAlignment="1">
      <alignment horizontal="left" vertical="center"/>
    </xf>
    <xf numFmtId="0" fontId="108" fillId="56" borderId="53" xfId="12" applyFont="1" applyFill="1" applyBorder="1" applyAlignment="1">
      <alignment horizontal="left" vertical="center" wrapText="1"/>
    </xf>
    <xf numFmtId="0" fontId="108" fillId="46" borderId="24" xfId="12" applyFont="1" applyFill="1" applyBorder="1" applyAlignment="1">
      <alignment horizontal="center"/>
    </xf>
    <xf numFmtId="0" fontId="119" fillId="0" borderId="13" xfId="12" applyFont="1" applyFill="1" applyBorder="1" applyAlignment="1">
      <alignment horizontal="center"/>
    </xf>
    <xf numFmtId="0" fontId="119" fillId="0" borderId="13" xfId="12" applyFont="1" applyFill="1" applyBorder="1" applyAlignment="1">
      <alignment horizontal="left"/>
    </xf>
    <xf numFmtId="0" fontId="122" fillId="58" borderId="59" xfId="12" applyNumberFormat="1" applyFont="1" applyFill="1" applyBorder="1" applyAlignment="1">
      <alignment horizontal="center"/>
    </xf>
    <xf numFmtId="0" fontId="119" fillId="0" borderId="24" xfId="12" applyFont="1" applyFill="1" applyBorder="1" applyAlignment="1">
      <alignment horizontal="left" vertical="center" indent="2"/>
    </xf>
    <xf numFmtId="0" fontId="119" fillId="0" borderId="0" xfId="12" applyFont="1" applyFill="1" applyBorder="1" applyAlignment="1">
      <alignment horizontal="left" vertical="center" indent="2"/>
    </xf>
    <xf numFmtId="0" fontId="108" fillId="59" borderId="52" xfId="0" applyFont="1" applyFill="1" applyBorder="1" applyAlignment="1">
      <alignment horizontal="center" vertical="center"/>
    </xf>
    <xf numFmtId="0" fontId="123" fillId="51" borderId="53" xfId="12" applyFont="1" applyFill="1" applyBorder="1" applyAlignment="1">
      <alignment horizontal="left" vertical="center" wrapText="1"/>
    </xf>
    <xf numFmtId="0" fontId="108" fillId="49" borderId="52" xfId="12" applyNumberFormat="1" applyFont="1" applyFill="1" applyBorder="1" applyAlignment="1">
      <alignment horizontal="center"/>
    </xf>
    <xf numFmtId="0" fontId="108" fillId="21" borderId="53" xfId="12" applyFont="1" applyFill="1" applyBorder="1" applyAlignment="1">
      <alignment horizontal="center" vertical="center"/>
    </xf>
    <xf numFmtId="0" fontId="108" fillId="21" borderId="54" xfId="12" applyFont="1" applyFill="1" applyBorder="1" applyAlignment="1">
      <alignment horizontal="left" vertical="center"/>
    </xf>
    <xf numFmtId="0" fontId="119" fillId="0" borderId="24" xfId="12" applyFont="1" applyFill="1" applyBorder="1" applyAlignment="1">
      <alignment horizontal="left" wrapText="1"/>
    </xf>
    <xf numFmtId="0" fontId="119" fillId="46" borderId="24" xfId="12" applyFont="1" applyFill="1" applyBorder="1" applyAlignment="1">
      <alignment horizontal="left" wrapText="1"/>
    </xf>
    <xf numFmtId="0" fontId="119" fillId="46" borderId="0" xfId="12" applyFont="1" applyFill="1" applyBorder="1" applyAlignment="1">
      <alignment horizontal="left" wrapText="1"/>
    </xf>
    <xf numFmtId="0" fontId="119" fillId="46" borderId="24" xfId="12" applyNumberFormat="1" applyFont="1" applyFill="1" applyBorder="1" applyAlignment="1">
      <alignment horizontal="center"/>
    </xf>
    <xf numFmtId="0" fontId="119" fillId="46" borderId="55" xfId="12" applyFont="1" applyFill="1" applyBorder="1" applyAlignment="1">
      <alignment horizontal="center" vertical="center" wrapText="1"/>
    </xf>
    <xf numFmtId="0" fontId="119" fillId="46" borderId="55" xfId="12" applyFont="1" applyFill="1" applyBorder="1" applyAlignment="1">
      <alignment horizontal="left" vertical="center" wrapText="1"/>
    </xf>
    <xf numFmtId="0" fontId="108" fillId="0" borderId="24" xfId="14" applyFont="1" applyFill="1" applyBorder="1"/>
    <xf numFmtId="0" fontId="108" fillId="0" borderId="0" xfId="14" applyFont="1" applyFill="1" applyBorder="1"/>
    <xf numFmtId="0" fontId="108" fillId="0" borderId="24" xfId="14" applyFont="1" applyFill="1" applyBorder="1" applyAlignment="1">
      <alignment horizontal="center"/>
    </xf>
    <xf numFmtId="0" fontId="108" fillId="0" borderId="55" xfId="14" applyFont="1" applyFill="1" applyBorder="1" applyAlignment="1">
      <alignment horizontal="center" vertical="center"/>
    </xf>
    <xf numFmtId="0" fontId="108" fillId="0" borderId="55" xfId="14" applyFont="1" applyFill="1" applyBorder="1" applyAlignment="1">
      <alignment horizontal="left" vertical="center"/>
    </xf>
    <xf numFmtId="0" fontId="108" fillId="0" borderId="54" xfId="14" applyFont="1" applyFill="1" applyBorder="1" applyAlignment="1">
      <alignment horizontal="left" vertical="center"/>
    </xf>
    <xf numFmtId="37" fontId="108" fillId="0" borderId="53" xfId="14" applyNumberFormat="1" applyFont="1" applyFill="1" applyBorder="1" applyAlignment="1">
      <alignment horizontal="right" vertical="center"/>
    </xf>
    <xf numFmtId="0" fontId="122" fillId="60" borderId="60" xfId="12" applyNumberFormat="1" applyFont="1" applyFill="1" applyBorder="1" applyAlignment="1">
      <alignment horizontal="left"/>
    </xf>
    <xf numFmtId="0" fontId="108" fillId="61" borderId="52" xfId="12" applyNumberFormat="1" applyFont="1" applyFill="1" applyBorder="1" applyAlignment="1">
      <alignment horizontal="center" vertical="center"/>
    </xf>
    <xf numFmtId="0" fontId="108" fillId="0" borderId="11" xfId="12" applyFont="1" applyFill="1" applyBorder="1" applyAlignment="1">
      <alignment horizontal="center" vertical="center"/>
    </xf>
    <xf numFmtId="0" fontId="108" fillId="0" borderId="10" xfId="12" applyFont="1" applyFill="1" applyBorder="1" applyAlignment="1">
      <alignment horizontal="left" vertical="center"/>
    </xf>
    <xf numFmtId="0" fontId="108" fillId="0" borderId="10" xfId="12" applyFont="1" applyFill="1" applyBorder="1" applyAlignment="1">
      <alignment horizontal="center" vertical="center"/>
    </xf>
    <xf numFmtId="0" fontId="108" fillId="0" borderId="18" xfId="12" applyFont="1" applyFill="1" applyBorder="1" applyAlignment="1">
      <alignment horizontal="left" vertical="center"/>
    </xf>
    <xf numFmtId="37" fontId="108" fillId="0" borderId="61" xfId="12" applyNumberFormat="1" applyFont="1" applyFill="1" applyBorder="1" applyAlignment="1">
      <alignment horizontal="right" vertical="center"/>
    </xf>
    <xf numFmtId="0" fontId="119" fillId="44" borderId="24" xfId="12" applyFont="1" applyFill="1" applyBorder="1" applyAlignment="1">
      <alignment horizontal="center" vertical="center" wrapText="1"/>
    </xf>
    <xf numFmtId="0" fontId="119" fillId="44" borderId="10" xfId="12" applyFont="1" applyFill="1" applyBorder="1" applyAlignment="1">
      <alignment horizontal="left" vertical="center" wrapText="1"/>
    </xf>
    <xf numFmtId="0" fontId="119" fillId="44" borderId="10" xfId="12" applyFont="1" applyFill="1" applyBorder="1" applyAlignment="1">
      <alignment horizontal="center" vertical="center" wrapText="1"/>
    </xf>
    <xf numFmtId="0" fontId="119" fillId="44" borderId="10" xfId="12" applyFont="1" applyFill="1" applyBorder="1" applyAlignment="1">
      <alignment horizontal="left" vertical="center"/>
    </xf>
    <xf numFmtId="0" fontId="119" fillId="44" borderId="18" xfId="12" applyFont="1" applyFill="1" applyBorder="1" applyAlignment="1">
      <alignment horizontal="left" vertical="center" wrapText="1"/>
    </xf>
    <xf numFmtId="37" fontId="119" fillId="44" borderId="61" xfId="12" applyNumberFormat="1" applyFont="1" applyFill="1" applyBorder="1" applyAlignment="1">
      <alignment horizontal="right" vertical="center" wrapText="1"/>
    </xf>
    <xf numFmtId="0" fontId="119" fillId="51" borderId="24" xfId="12" applyFont="1" applyFill="1" applyBorder="1" applyAlignment="1">
      <alignment horizontal="center" vertical="center" wrapText="1"/>
    </xf>
    <xf numFmtId="0" fontId="119" fillId="51" borderId="10" xfId="12" applyFont="1" applyFill="1" applyBorder="1" applyAlignment="1">
      <alignment horizontal="left" vertical="center" wrapText="1"/>
    </xf>
    <xf numFmtId="0" fontId="119" fillId="51" borderId="10" xfId="12" applyFont="1" applyFill="1" applyBorder="1" applyAlignment="1">
      <alignment horizontal="center" vertical="center" wrapText="1"/>
    </xf>
    <xf numFmtId="0" fontId="119" fillId="51" borderId="10" xfId="12" applyFont="1" applyFill="1" applyBorder="1" applyAlignment="1">
      <alignment horizontal="left" vertical="center"/>
    </xf>
    <xf numFmtId="0" fontId="119" fillId="51" borderId="18" xfId="12" applyFont="1" applyFill="1" applyBorder="1" applyAlignment="1">
      <alignment horizontal="left" vertical="center" wrapText="1"/>
    </xf>
    <xf numFmtId="37" fontId="119" fillId="51" borderId="61" xfId="12" applyNumberFormat="1" applyFont="1" applyFill="1" applyBorder="1" applyAlignment="1">
      <alignment horizontal="right" vertical="center" wrapText="1"/>
    </xf>
    <xf numFmtId="0" fontId="108" fillId="0" borderId="52" xfId="12" applyFont="1" applyFill="1" applyBorder="1" applyAlignment="1">
      <alignment horizontal="center" vertical="center"/>
    </xf>
    <xf numFmtId="37" fontId="124" fillId="34" borderId="53" xfId="12" applyNumberFormat="1" applyFont="1" applyFill="1" applyBorder="1" applyAlignment="1">
      <alignment horizontal="left" vertical="center"/>
    </xf>
    <xf numFmtId="37" fontId="124" fillId="34" borderId="53" xfId="12" applyNumberFormat="1" applyFont="1" applyFill="1" applyBorder="1" applyAlignment="1">
      <alignment horizontal="right" vertical="center"/>
    </xf>
    <xf numFmtId="0" fontId="117" fillId="0" borderId="0" xfId="0" applyFont="1" applyFill="1" applyBorder="1"/>
    <xf numFmtId="0" fontId="117" fillId="0" borderId="0" xfId="0" applyFont="1" applyFill="1" applyBorder="1" applyAlignment="1">
      <alignment horizontal="center"/>
    </xf>
    <xf numFmtId="0" fontId="117" fillId="0" borderId="0" xfId="0" applyFont="1" applyFill="1" applyBorder="1" applyAlignment="1">
      <alignment horizontal="left"/>
    </xf>
    <xf numFmtId="0" fontId="117" fillId="0" borderId="0" xfId="0" applyFont="1" applyFill="1" applyBorder="1" applyAlignment="1"/>
    <xf numFmtId="0" fontId="117" fillId="0" borderId="0" xfId="0" applyFont="1" applyFill="1" applyBorder="1" applyAlignment="1">
      <alignment horizontal="center" wrapText="1"/>
    </xf>
    <xf numFmtId="37" fontId="117" fillId="0" borderId="0" xfId="0" applyNumberFormat="1" applyFont="1" applyFill="1" applyBorder="1"/>
    <xf numFmtId="37" fontId="114" fillId="0" borderId="0" xfId="0" applyNumberFormat="1" applyFont="1" applyFill="1" applyBorder="1"/>
    <xf numFmtId="0" fontId="125" fillId="0" borderId="0" xfId="0" applyFont="1"/>
    <xf numFmtId="0" fontId="125" fillId="0" borderId="0" xfId="0" applyFont="1" applyAlignment="1">
      <alignment horizontal="center" vertical="center"/>
    </xf>
    <xf numFmtId="0" fontId="125" fillId="0" borderId="0" xfId="0" applyFont="1" applyAlignment="1">
      <alignment horizontal="left"/>
    </xf>
    <xf numFmtId="0" fontId="125" fillId="0" borderId="0" xfId="0" applyFont="1" applyAlignment="1">
      <alignment horizontal="center"/>
    </xf>
    <xf numFmtId="0" fontId="125" fillId="0" borderId="0" xfId="0" applyFont="1" applyAlignment="1"/>
    <xf numFmtId="0" fontId="125" fillId="0" borderId="0" xfId="0" applyFont="1" applyFill="1" applyAlignment="1">
      <alignment horizontal="center" vertical="center"/>
    </xf>
    <xf numFmtId="37" fontId="125" fillId="0" borderId="0" xfId="0" applyNumberFormat="1" applyFont="1" applyAlignment="1"/>
    <xf numFmtId="0" fontId="125" fillId="0" borderId="0" xfId="0" applyFont="1" applyFill="1"/>
    <xf numFmtId="0" fontId="115" fillId="0" borderId="0" xfId="0" applyFont="1" applyFill="1" applyBorder="1"/>
    <xf numFmtId="37" fontId="113" fillId="0" borderId="0" xfId="0" applyNumberFormat="1" applyFont="1" applyFill="1" applyBorder="1" applyAlignment="1">
      <alignment vertical="center"/>
    </xf>
    <xf numFmtId="0" fontId="114" fillId="0" borderId="0" xfId="0" applyFont="1" applyFill="1" applyBorder="1" applyAlignment="1">
      <alignment horizontal="right"/>
    </xf>
    <xf numFmtId="0" fontId="114" fillId="0" borderId="0" xfId="0" applyFont="1" applyFill="1" applyBorder="1" applyAlignment="1">
      <alignment horizontal="right" vertical="center"/>
    </xf>
    <xf numFmtId="0" fontId="126" fillId="41" borderId="0" xfId="0" applyFont="1" applyFill="1" applyAlignment="1">
      <alignment horizontal="center"/>
    </xf>
    <xf numFmtId="0" fontId="122" fillId="0" borderId="24" xfId="0" applyFont="1" applyFill="1" applyBorder="1"/>
    <xf numFmtId="0" fontId="125" fillId="0" borderId="24" xfId="0" applyFont="1" applyBorder="1"/>
    <xf numFmtId="0" fontId="127" fillId="0" borderId="24" xfId="0" applyFont="1" applyBorder="1"/>
    <xf numFmtId="0" fontId="122" fillId="0" borderId="62" xfId="14" applyFont="1" applyFill="1" applyBorder="1" applyAlignment="1">
      <alignment horizontal="center"/>
    </xf>
    <xf numFmtId="0" fontId="128" fillId="0" borderId="50" xfId="12" applyFont="1" applyFill="1" applyBorder="1" applyAlignment="1">
      <alignment horizontal="center" vertical="center" wrapText="1"/>
    </xf>
    <xf numFmtId="0" fontId="127" fillId="0" borderId="55" xfId="14" applyFont="1" applyFill="1" applyBorder="1" applyAlignment="1">
      <alignment horizontal="left" vertical="center" wrapText="1" indent="1"/>
    </xf>
    <xf numFmtId="0" fontId="127" fillId="0" borderId="51" xfId="14" applyFont="1" applyFill="1" applyBorder="1" applyAlignment="1">
      <alignment horizontal="left" vertical="center" wrapText="1" indent="1"/>
    </xf>
    <xf numFmtId="0" fontId="128" fillId="0" borderId="50" xfId="12" applyFont="1" applyFill="1" applyBorder="1" applyAlignment="1">
      <alignment horizontal="left" vertical="center"/>
    </xf>
    <xf numFmtId="0" fontId="122" fillId="50" borderId="52" xfId="12" applyNumberFormat="1" applyFont="1" applyFill="1" applyBorder="1" applyAlignment="1">
      <alignment horizontal="center" vertical="center"/>
    </xf>
    <xf numFmtId="0" fontId="128" fillId="0" borderId="52" xfId="12" applyFont="1" applyFill="1" applyBorder="1" applyAlignment="1">
      <alignment horizontal="center" vertical="center" wrapText="1"/>
    </xf>
    <xf numFmtId="37" fontId="127" fillId="0" borderId="51" xfId="14" applyNumberFormat="1" applyFont="1" applyFill="1" applyBorder="1" applyAlignment="1">
      <alignment vertical="center" wrapText="1"/>
    </xf>
    <xf numFmtId="0" fontId="127" fillId="21" borderId="24" xfId="0" applyFont="1" applyFill="1" applyBorder="1"/>
    <xf numFmtId="0" fontId="128" fillId="44" borderId="24" xfId="12" applyNumberFormat="1" applyFont="1" applyFill="1" applyBorder="1" applyAlignment="1">
      <alignment horizontal="center" vertical="center"/>
    </xf>
    <xf numFmtId="0" fontId="127" fillId="44" borderId="55" xfId="12" applyFont="1" applyFill="1" applyBorder="1" applyAlignment="1">
      <alignment horizontal="left" vertical="center"/>
    </xf>
    <xf numFmtId="0" fontId="127" fillId="44" borderId="51" xfId="12" applyFont="1" applyFill="1" applyBorder="1" applyAlignment="1">
      <alignment horizontal="left" vertical="center"/>
    </xf>
    <xf numFmtId="37" fontId="127" fillId="44" borderId="51" xfId="12" applyNumberFormat="1" applyFont="1" applyFill="1" applyBorder="1" applyAlignment="1">
      <alignment vertical="center"/>
    </xf>
    <xf numFmtId="0" fontId="127" fillId="28" borderId="24" xfId="0" applyFont="1" applyFill="1" applyBorder="1"/>
    <xf numFmtId="0" fontId="128" fillId="51" borderId="24" xfId="12" applyNumberFormat="1" applyFont="1" applyFill="1" applyBorder="1" applyAlignment="1">
      <alignment horizontal="center"/>
    </xf>
    <xf numFmtId="0" fontId="127" fillId="51" borderId="55" xfId="12" applyFont="1" applyFill="1" applyBorder="1" applyAlignment="1">
      <alignment horizontal="left" vertical="center"/>
    </xf>
    <xf numFmtId="0" fontId="127" fillId="51" borderId="51" xfId="12" applyFont="1" applyFill="1" applyBorder="1" applyAlignment="1">
      <alignment horizontal="left" vertical="center"/>
    </xf>
    <xf numFmtId="37" fontId="127" fillId="51" borderId="51" xfId="12" applyNumberFormat="1" applyFont="1" applyFill="1" applyBorder="1" applyAlignment="1">
      <alignment vertical="center"/>
    </xf>
    <xf numFmtId="0" fontId="127" fillId="62" borderId="24" xfId="0" applyFont="1" applyFill="1" applyBorder="1"/>
    <xf numFmtId="0" fontId="128" fillId="46" borderId="24" xfId="12" applyNumberFormat="1" applyFont="1" applyFill="1" applyBorder="1" applyAlignment="1">
      <alignment horizontal="center"/>
    </xf>
    <xf numFmtId="0" fontId="127" fillId="46" borderId="55" xfId="12" applyFont="1" applyFill="1" applyBorder="1" applyAlignment="1">
      <alignment horizontal="left" vertical="center" wrapText="1"/>
    </xf>
    <xf numFmtId="0" fontId="127" fillId="46" borderId="51" xfId="12" applyFont="1" applyFill="1" applyBorder="1" applyAlignment="1">
      <alignment horizontal="left" vertical="center" wrapText="1"/>
    </xf>
    <xf numFmtId="37" fontId="127" fillId="46" borderId="51" xfId="12" applyNumberFormat="1" applyFont="1" applyFill="1" applyBorder="1" applyAlignment="1">
      <alignment vertical="center" wrapText="1"/>
    </xf>
    <xf numFmtId="0" fontId="122" fillId="0" borderId="24" xfId="14" applyFont="1" applyFill="1" applyBorder="1" applyAlignment="1">
      <alignment horizontal="center"/>
    </xf>
    <xf numFmtId="0" fontId="122" fillId="0" borderId="55" xfId="14" applyFont="1" applyFill="1" applyBorder="1" applyAlignment="1">
      <alignment horizontal="left" vertical="center" wrapText="1" indent="1"/>
    </xf>
    <xf numFmtId="0" fontId="122" fillId="0" borderId="51" xfId="14" applyFont="1" applyFill="1" applyBorder="1" applyAlignment="1">
      <alignment horizontal="left" vertical="center" wrapText="1" indent="1"/>
    </xf>
    <xf numFmtId="37" fontId="122" fillId="0" borderId="51" xfId="14" applyNumberFormat="1" applyFont="1" applyFill="1" applyBorder="1" applyAlignment="1">
      <alignment vertical="center" wrapText="1"/>
    </xf>
    <xf numFmtId="0" fontId="127" fillId="46" borderId="24" xfId="12" applyFont="1" applyFill="1" applyBorder="1" applyAlignment="1">
      <alignment horizontal="left" vertical="center" wrapText="1"/>
    </xf>
    <xf numFmtId="0" fontId="127" fillId="46" borderId="13" xfId="12" applyFont="1" applyFill="1" applyBorder="1" applyAlignment="1">
      <alignment horizontal="left" vertical="center" wrapText="1"/>
    </xf>
    <xf numFmtId="37" fontId="127" fillId="46" borderId="13" xfId="12" applyNumberFormat="1" applyFont="1" applyFill="1" applyBorder="1" applyAlignment="1">
      <alignment vertical="center" wrapText="1"/>
    </xf>
    <xf numFmtId="0" fontId="127" fillId="63" borderId="24" xfId="0" applyFont="1" applyFill="1" applyBorder="1"/>
    <xf numFmtId="0" fontId="128" fillId="27" borderId="24" xfId="12" applyNumberFormat="1" applyFont="1" applyFill="1" applyBorder="1" applyAlignment="1">
      <alignment horizontal="center"/>
    </xf>
    <xf numFmtId="0" fontId="127" fillId="27" borderId="55" xfId="12" applyFont="1" applyFill="1" applyBorder="1" applyAlignment="1">
      <alignment horizontal="left" vertical="center" wrapText="1"/>
    </xf>
    <xf numFmtId="0" fontId="127" fillId="27" borderId="51" xfId="12" applyFont="1" applyFill="1" applyBorder="1" applyAlignment="1">
      <alignment horizontal="left" vertical="center" wrapText="1"/>
    </xf>
    <xf numFmtId="37" fontId="127" fillId="27" borderId="51" xfId="12" applyNumberFormat="1" applyFont="1" applyFill="1" applyBorder="1" applyAlignment="1">
      <alignment vertical="center" wrapText="1"/>
    </xf>
    <xf numFmtId="0" fontId="127" fillId="11" borderId="24" xfId="0" applyFont="1" applyFill="1" applyBorder="1"/>
    <xf numFmtId="0" fontId="128" fillId="38" borderId="24" xfId="14" applyFont="1" applyFill="1" applyBorder="1" applyAlignment="1">
      <alignment horizontal="center"/>
    </xf>
    <xf numFmtId="0" fontId="127" fillId="38" borderId="55" xfId="14" applyFont="1" applyFill="1" applyBorder="1" applyAlignment="1">
      <alignment horizontal="left" vertical="center" wrapText="1"/>
    </xf>
    <xf numFmtId="0" fontId="127" fillId="38" borderId="51" xfId="14" applyFont="1" applyFill="1" applyBorder="1" applyAlignment="1">
      <alignment horizontal="left" vertical="center" wrapText="1"/>
    </xf>
    <xf numFmtId="37" fontId="127" fillId="38" borderId="51" xfId="14" applyNumberFormat="1" applyFont="1" applyFill="1" applyBorder="1" applyAlignment="1">
      <alignment vertical="center" wrapText="1"/>
    </xf>
    <xf numFmtId="0" fontId="127" fillId="8" borderId="24" xfId="0" applyFont="1" applyFill="1" applyBorder="1"/>
    <xf numFmtId="0" fontId="128" fillId="48" borderId="24" xfId="14" applyFont="1" applyFill="1" applyBorder="1" applyAlignment="1">
      <alignment horizontal="center"/>
    </xf>
    <xf numFmtId="0" fontId="127" fillId="48" borderId="55" xfId="14" applyFont="1" applyFill="1" applyBorder="1" applyAlignment="1">
      <alignment horizontal="left" vertical="center" wrapText="1"/>
    </xf>
    <xf numFmtId="0" fontId="127" fillId="48" borderId="51" xfId="14" applyFont="1" applyFill="1" applyBorder="1" applyAlignment="1">
      <alignment horizontal="left" vertical="center" wrapText="1"/>
    </xf>
    <xf numFmtId="37" fontId="127" fillId="48" borderId="51" xfId="14" applyNumberFormat="1" applyFont="1" applyFill="1" applyBorder="1" applyAlignment="1">
      <alignment vertical="center" wrapText="1"/>
    </xf>
    <xf numFmtId="0" fontId="122" fillId="58" borderId="59" xfId="12" applyNumberFormat="1" applyFont="1" applyFill="1" applyBorder="1" applyAlignment="1"/>
    <xf numFmtId="0" fontId="129" fillId="0" borderId="24" xfId="0" applyFont="1" applyBorder="1"/>
    <xf numFmtId="0" fontId="130" fillId="0" borderId="24" xfId="0" applyFont="1" applyBorder="1"/>
    <xf numFmtId="0" fontId="127" fillId="48" borderId="55" xfId="14" applyFont="1" applyFill="1" applyBorder="1" applyAlignment="1">
      <alignment horizontal="left" vertical="center"/>
    </xf>
    <xf numFmtId="37" fontId="127" fillId="48" borderId="55" xfId="14" applyNumberFormat="1" applyFont="1" applyFill="1" applyBorder="1" applyAlignment="1">
      <alignment vertical="center"/>
    </xf>
    <xf numFmtId="0" fontId="122" fillId="0" borderId="55" xfId="14" applyFont="1" applyFill="1" applyBorder="1" applyAlignment="1">
      <alignment horizontal="left" vertical="center"/>
    </xf>
    <xf numFmtId="37" fontId="122" fillId="0" borderId="55" xfId="14" applyNumberFormat="1" applyFont="1" applyFill="1" applyBorder="1" applyAlignment="1">
      <alignment vertical="center"/>
    </xf>
    <xf numFmtId="0" fontId="127" fillId="27" borderId="24" xfId="12" applyFont="1" applyFill="1" applyBorder="1" applyAlignment="1">
      <alignment horizontal="left" vertical="center" wrapText="1"/>
    </xf>
    <xf numFmtId="0" fontId="127" fillId="27" borderId="13" xfId="12" applyFont="1" applyFill="1" applyBorder="1" applyAlignment="1">
      <alignment horizontal="left" vertical="center" wrapText="1"/>
    </xf>
    <xf numFmtId="37" fontId="127" fillId="27" borderId="13" xfId="12" applyNumberFormat="1" applyFont="1" applyFill="1" applyBorder="1" applyAlignment="1">
      <alignment vertical="center" wrapText="1"/>
    </xf>
    <xf numFmtId="0" fontId="125" fillId="0" borderId="24" xfId="0" applyFont="1" applyFill="1" applyBorder="1"/>
    <xf numFmtId="0" fontId="127" fillId="0" borderId="24" xfId="0" applyFont="1" applyFill="1" applyBorder="1"/>
    <xf numFmtId="0" fontId="122" fillId="0" borderId="55" xfId="14" applyFont="1" applyFill="1" applyBorder="1" applyAlignment="1">
      <alignment horizontal="left" indent="1"/>
    </xf>
    <xf numFmtId="0" fontId="122" fillId="0" borderId="51" xfId="14" applyFont="1" applyFill="1" applyBorder="1" applyAlignment="1">
      <alignment horizontal="left" indent="1"/>
    </xf>
    <xf numFmtId="37" fontId="122" fillId="0" borderId="51" xfId="14" applyNumberFormat="1" applyFont="1" applyFill="1" applyBorder="1" applyAlignment="1"/>
    <xf numFmtId="0" fontId="122" fillId="12" borderId="24" xfId="0" applyFont="1" applyFill="1" applyBorder="1"/>
    <xf numFmtId="14" fontId="122" fillId="12" borderId="24" xfId="0" applyNumberFormat="1" applyFont="1" applyFill="1" applyBorder="1" applyAlignment="1">
      <alignment horizontal="center"/>
    </xf>
    <xf numFmtId="0" fontId="125" fillId="12" borderId="24" xfId="0" applyFont="1" applyFill="1" applyBorder="1"/>
    <xf numFmtId="37" fontId="122" fillId="0" borderId="55" xfId="14" applyNumberFormat="1" applyFont="1" applyFill="1" applyBorder="1" applyAlignment="1">
      <alignment vertical="center" wrapText="1"/>
    </xf>
    <xf numFmtId="0" fontId="129" fillId="0" borderId="0" xfId="0" applyFont="1" applyFill="1" applyAlignment="1">
      <alignment horizontal="center" vertical="center"/>
    </xf>
    <xf numFmtId="0" fontId="134" fillId="38" borderId="51" xfId="14" applyFont="1" applyFill="1" applyBorder="1" applyAlignment="1">
      <alignment horizontal="left" vertical="center" wrapText="1"/>
    </xf>
    <xf numFmtId="0" fontId="135" fillId="23" borderId="27" xfId="0" applyFont="1" applyFill="1" applyBorder="1"/>
    <xf numFmtId="0" fontId="125" fillId="0" borderId="51" xfId="14" applyFont="1" applyFill="1" applyBorder="1" applyAlignment="1">
      <alignment horizontal="left" vertical="center" wrapText="1" indent="1"/>
    </xf>
    <xf numFmtId="0" fontId="122" fillId="60" borderId="59" xfId="12" applyNumberFormat="1" applyFont="1" applyFill="1" applyBorder="1" applyAlignment="1"/>
    <xf numFmtId="0" fontId="127" fillId="0" borderId="55" xfId="14" applyFont="1" applyFill="1" applyBorder="1" applyAlignment="1">
      <alignment horizontal="left" vertical="center" wrapText="1"/>
    </xf>
    <xf numFmtId="0" fontId="127" fillId="62" borderId="24" xfId="0" applyFont="1" applyFill="1" applyBorder="1" applyAlignment="1">
      <alignment vertical="center"/>
    </xf>
    <xf numFmtId="0" fontId="122" fillId="0" borderId="55" xfId="14" applyFont="1" applyFill="1" applyBorder="1" applyAlignment="1">
      <alignment horizontal="left" vertical="center" indent="1"/>
    </xf>
    <xf numFmtId="0" fontId="122" fillId="0" borderId="51" xfId="14" applyFont="1" applyFill="1" applyBorder="1" applyAlignment="1">
      <alignment horizontal="left" vertical="center" indent="1"/>
    </xf>
    <xf numFmtId="37" fontId="122" fillId="0" borderId="51" xfId="14" applyNumberFormat="1" applyFont="1" applyFill="1" applyBorder="1" applyAlignment="1">
      <alignment vertical="center"/>
    </xf>
    <xf numFmtId="0" fontId="122" fillId="0" borderId="24" xfId="14" applyFont="1" applyFill="1" applyBorder="1" applyAlignment="1">
      <alignment horizontal="center" vertical="center"/>
    </xf>
    <xf numFmtId="0" fontId="122" fillId="12" borderId="55" xfId="14" applyFont="1" applyFill="1" applyBorder="1" applyAlignment="1">
      <alignment horizontal="left" vertical="center" wrapText="1" indent="1"/>
    </xf>
    <xf numFmtId="0" fontId="122" fillId="0" borderId="24" xfId="14" applyFont="1" applyFill="1" applyBorder="1" applyAlignment="1">
      <alignment horizontal="left" vertical="center" wrapText="1" indent="1"/>
    </xf>
    <xf numFmtId="0" fontId="122" fillId="0" borderId="13" xfId="14" applyFont="1" applyFill="1" applyBorder="1" applyAlignment="1">
      <alignment horizontal="left" vertical="center" wrapText="1" indent="1"/>
    </xf>
    <xf numFmtId="37" fontId="122" fillId="0" borderId="13" xfId="14" applyNumberFormat="1" applyFont="1" applyFill="1" applyBorder="1" applyAlignment="1">
      <alignment vertical="center" wrapText="1"/>
    </xf>
    <xf numFmtId="0" fontId="127" fillId="48" borderId="24" xfId="14" applyFont="1" applyFill="1" applyBorder="1" applyAlignment="1">
      <alignment horizontal="left" vertical="center" wrapText="1"/>
    </xf>
    <xf numFmtId="0" fontId="127" fillId="48" borderId="13" xfId="14" applyFont="1" applyFill="1" applyBorder="1" applyAlignment="1">
      <alignment horizontal="left" vertical="center" wrapText="1"/>
    </xf>
    <xf numFmtId="37" fontId="127" fillId="48" borderId="13" xfId="14" applyNumberFormat="1" applyFont="1" applyFill="1" applyBorder="1" applyAlignment="1">
      <alignment vertical="center" wrapText="1"/>
    </xf>
    <xf numFmtId="0" fontId="125" fillId="16" borderId="0" xfId="0" applyFont="1" applyFill="1"/>
    <xf numFmtId="0" fontId="114" fillId="16" borderId="0" xfId="0" applyFont="1" applyFill="1" applyBorder="1"/>
    <xf numFmtId="0" fontId="122" fillId="16" borderId="24" xfId="0" applyFont="1" applyFill="1" applyBorder="1"/>
    <xf numFmtId="14" fontId="122" fillId="16" borderId="24" xfId="0" applyNumberFormat="1" applyFont="1" applyFill="1" applyBorder="1" applyAlignment="1">
      <alignment horizontal="center"/>
    </xf>
    <xf numFmtId="0" fontId="125" fillId="16" borderId="24" xfId="0" applyFont="1" applyFill="1" applyBorder="1"/>
    <xf numFmtId="0" fontId="127" fillId="16" borderId="24" xfId="0" applyFont="1" applyFill="1" applyBorder="1"/>
    <xf numFmtId="0" fontId="122" fillId="16" borderId="24" xfId="14" applyFont="1" applyFill="1" applyBorder="1" applyAlignment="1">
      <alignment horizontal="center"/>
    </xf>
    <xf numFmtId="0" fontId="128" fillId="16" borderId="50" xfId="12" applyFont="1" applyFill="1" applyBorder="1" applyAlignment="1">
      <alignment horizontal="center" vertical="center" wrapText="1"/>
    </xf>
    <xf numFmtId="0" fontId="122" fillId="16" borderId="55" xfId="14" applyFont="1" applyFill="1" applyBorder="1" applyAlignment="1">
      <alignment horizontal="left" vertical="center" wrapText="1" indent="1"/>
    </xf>
    <xf numFmtId="0" fontId="122" fillId="16" borderId="51" xfId="14" applyFont="1" applyFill="1" applyBorder="1" applyAlignment="1">
      <alignment horizontal="left" vertical="center" wrapText="1" indent="1"/>
    </xf>
    <xf numFmtId="0" fontId="108" fillId="64" borderId="52" xfId="0" applyFont="1" applyFill="1" applyBorder="1" applyAlignment="1">
      <alignment horizontal="center"/>
    </xf>
    <xf numFmtId="37" fontId="122" fillId="16" borderId="51" xfId="14" applyNumberFormat="1" applyFont="1" applyFill="1" applyBorder="1" applyAlignment="1">
      <alignment vertical="center" wrapText="1"/>
    </xf>
    <xf numFmtId="0" fontId="125" fillId="0" borderId="14" xfId="0" applyFont="1" applyBorder="1"/>
    <xf numFmtId="0" fontId="127" fillId="51" borderId="24" xfId="12" applyFont="1" applyFill="1" applyBorder="1" applyAlignment="1">
      <alignment horizontal="center"/>
    </xf>
    <xf numFmtId="0" fontId="122" fillId="0" borderId="14" xfId="0" applyFont="1" applyFill="1" applyBorder="1"/>
    <xf numFmtId="0" fontId="127" fillId="27" borderId="24" xfId="12" applyFont="1" applyFill="1" applyBorder="1" applyAlignment="1">
      <alignment horizontal="center"/>
    </xf>
    <xf numFmtId="0" fontId="134" fillId="38" borderId="24" xfId="14" applyFont="1" applyFill="1" applyBorder="1" applyAlignment="1">
      <alignment horizontal="center"/>
    </xf>
    <xf numFmtId="0" fontId="125" fillId="0" borderId="0" xfId="0" applyFont="1" applyBorder="1"/>
    <xf numFmtId="0" fontId="127" fillId="0" borderId="24" xfId="0" applyFont="1" applyBorder="1" applyAlignment="1">
      <alignment wrapText="1"/>
    </xf>
    <xf numFmtId="0" fontId="122" fillId="0" borderId="55" xfId="14" applyFont="1" applyFill="1" applyBorder="1" applyAlignment="1">
      <alignment horizontal="center" vertical="center" wrapText="1"/>
    </xf>
    <xf numFmtId="0" fontId="125" fillId="0" borderId="24" xfId="0" applyFont="1" applyFill="1" applyBorder="1" applyAlignment="1">
      <alignment wrapText="1"/>
    </xf>
    <xf numFmtId="0" fontId="125" fillId="0" borderId="24" xfId="0" applyFont="1" applyBorder="1" applyAlignment="1">
      <alignment wrapText="1"/>
    </xf>
    <xf numFmtId="0" fontId="125" fillId="0" borderId="14" xfId="0" applyFont="1" applyBorder="1" applyAlignment="1">
      <alignment wrapText="1"/>
    </xf>
    <xf numFmtId="0" fontId="122" fillId="0" borderId="24" xfId="14" applyFont="1" applyFill="1" applyBorder="1" applyAlignment="1">
      <alignment horizontal="center" wrapText="1"/>
    </xf>
    <xf numFmtId="0" fontId="132" fillId="60" borderId="60" xfId="12" applyNumberFormat="1" applyFont="1" applyFill="1" applyBorder="1" applyAlignment="1">
      <alignment horizontal="left"/>
    </xf>
    <xf numFmtId="4" fontId="122" fillId="0" borderId="55" xfId="14" applyNumberFormat="1" applyFont="1" applyFill="1" applyBorder="1" applyAlignment="1">
      <alignment horizontal="center" vertical="center" wrapText="1"/>
    </xf>
    <xf numFmtId="0" fontId="125" fillId="0" borderId="13" xfId="0" applyFont="1" applyBorder="1"/>
    <xf numFmtId="0" fontId="122" fillId="0" borderId="13" xfId="14" applyFont="1" applyFill="1" applyBorder="1" applyAlignment="1">
      <alignment horizontal="center" vertical="center" wrapText="1"/>
    </xf>
    <xf numFmtId="0" fontId="122" fillId="15" borderId="59" xfId="12" applyNumberFormat="1" applyFont="1" applyFill="1" applyBorder="1" applyAlignment="1"/>
    <xf numFmtId="0" fontId="122" fillId="0" borderId="24" xfId="14" applyFont="1" applyFill="1" applyBorder="1" applyAlignment="1">
      <alignment horizontal="center" vertical="center" wrapText="1"/>
    </xf>
    <xf numFmtId="0" fontId="122" fillId="0" borderId="10" xfId="14" applyFont="1" applyFill="1" applyBorder="1" applyAlignment="1">
      <alignment horizontal="center" vertical="center" wrapText="1"/>
    </xf>
    <xf numFmtId="0" fontId="127" fillId="46" borderId="24" xfId="12" applyFont="1" applyFill="1" applyBorder="1" applyAlignment="1">
      <alignment horizontal="center"/>
    </xf>
    <xf numFmtId="0" fontId="122" fillId="0" borderId="24" xfId="0" quotePrefix="1" applyFont="1" applyFill="1" applyBorder="1"/>
    <xf numFmtId="0" fontId="122" fillId="0" borderId="14" xfId="0" quotePrefix="1" applyFont="1" applyFill="1" applyBorder="1"/>
    <xf numFmtId="0" fontId="127" fillId="0" borderId="24" xfId="0" quotePrefix="1" applyFont="1" applyFill="1" applyBorder="1"/>
    <xf numFmtId="0" fontId="127" fillId="63" borderId="24" xfId="0" quotePrefix="1" applyFont="1" applyFill="1" applyBorder="1"/>
    <xf numFmtId="0" fontId="125" fillId="0" borderId="13" xfId="14" applyFont="1" applyFill="1" applyBorder="1" applyAlignment="1">
      <alignment horizontal="left" vertical="center" wrapText="1" indent="1"/>
    </xf>
    <xf numFmtId="0" fontId="127" fillId="38" borderId="24" xfId="14" applyFont="1" applyFill="1" applyBorder="1" applyAlignment="1">
      <alignment horizontal="center"/>
    </xf>
    <xf numFmtId="0" fontId="122" fillId="0" borderId="53" xfId="12" applyFont="1" applyFill="1" applyBorder="1" applyAlignment="1">
      <alignment horizontal="left" vertical="center" wrapText="1" indent="1"/>
    </xf>
    <xf numFmtId="0" fontId="122" fillId="0" borderId="50" xfId="12" applyFont="1" applyFill="1" applyBorder="1" applyAlignment="1">
      <alignment horizontal="left" vertical="center" wrapText="1" indent="1"/>
    </xf>
    <xf numFmtId="37" fontId="122" fillId="0" borderId="50" xfId="12" applyNumberFormat="1" applyFont="1" applyFill="1" applyBorder="1" applyAlignment="1">
      <alignment vertical="center" wrapText="1"/>
    </xf>
    <xf numFmtId="0" fontId="122" fillId="0" borderId="59" xfId="12" applyNumberFormat="1" applyFont="1" applyFill="1" applyBorder="1" applyAlignment="1"/>
    <xf numFmtId="0" fontId="127" fillId="62" borderId="24" xfId="0" quotePrefix="1" applyFont="1" applyFill="1" applyBorder="1"/>
    <xf numFmtId="0" fontId="125" fillId="62" borderId="0" xfId="0" applyFont="1" applyFill="1"/>
    <xf numFmtId="0" fontId="122" fillId="30" borderId="59" xfId="12" applyNumberFormat="1" applyFont="1" applyFill="1" applyBorder="1" applyAlignment="1"/>
    <xf numFmtId="0" fontId="122" fillId="0" borderId="24" xfId="0" applyFont="1" applyBorder="1"/>
    <xf numFmtId="0" fontId="125" fillId="63" borderId="0" xfId="0" applyFont="1" applyFill="1"/>
    <xf numFmtId="0" fontId="128" fillId="27" borderId="24" xfId="14" applyFont="1" applyFill="1" applyBorder="1" applyAlignment="1">
      <alignment horizontal="center"/>
    </xf>
    <xf numFmtId="0" fontId="127" fillId="27" borderId="55" xfId="14" applyFont="1" applyFill="1" applyBorder="1" applyAlignment="1">
      <alignment horizontal="left" vertical="center" wrapText="1"/>
    </xf>
    <xf numFmtId="0" fontId="127" fillId="27" borderId="51" xfId="14" applyFont="1" applyFill="1" applyBorder="1" applyAlignment="1">
      <alignment horizontal="left" vertical="center" wrapText="1"/>
    </xf>
    <xf numFmtId="37" fontId="127" fillId="27" borderId="51" xfId="14" applyNumberFormat="1" applyFont="1" applyFill="1" applyBorder="1" applyAlignment="1">
      <alignment vertical="center" wrapText="1"/>
    </xf>
    <xf numFmtId="0" fontId="131" fillId="0" borderId="24" xfId="0" applyFont="1" applyBorder="1"/>
    <xf numFmtId="0" fontId="129" fillId="63" borderId="0" xfId="0" applyFont="1" applyFill="1"/>
    <xf numFmtId="0" fontId="130" fillId="63" borderId="24" xfId="0" applyFont="1" applyFill="1" applyBorder="1"/>
    <xf numFmtId="0" fontId="131" fillId="60" borderId="60" xfId="12" applyNumberFormat="1" applyFont="1" applyFill="1" applyBorder="1" applyAlignment="1">
      <alignment horizontal="left"/>
    </xf>
    <xf numFmtId="0" fontId="122" fillId="60" borderId="60" xfId="12" applyNumberFormat="1" applyFont="1" applyFill="1" applyBorder="1" applyAlignment="1">
      <alignment horizontal="center" vertical="center"/>
    </xf>
    <xf numFmtId="0" fontId="122" fillId="16" borderId="59" xfId="12" applyNumberFormat="1" applyFont="1" applyFill="1" applyBorder="1" applyAlignment="1"/>
    <xf numFmtId="37" fontId="127" fillId="51" borderId="55" xfId="12" applyNumberFormat="1" applyFont="1" applyFill="1" applyBorder="1" applyAlignment="1">
      <alignment vertical="center"/>
    </xf>
    <xf numFmtId="0" fontId="137" fillId="27" borderId="24" xfId="12" applyNumberFormat="1" applyFont="1" applyFill="1" applyBorder="1" applyAlignment="1">
      <alignment horizontal="center"/>
    </xf>
    <xf numFmtId="0" fontId="127" fillId="0" borderId="24" xfId="0" applyFont="1" applyFill="1" applyBorder="1" applyAlignment="1">
      <alignment wrapText="1"/>
    </xf>
    <xf numFmtId="4" fontId="122" fillId="0" borderId="24" xfId="14" applyNumberFormat="1" applyFont="1" applyFill="1" applyBorder="1" applyAlignment="1">
      <alignment horizontal="center" vertical="center" wrapText="1"/>
    </xf>
    <xf numFmtId="0" fontId="125" fillId="0" borderId="24" xfId="0" applyFont="1" applyBorder="1" applyAlignment="1"/>
    <xf numFmtId="0" fontId="127" fillId="21" borderId="24" xfId="0" applyFont="1" applyFill="1" applyBorder="1" applyAlignment="1"/>
    <xf numFmtId="0" fontId="127" fillId="0" borderId="24" xfId="0" applyFont="1" applyBorder="1" applyAlignment="1"/>
    <xf numFmtId="0" fontId="127" fillId="28" borderId="24" xfId="0" applyFont="1" applyFill="1" applyBorder="1" applyAlignment="1"/>
    <xf numFmtId="0" fontId="122" fillId="0" borderId="51" xfId="14" applyFont="1" applyFill="1" applyBorder="1" applyAlignment="1">
      <alignment horizontal="left" vertical="center"/>
    </xf>
    <xf numFmtId="0" fontId="127" fillId="62" borderId="24" xfId="0" applyFont="1" applyFill="1" applyBorder="1" applyAlignment="1"/>
    <xf numFmtId="0" fontId="127" fillId="46" borderId="55" xfId="12" applyFont="1" applyFill="1" applyBorder="1" applyAlignment="1">
      <alignment horizontal="left" vertical="center"/>
    </xf>
    <xf numFmtId="0" fontId="127" fillId="46" borderId="51" xfId="12" applyFont="1" applyFill="1" applyBorder="1" applyAlignment="1">
      <alignment horizontal="left" vertical="center"/>
    </xf>
    <xf numFmtId="37" fontId="127" fillId="46" borderId="51" xfId="12" applyNumberFormat="1" applyFont="1" applyFill="1" applyBorder="1" applyAlignment="1">
      <alignment vertical="center"/>
    </xf>
    <xf numFmtId="0" fontId="127" fillId="28" borderId="24" xfId="0" applyFont="1" applyFill="1" applyBorder="1" applyAlignment="1">
      <alignment wrapText="1"/>
    </xf>
    <xf numFmtId="0" fontId="128" fillId="51" borderId="24" xfId="12" applyNumberFormat="1" applyFont="1" applyFill="1" applyBorder="1" applyAlignment="1">
      <alignment horizontal="center" wrapText="1"/>
    </xf>
    <xf numFmtId="0" fontId="127" fillId="51" borderId="55" xfId="12" applyFont="1" applyFill="1" applyBorder="1" applyAlignment="1">
      <alignment horizontal="left" vertical="center" wrapText="1"/>
    </xf>
    <xf numFmtId="0" fontId="127" fillId="51" borderId="51" xfId="12" applyFont="1" applyFill="1" applyBorder="1" applyAlignment="1">
      <alignment horizontal="left" vertical="center" wrapText="1"/>
    </xf>
    <xf numFmtId="37" fontId="127" fillId="51" borderId="51" xfId="12" applyNumberFormat="1" applyFont="1" applyFill="1" applyBorder="1" applyAlignment="1">
      <alignment vertical="center" wrapText="1"/>
    </xf>
    <xf numFmtId="0" fontId="122" fillId="0" borderId="55" xfId="14" applyFont="1" applyFill="1" applyBorder="1" applyAlignment="1">
      <alignment horizontal="left" vertical="center" wrapText="1"/>
    </xf>
    <xf numFmtId="0" fontId="122" fillId="0" borderId="51" xfId="14" applyFont="1" applyFill="1" applyBorder="1" applyAlignment="1">
      <alignment horizontal="left" vertical="center" wrapText="1"/>
    </xf>
    <xf numFmtId="0" fontId="127" fillId="62" borderId="24" xfId="0" applyFont="1" applyFill="1" applyBorder="1" applyAlignment="1">
      <alignment wrapText="1"/>
    </xf>
    <xf numFmtId="0" fontId="128" fillId="46" borderId="24" xfId="12" applyNumberFormat="1" applyFont="1" applyFill="1" applyBorder="1" applyAlignment="1">
      <alignment horizontal="center" wrapText="1"/>
    </xf>
    <xf numFmtId="0" fontId="122" fillId="0" borderId="24" xfId="12" applyFont="1" applyBorder="1"/>
    <xf numFmtId="0" fontId="127" fillId="0" borderId="24" xfId="12" applyFont="1" applyBorder="1"/>
    <xf numFmtId="0" fontId="127" fillId="62" borderId="24" xfId="12" applyFont="1" applyFill="1" applyBorder="1"/>
    <xf numFmtId="37" fontId="119" fillId="46" borderId="53" xfId="12" applyNumberFormat="1" applyFont="1" applyFill="1" applyBorder="1" applyAlignment="1">
      <alignment vertical="center" wrapText="1"/>
    </xf>
    <xf numFmtId="0" fontId="122" fillId="58" borderId="63" xfId="14" applyFont="1" applyFill="1" applyBorder="1" applyAlignment="1">
      <alignment vertical="center" wrapText="1"/>
    </xf>
    <xf numFmtId="0" fontId="125" fillId="0" borderId="12" xfId="0" applyFont="1" applyBorder="1"/>
    <xf numFmtId="0" fontId="127" fillId="0" borderId="12" xfId="0" applyFont="1" applyBorder="1"/>
    <xf numFmtId="0" fontId="122" fillId="0" borderId="12" xfId="14" applyFont="1" applyFill="1" applyBorder="1" applyAlignment="1">
      <alignment horizontal="center"/>
    </xf>
    <xf numFmtId="0" fontId="122" fillId="0" borderId="64" xfId="14" applyFont="1" applyFill="1" applyBorder="1" applyAlignment="1">
      <alignment horizontal="left" vertical="center" wrapText="1" indent="1"/>
    </xf>
    <xf numFmtId="0" fontId="122" fillId="0" borderId="15" xfId="14" applyFont="1" applyFill="1" applyBorder="1" applyAlignment="1">
      <alignment horizontal="left" vertical="center" wrapText="1" indent="1"/>
    </xf>
    <xf numFmtId="0" fontId="128" fillId="0" borderId="65" xfId="12" applyFont="1" applyFill="1" applyBorder="1" applyAlignment="1">
      <alignment horizontal="center" vertical="center" wrapText="1"/>
    </xf>
    <xf numFmtId="0" fontId="128" fillId="0" borderId="65" xfId="12" applyFont="1" applyFill="1" applyBorder="1" applyAlignment="1">
      <alignment horizontal="left" vertical="center"/>
    </xf>
    <xf numFmtId="0" fontId="122" fillId="60" borderId="66" xfId="12" applyNumberFormat="1" applyFont="1" applyFill="1" applyBorder="1" applyAlignment="1">
      <alignment horizontal="left"/>
    </xf>
    <xf numFmtId="0" fontId="122" fillId="58" borderId="67" xfId="12" applyNumberFormat="1" applyFont="1" applyFill="1" applyBorder="1" applyAlignment="1"/>
    <xf numFmtId="0" fontId="125" fillId="0" borderId="5" xfId="0" applyFont="1" applyFill="1" applyBorder="1" applyAlignment="1">
      <alignment horizontal="center" vertical="center"/>
    </xf>
    <xf numFmtId="0" fontId="125" fillId="0" borderId="5" xfId="0" applyFont="1" applyBorder="1" applyAlignment="1">
      <alignment horizontal="center"/>
    </xf>
    <xf numFmtId="37" fontId="125" fillId="0" borderId="5" xfId="0" applyNumberFormat="1" applyFont="1" applyBorder="1" applyAlignment="1"/>
    <xf numFmtId="0" fontId="125" fillId="0" borderId="0" xfId="0" applyFont="1" applyFill="1" applyAlignment="1"/>
    <xf numFmtId="37" fontId="117" fillId="34" borderId="53" xfId="12" applyNumberFormat="1" applyFont="1" applyFill="1" applyBorder="1" applyAlignment="1">
      <alignment horizontal="left" vertical="center"/>
    </xf>
    <xf numFmtId="37" fontId="124" fillId="34" borderId="55" xfId="12" applyNumberFormat="1" applyFont="1" applyFill="1" applyBorder="1" applyAlignment="1">
      <alignment horizontal="right" vertical="center"/>
    </xf>
    <xf numFmtId="0" fontId="109" fillId="0" borderId="0" xfId="0" applyFont="1"/>
    <xf numFmtId="0" fontId="109" fillId="0" borderId="0" xfId="0" applyFont="1" applyAlignment="1">
      <alignment horizontal="center" vertical="center"/>
    </xf>
    <xf numFmtId="0" fontId="109" fillId="0" borderId="0" xfId="0" applyFont="1" applyAlignment="1">
      <alignment horizontal="left"/>
    </xf>
    <xf numFmtId="0" fontId="109" fillId="0" borderId="0" xfId="0" applyFont="1" applyAlignment="1">
      <alignment horizontal="center"/>
    </xf>
    <xf numFmtId="0" fontId="109" fillId="0" borderId="0" xfId="0" applyFont="1" applyAlignment="1"/>
    <xf numFmtId="0" fontId="109" fillId="0" borderId="0" xfId="0" applyFont="1" applyFill="1" applyAlignment="1">
      <alignment horizontal="center" vertical="center"/>
    </xf>
    <xf numFmtId="37" fontId="109" fillId="0" borderId="0" xfId="0" applyNumberFormat="1" applyFont="1" applyAlignment="1"/>
    <xf numFmtId="0" fontId="6" fillId="0" borderId="0" xfId="0" applyFont="1" applyFill="1" applyAlignment="1">
      <alignment horizontal="center"/>
    </xf>
    <xf numFmtId="0" fontId="6" fillId="0" borderId="0" xfId="0" applyFont="1" applyAlignment="1">
      <alignment horizontal="left"/>
    </xf>
    <xf numFmtId="0" fontId="107" fillId="65" borderId="0" xfId="0" applyFont="1" applyFill="1" applyBorder="1" applyAlignment="1">
      <alignment horizontal="center" vertical="center" wrapText="1"/>
    </xf>
    <xf numFmtId="0" fontId="110" fillId="7" borderId="5" xfId="0" applyFont="1" applyFill="1" applyBorder="1" applyAlignment="1">
      <alignment horizontal="center" vertical="center"/>
    </xf>
    <xf numFmtId="0" fontId="110" fillId="0" borderId="0" xfId="0" applyFont="1" applyFill="1" applyAlignment="1">
      <alignment horizontal="center"/>
    </xf>
    <xf numFmtId="0" fontId="26" fillId="0" borderId="0" xfId="0" applyFont="1" applyFill="1" applyBorder="1" applyAlignment="1">
      <alignment horizontal="center" vertical="center"/>
    </xf>
    <xf numFmtId="0" fontId="106" fillId="7" borderId="5" xfId="0" applyFont="1" applyFill="1" applyBorder="1" applyAlignment="1">
      <alignment vertical="center"/>
    </xf>
    <xf numFmtId="0" fontId="106" fillId="7" borderId="0" xfId="0" applyFont="1" applyFill="1" applyBorder="1" applyAlignment="1">
      <alignment vertical="center"/>
    </xf>
    <xf numFmtId="0" fontId="113" fillId="7" borderId="68" xfId="0" applyFont="1" applyFill="1" applyBorder="1" applyAlignment="1">
      <alignment horizontal="center" vertical="center" wrapText="1"/>
    </xf>
    <xf numFmtId="0" fontId="113" fillId="7" borderId="68" xfId="0" applyFont="1" applyFill="1" applyBorder="1" applyAlignment="1">
      <alignment horizontal="center" vertical="center"/>
    </xf>
    <xf numFmtId="0" fontId="113" fillId="66" borderId="68" xfId="0" applyFont="1" applyFill="1" applyBorder="1" applyAlignment="1">
      <alignment horizontal="center" vertical="center"/>
    </xf>
    <xf numFmtId="0" fontId="113" fillId="67" borderId="68" xfId="0" applyFont="1" applyFill="1" applyBorder="1" applyAlignment="1">
      <alignment horizontal="center" vertical="center"/>
    </xf>
    <xf numFmtId="0" fontId="113" fillId="68" borderId="68" xfId="0" applyFont="1" applyFill="1" applyBorder="1" applyAlignment="1">
      <alignment horizontal="center" vertical="center"/>
    </xf>
    <xf numFmtId="0" fontId="113" fillId="15" borderId="68" xfId="0" applyFont="1" applyFill="1" applyBorder="1" applyAlignment="1">
      <alignment horizontal="center" vertical="center"/>
    </xf>
    <xf numFmtId="0" fontId="113" fillId="21" borderId="68" xfId="0" applyFont="1" applyFill="1" applyBorder="1" applyAlignment="1">
      <alignment horizontal="center" vertical="center"/>
    </xf>
    <xf numFmtId="0" fontId="113" fillId="31" borderId="68" xfId="0" applyFont="1" applyFill="1" applyBorder="1" applyAlignment="1">
      <alignment horizontal="center" vertical="center"/>
    </xf>
    <xf numFmtId="0" fontId="113" fillId="24" borderId="68" xfId="0" applyFont="1" applyFill="1" applyBorder="1" applyAlignment="1">
      <alignment horizontal="center" vertical="center"/>
    </xf>
    <xf numFmtId="0" fontId="113" fillId="20" borderId="68" xfId="0" applyFont="1" applyFill="1" applyBorder="1" applyAlignment="1">
      <alignment horizontal="center" vertical="center"/>
    </xf>
    <xf numFmtId="0" fontId="113" fillId="18" borderId="68" xfId="0" applyFont="1" applyFill="1" applyBorder="1" applyAlignment="1">
      <alignment horizontal="center" vertical="center"/>
    </xf>
    <xf numFmtId="0" fontId="106" fillId="65" borderId="11" xfId="0" applyFont="1" applyFill="1" applyBorder="1" applyAlignment="1">
      <alignment horizontal="left" vertical="center"/>
    </xf>
    <xf numFmtId="0" fontId="106" fillId="65" borderId="0" xfId="0" applyFont="1" applyFill="1" applyBorder="1" applyAlignment="1">
      <alignment horizontal="left" vertical="center"/>
    </xf>
    <xf numFmtId="0" fontId="106" fillId="65" borderId="0" xfId="0" applyFont="1" applyFill="1" applyBorder="1" applyAlignment="1">
      <alignment horizontal="left" vertical="center" wrapText="1"/>
    </xf>
    <xf numFmtId="0" fontId="112" fillId="11" borderId="24" xfId="0" applyFont="1" applyFill="1" applyBorder="1" applyAlignment="1">
      <alignment horizontal="center"/>
    </xf>
    <xf numFmtId="0" fontId="112" fillId="11" borderId="24" xfId="0" applyFont="1" applyFill="1" applyBorder="1"/>
    <xf numFmtId="0" fontId="106" fillId="20" borderId="0" xfId="0" applyFont="1" applyFill="1" applyBorder="1" applyAlignment="1">
      <alignment horizontal="center" vertical="center"/>
    </xf>
    <xf numFmtId="0" fontId="26" fillId="14" borderId="0" xfId="0" applyFont="1" applyFill="1" applyAlignment="1">
      <alignment horizontal="center" vertical="center"/>
    </xf>
    <xf numFmtId="0" fontId="138" fillId="0" borderId="24" xfId="12" applyNumberFormat="1" applyFont="1" applyBorder="1" applyAlignment="1">
      <alignment horizontal="left" vertical="center"/>
    </xf>
    <xf numFmtId="0" fontId="6" fillId="0" borderId="24" xfId="0" applyFont="1" applyFill="1" applyBorder="1"/>
    <xf numFmtId="0" fontId="6" fillId="0" borderId="24" xfId="0" applyFont="1" applyBorder="1"/>
    <xf numFmtId="0" fontId="26" fillId="0" borderId="24" xfId="0" applyFont="1" applyBorder="1"/>
    <xf numFmtId="0" fontId="112" fillId="0" borderId="24" xfId="12" applyFont="1" applyBorder="1" applyAlignment="1">
      <alignment horizontal="left" vertical="center"/>
    </xf>
    <xf numFmtId="0" fontId="139" fillId="0" borderId="24" xfId="12" applyFont="1" applyFill="1" applyBorder="1" applyAlignment="1">
      <alignment horizontal="left" vertical="center"/>
    </xf>
    <xf numFmtId="0" fontId="139" fillId="0" borderId="13" xfId="12" applyFont="1" applyFill="1" applyBorder="1" applyAlignment="1">
      <alignment horizontal="center" vertical="center"/>
    </xf>
    <xf numFmtId="0" fontId="139" fillId="0" borderId="13" xfId="12" applyFont="1" applyFill="1" applyBorder="1" applyAlignment="1">
      <alignment horizontal="left" vertical="center"/>
    </xf>
    <xf numFmtId="0" fontId="6" fillId="0" borderId="13" xfId="0" applyFont="1" applyBorder="1"/>
    <xf numFmtId="0" fontId="6" fillId="0" borderId="14" xfId="0" applyFont="1" applyBorder="1"/>
    <xf numFmtId="0" fontId="3" fillId="60" borderId="59" xfId="12" applyNumberFormat="1" applyFont="1" applyFill="1" applyBorder="1" applyAlignment="1">
      <alignment horizontal="left"/>
    </xf>
    <xf numFmtId="0" fontId="110" fillId="20" borderId="69" xfId="12" applyNumberFormat="1" applyFont="1" applyFill="1" applyBorder="1" applyAlignment="1">
      <alignment horizontal="center"/>
    </xf>
    <xf numFmtId="0" fontId="6" fillId="14" borderId="0" xfId="0" applyFont="1" applyFill="1"/>
    <xf numFmtId="37" fontId="139" fillId="0" borderId="24" xfId="12" applyNumberFormat="1" applyFont="1" applyFill="1" applyBorder="1" applyAlignment="1">
      <alignment horizontal="right" vertical="center"/>
    </xf>
    <xf numFmtId="0" fontId="138" fillId="21" borderId="45" xfId="12" applyNumberFormat="1" applyFont="1" applyFill="1" applyBorder="1" applyAlignment="1">
      <alignment horizontal="left" vertical="center"/>
    </xf>
    <xf numFmtId="0" fontId="112" fillId="69" borderId="24" xfId="14" applyFont="1" applyFill="1" applyBorder="1" applyAlignment="1">
      <alignment horizontal="left"/>
    </xf>
    <xf numFmtId="0" fontId="6" fillId="21" borderId="24" xfId="0" applyFont="1" applyFill="1" applyBorder="1"/>
    <xf numFmtId="0" fontId="112" fillId="69" borderId="0" xfId="14" applyFont="1" applyFill="1" applyBorder="1" applyAlignment="1">
      <alignment horizontal="center"/>
    </xf>
    <xf numFmtId="0" fontId="139" fillId="21" borderId="0" xfId="12" applyFont="1" applyFill="1" applyBorder="1" applyAlignment="1">
      <alignment horizontal="left" vertical="center" wrapText="1"/>
    </xf>
    <xf numFmtId="0" fontId="6" fillId="0" borderId="13" xfId="0" applyFont="1" applyFill="1" applyBorder="1"/>
    <xf numFmtId="0" fontId="6" fillId="0" borderId="14" xfId="0" applyFont="1" applyFill="1" applyBorder="1"/>
    <xf numFmtId="37" fontId="112" fillId="69" borderId="24" xfId="14" applyNumberFormat="1" applyFont="1" applyFill="1" applyBorder="1" applyAlignment="1">
      <alignment horizontal="right"/>
    </xf>
    <xf numFmtId="0" fontId="112" fillId="31" borderId="24" xfId="12" applyFont="1" applyFill="1" applyBorder="1" applyAlignment="1">
      <alignment horizontal="left" vertical="center" wrapText="1"/>
    </xf>
    <xf numFmtId="0" fontId="112" fillId="31" borderId="24" xfId="12" applyFont="1" applyFill="1" applyBorder="1" applyAlignment="1">
      <alignment vertical="top" wrapText="1"/>
    </xf>
    <xf numFmtId="0" fontId="112" fillId="31" borderId="13" xfId="12" applyFont="1" applyFill="1" applyBorder="1" applyAlignment="1">
      <alignment horizontal="center" vertical="center" wrapText="1"/>
    </xf>
    <xf numFmtId="0" fontId="112" fillId="31" borderId="13" xfId="12" applyFont="1" applyFill="1" applyBorder="1" applyAlignment="1">
      <alignment horizontal="left" vertical="center" wrapText="1"/>
    </xf>
    <xf numFmtId="37" fontId="112" fillId="31" borderId="24" xfId="12" applyNumberFormat="1" applyFont="1" applyFill="1" applyBorder="1" applyAlignment="1">
      <alignment horizontal="right" vertical="center" wrapText="1"/>
    </xf>
    <xf numFmtId="0" fontId="6" fillId="14" borderId="24" xfId="0" applyFont="1" applyFill="1" applyBorder="1"/>
    <xf numFmtId="0" fontId="112" fillId="14" borderId="13" xfId="0" applyFont="1" applyFill="1" applyBorder="1" applyAlignment="1">
      <alignment horizontal="center"/>
    </xf>
    <xf numFmtId="0" fontId="112" fillId="14" borderId="13" xfId="0" applyFont="1" applyFill="1" applyBorder="1"/>
    <xf numFmtId="0" fontId="112" fillId="14" borderId="0" xfId="0" applyFont="1" applyFill="1" applyBorder="1" applyAlignment="1">
      <alignment horizontal="center"/>
    </xf>
    <xf numFmtId="0" fontId="6" fillId="0" borderId="0" xfId="0" applyFont="1" applyAlignment="1">
      <alignment horizontal="center"/>
    </xf>
    <xf numFmtId="37" fontId="112" fillId="14" borderId="24" xfId="0" applyNumberFormat="1" applyFont="1" applyFill="1" applyBorder="1" applyAlignment="1">
      <alignment horizontal="right"/>
    </xf>
    <xf numFmtId="0" fontId="112" fillId="37" borderId="24" xfId="0" applyFont="1" applyFill="1" applyBorder="1"/>
    <xf numFmtId="0" fontId="6" fillId="37" borderId="24" xfId="0" applyFont="1" applyFill="1" applyBorder="1"/>
    <xf numFmtId="0" fontId="112" fillId="37" borderId="24" xfId="0" applyFont="1" applyFill="1" applyBorder="1" applyAlignment="1">
      <alignment horizontal="center"/>
    </xf>
    <xf numFmtId="0" fontId="112" fillId="37" borderId="0" xfId="0" applyFont="1" applyFill="1" applyBorder="1" applyAlignment="1">
      <alignment horizontal="center"/>
    </xf>
    <xf numFmtId="37" fontId="112" fillId="37" borderId="24" xfId="0" applyNumberFormat="1" applyFont="1" applyFill="1" applyBorder="1" applyAlignment="1">
      <alignment horizontal="right"/>
    </xf>
    <xf numFmtId="0" fontId="112" fillId="18" borderId="24" xfId="0" applyFont="1" applyFill="1" applyBorder="1"/>
    <xf numFmtId="0" fontId="112" fillId="18" borderId="13" xfId="0" applyFont="1" applyFill="1" applyBorder="1" applyAlignment="1">
      <alignment horizontal="center"/>
    </xf>
    <xf numFmtId="0" fontId="112" fillId="18" borderId="13" xfId="0" applyFont="1" applyFill="1" applyBorder="1"/>
    <xf numFmtId="37" fontId="112" fillId="18" borderId="24" xfId="0" applyNumberFormat="1" applyFont="1" applyFill="1" applyBorder="1" applyAlignment="1">
      <alignment horizontal="right"/>
    </xf>
    <xf numFmtId="0" fontId="3" fillId="0" borderId="24" xfId="0" applyFont="1" applyFill="1" applyBorder="1" applyAlignment="1"/>
    <xf numFmtId="0" fontId="138" fillId="0" borderId="24" xfId="0" applyFont="1" applyFill="1" applyBorder="1" applyAlignment="1">
      <alignment horizontal="center" vertical="center"/>
    </xf>
    <xf numFmtId="0" fontId="3" fillId="0" borderId="24" xfId="0" applyFont="1" applyFill="1" applyBorder="1" applyAlignment="1">
      <alignment horizontal="left"/>
    </xf>
    <xf numFmtId="0" fontId="3" fillId="0" borderId="13" xfId="0" applyFont="1" applyFill="1" applyBorder="1" applyAlignment="1">
      <alignment horizontal="center"/>
    </xf>
    <xf numFmtId="0" fontId="3" fillId="0" borderId="13" xfId="0" applyFont="1" applyFill="1" applyBorder="1" applyAlignment="1">
      <alignment horizontal="left"/>
    </xf>
    <xf numFmtId="0" fontId="6" fillId="0" borderId="13" xfId="0" applyFont="1" applyFill="1" applyBorder="1" applyAlignment="1">
      <alignment horizontal="center" vertical="center"/>
    </xf>
    <xf numFmtId="0" fontId="6" fillId="0" borderId="14" xfId="0" applyFont="1" applyFill="1" applyBorder="1" applyAlignment="1">
      <alignment horizontal="center" vertical="center"/>
    </xf>
    <xf numFmtId="37" fontId="3" fillId="0" borderId="24" xfId="0" applyNumberFormat="1" applyFont="1" applyFill="1" applyBorder="1" applyAlignment="1">
      <alignment horizontal="right"/>
    </xf>
    <xf numFmtId="14" fontId="6" fillId="0" borderId="0" xfId="0" applyNumberFormat="1" applyFont="1" applyAlignment="1">
      <alignment horizontal="left"/>
    </xf>
    <xf numFmtId="0" fontId="6" fillId="0" borderId="13" xfId="0" applyFont="1" applyBorder="1" applyAlignment="1">
      <alignment horizontal="center" vertical="center"/>
    </xf>
    <xf numFmtId="0" fontId="6" fillId="0" borderId="14" xfId="0" applyFont="1" applyBorder="1" applyAlignment="1">
      <alignment horizontal="center" vertical="center"/>
    </xf>
    <xf numFmtId="0" fontId="112" fillId="31" borderId="24" xfId="12" applyFont="1" applyFill="1" applyBorder="1" applyAlignment="1">
      <alignment horizontal="left" vertical="center" wrapText="1" indent="1"/>
    </xf>
    <xf numFmtId="0" fontId="112" fillId="37" borderId="13" xfId="0" applyFont="1" applyFill="1" applyBorder="1" applyAlignment="1">
      <alignment horizontal="center"/>
    </xf>
    <xf numFmtId="0" fontId="112" fillId="37" borderId="13" xfId="0" applyFont="1" applyFill="1" applyBorder="1"/>
    <xf numFmtId="0" fontId="112" fillId="12" borderId="13" xfId="0" applyFont="1" applyFill="1" applyBorder="1"/>
    <xf numFmtId="0" fontId="3" fillId="9" borderId="13" xfId="14" applyFont="1" applyFill="1" applyBorder="1" applyAlignment="1">
      <alignment horizontal="left" vertical="center" wrapText="1"/>
    </xf>
    <xf numFmtId="0" fontId="6" fillId="0" borderId="24" xfId="0" applyFont="1" applyFill="1" applyBorder="1" applyAlignment="1">
      <alignment horizontal="left"/>
    </xf>
    <xf numFmtId="0" fontId="142" fillId="0" borderId="24" xfId="0" applyFont="1" applyFill="1" applyBorder="1" applyAlignment="1">
      <alignment horizontal="left"/>
    </xf>
    <xf numFmtId="37" fontId="142" fillId="0" borderId="24" xfId="0" applyNumberFormat="1" applyFont="1" applyFill="1" applyBorder="1" applyAlignment="1">
      <alignment horizontal="right"/>
    </xf>
    <xf numFmtId="0" fontId="26" fillId="14" borderId="24" xfId="0" applyFont="1" applyFill="1" applyBorder="1"/>
    <xf numFmtId="14" fontId="6" fillId="56" borderId="0" xfId="0" applyNumberFormat="1" applyFont="1" applyFill="1"/>
    <xf numFmtId="0" fontId="112" fillId="18" borderId="24" xfId="0" applyFont="1" applyFill="1" applyBorder="1" applyAlignment="1">
      <alignment horizontal="left"/>
    </xf>
    <xf numFmtId="0" fontId="112" fillId="18" borderId="24" xfId="0" applyFont="1" applyFill="1" applyBorder="1" applyAlignment="1">
      <alignment horizontal="center"/>
    </xf>
    <xf numFmtId="0" fontId="3" fillId="0" borderId="24" xfId="0" applyFont="1" applyFill="1" applyBorder="1" applyAlignment="1">
      <alignment horizontal="left" vertical="center"/>
    </xf>
    <xf numFmtId="0" fontId="3" fillId="0" borderId="24" xfId="0" applyFont="1" applyBorder="1" applyAlignment="1">
      <alignment horizontal="left"/>
    </xf>
    <xf numFmtId="0" fontId="3" fillId="0" borderId="13" xfId="0" applyFont="1" applyBorder="1" applyAlignment="1">
      <alignment horizontal="center"/>
    </xf>
    <xf numFmtId="0" fontId="3" fillId="0" borderId="13" xfId="0" applyFont="1" applyBorder="1" applyAlignment="1">
      <alignment horizontal="left"/>
    </xf>
    <xf numFmtId="0" fontId="3" fillId="30" borderId="59" xfId="12" applyNumberFormat="1" applyFont="1" applyFill="1" applyBorder="1" applyAlignment="1">
      <alignment horizontal="right"/>
    </xf>
    <xf numFmtId="37" fontId="3" fillId="0" borderId="24" xfId="0" applyNumberFormat="1" applyFont="1" applyBorder="1" applyAlignment="1">
      <alignment horizontal="right"/>
    </xf>
    <xf numFmtId="0" fontId="26" fillId="21" borderId="24" xfId="0" applyFont="1" applyFill="1" applyBorder="1"/>
    <xf numFmtId="0" fontId="112" fillId="21" borderId="24" xfId="14" applyFont="1" applyFill="1" applyBorder="1" applyAlignment="1">
      <alignment horizontal="left"/>
    </xf>
    <xf numFmtId="0" fontId="3" fillId="0" borderId="13" xfId="0" applyFont="1" applyFill="1" applyBorder="1" applyAlignment="1">
      <alignment horizontal="center" vertical="center"/>
    </xf>
    <xf numFmtId="0" fontId="3" fillId="0" borderId="14" xfId="0" applyFont="1" applyFill="1" applyBorder="1" applyAlignment="1">
      <alignment horizontal="center" vertical="center"/>
    </xf>
    <xf numFmtId="11" fontId="6" fillId="14" borderId="0" xfId="0" applyNumberFormat="1" applyFont="1" applyFill="1"/>
    <xf numFmtId="37" fontId="6" fillId="0" borderId="0" xfId="0" applyNumberFormat="1" applyFont="1" applyAlignment="1">
      <alignment horizontal="right"/>
    </xf>
    <xf numFmtId="0" fontId="3" fillId="0" borderId="24" xfId="0" applyFont="1" applyFill="1" applyBorder="1" applyAlignment="1">
      <alignment horizontal="center" vertical="center"/>
    </xf>
    <xf numFmtId="0" fontId="6" fillId="0" borderId="13" xfId="0" applyFont="1" applyBorder="1" applyAlignment="1">
      <alignment horizontal="center"/>
    </xf>
    <xf numFmtId="37" fontId="6" fillId="0" borderId="24" xfId="0" applyNumberFormat="1" applyFont="1" applyBorder="1" applyAlignment="1">
      <alignment horizontal="right"/>
    </xf>
    <xf numFmtId="0" fontId="108" fillId="57" borderId="52" xfId="12" applyNumberFormat="1" applyFont="1" applyFill="1" applyBorder="1" applyAlignment="1">
      <alignment horizontal="center" vertical="center"/>
    </xf>
    <xf numFmtId="0" fontId="148" fillId="0" borderId="0" xfId="0" applyFont="1"/>
    <xf numFmtId="0" fontId="112" fillId="31" borderId="24" xfId="12" quotePrefix="1" applyFont="1" applyFill="1" applyBorder="1" applyAlignment="1">
      <alignment horizontal="left" vertical="center" wrapText="1"/>
    </xf>
    <xf numFmtId="0" fontId="112" fillId="31" borderId="24" xfId="12" applyFont="1" applyFill="1" applyBorder="1" applyAlignment="1">
      <alignment horizontal="center" vertical="center" wrapText="1"/>
    </xf>
    <xf numFmtId="0" fontId="112" fillId="14" borderId="24" xfId="0" applyFont="1" applyFill="1" applyBorder="1" applyAlignment="1">
      <alignment horizontal="center"/>
    </xf>
    <xf numFmtId="0" fontId="139" fillId="31" borderId="24" xfId="12" applyFont="1" applyFill="1" applyBorder="1" applyAlignment="1">
      <alignment horizontal="left" vertical="center" wrapText="1"/>
    </xf>
    <xf numFmtId="0" fontId="139" fillId="31" borderId="13" xfId="12" applyFont="1" applyFill="1" applyBorder="1" applyAlignment="1">
      <alignment horizontal="center" vertical="center" wrapText="1"/>
    </xf>
    <xf numFmtId="0" fontId="139" fillId="31" borderId="13" xfId="12" applyFont="1" applyFill="1" applyBorder="1" applyAlignment="1">
      <alignment horizontal="left" vertical="center" wrapText="1"/>
    </xf>
    <xf numFmtId="37" fontId="139" fillId="31" borderId="24" xfId="12" applyNumberFormat="1" applyFont="1" applyFill="1" applyBorder="1" applyAlignment="1">
      <alignment horizontal="right" vertical="center" wrapText="1"/>
    </xf>
    <xf numFmtId="0" fontId="108" fillId="70" borderId="52" xfId="12" applyNumberFormat="1" applyFont="1" applyFill="1" applyBorder="1" applyAlignment="1">
      <alignment horizontal="right" vertical="center"/>
    </xf>
    <xf numFmtId="0" fontId="112" fillId="0" borderId="24" xfId="12" applyFont="1" applyFill="1" applyBorder="1" applyAlignment="1">
      <alignment horizontal="left"/>
    </xf>
    <xf numFmtId="0" fontId="139" fillId="31" borderId="24" xfId="12" applyFont="1" applyFill="1" applyBorder="1" applyAlignment="1">
      <alignment vertical="center" wrapText="1"/>
    </xf>
    <xf numFmtId="0" fontId="6" fillId="0" borderId="24" xfId="0" applyFont="1" applyBorder="1" applyAlignment="1">
      <alignment horizontal="left"/>
    </xf>
    <xf numFmtId="0" fontId="6" fillId="0" borderId="24" xfId="0" quotePrefix="1" applyFont="1" applyBorder="1"/>
    <xf numFmtId="0" fontId="6" fillId="37" borderId="24" xfId="0" quotePrefix="1" applyFont="1" applyFill="1" applyBorder="1"/>
    <xf numFmtId="0" fontId="112" fillId="69" borderId="13" xfId="14" applyFont="1" applyFill="1" applyBorder="1" applyAlignment="1">
      <alignment horizontal="center"/>
    </xf>
    <xf numFmtId="0" fontId="112" fillId="69" borderId="13" xfId="14" applyFont="1" applyFill="1" applyBorder="1" applyAlignment="1">
      <alignment horizontal="left"/>
    </xf>
    <xf numFmtId="0" fontId="3" fillId="30" borderId="59" xfId="12" applyNumberFormat="1" applyFont="1" applyFill="1" applyBorder="1" applyAlignment="1">
      <alignment horizontal="left"/>
    </xf>
    <xf numFmtId="0" fontId="149" fillId="0" borderId="24" xfId="0" applyFont="1" applyFill="1" applyBorder="1"/>
    <xf numFmtId="0" fontId="112" fillId="14" borderId="24" xfId="0" applyFont="1" applyFill="1" applyBorder="1" applyAlignment="1">
      <alignment horizontal="left" vertical="center" wrapText="1"/>
    </xf>
    <xf numFmtId="0" fontId="112" fillId="14" borderId="13" xfId="0" applyFont="1" applyFill="1" applyBorder="1" applyAlignment="1">
      <alignment horizontal="center" vertical="center" wrapText="1"/>
    </xf>
    <xf numFmtId="0" fontId="112" fillId="14" borderId="13" xfId="0" applyFont="1" applyFill="1" applyBorder="1" applyAlignment="1">
      <alignment horizontal="left" vertical="center" wrapText="1"/>
    </xf>
    <xf numFmtId="37" fontId="112" fillId="14" borderId="24" xfId="0" applyNumberFormat="1" applyFont="1" applyFill="1" applyBorder="1" applyAlignment="1">
      <alignment horizontal="right" vertical="center" wrapText="1"/>
    </xf>
    <xf numFmtId="0" fontId="3" fillId="0" borderId="24" xfId="0" applyFont="1" applyBorder="1" applyAlignment="1"/>
    <xf numFmtId="0" fontId="3" fillId="58" borderId="59" xfId="12" applyNumberFormat="1" applyFont="1" applyFill="1" applyBorder="1" applyAlignment="1">
      <alignment horizontal="left"/>
    </xf>
    <xf numFmtId="0" fontId="3" fillId="0" borderId="45" xfId="0" applyFont="1" applyBorder="1"/>
    <xf numFmtId="0" fontId="3" fillId="0" borderId="45" xfId="0" applyFont="1" applyBorder="1" applyAlignment="1">
      <alignment horizontal="center" vertical="center"/>
    </xf>
    <xf numFmtId="0" fontId="3" fillId="0" borderId="70" xfId="0" applyFont="1" applyBorder="1" applyAlignment="1">
      <alignment horizontal="left"/>
    </xf>
    <xf numFmtId="0" fontId="3" fillId="0" borderId="0" xfId="0" applyFont="1" applyBorder="1" applyAlignment="1">
      <alignment horizontal="center"/>
    </xf>
    <xf numFmtId="0" fontId="3" fillId="0" borderId="0" xfId="0" applyFont="1" applyBorder="1" applyAlignment="1">
      <alignment horizontal="left"/>
    </xf>
    <xf numFmtId="37" fontId="3" fillId="0" borderId="70" xfId="0" applyNumberFormat="1" applyFont="1" applyBorder="1" applyAlignment="1">
      <alignment horizontal="right"/>
    </xf>
    <xf numFmtId="0" fontId="145" fillId="37" borderId="24" xfId="0" applyFont="1" applyFill="1" applyBorder="1"/>
    <xf numFmtId="0" fontId="145" fillId="37" borderId="13" xfId="0" applyFont="1" applyFill="1" applyBorder="1" applyAlignment="1">
      <alignment horizontal="center"/>
    </xf>
    <xf numFmtId="0" fontId="150" fillId="64" borderId="52" xfId="0" applyFont="1" applyFill="1" applyBorder="1" applyAlignment="1">
      <alignment horizontal="center" vertical="center"/>
    </xf>
    <xf numFmtId="37" fontId="145" fillId="37" borderId="24" xfId="0" applyNumberFormat="1" applyFont="1" applyFill="1" applyBorder="1" applyAlignment="1">
      <alignment horizontal="right"/>
    </xf>
    <xf numFmtId="0" fontId="143" fillId="0" borderId="24" xfId="0" applyFont="1" applyBorder="1" applyAlignment="1"/>
    <xf numFmtId="0" fontId="143" fillId="0" borderId="24" xfId="0" applyFont="1" applyFill="1" applyBorder="1" applyAlignment="1">
      <alignment horizontal="left"/>
    </xf>
    <xf numFmtId="0" fontId="143" fillId="0" borderId="13" xfId="0" applyFont="1" applyFill="1" applyBorder="1" applyAlignment="1">
      <alignment horizontal="center"/>
    </xf>
    <xf numFmtId="37" fontId="143" fillId="0" borderId="24" xfId="0" applyNumberFormat="1" applyFont="1" applyFill="1" applyBorder="1" applyAlignment="1">
      <alignment horizontal="right"/>
    </xf>
    <xf numFmtId="0" fontId="143" fillId="0" borderId="24" xfId="0" applyFont="1" applyBorder="1" applyAlignment="1">
      <alignment horizontal="left"/>
    </xf>
    <xf numFmtId="0" fontId="143" fillId="0" borderId="13" xfId="0" applyFont="1" applyBorder="1" applyAlignment="1">
      <alignment horizontal="center"/>
    </xf>
    <xf numFmtId="0" fontId="138" fillId="15" borderId="45" xfId="12" applyNumberFormat="1" applyFont="1" applyFill="1" applyBorder="1" applyAlignment="1">
      <alignment horizontal="left" vertical="center"/>
    </xf>
    <xf numFmtId="0" fontId="112" fillId="15" borderId="24" xfId="14" applyFont="1" applyFill="1" applyBorder="1" applyAlignment="1">
      <alignment horizontal="left"/>
    </xf>
    <xf numFmtId="0" fontId="6" fillId="15" borderId="0" xfId="0" applyFont="1" applyFill="1"/>
    <xf numFmtId="0" fontId="6" fillId="15" borderId="24" xfId="0" applyFont="1" applyFill="1" applyBorder="1"/>
    <xf numFmtId="0" fontId="112" fillId="15" borderId="0" xfId="14" applyFont="1" applyFill="1" applyBorder="1" applyAlignment="1">
      <alignment horizontal="center"/>
    </xf>
    <xf numFmtId="0" fontId="139" fillId="15" borderId="0" xfId="12" applyFont="1" applyFill="1" applyBorder="1" applyAlignment="1">
      <alignment horizontal="left" vertical="center" wrapText="1"/>
    </xf>
    <xf numFmtId="37" fontId="112" fillId="15" borderId="24" xfId="14" applyNumberFormat="1" applyFont="1" applyFill="1" applyBorder="1" applyAlignment="1">
      <alignment horizontal="right"/>
    </xf>
    <xf numFmtId="0" fontId="112" fillId="21" borderId="24" xfId="12" applyFont="1" applyFill="1" applyBorder="1" applyAlignment="1">
      <alignment horizontal="left" vertical="center" wrapText="1"/>
    </xf>
    <xf numFmtId="0" fontId="139" fillId="21" borderId="24" xfId="12" applyFont="1" applyFill="1" applyBorder="1" applyAlignment="1">
      <alignment horizontal="left" vertical="center" wrapText="1"/>
    </xf>
    <xf numFmtId="0" fontId="6" fillId="21" borderId="0" xfId="0" applyFont="1" applyFill="1"/>
    <xf numFmtId="0" fontId="139" fillId="21" borderId="13" xfId="12" applyFont="1" applyFill="1" applyBorder="1" applyAlignment="1">
      <alignment horizontal="center" vertical="center" wrapText="1"/>
    </xf>
    <xf numFmtId="0" fontId="139" fillId="21" borderId="13" xfId="12" applyFont="1" applyFill="1" applyBorder="1" applyAlignment="1">
      <alignment horizontal="left" vertical="center" wrapText="1"/>
    </xf>
    <xf numFmtId="37" fontId="139" fillId="21" borderId="24" xfId="12" applyNumberFormat="1" applyFont="1" applyFill="1" applyBorder="1" applyAlignment="1">
      <alignment horizontal="right" vertical="center" wrapText="1"/>
    </xf>
    <xf numFmtId="0" fontId="3" fillId="0" borderId="24" xfId="0" applyFont="1" applyBorder="1" applyAlignment="1">
      <alignment horizontal="center" vertical="center"/>
    </xf>
    <xf numFmtId="0" fontId="138" fillId="71" borderId="45" xfId="12" applyNumberFormat="1" applyFont="1" applyFill="1" applyBorder="1" applyAlignment="1">
      <alignment horizontal="left" vertical="center"/>
    </xf>
    <xf numFmtId="0" fontId="112" fillId="71" borderId="24" xfId="14" applyFont="1" applyFill="1" applyBorder="1" applyAlignment="1">
      <alignment horizontal="left"/>
    </xf>
    <xf numFmtId="0" fontId="6" fillId="71" borderId="24" xfId="0" applyFont="1" applyFill="1" applyBorder="1"/>
    <xf numFmtId="0" fontId="6" fillId="71" borderId="0" xfId="0" applyFont="1" applyFill="1"/>
    <xf numFmtId="0" fontId="112" fillId="71" borderId="0" xfId="14" applyFont="1" applyFill="1" applyBorder="1" applyAlignment="1">
      <alignment horizontal="center"/>
    </xf>
    <xf numFmtId="0" fontId="139" fillId="71" borderId="0" xfId="12" applyFont="1" applyFill="1" applyBorder="1" applyAlignment="1">
      <alignment horizontal="left" vertical="center" wrapText="1"/>
    </xf>
    <xf numFmtId="37" fontId="112" fillId="71" borderId="24" xfId="14" applyNumberFormat="1" applyFont="1" applyFill="1" applyBorder="1" applyAlignment="1">
      <alignment horizontal="right"/>
    </xf>
    <xf numFmtId="0" fontId="112" fillId="15" borderId="24" xfId="12" applyFont="1" applyFill="1" applyBorder="1" applyAlignment="1">
      <alignment horizontal="left" vertical="center" wrapText="1"/>
    </xf>
    <xf numFmtId="0" fontId="139" fillId="15" borderId="24" xfId="12" applyFont="1" applyFill="1" applyBorder="1" applyAlignment="1">
      <alignment horizontal="left" vertical="center" wrapText="1"/>
    </xf>
    <xf numFmtId="0" fontId="139" fillId="15" borderId="13" xfId="12" applyFont="1" applyFill="1" applyBorder="1" applyAlignment="1">
      <alignment horizontal="center" vertical="center" wrapText="1"/>
    </xf>
    <xf numFmtId="0" fontId="139" fillId="15" borderId="13" xfId="12" applyFont="1" applyFill="1" applyBorder="1" applyAlignment="1">
      <alignment horizontal="left" vertical="center" wrapText="1"/>
    </xf>
    <xf numFmtId="37" fontId="139" fillId="15" borderId="24" xfId="12" applyNumberFormat="1" applyFont="1" applyFill="1" applyBorder="1" applyAlignment="1">
      <alignment horizontal="right" vertical="center" wrapText="1"/>
    </xf>
    <xf numFmtId="0" fontId="112" fillId="21" borderId="24" xfId="0" applyFont="1" applyFill="1" applyBorder="1"/>
    <xf numFmtId="0" fontId="112" fillId="21" borderId="13" xfId="14" applyFont="1" applyFill="1" applyBorder="1" applyAlignment="1">
      <alignment horizontal="center"/>
    </xf>
    <xf numFmtId="0" fontId="112" fillId="21" borderId="13" xfId="14" applyFont="1" applyFill="1" applyBorder="1" applyAlignment="1">
      <alignment horizontal="left"/>
    </xf>
    <xf numFmtId="37" fontId="112" fillId="21" borderId="24" xfId="14" applyNumberFormat="1" applyFont="1" applyFill="1" applyBorder="1" applyAlignment="1">
      <alignment horizontal="right"/>
    </xf>
    <xf numFmtId="0" fontId="6" fillId="14" borderId="0" xfId="0" applyFont="1" applyFill="1" applyAlignment="1"/>
    <xf numFmtId="0" fontId="138" fillId="67" borderId="45" xfId="12" applyNumberFormat="1" applyFont="1" applyFill="1" applyBorder="1" applyAlignment="1">
      <alignment horizontal="left" vertical="center"/>
    </xf>
    <xf numFmtId="0" fontId="112" fillId="67" borderId="24" xfId="14" applyFont="1" applyFill="1" applyBorder="1" applyAlignment="1">
      <alignment horizontal="left"/>
    </xf>
    <xf numFmtId="0" fontId="6" fillId="67" borderId="24" xfId="0" applyFont="1" applyFill="1" applyBorder="1"/>
    <xf numFmtId="0" fontId="6" fillId="67" borderId="0" xfId="0" applyFont="1" applyFill="1"/>
    <xf numFmtId="0" fontId="112" fillId="67" borderId="0" xfId="14" applyFont="1" applyFill="1" applyBorder="1" applyAlignment="1">
      <alignment horizontal="center"/>
    </xf>
    <xf numFmtId="0" fontId="139" fillId="67" borderId="0" xfId="12" applyFont="1" applyFill="1" applyBorder="1" applyAlignment="1">
      <alignment horizontal="left" vertical="center" wrapText="1"/>
    </xf>
    <xf numFmtId="37" fontId="112" fillId="67" borderId="24" xfId="14" applyNumberFormat="1" applyFont="1" applyFill="1" applyBorder="1" applyAlignment="1">
      <alignment horizontal="right"/>
    </xf>
    <xf numFmtId="0" fontId="112" fillId="71" borderId="24" xfId="12" applyFont="1" applyFill="1" applyBorder="1" applyAlignment="1">
      <alignment horizontal="left" vertical="center" wrapText="1"/>
    </xf>
    <xf numFmtId="0" fontId="112" fillId="71" borderId="24" xfId="12" applyFont="1" applyFill="1" applyBorder="1" applyAlignment="1">
      <alignment horizontal="left"/>
    </xf>
    <xf numFmtId="0" fontId="112" fillId="71" borderId="24" xfId="12" applyFont="1" applyFill="1" applyBorder="1" applyAlignment="1">
      <alignment horizontal="center"/>
    </xf>
    <xf numFmtId="0" fontId="112" fillId="71" borderId="13" xfId="12" applyFont="1" applyFill="1" applyBorder="1" applyAlignment="1">
      <alignment horizontal="center"/>
    </xf>
    <xf numFmtId="37" fontId="112" fillId="71" borderId="24" xfId="12" applyNumberFormat="1" applyFont="1" applyFill="1" applyBorder="1" applyAlignment="1">
      <alignment horizontal="right"/>
    </xf>
    <xf numFmtId="0" fontId="112" fillId="15" borderId="24" xfId="0" applyFont="1" applyFill="1" applyBorder="1"/>
    <xf numFmtId="0" fontId="26" fillId="15" borderId="24" xfId="0" applyFont="1" applyFill="1" applyBorder="1"/>
    <xf numFmtId="0" fontId="139" fillId="15" borderId="24" xfId="12" applyFont="1" applyFill="1" applyBorder="1" applyAlignment="1">
      <alignment horizontal="center" vertical="center" wrapText="1"/>
    </xf>
    <xf numFmtId="0" fontId="6" fillId="21" borderId="14" xfId="0" applyFont="1" applyFill="1" applyBorder="1"/>
    <xf numFmtId="0" fontId="112" fillId="31" borderId="24" xfId="0" applyFont="1" applyFill="1" applyBorder="1"/>
    <xf numFmtId="0" fontId="112" fillId="31" borderId="24" xfId="14" applyFont="1" applyFill="1" applyBorder="1" applyAlignment="1">
      <alignment horizontal="left"/>
    </xf>
    <xf numFmtId="0" fontId="6" fillId="31" borderId="24" xfId="0" applyFont="1" applyFill="1" applyBorder="1"/>
    <xf numFmtId="0" fontId="6" fillId="31" borderId="0" xfId="0" applyFont="1" applyFill="1"/>
    <xf numFmtId="0" fontId="112" fillId="31" borderId="13" xfId="14" applyFont="1" applyFill="1" applyBorder="1" applyAlignment="1">
      <alignment horizontal="center"/>
    </xf>
    <xf numFmtId="0" fontId="112" fillId="31" borderId="13" xfId="14" applyFont="1" applyFill="1" applyBorder="1" applyAlignment="1">
      <alignment horizontal="left"/>
    </xf>
    <xf numFmtId="37" fontId="112" fillId="31" borderId="24" xfId="14" applyNumberFormat="1" applyFont="1" applyFill="1" applyBorder="1" applyAlignment="1">
      <alignment horizontal="right"/>
    </xf>
    <xf numFmtId="0" fontId="6" fillId="0" borderId="14" xfId="0" applyFont="1" applyBorder="1" applyAlignment="1">
      <alignment horizontal="center"/>
    </xf>
    <xf numFmtId="0" fontId="3" fillId="66" borderId="45" xfId="12" applyNumberFormat="1" applyFont="1" applyFill="1" applyBorder="1" applyAlignment="1">
      <alignment horizontal="left" vertical="center"/>
    </xf>
    <xf numFmtId="0" fontId="112" fillId="66" borderId="24" xfId="14" applyFont="1" applyFill="1" applyBorder="1" applyAlignment="1">
      <alignment horizontal="left"/>
    </xf>
    <xf numFmtId="0" fontId="6" fillId="66" borderId="24" xfId="0" applyFont="1" applyFill="1" applyBorder="1"/>
    <xf numFmtId="0" fontId="6" fillId="66" borderId="0" xfId="0" applyFont="1" applyFill="1"/>
    <xf numFmtId="0" fontId="112" fillId="66" borderId="0" xfId="14" applyFont="1" applyFill="1" applyBorder="1" applyAlignment="1">
      <alignment horizontal="center"/>
    </xf>
    <xf numFmtId="0" fontId="139" fillId="66" borderId="0" xfId="12" applyFont="1" applyFill="1" applyBorder="1" applyAlignment="1">
      <alignment horizontal="left" vertical="center" wrapText="1"/>
    </xf>
    <xf numFmtId="37" fontId="112" fillId="66" borderId="24" xfId="14" applyNumberFormat="1" applyFont="1" applyFill="1" applyBorder="1" applyAlignment="1">
      <alignment horizontal="right"/>
    </xf>
    <xf numFmtId="0" fontId="6" fillId="0" borderId="13" xfId="0" applyFont="1" applyFill="1" applyBorder="1" applyAlignment="1">
      <alignment horizontal="center"/>
    </xf>
    <xf numFmtId="0" fontId="6" fillId="0" borderId="14" xfId="0" applyFont="1" applyFill="1" applyBorder="1" applyAlignment="1">
      <alignment horizontal="center"/>
    </xf>
    <xf numFmtId="0" fontId="3" fillId="0" borderId="12" xfId="12" applyNumberFormat="1" applyFont="1" applyBorder="1" applyAlignment="1">
      <alignment horizontal="center" vertical="center"/>
    </xf>
    <xf numFmtId="0" fontId="6" fillId="0" borderId="12" xfId="0" applyFont="1" applyFill="1" applyBorder="1"/>
    <xf numFmtId="0" fontId="6" fillId="0" borderId="12" xfId="0" applyFont="1" applyBorder="1"/>
    <xf numFmtId="0" fontId="26" fillId="0" borderId="12" xfId="0" applyFont="1" applyBorder="1"/>
    <xf numFmtId="0" fontId="112" fillId="0" borderId="12" xfId="12" applyFont="1" applyBorder="1" applyAlignment="1">
      <alignment horizontal="left" vertical="center"/>
    </xf>
    <xf numFmtId="0" fontId="139" fillId="0" borderId="12" xfId="12" applyFont="1" applyFill="1" applyBorder="1" applyAlignment="1">
      <alignment horizontal="left" vertical="center"/>
    </xf>
    <xf numFmtId="0" fontId="139" fillId="0" borderId="15" xfId="12" applyFont="1" applyFill="1" applyBorder="1" applyAlignment="1">
      <alignment horizontal="center" vertical="center"/>
    </xf>
    <xf numFmtId="0" fontId="139" fillId="0" borderId="15" xfId="12" applyFont="1" applyFill="1" applyBorder="1" applyAlignment="1">
      <alignment horizontal="left" vertical="center"/>
    </xf>
    <xf numFmtId="0" fontId="6" fillId="0" borderId="15" xfId="0" applyFont="1" applyBorder="1"/>
    <xf numFmtId="0" fontId="6" fillId="0" borderId="16" xfId="0" applyFont="1" applyBorder="1"/>
    <xf numFmtId="37" fontId="139" fillId="0" borderId="12" xfId="12" applyNumberFormat="1" applyFont="1" applyFill="1" applyBorder="1" applyAlignment="1">
      <alignment horizontal="right" vertical="center"/>
    </xf>
    <xf numFmtId="37" fontId="6" fillId="0" borderId="0" xfId="0" applyNumberFormat="1" applyFont="1"/>
    <xf numFmtId="0" fontId="75" fillId="2" borderId="2" xfId="0" applyFont="1" applyFill="1" applyBorder="1" applyAlignment="1">
      <alignment horizontal="left" vertical="center" wrapText="1"/>
    </xf>
    <xf numFmtId="176" fontId="75" fillId="2" borderId="2" xfId="1" applyNumberFormat="1" applyFont="1" applyFill="1" applyBorder="1" applyAlignment="1">
      <alignment horizontal="right" vertical="center" wrapText="1"/>
    </xf>
    <xf numFmtId="0" fontId="89" fillId="7" borderId="0" xfId="0" applyFont="1" applyFill="1" applyAlignment="1">
      <alignment vertical="center" wrapText="1"/>
    </xf>
    <xf numFmtId="0" fontId="72" fillId="32" borderId="0" xfId="0" applyFont="1" applyFill="1" applyAlignment="1">
      <alignment vertical="center"/>
    </xf>
    <xf numFmtId="0" fontId="71" fillId="31" borderId="0" xfId="0" applyFont="1" applyFill="1" applyAlignment="1">
      <alignment horizontal="right" vertical="center" wrapText="1"/>
    </xf>
    <xf numFmtId="0" fontId="81" fillId="72" borderId="0" xfId="0" applyFont="1" applyFill="1"/>
    <xf numFmtId="0" fontId="151" fillId="22" borderId="0" xfId="0" applyFont="1" applyFill="1" applyAlignment="1">
      <alignment horizontal="center"/>
    </xf>
    <xf numFmtId="0" fontId="56" fillId="0" borderId="0" xfId="0" applyFont="1" applyAlignment="1">
      <alignment horizontal="center" vertical="center"/>
    </xf>
    <xf numFmtId="14" fontId="94" fillId="3" borderId="0" xfId="0" applyNumberFormat="1" applyFont="1" applyFill="1" applyBorder="1" applyAlignment="1">
      <alignment horizontal="center" vertical="center"/>
    </xf>
    <xf numFmtId="14" fontId="95" fillId="2" borderId="0" xfId="0" applyNumberFormat="1" applyFont="1" applyFill="1" applyBorder="1" applyAlignment="1">
      <alignment horizontal="center" vertical="center"/>
    </xf>
    <xf numFmtId="0" fontId="65" fillId="7" borderId="36" xfId="0" applyFont="1" applyFill="1" applyBorder="1" applyAlignment="1">
      <alignment horizontal="center"/>
    </xf>
    <xf numFmtId="0" fontId="61" fillId="7" borderId="36" xfId="0" applyFont="1" applyFill="1" applyBorder="1" applyAlignment="1">
      <alignment horizontal="center"/>
    </xf>
    <xf numFmtId="174" fontId="65" fillId="7" borderId="0" xfId="0" applyNumberFormat="1" applyFont="1" applyFill="1" applyBorder="1" applyAlignment="1">
      <alignment horizontal="center" vertical="center" wrapText="1"/>
    </xf>
    <xf numFmtId="0" fontId="0" fillId="0" borderId="22" xfId="0" applyBorder="1" applyAlignment="1"/>
    <xf numFmtId="0" fontId="65" fillId="7" borderId="0" xfId="0" applyFont="1" applyFill="1" applyAlignment="1">
      <alignment horizontal="center" vertical="center" wrapText="1"/>
    </xf>
    <xf numFmtId="0" fontId="61" fillId="7" borderId="22" xfId="0" applyFont="1" applyFill="1" applyBorder="1" applyAlignment="1">
      <alignment horizontal="center" vertical="center" wrapText="1"/>
    </xf>
    <xf numFmtId="0" fontId="105" fillId="7" borderId="0" xfId="0" applyFont="1" applyFill="1" applyAlignment="1">
      <alignment horizontal="left"/>
    </xf>
    <xf numFmtId="0" fontId="83" fillId="0" borderId="0" xfId="0" applyFont="1" applyAlignment="1">
      <alignment horizontal="left" vertical="center"/>
    </xf>
  </cellXfs>
  <cellStyles count="85">
    <cellStyle name="Lien hypertexte" xfId="5" builtinId="8"/>
    <cellStyle name="Lien hypertexte 2" xfId="10" xr:uid="{00000000-0005-0000-0000-000001000000}"/>
    <cellStyle name="Lien hypertexte 2 2" xfId="36" xr:uid="{00000000-0005-0000-0000-000002000000}"/>
    <cellStyle name="Lien hypertexte 5 2" xfId="17" xr:uid="{00000000-0005-0000-0000-000003000000}"/>
    <cellStyle name="Milliers" xfId="1" builtinId="3"/>
    <cellStyle name="Milliers 10" xfId="53" xr:uid="{00000000-0005-0000-0000-000005000000}"/>
    <cellStyle name="Milliers 10 2" xfId="51" xr:uid="{00000000-0005-0000-0000-000006000000}"/>
    <cellStyle name="Milliers 10 2 2" xfId="81" xr:uid="{00000000-0005-0000-0000-000007000000}"/>
    <cellStyle name="Milliers 10 3" xfId="83" xr:uid="{00000000-0005-0000-0000-000008000000}"/>
    <cellStyle name="Milliers 11" xfId="52" xr:uid="{00000000-0005-0000-0000-000009000000}"/>
    <cellStyle name="Milliers 11 2" xfId="82" xr:uid="{00000000-0005-0000-0000-00000A000000}"/>
    <cellStyle name="Milliers 12" xfId="54" xr:uid="{00000000-0005-0000-0000-00000B000000}"/>
    <cellStyle name="Milliers 12 2" xfId="84" xr:uid="{00000000-0005-0000-0000-00000C000000}"/>
    <cellStyle name="Milliers 13" xfId="55" xr:uid="{00000000-0005-0000-0000-00000D000000}"/>
    <cellStyle name="Milliers 2" xfId="7" xr:uid="{00000000-0005-0000-0000-00000E000000}"/>
    <cellStyle name="Milliers 3" xfId="4" xr:uid="{00000000-0005-0000-0000-00000F000000}"/>
    <cellStyle name="Milliers 4" xfId="24" xr:uid="{00000000-0005-0000-0000-000010000000}"/>
    <cellStyle name="Milliers 4 2" xfId="31" xr:uid="{00000000-0005-0000-0000-000011000000}"/>
    <cellStyle name="Milliers 4 2 2" xfId="48" xr:uid="{00000000-0005-0000-0000-000012000000}"/>
    <cellStyle name="Milliers 4 2 2 2" xfId="79" xr:uid="{00000000-0005-0000-0000-000013000000}"/>
    <cellStyle name="Milliers 4 2 3" xfId="66" xr:uid="{00000000-0005-0000-0000-000014000000}"/>
    <cellStyle name="Milliers 4 3" xfId="42" xr:uid="{00000000-0005-0000-0000-000015000000}"/>
    <cellStyle name="Milliers 4 3 2" xfId="73" xr:uid="{00000000-0005-0000-0000-000016000000}"/>
    <cellStyle name="Milliers 4 4" xfId="60" xr:uid="{00000000-0005-0000-0000-000017000000}"/>
    <cellStyle name="Milliers 5" xfId="23" xr:uid="{00000000-0005-0000-0000-000018000000}"/>
    <cellStyle name="Milliers 6" xfId="26" xr:uid="{00000000-0005-0000-0000-000019000000}"/>
    <cellStyle name="Milliers 6 2" xfId="43" xr:uid="{00000000-0005-0000-0000-00001A000000}"/>
    <cellStyle name="Milliers 6 2 2" xfId="74" xr:uid="{00000000-0005-0000-0000-00001B000000}"/>
    <cellStyle name="Milliers 6 3" xfId="61" xr:uid="{00000000-0005-0000-0000-00001C000000}"/>
    <cellStyle name="Milliers 7" xfId="34" xr:uid="{00000000-0005-0000-0000-00001D000000}"/>
    <cellStyle name="Milliers 7 2" xfId="49" xr:uid="{00000000-0005-0000-0000-00001E000000}"/>
    <cellStyle name="Milliers 7 2 2" xfId="80" xr:uid="{00000000-0005-0000-0000-00001F000000}"/>
    <cellStyle name="Milliers 7 3" xfId="67" xr:uid="{00000000-0005-0000-0000-000020000000}"/>
    <cellStyle name="Milliers 8" xfId="15" xr:uid="{00000000-0005-0000-0000-000021000000}"/>
    <cellStyle name="Milliers 8 2" xfId="16" xr:uid="{00000000-0005-0000-0000-000022000000}"/>
    <cellStyle name="Milliers 8 2 2" xfId="20" xr:uid="{00000000-0005-0000-0000-000023000000}"/>
    <cellStyle name="Milliers 8 2 2 2" xfId="30" xr:uid="{00000000-0005-0000-0000-000024000000}"/>
    <cellStyle name="Milliers 8 2 2 2 2" xfId="47" xr:uid="{00000000-0005-0000-0000-000025000000}"/>
    <cellStyle name="Milliers 8 2 2 2 2 2" xfId="78" xr:uid="{00000000-0005-0000-0000-000026000000}"/>
    <cellStyle name="Milliers 8 2 2 2 3" xfId="65" xr:uid="{00000000-0005-0000-0000-000027000000}"/>
    <cellStyle name="Milliers 8 2 2 3" xfId="41" xr:uid="{00000000-0005-0000-0000-000028000000}"/>
    <cellStyle name="Milliers 8 2 2 3 2" xfId="72" xr:uid="{00000000-0005-0000-0000-000029000000}"/>
    <cellStyle name="Milliers 8 2 2 4" xfId="59" xr:uid="{00000000-0005-0000-0000-00002A000000}"/>
    <cellStyle name="Milliers 8 2 3" xfId="28" xr:uid="{00000000-0005-0000-0000-00002B000000}"/>
    <cellStyle name="Milliers 8 2 3 2" xfId="45" xr:uid="{00000000-0005-0000-0000-00002C000000}"/>
    <cellStyle name="Milliers 8 2 3 2 2" xfId="76" xr:uid="{00000000-0005-0000-0000-00002D000000}"/>
    <cellStyle name="Milliers 8 2 3 3" xfId="63" xr:uid="{00000000-0005-0000-0000-00002E000000}"/>
    <cellStyle name="Milliers 8 2 4" xfId="39" xr:uid="{00000000-0005-0000-0000-00002F000000}"/>
    <cellStyle name="Milliers 8 2 4 2" xfId="70" xr:uid="{00000000-0005-0000-0000-000030000000}"/>
    <cellStyle name="Milliers 8 2 5" xfId="57" xr:uid="{00000000-0005-0000-0000-000031000000}"/>
    <cellStyle name="Milliers 8 3" xfId="18" xr:uid="{00000000-0005-0000-0000-000032000000}"/>
    <cellStyle name="Milliers 8 3 2" xfId="29" xr:uid="{00000000-0005-0000-0000-000033000000}"/>
    <cellStyle name="Milliers 8 3 2 2" xfId="46" xr:uid="{00000000-0005-0000-0000-000034000000}"/>
    <cellStyle name="Milliers 8 3 2 2 2" xfId="77" xr:uid="{00000000-0005-0000-0000-000035000000}"/>
    <cellStyle name="Milliers 8 3 2 3" xfId="64" xr:uid="{00000000-0005-0000-0000-000036000000}"/>
    <cellStyle name="Milliers 8 3 3" xfId="40" xr:uid="{00000000-0005-0000-0000-000037000000}"/>
    <cellStyle name="Milliers 8 3 3 2" xfId="71" xr:uid="{00000000-0005-0000-0000-000038000000}"/>
    <cellStyle name="Milliers 8 3 4" xfId="58" xr:uid="{00000000-0005-0000-0000-000039000000}"/>
    <cellStyle name="Milliers 8 4" xfId="27" xr:uid="{00000000-0005-0000-0000-00003A000000}"/>
    <cellStyle name="Milliers 8 4 2" xfId="44" xr:uid="{00000000-0005-0000-0000-00003B000000}"/>
    <cellStyle name="Milliers 8 4 2 2" xfId="75" xr:uid="{00000000-0005-0000-0000-00003C000000}"/>
    <cellStyle name="Milliers 8 4 3" xfId="62" xr:uid="{00000000-0005-0000-0000-00003D000000}"/>
    <cellStyle name="Milliers 8 5" xfId="38" xr:uid="{00000000-0005-0000-0000-00003E000000}"/>
    <cellStyle name="Milliers 8 5 2" xfId="69" xr:uid="{00000000-0005-0000-0000-00003F000000}"/>
    <cellStyle name="Milliers 8 6" xfId="56" xr:uid="{00000000-0005-0000-0000-000040000000}"/>
    <cellStyle name="Milliers 9" xfId="37" xr:uid="{00000000-0005-0000-0000-000041000000}"/>
    <cellStyle name="Milliers 9 2" xfId="68" xr:uid="{00000000-0005-0000-0000-000042000000}"/>
    <cellStyle name="Normal" xfId="0" builtinId="0"/>
    <cellStyle name="Normal 11" xfId="6" xr:uid="{00000000-0005-0000-0000-000045000000}"/>
    <cellStyle name="Normal 12_DRAC" xfId="25" xr:uid="{00000000-0005-0000-0000-000046000000}"/>
    <cellStyle name="Normal 13" xfId="13" xr:uid="{00000000-0005-0000-0000-000047000000}"/>
    <cellStyle name="Normal 2" xfId="12" xr:uid="{00000000-0005-0000-0000-000048000000}"/>
    <cellStyle name="Normal 2 2" xfId="21" xr:uid="{00000000-0005-0000-0000-000049000000}"/>
    <cellStyle name="Normal 2 2 2" xfId="32" xr:uid="{00000000-0005-0000-0000-00004A000000}"/>
    <cellStyle name="Normal 2 2 3" xfId="50" xr:uid="{00000000-0005-0000-0000-00004B000000}"/>
    <cellStyle name="Normal 3" xfId="22" xr:uid="{00000000-0005-0000-0000-00004C000000}"/>
    <cellStyle name="Normal 3 2" xfId="14" xr:uid="{00000000-0005-0000-0000-00004D000000}"/>
    <cellStyle name="Normal 3 4" xfId="8" xr:uid="{00000000-0005-0000-0000-00004E000000}"/>
    <cellStyle name="Normal 4" xfId="19" xr:uid="{00000000-0005-0000-0000-00004F000000}"/>
    <cellStyle name="Normal 6" xfId="35" xr:uid="{00000000-0005-0000-0000-000050000000}"/>
    <cellStyle name="Normal_Annexes IFRS 300605 vfinale 071005" xfId="9" xr:uid="{00000000-0005-0000-0000-000052000000}"/>
    <cellStyle name="Normal_Contrôles Annexes 12.2006" xfId="3" xr:uid="{00000000-0005-0000-0000-000053000000}"/>
    <cellStyle name="Pourcentage" xfId="2" builtinId="5"/>
    <cellStyle name="Pourcentage 2" xfId="11" xr:uid="{00000000-0005-0000-0000-000056000000}"/>
    <cellStyle name="Pourcentage 2 2" xfId="33" xr:uid="{00000000-0005-0000-0000-000057000000}"/>
  </cellStyles>
  <dxfs count="986">
    <dxf>
      <fill>
        <patternFill>
          <bgColor rgb="FFFFC000"/>
        </patternFill>
      </fill>
    </dxf>
    <dxf>
      <font>
        <color rgb="FF9C0006"/>
      </font>
      <fill>
        <patternFill>
          <bgColor rgb="FFFFC7CE"/>
        </patternFill>
      </fill>
    </dxf>
    <dxf>
      <font>
        <color rgb="FF9C6500"/>
      </font>
      <fill>
        <patternFill>
          <bgColor rgb="FFFFEB9C"/>
        </patternFill>
      </fill>
    </dxf>
    <dxf>
      <font>
        <color rgb="FF006100"/>
      </font>
      <fill>
        <patternFill>
          <bgColor rgb="FFC6EFCE"/>
        </patternFill>
      </fill>
    </dxf>
    <dxf>
      <font>
        <color rgb="FF9C6500"/>
      </font>
      <fill>
        <patternFill>
          <bgColor rgb="FFFFEB9C"/>
        </patternFill>
      </fill>
    </dxf>
    <dxf>
      <font>
        <color rgb="FF9C0006"/>
      </font>
      <fill>
        <patternFill>
          <bgColor rgb="FFFFC7CE"/>
        </patternFill>
      </fill>
    </dxf>
    <dxf>
      <font>
        <color rgb="FF9C6500"/>
      </font>
      <fill>
        <patternFill>
          <bgColor rgb="FFFFEB9C"/>
        </patternFill>
      </fill>
    </dxf>
    <dxf>
      <font>
        <color rgb="FF006100"/>
      </font>
      <fill>
        <patternFill>
          <bgColor rgb="FFC6EFCE"/>
        </patternFill>
      </fill>
    </dxf>
    <dxf>
      <font>
        <color rgb="FF9C6500"/>
      </font>
      <fill>
        <patternFill>
          <bgColor rgb="FFFFEB9C"/>
        </patternFill>
      </fill>
    </dxf>
    <dxf>
      <fill>
        <patternFill>
          <bgColor rgb="FFFFC7CE"/>
        </patternFill>
      </fill>
    </dxf>
    <dxf>
      <fill>
        <patternFill>
          <bgColor rgb="FFFFC000"/>
        </patternFill>
      </fill>
    </dxf>
    <dxf>
      <font>
        <color rgb="FF9C0006"/>
      </font>
      <fill>
        <patternFill>
          <bgColor rgb="FFFFC7CE"/>
        </patternFill>
      </fill>
    </dxf>
    <dxf>
      <font>
        <color rgb="FF9C6500"/>
      </font>
      <fill>
        <patternFill>
          <bgColor rgb="FFFFEB9C"/>
        </patternFill>
      </fill>
    </dxf>
    <dxf>
      <font>
        <color rgb="FF006100"/>
      </font>
      <fill>
        <patternFill>
          <bgColor rgb="FFC6EFCE"/>
        </patternFill>
      </fill>
    </dxf>
    <dxf>
      <font>
        <color rgb="FF9C6500"/>
      </font>
      <fill>
        <patternFill>
          <bgColor rgb="FFFFEB9C"/>
        </patternFill>
      </fill>
    </dxf>
    <dxf>
      <fill>
        <patternFill>
          <bgColor rgb="FFFFC7CE"/>
        </patternFill>
      </fill>
    </dxf>
    <dxf>
      <fill>
        <patternFill>
          <bgColor rgb="FFFFC000"/>
        </patternFill>
      </fill>
    </dxf>
    <dxf>
      <font>
        <color rgb="FF9C0006"/>
      </font>
      <fill>
        <patternFill>
          <bgColor rgb="FFFFC7CE"/>
        </patternFill>
      </fill>
    </dxf>
    <dxf>
      <font>
        <color rgb="FF9C6500"/>
      </font>
      <fill>
        <patternFill>
          <bgColor rgb="FFFFEB9C"/>
        </patternFill>
      </fill>
    </dxf>
    <dxf>
      <font>
        <color rgb="FF006100"/>
      </font>
      <fill>
        <patternFill>
          <bgColor rgb="FFC6EFCE"/>
        </patternFill>
      </fill>
    </dxf>
    <dxf>
      <font>
        <color rgb="FF9C6500"/>
      </font>
      <fill>
        <patternFill>
          <bgColor rgb="FFFFEB9C"/>
        </patternFill>
      </fill>
    </dxf>
    <dxf>
      <font>
        <color rgb="FF9C0006"/>
      </font>
      <fill>
        <patternFill>
          <bgColor rgb="FFFFC7CE"/>
        </patternFill>
      </fill>
    </dxf>
    <dxf>
      <font>
        <color rgb="FF9C6500"/>
      </font>
      <fill>
        <patternFill>
          <bgColor rgb="FFFFEB9C"/>
        </patternFill>
      </fill>
    </dxf>
    <dxf>
      <font>
        <color rgb="FF006100"/>
      </font>
      <fill>
        <patternFill>
          <bgColor rgb="FFC6EFCE"/>
        </patternFill>
      </fill>
    </dxf>
    <dxf>
      <font>
        <color rgb="FF9C6500"/>
      </font>
      <fill>
        <patternFill>
          <bgColor rgb="FFFFEB9C"/>
        </patternFill>
      </fill>
    </dxf>
    <dxf>
      <fill>
        <patternFill>
          <bgColor rgb="FFFFC7CE"/>
        </patternFill>
      </fill>
    </dxf>
    <dxf>
      <fill>
        <patternFill>
          <bgColor rgb="FFFFC000"/>
        </patternFill>
      </fill>
    </dxf>
    <dxf>
      <font>
        <color rgb="FF9C0006"/>
      </font>
      <fill>
        <patternFill>
          <bgColor rgb="FFFFC7CE"/>
        </patternFill>
      </fill>
    </dxf>
    <dxf>
      <font>
        <color rgb="FF9C6500"/>
      </font>
      <fill>
        <patternFill>
          <bgColor rgb="FFFFEB9C"/>
        </patternFill>
      </fill>
    </dxf>
    <dxf>
      <font>
        <color rgb="FF006100"/>
      </font>
      <fill>
        <patternFill>
          <bgColor rgb="FFC6EFCE"/>
        </patternFill>
      </fill>
    </dxf>
    <dxf>
      <font>
        <color rgb="FF9C6500"/>
      </font>
      <fill>
        <patternFill>
          <bgColor rgb="FFFFEB9C"/>
        </patternFill>
      </fill>
    </dxf>
    <dxf>
      <fill>
        <patternFill>
          <bgColor rgb="FFFFC7CE"/>
        </patternFill>
      </fill>
    </dxf>
    <dxf>
      <font>
        <color rgb="FF006100"/>
      </font>
      <fill>
        <patternFill>
          <bgColor rgb="FFC6EFCE"/>
        </patternFill>
      </fill>
    </dxf>
    <dxf>
      <font>
        <color rgb="FF9C0006"/>
      </font>
      <fill>
        <patternFill>
          <bgColor rgb="FFFFC7CE"/>
        </patternFill>
      </fill>
    </dxf>
    <dxf>
      <fill>
        <patternFill>
          <bgColor theme="5" tint="0.39994506668294322"/>
        </patternFill>
      </fill>
    </dxf>
    <dxf>
      <font>
        <color rgb="FF9C6500"/>
      </font>
      <fill>
        <patternFill>
          <bgColor rgb="FFFFEB9C"/>
        </patternFill>
      </fill>
    </dxf>
    <dxf>
      <font>
        <color rgb="FF006100"/>
      </font>
      <fill>
        <patternFill>
          <bgColor rgb="FFC6EFCE"/>
        </patternFill>
      </fill>
    </dxf>
    <dxf>
      <font>
        <color rgb="FF9C0006"/>
      </font>
      <fill>
        <patternFill>
          <bgColor rgb="FFFFC7CE"/>
        </patternFill>
      </fill>
    </dxf>
    <dxf>
      <fill>
        <patternFill>
          <bgColor theme="5" tint="0.39994506668294322"/>
        </patternFill>
      </fill>
    </dxf>
    <dxf>
      <font>
        <color rgb="FF9C6500"/>
      </font>
      <fill>
        <patternFill>
          <bgColor rgb="FFFFEB9C"/>
        </patternFill>
      </fill>
    </dxf>
    <dxf>
      <font>
        <color rgb="FF9C6500"/>
      </font>
      <fill>
        <patternFill>
          <bgColor rgb="FFFFEB9C"/>
        </patternFill>
      </fill>
    </dxf>
    <dxf>
      <fill>
        <patternFill>
          <bgColor rgb="FFFFC000"/>
        </patternFill>
      </fill>
    </dxf>
    <dxf>
      <font>
        <color rgb="FF9C0006"/>
      </font>
      <fill>
        <patternFill>
          <bgColor rgb="FFFFC7CE"/>
        </patternFill>
      </fill>
    </dxf>
    <dxf>
      <font>
        <color rgb="FF9C6500"/>
      </font>
      <fill>
        <patternFill>
          <bgColor rgb="FFFFEB9C"/>
        </patternFill>
      </fill>
    </dxf>
    <dxf>
      <font>
        <color rgb="FF006100"/>
      </font>
      <fill>
        <patternFill>
          <bgColor rgb="FFC6EFCE"/>
        </patternFill>
      </fill>
    </dxf>
    <dxf>
      <font>
        <color rgb="FF9C6500"/>
      </font>
      <fill>
        <patternFill>
          <bgColor rgb="FFFFEB9C"/>
        </patternFill>
      </fill>
    </dxf>
    <dxf>
      <font>
        <color rgb="FF9C0006"/>
      </font>
      <fill>
        <patternFill>
          <bgColor rgb="FFFFC7CE"/>
        </patternFill>
      </fill>
    </dxf>
    <dxf>
      <font>
        <color rgb="FF9C6500"/>
      </font>
      <fill>
        <patternFill>
          <bgColor rgb="FFFFEB9C"/>
        </patternFill>
      </fill>
    </dxf>
    <dxf>
      <font>
        <color rgb="FF006100"/>
      </font>
      <fill>
        <patternFill>
          <bgColor rgb="FFC6EFCE"/>
        </patternFill>
      </fill>
    </dxf>
    <dxf>
      <font>
        <color rgb="FF9C6500"/>
      </font>
      <fill>
        <patternFill>
          <bgColor rgb="FFFFEB9C"/>
        </patternFill>
      </fill>
    </dxf>
    <dxf>
      <fill>
        <patternFill>
          <bgColor rgb="FFFFC7CE"/>
        </patternFill>
      </fill>
    </dxf>
    <dxf>
      <fill>
        <patternFill>
          <bgColor rgb="FFFFC000"/>
        </patternFill>
      </fill>
    </dxf>
    <dxf>
      <font>
        <color rgb="FF9C0006"/>
      </font>
      <fill>
        <patternFill>
          <bgColor rgb="FFFFC7CE"/>
        </patternFill>
      </fill>
    </dxf>
    <dxf>
      <font>
        <color rgb="FF9C6500"/>
      </font>
      <fill>
        <patternFill>
          <bgColor rgb="FFFFEB9C"/>
        </patternFill>
      </fill>
    </dxf>
    <dxf>
      <font>
        <color rgb="FF006100"/>
      </font>
      <fill>
        <patternFill>
          <bgColor rgb="FFC6EFCE"/>
        </patternFill>
      </fill>
    </dxf>
    <dxf>
      <font>
        <color rgb="FF9C6500"/>
      </font>
      <fill>
        <patternFill>
          <bgColor rgb="FFFFEB9C"/>
        </patternFill>
      </fill>
    </dxf>
    <dxf>
      <fill>
        <patternFill>
          <bgColor rgb="FFFFC7CE"/>
        </patternFill>
      </fill>
    </dxf>
    <dxf>
      <font>
        <color rgb="FF006100"/>
      </font>
      <fill>
        <patternFill>
          <bgColor rgb="FFC6EFCE"/>
        </patternFill>
      </fill>
    </dxf>
    <dxf>
      <font>
        <color rgb="FF9C0006"/>
      </font>
      <fill>
        <patternFill>
          <bgColor rgb="FFFFC7CE"/>
        </patternFill>
      </fill>
    </dxf>
    <dxf>
      <fill>
        <patternFill>
          <bgColor theme="5" tint="0.39994506668294322"/>
        </patternFill>
      </fill>
    </dxf>
    <dxf>
      <font>
        <color rgb="FF9C6500"/>
      </font>
      <fill>
        <patternFill>
          <bgColor rgb="FFFFEB9C"/>
        </patternFill>
      </fill>
    </dxf>
    <dxf>
      <font>
        <color rgb="FF006100"/>
      </font>
      <fill>
        <patternFill>
          <bgColor rgb="FFC6EFCE"/>
        </patternFill>
      </fill>
    </dxf>
    <dxf>
      <font>
        <color rgb="FF9C0006"/>
      </font>
      <fill>
        <patternFill>
          <bgColor rgb="FFFFC7CE"/>
        </patternFill>
      </fill>
    </dxf>
    <dxf>
      <fill>
        <patternFill>
          <bgColor theme="5" tint="0.39994506668294322"/>
        </patternFill>
      </fill>
    </dxf>
    <dxf>
      <font>
        <color rgb="FF9C6500"/>
      </font>
      <fill>
        <patternFill>
          <bgColor rgb="FFFFEB9C"/>
        </patternFill>
      </fill>
    </dxf>
    <dxf>
      <font>
        <color rgb="FF9C6500"/>
      </font>
      <fill>
        <patternFill>
          <bgColor rgb="FFFFEB9C"/>
        </patternFill>
      </fill>
    </dxf>
    <dxf>
      <fill>
        <patternFill>
          <bgColor rgb="FFFFC000"/>
        </patternFill>
      </fill>
    </dxf>
    <dxf>
      <font>
        <color rgb="FF9C0006"/>
      </font>
      <fill>
        <patternFill>
          <bgColor rgb="FFFFC7CE"/>
        </patternFill>
      </fill>
    </dxf>
    <dxf>
      <font>
        <color rgb="FF9C6500"/>
      </font>
      <fill>
        <patternFill>
          <bgColor rgb="FFFFEB9C"/>
        </patternFill>
      </fill>
    </dxf>
    <dxf>
      <font>
        <color rgb="FF006100"/>
      </font>
      <fill>
        <patternFill>
          <bgColor rgb="FFC6EFCE"/>
        </patternFill>
      </fill>
    </dxf>
    <dxf>
      <font>
        <color rgb="FF9C6500"/>
      </font>
      <fill>
        <patternFill>
          <bgColor rgb="FFFFEB9C"/>
        </patternFill>
      </fill>
    </dxf>
    <dxf>
      <font>
        <color rgb="FF9C0006"/>
      </font>
      <fill>
        <patternFill>
          <bgColor rgb="FFFFC7CE"/>
        </patternFill>
      </fill>
    </dxf>
    <dxf>
      <font>
        <color rgb="FF9C6500"/>
      </font>
      <fill>
        <patternFill>
          <bgColor rgb="FFFFEB9C"/>
        </patternFill>
      </fill>
    </dxf>
    <dxf>
      <font>
        <color rgb="FF006100"/>
      </font>
      <fill>
        <patternFill>
          <bgColor rgb="FFC6EFCE"/>
        </patternFill>
      </fill>
    </dxf>
    <dxf>
      <font>
        <color rgb="FF9C6500"/>
      </font>
      <fill>
        <patternFill>
          <bgColor rgb="FFFFEB9C"/>
        </patternFill>
      </fill>
    </dxf>
    <dxf>
      <fill>
        <patternFill>
          <bgColor rgb="FFFFC7CE"/>
        </patternFill>
      </fill>
    </dxf>
    <dxf>
      <fill>
        <patternFill>
          <bgColor rgb="FFFFC000"/>
        </patternFill>
      </fill>
    </dxf>
    <dxf>
      <font>
        <color rgb="FF9C0006"/>
      </font>
      <fill>
        <patternFill>
          <bgColor rgb="FFFFC7CE"/>
        </patternFill>
      </fill>
    </dxf>
    <dxf>
      <font>
        <color rgb="FF9C6500"/>
      </font>
      <fill>
        <patternFill>
          <bgColor rgb="FFFFEB9C"/>
        </patternFill>
      </fill>
    </dxf>
    <dxf>
      <font>
        <color rgb="FF006100"/>
      </font>
      <fill>
        <patternFill>
          <bgColor rgb="FFC6EFCE"/>
        </patternFill>
      </fill>
    </dxf>
    <dxf>
      <font>
        <color rgb="FF9C6500"/>
      </font>
      <fill>
        <patternFill>
          <bgColor rgb="FFFFEB9C"/>
        </patternFill>
      </fill>
    </dxf>
    <dxf>
      <fill>
        <patternFill>
          <bgColor rgb="FFFFC7CE"/>
        </patternFill>
      </fill>
    </dxf>
    <dxf>
      <font>
        <color rgb="FF006100"/>
      </font>
      <fill>
        <patternFill>
          <bgColor rgb="FFC6EFCE"/>
        </patternFill>
      </fill>
    </dxf>
    <dxf>
      <font>
        <color rgb="FF9C0006"/>
      </font>
      <fill>
        <patternFill>
          <bgColor rgb="FFFFC7CE"/>
        </patternFill>
      </fill>
    </dxf>
    <dxf>
      <fill>
        <patternFill>
          <bgColor theme="5" tint="0.39994506668294322"/>
        </patternFill>
      </fill>
    </dxf>
    <dxf>
      <font>
        <color rgb="FF9C6500"/>
      </font>
      <fill>
        <patternFill>
          <bgColor rgb="FFFFEB9C"/>
        </patternFill>
      </fill>
    </dxf>
    <dxf>
      <font>
        <color rgb="FF006100"/>
      </font>
      <fill>
        <patternFill>
          <bgColor rgb="FFC6EFCE"/>
        </patternFill>
      </fill>
    </dxf>
    <dxf>
      <font>
        <color rgb="FF9C0006"/>
      </font>
      <fill>
        <patternFill>
          <bgColor rgb="FFFFC7CE"/>
        </patternFill>
      </fill>
    </dxf>
    <dxf>
      <fill>
        <patternFill>
          <bgColor theme="5" tint="0.39994506668294322"/>
        </patternFill>
      </fill>
    </dxf>
    <dxf>
      <font>
        <color rgb="FF9C6500"/>
      </font>
      <fill>
        <patternFill>
          <bgColor rgb="FFFFEB9C"/>
        </patternFill>
      </fill>
    </dxf>
    <dxf>
      <font>
        <color rgb="FF9C6500"/>
      </font>
      <fill>
        <patternFill>
          <bgColor rgb="FFFFEB9C"/>
        </patternFill>
      </fill>
    </dxf>
    <dxf>
      <fill>
        <patternFill>
          <bgColor rgb="FFFFC000"/>
        </patternFill>
      </fill>
    </dxf>
    <dxf>
      <font>
        <color rgb="FF9C0006"/>
      </font>
      <fill>
        <patternFill>
          <bgColor rgb="FFFFC7CE"/>
        </patternFill>
      </fill>
    </dxf>
    <dxf>
      <font>
        <color rgb="FF9C6500"/>
      </font>
      <fill>
        <patternFill>
          <bgColor rgb="FFFFEB9C"/>
        </patternFill>
      </fill>
    </dxf>
    <dxf>
      <font>
        <color rgb="FF006100"/>
      </font>
      <fill>
        <patternFill>
          <bgColor rgb="FFC6EFCE"/>
        </patternFill>
      </fill>
    </dxf>
    <dxf>
      <font>
        <color rgb="FF9C6500"/>
      </font>
      <fill>
        <patternFill>
          <bgColor rgb="FFFFEB9C"/>
        </patternFill>
      </fill>
    </dxf>
    <dxf>
      <fill>
        <patternFill>
          <bgColor rgb="FFFFC7CE"/>
        </patternFill>
      </fill>
    </dxf>
    <dxf>
      <fill>
        <patternFill>
          <bgColor rgb="FFFFC000"/>
        </patternFill>
      </fill>
    </dxf>
    <dxf>
      <font>
        <color rgb="FF9C0006"/>
      </font>
      <fill>
        <patternFill>
          <bgColor rgb="FFFFC7CE"/>
        </patternFill>
      </fill>
    </dxf>
    <dxf>
      <font>
        <color rgb="FF9C6500"/>
      </font>
      <fill>
        <patternFill>
          <bgColor rgb="FFFFEB9C"/>
        </patternFill>
      </fill>
    </dxf>
    <dxf>
      <font>
        <color rgb="FF006100"/>
      </font>
      <fill>
        <patternFill>
          <bgColor rgb="FFC6EFCE"/>
        </patternFill>
      </fill>
    </dxf>
    <dxf>
      <font>
        <color rgb="FF9C6500"/>
      </font>
      <fill>
        <patternFill>
          <bgColor rgb="FFFFEB9C"/>
        </patternFill>
      </fill>
    </dxf>
    <dxf>
      <fill>
        <patternFill>
          <bgColor rgb="FFFFC7CE"/>
        </patternFill>
      </fill>
    </dxf>
    <dxf>
      <fill>
        <patternFill>
          <bgColor rgb="FFFFC000"/>
        </patternFill>
      </fill>
    </dxf>
    <dxf>
      <font>
        <color rgb="FF9C0006"/>
      </font>
      <fill>
        <patternFill>
          <bgColor rgb="FFFFC7CE"/>
        </patternFill>
      </fill>
    </dxf>
    <dxf>
      <font>
        <color rgb="FF9C6500"/>
      </font>
      <fill>
        <patternFill>
          <bgColor rgb="FFFFEB9C"/>
        </patternFill>
      </fill>
    </dxf>
    <dxf>
      <font>
        <color rgb="FF006100"/>
      </font>
      <fill>
        <patternFill>
          <bgColor rgb="FFC6EFCE"/>
        </patternFill>
      </fill>
    </dxf>
    <dxf>
      <font>
        <color rgb="FF9C6500"/>
      </font>
      <fill>
        <patternFill>
          <bgColor rgb="FFFFEB9C"/>
        </patternFill>
      </fill>
    </dxf>
    <dxf>
      <fill>
        <patternFill>
          <bgColor rgb="FFFFC7CE"/>
        </patternFill>
      </fill>
    </dxf>
    <dxf>
      <fill>
        <patternFill>
          <bgColor rgb="FFFFC000"/>
        </patternFill>
      </fill>
    </dxf>
    <dxf>
      <font>
        <color rgb="FF9C0006"/>
      </font>
      <fill>
        <patternFill>
          <bgColor rgb="FFFFC7CE"/>
        </patternFill>
      </fill>
    </dxf>
    <dxf>
      <font>
        <color rgb="FF9C6500"/>
      </font>
      <fill>
        <patternFill>
          <bgColor rgb="FFFFEB9C"/>
        </patternFill>
      </fill>
    </dxf>
    <dxf>
      <font>
        <color rgb="FF006100"/>
      </font>
      <fill>
        <patternFill>
          <bgColor rgb="FFC6EFCE"/>
        </patternFill>
      </fill>
    </dxf>
    <dxf>
      <font>
        <color rgb="FF9C6500"/>
      </font>
      <fill>
        <patternFill>
          <bgColor rgb="FFFFEB9C"/>
        </patternFill>
      </fill>
    </dxf>
    <dxf>
      <fill>
        <patternFill>
          <bgColor rgb="FFFFC7CE"/>
        </patternFill>
      </fill>
    </dxf>
    <dxf>
      <fill>
        <patternFill>
          <bgColor rgb="FFFFC000"/>
        </patternFill>
      </fill>
    </dxf>
    <dxf>
      <font>
        <color rgb="FF9C0006"/>
      </font>
      <fill>
        <patternFill>
          <bgColor rgb="FFFFC7CE"/>
        </patternFill>
      </fill>
    </dxf>
    <dxf>
      <font>
        <color rgb="FF9C6500"/>
      </font>
      <fill>
        <patternFill>
          <bgColor rgb="FFFFEB9C"/>
        </patternFill>
      </fill>
    </dxf>
    <dxf>
      <font>
        <color rgb="FF006100"/>
      </font>
      <fill>
        <patternFill>
          <bgColor rgb="FFC6EFCE"/>
        </patternFill>
      </fill>
    </dxf>
    <dxf>
      <font>
        <color rgb="FF9C6500"/>
      </font>
      <fill>
        <patternFill>
          <bgColor rgb="FFFFEB9C"/>
        </patternFill>
      </fill>
    </dxf>
    <dxf>
      <fill>
        <patternFill>
          <bgColor rgb="FFFFC7CE"/>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ont>
        <color rgb="FF9C0006"/>
      </font>
      <fill>
        <patternFill>
          <bgColor rgb="FFFFC7CE"/>
        </patternFill>
      </fill>
    </dxf>
    <dxf>
      <font>
        <color rgb="FF9C6500"/>
      </font>
      <fill>
        <patternFill>
          <bgColor rgb="FFFFEB9C"/>
        </patternFill>
      </fill>
    </dxf>
    <dxf>
      <font>
        <color rgb="FF006100"/>
      </font>
      <fill>
        <patternFill>
          <bgColor rgb="FFC6EFCE"/>
        </patternFill>
      </fill>
    </dxf>
    <dxf>
      <font>
        <color rgb="FF9C6500"/>
      </font>
      <fill>
        <patternFill>
          <bgColor rgb="FFFFEB9C"/>
        </patternFill>
      </fill>
    </dxf>
    <dxf>
      <fill>
        <patternFill>
          <bgColor rgb="FFFFC7CE"/>
        </patternFill>
      </fill>
    </dxf>
    <dxf>
      <font>
        <color rgb="FF9C0006"/>
      </font>
      <fill>
        <patternFill>
          <bgColor rgb="FFFFC7CE"/>
        </patternFill>
      </fill>
    </dxf>
    <dxf>
      <font>
        <color rgb="FF9C6500"/>
      </font>
      <fill>
        <patternFill>
          <bgColor rgb="FFFFEB9C"/>
        </patternFill>
      </fill>
    </dxf>
    <dxf>
      <font>
        <color rgb="FF006100"/>
      </font>
      <fill>
        <patternFill>
          <bgColor rgb="FFC6EFCE"/>
        </patternFill>
      </fill>
    </dxf>
    <dxf>
      <font>
        <color rgb="FF9C6500"/>
      </font>
      <fill>
        <patternFill>
          <bgColor rgb="FFFFEB9C"/>
        </patternFill>
      </fill>
    </dxf>
    <dxf>
      <fill>
        <patternFill>
          <bgColor rgb="FFFFC7CE"/>
        </patternFill>
      </fill>
    </dxf>
    <dxf>
      <font>
        <color rgb="FF9C0006"/>
      </font>
      <fill>
        <patternFill>
          <bgColor rgb="FFFFC7CE"/>
        </patternFill>
      </fill>
    </dxf>
    <dxf>
      <font>
        <color rgb="FF9C6500"/>
      </font>
      <fill>
        <patternFill>
          <bgColor rgb="FFFFEB9C"/>
        </patternFill>
      </fill>
    </dxf>
    <dxf>
      <font>
        <color rgb="FF006100"/>
      </font>
      <fill>
        <patternFill>
          <bgColor rgb="FFC6EFCE"/>
        </patternFill>
      </fill>
    </dxf>
    <dxf>
      <font>
        <color rgb="FF9C6500"/>
      </font>
      <fill>
        <patternFill>
          <bgColor rgb="FFFFEB9C"/>
        </patternFill>
      </fill>
    </dxf>
    <dxf>
      <fill>
        <patternFill>
          <bgColor rgb="FFFFC7CE"/>
        </patternFill>
      </fill>
    </dxf>
    <dxf>
      <font>
        <color rgb="FF9C0006"/>
      </font>
      <fill>
        <patternFill>
          <bgColor rgb="FFFFC7CE"/>
        </patternFill>
      </fill>
    </dxf>
    <dxf>
      <font>
        <color rgb="FF9C6500"/>
      </font>
      <fill>
        <patternFill>
          <bgColor rgb="FFFFEB9C"/>
        </patternFill>
      </fill>
    </dxf>
    <dxf>
      <font>
        <color rgb="FF006100"/>
      </font>
      <fill>
        <patternFill>
          <bgColor rgb="FFC6EFCE"/>
        </patternFill>
      </fill>
    </dxf>
    <dxf>
      <font>
        <color rgb="FF9C6500"/>
      </font>
      <fill>
        <patternFill>
          <bgColor rgb="FFFFEB9C"/>
        </patternFill>
      </fill>
    </dxf>
    <dxf>
      <fill>
        <patternFill>
          <bgColor rgb="FFFFC7CE"/>
        </patternFill>
      </fill>
    </dxf>
    <dxf>
      <font>
        <color rgb="FF9C0006"/>
      </font>
      <fill>
        <patternFill>
          <bgColor rgb="FFFFC7CE"/>
        </patternFill>
      </fill>
    </dxf>
    <dxf>
      <font>
        <color rgb="FF9C6500"/>
      </font>
      <fill>
        <patternFill>
          <bgColor rgb="FFFFEB9C"/>
        </patternFill>
      </fill>
    </dxf>
    <dxf>
      <font>
        <color rgb="FF006100"/>
      </font>
      <fill>
        <patternFill>
          <bgColor rgb="FFC6EFCE"/>
        </patternFill>
      </fill>
    </dxf>
    <dxf>
      <font>
        <color rgb="FF9C6500"/>
      </font>
      <fill>
        <patternFill>
          <bgColor rgb="FFFFEB9C"/>
        </patternFill>
      </fill>
    </dxf>
    <dxf>
      <font>
        <color rgb="FF9C0006"/>
      </font>
      <fill>
        <patternFill>
          <bgColor rgb="FFFFC7CE"/>
        </patternFill>
      </fill>
    </dxf>
    <dxf>
      <font>
        <color rgb="FF9C6500"/>
      </font>
      <fill>
        <patternFill>
          <bgColor rgb="FFFFEB9C"/>
        </patternFill>
      </fill>
    </dxf>
    <dxf>
      <font>
        <color rgb="FF006100"/>
      </font>
      <fill>
        <patternFill>
          <bgColor rgb="FFC6EFCE"/>
        </patternFill>
      </fill>
    </dxf>
    <dxf>
      <font>
        <color rgb="FF9C6500"/>
      </font>
      <fill>
        <patternFill>
          <bgColor rgb="FFFFEB9C"/>
        </patternFill>
      </fill>
    </dxf>
    <dxf>
      <font>
        <color rgb="FF9C0006"/>
      </font>
      <fill>
        <patternFill>
          <bgColor rgb="FFFFC7CE"/>
        </patternFill>
      </fill>
    </dxf>
    <dxf>
      <font>
        <color rgb="FF9C6500"/>
      </font>
      <fill>
        <patternFill>
          <bgColor rgb="FFFFEB9C"/>
        </patternFill>
      </fill>
    </dxf>
    <dxf>
      <font>
        <color rgb="FF006100"/>
      </font>
      <fill>
        <patternFill>
          <bgColor rgb="FFC6EFCE"/>
        </patternFill>
      </fill>
    </dxf>
    <dxf>
      <font>
        <color rgb="FF9C6500"/>
      </font>
      <fill>
        <patternFill>
          <bgColor rgb="FFFFEB9C"/>
        </patternFill>
      </fill>
    </dxf>
    <dxf>
      <fill>
        <patternFill>
          <bgColor rgb="FFFFC7CE"/>
        </patternFill>
      </fill>
    </dxf>
    <dxf>
      <fill>
        <patternFill>
          <bgColor rgb="FFFFC000"/>
        </patternFill>
      </fill>
    </dxf>
    <dxf>
      <fill>
        <patternFill>
          <bgColor rgb="FFFFC000"/>
        </patternFill>
      </fill>
    </dxf>
    <dxf>
      <font>
        <color rgb="FF9C0006"/>
      </font>
      <fill>
        <patternFill>
          <bgColor rgb="FFFFC7CE"/>
        </patternFill>
      </fill>
    </dxf>
    <dxf>
      <font>
        <color rgb="FF9C6500"/>
      </font>
      <fill>
        <patternFill>
          <bgColor rgb="FFFFEB9C"/>
        </patternFill>
      </fill>
    </dxf>
    <dxf>
      <font>
        <color rgb="FF006100"/>
      </font>
      <fill>
        <patternFill>
          <bgColor rgb="FFC6EFCE"/>
        </patternFill>
      </fill>
    </dxf>
    <dxf>
      <font>
        <color rgb="FF9C6500"/>
      </font>
      <fill>
        <patternFill>
          <bgColor rgb="FFFFEB9C"/>
        </patternFill>
      </fill>
    </dxf>
    <dxf>
      <font>
        <color rgb="FF9C0006"/>
      </font>
      <fill>
        <patternFill>
          <bgColor rgb="FFFFC7CE"/>
        </patternFill>
      </fill>
    </dxf>
    <dxf>
      <font>
        <color rgb="FF9C6500"/>
      </font>
      <fill>
        <patternFill>
          <bgColor rgb="FFFFEB9C"/>
        </patternFill>
      </fill>
    </dxf>
    <dxf>
      <font>
        <color rgb="FF006100"/>
      </font>
      <fill>
        <patternFill>
          <bgColor rgb="FFC6EFCE"/>
        </patternFill>
      </fill>
    </dxf>
    <dxf>
      <font>
        <color rgb="FF9C6500"/>
      </font>
      <fill>
        <patternFill>
          <bgColor rgb="FFFFEB9C"/>
        </patternFill>
      </fill>
    </dxf>
    <dxf>
      <fill>
        <patternFill>
          <bgColor rgb="FFFFC7CE"/>
        </patternFill>
      </fill>
    </dxf>
    <dxf>
      <fill>
        <patternFill>
          <bgColor rgb="FFFFC000"/>
        </patternFill>
      </fill>
    </dxf>
    <dxf>
      <fill>
        <patternFill>
          <bgColor rgb="FFFFC000"/>
        </patternFill>
      </fill>
    </dxf>
    <dxf>
      <font>
        <color rgb="FF9C0006"/>
      </font>
      <fill>
        <patternFill>
          <bgColor rgb="FFFFC7CE"/>
        </patternFill>
      </fill>
    </dxf>
    <dxf>
      <font>
        <color rgb="FF9C6500"/>
      </font>
      <fill>
        <patternFill>
          <bgColor rgb="FFFFEB9C"/>
        </patternFill>
      </fill>
    </dxf>
    <dxf>
      <font>
        <color rgb="FF006100"/>
      </font>
      <fill>
        <patternFill>
          <bgColor rgb="FFC6EFCE"/>
        </patternFill>
      </fill>
    </dxf>
    <dxf>
      <font>
        <color rgb="FF9C6500"/>
      </font>
      <fill>
        <patternFill>
          <bgColor rgb="FFFFEB9C"/>
        </patternFill>
      </fill>
    </dxf>
    <dxf>
      <font>
        <color rgb="FF9C0006"/>
      </font>
      <fill>
        <patternFill>
          <bgColor rgb="FFFFC7CE"/>
        </patternFill>
      </fill>
    </dxf>
    <dxf>
      <font>
        <color rgb="FF9C6500"/>
      </font>
      <fill>
        <patternFill>
          <bgColor rgb="FFFFEB9C"/>
        </patternFill>
      </fill>
    </dxf>
    <dxf>
      <font>
        <color rgb="FF006100"/>
      </font>
      <fill>
        <patternFill>
          <bgColor rgb="FFC6EFCE"/>
        </patternFill>
      </fill>
    </dxf>
    <dxf>
      <font>
        <color rgb="FF9C6500"/>
      </font>
      <fill>
        <patternFill>
          <bgColor rgb="FFFFEB9C"/>
        </patternFill>
      </fill>
    </dxf>
    <dxf>
      <fill>
        <patternFill>
          <bgColor rgb="FFFFC7CE"/>
        </patternFill>
      </fill>
    </dxf>
    <dxf>
      <fill>
        <patternFill>
          <bgColor rgb="FFFFC000"/>
        </patternFill>
      </fill>
    </dxf>
    <dxf>
      <font>
        <color rgb="FF006100"/>
      </font>
      <fill>
        <patternFill>
          <bgColor rgb="FFC6EFCE"/>
        </patternFill>
      </fill>
    </dxf>
    <dxf>
      <font>
        <color rgb="FF9C0006"/>
      </font>
      <fill>
        <patternFill>
          <bgColor rgb="FFFFC7CE"/>
        </patternFill>
      </fill>
    </dxf>
    <dxf>
      <fill>
        <patternFill>
          <bgColor theme="5" tint="0.39994506668294322"/>
        </patternFill>
      </fill>
    </dxf>
    <dxf>
      <font>
        <color rgb="FF9C6500"/>
      </font>
      <fill>
        <patternFill>
          <bgColor rgb="FFFFEB9C"/>
        </patternFill>
      </fill>
    </dxf>
    <dxf>
      <font>
        <color rgb="FF006100"/>
      </font>
      <fill>
        <patternFill>
          <bgColor rgb="FFC6EFCE"/>
        </patternFill>
      </fill>
    </dxf>
    <dxf>
      <font>
        <color rgb="FF9C0006"/>
      </font>
      <fill>
        <patternFill>
          <bgColor rgb="FFFFC7CE"/>
        </patternFill>
      </fill>
    </dxf>
    <dxf>
      <fill>
        <patternFill>
          <bgColor theme="5" tint="0.39994506668294322"/>
        </patternFill>
      </fill>
    </dxf>
    <dxf>
      <font>
        <color rgb="FF9C6500"/>
      </font>
      <fill>
        <patternFill>
          <bgColor rgb="FFFFEB9C"/>
        </patternFill>
      </fill>
    </dxf>
    <dxf>
      <font>
        <color rgb="FF9C6500"/>
      </font>
      <fill>
        <patternFill>
          <bgColor rgb="FFFFEB9C"/>
        </patternFill>
      </fill>
    </dxf>
    <dxf>
      <font>
        <color rgb="FF006100"/>
      </font>
      <fill>
        <patternFill>
          <bgColor rgb="FFC6EFCE"/>
        </patternFill>
      </fill>
    </dxf>
    <dxf>
      <font>
        <color rgb="FF9C0006"/>
      </font>
      <fill>
        <patternFill>
          <bgColor rgb="FFFFC7CE"/>
        </patternFill>
      </fill>
    </dxf>
    <dxf>
      <fill>
        <patternFill>
          <bgColor theme="5" tint="0.39994506668294322"/>
        </patternFill>
      </fill>
    </dxf>
    <dxf>
      <font>
        <color rgb="FF9C6500"/>
      </font>
      <fill>
        <patternFill>
          <bgColor rgb="FFFFEB9C"/>
        </patternFill>
      </fill>
    </dxf>
    <dxf>
      <font>
        <color rgb="FF006100"/>
      </font>
      <fill>
        <patternFill>
          <bgColor rgb="FFC6EFCE"/>
        </patternFill>
      </fill>
    </dxf>
    <dxf>
      <font>
        <color rgb="FF9C0006"/>
      </font>
      <fill>
        <patternFill>
          <bgColor rgb="FFFFC7CE"/>
        </patternFill>
      </fill>
    </dxf>
    <dxf>
      <fill>
        <patternFill>
          <bgColor theme="5" tint="0.39994506668294322"/>
        </patternFill>
      </fill>
    </dxf>
    <dxf>
      <font>
        <color rgb="FF9C6500"/>
      </font>
      <fill>
        <patternFill>
          <bgColor rgb="FFFFEB9C"/>
        </patternFill>
      </fill>
    </dxf>
    <dxf>
      <font>
        <color rgb="FF9C6500"/>
      </font>
      <fill>
        <patternFill>
          <bgColor rgb="FFFFEB9C"/>
        </patternFill>
      </fill>
    </dxf>
    <dxf>
      <fill>
        <patternFill>
          <bgColor rgb="FFFFC000"/>
        </patternFill>
      </fill>
    </dxf>
    <dxf>
      <font>
        <color rgb="FF9C0006"/>
      </font>
      <fill>
        <patternFill>
          <bgColor rgb="FFFFC7CE"/>
        </patternFill>
      </fill>
    </dxf>
    <dxf>
      <font>
        <color rgb="FF9C6500"/>
      </font>
      <fill>
        <patternFill>
          <bgColor rgb="FFFFEB9C"/>
        </patternFill>
      </fill>
    </dxf>
    <dxf>
      <font>
        <color rgb="FF006100"/>
      </font>
      <fill>
        <patternFill>
          <bgColor rgb="FFC6EFCE"/>
        </patternFill>
      </fill>
    </dxf>
    <dxf>
      <font>
        <color rgb="FF9C6500"/>
      </font>
      <fill>
        <patternFill>
          <bgColor rgb="FFFFEB9C"/>
        </patternFill>
      </fill>
    </dxf>
    <dxf>
      <fill>
        <patternFill>
          <bgColor rgb="FFFFC7CE"/>
        </patternFill>
      </fill>
    </dxf>
    <dxf>
      <fill>
        <patternFill>
          <bgColor rgb="FFFFC000"/>
        </patternFill>
      </fill>
    </dxf>
    <dxf>
      <font>
        <color rgb="FF9C0006"/>
      </font>
      <fill>
        <patternFill>
          <bgColor rgb="FFFFC7CE"/>
        </patternFill>
      </fill>
    </dxf>
    <dxf>
      <font>
        <color rgb="FF9C6500"/>
      </font>
      <fill>
        <patternFill>
          <bgColor rgb="FFFFEB9C"/>
        </patternFill>
      </fill>
    </dxf>
    <dxf>
      <font>
        <color rgb="FF006100"/>
      </font>
      <fill>
        <patternFill>
          <bgColor rgb="FFC6EFCE"/>
        </patternFill>
      </fill>
    </dxf>
    <dxf>
      <font>
        <color rgb="FF9C6500"/>
      </font>
      <fill>
        <patternFill>
          <bgColor rgb="FFFFEB9C"/>
        </patternFill>
      </fill>
    </dxf>
    <dxf>
      <fill>
        <patternFill>
          <bgColor rgb="FFFFC7CE"/>
        </patternFill>
      </fill>
    </dxf>
    <dxf>
      <fill>
        <patternFill>
          <bgColor rgb="FFFFC000"/>
        </patternFill>
      </fill>
    </dxf>
    <dxf>
      <font>
        <color rgb="FF9C0006"/>
      </font>
      <fill>
        <patternFill>
          <bgColor rgb="FFFFC7CE"/>
        </patternFill>
      </fill>
    </dxf>
    <dxf>
      <font>
        <color rgb="FF9C6500"/>
      </font>
      <fill>
        <patternFill>
          <bgColor rgb="FFFFEB9C"/>
        </patternFill>
      </fill>
    </dxf>
    <dxf>
      <font>
        <color rgb="FF006100"/>
      </font>
      <fill>
        <patternFill>
          <bgColor rgb="FFC6EFCE"/>
        </patternFill>
      </fill>
    </dxf>
    <dxf>
      <font>
        <color rgb="FF9C6500"/>
      </font>
      <fill>
        <patternFill>
          <bgColor rgb="FFFFEB9C"/>
        </patternFill>
      </fill>
    </dxf>
    <dxf>
      <fill>
        <patternFill>
          <bgColor rgb="FFFFC7CE"/>
        </patternFill>
      </fill>
    </dxf>
    <dxf>
      <fill>
        <patternFill>
          <bgColor rgb="FFFFC000"/>
        </patternFill>
      </fill>
    </dxf>
    <dxf>
      <font>
        <color rgb="FF9C0006"/>
      </font>
      <fill>
        <patternFill>
          <bgColor rgb="FFFFC7CE"/>
        </patternFill>
      </fill>
    </dxf>
    <dxf>
      <font>
        <color rgb="FF9C6500"/>
      </font>
      <fill>
        <patternFill>
          <bgColor rgb="FFFFEB9C"/>
        </patternFill>
      </fill>
    </dxf>
    <dxf>
      <font>
        <color rgb="FF006100"/>
      </font>
      <fill>
        <patternFill>
          <bgColor rgb="FFC6EFCE"/>
        </patternFill>
      </fill>
    </dxf>
    <dxf>
      <font>
        <color rgb="FF9C6500"/>
      </font>
      <fill>
        <patternFill>
          <bgColor rgb="FFFFEB9C"/>
        </patternFill>
      </fill>
    </dxf>
    <dxf>
      <fill>
        <patternFill>
          <bgColor rgb="FFFFC7CE"/>
        </patternFill>
      </fill>
    </dxf>
    <dxf>
      <fill>
        <patternFill>
          <bgColor rgb="FFFFC000"/>
        </patternFill>
      </fill>
    </dxf>
    <dxf>
      <font>
        <color rgb="FF9C0006"/>
      </font>
      <fill>
        <patternFill>
          <bgColor rgb="FFFFC7CE"/>
        </patternFill>
      </fill>
    </dxf>
    <dxf>
      <font>
        <color rgb="FF9C6500"/>
      </font>
      <fill>
        <patternFill>
          <bgColor rgb="FFFFEB9C"/>
        </patternFill>
      </fill>
    </dxf>
    <dxf>
      <font>
        <color rgb="FF006100"/>
      </font>
      <fill>
        <patternFill>
          <bgColor rgb="FFC6EFCE"/>
        </patternFill>
      </fill>
    </dxf>
    <dxf>
      <font>
        <color rgb="FF9C6500"/>
      </font>
      <fill>
        <patternFill>
          <bgColor rgb="FFFFEB9C"/>
        </patternFill>
      </fill>
    </dxf>
    <dxf>
      <fill>
        <patternFill>
          <bgColor rgb="FFFFC7CE"/>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ont>
        <color rgb="FF9C0006"/>
      </font>
      <fill>
        <patternFill>
          <bgColor rgb="FFFFC7CE"/>
        </patternFill>
      </fill>
    </dxf>
    <dxf>
      <font>
        <color rgb="FF9C6500"/>
      </font>
      <fill>
        <patternFill>
          <bgColor rgb="FFFFEB9C"/>
        </patternFill>
      </fill>
    </dxf>
    <dxf>
      <font>
        <color rgb="FF006100"/>
      </font>
      <fill>
        <patternFill>
          <bgColor rgb="FFC6EFCE"/>
        </patternFill>
      </fill>
    </dxf>
    <dxf>
      <font>
        <color rgb="FF9C6500"/>
      </font>
      <fill>
        <patternFill>
          <bgColor rgb="FFFFEB9C"/>
        </patternFill>
      </fill>
    </dxf>
    <dxf>
      <fill>
        <patternFill>
          <bgColor rgb="FFFFC7CE"/>
        </patternFill>
      </fill>
    </dxf>
    <dxf>
      <font>
        <color rgb="FF9C0006"/>
      </font>
      <fill>
        <patternFill>
          <bgColor rgb="FFFFC7CE"/>
        </patternFill>
      </fill>
    </dxf>
    <dxf>
      <font>
        <color rgb="FF9C6500"/>
      </font>
      <fill>
        <patternFill>
          <bgColor rgb="FFFFEB9C"/>
        </patternFill>
      </fill>
    </dxf>
    <dxf>
      <font>
        <color rgb="FF006100"/>
      </font>
      <fill>
        <patternFill>
          <bgColor rgb="FFC6EFCE"/>
        </patternFill>
      </fill>
    </dxf>
    <dxf>
      <font>
        <color rgb="FF9C6500"/>
      </font>
      <fill>
        <patternFill>
          <bgColor rgb="FFFFEB9C"/>
        </patternFill>
      </fill>
    </dxf>
    <dxf>
      <fill>
        <patternFill>
          <bgColor rgb="FFFFC7CE"/>
        </patternFill>
      </fill>
    </dxf>
    <dxf>
      <font>
        <color rgb="FF9C0006"/>
      </font>
      <fill>
        <patternFill>
          <bgColor rgb="FFFFC7CE"/>
        </patternFill>
      </fill>
    </dxf>
    <dxf>
      <font>
        <color rgb="FF9C6500"/>
      </font>
      <fill>
        <patternFill>
          <bgColor rgb="FFFFEB9C"/>
        </patternFill>
      </fill>
    </dxf>
    <dxf>
      <font>
        <color rgb="FF006100"/>
      </font>
      <fill>
        <patternFill>
          <bgColor rgb="FFC6EFCE"/>
        </patternFill>
      </fill>
    </dxf>
    <dxf>
      <font>
        <color rgb="FF9C6500"/>
      </font>
      <fill>
        <patternFill>
          <bgColor rgb="FFFFEB9C"/>
        </patternFill>
      </fill>
    </dxf>
    <dxf>
      <fill>
        <patternFill>
          <bgColor rgb="FFFFC7CE"/>
        </patternFill>
      </fill>
    </dxf>
    <dxf>
      <font>
        <color rgb="FF9C0006"/>
      </font>
      <fill>
        <patternFill>
          <bgColor rgb="FFFFC7CE"/>
        </patternFill>
      </fill>
    </dxf>
    <dxf>
      <font>
        <color rgb="FF9C6500"/>
      </font>
      <fill>
        <patternFill>
          <bgColor rgb="FFFFEB9C"/>
        </patternFill>
      </fill>
    </dxf>
    <dxf>
      <font>
        <color rgb="FF006100"/>
      </font>
      <fill>
        <patternFill>
          <bgColor rgb="FFC6EFCE"/>
        </patternFill>
      </fill>
    </dxf>
    <dxf>
      <font>
        <color rgb="FF9C6500"/>
      </font>
      <fill>
        <patternFill>
          <bgColor rgb="FFFFEB9C"/>
        </patternFill>
      </fill>
    </dxf>
    <dxf>
      <fill>
        <patternFill>
          <bgColor rgb="FFFFC7CE"/>
        </patternFill>
      </fill>
    </dxf>
    <dxf>
      <font>
        <color rgb="FF9C0006"/>
      </font>
      <fill>
        <patternFill>
          <bgColor rgb="FFFFC7CE"/>
        </patternFill>
      </fill>
    </dxf>
    <dxf>
      <font>
        <color rgb="FF9C6500"/>
      </font>
      <fill>
        <patternFill>
          <bgColor rgb="FFFFEB9C"/>
        </patternFill>
      </fill>
    </dxf>
    <dxf>
      <font>
        <color rgb="FF006100"/>
      </font>
      <fill>
        <patternFill>
          <bgColor rgb="FFC6EFCE"/>
        </patternFill>
      </fill>
    </dxf>
    <dxf>
      <font>
        <color rgb="FF9C6500"/>
      </font>
      <fill>
        <patternFill>
          <bgColor rgb="FFFFEB9C"/>
        </patternFill>
      </fill>
    </dxf>
    <dxf>
      <font>
        <color rgb="FF9C0006"/>
      </font>
      <fill>
        <patternFill>
          <bgColor rgb="FFFFC7CE"/>
        </patternFill>
      </fill>
    </dxf>
    <dxf>
      <font>
        <color rgb="FF9C6500"/>
      </font>
      <fill>
        <patternFill>
          <bgColor rgb="FFFFEB9C"/>
        </patternFill>
      </fill>
    </dxf>
    <dxf>
      <font>
        <color rgb="FF006100"/>
      </font>
      <fill>
        <patternFill>
          <bgColor rgb="FFC6EFCE"/>
        </patternFill>
      </fill>
    </dxf>
    <dxf>
      <font>
        <color rgb="FF9C6500"/>
      </font>
      <fill>
        <patternFill>
          <bgColor rgb="FFFFEB9C"/>
        </patternFill>
      </fill>
    </dxf>
    <dxf>
      <font>
        <color rgb="FF9C0006"/>
      </font>
      <fill>
        <patternFill>
          <bgColor rgb="FFFFC7CE"/>
        </patternFill>
      </fill>
    </dxf>
    <dxf>
      <font>
        <color rgb="FF9C6500"/>
      </font>
      <fill>
        <patternFill>
          <bgColor rgb="FFFFEB9C"/>
        </patternFill>
      </fill>
    </dxf>
    <dxf>
      <font>
        <color rgb="FF006100"/>
      </font>
      <fill>
        <patternFill>
          <bgColor rgb="FFC6EFCE"/>
        </patternFill>
      </fill>
    </dxf>
    <dxf>
      <font>
        <color rgb="FF9C6500"/>
      </font>
      <fill>
        <patternFill>
          <bgColor rgb="FFFFEB9C"/>
        </patternFill>
      </fill>
    </dxf>
    <dxf>
      <fill>
        <patternFill>
          <bgColor rgb="FFFFC7CE"/>
        </patternFill>
      </fill>
    </dxf>
    <dxf>
      <fill>
        <patternFill>
          <bgColor rgb="FFFFC000"/>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s>
  <tableStyles count="0" defaultTableStyle="TableStyleMedium2" defaultPivotStyle="PivotStyleLight16"/>
  <colors>
    <mruColors>
      <color rgb="FFE24EE2"/>
      <color rgb="FFFFCCFF"/>
      <color rgb="FF12DE1C"/>
      <color rgb="FF00FFFF"/>
      <color rgb="FFFF7C80"/>
      <color rgb="FF6F89C4"/>
      <color rgb="FF6F89C1"/>
      <color rgb="FF6FC189"/>
      <color rgb="FF008080"/>
      <color rgb="FFCF1F77"/>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26" Type="http://schemas.openxmlformats.org/officeDocument/2006/relationships/externalLink" Target="externalLinks/externalLink9.xml"/><Relationship Id="rId21" Type="http://schemas.openxmlformats.org/officeDocument/2006/relationships/externalLink" Target="externalLinks/externalLink4.xml"/><Relationship Id="rId42" Type="http://schemas.openxmlformats.org/officeDocument/2006/relationships/externalLink" Target="externalLinks/externalLink25.xml"/><Relationship Id="rId47" Type="http://schemas.openxmlformats.org/officeDocument/2006/relationships/externalLink" Target="externalLinks/externalLink30.xml"/><Relationship Id="rId63" Type="http://schemas.openxmlformats.org/officeDocument/2006/relationships/externalLink" Target="externalLinks/externalLink46.xml"/><Relationship Id="rId68" Type="http://schemas.openxmlformats.org/officeDocument/2006/relationships/externalLink" Target="externalLinks/externalLink51.xml"/><Relationship Id="rId2" Type="http://schemas.openxmlformats.org/officeDocument/2006/relationships/worksheet" Target="worksheets/sheet2.xml"/><Relationship Id="rId16" Type="http://schemas.openxmlformats.org/officeDocument/2006/relationships/worksheet" Target="worksheets/sheet16.xml"/><Relationship Id="rId29" Type="http://schemas.openxmlformats.org/officeDocument/2006/relationships/externalLink" Target="externalLinks/externalLink12.xml"/><Relationship Id="rId11" Type="http://schemas.openxmlformats.org/officeDocument/2006/relationships/worksheet" Target="worksheets/sheet11.xml"/><Relationship Id="rId24" Type="http://schemas.openxmlformats.org/officeDocument/2006/relationships/externalLink" Target="externalLinks/externalLink7.xml"/><Relationship Id="rId32" Type="http://schemas.openxmlformats.org/officeDocument/2006/relationships/externalLink" Target="externalLinks/externalLink15.xml"/><Relationship Id="rId37" Type="http://schemas.openxmlformats.org/officeDocument/2006/relationships/externalLink" Target="externalLinks/externalLink20.xml"/><Relationship Id="rId40" Type="http://schemas.openxmlformats.org/officeDocument/2006/relationships/externalLink" Target="externalLinks/externalLink23.xml"/><Relationship Id="rId45" Type="http://schemas.openxmlformats.org/officeDocument/2006/relationships/externalLink" Target="externalLinks/externalLink28.xml"/><Relationship Id="rId53" Type="http://schemas.openxmlformats.org/officeDocument/2006/relationships/externalLink" Target="externalLinks/externalLink36.xml"/><Relationship Id="rId58" Type="http://schemas.openxmlformats.org/officeDocument/2006/relationships/externalLink" Target="externalLinks/externalLink41.xml"/><Relationship Id="rId66" Type="http://schemas.openxmlformats.org/officeDocument/2006/relationships/externalLink" Target="externalLinks/externalLink49.xml"/><Relationship Id="rId74" Type="http://schemas.openxmlformats.org/officeDocument/2006/relationships/sharedStrings" Target="sharedStrings.xml"/><Relationship Id="rId5" Type="http://schemas.openxmlformats.org/officeDocument/2006/relationships/worksheet" Target="worksheets/sheet5.xml"/><Relationship Id="rId61" Type="http://schemas.openxmlformats.org/officeDocument/2006/relationships/externalLink" Target="externalLinks/externalLink44.xml"/><Relationship Id="rId19" Type="http://schemas.openxmlformats.org/officeDocument/2006/relationships/externalLink" Target="externalLinks/externalLink2.xml"/><Relationship Id="rId14" Type="http://schemas.openxmlformats.org/officeDocument/2006/relationships/worksheet" Target="worksheets/sheet14.xml"/><Relationship Id="rId22" Type="http://schemas.openxmlformats.org/officeDocument/2006/relationships/externalLink" Target="externalLinks/externalLink5.xml"/><Relationship Id="rId27" Type="http://schemas.openxmlformats.org/officeDocument/2006/relationships/externalLink" Target="externalLinks/externalLink10.xml"/><Relationship Id="rId30" Type="http://schemas.openxmlformats.org/officeDocument/2006/relationships/externalLink" Target="externalLinks/externalLink13.xml"/><Relationship Id="rId35" Type="http://schemas.openxmlformats.org/officeDocument/2006/relationships/externalLink" Target="externalLinks/externalLink18.xml"/><Relationship Id="rId43" Type="http://schemas.openxmlformats.org/officeDocument/2006/relationships/externalLink" Target="externalLinks/externalLink26.xml"/><Relationship Id="rId48" Type="http://schemas.openxmlformats.org/officeDocument/2006/relationships/externalLink" Target="externalLinks/externalLink31.xml"/><Relationship Id="rId56" Type="http://schemas.openxmlformats.org/officeDocument/2006/relationships/externalLink" Target="externalLinks/externalLink39.xml"/><Relationship Id="rId64" Type="http://schemas.openxmlformats.org/officeDocument/2006/relationships/externalLink" Target="externalLinks/externalLink47.xml"/><Relationship Id="rId69" Type="http://schemas.openxmlformats.org/officeDocument/2006/relationships/externalLink" Target="externalLinks/externalLink52.xml"/><Relationship Id="rId8" Type="http://schemas.openxmlformats.org/officeDocument/2006/relationships/worksheet" Target="worksheets/sheet8.xml"/><Relationship Id="rId51" Type="http://schemas.openxmlformats.org/officeDocument/2006/relationships/externalLink" Target="externalLinks/externalLink34.xml"/><Relationship Id="rId72" Type="http://schemas.openxmlformats.org/officeDocument/2006/relationships/theme" Target="theme/theme1.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externalLink" Target="externalLinks/externalLink8.xml"/><Relationship Id="rId33" Type="http://schemas.openxmlformats.org/officeDocument/2006/relationships/externalLink" Target="externalLinks/externalLink16.xml"/><Relationship Id="rId38" Type="http://schemas.openxmlformats.org/officeDocument/2006/relationships/externalLink" Target="externalLinks/externalLink21.xml"/><Relationship Id="rId46" Type="http://schemas.openxmlformats.org/officeDocument/2006/relationships/externalLink" Target="externalLinks/externalLink29.xml"/><Relationship Id="rId59" Type="http://schemas.openxmlformats.org/officeDocument/2006/relationships/externalLink" Target="externalLinks/externalLink42.xml"/><Relationship Id="rId67" Type="http://schemas.openxmlformats.org/officeDocument/2006/relationships/externalLink" Target="externalLinks/externalLink50.xml"/><Relationship Id="rId20" Type="http://schemas.openxmlformats.org/officeDocument/2006/relationships/externalLink" Target="externalLinks/externalLink3.xml"/><Relationship Id="rId41" Type="http://schemas.openxmlformats.org/officeDocument/2006/relationships/externalLink" Target="externalLinks/externalLink24.xml"/><Relationship Id="rId54" Type="http://schemas.openxmlformats.org/officeDocument/2006/relationships/externalLink" Target="externalLinks/externalLink37.xml"/><Relationship Id="rId62" Type="http://schemas.openxmlformats.org/officeDocument/2006/relationships/externalLink" Target="externalLinks/externalLink45.xml"/><Relationship Id="rId70" Type="http://schemas.openxmlformats.org/officeDocument/2006/relationships/externalLink" Target="externalLinks/externalLink53.xml"/><Relationship Id="rId75"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5" Type="http://schemas.openxmlformats.org/officeDocument/2006/relationships/worksheet" Target="worksheets/sheet15.xml"/><Relationship Id="rId23" Type="http://schemas.openxmlformats.org/officeDocument/2006/relationships/externalLink" Target="externalLinks/externalLink6.xml"/><Relationship Id="rId28" Type="http://schemas.openxmlformats.org/officeDocument/2006/relationships/externalLink" Target="externalLinks/externalLink11.xml"/><Relationship Id="rId36" Type="http://schemas.openxmlformats.org/officeDocument/2006/relationships/externalLink" Target="externalLinks/externalLink19.xml"/><Relationship Id="rId49" Type="http://schemas.openxmlformats.org/officeDocument/2006/relationships/externalLink" Target="externalLinks/externalLink32.xml"/><Relationship Id="rId57" Type="http://schemas.openxmlformats.org/officeDocument/2006/relationships/externalLink" Target="externalLinks/externalLink40.xml"/><Relationship Id="rId10" Type="http://schemas.openxmlformats.org/officeDocument/2006/relationships/worksheet" Target="worksheets/sheet10.xml"/><Relationship Id="rId31" Type="http://schemas.openxmlformats.org/officeDocument/2006/relationships/externalLink" Target="externalLinks/externalLink14.xml"/><Relationship Id="rId44" Type="http://schemas.openxmlformats.org/officeDocument/2006/relationships/externalLink" Target="externalLinks/externalLink27.xml"/><Relationship Id="rId52" Type="http://schemas.openxmlformats.org/officeDocument/2006/relationships/externalLink" Target="externalLinks/externalLink35.xml"/><Relationship Id="rId60" Type="http://schemas.openxmlformats.org/officeDocument/2006/relationships/externalLink" Target="externalLinks/externalLink43.xml"/><Relationship Id="rId65" Type="http://schemas.openxmlformats.org/officeDocument/2006/relationships/externalLink" Target="externalLinks/externalLink48.xml"/><Relationship Id="rId73"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3" Type="http://schemas.openxmlformats.org/officeDocument/2006/relationships/worksheet" Target="worksheets/sheet13.xml"/><Relationship Id="rId18" Type="http://schemas.openxmlformats.org/officeDocument/2006/relationships/externalLink" Target="externalLinks/externalLink1.xml"/><Relationship Id="rId39" Type="http://schemas.openxmlformats.org/officeDocument/2006/relationships/externalLink" Target="externalLinks/externalLink22.xml"/><Relationship Id="rId34" Type="http://schemas.openxmlformats.org/officeDocument/2006/relationships/externalLink" Target="externalLinks/externalLink17.xml"/><Relationship Id="rId50" Type="http://schemas.openxmlformats.org/officeDocument/2006/relationships/externalLink" Target="externalLinks/externalLink33.xml"/><Relationship Id="rId55" Type="http://schemas.openxmlformats.org/officeDocument/2006/relationships/externalLink" Target="externalLinks/externalLink38.xml"/><Relationship Id="rId7" Type="http://schemas.openxmlformats.org/officeDocument/2006/relationships/worksheet" Target="worksheets/sheet7.xml"/><Relationship Id="rId71" Type="http://schemas.openxmlformats.org/officeDocument/2006/relationships/externalLink" Target="externalLinks/externalLink54.xml"/></Relationships>
</file>

<file path=xl/drawings/_rels/drawing2.xml.rels><?xml version="1.0" encoding="UTF-8" standalone="yes"?>
<Relationships xmlns="http://schemas.openxmlformats.org/package/2006/relationships"><Relationship Id="rId1" Type="http://schemas.openxmlformats.org/officeDocument/2006/relationships/image" Target="../media/image1.emf"/></Relationships>
</file>

<file path=xl/drawings/_rels/drawing3.xml.rels><?xml version="1.0" encoding="UTF-8" standalone="yes"?>
<Relationships xmlns="http://schemas.openxmlformats.org/package/2006/relationships"><Relationship Id="rId1" Type="http://schemas.openxmlformats.org/officeDocument/2006/relationships/image" Target="../media/image2.emf"/></Relationships>
</file>

<file path=xl/drawings/drawing1.xml><?xml version="1.0" encoding="utf-8"?>
<xdr:wsDr xmlns:xdr="http://schemas.openxmlformats.org/drawingml/2006/spreadsheetDrawing" xmlns:a="http://schemas.openxmlformats.org/drawingml/2006/main">
  <xdr:twoCellAnchor>
    <xdr:from>
      <xdr:col>1</xdr:col>
      <xdr:colOff>1200150</xdr:colOff>
      <xdr:row>25</xdr:row>
      <xdr:rowOff>95250</xdr:rowOff>
    </xdr:from>
    <xdr:to>
      <xdr:col>3</xdr:col>
      <xdr:colOff>19050</xdr:colOff>
      <xdr:row>28</xdr:row>
      <xdr:rowOff>298449</xdr:rowOff>
    </xdr:to>
    <xdr:sp macro="" textlink="">
      <xdr:nvSpPr>
        <xdr:cNvPr id="2" name="ZoneTexte 1">
          <a:extLst>
            <a:ext uri="{FF2B5EF4-FFF2-40B4-BE49-F238E27FC236}">
              <a16:creationId xmlns:a16="http://schemas.microsoft.com/office/drawing/2014/main" id="{00000000-0008-0000-1400-000002000000}"/>
            </a:ext>
          </a:extLst>
        </xdr:cNvPr>
        <xdr:cNvSpPr txBox="1"/>
      </xdr:nvSpPr>
      <xdr:spPr>
        <a:xfrm>
          <a:off x="1492250" y="4375150"/>
          <a:ext cx="3314700" cy="660399"/>
        </a:xfrm>
        <a:prstGeom prst="rect">
          <a:avLst/>
        </a:prstGeom>
        <a:solidFill>
          <a:srgbClr val="FF7C80"/>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fr-FR" sz="1100">
              <a:solidFill>
                <a:schemeClr val="bg1"/>
              </a:solidFill>
            </a:rPr>
            <a:t>Refaire le lien au</a:t>
          </a:r>
          <a:r>
            <a:rPr lang="fr-FR" sz="1100" baseline="0">
              <a:solidFill>
                <a:schemeClr val="bg1"/>
              </a:solidFill>
            </a:rPr>
            <a:t> moment du T2 2023 prod</a:t>
          </a:r>
        </a:p>
        <a:p>
          <a:r>
            <a:rPr lang="fr-FR" sz="1100" baseline="0">
              <a:solidFill>
                <a:schemeClr val="bg1"/>
              </a:solidFill>
            </a:rPr>
            <a:t>D7 vers I20</a:t>
          </a:r>
        </a:p>
        <a:p>
          <a:r>
            <a:rPr lang="fr-FR" sz="1100" baseline="0">
              <a:solidFill>
                <a:schemeClr val="bg1"/>
              </a:solidFill>
            </a:rPr>
            <a:t>D8 vers  I21</a:t>
          </a:r>
          <a:endParaRPr lang="fr-FR" sz="1100">
            <a:solidFill>
              <a:schemeClr val="bg1"/>
            </a:solidFill>
          </a:endParaRP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4</xdr:col>
      <xdr:colOff>0</xdr:colOff>
      <xdr:row>0</xdr:row>
      <xdr:rowOff>0</xdr:rowOff>
    </xdr:from>
    <xdr:to>
      <xdr:col>4</xdr:col>
      <xdr:colOff>716280</xdr:colOff>
      <xdr:row>0</xdr:row>
      <xdr:rowOff>0</xdr:rowOff>
    </xdr:to>
    <xdr:sp macro="" textlink="">
      <xdr:nvSpPr>
        <xdr:cNvPr id="77825" name="CustomMemberDispatchertb1" hidden="1">
          <a:extLst>
            <a:ext uri="{63B3BB69-23CF-44E3-9099-C40C66FF867C}">
              <a14:compatExt xmlns:a14="http://schemas.microsoft.com/office/drawing/2010/main" spid="_x0000_s77825"/>
            </a:ext>
            <a:ext uri="{FF2B5EF4-FFF2-40B4-BE49-F238E27FC236}">
              <a16:creationId xmlns:a16="http://schemas.microsoft.com/office/drawing/2014/main" id="{00000000-0008-0000-A800-000001300100}"/>
            </a:ext>
          </a:extLst>
        </xdr:cNvPr>
        <xdr:cNvSpPr/>
      </xdr:nvSpPr>
      <xdr:spPr bwMode="auto">
        <a:xfrm>
          <a:off x="0" y="0"/>
          <a:ext cx="0" cy="0"/>
        </a:xfrm>
        <a:prstGeom prst="rect">
          <a:avLst/>
        </a:prstGeom>
        <a:solidFill>
          <a:srgbClr xmlns:mc="http://schemas.openxmlformats.org/markup-compatibility/2006" xmlns:a14="http://schemas.microsoft.com/office/drawing/2010/main" val="FFFFFF" mc:Ignorable="a14" a14:legacySpreadsheetColorIndex="65"/>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xdr:from>
      <xdr:col>4</xdr:col>
      <xdr:colOff>0</xdr:colOff>
      <xdr:row>0</xdr:row>
      <xdr:rowOff>0</xdr:rowOff>
    </xdr:from>
    <xdr:to>
      <xdr:col>4</xdr:col>
      <xdr:colOff>716280</xdr:colOff>
      <xdr:row>0</xdr:row>
      <xdr:rowOff>0</xdr:rowOff>
    </xdr:to>
    <xdr:pic>
      <xdr:nvPicPr>
        <xdr:cNvPr id="2" name="CustomMemberDispatchertb1" hidden="1">
          <a:extLst>
            <a:ext uri="{FF2B5EF4-FFF2-40B4-BE49-F238E27FC236}">
              <a16:creationId xmlns:a16="http://schemas.microsoft.com/office/drawing/2014/main" id="{00000000-0008-0000-A800-000002000000}"/>
            </a:ext>
          </a:extLst>
        </xdr:cNvPr>
        <xdr:cNvPicPr>
          <a:picLocks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716280" cy="0"/>
        </a:xfrm>
        <a:prstGeom prst="rect">
          <a:avLst/>
        </a:prstGeom>
        <a:solidFill>
          <a:srgbClr xmlns:mc="http://schemas.openxmlformats.org/markup-compatibility/2006" xmlns:a14="http://schemas.microsoft.com/office/drawing/2010/main" val="FFFFFF" mc:Ignorable="a14" a14:legacySpreadsheetColorIndex="65"/>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wsDr>
</file>

<file path=xl/drawings/drawing3.xml><?xml version="1.0" encoding="utf-8"?>
<xdr:wsDr xmlns:xdr="http://schemas.openxmlformats.org/drawingml/2006/spreadsheetDrawing" xmlns:a="http://schemas.openxmlformats.org/drawingml/2006/main">
  <xdr:twoCellAnchor>
    <xdr:from>
      <xdr:col>4</xdr:col>
      <xdr:colOff>0</xdr:colOff>
      <xdr:row>0</xdr:row>
      <xdr:rowOff>0</xdr:rowOff>
    </xdr:from>
    <xdr:to>
      <xdr:col>4</xdr:col>
      <xdr:colOff>914400</xdr:colOff>
      <xdr:row>0</xdr:row>
      <xdr:rowOff>0</xdr:rowOff>
    </xdr:to>
    <xdr:sp macro="" textlink="">
      <xdr:nvSpPr>
        <xdr:cNvPr id="78849" name="CustomMemberDispatchertb1" hidden="1">
          <a:extLst>
            <a:ext uri="{63B3BB69-23CF-44E3-9099-C40C66FF867C}">
              <a14:compatExt xmlns:a14="http://schemas.microsoft.com/office/drawing/2010/main" spid="_x0000_s78849"/>
            </a:ext>
            <a:ext uri="{FF2B5EF4-FFF2-40B4-BE49-F238E27FC236}">
              <a16:creationId xmlns:a16="http://schemas.microsoft.com/office/drawing/2014/main" id="{00000000-0008-0000-A900-000001340100}"/>
            </a:ext>
          </a:extLst>
        </xdr:cNvPr>
        <xdr:cNvSpPr/>
      </xdr:nvSpPr>
      <xdr:spPr bwMode="auto">
        <a:xfrm>
          <a:off x="0" y="0"/>
          <a:ext cx="0" cy="0"/>
        </a:xfrm>
        <a:prstGeom prst="rect">
          <a:avLst/>
        </a:prstGeom>
        <a:solidFill>
          <a:srgbClr xmlns:mc="http://schemas.openxmlformats.org/markup-compatibility/2006" xmlns:a14="http://schemas.microsoft.com/office/drawing/2010/main" val="FFFFFF" mc:Ignorable="a14" a14:legacySpreadsheetColorIndex="65"/>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xdr:from>
      <xdr:col>4</xdr:col>
      <xdr:colOff>0</xdr:colOff>
      <xdr:row>0</xdr:row>
      <xdr:rowOff>0</xdr:rowOff>
    </xdr:from>
    <xdr:to>
      <xdr:col>4</xdr:col>
      <xdr:colOff>914400</xdr:colOff>
      <xdr:row>0</xdr:row>
      <xdr:rowOff>0</xdr:rowOff>
    </xdr:to>
    <xdr:pic>
      <xdr:nvPicPr>
        <xdr:cNvPr id="2" name="CustomMemberDispatchertb1" hidden="1">
          <a:extLst>
            <a:ext uri="{FF2B5EF4-FFF2-40B4-BE49-F238E27FC236}">
              <a16:creationId xmlns:a16="http://schemas.microsoft.com/office/drawing/2014/main" id="{00000000-0008-0000-A900-000002000000}"/>
            </a:ext>
          </a:extLst>
        </xdr:cNvPr>
        <xdr:cNvPicPr>
          <a:picLocks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914400" cy="0"/>
        </a:xfrm>
        <a:prstGeom prst="rect">
          <a:avLst/>
        </a:prstGeom>
        <a:solidFill>
          <a:srgbClr xmlns:mc="http://schemas.openxmlformats.org/markup-compatibility/2006" xmlns:a14="http://schemas.microsoft.com/office/drawing/2010/main" val="FFFFFF" mc:Ignorable="a14" a14:legacySpreadsheetColorIndex="65"/>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E:\Documents%20and%20Settings\JOUSSELME\Local%20Settings\Temp\R&#233;pertoire%20temporaire%201%20pour%20Annexe%20groupe%20CNP%202005%20V2.zip\DETCONSO2IFRS%2012.2005%20V6.xls" TargetMode="External"/></Relationships>
</file>

<file path=xl/externalLinks/_rels/externalLink10.xml.rels><?xml version="1.0" encoding="UTF-8" standalone="yes"?>
<Relationships xmlns="http://schemas.openxmlformats.org/package/2006/relationships"><Relationship Id="rId1" Type="http://schemas.openxmlformats.org/officeDocument/2006/relationships/externalLinkPath" Target="file:///\\cyan.angers.cnp.fr\cnp\B\S\F5\F5\000Embedded%20Value\EV31122007\Analyse\Analyse%20des%20&#233;carts\Run%20D10%20-%20Valeur%20centrale\Run_D10.xls" TargetMode="External"/></Relationships>
</file>

<file path=xl/externalLinks/_rels/externalLink11.xml.rels><?xml version="1.0" encoding="UTF-8" standalone="yes"?>
<Relationships xmlns="http://schemas.openxmlformats.org/package/2006/relationships"><Relationship Id="rId1" Type="http://schemas.openxmlformats.org/officeDocument/2006/relationships/externalLinkPath" Target="file:///C:\CONSOLID\%23%20consolidation\Arr&#234;t&#233;%2031.12.2005\Annexes%2012.2005\Passif\Passif_Base%2012.2004.xls" TargetMode="External"/></Relationships>
</file>

<file path=xl/externalLinks/_rels/externalLink12.xml.rels><?xml version="1.0" encoding="UTF-8" standalone="yes"?>
<Relationships xmlns="http://schemas.openxmlformats.org/package/2006/relationships"><Relationship Id="rId1" Type="http://schemas.openxmlformats.org/officeDocument/2006/relationships/externalLinkPath" Target="file:///G:\TEMP\liasse%2031122001%20GLOBAL%20VIDA.xls" TargetMode="External"/></Relationships>
</file>

<file path=xl/externalLinks/_rels/externalLink13.xml.rels><?xml version="1.0" encoding="UTF-8" standalone="yes"?>
<Relationships xmlns="http://schemas.openxmlformats.org/package/2006/relationships"><Relationship Id="rId1" Type="http://schemas.openxmlformats.org/officeDocument/2006/relationships/externalLinkPath" Target="file:///G:\B\S\FC\PARTAGE\FC6_CONSO_PROD\Arr&#234;t&#233;%2031.12.2006\Liasses%20envoy&#233;es\Portugal\Liasse%20FG%20GLOBAL%2012.2006.xls" TargetMode="External"/></Relationships>
</file>

<file path=xl/externalLinks/_rels/externalLink14.xml.rels><?xml version="1.0" encoding="UTF-8" standalone="yes"?>
<Relationships xmlns="http://schemas.openxmlformats.org/package/2006/relationships"><Relationship Id="rId1" Type="http://schemas.openxmlformats.org/officeDocument/2006/relationships/externalLinkPath" Target="file:///E:\CONSOLID\%23%20consolidation\Arr&#234;t&#233;%2030.06.2006\Traitement%20par%20soci&#233;t&#233;s\A120%20CNP%20Assurances\FG\CP%20Fineco%20vita%20%20FG%2006%202006.xls" TargetMode="External"/></Relationships>
</file>

<file path=xl/externalLinks/_rels/externalLink15.xml.rels><?xml version="1.0" encoding="UTF-8" standalone="yes"?>
<Relationships xmlns="http://schemas.openxmlformats.org/package/2006/relationships"><Relationship Id="rId1" Type="http://schemas.openxmlformats.org/officeDocument/2006/relationships/externalLinkPath" Target="file:///\\cyan\5-Partages%20Bureautiques\FC%20CONSO_PROD\01%20-%20Cloture\2022\2022.12\15%20-%20Plaquette\1%20-%20Plaquette%20FR\Annexes%20LDE%202022%20v%20en%20cours.xlsx" TargetMode="External"/></Relationships>
</file>

<file path=xl/externalLinks/_rels/externalLink16.xml.rels><?xml version="1.0" encoding="UTF-8" standalone="yes"?>
<Relationships xmlns="http://schemas.openxmlformats.org/package/2006/relationships"><Relationship Id="rId1" Type="http://schemas.openxmlformats.org/officeDocument/2006/relationships/externalLinkPath" Target="file:///\\cyan\5-Partages%20Bureautiques\B\S\fc\partage\conso_prod\Arr&#234;t&#233;%2030.06.2015\Annexes%20IFRS\Plaquette\Analytics%20Annexes%2030.06.13.xls" TargetMode="External"/></Relationships>
</file>

<file path=xl/externalLinks/_rels/externalLink17.xml.rels><?xml version="1.0" encoding="UTF-8" standalone="yes"?>
<Relationships xmlns="http://schemas.openxmlformats.org/package/2006/relationships"><Relationship Id="rId1" Type="http://schemas.openxmlformats.org/officeDocument/2006/relationships/externalLinkPath" Target="file:///C:\CONSOLID\%23%20consolidation\Arr&#234;t&#233;%2031.12.2005\Annexes%2012.2005\Passif\DETCONSO2IFRS_300605%20Modifi&#233;%2012.2004.xls" TargetMode="External"/></Relationships>
</file>

<file path=xl/externalLinks/_rels/externalLink18.xml.rels><?xml version="1.0" encoding="UTF-8" standalone="yes"?>
<Relationships xmlns="http://schemas.openxmlformats.org/package/2006/relationships"><Relationship Id="rId1" Type="http://schemas.openxmlformats.org/officeDocument/2006/relationships/externalLinkPath" Target="file:///C:\CONSOLID\%23%20consolidation\%23ARRETES%20IFRS\Exercice%202005\%23%2030062005%20IFRS\perso%20salim\PERIMETR.xls" TargetMode="External"/></Relationships>
</file>

<file path=xl/externalLinks/_rels/externalLink19.xml.rels><?xml version="1.0" encoding="UTF-8" standalone="yes"?>
<Relationships xmlns="http://schemas.openxmlformats.org/package/2006/relationships"><Relationship Id="rId1" Type="http://schemas.openxmlformats.org/officeDocument/2006/relationships/externalLinkPath" Target="file:///C:\WINDOWS\TEMP\C130A512.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E:\TEMP\p.lotus.notes.data\IMMOBILIER_122003.xls" TargetMode="External"/></Relationships>
</file>

<file path=xl/externalLinks/_rels/externalLink20.xml.rels><?xml version="1.0" encoding="UTF-8" standalone="yes"?>
<Relationships xmlns="http://schemas.openxmlformats.org/package/2006/relationships"><Relationship Id="rId1" Type="http://schemas.openxmlformats.org/officeDocument/2006/relationships/externalLinkPath" Target="file:///C:\PARTICIP\1997\9712\ETATSA5\A5IAM97.XLS" TargetMode="External"/></Relationships>
</file>

<file path=xl/externalLinks/_rels/externalLink21.xml.rels><?xml version="1.0" encoding="UTF-8" standalone="yes"?>
<Relationships xmlns="http://schemas.openxmlformats.org/package/2006/relationships"><Relationship Id="rId1" Type="http://schemas.openxmlformats.org/officeDocument/2006/relationships/externalLinkPath" Target="file:///C:\VMOB\CLOT98\RECAPA5\A5IASS98.XLS" TargetMode="External"/></Relationships>
</file>

<file path=xl/externalLinks/_rels/externalLink22.xml.rels><?xml version="1.0" encoding="UTF-8" standalone="yes"?>
<Relationships xmlns="http://schemas.openxmlformats.org/package/2006/relationships"><Relationship Id="rId1" Type="http://schemas.openxmlformats.org/officeDocument/2006/relationships/externalLinkPath" Target="file:///P:\Documentation%20process%20d'arr&#234;t&#233;\PRE\version%20def\SCI_VNCI%20pmvl%20immo.xls" TargetMode="External"/></Relationships>
</file>

<file path=xl/externalLinks/_rels/externalLink23.xml.rels><?xml version="1.0" encoding="UTF-8" standalone="yes"?>
<Relationships xmlns="http://schemas.openxmlformats.org/package/2006/relationships"><Relationship Id="rId1" Type="http://schemas.openxmlformats.org/officeDocument/2006/relationships/externalLinkPath" Target="file:///C:\LAURENTG\IMMOBILI\A5\A5IAM0601.xls" TargetMode="External"/></Relationships>
</file>

<file path=xl/externalLinks/_rels/externalLink24.xml.rels><?xml version="1.0" encoding="UTF-8" standalone="yes"?>
<Relationships xmlns="http://schemas.openxmlformats.org/package/2006/relationships"><Relationship Id="rId1" Type="http://schemas.openxmlformats.org/officeDocument/2006/relationships/externalLinkPath" Target="file:///C:\VMOB\A5-T2\2002\30-09-02\CNP\Immo_A1200.xls" TargetMode="External"/></Relationships>
</file>

<file path=xl/externalLinks/_rels/externalLink25.xml.rels><?xml version="1.0" encoding="UTF-8" standalone="yes"?>
<Relationships xmlns="http://schemas.openxmlformats.org/package/2006/relationships"><Relationship Id="rId1" Type="http://schemas.openxmlformats.org/officeDocument/2006/relationships/externalLinkPath" Target="file:///C:\TEMP\p.lotus.notes.data\~7771002.xls" TargetMode="External"/></Relationships>
</file>

<file path=xl/externalLinks/_rels/externalLink26.xml.rels><?xml version="1.0" encoding="UTF-8" standalone="yes"?>
<Relationships xmlns="http://schemas.openxmlformats.org/package/2006/relationships"><Relationship Id="rId1" Type="http://schemas.openxmlformats.org/officeDocument/2006/relationships/externalLinkPath" Target="file:///C:\IMMOBILI\A5\2000\C120A512.xls" TargetMode="External"/></Relationships>
</file>

<file path=xl/externalLinks/_rels/externalLink27.xml.rels><?xml version="1.0" encoding="UTF-8" standalone="yes"?>
<Relationships xmlns="http://schemas.openxmlformats.org/package/2006/relationships"><Relationship Id="rId1" Type="http://schemas.openxmlformats.org/officeDocument/2006/relationships/externalLinkPath" Target="file:///C:\PARTICIP\2000\0012\EtatA5\A5IASS00%20.xls" TargetMode="External"/></Relationships>
</file>

<file path=xl/externalLinks/_rels/externalLink28.xml.rels><?xml version="1.0" encoding="UTF-8" standalone="yes"?>
<Relationships xmlns="http://schemas.openxmlformats.org/package/2006/relationships"><Relationship Id="rId1" Type="http://schemas.openxmlformats.org/officeDocument/2006/relationships/externalLinkPath" Target="file:///C:\IMMOBILI\A5\1999\C120A512.xls" TargetMode="External"/></Relationships>
</file>

<file path=xl/externalLinks/_rels/externalLink29.xml.rels><?xml version="1.0" encoding="UTF-8" standalone="yes"?>
<Relationships xmlns="http://schemas.openxmlformats.org/package/2006/relationships"><Relationship Id="rId1" Type="http://schemas.openxmlformats.org/officeDocument/2006/relationships/externalLinkPath" Target="file:///C:\CONSOLID\%23%20consolidation\%23%2031122002\ERIC\1.%20Etats%20bilan%20consolide%202000.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E:\TEMP\p.lotus.notes.data\A5_DETAIL_A1200_311203_V5.xls" TargetMode="External"/></Relationships>
</file>

<file path=xl/externalLinks/_rels/externalLink30.xml.rels><?xml version="1.0" encoding="UTF-8" standalone="yes"?>
<Relationships xmlns="http://schemas.openxmlformats.org/package/2006/relationships"><Relationship Id="rId1" Type="http://schemas.openxmlformats.org/officeDocument/2006/relationships/externalLinkPath" Target="file:///C:\IMMOBILI\VNC\1998\1298\ASS_VNCI.XLS" TargetMode="External"/></Relationships>
</file>

<file path=xl/externalLinks/_rels/externalLink31.xml.rels><?xml version="1.0" encoding="UTF-8" standalone="yes"?>
<Relationships xmlns="http://schemas.openxmlformats.org/package/2006/relationships"><Relationship Id="rId1" Type="http://schemas.openxmlformats.org/officeDocument/2006/relationships/externalLinkPath" Target="file:///B:\B\S\DRG\PARTAGE\DRG_SOLVENCY_II\DRP\Calculs\2014T4\EAB\03_CALCUL\Inputs_ConsoSCR_T42014.xls" TargetMode="External"/></Relationships>
</file>

<file path=xl/externalLinks/_rels/externalLink32.xml.rels><?xml version="1.0" encoding="UTF-8" standalone="yes"?>
<Relationships xmlns="http://schemas.openxmlformats.org/package/2006/relationships"><Relationship Id="rId1" Type="http://schemas.openxmlformats.org/officeDocument/2006/relationships/externalLinkPath" Target="file:///U:\PARTICIP\1997\9712\JUSTIF\CCOMPT\311296\STOCMO.XLS" TargetMode="External"/></Relationships>
</file>

<file path=xl/externalLinks/_rels/externalLink33.xml.rels><?xml version="1.0" encoding="UTF-8" standalone="yes"?>
<Relationships xmlns="http://schemas.openxmlformats.org/package/2006/relationships"><Relationship Id="rId1" Type="http://schemas.openxmlformats.org/officeDocument/2006/relationships/externalLinkPath" Target="file:///\\ecp\_Dir_ECP\_DFI\_DFI-COMPTA\PRODUCTION_CONTROLES\CONSOLIDATION\CONSOLIDATION\CO%202013.12\Maquette%20DR%202013\Maquette%20Tableaux\Maquette%20Etats%20financiers.xls" TargetMode="External"/></Relationships>
</file>

<file path=xl/externalLinks/_rels/externalLink34.xml.rels><?xml version="1.0" encoding="UTF-8" standalone="yes"?>
<Relationships xmlns="http://schemas.openxmlformats.org/package/2006/relationships"><Relationship Id="rId1" Type="http://schemas.openxmlformats.org/officeDocument/2006/relationships/externalLinkPath" Target="file:///U:\PARTICIP\2002\PORTACTIF\122002\PASS1202_euro.xls" TargetMode="External"/></Relationships>
</file>

<file path=xl/externalLinks/_rels/externalLink35.xml.rels><?xml version="1.0" encoding="UTF-8" standalone="yes"?>
<Relationships xmlns="http://schemas.openxmlformats.org/package/2006/relationships"><Relationship Id="rId1" Type="http://schemas.openxmlformats.org/officeDocument/2006/relationships/externalLinkPath" Target="file:///C:\VMOB\Clot01\A5\A5%20global\CNP%20Assurances\A1200_A5_1201_Particip.xls" TargetMode="External"/></Relationships>
</file>

<file path=xl/externalLinks/_rels/externalLink36.xml.rels><?xml version="1.0" encoding="UTF-8" standalone="yes"?>
<Relationships xmlns="http://schemas.openxmlformats.org/package/2006/relationships"><Relationship Id="rId1" Type="http://schemas.openxmlformats.org/officeDocument/2006/relationships/externalLinkPath" Target="file:///U:\PARTICIP\2001\062001\PORTACTIF\ACQU_CESS.xls" TargetMode="External"/></Relationships>
</file>

<file path=xl/externalLinks/_rels/externalLink37.xml.rels><?xml version="1.0" encoding="UTF-8" standalone="yes"?>
<Relationships xmlns="http://schemas.openxmlformats.org/package/2006/relationships"><Relationship Id="rId1" Type="http://schemas.openxmlformats.org/officeDocument/2006/relationships/externalLinkPath" Target="file:///C:\PARTICIP\2001\062001\ETATS_A5\A5_DETAIL_A1200.xls" TargetMode="External"/></Relationships>
</file>

<file path=xl/externalLinks/_rels/externalLink38.xml.rels><?xml version="1.0" encoding="UTF-8" standalone="yes"?>
<Relationships xmlns="http://schemas.openxmlformats.org/package/2006/relationships"><Relationship Id="rId1" Type="http://schemas.openxmlformats.org/officeDocument/2006/relationships/externalLinkPath" Target="file:///C:\VMOB\A5-T2\2003\31-12-2003\CNP\IMMOBILIER_122003.xls" TargetMode="External"/></Relationships>
</file>

<file path=xl/externalLinks/_rels/externalLink39.xml.rels><?xml version="1.0" encoding="UTF-8" standalone="yes"?>
<Relationships xmlns="http://schemas.openxmlformats.org/package/2006/relationships"><Relationship Id="rId1" Type="http://schemas.openxmlformats.org/officeDocument/2006/relationships/externalLinkPath" Target="file:///C:\WINDOWS\TEMP\A5IAM98.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C:\Users\NLOUAKED\Desktop\reconciliation%20note%208.8.1%20et%20note%2018.2.1.xlsx" TargetMode="External"/></Relationships>
</file>

<file path=xl/externalLinks/_rels/externalLink40.xml.rels><?xml version="1.0" encoding="UTF-8" standalone="yes"?>
<Relationships xmlns="http://schemas.openxmlformats.org/package/2006/relationships"><Relationship Id="rId1" Type="http://schemas.openxmlformats.org/officeDocument/2006/relationships/externalLinkPath" Target="file:///N:\_DFI\_DFI-COMPTA\PRODUCTION_CONTROLES\CONSOLIDATION\REPORTING%20MENSUELS\2018\05\1-Etats%20de%20synth&#232;se\Bilan-Rt\IFRS%209%20Bilan%20&amp;%20R&#233;sultat%20d&#233;taill&#233;s%20-%20Par%20entit&#233;.xlsx" TargetMode="External"/></Relationships>
</file>

<file path=xl/externalLinks/_rels/externalLink41.xml.rels><?xml version="1.0" encoding="UTF-8" standalone="yes"?>
<Relationships xmlns="http://schemas.openxmlformats.org/package/2006/relationships"><Relationship Id="rId1" Type="http://schemas.openxmlformats.org/officeDocument/2006/relationships/externalLinkPath" Target="file:///\\ecp.sf.local\_Dir_ECP\_DFI\_DFI-COMPTA\PRODUCTION_CONTROLES\CONSOLIDATION\CONSO\2018.12\8-Maquette\Plaquette%202018.12.xlsx" TargetMode="External"/></Relationships>
</file>

<file path=xl/externalLinks/_rels/externalLink42.xml.rels><?xml version="1.0" encoding="UTF-8" standalone="yes"?>
<Relationships xmlns="http://schemas.openxmlformats.org/package/2006/relationships"><Relationship Id="rId1" Type="http://schemas.openxmlformats.org/officeDocument/2006/relationships/externalLinkPath" Target="file:///\\ecp.sf.local\_Dir_ECP\Users\xens396\AppData\Local\Temp\notesF1041F\Plaquette%20%20.xls" TargetMode="External"/></Relationships>
</file>

<file path=xl/externalLinks/_rels/externalLink43.xml.rels><?xml version="1.0" encoding="UTF-8" standalone="yes"?>
<Relationships xmlns="http://schemas.openxmlformats.org/package/2006/relationships"><Relationship Id="rId1" Type="http://schemas.openxmlformats.org/officeDocument/2006/relationships/externalLinkPath" Target="file:///D:\Utilisateurs\SLAM\00%20RECETTE\2018.05%2002%20Recette%20des%20NOTES%20local\02%20Expression%20de%20besoin%20sp&#233;cification\KP%20de%20Juin%20-%20SR\Plaquette_2017.06.xls" TargetMode="External"/></Relationships>
</file>

<file path=xl/externalLinks/_rels/externalLink44.xml.rels><?xml version="1.0" encoding="UTF-8" standalone="yes"?>
<Relationships xmlns="http://schemas.openxmlformats.org/package/2006/relationships"><Relationship Id="rId1" Type="http://schemas.openxmlformats.org/officeDocument/2006/relationships/externalLinkPath" Target="file:///\\ecp.sf.local\_Dir_ECP\N\_DFI\_DFI-COMPTA\PRODUCTION_CONTROLES\CONSOLIDATION\CONSO\2016.12\8-Maquette\Etats%20pr&#233;paratoires%20aux%20annexes\Expo%20&#233;volution%20LB7720-BCC7720%20en%20LD%202015.06.xlsx" TargetMode="External"/></Relationships>
</file>

<file path=xl/externalLinks/_rels/externalLink45.xml.rels><?xml version="1.0" encoding="UTF-8" standalone="yes"?>
<Relationships xmlns="http://schemas.openxmlformats.org/package/2006/relationships"><Relationship Id="rId1" Type="http://schemas.openxmlformats.org/officeDocument/2006/relationships/externalLinkPath" Target="file:///C:\GESTFIN\GC\IMMOBIL.IER\STOCK99.XLS" TargetMode="External"/></Relationships>
</file>

<file path=xl/externalLinks/_rels/externalLink46.xml.rels><?xml version="1.0" encoding="UTF-8" standalone="yes"?>
<Relationships xmlns="http://schemas.openxmlformats.org/package/2006/relationships"><Relationship Id="rId1" Type="http://schemas.openxmlformats.org/officeDocument/2006/relationships/externalLinkPath" Target="file:///E:\TEMP\p.lotus.notes.data\Corrections%20classif%20suite%20audit.xls" TargetMode="External"/></Relationships>
</file>

<file path=xl/externalLinks/_rels/externalLink47.xml.rels><?xml version="1.0" encoding="UTF-8" standalone="yes"?>
<Relationships xmlns="http://schemas.openxmlformats.org/package/2006/relationships"><Relationship Id="rId1" Type="http://schemas.openxmlformats.org/officeDocument/2006/relationships/externalLinkPath" Target="file:///E:\CONSOLID\%23%20consolidation\Arr&#234;t&#233;%2031.12.2005\Annexes%2012.2004\Annexes%20Passifs\R&#233;currence%20passif\Annexe%20r&#233;currence%20passif%2012.2004%20avoir.xls" TargetMode="External"/></Relationships>
</file>

<file path=xl/externalLinks/_rels/externalLink48.xml.rels><?xml version="1.0" encoding="UTF-8" standalone="yes"?>
<Relationships xmlns="http://schemas.openxmlformats.org/package/2006/relationships"><Relationship Id="rId1" Type="http://schemas.openxmlformats.org/officeDocument/2006/relationships/externalLinkPath" Target="file:///C:\TEMP\Annexes%202008.12.xls" TargetMode="External"/></Relationships>
</file>

<file path=xl/externalLinks/_rels/externalLink49.xml.rels><?xml version="1.0" encoding="UTF-8" standalone="yes"?>
<Relationships xmlns="http://schemas.openxmlformats.org/package/2006/relationships"><Relationship Id="rId1" Type="http://schemas.openxmlformats.org/officeDocument/2006/relationships/externalLinkPath" Target="file:///C:\B\S\DRG\PARTAGE\DRG_SOLVENCY_II\DRP\Travaux\Projets_S2\INDUSTRIALISATION%20PROCESS\05%20-%20Securisation%20des%20XL\03_Industrialisation\Fonds%20Propres\S&#233;curisation%20XL%20FP%20v9%20Groupe.xlsm"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C:\Documents%20and%20Settings\JOUSSELME\Local%20Settings\Temp\R&#233;pertoire%20temporaire%201%20pour%20Annexe%20groupe%20CNP%202005%20V2.zip\DETCONSO2IFRS%2012.2005%20V6.xls" TargetMode="External"/></Relationships>
</file>

<file path=xl/externalLinks/_rels/externalLink50.xml.rels><?xml version="1.0" encoding="UTF-8" standalone="yes"?>
<Relationships xmlns="http://schemas.openxmlformats.org/package/2006/relationships"><Relationship Id="rId1" Type="http://schemas.openxmlformats.org/officeDocument/2006/relationships/externalLinkPath" Target="file:///\\cyan.angers.cnp.fr\cnp\B\S\FIEP\PARTAGE\CEV\5.%20D&#233;veloppements\Masques%20de%20saisie\CEV_Masques%20de%20saisie_V1.0.xls" TargetMode="External"/></Relationships>
</file>

<file path=xl/externalLinks/_rels/externalLink51.xml.rels><?xml version="1.0" encoding="UTF-8" standalone="yes"?>
<Relationships xmlns="http://schemas.openxmlformats.org/package/2006/relationships"><Relationship Id="rId1" Type="http://schemas.openxmlformats.org/officeDocument/2006/relationships/externalLinkPath" Target="file:///\\Ecp.sf.local\_dir_ecp\Users\vmzn581\Desktop\plaquette.xlsx" TargetMode="External"/></Relationships>
</file>

<file path=xl/externalLinks/_rels/externalLink52.xml.rels><?xml version="1.0" encoding="UTF-8" standalone="yes"?>
<Relationships xmlns="http://schemas.openxmlformats.org/package/2006/relationships"><Relationship Id="rId1" Type="http://schemas.openxmlformats.org/officeDocument/2006/relationships/externalLinkPath" Target="file:///E:\IMMOBILI\A5\1999\C120A512.xls" TargetMode="External"/></Relationships>
</file>

<file path=xl/externalLinks/_rels/externalLink53.xml.rels><?xml version="1.0" encoding="UTF-8" standalone="yes"?>
<Relationships xmlns="http://schemas.openxmlformats.org/package/2006/relationships"><Relationship Id="rId1" Type="http://schemas.openxmlformats.org/officeDocument/2006/relationships/externalLinkPath" Target="file:///\\682D4884\Bilan%20et%20compte%20de%20r&#233;sultat%20CNP%20donn&#233;es%20consolid&#233;es.xlsx" TargetMode="External"/></Relationships>
</file>

<file path=xl/externalLinks/_rels/externalLink54.xml.rels><?xml version="1.0" encoding="UTF-8" standalone="yes"?>
<Relationships xmlns="http://schemas.openxmlformats.org/package/2006/relationships"><Relationship Id="rId1" Type="http://schemas.openxmlformats.org/officeDocument/2006/relationships/externalLinkPath" Target="file:///\\682D4884\Bilan%20et%20compte%20de%20r&#233;sultat%20LBP%20donn&#233;es%20consolid&#233;es.xlsx"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C:\TEMP\p.lotus.notes.data\IMMOBILIER_122003.xls"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file:///\\smb.frparnas10.fr.kworld.kpmg.com\datadir01\ComFi\2017\Rapport%20de%20gestion\BNP%20Paribas%20Cardif\2.%20Sources\Documentation\Plaq%20BNPPA%2031122016%20nouveau%20format%20VF%20et%20VA.xlsx"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file:///C:\TEMP\p.lotus.notes.data\A5_DETAIL_A1200_311203_V5.xls" TargetMode="External"/></Relationships>
</file>

<file path=xl/externalLinks/_rels/externalLink9.xml.rels><?xml version="1.0" encoding="UTF-8" standalone="yes"?>
<Relationships xmlns="http://schemas.openxmlformats.org/package/2006/relationships"><Relationship Id="rId1" Type="http://schemas.openxmlformats.org/officeDocument/2006/relationships/externalLinkPath" Target="file:///\\cyan.angers.cnp.fr\cnp\B\S\rs\partage\rs_solvency_ii\RS2\Calculs\2012T4\EAB\01_PRECLOSING\03_CALCUL\ConsoSCR_Ref.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DETCONSO"/>
      <sheetName val="RECAP GROUPE"/>
      <sheetName val="DETAIL SITUATION NETTE"/>
      <sheetName val="Liste attribut"/>
      <sheetName val="Ecarts conversion 1201"/>
      <sheetName val="@lists"/>
    </sheetNames>
    <sheetDataSet>
      <sheetData sheetId="0" refreshError="1"/>
      <sheetData sheetId="1" refreshError="1"/>
      <sheetData sheetId="2" refreshError="1"/>
      <sheetData sheetId="3" refreshError="1"/>
      <sheetData sheetId="4" refreshError="1"/>
      <sheetData sheetId="5" refreshError="1"/>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ables"/>
      <sheetName val="Hypothèses actu"/>
      <sheetName val="Autres prov"/>
      <sheetName val="Avoirs fiscaux"/>
      <sheetName val="Frais structure"/>
      <sheetName val="Alloc frais"/>
      <sheetName val="Ecart factu"/>
      <sheetName val="VTO"/>
      <sheetName val="ajustements"/>
      <sheetName val="Importation"/>
      <sheetName val="Synthèse Stock EEV"/>
      <sheetName val="Synthèse N1 EEV"/>
      <sheetName val="Synthèse Stock RFV"/>
      <sheetName val="Synthèse N1 RFV"/>
      <sheetName val="IF part du groupe"/>
      <sheetName val="NB part du groupe"/>
      <sheetName val="v"/>
      <sheetName val="Cálculos"/>
      <sheetName val="BNPPARI model Euro"/>
      <sheetName val="BPCE"/>
    </sheetNames>
    <sheetDataSet>
      <sheetData sheetId="0" refreshError="1">
        <row r="3">
          <cell r="O3" t="str">
            <v>CNP</v>
          </cell>
          <cell r="P3" t="str">
            <v>4JUIN</v>
          </cell>
          <cell r="Q3" t="str">
            <v>AUTRE</v>
          </cell>
        </row>
        <row r="4">
          <cell r="O4" t="str">
            <v>CNP</v>
          </cell>
          <cell r="P4" t="str">
            <v>4JUIN</v>
          </cell>
          <cell r="Q4" t="str">
            <v>AUTRE</v>
          </cell>
        </row>
        <row r="5">
          <cell r="O5" t="str">
            <v>CNP</v>
          </cell>
          <cell r="P5" t="str">
            <v>4JUIN</v>
          </cell>
          <cell r="Q5" t="str">
            <v>AUTRE</v>
          </cell>
        </row>
        <row r="6">
          <cell r="O6" t="str">
            <v>CNP</v>
          </cell>
          <cell r="P6" t="str">
            <v>4JUIN</v>
          </cell>
          <cell r="Q6" t="str">
            <v>AUTRE</v>
          </cell>
        </row>
        <row r="7">
          <cell r="O7" t="str">
            <v>CNP</v>
          </cell>
          <cell r="P7" t="str">
            <v>4JUIN</v>
          </cell>
          <cell r="Q7" t="str">
            <v>AUTRE</v>
          </cell>
        </row>
        <row r="8">
          <cell r="O8" t="str">
            <v>CNP</v>
          </cell>
          <cell r="P8" t="str">
            <v>4JUIN</v>
          </cell>
          <cell r="Q8" t="str">
            <v>AUTRE</v>
          </cell>
        </row>
        <row r="9">
          <cell r="O9" t="str">
            <v>CNP</v>
          </cell>
          <cell r="P9" t="str">
            <v>4JUIN</v>
          </cell>
          <cell r="Q9" t="str">
            <v>AUTRE</v>
          </cell>
        </row>
        <row r="10">
          <cell r="O10" t="str">
            <v>CNP</v>
          </cell>
          <cell r="P10" t="str">
            <v>4JUIN</v>
          </cell>
          <cell r="Q10" t="str">
            <v>PREFON</v>
          </cell>
        </row>
        <row r="11">
          <cell r="O11" t="str">
            <v>CNP</v>
          </cell>
          <cell r="P11" t="str">
            <v>4JUIN</v>
          </cell>
          <cell r="Q11" t="str">
            <v>PREFON</v>
          </cell>
        </row>
        <row r="12">
          <cell r="O12" t="str">
            <v>CNP</v>
          </cell>
          <cell r="P12" t="str">
            <v>4JUIN</v>
          </cell>
          <cell r="Q12" t="str">
            <v>PREFON</v>
          </cell>
        </row>
        <row r="13">
          <cell r="O13" t="str">
            <v>CNP</v>
          </cell>
          <cell r="P13" t="str">
            <v>4JUIN</v>
          </cell>
          <cell r="Q13" t="str">
            <v>PREFON</v>
          </cell>
        </row>
        <row r="14">
          <cell r="O14" t="str">
            <v>CNP</v>
          </cell>
          <cell r="P14" t="str">
            <v>4JUIN</v>
          </cell>
          <cell r="Q14" t="str">
            <v>PREFON</v>
          </cell>
        </row>
        <row r="15">
          <cell r="O15" t="str">
            <v>CNP</v>
          </cell>
          <cell r="P15" t="str">
            <v>4JUIN</v>
          </cell>
          <cell r="Q15" t="str">
            <v>PREFON</v>
          </cell>
        </row>
        <row r="16">
          <cell r="O16" t="str">
            <v>CNP</v>
          </cell>
          <cell r="P16" t="str">
            <v>4JUIN</v>
          </cell>
          <cell r="Q16" t="str">
            <v>PREFON</v>
          </cell>
        </row>
        <row r="17">
          <cell r="O17" t="str">
            <v>CNP</v>
          </cell>
          <cell r="P17" t="str">
            <v>EPARGNE</v>
          </cell>
          <cell r="Q17" t="str">
            <v>TRESOR</v>
          </cell>
        </row>
        <row r="18">
          <cell r="O18" t="str">
            <v>CNP</v>
          </cell>
          <cell r="P18" t="str">
            <v>EPARGNE</v>
          </cell>
          <cell r="Q18" t="str">
            <v>TRESOR</v>
          </cell>
        </row>
        <row r="19">
          <cell r="O19" t="str">
            <v>CNP</v>
          </cell>
          <cell r="P19" t="str">
            <v>EPARGNE</v>
          </cell>
          <cell r="Q19" t="str">
            <v>TRESOR</v>
          </cell>
        </row>
        <row r="20">
          <cell r="O20" t="str">
            <v>CNP</v>
          </cell>
          <cell r="P20" t="str">
            <v>EPARGNE</v>
          </cell>
          <cell r="Q20" t="str">
            <v>TRESOR</v>
          </cell>
        </row>
        <row r="21">
          <cell r="O21" t="str">
            <v>CNP</v>
          </cell>
          <cell r="P21" t="str">
            <v>EPARGNE</v>
          </cell>
          <cell r="Q21" t="str">
            <v>TRESOR</v>
          </cell>
        </row>
        <row r="22">
          <cell r="O22" t="str">
            <v>CNP</v>
          </cell>
          <cell r="P22" t="str">
            <v>EPARGNE</v>
          </cell>
          <cell r="Q22" t="str">
            <v>TRESOR</v>
          </cell>
        </row>
        <row r="23">
          <cell r="O23" t="str">
            <v>CNP</v>
          </cell>
          <cell r="P23" t="str">
            <v>EPARGNE</v>
          </cell>
          <cell r="Q23" t="str">
            <v>TRESOR</v>
          </cell>
        </row>
        <row r="24">
          <cell r="O24" t="str">
            <v>CNP</v>
          </cell>
          <cell r="P24" t="str">
            <v>EPARGNE</v>
          </cell>
          <cell r="Q24" t="str">
            <v>POSTE</v>
          </cell>
        </row>
        <row r="25">
          <cell r="O25" t="str">
            <v>CNP</v>
          </cell>
          <cell r="P25" t="str">
            <v>EPARGNE</v>
          </cell>
          <cell r="Q25" t="str">
            <v>POSTE</v>
          </cell>
        </row>
        <row r="26">
          <cell r="O26" t="str">
            <v>CNP</v>
          </cell>
          <cell r="P26" t="str">
            <v>EPARGNE</v>
          </cell>
          <cell r="Q26" t="str">
            <v>POSTE</v>
          </cell>
        </row>
        <row r="27">
          <cell r="O27" t="str">
            <v>CNP</v>
          </cell>
          <cell r="P27" t="str">
            <v>EPARGNE</v>
          </cell>
          <cell r="Q27" t="str">
            <v>POSTE</v>
          </cell>
        </row>
        <row r="28">
          <cell r="O28" t="str">
            <v>CNP</v>
          </cell>
          <cell r="P28" t="str">
            <v>EPARGNE</v>
          </cell>
          <cell r="Q28" t="str">
            <v>POSTE</v>
          </cell>
        </row>
        <row r="29">
          <cell r="O29" t="str">
            <v>CNP</v>
          </cell>
          <cell r="P29" t="str">
            <v>EPARGNE</v>
          </cell>
          <cell r="Q29" t="str">
            <v>POSTE</v>
          </cell>
        </row>
        <row r="30">
          <cell r="O30" t="str">
            <v>CNP</v>
          </cell>
          <cell r="P30" t="str">
            <v>EPARGNE</v>
          </cell>
          <cell r="Q30" t="str">
            <v>POSTE</v>
          </cell>
        </row>
        <row r="31">
          <cell r="O31" t="str">
            <v>CNP</v>
          </cell>
          <cell r="P31" t="str">
            <v>EPARGNE</v>
          </cell>
          <cell r="Q31" t="str">
            <v>CE</v>
          </cell>
        </row>
        <row r="32">
          <cell r="B32">
            <v>2008</v>
          </cell>
          <cell r="O32" t="str">
            <v>CNP</v>
          </cell>
          <cell r="P32" t="str">
            <v>EPARGNE</v>
          </cell>
          <cell r="Q32" t="str">
            <v>CE</v>
          </cell>
        </row>
        <row r="33">
          <cell r="O33" t="str">
            <v>CNP</v>
          </cell>
          <cell r="P33" t="str">
            <v>EPARGNE</v>
          </cell>
          <cell r="Q33" t="str">
            <v>CE</v>
          </cell>
        </row>
        <row r="34">
          <cell r="O34" t="str">
            <v>CNP</v>
          </cell>
          <cell r="P34" t="str">
            <v>EPARGNE</v>
          </cell>
          <cell r="Q34" t="str">
            <v>CE</v>
          </cell>
        </row>
        <row r="35">
          <cell r="O35" t="str">
            <v>CNP</v>
          </cell>
          <cell r="P35" t="str">
            <v>EPARGNE</v>
          </cell>
          <cell r="Q35" t="str">
            <v>CE</v>
          </cell>
        </row>
        <row r="36">
          <cell r="O36" t="str">
            <v>CNP</v>
          </cell>
          <cell r="P36" t="str">
            <v>EPARGNE</v>
          </cell>
          <cell r="Q36" t="str">
            <v>CE</v>
          </cell>
        </row>
        <row r="37">
          <cell r="O37" t="str">
            <v>CNP</v>
          </cell>
          <cell r="P37" t="str">
            <v>EPARGNE</v>
          </cell>
          <cell r="Q37" t="str">
            <v>CE</v>
          </cell>
        </row>
        <row r="38">
          <cell r="O38" t="str">
            <v>EVIE</v>
          </cell>
          <cell r="P38" t="str">
            <v>EPARGNE</v>
          </cell>
          <cell r="Q38" t="str">
            <v>CE</v>
          </cell>
        </row>
        <row r="39">
          <cell r="O39" t="str">
            <v>EVIE</v>
          </cell>
          <cell r="P39" t="str">
            <v>EPARGNE</v>
          </cell>
          <cell r="Q39" t="str">
            <v>CE</v>
          </cell>
        </row>
        <row r="40">
          <cell r="O40" t="str">
            <v>EVIE</v>
          </cell>
          <cell r="P40" t="str">
            <v>EPARGNE</v>
          </cell>
          <cell r="Q40" t="str">
            <v>CE</v>
          </cell>
        </row>
        <row r="41">
          <cell r="O41" t="str">
            <v>EVIE</v>
          </cell>
          <cell r="P41" t="str">
            <v>EPARGNE</v>
          </cell>
          <cell r="Q41" t="str">
            <v>CE</v>
          </cell>
        </row>
        <row r="42">
          <cell r="O42" t="str">
            <v>EVIE</v>
          </cell>
          <cell r="P42" t="str">
            <v>EPARGNE</v>
          </cell>
          <cell r="Q42" t="str">
            <v>CE</v>
          </cell>
        </row>
        <row r="43">
          <cell r="O43" t="str">
            <v>EVIE</v>
          </cell>
          <cell r="P43" t="str">
            <v>EPARGNE</v>
          </cell>
          <cell r="Q43" t="str">
            <v>CE</v>
          </cell>
        </row>
        <row r="44">
          <cell r="O44" t="str">
            <v>EVIE</v>
          </cell>
          <cell r="P44" t="str">
            <v>EPARGNE</v>
          </cell>
          <cell r="Q44" t="str">
            <v>CE</v>
          </cell>
        </row>
        <row r="45">
          <cell r="O45" t="str">
            <v>ITV</v>
          </cell>
          <cell r="P45" t="str">
            <v>EPARGNE</v>
          </cell>
          <cell r="Q45" t="str">
            <v>TRESOR</v>
          </cell>
        </row>
        <row r="46">
          <cell r="O46" t="str">
            <v>ITV</v>
          </cell>
          <cell r="P46" t="str">
            <v>EPARGNE</v>
          </cell>
          <cell r="Q46" t="str">
            <v>TRESOR</v>
          </cell>
        </row>
        <row r="47">
          <cell r="O47" t="str">
            <v>ITV</v>
          </cell>
          <cell r="P47" t="str">
            <v>EPARGNE</v>
          </cell>
          <cell r="Q47" t="str">
            <v>TRESOR</v>
          </cell>
        </row>
        <row r="48">
          <cell r="O48" t="str">
            <v>ITV</v>
          </cell>
          <cell r="P48" t="str">
            <v>EPARGNE</v>
          </cell>
          <cell r="Q48" t="str">
            <v>TRESOR</v>
          </cell>
        </row>
        <row r="49">
          <cell r="O49" t="str">
            <v>ITV</v>
          </cell>
          <cell r="P49" t="str">
            <v>EPARGNE</v>
          </cell>
          <cell r="Q49" t="str">
            <v>TRESOR</v>
          </cell>
        </row>
        <row r="50">
          <cell r="O50" t="str">
            <v>ITV</v>
          </cell>
          <cell r="P50" t="str">
            <v>EPARGNE</v>
          </cell>
          <cell r="Q50" t="str">
            <v>TRESOR</v>
          </cell>
        </row>
        <row r="51">
          <cell r="O51" t="str">
            <v>ITV</v>
          </cell>
          <cell r="P51" t="str">
            <v>EPARGNE</v>
          </cell>
          <cell r="Q51" t="str">
            <v>TRESOR</v>
          </cell>
        </row>
        <row r="52">
          <cell r="O52" t="str">
            <v>PREVIPOSTE</v>
          </cell>
          <cell r="P52" t="str">
            <v>EPARGNE</v>
          </cell>
          <cell r="Q52" t="str">
            <v>POSTE</v>
          </cell>
        </row>
        <row r="53">
          <cell r="O53" t="str">
            <v>PREVIPOSTE</v>
          </cell>
          <cell r="P53" t="str">
            <v>EPARGNE</v>
          </cell>
          <cell r="Q53" t="str">
            <v>POSTE</v>
          </cell>
        </row>
        <row r="54">
          <cell r="O54" t="str">
            <v>PREVIPOSTE</v>
          </cell>
          <cell r="P54" t="str">
            <v>EPARGNE</v>
          </cell>
          <cell r="Q54" t="str">
            <v>POSTE</v>
          </cell>
        </row>
        <row r="55">
          <cell r="O55" t="str">
            <v>PREVIPOSTE</v>
          </cell>
          <cell r="P55" t="str">
            <v>EPARGNE</v>
          </cell>
          <cell r="Q55" t="str">
            <v>POSTE</v>
          </cell>
        </row>
        <row r="56">
          <cell r="O56" t="str">
            <v>PREVIPOSTE</v>
          </cell>
          <cell r="P56" t="str">
            <v>EPARGNE</v>
          </cell>
          <cell r="Q56" t="str">
            <v>POSTE</v>
          </cell>
        </row>
        <row r="57">
          <cell r="O57" t="str">
            <v>PREVIPOSTE</v>
          </cell>
          <cell r="P57" t="str">
            <v>EPARGNE</v>
          </cell>
          <cell r="Q57" t="str">
            <v>POSTE</v>
          </cell>
        </row>
        <row r="58">
          <cell r="O58" t="str">
            <v>PREVIPOSTE</v>
          </cell>
          <cell r="P58" t="str">
            <v>EPARGNE</v>
          </cell>
          <cell r="Q58" t="str">
            <v>POSTE</v>
          </cell>
        </row>
        <row r="59">
          <cell r="O59" t="str">
            <v>CNP</v>
          </cell>
          <cell r="P59" t="str">
            <v>ERC</v>
          </cell>
          <cell r="Q59" t="str">
            <v>AUTRE</v>
          </cell>
        </row>
        <row r="60">
          <cell r="O60" t="str">
            <v>CNP</v>
          </cell>
          <cell r="P60" t="str">
            <v>ERC</v>
          </cell>
          <cell r="Q60" t="str">
            <v>AUTRE</v>
          </cell>
        </row>
        <row r="61">
          <cell r="O61" t="str">
            <v>CNP</v>
          </cell>
          <cell r="P61" t="str">
            <v>ERC</v>
          </cell>
          <cell r="Q61" t="str">
            <v>AUTRE</v>
          </cell>
        </row>
        <row r="62">
          <cell r="O62" t="str">
            <v>CNP</v>
          </cell>
          <cell r="P62" t="str">
            <v>ERC</v>
          </cell>
          <cell r="Q62" t="str">
            <v>AUTRE</v>
          </cell>
        </row>
        <row r="63">
          <cell r="O63" t="str">
            <v>CNP</v>
          </cell>
          <cell r="P63" t="str">
            <v>ERC</v>
          </cell>
          <cell r="Q63" t="str">
            <v>AUTRE</v>
          </cell>
        </row>
        <row r="64">
          <cell r="O64" t="str">
            <v>CNP</v>
          </cell>
          <cell r="P64" t="str">
            <v>ERC</v>
          </cell>
          <cell r="Q64" t="str">
            <v>AUTRE</v>
          </cell>
        </row>
        <row r="65">
          <cell r="O65" t="str">
            <v>CNP</v>
          </cell>
          <cell r="P65" t="str">
            <v>ERC</v>
          </cell>
          <cell r="Q65" t="str">
            <v>AUTRE</v>
          </cell>
        </row>
        <row r="66">
          <cell r="O66" t="str">
            <v>EVIE</v>
          </cell>
          <cell r="P66" t="str">
            <v>PERP €</v>
          </cell>
          <cell r="Q66" t="str">
            <v>CE</v>
          </cell>
        </row>
        <row r="67">
          <cell r="O67" t="str">
            <v>EVIE</v>
          </cell>
          <cell r="P67" t="str">
            <v>PERP €</v>
          </cell>
          <cell r="Q67" t="str">
            <v>CE</v>
          </cell>
        </row>
        <row r="68">
          <cell r="O68" t="str">
            <v>EVIE</v>
          </cell>
          <cell r="P68" t="str">
            <v>PERP €</v>
          </cell>
          <cell r="Q68" t="str">
            <v>CE</v>
          </cell>
        </row>
        <row r="69">
          <cell r="O69" t="str">
            <v>EVIE</v>
          </cell>
          <cell r="P69" t="str">
            <v>PERP €</v>
          </cell>
          <cell r="Q69" t="str">
            <v>CE</v>
          </cell>
        </row>
        <row r="70">
          <cell r="O70" t="str">
            <v>EVIE</v>
          </cell>
          <cell r="P70" t="str">
            <v>PERP €</v>
          </cell>
          <cell r="Q70" t="str">
            <v>CE</v>
          </cell>
        </row>
        <row r="71">
          <cell r="O71" t="str">
            <v>EVIE</v>
          </cell>
          <cell r="P71" t="str">
            <v>PERP €</v>
          </cell>
          <cell r="Q71" t="str">
            <v>CE</v>
          </cell>
        </row>
        <row r="72">
          <cell r="O72" t="str">
            <v>EVIE</v>
          </cell>
          <cell r="P72" t="str">
            <v>PERP €</v>
          </cell>
          <cell r="Q72" t="str">
            <v>CE</v>
          </cell>
        </row>
        <row r="73">
          <cell r="O73" t="str">
            <v>EVIE</v>
          </cell>
          <cell r="P73" t="str">
            <v>PERP UC</v>
          </cell>
          <cell r="Q73" t="str">
            <v>CE</v>
          </cell>
        </row>
        <row r="74">
          <cell r="O74" t="str">
            <v>EVIE</v>
          </cell>
          <cell r="P74" t="str">
            <v>PERP UC</v>
          </cell>
          <cell r="Q74" t="str">
            <v>CE</v>
          </cell>
        </row>
        <row r="75">
          <cell r="O75" t="str">
            <v>EVIE</v>
          </cell>
          <cell r="P75" t="str">
            <v>PERP UC</v>
          </cell>
          <cell r="Q75" t="str">
            <v>CE</v>
          </cell>
        </row>
        <row r="76">
          <cell r="O76" t="str">
            <v>EVIE</v>
          </cell>
          <cell r="P76" t="str">
            <v>PERP UC</v>
          </cell>
          <cell r="Q76" t="str">
            <v>CE</v>
          </cell>
        </row>
        <row r="77">
          <cell r="O77" t="str">
            <v>EVIE</v>
          </cell>
          <cell r="P77" t="str">
            <v>PERP UC</v>
          </cell>
          <cell r="Q77" t="str">
            <v>CE</v>
          </cell>
        </row>
        <row r="78">
          <cell r="O78" t="str">
            <v>EVIE</v>
          </cell>
          <cell r="P78" t="str">
            <v>PERP UC</v>
          </cell>
          <cell r="Q78" t="str">
            <v>CE</v>
          </cell>
        </row>
        <row r="79">
          <cell r="O79" t="str">
            <v>EVIE</v>
          </cell>
          <cell r="P79" t="str">
            <v>PERP UC</v>
          </cell>
          <cell r="Q79" t="str">
            <v>CE</v>
          </cell>
        </row>
        <row r="80">
          <cell r="O80" t="str">
            <v>ASSURPOSTE</v>
          </cell>
          <cell r="P80" t="str">
            <v>PRETS</v>
          </cell>
          <cell r="Q80" t="str">
            <v>POSTE</v>
          </cell>
        </row>
        <row r="81">
          <cell r="O81" t="str">
            <v>ASSURPOSTE</v>
          </cell>
          <cell r="P81" t="str">
            <v>PRETS</v>
          </cell>
          <cell r="Q81" t="str">
            <v>POSTE</v>
          </cell>
        </row>
        <row r="82">
          <cell r="O82" t="str">
            <v>ASSURPOSTE</v>
          </cell>
          <cell r="P82" t="str">
            <v>PRETS</v>
          </cell>
          <cell r="Q82" t="str">
            <v>POSTE</v>
          </cell>
        </row>
        <row r="83">
          <cell r="O83" t="str">
            <v>ASSURPOSTE</v>
          </cell>
          <cell r="P83" t="str">
            <v>PRETS</v>
          </cell>
          <cell r="Q83" t="str">
            <v>POSTE</v>
          </cell>
        </row>
        <row r="84">
          <cell r="O84" t="str">
            <v>ASSURPOSTE</v>
          </cell>
          <cell r="P84" t="str">
            <v>PRETS</v>
          </cell>
          <cell r="Q84" t="str">
            <v>POSTE</v>
          </cell>
        </row>
        <row r="85">
          <cell r="O85" t="str">
            <v>ASSURPOSTE</v>
          </cell>
          <cell r="P85" t="str">
            <v>PRETS</v>
          </cell>
          <cell r="Q85" t="str">
            <v>POSTE</v>
          </cell>
        </row>
        <row r="86">
          <cell r="O86" t="str">
            <v>ASSURPOSTE</v>
          </cell>
          <cell r="P86" t="str">
            <v>PRETS</v>
          </cell>
          <cell r="Q86" t="str">
            <v>POSTE</v>
          </cell>
        </row>
        <row r="87">
          <cell r="O87" t="str">
            <v>CNP</v>
          </cell>
          <cell r="P87" t="str">
            <v>PRETS</v>
          </cell>
          <cell r="Q87" t="str">
            <v>POSTE</v>
          </cell>
        </row>
        <row r="88">
          <cell r="O88" t="str">
            <v>CNP</v>
          </cell>
          <cell r="P88" t="str">
            <v>PRETS</v>
          </cell>
          <cell r="Q88" t="str">
            <v>POSTE</v>
          </cell>
        </row>
        <row r="89">
          <cell r="O89" t="str">
            <v>CNP</v>
          </cell>
          <cell r="P89" t="str">
            <v>PRETS</v>
          </cell>
          <cell r="Q89" t="str">
            <v>POSTE</v>
          </cell>
        </row>
        <row r="90">
          <cell r="O90" t="str">
            <v>CNP</v>
          </cell>
          <cell r="P90" t="str">
            <v>PRETS</v>
          </cell>
          <cell r="Q90" t="str">
            <v>POSTE</v>
          </cell>
        </row>
        <row r="91">
          <cell r="O91" t="str">
            <v>CNP</v>
          </cell>
          <cell r="P91" t="str">
            <v>PRETS</v>
          </cell>
          <cell r="Q91" t="str">
            <v>POSTE</v>
          </cell>
        </row>
        <row r="92">
          <cell r="O92" t="str">
            <v>CNP</v>
          </cell>
          <cell r="P92" t="str">
            <v>PRETS</v>
          </cell>
          <cell r="Q92" t="str">
            <v>POSTE</v>
          </cell>
        </row>
        <row r="93">
          <cell r="O93" t="str">
            <v>CNP</v>
          </cell>
          <cell r="P93" t="str">
            <v>PRETS</v>
          </cell>
          <cell r="Q93" t="str">
            <v>POSTE</v>
          </cell>
        </row>
        <row r="94">
          <cell r="O94" t="str">
            <v>CNP</v>
          </cell>
          <cell r="P94" t="str">
            <v>PRETS</v>
          </cell>
          <cell r="Q94" t="str">
            <v>CE</v>
          </cell>
        </row>
        <row r="95">
          <cell r="O95" t="str">
            <v>CNP</v>
          </cell>
          <cell r="P95" t="str">
            <v>PRETS</v>
          </cell>
          <cell r="Q95" t="str">
            <v>CE</v>
          </cell>
        </row>
        <row r="96">
          <cell r="O96" t="str">
            <v>CNP</v>
          </cell>
          <cell r="P96" t="str">
            <v>PRETS</v>
          </cell>
          <cell r="Q96" t="str">
            <v>CE</v>
          </cell>
        </row>
        <row r="97">
          <cell r="O97" t="str">
            <v>CNP</v>
          </cell>
          <cell r="P97" t="str">
            <v>PRETS</v>
          </cell>
          <cell r="Q97" t="str">
            <v>CE</v>
          </cell>
        </row>
        <row r="98">
          <cell r="O98" t="str">
            <v>CNP</v>
          </cell>
          <cell r="P98" t="str">
            <v>PRETS</v>
          </cell>
          <cell r="Q98" t="str">
            <v>CE</v>
          </cell>
        </row>
        <row r="99">
          <cell r="O99" t="str">
            <v>CNP</v>
          </cell>
          <cell r="P99" t="str">
            <v>PRETS</v>
          </cell>
          <cell r="Q99" t="str">
            <v>CE</v>
          </cell>
        </row>
        <row r="100">
          <cell r="O100" t="str">
            <v>CNP</v>
          </cell>
          <cell r="P100" t="str">
            <v>PRETS</v>
          </cell>
          <cell r="Q100" t="str">
            <v>CE</v>
          </cell>
        </row>
        <row r="101">
          <cell r="O101" t="str">
            <v>CNP</v>
          </cell>
          <cell r="P101" t="str">
            <v>PRETS</v>
          </cell>
          <cell r="Q101" t="str">
            <v>AUTRE</v>
          </cell>
        </row>
        <row r="102">
          <cell r="O102" t="str">
            <v>CNP</v>
          </cell>
          <cell r="P102" t="str">
            <v>PRETS</v>
          </cell>
          <cell r="Q102" t="str">
            <v>AUTRE</v>
          </cell>
        </row>
        <row r="103">
          <cell r="O103" t="str">
            <v>CNP</v>
          </cell>
          <cell r="P103" t="str">
            <v>PRETS</v>
          </cell>
          <cell r="Q103" t="str">
            <v>AUTRE</v>
          </cell>
        </row>
        <row r="104">
          <cell r="O104" t="str">
            <v>CNP</v>
          </cell>
          <cell r="P104" t="str">
            <v>PRETS</v>
          </cell>
          <cell r="Q104" t="str">
            <v>AUTRE</v>
          </cell>
        </row>
        <row r="105">
          <cell r="O105" t="str">
            <v>CNP</v>
          </cell>
          <cell r="P105" t="str">
            <v>PRETS</v>
          </cell>
          <cell r="Q105" t="str">
            <v>AUTRE</v>
          </cell>
        </row>
        <row r="106">
          <cell r="O106" t="str">
            <v>CNP</v>
          </cell>
          <cell r="P106" t="str">
            <v>PRETS</v>
          </cell>
          <cell r="Q106" t="str">
            <v>AUTRE</v>
          </cell>
        </row>
        <row r="107">
          <cell r="O107" t="str">
            <v>CNP</v>
          </cell>
          <cell r="P107" t="str">
            <v>PRETS</v>
          </cell>
          <cell r="Q107" t="str">
            <v>AUTRE</v>
          </cell>
        </row>
        <row r="108">
          <cell r="O108" t="str">
            <v>CNP</v>
          </cell>
          <cell r="P108" t="str">
            <v>PRETS</v>
          </cell>
          <cell r="Q108" t="str">
            <v>CA</v>
          </cell>
        </row>
        <row r="109">
          <cell r="O109" t="str">
            <v>CNP</v>
          </cell>
          <cell r="P109" t="str">
            <v>PRETS</v>
          </cell>
          <cell r="Q109" t="str">
            <v>CA</v>
          </cell>
        </row>
        <row r="110">
          <cell r="O110" t="str">
            <v>CNP</v>
          </cell>
          <cell r="P110" t="str">
            <v>PRETS</v>
          </cell>
          <cell r="Q110" t="str">
            <v>CA</v>
          </cell>
        </row>
        <row r="111">
          <cell r="O111" t="str">
            <v>CNP</v>
          </cell>
          <cell r="P111" t="str">
            <v>PRETS</v>
          </cell>
          <cell r="Q111" t="str">
            <v>CA</v>
          </cell>
        </row>
        <row r="112">
          <cell r="O112" t="str">
            <v>CNP</v>
          </cell>
          <cell r="P112" t="str">
            <v>PRETS</v>
          </cell>
          <cell r="Q112" t="str">
            <v>CA</v>
          </cell>
        </row>
        <row r="113">
          <cell r="O113" t="str">
            <v>CNP</v>
          </cell>
          <cell r="P113" t="str">
            <v>PRETS</v>
          </cell>
          <cell r="Q113" t="str">
            <v>CA</v>
          </cell>
        </row>
        <row r="114">
          <cell r="O114" t="str">
            <v>CNP</v>
          </cell>
          <cell r="P114" t="str">
            <v>PRETS</v>
          </cell>
          <cell r="Q114" t="str">
            <v>CA</v>
          </cell>
        </row>
        <row r="115">
          <cell r="O115" t="str">
            <v>CNP</v>
          </cell>
          <cell r="P115" t="str">
            <v>PREVCOLL</v>
          </cell>
          <cell r="Q115" t="str">
            <v>MUTUELLE</v>
          </cell>
        </row>
        <row r="116">
          <cell r="O116" t="str">
            <v>CNP</v>
          </cell>
          <cell r="P116" t="str">
            <v>PREVCOLL</v>
          </cell>
          <cell r="Q116" t="str">
            <v>MUTUELLE</v>
          </cell>
        </row>
        <row r="117">
          <cell r="O117" t="str">
            <v>CNP</v>
          </cell>
          <cell r="P117" t="str">
            <v>PREVCOLL</v>
          </cell>
          <cell r="Q117" t="str">
            <v>MUTUELLE</v>
          </cell>
        </row>
        <row r="118">
          <cell r="O118" t="str">
            <v>CNP</v>
          </cell>
          <cell r="P118" t="str">
            <v>PREVCOLL</v>
          </cell>
          <cell r="Q118" t="str">
            <v>MUTUELLE</v>
          </cell>
        </row>
        <row r="119">
          <cell r="O119" t="str">
            <v>CNP</v>
          </cell>
          <cell r="P119" t="str">
            <v>PREVCOLL</v>
          </cell>
          <cell r="Q119" t="str">
            <v>MUTUELLE</v>
          </cell>
        </row>
        <row r="120">
          <cell r="O120" t="str">
            <v>CNP</v>
          </cell>
          <cell r="P120" t="str">
            <v>PREVCOLL</v>
          </cell>
          <cell r="Q120" t="str">
            <v>MUTUELLE</v>
          </cell>
        </row>
        <row r="121">
          <cell r="O121" t="str">
            <v>CNP</v>
          </cell>
          <cell r="P121" t="str">
            <v>PREVCOLL</v>
          </cell>
          <cell r="Q121" t="str">
            <v>MUTUELLE</v>
          </cell>
        </row>
        <row r="122">
          <cell r="O122" t="str">
            <v>CNP</v>
          </cell>
          <cell r="P122" t="str">
            <v>PREVCOLL</v>
          </cell>
          <cell r="Q122" t="str">
            <v>ENTREPRISE</v>
          </cell>
        </row>
        <row r="123">
          <cell r="O123" t="str">
            <v>CNP</v>
          </cell>
          <cell r="P123" t="str">
            <v>PREVCOLL</v>
          </cell>
          <cell r="Q123" t="str">
            <v>ENTREPRISE</v>
          </cell>
        </row>
        <row r="124">
          <cell r="O124" t="str">
            <v>CNP</v>
          </cell>
          <cell r="P124" t="str">
            <v>PREVCOLL</v>
          </cell>
          <cell r="Q124" t="str">
            <v>ENTREPRISE</v>
          </cell>
        </row>
        <row r="125">
          <cell r="O125" t="str">
            <v>CNP</v>
          </cell>
          <cell r="P125" t="str">
            <v>PREVCOLL</v>
          </cell>
          <cell r="Q125" t="str">
            <v>ENTREPRISE</v>
          </cell>
        </row>
        <row r="126">
          <cell r="O126" t="str">
            <v>CNP</v>
          </cell>
          <cell r="P126" t="str">
            <v>PREVCOLL</v>
          </cell>
          <cell r="Q126" t="str">
            <v>ENTREPRISE</v>
          </cell>
        </row>
        <row r="127">
          <cell r="O127" t="str">
            <v>CNP</v>
          </cell>
          <cell r="P127" t="str">
            <v>PREVCOLL</v>
          </cell>
          <cell r="Q127" t="str">
            <v>ENTREPRISE</v>
          </cell>
        </row>
        <row r="128">
          <cell r="O128" t="str">
            <v>CNP</v>
          </cell>
          <cell r="P128" t="str">
            <v>PREVCOLL</v>
          </cell>
          <cell r="Q128" t="str">
            <v>ENTREPRISE</v>
          </cell>
        </row>
        <row r="129">
          <cell r="O129" t="str">
            <v>ASSURPOSTE</v>
          </cell>
          <cell r="P129" t="str">
            <v>PREVOYANCE</v>
          </cell>
          <cell r="Q129" t="str">
            <v>POSTE</v>
          </cell>
        </row>
        <row r="130">
          <cell r="O130" t="str">
            <v>ASSURPOSTE</v>
          </cell>
          <cell r="P130" t="str">
            <v>PREVOYANCE</v>
          </cell>
          <cell r="Q130" t="str">
            <v>POSTE</v>
          </cell>
        </row>
        <row r="131">
          <cell r="O131" t="str">
            <v>ASSURPOSTE</v>
          </cell>
          <cell r="P131" t="str">
            <v>PREVOYANCE</v>
          </cell>
          <cell r="Q131" t="str">
            <v>POSTE</v>
          </cell>
        </row>
        <row r="132">
          <cell r="O132" t="str">
            <v>ASSURPOSTE</v>
          </cell>
          <cell r="P132" t="str">
            <v>PREVOYANCE</v>
          </cell>
          <cell r="Q132" t="str">
            <v>POSTE</v>
          </cell>
        </row>
        <row r="133">
          <cell r="O133" t="str">
            <v>ASSURPOSTE</v>
          </cell>
          <cell r="P133" t="str">
            <v>PREVOYANCE</v>
          </cell>
          <cell r="Q133" t="str">
            <v>POSTE</v>
          </cell>
        </row>
        <row r="134">
          <cell r="O134" t="str">
            <v>ASSURPOSTE</v>
          </cell>
          <cell r="P134" t="str">
            <v>PREVOYANCE</v>
          </cell>
          <cell r="Q134" t="str">
            <v>POSTE</v>
          </cell>
        </row>
        <row r="135">
          <cell r="O135" t="str">
            <v>ASSURPOSTE</v>
          </cell>
          <cell r="P135" t="str">
            <v>PREVOYANCE</v>
          </cell>
          <cell r="Q135" t="str">
            <v>POSTE</v>
          </cell>
        </row>
        <row r="136">
          <cell r="O136" t="str">
            <v>CNP</v>
          </cell>
          <cell r="P136" t="str">
            <v>PREVOYANCE</v>
          </cell>
          <cell r="Q136" t="str">
            <v>POSTE</v>
          </cell>
        </row>
        <row r="137">
          <cell r="O137" t="str">
            <v>CNP</v>
          </cell>
          <cell r="P137" t="str">
            <v>PREVOYANCE</v>
          </cell>
          <cell r="Q137" t="str">
            <v>POSTE</v>
          </cell>
        </row>
        <row r="138">
          <cell r="O138" t="str">
            <v>CNP</v>
          </cell>
          <cell r="P138" t="str">
            <v>PREVOYANCE</v>
          </cell>
          <cell r="Q138" t="str">
            <v>POSTE</v>
          </cell>
        </row>
        <row r="139">
          <cell r="O139" t="str">
            <v>CNP</v>
          </cell>
          <cell r="P139" t="str">
            <v>PREVOYANCE</v>
          </cell>
          <cell r="Q139" t="str">
            <v>POSTE</v>
          </cell>
        </row>
        <row r="140">
          <cell r="O140" t="str">
            <v>CNP</v>
          </cell>
          <cell r="P140" t="str">
            <v>PREVOYANCE</v>
          </cell>
          <cell r="Q140" t="str">
            <v>POSTE</v>
          </cell>
        </row>
        <row r="141">
          <cell r="O141" t="str">
            <v>CNP</v>
          </cell>
          <cell r="P141" t="str">
            <v>PREVOYANCE</v>
          </cell>
          <cell r="Q141" t="str">
            <v>POSTE</v>
          </cell>
        </row>
        <row r="142">
          <cell r="O142" t="str">
            <v>CNP</v>
          </cell>
          <cell r="P142" t="str">
            <v>PREVOYANCE</v>
          </cell>
          <cell r="Q142" t="str">
            <v>POSTE</v>
          </cell>
        </row>
        <row r="143">
          <cell r="O143" t="str">
            <v>CNP</v>
          </cell>
          <cell r="P143" t="str">
            <v>PREVOYANCE</v>
          </cell>
          <cell r="Q143" t="str">
            <v>TRESOR</v>
          </cell>
        </row>
        <row r="144">
          <cell r="O144" t="str">
            <v>CNP</v>
          </cell>
          <cell r="P144" t="str">
            <v>PREVOYANCE</v>
          </cell>
          <cell r="Q144" t="str">
            <v>TRESOR</v>
          </cell>
        </row>
        <row r="145">
          <cell r="O145" t="str">
            <v>CNP</v>
          </cell>
          <cell r="P145" t="str">
            <v>PREVOYANCE</v>
          </cell>
          <cell r="Q145" t="str">
            <v>TRESOR</v>
          </cell>
        </row>
        <row r="146">
          <cell r="O146" t="str">
            <v>CNP</v>
          </cell>
          <cell r="P146" t="str">
            <v>PREVOYANCE</v>
          </cell>
          <cell r="Q146" t="str">
            <v>TRESOR</v>
          </cell>
        </row>
        <row r="147">
          <cell r="O147" t="str">
            <v>CNP</v>
          </cell>
          <cell r="P147" t="str">
            <v>PREVOYANCE</v>
          </cell>
          <cell r="Q147" t="str">
            <v>TRESOR</v>
          </cell>
        </row>
        <row r="148">
          <cell r="O148" t="str">
            <v>CNP</v>
          </cell>
          <cell r="P148" t="str">
            <v>PREVOYANCE</v>
          </cell>
          <cell r="Q148" t="str">
            <v>TRESOR</v>
          </cell>
        </row>
        <row r="149">
          <cell r="O149" t="str">
            <v>CNP</v>
          </cell>
          <cell r="P149" t="str">
            <v>PREVOYANCE</v>
          </cell>
          <cell r="Q149" t="str">
            <v>TRESOR</v>
          </cell>
        </row>
        <row r="150">
          <cell r="O150" t="str">
            <v>CNP</v>
          </cell>
          <cell r="P150" t="str">
            <v>PREVOYANCE</v>
          </cell>
          <cell r="Q150" t="str">
            <v>CE</v>
          </cell>
        </row>
        <row r="151">
          <cell r="O151" t="str">
            <v>CNP</v>
          </cell>
          <cell r="P151" t="str">
            <v>PREVOYANCE</v>
          </cell>
          <cell r="Q151" t="str">
            <v>CE</v>
          </cell>
        </row>
        <row r="152">
          <cell r="O152" t="str">
            <v>CNP</v>
          </cell>
          <cell r="P152" t="str">
            <v>PREVOYANCE</v>
          </cell>
          <cell r="Q152" t="str">
            <v>CE</v>
          </cell>
        </row>
        <row r="153">
          <cell r="O153" t="str">
            <v>CNP</v>
          </cell>
          <cell r="P153" t="str">
            <v>PREVOYANCE</v>
          </cell>
          <cell r="Q153" t="str">
            <v>CE</v>
          </cell>
        </row>
        <row r="154">
          <cell r="O154" t="str">
            <v>CNP</v>
          </cell>
          <cell r="P154" t="str">
            <v>PREVOYANCE</v>
          </cell>
          <cell r="Q154" t="str">
            <v>CE</v>
          </cell>
        </row>
        <row r="155">
          <cell r="O155" t="str">
            <v>CNP</v>
          </cell>
          <cell r="P155" t="str">
            <v>PREVOYANCE</v>
          </cell>
          <cell r="Q155" t="str">
            <v>CE</v>
          </cell>
        </row>
        <row r="156">
          <cell r="O156" t="str">
            <v>CNP</v>
          </cell>
          <cell r="P156" t="str">
            <v>PREVOYANCE</v>
          </cell>
          <cell r="Q156" t="str">
            <v>CE</v>
          </cell>
        </row>
        <row r="157">
          <cell r="O157" t="str">
            <v>EVIE</v>
          </cell>
          <cell r="P157" t="str">
            <v>PREVOYANCE</v>
          </cell>
          <cell r="Q157" t="str">
            <v>CE</v>
          </cell>
        </row>
        <row r="158">
          <cell r="O158" t="str">
            <v>EVIE</v>
          </cell>
          <cell r="P158" t="str">
            <v>PREVOYANCE</v>
          </cell>
          <cell r="Q158" t="str">
            <v>CE</v>
          </cell>
        </row>
        <row r="159">
          <cell r="O159" t="str">
            <v>EVIE</v>
          </cell>
          <cell r="P159" t="str">
            <v>PREVOYANCE</v>
          </cell>
          <cell r="Q159" t="str">
            <v>CE</v>
          </cell>
        </row>
        <row r="160">
          <cell r="O160" t="str">
            <v>EVIE</v>
          </cell>
          <cell r="P160" t="str">
            <v>PREVOYANCE</v>
          </cell>
          <cell r="Q160" t="str">
            <v>CE</v>
          </cell>
        </row>
        <row r="161">
          <cell r="O161" t="str">
            <v>EVIE</v>
          </cell>
          <cell r="P161" t="str">
            <v>PREVOYANCE</v>
          </cell>
          <cell r="Q161" t="str">
            <v>CE</v>
          </cell>
        </row>
        <row r="162">
          <cell r="O162" t="str">
            <v>EVIE</v>
          </cell>
          <cell r="P162" t="str">
            <v>PREVOYANCE</v>
          </cell>
          <cell r="Q162" t="str">
            <v>CE</v>
          </cell>
        </row>
        <row r="163">
          <cell r="O163" t="str">
            <v>EVIE</v>
          </cell>
          <cell r="P163" t="str">
            <v>PREVOYANCE</v>
          </cell>
          <cell r="Q163" t="str">
            <v>CE</v>
          </cell>
        </row>
        <row r="164">
          <cell r="O164" t="str">
            <v>CNP</v>
          </cell>
          <cell r="P164" t="str">
            <v>RENTES</v>
          </cell>
          <cell r="Q164" t="str">
            <v>AUTRE</v>
          </cell>
        </row>
        <row r="165">
          <cell r="O165" t="str">
            <v>CNP</v>
          </cell>
          <cell r="P165" t="str">
            <v>RENTES</v>
          </cell>
          <cell r="Q165" t="str">
            <v>AUTRE</v>
          </cell>
        </row>
        <row r="166">
          <cell r="O166" t="str">
            <v>CNP</v>
          </cell>
          <cell r="P166" t="str">
            <v>RENTES</v>
          </cell>
          <cell r="Q166" t="str">
            <v>AUTRE</v>
          </cell>
        </row>
        <row r="167">
          <cell r="O167" t="str">
            <v>CNP</v>
          </cell>
          <cell r="P167" t="str">
            <v>RENTES</v>
          </cell>
          <cell r="Q167" t="str">
            <v>AUTRE</v>
          </cell>
        </row>
        <row r="168">
          <cell r="O168" t="str">
            <v>CNP</v>
          </cell>
          <cell r="P168" t="str">
            <v>RENTES</v>
          </cell>
          <cell r="Q168" t="str">
            <v>AUTRE</v>
          </cell>
        </row>
        <row r="169">
          <cell r="O169" t="str">
            <v>CNP</v>
          </cell>
          <cell r="P169" t="str">
            <v>RENTES</v>
          </cell>
          <cell r="Q169" t="str">
            <v>AUTRE</v>
          </cell>
        </row>
        <row r="170">
          <cell r="O170" t="str">
            <v>CNP</v>
          </cell>
          <cell r="P170" t="str">
            <v>RENTES</v>
          </cell>
          <cell r="Q170" t="str">
            <v>AUTRE</v>
          </cell>
        </row>
        <row r="171">
          <cell r="O171" t="str">
            <v>EVIE</v>
          </cell>
          <cell r="P171" t="str">
            <v>RENTES</v>
          </cell>
          <cell r="Q171" t="str">
            <v>CE</v>
          </cell>
        </row>
        <row r="172">
          <cell r="O172" t="str">
            <v>EVIE</v>
          </cell>
          <cell r="P172" t="str">
            <v>RENTES</v>
          </cell>
          <cell r="Q172" t="str">
            <v>CE</v>
          </cell>
        </row>
        <row r="173">
          <cell r="O173" t="str">
            <v>EVIE</v>
          </cell>
          <cell r="P173" t="str">
            <v>RENTES</v>
          </cell>
          <cell r="Q173" t="str">
            <v>CE</v>
          </cell>
        </row>
        <row r="174">
          <cell r="O174" t="str">
            <v>EVIE</v>
          </cell>
          <cell r="P174" t="str">
            <v>RENTES</v>
          </cell>
          <cell r="Q174" t="str">
            <v>CE</v>
          </cell>
        </row>
        <row r="175">
          <cell r="O175" t="str">
            <v>EVIE</v>
          </cell>
          <cell r="P175" t="str">
            <v>RENTES</v>
          </cell>
          <cell r="Q175" t="str">
            <v>CE</v>
          </cell>
        </row>
        <row r="176">
          <cell r="O176" t="str">
            <v>EVIE</v>
          </cell>
          <cell r="P176" t="str">
            <v>RENTES</v>
          </cell>
          <cell r="Q176" t="str">
            <v>CE</v>
          </cell>
        </row>
        <row r="177">
          <cell r="O177" t="str">
            <v>EVIE</v>
          </cell>
          <cell r="P177" t="str">
            <v>RENTES</v>
          </cell>
          <cell r="Q177" t="str">
            <v>CE</v>
          </cell>
        </row>
        <row r="178">
          <cell r="O178" t="str">
            <v>CNP</v>
          </cell>
          <cell r="P178" t="str">
            <v>UC</v>
          </cell>
          <cell r="Q178" t="str">
            <v>POSTE</v>
          </cell>
        </row>
        <row r="179">
          <cell r="O179" t="str">
            <v>CNP</v>
          </cell>
          <cell r="P179" t="str">
            <v>UC</v>
          </cell>
          <cell r="Q179" t="str">
            <v>POSTE</v>
          </cell>
        </row>
        <row r="180">
          <cell r="O180" t="str">
            <v>CNP</v>
          </cell>
          <cell r="P180" t="str">
            <v>UC</v>
          </cell>
          <cell r="Q180" t="str">
            <v>POSTE</v>
          </cell>
        </row>
        <row r="181">
          <cell r="O181" t="str">
            <v>CNP</v>
          </cell>
          <cell r="P181" t="str">
            <v>UC</v>
          </cell>
          <cell r="Q181" t="str">
            <v>POSTE</v>
          </cell>
        </row>
        <row r="182">
          <cell r="O182" t="str">
            <v>CNP</v>
          </cell>
          <cell r="P182" t="str">
            <v>UC</v>
          </cell>
          <cell r="Q182" t="str">
            <v>POSTE</v>
          </cell>
        </row>
        <row r="183">
          <cell r="O183" t="str">
            <v>CNP</v>
          </cell>
          <cell r="P183" t="str">
            <v>UC</v>
          </cell>
          <cell r="Q183" t="str">
            <v>POSTE</v>
          </cell>
        </row>
        <row r="184">
          <cell r="O184" t="str">
            <v>CNP</v>
          </cell>
          <cell r="P184" t="str">
            <v>UC</v>
          </cell>
          <cell r="Q184" t="str">
            <v>POSTE</v>
          </cell>
        </row>
        <row r="185">
          <cell r="O185" t="str">
            <v>CNP</v>
          </cell>
          <cell r="P185" t="str">
            <v>UC</v>
          </cell>
          <cell r="Q185" t="str">
            <v>TRESOR</v>
          </cell>
        </row>
        <row r="186">
          <cell r="O186" t="str">
            <v>CNP</v>
          </cell>
          <cell r="P186" t="str">
            <v>UC</v>
          </cell>
          <cell r="Q186" t="str">
            <v>TRESOR</v>
          </cell>
        </row>
        <row r="187">
          <cell r="O187" t="str">
            <v>CNP</v>
          </cell>
          <cell r="P187" t="str">
            <v>UC</v>
          </cell>
          <cell r="Q187" t="str">
            <v>TRESOR</v>
          </cell>
        </row>
        <row r="188">
          <cell r="O188" t="str">
            <v>CNP</v>
          </cell>
          <cell r="P188" t="str">
            <v>UC</v>
          </cell>
          <cell r="Q188" t="str">
            <v>TRESOR</v>
          </cell>
        </row>
        <row r="189">
          <cell r="O189" t="str">
            <v>CNP</v>
          </cell>
          <cell r="P189" t="str">
            <v>UC</v>
          </cell>
          <cell r="Q189" t="str">
            <v>TRESOR</v>
          </cell>
        </row>
        <row r="190">
          <cell r="O190" t="str">
            <v>CNP</v>
          </cell>
          <cell r="P190" t="str">
            <v>UC</v>
          </cell>
          <cell r="Q190" t="str">
            <v>TRESOR</v>
          </cell>
        </row>
        <row r="191">
          <cell r="O191" t="str">
            <v>CNP</v>
          </cell>
          <cell r="P191" t="str">
            <v>UC</v>
          </cell>
          <cell r="Q191" t="str">
            <v>TRESOR</v>
          </cell>
        </row>
        <row r="192">
          <cell r="O192" t="str">
            <v>EVIE</v>
          </cell>
          <cell r="P192" t="str">
            <v>UC</v>
          </cell>
          <cell r="Q192" t="str">
            <v>CE</v>
          </cell>
        </row>
        <row r="193">
          <cell r="O193" t="str">
            <v>EVIE</v>
          </cell>
          <cell r="P193" t="str">
            <v>UC</v>
          </cell>
          <cell r="Q193" t="str">
            <v>CE</v>
          </cell>
        </row>
        <row r="194">
          <cell r="O194" t="str">
            <v>EVIE</v>
          </cell>
          <cell r="P194" t="str">
            <v>UC</v>
          </cell>
          <cell r="Q194" t="str">
            <v>CE</v>
          </cell>
        </row>
        <row r="195">
          <cell r="O195" t="str">
            <v>EVIE</v>
          </cell>
          <cell r="P195" t="str">
            <v>UC</v>
          </cell>
          <cell r="Q195" t="str">
            <v>CE</v>
          </cell>
        </row>
        <row r="196">
          <cell r="O196" t="str">
            <v>EVIE</v>
          </cell>
          <cell r="P196" t="str">
            <v>UC</v>
          </cell>
          <cell r="Q196" t="str">
            <v>CE</v>
          </cell>
        </row>
        <row r="197">
          <cell r="O197" t="str">
            <v>EVIE</v>
          </cell>
          <cell r="P197" t="str">
            <v>UC</v>
          </cell>
          <cell r="Q197" t="str">
            <v>CE</v>
          </cell>
        </row>
        <row r="198">
          <cell r="O198" t="str">
            <v>EVIE</v>
          </cell>
          <cell r="P198" t="str">
            <v>UC</v>
          </cell>
          <cell r="Q198" t="str">
            <v>CE</v>
          </cell>
        </row>
      </sheetData>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row r="1">
          <cell r="BG1" t="str">
            <v>SociétéFamilleRéseauNatureVariable</v>
          </cell>
        </row>
        <row r="2">
          <cell r="BG2" t="str">
            <v>CNPUCPOSTEN1Chargements sur flux</v>
          </cell>
        </row>
        <row r="3">
          <cell r="BG3" t="str">
            <v>CNPUCPOSTEN1Commissions sur flux</v>
          </cell>
        </row>
        <row r="4">
          <cell r="BG4" t="str">
            <v>CNPUCPOSTEN1Total Chargements hors flux</v>
          </cell>
        </row>
        <row r="5">
          <cell r="BG5" t="str">
            <v>CNPUCPOSTEN1Total Commissions hors flux</v>
          </cell>
        </row>
        <row r="6">
          <cell r="BG6" t="str">
            <v>CNPUCPOSTEN1Marge Technique et/ou Financière</v>
          </cell>
        </row>
        <row r="7">
          <cell r="BG7" t="str">
            <v>CNPUCPOSTEN1Frais de gestion</v>
          </cell>
        </row>
        <row r="8">
          <cell r="BG8" t="str">
            <v>CNPUCPOSTEN1Frais d'acquisition</v>
          </cell>
        </row>
        <row r="9">
          <cell r="BG9" t="str">
            <v>CNPUCPOSTEN1Facturation</v>
          </cell>
        </row>
        <row r="10">
          <cell r="BG10" t="str">
            <v>CNPUCPOSTEN1Organic sur CA</v>
          </cell>
        </row>
        <row r="11">
          <cell r="BG11" t="str">
            <v>CNPUCPOSTEN1Commissions complémentaires</v>
          </cell>
        </row>
        <row r="12">
          <cell r="BG12" t="str">
            <v>CNPUCPOSTEN1Rétrocessions</v>
          </cell>
        </row>
        <row r="13">
          <cell r="BG13" t="str">
            <v>CNPUCPOSTEN1(A) avant AF sur PM</v>
          </cell>
        </row>
        <row r="14">
          <cell r="BG14" t="str">
            <v>CNPUCPOSTEN1Encours moyen du passif</v>
          </cell>
        </row>
        <row r="15">
          <cell r="BG15" t="str">
            <v>CNPUCPOSTEN1PM début</v>
          </cell>
        </row>
        <row r="16">
          <cell r="BG16" t="str">
            <v>CNPUCPOSTEN1Marge de solvabilité début</v>
          </cell>
        </row>
        <row r="17">
          <cell r="BG17" t="str">
            <v>CNPUCPOSTEN1CA + Virement - Transfert</v>
          </cell>
        </row>
        <row r="18">
          <cell r="BG18" t="str">
            <v>CNPUCPOSTEN1Nbre de contrats début</v>
          </cell>
        </row>
        <row r="19">
          <cell r="BG19" t="str">
            <v>CNPUCPOSTEN1Frais alloués de gestion</v>
          </cell>
        </row>
        <row r="20">
          <cell r="BG20" t="str">
            <v>CNPUCPOSTEN1Frais alloués d'acquisition</v>
          </cell>
        </row>
        <row r="21">
          <cell r="BG21" t="str">
            <v>CNPUCPOSTEN1Avoirs Fiscaux sur PM</v>
          </cell>
        </row>
        <row r="22">
          <cell r="BG22" t="str">
            <v>CNPUCPOSTEN1(A) après IS</v>
          </cell>
        </row>
        <row r="23">
          <cell r="BG23" t="str">
            <v>CNPUCPOSTEN1(B) après IS</v>
          </cell>
        </row>
        <row r="24">
          <cell r="BG24" t="str">
            <v>CNPUCPOSTEN1(C) après IS</v>
          </cell>
        </row>
        <row r="25">
          <cell r="BG25" t="str">
            <v>CNPUCPOSTEN1X1</v>
          </cell>
        </row>
        <row r="26">
          <cell r="BG26" t="str">
            <v>CNPUCPOSTEstockChargements sur flux</v>
          </cell>
        </row>
        <row r="27">
          <cell r="BG27" t="str">
            <v>CNPUCPOSTEstockCommissions sur flux</v>
          </cell>
        </row>
        <row r="28">
          <cell r="BG28" t="str">
            <v>CNPUCPOSTEstockTotal Chargements hors flux</v>
          </cell>
        </row>
        <row r="29">
          <cell r="BG29" t="str">
            <v>CNPUCPOSTEstockTotal Commissions hors flux</v>
          </cell>
        </row>
        <row r="30">
          <cell r="BG30" t="str">
            <v>CNPUCPOSTEstockMarge Technique et/ou Financière</v>
          </cell>
        </row>
        <row r="31">
          <cell r="BG31" t="str">
            <v>CNPUCPOSTEstockFrais de gestion</v>
          </cell>
        </row>
        <row r="32">
          <cell r="BG32" t="str">
            <v>CNPUCPOSTEstockFrais d'acquisition</v>
          </cell>
        </row>
        <row r="33">
          <cell r="BG33" t="str">
            <v>CNPUCPOSTEstockFacturation</v>
          </cell>
        </row>
        <row r="34">
          <cell r="BG34" t="str">
            <v>CNPUCPOSTEstockOrganic sur CA</v>
          </cell>
        </row>
        <row r="35">
          <cell r="BG35" t="str">
            <v>CNPUCPOSTEstockCommissions complémentaires</v>
          </cell>
        </row>
        <row r="36">
          <cell r="BG36" t="str">
            <v>CNPUCPOSTEstockRétrocessions</v>
          </cell>
        </row>
        <row r="37">
          <cell r="BG37" t="str">
            <v>CNPUCPOSTEstock(A) avant AF sur PM</v>
          </cell>
        </row>
        <row r="38">
          <cell r="BG38" t="str">
            <v>CNPUCPOSTEstockEncours moyen du passif</v>
          </cell>
        </row>
        <row r="39">
          <cell r="BG39" t="str">
            <v>CNPUCPOSTEstockPM début</v>
          </cell>
        </row>
        <row r="40">
          <cell r="BG40" t="str">
            <v>CNPUCPOSTEstockMarge de solvabilité début</v>
          </cell>
        </row>
        <row r="41">
          <cell r="BG41" t="str">
            <v>CNPUCPOSTEstockCA + Virement - Transfert</v>
          </cell>
        </row>
        <row r="42">
          <cell r="BG42" t="str">
            <v>CNPUCPOSTEstockNbre de contrats début</v>
          </cell>
        </row>
        <row r="43">
          <cell r="BG43" t="str">
            <v>CNPUCPOSTEstockFrais alloués de gestion</v>
          </cell>
        </row>
        <row r="44">
          <cell r="BG44" t="str">
            <v>CNPUCPOSTEstockFrais alloués d'acquisition</v>
          </cell>
        </row>
        <row r="45">
          <cell r="BG45" t="str">
            <v>CNPUCPOSTEstockAvoirs Fiscaux sur PM</v>
          </cell>
        </row>
        <row r="46">
          <cell r="BG46" t="str">
            <v>CNPUCPOSTEstock(A) après IS</v>
          </cell>
        </row>
        <row r="47">
          <cell r="BG47" t="str">
            <v>CNPUCPOSTEstock(B) après IS</v>
          </cell>
        </row>
        <row r="48">
          <cell r="BG48" t="str">
            <v>CNPUCPOSTEstock(C) après IS</v>
          </cell>
        </row>
        <row r="49">
          <cell r="BG49" t="str">
            <v>CNPUCPOSTEstockX1</v>
          </cell>
        </row>
        <row r="50">
          <cell r="BG50" t="str">
            <v>CNPUCTRESORN1Chargements sur flux</v>
          </cell>
        </row>
        <row r="51">
          <cell r="BG51" t="str">
            <v>CNPUCTRESORN1Commissions sur flux</v>
          </cell>
        </row>
        <row r="52">
          <cell r="BG52" t="str">
            <v>CNPUCTRESORN1Total Chargements hors flux</v>
          </cell>
        </row>
        <row r="53">
          <cell r="BG53" t="str">
            <v>CNPUCTRESORN1Total Commissions hors flux</v>
          </cell>
        </row>
        <row r="54">
          <cell r="BG54" t="str">
            <v>CNPUCTRESORN1Marge Technique et/ou Financière</v>
          </cell>
        </row>
        <row r="55">
          <cell r="BG55" t="str">
            <v>CNPUCTRESORN1Frais de gestion</v>
          </cell>
        </row>
        <row r="56">
          <cell r="BG56" t="str">
            <v>CNPUCTRESORN1Frais d'acquisition</v>
          </cell>
        </row>
        <row r="57">
          <cell r="BG57" t="str">
            <v>CNPUCTRESORN1Facturation</v>
          </cell>
        </row>
        <row r="58">
          <cell r="BG58" t="str">
            <v>CNPUCTRESORN1Organic sur CA</v>
          </cell>
        </row>
        <row r="59">
          <cell r="BG59" t="str">
            <v>CNPUCTRESORN1Commissions complémentaires</v>
          </cell>
        </row>
        <row r="60">
          <cell r="BG60" t="str">
            <v>CNPUCTRESORN1Rétrocessions</v>
          </cell>
        </row>
        <row r="61">
          <cell r="BG61" t="str">
            <v>CNPUCTRESORN1(A) avant AF sur PM</v>
          </cell>
        </row>
        <row r="62">
          <cell r="BG62" t="str">
            <v>CNPUCTRESORN1Encours moyen du passif</v>
          </cell>
        </row>
        <row r="63">
          <cell r="BG63" t="str">
            <v>CNPUCTRESORN1PM début</v>
          </cell>
        </row>
        <row r="64">
          <cell r="BG64" t="str">
            <v>CNPUCTRESORN1Marge de solvabilité début</v>
          </cell>
        </row>
        <row r="65">
          <cell r="BG65" t="str">
            <v>CNPUCTRESORN1CA + Virement - Transfert</v>
          </cell>
        </row>
        <row r="66">
          <cell r="BG66" t="str">
            <v>CNPUCTRESORN1Nbre de contrats début</v>
          </cell>
        </row>
        <row r="67">
          <cell r="BG67" t="str">
            <v>CNPUCTRESORN1Frais alloués de gestion</v>
          </cell>
        </row>
        <row r="68">
          <cell r="BG68" t="str">
            <v>CNPUCTRESORN1Frais alloués d'acquisition</v>
          </cell>
        </row>
        <row r="69">
          <cell r="BG69" t="str">
            <v>CNPUCTRESORN1Avoirs Fiscaux sur PM</v>
          </cell>
        </row>
        <row r="70">
          <cell r="BG70" t="str">
            <v>CNPUCTRESORN1(A) après IS</v>
          </cell>
        </row>
        <row r="71">
          <cell r="BG71" t="str">
            <v>CNPUCTRESORN1(B) après IS</v>
          </cell>
        </row>
        <row r="72">
          <cell r="BG72" t="str">
            <v>CNPUCTRESORN1(C) après IS</v>
          </cell>
        </row>
        <row r="73">
          <cell r="BG73" t="str">
            <v>CNPUCTRESORN1X1</v>
          </cell>
        </row>
        <row r="74">
          <cell r="BG74" t="str">
            <v>CNPUCTRESORstockChargements sur flux</v>
          </cell>
        </row>
        <row r="75">
          <cell r="BG75" t="str">
            <v>CNPUCTRESORstockCommissions sur flux</v>
          </cell>
        </row>
        <row r="76">
          <cell r="BG76" t="str">
            <v>CNPUCTRESORstockTotal Chargements hors flux</v>
          </cell>
        </row>
        <row r="77">
          <cell r="BG77" t="str">
            <v>CNPUCTRESORstockTotal Commissions hors flux</v>
          </cell>
        </row>
        <row r="78">
          <cell r="BG78" t="str">
            <v>CNPUCTRESORstockMarge Technique et/ou Financière</v>
          </cell>
        </row>
        <row r="79">
          <cell r="BG79" t="str">
            <v>CNPUCTRESORstockFrais de gestion</v>
          </cell>
        </row>
        <row r="80">
          <cell r="BG80" t="str">
            <v>CNPUCTRESORstockFrais d'acquisition</v>
          </cell>
        </row>
        <row r="81">
          <cell r="BG81" t="str">
            <v>CNPUCTRESORstockFacturation</v>
          </cell>
        </row>
        <row r="82">
          <cell r="BG82" t="str">
            <v>CNPUCTRESORstockOrganic sur CA</v>
          </cell>
        </row>
        <row r="83">
          <cell r="BG83" t="str">
            <v>CNPUCTRESORstockCommissions complémentaires</v>
          </cell>
        </row>
        <row r="84">
          <cell r="BG84" t="str">
            <v>CNPUCTRESORstockRétrocessions</v>
          </cell>
        </row>
        <row r="85">
          <cell r="BG85" t="str">
            <v>CNPUCTRESORstock(A) avant AF sur PM</v>
          </cell>
        </row>
        <row r="86">
          <cell r="BG86" t="str">
            <v>CNPUCTRESORstockEncours moyen du passif</v>
          </cell>
        </row>
        <row r="87">
          <cell r="BG87" t="str">
            <v>CNPUCTRESORstockPM début</v>
          </cell>
        </row>
        <row r="88">
          <cell r="BG88" t="str">
            <v>CNPUCTRESORstockMarge de solvabilité début</v>
          </cell>
        </row>
        <row r="89">
          <cell r="BG89" t="str">
            <v>CNPUCTRESORstockCA + Virement - Transfert</v>
          </cell>
        </row>
        <row r="90">
          <cell r="BG90" t="str">
            <v>CNPUCTRESORstockNbre de contrats début</v>
          </cell>
        </row>
        <row r="91">
          <cell r="BG91" t="str">
            <v>CNPUCTRESORstockFrais alloués de gestion</v>
          </cell>
        </row>
        <row r="92">
          <cell r="BG92" t="str">
            <v>CNPUCTRESORstockFrais alloués d'acquisition</v>
          </cell>
        </row>
        <row r="93">
          <cell r="BG93" t="str">
            <v>CNPUCTRESORstockAvoirs Fiscaux sur PM</v>
          </cell>
        </row>
        <row r="94">
          <cell r="BG94" t="str">
            <v>CNPUCTRESORstock(A) après IS</v>
          </cell>
        </row>
        <row r="95">
          <cell r="BG95" t="str">
            <v>CNPUCTRESORstock(B) après IS</v>
          </cell>
        </row>
        <row r="96">
          <cell r="BG96" t="str">
            <v>CNPUCTRESORstock(C) après IS</v>
          </cell>
        </row>
        <row r="97">
          <cell r="BG97" t="str">
            <v>CNPUCTRESORstockX1</v>
          </cell>
        </row>
        <row r="98">
          <cell r="BG98" t="str">
            <v>EVIEUCCEstockChargements sur flux</v>
          </cell>
        </row>
        <row r="99">
          <cell r="BG99" t="str">
            <v>EVIEUCCEstockCommissions sur flux</v>
          </cell>
        </row>
        <row r="100">
          <cell r="BG100" t="str">
            <v>EVIEUCCEstockTotal Chargements hors flux</v>
          </cell>
        </row>
        <row r="101">
          <cell r="BG101" t="str">
            <v>EVIEUCCEstockTotal Commissions hors flux</v>
          </cell>
        </row>
        <row r="102">
          <cell r="BG102" t="str">
            <v>EVIEUCCEstockMarge Technique et/ou Financière</v>
          </cell>
        </row>
        <row r="103">
          <cell r="BG103" t="str">
            <v>EVIEUCCEstockFrais de gestion</v>
          </cell>
        </row>
        <row r="104">
          <cell r="BG104" t="str">
            <v>EVIEUCCEstockFrais d'acquisition</v>
          </cell>
        </row>
        <row r="105">
          <cell r="BG105" t="str">
            <v>EVIEUCCEstockFacturation</v>
          </cell>
        </row>
        <row r="106">
          <cell r="BG106" t="str">
            <v>EVIEUCCEstockOrganic sur CA</v>
          </cell>
        </row>
        <row r="107">
          <cell r="BG107" t="str">
            <v>EVIEUCCEstockCommissions complémentaires</v>
          </cell>
        </row>
        <row r="108">
          <cell r="BG108" t="str">
            <v>EVIEUCCEstockRétrocessions</v>
          </cell>
        </row>
        <row r="109">
          <cell r="BG109" t="str">
            <v>EVIEUCCEstock(A) avant AF sur PM</v>
          </cell>
        </row>
        <row r="110">
          <cell r="BG110" t="str">
            <v>EVIEUCCEstockEncours moyen du passif</v>
          </cell>
        </row>
        <row r="111">
          <cell r="BG111" t="str">
            <v>EVIEUCCEstockPM début</v>
          </cell>
        </row>
        <row r="112">
          <cell r="BG112" t="str">
            <v>EVIEUCCEstockMarge de solvabilité début</v>
          </cell>
        </row>
        <row r="113">
          <cell r="BG113" t="str">
            <v>EVIEUCCEstockCA + Virement - Transfert</v>
          </cell>
        </row>
        <row r="114">
          <cell r="BG114" t="str">
            <v>EVIEUCCEstockNbre de contrats début</v>
          </cell>
        </row>
        <row r="115">
          <cell r="BG115" t="str">
            <v>EVIEUCCEstockFrais alloués de gestion</v>
          </cell>
        </row>
        <row r="116">
          <cell r="BG116" t="str">
            <v>EVIEUCCEstockFrais alloués d'acquisition</v>
          </cell>
        </row>
        <row r="117">
          <cell r="BG117" t="str">
            <v>EVIEUCCEstockAvoirs Fiscaux sur PM</v>
          </cell>
        </row>
        <row r="118">
          <cell r="BG118" t="str">
            <v>EVIEUCCEstock(A) après IS</v>
          </cell>
        </row>
        <row r="119">
          <cell r="BG119" t="str">
            <v>EVIEUCCEstock(B) après IS</v>
          </cell>
        </row>
        <row r="120">
          <cell r="BG120" t="str">
            <v>EVIEUCCEstock(C) après IS</v>
          </cell>
        </row>
        <row r="121">
          <cell r="BG121" t="str">
            <v>EVIEUCCEstockX1</v>
          </cell>
        </row>
        <row r="122">
          <cell r="BG122" t="str">
            <v>EVIEPERP UCCEstockChargements sur flux</v>
          </cell>
        </row>
        <row r="123">
          <cell r="BG123" t="str">
            <v>EVIEPERP UCCEstockCommissions sur flux</v>
          </cell>
        </row>
        <row r="124">
          <cell r="BG124" t="str">
            <v>EVIEPERP UCCEstockTotal Chargements hors flux</v>
          </cell>
        </row>
        <row r="125">
          <cell r="BG125" t="str">
            <v>EVIEPERP UCCEstockTotal Commissions hors flux</v>
          </cell>
        </row>
        <row r="126">
          <cell r="BG126" t="str">
            <v>EVIEPERP UCCEstockMarge Technique et/ou Financière</v>
          </cell>
        </row>
        <row r="127">
          <cell r="BG127" t="str">
            <v>EVIEPERP UCCEstockFrais de gestion</v>
          </cell>
        </row>
        <row r="128">
          <cell r="BG128" t="str">
            <v>EVIEPERP UCCEstockFrais d'acquisition</v>
          </cell>
        </row>
        <row r="129">
          <cell r="BG129" t="str">
            <v>EVIEPERP UCCEstockFacturation</v>
          </cell>
        </row>
        <row r="130">
          <cell r="BG130" t="str">
            <v>EVIEPERP UCCEstockOrganic sur CA</v>
          </cell>
        </row>
        <row r="131">
          <cell r="BG131" t="str">
            <v>EVIEPERP UCCEstockCommissions complémentaires</v>
          </cell>
        </row>
        <row r="132">
          <cell r="BG132" t="str">
            <v>EVIEPERP UCCEstockRétrocessions</v>
          </cell>
        </row>
        <row r="133">
          <cell r="BG133" t="str">
            <v>EVIEPERP UCCEstock(A) avant AF sur PM</v>
          </cell>
        </row>
        <row r="134">
          <cell r="BG134" t="str">
            <v>EVIEPERP UCCEstockEncours moyen du passif</v>
          </cell>
        </row>
        <row r="135">
          <cell r="BG135" t="str">
            <v>EVIEPERP UCCEstockPM début</v>
          </cell>
        </row>
        <row r="136">
          <cell r="BG136" t="str">
            <v>EVIEPERP UCCEstockMarge de solvabilité début</v>
          </cell>
        </row>
        <row r="137">
          <cell r="BG137" t="str">
            <v>EVIEPERP UCCEstockCA + Virement - Transfert</v>
          </cell>
        </row>
        <row r="138">
          <cell r="BG138" t="str">
            <v>EVIEPERP UCCEstockNbre de contrats début</v>
          </cell>
        </row>
        <row r="139">
          <cell r="BG139" t="str">
            <v>EVIEPERP UCCEstockFrais alloués de gestion</v>
          </cell>
        </row>
        <row r="140">
          <cell r="BG140" t="str">
            <v>EVIEPERP UCCEstockFrais alloués d'acquisition</v>
          </cell>
        </row>
        <row r="141">
          <cell r="BG141" t="str">
            <v>EVIEPERP UCCEstockAvoirs Fiscaux sur PM</v>
          </cell>
        </row>
        <row r="142">
          <cell r="BG142" t="str">
            <v>EVIEPERP UCCEstock(A) après IS</v>
          </cell>
        </row>
        <row r="143">
          <cell r="BG143" t="str">
            <v>EVIEPERP UCCEstock(B) après IS</v>
          </cell>
        </row>
        <row r="144">
          <cell r="BG144" t="str">
            <v>EVIEPERP UCCEstock(C) après IS</v>
          </cell>
        </row>
        <row r="145">
          <cell r="BG145" t="str">
            <v>EVIEPERP UCCEstockX1</v>
          </cell>
        </row>
        <row r="146">
          <cell r="BG146" t="str">
            <v>EVIEUCCEN1Chargements sur flux</v>
          </cell>
        </row>
        <row r="147">
          <cell r="BG147" t="str">
            <v>EVIEUCCEN1Commissions sur flux</v>
          </cell>
        </row>
        <row r="148">
          <cell r="BG148" t="str">
            <v>EVIEUCCEN1Total Chargements hors flux</v>
          </cell>
        </row>
        <row r="149">
          <cell r="BG149" t="str">
            <v>EVIEUCCEN1Total Commissions hors flux</v>
          </cell>
        </row>
        <row r="150">
          <cell r="BG150" t="str">
            <v>EVIEUCCEN1Marge Technique et/ou Financière</v>
          </cell>
        </row>
        <row r="151">
          <cell r="BG151" t="str">
            <v>EVIEUCCEN1Frais de gestion</v>
          </cell>
        </row>
        <row r="152">
          <cell r="BG152" t="str">
            <v>EVIEUCCEN1Frais d'acquisition</v>
          </cell>
        </row>
        <row r="153">
          <cell r="BG153" t="str">
            <v>EVIEUCCEN1Facturation</v>
          </cell>
        </row>
        <row r="154">
          <cell r="BG154" t="str">
            <v>EVIEUCCEN1Organic sur CA</v>
          </cell>
        </row>
        <row r="155">
          <cell r="BG155" t="str">
            <v>EVIEUCCEN1Commissions complémentaires</v>
          </cell>
        </row>
        <row r="156">
          <cell r="BG156" t="str">
            <v>EVIEUCCEN1Rétrocessions</v>
          </cell>
        </row>
        <row r="157">
          <cell r="BG157" t="str">
            <v>EVIEUCCEN1(A) avant AF sur PM</v>
          </cell>
        </row>
        <row r="158">
          <cell r="BG158" t="str">
            <v>EVIEUCCEN1Encours moyen du passif</v>
          </cell>
        </row>
        <row r="159">
          <cell r="BG159" t="str">
            <v>EVIEUCCEN1PM début</v>
          </cell>
        </row>
        <row r="160">
          <cell r="BG160" t="str">
            <v>EVIEUCCEN1Marge de solvabilité début</v>
          </cell>
        </row>
        <row r="161">
          <cell r="BG161" t="str">
            <v>EVIEUCCEN1CA + Virement - Transfert</v>
          </cell>
        </row>
        <row r="162">
          <cell r="BG162" t="str">
            <v>EVIEUCCEN1Nbre de contrats début</v>
          </cell>
        </row>
        <row r="163">
          <cell r="BG163" t="str">
            <v>EVIEUCCEN1Frais alloués de gestion</v>
          </cell>
        </row>
        <row r="164">
          <cell r="BG164" t="str">
            <v>EVIEUCCEN1Frais alloués d'acquisition</v>
          </cell>
        </row>
        <row r="165">
          <cell r="BG165" t="str">
            <v>EVIEUCCEN1Avoirs Fiscaux sur PM</v>
          </cell>
        </row>
        <row r="166">
          <cell r="BG166" t="str">
            <v>EVIEUCCEN1(A) après IS</v>
          </cell>
        </row>
        <row r="167">
          <cell r="BG167" t="str">
            <v>EVIEUCCEN1(B) après IS</v>
          </cell>
        </row>
        <row r="168">
          <cell r="BG168" t="str">
            <v>EVIEUCCEN1(C) après IS</v>
          </cell>
        </row>
        <row r="169">
          <cell r="BG169" t="str">
            <v>EVIEUCCEN1X1</v>
          </cell>
        </row>
        <row r="170">
          <cell r="BG170" t="str">
            <v>EVIEPERP UCCEN1Chargements sur flux</v>
          </cell>
        </row>
        <row r="171">
          <cell r="BG171" t="str">
            <v>EVIEPERP UCCEN1Commissions sur flux</v>
          </cell>
        </row>
        <row r="172">
          <cell r="BG172" t="str">
            <v>EVIEPERP UCCEN1Total Chargements hors flux</v>
          </cell>
        </row>
        <row r="173">
          <cell r="BG173" t="str">
            <v>EVIEPERP UCCEN1Total Commissions hors flux</v>
          </cell>
        </row>
        <row r="174">
          <cell r="BG174" t="str">
            <v>EVIEPERP UCCEN1Marge Technique et/ou Financière</v>
          </cell>
        </row>
        <row r="175">
          <cell r="BG175" t="str">
            <v>EVIEPERP UCCEN1Frais de gestion</v>
          </cell>
        </row>
        <row r="176">
          <cell r="BG176" t="str">
            <v>EVIEPERP UCCEN1Frais d'acquisition</v>
          </cell>
        </row>
        <row r="177">
          <cell r="BG177" t="str">
            <v>EVIEPERP UCCEN1Facturation</v>
          </cell>
        </row>
        <row r="178">
          <cell r="BG178" t="str">
            <v>EVIEPERP UCCEN1Organic sur CA</v>
          </cell>
        </row>
        <row r="179">
          <cell r="BG179" t="str">
            <v>EVIEPERP UCCEN1Commissions complémentaires</v>
          </cell>
        </row>
        <row r="180">
          <cell r="BG180" t="str">
            <v>EVIEPERP UCCEN1Rétrocessions</v>
          </cell>
        </row>
        <row r="181">
          <cell r="BG181" t="str">
            <v>EVIEPERP UCCEN1(A) avant AF sur PM</v>
          </cell>
        </row>
        <row r="182">
          <cell r="BG182" t="str">
            <v>EVIEPERP UCCEN1Encours moyen du passif</v>
          </cell>
        </row>
        <row r="183">
          <cell r="BG183" t="str">
            <v>EVIEPERP UCCEN1PM début</v>
          </cell>
        </row>
        <row r="184">
          <cell r="BG184" t="str">
            <v>EVIEPERP UCCEN1Marge de solvabilité début</v>
          </cell>
        </row>
        <row r="185">
          <cell r="BG185" t="str">
            <v>EVIEPERP UCCEN1CA + Virement - Transfert</v>
          </cell>
        </row>
        <row r="186">
          <cell r="BG186" t="str">
            <v>EVIEPERP UCCEN1Nbre de contrats début</v>
          </cell>
        </row>
        <row r="187">
          <cell r="BG187" t="str">
            <v>EVIEPERP UCCEN1Frais alloués de gestion</v>
          </cell>
        </row>
        <row r="188">
          <cell r="BG188" t="str">
            <v>EVIEPERP UCCEN1Frais alloués d'acquisition</v>
          </cell>
        </row>
        <row r="189">
          <cell r="BG189" t="str">
            <v>EVIEPERP UCCEN1Avoirs Fiscaux sur PM</v>
          </cell>
        </row>
        <row r="190">
          <cell r="BG190" t="str">
            <v>EVIEPERP UCCEN1(A) après IS</v>
          </cell>
        </row>
        <row r="191">
          <cell r="BG191" t="str">
            <v>EVIEPERP UCCEN1(B) après IS</v>
          </cell>
        </row>
        <row r="192">
          <cell r="BG192" t="str">
            <v>EVIEPERP UCCEN1(C) après IS</v>
          </cell>
        </row>
        <row r="193">
          <cell r="BG193" t="str">
            <v>EVIEPERP UCCEN1X1</v>
          </cell>
        </row>
        <row r="194">
          <cell r="BG194" t="str">
            <v>CNPRentesautreN1Chargements sur flux</v>
          </cell>
        </row>
        <row r="195">
          <cell r="BG195" t="str">
            <v>CNPRentesautreN1Commissions sur flux</v>
          </cell>
        </row>
        <row r="196">
          <cell r="BG196" t="str">
            <v>CNPRentesautreN1Total Chargements hors flux</v>
          </cell>
        </row>
        <row r="197">
          <cell r="BG197" t="str">
            <v>CNPRentesautreN1Total Commissions hors flux</v>
          </cell>
        </row>
        <row r="198">
          <cell r="BG198" t="str">
            <v>CNPRentesautreN1Marge Technique et/ou Financière</v>
          </cell>
        </row>
        <row r="199">
          <cell r="BG199" t="str">
            <v>CNPRentesautreN1Frais de gestion</v>
          </cell>
        </row>
        <row r="200">
          <cell r="BG200" t="str">
            <v>CNPRentesautreN1Frais d'acquisition</v>
          </cell>
        </row>
        <row r="201">
          <cell r="BG201" t="str">
            <v>CNPRentesautreN1Facturation</v>
          </cell>
        </row>
        <row r="202">
          <cell r="BG202" t="str">
            <v>CNPRentesautreN1Organic sur CA</v>
          </cell>
        </row>
        <row r="203">
          <cell r="BG203" t="str">
            <v>CNPRentesautreN1Commissions complémentaires</v>
          </cell>
        </row>
        <row r="204">
          <cell r="BG204" t="str">
            <v>CNPRentesautreN1Rétrocessions</v>
          </cell>
        </row>
        <row r="205">
          <cell r="BG205" t="str">
            <v>CNPRentesautreN1(A) avant AF sur PM</v>
          </cell>
        </row>
        <row r="206">
          <cell r="BG206" t="str">
            <v>CNPRentesautreN1Encours moyen du passif</v>
          </cell>
        </row>
        <row r="207">
          <cell r="BG207" t="str">
            <v>CNPRentesautreN1PM début</v>
          </cell>
        </row>
        <row r="208">
          <cell r="BG208" t="str">
            <v>CNPRentesautreN1Marge de solvabilité début</v>
          </cell>
        </row>
        <row r="209">
          <cell r="BG209" t="str">
            <v>CNPRentesautreN1CA + Virement - Transfert</v>
          </cell>
        </row>
        <row r="210">
          <cell r="BG210" t="str">
            <v>CNPRentesautreN1Nbre de contrats début</v>
          </cell>
        </row>
        <row r="211">
          <cell r="BG211" t="str">
            <v>CNPRentesautreN1Frais alloués de gestion</v>
          </cell>
        </row>
        <row r="212">
          <cell r="BG212" t="str">
            <v>CNPRentesautreN1Frais alloués d'acquisition</v>
          </cell>
        </row>
        <row r="213">
          <cell r="BG213" t="str">
            <v>CNPRentesautreN1Avoirs Fiscaux sur PM</v>
          </cell>
        </row>
        <row r="214">
          <cell r="BG214" t="str">
            <v>CNPRentesautreN1(A) après IS</v>
          </cell>
        </row>
        <row r="215">
          <cell r="BG215" t="str">
            <v>CNPRentesautreN1(B) après IS</v>
          </cell>
        </row>
        <row r="216">
          <cell r="BG216" t="str">
            <v>CNPRentesautreN1(C) après IS</v>
          </cell>
        </row>
        <row r="217">
          <cell r="BG217" t="str">
            <v>CNPRentesautreN1X1</v>
          </cell>
        </row>
        <row r="218">
          <cell r="BG218" t="str">
            <v>CNPRentesautreStockChargements sur flux</v>
          </cell>
        </row>
        <row r="219">
          <cell r="BG219" t="str">
            <v>CNPRentesautreStockCommissions sur flux</v>
          </cell>
        </row>
        <row r="220">
          <cell r="BG220" t="str">
            <v>CNPRentesautreStockTotal Chargements hors flux</v>
          </cell>
        </row>
        <row r="221">
          <cell r="BG221" t="str">
            <v>CNPRentesautreStockTotal Commissions hors flux</v>
          </cell>
        </row>
        <row r="222">
          <cell r="BG222" t="str">
            <v>CNPRentesautreStockMarge Technique et/ou Financière</v>
          </cell>
        </row>
        <row r="223">
          <cell r="BG223" t="str">
            <v>CNPRentesautreStockFrais de gestion</v>
          </cell>
        </row>
        <row r="224">
          <cell r="BG224" t="str">
            <v>CNPRentesautreStockFrais d'acquisition</v>
          </cell>
        </row>
        <row r="225">
          <cell r="BG225" t="str">
            <v>CNPRentesautreStockFacturation</v>
          </cell>
        </row>
        <row r="226">
          <cell r="BG226" t="str">
            <v>CNPRentesautreStockOrganic sur CA</v>
          </cell>
        </row>
        <row r="227">
          <cell r="BG227" t="str">
            <v>CNPRentesautreStockCommissions complémentaires</v>
          </cell>
        </row>
        <row r="228">
          <cell r="BG228" t="str">
            <v>CNPRentesautreStockRétrocessions</v>
          </cell>
        </row>
        <row r="229">
          <cell r="BG229" t="str">
            <v>CNPRentesautreStock(A) avant AF sur PM</v>
          </cell>
        </row>
        <row r="230">
          <cell r="BG230" t="str">
            <v>CNPRentesautreStockEncours moyen du passif</v>
          </cell>
        </row>
        <row r="231">
          <cell r="BG231" t="str">
            <v>CNPRentesautreStockPM début</v>
          </cell>
        </row>
        <row r="232">
          <cell r="BG232" t="str">
            <v>CNPRentesautreStockMarge de solvabilité début</v>
          </cell>
        </row>
        <row r="233">
          <cell r="BG233" t="str">
            <v>CNPRentesautreStockCA + Virement - Transfert</v>
          </cell>
        </row>
        <row r="234">
          <cell r="BG234" t="str">
            <v>CNPRentesautreStockNbre de contrats début</v>
          </cell>
        </row>
        <row r="235">
          <cell r="BG235" t="str">
            <v>CNPRentesautreStockFrais alloués de gestion</v>
          </cell>
        </row>
        <row r="236">
          <cell r="BG236" t="str">
            <v>CNPRentesautreStockFrais alloués d'acquisition</v>
          </cell>
        </row>
        <row r="237">
          <cell r="BG237" t="str">
            <v>CNPRentesautreStockAvoirs Fiscaux sur PM</v>
          </cell>
        </row>
        <row r="238">
          <cell r="BG238" t="str">
            <v>CNPRentesautreStock(A) après IS</v>
          </cell>
        </row>
        <row r="239">
          <cell r="BG239" t="str">
            <v>CNPRentesautreStock(B) après IS</v>
          </cell>
        </row>
        <row r="240">
          <cell r="BG240" t="str">
            <v>CNPRentesautreStock(C) après IS</v>
          </cell>
        </row>
        <row r="241">
          <cell r="BG241" t="str">
            <v>CNPRentesautreStockX1</v>
          </cell>
        </row>
        <row r="242">
          <cell r="BG242" t="str">
            <v>EVIERentesCEN1Chargements sur flux</v>
          </cell>
        </row>
        <row r="243">
          <cell r="BG243" t="str">
            <v>EVIERentesCEN1Commissions sur flux</v>
          </cell>
        </row>
        <row r="244">
          <cell r="BG244" t="str">
            <v>EVIERentesCEN1Total Chargements hors flux</v>
          </cell>
        </row>
        <row r="245">
          <cell r="BG245" t="str">
            <v>EVIERentesCEN1Total Commissions hors flux</v>
          </cell>
        </row>
        <row r="246">
          <cell r="BG246" t="str">
            <v>EVIERentesCEN1Marge Technique et/ou Financière</v>
          </cell>
        </row>
        <row r="247">
          <cell r="BG247" t="str">
            <v>EVIERentesCEN1Frais de gestion</v>
          </cell>
        </row>
        <row r="248">
          <cell r="BG248" t="str">
            <v>EVIERentesCEN1Frais d'acquisition</v>
          </cell>
        </row>
        <row r="249">
          <cell r="BG249" t="str">
            <v>EVIERentesCEN1Facturation</v>
          </cell>
        </row>
        <row r="250">
          <cell r="BG250" t="str">
            <v>EVIERentesCEN1Organic sur CA</v>
          </cell>
        </row>
        <row r="251">
          <cell r="BG251" t="str">
            <v>EVIERentesCEN1Commissions complémentaires</v>
          </cell>
        </row>
        <row r="252">
          <cell r="BG252" t="str">
            <v>EVIERentesCEN1Rétrocessions</v>
          </cell>
        </row>
        <row r="253">
          <cell r="BG253" t="str">
            <v>EVIERentesCEN1(A) avant AF sur PM</v>
          </cell>
        </row>
        <row r="254">
          <cell r="BG254" t="str">
            <v>EVIERentesCEN1Encours moyen du passif</v>
          </cell>
        </row>
        <row r="255">
          <cell r="BG255" t="str">
            <v>EVIERentesCEN1PM début</v>
          </cell>
        </row>
        <row r="256">
          <cell r="BG256" t="str">
            <v>EVIERentesCEN1Marge de solvabilité début</v>
          </cell>
        </row>
        <row r="257">
          <cell r="BG257" t="str">
            <v>EVIERentesCEN1CA + Virement - Transfert</v>
          </cell>
        </row>
        <row r="258">
          <cell r="BG258" t="str">
            <v>EVIERentesCEN1Nbre de contrats début</v>
          </cell>
        </row>
        <row r="259">
          <cell r="BG259" t="str">
            <v>EVIERentesCEN1Frais alloués de gestion</v>
          </cell>
        </row>
        <row r="260">
          <cell r="BG260" t="str">
            <v>EVIERentesCEN1Frais alloués d'acquisition</v>
          </cell>
        </row>
        <row r="261">
          <cell r="BG261" t="str">
            <v>EVIERentesCEN1Avoirs Fiscaux sur PM</v>
          </cell>
        </row>
        <row r="262">
          <cell r="BG262" t="str">
            <v>EVIERentesCEN1(A) après IS</v>
          </cell>
        </row>
        <row r="263">
          <cell r="BG263" t="str">
            <v>EVIERentesCEN1(B) après IS</v>
          </cell>
        </row>
        <row r="264">
          <cell r="BG264" t="str">
            <v>EVIERentesCEN1(C) après IS</v>
          </cell>
        </row>
        <row r="265">
          <cell r="BG265" t="str">
            <v>EVIERentesCEN1X1</v>
          </cell>
        </row>
        <row r="266">
          <cell r="BG266" t="str">
            <v>EVIERentesCEStockChargements sur flux</v>
          </cell>
        </row>
        <row r="267">
          <cell r="BG267" t="str">
            <v>EVIERentesCEStockCommissions sur flux</v>
          </cell>
        </row>
        <row r="268">
          <cell r="BG268" t="str">
            <v>EVIERentesCEStockTotal Chargements hors flux</v>
          </cell>
        </row>
        <row r="269">
          <cell r="BG269" t="str">
            <v>EVIERentesCEStockTotal Commissions hors flux</v>
          </cell>
        </row>
        <row r="270">
          <cell r="BG270" t="str">
            <v>EVIERentesCEStockMarge Technique et/ou Financière</v>
          </cell>
        </row>
        <row r="271">
          <cell r="BG271" t="str">
            <v>EVIERentesCEStockFrais de gestion</v>
          </cell>
        </row>
        <row r="272">
          <cell r="BG272" t="str">
            <v>EVIERentesCEStockFrais d'acquisition</v>
          </cell>
        </row>
        <row r="273">
          <cell r="BG273" t="str">
            <v>EVIERentesCEStockFacturation</v>
          </cell>
        </row>
        <row r="274">
          <cell r="BG274" t="str">
            <v>EVIERentesCEStockOrganic sur CA</v>
          </cell>
        </row>
        <row r="275">
          <cell r="BG275" t="str">
            <v>EVIERentesCEStockCommissions complémentaires</v>
          </cell>
        </row>
        <row r="276">
          <cell r="BG276" t="str">
            <v>EVIERentesCEStockRétrocessions</v>
          </cell>
        </row>
        <row r="277">
          <cell r="BG277" t="str">
            <v>EVIERentesCEStock(A) avant AF sur PM</v>
          </cell>
        </row>
        <row r="278">
          <cell r="BG278" t="str">
            <v>EVIERentesCEStockEncours moyen du passif</v>
          </cell>
        </row>
        <row r="279">
          <cell r="BG279" t="str">
            <v>EVIERentesCEStockPM début</v>
          </cell>
        </row>
        <row r="280">
          <cell r="BG280" t="str">
            <v>EVIERentesCEStockMarge de solvabilité début</v>
          </cell>
        </row>
        <row r="281">
          <cell r="BG281" t="str">
            <v>EVIERentesCEStockCA + Virement - Transfert</v>
          </cell>
        </row>
        <row r="282">
          <cell r="BG282" t="str">
            <v>EVIERentesCEStockNbre de contrats début</v>
          </cell>
        </row>
        <row r="283">
          <cell r="BG283" t="str">
            <v>EVIERentesCEStockFrais alloués de gestion</v>
          </cell>
        </row>
        <row r="284">
          <cell r="BG284" t="str">
            <v>EVIERentesCEStockFrais alloués d'acquisition</v>
          </cell>
        </row>
        <row r="285">
          <cell r="BG285" t="str">
            <v>EVIERentesCEStockAvoirs Fiscaux sur PM</v>
          </cell>
        </row>
        <row r="286">
          <cell r="BG286" t="str">
            <v>EVIERentesCEStock(A) après IS</v>
          </cell>
        </row>
        <row r="287">
          <cell r="BG287" t="str">
            <v>EVIERentesCEStock(B) après IS</v>
          </cell>
        </row>
        <row r="288">
          <cell r="BG288" t="str">
            <v>EVIERentesCEStock(C) après IS</v>
          </cell>
        </row>
        <row r="289">
          <cell r="BG289" t="str">
            <v>EVIERentesCEStockX1</v>
          </cell>
        </row>
        <row r="290">
          <cell r="BG290" t="str">
            <v>EVIEEPARGNECEN1Chargements sur flux</v>
          </cell>
        </row>
        <row r="291">
          <cell r="BG291" t="str">
            <v>EVIEEPARGNECEN1Commissions sur flux</v>
          </cell>
        </row>
        <row r="292">
          <cell r="BG292" t="str">
            <v>EVIEEPARGNECEN1Total Chargements hors flux</v>
          </cell>
        </row>
        <row r="293">
          <cell r="BG293" t="str">
            <v>EVIEEPARGNECEN1Total Commissions hors flux</v>
          </cell>
        </row>
        <row r="294">
          <cell r="BG294" t="str">
            <v>EVIEEPARGNECEN1Marge Technique et/ou Financière</v>
          </cell>
        </row>
        <row r="295">
          <cell r="BG295" t="str">
            <v>EVIEEPARGNECEN1Frais de gestion</v>
          </cell>
        </row>
        <row r="296">
          <cell r="BG296" t="str">
            <v>EVIEEPARGNECEN1Frais d'acquisition</v>
          </cell>
        </row>
        <row r="297">
          <cell r="BG297" t="str">
            <v>EVIEEPARGNECEN1Facturation</v>
          </cell>
        </row>
        <row r="298">
          <cell r="BG298" t="str">
            <v>EVIEEPARGNECEN1Organic sur CA</v>
          </cell>
        </row>
        <row r="299">
          <cell r="BG299" t="str">
            <v>EVIEEPARGNECEN1Commissions complémentaires</v>
          </cell>
        </row>
        <row r="300">
          <cell r="BG300" t="str">
            <v>EVIEEPARGNECEN1Rétrocessions</v>
          </cell>
        </row>
        <row r="301">
          <cell r="BG301" t="str">
            <v>EVIEEPARGNECEN1(A) avant AF sur PM</v>
          </cell>
        </row>
        <row r="302">
          <cell r="BG302" t="str">
            <v>EVIEEPARGNECEN1Encours moyen du passif</v>
          </cell>
        </row>
        <row r="303">
          <cell r="BG303" t="str">
            <v>EVIEEPARGNECEN1PM début</v>
          </cell>
        </row>
        <row r="304">
          <cell r="BG304" t="str">
            <v>EVIEEPARGNECEN1Marge de solvabilité début</v>
          </cell>
        </row>
        <row r="305">
          <cell r="BG305" t="str">
            <v>EVIEEPARGNECEN1CA + Virement - Transfert</v>
          </cell>
        </row>
        <row r="306">
          <cell r="BG306" t="str">
            <v>EVIEEPARGNECEN1Nbre de contrats début</v>
          </cell>
        </row>
        <row r="307">
          <cell r="BG307" t="str">
            <v>EVIEEPARGNECEN1Frais alloués de gestion</v>
          </cell>
        </row>
        <row r="308">
          <cell r="BG308" t="str">
            <v>EVIEEPARGNECEN1Frais alloués d'acquisition</v>
          </cell>
        </row>
        <row r="309">
          <cell r="BG309" t="str">
            <v>EVIEEPARGNECEN1Avoirs Fiscaux sur PM</v>
          </cell>
        </row>
        <row r="310">
          <cell r="BG310" t="str">
            <v>EVIEEPARGNECEN1(A) après IS</v>
          </cell>
        </row>
        <row r="311">
          <cell r="BG311" t="str">
            <v>EVIEEPARGNECEN1(B) après IS</v>
          </cell>
        </row>
        <row r="312">
          <cell r="BG312" t="str">
            <v>EVIEEPARGNECEN1(C) après IS</v>
          </cell>
        </row>
        <row r="313">
          <cell r="BG313" t="str">
            <v>EVIEEPARGNECEN1X1</v>
          </cell>
        </row>
        <row r="314">
          <cell r="BG314" t="str">
            <v>EVIEEPARGNECEstockChargements sur flux</v>
          </cell>
        </row>
        <row r="315">
          <cell r="BG315" t="str">
            <v>EVIEEPARGNECEstockCommissions sur flux</v>
          </cell>
        </row>
        <row r="316">
          <cell r="BG316" t="str">
            <v>EVIEEPARGNECEstockTotal Chargements hors flux</v>
          </cell>
        </row>
        <row r="317">
          <cell r="BG317" t="str">
            <v>EVIEEPARGNECEstockTotal Commissions hors flux</v>
          </cell>
        </row>
        <row r="318">
          <cell r="BG318" t="str">
            <v>EVIEEPARGNECEstockMarge Technique et/ou Financière</v>
          </cell>
        </row>
        <row r="319">
          <cell r="BG319" t="str">
            <v>EVIEEPARGNECEstockFrais de gestion</v>
          </cell>
        </row>
        <row r="320">
          <cell r="BG320" t="str">
            <v>EVIEEPARGNECEstockFrais d'acquisition</v>
          </cell>
        </row>
        <row r="321">
          <cell r="BG321" t="str">
            <v>EVIEEPARGNECEstockFacturation</v>
          </cell>
        </row>
        <row r="322">
          <cell r="BG322" t="str">
            <v>EVIEEPARGNECEstockOrganic sur CA</v>
          </cell>
        </row>
        <row r="323">
          <cell r="BG323" t="str">
            <v>EVIEEPARGNECEstockCommissions complémentaires</v>
          </cell>
        </row>
        <row r="324">
          <cell r="BG324" t="str">
            <v>EVIEEPARGNECEstockRétrocessions</v>
          </cell>
        </row>
        <row r="325">
          <cell r="BG325" t="str">
            <v>EVIEEPARGNECEstock(A) avant AF sur PM</v>
          </cell>
        </row>
        <row r="326">
          <cell r="BG326" t="str">
            <v>EVIEEPARGNECEstockEncours moyen du passif</v>
          </cell>
        </row>
        <row r="327">
          <cell r="BG327" t="str">
            <v>EVIEEPARGNECEstockPM début</v>
          </cell>
        </row>
        <row r="328">
          <cell r="BG328" t="str">
            <v>EVIEEPARGNECEstockMarge de solvabilité début</v>
          </cell>
        </row>
        <row r="329">
          <cell r="BG329" t="str">
            <v>EVIEEPARGNECEstockCA + Virement - Transfert</v>
          </cell>
        </row>
        <row r="330">
          <cell r="BG330" t="str">
            <v>EVIEEPARGNECEstockNbre de contrats début</v>
          </cell>
        </row>
        <row r="331">
          <cell r="BG331" t="str">
            <v>EVIEEPARGNECEstockFrais alloués de gestion</v>
          </cell>
        </row>
        <row r="332">
          <cell r="BG332" t="str">
            <v>EVIEEPARGNECEstockFrais alloués d'acquisition</v>
          </cell>
        </row>
        <row r="333">
          <cell r="BG333" t="str">
            <v>EVIEEPARGNECEstockAvoirs Fiscaux sur PM</v>
          </cell>
        </row>
        <row r="334">
          <cell r="BG334" t="str">
            <v>EVIEEPARGNECEstock(A) après IS</v>
          </cell>
        </row>
        <row r="335">
          <cell r="BG335" t="str">
            <v>EVIEEPARGNECEstock(B) après IS</v>
          </cell>
        </row>
        <row r="336">
          <cell r="BG336" t="str">
            <v>EVIEEPARGNECEstock(C) après IS</v>
          </cell>
        </row>
        <row r="337">
          <cell r="BG337" t="str">
            <v>EVIEEPARGNECEstockX1</v>
          </cell>
        </row>
        <row r="338">
          <cell r="BG338" t="str">
            <v>EVIEPERP €CEN1Chargements sur flux</v>
          </cell>
        </row>
        <row r="339">
          <cell r="BG339" t="str">
            <v>EVIEPERP €CEN1Commissions sur flux</v>
          </cell>
        </row>
        <row r="340">
          <cell r="BG340" t="str">
            <v>EVIEPERP €CEN1Total Chargements hors flux</v>
          </cell>
        </row>
        <row r="341">
          <cell r="BG341" t="str">
            <v>EVIEPERP €CEN1Total Commissions hors flux</v>
          </cell>
        </row>
        <row r="342">
          <cell r="BG342" t="str">
            <v>EVIEPERP €CEN1Marge Technique et/ou Financière</v>
          </cell>
        </row>
        <row r="343">
          <cell r="BG343" t="str">
            <v>EVIEPERP €CEN1Frais de gestion</v>
          </cell>
        </row>
        <row r="344">
          <cell r="BG344" t="str">
            <v>EVIEPERP €CEN1Frais d'acquisition</v>
          </cell>
        </row>
        <row r="345">
          <cell r="BG345" t="str">
            <v>EVIEPERP €CEN1Facturation</v>
          </cell>
        </row>
        <row r="346">
          <cell r="BG346" t="str">
            <v>EVIEPERP €CEN1Organic sur CA</v>
          </cell>
        </row>
        <row r="347">
          <cell r="BG347" t="str">
            <v>EVIEPERP €CEN1Commissions complémentaires</v>
          </cell>
        </row>
        <row r="348">
          <cell r="BG348" t="str">
            <v>EVIEPERP €CEN1Rétrocessions</v>
          </cell>
        </row>
        <row r="349">
          <cell r="BG349" t="str">
            <v>EVIEPERP €CEN1(A) avant AF sur PM</v>
          </cell>
        </row>
        <row r="350">
          <cell r="BG350" t="str">
            <v>EVIEPERP €CEN1Encours moyen du passif</v>
          </cell>
        </row>
        <row r="351">
          <cell r="BG351" t="str">
            <v>EVIEPERP €CEN1PM début</v>
          </cell>
        </row>
        <row r="352">
          <cell r="BG352" t="str">
            <v>EVIEPERP €CEN1Marge de solvabilité début</v>
          </cell>
        </row>
        <row r="353">
          <cell r="BG353" t="str">
            <v>EVIEPERP €CEN1CA + Virement - Transfert</v>
          </cell>
        </row>
        <row r="354">
          <cell r="BG354" t="str">
            <v>EVIEPERP €CEN1Nbre de contrats début</v>
          </cell>
        </row>
        <row r="355">
          <cell r="BG355" t="str">
            <v>EVIEPERP €CEN1Frais alloués de gestion</v>
          </cell>
        </row>
        <row r="356">
          <cell r="BG356" t="str">
            <v>EVIEPERP €CEN1Frais alloués d'acquisition</v>
          </cell>
        </row>
        <row r="357">
          <cell r="BG357" t="str">
            <v>EVIEPERP €CEN1Avoirs Fiscaux sur PM</v>
          </cell>
        </row>
        <row r="358">
          <cell r="BG358" t="str">
            <v>EVIEPERP €CEN1(A) après IS</v>
          </cell>
        </row>
        <row r="359">
          <cell r="BG359" t="str">
            <v>EVIEPERP €CEN1(B) après IS</v>
          </cell>
        </row>
        <row r="360">
          <cell r="BG360" t="str">
            <v>EVIEPERP €CEN1(C) après IS</v>
          </cell>
        </row>
        <row r="361">
          <cell r="BG361" t="str">
            <v>EVIEPERP €CEN1X1</v>
          </cell>
        </row>
        <row r="362">
          <cell r="BG362" t="str">
            <v>EVIEPERP €CEstockChargements sur flux</v>
          </cell>
        </row>
        <row r="363">
          <cell r="BG363" t="str">
            <v>EVIEPERP €CEstockCommissions sur flux</v>
          </cell>
        </row>
        <row r="364">
          <cell r="BG364" t="str">
            <v>EVIEPERP €CEstockTotal Chargements hors flux</v>
          </cell>
        </row>
        <row r="365">
          <cell r="BG365" t="str">
            <v>EVIEPERP €CEstockTotal Commissions hors flux</v>
          </cell>
        </row>
        <row r="366">
          <cell r="BG366" t="str">
            <v>EVIEPERP €CEstockMarge Technique et/ou Financière</v>
          </cell>
        </row>
        <row r="367">
          <cell r="BG367" t="str">
            <v>EVIEPERP €CEstockFrais de gestion</v>
          </cell>
        </row>
        <row r="368">
          <cell r="BG368" t="str">
            <v>EVIEPERP €CEstockFrais d'acquisition</v>
          </cell>
        </row>
        <row r="369">
          <cell r="BG369" t="str">
            <v>EVIEPERP €CEstockFacturation</v>
          </cell>
        </row>
        <row r="370">
          <cell r="BG370" t="str">
            <v>EVIEPERP €CEstockOrganic sur CA</v>
          </cell>
        </row>
        <row r="371">
          <cell r="BG371" t="str">
            <v>EVIEPERP €CEstockCommissions complémentaires</v>
          </cell>
        </row>
        <row r="372">
          <cell r="BG372" t="str">
            <v>EVIEPERP €CEstockRétrocessions</v>
          </cell>
        </row>
        <row r="373">
          <cell r="BG373" t="str">
            <v>EVIEPERP €CEstock(A) avant AF sur PM</v>
          </cell>
        </row>
        <row r="374">
          <cell r="BG374" t="str">
            <v>EVIEPERP €CEstockEncours moyen du passif</v>
          </cell>
        </row>
        <row r="375">
          <cell r="BG375" t="str">
            <v>EVIEPERP €CEstockPM début</v>
          </cell>
        </row>
        <row r="376">
          <cell r="BG376" t="str">
            <v>EVIEPERP €CEstockMarge de solvabilité début</v>
          </cell>
        </row>
        <row r="377">
          <cell r="BG377" t="str">
            <v>EVIEPERP €CEstockCA + Virement - Transfert</v>
          </cell>
        </row>
        <row r="378">
          <cell r="BG378" t="str">
            <v>EVIEPERP €CEstockNbre de contrats début</v>
          </cell>
        </row>
        <row r="379">
          <cell r="BG379" t="str">
            <v>EVIEPERP €CEstockFrais alloués de gestion</v>
          </cell>
        </row>
        <row r="380">
          <cell r="BG380" t="str">
            <v>EVIEPERP €CEstockFrais alloués d'acquisition</v>
          </cell>
        </row>
        <row r="381">
          <cell r="BG381" t="str">
            <v>EVIEPERP €CEstockAvoirs Fiscaux sur PM</v>
          </cell>
        </row>
        <row r="382">
          <cell r="BG382" t="str">
            <v>EVIEPERP €CEstock(A) après IS</v>
          </cell>
        </row>
        <row r="383">
          <cell r="BG383" t="str">
            <v>EVIEPERP €CEstock(B) après IS</v>
          </cell>
        </row>
        <row r="384">
          <cell r="BG384" t="str">
            <v>EVIEPERP €CEstock(C) après IS</v>
          </cell>
        </row>
        <row r="385">
          <cell r="BG385" t="str">
            <v>EVIEPERP €CEstockX1</v>
          </cell>
        </row>
        <row r="386">
          <cell r="BG386" t="str">
            <v>CNPEPARGNECEN1Chargements sur flux</v>
          </cell>
        </row>
        <row r="387">
          <cell r="BG387" t="str">
            <v>CNPEPARGNECEN1Commissions sur flux</v>
          </cell>
        </row>
        <row r="388">
          <cell r="BG388" t="str">
            <v>CNPEPARGNECEN1Total Chargements hors flux</v>
          </cell>
        </row>
        <row r="389">
          <cell r="BG389" t="str">
            <v>CNPEPARGNECEN1Total Commissions hors flux</v>
          </cell>
        </row>
        <row r="390">
          <cell r="BG390" t="str">
            <v>CNPEPARGNECEN1Marge Technique et/ou Financière</v>
          </cell>
        </row>
        <row r="391">
          <cell r="BG391" t="str">
            <v>CNPEPARGNECEN1Frais de gestion</v>
          </cell>
        </row>
        <row r="392">
          <cell r="BG392" t="str">
            <v>CNPEPARGNECEN1Frais d'acquisition</v>
          </cell>
        </row>
        <row r="393">
          <cell r="BG393" t="str">
            <v>CNPEPARGNECEN1Facturation</v>
          </cell>
        </row>
        <row r="394">
          <cell r="BG394" t="str">
            <v>CNPEPARGNECEN1Organic sur CA</v>
          </cell>
        </row>
        <row r="395">
          <cell r="BG395" t="str">
            <v>CNPEPARGNECEN1Commissions complémentaires</v>
          </cell>
        </row>
        <row r="396">
          <cell r="BG396" t="str">
            <v>CNPEPARGNECEN1Rétrocessions</v>
          </cell>
        </row>
        <row r="397">
          <cell r="BG397" t="str">
            <v>CNPEPARGNECEN1(A) avant AF sur PM</v>
          </cell>
        </row>
        <row r="398">
          <cell r="BG398" t="str">
            <v>CNPEPARGNECEN1Encours moyen du passif</v>
          </cell>
        </row>
        <row r="399">
          <cell r="BG399" t="str">
            <v>CNPEPARGNECEN1PM début</v>
          </cell>
        </row>
        <row r="400">
          <cell r="BG400" t="str">
            <v>CNPEPARGNECEN1Marge de solvabilité début</v>
          </cell>
        </row>
        <row r="401">
          <cell r="BG401" t="str">
            <v>CNPEPARGNECEN1CA + Virement - Transfert</v>
          </cell>
        </row>
        <row r="402">
          <cell r="BG402" t="str">
            <v>CNPEPARGNECEN1Nbre de contrats début</v>
          </cell>
        </row>
        <row r="403">
          <cell r="BG403" t="str">
            <v>CNPEPARGNECEN1Frais alloués de gestion</v>
          </cell>
        </row>
        <row r="404">
          <cell r="BG404" t="str">
            <v>CNPEPARGNECEN1Frais alloués d'acquisition</v>
          </cell>
        </row>
        <row r="405">
          <cell r="BG405" t="str">
            <v>CNPEPARGNECEN1Avoirs Fiscaux sur PM</v>
          </cell>
        </row>
        <row r="406">
          <cell r="BG406" t="str">
            <v>CNPEPARGNECEN1(A) après IS</v>
          </cell>
        </row>
        <row r="407">
          <cell r="BG407" t="str">
            <v>CNPEPARGNECEN1(B) après IS</v>
          </cell>
        </row>
        <row r="408">
          <cell r="BG408" t="str">
            <v>CNPEPARGNECEN1(C) après IS</v>
          </cell>
        </row>
        <row r="409">
          <cell r="BG409" t="str">
            <v>CNPEPARGNECEN1X1</v>
          </cell>
        </row>
        <row r="410">
          <cell r="BG410" t="str">
            <v>CNPEPARGNECEstockChargements sur flux</v>
          </cell>
        </row>
        <row r="411">
          <cell r="BG411" t="str">
            <v>CNPEPARGNECEstockCommissions sur flux</v>
          </cell>
        </row>
        <row r="412">
          <cell r="BG412" t="str">
            <v>CNPEPARGNECEstockTotal Chargements hors flux</v>
          </cell>
        </row>
        <row r="413">
          <cell r="BG413" t="str">
            <v>CNPEPARGNECEstockTotal Commissions hors flux</v>
          </cell>
        </row>
        <row r="414">
          <cell r="BG414" t="str">
            <v>CNPEPARGNECEstockMarge Technique et/ou Financière</v>
          </cell>
        </row>
        <row r="415">
          <cell r="BG415" t="str">
            <v>CNPEPARGNECEstockFrais de gestion</v>
          </cell>
        </row>
        <row r="416">
          <cell r="BG416" t="str">
            <v>CNPEPARGNECEstockFrais d'acquisition</v>
          </cell>
        </row>
        <row r="417">
          <cell r="BG417" t="str">
            <v>CNPEPARGNECEstockFacturation</v>
          </cell>
        </row>
        <row r="418">
          <cell r="BG418" t="str">
            <v>CNPEPARGNECEstockOrganic sur CA</v>
          </cell>
        </row>
        <row r="419">
          <cell r="BG419" t="str">
            <v>CNPEPARGNECEstockCommissions complémentaires</v>
          </cell>
        </row>
        <row r="420">
          <cell r="BG420" t="str">
            <v>CNPEPARGNECEstockRétrocessions</v>
          </cell>
        </row>
        <row r="421">
          <cell r="BG421" t="str">
            <v>CNPEPARGNECEstock(A) avant AF sur PM</v>
          </cell>
        </row>
        <row r="422">
          <cell r="BG422" t="str">
            <v>CNPEPARGNECEstockEncours moyen du passif</v>
          </cell>
        </row>
        <row r="423">
          <cell r="BG423" t="str">
            <v>CNPEPARGNECEstockPM début</v>
          </cell>
        </row>
        <row r="424">
          <cell r="BG424" t="str">
            <v>CNPEPARGNECEstockMarge de solvabilité début</v>
          </cell>
        </row>
        <row r="425">
          <cell r="BG425" t="str">
            <v>CNPEPARGNECEstockCA + Virement - Transfert</v>
          </cell>
        </row>
        <row r="426">
          <cell r="BG426" t="str">
            <v>CNPEPARGNECEstockNbre de contrats début</v>
          </cell>
        </row>
        <row r="427">
          <cell r="BG427" t="str">
            <v>CNPEPARGNECEstockFrais alloués de gestion</v>
          </cell>
        </row>
        <row r="428">
          <cell r="BG428" t="str">
            <v>CNPEPARGNECEstockFrais alloués d'acquisition</v>
          </cell>
        </row>
        <row r="429">
          <cell r="BG429" t="str">
            <v>CNPEPARGNECEstockAvoirs Fiscaux sur PM</v>
          </cell>
        </row>
        <row r="430">
          <cell r="BG430" t="str">
            <v>CNPEPARGNECEstock(A) après IS</v>
          </cell>
        </row>
        <row r="431">
          <cell r="BG431" t="str">
            <v>CNPEPARGNECEstock(B) après IS</v>
          </cell>
        </row>
        <row r="432">
          <cell r="BG432" t="str">
            <v>CNPEPARGNECEstock(C) après IS</v>
          </cell>
        </row>
        <row r="433">
          <cell r="BG433" t="str">
            <v>CNPEPARGNECEstockX1</v>
          </cell>
        </row>
        <row r="434">
          <cell r="BG434" t="str">
            <v>CNPEPARGNEPOSTEN1Chargements sur flux</v>
          </cell>
        </row>
        <row r="435">
          <cell r="BG435" t="str">
            <v>CNPEPARGNEPOSTEN1Commissions sur flux</v>
          </cell>
        </row>
        <row r="436">
          <cell r="BG436" t="str">
            <v>CNPEPARGNEPOSTEN1Total Chargements hors flux</v>
          </cell>
        </row>
        <row r="437">
          <cell r="BG437" t="str">
            <v>CNPEPARGNEPOSTEN1Total Commissions hors flux</v>
          </cell>
        </row>
        <row r="438">
          <cell r="BG438" t="str">
            <v>CNPEPARGNEPOSTEN1Marge Technique et/ou Financière</v>
          </cell>
        </row>
        <row r="439">
          <cell r="BG439" t="str">
            <v>CNPEPARGNEPOSTEN1Frais de gestion</v>
          </cell>
        </row>
        <row r="440">
          <cell r="BG440" t="str">
            <v>CNPEPARGNEPOSTEN1Frais d'acquisition</v>
          </cell>
        </row>
        <row r="441">
          <cell r="BG441" t="str">
            <v>CNPEPARGNEPOSTEN1Facturation</v>
          </cell>
        </row>
        <row r="442">
          <cell r="BG442" t="str">
            <v>CNPEPARGNEPOSTEN1Organic sur CA</v>
          </cell>
        </row>
        <row r="443">
          <cell r="BG443" t="str">
            <v>CNPEPARGNEPOSTEN1Commissions complémentaires</v>
          </cell>
        </row>
        <row r="444">
          <cell r="BG444" t="str">
            <v>CNPEPARGNEPOSTEN1Rétrocessions</v>
          </cell>
        </row>
        <row r="445">
          <cell r="BG445" t="str">
            <v>CNPEPARGNEPOSTEN1(A) avant AF sur PM</v>
          </cell>
        </row>
        <row r="446">
          <cell r="BG446" t="str">
            <v>CNPEPARGNEPOSTEN1Encours moyen du passif</v>
          </cell>
        </row>
        <row r="447">
          <cell r="BG447" t="str">
            <v>CNPEPARGNEPOSTEN1PM début</v>
          </cell>
        </row>
        <row r="448">
          <cell r="BG448" t="str">
            <v>CNPEPARGNEPOSTEN1Marge de solvabilité début</v>
          </cell>
        </row>
        <row r="449">
          <cell r="BG449" t="str">
            <v>CNPEPARGNEPOSTEN1CA + Virement - Transfert</v>
          </cell>
        </row>
        <row r="450">
          <cell r="BG450" t="str">
            <v>CNPEPARGNEPOSTEN1Nbre de contrats début</v>
          </cell>
        </row>
        <row r="451">
          <cell r="BG451" t="str">
            <v>CNPEPARGNEPOSTEN1Frais alloués de gestion</v>
          </cell>
        </row>
        <row r="452">
          <cell r="BG452" t="str">
            <v>CNPEPARGNEPOSTEN1Frais alloués d'acquisition</v>
          </cell>
        </row>
        <row r="453">
          <cell r="BG453" t="str">
            <v>CNPEPARGNEPOSTEN1Avoirs Fiscaux sur PM</v>
          </cell>
        </row>
        <row r="454">
          <cell r="BG454" t="str">
            <v>CNPEPARGNEPOSTEN1(A) après IS</v>
          </cell>
        </row>
        <row r="455">
          <cell r="BG455" t="str">
            <v>CNPEPARGNEPOSTEN1(B) après IS</v>
          </cell>
        </row>
        <row r="456">
          <cell r="BG456" t="str">
            <v>CNPEPARGNEPOSTEN1(C) après IS</v>
          </cell>
        </row>
        <row r="457">
          <cell r="BG457" t="str">
            <v>CNPEPARGNEPOSTEN1X1</v>
          </cell>
        </row>
        <row r="458">
          <cell r="BG458" t="str">
            <v>CNPEPARGNEPOSTEstockChargements sur flux</v>
          </cell>
        </row>
        <row r="459">
          <cell r="BG459" t="str">
            <v>CNPEPARGNEPOSTEstockCommissions sur flux</v>
          </cell>
        </row>
        <row r="460">
          <cell r="BG460" t="str">
            <v>CNPEPARGNEPOSTEstockTotal Chargements hors flux</v>
          </cell>
        </row>
        <row r="461">
          <cell r="BG461" t="str">
            <v>CNPEPARGNEPOSTEstockTotal Commissions hors flux</v>
          </cell>
        </row>
        <row r="462">
          <cell r="BG462" t="str">
            <v>CNPEPARGNEPOSTEstockMarge Technique et/ou Financière</v>
          </cell>
        </row>
        <row r="463">
          <cell r="BG463" t="str">
            <v>CNPEPARGNEPOSTEstockFrais de gestion</v>
          </cell>
        </row>
        <row r="464">
          <cell r="BG464" t="str">
            <v>CNPEPARGNEPOSTEstockFrais d'acquisition</v>
          </cell>
        </row>
        <row r="465">
          <cell r="BG465" t="str">
            <v>CNPEPARGNEPOSTEstockFacturation</v>
          </cell>
        </row>
        <row r="466">
          <cell r="BG466" t="str">
            <v>CNPEPARGNEPOSTEstockOrganic sur CA</v>
          </cell>
        </row>
        <row r="467">
          <cell r="BG467" t="str">
            <v>CNPEPARGNEPOSTEstockCommissions complémentaires</v>
          </cell>
        </row>
        <row r="468">
          <cell r="BG468" t="str">
            <v>CNPEPARGNEPOSTEstockRétrocessions</v>
          </cell>
        </row>
        <row r="469">
          <cell r="BG469" t="str">
            <v>CNPEPARGNEPOSTEstock(A) avant AF sur PM</v>
          </cell>
        </row>
        <row r="470">
          <cell r="BG470" t="str">
            <v>CNPEPARGNEPOSTEstockEncours moyen du passif</v>
          </cell>
        </row>
        <row r="471">
          <cell r="BG471" t="str">
            <v>CNPEPARGNEPOSTEstockPM début</v>
          </cell>
        </row>
        <row r="472">
          <cell r="BG472" t="str">
            <v>CNPEPARGNEPOSTEstockMarge de solvabilité début</v>
          </cell>
        </row>
        <row r="473">
          <cell r="BG473" t="str">
            <v>CNPEPARGNEPOSTEstockCA + Virement - Transfert</v>
          </cell>
        </row>
        <row r="474">
          <cell r="BG474" t="str">
            <v>CNPEPARGNEPOSTEstockNbre de contrats début</v>
          </cell>
        </row>
        <row r="475">
          <cell r="BG475" t="str">
            <v>CNPEPARGNEPOSTEstockFrais alloués de gestion</v>
          </cell>
        </row>
        <row r="476">
          <cell r="BG476" t="str">
            <v>CNPEPARGNEPOSTEstockFrais alloués d'acquisition</v>
          </cell>
        </row>
        <row r="477">
          <cell r="BG477" t="str">
            <v>CNPEPARGNEPOSTEstockAvoirs Fiscaux sur PM</v>
          </cell>
        </row>
        <row r="478">
          <cell r="BG478" t="str">
            <v>CNPEPARGNEPOSTEstock(A) après IS</v>
          </cell>
        </row>
        <row r="479">
          <cell r="BG479" t="str">
            <v>CNPEPARGNEPOSTEstock(B) après IS</v>
          </cell>
        </row>
        <row r="480">
          <cell r="BG480" t="str">
            <v>CNPEPARGNEPOSTEstock(C) après IS</v>
          </cell>
        </row>
        <row r="481">
          <cell r="BG481" t="str">
            <v>CNPEPARGNEPOSTEstockX1</v>
          </cell>
        </row>
        <row r="482">
          <cell r="BG482" t="str">
            <v>CNPEPARGNETRESORN1Chargements sur flux</v>
          </cell>
        </row>
        <row r="483">
          <cell r="BG483" t="str">
            <v>CNPEPARGNETRESORN1Commissions sur flux</v>
          </cell>
        </row>
        <row r="484">
          <cell r="BG484" t="str">
            <v>CNPEPARGNETRESORN1Total Chargements hors flux</v>
          </cell>
        </row>
        <row r="485">
          <cell r="BG485" t="str">
            <v>CNPEPARGNETRESORN1Total Commissions hors flux</v>
          </cell>
        </row>
        <row r="486">
          <cell r="BG486" t="str">
            <v>CNPEPARGNETRESORN1Marge Technique et/ou Financière</v>
          </cell>
        </row>
        <row r="487">
          <cell r="BG487" t="str">
            <v>CNPEPARGNETRESORN1Frais de gestion</v>
          </cell>
        </row>
        <row r="488">
          <cell r="BG488" t="str">
            <v>CNPEPARGNETRESORN1Frais d'acquisition</v>
          </cell>
        </row>
        <row r="489">
          <cell r="BG489" t="str">
            <v>CNPEPARGNETRESORN1Facturation</v>
          </cell>
        </row>
        <row r="490">
          <cell r="BG490" t="str">
            <v>CNPEPARGNETRESORN1Organic sur CA</v>
          </cell>
        </row>
        <row r="491">
          <cell r="BG491" t="str">
            <v>CNPEPARGNETRESORN1Commissions complémentaires</v>
          </cell>
        </row>
        <row r="492">
          <cell r="BG492" t="str">
            <v>CNPEPARGNETRESORN1Rétrocessions</v>
          </cell>
        </row>
        <row r="493">
          <cell r="BG493" t="str">
            <v>CNPEPARGNETRESORN1(A) avant AF sur PM</v>
          </cell>
        </row>
        <row r="494">
          <cell r="BG494" t="str">
            <v>CNPEPARGNETRESORN1Encours moyen du passif</v>
          </cell>
        </row>
        <row r="495">
          <cell r="BG495" t="str">
            <v>CNPEPARGNETRESORN1PM début</v>
          </cell>
        </row>
        <row r="496">
          <cell r="BG496" t="str">
            <v>CNPEPARGNETRESORN1Marge de solvabilité début</v>
          </cell>
        </row>
        <row r="497">
          <cell r="BG497" t="str">
            <v>CNPEPARGNETRESORN1CA + Virement - Transfert</v>
          </cell>
        </row>
        <row r="498">
          <cell r="BG498" t="str">
            <v>CNPEPARGNETRESORN1Nbre de contrats début</v>
          </cell>
        </row>
        <row r="499">
          <cell r="BG499" t="str">
            <v>CNPEPARGNETRESORN1Frais alloués de gestion</v>
          </cell>
        </row>
        <row r="500">
          <cell r="BG500" t="str">
            <v>CNPEPARGNETRESORN1Frais alloués d'acquisition</v>
          </cell>
        </row>
        <row r="501">
          <cell r="BG501" t="str">
            <v>CNPEPARGNETRESORN1Avoirs Fiscaux sur PM</v>
          </cell>
        </row>
        <row r="502">
          <cell r="BG502" t="str">
            <v>CNPEPARGNETRESORN1(A) après IS</v>
          </cell>
        </row>
        <row r="503">
          <cell r="BG503" t="str">
            <v>CNPEPARGNETRESORN1(B) après IS</v>
          </cell>
        </row>
        <row r="504">
          <cell r="BG504" t="str">
            <v>CNPEPARGNETRESORN1(C) après IS</v>
          </cell>
        </row>
        <row r="505">
          <cell r="BG505" t="str">
            <v>CNPEPARGNETRESORN1X1</v>
          </cell>
        </row>
        <row r="506">
          <cell r="BG506" t="str">
            <v>CNPEPARGNETRESORstockChargements sur flux</v>
          </cell>
        </row>
        <row r="507">
          <cell r="BG507" t="str">
            <v>CNPEPARGNETRESORstockCommissions sur flux</v>
          </cell>
        </row>
        <row r="508">
          <cell r="BG508" t="str">
            <v>CNPEPARGNETRESORstockTotal Chargements hors flux</v>
          </cell>
        </row>
        <row r="509">
          <cell r="BG509" t="str">
            <v>CNPEPARGNETRESORstockTotal Commissions hors flux</v>
          </cell>
        </row>
        <row r="510">
          <cell r="BG510" t="str">
            <v>CNPEPARGNETRESORstockMarge Technique et/ou Financière</v>
          </cell>
        </row>
        <row r="511">
          <cell r="BG511" t="str">
            <v>CNPEPARGNETRESORstockFrais de gestion</v>
          </cell>
        </row>
        <row r="512">
          <cell r="BG512" t="str">
            <v>CNPEPARGNETRESORstockFrais d'acquisition</v>
          </cell>
        </row>
        <row r="513">
          <cell r="BG513" t="str">
            <v>CNPEPARGNETRESORstockFacturation</v>
          </cell>
        </row>
        <row r="514">
          <cell r="BG514" t="str">
            <v>CNPEPARGNETRESORstockOrganic sur CA</v>
          </cell>
        </row>
        <row r="515">
          <cell r="BG515" t="str">
            <v>CNPEPARGNETRESORstockCommissions complémentaires</v>
          </cell>
        </row>
        <row r="516">
          <cell r="BG516" t="str">
            <v>CNPEPARGNETRESORstockRétrocessions</v>
          </cell>
        </row>
        <row r="517">
          <cell r="BG517" t="str">
            <v>CNPEPARGNETRESORstock(A) avant AF sur PM</v>
          </cell>
        </row>
        <row r="518">
          <cell r="BG518" t="str">
            <v>CNPEPARGNETRESORstockEncours moyen du passif</v>
          </cell>
        </row>
        <row r="519">
          <cell r="BG519" t="str">
            <v>CNPEPARGNETRESORstockPM début</v>
          </cell>
        </row>
        <row r="520">
          <cell r="BG520" t="str">
            <v>CNPEPARGNETRESORstockMarge de solvabilité début</v>
          </cell>
        </row>
        <row r="521">
          <cell r="BG521" t="str">
            <v>CNPEPARGNETRESORstockCA + Virement - Transfert</v>
          </cell>
        </row>
        <row r="522">
          <cell r="BG522" t="str">
            <v>CNPEPARGNETRESORstockNbre de contrats début</v>
          </cell>
        </row>
        <row r="523">
          <cell r="BG523" t="str">
            <v>CNPEPARGNETRESORstockFrais alloués de gestion</v>
          </cell>
        </row>
        <row r="524">
          <cell r="BG524" t="str">
            <v>CNPEPARGNETRESORstockFrais alloués d'acquisition</v>
          </cell>
        </row>
        <row r="525">
          <cell r="BG525" t="str">
            <v>CNPEPARGNETRESORstockAvoirs Fiscaux sur PM</v>
          </cell>
        </row>
        <row r="526">
          <cell r="BG526" t="str">
            <v>CNPEPARGNETRESORstock(A) après IS</v>
          </cell>
        </row>
        <row r="527">
          <cell r="BG527" t="str">
            <v>CNPEPARGNETRESORstock(B) après IS</v>
          </cell>
        </row>
        <row r="528">
          <cell r="BG528" t="str">
            <v>CNPEPARGNETRESORstock(C) après IS</v>
          </cell>
        </row>
        <row r="529">
          <cell r="BG529" t="str">
            <v>CNPEPARGNETRESORstockX1</v>
          </cell>
        </row>
        <row r="530">
          <cell r="BG530" t="str">
            <v>ITVEPARGNETRESORN1Chargements sur flux</v>
          </cell>
        </row>
        <row r="531">
          <cell r="BG531" t="str">
            <v>ITVEPARGNETRESORN1Commissions sur flux</v>
          </cell>
        </row>
        <row r="532">
          <cell r="BG532" t="str">
            <v>ITVEPARGNETRESORN1Total Chargements hors flux</v>
          </cell>
        </row>
        <row r="533">
          <cell r="BG533" t="str">
            <v>ITVEPARGNETRESORN1Total Commissions hors flux</v>
          </cell>
        </row>
        <row r="534">
          <cell r="BG534" t="str">
            <v>ITVEPARGNETRESORN1Marge Technique et/ou Financière</v>
          </cell>
        </row>
        <row r="535">
          <cell r="BG535" t="str">
            <v>ITVEPARGNETRESORN1Frais de gestion</v>
          </cell>
        </row>
        <row r="536">
          <cell r="BG536" t="str">
            <v>ITVEPARGNETRESORN1Frais d'acquisition</v>
          </cell>
        </row>
        <row r="537">
          <cell r="BG537" t="str">
            <v>ITVEPARGNETRESORN1Facturation</v>
          </cell>
        </row>
        <row r="538">
          <cell r="BG538" t="str">
            <v>ITVEPARGNETRESORN1Organic sur CA</v>
          </cell>
        </row>
        <row r="539">
          <cell r="BG539" t="str">
            <v>ITVEPARGNETRESORN1Commissions complémentaires</v>
          </cell>
        </row>
        <row r="540">
          <cell r="BG540" t="str">
            <v>ITVEPARGNETRESORN1Rétrocessions</v>
          </cell>
        </row>
        <row r="541">
          <cell r="BG541" t="str">
            <v>ITVEPARGNETRESORN1(A) avant AF sur PM</v>
          </cell>
        </row>
        <row r="542">
          <cell r="BG542" t="str">
            <v>ITVEPARGNETRESORN1Encours moyen du passif</v>
          </cell>
        </row>
        <row r="543">
          <cell r="BG543" t="str">
            <v>ITVEPARGNETRESORN1PM début</v>
          </cell>
        </row>
        <row r="544">
          <cell r="BG544" t="str">
            <v>ITVEPARGNETRESORN1Marge de solvabilité début</v>
          </cell>
        </row>
        <row r="545">
          <cell r="BG545" t="str">
            <v>ITVEPARGNETRESORN1CA + Virement - Transfert</v>
          </cell>
        </row>
        <row r="546">
          <cell r="BG546" t="str">
            <v>ITVEPARGNETRESORN1Nbre de contrats début</v>
          </cell>
        </row>
        <row r="547">
          <cell r="BG547" t="str">
            <v>ITVEPARGNETRESORN1Frais alloués de gestion</v>
          </cell>
        </row>
        <row r="548">
          <cell r="BG548" t="str">
            <v>ITVEPARGNETRESORN1Frais alloués d'acquisition</v>
          </cell>
        </row>
        <row r="549">
          <cell r="BG549" t="str">
            <v>ITVEPARGNETRESORN1Avoirs Fiscaux sur PM</v>
          </cell>
        </row>
        <row r="550">
          <cell r="BG550" t="str">
            <v>ITVEPARGNETRESORN1(A) après IS</v>
          </cell>
        </row>
        <row r="551">
          <cell r="BG551" t="str">
            <v>ITVEPARGNETRESORN1(B) après IS</v>
          </cell>
        </row>
        <row r="552">
          <cell r="BG552" t="str">
            <v>ITVEPARGNETRESORN1(C) après IS</v>
          </cell>
        </row>
        <row r="553">
          <cell r="BG553" t="str">
            <v>ITVEPARGNETRESORN1X1</v>
          </cell>
        </row>
        <row r="554">
          <cell r="BG554" t="str">
            <v>ITVEPARGNETRESORstockChargements sur flux</v>
          </cell>
        </row>
        <row r="555">
          <cell r="BG555" t="str">
            <v>ITVEPARGNETRESORstockCommissions sur flux</v>
          </cell>
        </row>
        <row r="556">
          <cell r="BG556" t="str">
            <v>ITVEPARGNETRESORstockTotal Chargements hors flux</v>
          </cell>
        </row>
        <row r="557">
          <cell r="BG557" t="str">
            <v>ITVEPARGNETRESORstockTotal Commissions hors flux</v>
          </cell>
        </row>
        <row r="558">
          <cell r="BG558" t="str">
            <v>ITVEPARGNETRESORstockMarge Technique et/ou Financière</v>
          </cell>
        </row>
        <row r="559">
          <cell r="BG559" t="str">
            <v>ITVEPARGNETRESORstockFrais de gestion</v>
          </cell>
        </row>
        <row r="560">
          <cell r="BG560" t="str">
            <v>ITVEPARGNETRESORstockFrais d'acquisition</v>
          </cell>
        </row>
        <row r="561">
          <cell r="BG561" t="str">
            <v>ITVEPARGNETRESORstockFacturation</v>
          </cell>
        </row>
        <row r="562">
          <cell r="BG562" t="str">
            <v>ITVEPARGNETRESORstockOrganic sur CA</v>
          </cell>
        </row>
        <row r="563">
          <cell r="BG563" t="str">
            <v>ITVEPARGNETRESORstockCommissions complémentaires</v>
          </cell>
        </row>
        <row r="564">
          <cell r="BG564" t="str">
            <v>ITVEPARGNETRESORstockRétrocessions</v>
          </cell>
        </row>
        <row r="565">
          <cell r="BG565" t="str">
            <v>ITVEPARGNETRESORstock(A) avant AF sur PM</v>
          </cell>
        </row>
        <row r="566">
          <cell r="BG566" t="str">
            <v>ITVEPARGNETRESORstockEncours moyen du passif</v>
          </cell>
        </row>
        <row r="567">
          <cell r="BG567" t="str">
            <v>ITVEPARGNETRESORstockPM début</v>
          </cell>
        </row>
        <row r="568">
          <cell r="BG568" t="str">
            <v>ITVEPARGNETRESORstockMarge de solvabilité début</v>
          </cell>
        </row>
        <row r="569">
          <cell r="BG569" t="str">
            <v>ITVEPARGNETRESORstockCA + Virement - Transfert</v>
          </cell>
        </row>
        <row r="570">
          <cell r="BG570" t="str">
            <v>ITVEPARGNETRESORstockNbre de contrats début</v>
          </cell>
        </row>
        <row r="571">
          <cell r="BG571" t="str">
            <v>ITVEPARGNETRESORstockFrais alloués de gestion</v>
          </cell>
        </row>
        <row r="572">
          <cell r="BG572" t="str">
            <v>ITVEPARGNETRESORstockFrais alloués d'acquisition</v>
          </cell>
        </row>
        <row r="573">
          <cell r="BG573" t="str">
            <v>ITVEPARGNETRESORstockAvoirs Fiscaux sur PM</v>
          </cell>
        </row>
        <row r="574">
          <cell r="BG574" t="str">
            <v>ITVEPARGNETRESORstock(A) après IS</v>
          </cell>
        </row>
        <row r="575">
          <cell r="BG575" t="str">
            <v>ITVEPARGNETRESORstock(B) après IS</v>
          </cell>
        </row>
        <row r="576">
          <cell r="BG576" t="str">
            <v>ITVEPARGNETRESORstock(C) après IS</v>
          </cell>
        </row>
        <row r="577">
          <cell r="BG577" t="str">
            <v>ITVEPARGNETRESORstockX1</v>
          </cell>
        </row>
        <row r="578">
          <cell r="BG578" t="str">
            <v>PREVIPOSTEEPARGNEPOSTEN1Chargements sur flux</v>
          </cell>
        </row>
        <row r="579">
          <cell r="BG579" t="str">
            <v>PREVIPOSTEEPARGNEPOSTEN1Commissions sur flux</v>
          </cell>
        </row>
        <row r="580">
          <cell r="BG580" t="str">
            <v>PREVIPOSTEEPARGNEPOSTEN1Total Chargements hors flux</v>
          </cell>
        </row>
        <row r="581">
          <cell r="BG581" t="str">
            <v>PREVIPOSTEEPARGNEPOSTEN1Total Commissions hors flux</v>
          </cell>
        </row>
        <row r="582">
          <cell r="BG582" t="str">
            <v>PREVIPOSTEEPARGNEPOSTEN1Marge Technique et/ou Financière</v>
          </cell>
        </row>
        <row r="583">
          <cell r="BG583" t="str">
            <v>PREVIPOSTEEPARGNEPOSTEN1Frais de gestion</v>
          </cell>
        </row>
        <row r="584">
          <cell r="BG584" t="str">
            <v>PREVIPOSTEEPARGNEPOSTEN1Frais d'acquisition</v>
          </cell>
        </row>
        <row r="585">
          <cell r="BG585" t="str">
            <v>PREVIPOSTEEPARGNEPOSTEN1Facturation</v>
          </cell>
        </row>
        <row r="586">
          <cell r="BG586" t="str">
            <v>PREVIPOSTEEPARGNEPOSTEN1Organic sur CA</v>
          </cell>
        </row>
        <row r="587">
          <cell r="BG587" t="str">
            <v>PREVIPOSTEEPARGNEPOSTEN1Commissions complémentaires</v>
          </cell>
        </row>
        <row r="588">
          <cell r="BG588" t="str">
            <v>PREVIPOSTEEPARGNEPOSTEN1Rétrocessions</v>
          </cell>
        </row>
        <row r="589">
          <cell r="BG589" t="str">
            <v>PREVIPOSTEEPARGNEPOSTEN1(A) avant AF sur PM</v>
          </cell>
        </row>
        <row r="590">
          <cell r="BG590" t="str">
            <v>PREVIPOSTEEPARGNEPOSTEN1Encours moyen du passif</v>
          </cell>
        </row>
        <row r="591">
          <cell r="BG591" t="str">
            <v>PREVIPOSTEEPARGNEPOSTEN1PM début</v>
          </cell>
        </row>
        <row r="592">
          <cell r="BG592" t="str">
            <v>PREVIPOSTEEPARGNEPOSTEN1Marge de solvabilité début</v>
          </cell>
        </row>
        <row r="593">
          <cell r="BG593" t="str">
            <v>PREVIPOSTEEPARGNEPOSTEN1CA + Virement - Transfert</v>
          </cell>
        </row>
        <row r="594">
          <cell r="BG594" t="str">
            <v>PREVIPOSTEEPARGNEPOSTEN1Nbre de contrats début</v>
          </cell>
        </row>
        <row r="595">
          <cell r="BG595" t="str">
            <v>PREVIPOSTEEPARGNEPOSTEN1Frais alloués de gestion</v>
          </cell>
        </row>
        <row r="596">
          <cell r="BG596" t="str">
            <v>PREVIPOSTEEPARGNEPOSTEN1Frais alloués d'acquisition</v>
          </cell>
        </row>
        <row r="597">
          <cell r="BG597" t="str">
            <v>PREVIPOSTEEPARGNEPOSTEN1Avoirs Fiscaux sur PM</v>
          </cell>
        </row>
        <row r="598">
          <cell r="BG598" t="str">
            <v>PREVIPOSTEEPARGNEPOSTEN1(A) après IS</v>
          </cell>
        </row>
        <row r="599">
          <cell r="BG599" t="str">
            <v>PREVIPOSTEEPARGNEPOSTEN1(B) après IS</v>
          </cell>
        </row>
        <row r="600">
          <cell r="BG600" t="str">
            <v>PREVIPOSTEEPARGNEPOSTEN1(C) après IS</v>
          </cell>
        </row>
        <row r="601">
          <cell r="BG601" t="str">
            <v>PREVIPOSTEEPARGNEPOSTEN1X1</v>
          </cell>
        </row>
        <row r="602">
          <cell r="BG602" t="str">
            <v>PREVIPOSTEEPARGNEPOSTEstockChargements sur flux</v>
          </cell>
        </row>
        <row r="603">
          <cell r="BG603" t="str">
            <v>PREVIPOSTEEPARGNEPOSTEstockCommissions sur flux</v>
          </cell>
        </row>
        <row r="604">
          <cell r="BG604" t="str">
            <v>PREVIPOSTEEPARGNEPOSTEstockTotal Chargements hors flux</v>
          </cell>
        </row>
        <row r="605">
          <cell r="BG605" t="str">
            <v>PREVIPOSTEEPARGNEPOSTEstockTotal Commissions hors flux</v>
          </cell>
        </row>
        <row r="606">
          <cell r="BG606" t="str">
            <v>PREVIPOSTEEPARGNEPOSTEstockMarge Technique et/ou Financière</v>
          </cell>
        </row>
        <row r="607">
          <cell r="BG607" t="str">
            <v>PREVIPOSTEEPARGNEPOSTEstockFrais de gestion</v>
          </cell>
        </row>
        <row r="608">
          <cell r="BG608" t="str">
            <v>PREVIPOSTEEPARGNEPOSTEstockFrais d'acquisition</v>
          </cell>
        </row>
        <row r="609">
          <cell r="BG609" t="str">
            <v>PREVIPOSTEEPARGNEPOSTEstockFacturation</v>
          </cell>
        </row>
        <row r="610">
          <cell r="BG610" t="str">
            <v>PREVIPOSTEEPARGNEPOSTEstockOrganic sur CA</v>
          </cell>
        </row>
        <row r="611">
          <cell r="BG611" t="str">
            <v>PREVIPOSTEEPARGNEPOSTEstockCommissions complémentaires</v>
          </cell>
        </row>
        <row r="612">
          <cell r="BG612" t="str">
            <v>PREVIPOSTEEPARGNEPOSTEstockRétrocessions</v>
          </cell>
        </row>
        <row r="613">
          <cell r="BG613" t="str">
            <v>PREVIPOSTEEPARGNEPOSTEstock(A) avant AF sur PM</v>
          </cell>
        </row>
        <row r="614">
          <cell r="BG614" t="str">
            <v>PREVIPOSTEEPARGNEPOSTEstockEncours moyen du passif</v>
          </cell>
        </row>
        <row r="615">
          <cell r="BG615" t="str">
            <v>PREVIPOSTEEPARGNEPOSTEstockPM début</v>
          </cell>
        </row>
        <row r="616">
          <cell r="BG616" t="str">
            <v>PREVIPOSTEEPARGNEPOSTEstockMarge de solvabilité début</v>
          </cell>
        </row>
        <row r="617">
          <cell r="BG617" t="str">
            <v>PREVIPOSTEEPARGNEPOSTEstockCA + Virement - Transfert</v>
          </cell>
        </row>
        <row r="618">
          <cell r="BG618" t="str">
            <v>PREVIPOSTEEPARGNEPOSTEstockNbre de contrats début</v>
          </cell>
        </row>
        <row r="619">
          <cell r="BG619" t="str">
            <v>PREVIPOSTEEPARGNEPOSTEstockFrais alloués de gestion</v>
          </cell>
        </row>
        <row r="620">
          <cell r="BG620" t="str">
            <v>PREVIPOSTEEPARGNEPOSTEstockFrais alloués d'acquisition</v>
          </cell>
        </row>
        <row r="621">
          <cell r="BG621" t="str">
            <v>PREVIPOSTEEPARGNEPOSTEstockAvoirs Fiscaux sur PM</v>
          </cell>
        </row>
        <row r="622">
          <cell r="BG622" t="str">
            <v>PREVIPOSTEEPARGNEPOSTEstock(A) après IS</v>
          </cell>
        </row>
        <row r="623">
          <cell r="BG623" t="str">
            <v>PREVIPOSTEEPARGNEPOSTEstock(B) après IS</v>
          </cell>
        </row>
        <row r="624">
          <cell r="BG624" t="str">
            <v>PREVIPOSTEEPARGNEPOSTEstock(C) après IS</v>
          </cell>
        </row>
        <row r="625">
          <cell r="BG625" t="str">
            <v>PREVIPOSTEEPARGNEPOSTEstockX1</v>
          </cell>
        </row>
        <row r="626">
          <cell r="BG626" t="str">
            <v>ASSURPOSTEPREVOYANCEPOSTEN1Chargements sur flux</v>
          </cell>
        </row>
        <row r="627">
          <cell r="BG627" t="str">
            <v>ASSURPOSTEPREVOYANCEPOSTEN1Commissions sur flux</v>
          </cell>
        </row>
        <row r="628">
          <cell r="BG628" t="str">
            <v>ASSURPOSTEPREVOYANCEPOSTEN1Total Chargements hors flux</v>
          </cell>
        </row>
        <row r="629">
          <cell r="BG629" t="str">
            <v>ASSURPOSTEPREVOYANCEPOSTEN1Total Commissions hors flux</v>
          </cell>
        </row>
        <row r="630">
          <cell r="BG630" t="str">
            <v>ASSURPOSTEPREVOYANCEPOSTEN1Marge Technique et/ou Financière</v>
          </cell>
        </row>
        <row r="631">
          <cell r="BG631" t="str">
            <v>ASSURPOSTEPREVOYANCEPOSTEN1Frais de gestion</v>
          </cell>
        </row>
        <row r="632">
          <cell r="BG632" t="str">
            <v>ASSURPOSTEPREVOYANCEPOSTEN1Frais d'acquisition</v>
          </cell>
        </row>
        <row r="633">
          <cell r="BG633" t="str">
            <v>ASSURPOSTEPREVOYANCEPOSTEN1Facturation</v>
          </cell>
        </row>
        <row r="634">
          <cell r="BG634" t="str">
            <v>ASSURPOSTEPREVOYANCEPOSTEN1Organic sur CA</v>
          </cell>
        </row>
        <row r="635">
          <cell r="BG635" t="str">
            <v>ASSURPOSTEPREVOYANCEPOSTEN1Commissions complémentaires</v>
          </cell>
        </row>
        <row r="636">
          <cell r="BG636" t="str">
            <v>ASSURPOSTEPREVOYANCEPOSTEN1Rétrocessions</v>
          </cell>
        </row>
        <row r="637">
          <cell r="BG637" t="str">
            <v>ASSURPOSTEPREVOYANCEPOSTEN1(A) avant AF sur PM</v>
          </cell>
        </row>
        <row r="638">
          <cell r="BG638" t="str">
            <v>ASSURPOSTEPREVOYANCEPOSTEN1Encours moyen du passif</v>
          </cell>
        </row>
        <row r="639">
          <cell r="BG639" t="str">
            <v>ASSURPOSTEPREVOYANCEPOSTEN1PM début</v>
          </cell>
        </row>
        <row r="640">
          <cell r="BG640" t="str">
            <v>ASSURPOSTEPREVOYANCEPOSTEN1Marge de solvabilité début</v>
          </cell>
        </row>
        <row r="641">
          <cell r="BG641" t="str">
            <v>ASSURPOSTEPREVOYANCEPOSTEN1CA + Virement - Transfert</v>
          </cell>
        </row>
        <row r="642">
          <cell r="BG642" t="str">
            <v>ASSURPOSTEPREVOYANCEPOSTEN1Nbre de contrats début</v>
          </cell>
        </row>
        <row r="643">
          <cell r="BG643" t="str">
            <v>ASSURPOSTEPREVOYANCEPOSTEN1Frais alloués de gestion</v>
          </cell>
        </row>
        <row r="644">
          <cell r="BG644" t="str">
            <v>ASSURPOSTEPREVOYANCEPOSTEN1Frais alloués d'acquisition</v>
          </cell>
        </row>
        <row r="645">
          <cell r="BG645" t="str">
            <v>ASSURPOSTEPREVOYANCEPOSTEN1Avoirs Fiscaux sur PM</v>
          </cell>
        </row>
        <row r="646">
          <cell r="BG646" t="str">
            <v>ASSURPOSTEPREVOYANCEPOSTEN1(A) après IS</v>
          </cell>
        </row>
        <row r="647">
          <cell r="BG647" t="str">
            <v>ASSURPOSTEPREVOYANCEPOSTEN1(B) après IS</v>
          </cell>
        </row>
        <row r="648">
          <cell r="BG648" t="str">
            <v>ASSURPOSTEPREVOYANCEPOSTEN1(C) après IS</v>
          </cell>
        </row>
        <row r="649">
          <cell r="BG649" t="str">
            <v>ASSURPOSTEPREVOYANCEPOSTEN1X1</v>
          </cell>
        </row>
        <row r="650">
          <cell r="BG650" t="str">
            <v>ASSURPOSTEPREVOYANCEPOSTEStockChargements sur flux</v>
          </cell>
        </row>
        <row r="651">
          <cell r="BG651" t="str">
            <v>ASSURPOSTEPREVOYANCEPOSTEStockCommissions sur flux</v>
          </cell>
        </row>
        <row r="652">
          <cell r="BG652" t="str">
            <v>ASSURPOSTEPREVOYANCEPOSTEStockTotal Chargements hors flux</v>
          </cell>
        </row>
        <row r="653">
          <cell r="BG653" t="str">
            <v>ASSURPOSTEPREVOYANCEPOSTEStockTotal Commissions hors flux</v>
          </cell>
        </row>
        <row r="654">
          <cell r="BG654" t="str">
            <v>ASSURPOSTEPREVOYANCEPOSTEStockMarge Technique et/ou Financière</v>
          </cell>
        </row>
        <row r="655">
          <cell r="BG655" t="str">
            <v>ASSURPOSTEPREVOYANCEPOSTEStockFrais de gestion</v>
          </cell>
        </row>
        <row r="656">
          <cell r="BG656" t="str">
            <v>ASSURPOSTEPREVOYANCEPOSTEStockFrais d'acquisition</v>
          </cell>
        </row>
        <row r="657">
          <cell r="BG657" t="str">
            <v>ASSURPOSTEPREVOYANCEPOSTEStockFacturation</v>
          </cell>
        </row>
        <row r="658">
          <cell r="BG658" t="str">
            <v>ASSURPOSTEPREVOYANCEPOSTEStockOrganic sur CA</v>
          </cell>
        </row>
        <row r="659">
          <cell r="BG659" t="str">
            <v>ASSURPOSTEPREVOYANCEPOSTEStockCommissions complémentaires</v>
          </cell>
        </row>
        <row r="660">
          <cell r="BG660" t="str">
            <v>ASSURPOSTEPREVOYANCEPOSTEStockRétrocessions</v>
          </cell>
        </row>
        <row r="661">
          <cell r="BG661" t="str">
            <v>ASSURPOSTEPREVOYANCEPOSTEStock(A) avant AF sur PM</v>
          </cell>
        </row>
        <row r="662">
          <cell r="BG662" t="str">
            <v>ASSURPOSTEPREVOYANCEPOSTEStockEncours moyen du passif</v>
          </cell>
        </row>
        <row r="663">
          <cell r="BG663" t="str">
            <v>ASSURPOSTEPREVOYANCEPOSTEStockPM début</v>
          </cell>
        </row>
        <row r="664">
          <cell r="BG664" t="str">
            <v>ASSURPOSTEPREVOYANCEPOSTEStockMarge de solvabilité début</v>
          </cell>
        </row>
        <row r="665">
          <cell r="BG665" t="str">
            <v>ASSURPOSTEPREVOYANCEPOSTEStockCA + Virement - Transfert</v>
          </cell>
        </row>
        <row r="666">
          <cell r="BG666" t="str">
            <v>ASSURPOSTEPREVOYANCEPOSTEStockNbre de contrats début</v>
          </cell>
        </row>
        <row r="667">
          <cell r="BG667" t="str">
            <v>ASSURPOSTEPREVOYANCEPOSTEStockFrais alloués de gestion</v>
          </cell>
        </row>
        <row r="668">
          <cell r="BG668" t="str">
            <v>ASSURPOSTEPREVOYANCEPOSTEStockFrais alloués d'acquisition</v>
          </cell>
        </row>
        <row r="669">
          <cell r="BG669" t="str">
            <v>ASSURPOSTEPREVOYANCEPOSTEStockAvoirs Fiscaux sur PM</v>
          </cell>
        </row>
        <row r="670">
          <cell r="BG670" t="str">
            <v>ASSURPOSTEPREVOYANCEPOSTEStock(A) après IS</v>
          </cell>
        </row>
        <row r="671">
          <cell r="BG671" t="str">
            <v>ASSURPOSTEPREVOYANCEPOSTEStock(B) après IS</v>
          </cell>
        </row>
        <row r="672">
          <cell r="BG672" t="str">
            <v>ASSURPOSTEPREVOYANCEPOSTEStock(C) après IS</v>
          </cell>
        </row>
        <row r="673">
          <cell r="BG673" t="str">
            <v>ASSURPOSTEPREVOYANCEPOSTEStockX1</v>
          </cell>
        </row>
        <row r="674">
          <cell r="BG674" t="str">
            <v>CNPPREVOYANCECEStockChargements sur flux</v>
          </cell>
        </row>
        <row r="675">
          <cell r="BG675" t="str">
            <v>CNPPREVOYANCECEStockCommissions sur flux</v>
          </cell>
        </row>
        <row r="676">
          <cell r="BG676" t="str">
            <v>CNPPREVOYANCECEStockTotal Chargements hors flux</v>
          </cell>
        </row>
        <row r="677">
          <cell r="BG677" t="str">
            <v>CNPPREVOYANCECEStockTotal Commissions hors flux</v>
          </cell>
        </row>
        <row r="678">
          <cell r="BG678" t="str">
            <v>CNPPREVOYANCECEStockMarge Technique et/ou Financière</v>
          </cell>
        </row>
        <row r="679">
          <cell r="BG679" t="str">
            <v>CNPPREVOYANCECEStockFrais de gestion</v>
          </cell>
        </row>
        <row r="680">
          <cell r="BG680" t="str">
            <v>CNPPREVOYANCECEStockFrais d'acquisition</v>
          </cell>
        </row>
        <row r="681">
          <cell r="BG681" t="str">
            <v>CNPPREVOYANCECEStockFacturation</v>
          </cell>
        </row>
        <row r="682">
          <cell r="BG682" t="str">
            <v>CNPPREVOYANCECEStockOrganic sur CA</v>
          </cell>
        </row>
        <row r="683">
          <cell r="BG683" t="str">
            <v>CNPPREVOYANCECEStockCommissions complémentaires</v>
          </cell>
        </row>
        <row r="684">
          <cell r="BG684" t="str">
            <v>CNPPREVOYANCECEStockRétrocessions</v>
          </cell>
        </row>
        <row r="685">
          <cell r="BG685" t="str">
            <v>CNPPREVOYANCECEStock(A) avant AF sur PM</v>
          </cell>
        </row>
        <row r="686">
          <cell r="BG686" t="str">
            <v>CNPPREVOYANCECEStockEncours moyen du passif</v>
          </cell>
        </row>
        <row r="687">
          <cell r="BG687" t="str">
            <v>CNPPREVOYANCECEStockPM début</v>
          </cell>
        </row>
        <row r="688">
          <cell r="BG688" t="str">
            <v>CNPPREVOYANCECEStockMarge de solvabilité début</v>
          </cell>
        </row>
        <row r="689">
          <cell r="BG689" t="str">
            <v>CNPPREVOYANCECEStockCA + Virement - Transfert</v>
          </cell>
        </row>
        <row r="690">
          <cell r="BG690" t="str">
            <v>CNPPREVOYANCECEStockNbre de contrats début</v>
          </cell>
        </row>
        <row r="691">
          <cell r="BG691" t="str">
            <v>CNPPREVOYANCECEStockFrais alloués de gestion</v>
          </cell>
        </row>
        <row r="692">
          <cell r="BG692" t="str">
            <v>CNPPREVOYANCECEStockFrais alloués d'acquisition</v>
          </cell>
        </row>
        <row r="693">
          <cell r="BG693" t="str">
            <v>CNPPREVOYANCECEStockAvoirs Fiscaux sur PM</v>
          </cell>
        </row>
        <row r="694">
          <cell r="BG694" t="str">
            <v>CNPPREVOYANCECEStock(A) après IS</v>
          </cell>
        </row>
        <row r="695">
          <cell r="BG695" t="str">
            <v>CNPPREVOYANCECEStock(B) après IS</v>
          </cell>
        </row>
        <row r="696">
          <cell r="BG696" t="str">
            <v>CNPPREVOYANCECEStock(C) après IS</v>
          </cell>
        </row>
        <row r="697">
          <cell r="BG697" t="str">
            <v>CNPPREVOYANCECEStockX1</v>
          </cell>
        </row>
        <row r="698">
          <cell r="BG698" t="str">
            <v>CNPPREVOYANCEPOSTEStockChargements sur flux</v>
          </cell>
        </row>
        <row r="699">
          <cell r="BG699" t="str">
            <v>CNPPREVOYANCEPOSTEStockCommissions sur flux</v>
          </cell>
        </row>
        <row r="700">
          <cell r="BG700" t="str">
            <v>CNPPREVOYANCEPOSTEStockTotal Chargements hors flux</v>
          </cell>
        </row>
        <row r="701">
          <cell r="BG701" t="str">
            <v>CNPPREVOYANCEPOSTEStockTotal Commissions hors flux</v>
          </cell>
        </row>
        <row r="702">
          <cell r="BG702" t="str">
            <v>CNPPREVOYANCEPOSTEStockMarge Technique et/ou Financière</v>
          </cell>
        </row>
        <row r="703">
          <cell r="BG703" t="str">
            <v>CNPPREVOYANCEPOSTEStockFrais de gestion</v>
          </cell>
        </row>
        <row r="704">
          <cell r="BG704" t="str">
            <v>CNPPREVOYANCEPOSTEStockFrais d'acquisition</v>
          </cell>
        </row>
        <row r="705">
          <cell r="BG705" t="str">
            <v>CNPPREVOYANCEPOSTEStockFacturation</v>
          </cell>
        </row>
        <row r="706">
          <cell r="BG706" t="str">
            <v>CNPPREVOYANCEPOSTEStockOrganic sur CA</v>
          </cell>
        </row>
        <row r="707">
          <cell r="BG707" t="str">
            <v>CNPPREVOYANCEPOSTEStockCommissions complémentaires</v>
          </cell>
        </row>
        <row r="708">
          <cell r="BG708" t="str">
            <v>CNPPREVOYANCEPOSTEStockRétrocessions</v>
          </cell>
        </row>
        <row r="709">
          <cell r="BG709" t="str">
            <v>CNPPREVOYANCEPOSTEStock(A) avant AF sur PM</v>
          </cell>
        </row>
        <row r="710">
          <cell r="BG710" t="str">
            <v>CNPPREVOYANCEPOSTEStockEncours moyen du passif</v>
          </cell>
        </row>
        <row r="711">
          <cell r="BG711" t="str">
            <v>CNPPREVOYANCEPOSTEStockPM début</v>
          </cell>
        </row>
        <row r="712">
          <cell r="BG712" t="str">
            <v>CNPPREVOYANCEPOSTEStockMarge de solvabilité début</v>
          </cell>
        </row>
        <row r="713">
          <cell r="BG713" t="str">
            <v>CNPPREVOYANCEPOSTEStockCA + Virement - Transfert</v>
          </cell>
        </row>
        <row r="714">
          <cell r="BG714" t="str">
            <v>CNPPREVOYANCEPOSTEStockNbre de contrats début</v>
          </cell>
        </row>
        <row r="715">
          <cell r="BG715" t="str">
            <v>CNPPREVOYANCEPOSTEStockFrais alloués de gestion</v>
          </cell>
        </row>
        <row r="716">
          <cell r="BG716" t="str">
            <v>CNPPREVOYANCEPOSTEStockFrais alloués d'acquisition</v>
          </cell>
        </row>
        <row r="717">
          <cell r="BG717" t="str">
            <v>CNPPREVOYANCEPOSTEStockAvoirs Fiscaux sur PM</v>
          </cell>
        </row>
        <row r="718">
          <cell r="BG718" t="str">
            <v>CNPPREVOYANCEPOSTEStock(A) après IS</v>
          </cell>
        </row>
        <row r="719">
          <cell r="BG719" t="str">
            <v>CNPPREVOYANCEPOSTEStock(B) après IS</v>
          </cell>
        </row>
        <row r="720">
          <cell r="BG720" t="str">
            <v>CNPPREVOYANCEPOSTEStock(C) après IS</v>
          </cell>
        </row>
        <row r="721">
          <cell r="BG721" t="str">
            <v>CNPPREVOYANCEPOSTEStockX1</v>
          </cell>
        </row>
        <row r="722">
          <cell r="BG722" t="str">
            <v>CNPPREVOYANCETRESORN1Chargements sur flux</v>
          </cell>
        </row>
        <row r="723">
          <cell r="BG723" t="str">
            <v>CNPPREVOYANCETRESORN1Commissions sur flux</v>
          </cell>
        </row>
        <row r="724">
          <cell r="BG724" t="str">
            <v>CNPPREVOYANCETRESORN1Total Chargements hors flux</v>
          </cell>
        </row>
        <row r="725">
          <cell r="BG725" t="str">
            <v>CNPPREVOYANCETRESORN1Total Commissions hors flux</v>
          </cell>
        </row>
        <row r="726">
          <cell r="BG726" t="str">
            <v>CNPPREVOYANCETRESORN1Marge Technique et/ou Financière</v>
          </cell>
        </row>
        <row r="727">
          <cell r="BG727" t="str">
            <v>CNPPREVOYANCETRESORN1Frais de gestion</v>
          </cell>
        </row>
        <row r="728">
          <cell r="BG728" t="str">
            <v>CNPPREVOYANCETRESORN1Frais d'acquisition</v>
          </cell>
        </row>
        <row r="729">
          <cell r="BG729" t="str">
            <v>CNPPREVOYANCETRESORN1Facturation</v>
          </cell>
        </row>
        <row r="730">
          <cell r="BG730" t="str">
            <v>CNPPREVOYANCETRESORN1Organic sur CA</v>
          </cell>
        </row>
        <row r="731">
          <cell r="BG731" t="str">
            <v>CNPPREVOYANCETRESORN1Commissions complémentaires</v>
          </cell>
        </row>
        <row r="732">
          <cell r="BG732" t="str">
            <v>CNPPREVOYANCETRESORN1Rétrocessions</v>
          </cell>
        </row>
        <row r="733">
          <cell r="BG733" t="str">
            <v>CNPPREVOYANCETRESORN1(A) avant AF sur PM</v>
          </cell>
        </row>
        <row r="734">
          <cell r="BG734" t="str">
            <v>CNPPREVOYANCETRESORN1Encours moyen du passif</v>
          </cell>
        </row>
        <row r="735">
          <cell r="BG735" t="str">
            <v>CNPPREVOYANCETRESORN1PM début</v>
          </cell>
        </row>
        <row r="736">
          <cell r="BG736" t="str">
            <v>CNPPREVOYANCETRESORN1Marge de solvabilité début</v>
          </cell>
        </row>
        <row r="737">
          <cell r="BG737" t="str">
            <v>CNPPREVOYANCETRESORN1CA + Virement - Transfert</v>
          </cell>
        </row>
        <row r="738">
          <cell r="BG738" t="str">
            <v>CNPPREVOYANCETRESORN1Nbre de contrats début</v>
          </cell>
        </row>
        <row r="739">
          <cell r="BG739" t="str">
            <v>CNPPREVOYANCETRESORN1Frais alloués de gestion</v>
          </cell>
        </row>
        <row r="740">
          <cell r="BG740" t="str">
            <v>CNPPREVOYANCETRESORN1Frais alloués d'acquisition</v>
          </cell>
        </row>
        <row r="741">
          <cell r="BG741" t="str">
            <v>CNPPREVOYANCETRESORN1Avoirs Fiscaux sur PM</v>
          </cell>
        </row>
        <row r="742">
          <cell r="BG742" t="str">
            <v>CNPPREVOYANCETRESORN1(A) après IS</v>
          </cell>
        </row>
        <row r="743">
          <cell r="BG743" t="str">
            <v>CNPPREVOYANCETRESORN1(B) après IS</v>
          </cell>
        </row>
        <row r="744">
          <cell r="BG744" t="str">
            <v>CNPPREVOYANCETRESORN1(C) après IS</v>
          </cell>
        </row>
        <row r="745">
          <cell r="BG745" t="str">
            <v>CNPPREVOYANCETRESORN1X1</v>
          </cell>
        </row>
        <row r="746">
          <cell r="BG746" t="str">
            <v>CNPPREVOYANCETRESORStockChargements sur flux</v>
          </cell>
        </row>
        <row r="747">
          <cell r="BG747" t="str">
            <v>CNPPREVOYANCETRESORStockCommissions sur flux</v>
          </cell>
        </row>
        <row r="748">
          <cell r="BG748" t="str">
            <v>CNPPREVOYANCETRESORStockTotal Chargements hors flux</v>
          </cell>
        </row>
        <row r="749">
          <cell r="BG749" t="str">
            <v>CNPPREVOYANCETRESORStockTotal Commissions hors flux</v>
          </cell>
        </row>
        <row r="750">
          <cell r="BG750" t="str">
            <v>CNPPREVOYANCETRESORStockMarge Technique et/ou Financière</v>
          </cell>
        </row>
        <row r="751">
          <cell r="BG751" t="str">
            <v>CNPPREVOYANCETRESORStockFrais de gestion</v>
          </cell>
        </row>
        <row r="752">
          <cell r="BG752" t="str">
            <v>CNPPREVOYANCETRESORStockFrais d'acquisition</v>
          </cell>
        </row>
        <row r="753">
          <cell r="BG753" t="str">
            <v>CNPPREVOYANCETRESORStockFacturation</v>
          </cell>
        </row>
        <row r="754">
          <cell r="BG754" t="str">
            <v>CNPPREVOYANCETRESORStockOrganic sur CA</v>
          </cell>
        </row>
        <row r="755">
          <cell r="BG755" t="str">
            <v>CNPPREVOYANCETRESORStockCommissions complémentaires</v>
          </cell>
        </row>
        <row r="756">
          <cell r="BG756" t="str">
            <v>CNPPREVOYANCETRESORStockRétrocessions</v>
          </cell>
        </row>
        <row r="757">
          <cell r="BG757" t="str">
            <v>CNPPREVOYANCETRESORStock(A) avant AF sur PM</v>
          </cell>
        </row>
        <row r="758">
          <cell r="BG758" t="str">
            <v>CNPPREVOYANCETRESORStockEncours moyen du passif</v>
          </cell>
        </row>
        <row r="759">
          <cell r="BG759" t="str">
            <v>CNPPREVOYANCETRESORStockPM début</v>
          </cell>
        </row>
        <row r="760">
          <cell r="BG760" t="str">
            <v>CNPPREVOYANCETRESORStockMarge de solvabilité début</v>
          </cell>
        </row>
        <row r="761">
          <cell r="BG761" t="str">
            <v>CNPPREVOYANCETRESORStockCA + Virement - Transfert</v>
          </cell>
        </row>
        <row r="762">
          <cell r="BG762" t="str">
            <v>CNPPREVOYANCETRESORStockNbre de contrats début</v>
          </cell>
        </row>
        <row r="763">
          <cell r="BG763" t="str">
            <v>CNPPREVOYANCETRESORStockFrais alloués de gestion</v>
          </cell>
        </row>
        <row r="764">
          <cell r="BG764" t="str">
            <v>CNPPREVOYANCETRESORStockFrais alloués d'acquisition</v>
          </cell>
        </row>
        <row r="765">
          <cell r="BG765" t="str">
            <v>CNPPREVOYANCETRESORStockAvoirs Fiscaux sur PM</v>
          </cell>
        </row>
        <row r="766">
          <cell r="BG766" t="str">
            <v>CNPPREVOYANCETRESORStock(A) après IS</v>
          </cell>
        </row>
        <row r="767">
          <cell r="BG767" t="str">
            <v>CNPPREVOYANCETRESORStock(B) après IS</v>
          </cell>
        </row>
        <row r="768">
          <cell r="BG768" t="str">
            <v>CNPPREVOYANCETRESORStock(C) après IS</v>
          </cell>
        </row>
        <row r="769">
          <cell r="BG769" t="str">
            <v>CNPPREVOYANCETRESORStockX1</v>
          </cell>
        </row>
        <row r="770">
          <cell r="BG770" t="str">
            <v>EVIEPREVOYANCECEN1Chargements sur flux</v>
          </cell>
        </row>
        <row r="771">
          <cell r="BG771" t="str">
            <v>EVIEPREVOYANCECEN1Commissions sur flux</v>
          </cell>
        </row>
        <row r="772">
          <cell r="BG772" t="str">
            <v>EVIEPREVOYANCECEN1Total Chargements hors flux</v>
          </cell>
        </row>
        <row r="773">
          <cell r="BG773" t="str">
            <v>EVIEPREVOYANCECEN1Total Commissions hors flux</v>
          </cell>
        </row>
        <row r="774">
          <cell r="BG774" t="str">
            <v>EVIEPREVOYANCECEN1Marge Technique et/ou Financière</v>
          </cell>
        </row>
        <row r="775">
          <cell r="BG775" t="str">
            <v>EVIEPREVOYANCECEN1Frais de gestion</v>
          </cell>
        </row>
        <row r="776">
          <cell r="BG776" t="str">
            <v>EVIEPREVOYANCECEN1Frais d'acquisition</v>
          </cell>
        </row>
        <row r="777">
          <cell r="BG777" t="str">
            <v>EVIEPREVOYANCECEN1Facturation</v>
          </cell>
        </row>
        <row r="778">
          <cell r="BG778" t="str">
            <v>EVIEPREVOYANCECEN1Organic sur CA</v>
          </cell>
        </row>
        <row r="779">
          <cell r="BG779" t="str">
            <v>EVIEPREVOYANCECEN1Commissions complémentaires</v>
          </cell>
        </row>
        <row r="780">
          <cell r="BG780" t="str">
            <v>EVIEPREVOYANCECEN1Rétrocessions</v>
          </cell>
        </row>
        <row r="781">
          <cell r="BG781" t="str">
            <v>EVIEPREVOYANCECEN1(A) avant AF sur PM</v>
          </cell>
        </row>
        <row r="782">
          <cell r="BG782" t="str">
            <v>EVIEPREVOYANCECEN1Encours moyen du passif</v>
          </cell>
        </row>
        <row r="783">
          <cell r="BG783" t="str">
            <v>EVIEPREVOYANCECEN1PM début</v>
          </cell>
        </row>
        <row r="784">
          <cell r="BG784" t="str">
            <v>EVIEPREVOYANCECEN1Marge de solvabilité début</v>
          </cell>
        </row>
        <row r="785">
          <cell r="BG785" t="str">
            <v>EVIEPREVOYANCECEN1CA + Virement - Transfert</v>
          </cell>
        </row>
        <row r="786">
          <cell r="BG786" t="str">
            <v>EVIEPREVOYANCECEN1Nbre de contrats début</v>
          </cell>
        </row>
        <row r="787">
          <cell r="BG787" t="str">
            <v>EVIEPREVOYANCECEN1Frais alloués de gestion</v>
          </cell>
        </row>
        <row r="788">
          <cell r="BG788" t="str">
            <v>EVIEPREVOYANCECEN1Frais alloués d'acquisition</v>
          </cell>
        </row>
        <row r="789">
          <cell r="BG789" t="str">
            <v>EVIEPREVOYANCECEN1Avoirs Fiscaux sur PM</v>
          </cell>
        </row>
        <row r="790">
          <cell r="BG790" t="str">
            <v>EVIEPREVOYANCECEN1(A) après IS</v>
          </cell>
        </row>
        <row r="791">
          <cell r="BG791" t="str">
            <v>EVIEPREVOYANCECEN1(B) après IS</v>
          </cell>
        </row>
        <row r="792">
          <cell r="BG792" t="str">
            <v>EVIEPREVOYANCECEN1(C) après IS</v>
          </cell>
        </row>
        <row r="793">
          <cell r="BG793" t="str">
            <v>EVIEPREVOYANCECEN1X1</v>
          </cell>
        </row>
        <row r="794">
          <cell r="BG794" t="str">
            <v>EVIEPREVOYANCECEStockChargements sur flux</v>
          </cell>
        </row>
        <row r="795">
          <cell r="BG795" t="str">
            <v>EVIEPREVOYANCECEStockCommissions sur flux</v>
          </cell>
        </row>
        <row r="796">
          <cell r="BG796" t="str">
            <v>EVIEPREVOYANCECEStockTotal Chargements hors flux</v>
          </cell>
        </row>
        <row r="797">
          <cell r="BG797" t="str">
            <v>EVIEPREVOYANCECEStockTotal Commissions hors flux</v>
          </cell>
        </row>
        <row r="798">
          <cell r="BG798" t="str">
            <v>EVIEPREVOYANCECEStockMarge Technique et/ou Financière</v>
          </cell>
        </row>
        <row r="799">
          <cell r="BG799" t="str">
            <v>EVIEPREVOYANCECEStockFrais de gestion</v>
          </cell>
        </row>
        <row r="800">
          <cell r="BG800" t="str">
            <v>EVIEPREVOYANCECEStockFrais d'acquisition</v>
          </cell>
        </row>
        <row r="801">
          <cell r="BG801" t="str">
            <v>EVIEPREVOYANCECEStockFacturation</v>
          </cell>
        </row>
        <row r="802">
          <cell r="BG802" t="str">
            <v>EVIEPREVOYANCECEStockOrganic sur CA</v>
          </cell>
        </row>
        <row r="803">
          <cell r="BG803" t="str">
            <v>EVIEPREVOYANCECEStockCommissions complémentaires</v>
          </cell>
        </row>
        <row r="804">
          <cell r="BG804" t="str">
            <v>EVIEPREVOYANCECEStockRétrocessions</v>
          </cell>
        </row>
        <row r="805">
          <cell r="BG805" t="str">
            <v>EVIEPREVOYANCECEStock(A) avant AF sur PM</v>
          </cell>
        </row>
        <row r="806">
          <cell r="BG806" t="str">
            <v>EVIEPREVOYANCECEStockEncours moyen du passif</v>
          </cell>
        </row>
        <row r="807">
          <cell r="BG807" t="str">
            <v>EVIEPREVOYANCECEStockPM début</v>
          </cell>
        </row>
        <row r="808">
          <cell r="BG808" t="str">
            <v>EVIEPREVOYANCECEStockMarge de solvabilité début</v>
          </cell>
        </row>
        <row r="809">
          <cell r="BG809" t="str">
            <v>EVIEPREVOYANCECEStockCA + Virement - Transfert</v>
          </cell>
        </row>
        <row r="810">
          <cell r="BG810" t="str">
            <v>EVIEPREVOYANCECEStockNbre de contrats début</v>
          </cell>
        </row>
        <row r="811">
          <cell r="BG811" t="str">
            <v>EVIEPREVOYANCECEStockFrais alloués de gestion</v>
          </cell>
        </row>
        <row r="812">
          <cell r="BG812" t="str">
            <v>EVIEPREVOYANCECEStockFrais alloués d'acquisition</v>
          </cell>
        </row>
        <row r="813">
          <cell r="BG813" t="str">
            <v>EVIEPREVOYANCECEStockAvoirs Fiscaux sur PM</v>
          </cell>
        </row>
        <row r="814">
          <cell r="BG814" t="str">
            <v>EVIEPREVOYANCECEStock(A) après IS</v>
          </cell>
        </row>
        <row r="815">
          <cell r="BG815" t="str">
            <v>EVIEPREVOYANCECEStock(B) après IS</v>
          </cell>
        </row>
        <row r="816">
          <cell r="BG816" t="str">
            <v>EVIEPREVOYANCECEStock(C) après IS</v>
          </cell>
        </row>
        <row r="817">
          <cell r="BG817" t="str">
            <v>EVIEPREVOYANCECEStockX1</v>
          </cell>
        </row>
        <row r="818">
          <cell r="BG818" t="str">
            <v>CNPPRETSCEN1Chargements sur flux</v>
          </cell>
        </row>
        <row r="819">
          <cell r="BG819" t="str">
            <v>CNPPRETSCEN1Commissions sur flux</v>
          </cell>
        </row>
        <row r="820">
          <cell r="BG820" t="str">
            <v>CNPPRETSCEN1Total Chargements hors flux</v>
          </cell>
        </row>
        <row r="821">
          <cell r="BG821" t="str">
            <v>CNPPRETSCEN1Total Commissions hors flux</v>
          </cell>
        </row>
        <row r="822">
          <cell r="BG822" t="str">
            <v>CNPPRETSCEN1Marge Technique et/ou Financière</v>
          </cell>
        </row>
        <row r="823">
          <cell r="BG823" t="str">
            <v>CNPPRETSCEN1Frais de gestion</v>
          </cell>
        </row>
        <row r="824">
          <cell r="BG824" t="str">
            <v>CNPPRETSCEN1Frais d'acquisition</v>
          </cell>
        </row>
        <row r="825">
          <cell r="BG825" t="str">
            <v>CNPPRETSCEN1Facturation</v>
          </cell>
        </row>
        <row r="826">
          <cell r="BG826" t="str">
            <v>CNPPRETSCEN1Organic sur CA</v>
          </cell>
        </row>
        <row r="827">
          <cell r="BG827" t="str">
            <v>CNPPRETSCEN1Commissions complémentaires</v>
          </cell>
        </row>
        <row r="828">
          <cell r="BG828" t="str">
            <v>CNPPRETSCEN1Rétrocessions</v>
          </cell>
        </row>
        <row r="829">
          <cell r="BG829" t="str">
            <v>CNPPRETSCEN1(A) avant AF sur PM</v>
          </cell>
        </row>
        <row r="830">
          <cell r="BG830" t="str">
            <v>CNPPRETSCEN1Encours moyen du passif</v>
          </cell>
        </row>
        <row r="831">
          <cell r="BG831" t="str">
            <v>CNPPRETSCEN1PM début</v>
          </cell>
        </row>
        <row r="832">
          <cell r="BG832" t="str">
            <v>CNPPRETSCEN1Marge de solvabilité début</v>
          </cell>
        </row>
        <row r="833">
          <cell r="BG833" t="str">
            <v>CNPPRETSCEN1CA + Virement - Transfert</v>
          </cell>
        </row>
        <row r="834">
          <cell r="BG834" t="str">
            <v>CNPPRETSCEN1Nbre de contrats début</v>
          </cell>
        </row>
        <row r="835">
          <cell r="BG835" t="str">
            <v>CNPPRETSCEN1Frais alloués de gestion</v>
          </cell>
        </row>
        <row r="836">
          <cell r="BG836" t="str">
            <v>CNPPRETSCEN1Frais alloués d'acquisition</v>
          </cell>
        </row>
        <row r="837">
          <cell r="BG837" t="str">
            <v>CNPPRETSCEN1Avoirs Fiscaux sur PM</v>
          </cell>
        </row>
        <row r="838">
          <cell r="BG838" t="str">
            <v>CNPPRETSCEN1(A) après IS</v>
          </cell>
        </row>
        <row r="839">
          <cell r="BG839" t="str">
            <v>CNPPRETSCEN1(B) après IS</v>
          </cell>
        </row>
        <row r="840">
          <cell r="BG840" t="str">
            <v>CNPPRETSCEN1(C) après IS</v>
          </cell>
        </row>
        <row r="841">
          <cell r="BG841" t="str">
            <v>CNPPRETSCEN1X1</v>
          </cell>
        </row>
        <row r="842">
          <cell r="BG842" t="str">
            <v>CNPPRETSCEstockChargements sur flux</v>
          </cell>
        </row>
        <row r="843">
          <cell r="BG843" t="str">
            <v>CNPPRETSCEstockCommissions sur flux</v>
          </cell>
        </row>
        <row r="844">
          <cell r="BG844" t="str">
            <v>CNPPRETSCEstockTotal Chargements hors flux</v>
          </cell>
        </row>
        <row r="845">
          <cell r="BG845" t="str">
            <v>CNPPRETSCEstockTotal Commissions hors flux</v>
          </cell>
        </row>
        <row r="846">
          <cell r="BG846" t="str">
            <v>CNPPRETSCEstockMarge Technique et/ou Financière</v>
          </cell>
        </row>
        <row r="847">
          <cell r="BG847" t="str">
            <v>CNPPRETSCEstockFrais de gestion</v>
          </cell>
        </row>
        <row r="848">
          <cell r="BG848" t="str">
            <v>CNPPRETSCEstockFrais d'acquisition</v>
          </cell>
        </row>
        <row r="849">
          <cell r="BG849" t="str">
            <v>CNPPRETSCEstockFacturation</v>
          </cell>
        </row>
        <row r="850">
          <cell r="BG850" t="str">
            <v>CNPPRETSCEstockOrganic sur CA</v>
          </cell>
        </row>
        <row r="851">
          <cell r="BG851" t="str">
            <v>CNPPRETSCEstockCommissions complémentaires</v>
          </cell>
        </row>
        <row r="852">
          <cell r="BG852" t="str">
            <v>CNPPRETSCEstockRétrocessions</v>
          </cell>
        </row>
        <row r="853">
          <cell r="BG853" t="str">
            <v>CNPPRETSCEstock(A) avant AF sur PM</v>
          </cell>
        </row>
        <row r="854">
          <cell r="BG854" t="str">
            <v>CNPPRETSCEstockEncours moyen du passif</v>
          </cell>
        </row>
        <row r="855">
          <cell r="BG855" t="str">
            <v>CNPPRETSCEstockPM début</v>
          </cell>
        </row>
        <row r="856">
          <cell r="BG856" t="str">
            <v>CNPPRETSCEstockMarge de solvabilité début</v>
          </cell>
        </row>
        <row r="857">
          <cell r="BG857" t="str">
            <v>CNPPRETSCEstockCA + Virement - Transfert</v>
          </cell>
        </row>
        <row r="858">
          <cell r="BG858" t="str">
            <v>CNPPRETSCEstockNbre de contrats début</v>
          </cell>
        </row>
        <row r="859">
          <cell r="BG859" t="str">
            <v>CNPPRETSCEstockFrais alloués de gestion</v>
          </cell>
        </row>
        <row r="860">
          <cell r="BG860" t="str">
            <v>CNPPRETSCEstockFrais alloués d'acquisition</v>
          </cell>
        </row>
        <row r="861">
          <cell r="BG861" t="str">
            <v>CNPPRETSCEstockAvoirs Fiscaux sur PM</v>
          </cell>
        </row>
        <row r="862">
          <cell r="BG862" t="str">
            <v>CNPPRETSCEstock(A) après IS</v>
          </cell>
        </row>
        <row r="863">
          <cell r="BG863" t="str">
            <v>CNPPRETSCEstock(B) après IS</v>
          </cell>
        </row>
        <row r="864">
          <cell r="BG864" t="str">
            <v>CNPPRETSCEstock(C) après IS</v>
          </cell>
        </row>
        <row r="865">
          <cell r="BG865" t="str">
            <v>CNPPRETSCEstockX1</v>
          </cell>
        </row>
        <row r="866">
          <cell r="BG866" t="str">
            <v>CNPPRETSPOSTEN1Chargements sur flux</v>
          </cell>
        </row>
        <row r="867">
          <cell r="BG867" t="str">
            <v>CNPPRETSPOSTEN1Commissions sur flux</v>
          </cell>
        </row>
        <row r="868">
          <cell r="BG868" t="str">
            <v>CNPPRETSPOSTEN1Total Chargements hors flux</v>
          </cell>
        </row>
        <row r="869">
          <cell r="BG869" t="str">
            <v>CNPPRETSPOSTEN1Total Commissions hors flux</v>
          </cell>
        </row>
        <row r="870">
          <cell r="BG870" t="str">
            <v>CNPPRETSPOSTEN1Marge Technique et/ou Financière</v>
          </cell>
        </row>
        <row r="871">
          <cell r="BG871" t="str">
            <v>CNPPRETSPOSTEN1Frais de gestion</v>
          </cell>
        </row>
        <row r="872">
          <cell r="BG872" t="str">
            <v>CNPPRETSPOSTEN1Frais d'acquisition</v>
          </cell>
        </row>
        <row r="873">
          <cell r="BG873" t="str">
            <v>CNPPRETSPOSTEN1Facturation</v>
          </cell>
        </row>
        <row r="874">
          <cell r="BG874" t="str">
            <v>CNPPRETSPOSTEN1Organic sur CA</v>
          </cell>
        </row>
        <row r="875">
          <cell r="BG875" t="str">
            <v>CNPPRETSPOSTEN1Commissions complémentaires</v>
          </cell>
        </row>
        <row r="876">
          <cell r="BG876" t="str">
            <v>CNPPRETSPOSTEN1Rétrocessions</v>
          </cell>
        </row>
        <row r="877">
          <cell r="BG877" t="str">
            <v>CNPPRETSPOSTEN1(A) avant AF sur PM</v>
          </cell>
        </row>
        <row r="878">
          <cell r="BG878" t="str">
            <v>CNPPRETSPOSTEN1Encours moyen du passif</v>
          </cell>
        </row>
        <row r="879">
          <cell r="BG879" t="str">
            <v>CNPPRETSPOSTEN1PM début</v>
          </cell>
        </row>
        <row r="880">
          <cell r="BG880" t="str">
            <v>CNPPRETSPOSTEN1Marge de solvabilité début</v>
          </cell>
        </row>
        <row r="881">
          <cell r="BG881" t="str">
            <v>CNPPRETSPOSTEN1CA + Virement - Transfert</v>
          </cell>
        </row>
        <row r="882">
          <cell r="BG882" t="str">
            <v>CNPPRETSPOSTEN1Nbre de contrats début</v>
          </cell>
        </row>
        <row r="883">
          <cell r="BG883" t="str">
            <v>CNPPRETSPOSTEN1Frais alloués de gestion</v>
          </cell>
        </row>
        <row r="884">
          <cell r="BG884" t="str">
            <v>CNPPRETSPOSTEN1Frais alloués d'acquisition</v>
          </cell>
        </row>
        <row r="885">
          <cell r="BG885" t="str">
            <v>CNPPRETSPOSTEN1Avoirs Fiscaux sur PM</v>
          </cell>
        </row>
        <row r="886">
          <cell r="BG886" t="str">
            <v>CNPPRETSPOSTEN1(A) après IS</v>
          </cell>
        </row>
        <row r="887">
          <cell r="BG887" t="str">
            <v>CNPPRETSPOSTEN1(B) après IS</v>
          </cell>
        </row>
        <row r="888">
          <cell r="BG888" t="str">
            <v>CNPPRETSPOSTEN1(C) après IS</v>
          </cell>
        </row>
        <row r="889">
          <cell r="BG889" t="str">
            <v>CNPPRETSPOSTEN1X1</v>
          </cell>
        </row>
        <row r="890">
          <cell r="BG890" t="str">
            <v>CNPPRETSPOSTEstockChargements sur flux</v>
          </cell>
        </row>
        <row r="891">
          <cell r="BG891" t="str">
            <v>CNPPRETSPOSTEstockCommissions sur flux</v>
          </cell>
        </row>
        <row r="892">
          <cell r="BG892" t="str">
            <v>CNPPRETSPOSTEstockTotal Chargements hors flux</v>
          </cell>
        </row>
        <row r="893">
          <cell r="BG893" t="str">
            <v>CNPPRETSPOSTEstockTotal Commissions hors flux</v>
          </cell>
        </row>
        <row r="894">
          <cell r="BG894" t="str">
            <v>CNPPRETSPOSTEstockMarge Technique et/ou Financière</v>
          </cell>
        </row>
        <row r="895">
          <cell r="BG895" t="str">
            <v>CNPPRETSPOSTEstockFrais de gestion</v>
          </cell>
        </row>
        <row r="896">
          <cell r="BG896" t="str">
            <v>CNPPRETSPOSTEstockFrais d'acquisition</v>
          </cell>
        </row>
        <row r="897">
          <cell r="BG897" t="str">
            <v>CNPPRETSPOSTEstockFacturation</v>
          </cell>
        </row>
        <row r="898">
          <cell r="BG898" t="str">
            <v>CNPPRETSPOSTEstockOrganic sur CA</v>
          </cell>
        </row>
        <row r="899">
          <cell r="BG899" t="str">
            <v>CNPPRETSPOSTEstockCommissions complémentaires</v>
          </cell>
        </row>
        <row r="900">
          <cell r="BG900" t="str">
            <v>CNPPRETSPOSTEstockRétrocessions</v>
          </cell>
        </row>
        <row r="901">
          <cell r="BG901" t="str">
            <v>CNPPRETSPOSTEstock(A) avant AF sur PM</v>
          </cell>
        </row>
        <row r="902">
          <cell r="BG902" t="str">
            <v>CNPPRETSPOSTEstockEncours moyen du passif</v>
          </cell>
        </row>
        <row r="903">
          <cell r="BG903" t="str">
            <v>CNPPRETSPOSTEstockPM début</v>
          </cell>
        </row>
        <row r="904">
          <cell r="BG904" t="str">
            <v>CNPPRETSPOSTEstockMarge de solvabilité début</v>
          </cell>
        </row>
        <row r="905">
          <cell r="BG905" t="str">
            <v>CNPPRETSPOSTEstockCA + Virement - Transfert</v>
          </cell>
        </row>
        <row r="906">
          <cell r="BG906" t="str">
            <v>CNPPRETSPOSTEstockNbre de contrats début</v>
          </cell>
        </row>
        <row r="907">
          <cell r="BG907" t="str">
            <v>CNPPRETSPOSTEstockFrais alloués de gestion</v>
          </cell>
        </row>
        <row r="908">
          <cell r="BG908" t="str">
            <v>CNPPRETSPOSTEstockFrais alloués d'acquisition</v>
          </cell>
        </row>
        <row r="909">
          <cell r="BG909" t="str">
            <v>CNPPRETSPOSTEstockAvoirs Fiscaux sur PM</v>
          </cell>
        </row>
        <row r="910">
          <cell r="BG910" t="str">
            <v>CNPPRETSPOSTEstock(A) après IS</v>
          </cell>
        </row>
        <row r="911">
          <cell r="BG911" t="str">
            <v>CNPPRETSPOSTEstock(B) après IS</v>
          </cell>
        </row>
        <row r="912">
          <cell r="BG912" t="str">
            <v>CNPPRETSPOSTEstock(C) après IS</v>
          </cell>
        </row>
        <row r="913">
          <cell r="BG913" t="str">
            <v>CNPPRETSPOSTEstockX1</v>
          </cell>
        </row>
        <row r="914">
          <cell r="BG914" t="str">
            <v>CNPPRETSAUTREN1Chargements sur flux</v>
          </cell>
        </row>
        <row r="915">
          <cell r="BG915" t="str">
            <v>CNPPRETSAUTREN1Commissions sur flux</v>
          </cell>
        </row>
        <row r="916">
          <cell r="BG916" t="str">
            <v>CNPPRETSAUTREN1Total Chargements hors flux</v>
          </cell>
        </row>
        <row r="917">
          <cell r="BG917" t="str">
            <v>CNPPRETSAUTREN1Total Commissions hors flux</v>
          </cell>
        </row>
        <row r="918">
          <cell r="BG918" t="str">
            <v>CNPPRETSAUTREN1Marge Technique et/ou Financière</v>
          </cell>
        </row>
        <row r="919">
          <cell r="BG919" t="str">
            <v>CNPPRETSAUTREN1Frais de gestion</v>
          </cell>
        </row>
        <row r="920">
          <cell r="BG920" t="str">
            <v>CNPPRETSAUTREN1Frais d'acquisition</v>
          </cell>
        </row>
        <row r="921">
          <cell r="BG921" t="str">
            <v>CNPPRETSAUTREN1Facturation</v>
          </cell>
        </row>
        <row r="922">
          <cell r="BG922" t="str">
            <v>CNPPRETSAUTREN1Organic sur CA</v>
          </cell>
        </row>
        <row r="923">
          <cell r="BG923" t="str">
            <v>CNPPRETSAUTREN1Commissions complémentaires</v>
          </cell>
        </row>
        <row r="924">
          <cell r="BG924" t="str">
            <v>CNPPRETSAUTREN1Rétrocessions</v>
          </cell>
        </row>
        <row r="925">
          <cell r="BG925" t="str">
            <v>CNPPRETSAUTREN1(A) avant AF sur PM</v>
          </cell>
        </row>
        <row r="926">
          <cell r="BG926" t="str">
            <v>CNPPRETSAUTREN1Encours moyen du passif</v>
          </cell>
        </row>
        <row r="927">
          <cell r="BG927" t="str">
            <v>CNPPRETSAUTREN1PM début</v>
          </cell>
        </row>
        <row r="928">
          <cell r="BG928" t="str">
            <v>CNPPRETSAUTREN1Marge de solvabilité début</v>
          </cell>
        </row>
        <row r="929">
          <cell r="BG929" t="str">
            <v>CNPPRETSAUTREN1CA + Virement - Transfert</v>
          </cell>
        </row>
        <row r="930">
          <cell r="BG930" t="str">
            <v>CNPPRETSAUTREN1Nbre de contrats début</v>
          </cell>
        </row>
        <row r="931">
          <cell r="BG931" t="str">
            <v>CNPPRETSAUTREN1Frais alloués de gestion</v>
          </cell>
        </row>
        <row r="932">
          <cell r="BG932" t="str">
            <v>CNPPRETSAUTREN1Frais alloués d'acquisition</v>
          </cell>
        </row>
        <row r="933">
          <cell r="BG933" t="str">
            <v>CNPPRETSAUTREN1Avoirs Fiscaux sur PM</v>
          </cell>
        </row>
        <row r="934">
          <cell r="BG934" t="str">
            <v>CNPPRETSAUTREN1(A) après IS</v>
          </cell>
        </row>
        <row r="935">
          <cell r="BG935" t="str">
            <v>CNPPRETSAUTREN1(B) après IS</v>
          </cell>
        </row>
        <row r="936">
          <cell r="BG936" t="str">
            <v>CNPPRETSAUTREN1(C) après IS</v>
          </cell>
        </row>
        <row r="937">
          <cell r="BG937" t="str">
            <v>CNPPRETSAUTREN1X1</v>
          </cell>
        </row>
        <row r="938">
          <cell r="BG938" t="str">
            <v>CNPPRETSAUTREstockChargements sur flux</v>
          </cell>
        </row>
        <row r="939">
          <cell r="BG939" t="str">
            <v>CNPPRETSAUTREstockCommissions sur flux</v>
          </cell>
        </row>
        <row r="940">
          <cell r="BG940" t="str">
            <v>CNPPRETSAUTREstockTotal Chargements hors flux</v>
          </cell>
        </row>
        <row r="941">
          <cell r="BG941" t="str">
            <v>CNPPRETSAUTREstockTotal Commissions hors flux</v>
          </cell>
        </row>
        <row r="942">
          <cell r="BG942" t="str">
            <v>CNPPRETSAUTREstockMarge Technique et/ou Financière</v>
          </cell>
        </row>
        <row r="943">
          <cell r="BG943" t="str">
            <v>CNPPRETSAUTREstockFrais de gestion</v>
          </cell>
        </row>
        <row r="944">
          <cell r="BG944" t="str">
            <v>CNPPRETSAUTREstockFrais d'acquisition</v>
          </cell>
        </row>
        <row r="945">
          <cell r="BG945" t="str">
            <v>CNPPRETSAUTREstockFacturation</v>
          </cell>
        </row>
        <row r="946">
          <cell r="BG946" t="str">
            <v>CNPPRETSAUTREstockOrganic sur CA</v>
          </cell>
        </row>
        <row r="947">
          <cell r="BG947" t="str">
            <v>CNPPRETSAUTREstockCommissions complémentaires</v>
          </cell>
        </row>
        <row r="948">
          <cell r="BG948" t="str">
            <v>CNPPRETSAUTREstockRétrocessions</v>
          </cell>
        </row>
        <row r="949">
          <cell r="BG949" t="str">
            <v>CNPPRETSAUTREstock(A) avant AF sur PM</v>
          </cell>
        </row>
        <row r="950">
          <cell r="BG950" t="str">
            <v>CNPPRETSAUTREstockEncours moyen du passif</v>
          </cell>
        </row>
        <row r="951">
          <cell r="BG951" t="str">
            <v>CNPPRETSAUTREstockPM début</v>
          </cell>
        </row>
        <row r="952">
          <cell r="BG952" t="str">
            <v>CNPPRETSAUTREstockMarge de solvabilité début</v>
          </cell>
        </row>
        <row r="953">
          <cell r="BG953" t="str">
            <v>CNPPRETSAUTREstockCA + Virement - Transfert</v>
          </cell>
        </row>
        <row r="954">
          <cell r="BG954" t="str">
            <v>CNPPRETSAUTREstockNbre de contrats début</v>
          </cell>
        </row>
        <row r="955">
          <cell r="BG955" t="str">
            <v>CNPPRETSAUTREstockFrais alloués de gestion</v>
          </cell>
        </row>
        <row r="956">
          <cell r="BG956" t="str">
            <v>CNPPRETSAUTREstockFrais alloués d'acquisition</v>
          </cell>
        </row>
        <row r="957">
          <cell r="BG957" t="str">
            <v>CNPPRETSAUTREstockAvoirs Fiscaux sur PM</v>
          </cell>
        </row>
        <row r="958">
          <cell r="BG958" t="str">
            <v>CNPPRETSAUTREstock(A) après IS</v>
          </cell>
        </row>
        <row r="959">
          <cell r="BG959" t="str">
            <v>CNPPRETSAUTREstock(B) après IS</v>
          </cell>
        </row>
        <row r="960">
          <cell r="BG960" t="str">
            <v>CNPPRETSAUTREstock(C) après IS</v>
          </cell>
        </row>
        <row r="961">
          <cell r="BG961" t="str">
            <v>CNPPRETSAUTREstockX1</v>
          </cell>
        </row>
        <row r="962">
          <cell r="BG962" t="str">
            <v>CNPPRETSCAN1Chargements sur flux</v>
          </cell>
        </row>
        <row r="963">
          <cell r="BG963" t="str">
            <v>CNPPRETSCAN1Commissions sur flux</v>
          </cell>
        </row>
        <row r="964">
          <cell r="BG964" t="str">
            <v>CNPPRETSCAN1Total Chargements hors flux</v>
          </cell>
        </row>
        <row r="965">
          <cell r="BG965" t="str">
            <v>CNPPRETSCAN1Total Commissions hors flux</v>
          </cell>
        </row>
        <row r="966">
          <cell r="BG966" t="str">
            <v>CNPPRETSCAN1Marge Technique et/ou Financière</v>
          </cell>
        </row>
        <row r="967">
          <cell r="BG967" t="str">
            <v>CNPPRETSCAN1Frais de gestion</v>
          </cell>
        </row>
        <row r="968">
          <cell r="BG968" t="str">
            <v>CNPPRETSCAN1Frais d'acquisition</v>
          </cell>
        </row>
        <row r="969">
          <cell r="BG969" t="str">
            <v>CNPPRETSCAN1Facturation</v>
          </cell>
        </row>
        <row r="970">
          <cell r="BG970" t="str">
            <v>CNPPRETSCAN1Organic sur CA</v>
          </cell>
        </row>
        <row r="971">
          <cell r="BG971" t="str">
            <v>CNPPRETSCAN1Commissions complémentaires</v>
          </cell>
        </row>
        <row r="972">
          <cell r="BG972" t="str">
            <v>CNPPRETSCAN1Rétrocessions</v>
          </cell>
        </row>
        <row r="973">
          <cell r="BG973" t="str">
            <v>CNPPRETSCAN1(A) avant AF sur PM</v>
          </cell>
        </row>
        <row r="974">
          <cell r="BG974" t="str">
            <v>CNPPRETSCAN1Encours moyen du passif</v>
          </cell>
        </row>
        <row r="975">
          <cell r="BG975" t="str">
            <v>CNPPRETSCAN1PM début</v>
          </cell>
        </row>
        <row r="976">
          <cell r="BG976" t="str">
            <v>CNPPRETSCAN1Marge de solvabilité début</v>
          </cell>
        </row>
        <row r="977">
          <cell r="BG977" t="str">
            <v>CNPPRETSCAN1CA + Virement - Transfert</v>
          </cell>
        </row>
        <row r="978">
          <cell r="BG978" t="str">
            <v>CNPPRETSCAN1Nbre de contrats début</v>
          </cell>
        </row>
        <row r="979">
          <cell r="BG979" t="str">
            <v>CNPPRETSCAN1Frais alloués de gestion</v>
          </cell>
        </row>
        <row r="980">
          <cell r="BG980" t="str">
            <v>CNPPRETSCAN1Frais alloués d'acquisition</v>
          </cell>
        </row>
        <row r="981">
          <cell r="BG981" t="str">
            <v>CNPPRETSCAN1Avoirs Fiscaux sur PM</v>
          </cell>
        </row>
        <row r="982">
          <cell r="BG982" t="str">
            <v>CNPPRETSCAN1(A) après IS</v>
          </cell>
        </row>
        <row r="983">
          <cell r="BG983" t="str">
            <v>CNPPRETSCAN1(B) après IS</v>
          </cell>
        </row>
        <row r="984">
          <cell r="BG984" t="str">
            <v>CNPPRETSCAN1(C) après IS</v>
          </cell>
        </row>
        <row r="985">
          <cell r="BG985" t="str">
            <v>CNPPRETSCAN1X1</v>
          </cell>
        </row>
        <row r="986">
          <cell r="BG986" t="str">
            <v>CNPPRETSCAstockChargements sur flux</v>
          </cell>
        </row>
        <row r="987">
          <cell r="BG987" t="str">
            <v>CNPPRETSCAstockCommissions sur flux</v>
          </cell>
        </row>
        <row r="988">
          <cell r="BG988" t="str">
            <v>CNPPRETSCAstockTotal Chargements hors flux</v>
          </cell>
        </row>
        <row r="989">
          <cell r="BG989" t="str">
            <v>CNPPRETSCAstockTotal Commissions hors flux</v>
          </cell>
        </row>
        <row r="990">
          <cell r="BG990" t="str">
            <v>CNPPRETSCAstockMarge Technique et/ou Financière</v>
          </cell>
        </row>
        <row r="991">
          <cell r="BG991" t="str">
            <v>CNPPRETSCAstockFrais de gestion</v>
          </cell>
        </row>
        <row r="992">
          <cell r="BG992" t="str">
            <v>CNPPRETSCAstockFrais d'acquisition</v>
          </cell>
        </row>
        <row r="993">
          <cell r="BG993" t="str">
            <v>CNPPRETSCAstockFacturation</v>
          </cell>
        </row>
        <row r="994">
          <cell r="BG994" t="str">
            <v>CNPPRETSCAstockOrganic sur CA</v>
          </cell>
        </row>
        <row r="995">
          <cell r="BG995" t="str">
            <v>CNPPRETSCAstockCommissions complémentaires</v>
          </cell>
        </row>
        <row r="996">
          <cell r="BG996" t="str">
            <v>CNPPRETSCAstockRétrocessions</v>
          </cell>
        </row>
        <row r="997">
          <cell r="BG997" t="str">
            <v>CNPPRETSCAstock(A) avant AF sur PM</v>
          </cell>
        </row>
        <row r="998">
          <cell r="BG998" t="str">
            <v>CNPPRETSCAstockEncours moyen du passif</v>
          </cell>
        </row>
        <row r="999">
          <cell r="BG999" t="str">
            <v>CNPPRETSCAstockPM début</v>
          </cell>
        </row>
        <row r="1000">
          <cell r="BG1000" t="str">
            <v>CNPPRETSCAstockMarge de solvabilité début</v>
          </cell>
        </row>
        <row r="1001">
          <cell r="BG1001" t="str">
            <v>CNPPRETSCAstockCA + Virement - Transfert</v>
          </cell>
        </row>
        <row r="1002">
          <cell r="BG1002" t="str">
            <v>CNPPRETSCAstockNbre de contrats début</v>
          </cell>
        </row>
        <row r="1003">
          <cell r="BG1003" t="str">
            <v>CNPPRETSCAstockFrais alloués de gestion</v>
          </cell>
        </row>
        <row r="1004">
          <cell r="BG1004" t="str">
            <v>CNPPRETSCAstockFrais alloués d'acquisition</v>
          </cell>
        </row>
        <row r="1005">
          <cell r="BG1005" t="str">
            <v>CNPPRETSCAstockAvoirs Fiscaux sur PM</v>
          </cell>
        </row>
        <row r="1006">
          <cell r="BG1006" t="str">
            <v>CNPPRETSCAstock(A) après IS</v>
          </cell>
        </row>
        <row r="1007">
          <cell r="BG1007" t="str">
            <v>CNPPRETSCAstock(B) après IS</v>
          </cell>
        </row>
        <row r="1008">
          <cell r="BG1008" t="str">
            <v>CNPPRETSCAstock(C) après IS</v>
          </cell>
        </row>
        <row r="1009">
          <cell r="BG1009" t="str">
            <v>CNPPRETSCAstockX1</v>
          </cell>
        </row>
        <row r="1010">
          <cell r="BG1010" t="str">
            <v>ASSURPOSTEPRETSPOSTEN1Chargements sur flux</v>
          </cell>
        </row>
        <row r="1011">
          <cell r="BG1011" t="str">
            <v>ASSURPOSTEPRETSPOSTEN1Commissions sur flux</v>
          </cell>
        </row>
        <row r="1012">
          <cell r="BG1012" t="str">
            <v>ASSURPOSTEPRETSPOSTEN1Total Chargements hors flux</v>
          </cell>
        </row>
        <row r="1013">
          <cell r="BG1013" t="str">
            <v>ASSURPOSTEPRETSPOSTEN1Total Commissions hors flux</v>
          </cell>
        </row>
        <row r="1014">
          <cell r="BG1014" t="str">
            <v>ASSURPOSTEPRETSPOSTEN1Marge Technique et/ou Financière</v>
          </cell>
        </row>
        <row r="1015">
          <cell r="BG1015" t="str">
            <v>ASSURPOSTEPRETSPOSTEN1Frais de gestion</v>
          </cell>
        </row>
        <row r="1016">
          <cell r="BG1016" t="str">
            <v>ASSURPOSTEPRETSPOSTEN1Frais d'acquisition</v>
          </cell>
        </row>
        <row r="1017">
          <cell r="BG1017" t="str">
            <v>ASSURPOSTEPRETSPOSTEN1Facturation</v>
          </cell>
        </row>
        <row r="1018">
          <cell r="BG1018" t="str">
            <v>ASSURPOSTEPRETSPOSTEN1Organic sur CA</v>
          </cell>
        </row>
        <row r="1019">
          <cell r="BG1019" t="str">
            <v>ASSURPOSTEPRETSPOSTEN1Commissions complémentaires</v>
          </cell>
        </row>
        <row r="1020">
          <cell r="BG1020" t="str">
            <v>ASSURPOSTEPRETSPOSTEN1Rétrocessions</v>
          </cell>
        </row>
        <row r="1021">
          <cell r="BG1021" t="str">
            <v>ASSURPOSTEPRETSPOSTEN1(A) avant AF sur PM</v>
          </cell>
        </row>
        <row r="1022">
          <cell r="BG1022" t="str">
            <v>ASSURPOSTEPRETSPOSTEN1Encours moyen du passif</v>
          </cell>
        </row>
        <row r="1023">
          <cell r="BG1023" t="str">
            <v>ASSURPOSTEPRETSPOSTEN1PM début</v>
          </cell>
        </row>
        <row r="1024">
          <cell r="BG1024" t="str">
            <v>ASSURPOSTEPRETSPOSTEN1Marge de solvabilité début</v>
          </cell>
        </row>
        <row r="1025">
          <cell r="BG1025" t="str">
            <v>ASSURPOSTEPRETSPOSTEN1CA + Virement - Transfert</v>
          </cell>
        </row>
        <row r="1026">
          <cell r="BG1026" t="str">
            <v>ASSURPOSTEPRETSPOSTEN1Nbre de contrats début</v>
          </cell>
        </row>
        <row r="1027">
          <cell r="BG1027" t="str">
            <v>ASSURPOSTEPRETSPOSTEN1Frais alloués de gestion</v>
          </cell>
        </row>
        <row r="1028">
          <cell r="BG1028" t="str">
            <v>ASSURPOSTEPRETSPOSTEN1Frais alloués d'acquisition</v>
          </cell>
        </row>
        <row r="1029">
          <cell r="BG1029" t="str">
            <v>ASSURPOSTEPRETSPOSTEN1Avoirs Fiscaux sur PM</v>
          </cell>
        </row>
        <row r="1030">
          <cell r="BG1030" t="str">
            <v>ASSURPOSTEPRETSPOSTEN1(A) après IS</v>
          </cell>
        </row>
        <row r="1031">
          <cell r="BG1031" t="str">
            <v>ASSURPOSTEPRETSPOSTEN1(B) après IS</v>
          </cell>
        </row>
        <row r="1032">
          <cell r="BG1032" t="str">
            <v>ASSURPOSTEPRETSPOSTEN1(C) après IS</v>
          </cell>
        </row>
        <row r="1033">
          <cell r="BG1033" t="str">
            <v>ASSURPOSTEPRETSPOSTEN1X1</v>
          </cell>
        </row>
        <row r="1034">
          <cell r="BG1034" t="str">
            <v>ASSURPOSTEPRETSPOSTEstockChargements sur flux</v>
          </cell>
        </row>
        <row r="1035">
          <cell r="BG1035" t="str">
            <v>ASSURPOSTEPRETSPOSTEstockCommissions sur flux</v>
          </cell>
        </row>
        <row r="1036">
          <cell r="BG1036" t="str">
            <v>ASSURPOSTEPRETSPOSTEstockTotal Chargements hors flux</v>
          </cell>
        </row>
        <row r="1037">
          <cell r="BG1037" t="str">
            <v>ASSURPOSTEPRETSPOSTEstockTotal Commissions hors flux</v>
          </cell>
        </row>
        <row r="1038">
          <cell r="BG1038" t="str">
            <v>ASSURPOSTEPRETSPOSTEstockMarge Technique et/ou Financière</v>
          </cell>
        </row>
        <row r="1039">
          <cell r="BG1039" t="str">
            <v>ASSURPOSTEPRETSPOSTEstockFrais de gestion</v>
          </cell>
        </row>
        <row r="1040">
          <cell r="BG1040" t="str">
            <v>ASSURPOSTEPRETSPOSTEstockFrais d'acquisition</v>
          </cell>
        </row>
        <row r="1041">
          <cell r="BG1041" t="str">
            <v>ASSURPOSTEPRETSPOSTEstockFacturation</v>
          </cell>
        </row>
        <row r="1042">
          <cell r="BG1042" t="str">
            <v>ASSURPOSTEPRETSPOSTEstockOrganic sur CA</v>
          </cell>
        </row>
        <row r="1043">
          <cell r="BG1043" t="str">
            <v>ASSURPOSTEPRETSPOSTEstockCommissions complémentaires</v>
          </cell>
        </row>
        <row r="1044">
          <cell r="BG1044" t="str">
            <v>ASSURPOSTEPRETSPOSTEstockRétrocessions</v>
          </cell>
        </row>
        <row r="1045">
          <cell r="BG1045" t="str">
            <v>ASSURPOSTEPRETSPOSTEstock(A) avant AF sur PM</v>
          </cell>
        </row>
        <row r="1046">
          <cell r="BG1046" t="str">
            <v>ASSURPOSTEPRETSPOSTEstockEncours moyen du passif</v>
          </cell>
        </row>
        <row r="1047">
          <cell r="BG1047" t="str">
            <v>ASSURPOSTEPRETSPOSTEstockPM début</v>
          </cell>
        </row>
        <row r="1048">
          <cell r="BG1048" t="str">
            <v>ASSURPOSTEPRETSPOSTEstockMarge de solvabilité début</v>
          </cell>
        </row>
        <row r="1049">
          <cell r="BG1049" t="str">
            <v>ASSURPOSTEPRETSPOSTEstockCA + Virement - Transfert</v>
          </cell>
        </row>
        <row r="1050">
          <cell r="BG1050" t="str">
            <v>ASSURPOSTEPRETSPOSTEstockNbre de contrats début</v>
          </cell>
        </row>
        <row r="1051">
          <cell r="BG1051" t="str">
            <v>ASSURPOSTEPRETSPOSTEstockFrais alloués de gestion</v>
          </cell>
        </row>
        <row r="1052">
          <cell r="BG1052" t="str">
            <v>ASSURPOSTEPRETSPOSTEstockFrais alloués d'acquisition</v>
          </cell>
        </row>
        <row r="1053">
          <cell r="BG1053" t="str">
            <v>ASSURPOSTEPRETSPOSTEstockAvoirs Fiscaux sur PM</v>
          </cell>
        </row>
        <row r="1054">
          <cell r="BG1054" t="str">
            <v>ASSURPOSTEPRETSPOSTEstock(A) après IS</v>
          </cell>
        </row>
        <row r="1055">
          <cell r="BG1055" t="str">
            <v>ASSURPOSTEPRETSPOSTEstock(B) après IS</v>
          </cell>
        </row>
        <row r="1056">
          <cell r="BG1056" t="str">
            <v>ASSURPOSTEPRETSPOSTEstock(C) après IS</v>
          </cell>
        </row>
        <row r="1057">
          <cell r="BG1057" t="str">
            <v>ASSURPOSTEPRETSPOSTEstockX1</v>
          </cell>
        </row>
        <row r="1058">
          <cell r="BG1058" t="str">
            <v>CNPERCAUTREStockChargements sur flux</v>
          </cell>
        </row>
        <row r="1059">
          <cell r="BG1059" t="str">
            <v>CNPERCAUTREStockCommissions sur flux</v>
          </cell>
        </row>
        <row r="1060">
          <cell r="BG1060" t="str">
            <v>CNPERCAUTREStockTotal Chargements hors flux</v>
          </cell>
        </row>
        <row r="1061">
          <cell r="BG1061" t="str">
            <v>CNPERCAUTREStockTotal Commissions hors flux</v>
          </cell>
        </row>
        <row r="1062">
          <cell r="BG1062" t="str">
            <v>CNPERCAUTREStockMarge Technique et/ou Financière</v>
          </cell>
        </row>
        <row r="1063">
          <cell r="BG1063" t="str">
            <v>CNPERCAUTREStockFrais de gestion</v>
          </cell>
        </row>
        <row r="1064">
          <cell r="BG1064" t="str">
            <v>CNPERCAUTREStockFrais d'acquisition</v>
          </cell>
        </row>
        <row r="1065">
          <cell r="BG1065" t="str">
            <v>CNPERCAUTREStockFacturation</v>
          </cell>
        </row>
        <row r="1066">
          <cell r="BG1066" t="str">
            <v>CNPERCAUTREStockOrganic sur CA</v>
          </cell>
        </row>
        <row r="1067">
          <cell r="BG1067" t="str">
            <v>CNPERCAUTREStockCommissions complémentaires</v>
          </cell>
        </row>
        <row r="1068">
          <cell r="BG1068" t="str">
            <v>CNPERCAUTREStockRétrocessions</v>
          </cell>
        </row>
        <row r="1069">
          <cell r="BG1069" t="str">
            <v>CNPERCAUTREStock(A) avant AF sur PM</v>
          </cell>
        </row>
        <row r="1070">
          <cell r="BG1070" t="str">
            <v>CNPERCAUTREStockEncours moyen du passif</v>
          </cell>
        </row>
        <row r="1071">
          <cell r="BG1071" t="str">
            <v>CNPERCAUTREStockPM début</v>
          </cell>
        </row>
        <row r="1072">
          <cell r="BG1072" t="str">
            <v>CNPERCAUTREStockMarge de solvabilité début</v>
          </cell>
        </row>
        <row r="1073">
          <cell r="BG1073" t="str">
            <v>CNPERCAUTREStockCA + Virement - Transfert</v>
          </cell>
        </row>
        <row r="1074">
          <cell r="BG1074" t="str">
            <v>CNPERCAUTREStockNbre de contrats début</v>
          </cell>
        </row>
        <row r="1075">
          <cell r="BG1075" t="str">
            <v>CNPERCAUTREStockFrais alloués de gestion</v>
          </cell>
        </row>
        <row r="1076">
          <cell r="BG1076" t="str">
            <v>CNPERCAUTREStockFrais alloués d'acquisition</v>
          </cell>
        </row>
        <row r="1077">
          <cell r="BG1077" t="str">
            <v>CNPERCAUTREStockAvoirs Fiscaux sur PM</v>
          </cell>
        </row>
        <row r="1078">
          <cell r="BG1078" t="str">
            <v>CNPERCAUTREStock(A) après IS</v>
          </cell>
        </row>
        <row r="1079">
          <cell r="BG1079" t="str">
            <v>CNPERCAUTREStock(B) après IS</v>
          </cell>
        </row>
        <row r="1080">
          <cell r="BG1080" t="str">
            <v>CNPERCAUTREStock(C) après IS</v>
          </cell>
        </row>
        <row r="1081">
          <cell r="BG1081" t="str">
            <v>CNPERCAUTREStockX1</v>
          </cell>
        </row>
        <row r="1082">
          <cell r="BG1082" t="str">
            <v>CNPPREVCOLLMUTUELLEN1Chargements sur flux</v>
          </cell>
        </row>
        <row r="1083">
          <cell r="BG1083" t="str">
            <v>CNPPREVCOLLMUTUELLEN1Commissions sur flux</v>
          </cell>
        </row>
        <row r="1084">
          <cell r="BG1084" t="str">
            <v>CNPPREVCOLLMUTUELLEN1Total Chargements hors flux</v>
          </cell>
        </row>
        <row r="1085">
          <cell r="BG1085" t="str">
            <v>CNPPREVCOLLMUTUELLEN1Total Commissions hors flux</v>
          </cell>
        </row>
        <row r="1086">
          <cell r="BG1086" t="str">
            <v>CNPPREVCOLLMUTUELLEN1Marge Technique et/ou Financière</v>
          </cell>
        </row>
        <row r="1087">
          <cell r="BG1087" t="str">
            <v>CNPPREVCOLLMUTUELLEN1Frais de gestion</v>
          </cell>
        </row>
        <row r="1088">
          <cell r="BG1088" t="str">
            <v>CNPPREVCOLLMUTUELLEN1Frais d'acquisition</v>
          </cell>
        </row>
        <row r="1089">
          <cell r="BG1089" t="str">
            <v>CNPPREVCOLLMUTUELLEN1Facturation</v>
          </cell>
        </row>
        <row r="1090">
          <cell r="BG1090" t="str">
            <v>CNPPREVCOLLMUTUELLEN1Organic sur CA</v>
          </cell>
        </row>
        <row r="1091">
          <cell r="BG1091" t="str">
            <v>CNPPREVCOLLMUTUELLEN1Commissions complémentaires</v>
          </cell>
        </row>
        <row r="1092">
          <cell r="BG1092" t="str">
            <v>CNPPREVCOLLMUTUELLEN1Rétrocessions</v>
          </cell>
        </row>
        <row r="1093">
          <cell r="BG1093" t="str">
            <v>CNPPREVCOLLMUTUELLEN1(A) avant AF sur PM</v>
          </cell>
        </row>
        <row r="1094">
          <cell r="BG1094" t="str">
            <v>CNPPREVCOLLMUTUELLEN1Encours moyen du passif</v>
          </cell>
        </row>
        <row r="1095">
          <cell r="BG1095" t="str">
            <v>CNPPREVCOLLMUTUELLEN1PM début</v>
          </cell>
        </row>
        <row r="1096">
          <cell r="BG1096" t="str">
            <v>CNPPREVCOLLMUTUELLEN1Marge de solvabilité début</v>
          </cell>
        </row>
        <row r="1097">
          <cell r="BG1097" t="str">
            <v>CNPPREVCOLLMUTUELLEN1CA + Virement - Transfert</v>
          </cell>
        </row>
        <row r="1098">
          <cell r="BG1098" t="str">
            <v>CNPPREVCOLLMUTUELLEN1Nbre de contrats début</v>
          </cell>
        </row>
        <row r="1099">
          <cell r="BG1099" t="str">
            <v>CNPPREVCOLLMUTUELLEN1Frais alloués de gestion</v>
          </cell>
        </row>
        <row r="1100">
          <cell r="BG1100" t="str">
            <v>CNPPREVCOLLMUTUELLEN1Frais alloués d'acquisition</v>
          </cell>
        </row>
        <row r="1101">
          <cell r="BG1101" t="str">
            <v>CNPPREVCOLLMUTUELLEN1Avoirs Fiscaux sur PM</v>
          </cell>
        </row>
        <row r="1102">
          <cell r="BG1102" t="str">
            <v>CNPPREVCOLLMUTUELLEN1(A) après IS</v>
          </cell>
        </row>
        <row r="1103">
          <cell r="BG1103" t="str">
            <v>CNPPREVCOLLMUTUELLEN1(B) après IS</v>
          </cell>
        </row>
        <row r="1104">
          <cell r="BG1104" t="str">
            <v>CNPPREVCOLLMUTUELLEN1(C) après IS</v>
          </cell>
        </row>
        <row r="1105">
          <cell r="BG1105" t="str">
            <v>CNPPREVCOLLMUTUELLEN1X1</v>
          </cell>
        </row>
        <row r="1106">
          <cell r="BG1106" t="str">
            <v>CNPPREVCOLLMUTUELLEstockChargements sur flux</v>
          </cell>
        </row>
        <row r="1107">
          <cell r="BG1107" t="str">
            <v>CNPPREVCOLLMUTUELLEstockCommissions sur flux</v>
          </cell>
        </row>
        <row r="1108">
          <cell r="BG1108" t="str">
            <v>CNPPREVCOLLMUTUELLEstockTotal Chargements hors flux</v>
          </cell>
        </row>
        <row r="1109">
          <cell r="BG1109" t="str">
            <v>CNPPREVCOLLMUTUELLEstockTotal Commissions hors flux</v>
          </cell>
        </row>
        <row r="1110">
          <cell r="BG1110" t="str">
            <v>CNPPREVCOLLMUTUELLEstockMarge Technique et/ou Financière</v>
          </cell>
        </row>
        <row r="1111">
          <cell r="BG1111" t="str">
            <v>CNPPREVCOLLMUTUELLEstockFrais de gestion</v>
          </cell>
        </row>
        <row r="1112">
          <cell r="BG1112" t="str">
            <v>CNPPREVCOLLMUTUELLEstockFrais d'acquisition</v>
          </cell>
        </row>
        <row r="1113">
          <cell r="BG1113" t="str">
            <v>CNPPREVCOLLMUTUELLEstockFacturation</v>
          </cell>
        </row>
        <row r="1114">
          <cell r="BG1114" t="str">
            <v>CNPPREVCOLLMUTUELLEstockOrganic sur CA</v>
          </cell>
        </row>
        <row r="1115">
          <cell r="BG1115" t="str">
            <v>CNPPREVCOLLMUTUELLEstockCommissions complémentaires</v>
          </cell>
        </row>
        <row r="1116">
          <cell r="BG1116" t="str">
            <v>CNPPREVCOLLMUTUELLEstockRétrocessions</v>
          </cell>
        </row>
        <row r="1117">
          <cell r="BG1117" t="str">
            <v>CNPPREVCOLLMUTUELLEstock(A) avant AF sur PM</v>
          </cell>
        </row>
        <row r="1118">
          <cell r="BG1118" t="str">
            <v>CNPPREVCOLLMUTUELLEstockEncours moyen du passif</v>
          </cell>
        </row>
        <row r="1119">
          <cell r="BG1119" t="str">
            <v>CNPPREVCOLLMUTUELLEstockPM début</v>
          </cell>
        </row>
        <row r="1120">
          <cell r="BG1120" t="str">
            <v>CNPPREVCOLLMUTUELLEstockMarge de solvabilité début</v>
          </cell>
        </row>
        <row r="1121">
          <cell r="BG1121" t="str">
            <v>CNPPREVCOLLMUTUELLEstockCA + Virement - Transfert</v>
          </cell>
        </row>
        <row r="1122">
          <cell r="BG1122" t="str">
            <v>CNPPREVCOLLMUTUELLEstockNbre de contrats début</v>
          </cell>
        </row>
        <row r="1123">
          <cell r="BG1123" t="str">
            <v>CNPPREVCOLLMUTUELLEstockFrais alloués de gestion</v>
          </cell>
        </row>
        <row r="1124">
          <cell r="BG1124" t="str">
            <v>CNPPREVCOLLMUTUELLEstockFrais alloués d'acquisition</v>
          </cell>
        </row>
        <row r="1125">
          <cell r="BG1125" t="str">
            <v>CNPPREVCOLLMUTUELLEstockAvoirs Fiscaux sur PM</v>
          </cell>
        </row>
        <row r="1126">
          <cell r="BG1126" t="str">
            <v>CNPPREVCOLLMUTUELLEstock(A) après IS</v>
          </cell>
        </row>
        <row r="1127">
          <cell r="BG1127" t="str">
            <v>CNPPREVCOLLMUTUELLEstock(B) après IS</v>
          </cell>
        </row>
        <row r="1128">
          <cell r="BG1128" t="str">
            <v>CNPPREVCOLLMUTUELLEstock(C) après IS</v>
          </cell>
        </row>
        <row r="1129">
          <cell r="BG1129" t="str">
            <v>CNPPREVCOLLMUTUELLEstockX1</v>
          </cell>
        </row>
        <row r="1130">
          <cell r="BG1130" t="str">
            <v>CNPPREVCOLLENTREPRISEN1Chargements sur flux</v>
          </cell>
        </row>
        <row r="1131">
          <cell r="BG1131" t="str">
            <v>CNPPREVCOLLENTREPRISEN1Commissions sur flux</v>
          </cell>
        </row>
        <row r="1132">
          <cell r="BG1132" t="str">
            <v>CNPPREVCOLLENTREPRISEN1Total Chargements hors flux</v>
          </cell>
        </row>
        <row r="1133">
          <cell r="BG1133" t="str">
            <v>CNPPREVCOLLENTREPRISEN1Total Commissions hors flux</v>
          </cell>
        </row>
        <row r="1134">
          <cell r="BG1134" t="str">
            <v>CNPPREVCOLLENTREPRISEN1Marge Technique et/ou Financière</v>
          </cell>
        </row>
        <row r="1135">
          <cell r="BG1135" t="str">
            <v>CNPPREVCOLLENTREPRISEN1Frais de gestion</v>
          </cell>
        </row>
        <row r="1136">
          <cell r="BG1136" t="str">
            <v>CNPPREVCOLLENTREPRISEN1Frais d'acquisition</v>
          </cell>
        </row>
        <row r="1137">
          <cell r="BG1137" t="str">
            <v>CNPPREVCOLLENTREPRISEN1Facturation</v>
          </cell>
        </row>
        <row r="1138">
          <cell r="BG1138" t="str">
            <v>CNPPREVCOLLENTREPRISEN1Organic sur CA</v>
          </cell>
        </row>
        <row r="1139">
          <cell r="BG1139" t="str">
            <v>CNPPREVCOLLENTREPRISEN1Commissions complémentaires</v>
          </cell>
        </row>
        <row r="1140">
          <cell r="BG1140" t="str">
            <v>CNPPREVCOLLENTREPRISEN1Rétrocessions</v>
          </cell>
        </row>
        <row r="1141">
          <cell r="BG1141" t="str">
            <v>CNPPREVCOLLENTREPRISEN1(A) avant AF sur PM</v>
          </cell>
        </row>
        <row r="1142">
          <cell r="BG1142" t="str">
            <v>CNPPREVCOLLENTREPRISEN1Encours moyen du passif</v>
          </cell>
        </row>
        <row r="1143">
          <cell r="BG1143" t="str">
            <v>CNPPREVCOLLENTREPRISEN1PM début</v>
          </cell>
        </row>
        <row r="1144">
          <cell r="BG1144" t="str">
            <v>CNPPREVCOLLENTREPRISEN1Marge de solvabilité début</v>
          </cell>
        </row>
        <row r="1145">
          <cell r="BG1145" t="str">
            <v>CNPPREVCOLLENTREPRISEN1CA + Virement - Transfert</v>
          </cell>
        </row>
        <row r="1146">
          <cell r="BG1146" t="str">
            <v>CNPPREVCOLLENTREPRISEN1Nbre de contrats début</v>
          </cell>
        </row>
        <row r="1147">
          <cell r="BG1147" t="str">
            <v>CNPPREVCOLLENTREPRISEN1Frais alloués de gestion</v>
          </cell>
        </row>
        <row r="1148">
          <cell r="BG1148" t="str">
            <v>CNPPREVCOLLENTREPRISEN1Frais alloués d'acquisition</v>
          </cell>
        </row>
        <row r="1149">
          <cell r="BG1149" t="str">
            <v>CNPPREVCOLLENTREPRISEN1Avoirs Fiscaux sur PM</v>
          </cell>
        </row>
        <row r="1150">
          <cell r="BG1150" t="str">
            <v>CNPPREVCOLLENTREPRISEN1(A) après IS</v>
          </cell>
        </row>
        <row r="1151">
          <cell r="BG1151" t="str">
            <v>CNPPREVCOLLENTREPRISEN1(B) après IS</v>
          </cell>
        </row>
        <row r="1152">
          <cell r="BG1152" t="str">
            <v>CNPPREVCOLLENTREPRISEN1(C) après IS</v>
          </cell>
        </row>
        <row r="1153">
          <cell r="BG1153" t="str">
            <v>CNPPREVCOLLENTREPRISEN1X1</v>
          </cell>
        </row>
        <row r="1154">
          <cell r="BG1154" t="str">
            <v>CNPPREVCOLLENTREPRISEstockChargements sur flux</v>
          </cell>
        </row>
        <row r="1155">
          <cell r="BG1155" t="str">
            <v>CNPPREVCOLLENTREPRISEstockCommissions sur flux</v>
          </cell>
        </row>
        <row r="1156">
          <cell r="BG1156" t="str">
            <v>CNPPREVCOLLENTREPRISEstockTotal Chargements hors flux</v>
          </cell>
        </row>
        <row r="1157">
          <cell r="BG1157" t="str">
            <v>CNPPREVCOLLENTREPRISEstockTotal Commissions hors flux</v>
          </cell>
        </row>
        <row r="1158">
          <cell r="BG1158" t="str">
            <v>CNPPREVCOLLENTREPRISEstockMarge Technique et/ou Financière</v>
          </cell>
        </row>
        <row r="1159">
          <cell r="BG1159" t="str">
            <v>CNPPREVCOLLENTREPRISEstockFrais de gestion</v>
          </cell>
        </row>
        <row r="1160">
          <cell r="BG1160" t="str">
            <v>CNPPREVCOLLENTREPRISEstockFrais d'acquisition</v>
          </cell>
        </row>
        <row r="1161">
          <cell r="BG1161" t="str">
            <v>CNPPREVCOLLENTREPRISEstockFacturation</v>
          </cell>
        </row>
        <row r="1162">
          <cell r="BG1162" t="str">
            <v>CNPPREVCOLLENTREPRISEstockOrganic sur CA</v>
          </cell>
        </row>
        <row r="1163">
          <cell r="BG1163" t="str">
            <v>CNPPREVCOLLENTREPRISEstockCommissions complémentaires</v>
          </cell>
        </row>
        <row r="1164">
          <cell r="BG1164" t="str">
            <v>CNPPREVCOLLENTREPRISEstockRétrocessions</v>
          </cell>
        </row>
        <row r="1165">
          <cell r="BG1165" t="str">
            <v>CNPPREVCOLLENTREPRISEstock(A) avant AF sur PM</v>
          </cell>
        </row>
        <row r="1166">
          <cell r="BG1166" t="str">
            <v>CNPPREVCOLLENTREPRISEstockEncours moyen du passif</v>
          </cell>
        </row>
        <row r="1167">
          <cell r="BG1167" t="str">
            <v>CNPPREVCOLLENTREPRISEstockPM début</v>
          </cell>
        </row>
        <row r="1168">
          <cell r="BG1168" t="str">
            <v>CNPPREVCOLLENTREPRISEstockMarge de solvabilité début</v>
          </cell>
        </row>
        <row r="1169">
          <cell r="BG1169" t="str">
            <v>CNPPREVCOLLENTREPRISEstockCA + Virement - Transfert</v>
          </cell>
        </row>
        <row r="1170">
          <cell r="BG1170" t="str">
            <v>CNPPREVCOLLENTREPRISEstockNbre de contrats début</v>
          </cell>
        </row>
        <row r="1171">
          <cell r="BG1171" t="str">
            <v>CNPPREVCOLLENTREPRISEstockFrais alloués de gestion</v>
          </cell>
        </row>
        <row r="1172">
          <cell r="BG1172" t="str">
            <v>CNPPREVCOLLENTREPRISEstockFrais alloués d'acquisition</v>
          </cell>
        </row>
        <row r="1173">
          <cell r="BG1173" t="str">
            <v>CNPPREVCOLLENTREPRISEstockAvoirs Fiscaux sur PM</v>
          </cell>
        </row>
        <row r="1174">
          <cell r="BG1174" t="str">
            <v>CNPPREVCOLLENTREPRISEstock(A) après IS</v>
          </cell>
        </row>
        <row r="1175">
          <cell r="BG1175" t="str">
            <v>CNPPREVCOLLENTREPRISEstock(B) après IS</v>
          </cell>
        </row>
        <row r="1176">
          <cell r="BG1176" t="str">
            <v>CNPPREVCOLLENTREPRISEstock(C) après IS</v>
          </cell>
        </row>
        <row r="1177">
          <cell r="BG1177" t="str">
            <v>CNPPREVCOLLENTREPRISEstockX1</v>
          </cell>
        </row>
        <row r="1178">
          <cell r="BG1178" t="str">
            <v>CNP4JUINAUTREN1Chargements sur flux</v>
          </cell>
        </row>
        <row r="1179">
          <cell r="BG1179" t="str">
            <v>CNP4JUINAUTREN1Commissions sur flux</v>
          </cell>
        </row>
        <row r="1180">
          <cell r="BG1180" t="str">
            <v>CNP4JUINAUTREN1Total Chargements hors flux</v>
          </cell>
        </row>
        <row r="1181">
          <cell r="BG1181" t="str">
            <v>CNP4JUINAUTREN1Total Commissions hors flux</v>
          </cell>
        </row>
        <row r="1182">
          <cell r="BG1182" t="str">
            <v>CNP4JUINAUTREN1Marge Technique et/ou Financière</v>
          </cell>
        </row>
        <row r="1183">
          <cell r="BG1183" t="str">
            <v>CNP4JUINAUTREN1Frais de gestion</v>
          </cell>
        </row>
        <row r="1184">
          <cell r="BG1184" t="str">
            <v>CNP4JUINAUTREN1Frais d'acquisition</v>
          </cell>
        </row>
        <row r="1185">
          <cell r="BG1185" t="str">
            <v>CNP4JUINAUTREN1Facturation</v>
          </cell>
        </row>
        <row r="1186">
          <cell r="BG1186" t="str">
            <v>CNP4JUINAUTREN1Organic sur CA</v>
          </cell>
        </row>
        <row r="1187">
          <cell r="BG1187" t="str">
            <v>CNP4JUINAUTREN1Commissions complémentaires</v>
          </cell>
        </row>
        <row r="1188">
          <cell r="BG1188" t="str">
            <v>CNP4JUINAUTREN1Rétrocessions</v>
          </cell>
        </row>
        <row r="1189">
          <cell r="BG1189" t="str">
            <v>CNP4JUINAUTREN1(A) avant AF sur PM</v>
          </cell>
        </row>
        <row r="1190">
          <cell r="BG1190" t="str">
            <v>CNP4JUINAUTREN1Encours moyen du passif</v>
          </cell>
        </row>
        <row r="1191">
          <cell r="BG1191" t="str">
            <v>CNP4JUINAUTREN1PM début</v>
          </cell>
        </row>
        <row r="1192">
          <cell r="BG1192" t="str">
            <v>CNP4JUINAUTREN1Marge de solvabilité début</v>
          </cell>
        </row>
        <row r="1193">
          <cell r="BG1193" t="str">
            <v>CNP4JUINAUTREN1CA + Virement - Transfert</v>
          </cell>
        </row>
        <row r="1194">
          <cell r="BG1194" t="str">
            <v>CNP4JUINAUTREN1Nbre de contrats début</v>
          </cell>
        </row>
        <row r="1195">
          <cell r="BG1195" t="str">
            <v>CNP4JUINAUTREN1Frais alloués de gestion</v>
          </cell>
        </row>
        <row r="1196">
          <cell r="BG1196" t="str">
            <v>CNP4JUINAUTREN1Frais alloués d'acquisition</v>
          </cell>
        </row>
        <row r="1197">
          <cell r="BG1197" t="str">
            <v>CNP4JUINAUTREN1Avoirs Fiscaux sur PM</v>
          </cell>
        </row>
        <row r="1198">
          <cell r="BG1198" t="str">
            <v>CNP4JUINAUTREN1(A) après IS</v>
          </cell>
        </row>
        <row r="1199">
          <cell r="BG1199" t="str">
            <v>CNP4JUINAUTREN1(B) après IS</v>
          </cell>
        </row>
        <row r="1200">
          <cell r="BG1200" t="str">
            <v>CNP4JUINAUTREN1(C) après IS</v>
          </cell>
        </row>
        <row r="1201">
          <cell r="BG1201" t="str">
            <v>CNP4JUINAUTREN1X1</v>
          </cell>
        </row>
        <row r="1202">
          <cell r="BG1202" t="str">
            <v>CNP4JUINAUTREstockChargements sur flux</v>
          </cell>
        </row>
        <row r="1203">
          <cell r="BG1203" t="str">
            <v>CNP4JUINAUTREstockCommissions sur flux</v>
          </cell>
        </row>
        <row r="1204">
          <cell r="BG1204" t="str">
            <v>CNP4JUINAUTREstockTotal Chargements hors flux</v>
          </cell>
        </row>
        <row r="1205">
          <cell r="BG1205" t="str">
            <v>CNP4JUINAUTREstockTotal Commissions hors flux</v>
          </cell>
        </row>
        <row r="1206">
          <cell r="BG1206" t="str">
            <v>CNP4JUINAUTREstockMarge Technique et/ou Financière</v>
          </cell>
        </row>
        <row r="1207">
          <cell r="BG1207" t="str">
            <v>CNP4JUINAUTREstockFrais de gestion</v>
          </cell>
        </row>
        <row r="1208">
          <cell r="BG1208" t="str">
            <v>CNP4JUINAUTREstockFrais d'acquisition</v>
          </cell>
        </row>
        <row r="1209">
          <cell r="BG1209" t="str">
            <v>CNP4JUINAUTREstockFacturation</v>
          </cell>
        </row>
        <row r="1210">
          <cell r="BG1210" t="str">
            <v>CNP4JUINAUTREstockOrganic sur CA</v>
          </cell>
        </row>
        <row r="1211">
          <cell r="BG1211" t="str">
            <v>CNP4JUINAUTREstockCommissions complémentaires</v>
          </cell>
        </row>
        <row r="1212">
          <cell r="BG1212" t="str">
            <v>CNP4JUINAUTREstockRétrocessions</v>
          </cell>
        </row>
        <row r="1213">
          <cell r="BG1213" t="str">
            <v>CNP4JUINAUTREstock(A) avant AF sur PM</v>
          </cell>
        </row>
        <row r="1214">
          <cell r="BG1214" t="str">
            <v>CNP4JUINAUTREstockEncours moyen du passif</v>
          </cell>
        </row>
        <row r="1215">
          <cell r="BG1215" t="str">
            <v>CNP4JUINAUTREstockPM début</v>
          </cell>
        </row>
        <row r="1216">
          <cell r="BG1216" t="str">
            <v>CNP4JUINAUTREstockMarge de solvabilité début</v>
          </cell>
        </row>
        <row r="1217">
          <cell r="BG1217" t="str">
            <v>CNP4JUINAUTREstockCA + Virement - Transfert</v>
          </cell>
        </row>
        <row r="1218">
          <cell r="BG1218" t="str">
            <v>CNP4JUINAUTREstockNbre de contrats début</v>
          </cell>
        </row>
        <row r="1219">
          <cell r="BG1219" t="str">
            <v>CNP4JUINAUTREstockFrais alloués de gestion</v>
          </cell>
        </row>
        <row r="1220">
          <cell r="BG1220" t="str">
            <v>CNP4JUINAUTREstockFrais alloués d'acquisition</v>
          </cell>
        </row>
        <row r="1221">
          <cell r="BG1221" t="str">
            <v>CNP4JUINAUTREstockAvoirs Fiscaux sur PM</v>
          </cell>
        </row>
        <row r="1222">
          <cell r="BG1222" t="str">
            <v>CNP4JUINAUTREstock(A) après IS</v>
          </cell>
        </row>
        <row r="1223">
          <cell r="BG1223" t="str">
            <v>CNP4JUINAUTREstock(B) après IS</v>
          </cell>
        </row>
        <row r="1224">
          <cell r="BG1224" t="str">
            <v>CNP4JUINAUTREstock(C) après IS</v>
          </cell>
        </row>
        <row r="1225">
          <cell r="BG1225" t="str">
            <v>CNP4JUINAUTREstockX1</v>
          </cell>
        </row>
        <row r="1226">
          <cell r="BG1226" t="str">
            <v>CNP4JUINPREFONstockChargements sur flux</v>
          </cell>
        </row>
        <row r="1227">
          <cell r="BG1227" t="str">
            <v>CNP4JUINPREFONstockCommissions sur flux</v>
          </cell>
        </row>
        <row r="1228">
          <cell r="BG1228" t="str">
            <v>CNP4JUINPREFONstockTotal Chargements hors flux</v>
          </cell>
        </row>
        <row r="1229">
          <cell r="BG1229" t="str">
            <v>CNP4JUINPREFONstockTotal Commissions hors flux</v>
          </cell>
        </row>
        <row r="1230">
          <cell r="BG1230" t="str">
            <v>CNP4JUINPREFONstockMarge Technique et/ou Financière</v>
          </cell>
        </row>
        <row r="1231">
          <cell r="BG1231" t="str">
            <v>CNP4JUINPREFONstockFrais de gestion</v>
          </cell>
        </row>
        <row r="1232">
          <cell r="BG1232" t="str">
            <v>CNP4JUINPREFONstockFrais d'acquisition</v>
          </cell>
        </row>
        <row r="1233">
          <cell r="BG1233" t="str">
            <v>CNP4JUINPREFONstockFacturation</v>
          </cell>
        </row>
        <row r="1234">
          <cell r="BG1234" t="str">
            <v>CNP4JUINPREFONstockOrganic sur CA</v>
          </cell>
        </row>
        <row r="1235">
          <cell r="BG1235" t="str">
            <v>CNP4JUINPREFONstockCommissions complémentaires</v>
          </cell>
        </row>
        <row r="1236">
          <cell r="BG1236" t="str">
            <v>CNP4JUINPREFONstockRétrocessions</v>
          </cell>
        </row>
        <row r="1237">
          <cell r="BG1237" t="str">
            <v>CNP4JUINPREFONstock(A) avant AF sur PM</v>
          </cell>
        </row>
        <row r="1238">
          <cell r="BG1238" t="str">
            <v>CNP4JUINPREFONstockEncours moyen du passif</v>
          </cell>
        </row>
        <row r="1239">
          <cell r="BG1239" t="str">
            <v>CNP4JUINPREFONstockPM début</v>
          </cell>
        </row>
        <row r="1240">
          <cell r="BG1240" t="str">
            <v>CNP4JUINPREFONstockMarge de solvabilité début</v>
          </cell>
        </row>
        <row r="1241">
          <cell r="BG1241" t="str">
            <v>CNP4JUINPREFONstockCA + Virement - Transfert</v>
          </cell>
        </row>
        <row r="1242">
          <cell r="BG1242" t="str">
            <v>CNP4JUINPREFONstockNbre de contrats début</v>
          </cell>
        </row>
        <row r="1243">
          <cell r="BG1243" t="str">
            <v>CNP4JUINPREFONstockFrais alloués de gestion</v>
          </cell>
        </row>
        <row r="1244">
          <cell r="BG1244" t="str">
            <v>CNP4JUINPREFONstockFrais alloués d'acquisition</v>
          </cell>
        </row>
        <row r="1245">
          <cell r="BG1245" t="str">
            <v>CNP4JUINPREFONstockAvoirs Fiscaux sur PM</v>
          </cell>
        </row>
        <row r="1246">
          <cell r="BG1246" t="str">
            <v>CNP4JUINPREFONstock(A) après IS</v>
          </cell>
        </row>
        <row r="1247">
          <cell r="BG1247" t="str">
            <v>CNP4JUINPREFONstock(B) après IS</v>
          </cell>
        </row>
        <row r="1248">
          <cell r="BG1248" t="str">
            <v>CNP4JUINPREFONstock(C) après IS</v>
          </cell>
        </row>
        <row r="1249">
          <cell r="BG1249" t="str">
            <v>CNP4JUINPREFONstockX1</v>
          </cell>
        </row>
        <row r="1250">
          <cell r="BG1250" t="str">
            <v>CNP4JUINPREFONN1Chargements sur flux</v>
          </cell>
        </row>
        <row r="1251">
          <cell r="BG1251" t="str">
            <v>CNP4JUINPREFONN1Commissions sur flux</v>
          </cell>
        </row>
        <row r="1252">
          <cell r="BG1252" t="str">
            <v>CNP4JUINPREFONN1Total Chargements hors flux</v>
          </cell>
        </row>
        <row r="1253">
          <cell r="BG1253" t="str">
            <v>CNP4JUINPREFONN1Total Commissions hors flux</v>
          </cell>
        </row>
        <row r="1254">
          <cell r="BG1254" t="str">
            <v>CNP4JUINPREFONN1Marge Technique et/ou Financière</v>
          </cell>
        </row>
        <row r="1255">
          <cell r="BG1255" t="str">
            <v>CNP4JUINPREFONN1Frais de gestion</v>
          </cell>
        </row>
        <row r="1256">
          <cell r="BG1256" t="str">
            <v>CNP4JUINPREFONN1Frais d'acquisition</v>
          </cell>
        </row>
        <row r="1257">
          <cell r="BG1257" t="str">
            <v>CNP4JUINPREFONN1Facturation</v>
          </cell>
        </row>
        <row r="1258">
          <cell r="BG1258" t="str">
            <v>CNP4JUINPREFONN1Organic sur CA</v>
          </cell>
        </row>
        <row r="1259">
          <cell r="BG1259" t="str">
            <v>CNP4JUINPREFONN1Commissions complémentaires</v>
          </cell>
        </row>
        <row r="1260">
          <cell r="BG1260" t="str">
            <v>CNP4JUINPREFONN1Rétrocessions</v>
          </cell>
        </row>
        <row r="1261">
          <cell r="BG1261" t="str">
            <v>CNP4JUINPREFONN1(A) avant AF sur PM</v>
          </cell>
        </row>
        <row r="1262">
          <cell r="BG1262" t="str">
            <v>CNP4JUINPREFONN1Encours moyen du passif</v>
          </cell>
        </row>
        <row r="1263">
          <cell r="BG1263" t="str">
            <v>CNP4JUINPREFONN1PM début</v>
          </cell>
        </row>
        <row r="1264">
          <cell r="BG1264" t="str">
            <v>CNP4JUINPREFONN1Marge de solvabilité début</v>
          </cell>
        </row>
        <row r="1265">
          <cell r="BG1265" t="str">
            <v>CNP4JUINPREFONN1CA + Virement - Transfert</v>
          </cell>
        </row>
        <row r="1266">
          <cell r="BG1266" t="str">
            <v>CNP4JUINPREFONN1Nbre de contrats début</v>
          </cell>
        </row>
        <row r="1267">
          <cell r="BG1267" t="str">
            <v>CNP4JUINPREFONN1Frais alloués de gestion</v>
          </cell>
        </row>
        <row r="1268">
          <cell r="BG1268" t="str">
            <v>CNP4JUINPREFONN1Frais alloués d'acquisition</v>
          </cell>
        </row>
        <row r="1269">
          <cell r="BG1269" t="str">
            <v>CNP4JUINPREFONN1Avoirs Fiscaux sur PM</v>
          </cell>
        </row>
        <row r="1270">
          <cell r="BG1270" t="str">
            <v>CNP4JUINPREFONN1(A) après IS</v>
          </cell>
        </row>
        <row r="1271">
          <cell r="BG1271" t="str">
            <v>CNP4JUINPREFONN1(B) après IS</v>
          </cell>
        </row>
        <row r="1272">
          <cell r="BG1272" t="str">
            <v>CNP4JUINPREFONN1(C) après IS</v>
          </cell>
        </row>
        <row r="1273">
          <cell r="BG1273" t="str">
            <v>CNP4JUINPREFONN1X1</v>
          </cell>
        </row>
      </sheetData>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Set>
  </externalBook>
</externalLink>
</file>

<file path=xl/externalLinks/externalLink1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Produits"/>
      <sheetName val="Compte"/>
      <sheetName val="Détail"/>
      <sheetName val="Ecriture CONSO et REGUL"/>
    </sheetNames>
    <sheetDataSet>
      <sheetData sheetId="0" refreshError="1"/>
      <sheetData sheetId="1" refreshError="1">
        <row r="5">
          <cell r="A5" t="str">
            <v>Compte associé</v>
          </cell>
          <cell r="B5" t="str">
            <v>Libellé du compte</v>
          </cell>
          <cell r="C5" t="str">
            <v>Rubrique</v>
          </cell>
          <cell r="D5" t="str">
            <v>Sous-rubrique</v>
          </cell>
          <cell r="E5" t="str">
            <v>Détail</v>
          </cell>
          <cell r="F5" t="str">
            <v>Compte 3 correspondant</v>
          </cell>
          <cell r="G5" t="str">
            <v>Type</v>
          </cell>
        </row>
        <row r="6">
          <cell r="A6" t="str">
            <v>A300000000</v>
          </cell>
          <cell r="B6" t="str">
            <v>Provision Risques Croissants</v>
          </cell>
          <cell r="C6" t="str">
            <v>PROVISION</v>
          </cell>
          <cell r="D6" t="str">
            <v>NR</v>
          </cell>
          <cell r="E6" t="str">
            <v>Prov risque croissant</v>
          </cell>
          <cell r="F6" t="str">
            <v>A300000000</v>
          </cell>
          <cell r="G6" t="str">
            <v>Bilan</v>
          </cell>
        </row>
        <row r="7">
          <cell r="A7" t="str">
            <v>A300001000</v>
          </cell>
          <cell r="B7" t="str">
            <v>Pm Primes</v>
          </cell>
          <cell r="C7" t="str">
            <v>PROVISION</v>
          </cell>
          <cell r="D7" t="str">
            <v>NR</v>
          </cell>
          <cell r="E7" t="str">
            <v>PM</v>
          </cell>
          <cell r="F7" t="str">
            <v>A300001000</v>
          </cell>
          <cell r="G7" t="str">
            <v>Bilan</v>
          </cell>
        </row>
        <row r="8">
          <cell r="A8" t="str">
            <v>A300002000</v>
          </cell>
          <cell r="B8" t="str">
            <v>Prc Coass Apériteur</v>
          </cell>
          <cell r="C8" t="str">
            <v>PROVISION</v>
          </cell>
          <cell r="D8" t="str">
            <v>NR</v>
          </cell>
          <cell r="E8" t="str">
            <v>Prov risque croissant</v>
          </cell>
          <cell r="F8" t="str">
            <v>A300002000</v>
          </cell>
          <cell r="G8" t="str">
            <v>Bilan</v>
          </cell>
        </row>
        <row r="9">
          <cell r="A9" t="str">
            <v>A300010000</v>
          </cell>
          <cell r="B9" t="str">
            <v>Pm Primes</v>
          </cell>
          <cell r="C9" t="str">
            <v>PROVISION</v>
          </cell>
          <cell r="D9" t="str">
            <v>NR</v>
          </cell>
          <cell r="E9" t="str">
            <v>PM</v>
          </cell>
          <cell r="F9" t="str">
            <v>A300010000</v>
          </cell>
          <cell r="G9" t="str">
            <v>Bilan</v>
          </cell>
        </row>
        <row r="10">
          <cell r="A10" t="str">
            <v>A30001000X</v>
          </cell>
          <cell r="B10" t="str">
            <v>Pm Primes</v>
          </cell>
          <cell r="C10" t="str">
            <v>PROVISION</v>
          </cell>
          <cell r="D10" t="str">
            <v>PM VIE</v>
          </cell>
          <cell r="E10" t="str">
            <v>PM</v>
          </cell>
          <cell r="F10" t="str">
            <v>A300010000</v>
          </cell>
          <cell r="G10" t="str">
            <v>Résultat</v>
          </cell>
        </row>
        <row r="11">
          <cell r="A11" t="str">
            <v>A300011000</v>
          </cell>
          <cell r="B11" t="str">
            <v>Pm Primes Pures Pc</v>
          </cell>
          <cell r="C11" t="str">
            <v>PROVISION</v>
          </cell>
          <cell r="D11" t="str">
            <v>NR</v>
          </cell>
          <cell r="E11" t="str">
            <v>PM</v>
          </cell>
          <cell r="F11" t="str">
            <v>A300011000</v>
          </cell>
          <cell r="G11" t="str">
            <v>Bilan</v>
          </cell>
        </row>
        <row r="12">
          <cell r="A12" t="str">
            <v>A300012000</v>
          </cell>
          <cell r="B12" t="str">
            <v>Coass Cnp Aperiteur Dot Pm</v>
          </cell>
          <cell r="C12" t="str">
            <v>PROVISION</v>
          </cell>
          <cell r="D12" t="str">
            <v>NR</v>
          </cell>
          <cell r="E12" t="str">
            <v>PM</v>
          </cell>
          <cell r="F12" t="str">
            <v>A300012000</v>
          </cell>
          <cell r="G12" t="str">
            <v>Bilan</v>
          </cell>
        </row>
        <row r="13">
          <cell r="A13" t="str">
            <v>A300020000</v>
          </cell>
          <cell r="B13" t="str">
            <v>Pm Primes Décès</v>
          </cell>
          <cell r="C13" t="str">
            <v>PROVISION</v>
          </cell>
          <cell r="D13" t="str">
            <v>NR</v>
          </cell>
          <cell r="E13" t="str">
            <v>PM</v>
          </cell>
          <cell r="F13" t="str">
            <v>A300020000</v>
          </cell>
          <cell r="G13" t="str">
            <v>Bilan</v>
          </cell>
        </row>
        <row r="14">
          <cell r="A14" t="str">
            <v>A300030000</v>
          </cell>
          <cell r="B14" t="str">
            <v>Complement Pmg</v>
          </cell>
          <cell r="C14" t="str">
            <v>PROVISION</v>
          </cell>
          <cell r="D14" t="str">
            <v>NR</v>
          </cell>
          <cell r="E14" t="str">
            <v>PGG</v>
          </cell>
          <cell r="F14" t="str">
            <v>A300030000</v>
          </cell>
          <cell r="G14" t="str">
            <v>Bilan</v>
          </cell>
        </row>
        <row r="15">
          <cell r="A15" t="str">
            <v>A300040000</v>
          </cell>
          <cell r="B15" t="str">
            <v>Pm Gestion</v>
          </cell>
          <cell r="C15" t="str">
            <v>PROVISION</v>
          </cell>
          <cell r="D15" t="str">
            <v>NR</v>
          </cell>
          <cell r="E15" t="str">
            <v>PGG</v>
          </cell>
          <cell r="F15" t="str">
            <v>A300040000</v>
          </cell>
          <cell r="G15" t="str">
            <v>Bilan</v>
          </cell>
        </row>
        <row r="16">
          <cell r="A16" t="str">
            <v>A300041000</v>
          </cell>
          <cell r="B16" t="str">
            <v>Prov Frais Acquisition Reporte</v>
          </cell>
          <cell r="C16" t="str">
            <v>PROVISION</v>
          </cell>
          <cell r="D16" t="str">
            <v>NR</v>
          </cell>
          <cell r="E16" t="str">
            <v>PM</v>
          </cell>
          <cell r="F16" t="str">
            <v>A300041000</v>
          </cell>
          <cell r="G16" t="str">
            <v>Bilan</v>
          </cell>
        </row>
        <row r="17">
          <cell r="A17" t="str">
            <v>A30004100X</v>
          </cell>
          <cell r="B17" t="str">
            <v>Prov Frais Acquisition Reporte</v>
          </cell>
          <cell r="C17" t="str">
            <v>PROVISION</v>
          </cell>
          <cell r="D17" t="str">
            <v>PM VIE</v>
          </cell>
          <cell r="E17" t="str">
            <v>PM</v>
          </cell>
          <cell r="F17" t="str">
            <v>A300041000</v>
          </cell>
          <cell r="G17" t="str">
            <v>Résultat</v>
          </cell>
        </row>
        <row r="18">
          <cell r="A18" t="str">
            <v>A300050000</v>
          </cell>
          <cell r="B18" t="str">
            <v>Provision Majoration Legale</v>
          </cell>
          <cell r="C18" t="str">
            <v>PROVISION</v>
          </cell>
          <cell r="D18" t="str">
            <v>NR</v>
          </cell>
          <cell r="E18" t="str">
            <v>PM</v>
          </cell>
          <cell r="F18" t="str">
            <v>A300050000</v>
          </cell>
          <cell r="G18" t="str">
            <v>Bilan</v>
          </cell>
        </row>
        <row r="19">
          <cell r="A19" t="str">
            <v>A30005000X</v>
          </cell>
          <cell r="B19" t="str">
            <v>Autres Provisions Techniques</v>
          </cell>
          <cell r="C19" t="str">
            <v>PROVISION</v>
          </cell>
          <cell r="D19" t="str">
            <v>PM VIE</v>
          </cell>
          <cell r="E19" t="str">
            <v>PM</v>
          </cell>
          <cell r="F19" t="str">
            <v>A300050000</v>
          </cell>
          <cell r="G19" t="str">
            <v>Résultat</v>
          </cell>
        </row>
        <row r="20">
          <cell r="A20" t="str">
            <v>A300060000</v>
          </cell>
          <cell r="B20" t="str">
            <v>Provision Risques En Cours</v>
          </cell>
          <cell r="C20" t="str">
            <v>PROVISION</v>
          </cell>
          <cell r="D20" t="str">
            <v>NR</v>
          </cell>
          <cell r="E20" t="str">
            <v>PM</v>
          </cell>
          <cell r="F20" t="str">
            <v>A300060000</v>
          </cell>
          <cell r="G20" t="str">
            <v>Bilan</v>
          </cell>
        </row>
        <row r="21">
          <cell r="A21" t="str">
            <v>A300062000</v>
          </cell>
          <cell r="B21" t="str">
            <v>Coass Cnp Apériteur Dot Pena V</v>
          </cell>
          <cell r="C21" t="str">
            <v>PROVISION</v>
          </cell>
          <cell r="D21" t="str">
            <v>NR</v>
          </cell>
          <cell r="E21" t="str">
            <v>PM</v>
          </cell>
          <cell r="F21" t="str">
            <v>A300062000</v>
          </cell>
          <cell r="G21" t="str">
            <v>Bilan</v>
          </cell>
        </row>
        <row r="22">
          <cell r="A22" t="str">
            <v>A300070000</v>
          </cell>
          <cell r="B22" t="str">
            <v>Provision Risques Deficitaires</v>
          </cell>
          <cell r="C22" t="str">
            <v>PROVISION</v>
          </cell>
          <cell r="D22" t="str">
            <v>PB DIFFEREE PASSIVE NETTE</v>
          </cell>
          <cell r="E22" t="str">
            <v>DIRECT PROV EGALISATION</v>
          </cell>
          <cell r="F22" t="str">
            <v>A300070000</v>
          </cell>
          <cell r="G22" t="str">
            <v>Bilan</v>
          </cell>
        </row>
        <row r="23">
          <cell r="A23" t="str">
            <v>A300072000</v>
          </cell>
          <cell r="B23" t="str">
            <v>Pro Égalisation Part Coass</v>
          </cell>
          <cell r="C23" t="str">
            <v>PROVISION</v>
          </cell>
          <cell r="D23" t="str">
            <v>PB DIFFEREE PASSIVE NETTE</v>
          </cell>
          <cell r="E23" t="str">
            <v>DIRECT PROV EGALISATION</v>
          </cell>
          <cell r="F23" t="str">
            <v>A300072000</v>
          </cell>
          <cell r="G23" t="str">
            <v>Bilan</v>
          </cell>
        </row>
        <row r="24">
          <cell r="A24" t="str">
            <v>A300200000</v>
          </cell>
          <cell r="B24" t="str">
            <v>Provisions Techniques Speciale</v>
          </cell>
          <cell r="C24" t="str">
            <v>PROVISION</v>
          </cell>
          <cell r="D24" t="str">
            <v>NR</v>
          </cell>
          <cell r="E24" t="str">
            <v>PROV L441</v>
          </cell>
          <cell r="F24" t="str">
            <v>A300200000</v>
          </cell>
          <cell r="G24" t="str">
            <v>Bilan</v>
          </cell>
        </row>
        <row r="25">
          <cell r="A25" t="str">
            <v>A304010000</v>
          </cell>
          <cell r="B25" t="str">
            <v>Prov Techniques Accept Primes</v>
          </cell>
          <cell r="C25" t="str">
            <v>PROVISION</v>
          </cell>
          <cell r="D25" t="str">
            <v>NR</v>
          </cell>
          <cell r="E25" t="str">
            <v>PM ACCEPTATION</v>
          </cell>
          <cell r="F25" t="str">
            <v>A304010000</v>
          </cell>
          <cell r="G25" t="str">
            <v>Bilan</v>
          </cell>
        </row>
        <row r="26">
          <cell r="A26" t="str">
            <v>A30401000X</v>
          </cell>
          <cell r="B26" t="str">
            <v>Prov Techniques Accept Primes</v>
          </cell>
          <cell r="C26" t="str">
            <v>PROVISION</v>
          </cell>
          <cell r="D26" t="str">
            <v>PM VIE</v>
          </cell>
          <cell r="E26" t="str">
            <v>PM ACCEPTATION</v>
          </cell>
          <cell r="F26" t="str">
            <v>A304010000</v>
          </cell>
          <cell r="G26" t="str">
            <v>Résultat</v>
          </cell>
        </row>
        <row r="27">
          <cell r="A27" t="str">
            <v>A304011000</v>
          </cell>
          <cell r="B27" t="str">
            <v>Prov Techniques Pm Carivita</v>
          </cell>
          <cell r="C27" t="str">
            <v>PROVISION</v>
          </cell>
          <cell r="D27" t="str">
            <v>NR</v>
          </cell>
          <cell r="E27" t="str">
            <v>PM ACCEPTATION</v>
          </cell>
          <cell r="F27" t="str">
            <v>A304011000</v>
          </cell>
          <cell r="G27" t="str">
            <v>Bilan</v>
          </cell>
        </row>
        <row r="28">
          <cell r="A28" t="str">
            <v>A304013000</v>
          </cell>
          <cell r="B28" t="str">
            <v>Prov Techniques Accept Primes</v>
          </cell>
          <cell r="C28" t="str">
            <v>PROVISION</v>
          </cell>
          <cell r="D28" t="str">
            <v>NR</v>
          </cell>
          <cell r="E28" t="str">
            <v>PM ACCEPTATION</v>
          </cell>
          <cell r="F28" t="str">
            <v>A304013000</v>
          </cell>
          <cell r="G28" t="str">
            <v>Bilan</v>
          </cell>
        </row>
        <row r="29">
          <cell r="A29" t="str">
            <v>A30401300X</v>
          </cell>
          <cell r="B29" t="str">
            <v>Prov Techniques Accept Primes</v>
          </cell>
          <cell r="C29" t="str">
            <v>PROVISION</v>
          </cell>
          <cell r="D29" t="str">
            <v>PM VIE</v>
          </cell>
          <cell r="E29" t="str">
            <v>PM ACCEPTATION</v>
          </cell>
          <cell r="F29" t="str">
            <v>A304013000</v>
          </cell>
          <cell r="G29" t="str">
            <v>Résultat</v>
          </cell>
        </row>
        <row r="30">
          <cell r="A30" t="str">
            <v>A304020000</v>
          </cell>
          <cell r="B30" t="str">
            <v>Prov Pm Acceptation Vie</v>
          </cell>
          <cell r="C30" t="str">
            <v>PROVISION</v>
          </cell>
          <cell r="D30" t="str">
            <v>NR</v>
          </cell>
          <cell r="E30" t="str">
            <v>PM ACCEPTATION</v>
          </cell>
          <cell r="F30" t="str">
            <v>A304020000</v>
          </cell>
          <cell r="G30" t="str">
            <v>Bilan</v>
          </cell>
        </row>
        <row r="31">
          <cell r="A31" t="str">
            <v>A30402000X</v>
          </cell>
          <cell r="B31" t="str">
            <v>Prov Pm Acceptation Vie</v>
          </cell>
          <cell r="C31" t="str">
            <v>PROVISION</v>
          </cell>
          <cell r="D31" t="str">
            <v>PM VIE</v>
          </cell>
          <cell r="E31" t="str">
            <v>PM ACCEPTATION</v>
          </cell>
          <cell r="F31" t="str">
            <v>A304020000</v>
          </cell>
          <cell r="G31" t="str">
            <v>Résultat</v>
          </cell>
        </row>
        <row r="32">
          <cell r="A32" t="str">
            <v>A304070000</v>
          </cell>
          <cell r="B32" t="str">
            <v>Prov Risqu  Deficitaires Accpt</v>
          </cell>
          <cell r="C32" t="str">
            <v>PROVISION</v>
          </cell>
          <cell r="D32" t="str">
            <v>PB DIFFEREE PASSIVE NETTE</v>
          </cell>
          <cell r="E32" t="str">
            <v>ACCEPTATION PROV EGALISATION</v>
          </cell>
          <cell r="F32" t="str">
            <v>A304070000</v>
          </cell>
          <cell r="G32" t="str">
            <v>Bilan</v>
          </cell>
        </row>
        <row r="33">
          <cell r="A33" t="str">
            <v>A312010000</v>
          </cell>
          <cell r="B33" t="str">
            <v>Prov Primes  Émises Non Acquis</v>
          </cell>
          <cell r="C33" t="str">
            <v>PROVISION</v>
          </cell>
          <cell r="D33" t="str">
            <v>PENA</v>
          </cell>
          <cell r="E33" t="str">
            <v>PENA</v>
          </cell>
          <cell r="F33" t="str">
            <v>A312010000</v>
          </cell>
          <cell r="G33" t="str">
            <v>Bilan</v>
          </cell>
        </row>
        <row r="34">
          <cell r="A34" t="str">
            <v>A312012000</v>
          </cell>
          <cell r="B34" t="str">
            <v>Coass Dotation Pena Iam</v>
          </cell>
          <cell r="C34" t="str">
            <v>PROVISION</v>
          </cell>
          <cell r="D34" t="str">
            <v>AUTRES PROV TECH NON VIE</v>
          </cell>
          <cell r="F34" t="str">
            <v>A312012000</v>
          </cell>
          <cell r="G34" t="str">
            <v>Bilan</v>
          </cell>
        </row>
        <row r="35">
          <cell r="A35" t="str">
            <v>A32000000X</v>
          </cell>
          <cell r="B35" t="str">
            <v>Régul 3200000</v>
          </cell>
          <cell r="C35" t="str">
            <v>PROVISION</v>
          </cell>
          <cell r="D35" t="str">
            <v>PSAP VIE</v>
          </cell>
          <cell r="E35" t="str">
            <v>PSAP VIE</v>
          </cell>
          <cell r="F35" t="str">
            <v>A320000000</v>
          </cell>
          <cell r="G35" t="str">
            <v>Résultat</v>
          </cell>
        </row>
        <row r="36">
          <cell r="A36" t="str">
            <v>A320000000</v>
          </cell>
          <cell r="B36" t="str">
            <v>Prov Sinistre Declare N Payee</v>
          </cell>
          <cell r="C36" t="str">
            <v>PROVISION</v>
          </cell>
          <cell r="D36" t="str">
            <v>NR</v>
          </cell>
          <cell r="E36" t="str">
            <v>PSAP VIE</v>
          </cell>
          <cell r="F36" t="str">
            <v>A320000000</v>
          </cell>
          <cell r="G36" t="str">
            <v>Bilan</v>
          </cell>
        </row>
        <row r="37">
          <cell r="A37" t="str">
            <v>A320010000</v>
          </cell>
          <cell r="B37" t="str">
            <v>Prov Sinistre Non Declare</v>
          </cell>
          <cell r="C37" t="str">
            <v>PROVISION</v>
          </cell>
          <cell r="D37" t="str">
            <v>NR</v>
          </cell>
          <cell r="E37" t="str">
            <v>PSAP VIE</v>
          </cell>
          <cell r="F37" t="str">
            <v>A320010000</v>
          </cell>
          <cell r="G37" t="str">
            <v>Bilan</v>
          </cell>
        </row>
        <row r="38">
          <cell r="A38" t="str">
            <v>A320012000</v>
          </cell>
          <cell r="B38" t="str">
            <v>Part Coass Dotation Apériteur</v>
          </cell>
          <cell r="C38" t="str">
            <v>PROVISION</v>
          </cell>
          <cell r="D38" t="str">
            <v>NR</v>
          </cell>
          <cell r="E38" t="str">
            <v>PSAP VIE</v>
          </cell>
          <cell r="F38" t="str">
            <v>A320012000</v>
          </cell>
          <cell r="G38" t="str">
            <v>Bilan</v>
          </cell>
        </row>
        <row r="39">
          <cell r="A39" t="str">
            <v>A320020000</v>
          </cell>
          <cell r="B39" t="str">
            <v>Pv Prest Arrerage Rente N Paye</v>
          </cell>
          <cell r="C39" t="str">
            <v>PROVISION</v>
          </cell>
          <cell r="D39" t="str">
            <v>NR</v>
          </cell>
          <cell r="E39" t="str">
            <v>PSAP VIE</v>
          </cell>
          <cell r="F39" t="str">
            <v>A320020000</v>
          </cell>
          <cell r="G39" t="str">
            <v>Bilan</v>
          </cell>
        </row>
        <row r="40">
          <cell r="A40" t="str">
            <v>A320030000</v>
          </cell>
          <cell r="B40" t="str">
            <v>Prov Prestati Rachats Non Paye</v>
          </cell>
          <cell r="C40" t="str">
            <v>PROVISION</v>
          </cell>
          <cell r="D40" t="str">
            <v>NR</v>
          </cell>
          <cell r="E40" t="str">
            <v>PSAP VIE</v>
          </cell>
          <cell r="F40" t="str">
            <v>A320030000</v>
          </cell>
          <cell r="G40" t="str">
            <v>Bilan</v>
          </cell>
        </row>
        <row r="41">
          <cell r="A41" t="str">
            <v>A320040000</v>
          </cell>
          <cell r="B41" t="str">
            <v>Pv Presta Capitaux Echus N Pay</v>
          </cell>
          <cell r="C41" t="str">
            <v>PROVISION</v>
          </cell>
          <cell r="D41" t="str">
            <v>NR</v>
          </cell>
          <cell r="E41" t="str">
            <v>PSAP VIE</v>
          </cell>
          <cell r="F41" t="str">
            <v>A320040000</v>
          </cell>
          <cell r="G41" t="str">
            <v>Bilan</v>
          </cell>
        </row>
        <row r="42">
          <cell r="A42" t="str">
            <v>A320060000</v>
          </cell>
          <cell r="B42" t="str">
            <v>Prov Prestati Sinistre Non Pay</v>
          </cell>
          <cell r="C42" t="str">
            <v>PROVISION</v>
          </cell>
          <cell r="D42" t="str">
            <v>NR</v>
          </cell>
          <cell r="E42" t="str">
            <v>PSAP VIE</v>
          </cell>
          <cell r="F42" t="str">
            <v>A320060000</v>
          </cell>
          <cell r="G42" t="str">
            <v>Bilan</v>
          </cell>
        </row>
        <row r="43">
          <cell r="A43" t="str">
            <v>A32006000X</v>
          </cell>
          <cell r="B43" t="str">
            <v>Prov Prestati Sinistre Non Pay</v>
          </cell>
          <cell r="C43" t="str">
            <v>PROVISION</v>
          </cell>
          <cell r="D43" t="str">
            <v>PSAP VIE</v>
          </cell>
          <cell r="E43" t="str">
            <v>PSAP VIE</v>
          </cell>
          <cell r="F43" t="str">
            <v>A320060000</v>
          </cell>
          <cell r="G43" t="str">
            <v>Résultat</v>
          </cell>
        </row>
        <row r="44">
          <cell r="A44" t="str">
            <v>A320100000</v>
          </cell>
          <cell r="B44" t="str">
            <v>REGUL Ecritures</v>
          </cell>
          <cell r="C44" t="str">
            <v>PROVISION</v>
          </cell>
          <cell r="D44" t="str">
            <v>NR</v>
          </cell>
          <cell r="E44" t="str">
            <v>PSAP VIE</v>
          </cell>
          <cell r="F44" t="str">
            <v>A320100000</v>
          </cell>
          <cell r="G44" t="str">
            <v>Bilan</v>
          </cell>
        </row>
        <row r="45">
          <cell r="A45" t="str">
            <v>A320102000</v>
          </cell>
          <cell r="B45" t="str">
            <v>Prov Rente A Payer</v>
          </cell>
          <cell r="C45" t="str">
            <v>PROVISION</v>
          </cell>
          <cell r="D45" t="str">
            <v>NR</v>
          </cell>
          <cell r="E45" t="str">
            <v>PSAP VIE</v>
          </cell>
          <cell r="F45" t="str">
            <v>A320102000</v>
          </cell>
          <cell r="G45" t="str">
            <v>Bilan</v>
          </cell>
        </row>
        <row r="46">
          <cell r="A46" t="str">
            <v>A32010200X</v>
          </cell>
          <cell r="B46" t="str">
            <v>REGUL Ecritures</v>
          </cell>
          <cell r="C46" t="str">
            <v>PROVISION</v>
          </cell>
          <cell r="D46" t="str">
            <v>PSAP VIE</v>
          </cell>
          <cell r="E46" t="str">
            <v>PSAP VIE</v>
          </cell>
          <cell r="F46" t="str">
            <v>A320102000</v>
          </cell>
          <cell r="G46" t="str">
            <v>Résultat</v>
          </cell>
        </row>
        <row r="47">
          <cell r="A47" t="str">
            <v>A320200000</v>
          </cell>
          <cell r="B47" t="str">
            <v>Prov Capitaux Echus N Reclame</v>
          </cell>
          <cell r="F47" t="str">
            <v>A320200000</v>
          </cell>
          <cell r="G47" t="str">
            <v>Bilan</v>
          </cell>
        </row>
        <row r="48">
          <cell r="A48" t="str">
            <v>A320800000</v>
          </cell>
          <cell r="B48" t="str">
            <v>Prov Sinistres Décès Declares</v>
          </cell>
          <cell r="F48" t="str">
            <v>A320800000</v>
          </cell>
          <cell r="G48" t="str">
            <v>Bilan</v>
          </cell>
        </row>
        <row r="49">
          <cell r="A49" t="str">
            <v>A320810000</v>
          </cell>
          <cell r="B49" t="str">
            <v>Prov Arrerages Echus</v>
          </cell>
          <cell r="F49" t="str">
            <v>A320810000</v>
          </cell>
          <cell r="G49" t="str">
            <v>Bilan</v>
          </cell>
        </row>
        <row r="50">
          <cell r="A50" t="str">
            <v>A320820000</v>
          </cell>
          <cell r="B50" t="str">
            <v>Provision Capitaux Echus</v>
          </cell>
          <cell r="F50" t="str">
            <v>A320820000</v>
          </cell>
          <cell r="G50" t="str">
            <v>Bilan</v>
          </cell>
        </row>
        <row r="51">
          <cell r="A51" t="str">
            <v>A320830000</v>
          </cell>
          <cell r="B51" t="str">
            <v>Provision Rachats</v>
          </cell>
          <cell r="F51" t="str">
            <v>A320830000</v>
          </cell>
          <cell r="G51" t="str">
            <v>Bilan</v>
          </cell>
        </row>
        <row r="52">
          <cell r="A52" t="str">
            <v>A320832000</v>
          </cell>
          <cell r="B52" t="str">
            <v>Provision Rachats Programmes</v>
          </cell>
          <cell r="C52" t="str">
            <v>PROVISION</v>
          </cell>
          <cell r="D52" t="str">
            <v>NR</v>
          </cell>
          <cell r="E52" t="str">
            <v>PSAP VIE</v>
          </cell>
          <cell r="F52" t="str">
            <v>A320832000</v>
          </cell>
          <cell r="G52" t="str">
            <v>Bilan</v>
          </cell>
        </row>
        <row r="53">
          <cell r="A53" t="str">
            <v>A32083200X</v>
          </cell>
          <cell r="B53" t="str">
            <v>REGUL Ecritures</v>
          </cell>
          <cell r="C53" t="str">
            <v>PROVISION</v>
          </cell>
          <cell r="D53" t="str">
            <v>PSAP VIE</v>
          </cell>
          <cell r="E53" t="str">
            <v>PSAP VIE</v>
          </cell>
          <cell r="F53" t="str">
            <v>A320832000</v>
          </cell>
          <cell r="G53" t="str">
            <v>Résultat</v>
          </cell>
        </row>
        <row r="54">
          <cell r="A54" t="str">
            <v>A324010000</v>
          </cell>
          <cell r="B54" t="str">
            <v>Prov Techniques Accept Sinistr</v>
          </cell>
          <cell r="C54" t="str">
            <v>PROVISION</v>
          </cell>
          <cell r="D54" t="str">
            <v>NR</v>
          </cell>
          <cell r="E54" t="str">
            <v>PSAP VIE ACCEPTATION</v>
          </cell>
          <cell r="F54" t="str">
            <v>A324010000</v>
          </cell>
          <cell r="G54" t="str">
            <v>Bilan</v>
          </cell>
        </row>
        <row r="55">
          <cell r="A55" t="str">
            <v>A32401000X</v>
          </cell>
          <cell r="B55" t="str">
            <v>REGUL Ecritures</v>
          </cell>
          <cell r="C55" t="str">
            <v>PROVISION</v>
          </cell>
          <cell r="D55" t="str">
            <v>PSAP VIE</v>
          </cell>
          <cell r="E55" t="str">
            <v>PSAP VIE</v>
          </cell>
          <cell r="F55" t="str">
            <v>A324010000</v>
          </cell>
          <cell r="G55" t="str">
            <v>Résultat</v>
          </cell>
        </row>
        <row r="56">
          <cell r="A56" t="str">
            <v>A324010010</v>
          </cell>
          <cell r="B56" t="str">
            <v>Réas Inter Prov Tech Accp Sini</v>
          </cell>
          <cell r="C56" t="str">
            <v>PROVISION</v>
          </cell>
          <cell r="D56" t="str">
            <v>NR</v>
          </cell>
          <cell r="E56" t="str">
            <v>PSAP VIE ACCEPTATION</v>
          </cell>
          <cell r="F56" t="str">
            <v>A324010010</v>
          </cell>
          <cell r="G56" t="str">
            <v>Bilan</v>
          </cell>
        </row>
        <row r="57">
          <cell r="A57" t="str">
            <v>A324011000</v>
          </cell>
          <cell r="B57" t="str">
            <v>Prov Techniques Psap Carivita</v>
          </cell>
          <cell r="C57" t="str">
            <v>PROVISION</v>
          </cell>
          <cell r="D57" t="str">
            <v>NR</v>
          </cell>
          <cell r="E57" t="str">
            <v>PSAP VIE ACCEPTATION</v>
          </cell>
          <cell r="F57" t="str">
            <v>A324011000</v>
          </cell>
          <cell r="G57" t="str">
            <v>Bilan</v>
          </cell>
        </row>
        <row r="58">
          <cell r="A58" t="str">
            <v>A324013000</v>
          </cell>
          <cell r="B58" t="str">
            <v>Prov Techniques Accept Sinistr</v>
          </cell>
          <cell r="C58" t="str">
            <v>PROVISION</v>
          </cell>
          <cell r="D58" t="str">
            <v>NR</v>
          </cell>
          <cell r="E58" t="str">
            <v>PSAP VIE ACCEPTATION</v>
          </cell>
          <cell r="F58" t="str">
            <v>A324013000</v>
          </cell>
          <cell r="G58" t="str">
            <v>Bilan</v>
          </cell>
        </row>
        <row r="59">
          <cell r="A59" t="str">
            <v>A32401300X</v>
          </cell>
          <cell r="B59" t="str">
            <v>Prov Techniques Accept Sinistr</v>
          </cell>
          <cell r="C59" t="str">
            <v>PROVISION</v>
          </cell>
          <cell r="D59" t="str">
            <v>PSAP VIE</v>
          </cell>
          <cell r="E59" t="str">
            <v>PSAP VIE ACCEPTATION</v>
          </cell>
          <cell r="F59" t="str">
            <v>A324013000</v>
          </cell>
          <cell r="G59" t="str">
            <v>Résultat</v>
          </cell>
        </row>
        <row r="60">
          <cell r="A60" t="str">
            <v>A332006000</v>
          </cell>
          <cell r="B60" t="str">
            <v>Prov Prest Sinistre Np Nv</v>
          </cell>
          <cell r="C60" t="str">
            <v>PROVISION</v>
          </cell>
          <cell r="D60" t="str">
            <v>PSAP NON VIE</v>
          </cell>
          <cell r="E60" t="str">
            <v>PSAP NON VIE</v>
          </cell>
          <cell r="F60" t="str">
            <v>A332006000</v>
          </cell>
          <cell r="G60" t="str">
            <v>Bilan</v>
          </cell>
        </row>
        <row r="61">
          <cell r="A61" t="str">
            <v>A332010000</v>
          </cell>
          <cell r="B61" t="str">
            <v>Provision Sinistres A Payer</v>
          </cell>
          <cell r="C61" t="str">
            <v>PROVISION</v>
          </cell>
          <cell r="D61" t="str">
            <v>PSAP NON VIE</v>
          </cell>
          <cell r="E61" t="str">
            <v>PSAP NON VIE</v>
          </cell>
          <cell r="F61" t="str">
            <v>A332010000</v>
          </cell>
          <cell r="G61" t="str">
            <v>Bilan</v>
          </cell>
        </row>
        <row r="62">
          <cell r="A62" t="str">
            <v>A332012000</v>
          </cell>
          <cell r="B62" t="str">
            <v>Part Coass Dot Pro Sap</v>
          </cell>
          <cell r="C62" t="str">
            <v>PROVISION</v>
          </cell>
          <cell r="D62" t="str">
            <v>PSAP NON VIE</v>
          </cell>
          <cell r="E62" t="str">
            <v>PSAP NON VIE</v>
          </cell>
          <cell r="F62" t="str">
            <v>A332012000</v>
          </cell>
          <cell r="G62" t="str">
            <v>Bilan</v>
          </cell>
        </row>
        <row r="63">
          <cell r="A63" t="str">
            <v>A332060000</v>
          </cell>
          <cell r="B63" t="str">
            <v>Provision Gestion</v>
          </cell>
          <cell r="C63" t="str">
            <v>PROVISION</v>
          </cell>
          <cell r="D63" t="str">
            <v>PSAP NON VIE</v>
          </cell>
          <cell r="E63" t="str">
            <v>PSAP NON VIE</v>
          </cell>
          <cell r="F63" t="str">
            <v>A332060000</v>
          </cell>
          <cell r="G63" t="str">
            <v>Bilan</v>
          </cell>
        </row>
        <row r="64">
          <cell r="A64" t="str">
            <v>A332100000</v>
          </cell>
          <cell r="B64" t="str">
            <v>Prov Arrérages Nvie Non Réclam</v>
          </cell>
          <cell r="C64" t="str">
            <v>NR</v>
          </cell>
          <cell r="F64" t="str">
            <v>A332100000</v>
          </cell>
          <cell r="G64" t="str">
            <v>Bilan</v>
          </cell>
        </row>
        <row r="65">
          <cell r="A65" t="str">
            <v>A332810000</v>
          </cell>
          <cell r="B65" t="str">
            <v>Provision Sinistres Valides</v>
          </cell>
          <cell r="C65" t="str">
            <v>PROVISION</v>
          </cell>
          <cell r="D65" t="str">
            <v>PSAP NON VIE</v>
          </cell>
          <cell r="E65" t="str">
            <v>PSAP NON VIE</v>
          </cell>
          <cell r="F65" t="str">
            <v>A332810000</v>
          </cell>
          <cell r="G65" t="str">
            <v>Bilan</v>
          </cell>
        </row>
        <row r="66">
          <cell r="A66" t="str">
            <v>A332820000</v>
          </cell>
          <cell r="B66" t="str">
            <v>Provision Arrerages</v>
          </cell>
          <cell r="C66" t="str">
            <v>PROVISION</v>
          </cell>
          <cell r="D66" t="str">
            <v>PSAP NON VIE</v>
          </cell>
          <cell r="E66" t="str">
            <v>PSAP NON VIE</v>
          </cell>
          <cell r="F66" t="str">
            <v>A332820000</v>
          </cell>
          <cell r="G66" t="str">
            <v>Bilan</v>
          </cell>
        </row>
        <row r="67">
          <cell r="A67" t="str">
            <v>A333000000</v>
          </cell>
          <cell r="B67" t="str">
            <v>Prévision Recours A Encaisser</v>
          </cell>
          <cell r="C67" t="str">
            <v>PROVISION</v>
          </cell>
          <cell r="D67" t="str">
            <v>PSAP NON VIE</v>
          </cell>
          <cell r="E67" t="str">
            <v>PSAP NON VIE</v>
          </cell>
          <cell r="F67" t="str">
            <v>A333000000</v>
          </cell>
          <cell r="G67" t="str">
            <v>Bilan</v>
          </cell>
        </row>
        <row r="68">
          <cell r="A68" t="str">
            <v>A335010000</v>
          </cell>
          <cell r="B68" t="str">
            <v>Part Cedants Dans Sinistres</v>
          </cell>
          <cell r="C68" t="str">
            <v>PROVISION</v>
          </cell>
          <cell r="D68" t="str">
            <v>PSAP NON VIE</v>
          </cell>
          <cell r="E68" t="str">
            <v>PSAP NON VIE ACCEPTATION</v>
          </cell>
          <cell r="F68" t="str">
            <v>A335010000</v>
          </cell>
          <cell r="G68" t="str">
            <v>Bilan</v>
          </cell>
        </row>
        <row r="69">
          <cell r="A69" t="str">
            <v>A335010010</v>
          </cell>
          <cell r="B69" t="str">
            <v>Réas Inter Cédant Sinistres</v>
          </cell>
          <cell r="C69" t="str">
            <v>PROVISION</v>
          </cell>
          <cell r="D69" t="str">
            <v>PSAP NON VIE</v>
          </cell>
          <cell r="E69" t="str">
            <v>PSAP NON VIE ACCEPTATION</v>
          </cell>
          <cell r="F69" t="str">
            <v>A335010010</v>
          </cell>
          <cell r="G69" t="str">
            <v>Bilan</v>
          </cell>
        </row>
        <row r="70">
          <cell r="A70" t="str">
            <v>A340004000</v>
          </cell>
          <cell r="B70" t="str">
            <v>Reserve Pour Aleas Financiers</v>
          </cell>
          <cell r="C70" t="str">
            <v>PROVISION</v>
          </cell>
          <cell r="D70" t="str">
            <v>NR</v>
          </cell>
          <cell r="E70" t="str">
            <v>PB VIE</v>
          </cell>
          <cell r="F70" t="str">
            <v>A340004000</v>
          </cell>
          <cell r="G70" t="str">
            <v>Bilan</v>
          </cell>
        </row>
        <row r="71">
          <cell r="A71" t="str">
            <v>A34000400X</v>
          </cell>
          <cell r="B71" t="str">
            <v>Reserve Pour Aleas Financiers</v>
          </cell>
          <cell r="C71" t="str">
            <v>PROVISION</v>
          </cell>
          <cell r="D71" t="str">
            <v>PB VIE</v>
          </cell>
          <cell r="E71" t="str">
            <v>PB VIE</v>
          </cell>
          <cell r="F71" t="str">
            <v>A340004000</v>
          </cell>
          <cell r="G71" t="str">
            <v>Résultat</v>
          </cell>
        </row>
        <row r="72">
          <cell r="A72" t="str">
            <v>A340011000</v>
          </cell>
          <cell r="B72" t="str">
            <v>Prov Pour Pb (Contrat En Fr)</v>
          </cell>
          <cell r="C72" t="str">
            <v>PROVISION</v>
          </cell>
          <cell r="D72" t="str">
            <v>NR</v>
          </cell>
          <cell r="E72" t="str">
            <v>PB VIE</v>
          </cell>
          <cell r="F72" t="str">
            <v>A340011000</v>
          </cell>
          <cell r="G72" t="str">
            <v>Bilan</v>
          </cell>
        </row>
        <row r="73">
          <cell r="A73" t="str">
            <v>A34001100X</v>
          </cell>
          <cell r="B73" t="str">
            <v>Prov Pour Pb (Contrat En Fr)</v>
          </cell>
          <cell r="C73" t="str">
            <v>PROVISION</v>
          </cell>
          <cell r="D73" t="str">
            <v>PB VIE</v>
          </cell>
          <cell r="E73" t="str">
            <v>PB VIE</v>
          </cell>
          <cell r="F73" t="str">
            <v>A340011000</v>
          </cell>
          <cell r="G73" t="str">
            <v>Résultat</v>
          </cell>
        </row>
        <row r="74">
          <cell r="A74" t="str">
            <v>A340012000</v>
          </cell>
          <cell r="B74" t="str">
            <v>Part Coass Dot Pb</v>
          </cell>
          <cell r="C74" t="str">
            <v>PROVISION</v>
          </cell>
          <cell r="D74" t="str">
            <v>NR</v>
          </cell>
          <cell r="E74" t="str">
            <v>PB VIE</v>
          </cell>
          <cell r="F74" t="str">
            <v>A340012000</v>
          </cell>
          <cell r="G74" t="str">
            <v>Bilan</v>
          </cell>
        </row>
        <row r="75">
          <cell r="A75" t="str">
            <v>A34001200X</v>
          </cell>
          <cell r="B75" t="str">
            <v>Part Coass Dot Pb</v>
          </cell>
          <cell r="C75" t="str">
            <v>PROVISION</v>
          </cell>
          <cell r="D75" t="str">
            <v>PB VIE</v>
          </cell>
          <cell r="E75" t="str">
            <v>PB VIE</v>
          </cell>
          <cell r="F75" t="str">
            <v>A340012000</v>
          </cell>
          <cell r="G75" t="str">
            <v>Résultat</v>
          </cell>
        </row>
        <row r="76">
          <cell r="A76" t="str">
            <v>A340020000</v>
          </cell>
          <cell r="B76" t="str">
            <v>Provision Pb(Inventaire)</v>
          </cell>
          <cell r="C76" t="str">
            <v>PROVISION</v>
          </cell>
          <cell r="D76" t="str">
            <v>PB VIE</v>
          </cell>
          <cell r="E76" t="str">
            <v>PB VIE</v>
          </cell>
          <cell r="F76" t="str">
            <v>A340020000</v>
          </cell>
          <cell r="G76" t="str">
            <v>Résultat</v>
          </cell>
        </row>
        <row r="77">
          <cell r="A77" t="str">
            <v>A340030000</v>
          </cell>
          <cell r="B77" t="str">
            <v>Provision Aleas Financiers</v>
          </cell>
          <cell r="C77" t="str">
            <v>PROVISION</v>
          </cell>
          <cell r="D77" t="str">
            <v>NR</v>
          </cell>
          <cell r="E77" t="str">
            <v>PB VIE</v>
          </cell>
          <cell r="F77" t="str">
            <v>A340030000</v>
          </cell>
          <cell r="G77" t="str">
            <v>Bilan</v>
          </cell>
        </row>
        <row r="78">
          <cell r="A78" t="str">
            <v>A34003000X</v>
          </cell>
          <cell r="B78" t="str">
            <v>Provision Aleas Financiers</v>
          </cell>
          <cell r="C78" t="str">
            <v>PROVISION</v>
          </cell>
          <cell r="D78" t="str">
            <v>PB VIE</v>
          </cell>
          <cell r="E78" t="str">
            <v>PB VIE</v>
          </cell>
          <cell r="F78" t="str">
            <v>A340030000</v>
          </cell>
          <cell r="G78" t="str">
            <v>Résultat</v>
          </cell>
        </row>
        <row r="79">
          <cell r="A79" t="str">
            <v>A340800000</v>
          </cell>
          <cell r="B79" t="str">
            <v>Provision Pb À Payer</v>
          </cell>
          <cell r="C79" t="str">
            <v>PROVISION</v>
          </cell>
          <cell r="D79" t="str">
            <v>NR</v>
          </cell>
          <cell r="E79" t="str">
            <v>PB VIE</v>
          </cell>
          <cell r="F79" t="str">
            <v>A340800000</v>
          </cell>
          <cell r="G79" t="str">
            <v>Bilan</v>
          </cell>
        </row>
        <row r="80">
          <cell r="A80" t="str">
            <v>A34080000X</v>
          </cell>
          <cell r="B80" t="str">
            <v>Provision Pb À Payer</v>
          </cell>
          <cell r="C80" t="str">
            <v>PROVISION</v>
          </cell>
          <cell r="D80" t="str">
            <v>PB VIE</v>
          </cell>
          <cell r="E80" t="str">
            <v>PB VIE</v>
          </cell>
          <cell r="F80" t="str">
            <v>A340800000</v>
          </cell>
          <cell r="G80" t="str">
            <v>Résultat</v>
          </cell>
        </row>
        <row r="81">
          <cell r="A81" t="str">
            <v>A34100010A</v>
          </cell>
          <cell r="B81" t="str">
            <v>SHADOW PB Actif</v>
          </cell>
          <cell r="C81" t="str">
            <v>PROVISION</v>
          </cell>
          <cell r="D81" t="str">
            <v>PB DIFFEREE PASSIVE NETTE</v>
          </cell>
          <cell r="E81" t="str">
            <v>SHADOW PB IFRS</v>
          </cell>
          <cell r="F81" t="str">
            <v>A34100010A</v>
          </cell>
          <cell r="G81" t="str">
            <v>Bilan</v>
          </cell>
        </row>
        <row r="82">
          <cell r="A82" t="str">
            <v>A34100010T</v>
          </cell>
          <cell r="B82" t="str">
            <v>SHADOW PB Passif</v>
          </cell>
          <cell r="C82" t="str">
            <v>PROVISION</v>
          </cell>
          <cell r="D82" t="str">
            <v>PB DIFFEREE PASSIVE NETTE</v>
          </cell>
          <cell r="E82" t="str">
            <v>SHADOW PB IFRS</v>
          </cell>
          <cell r="F82" t="str">
            <v>A34100010T</v>
          </cell>
          <cell r="G82" t="str">
            <v>Bilan</v>
          </cell>
        </row>
        <row r="83">
          <cell r="A83" t="str">
            <v>A34100020T</v>
          </cell>
          <cell r="B83" t="str">
            <v>SHADOW PB Actif</v>
          </cell>
          <cell r="C83" t="str">
            <v>PROVISION</v>
          </cell>
          <cell r="D83" t="str">
            <v>PB DIFFEREE PASSIVE NETTE</v>
          </cell>
          <cell r="E83" t="str">
            <v>SHADOW PB IFRS</v>
          </cell>
          <cell r="F83" t="str">
            <v>A34100020T</v>
          </cell>
          <cell r="G83" t="str">
            <v>Bilan</v>
          </cell>
        </row>
        <row r="84">
          <cell r="A84" t="str">
            <v>A34100021T</v>
          </cell>
          <cell r="B84" t="str">
            <v>SHADOW PB Passif</v>
          </cell>
          <cell r="C84" t="str">
            <v>PROVISION</v>
          </cell>
          <cell r="D84" t="str">
            <v>PB DIFFEREE PASSIVE NETTE</v>
          </cell>
          <cell r="E84" t="str">
            <v>SHADOW PB IFRS</v>
          </cell>
          <cell r="F84" t="str">
            <v>A34100021T</v>
          </cell>
          <cell r="G84" t="str">
            <v>Bilan</v>
          </cell>
        </row>
        <row r="85">
          <cell r="A85" t="str">
            <v>A34100310A</v>
          </cell>
          <cell r="B85" t="str">
            <v>SHADOW PB Actif</v>
          </cell>
          <cell r="C85" t="str">
            <v>PROVISION</v>
          </cell>
          <cell r="D85" t="str">
            <v>PB DIFFEREE PASSIVE NETTE</v>
          </cell>
          <cell r="E85" t="str">
            <v>SHADOW PB IFRS</v>
          </cell>
          <cell r="F85" t="str">
            <v>A34100310A</v>
          </cell>
          <cell r="G85" t="str">
            <v>Bilan</v>
          </cell>
        </row>
        <row r="86">
          <cell r="A86" t="str">
            <v>A34100311A</v>
          </cell>
          <cell r="B86" t="str">
            <v>SHADOW PB Actif</v>
          </cell>
          <cell r="C86" t="str">
            <v>PROVISION</v>
          </cell>
          <cell r="D86" t="str">
            <v>PB DIFFEREE PASSIVE NETTE</v>
          </cell>
          <cell r="E86" t="str">
            <v>SHADOW PB IFRS</v>
          </cell>
          <cell r="F86" t="str">
            <v>A34100311A</v>
          </cell>
          <cell r="G86" t="str">
            <v>Bilan</v>
          </cell>
        </row>
        <row r="87">
          <cell r="A87" t="str">
            <v>A34100320T</v>
          </cell>
          <cell r="B87" t="str">
            <v>SHADOW PB Actif</v>
          </cell>
          <cell r="C87" t="str">
            <v>PROVISION</v>
          </cell>
          <cell r="D87" t="str">
            <v>PB DIFFEREE PASSIVE NETTE</v>
          </cell>
          <cell r="E87" t="str">
            <v>SHADOW PB IFRS</v>
          </cell>
          <cell r="F87" t="str">
            <v>A34100320T</v>
          </cell>
          <cell r="G87" t="str">
            <v>Bilan</v>
          </cell>
        </row>
        <row r="88">
          <cell r="A88" t="str">
            <v>A34100820T</v>
          </cell>
          <cell r="B88" t="str">
            <v>SHADOW PB Actif</v>
          </cell>
          <cell r="C88" t="str">
            <v>PROVISION</v>
          </cell>
          <cell r="D88" t="str">
            <v>PB DIFFEREE PASSIVE NETTE</v>
          </cell>
          <cell r="E88" t="str">
            <v>SHADOW PB IFRS</v>
          </cell>
          <cell r="F88" t="str">
            <v>A34100820T</v>
          </cell>
          <cell r="G88" t="str">
            <v>Bilan</v>
          </cell>
        </row>
        <row r="89">
          <cell r="A89" t="str">
            <v>A34300130A</v>
          </cell>
          <cell r="B89" t="str">
            <v>SHADOW PB Passif kpr Par</v>
          </cell>
          <cell r="C89" t="str">
            <v>PROVISION</v>
          </cell>
          <cell r="D89" t="str">
            <v>PB DIFFEREE PASSIVE NETTE</v>
          </cell>
          <cell r="E89" t="str">
            <v>SHADOW PB IFRS</v>
          </cell>
          <cell r="F89" t="str">
            <v>A34300130A</v>
          </cell>
          <cell r="G89" t="str">
            <v>Bilan</v>
          </cell>
        </row>
        <row r="90">
          <cell r="A90" t="str">
            <v>A34300130T</v>
          </cell>
          <cell r="B90" t="str">
            <v>SHADOW PB Passif kpnr Par</v>
          </cell>
          <cell r="C90" t="str">
            <v>PROVISION</v>
          </cell>
          <cell r="D90" t="str">
            <v>PB DIFFEREE PASSIVE NETTE</v>
          </cell>
          <cell r="E90" t="str">
            <v>SHADOW PB IFRS</v>
          </cell>
          <cell r="F90" t="str">
            <v>A34300130T</v>
          </cell>
          <cell r="G90" t="str">
            <v>Bilan</v>
          </cell>
        </row>
        <row r="91">
          <cell r="A91" t="str">
            <v>A34300110X</v>
          </cell>
          <cell r="B91" t="str">
            <v>SHADOW PB Passif kpnr Par</v>
          </cell>
          <cell r="C91" t="str">
            <v>PROVISION</v>
          </cell>
          <cell r="D91" t="str">
            <v>PB DIFFEREE PASSIVE NETTE</v>
          </cell>
          <cell r="E91" t="str">
            <v>SHADOW PB IFRS</v>
          </cell>
          <cell r="F91" t="str">
            <v>A34300130T</v>
          </cell>
          <cell r="G91" t="str">
            <v>Bilan</v>
          </cell>
        </row>
        <row r="92">
          <cell r="A92" t="str">
            <v>A344000000</v>
          </cell>
          <cell r="B92" t="str">
            <v>Prov P/Partic  Excedent</v>
          </cell>
          <cell r="C92" t="str">
            <v>PROVISION</v>
          </cell>
          <cell r="D92" t="str">
            <v>NR</v>
          </cell>
          <cell r="E92" t="str">
            <v>PB VIE ACCEPTATION</v>
          </cell>
          <cell r="F92" t="str">
            <v>A344000000</v>
          </cell>
          <cell r="G92" t="str">
            <v>Bilan</v>
          </cell>
        </row>
        <row r="93">
          <cell r="A93" t="str">
            <v>A34400000X</v>
          </cell>
          <cell r="B93" t="str">
            <v>Prov P/Partic  Excedent</v>
          </cell>
          <cell r="C93" t="str">
            <v>PROVISION</v>
          </cell>
          <cell r="D93" t="str">
            <v>PB VIE</v>
          </cell>
          <cell r="E93" t="str">
            <v>PB VIE ACCEPTATION</v>
          </cell>
          <cell r="F93" t="str">
            <v>A344000000</v>
          </cell>
          <cell r="G93" t="str">
            <v>Résultat</v>
          </cell>
        </row>
        <row r="94">
          <cell r="A94" t="str">
            <v>A344010000</v>
          </cell>
          <cell r="B94" t="str">
            <v>Provision Pb Vie Acceptation</v>
          </cell>
          <cell r="C94" t="str">
            <v>PROVISION</v>
          </cell>
          <cell r="D94" t="str">
            <v>NR</v>
          </cell>
          <cell r="E94" t="str">
            <v>PB VIE ACCEPTATION</v>
          </cell>
          <cell r="F94" t="str">
            <v>A344010000</v>
          </cell>
          <cell r="G94" t="str">
            <v>Bilan</v>
          </cell>
        </row>
        <row r="95">
          <cell r="A95" t="str">
            <v>A34401000X</v>
          </cell>
          <cell r="B95" t="str">
            <v>Provision Pb Vie Acceptation</v>
          </cell>
          <cell r="C95" t="str">
            <v>PROVISION</v>
          </cell>
          <cell r="D95" t="str">
            <v>PB VIE</v>
          </cell>
          <cell r="E95" t="str">
            <v>PB VIE ACCEPTATION</v>
          </cell>
          <cell r="F95" t="str">
            <v>A344010000</v>
          </cell>
          <cell r="G95" t="str">
            <v>Résultat</v>
          </cell>
        </row>
        <row r="96">
          <cell r="A96" t="str">
            <v>A344011000</v>
          </cell>
          <cell r="B96" t="str">
            <v>Prov Pour Pb (Vie Acceptation)</v>
          </cell>
          <cell r="C96" t="str">
            <v>PROVISION</v>
          </cell>
          <cell r="D96" t="str">
            <v>NR</v>
          </cell>
          <cell r="E96" t="str">
            <v>PB VIE ACCEPTATION</v>
          </cell>
          <cell r="F96" t="str">
            <v>A344011000</v>
          </cell>
          <cell r="G96" t="str">
            <v>Bilan</v>
          </cell>
        </row>
        <row r="97">
          <cell r="A97" t="str">
            <v>A34401100X</v>
          </cell>
          <cell r="B97" t="str">
            <v>Prov Pour Pb (Vie Acceptation)</v>
          </cell>
          <cell r="C97" t="str">
            <v>PROVISION</v>
          </cell>
          <cell r="D97" t="str">
            <v>PB VIE</v>
          </cell>
          <cell r="E97" t="str">
            <v>PB VIE ACCEPTATION</v>
          </cell>
          <cell r="F97" t="str">
            <v>A344011000</v>
          </cell>
          <cell r="G97" t="str">
            <v>Résultat</v>
          </cell>
        </row>
        <row r="98">
          <cell r="A98" t="str">
            <v>A344800000</v>
          </cell>
          <cell r="B98" t="str">
            <v>Provision Coassurance Pb Vie</v>
          </cell>
          <cell r="C98" t="str">
            <v>PROVISION</v>
          </cell>
          <cell r="D98" t="str">
            <v>NR</v>
          </cell>
          <cell r="E98" t="str">
            <v>PB VIE ACCEPTATION</v>
          </cell>
          <cell r="F98" t="str">
            <v>A344800000</v>
          </cell>
          <cell r="G98" t="str">
            <v>Bilan</v>
          </cell>
        </row>
        <row r="99">
          <cell r="A99" t="str">
            <v>A34480000X</v>
          </cell>
          <cell r="B99" t="str">
            <v>Provision Coassurance Pb Vie</v>
          </cell>
          <cell r="C99" t="str">
            <v>PROVISION</v>
          </cell>
          <cell r="D99" t="str">
            <v>PB VIE</v>
          </cell>
          <cell r="E99" t="str">
            <v>PB VIE ACCEPTATION</v>
          </cell>
          <cell r="F99" t="str">
            <v>A344800000</v>
          </cell>
          <cell r="G99" t="str">
            <v>Résultat</v>
          </cell>
        </row>
        <row r="100">
          <cell r="A100" t="str">
            <v>A352010000</v>
          </cell>
          <cell r="B100" t="str">
            <v>Provision Pb(Inventaire)</v>
          </cell>
          <cell r="C100" t="str">
            <v>PROVISION</v>
          </cell>
          <cell r="D100" t="str">
            <v>PB NON VIE</v>
          </cell>
          <cell r="E100" t="str">
            <v>PB NON VIE</v>
          </cell>
          <cell r="F100" t="str">
            <v>A352010000</v>
          </cell>
          <cell r="G100" t="str">
            <v>Bilan</v>
          </cell>
        </row>
        <row r="101">
          <cell r="A101" t="str">
            <v>A352010010</v>
          </cell>
          <cell r="B101" t="str">
            <v>Provision Pb(Inventaire)</v>
          </cell>
          <cell r="C101" t="str">
            <v>PROVISION</v>
          </cell>
          <cell r="D101" t="str">
            <v>PB NON VIE</v>
          </cell>
          <cell r="E101" t="str">
            <v>PB NON VIE</v>
          </cell>
          <cell r="F101" t="str">
            <v>A352010000</v>
          </cell>
          <cell r="G101" t="str">
            <v>Bilan</v>
          </cell>
        </row>
        <row r="102">
          <cell r="A102" t="str">
            <v>A352011000</v>
          </cell>
          <cell r="B102" t="str">
            <v>Provision Pb (Non Vie)</v>
          </cell>
          <cell r="C102" t="str">
            <v>PROVISION</v>
          </cell>
          <cell r="D102" t="str">
            <v>PB NON VIE</v>
          </cell>
          <cell r="E102" t="str">
            <v>PB NON VIE</v>
          </cell>
          <cell r="F102" t="str">
            <v>A352010000</v>
          </cell>
          <cell r="G102" t="str">
            <v>Bilan</v>
          </cell>
        </row>
        <row r="103">
          <cell r="A103" t="str">
            <v>A352012000</v>
          </cell>
          <cell r="B103" t="str">
            <v>Dotation Pb Coass Apériteur</v>
          </cell>
          <cell r="C103" t="str">
            <v>PROVISION</v>
          </cell>
          <cell r="D103" t="str">
            <v>PB NON VIE</v>
          </cell>
          <cell r="E103" t="str">
            <v>PB NON VIE</v>
          </cell>
          <cell r="F103" t="str">
            <v>A352012000</v>
          </cell>
          <cell r="G103" t="str">
            <v>Bilan</v>
          </cell>
        </row>
        <row r="104">
          <cell r="A104" t="str">
            <v>A352810000</v>
          </cell>
          <cell r="B104" t="str">
            <v>Provision Pb À Payer</v>
          </cell>
          <cell r="C104" t="str">
            <v>PROVISION</v>
          </cell>
          <cell r="D104" t="str">
            <v>NR</v>
          </cell>
          <cell r="E104" t="str">
            <v>PB VIE</v>
          </cell>
          <cell r="F104" t="str">
            <v>A352810000</v>
          </cell>
          <cell r="G104" t="str">
            <v>Bilan</v>
          </cell>
        </row>
        <row r="105">
          <cell r="A105" t="str">
            <v>A35281000X</v>
          </cell>
          <cell r="B105" t="str">
            <v>Provision Pb À Payer</v>
          </cell>
          <cell r="C105" t="str">
            <v>PROVISION</v>
          </cell>
          <cell r="D105" t="str">
            <v>PB VIE</v>
          </cell>
          <cell r="E105" t="str">
            <v>PB VIE</v>
          </cell>
          <cell r="F105" t="str">
            <v>A352810000</v>
          </cell>
          <cell r="G105" t="str">
            <v>Résultat</v>
          </cell>
        </row>
        <row r="106">
          <cell r="A106" t="str">
            <v>A355011000</v>
          </cell>
          <cell r="B106" t="str">
            <v>Prov Pr Pb (Non Vie Acceptat)</v>
          </cell>
          <cell r="C106" t="str">
            <v>PROVISION</v>
          </cell>
          <cell r="D106" t="str">
            <v>PB NON VIE</v>
          </cell>
          <cell r="E106" t="str">
            <v>PB NON VIE ACCEPTATION</v>
          </cell>
          <cell r="F106" t="str">
            <v>A355011000</v>
          </cell>
          <cell r="G106" t="str">
            <v>Bilan</v>
          </cell>
        </row>
        <row r="107">
          <cell r="A107" t="str">
            <v>A355810000</v>
          </cell>
          <cell r="B107" t="str">
            <v>Provision Coassurance Pb Non V</v>
          </cell>
          <cell r="C107" t="str">
            <v>PROVISION</v>
          </cell>
          <cell r="D107" t="str">
            <v>PB NON VIE</v>
          </cell>
          <cell r="E107" t="str">
            <v>PB NON VIE ACCEPTATION</v>
          </cell>
          <cell r="F107" t="str">
            <v>A355810000</v>
          </cell>
          <cell r="G107" t="str">
            <v>Bilan</v>
          </cell>
        </row>
        <row r="108">
          <cell r="A108" t="str">
            <v>A361000000</v>
          </cell>
          <cell r="B108" t="str">
            <v>Pv Egalisat N V Affaire Direc</v>
          </cell>
          <cell r="C108" t="str">
            <v>PROVISION</v>
          </cell>
          <cell r="D108" t="str">
            <v>PB DIFFEREE PASSIVE NETTE</v>
          </cell>
          <cell r="E108" t="str">
            <v>PROV EGALISATION</v>
          </cell>
          <cell r="F108" t="str">
            <v>A361000000</v>
          </cell>
          <cell r="G108" t="str">
            <v>Bilan</v>
          </cell>
        </row>
        <row r="109">
          <cell r="A109" t="str">
            <v>A361002000</v>
          </cell>
          <cell r="B109" t="str">
            <v>Peg Coass Apériteur</v>
          </cell>
          <cell r="C109" t="str">
            <v>PROVISION</v>
          </cell>
          <cell r="D109" t="str">
            <v>PB DIFFEREE PASSIVE NETTE</v>
          </cell>
          <cell r="E109" t="str">
            <v>PROV EGALISATION</v>
          </cell>
          <cell r="F109" t="str">
            <v>A361002000</v>
          </cell>
          <cell r="G109" t="str">
            <v>Bilan</v>
          </cell>
        </row>
        <row r="110">
          <cell r="A110" t="str">
            <v>A361500000</v>
          </cell>
          <cell r="B110" t="str">
            <v>Prov Égal Coass Non Vie</v>
          </cell>
          <cell r="C110" t="str">
            <v>PROVISION</v>
          </cell>
          <cell r="D110" t="str">
            <v>PB DIFFEREE PASSIVE NETTE</v>
          </cell>
          <cell r="E110" t="str">
            <v>PROV EGALISATION</v>
          </cell>
          <cell r="F110" t="str">
            <v>A361500000</v>
          </cell>
          <cell r="G110" t="str">
            <v>Bilan</v>
          </cell>
        </row>
        <row r="111">
          <cell r="A111" t="str">
            <v>A361501000</v>
          </cell>
          <cell r="B111" t="str">
            <v>Prov Égal Coass Vie</v>
          </cell>
          <cell r="C111" t="str">
            <v>PROVISION</v>
          </cell>
          <cell r="D111" t="str">
            <v>PB DIFFEREE PASSIVE NETTE</v>
          </cell>
          <cell r="E111" t="str">
            <v>ACCEPTATION PROV EGALISATION</v>
          </cell>
          <cell r="F111" t="str">
            <v>A361501000</v>
          </cell>
          <cell r="G111" t="str">
            <v>Bilan</v>
          </cell>
        </row>
        <row r="112">
          <cell r="A112" t="str">
            <v>A361600000</v>
          </cell>
          <cell r="B112" t="str">
            <v>Prov Égal Accept  Non Vie</v>
          </cell>
          <cell r="C112" t="str">
            <v>PROVISION</v>
          </cell>
          <cell r="D112" t="str">
            <v>PB DIFFEREE PASSIVE NETTE</v>
          </cell>
          <cell r="E112" t="str">
            <v>ACCEPTATION PROV EGALISATION</v>
          </cell>
          <cell r="F112" t="str">
            <v>A361600000</v>
          </cell>
          <cell r="G112" t="str">
            <v>Bilan</v>
          </cell>
        </row>
        <row r="113">
          <cell r="A113" t="str">
            <v>A361601000</v>
          </cell>
          <cell r="B113" t="str">
            <v>Prov Égal Accept Vie</v>
          </cell>
          <cell r="C113" t="str">
            <v>PROVISION</v>
          </cell>
          <cell r="D113" t="str">
            <v>PB DIFFEREE PASSIVE NETTE</v>
          </cell>
          <cell r="E113" t="str">
            <v>ACCEPTATION PROV EGALISATION</v>
          </cell>
          <cell r="F113" t="str">
            <v>A361601000</v>
          </cell>
          <cell r="G113" t="str">
            <v>Bilan</v>
          </cell>
        </row>
        <row r="114">
          <cell r="A114" t="str">
            <v>A366000100</v>
          </cell>
          <cell r="B114" t="str">
            <v>IAS 39 - PM début EUR</v>
          </cell>
          <cell r="C114" t="str">
            <v>PROVISION</v>
          </cell>
          <cell r="D114" t="str">
            <v>PRODUITS IAS39</v>
          </cell>
          <cell r="E114" t="str">
            <v>PRODUITS IAS39</v>
          </cell>
          <cell r="F114" t="str">
            <v>A366000100</v>
          </cell>
          <cell r="G114" t="str">
            <v>Bilan</v>
          </cell>
        </row>
        <row r="115">
          <cell r="A115" t="str">
            <v>A366080010</v>
          </cell>
          <cell r="B115" t="str">
            <v>IAS 39 - PM début UC</v>
          </cell>
          <cell r="C115" t="str">
            <v>PROVISION</v>
          </cell>
          <cell r="D115" t="str">
            <v>PRODUITS IAS39</v>
          </cell>
          <cell r="E115" t="str">
            <v>PRODUITS IAS39</v>
          </cell>
          <cell r="F115" t="str">
            <v>A366080010</v>
          </cell>
          <cell r="G115" t="str">
            <v>Bilan</v>
          </cell>
        </row>
        <row r="116">
          <cell r="A116" t="str">
            <v>A366100000</v>
          </cell>
          <cell r="B116" t="str">
            <v>IAS 39 - Prime périodique</v>
          </cell>
          <cell r="C116" t="str">
            <v>PROVISION</v>
          </cell>
          <cell r="D116" t="str">
            <v>PRODUITS IAS39</v>
          </cell>
          <cell r="E116" t="str">
            <v>PRODUITS IAS39</v>
          </cell>
          <cell r="F116" t="str">
            <v>A366100000</v>
          </cell>
          <cell r="G116" t="str">
            <v>Bilan</v>
          </cell>
        </row>
        <row r="117">
          <cell r="A117" t="str">
            <v>A366101000</v>
          </cell>
          <cell r="B117" t="str">
            <v>IAS 39 - Prime unique</v>
          </cell>
          <cell r="C117" t="str">
            <v>PROVISION</v>
          </cell>
          <cell r="D117" t="str">
            <v>PRODUITS IAS39</v>
          </cell>
          <cell r="E117" t="str">
            <v>PRODUITS IAS39</v>
          </cell>
          <cell r="F117" t="str">
            <v>A366101000</v>
          </cell>
          <cell r="G117" t="str">
            <v>Bilan</v>
          </cell>
        </row>
        <row r="118">
          <cell r="A118" t="str">
            <v>A366101050</v>
          </cell>
          <cell r="B118" t="str">
            <v>IAS 39 - Prime versement libre</v>
          </cell>
          <cell r="C118" t="str">
            <v>PROVISION</v>
          </cell>
          <cell r="D118" t="str">
            <v>PRODUITS IAS39</v>
          </cell>
          <cell r="E118" t="str">
            <v>PRODUITS IAS39</v>
          </cell>
          <cell r="F118" t="str">
            <v>A366101050</v>
          </cell>
          <cell r="G118" t="str">
            <v>Bilan</v>
          </cell>
        </row>
        <row r="119">
          <cell r="A119" t="str">
            <v>A366301000</v>
          </cell>
          <cell r="B119" t="str">
            <v>Capital Décès</v>
          </cell>
          <cell r="C119" t="str">
            <v>PROVISION</v>
          </cell>
          <cell r="D119" t="str">
            <v>PRODUITS IAS39</v>
          </cell>
          <cell r="E119" t="str">
            <v>PRODUITS IAS39</v>
          </cell>
          <cell r="F119" t="str">
            <v>A366301000</v>
          </cell>
          <cell r="G119" t="str">
            <v>Bilan</v>
          </cell>
        </row>
        <row r="120">
          <cell r="A120" t="str">
            <v>A366301020</v>
          </cell>
          <cell r="B120" t="str">
            <v>Capital Vie Coass Cnp Aperitri</v>
          </cell>
          <cell r="C120" t="str">
            <v>PROVISION</v>
          </cell>
          <cell r="D120" t="str">
            <v>PRODUITS IAS39</v>
          </cell>
          <cell r="E120" t="str">
            <v>PRODUITS IAS39</v>
          </cell>
          <cell r="F120" t="str">
            <v>A366301020</v>
          </cell>
          <cell r="G120" t="str">
            <v>Bilan</v>
          </cell>
        </row>
        <row r="121">
          <cell r="A121" t="str">
            <v>A366301100</v>
          </cell>
          <cell r="B121" t="str">
            <v>Rembt Prime Pm En Cas Décès</v>
          </cell>
          <cell r="C121" t="str">
            <v>PROVISION</v>
          </cell>
          <cell r="D121" t="str">
            <v>PRODUITS IAS39</v>
          </cell>
          <cell r="E121" t="str">
            <v>PRODUITS IAS39</v>
          </cell>
          <cell r="F121" t="str">
            <v>A366301100</v>
          </cell>
          <cell r="G121" t="str">
            <v>Bilan</v>
          </cell>
        </row>
        <row r="122">
          <cell r="A122" t="str">
            <v>A366301300</v>
          </cell>
          <cell r="B122" t="str">
            <v>Capitaux Echus</v>
          </cell>
          <cell r="C122" t="str">
            <v>PROVISION</v>
          </cell>
          <cell r="D122" t="str">
            <v>PRODUITS IAS39</v>
          </cell>
          <cell r="E122" t="str">
            <v>PRODUITS IAS39</v>
          </cell>
          <cell r="F122" t="str">
            <v>A366301300</v>
          </cell>
          <cell r="G122" t="str">
            <v>Bilan</v>
          </cell>
        </row>
        <row r="123">
          <cell r="A123" t="str">
            <v>A366301800</v>
          </cell>
          <cell r="B123" t="str">
            <v>Retrait de portefeuille</v>
          </cell>
          <cell r="C123" t="str">
            <v>PROVISION</v>
          </cell>
          <cell r="D123" t="str">
            <v>PRODUITS IAS39</v>
          </cell>
          <cell r="E123" t="str">
            <v>PRODUITS IAS39</v>
          </cell>
          <cell r="F123" t="str">
            <v>A366301300</v>
          </cell>
          <cell r="G123" t="str">
            <v>Bilan</v>
          </cell>
        </row>
        <row r="124">
          <cell r="A124" t="str">
            <v>A366302000</v>
          </cell>
          <cell r="B124" t="str">
            <v>Arrérrages</v>
          </cell>
          <cell r="C124" t="str">
            <v>PROVISION</v>
          </cell>
          <cell r="D124" t="str">
            <v>PRODUITS IAS39</v>
          </cell>
          <cell r="E124" t="str">
            <v>PRODUITS IAS39</v>
          </cell>
          <cell r="F124" t="str">
            <v>A366301300</v>
          </cell>
          <cell r="G124" t="str">
            <v>Bilan</v>
          </cell>
        </row>
        <row r="125">
          <cell r="A125" t="str">
            <v>A366303000</v>
          </cell>
          <cell r="B125" t="str">
            <v>Rachat</v>
          </cell>
          <cell r="C125" t="str">
            <v>PROVISION</v>
          </cell>
          <cell r="D125" t="str">
            <v>PRODUITS IAS39</v>
          </cell>
          <cell r="E125" t="str">
            <v>PRODUITS IAS39</v>
          </cell>
          <cell r="F125" t="str">
            <v>A366303000</v>
          </cell>
          <cell r="G125" t="str">
            <v>Bilan</v>
          </cell>
        </row>
        <row r="126">
          <cell r="A126" t="str">
            <v>A366303010</v>
          </cell>
          <cell r="B126" t="str">
            <v>Rachat Partiel</v>
          </cell>
          <cell r="C126" t="str">
            <v>PROVISION</v>
          </cell>
          <cell r="D126" t="str">
            <v>PRODUITS IAS39</v>
          </cell>
          <cell r="E126" t="str">
            <v>PRODUITS IAS39</v>
          </cell>
          <cell r="F126" t="str">
            <v>A366303010</v>
          </cell>
          <cell r="G126" t="str">
            <v>Bilan</v>
          </cell>
        </row>
        <row r="127">
          <cell r="A127" t="str">
            <v>A366303090</v>
          </cell>
          <cell r="B127" t="str">
            <v>Rachat Difference Paiement</v>
          </cell>
          <cell r="C127" t="str">
            <v>PROVISION</v>
          </cell>
          <cell r="D127" t="str">
            <v>PRODUITS IAS39</v>
          </cell>
          <cell r="E127" t="str">
            <v>PRODUITS IAS39</v>
          </cell>
          <cell r="F127" t="str">
            <v>A366303090</v>
          </cell>
          <cell r="G127" t="str">
            <v>Bilan</v>
          </cell>
        </row>
        <row r="128">
          <cell r="A128" t="str">
            <v>A366404000</v>
          </cell>
          <cell r="B128" t="str">
            <v>IAS 39 - PANE Pure</v>
          </cell>
          <cell r="C128" t="str">
            <v>PROVISION</v>
          </cell>
          <cell r="D128" t="str">
            <v>PRODUITS IAS39</v>
          </cell>
          <cell r="E128" t="str">
            <v>PRODUITS IAS39</v>
          </cell>
          <cell r="F128" t="str">
            <v>A366404000</v>
          </cell>
          <cell r="G128" t="str">
            <v>Bilan</v>
          </cell>
        </row>
        <row r="129">
          <cell r="A129" t="str">
            <v>A366404010</v>
          </cell>
          <cell r="B129" t="str">
            <v>IAS 39 - PC - Pure</v>
          </cell>
          <cell r="C129" t="str">
            <v>PROVISION</v>
          </cell>
          <cell r="D129" t="str">
            <v>PRODUITS IAS39</v>
          </cell>
          <cell r="E129" t="str">
            <v>PRODUITS IAS39</v>
          </cell>
          <cell r="F129" t="str">
            <v>A366404010</v>
          </cell>
          <cell r="G129" t="str">
            <v>Bilan</v>
          </cell>
        </row>
        <row r="130">
          <cell r="A130" t="str">
            <v>A366510600</v>
          </cell>
          <cell r="B130" t="str">
            <v>IAS 39 - Virement PM crédit</v>
          </cell>
          <cell r="C130" t="str">
            <v>PROVISION</v>
          </cell>
          <cell r="D130" t="str">
            <v>PRODUITS IAS39</v>
          </cell>
          <cell r="E130" t="str">
            <v>PRODUITS IAS39</v>
          </cell>
          <cell r="F130" t="str">
            <v>A366510600</v>
          </cell>
          <cell r="G130" t="str">
            <v>Bilan</v>
          </cell>
        </row>
        <row r="131">
          <cell r="A131" t="str">
            <v>A366519300</v>
          </cell>
          <cell r="B131" t="str">
            <v>IAS 39 - Virement PM débit</v>
          </cell>
          <cell r="C131" t="str">
            <v>PROVISION</v>
          </cell>
          <cell r="D131" t="str">
            <v>PRODUITS IAS39</v>
          </cell>
          <cell r="E131" t="str">
            <v>PRODUITS IAS39</v>
          </cell>
          <cell r="F131" t="str">
            <v>A366519300</v>
          </cell>
          <cell r="G131" t="str">
            <v>Bilan</v>
          </cell>
        </row>
        <row r="132">
          <cell r="A132" t="str">
            <v>A366519900</v>
          </cell>
          <cell r="B132" t="str">
            <v>Prelevmt Frs Gestion/Pm</v>
          </cell>
          <cell r="C132" t="str">
            <v>PROVISION</v>
          </cell>
          <cell r="D132" t="str">
            <v>PRODUITS IAS39</v>
          </cell>
          <cell r="E132" t="str">
            <v>PRODUITS IAS39</v>
          </cell>
          <cell r="F132" t="str">
            <v>A366519900</v>
          </cell>
          <cell r="G132" t="str">
            <v>Bilan</v>
          </cell>
        </row>
        <row r="133">
          <cell r="A133" t="str">
            <v>A366600060</v>
          </cell>
          <cell r="B133" t="str">
            <v>IAS 39 - PSAP Décès</v>
          </cell>
          <cell r="C133" t="str">
            <v>PROVISION</v>
          </cell>
          <cell r="D133" t="str">
            <v>PRODUITS IAS39</v>
          </cell>
          <cell r="E133" t="str">
            <v>PRODUITS IAS39</v>
          </cell>
          <cell r="F133" t="str">
            <v>A366600060</v>
          </cell>
          <cell r="G133" t="str">
            <v>Bilan</v>
          </cell>
        </row>
        <row r="134">
          <cell r="A134" t="str">
            <v>A366700400</v>
          </cell>
          <cell r="B134" t="str">
            <v>It Manuel Incorporés Pm</v>
          </cell>
          <cell r="C134" t="str">
            <v>PROVISION</v>
          </cell>
          <cell r="D134" t="str">
            <v>PRODUITS IAS39</v>
          </cell>
          <cell r="E134" t="str">
            <v>PRODUITS IAS39</v>
          </cell>
          <cell r="F134" t="str">
            <v>A366700400</v>
          </cell>
          <cell r="G134" t="str">
            <v>Bilan</v>
          </cell>
        </row>
        <row r="135">
          <cell r="A135" t="str">
            <v>A366704000</v>
          </cell>
          <cell r="B135" t="str">
            <v>It Manuel Inclus Prestations</v>
          </cell>
          <cell r="C135" t="str">
            <v>PROVISION</v>
          </cell>
          <cell r="D135" t="str">
            <v>PRODUITS IAS39</v>
          </cell>
          <cell r="E135" t="str">
            <v>PRODUITS IAS39</v>
          </cell>
          <cell r="F135" t="str">
            <v>A366704000</v>
          </cell>
          <cell r="G135" t="str">
            <v>Bilan</v>
          </cell>
        </row>
        <row r="136">
          <cell r="A136" t="str">
            <v>A366880000</v>
          </cell>
          <cell r="B136" t="str">
            <v>IAS 39 - Ajustement Acav</v>
          </cell>
          <cell r="C136" t="str">
            <v>PROVISION</v>
          </cell>
          <cell r="D136" t="str">
            <v>PRODUITS IAS39</v>
          </cell>
          <cell r="E136" t="str">
            <v>PRODUITS IAS39</v>
          </cell>
          <cell r="F136" t="str">
            <v>A366880000</v>
          </cell>
          <cell r="G136" t="str">
            <v>Bilan</v>
          </cell>
        </row>
        <row r="137">
          <cell r="A137" t="str">
            <v>A366900450</v>
          </cell>
          <cell r="B137" t="str">
            <v>Reinvestissmnt Dividend Ds Pm</v>
          </cell>
          <cell r="C137" t="str">
            <v>PROVISION</v>
          </cell>
          <cell r="D137" t="str">
            <v>PRODUITS IAS39</v>
          </cell>
          <cell r="E137" t="str">
            <v>PRODUITS IAS39</v>
          </cell>
          <cell r="F137" t="str">
            <v>A366900450</v>
          </cell>
          <cell r="G137" t="str">
            <v>Bilan</v>
          </cell>
        </row>
        <row r="138">
          <cell r="A138" t="str">
            <v>A370050000</v>
          </cell>
          <cell r="B138" t="str">
            <v>Autres Provisions Techniques</v>
          </cell>
          <cell r="C138" t="str">
            <v>PROVISION</v>
          </cell>
          <cell r="D138" t="str">
            <v>NR</v>
          </cell>
          <cell r="E138" t="str">
            <v>AUTRES PROV TECH VIE</v>
          </cell>
          <cell r="F138" t="str">
            <v>A370050000</v>
          </cell>
          <cell r="G138" t="str">
            <v>Bilan</v>
          </cell>
        </row>
        <row r="139">
          <cell r="A139" t="str">
            <v>A37005000X</v>
          </cell>
          <cell r="B139" t="str">
            <v>Autres Provisions Techniques</v>
          </cell>
          <cell r="C139" t="str">
            <v>PROVISION</v>
          </cell>
          <cell r="D139" t="str">
            <v>AUTRES PROV TECH VIE</v>
          </cell>
          <cell r="E139" t="str">
            <v>AUTRES PROV TECH VIE</v>
          </cell>
          <cell r="F139" t="str">
            <v>A370050000</v>
          </cell>
          <cell r="G139" t="str">
            <v>Résultat</v>
          </cell>
        </row>
        <row r="140">
          <cell r="A140" t="str">
            <v>A372010000</v>
          </cell>
          <cell r="B140" t="str">
            <v>Provision Risques Croissants</v>
          </cell>
          <cell r="C140" t="str">
            <v>PROVISION</v>
          </cell>
          <cell r="D140" t="str">
            <v>AUTRES PROV TECH NON VIE</v>
          </cell>
          <cell r="E140" t="str">
            <v>Prov risque croissant</v>
          </cell>
          <cell r="F140" t="str">
            <v>A372010000</v>
          </cell>
          <cell r="G140" t="str">
            <v>Bilan</v>
          </cell>
        </row>
        <row r="141">
          <cell r="A141" t="str">
            <v>A372012000</v>
          </cell>
          <cell r="B141" t="str">
            <v>Prc Coass Apériteur</v>
          </cell>
          <cell r="C141" t="str">
            <v>PROVISION</v>
          </cell>
          <cell r="D141" t="str">
            <v>AUTRES PROV TECH NON VIE</v>
          </cell>
          <cell r="E141" t="str">
            <v>Prov risque croissant</v>
          </cell>
          <cell r="F141" t="str">
            <v>A372012000</v>
          </cell>
          <cell r="G141" t="str">
            <v>Bilan</v>
          </cell>
        </row>
        <row r="142">
          <cell r="A142" t="str">
            <v>A372020000</v>
          </cell>
          <cell r="B142" t="str">
            <v>Provisions Risques Croissants</v>
          </cell>
          <cell r="C142" t="str">
            <v>PROVISION</v>
          </cell>
          <cell r="D142" t="str">
            <v>AUTRES PROV TECH NON VIE</v>
          </cell>
          <cell r="E142" t="str">
            <v>Prov risque croissant</v>
          </cell>
          <cell r="F142" t="str">
            <v>A372020000</v>
          </cell>
          <cell r="G142" t="str">
            <v>Bilan</v>
          </cell>
        </row>
        <row r="143">
          <cell r="A143" t="str">
            <v>A372030000</v>
          </cell>
          <cell r="B143" t="str">
            <v>Provision Risque Croissant Réa</v>
          </cell>
          <cell r="C143" t="str">
            <v>PROVISION</v>
          </cell>
          <cell r="D143" t="str">
            <v>NR</v>
          </cell>
          <cell r="E143" t="str">
            <v>Prov risque croissant</v>
          </cell>
          <cell r="F143" t="str">
            <v>A372030000</v>
          </cell>
          <cell r="G143" t="str">
            <v>Bilan</v>
          </cell>
        </row>
        <row r="144">
          <cell r="A144" t="str">
            <v>A372100000</v>
          </cell>
          <cell r="B144" t="str">
            <v>Pm Rentes</v>
          </cell>
          <cell r="C144" t="str">
            <v>PROVISION</v>
          </cell>
          <cell r="D144" t="str">
            <v>AUTRES PROV TECH NON VIE</v>
          </cell>
          <cell r="E144" t="str">
            <v xml:space="preserve">AUTRES PROV TECH </v>
          </cell>
          <cell r="F144" t="str">
            <v>A372100000</v>
          </cell>
          <cell r="G144" t="str">
            <v>Bilan</v>
          </cell>
        </row>
        <row r="145">
          <cell r="A145" t="str">
            <v>A372102000</v>
          </cell>
          <cell r="B145" t="str">
            <v>Part Coass Dot Pm</v>
          </cell>
          <cell r="C145" t="str">
            <v>PROVISION</v>
          </cell>
          <cell r="D145" t="str">
            <v>AUTRES PROV TECH NON VIE</v>
          </cell>
          <cell r="E145" t="str">
            <v xml:space="preserve">AUTRES PROV TECH </v>
          </cell>
          <cell r="F145" t="str">
            <v>A372102000</v>
          </cell>
          <cell r="G145" t="str">
            <v>Bilan</v>
          </cell>
        </row>
        <row r="146">
          <cell r="A146" t="str">
            <v>A372200000</v>
          </cell>
          <cell r="B146" t="str">
            <v>Provision  Risque En Cours Nv</v>
          </cell>
          <cell r="C146" t="str">
            <v>PROVISION</v>
          </cell>
          <cell r="D146" t="str">
            <v>AUTRES PROV TECH NON VIE</v>
          </cell>
          <cell r="E146" t="str">
            <v xml:space="preserve">AUTRES PROV TECH </v>
          </cell>
          <cell r="F146" t="str">
            <v>A372200000</v>
          </cell>
          <cell r="G146" t="str">
            <v>Bilan</v>
          </cell>
        </row>
        <row r="147">
          <cell r="A147" t="str">
            <v>A372300000</v>
          </cell>
          <cell r="B147" t="str">
            <v>PREET non vie</v>
          </cell>
          <cell r="C147" t="str">
            <v>PROVISION</v>
          </cell>
          <cell r="D147" t="str">
            <v>AUTRES PROV TECH NON VIE</v>
          </cell>
          <cell r="E147" t="str">
            <v xml:space="preserve">AUTRES PROV TECH </v>
          </cell>
          <cell r="F147" t="str">
            <v>A372300000</v>
          </cell>
          <cell r="G147" t="str">
            <v>Bilan</v>
          </cell>
        </row>
        <row r="148">
          <cell r="A148" t="str">
            <v>A372400000</v>
          </cell>
          <cell r="B148" t="str">
            <v>Autres Provisions Techniques</v>
          </cell>
          <cell r="C148" t="str">
            <v>PROVISION</v>
          </cell>
          <cell r="D148" t="str">
            <v>AUTRES PROV TECH NON VIE</v>
          </cell>
          <cell r="E148" t="str">
            <v xml:space="preserve">AUTRES PROV TECH </v>
          </cell>
          <cell r="F148" t="str">
            <v>A372400000</v>
          </cell>
          <cell r="G148" t="str">
            <v>Bilan</v>
          </cell>
        </row>
        <row r="149">
          <cell r="A149" t="str">
            <v>A375000000</v>
          </cell>
          <cell r="B149" t="str">
            <v>Provision Acceptation Non Vie</v>
          </cell>
          <cell r="C149" t="str">
            <v>PROVISION</v>
          </cell>
          <cell r="D149" t="str">
            <v>AUTRES PROV TECH NON VIE</v>
          </cell>
          <cell r="E149" t="str">
            <v>ACCEPTATION PROV EGALISATION</v>
          </cell>
          <cell r="F149" t="str">
            <v>A375000000</v>
          </cell>
          <cell r="G149" t="str">
            <v>Bilan</v>
          </cell>
        </row>
        <row r="150">
          <cell r="A150" t="str">
            <v>A375000010</v>
          </cell>
          <cell r="B150" t="str">
            <v>Réas Inter Prov Accept Nv</v>
          </cell>
          <cell r="C150" t="str">
            <v>PROVISION</v>
          </cell>
          <cell r="D150" t="str">
            <v>AUTRES PROV TECH NON VIE</v>
          </cell>
          <cell r="E150" t="str">
            <v>ACCEPTATION PROV EGALISATION</v>
          </cell>
          <cell r="F150" t="str">
            <v>A375000010</v>
          </cell>
          <cell r="G150" t="str">
            <v>Bilan</v>
          </cell>
        </row>
        <row r="151">
          <cell r="A151" t="str">
            <v>A375001000</v>
          </cell>
          <cell r="B151" t="str">
            <v>Prov Risques Croissants Accept</v>
          </cell>
          <cell r="C151" t="str">
            <v>PROVISION</v>
          </cell>
          <cell r="D151" t="str">
            <v>AUTRES PROV TECH NON VIE</v>
          </cell>
          <cell r="E151" t="str">
            <v>ACCEPTATION PROV EGALISATION</v>
          </cell>
          <cell r="F151" t="str">
            <v>A375001000</v>
          </cell>
          <cell r="G151" t="str">
            <v>Bilan</v>
          </cell>
        </row>
        <row r="152">
          <cell r="A152" t="str">
            <v>A380010000</v>
          </cell>
          <cell r="B152" t="str">
            <v>Pmp (Contrat En Uc)</v>
          </cell>
          <cell r="C152" t="str">
            <v>PROVISION</v>
          </cell>
          <cell r="D152" t="str">
            <v>PROV TECH UC</v>
          </cell>
          <cell r="E152" t="str">
            <v>PROV TECH UC</v>
          </cell>
          <cell r="F152" t="str">
            <v>A380010000</v>
          </cell>
          <cell r="G152" t="str">
            <v>Bilan</v>
          </cell>
        </row>
        <row r="153">
          <cell r="A153" t="str">
            <v>A380040000</v>
          </cell>
          <cell r="B153" t="str">
            <v>Pmg (Contrat En Uc)</v>
          </cell>
          <cell r="C153" t="str">
            <v>PROVISION</v>
          </cell>
          <cell r="D153" t="str">
            <v>PROV TECH UC</v>
          </cell>
          <cell r="E153" t="str">
            <v>PROV TECH UC</v>
          </cell>
          <cell r="F153" t="str">
            <v>A380040000</v>
          </cell>
          <cell r="G153" t="str">
            <v>Bilan</v>
          </cell>
        </row>
        <row r="154">
          <cell r="A154" t="str">
            <v>A385000000</v>
          </cell>
          <cell r="B154" t="str">
            <v>Prov Pour Pb (Contrat En Uc)</v>
          </cell>
          <cell r="C154" t="str">
            <v>PROVISION</v>
          </cell>
          <cell r="D154" t="str">
            <v>NR</v>
          </cell>
          <cell r="E154" t="str">
            <v>PB VIE</v>
          </cell>
          <cell r="F154" t="str">
            <v>A385000000</v>
          </cell>
          <cell r="G154" t="str">
            <v>Bilan</v>
          </cell>
        </row>
        <row r="155">
          <cell r="A155" t="str">
            <v>A38500000X</v>
          </cell>
          <cell r="B155" t="str">
            <v>Prov Pour Pb (Contrat En Uc)</v>
          </cell>
          <cell r="C155" t="str">
            <v>PROVISION</v>
          </cell>
          <cell r="D155" t="str">
            <v>PB VIE</v>
          </cell>
          <cell r="E155" t="str">
            <v>PB VIE</v>
          </cell>
          <cell r="F155" t="str">
            <v>A385000000</v>
          </cell>
          <cell r="G155" t="str">
            <v>Résultat</v>
          </cell>
        </row>
        <row r="156">
          <cell r="A156" t="str">
            <v>A390000000</v>
          </cell>
          <cell r="B156" t="str">
            <v>Part Des Cessionnaire Dans Prl</v>
          </cell>
          <cell r="G156" t="str">
            <v>Bilan</v>
          </cell>
        </row>
        <row r="157">
          <cell r="A157" t="str">
            <v>A390010000</v>
          </cell>
          <cell r="B157" t="str">
            <v>Part Cessionnaires Ds Pm</v>
          </cell>
          <cell r="G157" t="str">
            <v>Bilan</v>
          </cell>
        </row>
        <row r="158">
          <cell r="A158" t="str">
            <v>A390070000</v>
          </cell>
          <cell r="B158" t="str">
            <v>Dotation Prd Reass Cession</v>
          </cell>
          <cell r="G158" t="str">
            <v>Bilan</v>
          </cell>
        </row>
        <row r="159">
          <cell r="A159" t="str">
            <v>A390200000</v>
          </cell>
          <cell r="B159" t="str">
            <v>Part Reassureurs Dans Pts</v>
          </cell>
          <cell r="G159" t="str">
            <v>Bilan</v>
          </cell>
        </row>
        <row r="160">
          <cell r="A160" t="str">
            <v>A391201000</v>
          </cell>
          <cell r="B160" t="str">
            <v>Part Cessionnaire Prec</v>
          </cell>
          <cell r="G160" t="str">
            <v>Bilan</v>
          </cell>
        </row>
        <row r="161">
          <cell r="A161" t="str">
            <v>A392010000</v>
          </cell>
          <cell r="B161" t="str">
            <v>Part Cessionnaires Ds Psap</v>
          </cell>
          <cell r="G161" t="str">
            <v>Bilan</v>
          </cell>
        </row>
        <row r="162">
          <cell r="A162" t="str">
            <v>A392100000</v>
          </cell>
          <cell r="B162" t="str">
            <v>Part Reassureurs Ds Psap</v>
          </cell>
          <cell r="G162" t="str">
            <v>Bilan</v>
          </cell>
        </row>
        <row r="163">
          <cell r="A163" t="str">
            <v>A392401010</v>
          </cell>
          <cell r="B163" t="str">
            <v>Cession Psap Vie</v>
          </cell>
          <cell r="G163" t="str">
            <v>Bilan</v>
          </cell>
        </row>
        <row r="164">
          <cell r="A164" t="str">
            <v>A393200000</v>
          </cell>
          <cell r="B164" t="str">
            <v>Part Reassureurs Ds Psap</v>
          </cell>
          <cell r="G164" t="str">
            <v>Bilan</v>
          </cell>
        </row>
        <row r="165">
          <cell r="A165" t="str">
            <v>A393501010</v>
          </cell>
          <cell r="B165" t="str">
            <v>Cession Psap Nv</v>
          </cell>
          <cell r="G165" t="str">
            <v>Bilan</v>
          </cell>
        </row>
        <row r="166">
          <cell r="A166" t="str">
            <v>A394001000</v>
          </cell>
          <cell r="B166" t="str">
            <v>Part Cessionnaire Dans Provisi</v>
          </cell>
          <cell r="G166" t="str">
            <v>Bilan</v>
          </cell>
        </row>
        <row r="167">
          <cell r="A167" t="str">
            <v>A395211000</v>
          </cell>
          <cell r="B167" t="str">
            <v>Part Cessionnaires Pr Pb</v>
          </cell>
          <cell r="G167" t="str">
            <v>Bilan</v>
          </cell>
        </row>
        <row r="168">
          <cell r="A168" t="str">
            <v>A396400000</v>
          </cell>
          <cell r="B168" t="str">
            <v>Dot Peg Reass Cession</v>
          </cell>
          <cell r="G168" t="str">
            <v>Bilan</v>
          </cell>
        </row>
        <row r="169">
          <cell r="A169" t="str">
            <v>A397201000</v>
          </cell>
          <cell r="B169" t="str">
            <v>Part Cessionnaires Prec</v>
          </cell>
          <cell r="G169" t="str">
            <v>Bilan</v>
          </cell>
        </row>
        <row r="170">
          <cell r="A170" t="str">
            <v>A397210000</v>
          </cell>
          <cell r="B170" t="str">
            <v>Part Cessionnaires Pm Rte</v>
          </cell>
          <cell r="G170" t="str">
            <v>Bilan</v>
          </cell>
        </row>
        <row r="171">
          <cell r="A171" t="str">
            <v>A397500010</v>
          </cell>
          <cell r="B171" t="str">
            <v>Cession Pm Nv</v>
          </cell>
          <cell r="G171" t="str">
            <v>Bilan</v>
          </cell>
        </row>
        <row r="172">
          <cell r="A172" t="str">
            <v>A466600600</v>
          </cell>
          <cell r="B172" t="str">
            <v>ias39 PSAP</v>
          </cell>
          <cell r="C172" t="str">
            <v>PROVISION</v>
          </cell>
          <cell r="D172" t="str">
            <v>PRODUITS IAS39</v>
          </cell>
          <cell r="E172" t="str">
            <v>PRODUITS IAS39</v>
          </cell>
          <cell r="F172" t="str">
            <v>A466600600</v>
          </cell>
          <cell r="G172" t="str">
            <v>Bilan</v>
          </cell>
        </row>
        <row r="173">
          <cell r="A173" t="str">
            <v>A610001000</v>
          </cell>
          <cell r="B173" t="str">
            <v>Dot Prov Sinist Non Notifie</v>
          </cell>
          <cell r="C173" t="str">
            <v>PROVISION</v>
          </cell>
          <cell r="D173" t="str">
            <v>PSAP VIE</v>
          </cell>
          <cell r="E173" t="str">
            <v>PSAP VIE</v>
          </cell>
          <cell r="F173" t="str">
            <v>A320010000</v>
          </cell>
          <cell r="G173" t="str">
            <v>Résultat</v>
          </cell>
        </row>
        <row r="174">
          <cell r="A174" t="str">
            <v>A610002000</v>
          </cell>
          <cell r="B174" t="str">
            <v>Dot Prest Arrerage Rente N Pay</v>
          </cell>
          <cell r="C174" t="str">
            <v>PROVISION</v>
          </cell>
          <cell r="D174" t="str">
            <v>PSAP VIE</v>
          </cell>
          <cell r="E174" t="str">
            <v>PSAP VIE</v>
          </cell>
          <cell r="F174" t="str">
            <v>A320020000</v>
          </cell>
          <cell r="G174" t="str">
            <v>Résultat</v>
          </cell>
        </row>
        <row r="175">
          <cell r="A175" t="str">
            <v>A610003000</v>
          </cell>
          <cell r="B175" t="str">
            <v>Dot Prest Rachats Non Payes</v>
          </cell>
          <cell r="C175" t="str">
            <v>PROVISION</v>
          </cell>
          <cell r="D175" t="str">
            <v>PSAP VIE</v>
          </cell>
          <cell r="E175" t="str">
            <v>PSAP VIE</v>
          </cell>
          <cell r="F175" t="str">
            <v>A320030000</v>
          </cell>
          <cell r="G175" t="str">
            <v>Résultat</v>
          </cell>
        </row>
        <row r="176">
          <cell r="A176" t="str">
            <v>A610004000</v>
          </cell>
          <cell r="B176" t="str">
            <v>Dot Prest Capitaux Echus N Pay</v>
          </cell>
          <cell r="C176" t="str">
            <v>PROVISION</v>
          </cell>
          <cell r="D176" t="str">
            <v>PSAP VIE</v>
          </cell>
          <cell r="E176" t="str">
            <v>PSAP VIE</v>
          </cell>
          <cell r="F176" t="str">
            <v>A320040000</v>
          </cell>
          <cell r="G176" t="str">
            <v>Résultat</v>
          </cell>
        </row>
        <row r="177">
          <cell r="A177" t="str">
            <v>A610006000</v>
          </cell>
          <cell r="B177" t="str">
            <v>Dot Prestat Sinistre Non Paye</v>
          </cell>
          <cell r="C177" t="str">
            <v>PROVISION</v>
          </cell>
          <cell r="D177" t="str">
            <v>PSAP VIE</v>
          </cell>
          <cell r="E177" t="str">
            <v>PSAP VIE</v>
          </cell>
          <cell r="F177" t="str">
            <v>A320060000</v>
          </cell>
          <cell r="G177" t="str">
            <v>Résultat</v>
          </cell>
        </row>
        <row r="178">
          <cell r="A178" t="str">
            <v>A610012000</v>
          </cell>
          <cell r="B178" t="str">
            <v>Part Coass Datation Prov Sap</v>
          </cell>
          <cell r="C178" t="str">
            <v>PROVISION</v>
          </cell>
          <cell r="D178" t="str">
            <v>PSAP VIE</v>
          </cell>
          <cell r="E178" t="str">
            <v>PSAP VIE</v>
          </cell>
          <cell r="F178" t="str">
            <v>A320012000</v>
          </cell>
          <cell r="G178" t="str">
            <v>Résultat</v>
          </cell>
        </row>
        <row r="179">
          <cell r="A179" t="str">
            <v>A610051000</v>
          </cell>
          <cell r="B179" t="str">
            <v>Rep Prov Sinistre Non Notifie</v>
          </cell>
          <cell r="G179" t="str">
            <v>Résultat</v>
          </cell>
        </row>
        <row r="180">
          <cell r="A180" t="str">
            <v>A610052000</v>
          </cell>
          <cell r="B180" t="str">
            <v>Rep Pv Prest Arrerag Rent Npay</v>
          </cell>
          <cell r="G180" t="str">
            <v>Résultat</v>
          </cell>
        </row>
        <row r="181">
          <cell r="A181" t="str">
            <v>A610053000</v>
          </cell>
          <cell r="B181" t="str">
            <v>Rep Prov Prest Rachats N Paye</v>
          </cell>
          <cell r="G181" t="str">
            <v>Résultat</v>
          </cell>
        </row>
        <row r="182">
          <cell r="A182" t="str">
            <v>A610054000</v>
          </cell>
          <cell r="B182" t="str">
            <v>Rep Pv Prest Capitx Echu N Pay</v>
          </cell>
          <cell r="G182" t="str">
            <v>Résultat</v>
          </cell>
        </row>
        <row r="183">
          <cell r="A183" t="str">
            <v>A610055000</v>
          </cell>
          <cell r="B183" t="str">
            <v>Reprise Psap Coass Aperiteur</v>
          </cell>
          <cell r="G183" t="str">
            <v>Résultat</v>
          </cell>
        </row>
        <row r="184">
          <cell r="A184" t="str">
            <v>A610056000</v>
          </cell>
          <cell r="B184" t="str">
            <v>Rep Prov Prest Sinist Non Paye</v>
          </cell>
          <cell r="G184" t="str">
            <v>Résultat</v>
          </cell>
        </row>
        <row r="185">
          <cell r="A185" t="str">
            <v>A610102000</v>
          </cell>
          <cell r="B185" t="str">
            <v>Dot Conversion Rente À Payer</v>
          </cell>
          <cell r="C185" t="str">
            <v>PROVISION</v>
          </cell>
          <cell r="D185" t="str">
            <v>PSAP VIE</v>
          </cell>
          <cell r="E185" t="str">
            <v>PSAP VIE</v>
          </cell>
          <cell r="F185" t="str">
            <v>A320102000</v>
          </cell>
          <cell r="G185" t="str">
            <v>Résultat</v>
          </cell>
        </row>
        <row r="186">
          <cell r="A186" t="str">
            <v>A610109000</v>
          </cell>
          <cell r="B186" t="str">
            <v>Ecart Conversion Rentes À Paye</v>
          </cell>
          <cell r="C186" t="str">
            <v>PROVISION</v>
          </cell>
          <cell r="D186" t="str">
            <v>PSAP VIE</v>
          </cell>
          <cell r="E186" t="str">
            <v>PSAP VIE</v>
          </cell>
          <cell r="F186" t="str">
            <v>A320102000</v>
          </cell>
          <cell r="G186" t="str">
            <v>Résultat</v>
          </cell>
        </row>
        <row r="187">
          <cell r="A187" t="str">
            <v>A610152000</v>
          </cell>
          <cell r="B187" t="str">
            <v>Rep Conversion Rente A Payer</v>
          </cell>
          <cell r="C187" t="str">
            <v>PROVISION</v>
          </cell>
          <cell r="D187" t="str">
            <v>PSAP VIE</v>
          </cell>
          <cell r="E187" t="str">
            <v>PSAP VIE</v>
          </cell>
          <cell r="F187" t="str">
            <v>A320102000</v>
          </cell>
          <cell r="G187" t="str">
            <v>Résultat</v>
          </cell>
        </row>
        <row r="188">
          <cell r="A188" t="str">
            <v>A612001000</v>
          </cell>
          <cell r="B188" t="str">
            <v>Dotation Prov Sinistre A Payer</v>
          </cell>
          <cell r="C188" t="str">
            <v>NR</v>
          </cell>
          <cell r="F188" t="str">
            <v>A332010000</v>
          </cell>
          <cell r="G188" t="str">
            <v>Résultat</v>
          </cell>
        </row>
        <row r="189">
          <cell r="A189" t="str">
            <v>A612002000</v>
          </cell>
          <cell r="B189" t="str">
            <v>Part Coass Dotation Prov Sap</v>
          </cell>
          <cell r="C189" t="str">
            <v>PROVISION</v>
          </cell>
          <cell r="D189" t="str">
            <v>PSAP NON VIE</v>
          </cell>
          <cell r="E189" t="str">
            <v>PSAP NON VIE</v>
          </cell>
          <cell r="F189" t="str">
            <v>A332012000</v>
          </cell>
          <cell r="G189" t="str">
            <v>Résultat</v>
          </cell>
        </row>
        <row r="190">
          <cell r="A190" t="str">
            <v>A612051000</v>
          </cell>
          <cell r="B190" t="str">
            <v>Reprise Prov Sinistre A Payer</v>
          </cell>
          <cell r="G190" t="str">
            <v>Résultat</v>
          </cell>
        </row>
        <row r="191">
          <cell r="A191" t="str">
            <v>A612055000</v>
          </cell>
          <cell r="B191" t="str">
            <v>Reprise Psap Coass Aperiteur</v>
          </cell>
          <cell r="G191" t="str">
            <v>Résultat</v>
          </cell>
        </row>
        <row r="192">
          <cell r="A192" t="str">
            <v>A612060000</v>
          </cell>
          <cell r="B192" t="str">
            <v>Dotation Pour Sinistre N P Nv</v>
          </cell>
          <cell r="C192" t="str">
            <v>NR</v>
          </cell>
          <cell r="F192" t="str">
            <v>A332012000</v>
          </cell>
          <cell r="G192" t="str">
            <v>Résultat</v>
          </cell>
        </row>
        <row r="193">
          <cell r="A193" t="str">
            <v>A612560000</v>
          </cell>
          <cell r="B193" t="str">
            <v>Rep Dot Sinistre Np Nv</v>
          </cell>
          <cell r="G193" t="str">
            <v>Résultat</v>
          </cell>
        </row>
        <row r="194">
          <cell r="A194" t="str">
            <v>A614001000</v>
          </cell>
          <cell r="B194" t="str">
            <v>Dotation Psap Acceptations</v>
          </cell>
          <cell r="C194" t="str">
            <v>PROVISION</v>
          </cell>
          <cell r="D194" t="str">
            <v>PSAP VIE</v>
          </cell>
          <cell r="E194" t="str">
            <v>PSAP VIE ACCEPTATION</v>
          </cell>
          <cell r="F194" t="str">
            <v>A324010000</v>
          </cell>
          <cell r="G194" t="str">
            <v>Résultat</v>
          </cell>
        </row>
        <row r="195">
          <cell r="A195" t="str">
            <v>A614001010</v>
          </cell>
          <cell r="B195" t="str">
            <v>Dotation Psap Acceptations</v>
          </cell>
          <cell r="C195" t="str">
            <v>PROVISION</v>
          </cell>
          <cell r="D195" t="str">
            <v>PSAP VIE</v>
          </cell>
          <cell r="E195" t="str">
            <v>PSAP VIE ACCEPTATION</v>
          </cell>
          <cell r="F195" t="str">
            <v>A324010010</v>
          </cell>
          <cell r="G195" t="str">
            <v>Résultat</v>
          </cell>
        </row>
        <row r="196">
          <cell r="A196" t="str">
            <v>A614001200</v>
          </cell>
          <cell r="B196" t="str">
            <v>Dot Psap Fin Carivita</v>
          </cell>
          <cell r="C196" t="str">
            <v>PROVISION</v>
          </cell>
          <cell r="D196" t="str">
            <v>PSAP VIE</v>
          </cell>
          <cell r="E196" t="str">
            <v>PSAP VIE ACCEPTATION</v>
          </cell>
          <cell r="G196" t="str">
            <v>Résultat</v>
          </cell>
        </row>
        <row r="197">
          <cell r="A197" t="str">
            <v>A614051000</v>
          </cell>
          <cell r="B197" t="str">
            <v>Reprise Psap Acceptations</v>
          </cell>
          <cell r="G197" t="str">
            <v>Résultat</v>
          </cell>
        </row>
        <row r="198">
          <cell r="A198" t="str">
            <v>A614051010</v>
          </cell>
          <cell r="B198" t="str">
            <v>Reprise Psap Acceptation</v>
          </cell>
          <cell r="G198" t="str">
            <v>Résultat</v>
          </cell>
        </row>
        <row r="199">
          <cell r="A199" t="str">
            <v>A614051200</v>
          </cell>
          <cell r="B199" t="str">
            <v>Repr Psap Deb Carivita</v>
          </cell>
          <cell r="G199" t="str">
            <v>Résultat</v>
          </cell>
        </row>
        <row r="200">
          <cell r="A200" t="str">
            <v>A615001000</v>
          </cell>
          <cell r="B200" t="str">
            <v>Dotation Psap Acceptation</v>
          </cell>
          <cell r="C200" t="str">
            <v>NR</v>
          </cell>
          <cell r="F200" t="str">
            <v>A335010000</v>
          </cell>
          <cell r="G200" t="str">
            <v>Résultat</v>
          </cell>
        </row>
        <row r="201">
          <cell r="A201" t="str">
            <v>A615001010</v>
          </cell>
          <cell r="B201" t="str">
            <v>Dotation Psap Acceptation</v>
          </cell>
          <cell r="C201" t="str">
            <v>PROVISION</v>
          </cell>
          <cell r="D201" t="str">
            <v>PSAP NON VIE</v>
          </cell>
          <cell r="E201" t="str">
            <v>PSAP NON VIE ACCEPTATION</v>
          </cell>
          <cell r="F201" t="str">
            <v>A335010010</v>
          </cell>
          <cell r="G201" t="str">
            <v>Résultat</v>
          </cell>
        </row>
        <row r="202">
          <cell r="A202" t="str">
            <v>A615051000</v>
          </cell>
          <cell r="B202" t="str">
            <v>Reprise Psap Acceptation</v>
          </cell>
          <cell r="G202" t="str">
            <v>Résultat</v>
          </cell>
        </row>
        <row r="203">
          <cell r="A203" t="str">
            <v>A615051010</v>
          </cell>
          <cell r="B203" t="str">
            <v>Réas Inter Reprise Psap Accept</v>
          </cell>
          <cell r="G203" t="str">
            <v>Résultat</v>
          </cell>
        </row>
        <row r="204">
          <cell r="A204" t="str">
            <v>A619000000</v>
          </cell>
          <cell r="B204" t="str">
            <v>Dotation Reassureurs Dans Psap</v>
          </cell>
          <cell r="G204" t="str">
            <v>Résultat</v>
          </cell>
        </row>
        <row r="205">
          <cell r="A205" t="str">
            <v>A619001000</v>
          </cell>
          <cell r="B205" t="str">
            <v>Part Reassureurs Dans Psap</v>
          </cell>
          <cell r="G205" t="str">
            <v>Résultat</v>
          </cell>
        </row>
        <row r="206">
          <cell r="A206" t="str">
            <v>A619051000</v>
          </cell>
          <cell r="B206" t="str">
            <v>Reprise Part Reassur Ds Psap</v>
          </cell>
          <cell r="G206" t="str">
            <v>Résultat</v>
          </cell>
        </row>
        <row r="207">
          <cell r="A207" t="str">
            <v>A619100000</v>
          </cell>
          <cell r="B207" t="str">
            <v>Rep Part Reas Ds Prest A Recev</v>
          </cell>
          <cell r="G207" t="str">
            <v>Résultat</v>
          </cell>
        </row>
        <row r="208">
          <cell r="A208" t="str">
            <v>A619200000</v>
          </cell>
          <cell r="B208" t="str">
            <v>Dotation Reassureurs Dans Psap</v>
          </cell>
          <cell r="G208" t="str">
            <v>Résultat</v>
          </cell>
        </row>
        <row r="209">
          <cell r="A209" t="str">
            <v>A619220000</v>
          </cell>
          <cell r="B209" t="str">
            <v>Rep Part Reas Ds Prest A Recev</v>
          </cell>
          <cell r="G209" t="str">
            <v>Résultat</v>
          </cell>
        </row>
        <row r="210">
          <cell r="A210" t="str">
            <v>A619400110</v>
          </cell>
          <cell r="B210" t="str">
            <v>Cession Réas Inter Psap Vie</v>
          </cell>
          <cell r="G210" t="str">
            <v>Résultat</v>
          </cell>
        </row>
        <row r="211">
          <cell r="A211" t="str">
            <v>A619405110</v>
          </cell>
          <cell r="B211" t="str">
            <v>Cession Réas Inter Rep Psap Vi</v>
          </cell>
          <cell r="G211" t="str">
            <v>Résultat</v>
          </cell>
        </row>
        <row r="212">
          <cell r="A212" t="str">
            <v>A619500110</v>
          </cell>
          <cell r="B212" t="str">
            <v>Cession Réas Inter Psap N Vie</v>
          </cell>
          <cell r="G212" t="str">
            <v>Résultat</v>
          </cell>
        </row>
        <row r="213">
          <cell r="A213" t="str">
            <v>A619505110</v>
          </cell>
          <cell r="B213" t="str">
            <v>Cession Réas Inter Rep Psap Nv</v>
          </cell>
          <cell r="G213" t="str">
            <v>Résultat</v>
          </cell>
        </row>
        <row r="214">
          <cell r="A214" t="str">
            <v>A620000000</v>
          </cell>
          <cell r="B214" t="str">
            <v>Dot Provision Risque Croissant</v>
          </cell>
          <cell r="C214" t="str">
            <v>PROVISION</v>
          </cell>
          <cell r="D214" t="str">
            <v>PM VIE</v>
          </cell>
          <cell r="E214" t="str">
            <v>Prov risque croissant</v>
          </cell>
          <cell r="F214" t="str">
            <v>A300000000</v>
          </cell>
          <cell r="G214" t="str">
            <v>Résultat</v>
          </cell>
        </row>
        <row r="215">
          <cell r="A215" t="str">
            <v>A62000001X</v>
          </cell>
          <cell r="B215" t="str">
            <v>CONSO</v>
          </cell>
          <cell r="C215" t="str">
            <v>PROVISION</v>
          </cell>
          <cell r="D215" t="str">
            <v>PM VIE</v>
          </cell>
          <cell r="E215" t="str">
            <v>PM</v>
          </cell>
          <cell r="F215" t="str">
            <v>A300010000</v>
          </cell>
          <cell r="G215" t="str">
            <v>Résultat</v>
          </cell>
        </row>
        <row r="216">
          <cell r="A216" t="str">
            <v>A620001000</v>
          </cell>
          <cell r="B216" t="str">
            <v>Dotation Pm Primes</v>
          </cell>
          <cell r="C216" t="str">
            <v>PROVISION</v>
          </cell>
          <cell r="D216" t="str">
            <v>PM VIE</v>
          </cell>
          <cell r="E216" t="str">
            <v>PM</v>
          </cell>
          <cell r="F216" t="str">
            <v>A300010000</v>
          </cell>
          <cell r="G216" t="str">
            <v>Résultat</v>
          </cell>
        </row>
        <row r="217">
          <cell r="A217" t="str">
            <v>A620002000</v>
          </cell>
          <cell r="B217" t="str">
            <v>Dotation Pm Primes Décès</v>
          </cell>
          <cell r="C217" t="str">
            <v>PROVISION</v>
          </cell>
          <cell r="D217" t="str">
            <v>PM VIE</v>
          </cell>
          <cell r="E217" t="str">
            <v>PM</v>
          </cell>
          <cell r="F217" t="str">
            <v>A300020000</v>
          </cell>
          <cell r="G217" t="str">
            <v>Résultat</v>
          </cell>
        </row>
        <row r="218">
          <cell r="A218" t="str">
            <v>A620003000</v>
          </cell>
          <cell r="B218" t="str">
            <v>Dotation Complement Pmg</v>
          </cell>
          <cell r="C218" t="str">
            <v>PROVISION</v>
          </cell>
          <cell r="D218" t="str">
            <v>PM VIE</v>
          </cell>
          <cell r="E218" t="str">
            <v>PGG</v>
          </cell>
          <cell r="F218" t="str">
            <v>A300030000</v>
          </cell>
          <cell r="G218" t="str">
            <v>Résultat</v>
          </cell>
        </row>
        <row r="219">
          <cell r="A219" t="str">
            <v>A620004000</v>
          </cell>
          <cell r="B219" t="str">
            <v>Dotation Pm Gestion</v>
          </cell>
          <cell r="C219" t="str">
            <v>PROVISION</v>
          </cell>
          <cell r="D219" t="str">
            <v>PM VIE</v>
          </cell>
          <cell r="E219" t="str">
            <v>PGG</v>
          </cell>
          <cell r="F219" t="str">
            <v>A300040000</v>
          </cell>
          <cell r="G219" t="str">
            <v>Résultat</v>
          </cell>
        </row>
        <row r="220">
          <cell r="A220" t="str">
            <v>A620005000</v>
          </cell>
          <cell r="B220" t="str">
            <v>Dotation Prov Majo Legales</v>
          </cell>
          <cell r="C220" t="str">
            <v>PROVISION</v>
          </cell>
          <cell r="D220" t="str">
            <v>PM VIE</v>
          </cell>
          <cell r="E220" t="str">
            <v>PM</v>
          </cell>
          <cell r="F220" t="str">
            <v>A300050000</v>
          </cell>
          <cell r="G220" t="str">
            <v>Résultat</v>
          </cell>
        </row>
        <row r="221">
          <cell r="A221" t="str">
            <v>A620006000</v>
          </cell>
          <cell r="B221" t="str">
            <v>Dot Provision Risque En Cours</v>
          </cell>
          <cell r="C221" t="str">
            <v>PROVISION</v>
          </cell>
          <cell r="D221" t="str">
            <v>PM VIE</v>
          </cell>
          <cell r="E221" t="str">
            <v>PM</v>
          </cell>
          <cell r="F221" t="str">
            <v>A300060000</v>
          </cell>
          <cell r="G221" t="str">
            <v>Résultat</v>
          </cell>
        </row>
        <row r="222">
          <cell r="A222" t="str">
            <v>A620007000</v>
          </cell>
          <cell r="B222" t="str">
            <v>Dot Prov Risque Deficitaire</v>
          </cell>
          <cell r="C222" t="str">
            <v>NR</v>
          </cell>
          <cell r="F222" t="str">
            <v>A300070000</v>
          </cell>
          <cell r="G222" t="str">
            <v>Résultat</v>
          </cell>
        </row>
        <row r="223">
          <cell r="A223" t="str">
            <v>A620010000</v>
          </cell>
          <cell r="B223" t="str">
            <v>Coass Dotation Pm</v>
          </cell>
          <cell r="C223" t="str">
            <v>PROVISION</v>
          </cell>
          <cell r="D223" t="str">
            <v>PM VIE</v>
          </cell>
          <cell r="E223" t="str">
            <v>PM</v>
          </cell>
          <cell r="F223" t="str">
            <v>A300012000</v>
          </cell>
          <cell r="G223" t="str">
            <v>Résultat</v>
          </cell>
        </row>
        <row r="224">
          <cell r="A224" t="str">
            <v>A620011000</v>
          </cell>
          <cell r="B224" t="str">
            <v>Dotation Pm Primes Pc</v>
          </cell>
          <cell r="C224" t="str">
            <v>PROVISION</v>
          </cell>
          <cell r="D224" t="str">
            <v>PM VIE</v>
          </cell>
          <cell r="E224" t="str">
            <v>PM</v>
          </cell>
          <cell r="F224" t="str">
            <v>A300011000</v>
          </cell>
          <cell r="G224" t="str">
            <v>Résultat</v>
          </cell>
        </row>
        <row r="225">
          <cell r="A225" t="str">
            <v>A620013000</v>
          </cell>
          <cell r="B225" t="str">
            <v>Pro Égalisation Part Coass Dot</v>
          </cell>
          <cell r="C225" t="str">
            <v>NR</v>
          </cell>
          <cell r="F225" t="str">
            <v>A300072000</v>
          </cell>
          <cell r="G225" t="str">
            <v>Résultat</v>
          </cell>
        </row>
        <row r="226">
          <cell r="A226" t="str">
            <v>A620015000</v>
          </cell>
          <cell r="B226" t="str">
            <v>Coass Cnp Aperiteur</v>
          </cell>
          <cell r="G226" t="str">
            <v>Résultat</v>
          </cell>
        </row>
        <row r="227">
          <cell r="A227" t="str">
            <v>A620016000</v>
          </cell>
          <cell r="B227" t="str">
            <v>Dotation Pm Primes</v>
          </cell>
          <cell r="G227" t="str">
            <v>Résultat</v>
          </cell>
        </row>
        <row r="228">
          <cell r="A228" t="str">
            <v>A620020000</v>
          </cell>
          <cell r="B228" t="str">
            <v>Dotation Provision Tech Spec</v>
          </cell>
          <cell r="C228" t="str">
            <v>PROVISION</v>
          </cell>
          <cell r="D228" t="str">
            <v>PM VIE</v>
          </cell>
          <cell r="E228" t="str">
            <v>PROV L441</v>
          </cell>
          <cell r="F228" t="str">
            <v>A300200000</v>
          </cell>
          <cell r="G228" t="str">
            <v>Résultat</v>
          </cell>
        </row>
        <row r="229">
          <cell r="A229" t="str">
            <v>A620022000</v>
          </cell>
          <cell r="B229" t="str">
            <v>Dotation Prc Coass Aperiteur</v>
          </cell>
          <cell r="C229" t="str">
            <v>PROVISION</v>
          </cell>
          <cell r="D229" t="str">
            <v>PM VIE</v>
          </cell>
          <cell r="E229" t="str">
            <v>Prov risque croissant</v>
          </cell>
          <cell r="F229" t="str">
            <v>A300002000</v>
          </cell>
          <cell r="G229" t="str">
            <v>Résultat</v>
          </cell>
        </row>
        <row r="230">
          <cell r="A230" t="str">
            <v>A620026000</v>
          </cell>
          <cell r="B230" t="str">
            <v>Coass Cnp Apériteur Dot Pena V</v>
          </cell>
          <cell r="C230" t="str">
            <v>PROVISION</v>
          </cell>
          <cell r="D230" t="str">
            <v>PM VIE</v>
          </cell>
          <cell r="E230" t="str">
            <v>PM</v>
          </cell>
          <cell r="F230" t="str">
            <v>A300062000</v>
          </cell>
          <cell r="G230" t="str">
            <v>Résultat</v>
          </cell>
        </row>
        <row r="231">
          <cell r="A231" t="str">
            <v>A620030000</v>
          </cell>
          <cell r="B231" t="str">
            <v>Dot Prov Frais Acqui Reporte</v>
          </cell>
          <cell r="C231" t="str">
            <v>PROVISION</v>
          </cell>
          <cell r="D231" t="str">
            <v>PM VIE</v>
          </cell>
          <cell r="E231" t="str">
            <v>PM</v>
          </cell>
          <cell r="F231" t="str">
            <v>A300041000</v>
          </cell>
          <cell r="G231" t="str">
            <v>Résultat</v>
          </cell>
        </row>
        <row r="232">
          <cell r="A232" t="str">
            <v>A620040000</v>
          </cell>
          <cell r="B232" t="str">
            <v>It Manuel Incorporés Pm</v>
          </cell>
          <cell r="G232" t="str">
            <v>Résultat</v>
          </cell>
        </row>
        <row r="233">
          <cell r="A233" t="str">
            <v>A620041000</v>
          </cell>
          <cell r="B233" t="str">
            <v>It Auto Incorporés Pm</v>
          </cell>
          <cell r="G233" t="str">
            <v>Résultat</v>
          </cell>
        </row>
        <row r="234">
          <cell r="A234" t="str">
            <v>A620042000</v>
          </cell>
          <cell r="B234" t="str">
            <v>Affect Pb Auto Incorporées Pm</v>
          </cell>
          <cell r="G234" t="str">
            <v>Résultat</v>
          </cell>
        </row>
        <row r="235">
          <cell r="A235" t="str">
            <v>A620044000</v>
          </cell>
          <cell r="B235" t="str">
            <v>Affect Pb Manuel Incorp Pm</v>
          </cell>
          <cell r="G235" t="str">
            <v>Résultat</v>
          </cell>
        </row>
        <row r="236">
          <cell r="A236" t="str">
            <v>A620045000</v>
          </cell>
          <cell r="B236" t="str">
            <v>Reinvestissmnt Dividend Ds Pm</v>
          </cell>
          <cell r="G236" t="str">
            <v>Résultat</v>
          </cell>
        </row>
        <row r="237">
          <cell r="A237" t="str">
            <v>A620050000</v>
          </cell>
          <cell r="B237" t="str">
            <v>Rep Provision Risque Croissant</v>
          </cell>
          <cell r="G237" t="str">
            <v>Résultat</v>
          </cell>
        </row>
        <row r="238">
          <cell r="A238" t="str">
            <v>A620051000</v>
          </cell>
          <cell r="B238" t="str">
            <v>Reprise Pm Primes</v>
          </cell>
          <cell r="G238" t="str">
            <v>Résultat</v>
          </cell>
        </row>
        <row r="239">
          <cell r="A239" t="str">
            <v>A620052000</v>
          </cell>
          <cell r="B239" t="str">
            <v>Reprise Pm Primes Décès</v>
          </cell>
          <cell r="G239" t="str">
            <v>Résultat</v>
          </cell>
        </row>
        <row r="240">
          <cell r="A240" t="str">
            <v>A620053000</v>
          </cell>
          <cell r="B240" t="str">
            <v>Reprise Complement Pmg</v>
          </cell>
          <cell r="G240" t="str">
            <v>Résultat</v>
          </cell>
        </row>
        <row r="241">
          <cell r="A241" t="str">
            <v>A620054000</v>
          </cell>
          <cell r="B241" t="str">
            <v>Reprise Pm Gestion</v>
          </cell>
          <cell r="G241" t="str">
            <v>Résultat</v>
          </cell>
        </row>
        <row r="242">
          <cell r="A242" t="str">
            <v>A620055000</v>
          </cell>
          <cell r="B242" t="str">
            <v>Reprise Pm Majorations Legales</v>
          </cell>
          <cell r="G242" t="str">
            <v>Résultat</v>
          </cell>
        </row>
        <row r="243">
          <cell r="A243" t="str">
            <v>A620056000</v>
          </cell>
          <cell r="B243" t="str">
            <v>Rep Provision Risque En Cours</v>
          </cell>
          <cell r="G243" t="str">
            <v>Résultat</v>
          </cell>
        </row>
        <row r="244">
          <cell r="A244" t="str">
            <v>A620057000</v>
          </cell>
          <cell r="B244" t="str">
            <v>Rep Prov Risque Deficitaire</v>
          </cell>
          <cell r="G244" t="str">
            <v>Résultat</v>
          </cell>
        </row>
        <row r="245">
          <cell r="A245" t="str">
            <v>A620061000</v>
          </cell>
          <cell r="B245" t="str">
            <v>Reprise Primes Pures Pc</v>
          </cell>
          <cell r="G245" t="str">
            <v>Résultat</v>
          </cell>
        </row>
        <row r="246">
          <cell r="A246" t="str">
            <v>A620062000</v>
          </cell>
          <cell r="B246" t="str">
            <v>Reprise Prc Vie Coassureur Ape</v>
          </cell>
          <cell r="G246" t="str">
            <v>Résultat</v>
          </cell>
        </row>
        <row r="247">
          <cell r="A247" t="str">
            <v>A620063000</v>
          </cell>
          <cell r="B247" t="str">
            <v>Pro Egalisation Part Coass R V</v>
          </cell>
          <cell r="G247" t="str">
            <v>Résultat</v>
          </cell>
        </row>
        <row r="248">
          <cell r="A248" t="str">
            <v>A620066000</v>
          </cell>
          <cell r="B248" t="str">
            <v>Reprise Pm Primes</v>
          </cell>
          <cell r="G248" t="str">
            <v>Résultat</v>
          </cell>
        </row>
        <row r="249">
          <cell r="A249" t="str">
            <v>A620070000</v>
          </cell>
          <cell r="B249" t="str">
            <v>Reprise Provision Tech Spec</v>
          </cell>
          <cell r="G249" t="str">
            <v>Résultat</v>
          </cell>
        </row>
        <row r="250">
          <cell r="A250" t="str">
            <v>A620072000</v>
          </cell>
          <cell r="B250" t="str">
            <v>Coass Reprise Pena Vie</v>
          </cell>
          <cell r="G250" t="str">
            <v>Résultat</v>
          </cell>
        </row>
        <row r="251">
          <cell r="A251" t="str">
            <v>A620080000</v>
          </cell>
          <cell r="B251" t="str">
            <v>Dotat Autres Prov Techniques</v>
          </cell>
          <cell r="C251" t="str">
            <v>PROVISION</v>
          </cell>
          <cell r="D251" t="str">
            <v>AUTRES PROV TECH VIE</v>
          </cell>
          <cell r="E251" t="str">
            <v>AUTRES PROV TECH VIE</v>
          </cell>
          <cell r="F251" t="str">
            <v>A370050000</v>
          </cell>
          <cell r="G251" t="str">
            <v>Résultat</v>
          </cell>
        </row>
        <row r="252">
          <cell r="A252" t="str">
            <v>A620085000</v>
          </cell>
          <cell r="B252" t="str">
            <v>Reprise Autres Prov Techniques</v>
          </cell>
          <cell r="G252" t="str">
            <v>Résultat</v>
          </cell>
        </row>
        <row r="253">
          <cell r="A253" t="str">
            <v>A620101000</v>
          </cell>
          <cell r="B253" t="str">
            <v>Dotation Auto Pm Pure</v>
          </cell>
          <cell r="C253" t="str">
            <v>PROVISION</v>
          </cell>
          <cell r="D253" t="str">
            <v>PM VIE</v>
          </cell>
          <cell r="E253" t="str">
            <v>PM</v>
          </cell>
          <cell r="F253" t="str">
            <v>A300010000</v>
          </cell>
          <cell r="G253" t="str">
            <v>Résultat</v>
          </cell>
        </row>
        <row r="254">
          <cell r="A254" t="str">
            <v>A620104000</v>
          </cell>
          <cell r="B254" t="str">
            <v>Dotation Auto Pm Gestion</v>
          </cell>
          <cell r="C254" t="str">
            <v>PROVISION</v>
          </cell>
          <cell r="D254" t="str">
            <v>PM VIE</v>
          </cell>
          <cell r="E254" t="str">
            <v>PGG</v>
          </cell>
          <cell r="F254" t="str">
            <v>A300040000</v>
          </cell>
          <cell r="G254" t="str">
            <v>Résultat</v>
          </cell>
        </row>
        <row r="255">
          <cell r="A255" t="str">
            <v>A620151000</v>
          </cell>
          <cell r="B255" t="str">
            <v>Reprise Auto Pm Pure</v>
          </cell>
          <cell r="G255" t="str">
            <v>Résultat</v>
          </cell>
        </row>
        <row r="256">
          <cell r="A256" t="str">
            <v>A620154000</v>
          </cell>
          <cell r="B256" t="str">
            <v>Reprise Auto Pm Gestion</v>
          </cell>
          <cell r="G256" t="str">
            <v>Résultat</v>
          </cell>
        </row>
        <row r="257">
          <cell r="A257" t="str">
            <v>A620400000</v>
          </cell>
          <cell r="C257" t="str">
            <v>PROVISION</v>
          </cell>
          <cell r="D257" t="str">
            <v>PM VIE</v>
          </cell>
          <cell r="E257" t="str">
            <v>PM ACCEPTATION</v>
          </cell>
          <cell r="F257" t="str">
            <v>A304001000</v>
          </cell>
          <cell r="G257" t="str">
            <v>Résultat</v>
          </cell>
        </row>
        <row r="258">
          <cell r="A258" t="str">
            <v>A620401000</v>
          </cell>
          <cell r="B258" t="str">
            <v>Dotation Pm Primes Acceptation</v>
          </cell>
          <cell r="C258" t="str">
            <v>PROVISION</v>
          </cell>
          <cell r="D258" t="str">
            <v>PM VIE</v>
          </cell>
          <cell r="E258" t="str">
            <v>PM ACCEPTATION</v>
          </cell>
          <cell r="F258" t="str">
            <v>A304010000</v>
          </cell>
          <cell r="G258" t="str">
            <v>Résultat</v>
          </cell>
        </row>
        <row r="259">
          <cell r="A259" t="str">
            <v>A620401200</v>
          </cell>
          <cell r="B259" t="str">
            <v>Dot Pm Fin Carivita Vie</v>
          </cell>
          <cell r="C259" t="str">
            <v>PROVISION</v>
          </cell>
          <cell r="D259" t="str">
            <v>PM VIE</v>
          </cell>
          <cell r="E259" t="str">
            <v>PM ACCEPTATION</v>
          </cell>
          <cell r="G259" t="str">
            <v>Résultat</v>
          </cell>
        </row>
        <row r="260">
          <cell r="A260" t="str">
            <v>A620402000</v>
          </cell>
          <cell r="B260" t="str">
            <v>Dotation Pm Acceptation Vie</v>
          </cell>
          <cell r="C260" t="str">
            <v>PROVISION</v>
          </cell>
          <cell r="D260" t="str">
            <v>PM VIE</v>
          </cell>
          <cell r="E260" t="str">
            <v>PM ACCEPTATION</v>
          </cell>
          <cell r="F260" t="str">
            <v>A304020000</v>
          </cell>
          <cell r="G260" t="str">
            <v>Résultat</v>
          </cell>
        </row>
        <row r="261">
          <cell r="A261" t="str">
            <v>A620402010</v>
          </cell>
          <cell r="B261" t="str">
            <v>Dotation Pm Acceptation Vie</v>
          </cell>
          <cell r="C261" t="str">
            <v>PROVISION</v>
          </cell>
          <cell r="D261" t="str">
            <v>PM VIE</v>
          </cell>
          <cell r="E261" t="str">
            <v>PM ACCEPTATION</v>
          </cell>
          <cell r="F261" t="str">
            <v>A304020010</v>
          </cell>
          <cell r="G261" t="str">
            <v>Résultat</v>
          </cell>
        </row>
        <row r="262">
          <cell r="A262" t="str">
            <v>A620405000</v>
          </cell>
          <cell r="B262" t="str">
            <v>Reprise Pm Primes Acceptation</v>
          </cell>
          <cell r="G262" t="str">
            <v>Résultat</v>
          </cell>
        </row>
        <row r="263">
          <cell r="A263" t="str">
            <v>A620405010</v>
          </cell>
          <cell r="B263" t="str">
            <v>Reprise Pm Primes Acceptation</v>
          </cell>
          <cell r="G263" t="str">
            <v>Résultat</v>
          </cell>
        </row>
        <row r="264">
          <cell r="A264" t="str">
            <v>A620405200</v>
          </cell>
          <cell r="B264" t="str">
            <v>Repr Pm Deb Carivita</v>
          </cell>
          <cell r="G264" t="str">
            <v>Résultat</v>
          </cell>
        </row>
        <row r="265">
          <cell r="A265" t="str">
            <v>A620406000</v>
          </cell>
          <cell r="B265" t="str">
            <v>Reprise Pm Acceptation Vie</v>
          </cell>
          <cell r="G265" t="str">
            <v>Résultat</v>
          </cell>
        </row>
        <row r="266">
          <cell r="A266" t="str">
            <v>A620407000</v>
          </cell>
          <cell r="B266" t="str">
            <v>Dot Pv Risqu Deficitair Accept</v>
          </cell>
          <cell r="G266" t="str">
            <v>Résultat</v>
          </cell>
        </row>
        <row r="267">
          <cell r="A267" t="str">
            <v>A620451000</v>
          </cell>
          <cell r="B267" t="str">
            <v>Reprise Pm Vie Reass Accept</v>
          </cell>
          <cell r="G267" t="str">
            <v>Résultat</v>
          </cell>
        </row>
        <row r="268">
          <cell r="A268" t="str">
            <v>A620457000</v>
          </cell>
          <cell r="B268" t="str">
            <v>Rep Prov Risque D Acceptation</v>
          </cell>
          <cell r="G268" t="str">
            <v>Résultat</v>
          </cell>
        </row>
        <row r="269">
          <cell r="A269" t="str">
            <v>A620530000</v>
          </cell>
          <cell r="B269" t="str">
            <v>Rep Frais Acquisit A Reporter</v>
          </cell>
          <cell r="G269" t="str">
            <v>Résultat</v>
          </cell>
        </row>
        <row r="270">
          <cell r="A270" t="str">
            <v>A62100001X</v>
          </cell>
          <cell r="B270" t="str">
            <v>CONSO CA NV</v>
          </cell>
          <cell r="G270" t="str">
            <v>Résultat</v>
          </cell>
        </row>
        <row r="271">
          <cell r="A271" t="str">
            <v>A621006000</v>
          </cell>
          <cell r="B271" t="str">
            <v>Reprise Reserve Alea Financier</v>
          </cell>
          <cell r="C271" t="str">
            <v>PROVISION</v>
          </cell>
          <cell r="D271" t="str">
            <v>PB VIE</v>
          </cell>
          <cell r="E271" t="str">
            <v>PB VIE</v>
          </cell>
          <cell r="F271" t="str">
            <v>A340004000</v>
          </cell>
          <cell r="G271" t="str">
            <v>Résultat</v>
          </cell>
        </row>
        <row r="272">
          <cell r="A272" t="str">
            <v>A621026000</v>
          </cell>
          <cell r="B272" t="str">
            <v>Reprise Prov Risque Croissant</v>
          </cell>
          <cell r="G272" t="str">
            <v>Résultat</v>
          </cell>
        </row>
        <row r="273">
          <cell r="A273" t="str">
            <v>A621080000</v>
          </cell>
          <cell r="B273" t="str">
            <v>Variation Preet Vie</v>
          </cell>
          <cell r="C273" t="str">
            <v>PROVISION</v>
          </cell>
          <cell r="D273" t="str">
            <v>AUTRES PROV TECH VIE</v>
          </cell>
          <cell r="E273" t="str">
            <v>AUTRES PROV TECH VIE</v>
          </cell>
          <cell r="F273" t="str">
            <v>A370050000</v>
          </cell>
          <cell r="G273" t="str">
            <v>Résultat</v>
          </cell>
        </row>
        <row r="274">
          <cell r="A274" t="str">
            <v>A621201000</v>
          </cell>
          <cell r="B274" t="str">
            <v>Dotation Prov Risque Croissant</v>
          </cell>
          <cell r="G274" t="str">
            <v>Résultat</v>
          </cell>
        </row>
        <row r="275">
          <cell r="A275" t="str">
            <v>A621202000</v>
          </cell>
          <cell r="B275" t="str">
            <v>Dot Prov Risq Croissant Accept</v>
          </cell>
          <cell r="G275" t="str">
            <v>Résultat</v>
          </cell>
        </row>
        <row r="276">
          <cell r="A276" t="str">
            <v>A621203000</v>
          </cell>
          <cell r="B276" t="str">
            <v>Dotation Risque Croissants Rea</v>
          </cell>
          <cell r="G276" t="str">
            <v>Résultat</v>
          </cell>
        </row>
        <row r="277">
          <cell r="A277" t="str">
            <v>A621205000</v>
          </cell>
          <cell r="B277" t="str">
            <v>Reprise Prov Risque Croissant</v>
          </cell>
          <cell r="G277" t="str">
            <v>Résultat</v>
          </cell>
        </row>
        <row r="278">
          <cell r="A278" t="str">
            <v>A621206000</v>
          </cell>
          <cell r="B278" t="str">
            <v>Rep Prov Risq Croissant Accept</v>
          </cell>
          <cell r="G278" t="str">
            <v>Résultat</v>
          </cell>
        </row>
        <row r="279">
          <cell r="A279" t="str">
            <v>A621210000</v>
          </cell>
          <cell r="B279" t="str">
            <v>Dotation Pm Rentes</v>
          </cell>
          <cell r="G279" t="str">
            <v>Résultat</v>
          </cell>
        </row>
        <row r="280">
          <cell r="A280" t="str">
            <v>A621212000</v>
          </cell>
          <cell r="B280" t="str">
            <v>Part Coass Dotation Pm</v>
          </cell>
          <cell r="G280" t="str">
            <v>Résultat</v>
          </cell>
        </row>
        <row r="281">
          <cell r="A281" t="str">
            <v>A621215000</v>
          </cell>
          <cell r="B281" t="str">
            <v>Reprise Pm Rentes</v>
          </cell>
          <cell r="G281" t="str">
            <v>Résultat</v>
          </cell>
        </row>
        <row r="282">
          <cell r="A282" t="str">
            <v>A621216000</v>
          </cell>
          <cell r="B282" t="str">
            <v>Reprise Pm Coass Aperiteur</v>
          </cell>
          <cell r="G282" t="str">
            <v>Résultat</v>
          </cell>
        </row>
        <row r="283">
          <cell r="A283" t="str">
            <v>A621220000</v>
          </cell>
          <cell r="B283" t="str">
            <v>Dot Prov. Risq. En Cours Nv</v>
          </cell>
          <cell r="G283" t="str">
            <v>Résultat</v>
          </cell>
        </row>
        <row r="284">
          <cell r="A284" t="str">
            <v>A621222000</v>
          </cell>
          <cell r="B284" t="str">
            <v>Prc Coass Apériteur</v>
          </cell>
          <cell r="G284" t="str">
            <v>Résultat</v>
          </cell>
        </row>
        <row r="285">
          <cell r="A285" t="str">
            <v>A621230000</v>
          </cell>
          <cell r="B285" t="str">
            <v>Dotation Provision Acc Non Vie</v>
          </cell>
          <cell r="G285" t="str">
            <v>Résultat</v>
          </cell>
        </row>
        <row r="286">
          <cell r="A286" t="str">
            <v>A621230010</v>
          </cell>
          <cell r="B286" t="str">
            <v>Dotation Prov Acc Non Vie</v>
          </cell>
          <cell r="G286" t="str">
            <v>Résultat</v>
          </cell>
        </row>
        <row r="287">
          <cell r="A287" t="str">
            <v>A621235000</v>
          </cell>
          <cell r="B287" t="str">
            <v>Reprise Provision Acc Non Vie</v>
          </cell>
          <cell r="G287" t="str">
            <v>Résultat</v>
          </cell>
        </row>
        <row r="288">
          <cell r="A288" t="str">
            <v>A621235010</v>
          </cell>
          <cell r="B288" t="str">
            <v>Réas Inter Reprise Prov Acc Nv</v>
          </cell>
          <cell r="G288" t="str">
            <v>Résultat</v>
          </cell>
        </row>
        <row r="289">
          <cell r="A289" t="str">
            <v>A621240000</v>
          </cell>
          <cell r="B289" t="str">
            <v>Pb Et It Direct Incorp N V</v>
          </cell>
          <cell r="G289" t="str">
            <v>Résultat</v>
          </cell>
        </row>
        <row r="290">
          <cell r="A290" t="str">
            <v>A621250000</v>
          </cell>
          <cell r="B290" t="str">
            <v>Dot Autres Prov Techniques</v>
          </cell>
          <cell r="G290" t="str">
            <v>Résultat</v>
          </cell>
        </row>
        <row r="291">
          <cell r="A291" t="str">
            <v>A621255000</v>
          </cell>
          <cell r="B291" t="str">
            <v>Reprise Autre Prov Techniques</v>
          </cell>
          <cell r="G291" t="str">
            <v>Résultat</v>
          </cell>
        </row>
        <row r="292">
          <cell r="A292" t="str">
            <v>A621280000</v>
          </cell>
          <cell r="B292" t="str">
            <v>Variation Preet Non Vie</v>
          </cell>
          <cell r="G292" t="str">
            <v>Résultat</v>
          </cell>
        </row>
        <row r="293">
          <cell r="A293" t="str">
            <v>A623001000</v>
          </cell>
          <cell r="B293" t="str">
            <v>Dotation Pmp (Contrat En Uc)</v>
          </cell>
          <cell r="C293" t="str">
            <v>PROVISION</v>
          </cell>
          <cell r="D293" t="str">
            <v>PM VIE</v>
          </cell>
          <cell r="E293" t="str">
            <v>PM</v>
          </cell>
          <cell r="F293" t="str">
            <v>A380010000</v>
          </cell>
          <cell r="G293" t="str">
            <v>Résultat</v>
          </cell>
        </row>
        <row r="294">
          <cell r="A294" t="str">
            <v>A623004000</v>
          </cell>
          <cell r="B294" t="str">
            <v>Dotation Pmg (Contrat En Uc)</v>
          </cell>
          <cell r="C294" t="str">
            <v>PROVISION</v>
          </cell>
          <cell r="D294" t="str">
            <v>PM VIE</v>
          </cell>
          <cell r="E294" t="str">
            <v>PGG</v>
          </cell>
          <cell r="F294" t="str">
            <v>A380040000</v>
          </cell>
          <cell r="G294" t="str">
            <v>Résultat</v>
          </cell>
        </row>
        <row r="295">
          <cell r="A295" t="str">
            <v>A623051000</v>
          </cell>
          <cell r="B295" t="str">
            <v>Reprise Pmp (Contrat En Uc)</v>
          </cell>
          <cell r="G295" t="str">
            <v>Résultat</v>
          </cell>
        </row>
        <row r="296">
          <cell r="A296" t="str">
            <v>A623054000</v>
          </cell>
          <cell r="B296" t="str">
            <v>Reprise Pmg (Contrat En Uc)</v>
          </cell>
          <cell r="G296" t="str">
            <v>Résultat</v>
          </cell>
        </row>
        <row r="297">
          <cell r="A297" t="str">
            <v>A623101000</v>
          </cell>
          <cell r="B297" t="str">
            <v>Dotation Auto Pm Uc</v>
          </cell>
          <cell r="C297" t="str">
            <v>PROVISION</v>
          </cell>
          <cell r="D297" t="str">
            <v>PM VIE</v>
          </cell>
          <cell r="E297" t="str">
            <v>PM</v>
          </cell>
          <cell r="F297" t="str">
            <v>A380010000</v>
          </cell>
          <cell r="G297" t="str">
            <v>Résultat</v>
          </cell>
        </row>
        <row r="298">
          <cell r="A298" t="str">
            <v>A623104000</v>
          </cell>
          <cell r="B298" t="str">
            <v>Dotation Auto Pm Uc Gestion</v>
          </cell>
          <cell r="C298" t="str">
            <v>PROVISION</v>
          </cell>
          <cell r="D298" t="str">
            <v>PM VIE</v>
          </cell>
          <cell r="E298" t="str">
            <v>PGG</v>
          </cell>
          <cell r="F298" t="str">
            <v>A380040000</v>
          </cell>
          <cell r="G298" t="str">
            <v>Résultat</v>
          </cell>
        </row>
        <row r="299">
          <cell r="A299" t="str">
            <v>A623151000</v>
          </cell>
          <cell r="B299" t="str">
            <v>Reprise Auto Pm Uc</v>
          </cell>
          <cell r="G299" t="str">
            <v>Résultat</v>
          </cell>
        </row>
        <row r="300">
          <cell r="A300" t="str">
            <v>A623154000</v>
          </cell>
          <cell r="B300" t="str">
            <v>Reprise Auto Pm Uc Gestion</v>
          </cell>
          <cell r="G300" t="str">
            <v>Résultat</v>
          </cell>
        </row>
        <row r="301">
          <cell r="A301" t="str">
            <v>A624200000</v>
          </cell>
          <cell r="B301" t="str">
            <v>Dot Prov Egal Aff Directe N V</v>
          </cell>
          <cell r="G301" t="str">
            <v>Résultat</v>
          </cell>
        </row>
        <row r="302">
          <cell r="A302" t="str">
            <v>A624201000</v>
          </cell>
          <cell r="B302" t="str">
            <v>Dotation Provision Egal Vie</v>
          </cell>
          <cell r="G302" t="str">
            <v>Résultat</v>
          </cell>
        </row>
        <row r="303">
          <cell r="A303" t="str">
            <v>A624202000</v>
          </cell>
          <cell r="B303" t="str">
            <v>Peg Coass Apériteur</v>
          </cell>
          <cell r="G303" t="str">
            <v>Résultat</v>
          </cell>
        </row>
        <row r="304">
          <cell r="A304" t="str">
            <v>A624210000</v>
          </cell>
          <cell r="B304" t="str">
            <v>Dotation Prov Egali Non Vie</v>
          </cell>
          <cell r="G304" t="str">
            <v>Résultat</v>
          </cell>
        </row>
        <row r="305">
          <cell r="A305" t="str">
            <v>A624211000</v>
          </cell>
          <cell r="B305" t="str">
            <v>Dotation Provision Pour Égali</v>
          </cell>
          <cell r="G305" t="str">
            <v>Résultat</v>
          </cell>
        </row>
        <row r="306">
          <cell r="A306" t="str">
            <v>A624250000</v>
          </cell>
          <cell r="B306" t="str">
            <v>Rep Prov Egal Aff Directe N V</v>
          </cell>
          <cell r="G306" t="str">
            <v>Résultat</v>
          </cell>
        </row>
        <row r="307">
          <cell r="A307" t="str">
            <v>A624251000</v>
          </cell>
          <cell r="B307" t="str">
            <v>Rep Prov Egal Coass Vie</v>
          </cell>
          <cell r="G307" t="str">
            <v>Résultat</v>
          </cell>
        </row>
        <row r="308">
          <cell r="A308" t="str">
            <v>A624252000</v>
          </cell>
          <cell r="B308" t="str">
            <v>Peg Coassurance Apériteur</v>
          </cell>
          <cell r="G308" t="str">
            <v>Résultat</v>
          </cell>
        </row>
        <row r="309">
          <cell r="A309" t="str">
            <v>A624260000</v>
          </cell>
          <cell r="B309" t="str">
            <v>Reprise Prov Egalisation Coas</v>
          </cell>
          <cell r="G309" t="str">
            <v>Résultat</v>
          </cell>
        </row>
        <row r="310">
          <cell r="A310" t="str">
            <v>A624261000</v>
          </cell>
          <cell r="B310" t="str">
            <v>Reprise Prov Egalisation</v>
          </cell>
          <cell r="G310" t="str">
            <v>Résultat</v>
          </cell>
        </row>
        <row r="311">
          <cell r="A311" t="str">
            <v>A624500000</v>
          </cell>
          <cell r="B311" t="str">
            <v>Dotation Provi Egal Accep  N V</v>
          </cell>
          <cell r="G311" t="str">
            <v>Résultat</v>
          </cell>
        </row>
        <row r="312">
          <cell r="A312" t="str">
            <v>A624550000</v>
          </cell>
          <cell r="B312" t="str">
            <v>Rep Prov Egal Accep Non Vie</v>
          </cell>
          <cell r="G312" t="str">
            <v>Résultat</v>
          </cell>
        </row>
        <row r="313">
          <cell r="A313" t="str">
            <v>A629000000</v>
          </cell>
          <cell r="B313" t="str">
            <v>Dot Prc Part Cessionnaires</v>
          </cell>
          <cell r="C313" t="str">
            <v>NR</v>
          </cell>
          <cell r="G313" t="str">
            <v>Résultat</v>
          </cell>
        </row>
        <row r="314">
          <cell r="A314" t="str">
            <v>A629001000</v>
          </cell>
          <cell r="B314" t="str">
            <v>Dot Pm Pure Part Cessionnaire</v>
          </cell>
          <cell r="C314" t="str">
            <v>NR</v>
          </cell>
          <cell r="G314" t="str">
            <v>Résultat</v>
          </cell>
        </row>
        <row r="315">
          <cell r="A315" t="str">
            <v>A629007000</v>
          </cell>
          <cell r="B315" t="str">
            <v>Dotation Prd Reass Cession</v>
          </cell>
          <cell r="C315" t="str">
            <v>NR</v>
          </cell>
          <cell r="G315" t="str">
            <v>Résultat</v>
          </cell>
        </row>
        <row r="316">
          <cell r="A316" t="str">
            <v>A629020000</v>
          </cell>
          <cell r="B316" t="str">
            <v>Part Reassureurs Ds Dotatn Pts</v>
          </cell>
          <cell r="C316" t="str">
            <v>NR</v>
          </cell>
          <cell r="G316" t="str">
            <v>Résultat</v>
          </cell>
        </row>
        <row r="317">
          <cell r="A317" t="str">
            <v>A629041000</v>
          </cell>
          <cell r="B317" t="str">
            <v>Part Reass Ds Pb It Incorp/Pm</v>
          </cell>
          <cell r="C317" t="str">
            <v>NR</v>
          </cell>
          <cell r="G317" t="str">
            <v>Résultat</v>
          </cell>
        </row>
        <row r="318">
          <cell r="A318" t="str">
            <v>A629050000</v>
          </cell>
          <cell r="B318" t="str">
            <v>Reprise Prec Cessionnaires</v>
          </cell>
          <cell r="C318" t="str">
            <v>NR</v>
          </cell>
          <cell r="G318" t="str">
            <v>Résultat</v>
          </cell>
        </row>
        <row r="319">
          <cell r="A319" t="str">
            <v>A629051000</v>
          </cell>
          <cell r="B319" t="str">
            <v>Rep Pm Pure Part Cessionnaires</v>
          </cell>
          <cell r="C319" t="str">
            <v>NR</v>
          </cell>
          <cell r="G319" t="str">
            <v>Résultat</v>
          </cell>
        </row>
        <row r="320">
          <cell r="A320" t="str">
            <v>A629070000</v>
          </cell>
          <cell r="B320" t="str">
            <v>Reprise Pts Reassuree</v>
          </cell>
          <cell r="C320" t="str">
            <v>NR</v>
          </cell>
          <cell r="G320" t="str">
            <v>Résultat</v>
          </cell>
        </row>
        <row r="321">
          <cell r="A321" t="str">
            <v>A629071000</v>
          </cell>
          <cell r="B321" t="str">
            <v>Reprise Prd Réass Cession</v>
          </cell>
          <cell r="C321" t="str">
            <v>NR</v>
          </cell>
          <cell r="G321" t="str">
            <v>Résultat</v>
          </cell>
        </row>
        <row r="322">
          <cell r="A322" t="str">
            <v>A629121000</v>
          </cell>
          <cell r="B322" t="str">
            <v>Dotation Pm Rente Cession</v>
          </cell>
          <cell r="C322" t="str">
            <v>NR</v>
          </cell>
          <cell r="G322" t="str">
            <v>Résultat</v>
          </cell>
        </row>
        <row r="323">
          <cell r="A323" t="str">
            <v>A629122000</v>
          </cell>
          <cell r="B323" t="str">
            <v>Dot Prc Part Cessionnaires</v>
          </cell>
          <cell r="C323" t="str">
            <v>NR</v>
          </cell>
          <cell r="G323" t="str">
            <v>Résultat</v>
          </cell>
        </row>
        <row r="324">
          <cell r="A324" t="str">
            <v>A629123010</v>
          </cell>
          <cell r="B324" t="str">
            <v>Cession Réas Inter Pm N Vie</v>
          </cell>
          <cell r="C324" t="str">
            <v>NR</v>
          </cell>
          <cell r="G324" t="str">
            <v>Résultat</v>
          </cell>
        </row>
        <row r="325">
          <cell r="A325" t="str">
            <v>A629123510</v>
          </cell>
          <cell r="B325" t="str">
            <v>Cession Réa Inter Rep Pm N Vie</v>
          </cell>
          <cell r="C325" t="str">
            <v>NR</v>
          </cell>
          <cell r="G325" t="str">
            <v>Résultat</v>
          </cell>
        </row>
        <row r="326">
          <cell r="A326" t="str">
            <v>A629125000</v>
          </cell>
          <cell r="B326" t="str">
            <v>Rep Prc Part Cessionnaires</v>
          </cell>
          <cell r="C326" t="str">
            <v>NR</v>
          </cell>
          <cell r="G326" t="str">
            <v>Résultat</v>
          </cell>
        </row>
        <row r="327">
          <cell r="A327" t="str">
            <v>A629126000</v>
          </cell>
          <cell r="B327" t="str">
            <v>Rep Pm Rte Part Cessionnaires</v>
          </cell>
          <cell r="C327" t="str">
            <v>NR</v>
          </cell>
          <cell r="G327" t="str">
            <v>Résultat</v>
          </cell>
        </row>
        <row r="328">
          <cell r="A328" t="str">
            <v>A629400000</v>
          </cell>
          <cell r="B328" t="str">
            <v>Dotation Peg Reass Cession</v>
          </cell>
          <cell r="C328" t="str">
            <v>NR</v>
          </cell>
          <cell r="G328" t="str">
            <v>Résultat</v>
          </cell>
        </row>
        <row r="329">
          <cell r="A329" t="str">
            <v>A629401000</v>
          </cell>
          <cell r="B329" t="str">
            <v>Reprise Peg Réass Cession</v>
          </cell>
          <cell r="C329" t="str">
            <v>NR</v>
          </cell>
          <cell r="G329" t="str">
            <v>Résultat</v>
          </cell>
        </row>
        <row r="330">
          <cell r="A330" t="str">
            <v>A630601000</v>
          </cell>
          <cell r="B330" t="str">
            <v>Dotation prov PB</v>
          </cell>
          <cell r="C330" t="str">
            <v>PROVISION</v>
          </cell>
          <cell r="D330" t="str">
            <v>PB VIE</v>
          </cell>
          <cell r="E330" t="str">
            <v>PB VIE</v>
          </cell>
          <cell r="F330" t="str">
            <v>A340011000</v>
          </cell>
          <cell r="G330" t="str">
            <v>Résultat</v>
          </cell>
        </row>
        <row r="331">
          <cell r="A331" t="str">
            <v>A630952000</v>
          </cell>
          <cell r="B331" t="str">
            <v>Conso PB incorporées PM</v>
          </cell>
          <cell r="C331" t="str">
            <v>PROVISION</v>
          </cell>
          <cell r="D331" t="str">
            <v>PB VIE</v>
          </cell>
          <cell r="E331" t="str">
            <v>PB VIE</v>
          </cell>
          <cell r="F331" t="str">
            <v>A340011000</v>
          </cell>
          <cell r="G331" t="str">
            <v>Résultat</v>
          </cell>
        </row>
        <row r="332">
          <cell r="A332" t="str">
            <v>A630933000</v>
          </cell>
          <cell r="B332" t="str">
            <v>Conso PB dans prestations</v>
          </cell>
          <cell r="C332" t="str">
            <v>PROVISION</v>
          </cell>
          <cell r="D332" t="str">
            <v>PB VIE</v>
          </cell>
          <cell r="E332" t="str">
            <v>PB VIE</v>
          </cell>
          <cell r="F332" t="str">
            <v>A340011000</v>
          </cell>
          <cell r="G332" t="str">
            <v>Résultat</v>
          </cell>
        </row>
        <row r="333">
          <cell r="A333" t="str">
            <v>A630934000</v>
          </cell>
          <cell r="B333" t="str">
            <v>Conso PB dans prestations</v>
          </cell>
          <cell r="C333" t="str">
            <v>PROVISION</v>
          </cell>
          <cell r="D333" t="str">
            <v>PB VIE</v>
          </cell>
          <cell r="E333" t="str">
            <v>PB VIE</v>
          </cell>
          <cell r="F333" t="str">
            <v>A340011000</v>
          </cell>
          <cell r="G333" t="str">
            <v>Résultat</v>
          </cell>
        </row>
        <row r="334">
          <cell r="A334" t="str">
            <v>A630935000</v>
          </cell>
          <cell r="B334" t="str">
            <v>Conso sur PB sur UC</v>
          </cell>
          <cell r="C334" t="str">
            <v>PROVISION</v>
          </cell>
          <cell r="D334" t="str">
            <v>PB VIE</v>
          </cell>
          <cell r="E334" t="str">
            <v>PB VIE</v>
          </cell>
          <cell r="F334" t="str">
            <v>A340011000</v>
          </cell>
          <cell r="G334" t="str">
            <v>Résultat</v>
          </cell>
        </row>
        <row r="335">
          <cell r="A335" t="str">
            <v>A630951000</v>
          </cell>
          <cell r="B335" t="str">
            <v>Conso PB incorporées PM</v>
          </cell>
          <cell r="C335" t="str">
            <v>PROVISION</v>
          </cell>
          <cell r="D335" t="str">
            <v>PB VIE</v>
          </cell>
          <cell r="E335" t="str">
            <v>PB VIE</v>
          </cell>
          <cell r="F335" t="str">
            <v>A340011000</v>
          </cell>
          <cell r="G335" t="str">
            <v>Résultat</v>
          </cell>
        </row>
        <row r="336">
          <cell r="A336" t="str">
            <v>A630953000</v>
          </cell>
          <cell r="B336" t="str">
            <v>Conso PB incorporées PM</v>
          </cell>
          <cell r="C336" t="str">
            <v>PROVISION</v>
          </cell>
          <cell r="D336" t="str">
            <v>PB VIE</v>
          </cell>
          <cell r="E336" t="str">
            <v>PB VIE</v>
          </cell>
          <cell r="F336" t="str">
            <v>A340011000</v>
          </cell>
          <cell r="G336" t="str">
            <v>Résultat</v>
          </cell>
        </row>
        <row r="337">
          <cell r="A337" t="str">
            <v>A630955000</v>
          </cell>
          <cell r="B337" t="str">
            <v>Conso PB sur PM UC</v>
          </cell>
          <cell r="C337" t="str">
            <v>PROVISION</v>
          </cell>
          <cell r="D337" t="str">
            <v>PB VIE</v>
          </cell>
          <cell r="E337" t="str">
            <v>PB VIE</v>
          </cell>
          <cell r="F337" t="str">
            <v>A340011000</v>
          </cell>
          <cell r="G337" t="str">
            <v>Résultat</v>
          </cell>
        </row>
        <row r="338">
          <cell r="A338" t="str">
            <v>A630930000</v>
          </cell>
          <cell r="B338" t="str">
            <v>Utilisation PB</v>
          </cell>
          <cell r="C338" t="str">
            <v>PROVISION</v>
          </cell>
          <cell r="D338" t="str">
            <v>PB VIE</v>
          </cell>
          <cell r="E338" t="str">
            <v>PB VIE</v>
          </cell>
          <cell r="F338" t="str">
            <v>A340011000</v>
          </cell>
          <cell r="G338" t="str">
            <v>Résultat</v>
          </cell>
        </row>
        <row r="339">
          <cell r="A339" t="str">
            <v>A630603000</v>
          </cell>
          <cell r="B339" t="str">
            <v>PB ptf</v>
          </cell>
          <cell r="C339" t="str">
            <v>PROVISION</v>
          </cell>
          <cell r="D339" t="str">
            <v>PB VIE</v>
          </cell>
          <cell r="E339" t="str">
            <v>PB VIE</v>
          </cell>
          <cell r="F339" t="str">
            <v>A340012000</v>
          </cell>
          <cell r="G339" t="str">
            <v>Résultat</v>
          </cell>
        </row>
        <row r="340">
          <cell r="A340" t="str">
            <v>A630932000</v>
          </cell>
          <cell r="B340" t="str">
            <v>Part coass Utilisation PB</v>
          </cell>
          <cell r="C340" t="str">
            <v>PROVISION</v>
          </cell>
          <cell r="D340" t="str">
            <v>PB VIE</v>
          </cell>
          <cell r="E340" t="str">
            <v>PB VIE</v>
          </cell>
          <cell r="F340" t="str">
            <v>A340012000</v>
          </cell>
          <cell r="G340" t="str">
            <v>Résultat</v>
          </cell>
        </row>
        <row r="341">
          <cell r="A341" t="str">
            <v>A634600000</v>
          </cell>
          <cell r="B341" t="str">
            <v>Dot prov PB acceptation</v>
          </cell>
          <cell r="C341" t="str">
            <v>PROVISION</v>
          </cell>
          <cell r="D341" t="str">
            <v>PB VIE</v>
          </cell>
          <cell r="E341" t="str">
            <v>PB VIE ACCEPTATION</v>
          </cell>
          <cell r="F341" t="str">
            <v>A344011000</v>
          </cell>
          <cell r="G341" t="str">
            <v>Résultat</v>
          </cell>
        </row>
        <row r="342">
          <cell r="A342" t="str">
            <v>A634930000</v>
          </cell>
          <cell r="B342" t="str">
            <v>Utilisation Prov PB</v>
          </cell>
          <cell r="C342" t="str">
            <v>PROVISION</v>
          </cell>
          <cell r="D342" t="str">
            <v>PB VIE</v>
          </cell>
          <cell r="E342" t="str">
            <v>PB VIE ACCEPTATION</v>
          </cell>
          <cell r="F342" t="str">
            <v>A344011000</v>
          </cell>
          <cell r="G342" t="str">
            <v>Résultat</v>
          </cell>
        </row>
        <row r="343">
          <cell r="A343" t="str">
            <v>A630404000</v>
          </cell>
          <cell r="B343" t="str">
            <v>Dotation RAF</v>
          </cell>
          <cell r="C343" t="str">
            <v>PROVISION</v>
          </cell>
          <cell r="D343" t="str">
            <v>PB VIE</v>
          </cell>
          <cell r="E343" t="str">
            <v>PB VIE</v>
          </cell>
          <cell r="F343" t="str">
            <v>A340004000</v>
          </cell>
          <cell r="G343" t="str">
            <v>Résultat</v>
          </cell>
        </row>
        <row r="344">
          <cell r="A344" t="str">
            <v>A630954000</v>
          </cell>
          <cell r="B344" t="str">
            <v>Utilisation prov RAF</v>
          </cell>
          <cell r="C344" t="str">
            <v>PROVISION</v>
          </cell>
          <cell r="D344" t="str">
            <v>PB VIE</v>
          </cell>
          <cell r="E344" t="str">
            <v>PB VIE</v>
          </cell>
          <cell r="F344" t="str">
            <v>A340004000</v>
          </cell>
          <cell r="G344" t="str">
            <v>Résultat</v>
          </cell>
        </row>
        <row r="345">
          <cell r="A345" t="str">
            <v>A632602000</v>
          </cell>
          <cell r="B345" t="str">
            <v>Dot Prov PB NV</v>
          </cell>
          <cell r="C345" t="str">
            <v>PROVISION</v>
          </cell>
          <cell r="D345" t="str">
            <v>PB NON VIE</v>
          </cell>
          <cell r="E345" t="str">
            <v>PB NON VIE</v>
          </cell>
          <cell r="F345" t="str">
            <v>A352010000</v>
          </cell>
          <cell r="G345" t="str">
            <v>Résultat</v>
          </cell>
        </row>
        <row r="346">
          <cell r="A346" t="str">
            <v>A632930000</v>
          </cell>
          <cell r="B346" t="str">
            <v>Util Pb NV</v>
          </cell>
          <cell r="C346" t="str">
            <v>PROVISION</v>
          </cell>
          <cell r="D346" t="str">
            <v>PB NON VIE</v>
          </cell>
          <cell r="E346" t="str">
            <v>PB NON VIE</v>
          </cell>
          <cell r="F346" t="str">
            <v>A352010000</v>
          </cell>
          <cell r="G346" t="str">
            <v>Résultat</v>
          </cell>
        </row>
        <row r="347">
          <cell r="A347" t="str">
            <v>A632932000</v>
          </cell>
          <cell r="C347" t="str">
            <v>PROVISION</v>
          </cell>
          <cell r="D347" t="str">
            <v>PB NON VIE</v>
          </cell>
          <cell r="E347" t="str">
            <v>PB NON VIE</v>
          </cell>
          <cell r="F347" t="str">
            <v>A352012000</v>
          </cell>
          <cell r="G347" t="str">
            <v>Résultat</v>
          </cell>
        </row>
        <row r="348">
          <cell r="A348" t="str">
            <v>A632603000</v>
          </cell>
          <cell r="B348" t="str">
            <v>PB PTF</v>
          </cell>
          <cell r="C348" t="str">
            <v>PROVISION</v>
          </cell>
          <cell r="D348" t="str">
            <v>PB NON VIE</v>
          </cell>
          <cell r="E348" t="str">
            <v>PB NON VIE</v>
          </cell>
          <cell r="F348" t="str">
            <v>A352012000</v>
          </cell>
          <cell r="G348" t="str">
            <v>Résultat</v>
          </cell>
        </row>
        <row r="349">
          <cell r="A349" t="str">
            <v>A635602000</v>
          </cell>
          <cell r="B349" t="str">
            <v>Dot PB Accept NV</v>
          </cell>
          <cell r="C349" t="str">
            <v>PROVISION</v>
          </cell>
          <cell r="D349" t="str">
            <v>PB NON VIE</v>
          </cell>
          <cell r="E349" t="str">
            <v>PB NON VIE</v>
          </cell>
          <cell r="F349" t="str">
            <v>A352010000</v>
          </cell>
          <cell r="G349" t="str">
            <v>Résultat</v>
          </cell>
        </row>
        <row r="350">
          <cell r="A350" t="str">
            <v>A635930000</v>
          </cell>
          <cell r="B350" t="str">
            <v>Util PB versée accpet NV</v>
          </cell>
          <cell r="C350" t="str">
            <v>PROVISION</v>
          </cell>
          <cell r="D350" t="str">
            <v>PB NON VIE</v>
          </cell>
          <cell r="E350" t="str">
            <v>PB NON VIE ACCEPTATION</v>
          </cell>
          <cell r="F350" t="str">
            <v>A355011000</v>
          </cell>
          <cell r="G350" t="str">
            <v>Résultat</v>
          </cell>
        </row>
        <row r="351">
          <cell r="A351" t="str">
            <v>A635303010</v>
          </cell>
          <cell r="B351" t="str">
            <v>Util PB versée accpet NV</v>
          </cell>
          <cell r="C351" t="str">
            <v>PROVISION</v>
          </cell>
          <cell r="D351" t="str">
            <v>PB NON VIE</v>
          </cell>
          <cell r="E351" t="str">
            <v>PB NON VIE ACCEPTATION</v>
          </cell>
          <cell r="F351" t="str">
            <v>A355011000</v>
          </cell>
          <cell r="G351" t="str">
            <v>Résultat</v>
          </cell>
        </row>
        <row r="352">
          <cell r="A352" t="str">
            <v>A700000000</v>
          </cell>
          <cell r="B352" t="str">
            <v>Primes Periodiques Vie</v>
          </cell>
          <cell r="C352" t="str">
            <v>CA</v>
          </cell>
          <cell r="D352" t="str">
            <v>Prime pure VIE</v>
          </cell>
          <cell r="G352" t="str">
            <v>Résultat</v>
          </cell>
        </row>
        <row r="353">
          <cell r="A353" t="str">
            <v>A700001000</v>
          </cell>
          <cell r="B353" t="str">
            <v>Primes Vie Coass Cnp Non Aperi</v>
          </cell>
          <cell r="C353" t="str">
            <v>CA</v>
          </cell>
          <cell r="D353" t="str">
            <v>Prime pure VIE</v>
          </cell>
          <cell r="G353" t="str">
            <v>Résultat</v>
          </cell>
        </row>
        <row r="354">
          <cell r="A354" t="str">
            <v>A700002000</v>
          </cell>
          <cell r="B354" t="str">
            <v>Primes Vie Coass Cnp Aperitric</v>
          </cell>
          <cell r="C354" t="str">
            <v>CA</v>
          </cell>
          <cell r="D354" t="str">
            <v>Prime pure VIE</v>
          </cell>
          <cell r="G354" t="str">
            <v>Résultat</v>
          </cell>
        </row>
        <row r="355">
          <cell r="A355" t="str">
            <v>A700007000</v>
          </cell>
          <cell r="B355" t="str">
            <v>Prime Garantie Plancher</v>
          </cell>
          <cell r="C355" t="str">
            <v>CA</v>
          </cell>
          <cell r="D355" t="str">
            <v>Prime pure VIE</v>
          </cell>
          <cell r="G355" t="str">
            <v>Résultat</v>
          </cell>
        </row>
        <row r="356">
          <cell r="A356" t="str">
            <v>A700010000</v>
          </cell>
          <cell r="B356" t="str">
            <v>Primes Souscript Issue Transf</v>
          </cell>
          <cell r="C356" t="str">
            <v>CA</v>
          </cell>
          <cell r="D356" t="str">
            <v>Prime pure VIE</v>
          </cell>
          <cell r="G356" t="str">
            <v>Résultat</v>
          </cell>
        </row>
        <row r="357">
          <cell r="A357" t="str">
            <v>A700011000</v>
          </cell>
          <cell r="B357" t="str">
            <v>Primes Versmt Libr Issu Transf</v>
          </cell>
          <cell r="C357" t="str">
            <v>CA</v>
          </cell>
          <cell r="D357" t="str">
            <v>Prime pure VIE</v>
          </cell>
          <cell r="G357" t="str">
            <v>Résultat</v>
          </cell>
        </row>
        <row r="358">
          <cell r="A358" t="str">
            <v>A700015000</v>
          </cell>
          <cell r="B358" t="str">
            <v>Sous Issue Pep</v>
          </cell>
          <cell r="C358" t="str">
            <v>CA</v>
          </cell>
          <cell r="D358" t="str">
            <v>Prime pure VIE</v>
          </cell>
          <cell r="G358" t="str">
            <v>Résultat</v>
          </cell>
        </row>
        <row r="359">
          <cell r="A359" t="str">
            <v>A700160000</v>
          </cell>
          <cell r="B359" t="str">
            <v>Chg Gestion Vie Prime Unique</v>
          </cell>
          <cell r="C359" t="str">
            <v>CA</v>
          </cell>
          <cell r="D359" t="str">
            <v>Prime pure VIE</v>
          </cell>
          <cell r="G359" t="str">
            <v>Résultat</v>
          </cell>
        </row>
        <row r="360">
          <cell r="A360" t="str">
            <v>A700170000</v>
          </cell>
          <cell r="B360" t="str">
            <v>Chg Acquisition Vie Prime Uniq</v>
          </cell>
          <cell r="C360" t="str">
            <v>CA</v>
          </cell>
          <cell r="D360" t="str">
            <v>Prime pure VIE</v>
          </cell>
          <cell r="G360" t="str">
            <v>Résultat</v>
          </cell>
        </row>
        <row r="361">
          <cell r="A361" t="str">
            <v>A700020000</v>
          </cell>
          <cell r="B361" t="str">
            <v>Primes Commerciale Periodiques</v>
          </cell>
          <cell r="C361" t="str">
            <v>CA</v>
          </cell>
          <cell r="D361" t="str">
            <v>Prime pure VIE</v>
          </cell>
          <cell r="G361" t="str">
            <v>Résultat</v>
          </cell>
        </row>
        <row r="362">
          <cell r="A362" t="str">
            <v>A700060000</v>
          </cell>
          <cell r="B362" t="str">
            <v>Chargement Gestion Vie</v>
          </cell>
          <cell r="C362" t="str">
            <v>CA</v>
          </cell>
          <cell r="D362" t="str">
            <v>Chargement VIE</v>
          </cell>
          <cell r="G362" t="str">
            <v>Résultat</v>
          </cell>
        </row>
        <row r="363">
          <cell r="A363" t="str">
            <v>A700060010</v>
          </cell>
          <cell r="B363" t="str">
            <v>Chargement Gestion Vie</v>
          </cell>
          <cell r="C363" t="str">
            <v>CA</v>
          </cell>
          <cell r="D363" t="str">
            <v>Chargement Flux IAS39</v>
          </cell>
          <cell r="G363" t="str">
            <v>Résultat</v>
          </cell>
        </row>
        <row r="364">
          <cell r="A364" t="str">
            <v>A700061000</v>
          </cell>
          <cell r="B364" t="str">
            <v>Chargmt Gest Vie Coas Cnp N Ap</v>
          </cell>
          <cell r="C364" t="str">
            <v>CA</v>
          </cell>
          <cell r="D364" t="str">
            <v>Chargement VIE</v>
          </cell>
          <cell r="G364" t="str">
            <v>Résultat</v>
          </cell>
        </row>
        <row r="365">
          <cell r="A365" t="str">
            <v>A700062000</v>
          </cell>
          <cell r="B365" t="str">
            <v>Chargmt Gest Vie Coas Cnp Aper</v>
          </cell>
          <cell r="C365" t="str">
            <v>CA</v>
          </cell>
          <cell r="D365" t="str">
            <v>Chargement VIE</v>
          </cell>
          <cell r="G365" t="str">
            <v>Résultat</v>
          </cell>
        </row>
        <row r="366">
          <cell r="A366" t="str">
            <v>A700070000</v>
          </cell>
          <cell r="B366" t="str">
            <v>Chargement Acquisition</v>
          </cell>
          <cell r="C366" t="str">
            <v>CA</v>
          </cell>
          <cell r="D366" t="str">
            <v>Chargement VIE</v>
          </cell>
          <cell r="G366" t="str">
            <v>Résultat</v>
          </cell>
        </row>
        <row r="367">
          <cell r="A367" t="str">
            <v>A700070010</v>
          </cell>
          <cell r="B367" t="str">
            <v>Chargement Acquisition</v>
          </cell>
          <cell r="C367" t="str">
            <v>CA</v>
          </cell>
          <cell r="D367" t="str">
            <v>Chargement Flux IAS39</v>
          </cell>
          <cell r="G367" t="str">
            <v>Résultat</v>
          </cell>
        </row>
        <row r="368">
          <cell r="A368" t="str">
            <v>A700071000</v>
          </cell>
          <cell r="B368" t="str">
            <v>Droits Entrée Uc</v>
          </cell>
          <cell r="C368" t="str">
            <v>CA</v>
          </cell>
          <cell r="D368" t="str">
            <v>Chargement VIE</v>
          </cell>
          <cell r="G368" t="str">
            <v>Résultat</v>
          </cell>
        </row>
        <row r="369">
          <cell r="A369" t="str">
            <v>A700100000</v>
          </cell>
          <cell r="B369" t="str">
            <v>Primes Uniques Vie</v>
          </cell>
          <cell r="C369" t="str">
            <v>CA</v>
          </cell>
          <cell r="D369" t="str">
            <v>Prime pure VIE</v>
          </cell>
          <cell r="G369" t="str">
            <v>Résultat</v>
          </cell>
        </row>
        <row r="370">
          <cell r="A370" t="str">
            <v>A700105000</v>
          </cell>
          <cell r="B370" t="str">
            <v>Primes Versement Libre</v>
          </cell>
          <cell r="C370" t="str">
            <v>CA</v>
          </cell>
          <cell r="D370" t="str">
            <v>Prime pure VIE</v>
          </cell>
          <cell r="G370" t="str">
            <v>Résultat</v>
          </cell>
        </row>
        <row r="371">
          <cell r="A371" t="str">
            <v>A700110000</v>
          </cell>
          <cell r="B371" t="str">
            <v>Primes Uniques Vie Issu Transf</v>
          </cell>
          <cell r="C371" t="str">
            <v>CA</v>
          </cell>
          <cell r="D371" t="str">
            <v>Prime pure VIE</v>
          </cell>
          <cell r="G371" t="str">
            <v>Résultat</v>
          </cell>
        </row>
        <row r="372">
          <cell r="A372" t="str">
            <v>A700130000</v>
          </cell>
          <cell r="B372" t="str">
            <v>Primes Commerciales Uniques</v>
          </cell>
          <cell r="C372" t="str">
            <v>CA</v>
          </cell>
          <cell r="D372" t="str">
            <v>Prime pure VIE</v>
          </cell>
          <cell r="G372" t="str">
            <v>Résultat</v>
          </cell>
        </row>
        <row r="373">
          <cell r="A373" t="str">
            <v>A700180000</v>
          </cell>
          <cell r="B373" t="str">
            <v>Entrees De Portefeuille Vie</v>
          </cell>
          <cell r="C373" t="str">
            <v>CA</v>
          </cell>
          <cell r="D373" t="str">
            <v>Prime pure VIE</v>
          </cell>
          <cell r="G373" t="str">
            <v>Résultat</v>
          </cell>
        </row>
        <row r="374">
          <cell r="A374" t="str">
            <v>A700200000</v>
          </cell>
          <cell r="B374" t="str">
            <v>Annul Primes Périodiques Vie</v>
          </cell>
          <cell r="C374" t="str">
            <v>CA</v>
          </cell>
          <cell r="D374" t="str">
            <v>Prime pure VIE</v>
          </cell>
          <cell r="G374" t="str">
            <v>Résultat</v>
          </cell>
        </row>
        <row r="375">
          <cell r="A375" t="str">
            <v>A700201000</v>
          </cell>
          <cell r="B375" t="str">
            <v>Annul Prime Souscrip Issu Trsf</v>
          </cell>
          <cell r="C375" t="str">
            <v>CA</v>
          </cell>
          <cell r="D375" t="str">
            <v>Prime pure VIE</v>
          </cell>
          <cell r="G375" t="str">
            <v>Résultat</v>
          </cell>
        </row>
        <row r="376">
          <cell r="A376" t="str">
            <v>A700205000</v>
          </cell>
          <cell r="B376" t="str">
            <v>Annul Sous Issue Pep Ext</v>
          </cell>
          <cell r="C376" t="str">
            <v>CA</v>
          </cell>
          <cell r="D376" t="str">
            <v>Prime pure VIE</v>
          </cell>
          <cell r="G376" t="str">
            <v>Résultat</v>
          </cell>
        </row>
        <row r="377">
          <cell r="A377" t="str">
            <v>A700210000</v>
          </cell>
          <cell r="B377" t="str">
            <v>Annul Primes Uniques Vie</v>
          </cell>
          <cell r="C377" t="str">
            <v>CA</v>
          </cell>
          <cell r="D377" t="str">
            <v>Prime pure VIE</v>
          </cell>
          <cell r="G377" t="str">
            <v>Résultat</v>
          </cell>
        </row>
        <row r="378">
          <cell r="A378" t="str">
            <v>A700211000</v>
          </cell>
          <cell r="B378" t="str">
            <v>Annul Prim Verst Libr Issu Trs</v>
          </cell>
          <cell r="C378" t="str">
            <v>CA</v>
          </cell>
          <cell r="D378" t="str">
            <v>Prime pure VIE</v>
          </cell>
          <cell r="G378" t="str">
            <v>Résultat</v>
          </cell>
        </row>
        <row r="379">
          <cell r="A379" t="str">
            <v>A700215000</v>
          </cell>
          <cell r="B379" t="str">
            <v>Annul Primes Versement Libre</v>
          </cell>
          <cell r="C379" t="str">
            <v>CA</v>
          </cell>
          <cell r="D379" t="str">
            <v>Prime pure VIE</v>
          </cell>
          <cell r="G379" t="str">
            <v>Résultat</v>
          </cell>
        </row>
        <row r="380">
          <cell r="A380" t="str">
            <v>A700220000</v>
          </cell>
          <cell r="B380" t="str">
            <v>Annul Prime Commerc Periodique</v>
          </cell>
          <cell r="C380" t="str">
            <v>CA</v>
          </cell>
          <cell r="D380" t="str">
            <v>Prime pure VIE</v>
          </cell>
          <cell r="G380" t="str">
            <v>Résultat</v>
          </cell>
        </row>
        <row r="381">
          <cell r="A381" t="str">
            <v>A700230000</v>
          </cell>
          <cell r="B381" t="str">
            <v>Annul Primes Commerc Uniques</v>
          </cell>
          <cell r="C381" t="str">
            <v>CA</v>
          </cell>
          <cell r="D381" t="str">
            <v>Prime pure VIE</v>
          </cell>
          <cell r="G381" t="str">
            <v>Résultat</v>
          </cell>
        </row>
        <row r="382">
          <cell r="A382" t="str">
            <v>A700260000</v>
          </cell>
          <cell r="B382" t="str">
            <v>Annul Chargements Gestion Vie</v>
          </cell>
          <cell r="C382" t="str">
            <v>CA</v>
          </cell>
          <cell r="D382" t="str">
            <v>Chargement VIE</v>
          </cell>
          <cell r="G382" t="str">
            <v>Résultat</v>
          </cell>
        </row>
        <row r="383">
          <cell r="A383" t="str">
            <v>A700260010</v>
          </cell>
          <cell r="B383" t="str">
            <v>Annul Chargements Gestion Vie</v>
          </cell>
          <cell r="C383" t="str">
            <v>CA</v>
          </cell>
          <cell r="D383" t="str">
            <v>Chargement Flux IAS39</v>
          </cell>
          <cell r="G383" t="str">
            <v>Résultat</v>
          </cell>
        </row>
        <row r="384">
          <cell r="A384" t="str">
            <v>A700262000</v>
          </cell>
          <cell r="B384" t="str">
            <v>Annulation Chgt Gest Vie Derog</v>
          </cell>
          <cell r="C384" t="str">
            <v>CA</v>
          </cell>
          <cell r="D384" t="str">
            <v>Chargement VIE</v>
          </cell>
          <cell r="G384" t="str">
            <v>Résultat</v>
          </cell>
        </row>
        <row r="385">
          <cell r="A385" t="str">
            <v>A700270000</v>
          </cell>
          <cell r="B385" t="str">
            <v>Annul Chargements Acquisitn</v>
          </cell>
          <cell r="C385" t="str">
            <v>CA</v>
          </cell>
          <cell r="D385" t="str">
            <v>Chargement VIE</v>
          </cell>
          <cell r="G385" t="str">
            <v>Résultat</v>
          </cell>
        </row>
        <row r="386">
          <cell r="A386" t="str">
            <v>A700270010</v>
          </cell>
          <cell r="B386" t="str">
            <v>Annul Chargements Acquisitn</v>
          </cell>
          <cell r="C386" t="str">
            <v>CA</v>
          </cell>
          <cell r="D386" t="str">
            <v>Chargement Flux IAS39</v>
          </cell>
          <cell r="G386" t="str">
            <v>Résultat</v>
          </cell>
        </row>
        <row r="387">
          <cell r="A387" t="str">
            <v>A700271000</v>
          </cell>
          <cell r="B387" t="str">
            <v>Annul Chargements Acquisit.Pu</v>
          </cell>
          <cell r="C387" t="str">
            <v>CA</v>
          </cell>
          <cell r="D387" t="str">
            <v>Chargement VIE</v>
          </cell>
          <cell r="G387" t="str">
            <v>Résultat</v>
          </cell>
        </row>
        <row r="388">
          <cell r="A388" t="str">
            <v>A700400000</v>
          </cell>
          <cell r="B388" t="str">
            <v>Constatation Pane Primes Pures</v>
          </cell>
          <cell r="C388" t="str">
            <v>CA</v>
          </cell>
          <cell r="D388" t="str">
            <v>Prime pure VIE</v>
          </cell>
          <cell r="G388" t="str">
            <v>Résultat</v>
          </cell>
        </row>
        <row r="389">
          <cell r="A389" t="str">
            <v>A700401000</v>
          </cell>
          <cell r="B389" t="str">
            <v>Pane Primes Pures Pc</v>
          </cell>
          <cell r="C389" t="str">
            <v>CA</v>
          </cell>
          <cell r="D389" t="str">
            <v>Prime pure VIE</v>
          </cell>
          <cell r="G389" t="str">
            <v>Résultat</v>
          </cell>
        </row>
        <row r="390">
          <cell r="A390" t="str">
            <v>A700402000</v>
          </cell>
          <cell r="B390" t="str">
            <v>Part Cnp Panes Primes Pures</v>
          </cell>
          <cell r="C390" t="str">
            <v>CA</v>
          </cell>
          <cell r="D390" t="str">
            <v>Prime pure VIE</v>
          </cell>
          <cell r="G390" t="str">
            <v>Résultat</v>
          </cell>
        </row>
        <row r="391">
          <cell r="A391" t="str">
            <v>A700406000</v>
          </cell>
          <cell r="B391" t="str">
            <v>Constatation Pane Chargt Gesti</v>
          </cell>
          <cell r="C391" t="str">
            <v>CA</v>
          </cell>
          <cell r="D391" t="str">
            <v>Chargement VIE</v>
          </cell>
          <cell r="G391" t="str">
            <v>Résultat</v>
          </cell>
        </row>
        <row r="392">
          <cell r="A392" t="str">
            <v>A700406010</v>
          </cell>
          <cell r="B392" t="str">
            <v>Constatation Pane Chargt Gesti</v>
          </cell>
          <cell r="C392" t="str">
            <v>CA</v>
          </cell>
          <cell r="D392" t="str">
            <v>Chargement Flux IAS39</v>
          </cell>
          <cell r="G392" t="str">
            <v>Résultat</v>
          </cell>
        </row>
        <row r="393">
          <cell r="A393" t="str">
            <v>A700407000</v>
          </cell>
          <cell r="B393" t="str">
            <v>Constatation Pane Chargt Acqui</v>
          </cell>
          <cell r="C393" t="str">
            <v>CA</v>
          </cell>
          <cell r="D393" t="str">
            <v>Chargement VIE</v>
          </cell>
          <cell r="G393" t="str">
            <v>Résultat</v>
          </cell>
        </row>
        <row r="394">
          <cell r="A394" t="str">
            <v>A700416000</v>
          </cell>
          <cell r="B394" t="str">
            <v>Pane Chargt Gestion Pc</v>
          </cell>
          <cell r="C394" t="str">
            <v>CA</v>
          </cell>
          <cell r="D394" t="str">
            <v>Chargement VIE</v>
          </cell>
          <cell r="G394" t="str">
            <v>Résultat</v>
          </cell>
        </row>
        <row r="395">
          <cell r="A395" t="str">
            <v>A700416010</v>
          </cell>
          <cell r="B395" t="str">
            <v>Pane Chargt Gestion Pc</v>
          </cell>
          <cell r="C395" t="str">
            <v>CA</v>
          </cell>
          <cell r="D395" t="str">
            <v>Chargement Flux IAS39</v>
          </cell>
          <cell r="G395" t="str">
            <v>Résultat</v>
          </cell>
        </row>
        <row r="396">
          <cell r="A396" t="str">
            <v>A700417000</v>
          </cell>
          <cell r="B396" t="str">
            <v>Pane Chargt Acquisition Pc</v>
          </cell>
          <cell r="C396" t="str">
            <v>CA</v>
          </cell>
          <cell r="D396" t="str">
            <v>Chargement VIE</v>
          </cell>
          <cell r="G396" t="str">
            <v>Résultat</v>
          </cell>
        </row>
        <row r="397">
          <cell r="A397" t="str">
            <v>A700417010</v>
          </cell>
          <cell r="B397" t="str">
            <v>Pane Chargt Acquisition Pc</v>
          </cell>
          <cell r="C397" t="str">
            <v>CA</v>
          </cell>
          <cell r="D397" t="str">
            <v>Chargement Flux IAS39</v>
          </cell>
          <cell r="G397" t="str">
            <v>Résultat</v>
          </cell>
        </row>
        <row r="398">
          <cell r="A398" t="str">
            <v>A700422000</v>
          </cell>
          <cell r="B398" t="str">
            <v>Part Cnp Panes Chargement Gest</v>
          </cell>
          <cell r="C398" t="str">
            <v>CA</v>
          </cell>
          <cell r="D398" t="str">
            <v>Chargement VIE</v>
          </cell>
          <cell r="G398" t="str">
            <v>Résultat</v>
          </cell>
        </row>
        <row r="399">
          <cell r="A399" t="str">
            <v>A700450000</v>
          </cell>
          <cell r="B399" t="str">
            <v>Reprise Pane Primes Pures</v>
          </cell>
          <cell r="C399" t="str">
            <v>CA</v>
          </cell>
          <cell r="D399" t="str">
            <v>Prime pure VIE</v>
          </cell>
          <cell r="G399" t="str">
            <v>Résultat</v>
          </cell>
        </row>
        <row r="400">
          <cell r="A400" t="str">
            <v>A700451000</v>
          </cell>
          <cell r="B400" t="str">
            <v>Reprise Pane Primes Pures Pc</v>
          </cell>
          <cell r="C400" t="str">
            <v>CA</v>
          </cell>
          <cell r="D400" t="str">
            <v>Prime pure VIE</v>
          </cell>
          <cell r="G400" t="str">
            <v>Résultat</v>
          </cell>
        </row>
        <row r="401">
          <cell r="A401" t="str">
            <v>A700452000</v>
          </cell>
          <cell r="B401" t="str">
            <v>Rep Pane Primes Pures Coa Apér</v>
          </cell>
          <cell r="C401" t="str">
            <v>CA</v>
          </cell>
          <cell r="D401" t="str">
            <v>Prime pure VIE</v>
          </cell>
          <cell r="G401" t="str">
            <v>Résultat</v>
          </cell>
        </row>
        <row r="402">
          <cell r="A402" t="str">
            <v>A700456000</v>
          </cell>
          <cell r="B402" t="str">
            <v>Reprise Pane Chargt Gestion</v>
          </cell>
          <cell r="C402" t="str">
            <v>CA</v>
          </cell>
          <cell r="D402" t="str">
            <v>Chargement VIE</v>
          </cell>
          <cell r="G402" t="str">
            <v>Résultat</v>
          </cell>
        </row>
        <row r="403">
          <cell r="A403" t="str">
            <v>A700456010</v>
          </cell>
          <cell r="B403" t="str">
            <v>Reprise Pane Chargt Gestion</v>
          </cell>
          <cell r="C403" t="str">
            <v>CA</v>
          </cell>
          <cell r="D403" t="str">
            <v>Chargement Flux IAS39</v>
          </cell>
          <cell r="G403" t="str">
            <v>Résultat</v>
          </cell>
        </row>
        <row r="404">
          <cell r="A404" t="str">
            <v>A700457000</v>
          </cell>
          <cell r="B404" t="str">
            <v>Reprise Pane Chargt Acquisitio</v>
          </cell>
          <cell r="C404" t="str">
            <v>CA</v>
          </cell>
          <cell r="D404" t="str">
            <v>Chargement VIE</v>
          </cell>
          <cell r="G404" t="str">
            <v>Résultat</v>
          </cell>
        </row>
        <row r="405">
          <cell r="A405" t="str">
            <v>A700457010</v>
          </cell>
          <cell r="B405" t="str">
            <v>Reprise Pane Chargt Acquisitio</v>
          </cell>
          <cell r="C405" t="str">
            <v>CA</v>
          </cell>
          <cell r="D405" t="str">
            <v>Chargement Flux IAS39</v>
          </cell>
          <cell r="G405" t="str">
            <v>Résultat</v>
          </cell>
        </row>
        <row r="406">
          <cell r="A406" t="str">
            <v>A700458000</v>
          </cell>
          <cell r="B406" t="str">
            <v>Reprise Pane Chargement Gestio</v>
          </cell>
          <cell r="C406" t="str">
            <v>CA</v>
          </cell>
          <cell r="D406" t="str">
            <v>Chargement VIE</v>
          </cell>
          <cell r="G406" t="str">
            <v>Résultat</v>
          </cell>
        </row>
        <row r="407">
          <cell r="A407" t="str">
            <v>A700466000</v>
          </cell>
          <cell r="B407" t="str">
            <v>Reprise Pane Gestion Pc</v>
          </cell>
          <cell r="C407" t="str">
            <v>CA</v>
          </cell>
          <cell r="D407" t="str">
            <v>Chargement VIE</v>
          </cell>
          <cell r="G407" t="str">
            <v>Résultat</v>
          </cell>
        </row>
        <row r="408">
          <cell r="A408" t="str">
            <v>A700477000</v>
          </cell>
          <cell r="B408" t="str">
            <v>Reprise Pane Acquisitio Pc</v>
          </cell>
          <cell r="C408" t="str">
            <v>CA</v>
          </cell>
          <cell r="D408" t="str">
            <v>Chargement VIE</v>
          </cell>
          <cell r="G408" t="str">
            <v>Résultat</v>
          </cell>
        </row>
        <row r="409">
          <cell r="A409" t="str">
            <v>A700900000</v>
          </cell>
          <cell r="B409" t="str">
            <v>Prime Vie Régularisation</v>
          </cell>
          <cell r="C409" t="str">
            <v>CA</v>
          </cell>
          <cell r="D409" t="str">
            <v>Prime pure VIE</v>
          </cell>
          <cell r="G409" t="str">
            <v>Résultat</v>
          </cell>
        </row>
        <row r="410">
          <cell r="A410" t="str">
            <v>A702000000</v>
          </cell>
          <cell r="B410" t="str">
            <v>Primes Emises N V</v>
          </cell>
          <cell r="C410" t="str">
            <v>CA</v>
          </cell>
          <cell r="D410" t="str">
            <v>Prime pure NON-VIE</v>
          </cell>
          <cell r="G410" t="str">
            <v>Résultat</v>
          </cell>
        </row>
        <row r="411">
          <cell r="A411" t="str">
            <v>A702000880</v>
          </cell>
          <cell r="B411" t="str">
            <v>Gespre Primes Non Vie</v>
          </cell>
          <cell r="C411" t="str">
            <v>CA</v>
          </cell>
          <cell r="D411" t="str">
            <v>Prime pure NON-VIE</v>
          </cell>
          <cell r="G411" t="str">
            <v>Résultat</v>
          </cell>
        </row>
        <row r="412">
          <cell r="A412" t="str">
            <v>A702001000</v>
          </cell>
          <cell r="B412" t="str">
            <v>Primes N V Coass Cnp Non Aper</v>
          </cell>
          <cell r="C412" t="str">
            <v>CA</v>
          </cell>
          <cell r="D412" t="str">
            <v>Prime pure NON-VIE</v>
          </cell>
          <cell r="G412" t="str">
            <v>Résultat</v>
          </cell>
        </row>
        <row r="413">
          <cell r="A413" t="str">
            <v>A702001880</v>
          </cell>
          <cell r="B413" t="str">
            <v>Gespre Primes Ant¿Rieures</v>
          </cell>
          <cell r="C413" t="str">
            <v>CA</v>
          </cell>
          <cell r="D413" t="str">
            <v>Prime pure NON-VIE</v>
          </cell>
          <cell r="G413" t="str">
            <v>Résultat</v>
          </cell>
        </row>
        <row r="414">
          <cell r="A414" t="str">
            <v>A702002000</v>
          </cell>
          <cell r="B414" t="str">
            <v>Primes N V Coass Cnp Aper</v>
          </cell>
          <cell r="C414" t="str">
            <v>CA</v>
          </cell>
          <cell r="D414" t="str">
            <v>Prime pure NON-VIE</v>
          </cell>
          <cell r="G414" t="str">
            <v>Résultat</v>
          </cell>
        </row>
        <row r="415">
          <cell r="A415" t="str">
            <v>A702060000</v>
          </cell>
          <cell r="B415" t="str">
            <v>Chargements Gestion N V</v>
          </cell>
          <cell r="C415" t="str">
            <v>CA</v>
          </cell>
          <cell r="D415" t="str">
            <v>Chargement NON-VIE</v>
          </cell>
          <cell r="G415" t="str">
            <v>Résultat</v>
          </cell>
        </row>
        <row r="416">
          <cell r="A416" t="str">
            <v>A702060880</v>
          </cell>
          <cell r="B416" t="str">
            <v>Gespre Chargement De Gestion</v>
          </cell>
          <cell r="C416" t="str">
            <v>CA</v>
          </cell>
          <cell r="D416" t="str">
            <v>Chargement NON-VIE</v>
          </cell>
          <cell r="G416" t="str">
            <v>Résultat</v>
          </cell>
        </row>
        <row r="417">
          <cell r="A417" t="str">
            <v>A702061000</v>
          </cell>
          <cell r="B417" t="str">
            <v>Chargt Gest N V Coas Cnp N Ap</v>
          </cell>
          <cell r="C417" t="str">
            <v>CA</v>
          </cell>
          <cell r="D417" t="str">
            <v>Chargement NON-VIE</v>
          </cell>
          <cell r="G417" t="str">
            <v>Résultat</v>
          </cell>
        </row>
        <row r="418">
          <cell r="A418" t="str">
            <v>A702062000</v>
          </cell>
          <cell r="B418" t="str">
            <v>Chargmnt Gest N V Coass Cnp Ap</v>
          </cell>
          <cell r="C418" t="str">
            <v>CA</v>
          </cell>
          <cell r="D418" t="str">
            <v>Chargement NON-VIE</v>
          </cell>
          <cell r="G418" t="str">
            <v>Résultat</v>
          </cell>
        </row>
        <row r="419">
          <cell r="A419" t="str">
            <v>A702070000</v>
          </cell>
          <cell r="B419" t="str">
            <v>Chargement Acquisition N V</v>
          </cell>
          <cell r="C419" t="str">
            <v>CA</v>
          </cell>
          <cell r="D419" t="str">
            <v>Chargement NON-VIE</v>
          </cell>
          <cell r="G419" t="str">
            <v>Résultat</v>
          </cell>
        </row>
        <row r="420">
          <cell r="A420" t="str">
            <v>A702070880</v>
          </cell>
          <cell r="B420" t="str">
            <v>Gespre Chargement D'Acquisitio</v>
          </cell>
          <cell r="C420" t="str">
            <v>CA</v>
          </cell>
          <cell r="D420" t="str">
            <v>Chargement NON-VIE</v>
          </cell>
          <cell r="G420" t="str">
            <v>Résultat</v>
          </cell>
        </row>
        <row r="421">
          <cell r="A421" t="str">
            <v>A702080000</v>
          </cell>
          <cell r="B421" t="str">
            <v>Entrees De Portefeuille N V</v>
          </cell>
          <cell r="C421" t="str">
            <v>CA</v>
          </cell>
          <cell r="D421" t="str">
            <v>Chargement NON-VIE</v>
          </cell>
          <cell r="G421" t="str">
            <v>Résultat</v>
          </cell>
        </row>
        <row r="422">
          <cell r="A422" t="str">
            <v>A702090000</v>
          </cell>
          <cell r="B422" t="str">
            <v>Chargement Acq Gest Iard</v>
          </cell>
          <cell r="C422" t="str">
            <v>CA</v>
          </cell>
          <cell r="D422" t="str">
            <v>Chargement NON-VIE</v>
          </cell>
          <cell r="G422" t="str">
            <v>Résultat</v>
          </cell>
        </row>
        <row r="423">
          <cell r="A423" t="str">
            <v>A702200000</v>
          </cell>
          <cell r="B423" t="str">
            <v>Annul Primes N V</v>
          </cell>
          <cell r="C423" t="str">
            <v>CA</v>
          </cell>
          <cell r="D423" t="str">
            <v>Prime pure NON-VIE</v>
          </cell>
          <cell r="G423" t="str">
            <v>Résultat</v>
          </cell>
        </row>
        <row r="424">
          <cell r="A424" t="str">
            <v>A702200880</v>
          </cell>
          <cell r="B424" t="str">
            <v>Gespre Annul Primes Non Vie</v>
          </cell>
          <cell r="C424" t="str">
            <v>CA</v>
          </cell>
          <cell r="D424" t="str">
            <v>Prime pure NON-VIE</v>
          </cell>
          <cell r="G424" t="str">
            <v>Résultat</v>
          </cell>
        </row>
        <row r="425">
          <cell r="A425" t="str">
            <v>A702201880</v>
          </cell>
          <cell r="B425" t="str">
            <v>Gespre Annul Primes Antérieure</v>
          </cell>
          <cell r="C425" t="str">
            <v>CA</v>
          </cell>
          <cell r="D425" t="str">
            <v>Prime pure NON-VIE</v>
          </cell>
          <cell r="G425" t="str">
            <v>Résultat</v>
          </cell>
        </row>
        <row r="426">
          <cell r="A426" t="str">
            <v>A702260000</v>
          </cell>
          <cell r="B426" t="str">
            <v>Annul Chgt Gestion N V</v>
          </cell>
          <cell r="C426" t="str">
            <v>CA</v>
          </cell>
          <cell r="D426" t="str">
            <v>Chargement NON-VIE</v>
          </cell>
          <cell r="G426" t="str">
            <v>Résultat</v>
          </cell>
        </row>
        <row r="427">
          <cell r="A427" t="str">
            <v>A702270000</v>
          </cell>
          <cell r="B427" t="str">
            <v>Annul Chgt Acquisitn Non Vie</v>
          </cell>
          <cell r="C427" t="str">
            <v>CA</v>
          </cell>
          <cell r="D427" t="str">
            <v>Chargement NON-VIE</v>
          </cell>
          <cell r="G427" t="str">
            <v>Résultat</v>
          </cell>
        </row>
        <row r="428">
          <cell r="A428" t="str">
            <v>A702500000</v>
          </cell>
          <cell r="B428" t="str">
            <v>Pane Primes Pures N V</v>
          </cell>
          <cell r="C428" t="str">
            <v>CA</v>
          </cell>
          <cell r="D428" t="str">
            <v>Prime pure NON-VIE</v>
          </cell>
          <cell r="G428" t="str">
            <v>Résultat</v>
          </cell>
        </row>
        <row r="429">
          <cell r="A429" t="str">
            <v>A702502000</v>
          </cell>
          <cell r="B429" t="str">
            <v>Part Cnp Pane Prime Pures</v>
          </cell>
          <cell r="C429" t="str">
            <v>CA</v>
          </cell>
          <cell r="D429" t="str">
            <v>Prime pure NON-VIE</v>
          </cell>
          <cell r="G429" t="str">
            <v>Résultat</v>
          </cell>
        </row>
        <row r="430">
          <cell r="A430" t="str">
            <v>A702506000</v>
          </cell>
          <cell r="B430" t="str">
            <v>Pane Chargement Gestion N V</v>
          </cell>
          <cell r="C430" t="str">
            <v>CA</v>
          </cell>
          <cell r="D430" t="str">
            <v>Chargement NON-VIE</v>
          </cell>
          <cell r="G430" t="str">
            <v>Résultat</v>
          </cell>
        </row>
        <row r="431">
          <cell r="A431" t="str">
            <v>A702522000</v>
          </cell>
          <cell r="B431" t="str">
            <v>Part Cnp Pane Chargement Gesti</v>
          </cell>
          <cell r="C431" t="str">
            <v>CA</v>
          </cell>
          <cell r="D431" t="str">
            <v>Chargement NON-VIE</v>
          </cell>
          <cell r="G431" t="str">
            <v>Résultat</v>
          </cell>
        </row>
        <row r="432">
          <cell r="A432" t="str">
            <v>A702550000</v>
          </cell>
          <cell r="B432" t="str">
            <v>Extourne Panes P Pures N V</v>
          </cell>
          <cell r="C432" t="str">
            <v>CA</v>
          </cell>
          <cell r="D432" t="str">
            <v>Prime pure NON-VIE</v>
          </cell>
          <cell r="G432" t="str">
            <v>Résultat</v>
          </cell>
        </row>
        <row r="433">
          <cell r="A433" t="str">
            <v>A702552000</v>
          </cell>
          <cell r="B433" t="str">
            <v>Reprise Pane Primes Pures Coas</v>
          </cell>
          <cell r="C433" t="str">
            <v>CA</v>
          </cell>
          <cell r="D433" t="str">
            <v>Prime pure NON-VIE</v>
          </cell>
          <cell r="G433" t="str">
            <v>Résultat</v>
          </cell>
        </row>
        <row r="434">
          <cell r="A434" t="str">
            <v>A702556000</v>
          </cell>
          <cell r="B434" t="str">
            <v>Extourn Panes Chargt Gest N V</v>
          </cell>
          <cell r="C434" t="str">
            <v>CA</v>
          </cell>
          <cell r="D434" t="str">
            <v>Chargement NON-VIE</v>
          </cell>
          <cell r="G434" t="str">
            <v>Résultat</v>
          </cell>
        </row>
        <row r="435">
          <cell r="A435" t="str">
            <v>A702557000</v>
          </cell>
          <cell r="B435" t="str">
            <v>Extourne Pane Chargement A Iam</v>
          </cell>
          <cell r="C435" t="str">
            <v>CA</v>
          </cell>
          <cell r="D435" t="str">
            <v>Chargement NON-VIE</v>
          </cell>
          <cell r="G435" t="str">
            <v>Résultat</v>
          </cell>
        </row>
        <row r="436">
          <cell r="A436" t="str">
            <v>A702900000</v>
          </cell>
          <cell r="B436" t="str">
            <v>Prime Non Vie Régularisation</v>
          </cell>
          <cell r="C436" t="str">
            <v>CA</v>
          </cell>
          <cell r="D436" t="str">
            <v>Prime pure NON-VIE</v>
          </cell>
          <cell r="G436" t="str">
            <v>Résultat</v>
          </cell>
        </row>
        <row r="437">
          <cell r="A437" t="str">
            <v>A704010000</v>
          </cell>
          <cell r="B437" t="str">
            <v>Primes Cnpa</v>
          </cell>
          <cell r="C437" t="str">
            <v>CA</v>
          </cell>
          <cell r="D437" t="str">
            <v>Prime pure VIE</v>
          </cell>
          <cell r="G437" t="str">
            <v>Résultat</v>
          </cell>
        </row>
        <row r="438">
          <cell r="A438" t="str">
            <v>A704012000</v>
          </cell>
          <cell r="B438" t="str">
            <v>Primes Carivita</v>
          </cell>
          <cell r="C438" t="str">
            <v>CA</v>
          </cell>
          <cell r="D438" t="str">
            <v>Prime pure VIE</v>
          </cell>
          <cell r="G438" t="str">
            <v>Résultat</v>
          </cell>
        </row>
        <row r="439">
          <cell r="A439" t="str">
            <v>A704020000</v>
          </cell>
          <cell r="B439" t="str">
            <v>Primes Acceptations</v>
          </cell>
          <cell r="C439" t="str">
            <v>CA</v>
          </cell>
          <cell r="D439" t="str">
            <v>Prime pure VIE</v>
          </cell>
          <cell r="G439" t="str">
            <v>Résultat</v>
          </cell>
        </row>
        <row r="440">
          <cell r="A440" t="str">
            <v>A704020010</v>
          </cell>
          <cell r="B440" t="str">
            <v>Primes Acceptations</v>
          </cell>
          <cell r="C440" t="str">
            <v>CA</v>
          </cell>
          <cell r="D440" t="str">
            <v>Prime pure VIE</v>
          </cell>
          <cell r="G440" t="str">
            <v>Résultat</v>
          </cell>
        </row>
        <row r="441">
          <cell r="A441" t="str">
            <v>A704060000</v>
          </cell>
          <cell r="B441" t="str">
            <v>Chargements Acceptations</v>
          </cell>
          <cell r="C441" t="str">
            <v>CA</v>
          </cell>
          <cell r="D441" t="str">
            <v>Chargement VIE</v>
          </cell>
          <cell r="G441" t="str">
            <v>Résultat</v>
          </cell>
        </row>
        <row r="442">
          <cell r="A442" t="str">
            <v>A704400000</v>
          </cell>
          <cell r="B442" t="str">
            <v>Pane Prime Pure Acceptat Vie</v>
          </cell>
          <cell r="C442" t="str">
            <v>CA</v>
          </cell>
          <cell r="D442" t="str">
            <v>Prime pure VIE</v>
          </cell>
          <cell r="G442" t="str">
            <v>Résultat</v>
          </cell>
        </row>
        <row r="443">
          <cell r="A443" t="str">
            <v>A704406000</v>
          </cell>
          <cell r="B443" t="str">
            <v>Pane Chargements Acceptat Vie</v>
          </cell>
          <cell r="C443" t="str">
            <v>CA</v>
          </cell>
          <cell r="D443" t="str">
            <v>Chargement VIE</v>
          </cell>
          <cell r="G443" t="str">
            <v>Résultat</v>
          </cell>
        </row>
        <row r="444">
          <cell r="A444" t="str">
            <v>A704450000</v>
          </cell>
          <cell r="B444" t="str">
            <v>Ext Pane Prime Pure Accept Vie</v>
          </cell>
          <cell r="C444" t="str">
            <v>CA</v>
          </cell>
          <cell r="D444" t="str">
            <v>Prime pure VIE</v>
          </cell>
          <cell r="G444" t="str">
            <v>Résultat</v>
          </cell>
        </row>
        <row r="445">
          <cell r="A445" t="str">
            <v>A704456000</v>
          </cell>
          <cell r="B445" t="str">
            <v>Ext Pane Chargemnt  Accept Vie</v>
          </cell>
          <cell r="C445" t="str">
            <v>CA</v>
          </cell>
          <cell r="D445" t="str">
            <v>Chargement VIE</v>
          </cell>
          <cell r="G445" t="str">
            <v>Résultat</v>
          </cell>
        </row>
        <row r="446">
          <cell r="A446" t="str">
            <v>A705020000</v>
          </cell>
          <cell r="B446" t="str">
            <v>Primes Acceptationsn V</v>
          </cell>
          <cell r="C446" t="str">
            <v>CA</v>
          </cell>
          <cell r="D446" t="str">
            <v>Prime pure NON-VIE</v>
          </cell>
          <cell r="G446" t="str">
            <v>Résultat</v>
          </cell>
        </row>
        <row r="447">
          <cell r="A447" t="str">
            <v>A705020010</v>
          </cell>
          <cell r="B447" t="str">
            <v>Primes Acceptationsn V</v>
          </cell>
          <cell r="C447" t="str">
            <v>CA</v>
          </cell>
          <cell r="D447" t="str">
            <v>Prime pure NON-VIE</v>
          </cell>
          <cell r="G447" t="str">
            <v>Résultat</v>
          </cell>
        </row>
        <row r="448">
          <cell r="A448" t="str">
            <v>A705060000</v>
          </cell>
          <cell r="B448" t="str">
            <v>Chargements Acceptations N V</v>
          </cell>
          <cell r="C448" t="str">
            <v>CA</v>
          </cell>
          <cell r="D448" t="str">
            <v>Chargement NON-VIE</v>
          </cell>
          <cell r="G448" t="str">
            <v>Résultat</v>
          </cell>
        </row>
        <row r="449">
          <cell r="A449" t="str">
            <v>A705080000</v>
          </cell>
          <cell r="B449" t="str">
            <v>Entrees De Portefeuil N V Reas</v>
          </cell>
          <cell r="C449" t="str">
            <v>CA</v>
          </cell>
          <cell r="D449" t="str">
            <v>Prime pure NON-VIE</v>
          </cell>
          <cell r="G449" t="str">
            <v>Résultat</v>
          </cell>
        </row>
        <row r="450">
          <cell r="A450" t="str">
            <v>A705500000</v>
          </cell>
          <cell r="B450" t="str">
            <v>Pane Primes Pures Accept N V</v>
          </cell>
          <cell r="C450" t="str">
            <v>CA</v>
          </cell>
          <cell r="D450" t="str">
            <v>Prime pure NON-VIE</v>
          </cell>
          <cell r="G450" t="str">
            <v>Résultat</v>
          </cell>
        </row>
        <row r="451">
          <cell r="A451" t="str">
            <v>A705506000</v>
          </cell>
          <cell r="B451" t="str">
            <v>Pane Chargement Gestion N V</v>
          </cell>
          <cell r="C451" t="str">
            <v>CA</v>
          </cell>
          <cell r="D451" t="str">
            <v>Chargement NON-VIE</v>
          </cell>
          <cell r="G451" t="str">
            <v>Résultat</v>
          </cell>
        </row>
        <row r="452">
          <cell r="A452" t="str">
            <v>A705550000</v>
          </cell>
          <cell r="B452" t="str">
            <v>Ext Pane P Acceptation N V</v>
          </cell>
          <cell r="C452" t="str">
            <v>CA</v>
          </cell>
          <cell r="D452" t="str">
            <v>Prime pure NON-VIE</v>
          </cell>
          <cell r="G452" t="str">
            <v>Résultat</v>
          </cell>
        </row>
        <row r="453">
          <cell r="A453" t="str">
            <v>A705556000</v>
          </cell>
          <cell r="B453" t="str">
            <v>Ext Pane Chargmnt Acceptat N V</v>
          </cell>
          <cell r="C453" t="str">
            <v>CA</v>
          </cell>
          <cell r="D453" t="str">
            <v>Chargement NON-VIE</v>
          </cell>
          <cell r="G453" t="str">
            <v>Résultat</v>
          </cell>
        </row>
        <row r="454">
          <cell r="A454" t="str">
            <v>A709200000</v>
          </cell>
          <cell r="B454" t="str">
            <v>Dotation Prov Emises Non Acqui</v>
          </cell>
          <cell r="C454" t="str">
            <v>CA</v>
          </cell>
          <cell r="D454" t="str">
            <v>Prime pure NON-VIE</v>
          </cell>
          <cell r="G454" t="str">
            <v>Résultat</v>
          </cell>
        </row>
        <row r="455">
          <cell r="A455" t="str">
            <v>A709202000</v>
          </cell>
          <cell r="B455" t="str">
            <v>Coass Dotation Pena Iam</v>
          </cell>
          <cell r="C455" t="str">
            <v>CA</v>
          </cell>
          <cell r="D455" t="str">
            <v>Prime pure NON-VIE</v>
          </cell>
          <cell r="G455" t="str">
            <v>Résultat</v>
          </cell>
        </row>
        <row r="456">
          <cell r="A456" t="str">
            <v>A709250000</v>
          </cell>
          <cell r="B456" t="str">
            <v>Reprise Prov Risque En Cours</v>
          </cell>
          <cell r="C456" t="str">
            <v>CA</v>
          </cell>
          <cell r="D456" t="str">
            <v>Prime pure NON-VIE</v>
          </cell>
          <cell r="G456" t="str">
            <v>Résultat</v>
          </cell>
        </row>
        <row r="457">
          <cell r="A457" t="str">
            <v>A709252000</v>
          </cell>
          <cell r="B457" t="str">
            <v>Coass Reprise Pena Iam</v>
          </cell>
          <cell r="C457" t="str">
            <v>CA</v>
          </cell>
          <cell r="D457" t="str">
            <v>Prime pure NON-VIE</v>
          </cell>
          <cell r="G457" t="str">
            <v>Résultat</v>
          </cell>
        </row>
        <row r="458">
          <cell r="A458" t="str">
            <v>A70000001X</v>
          </cell>
          <cell r="B458" t="str">
            <v>Reclassement CONSO</v>
          </cell>
          <cell r="C458" t="str">
            <v>CA</v>
          </cell>
          <cell r="D458" t="str">
            <v>Prime pure VIE</v>
          </cell>
          <cell r="G458" t="str">
            <v>Résultat</v>
          </cell>
        </row>
        <row r="459">
          <cell r="A459" t="str">
            <v>A704020000</v>
          </cell>
          <cell r="B459" t="str">
            <v>Reclassement CONSO</v>
          </cell>
          <cell r="C459" t="str">
            <v>CA</v>
          </cell>
          <cell r="D459" t="str">
            <v>Prime pure VIE</v>
          </cell>
          <cell r="G459" t="str">
            <v>Résultat</v>
          </cell>
        </row>
        <row r="460">
          <cell r="A460" t="str">
            <v>A704060000</v>
          </cell>
          <cell r="B460" t="str">
            <v>Reclassement CONSO</v>
          </cell>
          <cell r="C460" t="str">
            <v>CA</v>
          </cell>
          <cell r="D460" t="str">
            <v>Prime pure VIE</v>
          </cell>
          <cell r="G460" t="str">
            <v>Résultat</v>
          </cell>
        </row>
        <row r="461">
          <cell r="A461" t="str">
            <v>A70200001X</v>
          </cell>
          <cell r="B461" t="str">
            <v>Reclassement CONSO</v>
          </cell>
          <cell r="C461" t="str">
            <v>CA</v>
          </cell>
          <cell r="D461" t="str">
            <v>Prime pure VIE</v>
          </cell>
          <cell r="G461" t="str">
            <v>Résultat</v>
          </cell>
        </row>
      </sheetData>
      <sheetData sheetId="2" refreshError="1">
        <row r="1">
          <cell r="J1" t="str">
            <v>EXERCICE</v>
          </cell>
          <cell r="K1" t="str">
            <v>MEGA_ENTITE</v>
          </cell>
          <cell r="L1" t="str">
            <v>COMPTE_ASSOCIE</v>
          </cell>
          <cell r="M1" t="str">
            <v>Nom_COMPTE_ASSOCIE</v>
          </cell>
          <cell r="N1" t="str">
            <v>PRODUIT_Cnp</v>
          </cell>
          <cell r="O1" t="str">
            <v>Nom_PRODUIT</v>
          </cell>
          <cell r="P1" t="str">
            <v>TARIF_Cnp</v>
          </cell>
          <cell r="Q1" t="str">
            <v>ETAT_Cnp</v>
          </cell>
          <cell r="R1" t="str">
            <v>Solde_N_12_BASE__R_P_</v>
          </cell>
        </row>
        <row r="2">
          <cell r="J2">
            <v>2004</v>
          </cell>
          <cell r="K2" t="str">
            <v>A120</v>
          </cell>
          <cell r="L2" t="str">
            <v>A300000000</v>
          </cell>
          <cell r="M2" t="str">
            <v>Provision Risques Croissants</v>
          </cell>
        </row>
      </sheetData>
      <sheetData sheetId="3" refreshError="1"/>
    </sheetDataSet>
  </externalBook>
</externalLink>
</file>

<file path=xl/externalLinks/externalLink1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ANNEXE 1"/>
      <sheetName val="ANNEXE 2"/>
      <sheetName val="ANNEXE 3"/>
      <sheetName val="ANNEXE 4"/>
      <sheetName val="ANNEXE 5"/>
      <sheetName val="ANNEXE 6"/>
      <sheetName val="ANNEXE 7"/>
      <sheetName val="ANNEXE 7 bis"/>
      <sheetName val="ANNEXE 8"/>
      <sheetName val="ANNEXE 9"/>
      <sheetName val="ANNEXE 10"/>
      <sheetName val="ANNEXE 11"/>
      <sheetName val="ANNEXE 12"/>
      <sheetName val="ANNEXE 13"/>
      <sheetName val="Passif subordonnés"/>
    </sheetNames>
    <sheetDataSet>
      <sheetData sheetId="0" refreshError="1">
        <row r="5">
          <cell r="C5" t="str">
            <v>G302</v>
          </cell>
        </row>
      </sheetData>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Set>
  </externalBook>
</externalLink>
</file>

<file path=xl/externalLinks/externalLink1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v"/>
      <sheetName val="annexe 1 - Info Périmètre"/>
      <sheetName val="Page de gard"/>
      <sheetName val="Sommaire"/>
      <sheetName val="Docs complément. localgaap"/>
      <sheetName val="vérification"/>
      <sheetName val="1-Frais généraux assurance "/>
      <sheetName val="2-Frais généraux aut.activités"/>
      <sheetName val="3-Ch.d'affaires assurance"/>
      <sheetName val="4-Ch.affaires autres activités"/>
      <sheetName val="5-Bilan"/>
      <sheetName val="6-Détail Bilan Actif"/>
      <sheetName val="7-Détail Bilan Passif"/>
      <sheetName val="8-en-cours par secteur"/>
      <sheetName val="9-Compte de résultat consolidé"/>
      <sheetName val="10-résultat consolidé sectoriel"/>
      <sheetName val="11-Détail résultat"/>
      <sheetName val="12-résultat sectoriel"/>
      <sheetName val="13-Engagements hors bilan"/>
      <sheetName val="14-Caractéristique société mère"/>
      <sheetName val="15-Capital en nombre de part"/>
      <sheetName val="16-Variation des cpx propres"/>
      <sheetName val="17-Actions CNP"/>
      <sheetName val="18-Dividende distribué"/>
      <sheetName val="19-Titres de participation"/>
      <sheetName val="20-Périmètre de consolidation"/>
      <sheetName val="21-honoraires audit-audit légal"/>
      <sheetName val="22-Intra groupe Bilan"/>
      <sheetName val="23r-intra groupe cpte résultat"/>
      <sheetName val="23d-intra groupe cpte résultat"/>
      <sheetName val="24-Ventil. dettes et créances "/>
      <sheetName val="25-Var. prov. tech. et prov R&amp;C"/>
      <sheetName val="26-Plus value latentes"/>
      <sheetName val="27-Résul. fiscal-Base impôt dif"/>
      <sheetName val="28-Preuve d'impôt"/>
      <sheetName val="29-Marge de solvabilité"/>
      <sheetName val="30-Effectif"/>
      <sheetName val="31-Annexe 2.1"/>
      <sheetName val="32-Annexe 2.2"/>
      <sheetName val="33-Annexe 2.3"/>
      <sheetName val="34-Annexe 3"/>
      <sheetName val="35-local - french"/>
      <sheetName val="XX"/>
      <sheetName val="Balance Global FG 12.2006"/>
      <sheetName val="FG"/>
      <sheetName val="Feuil1"/>
    </sheetNames>
    <sheetDataSet>
      <sheetData sheetId="0" refreshError="1">
        <row r="5">
          <cell r="C5" t="str">
            <v>F</v>
          </cell>
        </row>
        <row r="11">
          <cell r="C11" t="str">
            <v>G301</v>
          </cell>
        </row>
        <row r="12">
          <cell r="C12" t="str">
            <v>GLOBAL</v>
          </cell>
        </row>
        <row r="31">
          <cell r="C31">
            <v>39082</v>
          </cell>
        </row>
      </sheetData>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Set>
  </externalBook>
</externalLink>
</file>

<file path=xl/externalLinks/externalLink1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FG"/>
      <sheetName val="Amort. goodwill"/>
      <sheetName val="Amort. in force FG"/>
      <sheetName val="Amort. in force IFRS"/>
      <sheetName val="Passif subordonnés"/>
      <sheetName val="Feuil1"/>
      <sheetName val="Amort__goodwill"/>
      <sheetName val="Amort__in_force_FG"/>
      <sheetName val="Amort__in_force_IFRS"/>
      <sheetName val="Passif_subordonnés"/>
    </sheetNames>
    <sheetDataSet>
      <sheetData sheetId="0" refreshError="1">
        <row r="1">
          <cell r="A1" t="str">
            <v xml:space="preserve">GROUPE : CNP </v>
          </cell>
          <cell r="D1" t="str">
            <v>TABLEAU INDIVIDUEL DE</v>
          </cell>
          <cell r="I1" t="str">
            <v>n</v>
          </cell>
          <cell r="J1" t="str">
            <v>Variation 2</v>
          </cell>
          <cell r="K1" t="str">
            <v>Variation 1</v>
          </cell>
          <cell r="L1" t="str">
            <v>n-1</v>
          </cell>
        </row>
        <row r="2">
          <cell r="A2" t="str">
            <v>SOCIETE : FINECO VITA  FG</v>
          </cell>
          <cell r="D2" t="str">
            <v>VARIATION DES CAPITAUX PROPRES</v>
          </cell>
          <cell r="H2" t="str">
            <v>% Groupe</v>
          </cell>
        </row>
        <row r="3">
          <cell r="A3" t="str">
            <v>Exercice :  30 juin  2006</v>
          </cell>
          <cell r="H3" t="str">
            <v>Détentrice 1</v>
          </cell>
          <cell r="K3">
            <v>0.57499999999999996</v>
          </cell>
          <cell r="L3">
            <v>0</v>
          </cell>
        </row>
        <row r="4">
          <cell r="E4" t="str">
            <v>Taux Clôture</v>
          </cell>
          <cell r="F4" t="str">
            <v>Taux Moyen</v>
          </cell>
          <cell r="H4" t="str">
            <v>Détentrice 2</v>
          </cell>
        </row>
        <row r="5">
          <cell r="A5" t="str">
            <v>Société française, intégrée globalement</v>
          </cell>
          <cell r="D5" t="str">
            <v>devise n</v>
          </cell>
          <cell r="E5">
            <v>1</v>
          </cell>
          <cell r="F5">
            <v>1</v>
          </cell>
          <cell r="H5" t="str">
            <v>Détentrice 3</v>
          </cell>
        </row>
        <row r="6">
          <cell r="D6" t="str">
            <v>devise n-1</v>
          </cell>
          <cell r="E6">
            <v>1</v>
          </cell>
          <cell r="F6">
            <v>1</v>
          </cell>
        </row>
        <row r="8">
          <cell r="B8" t="str">
            <v xml:space="preserve">Capitaux </v>
          </cell>
          <cell r="C8" t="str">
            <v>Variation</v>
          </cell>
          <cell r="D8" t="str">
            <v>Dividendes</v>
          </cell>
          <cell r="E8" t="str">
            <v>Distributions</v>
          </cell>
          <cell r="F8" t="str">
            <v xml:space="preserve">Résultat de </v>
          </cell>
          <cell r="G8" t="str">
            <v>provision</v>
          </cell>
          <cell r="H8" t="str">
            <v xml:space="preserve">variation </v>
          </cell>
          <cell r="I8" t="str">
            <v>changement</v>
          </cell>
          <cell r="J8" t="str">
            <v>variation</v>
          </cell>
          <cell r="K8" t="str">
            <v>Autres</v>
          </cell>
          <cell r="L8" t="str">
            <v xml:space="preserve">Capitaux </v>
          </cell>
        </row>
        <row r="9">
          <cell r="B9" t="str">
            <v>propres</v>
          </cell>
          <cell r="C9" t="str">
            <v>de capital</v>
          </cell>
          <cell r="D9" t="str">
            <v>versées sur le</v>
          </cell>
          <cell r="E9" t="str">
            <v>reçues</v>
          </cell>
          <cell r="F9" t="str">
            <v>l'exercice</v>
          </cell>
          <cell r="G9" t="str">
            <v>réglementées</v>
          </cell>
          <cell r="H9" t="str">
            <v>de l'écart de</v>
          </cell>
          <cell r="I9" t="str">
            <v>méthode</v>
          </cell>
          <cell r="J9" t="str">
            <v>de périmètre</v>
          </cell>
          <cell r="K9" t="str">
            <v>Variations</v>
          </cell>
          <cell r="L9" t="str">
            <v>propres</v>
          </cell>
        </row>
        <row r="10">
          <cell r="B10" t="str">
            <v>N-1</v>
          </cell>
          <cell r="C10" t="str">
            <v xml:space="preserve"> </v>
          </cell>
          <cell r="D10" t="str">
            <v>Résultat N-1</v>
          </cell>
          <cell r="E10" t="str">
            <v xml:space="preserve"> </v>
          </cell>
          <cell r="F10" t="str">
            <v>N</v>
          </cell>
          <cell r="G10" t="str">
            <v>et subventions</v>
          </cell>
          <cell r="H10" t="str">
            <v>conversion</v>
          </cell>
          <cell r="I10" t="str">
            <v>comptable</v>
          </cell>
          <cell r="J10" t="str">
            <v>et % intérêts</v>
          </cell>
          <cell r="K10" t="str">
            <v xml:space="preserve"> </v>
          </cell>
          <cell r="L10" t="str">
            <v>N</v>
          </cell>
        </row>
        <row r="11">
          <cell r="A11" t="str">
            <v xml:space="preserve">CAPITAUX PROPRES SOCIAUX </v>
          </cell>
          <cell r="B11">
            <v>359268</v>
          </cell>
          <cell r="L11">
            <v>359268</v>
          </cell>
        </row>
        <row r="12">
          <cell r="A12" t="str">
            <v>Opérations de retraitements  :</v>
          </cell>
        </row>
        <row r="13">
          <cell r="A13" t="str">
            <v xml:space="preserve">     . Annulation des DAC</v>
          </cell>
          <cell r="B13">
            <v>-1787</v>
          </cell>
        </row>
        <row r="14">
          <cell r="A14" t="str">
            <v xml:space="preserve">     . ID / Annulation des DAC</v>
          </cell>
          <cell r="B14">
            <v>684</v>
          </cell>
          <cell r="L14">
            <v>684</v>
          </cell>
        </row>
        <row r="15">
          <cell r="A15" t="str">
            <v xml:space="preserve">     . Annulation des la provision pour R&amp;C</v>
          </cell>
          <cell r="B15">
            <v>30000</v>
          </cell>
          <cell r="L15">
            <v>30000</v>
          </cell>
        </row>
        <row r="16">
          <cell r="A16" t="str">
            <v xml:space="preserve">     . ID/Annulation prov. pour R&amp;C</v>
          </cell>
          <cell r="B16">
            <v>-9900</v>
          </cell>
          <cell r="L16">
            <v>-9900</v>
          </cell>
        </row>
        <row r="17">
          <cell r="A17" t="str">
            <v xml:space="preserve">     . Revalo juste valeur</v>
          </cell>
          <cell r="B17">
            <v>24541</v>
          </cell>
          <cell r="L17">
            <v>24541</v>
          </cell>
        </row>
        <row r="18">
          <cell r="A18" t="str">
            <v xml:space="preserve">     . ID / Revalo juste valeur</v>
          </cell>
          <cell r="B18">
            <v>-9387</v>
          </cell>
          <cell r="L18">
            <v>-9387</v>
          </cell>
        </row>
        <row r="19">
          <cell r="A19" t="str">
            <v xml:space="preserve">     . PB / revalo juste valeur</v>
          </cell>
          <cell r="B19">
            <v>-10701</v>
          </cell>
          <cell r="L19">
            <v>-10701</v>
          </cell>
        </row>
        <row r="20">
          <cell r="A20" t="str">
            <v xml:space="preserve">     . ID / PB / revalo juste valeur</v>
          </cell>
          <cell r="B20">
            <v>4093</v>
          </cell>
          <cell r="L20">
            <v>4093</v>
          </cell>
        </row>
        <row r="21">
          <cell r="A21" t="str">
            <v xml:space="preserve">     . Actualisation créance fiscale</v>
          </cell>
          <cell r="B21">
            <v>-13000</v>
          </cell>
          <cell r="L21">
            <v>-13000</v>
          </cell>
        </row>
        <row r="22">
          <cell r="A22" t="str">
            <v xml:space="preserve">     . ID / Actualisation créance fiscale</v>
          </cell>
          <cell r="B22">
            <v>4973</v>
          </cell>
          <cell r="L22">
            <v>4973</v>
          </cell>
        </row>
        <row r="23">
          <cell r="A23" t="str">
            <v xml:space="preserve">     . Autres retraitements</v>
          </cell>
          <cell r="L23">
            <v>0</v>
          </cell>
        </row>
        <row r="24">
          <cell r="A24" t="str">
            <v>TOTAL RETRAITEMENTS</v>
          </cell>
          <cell r="B24">
            <v>19516</v>
          </cell>
          <cell r="C24">
            <v>0</v>
          </cell>
          <cell r="D24">
            <v>0</v>
          </cell>
          <cell r="E24">
            <v>0</v>
          </cell>
          <cell r="F24">
            <v>0</v>
          </cell>
          <cell r="G24">
            <v>0</v>
          </cell>
          <cell r="H24">
            <v>0</v>
          </cell>
          <cell r="I24">
            <v>0</v>
          </cell>
          <cell r="J24">
            <v>0</v>
          </cell>
          <cell r="K24">
            <v>0</v>
          </cell>
          <cell r="L24">
            <v>21303</v>
          </cell>
        </row>
        <row r="25">
          <cell r="A25" t="str">
            <v>Capitaux propres sociaux FG</v>
          </cell>
          <cell r="B25">
            <v>378784</v>
          </cell>
          <cell r="C25">
            <v>0</v>
          </cell>
          <cell r="D25">
            <v>0</v>
          </cell>
          <cell r="E25">
            <v>0</v>
          </cell>
          <cell r="F25">
            <v>0</v>
          </cell>
          <cell r="G25">
            <v>0</v>
          </cell>
          <cell r="H25">
            <v>0</v>
          </cell>
          <cell r="I25">
            <v>0</v>
          </cell>
          <cell r="J25">
            <v>0</v>
          </cell>
          <cell r="K25">
            <v>0</v>
          </cell>
          <cell r="L25">
            <v>380571</v>
          </cell>
        </row>
        <row r="26">
          <cell r="A26" t="str">
            <v>Opérations de retraitements  :</v>
          </cell>
        </row>
        <row r="27">
          <cell r="A27" t="str">
            <v xml:space="preserve">     . Annulation Goodwill Roma</v>
          </cell>
          <cell r="B27">
            <v>-119324</v>
          </cell>
          <cell r="L27">
            <v>-119324</v>
          </cell>
        </row>
        <row r="28">
          <cell r="A28" t="str">
            <v xml:space="preserve">     . ID / Annulation Goodwill Roma vita</v>
          </cell>
          <cell r="B28">
            <v>45641.43</v>
          </cell>
          <cell r="F28">
            <v>0</v>
          </cell>
          <cell r="L28">
            <v>45641.43</v>
          </cell>
        </row>
        <row r="29">
          <cell r="A29" t="str">
            <v xml:space="preserve">     . Annulation VNC EA Fineco Life</v>
          </cell>
          <cell r="B29">
            <v>-753</v>
          </cell>
          <cell r="L29">
            <v>-753</v>
          </cell>
        </row>
        <row r="30">
          <cell r="A30" t="str">
            <v xml:space="preserve">     . ID / Annulation VNC EA Fineco Life</v>
          </cell>
          <cell r="B30">
            <v>288.02249999999998</v>
          </cell>
          <cell r="F30">
            <v>0</v>
          </cell>
          <cell r="L30">
            <v>288.02249999999998</v>
          </cell>
        </row>
        <row r="31">
          <cell r="A31" t="str">
            <v xml:space="preserve">     . In force brute</v>
          </cell>
          <cell r="B31">
            <v>375074</v>
          </cell>
          <cell r="L31">
            <v>375074</v>
          </cell>
        </row>
        <row r="32">
          <cell r="A32" t="str">
            <v xml:space="preserve">     . Amortissement in force</v>
          </cell>
          <cell r="B32">
            <v>-33262</v>
          </cell>
          <cell r="F32">
            <v>-17425.261500000001</v>
          </cell>
        </row>
        <row r="33">
          <cell r="A33" t="str">
            <v xml:space="preserve">     . ID / In force</v>
          </cell>
          <cell r="B33">
            <v>-130743.09</v>
          </cell>
          <cell r="F33">
            <v>6665.1625237500002</v>
          </cell>
          <cell r="L33">
            <v>-124077.92747625</v>
          </cell>
        </row>
        <row r="34">
          <cell r="A34" t="str">
            <v xml:space="preserve">     . Autres retraitements</v>
          </cell>
          <cell r="L34">
            <v>0</v>
          </cell>
        </row>
        <row r="35">
          <cell r="A35" t="str">
            <v>TOTAL RETRAITEMENTS</v>
          </cell>
          <cell r="B35">
            <v>136921.36250000002</v>
          </cell>
          <cell r="C35">
            <v>0</v>
          </cell>
          <cell r="D35">
            <v>0</v>
          </cell>
          <cell r="E35">
            <v>0</v>
          </cell>
          <cell r="F35">
            <v>-10760.098976249999</v>
          </cell>
          <cell r="G35">
            <v>0</v>
          </cell>
          <cell r="H35">
            <v>0</v>
          </cell>
          <cell r="I35">
            <v>0</v>
          </cell>
          <cell r="J35">
            <v>0</v>
          </cell>
          <cell r="K35">
            <v>0</v>
          </cell>
        </row>
        <row r="36">
          <cell r="A36" t="str">
            <v>Capitaux propres retraités</v>
          </cell>
          <cell r="B36">
            <v>515705.36250000005</v>
          </cell>
          <cell r="C36">
            <v>0</v>
          </cell>
          <cell r="D36">
            <v>0</v>
          </cell>
          <cell r="E36">
            <v>0</v>
          </cell>
          <cell r="F36">
            <v>-10760.098976249999</v>
          </cell>
          <cell r="G36">
            <v>0</v>
          </cell>
          <cell r="H36">
            <v>0</v>
          </cell>
          <cell r="I36">
            <v>0</v>
          </cell>
          <cell r="J36">
            <v>0</v>
          </cell>
          <cell r="K36">
            <v>0</v>
          </cell>
          <cell r="L36">
            <v>504945.26352375007</v>
          </cell>
        </row>
        <row r="37">
          <cell r="A37" t="str">
            <v>Eliminations opérations internes  :</v>
          </cell>
          <cell r="L37">
            <v>0</v>
          </cell>
        </row>
        <row r="38">
          <cell r="A38" t="str">
            <v xml:space="preserve">     . Dividendes</v>
          </cell>
          <cell r="E38">
            <v>0</v>
          </cell>
          <cell r="L38">
            <v>0</v>
          </cell>
        </row>
        <row r="39">
          <cell r="A39" t="str">
            <v xml:space="preserve">     . Impôt sur les distributions</v>
          </cell>
          <cell r="L39">
            <v>0</v>
          </cell>
        </row>
        <row r="40">
          <cell r="A40" t="str">
            <v xml:space="preserve">     . Plus-Values</v>
          </cell>
          <cell r="L40">
            <v>0</v>
          </cell>
        </row>
        <row r="41">
          <cell r="A41" t="str">
            <v xml:space="preserve">     . Provisions</v>
          </cell>
          <cell r="L41">
            <v>0</v>
          </cell>
        </row>
        <row r="42">
          <cell r="A42" t="str">
            <v xml:space="preserve">     . Impôts différés</v>
          </cell>
          <cell r="L42">
            <v>0</v>
          </cell>
        </row>
        <row r="43">
          <cell r="A43" t="str">
            <v>TOTAL ELIMINATIONS</v>
          </cell>
          <cell r="B43">
            <v>0</v>
          </cell>
          <cell r="C43">
            <v>0</v>
          </cell>
          <cell r="D43">
            <v>0</v>
          </cell>
          <cell r="E43">
            <v>0</v>
          </cell>
          <cell r="F43">
            <v>0</v>
          </cell>
          <cell r="G43">
            <v>0</v>
          </cell>
          <cell r="H43">
            <v>0</v>
          </cell>
          <cell r="I43">
            <v>0</v>
          </cell>
          <cell r="J43">
            <v>0</v>
          </cell>
          <cell r="K43">
            <v>0</v>
          </cell>
          <cell r="L43">
            <v>0</v>
          </cell>
        </row>
        <row r="44">
          <cell r="A44" t="str">
            <v>Capitaux propres retraités après élim.</v>
          </cell>
          <cell r="B44">
            <v>515705.36250000005</v>
          </cell>
          <cell r="C44">
            <v>0</v>
          </cell>
          <cell r="D44">
            <v>0</v>
          </cell>
          <cell r="E44">
            <v>0</v>
          </cell>
          <cell r="F44">
            <v>-10760.098976249999</v>
          </cell>
          <cell r="G44">
            <v>0</v>
          </cell>
          <cell r="H44">
            <v>0</v>
          </cell>
          <cell r="I44">
            <v>0</v>
          </cell>
          <cell r="J44">
            <v>0</v>
          </cell>
          <cell r="K44">
            <v>0</v>
          </cell>
          <cell r="L44">
            <v>504945.26352375007</v>
          </cell>
        </row>
        <row r="45">
          <cell r="A45" t="str">
            <v>Ecarts d'acq. / titres détenus par 1</v>
          </cell>
          <cell r="B45">
            <v>314030</v>
          </cell>
          <cell r="G45" t="str">
            <v xml:space="preserve"> </v>
          </cell>
          <cell r="K45" t="str">
            <v xml:space="preserve"> </v>
          </cell>
          <cell r="L45">
            <v>314030</v>
          </cell>
        </row>
        <row r="46">
          <cell r="A46" t="str">
            <v>Amort. écarts d'acq. / titres détenus par 1</v>
          </cell>
          <cell r="B46">
            <v>-13608</v>
          </cell>
          <cell r="F46">
            <v>-7850.75</v>
          </cell>
          <cell r="G46" t="str">
            <v xml:space="preserve"> </v>
          </cell>
          <cell r="L46">
            <v>-21458.75</v>
          </cell>
        </row>
        <row r="47">
          <cell r="A47" t="str">
            <v>Ecarts d'acq. / titres détenus par 2</v>
          </cell>
          <cell r="L47">
            <v>0</v>
          </cell>
        </row>
        <row r="48">
          <cell r="A48" t="str">
            <v>Amort. écarts d'acq. / titres détenus par 2</v>
          </cell>
          <cell r="L48">
            <v>0</v>
          </cell>
        </row>
        <row r="49">
          <cell r="A49" t="str">
            <v>Ecarts d'acq. / titres détenus par 3</v>
          </cell>
          <cell r="L49">
            <v>0</v>
          </cell>
        </row>
        <row r="50">
          <cell r="A50" t="str">
            <v>Amort. écarts d'acq. / titres détenus par 3</v>
          </cell>
          <cell r="L50">
            <v>0</v>
          </cell>
        </row>
        <row r="51">
          <cell r="A51" t="str">
            <v>Elimination des titres détenus par 1 :</v>
          </cell>
          <cell r="F51" t="str">
            <v xml:space="preserve"> </v>
          </cell>
          <cell r="G51" t="str">
            <v xml:space="preserve"> </v>
          </cell>
          <cell r="H51" t="str">
            <v xml:space="preserve"> </v>
          </cell>
          <cell r="K51" t="str">
            <v xml:space="preserve"> </v>
          </cell>
          <cell r="L51">
            <v>0</v>
          </cell>
        </row>
        <row r="52">
          <cell r="A52" t="str">
            <v>Prix d'acquisition</v>
          </cell>
          <cell r="B52">
            <v>-575000</v>
          </cell>
        </row>
        <row r="53">
          <cell r="A53" t="str">
            <v>Complément de prix (clause garantie passif)</v>
          </cell>
          <cell r="B53">
            <v>-11500</v>
          </cell>
        </row>
        <row r="54">
          <cell r="A54" t="str">
            <v>Frais d'acquisition</v>
          </cell>
          <cell r="B54">
            <v>-3150</v>
          </cell>
        </row>
        <row r="55">
          <cell r="A55" t="str">
            <v>Total titres</v>
          </cell>
          <cell r="B55">
            <v>-589650</v>
          </cell>
          <cell r="J55">
            <v>0</v>
          </cell>
        </row>
        <row r="56">
          <cell r="A56" t="str">
            <v>Elimination des titres détenus par 2</v>
          </cell>
          <cell r="L56">
            <v>0</v>
          </cell>
        </row>
        <row r="57">
          <cell r="A57" t="str">
            <v>Elimination des titres détenus par 3</v>
          </cell>
          <cell r="L57">
            <v>0</v>
          </cell>
        </row>
        <row r="58">
          <cell r="A58" t="str">
            <v>CAPITAUX PROPRES CONSOLIDES</v>
          </cell>
          <cell r="B58">
            <v>7302.5834375000559</v>
          </cell>
          <cell r="C58">
            <v>0</v>
          </cell>
          <cell r="D58">
            <v>0</v>
          </cell>
          <cell r="E58">
            <v>0</v>
          </cell>
          <cell r="F58">
            <v>-14037.806911343749</v>
          </cell>
          <cell r="G58">
            <v>0</v>
          </cell>
          <cell r="H58">
            <v>0</v>
          </cell>
          <cell r="I58">
            <v>0</v>
          </cell>
          <cell r="J58">
            <v>0</v>
          </cell>
          <cell r="K58">
            <v>0</v>
          </cell>
          <cell r="L58">
            <v>-6735.2234738436928</v>
          </cell>
        </row>
        <row r="59">
          <cell r="A59" t="str">
            <v>CAPITAUX PROPRES MINORITAIRES</v>
          </cell>
          <cell r="B59">
            <v>219174.77906250005</v>
          </cell>
          <cell r="C59">
            <v>0</v>
          </cell>
          <cell r="D59">
            <v>0</v>
          </cell>
          <cell r="E59">
            <v>0</v>
          </cell>
          <cell r="F59">
            <v>-4573.0420649062498</v>
          </cell>
          <cell r="G59">
            <v>0</v>
          </cell>
          <cell r="H59">
            <v>0</v>
          </cell>
          <cell r="I59">
            <v>0</v>
          </cell>
          <cell r="J59">
            <v>0</v>
          </cell>
          <cell r="K59">
            <v>0</v>
          </cell>
          <cell r="L59">
            <v>214601.73699759381</v>
          </cell>
        </row>
      </sheetData>
      <sheetData sheetId="1"/>
      <sheetData sheetId="2"/>
      <sheetData sheetId="3"/>
      <sheetData sheetId="4" refreshError="1"/>
      <sheetData sheetId="5" refreshError="1"/>
      <sheetData sheetId="6"/>
      <sheetData sheetId="7"/>
      <sheetData sheetId="8"/>
      <sheetData sheetId="9"/>
    </sheetDataSet>
  </externalBook>
</externalLink>
</file>

<file path=xl/externalLinks/externalLink1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Procédure"/>
      <sheetName val="Contrôle TFT"/>
      <sheetName val="Controle Semestriel"/>
      <sheetName val="Controle Annuel"/>
      <sheetName val="Sommaire"/>
      <sheetName val="Actif"/>
      <sheetName val="Passif"/>
      <sheetName val="Résultat"/>
      <sheetName val="Etat Rst Net comptabili dans CP"/>
      <sheetName val="Etat Rst Net N-1"/>
      <sheetName val="TVCP plaquette "/>
      <sheetName val="TVCP plaquette N-1"/>
      <sheetName val="TFT"/>
      <sheetName val="Rec TFT N"/>
      <sheetName val="REC TFT N-1"/>
      <sheetName val="Résultat par action"/>
      <sheetName val="Note 4.5"/>
      <sheetName val="Note 4.6"/>
      <sheetName val="Note 4.7"/>
      <sheetName val="Note 4.8"/>
      <sheetName val="Note 4.9"/>
      <sheetName val="Note 4.10.1"/>
      <sheetName val="Note 4.10.2"/>
      <sheetName val="Note 5.1"/>
      <sheetName val="Note 5.2"/>
      <sheetName val="Note 5.4"/>
      <sheetName val="Note 5.4 N-1"/>
      <sheetName val="Note 6.1"/>
      <sheetName val="Note 6.1 N-1"/>
      <sheetName val="Note 6.2.1"/>
      <sheetName val="Note 6.2.2"/>
      <sheetName val="Note 6.3.1"/>
      <sheetName val="Note 6.3.2"/>
      <sheetName val="Note 6.3.3"/>
      <sheetName val="Note 6.4.1"/>
      <sheetName val="Note 6.4.2"/>
      <sheetName val="Note 7"/>
      <sheetName val="Note 7 bis"/>
      <sheetName val="Note 8.1"/>
      <sheetName val="Note 8.1 bis"/>
      <sheetName val="Note 8.1ter"/>
      <sheetName val="Note 8.2.1"/>
      <sheetName val="Note 8.2.1 N-1"/>
      <sheetName val="Note 8.2.1 bis"/>
      <sheetName val="Note 8.2.1 bis N-1"/>
      <sheetName val="8.2.1 ter"/>
      <sheetName val="Note 8.2.3"/>
      <sheetName val="Note 8.2.4"/>
      <sheetName val="Note 8.2.4 N-1"/>
      <sheetName val="Note 8.3.1"/>
      <sheetName val="Note 8.3.1 N-1"/>
      <sheetName val="Note 8.3.1 ter"/>
      <sheetName val="Note 8.3.3"/>
      <sheetName val="Note 8.3.3 N-1"/>
      <sheetName val="Note 8.3.5"/>
      <sheetName val="Note 8.4"/>
      <sheetName val="Note 8.4-A"/>
      <sheetName val="Note 8.4-B"/>
      <sheetName val="Note 8.5"/>
      <sheetName val="Note 8.5 N-1"/>
      <sheetName val="Note 8.6"/>
      <sheetName val="Note 8.6 N-1"/>
      <sheetName val="Note 8.7"/>
      <sheetName val="Note 8.7 N-1"/>
      <sheetName val="Note 8.8 entité"/>
      <sheetName val="Note 8.8 entité UC"/>
      <sheetName val="Note 8.8 entité HUC"/>
      <sheetName val="Note 8.8.1"/>
      <sheetName val="Note 8.8.1 N-1"/>
      <sheetName val="Note 8.8.1 bis"/>
      <sheetName val="Note 8.9.1"/>
      <sheetName val="Note 8.9.1 N-1"/>
      <sheetName val="Note 8.9.1 bis"/>
      <sheetName val="Note 8.10.1"/>
      <sheetName val="Note 8.10.2"/>
      <sheetName val="Note 9.5"/>
      <sheetName val="Note 9.5 N-1"/>
      <sheetName val="Note 9.6.1"/>
      <sheetName val="Note 9.6.1 N-1"/>
      <sheetName val="Note 9.6.2"/>
      <sheetName val="Note 9.6.2 N-1"/>
      <sheetName val="Note 9.6.3"/>
      <sheetName val="Note 9.6.3 N-1"/>
      <sheetName val="Note 9.7"/>
      <sheetName val="Note 9.8.1"/>
      <sheetName val="Note 9.8.2"/>
      <sheetName val="Note 9.8.3"/>
      <sheetName val="Note 9.9"/>
      <sheetName val="Note 9.9 N-1"/>
      <sheetName val="Note 10.1"/>
      <sheetName val="Note 10.1 N-1"/>
      <sheetName val="Note 11.1"/>
      <sheetName val="Note 11.2"/>
      <sheetName val="Note 12.1"/>
      <sheetName val="Note 12.1 N-1"/>
      <sheetName val="Note 13.1"/>
      <sheetName val="Note 13.2"/>
      <sheetName val="Note 13.3.2 &amp; 3"/>
      <sheetName val="Note 13.3.4 AVT"/>
      <sheetName val="Note 13.3.4"/>
      <sheetName val="NOTEE 13,3,5 AVT"/>
      <sheetName val="Note 13.3.6 AVT"/>
      <sheetName val="Note 13.3.7 AVT"/>
      <sheetName val="Note 13.3.5"/>
      <sheetName val="Note 13.3.6"/>
      <sheetName val="Note 14.1"/>
      <sheetName val="Note 14.2"/>
      <sheetName val="Note 14.3"/>
      <sheetName val="Note 14.4"/>
      <sheetName val="Note 14.5"/>
      <sheetName val="Note 14.6"/>
      <sheetName val="Note 14.7"/>
      <sheetName val="Note 14.8"/>
      <sheetName val="Note 15"/>
      <sheetName val="Note 16.1"/>
      <sheetName val="Note 16.2"/>
      <sheetName val="Note 16.3"/>
      <sheetName val="Note 16.4"/>
      <sheetName val="Note 16.5"/>
      <sheetName val="Note 16.5 N-1"/>
      <sheetName val="Note 16.5 bis"/>
      <sheetName val="Note 17"/>
      <sheetName val="Note 17 N-1"/>
      <sheetName val="Note 18.1"/>
      <sheetName val="Note 18.1 bis"/>
      <sheetName val="Note 18.2.1"/>
      <sheetName val="Note 18.2.3"/>
      <sheetName val="Note 18.3"/>
      <sheetName val="Note 19 a"/>
      <sheetName val="Note 19 b"/>
      <sheetName val="Note 19 c"/>
      <sheetName val="Note 19 d"/>
      <sheetName val="Note 19 d N-1"/>
      <sheetName val="Note 20.1.1"/>
      <sheetName val="Note 20.1.1 N-1"/>
      <sheetName val="Note 20.1.2"/>
      <sheetName val="Note 20.1.2 N-1"/>
      <sheetName val="Note 21.3"/>
      <sheetName val="Note 23"/>
      <sheetName val="Note 23.1"/>
      <sheetName val="Note 23.1 N-1"/>
      <sheetName val="Note 23.2"/>
      <sheetName val="Note 23.2 N-1"/>
      <sheetName val="Note 22.3"/>
      <sheetName val="Note 24.3.1"/>
      <sheetName val="Note 24.3.2"/>
      <sheetName val="Note 24.3.3.1"/>
      <sheetName val="Note 24.3.4.1"/>
      <sheetName val="Note 24.3.5.1"/>
      <sheetName val="24.3.5.1 bis"/>
      <sheetName val="Note 24.4"/>
      <sheetName val="Note 25.1.1.1"/>
      <sheetName val="Note 25.1.2.1"/>
      <sheetName val="Note 25.1.3"/>
      <sheetName val="Note 25.3"/>
      <sheetName val="Note 26.3"/>
      <sheetName val="Note 27"/>
      <sheetName val="Note 28"/>
      <sheetName val="Note 26.4"/>
      <sheetName val="Note 8.11.1"/>
      <sheetName val="Note 8.11.2"/>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ow r="2">
          <cell r="F2" t="str">
            <v>2022.12</v>
          </cell>
        </row>
      </sheetData>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 sheetId="93" refreshError="1"/>
      <sheetData sheetId="94" refreshError="1"/>
      <sheetData sheetId="95" refreshError="1"/>
      <sheetData sheetId="96" refreshError="1"/>
      <sheetData sheetId="97" refreshError="1"/>
      <sheetData sheetId="98" refreshError="1"/>
      <sheetData sheetId="99" refreshError="1"/>
      <sheetData sheetId="100" refreshError="1"/>
      <sheetData sheetId="101" refreshError="1"/>
      <sheetData sheetId="102" refreshError="1"/>
      <sheetData sheetId="103" refreshError="1"/>
      <sheetData sheetId="104" refreshError="1"/>
      <sheetData sheetId="105" refreshError="1"/>
      <sheetData sheetId="106" refreshError="1"/>
      <sheetData sheetId="107" refreshError="1"/>
      <sheetData sheetId="108" refreshError="1"/>
      <sheetData sheetId="109" refreshError="1"/>
      <sheetData sheetId="110" refreshError="1"/>
      <sheetData sheetId="111" refreshError="1"/>
      <sheetData sheetId="112" refreshError="1"/>
      <sheetData sheetId="113" refreshError="1"/>
      <sheetData sheetId="114" refreshError="1"/>
      <sheetData sheetId="115" refreshError="1"/>
      <sheetData sheetId="116" refreshError="1"/>
      <sheetData sheetId="117" refreshError="1"/>
      <sheetData sheetId="118" refreshError="1"/>
      <sheetData sheetId="119" refreshError="1"/>
      <sheetData sheetId="120" refreshError="1"/>
      <sheetData sheetId="121" refreshError="1"/>
      <sheetData sheetId="122" refreshError="1"/>
      <sheetData sheetId="123" refreshError="1"/>
      <sheetData sheetId="124" refreshError="1"/>
      <sheetData sheetId="125" refreshError="1"/>
      <sheetData sheetId="126" refreshError="1"/>
      <sheetData sheetId="127" refreshError="1"/>
      <sheetData sheetId="128" refreshError="1"/>
      <sheetData sheetId="129" refreshError="1"/>
      <sheetData sheetId="130" refreshError="1"/>
      <sheetData sheetId="131" refreshError="1"/>
      <sheetData sheetId="132" refreshError="1"/>
      <sheetData sheetId="133" refreshError="1"/>
      <sheetData sheetId="134" refreshError="1"/>
      <sheetData sheetId="135" refreshError="1"/>
      <sheetData sheetId="136" refreshError="1"/>
      <sheetData sheetId="137" refreshError="1"/>
      <sheetData sheetId="138" refreshError="1"/>
      <sheetData sheetId="139" refreshError="1"/>
      <sheetData sheetId="140" refreshError="1"/>
      <sheetData sheetId="141" refreshError="1"/>
      <sheetData sheetId="142" refreshError="1"/>
      <sheetData sheetId="143" refreshError="1"/>
      <sheetData sheetId="144" refreshError="1"/>
      <sheetData sheetId="145" refreshError="1"/>
      <sheetData sheetId="146" refreshError="1"/>
      <sheetData sheetId="147" refreshError="1"/>
      <sheetData sheetId="148" refreshError="1"/>
      <sheetData sheetId="149" refreshError="1"/>
      <sheetData sheetId="150" refreshError="1"/>
      <sheetData sheetId="151" refreshError="1"/>
      <sheetData sheetId="152" refreshError="1"/>
      <sheetData sheetId="153" refreshError="1"/>
      <sheetData sheetId="154" refreshError="1"/>
      <sheetData sheetId="155" refreshError="1"/>
      <sheetData sheetId="156" refreshError="1"/>
      <sheetData sheetId="157" refreshError="1"/>
      <sheetData sheetId="158" refreshError="1"/>
      <sheetData sheetId="159" refreshError="1"/>
      <sheetData sheetId="160" refreshError="1"/>
    </sheetDataSet>
  </externalBook>
</externalLink>
</file>

<file path=xl/externalLinks/externalLink1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ommaire"/>
      <sheetName val="R-ANX-0005"/>
      <sheetName val="R-ANX-0010"/>
      <sheetName val="R-ANX-0015 (A)"/>
      <sheetName val="R-ANX-0015 (B)"/>
      <sheetName val="R-ANX-0035"/>
      <sheetName val="R-ANX-0040"/>
      <sheetName val="R-ANX-0045"/>
      <sheetName val="R-ANX-0050"/>
      <sheetName val="R-ANX-0055"/>
      <sheetName val="R-ANX-0060"/>
      <sheetName val="R-ANX-0065"/>
      <sheetName val="R-ANX-0070"/>
      <sheetName val="R-ANX-0075A"/>
      <sheetName val="R-ANX-0075B"/>
      <sheetName val="R-ANX-0075C"/>
      <sheetName val="R-ANX-0080A"/>
      <sheetName val="R-ANX-0080B"/>
      <sheetName val="R-ANX-0085"/>
      <sheetName val="R-ANX-0090"/>
      <sheetName val="R-ANX-0095"/>
      <sheetName val="R-ANX-0115A"/>
      <sheetName val="R-ANX-0115B"/>
      <sheetName val="R-ANX-0140"/>
      <sheetName val="__Analyzer_UndoSheet"/>
      <sheetName val="R-ANX-0190"/>
      <sheetName val="R-ANX-0210"/>
      <sheetName val="R-ANX-0235"/>
      <sheetName val="R-ANX-0240"/>
      <sheetName val="R-ANX-0245"/>
      <sheetName val="R-ANX-0265"/>
      <sheetName val="R-ANX-0295"/>
      <sheetName val="R-ANX-0300"/>
      <sheetName val="R-ANX-0315"/>
      <sheetName val="R-ANX-0320"/>
      <sheetName val="Méthodo actifs JV"/>
      <sheetName val="JV catégorie 3"/>
      <sheetName val="CG1"/>
      <sheetName val="CG2"/>
      <sheetName val="CG3"/>
      <sheetName val="CG4"/>
      <sheetName val="CG5"/>
      <sheetName val="CG6"/>
      <sheetName val="CG7"/>
      <sheetName val="CG8"/>
      <sheetName val="CG9"/>
      <sheetName val="CG10"/>
      <sheetName val="CG11"/>
      <sheetName val="CG12"/>
      <sheetName val="CG13"/>
      <sheetName val="CG14"/>
      <sheetName val="CG15"/>
      <sheetName val="CG17"/>
      <sheetName val="CG20"/>
      <sheetName val="CG18"/>
      <sheetName val="CG19"/>
    </sheetNames>
    <sheetDataSet>
      <sheetData sheetId="0" refreshError="1">
        <row r="9">
          <cell r="B9" t="str">
            <v>31/06/2013</v>
          </cell>
        </row>
      </sheetData>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Set>
  </externalBook>
</externalLink>
</file>

<file path=xl/externalLinks/externalLink1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DETCONSO"/>
      <sheetName val="RECAP GROUPE"/>
      <sheetName val="DETAIL SITUATION NETTE"/>
      <sheetName val="DETCONSO ana cpte"/>
    </sheetNames>
    <sheetDataSet>
      <sheetData sheetId="0" refreshError="1"/>
      <sheetData sheetId="1" refreshError="1">
        <row r="1">
          <cell r="A1" t="str">
            <v>Récapitulatif des capitaux propres</v>
          </cell>
        </row>
        <row r="3">
          <cell r="C3" t="str">
            <v>31/12/2004 IFRS</v>
          </cell>
        </row>
        <row r="4">
          <cell r="C4" t="str">
            <v>PART GROUPE</v>
          </cell>
          <cell r="D4" t="str">
            <v>MINORITAIRES</v>
          </cell>
          <cell r="E4" t="str">
            <v>TOTAL</v>
          </cell>
          <cell r="AJ4">
            <v>0</v>
          </cell>
          <cell r="AP4">
            <v>0</v>
          </cell>
        </row>
        <row r="5">
          <cell r="A5">
            <v>-58</v>
          </cell>
          <cell r="B5" t="str">
            <v>A120 - CNP VIE</v>
          </cell>
          <cell r="C5">
            <v>5370713122.270565</v>
          </cell>
          <cell r="D5">
            <v>0</v>
          </cell>
          <cell r="E5">
            <v>5370713122.270565</v>
          </cell>
          <cell r="AJ5">
            <v>0</v>
          </cell>
          <cell r="AP5">
            <v>0</v>
          </cell>
        </row>
        <row r="6">
          <cell r="A6">
            <v>-57</v>
          </cell>
          <cell r="B6" t="str">
            <v>A201 - PREVIPOSTE</v>
          </cell>
          <cell r="C6">
            <v>188844066.4420056</v>
          </cell>
          <cell r="D6">
            <v>0</v>
          </cell>
          <cell r="E6">
            <v>188844066.4420056</v>
          </cell>
        </row>
        <row r="7">
          <cell r="A7">
            <v>-56</v>
          </cell>
          <cell r="B7" t="str">
            <v>A202 - ECUREUIL VIE</v>
          </cell>
          <cell r="C7">
            <v>295451002.85009599</v>
          </cell>
          <cell r="D7">
            <v>826526399.74153554</v>
          </cell>
          <cell r="E7">
            <v>1121977402.5916314</v>
          </cell>
          <cell r="AJ7">
            <v>0</v>
          </cell>
          <cell r="AP7">
            <v>0</v>
          </cell>
        </row>
        <row r="8">
          <cell r="A8">
            <v>-55</v>
          </cell>
          <cell r="B8" t="str">
            <v>A203 - ITV</v>
          </cell>
          <cell r="C8">
            <v>36055273.099404007</v>
          </cell>
          <cell r="D8">
            <v>0</v>
          </cell>
          <cell r="E8">
            <v>36055273.099404007</v>
          </cell>
          <cell r="AJ8">
            <v>0</v>
          </cell>
          <cell r="AP8">
            <v>0</v>
          </cell>
        </row>
        <row r="9">
          <cell r="A9">
            <v>-54</v>
          </cell>
          <cell r="B9" t="str">
            <v>A204 - CNPI</v>
          </cell>
          <cell r="C9">
            <v>18656959.412290998</v>
          </cell>
          <cell r="D9">
            <v>0</v>
          </cell>
          <cell r="E9">
            <v>18656959.412290998</v>
          </cell>
          <cell r="AJ9">
            <v>0</v>
          </cell>
          <cell r="AP9">
            <v>0</v>
          </cell>
        </row>
        <row r="10">
          <cell r="A10">
            <v>-53</v>
          </cell>
          <cell r="B10" t="str">
            <v>A215-ASSURPOSTE</v>
          </cell>
          <cell r="C10">
            <v>-19797131.787950508</v>
          </cell>
          <cell r="D10">
            <v>0</v>
          </cell>
          <cell r="E10">
            <v>-19797131.787950508</v>
          </cell>
          <cell r="AJ10">
            <v>0</v>
          </cell>
          <cell r="AP10">
            <v>0</v>
          </cell>
        </row>
        <row r="11">
          <cell r="A11">
            <v>-52</v>
          </cell>
          <cell r="B11" t="str">
            <v>G302-GLOBAL VIDA</v>
          </cell>
          <cell r="C11">
            <v>-1058633.7549438623</v>
          </cell>
          <cell r="D11">
            <v>2338171.30494386</v>
          </cell>
          <cell r="E11">
            <v>1279537.5499999977</v>
          </cell>
          <cell r="AJ11">
            <v>0</v>
          </cell>
          <cell r="AP11">
            <v>0</v>
          </cell>
        </row>
        <row r="12">
          <cell r="A12">
            <v>-51</v>
          </cell>
          <cell r="B12" t="str">
            <v>G303 - CNP SEGUROS DE VIDA</v>
          </cell>
          <cell r="C12">
            <v>-2507454.366109998</v>
          </cell>
          <cell r="D12">
            <v>1093165.8461099998</v>
          </cell>
          <cell r="E12">
            <v>-1414288.5199999982</v>
          </cell>
          <cell r="AJ12">
            <v>0</v>
          </cell>
          <cell r="AP12">
            <v>0</v>
          </cell>
        </row>
        <row r="13">
          <cell r="A13">
            <v>-50</v>
          </cell>
          <cell r="B13" t="str">
            <v>G305 - CAIXA VIE</v>
          </cell>
          <cell r="C13">
            <v>-170828571.34024206</v>
          </cell>
          <cell r="D13">
            <v>143384842.6802485</v>
          </cell>
          <cell r="E13">
            <v>-27443728.659993559</v>
          </cell>
          <cell r="AJ13">
            <v>0</v>
          </cell>
          <cell r="AP13">
            <v>0</v>
          </cell>
        </row>
        <row r="14">
          <cell r="A14">
            <v>-49</v>
          </cell>
          <cell r="B14" t="str">
            <v>G307 - FINECO</v>
          </cell>
          <cell r="C14">
            <v>0</v>
          </cell>
          <cell r="D14">
            <v>0</v>
          </cell>
          <cell r="E14">
            <v>0</v>
          </cell>
          <cell r="AJ14">
            <v>0</v>
          </cell>
          <cell r="AP14">
            <v>0</v>
          </cell>
        </row>
        <row r="15">
          <cell r="A15">
            <v>-48</v>
          </cell>
          <cell r="B15" t="str">
            <v>I900 -CIMO</v>
          </cell>
          <cell r="C15">
            <v>10570435.007223994</v>
          </cell>
          <cell r="D15">
            <v>-3.5879239439964294E-3</v>
          </cell>
          <cell r="E15">
            <v>10570435.00363607</v>
          </cell>
          <cell r="AJ15">
            <v>0</v>
          </cell>
          <cell r="AP15">
            <v>0</v>
          </cell>
        </row>
        <row r="16">
          <cell r="A16">
            <v>-47</v>
          </cell>
          <cell r="B16" t="str">
            <v>I810 - AEP3</v>
          </cell>
          <cell r="C16">
            <v>39919819.701137871</v>
          </cell>
          <cell r="D16">
            <v>93787620.750182137</v>
          </cell>
          <cell r="E16">
            <v>133707440.45132001</v>
          </cell>
          <cell r="AJ16">
            <v>0</v>
          </cell>
          <cell r="AP16">
            <v>0</v>
          </cell>
        </row>
        <row r="17">
          <cell r="A17">
            <v>-46</v>
          </cell>
          <cell r="B17" t="str">
            <v>I805 - AEP4</v>
          </cell>
          <cell r="C17">
            <v>16804330.334070005</v>
          </cell>
          <cell r="D17">
            <v>22567975.144069985</v>
          </cell>
          <cell r="E17">
            <v>39372305.478139989</v>
          </cell>
          <cell r="AJ17">
            <v>0</v>
          </cell>
          <cell r="AP17">
            <v>0</v>
          </cell>
        </row>
        <row r="18">
          <cell r="A18">
            <v>-45</v>
          </cell>
          <cell r="B18" t="str">
            <v>I801 - ASSURIMMEUBLE</v>
          </cell>
          <cell r="C18">
            <v>7699180.6646748586</v>
          </cell>
          <cell r="D18">
            <v>1.4822278171777725E-4</v>
          </cell>
          <cell r="E18">
            <v>7699180.6648230813</v>
          </cell>
          <cell r="AJ18">
            <v>0</v>
          </cell>
          <cell r="AP18">
            <v>0</v>
          </cell>
        </row>
        <row r="19">
          <cell r="A19">
            <v>-44</v>
          </cell>
          <cell r="B19" t="str">
            <v>I806 - PB6</v>
          </cell>
          <cell r="C19">
            <v>-939034.99722738308</v>
          </cell>
          <cell r="D19">
            <v>13679843.437954364</v>
          </cell>
          <cell r="E19">
            <v>12740808.440726981</v>
          </cell>
          <cell r="AJ19">
            <v>0</v>
          </cell>
          <cell r="AP19">
            <v>0</v>
          </cell>
        </row>
        <row r="20">
          <cell r="A20">
            <v>-43</v>
          </cell>
          <cell r="B20" t="str">
            <v>P500 - UNIVERS</v>
          </cell>
          <cell r="C20">
            <v>-18845066.029567584</v>
          </cell>
          <cell r="D20">
            <v>-773131.2966720002</v>
          </cell>
          <cell r="E20">
            <v>-19618197.326239586</v>
          </cell>
          <cell r="AJ20">
            <v>0</v>
          </cell>
          <cell r="AP20">
            <v>0</v>
          </cell>
        </row>
        <row r="21">
          <cell r="A21">
            <v>-42</v>
          </cell>
          <cell r="B21" t="str">
            <v>P510 - CNP ASSUR EURO SI</v>
          </cell>
          <cell r="C21">
            <v>-25879643.30603832</v>
          </cell>
          <cell r="D21">
            <v>0</v>
          </cell>
          <cell r="E21">
            <v>-25879643.30603832</v>
          </cell>
          <cell r="AJ21">
            <v>0</v>
          </cell>
          <cell r="AP21">
            <v>0</v>
          </cell>
        </row>
        <row r="22">
          <cell r="A22">
            <v>-41</v>
          </cell>
          <cell r="B22" t="str">
            <v>P520 - CNP MOYEN TERME SI</v>
          </cell>
          <cell r="C22">
            <v>106046.43906009197</v>
          </cell>
          <cell r="D22">
            <v>0</v>
          </cell>
          <cell r="E22">
            <v>106046.43906009197</v>
          </cell>
          <cell r="AJ22">
            <v>0</v>
          </cell>
          <cell r="AP22">
            <v>0</v>
          </cell>
        </row>
        <row r="23">
          <cell r="A23">
            <v>-40</v>
          </cell>
          <cell r="B23" t="str">
            <v>P530 - CNP MONTPARNASSE ACTION</v>
          </cell>
          <cell r="C23">
            <v>11761.592096030712</v>
          </cell>
          <cell r="D23">
            <v>0</v>
          </cell>
          <cell r="E23">
            <v>11761.592096030712</v>
          </cell>
          <cell r="AJ23">
            <v>0</v>
          </cell>
          <cell r="AP23">
            <v>0</v>
          </cell>
        </row>
        <row r="24">
          <cell r="A24">
            <v>-39</v>
          </cell>
          <cell r="B24" t="str">
            <v>P550 - CNP COURT TERME SI</v>
          </cell>
          <cell r="C24">
            <v>-6028517.8588110209</v>
          </cell>
          <cell r="D24">
            <v>0</v>
          </cell>
          <cell r="E24">
            <v>-6028517.8588110209</v>
          </cell>
          <cell r="AJ24">
            <v>0</v>
          </cell>
          <cell r="AP24">
            <v>0</v>
          </cell>
        </row>
        <row r="25">
          <cell r="A25">
            <v>-38</v>
          </cell>
          <cell r="B25" t="str">
            <v>P560 - CNP ASSUR VALEUR SI</v>
          </cell>
          <cell r="C25">
            <v>-23524291.812133528</v>
          </cell>
          <cell r="D25">
            <v>-5104310.2576199993</v>
          </cell>
          <cell r="E25">
            <v>-28628602.069753528</v>
          </cell>
          <cell r="AJ25">
            <v>0</v>
          </cell>
          <cell r="AP25">
            <v>0</v>
          </cell>
        </row>
        <row r="26">
          <cell r="A26">
            <v>-37</v>
          </cell>
          <cell r="B26" t="str">
            <v>P570 - ECUREUIL EQUILIBRE 3DEC</v>
          </cell>
          <cell r="C26">
            <v>-2355711</v>
          </cell>
          <cell r="D26">
            <v>0</v>
          </cell>
          <cell r="E26">
            <v>-2355711</v>
          </cell>
          <cell r="AJ26">
            <v>0</v>
          </cell>
          <cell r="AP26">
            <v>0</v>
          </cell>
        </row>
        <row r="27">
          <cell r="A27">
            <v>-36</v>
          </cell>
          <cell r="B27" t="str">
            <v>P580 - KALEIS DYNAMIQUE D 5 DEC</v>
          </cell>
          <cell r="C27">
            <v>0</v>
          </cell>
          <cell r="D27">
            <v>0</v>
          </cell>
          <cell r="E27">
            <v>0</v>
          </cell>
          <cell r="AJ27">
            <v>0</v>
          </cell>
          <cell r="AP27">
            <v>0</v>
          </cell>
        </row>
        <row r="28">
          <cell r="A28">
            <v>-35</v>
          </cell>
          <cell r="B28" t="str">
            <v>P590 - KALEIS EQUILIBRE D 5DEC</v>
          </cell>
          <cell r="C28">
            <v>0</v>
          </cell>
          <cell r="D28">
            <v>0</v>
          </cell>
          <cell r="E28">
            <v>0</v>
          </cell>
          <cell r="AJ28">
            <v>0</v>
          </cell>
          <cell r="AP28">
            <v>0</v>
          </cell>
        </row>
        <row r="29">
          <cell r="A29">
            <v>-34</v>
          </cell>
          <cell r="B29" t="str">
            <v>P600 - PLENITUDE SI 5DEC</v>
          </cell>
          <cell r="C29">
            <v>-2319942.2947049998</v>
          </cell>
          <cell r="D29">
            <v>0</v>
          </cell>
          <cell r="E29">
            <v>-2319942.2947049998</v>
          </cell>
          <cell r="AJ29">
            <v>0</v>
          </cell>
          <cell r="AP29">
            <v>0</v>
          </cell>
        </row>
        <row r="30">
          <cell r="A30">
            <v>-33</v>
          </cell>
          <cell r="B30" t="str">
            <v>P610 - EPARCOURT SICAV SI</v>
          </cell>
          <cell r="C30">
            <v>0</v>
          </cell>
          <cell r="D30">
            <v>0</v>
          </cell>
          <cell r="E30">
            <v>0</v>
          </cell>
          <cell r="AJ30">
            <v>0</v>
          </cell>
          <cell r="AP30">
            <v>0</v>
          </cell>
        </row>
        <row r="31">
          <cell r="A31">
            <v>-32</v>
          </cell>
          <cell r="B31" t="str">
            <v>P620 - BOULE DE NEIGE 3 DEC</v>
          </cell>
          <cell r="C31">
            <v>0</v>
          </cell>
          <cell r="D31">
            <v>0</v>
          </cell>
          <cell r="E31">
            <v>0</v>
          </cell>
          <cell r="AJ31">
            <v>0</v>
          </cell>
          <cell r="AP31">
            <v>0</v>
          </cell>
        </row>
        <row r="32">
          <cell r="A32">
            <v>-31</v>
          </cell>
          <cell r="B32" t="str">
            <v>P640 - HORIZON</v>
          </cell>
          <cell r="C32">
            <v>0</v>
          </cell>
          <cell r="D32">
            <v>0</v>
          </cell>
          <cell r="E32">
            <v>0</v>
          </cell>
          <cell r="AJ32">
            <v>0</v>
          </cell>
          <cell r="AP32">
            <v>0</v>
          </cell>
        </row>
        <row r="33">
          <cell r="A33">
            <v>-30</v>
          </cell>
          <cell r="B33" t="str">
            <v>P650 - CORDILLIERE</v>
          </cell>
          <cell r="C33">
            <v>0</v>
          </cell>
          <cell r="D33">
            <v>0</v>
          </cell>
          <cell r="E33">
            <v>0</v>
          </cell>
          <cell r="AJ33">
            <v>0</v>
          </cell>
          <cell r="AP33">
            <v>0</v>
          </cell>
        </row>
        <row r="34">
          <cell r="A34">
            <v>-29</v>
          </cell>
          <cell r="B34" t="str">
            <v>P660 - CNP ACP OBLIG FCP</v>
          </cell>
          <cell r="C34">
            <v>-3748.8516038060188</v>
          </cell>
          <cell r="D34">
            <v>0</v>
          </cell>
          <cell r="E34">
            <v>-3748.8516038060188</v>
          </cell>
          <cell r="AJ34">
            <v>0</v>
          </cell>
          <cell r="AP34">
            <v>0</v>
          </cell>
        </row>
        <row r="35">
          <cell r="A35">
            <v>-28</v>
          </cell>
          <cell r="B35" t="str">
            <v>P670 - CNP ACP ACT LT FCP</v>
          </cell>
          <cell r="C35">
            <v>70.805253490805626</v>
          </cell>
          <cell r="D35">
            <v>0</v>
          </cell>
          <cell r="E35">
            <v>70.805253490805626</v>
          </cell>
          <cell r="AJ35">
            <v>0</v>
          </cell>
          <cell r="AP35">
            <v>0</v>
          </cell>
        </row>
        <row r="36">
          <cell r="A36">
            <v>-27</v>
          </cell>
          <cell r="B36" t="str">
            <v>P680 - DOUBLOMONDE 4</v>
          </cell>
          <cell r="C36">
            <v>0</v>
          </cell>
          <cell r="D36">
            <v>0</v>
          </cell>
          <cell r="E36">
            <v>0</v>
          </cell>
          <cell r="AJ36">
            <v>0</v>
          </cell>
          <cell r="AP36">
            <v>0</v>
          </cell>
        </row>
        <row r="37">
          <cell r="A37">
            <v>-26</v>
          </cell>
          <cell r="B37" t="str">
            <v>P690 - BOULE DE NEIGE 3DEC</v>
          </cell>
          <cell r="C37">
            <v>0</v>
          </cell>
          <cell r="D37">
            <v>0</v>
          </cell>
          <cell r="E37">
            <v>0</v>
          </cell>
          <cell r="AJ37">
            <v>0</v>
          </cell>
          <cell r="AP37">
            <v>0</v>
          </cell>
        </row>
        <row r="38">
          <cell r="A38">
            <v>-25</v>
          </cell>
          <cell r="B38" t="str">
            <v>P540 - CNP ASSUR CAPI</v>
          </cell>
          <cell r="C38">
            <v>-22652090.305574961</v>
          </cell>
          <cell r="D38">
            <v>-4009288.93</v>
          </cell>
          <cell r="E38">
            <v>-26661379.235574961</v>
          </cell>
          <cell r="AJ38">
            <v>0</v>
          </cell>
          <cell r="AP38">
            <v>0</v>
          </cell>
        </row>
        <row r="39">
          <cell r="A39">
            <v>-24</v>
          </cell>
          <cell r="B39" t="str">
            <v>RETRAITEMENT1</v>
          </cell>
          <cell r="C39">
            <v>0</v>
          </cell>
          <cell r="D39">
            <v>0</v>
          </cell>
          <cell r="E39">
            <v>0</v>
          </cell>
          <cell r="AJ39">
            <v>0</v>
          </cell>
          <cell r="AP39">
            <v>0</v>
          </cell>
        </row>
        <row r="40">
          <cell r="A40">
            <v>-23</v>
          </cell>
          <cell r="B40" t="str">
            <v>reclas nv CNP</v>
          </cell>
          <cell r="C40">
            <v>0</v>
          </cell>
          <cell r="D40">
            <v>0</v>
          </cell>
          <cell r="E40">
            <v>0</v>
          </cell>
          <cell r="AJ40">
            <v>0</v>
          </cell>
          <cell r="AP40">
            <v>0</v>
          </cell>
        </row>
        <row r="41">
          <cell r="A41">
            <v>-22</v>
          </cell>
          <cell r="B41" t="str">
            <v>reclas nv ASSURPOSTE</v>
          </cell>
          <cell r="C41">
            <v>2076782.6850000028</v>
          </cell>
          <cell r="D41">
            <v>0</v>
          </cell>
          <cell r="E41">
            <v>2076782.6850000028</v>
          </cell>
          <cell r="AJ41">
            <v>0</v>
          </cell>
          <cell r="AP41">
            <v>0</v>
          </cell>
        </row>
        <row r="42">
          <cell r="A42">
            <v>-21</v>
          </cell>
          <cell r="B42" t="str">
            <v>TOTAL VIE</v>
          </cell>
          <cell r="C42">
            <v>5690169013.5979681</v>
          </cell>
          <cell r="D42">
            <v>1093491288.4173126</v>
          </cell>
          <cell r="E42">
            <v>6783660302.0152807</v>
          </cell>
          <cell r="AJ42">
            <v>0</v>
          </cell>
          <cell r="AP42">
            <v>0</v>
          </cell>
        </row>
        <row r="43">
          <cell r="A43">
            <v>-20</v>
          </cell>
          <cell r="B43" t="str">
            <v>A130 - CNP IAM</v>
          </cell>
          <cell r="C43">
            <v>594762515.57294071</v>
          </cell>
          <cell r="D43">
            <v>0</v>
          </cell>
          <cell r="E43">
            <v>594762515.57294071</v>
          </cell>
          <cell r="AJ43">
            <v>0</v>
          </cell>
          <cell r="AP43">
            <v>0</v>
          </cell>
        </row>
        <row r="44">
          <cell r="A44">
            <v>-19</v>
          </cell>
          <cell r="B44" t="str">
            <v>G304 - CAIXA NONVIE</v>
          </cell>
          <cell r="C44">
            <v>6519077.9199999962</v>
          </cell>
          <cell r="D44">
            <v>6078174.0999999996</v>
          </cell>
          <cell r="E44">
            <v>12597252.019999996</v>
          </cell>
          <cell r="AJ44">
            <v>0</v>
          </cell>
          <cell r="AP44">
            <v>0</v>
          </cell>
        </row>
        <row r="45">
          <cell r="A45">
            <v>-18</v>
          </cell>
          <cell r="B45" t="str">
            <v>G301 - GLOBAL</v>
          </cell>
          <cell r="C45">
            <v>15451665.13412099</v>
          </cell>
          <cell r="D45">
            <v>7924638.9858790021</v>
          </cell>
          <cell r="E45">
            <v>23376304.11999999</v>
          </cell>
          <cell r="AJ45">
            <v>0</v>
          </cell>
          <cell r="AP45">
            <v>0</v>
          </cell>
        </row>
        <row r="46">
          <cell r="A46">
            <v>-17</v>
          </cell>
          <cell r="B46" t="str">
            <v>P501 - UNIVERS</v>
          </cell>
          <cell r="C46">
            <v>-777035.20904923056</v>
          </cell>
          <cell r="D46">
            <v>-31878.383328000011</v>
          </cell>
          <cell r="E46">
            <v>-808913.59237723053</v>
          </cell>
          <cell r="AJ46">
            <v>0</v>
          </cell>
          <cell r="AP46">
            <v>0</v>
          </cell>
        </row>
        <row r="47">
          <cell r="A47">
            <v>-16</v>
          </cell>
          <cell r="B47" t="str">
            <v>P511 - CNP ASSUR EURO SI</v>
          </cell>
          <cell r="C47">
            <v>-969244.86289862543</v>
          </cell>
          <cell r="D47">
            <v>0</v>
          </cell>
          <cell r="E47">
            <v>-969244.86289862543</v>
          </cell>
          <cell r="AJ47">
            <v>0</v>
          </cell>
          <cell r="AP47">
            <v>0</v>
          </cell>
        </row>
        <row r="48">
          <cell r="A48">
            <v>-15</v>
          </cell>
          <cell r="B48" t="str">
            <v>P561 - CNP ASSUR VALEUR SI</v>
          </cell>
          <cell r="C48">
            <v>-6010286.7341734916</v>
          </cell>
          <cell r="D48">
            <v>-1304114.4223800001</v>
          </cell>
          <cell r="E48">
            <v>-7314401.156553492</v>
          </cell>
          <cell r="AJ48">
            <v>0</v>
          </cell>
          <cell r="AP48">
            <v>0</v>
          </cell>
        </row>
        <row r="49">
          <cell r="A49">
            <v>-14</v>
          </cell>
          <cell r="B49" t="str">
            <v>P611 - EPARCOURT SICAV SI</v>
          </cell>
          <cell r="C49">
            <v>0</v>
          </cell>
          <cell r="D49">
            <v>0</v>
          </cell>
          <cell r="E49">
            <v>0</v>
          </cell>
          <cell r="AJ49">
            <v>0</v>
          </cell>
          <cell r="AP49">
            <v>0</v>
          </cell>
        </row>
        <row r="50">
          <cell r="A50">
            <v>-13</v>
          </cell>
          <cell r="B50" t="str">
            <v>P661 - CNP ACP OBLIG FCP</v>
          </cell>
          <cell r="C50">
            <v>-3698.2115741968155</v>
          </cell>
          <cell r="D50">
            <v>0</v>
          </cell>
          <cell r="E50">
            <v>-3698.2115741968155</v>
          </cell>
          <cell r="AJ50">
            <v>0</v>
          </cell>
          <cell r="AP50">
            <v>0</v>
          </cell>
        </row>
        <row r="51">
          <cell r="A51">
            <v>-12</v>
          </cell>
          <cell r="B51" t="str">
            <v>P671 - CNP ACP ACT LT FCP</v>
          </cell>
          <cell r="C51">
            <v>7.0797464991919696</v>
          </cell>
          <cell r="D51">
            <v>0</v>
          </cell>
          <cell r="E51">
            <v>7.0797464991919696</v>
          </cell>
          <cell r="AJ51">
            <v>0</v>
          </cell>
          <cell r="AP51">
            <v>0</v>
          </cell>
        </row>
        <row r="52">
          <cell r="A52">
            <v>-11</v>
          </cell>
          <cell r="B52" t="str">
            <v>xx</v>
          </cell>
          <cell r="C52">
            <v>0</v>
          </cell>
          <cell r="D52">
            <v>0</v>
          </cell>
          <cell r="E52">
            <v>0</v>
          </cell>
          <cell r="AJ52">
            <v>0</v>
          </cell>
          <cell r="AP52">
            <v>0</v>
          </cell>
        </row>
        <row r="53">
          <cell r="A53">
            <v>-10</v>
          </cell>
          <cell r="B53" t="str">
            <v>RETRAITEMENT2</v>
          </cell>
          <cell r="C53">
            <v>0</v>
          </cell>
          <cell r="D53">
            <v>0</v>
          </cell>
          <cell r="E53">
            <v>0</v>
          </cell>
          <cell r="AJ53">
            <v>0</v>
          </cell>
          <cell r="AP53">
            <v>0</v>
          </cell>
        </row>
        <row r="54">
          <cell r="A54">
            <v>-9</v>
          </cell>
          <cell r="B54" t="str">
            <v>CNP NON VIE</v>
          </cell>
          <cell r="C54">
            <v>0</v>
          </cell>
          <cell r="D54">
            <v>0</v>
          </cell>
          <cell r="E54">
            <v>0</v>
          </cell>
          <cell r="AJ54">
            <v>0</v>
          </cell>
          <cell r="AP54">
            <v>0</v>
          </cell>
        </row>
        <row r="55">
          <cell r="A55">
            <v>-8</v>
          </cell>
          <cell r="B55" t="str">
            <v>ASSURPOSTE NON VIE</v>
          </cell>
          <cell r="C55">
            <v>-2076782.6850000028</v>
          </cell>
          <cell r="D55">
            <v>0</v>
          </cell>
          <cell r="E55">
            <v>-2076782.6850000028</v>
          </cell>
          <cell r="AJ55">
            <v>0</v>
          </cell>
          <cell r="AP55">
            <v>0</v>
          </cell>
        </row>
        <row r="56">
          <cell r="A56">
            <v>-7</v>
          </cell>
          <cell r="B56" t="str">
            <v>NON VIE</v>
          </cell>
          <cell r="C56">
            <v>606896218.00411248</v>
          </cell>
          <cell r="D56">
            <v>12666820.280171001</v>
          </cell>
          <cell r="E56">
            <v>619563038.28428352</v>
          </cell>
          <cell r="AJ56">
            <v>0</v>
          </cell>
          <cell r="AP56">
            <v>0</v>
          </cell>
        </row>
        <row r="57">
          <cell r="A57">
            <v>-6</v>
          </cell>
          <cell r="B57" t="str">
            <v>F500 - ASSURBAIL</v>
          </cell>
          <cell r="C57">
            <v>84176225.98935318</v>
          </cell>
          <cell r="D57">
            <v>2608007.9050377994</v>
          </cell>
          <cell r="E57">
            <v>86784233.894390985</v>
          </cell>
          <cell r="AJ57">
            <v>0</v>
          </cell>
          <cell r="AP57">
            <v>0</v>
          </cell>
        </row>
        <row r="58">
          <cell r="A58">
            <v>-5</v>
          </cell>
          <cell r="B58" t="str">
            <v>I930 - SICAC</v>
          </cell>
          <cell r="C58">
            <v>29861547.649999999</v>
          </cell>
          <cell r="D58">
            <v>0</v>
          </cell>
          <cell r="E58">
            <v>29861547.649999999</v>
          </cell>
          <cell r="AJ58">
            <v>0</v>
          </cell>
          <cell r="AP58">
            <v>0</v>
          </cell>
        </row>
        <row r="59">
          <cell r="A59">
            <v>-4</v>
          </cell>
          <cell r="B59" t="str">
            <v>I950 -CNP IMMOBILIER</v>
          </cell>
          <cell r="C59">
            <v>-13641542.199999999</v>
          </cell>
          <cell r="D59">
            <v>0</v>
          </cell>
          <cell r="E59">
            <v>-13641542.199999999</v>
          </cell>
          <cell r="AJ59">
            <v>0</v>
          </cell>
          <cell r="AP59">
            <v>0</v>
          </cell>
        </row>
        <row r="60">
          <cell r="A60">
            <v>-2</v>
          </cell>
          <cell r="B60" t="str">
            <v>RETRAITEMENT3</v>
          </cell>
          <cell r="C60">
            <v>0</v>
          </cell>
          <cell r="D60">
            <v>0</v>
          </cell>
          <cell r="E60">
            <v>0</v>
          </cell>
          <cell r="AJ60">
            <v>0</v>
          </cell>
          <cell r="AP60">
            <v>0</v>
          </cell>
        </row>
        <row r="61">
          <cell r="A61">
            <v>-1</v>
          </cell>
          <cell r="B61" t="str">
            <v>TOTAL AUTRES</v>
          </cell>
          <cell r="C61">
            <v>100396231.43935318</v>
          </cell>
          <cell r="D61">
            <v>2608007.9050377994</v>
          </cell>
          <cell r="E61">
            <v>103004239.34439099</v>
          </cell>
          <cell r="AJ61">
            <v>0</v>
          </cell>
          <cell r="AP61">
            <v>0</v>
          </cell>
        </row>
        <row r="62">
          <cell r="B62" t="str">
            <v>TOTAL CONSO</v>
          </cell>
          <cell r="C62">
            <v>6397461463.0414371</v>
          </cell>
          <cell r="D62">
            <v>1108766116.6025214</v>
          </cell>
          <cell r="E62">
            <v>7506227579.643959</v>
          </cell>
          <cell r="AJ62">
            <v>0</v>
          </cell>
          <cell r="AP62">
            <v>0</v>
          </cell>
        </row>
        <row r="63">
          <cell r="AJ63">
            <v>0</v>
          </cell>
          <cell r="AP63">
            <v>0</v>
          </cell>
        </row>
        <row r="64">
          <cell r="AJ64">
            <v>0</v>
          </cell>
          <cell r="AP64">
            <v>0</v>
          </cell>
        </row>
        <row r="65">
          <cell r="A65" t="str">
            <v>Contröle</v>
          </cell>
          <cell r="C65">
            <v>0</v>
          </cell>
          <cell r="D65">
            <v>0</v>
          </cell>
          <cell r="E65">
            <v>0</v>
          </cell>
          <cell r="AJ65">
            <v>0</v>
          </cell>
          <cell r="AP65">
            <v>0</v>
          </cell>
        </row>
        <row r="66">
          <cell r="AJ66">
            <v>0</v>
          </cell>
          <cell r="AP66">
            <v>0</v>
          </cell>
        </row>
        <row r="67">
          <cell r="AJ67">
            <v>0</v>
          </cell>
          <cell r="AP67">
            <v>0</v>
          </cell>
        </row>
        <row r="68">
          <cell r="AJ68">
            <v>0</v>
          </cell>
          <cell r="AP68">
            <v>0</v>
          </cell>
        </row>
        <row r="69">
          <cell r="AJ69">
            <v>0</v>
          </cell>
          <cell r="AP69">
            <v>0</v>
          </cell>
        </row>
        <row r="70">
          <cell r="AJ70">
            <v>0</v>
          </cell>
          <cell r="AP70">
            <v>0</v>
          </cell>
        </row>
        <row r="71">
          <cell r="AJ71">
            <v>0</v>
          </cell>
          <cell r="AP71">
            <v>0</v>
          </cell>
        </row>
        <row r="72">
          <cell r="AJ72">
            <v>0</v>
          </cell>
          <cell r="AP72">
            <v>0</v>
          </cell>
        </row>
        <row r="73">
          <cell r="AJ73">
            <v>0</v>
          </cell>
          <cell r="AP73">
            <v>0</v>
          </cell>
        </row>
        <row r="74">
          <cell r="AJ74">
            <v>0</v>
          </cell>
          <cell r="AP74">
            <v>0</v>
          </cell>
        </row>
        <row r="75">
          <cell r="AJ75">
            <v>0</v>
          </cell>
          <cell r="AP75">
            <v>0</v>
          </cell>
        </row>
        <row r="76">
          <cell r="AJ76">
            <v>0</v>
          </cell>
          <cell r="AP76">
            <v>0</v>
          </cell>
        </row>
        <row r="77">
          <cell r="AJ77">
            <v>0</v>
          </cell>
          <cell r="AP77">
            <v>0</v>
          </cell>
        </row>
        <row r="78">
          <cell r="AJ78">
            <v>0</v>
          </cell>
          <cell r="AP78">
            <v>0</v>
          </cell>
        </row>
        <row r="79">
          <cell r="AJ79">
            <v>0</v>
          </cell>
          <cell r="AP79">
            <v>0</v>
          </cell>
        </row>
        <row r="80">
          <cell r="AJ80">
            <v>0</v>
          </cell>
          <cell r="AP80">
            <v>0</v>
          </cell>
        </row>
        <row r="81">
          <cell r="AJ81">
            <v>0</v>
          </cell>
          <cell r="AP81">
            <v>0</v>
          </cell>
        </row>
        <row r="82">
          <cell r="AJ82">
            <v>0</v>
          </cell>
          <cell r="AP82">
            <v>0</v>
          </cell>
        </row>
        <row r="83">
          <cell r="AJ83">
            <v>0</v>
          </cell>
          <cell r="AP83">
            <v>0</v>
          </cell>
        </row>
        <row r="84">
          <cell r="AJ84">
            <v>0</v>
          </cell>
          <cell r="AP84">
            <v>0</v>
          </cell>
        </row>
        <row r="85">
          <cell r="AJ85">
            <v>0</v>
          </cell>
          <cell r="AP85">
            <v>0</v>
          </cell>
        </row>
        <row r="86">
          <cell r="AJ86">
            <v>0</v>
          </cell>
          <cell r="AP86">
            <v>0</v>
          </cell>
        </row>
        <row r="87">
          <cell r="AJ87">
            <v>0</v>
          </cell>
          <cell r="AP87">
            <v>0</v>
          </cell>
        </row>
        <row r="88">
          <cell r="AJ88">
            <v>0</v>
          </cell>
          <cell r="AP88">
            <v>0</v>
          </cell>
        </row>
        <row r="89">
          <cell r="AJ89">
            <v>0</v>
          </cell>
          <cell r="AP89">
            <v>0</v>
          </cell>
        </row>
        <row r="90">
          <cell r="AJ90">
            <v>0</v>
          </cell>
          <cell r="AP90">
            <v>0</v>
          </cell>
        </row>
        <row r="91">
          <cell r="AJ91">
            <v>0</v>
          </cell>
          <cell r="AP91">
            <v>0</v>
          </cell>
        </row>
        <row r="92">
          <cell r="AJ92">
            <v>0</v>
          </cell>
          <cell r="AP92">
            <v>0</v>
          </cell>
        </row>
        <row r="93">
          <cell r="AJ93">
            <v>0</v>
          </cell>
          <cell r="AP93">
            <v>0</v>
          </cell>
        </row>
        <row r="94">
          <cell r="AJ94">
            <v>0</v>
          </cell>
          <cell r="AP94">
            <v>0</v>
          </cell>
        </row>
        <row r="95">
          <cell r="AJ95">
            <v>0</v>
          </cell>
          <cell r="AP95">
            <v>0</v>
          </cell>
        </row>
        <row r="96">
          <cell r="AJ96">
            <v>0</v>
          </cell>
          <cell r="AP96">
            <v>0</v>
          </cell>
        </row>
        <row r="97">
          <cell r="AJ97">
            <v>0</v>
          </cell>
          <cell r="AP97">
            <v>0</v>
          </cell>
        </row>
        <row r="98">
          <cell r="AJ98">
            <v>0</v>
          </cell>
          <cell r="AP98">
            <v>0</v>
          </cell>
        </row>
        <row r="99">
          <cell r="AJ99">
            <v>0</v>
          </cell>
          <cell r="AP99">
            <v>0</v>
          </cell>
        </row>
        <row r="100">
          <cell r="AJ100">
            <v>0</v>
          </cell>
          <cell r="AP100">
            <v>0</v>
          </cell>
        </row>
        <row r="101">
          <cell r="AJ101">
            <v>0</v>
          </cell>
          <cell r="AP101">
            <v>0</v>
          </cell>
        </row>
        <row r="102">
          <cell r="AJ102">
            <v>0</v>
          </cell>
          <cell r="AP102">
            <v>0</v>
          </cell>
        </row>
        <row r="103">
          <cell r="AJ103">
            <v>0</v>
          </cell>
          <cell r="AP103">
            <v>0</v>
          </cell>
        </row>
        <row r="104">
          <cell r="AJ104">
            <v>0</v>
          </cell>
          <cell r="AP104">
            <v>0</v>
          </cell>
        </row>
        <row r="105">
          <cell r="AJ105">
            <v>0</v>
          </cell>
          <cell r="AP105">
            <v>0</v>
          </cell>
        </row>
        <row r="106">
          <cell r="AJ106">
            <v>0</v>
          </cell>
          <cell r="AP106">
            <v>0</v>
          </cell>
        </row>
        <row r="107">
          <cell r="AJ107">
            <v>0</v>
          </cell>
          <cell r="AP107">
            <v>0</v>
          </cell>
        </row>
        <row r="108">
          <cell r="AJ108">
            <v>0</v>
          </cell>
          <cell r="AP108">
            <v>0</v>
          </cell>
        </row>
        <row r="109">
          <cell r="AJ109">
            <v>0</v>
          </cell>
          <cell r="AP109">
            <v>0</v>
          </cell>
        </row>
        <row r="110">
          <cell r="AJ110">
            <v>0</v>
          </cell>
          <cell r="AP110">
            <v>0</v>
          </cell>
        </row>
        <row r="111">
          <cell r="AJ111">
            <v>0</v>
          </cell>
          <cell r="AP111">
            <v>0</v>
          </cell>
        </row>
        <row r="112">
          <cell r="AJ112">
            <v>0</v>
          </cell>
          <cell r="AP112">
            <v>0</v>
          </cell>
        </row>
        <row r="113">
          <cell r="AJ113">
            <v>0</v>
          </cell>
          <cell r="AP113">
            <v>0</v>
          </cell>
        </row>
        <row r="114">
          <cell r="AJ114">
            <v>0</v>
          </cell>
          <cell r="AP114">
            <v>0</v>
          </cell>
        </row>
        <row r="115">
          <cell r="AJ115">
            <v>0</v>
          </cell>
          <cell r="AP115">
            <v>0</v>
          </cell>
        </row>
        <row r="116">
          <cell r="AJ116">
            <v>0</v>
          </cell>
          <cell r="AP116">
            <v>0</v>
          </cell>
        </row>
        <row r="117">
          <cell r="AJ117">
            <v>0</v>
          </cell>
          <cell r="AP117">
            <v>0</v>
          </cell>
        </row>
        <row r="118">
          <cell r="AJ118">
            <v>0</v>
          </cell>
          <cell r="AP118">
            <v>0</v>
          </cell>
        </row>
        <row r="119">
          <cell r="AJ119">
            <v>0</v>
          </cell>
          <cell r="AP119">
            <v>0</v>
          </cell>
        </row>
        <row r="120">
          <cell r="AJ120">
            <v>0</v>
          </cell>
          <cell r="AP120">
            <v>0</v>
          </cell>
        </row>
        <row r="121">
          <cell r="AJ121">
            <v>0</v>
          </cell>
          <cell r="AP121">
            <v>0</v>
          </cell>
        </row>
        <row r="122">
          <cell r="AJ122">
            <v>0</v>
          </cell>
          <cell r="AP122">
            <v>0</v>
          </cell>
        </row>
        <row r="123">
          <cell r="AJ123">
            <v>0</v>
          </cell>
          <cell r="AP123">
            <v>0</v>
          </cell>
        </row>
        <row r="124">
          <cell r="AJ124">
            <v>0</v>
          </cell>
          <cell r="AP124">
            <v>0</v>
          </cell>
        </row>
        <row r="125">
          <cell r="AJ125">
            <v>0</v>
          </cell>
          <cell r="AP125">
            <v>0</v>
          </cell>
        </row>
        <row r="126">
          <cell r="AJ126">
            <v>0</v>
          </cell>
          <cell r="AP126">
            <v>0</v>
          </cell>
        </row>
        <row r="127">
          <cell r="AJ127">
            <v>0</v>
          </cell>
          <cell r="AP127">
            <v>0</v>
          </cell>
        </row>
        <row r="128">
          <cell r="AJ128">
            <v>0</v>
          </cell>
          <cell r="AP128">
            <v>0</v>
          </cell>
        </row>
        <row r="129">
          <cell r="AJ129">
            <v>0</v>
          </cell>
          <cell r="AP129">
            <v>0</v>
          </cell>
        </row>
        <row r="130">
          <cell r="AJ130">
            <v>0</v>
          </cell>
          <cell r="AP130">
            <v>0</v>
          </cell>
        </row>
        <row r="131">
          <cell r="AJ131">
            <v>0</v>
          </cell>
          <cell r="AP131">
            <v>0</v>
          </cell>
        </row>
        <row r="132">
          <cell r="AJ132">
            <v>0</v>
          </cell>
          <cell r="AP132">
            <v>0</v>
          </cell>
        </row>
        <row r="133">
          <cell r="AJ133">
            <v>0</v>
          </cell>
          <cell r="AP133">
            <v>0</v>
          </cell>
        </row>
        <row r="134">
          <cell r="AJ134">
            <v>0</v>
          </cell>
          <cell r="AP134">
            <v>0</v>
          </cell>
        </row>
        <row r="135">
          <cell r="AJ135">
            <v>0</v>
          </cell>
          <cell r="AP135">
            <v>0</v>
          </cell>
        </row>
        <row r="136">
          <cell r="AJ136">
            <v>0</v>
          </cell>
          <cell r="AP136">
            <v>0</v>
          </cell>
        </row>
        <row r="137">
          <cell r="AJ137">
            <v>0</v>
          </cell>
          <cell r="AP137">
            <v>0</v>
          </cell>
        </row>
        <row r="138">
          <cell r="AJ138">
            <v>0</v>
          </cell>
          <cell r="AP138">
            <v>0</v>
          </cell>
        </row>
        <row r="139">
          <cell r="AJ139">
            <v>0</v>
          </cell>
          <cell r="AP139">
            <v>0</v>
          </cell>
        </row>
        <row r="140">
          <cell r="AJ140">
            <v>0</v>
          </cell>
          <cell r="AP140">
            <v>0</v>
          </cell>
        </row>
        <row r="141">
          <cell r="AJ141">
            <v>0</v>
          </cell>
          <cell r="AP141">
            <v>0</v>
          </cell>
        </row>
        <row r="142">
          <cell r="AJ142">
            <v>0</v>
          </cell>
          <cell r="AP142">
            <v>0</v>
          </cell>
        </row>
        <row r="143">
          <cell r="AJ143">
            <v>0</v>
          </cell>
          <cell r="AP143">
            <v>0</v>
          </cell>
        </row>
        <row r="144">
          <cell r="AJ144">
            <v>0</v>
          </cell>
          <cell r="AP144">
            <v>0</v>
          </cell>
        </row>
        <row r="145">
          <cell r="AJ145">
            <v>0</v>
          </cell>
          <cell r="AP145">
            <v>0</v>
          </cell>
        </row>
        <row r="146">
          <cell r="AJ146">
            <v>0</v>
          </cell>
          <cell r="AP146">
            <v>0</v>
          </cell>
        </row>
        <row r="147">
          <cell r="AJ147">
            <v>0</v>
          </cell>
          <cell r="AP147">
            <v>0</v>
          </cell>
        </row>
        <row r="148">
          <cell r="AJ148">
            <v>0</v>
          </cell>
          <cell r="AP148">
            <v>0</v>
          </cell>
        </row>
        <row r="149">
          <cell r="AJ149">
            <v>0</v>
          </cell>
          <cell r="AP149">
            <v>0</v>
          </cell>
        </row>
        <row r="150">
          <cell r="AJ150">
            <v>0</v>
          </cell>
          <cell r="AP150">
            <v>0</v>
          </cell>
        </row>
        <row r="151">
          <cell r="AJ151">
            <v>0</v>
          </cell>
          <cell r="AP151">
            <v>0</v>
          </cell>
        </row>
        <row r="152">
          <cell r="AJ152">
            <v>0</v>
          </cell>
          <cell r="AP152">
            <v>0</v>
          </cell>
        </row>
        <row r="153">
          <cell r="AJ153">
            <v>0</v>
          </cell>
          <cell r="AP153">
            <v>0</v>
          </cell>
        </row>
        <row r="154">
          <cell r="AJ154">
            <v>0</v>
          </cell>
          <cell r="AP154">
            <v>0</v>
          </cell>
        </row>
        <row r="155">
          <cell r="AJ155">
            <v>0</v>
          </cell>
          <cell r="AP155">
            <v>0</v>
          </cell>
        </row>
        <row r="156">
          <cell r="AJ156">
            <v>0</v>
          </cell>
          <cell r="AP156">
            <v>0</v>
          </cell>
        </row>
        <row r="157">
          <cell r="AJ157">
            <v>0</v>
          </cell>
          <cell r="AP157">
            <v>0</v>
          </cell>
        </row>
        <row r="158">
          <cell r="AJ158">
            <v>0</v>
          </cell>
          <cell r="AP158">
            <v>0</v>
          </cell>
        </row>
        <row r="159">
          <cell r="AJ159">
            <v>0</v>
          </cell>
          <cell r="AP159">
            <v>0</v>
          </cell>
        </row>
        <row r="160">
          <cell r="AJ160">
            <v>0</v>
          </cell>
          <cell r="AP160">
            <v>0</v>
          </cell>
        </row>
        <row r="161">
          <cell r="AJ161">
            <v>0</v>
          </cell>
          <cell r="AP161">
            <v>0</v>
          </cell>
        </row>
        <row r="162">
          <cell r="AJ162">
            <v>0</v>
          </cell>
          <cell r="AP162">
            <v>0</v>
          </cell>
        </row>
        <row r="163">
          <cell r="AJ163">
            <v>0</v>
          </cell>
          <cell r="AP163">
            <v>0</v>
          </cell>
        </row>
        <row r="164">
          <cell r="AJ164">
            <v>0</v>
          </cell>
          <cell r="AP164">
            <v>0</v>
          </cell>
        </row>
        <row r="165">
          <cell r="AJ165">
            <v>0</v>
          </cell>
          <cell r="AP165">
            <v>0</v>
          </cell>
        </row>
        <row r="166">
          <cell r="AJ166">
            <v>0</v>
          </cell>
          <cell r="AP166">
            <v>0</v>
          </cell>
        </row>
        <row r="167">
          <cell r="AJ167">
            <v>0</v>
          </cell>
          <cell r="AP167">
            <v>0</v>
          </cell>
        </row>
        <row r="168">
          <cell r="AJ168">
            <v>0</v>
          </cell>
          <cell r="AP168">
            <v>0</v>
          </cell>
        </row>
        <row r="169">
          <cell r="AJ169">
            <v>0</v>
          </cell>
          <cell r="AP169">
            <v>0</v>
          </cell>
        </row>
        <row r="170">
          <cell r="AJ170">
            <v>0</v>
          </cell>
          <cell r="AP170">
            <v>0</v>
          </cell>
        </row>
        <row r="171">
          <cell r="AJ171">
            <v>0</v>
          </cell>
          <cell r="AP171">
            <v>0</v>
          </cell>
        </row>
        <row r="172">
          <cell r="AJ172">
            <v>0</v>
          </cell>
          <cell r="AP172">
            <v>0</v>
          </cell>
        </row>
        <row r="173">
          <cell r="AJ173">
            <v>0</v>
          </cell>
          <cell r="AP173">
            <v>0</v>
          </cell>
        </row>
        <row r="174">
          <cell r="AJ174">
            <v>0</v>
          </cell>
          <cell r="AP174">
            <v>0</v>
          </cell>
        </row>
        <row r="175">
          <cell r="AJ175">
            <v>0</v>
          </cell>
          <cell r="AP175">
            <v>0</v>
          </cell>
        </row>
        <row r="176">
          <cell r="AJ176">
            <v>0</v>
          </cell>
          <cell r="AP176">
            <v>0</v>
          </cell>
        </row>
        <row r="177">
          <cell r="AJ177">
            <v>0</v>
          </cell>
          <cell r="AP177">
            <v>0</v>
          </cell>
        </row>
        <row r="178">
          <cell r="AJ178">
            <v>0</v>
          </cell>
          <cell r="AP178">
            <v>0</v>
          </cell>
        </row>
        <row r="179">
          <cell r="AJ179">
            <v>0</v>
          </cell>
          <cell r="AP179">
            <v>0</v>
          </cell>
        </row>
        <row r="180">
          <cell r="AJ180">
            <v>0</v>
          </cell>
          <cell r="AP180">
            <v>0</v>
          </cell>
        </row>
        <row r="181">
          <cell r="AJ181">
            <v>0</v>
          </cell>
          <cell r="AP181">
            <v>0</v>
          </cell>
        </row>
        <row r="182">
          <cell r="AJ182">
            <v>0</v>
          </cell>
          <cell r="AP182">
            <v>0</v>
          </cell>
        </row>
        <row r="183">
          <cell r="AJ183">
            <v>0</v>
          </cell>
          <cell r="AP183">
            <v>0</v>
          </cell>
        </row>
        <row r="184">
          <cell r="AJ184">
            <v>0</v>
          </cell>
          <cell r="AP184">
            <v>0</v>
          </cell>
        </row>
        <row r="185">
          <cell r="AJ185">
            <v>0</v>
          </cell>
          <cell r="AP185">
            <v>0</v>
          </cell>
        </row>
        <row r="186">
          <cell r="AJ186">
            <v>0</v>
          </cell>
          <cell r="AP186">
            <v>0</v>
          </cell>
        </row>
        <row r="187">
          <cell r="AJ187">
            <v>0</v>
          </cell>
          <cell r="AP187">
            <v>0</v>
          </cell>
        </row>
        <row r="188">
          <cell r="AJ188">
            <v>0</v>
          </cell>
          <cell r="AP188">
            <v>0</v>
          </cell>
        </row>
        <row r="189">
          <cell r="AJ189">
            <v>0</v>
          </cell>
          <cell r="AP189">
            <v>0</v>
          </cell>
        </row>
        <row r="190">
          <cell r="AJ190">
            <v>0</v>
          </cell>
          <cell r="AP190">
            <v>0</v>
          </cell>
        </row>
        <row r="191">
          <cell r="AJ191">
            <v>0</v>
          </cell>
          <cell r="AP191">
            <v>0</v>
          </cell>
        </row>
        <row r="192">
          <cell r="AJ192">
            <v>0</v>
          </cell>
          <cell r="AP192">
            <v>0</v>
          </cell>
        </row>
        <row r="193">
          <cell r="AJ193">
            <v>0</v>
          </cell>
          <cell r="AP193">
            <v>0</v>
          </cell>
        </row>
        <row r="194">
          <cell r="AJ194">
            <v>0</v>
          </cell>
          <cell r="AP194">
            <v>0</v>
          </cell>
        </row>
        <row r="195">
          <cell r="AJ195">
            <v>0</v>
          </cell>
          <cell r="AP195">
            <v>0</v>
          </cell>
        </row>
        <row r="196">
          <cell r="AJ196">
            <v>0</v>
          </cell>
          <cell r="AP196">
            <v>0</v>
          </cell>
        </row>
        <row r="197">
          <cell r="AJ197">
            <v>0</v>
          </cell>
          <cell r="AP197">
            <v>0</v>
          </cell>
        </row>
        <row r="198">
          <cell r="AJ198">
            <v>0</v>
          </cell>
          <cell r="AP198">
            <v>0</v>
          </cell>
        </row>
        <row r="199">
          <cell r="AJ199">
            <v>0</v>
          </cell>
          <cell r="AP199">
            <v>0</v>
          </cell>
        </row>
        <row r="200">
          <cell r="AJ200">
            <v>0</v>
          </cell>
          <cell r="AP200">
            <v>0</v>
          </cell>
        </row>
        <row r="201">
          <cell r="AJ201">
            <v>0</v>
          </cell>
          <cell r="AP201">
            <v>0</v>
          </cell>
        </row>
        <row r="202">
          <cell r="AJ202">
            <v>0</v>
          </cell>
          <cell r="AP202">
            <v>0</v>
          </cell>
        </row>
        <row r="203">
          <cell r="AJ203">
            <v>0</v>
          </cell>
          <cell r="AP203">
            <v>0</v>
          </cell>
        </row>
        <row r="204">
          <cell r="AJ204">
            <v>0</v>
          </cell>
          <cell r="AP204">
            <v>0</v>
          </cell>
        </row>
        <row r="205">
          <cell r="AJ205">
            <v>0</v>
          </cell>
          <cell r="AP205">
            <v>0</v>
          </cell>
        </row>
        <row r="206">
          <cell r="AJ206">
            <v>0</v>
          </cell>
          <cell r="AP206">
            <v>0</v>
          </cell>
        </row>
        <row r="207">
          <cell r="AJ207">
            <v>0</v>
          </cell>
          <cell r="AP207">
            <v>0</v>
          </cell>
        </row>
        <row r="208">
          <cell r="AJ208">
            <v>0</v>
          </cell>
          <cell r="AP208">
            <v>0</v>
          </cell>
        </row>
        <row r="209">
          <cell r="AJ209">
            <v>0</v>
          </cell>
          <cell r="AP209">
            <v>0</v>
          </cell>
        </row>
        <row r="210">
          <cell r="AJ210">
            <v>0</v>
          </cell>
          <cell r="AP210">
            <v>0</v>
          </cell>
        </row>
        <row r="211">
          <cell r="AJ211">
            <v>0</v>
          </cell>
          <cell r="AP211">
            <v>0</v>
          </cell>
        </row>
        <row r="212">
          <cell r="AJ212">
            <v>0</v>
          </cell>
          <cell r="AP212">
            <v>0</v>
          </cell>
        </row>
        <row r="213">
          <cell r="AJ213">
            <v>0</v>
          </cell>
          <cell r="AP213">
            <v>0</v>
          </cell>
        </row>
        <row r="214">
          <cell r="AJ214">
            <v>0</v>
          </cell>
          <cell r="AP214">
            <v>0</v>
          </cell>
        </row>
        <row r="215">
          <cell r="AJ215">
            <v>0</v>
          </cell>
          <cell r="AP215">
            <v>0</v>
          </cell>
        </row>
        <row r="216">
          <cell r="AJ216">
            <v>0</v>
          </cell>
          <cell r="AP216">
            <v>0</v>
          </cell>
        </row>
        <row r="217">
          <cell r="AJ217">
            <v>0</v>
          </cell>
          <cell r="AP217">
            <v>0</v>
          </cell>
        </row>
        <row r="218">
          <cell r="AJ218">
            <v>0</v>
          </cell>
          <cell r="AP218">
            <v>0</v>
          </cell>
        </row>
        <row r="219">
          <cell r="AJ219">
            <v>0</v>
          </cell>
          <cell r="AP219">
            <v>0</v>
          </cell>
        </row>
        <row r="220">
          <cell r="AJ220">
            <v>0</v>
          </cell>
          <cell r="AP220">
            <v>0</v>
          </cell>
        </row>
        <row r="221">
          <cell r="AJ221">
            <v>0</v>
          </cell>
          <cell r="AP221">
            <v>0</v>
          </cell>
        </row>
        <row r="222">
          <cell r="AJ222">
            <v>0</v>
          </cell>
          <cell r="AP222">
            <v>0</v>
          </cell>
        </row>
        <row r="223">
          <cell r="AJ223">
            <v>0</v>
          </cell>
          <cell r="AP223">
            <v>0</v>
          </cell>
        </row>
        <row r="224">
          <cell r="AJ224">
            <v>0</v>
          </cell>
          <cell r="AP224">
            <v>0</v>
          </cell>
        </row>
        <row r="225">
          <cell r="AJ225">
            <v>0</v>
          </cell>
          <cell r="AP225">
            <v>0</v>
          </cell>
        </row>
        <row r="226">
          <cell r="AJ226">
            <v>0</v>
          </cell>
          <cell r="AP226">
            <v>0</v>
          </cell>
        </row>
        <row r="227">
          <cell r="AJ227">
            <v>0</v>
          </cell>
          <cell r="AP227">
            <v>0</v>
          </cell>
        </row>
        <row r="228">
          <cell r="AJ228">
            <v>0</v>
          </cell>
          <cell r="AP228">
            <v>0</v>
          </cell>
        </row>
        <row r="229">
          <cell r="AJ229">
            <v>0</v>
          </cell>
          <cell r="AP229">
            <v>0</v>
          </cell>
        </row>
        <row r="230">
          <cell r="AJ230">
            <v>0</v>
          </cell>
          <cell r="AP230">
            <v>0</v>
          </cell>
        </row>
        <row r="231">
          <cell r="AJ231">
            <v>0</v>
          </cell>
          <cell r="AP231">
            <v>0</v>
          </cell>
        </row>
        <row r="232">
          <cell r="AJ232">
            <v>0</v>
          </cell>
          <cell r="AP232">
            <v>0</v>
          </cell>
        </row>
        <row r="233">
          <cell r="AJ233">
            <v>0</v>
          </cell>
          <cell r="AP233">
            <v>0</v>
          </cell>
        </row>
        <row r="234">
          <cell r="AJ234">
            <v>0</v>
          </cell>
          <cell r="AP234">
            <v>0</v>
          </cell>
        </row>
        <row r="235">
          <cell r="AJ235">
            <v>0</v>
          </cell>
          <cell r="AP235">
            <v>0</v>
          </cell>
        </row>
        <row r="236">
          <cell r="AJ236">
            <v>0</v>
          </cell>
          <cell r="AP236">
            <v>0</v>
          </cell>
        </row>
        <row r="237">
          <cell r="AJ237">
            <v>0</v>
          </cell>
          <cell r="AP237">
            <v>0</v>
          </cell>
        </row>
        <row r="238">
          <cell r="AJ238">
            <v>0</v>
          </cell>
          <cell r="AP238">
            <v>0</v>
          </cell>
        </row>
        <row r="239">
          <cell r="AJ239">
            <v>0</v>
          </cell>
          <cell r="AP239">
            <v>0</v>
          </cell>
        </row>
        <row r="240">
          <cell r="AJ240">
            <v>0</v>
          </cell>
          <cell r="AP240">
            <v>0</v>
          </cell>
        </row>
        <row r="241">
          <cell r="AJ241">
            <v>0</v>
          </cell>
          <cell r="AP241">
            <v>0</v>
          </cell>
        </row>
        <row r="242">
          <cell r="AJ242">
            <v>0</v>
          </cell>
          <cell r="AP242">
            <v>0</v>
          </cell>
        </row>
        <row r="243">
          <cell r="AJ243">
            <v>0</v>
          </cell>
          <cell r="AP243">
            <v>0</v>
          </cell>
        </row>
        <row r="244">
          <cell r="AJ244">
            <v>0</v>
          </cell>
          <cell r="AP244">
            <v>0</v>
          </cell>
        </row>
        <row r="245">
          <cell r="AJ245">
            <v>0</v>
          </cell>
          <cell r="AP245">
            <v>0</v>
          </cell>
        </row>
        <row r="246">
          <cell r="AJ246">
            <v>0</v>
          </cell>
          <cell r="AP246">
            <v>0</v>
          </cell>
        </row>
        <row r="247">
          <cell r="AJ247">
            <v>0</v>
          </cell>
          <cell r="AP247">
            <v>0</v>
          </cell>
        </row>
        <row r="248">
          <cell r="AJ248">
            <v>0</v>
          </cell>
          <cell r="AP248">
            <v>0</v>
          </cell>
        </row>
        <row r="249">
          <cell r="AJ249">
            <v>0</v>
          </cell>
          <cell r="AP249">
            <v>0</v>
          </cell>
        </row>
        <row r="250">
          <cell r="AJ250">
            <v>0</v>
          </cell>
          <cell r="AP250">
            <v>0</v>
          </cell>
        </row>
        <row r="251">
          <cell r="AJ251">
            <v>0</v>
          </cell>
          <cell r="AP251">
            <v>0</v>
          </cell>
        </row>
        <row r="252">
          <cell r="AJ252">
            <v>0</v>
          </cell>
          <cell r="AP252">
            <v>0</v>
          </cell>
        </row>
        <row r="253">
          <cell r="AJ253">
            <v>0</v>
          </cell>
          <cell r="AP253">
            <v>0</v>
          </cell>
        </row>
        <row r="254">
          <cell r="AJ254">
            <v>0</v>
          </cell>
          <cell r="AP254">
            <v>0</v>
          </cell>
        </row>
        <row r="255">
          <cell r="AJ255">
            <v>0</v>
          </cell>
          <cell r="AP255">
            <v>0</v>
          </cell>
        </row>
        <row r="256">
          <cell r="AJ256">
            <v>0</v>
          </cell>
          <cell r="AP256">
            <v>0</v>
          </cell>
        </row>
        <row r="257">
          <cell r="AJ257">
            <v>0</v>
          </cell>
          <cell r="AP257">
            <v>0</v>
          </cell>
        </row>
        <row r="258">
          <cell r="AJ258">
            <v>0</v>
          </cell>
          <cell r="AP258">
            <v>0</v>
          </cell>
        </row>
        <row r="259">
          <cell r="AJ259">
            <v>0</v>
          </cell>
          <cell r="AP259">
            <v>0</v>
          </cell>
        </row>
        <row r="260">
          <cell r="AJ260">
            <v>0</v>
          </cell>
          <cell r="AP260">
            <v>0</v>
          </cell>
        </row>
        <row r="261">
          <cell r="AJ261">
            <v>0</v>
          </cell>
          <cell r="AP261">
            <v>0</v>
          </cell>
        </row>
        <row r="262">
          <cell r="AJ262">
            <v>0</v>
          </cell>
          <cell r="AP262">
            <v>0</v>
          </cell>
        </row>
        <row r="263">
          <cell r="AJ263">
            <v>0</v>
          </cell>
          <cell r="AP263">
            <v>0</v>
          </cell>
        </row>
        <row r="264">
          <cell r="AJ264">
            <v>0</v>
          </cell>
          <cell r="AP264">
            <v>0</v>
          </cell>
        </row>
        <row r="265">
          <cell r="AJ265">
            <v>0</v>
          </cell>
          <cell r="AP265">
            <v>0</v>
          </cell>
        </row>
        <row r="266">
          <cell r="AJ266">
            <v>0</v>
          </cell>
          <cell r="AP266">
            <v>0</v>
          </cell>
        </row>
        <row r="267">
          <cell r="AJ267">
            <v>0</v>
          </cell>
          <cell r="AP267">
            <v>0</v>
          </cell>
        </row>
        <row r="268">
          <cell r="AJ268">
            <v>0</v>
          </cell>
          <cell r="AP268">
            <v>0</v>
          </cell>
        </row>
        <row r="269">
          <cell r="AJ269">
            <v>0</v>
          </cell>
          <cell r="AP269">
            <v>0</v>
          </cell>
        </row>
        <row r="270">
          <cell r="AJ270">
            <v>0</v>
          </cell>
          <cell r="AP270">
            <v>0</v>
          </cell>
        </row>
        <row r="271">
          <cell r="AJ271">
            <v>0</v>
          </cell>
          <cell r="AP271">
            <v>0</v>
          </cell>
        </row>
        <row r="272">
          <cell r="AJ272">
            <v>0</v>
          </cell>
          <cell r="AP272">
            <v>0</v>
          </cell>
        </row>
        <row r="273">
          <cell r="AJ273">
            <v>0</v>
          </cell>
          <cell r="AP273">
            <v>0</v>
          </cell>
        </row>
        <row r="274">
          <cell r="AJ274">
            <v>0</v>
          </cell>
          <cell r="AP274">
            <v>0</v>
          </cell>
        </row>
        <row r="275">
          <cell r="AJ275">
            <v>0</v>
          </cell>
          <cell r="AP275">
            <v>0</v>
          </cell>
        </row>
        <row r="276">
          <cell r="AJ276">
            <v>0</v>
          </cell>
          <cell r="AP276">
            <v>0</v>
          </cell>
        </row>
        <row r="277">
          <cell r="AJ277">
            <v>0</v>
          </cell>
          <cell r="AP277">
            <v>0</v>
          </cell>
        </row>
        <row r="278">
          <cell r="AJ278">
            <v>0</v>
          </cell>
          <cell r="AP278">
            <v>0</v>
          </cell>
        </row>
        <row r="279">
          <cell r="AJ279">
            <v>0</v>
          </cell>
          <cell r="AP279">
            <v>0</v>
          </cell>
        </row>
        <row r="280">
          <cell r="AJ280">
            <v>0</v>
          </cell>
          <cell r="AP280">
            <v>0</v>
          </cell>
        </row>
        <row r="281">
          <cell r="AJ281">
            <v>0</v>
          </cell>
          <cell r="AP281">
            <v>0</v>
          </cell>
        </row>
        <row r="282">
          <cell r="AJ282">
            <v>0</v>
          </cell>
          <cell r="AP282">
            <v>0</v>
          </cell>
        </row>
        <row r="283">
          <cell r="AJ283">
            <v>0</v>
          </cell>
          <cell r="AP283">
            <v>0</v>
          </cell>
        </row>
        <row r="284">
          <cell r="AJ284">
            <v>0</v>
          </cell>
          <cell r="AP284">
            <v>0</v>
          </cell>
        </row>
        <row r="285">
          <cell r="AJ285">
            <v>0</v>
          </cell>
          <cell r="AP285">
            <v>0</v>
          </cell>
        </row>
        <row r="286">
          <cell r="AJ286">
            <v>0</v>
          </cell>
          <cell r="AP286">
            <v>0</v>
          </cell>
        </row>
        <row r="287">
          <cell r="AJ287">
            <v>0</v>
          </cell>
          <cell r="AP287">
            <v>0</v>
          </cell>
        </row>
        <row r="288">
          <cell r="AJ288">
            <v>0</v>
          </cell>
          <cell r="AP288">
            <v>0</v>
          </cell>
        </row>
        <row r="289">
          <cell r="AJ289">
            <v>0</v>
          </cell>
          <cell r="AP289">
            <v>0</v>
          </cell>
        </row>
        <row r="290">
          <cell r="AJ290">
            <v>0</v>
          </cell>
          <cell r="AP290">
            <v>0</v>
          </cell>
        </row>
        <row r="291">
          <cell r="AJ291">
            <v>0</v>
          </cell>
          <cell r="AP291">
            <v>0</v>
          </cell>
        </row>
        <row r="292">
          <cell r="AJ292">
            <v>0</v>
          </cell>
          <cell r="AP292">
            <v>0</v>
          </cell>
        </row>
        <row r="293">
          <cell r="AJ293">
            <v>0</v>
          </cell>
          <cell r="AP293">
            <v>0</v>
          </cell>
        </row>
        <row r="294">
          <cell r="AJ294">
            <v>0</v>
          </cell>
          <cell r="AP294">
            <v>0</v>
          </cell>
        </row>
        <row r="295">
          <cell r="AJ295">
            <v>0</v>
          </cell>
          <cell r="AP295">
            <v>0</v>
          </cell>
        </row>
        <row r="296">
          <cell r="AJ296">
            <v>0</v>
          </cell>
          <cell r="AP296">
            <v>0</v>
          </cell>
        </row>
        <row r="297">
          <cell r="AJ297">
            <v>0</v>
          </cell>
          <cell r="AP297">
            <v>0</v>
          </cell>
        </row>
        <row r="298">
          <cell r="AJ298">
            <v>0</v>
          </cell>
          <cell r="AP298">
            <v>0</v>
          </cell>
        </row>
        <row r="299">
          <cell r="AJ299">
            <v>0</v>
          </cell>
          <cell r="AP299">
            <v>0</v>
          </cell>
        </row>
        <row r="300">
          <cell r="AJ300">
            <v>0</v>
          </cell>
          <cell r="AP300">
            <v>0</v>
          </cell>
        </row>
        <row r="301">
          <cell r="AJ301">
            <v>0</v>
          </cell>
          <cell r="AP301">
            <v>0</v>
          </cell>
        </row>
        <row r="302">
          <cell r="AJ302">
            <v>0</v>
          </cell>
          <cell r="AP302">
            <v>0</v>
          </cell>
        </row>
        <row r="303">
          <cell r="AJ303">
            <v>0</v>
          </cell>
          <cell r="AP303">
            <v>0</v>
          </cell>
        </row>
        <row r="304">
          <cell r="AJ304">
            <v>0</v>
          </cell>
          <cell r="AP304">
            <v>0</v>
          </cell>
        </row>
        <row r="305">
          <cell r="AJ305">
            <v>0</v>
          </cell>
          <cell r="AP305">
            <v>0</v>
          </cell>
        </row>
        <row r="306">
          <cell r="AJ306">
            <v>0</v>
          </cell>
          <cell r="AP306">
            <v>0</v>
          </cell>
        </row>
        <row r="307">
          <cell r="AJ307">
            <v>0</v>
          </cell>
          <cell r="AP307">
            <v>0</v>
          </cell>
        </row>
        <row r="308">
          <cell r="AJ308">
            <v>0</v>
          </cell>
          <cell r="AP308">
            <v>0</v>
          </cell>
        </row>
        <row r="309">
          <cell r="AJ309">
            <v>0</v>
          </cell>
          <cell r="AP309">
            <v>0</v>
          </cell>
        </row>
        <row r="310">
          <cell r="AJ310">
            <v>0</v>
          </cell>
          <cell r="AP310">
            <v>0</v>
          </cell>
        </row>
        <row r="311">
          <cell r="AJ311">
            <v>0</v>
          </cell>
          <cell r="AP311">
            <v>0</v>
          </cell>
        </row>
        <row r="312">
          <cell r="AJ312">
            <v>0</v>
          </cell>
          <cell r="AP312">
            <v>0</v>
          </cell>
        </row>
        <row r="313">
          <cell r="AJ313">
            <v>0</v>
          </cell>
          <cell r="AP313">
            <v>0</v>
          </cell>
        </row>
        <row r="314">
          <cell r="AJ314">
            <v>0</v>
          </cell>
          <cell r="AP314">
            <v>0</v>
          </cell>
        </row>
        <row r="315">
          <cell r="AJ315">
            <v>0</v>
          </cell>
          <cell r="AP315">
            <v>0</v>
          </cell>
        </row>
        <row r="316">
          <cell r="AJ316">
            <v>0</v>
          </cell>
          <cell r="AP316">
            <v>0</v>
          </cell>
        </row>
        <row r="317">
          <cell r="AJ317">
            <v>0</v>
          </cell>
          <cell r="AP317">
            <v>0</v>
          </cell>
        </row>
        <row r="318">
          <cell r="AJ318">
            <v>0</v>
          </cell>
          <cell r="AP318">
            <v>0</v>
          </cell>
        </row>
        <row r="319">
          <cell r="AJ319">
            <v>0</v>
          </cell>
          <cell r="AP319">
            <v>0</v>
          </cell>
        </row>
        <row r="320">
          <cell r="AJ320">
            <v>0</v>
          </cell>
          <cell r="AP320">
            <v>0</v>
          </cell>
        </row>
        <row r="321">
          <cell r="AJ321">
            <v>0</v>
          </cell>
          <cell r="AP321">
            <v>0</v>
          </cell>
        </row>
        <row r="322">
          <cell r="AJ322">
            <v>0</v>
          </cell>
          <cell r="AP322">
            <v>0</v>
          </cell>
        </row>
        <row r="323">
          <cell r="AJ323">
            <v>0</v>
          </cell>
          <cell r="AP323">
            <v>0</v>
          </cell>
        </row>
        <row r="324">
          <cell r="AJ324">
            <v>0</v>
          </cell>
          <cell r="AP324">
            <v>0</v>
          </cell>
        </row>
        <row r="325">
          <cell r="AJ325">
            <v>0</v>
          </cell>
          <cell r="AP325">
            <v>0</v>
          </cell>
        </row>
        <row r="326">
          <cell r="AJ326">
            <v>0</v>
          </cell>
          <cell r="AP326">
            <v>0</v>
          </cell>
        </row>
        <row r="327">
          <cell r="AJ327">
            <v>0</v>
          </cell>
          <cell r="AP327">
            <v>0</v>
          </cell>
        </row>
        <row r="328">
          <cell r="AJ328">
            <v>0</v>
          </cell>
          <cell r="AP328">
            <v>0</v>
          </cell>
        </row>
        <row r="329">
          <cell r="AJ329">
            <v>0</v>
          </cell>
          <cell r="AP329">
            <v>0</v>
          </cell>
        </row>
        <row r="330">
          <cell r="AJ330">
            <v>0</v>
          </cell>
          <cell r="AP330">
            <v>0</v>
          </cell>
        </row>
        <row r="331">
          <cell r="AJ331">
            <v>0</v>
          </cell>
          <cell r="AP331">
            <v>0</v>
          </cell>
        </row>
        <row r="332">
          <cell r="AJ332">
            <v>0</v>
          </cell>
          <cell r="AP332">
            <v>0</v>
          </cell>
        </row>
        <row r="333">
          <cell r="AJ333">
            <v>0</v>
          </cell>
          <cell r="AP333">
            <v>0</v>
          </cell>
        </row>
        <row r="334">
          <cell r="AJ334">
            <v>0</v>
          </cell>
          <cell r="AP334">
            <v>0</v>
          </cell>
        </row>
        <row r="335">
          <cell r="AJ335">
            <v>0</v>
          </cell>
          <cell r="AP335">
            <v>0</v>
          </cell>
        </row>
        <row r="336">
          <cell r="AJ336">
            <v>0</v>
          </cell>
          <cell r="AP336">
            <v>0</v>
          </cell>
        </row>
        <row r="337">
          <cell r="AJ337">
            <v>0</v>
          </cell>
          <cell r="AP337">
            <v>0</v>
          </cell>
        </row>
        <row r="338">
          <cell r="AJ338">
            <v>0</v>
          </cell>
          <cell r="AP338">
            <v>0</v>
          </cell>
        </row>
        <row r="339">
          <cell r="AJ339">
            <v>0</v>
          </cell>
          <cell r="AP339">
            <v>0</v>
          </cell>
        </row>
        <row r="340">
          <cell r="AJ340">
            <v>0</v>
          </cell>
          <cell r="AP340">
            <v>0</v>
          </cell>
        </row>
        <row r="341">
          <cell r="AJ341">
            <v>0</v>
          </cell>
          <cell r="AP341">
            <v>0</v>
          </cell>
        </row>
        <row r="342">
          <cell r="AJ342">
            <v>0</v>
          </cell>
          <cell r="AP342">
            <v>0</v>
          </cell>
        </row>
        <row r="343">
          <cell r="AJ343">
            <v>0</v>
          </cell>
          <cell r="AP343">
            <v>0</v>
          </cell>
        </row>
        <row r="344">
          <cell r="AJ344">
            <v>0</v>
          </cell>
          <cell r="AP344">
            <v>0</v>
          </cell>
        </row>
        <row r="345">
          <cell r="AJ345">
            <v>0</v>
          </cell>
          <cell r="AP345">
            <v>0</v>
          </cell>
        </row>
        <row r="346">
          <cell r="AJ346">
            <v>0</v>
          </cell>
          <cell r="AP346">
            <v>0</v>
          </cell>
        </row>
        <row r="347">
          <cell r="AJ347">
            <v>0</v>
          </cell>
          <cell r="AP347">
            <v>0</v>
          </cell>
        </row>
        <row r="348">
          <cell r="AJ348">
            <v>0</v>
          </cell>
          <cell r="AP348">
            <v>0</v>
          </cell>
        </row>
        <row r="349">
          <cell r="AJ349">
            <v>0</v>
          </cell>
          <cell r="AP349">
            <v>0</v>
          </cell>
        </row>
        <row r="350">
          <cell r="AJ350">
            <v>0</v>
          </cell>
          <cell r="AP350">
            <v>0</v>
          </cell>
        </row>
        <row r="351">
          <cell r="AJ351">
            <v>0</v>
          </cell>
          <cell r="AP351">
            <v>0</v>
          </cell>
        </row>
        <row r="352">
          <cell r="AJ352">
            <v>0</v>
          </cell>
          <cell r="AP352">
            <v>0</v>
          </cell>
        </row>
        <row r="353">
          <cell r="AJ353">
            <v>0</v>
          </cell>
          <cell r="AP353">
            <v>0</v>
          </cell>
        </row>
        <row r="354">
          <cell r="AJ354">
            <v>0</v>
          </cell>
          <cell r="AP354">
            <v>0</v>
          </cell>
        </row>
        <row r="355">
          <cell r="AJ355">
            <v>0</v>
          </cell>
          <cell r="AP355">
            <v>0</v>
          </cell>
        </row>
        <row r="356">
          <cell r="AJ356">
            <v>0</v>
          </cell>
          <cell r="AP356">
            <v>0</v>
          </cell>
        </row>
        <row r="357">
          <cell r="AJ357">
            <v>0</v>
          </cell>
          <cell r="AP357">
            <v>0</v>
          </cell>
        </row>
        <row r="358">
          <cell r="AJ358">
            <v>0</v>
          </cell>
          <cell r="AP358">
            <v>0</v>
          </cell>
        </row>
        <row r="359">
          <cell r="AJ359">
            <v>0</v>
          </cell>
          <cell r="AP359">
            <v>0</v>
          </cell>
        </row>
        <row r="360">
          <cell r="AJ360">
            <v>0</v>
          </cell>
          <cell r="AP360">
            <v>0</v>
          </cell>
        </row>
        <row r="361">
          <cell r="AJ361">
            <v>0</v>
          </cell>
          <cell r="AP361">
            <v>0</v>
          </cell>
        </row>
        <row r="362">
          <cell r="AJ362">
            <v>0</v>
          </cell>
          <cell r="AP362">
            <v>0</v>
          </cell>
        </row>
        <row r="363">
          <cell r="AJ363">
            <v>0</v>
          </cell>
          <cell r="AP363">
            <v>0</v>
          </cell>
        </row>
        <row r="364">
          <cell r="AJ364">
            <v>0</v>
          </cell>
          <cell r="AP364">
            <v>0</v>
          </cell>
        </row>
        <row r="365">
          <cell r="AJ365">
            <v>0</v>
          </cell>
          <cell r="AP365">
            <v>0</v>
          </cell>
        </row>
        <row r="366">
          <cell r="AJ366">
            <v>0</v>
          </cell>
          <cell r="AP366">
            <v>0</v>
          </cell>
        </row>
        <row r="367">
          <cell r="AJ367">
            <v>0</v>
          </cell>
          <cell r="AP367">
            <v>0</v>
          </cell>
        </row>
        <row r="368">
          <cell r="AJ368">
            <v>0</v>
          </cell>
          <cell r="AP368">
            <v>0</v>
          </cell>
        </row>
        <row r="369">
          <cell r="AJ369">
            <v>0</v>
          </cell>
          <cell r="AP369">
            <v>0</v>
          </cell>
        </row>
        <row r="370">
          <cell r="AJ370">
            <v>0</v>
          </cell>
          <cell r="AP370">
            <v>0</v>
          </cell>
        </row>
        <row r="371">
          <cell r="AJ371">
            <v>0</v>
          </cell>
          <cell r="AP371">
            <v>0</v>
          </cell>
        </row>
        <row r="372">
          <cell r="AJ372">
            <v>0</v>
          </cell>
          <cell r="AP372">
            <v>0</v>
          </cell>
        </row>
        <row r="373">
          <cell r="AJ373">
            <v>0</v>
          </cell>
          <cell r="AP373">
            <v>0</v>
          </cell>
        </row>
        <row r="374">
          <cell r="AJ374">
            <v>0</v>
          </cell>
          <cell r="AP374">
            <v>0</v>
          </cell>
        </row>
        <row r="375">
          <cell r="AJ375">
            <v>0</v>
          </cell>
          <cell r="AP375">
            <v>0</v>
          </cell>
        </row>
        <row r="376">
          <cell r="AJ376">
            <v>0</v>
          </cell>
          <cell r="AP376">
            <v>0</v>
          </cell>
        </row>
        <row r="377">
          <cell r="AJ377">
            <v>0</v>
          </cell>
          <cell r="AP377">
            <v>0</v>
          </cell>
        </row>
        <row r="378">
          <cell r="AJ378">
            <v>0</v>
          </cell>
          <cell r="AP378">
            <v>0</v>
          </cell>
        </row>
        <row r="379">
          <cell r="AJ379">
            <v>0</v>
          </cell>
          <cell r="AP379">
            <v>0</v>
          </cell>
        </row>
        <row r="380">
          <cell r="AJ380">
            <v>0</v>
          </cell>
          <cell r="AP380">
            <v>0</v>
          </cell>
        </row>
        <row r="381">
          <cell r="AJ381">
            <v>0</v>
          </cell>
          <cell r="AP381">
            <v>0</v>
          </cell>
        </row>
        <row r="382">
          <cell r="AJ382">
            <v>0</v>
          </cell>
          <cell r="AP382">
            <v>0</v>
          </cell>
        </row>
        <row r="383">
          <cell r="AJ383">
            <v>0</v>
          </cell>
          <cell r="AP383">
            <v>0</v>
          </cell>
        </row>
        <row r="384">
          <cell r="AJ384">
            <v>0</v>
          </cell>
          <cell r="AP384">
            <v>0</v>
          </cell>
        </row>
        <row r="385">
          <cell r="AJ385">
            <v>0</v>
          </cell>
          <cell r="AP385">
            <v>0</v>
          </cell>
        </row>
        <row r="386">
          <cell r="AJ386">
            <v>0</v>
          </cell>
          <cell r="AP386">
            <v>0</v>
          </cell>
        </row>
        <row r="387">
          <cell r="AJ387">
            <v>0</v>
          </cell>
          <cell r="AP387">
            <v>0</v>
          </cell>
        </row>
        <row r="388">
          <cell r="AJ388">
            <v>0</v>
          </cell>
          <cell r="AP388">
            <v>0</v>
          </cell>
        </row>
        <row r="389">
          <cell r="AJ389">
            <v>0</v>
          </cell>
          <cell r="AP389">
            <v>0</v>
          </cell>
        </row>
        <row r="390">
          <cell r="AJ390">
            <v>0</v>
          </cell>
          <cell r="AP390">
            <v>0</v>
          </cell>
        </row>
        <row r="391">
          <cell r="AJ391">
            <v>0</v>
          </cell>
          <cell r="AP391">
            <v>0</v>
          </cell>
        </row>
        <row r="392">
          <cell r="AJ392">
            <v>0</v>
          </cell>
          <cell r="AP392">
            <v>0</v>
          </cell>
        </row>
        <row r="393">
          <cell r="AJ393">
            <v>0</v>
          </cell>
          <cell r="AP393">
            <v>0</v>
          </cell>
        </row>
        <row r="394">
          <cell r="AJ394">
            <v>0</v>
          </cell>
          <cell r="AP394">
            <v>0</v>
          </cell>
        </row>
        <row r="395">
          <cell r="AJ395">
            <v>0</v>
          </cell>
          <cell r="AP395">
            <v>0</v>
          </cell>
        </row>
        <row r="396">
          <cell r="AJ396">
            <v>0</v>
          </cell>
          <cell r="AP396">
            <v>0</v>
          </cell>
        </row>
        <row r="397">
          <cell r="AJ397">
            <v>0</v>
          </cell>
          <cell r="AP397">
            <v>0</v>
          </cell>
        </row>
        <row r="398">
          <cell r="AJ398">
            <v>0</v>
          </cell>
          <cell r="AP398">
            <v>0</v>
          </cell>
        </row>
        <row r="399">
          <cell r="AJ399">
            <v>0</v>
          </cell>
          <cell r="AP399">
            <v>0</v>
          </cell>
        </row>
        <row r="400">
          <cell r="AJ400">
            <v>0</v>
          </cell>
          <cell r="AP400">
            <v>0</v>
          </cell>
        </row>
        <row r="401">
          <cell r="AJ401">
            <v>0</v>
          </cell>
          <cell r="AP401">
            <v>0</v>
          </cell>
        </row>
        <row r="402">
          <cell r="AJ402">
            <v>0</v>
          </cell>
          <cell r="AP402">
            <v>0</v>
          </cell>
        </row>
        <row r="403">
          <cell r="AJ403">
            <v>0</v>
          </cell>
          <cell r="AP403">
            <v>0</v>
          </cell>
        </row>
        <row r="404">
          <cell r="AJ404">
            <v>0</v>
          </cell>
          <cell r="AP404">
            <v>0</v>
          </cell>
        </row>
        <row r="405">
          <cell r="AJ405">
            <v>0</v>
          </cell>
          <cell r="AP405">
            <v>0</v>
          </cell>
        </row>
        <row r="406">
          <cell r="AJ406">
            <v>0</v>
          </cell>
          <cell r="AP406">
            <v>0</v>
          </cell>
        </row>
        <row r="407">
          <cell r="AJ407">
            <v>0</v>
          </cell>
          <cell r="AP407">
            <v>0</v>
          </cell>
        </row>
        <row r="408">
          <cell r="AJ408">
            <v>0</v>
          </cell>
          <cell r="AP408">
            <v>0</v>
          </cell>
        </row>
        <row r="409">
          <cell r="AJ409">
            <v>0</v>
          </cell>
          <cell r="AP409">
            <v>0</v>
          </cell>
        </row>
        <row r="410">
          <cell r="AJ410">
            <v>0</v>
          </cell>
          <cell r="AP410">
            <v>0</v>
          </cell>
        </row>
        <row r="411">
          <cell r="AJ411">
            <v>0</v>
          </cell>
          <cell r="AP411">
            <v>0</v>
          </cell>
        </row>
        <row r="412">
          <cell r="AJ412">
            <v>0</v>
          </cell>
          <cell r="AP412">
            <v>0</v>
          </cell>
        </row>
        <row r="413">
          <cell r="AJ413">
            <v>0</v>
          </cell>
          <cell r="AP413">
            <v>0</v>
          </cell>
        </row>
        <row r="414">
          <cell r="AJ414">
            <v>0</v>
          </cell>
          <cell r="AP414">
            <v>0</v>
          </cell>
        </row>
        <row r="415">
          <cell r="AJ415">
            <v>0</v>
          </cell>
          <cell r="AP415">
            <v>0</v>
          </cell>
        </row>
        <row r="416">
          <cell r="AJ416">
            <v>0</v>
          </cell>
          <cell r="AP416">
            <v>0</v>
          </cell>
        </row>
        <row r="417">
          <cell r="AJ417">
            <v>0</v>
          </cell>
          <cell r="AP417">
            <v>0</v>
          </cell>
        </row>
        <row r="418">
          <cell r="AJ418">
            <v>0</v>
          </cell>
          <cell r="AP418">
            <v>0</v>
          </cell>
        </row>
        <row r="419">
          <cell r="AJ419">
            <v>0</v>
          </cell>
          <cell r="AP419">
            <v>0</v>
          </cell>
        </row>
        <row r="420">
          <cell r="AJ420">
            <v>0</v>
          </cell>
          <cell r="AP420">
            <v>0</v>
          </cell>
        </row>
        <row r="421">
          <cell r="AJ421">
            <v>0</v>
          </cell>
          <cell r="AP421">
            <v>0</v>
          </cell>
        </row>
        <row r="422">
          <cell r="AJ422">
            <v>0</v>
          </cell>
          <cell r="AP422">
            <v>0</v>
          </cell>
        </row>
        <row r="423">
          <cell r="AJ423">
            <v>0</v>
          </cell>
          <cell r="AP423">
            <v>0</v>
          </cell>
        </row>
        <row r="424">
          <cell r="AJ424">
            <v>0</v>
          </cell>
          <cell r="AP424">
            <v>0</v>
          </cell>
        </row>
        <row r="425">
          <cell r="AJ425">
            <v>0</v>
          </cell>
          <cell r="AP425">
            <v>0</v>
          </cell>
        </row>
        <row r="426">
          <cell r="AJ426">
            <v>0</v>
          </cell>
          <cell r="AP426">
            <v>0</v>
          </cell>
        </row>
        <row r="427">
          <cell r="AJ427">
            <v>0</v>
          </cell>
          <cell r="AP427">
            <v>0</v>
          </cell>
        </row>
        <row r="428">
          <cell r="AJ428">
            <v>0</v>
          </cell>
          <cell r="AP428">
            <v>0</v>
          </cell>
        </row>
        <row r="429">
          <cell r="AJ429">
            <v>0</v>
          </cell>
          <cell r="AP429">
            <v>0</v>
          </cell>
        </row>
        <row r="430">
          <cell r="AJ430">
            <v>0</v>
          </cell>
          <cell r="AP430">
            <v>0</v>
          </cell>
        </row>
        <row r="431">
          <cell r="AJ431">
            <v>0</v>
          </cell>
          <cell r="AP431">
            <v>0</v>
          </cell>
        </row>
        <row r="432">
          <cell r="AJ432">
            <v>0</v>
          </cell>
          <cell r="AP432">
            <v>0</v>
          </cell>
        </row>
        <row r="433">
          <cell r="AJ433">
            <v>0</v>
          </cell>
          <cell r="AP433">
            <v>0</v>
          </cell>
        </row>
        <row r="434">
          <cell r="AJ434">
            <v>0</v>
          </cell>
          <cell r="AP434">
            <v>0</v>
          </cell>
        </row>
        <row r="435">
          <cell r="AJ435">
            <v>0</v>
          </cell>
          <cell r="AP435">
            <v>0</v>
          </cell>
        </row>
        <row r="436">
          <cell r="AJ436">
            <v>0</v>
          </cell>
          <cell r="AP436">
            <v>0</v>
          </cell>
        </row>
        <row r="437">
          <cell r="AJ437">
            <v>0</v>
          </cell>
          <cell r="AP437">
            <v>0</v>
          </cell>
        </row>
        <row r="438">
          <cell r="AJ438">
            <v>0</v>
          </cell>
          <cell r="AP438">
            <v>0</v>
          </cell>
        </row>
        <row r="439">
          <cell r="AJ439">
            <v>0</v>
          </cell>
          <cell r="AP439">
            <v>0</v>
          </cell>
        </row>
        <row r="440">
          <cell r="AJ440">
            <v>0</v>
          </cell>
          <cell r="AP440">
            <v>0</v>
          </cell>
        </row>
        <row r="441">
          <cell r="AJ441">
            <v>0</v>
          </cell>
          <cell r="AP441">
            <v>0</v>
          </cell>
        </row>
        <row r="442">
          <cell r="AJ442">
            <v>0</v>
          </cell>
          <cell r="AP442">
            <v>0</v>
          </cell>
        </row>
        <row r="443">
          <cell r="AJ443">
            <v>0</v>
          </cell>
          <cell r="AP443">
            <v>0</v>
          </cell>
        </row>
        <row r="444">
          <cell r="AJ444">
            <v>0</v>
          </cell>
          <cell r="AP444">
            <v>0</v>
          </cell>
        </row>
        <row r="445">
          <cell r="AJ445">
            <v>0</v>
          </cell>
          <cell r="AP445">
            <v>0</v>
          </cell>
        </row>
        <row r="446">
          <cell r="AJ446">
            <v>0</v>
          </cell>
          <cell r="AP446">
            <v>0</v>
          </cell>
        </row>
        <row r="447">
          <cell r="AJ447">
            <v>0</v>
          </cell>
          <cell r="AP447">
            <v>0</v>
          </cell>
        </row>
        <row r="448">
          <cell r="AJ448">
            <v>0</v>
          </cell>
          <cell r="AP448">
            <v>0</v>
          </cell>
        </row>
        <row r="449">
          <cell r="AJ449">
            <v>0</v>
          </cell>
          <cell r="AP449">
            <v>0</v>
          </cell>
        </row>
        <row r="450">
          <cell r="AJ450">
            <v>0</v>
          </cell>
          <cell r="AP450">
            <v>0</v>
          </cell>
        </row>
        <row r="451">
          <cell r="AJ451">
            <v>0</v>
          </cell>
          <cell r="AP451">
            <v>0</v>
          </cell>
        </row>
        <row r="452">
          <cell r="AJ452">
            <v>0</v>
          </cell>
          <cell r="AP452">
            <v>0</v>
          </cell>
        </row>
        <row r="453">
          <cell r="AJ453">
            <v>0</v>
          </cell>
          <cell r="AP453">
            <v>0</v>
          </cell>
        </row>
        <row r="454">
          <cell r="AJ454">
            <v>0</v>
          </cell>
          <cell r="AP454">
            <v>0</v>
          </cell>
        </row>
        <row r="455">
          <cell r="AJ455">
            <v>0</v>
          </cell>
          <cell r="AP455">
            <v>0</v>
          </cell>
        </row>
        <row r="456">
          <cell r="AJ456">
            <v>0</v>
          </cell>
          <cell r="AP456">
            <v>0</v>
          </cell>
        </row>
        <row r="457">
          <cell r="AJ457">
            <v>0</v>
          </cell>
          <cell r="AP457">
            <v>0</v>
          </cell>
        </row>
        <row r="458">
          <cell r="AJ458">
            <v>0</v>
          </cell>
          <cell r="AP458">
            <v>0</v>
          </cell>
        </row>
        <row r="459">
          <cell r="AJ459">
            <v>0</v>
          </cell>
          <cell r="AP459">
            <v>0</v>
          </cell>
        </row>
        <row r="460">
          <cell r="AJ460">
            <v>0</v>
          </cell>
          <cell r="AP460">
            <v>0</v>
          </cell>
        </row>
        <row r="461">
          <cell r="AJ461">
            <v>0</v>
          </cell>
          <cell r="AP461">
            <v>0</v>
          </cell>
        </row>
        <row r="462">
          <cell r="AJ462">
            <v>0</v>
          </cell>
          <cell r="AP462">
            <v>0</v>
          </cell>
        </row>
        <row r="463">
          <cell r="AJ463">
            <v>0</v>
          </cell>
          <cell r="AP463">
            <v>0</v>
          </cell>
        </row>
        <row r="464">
          <cell r="AJ464">
            <v>0</v>
          </cell>
          <cell r="AP464">
            <v>0</v>
          </cell>
        </row>
        <row r="465">
          <cell r="AJ465">
            <v>0</v>
          </cell>
          <cell r="AP465">
            <v>0</v>
          </cell>
        </row>
        <row r="466">
          <cell r="AJ466">
            <v>0</v>
          </cell>
          <cell r="AP466">
            <v>0</v>
          </cell>
        </row>
        <row r="467">
          <cell r="AJ467">
            <v>0</v>
          </cell>
          <cell r="AP467">
            <v>0</v>
          </cell>
        </row>
        <row r="468">
          <cell r="AJ468">
            <v>0</v>
          </cell>
          <cell r="AP468">
            <v>0</v>
          </cell>
        </row>
        <row r="469">
          <cell r="AJ469">
            <v>0</v>
          </cell>
          <cell r="AP469">
            <v>0</v>
          </cell>
        </row>
        <row r="470">
          <cell r="AJ470">
            <v>0</v>
          </cell>
          <cell r="AP470">
            <v>0</v>
          </cell>
        </row>
        <row r="471">
          <cell r="AJ471">
            <v>0</v>
          </cell>
          <cell r="AP471">
            <v>0</v>
          </cell>
        </row>
        <row r="472">
          <cell r="AJ472">
            <v>0</v>
          </cell>
          <cell r="AP472">
            <v>0</v>
          </cell>
        </row>
        <row r="473">
          <cell r="AJ473">
            <v>0</v>
          </cell>
          <cell r="AP473">
            <v>0</v>
          </cell>
        </row>
        <row r="474">
          <cell r="AJ474">
            <v>0</v>
          </cell>
          <cell r="AP474">
            <v>0</v>
          </cell>
        </row>
        <row r="475">
          <cell r="AJ475">
            <v>0</v>
          </cell>
          <cell r="AP475">
            <v>0</v>
          </cell>
        </row>
        <row r="476">
          <cell r="AJ476">
            <v>0</v>
          </cell>
          <cell r="AP476">
            <v>0</v>
          </cell>
        </row>
        <row r="477">
          <cell r="AJ477">
            <v>0</v>
          </cell>
          <cell r="AP477">
            <v>0</v>
          </cell>
        </row>
        <row r="478">
          <cell r="AJ478">
            <v>0</v>
          </cell>
          <cell r="AP478">
            <v>0</v>
          </cell>
        </row>
        <row r="479">
          <cell r="AJ479">
            <v>0</v>
          </cell>
          <cell r="AP479">
            <v>0</v>
          </cell>
        </row>
        <row r="480">
          <cell r="AJ480">
            <v>0</v>
          </cell>
          <cell r="AP480">
            <v>0</v>
          </cell>
        </row>
        <row r="481">
          <cell r="AJ481">
            <v>0</v>
          </cell>
          <cell r="AP481">
            <v>0</v>
          </cell>
        </row>
        <row r="482">
          <cell r="AJ482">
            <v>0</v>
          </cell>
          <cell r="AP482">
            <v>0</v>
          </cell>
        </row>
        <row r="483">
          <cell r="AJ483">
            <v>0</v>
          </cell>
          <cell r="AP483">
            <v>0</v>
          </cell>
        </row>
        <row r="484">
          <cell r="AJ484">
            <v>0</v>
          </cell>
          <cell r="AP484">
            <v>0</v>
          </cell>
        </row>
        <row r="485">
          <cell r="AJ485">
            <v>0</v>
          </cell>
          <cell r="AP485">
            <v>0</v>
          </cell>
        </row>
        <row r="486">
          <cell r="AJ486">
            <v>0</v>
          </cell>
          <cell r="AP486">
            <v>0</v>
          </cell>
        </row>
        <row r="487">
          <cell r="AJ487">
            <v>0</v>
          </cell>
          <cell r="AP487">
            <v>0</v>
          </cell>
        </row>
        <row r="488">
          <cell r="AJ488">
            <v>0</v>
          </cell>
          <cell r="AP488">
            <v>0</v>
          </cell>
        </row>
        <row r="489">
          <cell r="AJ489">
            <v>0</v>
          </cell>
          <cell r="AP489">
            <v>0</v>
          </cell>
        </row>
        <row r="490">
          <cell r="AJ490">
            <v>0</v>
          </cell>
          <cell r="AP490">
            <v>0</v>
          </cell>
        </row>
        <row r="491">
          <cell r="AJ491">
            <v>0</v>
          </cell>
          <cell r="AP491">
            <v>0</v>
          </cell>
        </row>
        <row r="492">
          <cell r="AJ492">
            <v>0</v>
          </cell>
          <cell r="AP492">
            <v>0</v>
          </cell>
        </row>
        <row r="493">
          <cell r="AJ493">
            <v>0</v>
          </cell>
          <cell r="AP493">
            <v>0</v>
          </cell>
        </row>
        <row r="494">
          <cell r="AJ494">
            <v>0</v>
          </cell>
          <cell r="AP494">
            <v>0</v>
          </cell>
        </row>
        <row r="495">
          <cell r="AJ495">
            <v>0</v>
          </cell>
          <cell r="AP495">
            <v>0</v>
          </cell>
        </row>
        <row r="496">
          <cell r="AJ496">
            <v>0</v>
          </cell>
          <cell r="AP496">
            <v>0</v>
          </cell>
        </row>
        <row r="497">
          <cell r="AJ497">
            <v>0</v>
          </cell>
          <cell r="AP497">
            <v>0</v>
          </cell>
        </row>
        <row r="498">
          <cell r="AJ498">
            <v>0</v>
          </cell>
          <cell r="AP498">
            <v>0</v>
          </cell>
        </row>
        <row r="499">
          <cell r="AJ499">
            <v>0</v>
          </cell>
          <cell r="AP499">
            <v>0</v>
          </cell>
        </row>
        <row r="500">
          <cell r="AJ500">
            <v>0</v>
          </cell>
          <cell r="AP500">
            <v>0</v>
          </cell>
        </row>
        <row r="501">
          <cell r="AJ501">
            <v>0</v>
          </cell>
          <cell r="AP501">
            <v>0</v>
          </cell>
        </row>
        <row r="502">
          <cell r="AJ502">
            <v>0</v>
          </cell>
          <cell r="AP502">
            <v>0</v>
          </cell>
        </row>
        <row r="503">
          <cell r="AJ503">
            <v>0</v>
          </cell>
          <cell r="AP503">
            <v>0</v>
          </cell>
        </row>
        <row r="504">
          <cell r="AJ504">
            <v>0</v>
          </cell>
          <cell r="AP504">
            <v>0</v>
          </cell>
        </row>
        <row r="505">
          <cell r="AJ505">
            <v>0</v>
          </cell>
          <cell r="AP505">
            <v>0</v>
          </cell>
        </row>
        <row r="506">
          <cell r="AJ506">
            <v>0</v>
          </cell>
          <cell r="AP506">
            <v>0</v>
          </cell>
        </row>
        <row r="507">
          <cell r="AJ507">
            <v>0</v>
          </cell>
          <cell r="AP507">
            <v>0</v>
          </cell>
        </row>
        <row r="508">
          <cell r="AJ508">
            <v>0</v>
          </cell>
          <cell r="AP508">
            <v>0</v>
          </cell>
        </row>
        <row r="509">
          <cell r="AJ509">
            <v>0</v>
          </cell>
          <cell r="AP509">
            <v>0</v>
          </cell>
        </row>
        <row r="510">
          <cell r="AJ510">
            <v>0</v>
          </cell>
          <cell r="AP510">
            <v>0</v>
          </cell>
        </row>
        <row r="511">
          <cell r="AJ511">
            <v>0</v>
          </cell>
          <cell r="AP511">
            <v>0</v>
          </cell>
        </row>
        <row r="512">
          <cell r="AJ512">
            <v>0</v>
          </cell>
          <cell r="AP512">
            <v>0</v>
          </cell>
        </row>
        <row r="513">
          <cell r="AJ513">
            <v>0</v>
          </cell>
          <cell r="AP513">
            <v>0</v>
          </cell>
        </row>
        <row r="514">
          <cell r="AJ514">
            <v>0</v>
          </cell>
          <cell r="AP514">
            <v>0</v>
          </cell>
        </row>
        <row r="515">
          <cell r="AJ515">
            <v>0</v>
          </cell>
          <cell r="AP515">
            <v>0</v>
          </cell>
        </row>
        <row r="516">
          <cell r="AJ516">
            <v>0</v>
          </cell>
          <cell r="AP516">
            <v>0</v>
          </cell>
        </row>
        <row r="517">
          <cell r="AJ517">
            <v>0</v>
          </cell>
          <cell r="AP517">
            <v>0</v>
          </cell>
        </row>
        <row r="518">
          <cell r="AJ518">
            <v>0</v>
          </cell>
          <cell r="AP518">
            <v>0</v>
          </cell>
        </row>
        <row r="519">
          <cell r="AJ519">
            <v>0</v>
          </cell>
          <cell r="AP519">
            <v>0</v>
          </cell>
        </row>
        <row r="520">
          <cell r="AJ520">
            <v>0</v>
          </cell>
          <cell r="AP520">
            <v>0</v>
          </cell>
        </row>
        <row r="521">
          <cell r="AJ521">
            <v>0</v>
          </cell>
          <cell r="AP521">
            <v>0</v>
          </cell>
        </row>
        <row r="522">
          <cell r="AJ522">
            <v>0</v>
          </cell>
          <cell r="AP522">
            <v>0</v>
          </cell>
        </row>
        <row r="523">
          <cell r="AJ523">
            <v>0</v>
          </cell>
          <cell r="AP523">
            <v>0</v>
          </cell>
        </row>
        <row r="524">
          <cell r="AJ524">
            <v>0</v>
          </cell>
          <cell r="AP524">
            <v>0</v>
          </cell>
        </row>
        <row r="525">
          <cell r="AJ525">
            <v>0</v>
          </cell>
          <cell r="AP525">
            <v>0</v>
          </cell>
        </row>
        <row r="526">
          <cell r="AJ526">
            <v>0</v>
          </cell>
          <cell r="AP526">
            <v>0</v>
          </cell>
        </row>
        <row r="527">
          <cell r="AJ527">
            <v>0</v>
          </cell>
          <cell r="AP527">
            <v>0</v>
          </cell>
        </row>
        <row r="528">
          <cell r="AJ528">
            <v>0</v>
          </cell>
          <cell r="AP528">
            <v>0</v>
          </cell>
        </row>
        <row r="529">
          <cell r="AJ529">
            <v>0</v>
          </cell>
          <cell r="AP529">
            <v>0</v>
          </cell>
        </row>
        <row r="530">
          <cell r="AJ530">
            <v>0</v>
          </cell>
          <cell r="AP530">
            <v>0</v>
          </cell>
        </row>
        <row r="531">
          <cell r="AJ531">
            <v>0</v>
          </cell>
          <cell r="AP531">
            <v>0</v>
          </cell>
        </row>
        <row r="532">
          <cell r="AJ532">
            <v>0</v>
          </cell>
          <cell r="AP532">
            <v>0</v>
          </cell>
        </row>
        <row r="533">
          <cell r="AJ533">
            <v>0</v>
          </cell>
          <cell r="AP533">
            <v>0</v>
          </cell>
        </row>
        <row r="534">
          <cell r="AJ534">
            <v>0</v>
          </cell>
          <cell r="AP534">
            <v>0</v>
          </cell>
        </row>
        <row r="535">
          <cell r="AJ535">
            <v>0</v>
          </cell>
          <cell r="AP535">
            <v>0</v>
          </cell>
        </row>
        <row r="536">
          <cell r="AJ536">
            <v>0</v>
          </cell>
          <cell r="AP536">
            <v>0</v>
          </cell>
        </row>
        <row r="537">
          <cell r="AJ537">
            <v>0</v>
          </cell>
          <cell r="AP537">
            <v>0</v>
          </cell>
        </row>
        <row r="538">
          <cell r="AJ538">
            <v>0</v>
          </cell>
          <cell r="AP538">
            <v>0</v>
          </cell>
        </row>
        <row r="539">
          <cell r="AJ539">
            <v>0</v>
          </cell>
          <cell r="AP539">
            <v>0</v>
          </cell>
        </row>
        <row r="540">
          <cell r="AJ540">
            <v>0</v>
          </cell>
          <cell r="AP540">
            <v>0</v>
          </cell>
        </row>
        <row r="541">
          <cell r="AJ541">
            <v>0</v>
          </cell>
          <cell r="AP541">
            <v>0</v>
          </cell>
        </row>
        <row r="542">
          <cell r="AJ542">
            <v>0</v>
          </cell>
          <cell r="AP542">
            <v>0</v>
          </cell>
        </row>
        <row r="543">
          <cell r="AJ543">
            <v>0</v>
          </cell>
          <cell r="AP543">
            <v>0</v>
          </cell>
        </row>
        <row r="544">
          <cell r="AJ544">
            <v>0</v>
          </cell>
          <cell r="AP544">
            <v>0</v>
          </cell>
        </row>
        <row r="545">
          <cell r="AJ545">
            <v>0</v>
          </cell>
          <cell r="AP545">
            <v>0</v>
          </cell>
        </row>
        <row r="546">
          <cell r="AJ546">
            <v>0</v>
          </cell>
          <cell r="AP546">
            <v>0</v>
          </cell>
        </row>
        <row r="547">
          <cell r="AJ547">
            <v>0</v>
          </cell>
          <cell r="AP547">
            <v>0</v>
          </cell>
        </row>
        <row r="548">
          <cell r="AJ548">
            <v>0</v>
          </cell>
          <cell r="AP548">
            <v>0</v>
          </cell>
        </row>
        <row r="549">
          <cell r="AJ549">
            <v>0</v>
          </cell>
          <cell r="AP549">
            <v>0</v>
          </cell>
        </row>
        <row r="550">
          <cell r="AJ550">
            <v>0</v>
          </cell>
          <cell r="AP550">
            <v>0</v>
          </cell>
        </row>
        <row r="551">
          <cell r="AJ551">
            <v>0</v>
          </cell>
          <cell r="AP551">
            <v>0</v>
          </cell>
        </row>
        <row r="552">
          <cell r="AJ552">
            <v>0</v>
          </cell>
          <cell r="AP552">
            <v>0</v>
          </cell>
        </row>
        <row r="553">
          <cell r="AJ553">
            <v>0</v>
          </cell>
          <cell r="AP553">
            <v>0</v>
          </cell>
        </row>
        <row r="554">
          <cell r="AJ554">
            <v>0</v>
          </cell>
          <cell r="AP554">
            <v>0</v>
          </cell>
        </row>
        <row r="555">
          <cell r="AJ555">
            <v>0</v>
          </cell>
          <cell r="AP555">
            <v>0</v>
          </cell>
        </row>
        <row r="556">
          <cell r="AJ556">
            <v>0</v>
          </cell>
          <cell r="AP556">
            <v>0</v>
          </cell>
        </row>
        <row r="557">
          <cell r="AJ557">
            <v>0</v>
          </cell>
          <cell r="AP557">
            <v>0</v>
          </cell>
        </row>
        <row r="558">
          <cell r="AJ558">
            <v>0</v>
          </cell>
          <cell r="AP558">
            <v>0</v>
          </cell>
        </row>
        <row r="559">
          <cell r="AJ559">
            <v>0</v>
          </cell>
          <cell r="AP559">
            <v>0</v>
          </cell>
        </row>
        <row r="560">
          <cell r="AJ560">
            <v>0</v>
          </cell>
          <cell r="AP560">
            <v>0</v>
          </cell>
        </row>
        <row r="561">
          <cell r="AJ561">
            <v>0</v>
          </cell>
          <cell r="AP561">
            <v>0</v>
          </cell>
        </row>
        <row r="562">
          <cell r="AJ562">
            <v>0</v>
          </cell>
          <cell r="AP562">
            <v>0</v>
          </cell>
        </row>
        <row r="563">
          <cell r="AJ563">
            <v>0</v>
          </cell>
          <cell r="AP563">
            <v>0</v>
          </cell>
        </row>
        <row r="564">
          <cell r="AJ564">
            <v>0</v>
          </cell>
          <cell r="AP564">
            <v>0</v>
          </cell>
        </row>
        <row r="565">
          <cell r="AJ565">
            <v>0</v>
          </cell>
          <cell r="AP565">
            <v>0</v>
          </cell>
        </row>
        <row r="566">
          <cell r="AJ566">
            <v>0</v>
          </cell>
          <cell r="AP566">
            <v>0</v>
          </cell>
        </row>
        <row r="567">
          <cell r="AJ567">
            <v>0</v>
          </cell>
          <cell r="AP567">
            <v>0</v>
          </cell>
        </row>
        <row r="568">
          <cell r="AJ568">
            <v>0</v>
          </cell>
          <cell r="AP568">
            <v>0</v>
          </cell>
        </row>
        <row r="569">
          <cell r="AJ569">
            <v>0</v>
          </cell>
          <cell r="AP569">
            <v>0</v>
          </cell>
        </row>
        <row r="570">
          <cell r="AJ570">
            <v>0</v>
          </cell>
          <cell r="AP570">
            <v>0</v>
          </cell>
        </row>
        <row r="571">
          <cell r="AJ571">
            <v>0</v>
          </cell>
          <cell r="AP571">
            <v>0</v>
          </cell>
        </row>
        <row r="572">
          <cell r="AJ572">
            <v>0</v>
          </cell>
          <cell r="AP572">
            <v>0</v>
          </cell>
        </row>
        <row r="573">
          <cell r="AJ573">
            <v>0</v>
          </cell>
          <cell r="AP573">
            <v>0</v>
          </cell>
        </row>
        <row r="574">
          <cell r="AJ574">
            <v>0</v>
          </cell>
          <cell r="AP574">
            <v>0</v>
          </cell>
        </row>
        <row r="575">
          <cell r="AJ575">
            <v>0</v>
          </cell>
          <cell r="AP575">
            <v>0</v>
          </cell>
        </row>
        <row r="576">
          <cell r="AJ576">
            <v>0</v>
          </cell>
          <cell r="AP576">
            <v>0</v>
          </cell>
        </row>
        <row r="577">
          <cell r="AJ577">
            <v>0</v>
          </cell>
          <cell r="AP577">
            <v>0</v>
          </cell>
        </row>
        <row r="578">
          <cell r="AJ578">
            <v>0</v>
          </cell>
          <cell r="AP578">
            <v>0</v>
          </cell>
        </row>
        <row r="579">
          <cell r="AJ579">
            <v>0</v>
          </cell>
          <cell r="AP579">
            <v>0</v>
          </cell>
        </row>
        <row r="580">
          <cell r="AJ580">
            <v>0</v>
          </cell>
          <cell r="AP580">
            <v>0</v>
          </cell>
        </row>
        <row r="581">
          <cell r="AJ581">
            <v>0</v>
          </cell>
          <cell r="AP581">
            <v>0</v>
          </cell>
        </row>
        <row r="582">
          <cell r="AJ582">
            <v>0</v>
          </cell>
          <cell r="AP582">
            <v>0</v>
          </cell>
        </row>
        <row r="583">
          <cell r="AJ583">
            <v>0</v>
          </cell>
          <cell r="AP583">
            <v>0</v>
          </cell>
        </row>
        <row r="584">
          <cell r="AJ584">
            <v>0</v>
          </cell>
          <cell r="AP584">
            <v>0</v>
          </cell>
        </row>
        <row r="585">
          <cell r="AJ585">
            <v>0</v>
          </cell>
          <cell r="AP585">
            <v>0</v>
          </cell>
        </row>
        <row r="586">
          <cell r="AJ586">
            <v>0</v>
          </cell>
          <cell r="AP586">
            <v>0</v>
          </cell>
        </row>
        <row r="587">
          <cell r="AJ587">
            <v>0</v>
          </cell>
          <cell r="AP587">
            <v>0</v>
          </cell>
        </row>
        <row r="588">
          <cell r="AJ588">
            <v>0</v>
          </cell>
          <cell r="AP588">
            <v>0</v>
          </cell>
        </row>
        <row r="589">
          <cell r="AJ589">
            <v>0</v>
          </cell>
          <cell r="AP589">
            <v>0</v>
          </cell>
        </row>
        <row r="590">
          <cell r="AJ590">
            <v>0</v>
          </cell>
          <cell r="AP590">
            <v>0</v>
          </cell>
        </row>
        <row r="591">
          <cell r="AJ591">
            <v>0</v>
          </cell>
          <cell r="AP591">
            <v>0</v>
          </cell>
        </row>
        <row r="592">
          <cell r="AJ592">
            <v>0</v>
          </cell>
          <cell r="AP592">
            <v>0</v>
          </cell>
        </row>
        <row r="593">
          <cell r="AJ593">
            <v>0</v>
          </cell>
          <cell r="AP593">
            <v>0</v>
          </cell>
        </row>
        <row r="594">
          <cell r="AJ594">
            <v>0</v>
          </cell>
          <cell r="AP594">
            <v>0</v>
          </cell>
        </row>
        <row r="595">
          <cell r="AJ595">
            <v>0</v>
          </cell>
          <cell r="AP595">
            <v>0</v>
          </cell>
        </row>
        <row r="596">
          <cell r="AJ596">
            <v>0</v>
          </cell>
          <cell r="AP596">
            <v>0</v>
          </cell>
        </row>
        <row r="597">
          <cell r="AJ597">
            <v>0</v>
          </cell>
          <cell r="AP597">
            <v>0</v>
          </cell>
        </row>
        <row r="598">
          <cell r="AJ598">
            <v>0</v>
          </cell>
          <cell r="AP598">
            <v>0</v>
          </cell>
        </row>
        <row r="599">
          <cell r="AJ599">
            <v>0</v>
          </cell>
          <cell r="AP599">
            <v>0</v>
          </cell>
        </row>
        <row r="600">
          <cell r="AJ600">
            <v>0</v>
          </cell>
          <cell r="AP600">
            <v>0</v>
          </cell>
        </row>
        <row r="601">
          <cell r="AJ601">
            <v>0</v>
          </cell>
          <cell r="AP601">
            <v>0</v>
          </cell>
        </row>
        <row r="602">
          <cell r="AJ602">
            <v>0</v>
          </cell>
          <cell r="AP602">
            <v>0</v>
          </cell>
        </row>
        <row r="603">
          <cell r="AJ603">
            <v>0</v>
          </cell>
          <cell r="AP603">
            <v>0</v>
          </cell>
        </row>
        <row r="604">
          <cell r="AJ604">
            <v>0</v>
          </cell>
          <cell r="AP604">
            <v>0</v>
          </cell>
        </row>
        <row r="605">
          <cell r="AJ605">
            <v>0</v>
          </cell>
          <cell r="AP605">
            <v>0</v>
          </cell>
        </row>
        <row r="606">
          <cell r="AJ606">
            <v>0</v>
          </cell>
          <cell r="AP606">
            <v>0</v>
          </cell>
        </row>
        <row r="607">
          <cell r="AJ607">
            <v>0</v>
          </cell>
          <cell r="AP607">
            <v>0</v>
          </cell>
        </row>
        <row r="608">
          <cell r="AJ608">
            <v>0</v>
          </cell>
          <cell r="AP608">
            <v>0</v>
          </cell>
        </row>
        <row r="609">
          <cell r="AJ609">
            <v>0</v>
          </cell>
          <cell r="AP609">
            <v>0</v>
          </cell>
        </row>
        <row r="610">
          <cell r="AJ610">
            <v>0</v>
          </cell>
          <cell r="AP610">
            <v>0</v>
          </cell>
        </row>
        <row r="611">
          <cell r="AJ611">
            <v>0</v>
          </cell>
          <cell r="AP611">
            <v>0</v>
          </cell>
        </row>
        <row r="612">
          <cell r="AJ612">
            <v>0</v>
          </cell>
          <cell r="AP612">
            <v>0</v>
          </cell>
        </row>
        <row r="613">
          <cell r="AJ613">
            <v>0</v>
          </cell>
          <cell r="AP613">
            <v>0</v>
          </cell>
        </row>
        <row r="614">
          <cell r="AJ614">
            <v>0</v>
          </cell>
          <cell r="AP614">
            <v>0</v>
          </cell>
        </row>
        <row r="615">
          <cell r="AJ615">
            <v>0</v>
          </cell>
          <cell r="AP615">
            <v>0</v>
          </cell>
        </row>
        <row r="616">
          <cell r="AJ616">
            <v>0</v>
          </cell>
          <cell r="AP616">
            <v>0</v>
          </cell>
        </row>
        <row r="617">
          <cell r="AJ617">
            <v>0</v>
          </cell>
          <cell r="AP617">
            <v>0</v>
          </cell>
        </row>
        <row r="618">
          <cell r="AJ618">
            <v>0</v>
          </cell>
          <cell r="AP618">
            <v>0</v>
          </cell>
        </row>
        <row r="619">
          <cell r="AJ619">
            <v>0</v>
          </cell>
          <cell r="AP619">
            <v>0</v>
          </cell>
        </row>
        <row r="620">
          <cell r="AJ620">
            <v>0</v>
          </cell>
          <cell r="AP620">
            <v>0</v>
          </cell>
        </row>
        <row r="621">
          <cell r="AJ621">
            <v>0</v>
          </cell>
          <cell r="AP621">
            <v>0</v>
          </cell>
        </row>
        <row r="622">
          <cell r="AJ622">
            <v>0</v>
          </cell>
          <cell r="AP622">
            <v>0</v>
          </cell>
        </row>
        <row r="623">
          <cell r="AJ623">
            <v>0</v>
          </cell>
          <cell r="AP623">
            <v>0</v>
          </cell>
        </row>
        <row r="624">
          <cell r="AJ624">
            <v>0</v>
          </cell>
          <cell r="AP624">
            <v>0</v>
          </cell>
        </row>
        <row r="625">
          <cell r="AJ625">
            <v>0</v>
          </cell>
          <cell r="AP625">
            <v>0</v>
          </cell>
        </row>
        <row r="626">
          <cell r="AJ626">
            <v>0</v>
          </cell>
          <cell r="AP626">
            <v>0</v>
          </cell>
        </row>
        <row r="627">
          <cell r="AJ627">
            <v>0</v>
          </cell>
          <cell r="AP627">
            <v>0</v>
          </cell>
        </row>
        <row r="628">
          <cell r="AJ628">
            <v>0</v>
          </cell>
          <cell r="AP628">
            <v>0</v>
          </cell>
        </row>
        <row r="629">
          <cell r="AJ629">
            <v>0</v>
          </cell>
          <cell r="AP629">
            <v>0</v>
          </cell>
        </row>
        <row r="630">
          <cell r="AJ630">
            <v>0</v>
          </cell>
          <cell r="AP630">
            <v>0</v>
          </cell>
        </row>
        <row r="631">
          <cell r="AJ631">
            <v>0</v>
          </cell>
          <cell r="AP631">
            <v>0</v>
          </cell>
        </row>
        <row r="632">
          <cell r="AJ632">
            <v>0</v>
          </cell>
          <cell r="AP632">
            <v>0</v>
          </cell>
        </row>
        <row r="633">
          <cell r="AJ633">
            <v>0</v>
          </cell>
          <cell r="AP633">
            <v>0</v>
          </cell>
        </row>
        <row r="634">
          <cell r="AJ634">
            <v>0</v>
          </cell>
          <cell r="AP634">
            <v>0</v>
          </cell>
        </row>
        <row r="635">
          <cell r="AJ635">
            <v>0</v>
          </cell>
          <cell r="AP635">
            <v>0</v>
          </cell>
        </row>
        <row r="636">
          <cell r="AJ636">
            <v>0</v>
          </cell>
          <cell r="AP636">
            <v>0</v>
          </cell>
        </row>
        <row r="637">
          <cell r="AJ637">
            <v>0</v>
          </cell>
          <cell r="AP637">
            <v>0</v>
          </cell>
        </row>
        <row r="638">
          <cell r="AJ638">
            <v>0</v>
          </cell>
          <cell r="AP638">
            <v>0</v>
          </cell>
        </row>
        <row r="639">
          <cell r="AJ639">
            <v>0</v>
          </cell>
          <cell r="AP639">
            <v>0</v>
          </cell>
        </row>
        <row r="640">
          <cell r="AJ640">
            <v>0</v>
          </cell>
          <cell r="AP640">
            <v>0</v>
          </cell>
        </row>
        <row r="641">
          <cell r="AJ641">
            <v>0</v>
          </cell>
          <cell r="AP641">
            <v>0</v>
          </cell>
        </row>
        <row r="642">
          <cell r="AJ642">
            <v>0</v>
          </cell>
          <cell r="AP642">
            <v>0</v>
          </cell>
        </row>
        <row r="643">
          <cell r="AJ643">
            <v>0</v>
          </cell>
          <cell r="AP643">
            <v>0</v>
          </cell>
        </row>
        <row r="644">
          <cell r="AJ644">
            <v>0</v>
          </cell>
          <cell r="AP644">
            <v>0</v>
          </cell>
        </row>
        <row r="645">
          <cell r="AJ645">
            <v>0</v>
          </cell>
          <cell r="AP645">
            <v>0</v>
          </cell>
        </row>
        <row r="646">
          <cell r="AJ646">
            <v>0</v>
          </cell>
          <cell r="AP646">
            <v>0</v>
          </cell>
        </row>
        <row r="647">
          <cell r="AJ647">
            <v>0</v>
          </cell>
          <cell r="AP647">
            <v>0</v>
          </cell>
        </row>
        <row r="648">
          <cell r="AJ648">
            <v>0</v>
          </cell>
          <cell r="AP648">
            <v>0</v>
          </cell>
        </row>
        <row r="649">
          <cell r="AJ649">
            <v>0</v>
          </cell>
          <cell r="AP649">
            <v>0</v>
          </cell>
        </row>
        <row r="650">
          <cell r="AJ650">
            <v>0</v>
          </cell>
          <cell r="AP650">
            <v>0</v>
          </cell>
        </row>
        <row r="651">
          <cell r="AJ651">
            <v>0</v>
          </cell>
          <cell r="AP651">
            <v>0</v>
          </cell>
        </row>
        <row r="652">
          <cell r="AJ652">
            <v>0</v>
          </cell>
          <cell r="AP652">
            <v>0</v>
          </cell>
        </row>
        <row r="653">
          <cell r="AJ653">
            <v>0</v>
          </cell>
          <cell r="AP653">
            <v>0</v>
          </cell>
        </row>
        <row r="654">
          <cell r="AJ654">
            <v>0</v>
          </cell>
          <cell r="AP654">
            <v>0</v>
          </cell>
        </row>
        <row r="655">
          <cell r="AJ655">
            <v>0</v>
          </cell>
          <cell r="AP655">
            <v>0</v>
          </cell>
        </row>
        <row r="656">
          <cell r="AJ656">
            <v>0</v>
          </cell>
          <cell r="AP656">
            <v>0</v>
          </cell>
        </row>
        <row r="657">
          <cell r="AJ657">
            <v>0</v>
          </cell>
          <cell r="AP657">
            <v>0</v>
          </cell>
        </row>
        <row r="658">
          <cell r="AJ658">
            <v>0</v>
          </cell>
          <cell r="AP658">
            <v>0</v>
          </cell>
        </row>
        <row r="659">
          <cell r="AJ659">
            <v>0</v>
          </cell>
          <cell r="AP659">
            <v>0</v>
          </cell>
        </row>
        <row r="660">
          <cell r="AJ660">
            <v>0</v>
          </cell>
          <cell r="AP660">
            <v>0</v>
          </cell>
        </row>
        <row r="661">
          <cell r="AJ661">
            <v>0</v>
          </cell>
          <cell r="AP661">
            <v>0</v>
          </cell>
        </row>
        <row r="662">
          <cell r="AJ662">
            <v>0</v>
          </cell>
          <cell r="AP662">
            <v>0</v>
          </cell>
        </row>
        <row r="663">
          <cell r="AJ663">
            <v>0</v>
          </cell>
          <cell r="AP663">
            <v>0</v>
          </cell>
        </row>
        <row r="664">
          <cell r="AJ664">
            <v>0</v>
          </cell>
          <cell r="AP664">
            <v>0</v>
          </cell>
        </row>
        <row r="665">
          <cell r="AJ665">
            <v>0</v>
          </cell>
          <cell r="AP665">
            <v>0</v>
          </cell>
        </row>
        <row r="666">
          <cell r="AJ666">
            <v>0</v>
          </cell>
          <cell r="AP666">
            <v>0</v>
          </cell>
        </row>
        <row r="667">
          <cell r="AJ667">
            <v>0</v>
          </cell>
          <cell r="AP667">
            <v>0</v>
          </cell>
        </row>
        <row r="668">
          <cell r="AJ668">
            <v>0</v>
          </cell>
          <cell r="AP668">
            <v>0</v>
          </cell>
        </row>
        <row r="669">
          <cell r="AJ669">
            <v>0</v>
          </cell>
          <cell r="AP669">
            <v>0</v>
          </cell>
        </row>
        <row r="670">
          <cell r="AJ670">
            <v>0</v>
          </cell>
          <cell r="AP670">
            <v>0</v>
          </cell>
        </row>
        <row r="671">
          <cell r="AJ671">
            <v>0</v>
          </cell>
          <cell r="AP671">
            <v>0</v>
          </cell>
        </row>
        <row r="672">
          <cell r="AJ672">
            <v>0</v>
          </cell>
          <cell r="AP672">
            <v>0</v>
          </cell>
        </row>
        <row r="673">
          <cell r="AJ673">
            <v>0</v>
          </cell>
          <cell r="AP673">
            <v>0</v>
          </cell>
        </row>
        <row r="674">
          <cell r="AJ674">
            <v>0</v>
          </cell>
          <cell r="AP674">
            <v>0</v>
          </cell>
        </row>
        <row r="675">
          <cell r="AJ675">
            <v>0</v>
          </cell>
          <cell r="AP675">
            <v>0</v>
          </cell>
        </row>
        <row r="676">
          <cell r="AJ676">
            <v>0</v>
          </cell>
          <cell r="AP676">
            <v>0</v>
          </cell>
        </row>
        <row r="677">
          <cell r="AJ677">
            <v>0</v>
          </cell>
          <cell r="AP677">
            <v>0</v>
          </cell>
        </row>
        <row r="678">
          <cell r="AJ678">
            <v>0</v>
          </cell>
          <cell r="AP678">
            <v>0</v>
          </cell>
        </row>
        <row r="679">
          <cell r="AJ679">
            <v>0</v>
          </cell>
          <cell r="AP679">
            <v>0</v>
          </cell>
        </row>
        <row r="680">
          <cell r="AJ680">
            <v>0</v>
          </cell>
          <cell r="AP680">
            <v>0</v>
          </cell>
        </row>
        <row r="681">
          <cell r="AJ681">
            <v>0</v>
          </cell>
          <cell r="AP681">
            <v>0</v>
          </cell>
        </row>
        <row r="682">
          <cell r="AJ682">
            <v>0</v>
          </cell>
          <cell r="AP682">
            <v>0</v>
          </cell>
        </row>
        <row r="683">
          <cell r="AJ683">
            <v>0</v>
          </cell>
          <cell r="AP683">
            <v>0</v>
          </cell>
        </row>
        <row r="684">
          <cell r="AJ684">
            <v>0</v>
          </cell>
          <cell r="AP684">
            <v>0</v>
          </cell>
        </row>
        <row r="685">
          <cell r="AJ685">
            <v>0</v>
          </cell>
          <cell r="AP685">
            <v>0</v>
          </cell>
        </row>
        <row r="686">
          <cell r="AJ686">
            <v>0</v>
          </cell>
          <cell r="AP686">
            <v>0</v>
          </cell>
        </row>
        <row r="687">
          <cell r="AJ687">
            <v>0</v>
          </cell>
          <cell r="AP687">
            <v>0</v>
          </cell>
        </row>
        <row r="688">
          <cell r="AJ688">
            <v>0</v>
          </cell>
          <cell r="AP688">
            <v>0</v>
          </cell>
        </row>
        <row r="689">
          <cell r="AJ689">
            <v>0</v>
          </cell>
          <cell r="AP689">
            <v>0</v>
          </cell>
        </row>
        <row r="690">
          <cell r="AJ690">
            <v>0</v>
          </cell>
          <cell r="AP690">
            <v>0</v>
          </cell>
        </row>
        <row r="691">
          <cell r="AJ691">
            <v>0</v>
          </cell>
          <cell r="AP691">
            <v>0</v>
          </cell>
        </row>
        <row r="692">
          <cell r="AJ692">
            <v>0</v>
          </cell>
          <cell r="AP692">
            <v>0</v>
          </cell>
        </row>
        <row r="693">
          <cell r="AJ693">
            <v>0</v>
          </cell>
          <cell r="AP693">
            <v>0</v>
          </cell>
        </row>
        <row r="694">
          <cell r="AJ694">
            <v>0</v>
          </cell>
          <cell r="AP694">
            <v>0</v>
          </cell>
        </row>
        <row r="695">
          <cell r="AJ695">
            <v>0</v>
          </cell>
          <cell r="AP695">
            <v>0</v>
          </cell>
        </row>
        <row r="696">
          <cell r="AJ696">
            <v>0</v>
          </cell>
          <cell r="AP696">
            <v>0</v>
          </cell>
        </row>
        <row r="697">
          <cell r="AJ697">
            <v>0</v>
          </cell>
          <cell r="AP697">
            <v>0</v>
          </cell>
        </row>
        <row r="698">
          <cell r="AJ698">
            <v>0</v>
          </cell>
          <cell r="AP698">
            <v>0</v>
          </cell>
        </row>
        <row r="699">
          <cell r="AJ699">
            <v>0</v>
          </cell>
          <cell r="AP699">
            <v>0</v>
          </cell>
        </row>
        <row r="700">
          <cell r="AJ700">
            <v>0</v>
          </cell>
          <cell r="AP700">
            <v>0</v>
          </cell>
        </row>
        <row r="701">
          <cell r="AJ701">
            <v>0</v>
          </cell>
          <cell r="AP701">
            <v>0</v>
          </cell>
        </row>
        <row r="702">
          <cell r="AJ702">
            <v>0</v>
          </cell>
          <cell r="AP702">
            <v>0</v>
          </cell>
        </row>
        <row r="703">
          <cell r="AJ703">
            <v>0</v>
          </cell>
          <cell r="AP703">
            <v>0</v>
          </cell>
        </row>
        <row r="704">
          <cell r="AJ704">
            <v>0</v>
          </cell>
          <cell r="AP704">
            <v>0</v>
          </cell>
        </row>
        <row r="705">
          <cell r="AJ705">
            <v>0</v>
          </cell>
          <cell r="AP705">
            <v>0</v>
          </cell>
        </row>
        <row r="706">
          <cell r="AJ706">
            <v>0</v>
          </cell>
          <cell r="AP706">
            <v>0</v>
          </cell>
        </row>
        <row r="707">
          <cell r="AJ707">
            <v>0</v>
          </cell>
          <cell r="AP707">
            <v>0</v>
          </cell>
        </row>
        <row r="708">
          <cell r="AJ708">
            <v>0</v>
          </cell>
          <cell r="AP708">
            <v>0</v>
          </cell>
        </row>
        <row r="709">
          <cell r="AJ709">
            <v>0</v>
          </cell>
          <cell r="AP709">
            <v>0</v>
          </cell>
        </row>
        <row r="710">
          <cell r="AJ710">
            <v>0</v>
          </cell>
          <cell r="AP710">
            <v>0</v>
          </cell>
        </row>
        <row r="711">
          <cell r="AJ711">
            <v>0</v>
          </cell>
          <cell r="AP711">
            <v>0</v>
          </cell>
        </row>
        <row r="712">
          <cell r="AJ712">
            <v>0</v>
          </cell>
          <cell r="AP712">
            <v>0</v>
          </cell>
        </row>
        <row r="713">
          <cell r="AJ713">
            <v>0</v>
          </cell>
          <cell r="AP713">
            <v>0</v>
          </cell>
        </row>
        <row r="714">
          <cell r="AJ714">
            <v>0</v>
          </cell>
          <cell r="AP714">
            <v>0</v>
          </cell>
        </row>
        <row r="715">
          <cell r="AJ715">
            <v>0</v>
          </cell>
          <cell r="AP715">
            <v>0</v>
          </cell>
        </row>
        <row r="716">
          <cell r="AJ716">
            <v>0</v>
          </cell>
          <cell r="AP716">
            <v>0</v>
          </cell>
        </row>
        <row r="717">
          <cell r="AJ717">
            <v>0</v>
          </cell>
          <cell r="AP717">
            <v>0</v>
          </cell>
        </row>
        <row r="718">
          <cell r="AJ718">
            <v>0</v>
          </cell>
          <cell r="AP718">
            <v>0</v>
          </cell>
        </row>
        <row r="719">
          <cell r="AJ719">
            <v>0</v>
          </cell>
          <cell r="AP719">
            <v>0</v>
          </cell>
        </row>
        <row r="720">
          <cell r="AJ720">
            <v>0</v>
          </cell>
          <cell r="AP720">
            <v>0</v>
          </cell>
        </row>
        <row r="721">
          <cell r="AJ721">
            <v>0</v>
          </cell>
          <cell r="AP721">
            <v>0</v>
          </cell>
        </row>
        <row r="722">
          <cell r="AJ722">
            <v>0</v>
          </cell>
          <cell r="AP722">
            <v>0</v>
          </cell>
        </row>
        <row r="723">
          <cell r="AJ723">
            <v>0</v>
          </cell>
          <cell r="AP723">
            <v>0</v>
          </cell>
        </row>
        <row r="724">
          <cell r="AJ724">
            <v>0</v>
          </cell>
          <cell r="AP724">
            <v>0</v>
          </cell>
        </row>
        <row r="725">
          <cell r="AJ725">
            <v>0</v>
          </cell>
          <cell r="AP725">
            <v>0</v>
          </cell>
        </row>
        <row r="726">
          <cell r="AJ726">
            <v>0</v>
          </cell>
          <cell r="AP726">
            <v>0</v>
          </cell>
        </row>
        <row r="727">
          <cell r="AJ727">
            <v>0</v>
          </cell>
          <cell r="AP727">
            <v>0</v>
          </cell>
        </row>
        <row r="728">
          <cell r="AJ728">
            <v>0</v>
          </cell>
          <cell r="AP728">
            <v>0</v>
          </cell>
        </row>
        <row r="729">
          <cell r="AJ729">
            <v>0</v>
          </cell>
          <cell r="AP729">
            <v>0</v>
          </cell>
        </row>
        <row r="730">
          <cell r="AJ730">
            <v>0</v>
          </cell>
          <cell r="AP730">
            <v>0</v>
          </cell>
        </row>
        <row r="731">
          <cell r="AJ731">
            <v>0</v>
          </cell>
          <cell r="AP731">
            <v>0</v>
          </cell>
        </row>
        <row r="732">
          <cell r="AJ732">
            <v>0</v>
          </cell>
          <cell r="AP732">
            <v>0</v>
          </cell>
        </row>
        <row r="733">
          <cell r="AJ733">
            <v>0</v>
          </cell>
          <cell r="AP733">
            <v>0</v>
          </cell>
        </row>
        <row r="734">
          <cell r="AJ734">
            <v>0</v>
          </cell>
          <cell r="AP734">
            <v>0</v>
          </cell>
        </row>
        <row r="735">
          <cell r="AJ735">
            <v>0</v>
          </cell>
          <cell r="AP735">
            <v>0</v>
          </cell>
        </row>
        <row r="736">
          <cell r="AJ736">
            <v>0</v>
          </cell>
          <cell r="AP736">
            <v>0</v>
          </cell>
        </row>
        <row r="737">
          <cell r="AJ737">
            <v>0</v>
          </cell>
          <cell r="AP737">
            <v>0</v>
          </cell>
        </row>
        <row r="738">
          <cell r="AJ738">
            <v>0</v>
          </cell>
          <cell r="AP738">
            <v>0</v>
          </cell>
        </row>
        <row r="739">
          <cell r="AJ739">
            <v>0</v>
          </cell>
          <cell r="AP739">
            <v>0</v>
          </cell>
        </row>
        <row r="740">
          <cell r="AJ740">
            <v>0</v>
          </cell>
          <cell r="AP740">
            <v>0</v>
          </cell>
        </row>
        <row r="741">
          <cell r="AJ741">
            <v>0</v>
          </cell>
          <cell r="AP741">
            <v>0</v>
          </cell>
        </row>
        <row r="742">
          <cell r="AJ742">
            <v>0</v>
          </cell>
          <cell r="AP742">
            <v>0</v>
          </cell>
        </row>
        <row r="743">
          <cell r="AJ743">
            <v>0</v>
          </cell>
          <cell r="AP743">
            <v>0</v>
          </cell>
        </row>
        <row r="744">
          <cell r="AJ744">
            <v>0</v>
          </cell>
          <cell r="AP744">
            <v>0</v>
          </cell>
        </row>
        <row r="745">
          <cell r="AJ745">
            <v>0</v>
          </cell>
          <cell r="AP745">
            <v>0</v>
          </cell>
        </row>
        <row r="746">
          <cell r="AJ746">
            <v>0</v>
          </cell>
          <cell r="AP746">
            <v>0</v>
          </cell>
        </row>
        <row r="747">
          <cell r="AJ747">
            <v>0</v>
          </cell>
          <cell r="AP747">
            <v>0</v>
          </cell>
        </row>
        <row r="748">
          <cell r="AJ748">
            <v>0</v>
          </cell>
          <cell r="AP748">
            <v>0</v>
          </cell>
        </row>
        <row r="749">
          <cell r="AJ749">
            <v>0</v>
          </cell>
          <cell r="AP749">
            <v>0</v>
          </cell>
        </row>
        <row r="750">
          <cell r="AJ750">
            <v>0</v>
          </cell>
          <cell r="AP750">
            <v>0</v>
          </cell>
        </row>
        <row r="751">
          <cell r="AJ751">
            <v>0</v>
          </cell>
          <cell r="AP751">
            <v>0</v>
          </cell>
        </row>
        <row r="752">
          <cell r="AJ752">
            <v>0</v>
          </cell>
          <cell r="AP752">
            <v>0</v>
          </cell>
        </row>
        <row r="753">
          <cell r="AJ753">
            <v>0</v>
          </cell>
          <cell r="AP753">
            <v>0</v>
          </cell>
        </row>
        <row r="754">
          <cell r="AJ754">
            <v>0</v>
          </cell>
          <cell r="AP754">
            <v>0</v>
          </cell>
        </row>
        <row r="755">
          <cell r="AJ755">
            <v>0</v>
          </cell>
          <cell r="AP755">
            <v>0</v>
          </cell>
        </row>
        <row r="756">
          <cell r="AJ756">
            <v>0</v>
          </cell>
          <cell r="AP756">
            <v>0</v>
          </cell>
        </row>
        <row r="757">
          <cell r="AJ757">
            <v>0</v>
          </cell>
          <cell r="AP757">
            <v>0</v>
          </cell>
        </row>
        <row r="758">
          <cell r="AJ758">
            <v>0</v>
          </cell>
          <cell r="AP758">
            <v>0</v>
          </cell>
        </row>
        <row r="759">
          <cell r="AJ759">
            <v>0</v>
          </cell>
          <cell r="AP759">
            <v>0</v>
          </cell>
        </row>
        <row r="760">
          <cell r="AJ760">
            <v>0</v>
          </cell>
          <cell r="AP760">
            <v>0</v>
          </cell>
        </row>
        <row r="761">
          <cell r="AJ761">
            <v>0</v>
          </cell>
          <cell r="AP761">
            <v>0</v>
          </cell>
        </row>
        <row r="762">
          <cell r="AJ762">
            <v>0</v>
          </cell>
          <cell r="AP762">
            <v>0</v>
          </cell>
        </row>
        <row r="763">
          <cell r="AJ763">
            <v>0</v>
          </cell>
          <cell r="AP763">
            <v>0</v>
          </cell>
        </row>
        <row r="764">
          <cell r="AJ764">
            <v>0</v>
          </cell>
          <cell r="AP764">
            <v>0</v>
          </cell>
        </row>
        <row r="765">
          <cell r="AJ765">
            <v>0</v>
          </cell>
          <cell r="AP765">
            <v>0</v>
          </cell>
        </row>
        <row r="766">
          <cell r="AJ766">
            <v>0</v>
          </cell>
          <cell r="AP766">
            <v>0</v>
          </cell>
        </row>
        <row r="767">
          <cell r="AJ767">
            <v>0</v>
          </cell>
          <cell r="AP767">
            <v>0</v>
          </cell>
        </row>
        <row r="768">
          <cell r="AJ768">
            <v>0</v>
          </cell>
          <cell r="AP768">
            <v>0</v>
          </cell>
        </row>
        <row r="769">
          <cell r="AJ769">
            <v>0</v>
          </cell>
          <cell r="AP769">
            <v>0</v>
          </cell>
        </row>
        <row r="770">
          <cell r="AJ770">
            <v>0</v>
          </cell>
          <cell r="AP770">
            <v>0</v>
          </cell>
        </row>
        <row r="771">
          <cell r="AJ771">
            <v>0</v>
          </cell>
          <cell r="AP771">
            <v>0</v>
          </cell>
        </row>
        <row r="772">
          <cell r="AJ772">
            <v>0</v>
          </cell>
          <cell r="AP772">
            <v>0</v>
          </cell>
        </row>
        <row r="773">
          <cell r="AJ773">
            <v>0</v>
          </cell>
          <cell r="AP773">
            <v>0</v>
          </cell>
        </row>
        <row r="774">
          <cell r="AJ774">
            <v>0</v>
          </cell>
          <cell r="AP774">
            <v>0</v>
          </cell>
        </row>
        <row r="775">
          <cell r="AJ775">
            <v>0</v>
          </cell>
          <cell r="AP775">
            <v>0</v>
          </cell>
        </row>
        <row r="776">
          <cell r="AJ776">
            <v>0</v>
          </cell>
          <cell r="AP776">
            <v>0</v>
          </cell>
        </row>
        <row r="777">
          <cell r="AJ777">
            <v>0</v>
          </cell>
          <cell r="AP777">
            <v>0</v>
          </cell>
        </row>
        <row r="778">
          <cell r="AJ778">
            <v>0</v>
          </cell>
          <cell r="AP778">
            <v>0</v>
          </cell>
        </row>
        <row r="779">
          <cell r="AJ779">
            <v>0</v>
          </cell>
          <cell r="AP779">
            <v>0</v>
          </cell>
        </row>
        <row r="780">
          <cell r="AJ780">
            <v>0</v>
          </cell>
          <cell r="AP780">
            <v>0</v>
          </cell>
        </row>
        <row r="781">
          <cell r="AJ781">
            <v>0</v>
          </cell>
          <cell r="AP781">
            <v>0</v>
          </cell>
        </row>
        <row r="782">
          <cell r="AJ782">
            <v>0</v>
          </cell>
          <cell r="AP782">
            <v>0</v>
          </cell>
        </row>
        <row r="783">
          <cell r="AJ783">
            <v>0</v>
          </cell>
          <cell r="AP783">
            <v>0</v>
          </cell>
        </row>
        <row r="784">
          <cell r="AJ784">
            <v>0</v>
          </cell>
          <cell r="AP784">
            <v>0</v>
          </cell>
        </row>
        <row r="785">
          <cell r="AJ785">
            <v>0</v>
          </cell>
          <cell r="AP785">
            <v>0</v>
          </cell>
        </row>
        <row r="786">
          <cell r="AJ786">
            <v>0</v>
          </cell>
          <cell r="AP786">
            <v>0</v>
          </cell>
        </row>
        <row r="787">
          <cell r="AJ787">
            <v>0</v>
          </cell>
          <cell r="AP787">
            <v>0</v>
          </cell>
        </row>
        <row r="788">
          <cell r="AJ788">
            <v>0</v>
          </cell>
          <cell r="AP788">
            <v>0</v>
          </cell>
        </row>
        <row r="789">
          <cell r="AJ789">
            <v>0</v>
          </cell>
          <cell r="AP789">
            <v>0</v>
          </cell>
        </row>
        <row r="790">
          <cell r="AJ790">
            <v>0</v>
          </cell>
          <cell r="AP790">
            <v>0</v>
          </cell>
        </row>
        <row r="791">
          <cell r="AJ791">
            <v>0</v>
          </cell>
          <cell r="AP791">
            <v>0</v>
          </cell>
        </row>
        <row r="792">
          <cell r="AJ792">
            <v>0</v>
          </cell>
          <cell r="AP792">
            <v>0</v>
          </cell>
        </row>
        <row r="793">
          <cell r="AJ793">
            <v>0</v>
          </cell>
          <cell r="AP793">
            <v>0</v>
          </cell>
        </row>
        <row r="794">
          <cell r="AJ794">
            <v>0</v>
          </cell>
          <cell r="AP794">
            <v>0</v>
          </cell>
        </row>
        <row r="795">
          <cell r="AJ795">
            <v>0</v>
          </cell>
          <cell r="AP795">
            <v>0</v>
          </cell>
        </row>
        <row r="796">
          <cell r="AJ796">
            <v>0</v>
          </cell>
          <cell r="AP796">
            <v>0</v>
          </cell>
        </row>
        <row r="797">
          <cell r="AJ797">
            <v>0</v>
          </cell>
          <cell r="AP797">
            <v>0</v>
          </cell>
        </row>
        <row r="798">
          <cell r="AJ798">
            <v>0</v>
          </cell>
          <cell r="AP798">
            <v>0</v>
          </cell>
        </row>
        <row r="799">
          <cell r="AJ799">
            <v>0</v>
          </cell>
          <cell r="AP799">
            <v>0</v>
          </cell>
        </row>
        <row r="800">
          <cell r="AJ800">
            <v>0</v>
          </cell>
          <cell r="AP800">
            <v>0</v>
          </cell>
        </row>
        <row r="801">
          <cell r="AJ801">
            <v>0</v>
          </cell>
          <cell r="AP801">
            <v>0</v>
          </cell>
        </row>
        <row r="802">
          <cell r="AJ802">
            <v>0</v>
          </cell>
          <cell r="AP802">
            <v>0</v>
          </cell>
        </row>
        <row r="803">
          <cell r="AJ803">
            <v>0</v>
          </cell>
          <cell r="AP803">
            <v>0</v>
          </cell>
        </row>
        <row r="804">
          <cell r="AJ804">
            <v>0</v>
          </cell>
          <cell r="AP804">
            <v>0</v>
          </cell>
        </row>
        <row r="805">
          <cell r="AJ805">
            <v>0</v>
          </cell>
          <cell r="AP805">
            <v>0</v>
          </cell>
        </row>
        <row r="806">
          <cell r="AJ806">
            <v>0</v>
          </cell>
          <cell r="AP806">
            <v>0</v>
          </cell>
        </row>
        <row r="807">
          <cell r="AJ807">
            <v>0</v>
          </cell>
          <cell r="AP807">
            <v>0</v>
          </cell>
        </row>
        <row r="808">
          <cell r="AJ808">
            <v>0</v>
          </cell>
          <cell r="AP808">
            <v>0</v>
          </cell>
        </row>
        <row r="809">
          <cell r="AJ809">
            <v>0</v>
          </cell>
          <cell r="AP809">
            <v>0</v>
          </cell>
        </row>
        <row r="810">
          <cell r="AJ810">
            <v>0</v>
          </cell>
          <cell r="AP810">
            <v>0</v>
          </cell>
        </row>
        <row r="811">
          <cell r="AJ811">
            <v>0</v>
          </cell>
          <cell r="AP811">
            <v>0</v>
          </cell>
        </row>
        <row r="812">
          <cell r="AJ812">
            <v>0</v>
          </cell>
          <cell r="AP812">
            <v>0</v>
          </cell>
        </row>
        <row r="813">
          <cell r="AJ813">
            <v>0</v>
          </cell>
          <cell r="AP813">
            <v>0</v>
          </cell>
        </row>
        <row r="814">
          <cell r="AJ814">
            <v>0</v>
          </cell>
          <cell r="AP814">
            <v>0</v>
          </cell>
        </row>
        <row r="815">
          <cell r="AJ815">
            <v>0</v>
          </cell>
          <cell r="AP815">
            <v>0</v>
          </cell>
        </row>
        <row r="816">
          <cell r="AJ816">
            <v>0</v>
          </cell>
          <cell r="AP816">
            <v>0</v>
          </cell>
        </row>
        <row r="817">
          <cell r="AJ817">
            <v>0</v>
          </cell>
          <cell r="AP817">
            <v>0</v>
          </cell>
        </row>
        <row r="818">
          <cell r="AJ818">
            <v>0</v>
          </cell>
          <cell r="AP818">
            <v>0</v>
          </cell>
        </row>
        <row r="819">
          <cell r="AJ819">
            <v>0</v>
          </cell>
          <cell r="AP819">
            <v>0</v>
          </cell>
        </row>
        <row r="820">
          <cell r="AJ820">
            <v>0</v>
          </cell>
          <cell r="AP820">
            <v>0</v>
          </cell>
        </row>
        <row r="821">
          <cell r="AJ821">
            <v>0</v>
          </cell>
          <cell r="AP821">
            <v>0</v>
          </cell>
        </row>
        <row r="822">
          <cell r="AJ822">
            <v>0</v>
          </cell>
          <cell r="AP822">
            <v>0</v>
          </cell>
        </row>
        <row r="823">
          <cell r="AJ823">
            <v>0</v>
          </cell>
          <cell r="AP823">
            <v>0</v>
          </cell>
        </row>
        <row r="824">
          <cell r="AJ824">
            <v>0</v>
          </cell>
          <cell r="AP824">
            <v>0</v>
          </cell>
        </row>
        <row r="825">
          <cell r="AJ825">
            <v>0</v>
          </cell>
          <cell r="AP825">
            <v>0</v>
          </cell>
        </row>
        <row r="826">
          <cell r="AJ826">
            <v>0</v>
          </cell>
          <cell r="AP826">
            <v>0</v>
          </cell>
        </row>
        <row r="827">
          <cell r="AJ827">
            <v>0</v>
          </cell>
          <cell r="AP827">
            <v>0</v>
          </cell>
        </row>
        <row r="828">
          <cell r="AJ828">
            <v>0</v>
          </cell>
          <cell r="AP828">
            <v>0</v>
          </cell>
        </row>
        <row r="829">
          <cell r="AJ829">
            <v>0</v>
          </cell>
          <cell r="AP829">
            <v>0</v>
          </cell>
        </row>
        <row r="830">
          <cell r="AJ830">
            <v>0</v>
          </cell>
          <cell r="AP830">
            <v>0</v>
          </cell>
        </row>
        <row r="831">
          <cell r="AJ831">
            <v>0</v>
          </cell>
          <cell r="AP831">
            <v>0</v>
          </cell>
        </row>
        <row r="832">
          <cell r="AJ832">
            <v>0</v>
          </cell>
          <cell r="AP832">
            <v>0</v>
          </cell>
        </row>
        <row r="833">
          <cell r="AJ833">
            <v>0</v>
          </cell>
          <cell r="AP833">
            <v>0</v>
          </cell>
        </row>
        <row r="834">
          <cell r="AJ834">
            <v>0</v>
          </cell>
          <cell r="AP834">
            <v>0</v>
          </cell>
        </row>
        <row r="835">
          <cell r="AJ835">
            <v>0</v>
          </cell>
          <cell r="AP835">
            <v>0</v>
          </cell>
        </row>
        <row r="836">
          <cell r="AJ836">
            <v>0</v>
          </cell>
          <cell r="AP836">
            <v>0</v>
          </cell>
        </row>
        <row r="837">
          <cell r="AJ837">
            <v>0</v>
          </cell>
          <cell r="AP837">
            <v>0</v>
          </cell>
        </row>
        <row r="838">
          <cell r="AJ838">
            <v>0</v>
          </cell>
          <cell r="AP838">
            <v>0</v>
          </cell>
        </row>
        <row r="839">
          <cell r="AJ839">
            <v>0</v>
          </cell>
          <cell r="AP839">
            <v>0</v>
          </cell>
        </row>
        <row r="840">
          <cell r="AJ840">
            <v>0</v>
          </cell>
          <cell r="AP840">
            <v>0</v>
          </cell>
        </row>
        <row r="841">
          <cell r="AJ841">
            <v>0</v>
          </cell>
          <cell r="AP841">
            <v>0</v>
          </cell>
        </row>
        <row r="842">
          <cell r="AJ842">
            <v>0</v>
          </cell>
          <cell r="AP842">
            <v>0</v>
          </cell>
        </row>
        <row r="843">
          <cell r="AJ843">
            <v>0</v>
          </cell>
          <cell r="AP843">
            <v>0</v>
          </cell>
        </row>
        <row r="844">
          <cell r="AJ844">
            <v>0</v>
          </cell>
          <cell r="AP844">
            <v>0</v>
          </cell>
        </row>
        <row r="845">
          <cell r="AJ845">
            <v>0</v>
          </cell>
          <cell r="AP845">
            <v>0</v>
          </cell>
        </row>
        <row r="846">
          <cell r="AJ846">
            <v>0</v>
          </cell>
          <cell r="AP846">
            <v>0</v>
          </cell>
        </row>
        <row r="847">
          <cell r="AJ847">
            <v>0</v>
          </cell>
          <cell r="AP847">
            <v>0</v>
          </cell>
        </row>
        <row r="848">
          <cell r="AJ848">
            <v>0</v>
          </cell>
          <cell r="AP848">
            <v>0</v>
          </cell>
        </row>
        <row r="849">
          <cell r="AJ849">
            <v>0</v>
          </cell>
          <cell r="AP849">
            <v>0</v>
          </cell>
        </row>
        <row r="850">
          <cell r="AJ850">
            <v>0</v>
          </cell>
          <cell r="AP850">
            <v>0</v>
          </cell>
        </row>
        <row r="851">
          <cell r="AJ851">
            <v>0</v>
          </cell>
          <cell r="AP851">
            <v>0</v>
          </cell>
        </row>
        <row r="852">
          <cell r="AJ852">
            <v>0</v>
          </cell>
          <cell r="AP852">
            <v>0</v>
          </cell>
        </row>
        <row r="853">
          <cell r="AJ853">
            <v>0</v>
          </cell>
          <cell r="AP853">
            <v>0</v>
          </cell>
        </row>
        <row r="854">
          <cell r="AJ854">
            <v>0</v>
          </cell>
          <cell r="AP854">
            <v>0</v>
          </cell>
        </row>
        <row r="855">
          <cell r="AJ855">
            <v>0</v>
          </cell>
          <cell r="AP855">
            <v>0</v>
          </cell>
        </row>
        <row r="856">
          <cell r="AJ856">
            <v>0</v>
          </cell>
          <cell r="AP856">
            <v>0</v>
          </cell>
        </row>
        <row r="857">
          <cell r="AJ857">
            <v>0</v>
          </cell>
          <cell r="AP857">
            <v>0</v>
          </cell>
        </row>
        <row r="858">
          <cell r="AJ858">
            <v>0</v>
          </cell>
          <cell r="AP858">
            <v>0</v>
          </cell>
        </row>
        <row r="859">
          <cell r="AJ859">
            <v>0</v>
          </cell>
          <cell r="AP859">
            <v>0</v>
          </cell>
        </row>
        <row r="860">
          <cell r="AJ860">
            <v>0</v>
          </cell>
          <cell r="AP860">
            <v>0</v>
          </cell>
        </row>
        <row r="861">
          <cell r="AJ861">
            <v>0</v>
          </cell>
          <cell r="AP861">
            <v>0</v>
          </cell>
        </row>
        <row r="862">
          <cell r="AJ862">
            <v>0</v>
          </cell>
          <cell r="AP862">
            <v>0</v>
          </cell>
        </row>
        <row r="863">
          <cell r="AJ863">
            <v>0</v>
          </cell>
          <cell r="AP863">
            <v>0</v>
          </cell>
        </row>
        <row r="864">
          <cell r="AJ864">
            <v>0</v>
          </cell>
          <cell r="AP864">
            <v>0</v>
          </cell>
        </row>
        <row r="865">
          <cell r="AJ865">
            <v>0</v>
          </cell>
          <cell r="AP865">
            <v>0</v>
          </cell>
        </row>
        <row r="866">
          <cell r="AJ866">
            <v>0</v>
          </cell>
          <cell r="AP866">
            <v>0</v>
          </cell>
        </row>
        <row r="867">
          <cell r="AJ867">
            <v>0</v>
          </cell>
          <cell r="AP867">
            <v>0</v>
          </cell>
        </row>
        <row r="868">
          <cell r="AJ868">
            <v>0</v>
          </cell>
          <cell r="AP868">
            <v>0</v>
          </cell>
        </row>
        <row r="869">
          <cell r="AJ869">
            <v>0</v>
          </cell>
          <cell r="AP869">
            <v>0</v>
          </cell>
        </row>
        <row r="870">
          <cell r="AJ870">
            <v>0</v>
          </cell>
          <cell r="AP870">
            <v>0</v>
          </cell>
        </row>
        <row r="871">
          <cell r="AJ871">
            <v>0</v>
          </cell>
          <cell r="AP871">
            <v>0</v>
          </cell>
        </row>
        <row r="872">
          <cell r="AJ872">
            <v>0</v>
          </cell>
          <cell r="AP872">
            <v>0</v>
          </cell>
        </row>
        <row r="873">
          <cell r="AJ873">
            <v>0</v>
          </cell>
          <cell r="AP873">
            <v>0</v>
          </cell>
        </row>
        <row r="874">
          <cell r="AJ874">
            <v>0</v>
          </cell>
          <cell r="AP874">
            <v>0</v>
          </cell>
        </row>
        <row r="875">
          <cell r="AJ875">
            <v>0</v>
          </cell>
          <cell r="AP875">
            <v>0</v>
          </cell>
        </row>
        <row r="876">
          <cell r="AJ876">
            <v>0</v>
          </cell>
          <cell r="AP876">
            <v>0</v>
          </cell>
        </row>
        <row r="877">
          <cell r="AJ877">
            <v>0</v>
          </cell>
          <cell r="AP877">
            <v>0</v>
          </cell>
        </row>
        <row r="878">
          <cell r="AJ878">
            <v>0</v>
          </cell>
          <cell r="AP878">
            <v>0</v>
          </cell>
        </row>
        <row r="879">
          <cell r="AJ879">
            <v>0</v>
          </cell>
          <cell r="AP879">
            <v>0</v>
          </cell>
        </row>
        <row r="880">
          <cell r="AJ880">
            <v>0</v>
          </cell>
          <cell r="AP880">
            <v>0</v>
          </cell>
        </row>
        <row r="881">
          <cell r="AJ881">
            <v>0</v>
          </cell>
          <cell r="AP881">
            <v>0</v>
          </cell>
        </row>
        <row r="882">
          <cell r="AJ882">
            <v>0</v>
          </cell>
          <cell r="AP882">
            <v>0</v>
          </cell>
        </row>
        <row r="883">
          <cell r="AJ883">
            <v>0</v>
          </cell>
          <cell r="AP883">
            <v>0</v>
          </cell>
        </row>
        <row r="884">
          <cell r="AJ884">
            <v>0</v>
          </cell>
          <cell r="AP884">
            <v>0</v>
          </cell>
        </row>
        <row r="885">
          <cell r="AJ885">
            <v>0</v>
          </cell>
          <cell r="AP885">
            <v>0</v>
          </cell>
        </row>
        <row r="886">
          <cell r="AJ886">
            <v>0</v>
          </cell>
          <cell r="AP886">
            <v>0</v>
          </cell>
        </row>
        <row r="887">
          <cell r="AJ887">
            <v>0</v>
          </cell>
          <cell r="AP887">
            <v>0</v>
          </cell>
        </row>
        <row r="888">
          <cell r="AJ888">
            <v>0</v>
          </cell>
          <cell r="AP888">
            <v>0</v>
          </cell>
        </row>
        <row r="889">
          <cell r="AJ889">
            <v>0</v>
          </cell>
          <cell r="AP889">
            <v>0</v>
          </cell>
        </row>
        <row r="890">
          <cell r="AJ890">
            <v>0</v>
          </cell>
          <cell r="AP890">
            <v>0</v>
          </cell>
        </row>
        <row r="891">
          <cell r="AJ891">
            <v>0</v>
          </cell>
          <cell r="AP891">
            <v>0</v>
          </cell>
        </row>
        <row r="892">
          <cell r="AJ892">
            <v>0</v>
          </cell>
          <cell r="AP892">
            <v>0</v>
          </cell>
        </row>
        <row r="893">
          <cell r="AJ893">
            <v>0</v>
          </cell>
          <cell r="AP893">
            <v>0</v>
          </cell>
        </row>
        <row r="894">
          <cell r="AJ894">
            <v>0</v>
          </cell>
          <cell r="AP894">
            <v>0</v>
          </cell>
        </row>
        <row r="895">
          <cell r="AJ895">
            <v>0</v>
          </cell>
          <cell r="AP895">
            <v>0</v>
          </cell>
        </row>
        <row r="896">
          <cell r="AJ896">
            <v>0</v>
          </cell>
          <cell r="AP896">
            <v>0</v>
          </cell>
        </row>
        <row r="897">
          <cell r="AJ897">
            <v>0</v>
          </cell>
          <cell r="AP897">
            <v>0</v>
          </cell>
        </row>
        <row r="898">
          <cell r="AJ898">
            <v>0</v>
          </cell>
          <cell r="AP898">
            <v>0</v>
          </cell>
        </row>
        <row r="899">
          <cell r="AJ899">
            <v>0</v>
          </cell>
          <cell r="AP899">
            <v>0</v>
          </cell>
        </row>
        <row r="900">
          <cell r="AJ900">
            <v>0</v>
          </cell>
          <cell r="AP900">
            <v>0</v>
          </cell>
        </row>
        <row r="901">
          <cell r="AJ901">
            <v>0</v>
          </cell>
          <cell r="AP901">
            <v>0</v>
          </cell>
        </row>
        <row r="902">
          <cell r="AJ902">
            <v>0</v>
          </cell>
          <cell r="AP902">
            <v>0</v>
          </cell>
        </row>
        <row r="903">
          <cell r="AJ903">
            <v>0</v>
          </cell>
          <cell r="AP903">
            <v>0</v>
          </cell>
        </row>
        <row r="904">
          <cell r="AJ904">
            <v>0</v>
          </cell>
          <cell r="AP904">
            <v>0</v>
          </cell>
        </row>
        <row r="905">
          <cell r="AJ905">
            <v>0</v>
          </cell>
          <cell r="AP905">
            <v>0</v>
          </cell>
        </row>
        <row r="906">
          <cell r="AJ906">
            <v>0</v>
          </cell>
          <cell r="AP906">
            <v>0</v>
          </cell>
        </row>
        <row r="907">
          <cell r="AJ907">
            <v>0</v>
          </cell>
          <cell r="AP907">
            <v>0</v>
          </cell>
        </row>
        <row r="908">
          <cell r="AJ908">
            <v>0</v>
          </cell>
          <cell r="AP908">
            <v>0</v>
          </cell>
        </row>
        <row r="909">
          <cell r="AJ909">
            <v>0</v>
          </cell>
          <cell r="AP909">
            <v>0</v>
          </cell>
        </row>
        <row r="910">
          <cell r="AJ910">
            <v>0</v>
          </cell>
          <cell r="AP910">
            <v>0</v>
          </cell>
        </row>
        <row r="911">
          <cell r="AJ911">
            <v>0</v>
          </cell>
          <cell r="AP911">
            <v>0</v>
          </cell>
        </row>
        <row r="912">
          <cell r="AJ912">
            <v>0</v>
          </cell>
          <cell r="AP912">
            <v>0</v>
          </cell>
        </row>
        <row r="913">
          <cell r="AJ913">
            <v>0</v>
          </cell>
          <cell r="AP913">
            <v>0</v>
          </cell>
        </row>
        <row r="914">
          <cell r="AJ914">
            <v>0</v>
          </cell>
          <cell r="AP914">
            <v>0</v>
          </cell>
        </row>
        <row r="915">
          <cell r="AJ915">
            <v>0</v>
          </cell>
          <cell r="AP915">
            <v>0</v>
          </cell>
        </row>
        <row r="916">
          <cell r="AJ916">
            <v>0</v>
          </cell>
          <cell r="AP916">
            <v>0</v>
          </cell>
        </row>
        <row r="917">
          <cell r="AJ917">
            <v>0</v>
          </cell>
          <cell r="AP917">
            <v>0</v>
          </cell>
        </row>
        <row r="918">
          <cell r="AJ918">
            <v>0</v>
          </cell>
          <cell r="AP918">
            <v>0</v>
          </cell>
        </row>
        <row r="919">
          <cell r="AJ919">
            <v>0</v>
          </cell>
          <cell r="AP919">
            <v>0</v>
          </cell>
        </row>
        <row r="920">
          <cell r="AJ920">
            <v>0</v>
          </cell>
          <cell r="AP920">
            <v>0</v>
          </cell>
        </row>
        <row r="921">
          <cell r="AJ921">
            <v>0</v>
          </cell>
          <cell r="AP921">
            <v>0</v>
          </cell>
        </row>
        <row r="922">
          <cell r="AJ922">
            <v>0</v>
          </cell>
          <cell r="AP922">
            <v>0</v>
          </cell>
        </row>
        <row r="923">
          <cell r="AJ923">
            <v>0</v>
          </cell>
          <cell r="AP923">
            <v>0</v>
          </cell>
        </row>
        <row r="924">
          <cell r="AJ924">
            <v>0</v>
          </cell>
          <cell r="AP924">
            <v>0</v>
          </cell>
        </row>
        <row r="925">
          <cell r="AJ925">
            <v>0</v>
          </cell>
          <cell r="AP925">
            <v>0</v>
          </cell>
        </row>
        <row r="926">
          <cell r="AJ926">
            <v>0</v>
          </cell>
          <cell r="AP926">
            <v>0</v>
          </cell>
        </row>
        <row r="927">
          <cell r="AJ927">
            <v>0</v>
          </cell>
          <cell r="AP927">
            <v>0</v>
          </cell>
        </row>
        <row r="928">
          <cell r="AJ928">
            <v>0</v>
          </cell>
          <cell r="AP928">
            <v>0</v>
          </cell>
        </row>
        <row r="929">
          <cell r="AJ929">
            <v>0</v>
          </cell>
          <cell r="AP929">
            <v>0</v>
          </cell>
        </row>
        <row r="930">
          <cell r="AJ930">
            <v>0</v>
          </cell>
          <cell r="AP930">
            <v>0</v>
          </cell>
        </row>
        <row r="931">
          <cell r="AJ931">
            <v>0</v>
          </cell>
          <cell r="AP931">
            <v>0</v>
          </cell>
        </row>
        <row r="932">
          <cell r="AJ932">
            <v>0</v>
          </cell>
          <cell r="AP932">
            <v>0</v>
          </cell>
        </row>
        <row r="933">
          <cell r="AJ933">
            <v>0</v>
          </cell>
          <cell r="AP933">
            <v>0</v>
          </cell>
        </row>
        <row r="934">
          <cell r="AJ934">
            <v>0</v>
          </cell>
          <cell r="AP934">
            <v>0</v>
          </cell>
        </row>
        <row r="935">
          <cell r="AJ935">
            <v>0</v>
          </cell>
          <cell r="AP935">
            <v>0</v>
          </cell>
        </row>
        <row r="936">
          <cell r="AJ936">
            <v>0</v>
          </cell>
          <cell r="AP936">
            <v>0</v>
          </cell>
        </row>
        <row r="937">
          <cell r="AJ937">
            <v>0</v>
          </cell>
          <cell r="AP937">
            <v>0</v>
          </cell>
        </row>
        <row r="938">
          <cell r="AJ938">
            <v>0</v>
          </cell>
          <cell r="AP938">
            <v>0</v>
          </cell>
        </row>
        <row r="939">
          <cell r="AJ939">
            <v>0</v>
          </cell>
          <cell r="AP939">
            <v>0</v>
          </cell>
        </row>
        <row r="940">
          <cell r="AJ940">
            <v>0</v>
          </cell>
          <cell r="AP940">
            <v>0</v>
          </cell>
        </row>
        <row r="941">
          <cell r="AJ941">
            <v>0</v>
          </cell>
          <cell r="AP941">
            <v>0</v>
          </cell>
        </row>
        <row r="942">
          <cell r="AJ942">
            <v>0</v>
          </cell>
          <cell r="AP942">
            <v>0</v>
          </cell>
        </row>
        <row r="943">
          <cell r="AJ943">
            <v>0</v>
          </cell>
          <cell r="AP943">
            <v>0</v>
          </cell>
        </row>
        <row r="944">
          <cell r="AJ944">
            <v>0</v>
          </cell>
          <cell r="AP944">
            <v>0</v>
          </cell>
        </row>
        <row r="945">
          <cell r="AJ945">
            <v>0</v>
          </cell>
          <cell r="AP945">
            <v>0</v>
          </cell>
        </row>
        <row r="946">
          <cell r="AJ946">
            <v>0</v>
          </cell>
          <cell r="AP946">
            <v>0</v>
          </cell>
        </row>
        <row r="947">
          <cell r="AJ947">
            <v>0</v>
          </cell>
          <cell r="AP947">
            <v>0</v>
          </cell>
        </row>
        <row r="948">
          <cell r="AJ948">
            <v>0</v>
          </cell>
          <cell r="AP948">
            <v>0</v>
          </cell>
        </row>
        <row r="949">
          <cell r="AJ949">
            <v>0</v>
          </cell>
          <cell r="AP949">
            <v>0</v>
          </cell>
        </row>
        <row r="950">
          <cell r="AJ950">
            <v>0</v>
          </cell>
          <cell r="AP950">
            <v>0</v>
          </cell>
        </row>
        <row r="951">
          <cell r="AJ951">
            <v>0</v>
          </cell>
          <cell r="AP951">
            <v>0</v>
          </cell>
        </row>
        <row r="952">
          <cell r="AJ952">
            <v>0</v>
          </cell>
          <cell r="AP952">
            <v>0</v>
          </cell>
        </row>
        <row r="953">
          <cell r="AJ953">
            <v>0</v>
          </cell>
          <cell r="AP953">
            <v>0</v>
          </cell>
        </row>
        <row r="954">
          <cell r="AJ954">
            <v>0</v>
          </cell>
          <cell r="AP954">
            <v>0</v>
          </cell>
        </row>
        <row r="955">
          <cell r="AJ955">
            <v>0</v>
          </cell>
          <cell r="AP955">
            <v>0</v>
          </cell>
        </row>
        <row r="956">
          <cell r="AJ956">
            <v>0</v>
          </cell>
          <cell r="AP956">
            <v>0</v>
          </cell>
        </row>
        <row r="957">
          <cell r="AJ957">
            <v>0</v>
          </cell>
          <cell r="AP957">
            <v>0</v>
          </cell>
        </row>
        <row r="958">
          <cell r="AJ958">
            <v>0</v>
          </cell>
          <cell r="AP958">
            <v>0</v>
          </cell>
        </row>
        <row r="959">
          <cell r="AJ959">
            <v>0</v>
          </cell>
          <cell r="AP959">
            <v>0</v>
          </cell>
        </row>
        <row r="960">
          <cell r="AJ960">
            <v>0</v>
          </cell>
          <cell r="AP960">
            <v>0</v>
          </cell>
        </row>
        <row r="961">
          <cell r="AJ961">
            <v>0</v>
          </cell>
          <cell r="AP961">
            <v>0</v>
          </cell>
        </row>
        <row r="962">
          <cell r="AJ962">
            <v>0</v>
          </cell>
          <cell r="AP962">
            <v>0</v>
          </cell>
        </row>
        <row r="963">
          <cell r="AJ963">
            <v>0</v>
          </cell>
          <cell r="AP963">
            <v>0</v>
          </cell>
        </row>
        <row r="964">
          <cell r="AJ964">
            <v>0</v>
          </cell>
          <cell r="AP964">
            <v>0</v>
          </cell>
        </row>
        <row r="965">
          <cell r="AJ965">
            <v>0</v>
          </cell>
          <cell r="AP965">
            <v>0</v>
          </cell>
        </row>
        <row r="966">
          <cell r="AJ966">
            <v>0</v>
          </cell>
          <cell r="AP966">
            <v>0</v>
          </cell>
        </row>
        <row r="967">
          <cell r="AJ967">
            <v>0</v>
          </cell>
          <cell r="AP967">
            <v>0</v>
          </cell>
        </row>
        <row r="968">
          <cell r="AJ968">
            <v>0</v>
          </cell>
          <cell r="AP968">
            <v>0</v>
          </cell>
        </row>
        <row r="969">
          <cell r="AJ969">
            <v>0</v>
          </cell>
          <cell r="AP969">
            <v>0</v>
          </cell>
        </row>
        <row r="970">
          <cell r="AJ970">
            <v>0</v>
          </cell>
          <cell r="AP970">
            <v>0</v>
          </cell>
        </row>
        <row r="971">
          <cell r="AJ971">
            <v>0</v>
          </cell>
          <cell r="AP971">
            <v>0</v>
          </cell>
        </row>
        <row r="972">
          <cell r="AJ972">
            <v>0</v>
          </cell>
          <cell r="AP972">
            <v>0</v>
          </cell>
        </row>
        <row r="973">
          <cell r="AJ973">
            <v>0</v>
          </cell>
          <cell r="AP973">
            <v>0</v>
          </cell>
        </row>
        <row r="974">
          <cell r="AJ974">
            <v>0</v>
          </cell>
          <cell r="AP974">
            <v>0</v>
          </cell>
        </row>
        <row r="975">
          <cell r="AJ975">
            <v>0</v>
          </cell>
          <cell r="AP975">
            <v>0</v>
          </cell>
        </row>
        <row r="976">
          <cell r="AJ976">
            <v>0</v>
          </cell>
          <cell r="AP976">
            <v>0</v>
          </cell>
        </row>
        <row r="977">
          <cell r="AJ977">
            <v>0</v>
          </cell>
          <cell r="AP977">
            <v>0</v>
          </cell>
        </row>
        <row r="978">
          <cell r="AJ978">
            <v>0</v>
          </cell>
          <cell r="AP978">
            <v>0</v>
          </cell>
        </row>
        <row r="979">
          <cell r="AJ979">
            <v>0</v>
          </cell>
          <cell r="AP979">
            <v>0</v>
          </cell>
        </row>
        <row r="980">
          <cell r="AJ980">
            <v>0</v>
          </cell>
          <cell r="AP980">
            <v>0</v>
          </cell>
        </row>
        <row r="981">
          <cell r="AJ981">
            <v>0</v>
          </cell>
          <cell r="AP981">
            <v>0</v>
          </cell>
        </row>
        <row r="982">
          <cell r="AJ982">
            <v>0</v>
          </cell>
          <cell r="AP982">
            <v>0</v>
          </cell>
        </row>
        <row r="983">
          <cell r="AJ983">
            <v>0</v>
          </cell>
          <cell r="AP983">
            <v>0</v>
          </cell>
        </row>
        <row r="984">
          <cell r="AJ984">
            <v>0</v>
          </cell>
          <cell r="AP984">
            <v>0</v>
          </cell>
        </row>
        <row r="985">
          <cell r="AJ985">
            <v>0</v>
          </cell>
          <cell r="AP985">
            <v>0</v>
          </cell>
        </row>
        <row r="986">
          <cell r="AJ986">
            <v>0</v>
          </cell>
          <cell r="AP986">
            <v>0</v>
          </cell>
        </row>
        <row r="987">
          <cell r="AJ987">
            <v>0</v>
          </cell>
          <cell r="AP987">
            <v>0</v>
          </cell>
        </row>
        <row r="988">
          <cell r="AJ988">
            <v>0</v>
          </cell>
          <cell r="AP988">
            <v>0</v>
          </cell>
        </row>
        <row r="989">
          <cell r="AJ989">
            <v>0</v>
          </cell>
          <cell r="AP989">
            <v>0</v>
          </cell>
        </row>
        <row r="990">
          <cell r="AJ990">
            <v>0</v>
          </cell>
          <cell r="AP990">
            <v>0</v>
          </cell>
        </row>
        <row r="991">
          <cell r="AJ991">
            <v>0</v>
          </cell>
          <cell r="AP991">
            <v>0</v>
          </cell>
        </row>
        <row r="992">
          <cell r="AJ992">
            <v>0</v>
          </cell>
          <cell r="AP992">
            <v>0</v>
          </cell>
        </row>
        <row r="993">
          <cell r="AJ993">
            <v>0</v>
          </cell>
          <cell r="AP993">
            <v>0</v>
          </cell>
        </row>
        <row r="994">
          <cell r="AJ994">
            <v>0</v>
          </cell>
          <cell r="AP994">
            <v>0</v>
          </cell>
        </row>
        <row r="995">
          <cell r="AJ995">
            <v>0</v>
          </cell>
          <cell r="AP995">
            <v>0</v>
          </cell>
        </row>
        <row r="996">
          <cell r="AJ996">
            <v>0</v>
          </cell>
          <cell r="AP996">
            <v>0</v>
          </cell>
        </row>
        <row r="997">
          <cell r="AJ997">
            <v>0</v>
          </cell>
          <cell r="AP997">
            <v>0</v>
          </cell>
        </row>
        <row r="998">
          <cell r="AJ998">
            <v>0</v>
          </cell>
          <cell r="AP998">
            <v>0</v>
          </cell>
        </row>
        <row r="999">
          <cell r="AJ999">
            <v>0</v>
          </cell>
          <cell r="AP999">
            <v>0</v>
          </cell>
        </row>
        <row r="1000">
          <cell r="AJ1000">
            <v>0</v>
          </cell>
          <cell r="AP1000">
            <v>0</v>
          </cell>
        </row>
        <row r="1001">
          <cell r="AJ1001">
            <v>0</v>
          </cell>
          <cell r="AP1001">
            <v>0</v>
          </cell>
        </row>
        <row r="1002">
          <cell r="AJ1002">
            <v>0</v>
          </cell>
          <cell r="AP1002">
            <v>0</v>
          </cell>
        </row>
        <row r="1003">
          <cell r="AJ1003">
            <v>0</v>
          </cell>
          <cell r="AP1003">
            <v>0</v>
          </cell>
        </row>
        <row r="1004">
          <cell r="AJ1004">
            <v>0</v>
          </cell>
          <cell r="AP1004">
            <v>0</v>
          </cell>
        </row>
        <row r="1005">
          <cell r="AJ1005">
            <v>0</v>
          </cell>
          <cell r="AP1005">
            <v>0</v>
          </cell>
        </row>
        <row r="1006">
          <cell r="AJ1006">
            <v>0</v>
          </cell>
          <cell r="AP1006">
            <v>0</v>
          </cell>
        </row>
        <row r="1007">
          <cell r="AJ1007">
            <v>0</v>
          </cell>
          <cell r="AP1007">
            <v>0</v>
          </cell>
        </row>
        <row r="1008">
          <cell r="AJ1008">
            <v>0</v>
          </cell>
          <cell r="AP1008">
            <v>0</v>
          </cell>
        </row>
        <row r="1009">
          <cell r="AJ1009">
            <v>0</v>
          </cell>
          <cell r="AP1009">
            <v>0</v>
          </cell>
        </row>
        <row r="1010">
          <cell r="AJ1010">
            <v>0</v>
          </cell>
          <cell r="AP1010">
            <v>0</v>
          </cell>
        </row>
        <row r="1011">
          <cell r="AJ1011">
            <v>0</v>
          </cell>
          <cell r="AP1011">
            <v>0</v>
          </cell>
        </row>
        <row r="1012">
          <cell r="AJ1012">
            <v>0</v>
          </cell>
          <cell r="AP1012">
            <v>0</v>
          </cell>
        </row>
        <row r="1013">
          <cell r="AJ1013">
            <v>0</v>
          </cell>
          <cell r="AP1013">
            <v>0</v>
          </cell>
        </row>
        <row r="1014">
          <cell r="AJ1014">
            <v>0</v>
          </cell>
          <cell r="AP1014">
            <v>0</v>
          </cell>
        </row>
        <row r="1015">
          <cell r="AJ1015">
            <v>0</v>
          </cell>
          <cell r="AP1015">
            <v>0</v>
          </cell>
        </row>
        <row r="1016">
          <cell r="AJ1016">
            <v>0</v>
          </cell>
          <cell r="AP1016">
            <v>0</v>
          </cell>
        </row>
        <row r="1017">
          <cell r="AJ1017">
            <v>0</v>
          </cell>
          <cell r="AP1017">
            <v>0</v>
          </cell>
        </row>
        <row r="1018">
          <cell r="AJ1018">
            <v>0</v>
          </cell>
          <cell r="AP1018">
            <v>0</v>
          </cell>
        </row>
        <row r="1019">
          <cell r="AJ1019">
            <v>0</v>
          </cell>
          <cell r="AP1019">
            <v>0</v>
          </cell>
        </row>
        <row r="1020">
          <cell r="AJ1020">
            <v>0</v>
          </cell>
          <cell r="AP1020">
            <v>0</v>
          </cell>
        </row>
        <row r="1021">
          <cell r="AJ1021">
            <v>0</v>
          </cell>
          <cell r="AP1021">
            <v>0</v>
          </cell>
        </row>
        <row r="1022">
          <cell r="AJ1022">
            <v>0</v>
          </cell>
          <cell r="AP1022">
            <v>0</v>
          </cell>
        </row>
        <row r="1023">
          <cell r="AJ1023">
            <v>0</v>
          </cell>
          <cell r="AP1023">
            <v>0</v>
          </cell>
        </row>
        <row r="1024">
          <cell r="AJ1024">
            <v>0</v>
          </cell>
          <cell r="AP1024">
            <v>0</v>
          </cell>
        </row>
        <row r="1025">
          <cell r="AJ1025">
            <v>0</v>
          </cell>
          <cell r="AP1025">
            <v>0</v>
          </cell>
        </row>
        <row r="1026">
          <cell r="AJ1026">
            <v>0</v>
          </cell>
          <cell r="AP1026">
            <v>0</v>
          </cell>
        </row>
        <row r="1027">
          <cell r="AJ1027">
            <v>0</v>
          </cell>
          <cell r="AP1027">
            <v>0</v>
          </cell>
        </row>
        <row r="1028">
          <cell r="AJ1028">
            <v>0</v>
          </cell>
          <cell r="AP1028">
            <v>0</v>
          </cell>
        </row>
        <row r="1029">
          <cell r="AJ1029">
            <v>0</v>
          </cell>
          <cell r="AP1029">
            <v>0</v>
          </cell>
        </row>
        <row r="1030">
          <cell r="AJ1030">
            <v>0</v>
          </cell>
          <cell r="AP1030">
            <v>0</v>
          </cell>
        </row>
        <row r="1031">
          <cell r="AJ1031">
            <v>0</v>
          </cell>
          <cell r="AP1031">
            <v>0</v>
          </cell>
        </row>
        <row r="1032">
          <cell r="AJ1032">
            <v>0</v>
          </cell>
          <cell r="AP1032">
            <v>0</v>
          </cell>
        </row>
        <row r="1033">
          <cell r="AJ1033">
            <v>0</v>
          </cell>
          <cell r="AP1033">
            <v>0</v>
          </cell>
        </row>
        <row r="1034">
          <cell r="AJ1034">
            <v>0</v>
          </cell>
          <cell r="AP1034">
            <v>0</v>
          </cell>
        </row>
        <row r="1035">
          <cell r="AJ1035">
            <v>0</v>
          </cell>
          <cell r="AP1035">
            <v>0</v>
          </cell>
        </row>
        <row r="1036">
          <cell r="AJ1036">
            <v>0</v>
          </cell>
          <cell r="AP1036">
            <v>0</v>
          </cell>
        </row>
        <row r="1037">
          <cell r="AJ1037">
            <v>0</v>
          </cell>
          <cell r="AP1037">
            <v>0</v>
          </cell>
        </row>
        <row r="1038">
          <cell r="AJ1038">
            <v>0</v>
          </cell>
          <cell r="AP1038">
            <v>0</v>
          </cell>
        </row>
        <row r="1039">
          <cell r="AJ1039">
            <v>0</v>
          </cell>
          <cell r="AP1039">
            <v>0</v>
          </cell>
        </row>
        <row r="1040">
          <cell r="AJ1040">
            <v>0</v>
          </cell>
          <cell r="AP1040">
            <v>0</v>
          </cell>
        </row>
        <row r="1041">
          <cell r="AJ1041">
            <v>0</v>
          </cell>
          <cell r="AP1041">
            <v>0</v>
          </cell>
        </row>
        <row r="1042">
          <cell r="AJ1042">
            <v>0</v>
          </cell>
          <cell r="AP1042">
            <v>0</v>
          </cell>
        </row>
        <row r="1043">
          <cell r="AJ1043">
            <v>0</v>
          </cell>
          <cell r="AP1043">
            <v>0</v>
          </cell>
        </row>
        <row r="1044">
          <cell r="AJ1044">
            <v>0</v>
          </cell>
          <cell r="AP1044">
            <v>0</v>
          </cell>
        </row>
        <row r="1045">
          <cell r="AJ1045">
            <v>0</v>
          </cell>
          <cell r="AP1045">
            <v>0</v>
          </cell>
        </row>
        <row r="1046">
          <cell r="AJ1046">
            <v>0</v>
          </cell>
          <cell r="AP1046">
            <v>0</v>
          </cell>
        </row>
        <row r="1047">
          <cell r="AJ1047">
            <v>0</v>
          </cell>
          <cell r="AP1047">
            <v>0</v>
          </cell>
        </row>
        <row r="1048">
          <cell r="AJ1048">
            <v>0</v>
          </cell>
          <cell r="AP1048">
            <v>0</v>
          </cell>
        </row>
        <row r="1049">
          <cell r="AJ1049">
            <v>0</v>
          </cell>
          <cell r="AP1049">
            <v>0</v>
          </cell>
        </row>
        <row r="1050">
          <cell r="AJ1050">
            <v>0</v>
          </cell>
          <cell r="AP1050">
            <v>0</v>
          </cell>
        </row>
        <row r="1051">
          <cell r="AJ1051">
            <v>0</v>
          </cell>
          <cell r="AP1051">
            <v>0</v>
          </cell>
        </row>
        <row r="1052">
          <cell r="AJ1052">
            <v>0</v>
          </cell>
          <cell r="AP1052">
            <v>0</v>
          </cell>
        </row>
        <row r="1053">
          <cell r="AJ1053">
            <v>0</v>
          </cell>
          <cell r="AP1053">
            <v>0</v>
          </cell>
        </row>
        <row r="1054">
          <cell r="AJ1054">
            <v>0</v>
          </cell>
          <cell r="AP1054">
            <v>0</v>
          </cell>
        </row>
        <row r="1055">
          <cell r="AJ1055">
            <v>0</v>
          </cell>
          <cell r="AP1055">
            <v>0</v>
          </cell>
        </row>
        <row r="1056">
          <cell r="AJ1056">
            <v>0</v>
          </cell>
          <cell r="AP1056">
            <v>0</v>
          </cell>
        </row>
        <row r="1057">
          <cell r="AJ1057">
            <v>0</v>
          </cell>
          <cell r="AP1057">
            <v>0</v>
          </cell>
        </row>
        <row r="1058">
          <cell r="AJ1058">
            <v>0</v>
          </cell>
          <cell r="AP1058">
            <v>0</v>
          </cell>
        </row>
        <row r="1059">
          <cell r="AJ1059">
            <v>0</v>
          </cell>
          <cell r="AP1059">
            <v>0</v>
          </cell>
        </row>
        <row r="1060">
          <cell r="AJ1060">
            <v>0</v>
          </cell>
          <cell r="AP1060">
            <v>0</v>
          </cell>
        </row>
        <row r="1061">
          <cell r="AJ1061">
            <v>0</v>
          </cell>
          <cell r="AP1061">
            <v>0</v>
          </cell>
        </row>
        <row r="1062">
          <cell r="AJ1062">
            <v>0</v>
          </cell>
          <cell r="AP1062">
            <v>0</v>
          </cell>
        </row>
        <row r="1063">
          <cell r="AJ1063">
            <v>0</v>
          </cell>
          <cell r="AP1063">
            <v>0</v>
          </cell>
        </row>
        <row r="1064">
          <cell r="AJ1064">
            <v>0</v>
          </cell>
          <cell r="AP1064">
            <v>0</v>
          </cell>
        </row>
        <row r="1065">
          <cell r="AJ1065">
            <v>0</v>
          </cell>
          <cell r="AP1065">
            <v>0</v>
          </cell>
        </row>
        <row r="1066">
          <cell r="AJ1066">
            <v>0</v>
          </cell>
          <cell r="AP1066">
            <v>0</v>
          </cell>
        </row>
        <row r="1067">
          <cell r="AJ1067">
            <v>0</v>
          </cell>
          <cell r="AP1067">
            <v>0</v>
          </cell>
        </row>
        <row r="1068">
          <cell r="AJ1068">
            <v>0</v>
          </cell>
          <cell r="AP1068">
            <v>0</v>
          </cell>
        </row>
        <row r="1069">
          <cell r="AJ1069">
            <v>0</v>
          </cell>
          <cell r="AP1069">
            <v>0</v>
          </cell>
        </row>
        <row r="1070">
          <cell r="AJ1070">
            <v>0</v>
          </cell>
          <cell r="AP1070">
            <v>0</v>
          </cell>
        </row>
        <row r="1071">
          <cell r="AJ1071">
            <v>0</v>
          </cell>
          <cell r="AP1071">
            <v>0</v>
          </cell>
        </row>
        <row r="1072">
          <cell r="AJ1072">
            <v>0</v>
          </cell>
          <cell r="AP1072">
            <v>0</v>
          </cell>
        </row>
        <row r="1073">
          <cell r="AJ1073">
            <v>0</v>
          </cell>
          <cell r="AP1073">
            <v>0</v>
          </cell>
        </row>
        <row r="1074">
          <cell r="AJ1074">
            <v>0</v>
          </cell>
          <cell r="AP1074">
            <v>0</v>
          </cell>
        </row>
        <row r="1075">
          <cell r="AJ1075">
            <v>0</v>
          </cell>
          <cell r="AP1075">
            <v>0</v>
          </cell>
        </row>
        <row r="1076">
          <cell r="AJ1076">
            <v>0</v>
          </cell>
          <cell r="AP1076">
            <v>0</v>
          </cell>
        </row>
        <row r="1077">
          <cell r="AJ1077">
            <v>0</v>
          </cell>
          <cell r="AP1077">
            <v>0</v>
          </cell>
        </row>
        <row r="1078">
          <cell r="AJ1078">
            <v>0</v>
          </cell>
          <cell r="AP1078">
            <v>0</v>
          </cell>
        </row>
        <row r="1079">
          <cell r="AJ1079">
            <v>0</v>
          </cell>
          <cell r="AP1079">
            <v>0</v>
          </cell>
        </row>
        <row r="1080">
          <cell r="AJ1080">
            <v>0</v>
          </cell>
          <cell r="AP1080">
            <v>0</v>
          </cell>
        </row>
        <row r="1081">
          <cell r="AJ1081">
            <v>0</v>
          </cell>
          <cell r="AP1081">
            <v>0</v>
          </cell>
        </row>
        <row r="1082">
          <cell r="AJ1082">
            <v>0</v>
          </cell>
          <cell r="AP1082">
            <v>0</v>
          </cell>
        </row>
        <row r="1083">
          <cell r="AJ1083">
            <v>0</v>
          </cell>
          <cell r="AP1083">
            <v>0</v>
          </cell>
        </row>
        <row r="1084">
          <cell r="AJ1084">
            <v>0</v>
          </cell>
          <cell r="AP1084">
            <v>0</v>
          </cell>
        </row>
        <row r="1085">
          <cell r="AJ1085">
            <v>0</v>
          </cell>
          <cell r="AP1085">
            <v>0</v>
          </cell>
        </row>
        <row r="1086">
          <cell r="AJ1086">
            <v>0</v>
          </cell>
          <cell r="AP1086">
            <v>0</v>
          </cell>
        </row>
        <row r="1087">
          <cell r="AJ1087">
            <v>0</v>
          </cell>
          <cell r="AP1087">
            <v>0</v>
          </cell>
        </row>
        <row r="1088">
          <cell r="AJ1088">
            <v>0</v>
          </cell>
          <cell r="AP1088">
            <v>0</v>
          </cell>
        </row>
        <row r="1089">
          <cell r="AJ1089">
            <v>0</v>
          </cell>
          <cell r="AP1089">
            <v>0</v>
          </cell>
        </row>
        <row r="1090">
          <cell r="AJ1090">
            <v>0</v>
          </cell>
          <cell r="AP1090">
            <v>0</v>
          </cell>
        </row>
        <row r="1091">
          <cell r="AJ1091">
            <v>0</v>
          </cell>
          <cell r="AP1091">
            <v>0</v>
          </cell>
        </row>
        <row r="1092">
          <cell r="AJ1092">
            <v>0</v>
          </cell>
          <cell r="AP1092">
            <v>0</v>
          </cell>
        </row>
        <row r="1093">
          <cell r="AJ1093">
            <v>0</v>
          </cell>
          <cell r="AP1093">
            <v>0</v>
          </cell>
        </row>
        <row r="1094">
          <cell r="AJ1094">
            <v>0</v>
          </cell>
          <cell r="AP1094">
            <v>0</v>
          </cell>
        </row>
        <row r="1095">
          <cell r="AJ1095">
            <v>0</v>
          </cell>
          <cell r="AP1095">
            <v>0</v>
          </cell>
        </row>
        <row r="1096">
          <cell r="AJ1096">
            <v>0</v>
          </cell>
          <cell r="AP1096">
            <v>0</v>
          </cell>
        </row>
        <row r="1097">
          <cell r="AJ1097">
            <v>0</v>
          </cell>
          <cell r="AP1097">
            <v>0</v>
          </cell>
        </row>
        <row r="1098">
          <cell r="AJ1098">
            <v>0</v>
          </cell>
          <cell r="AP1098">
            <v>0</v>
          </cell>
        </row>
        <row r="1099">
          <cell r="AJ1099">
            <v>0</v>
          </cell>
          <cell r="AP1099">
            <v>0</v>
          </cell>
        </row>
        <row r="1100">
          <cell r="AJ1100">
            <v>0</v>
          </cell>
          <cell r="AP1100">
            <v>0</v>
          </cell>
        </row>
        <row r="1101">
          <cell r="AJ1101">
            <v>0</v>
          </cell>
          <cell r="AP1101">
            <v>0</v>
          </cell>
        </row>
        <row r="1102">
          <cell r="AJ1102">
            <v>0</v>
          </cell>
          <cell r="AP1102">
            <v>0</v>
          </cell>
        </row>
        <row r="1103">
          <cell r="AJ1103">
            <v>0</v>
          </cell>
          <cell r="AP1103">
            <v>0</v>
          </cell>
        </row>
        <row r="1104">
          <cell r="AJ1104">
            <v>0</v>
          </cell>
          <cell r="AP1104">
            <v>0</v>
          </cell>
        </row>
        <row r="1105">
          <cell r="AJ1105">
            <v>0</v>
          </cell>
          <cell r="AP1105">
            <v>0</v>
          </cell>
        </row>
        <row r="1106">
          <cell r="AJ1106">
            <v>0</v>
          </cell>
          <cell r="AP1106">
            <v>0</v>
          </cell>
        </row>
        <row r="1107">
          <cell r="AJ1107">
            <v>0</v>
          </cell>
          <cell r="AP1107">
            <v>0</v>
          </cell>
        </row>
        <row r="1108">
          <cell r="AJ1108">
            <v>0</v>
          </cell>
          <cell r="AP1108">
            <v>0</v>
          </cell>
        </row>
        <row r="1109">
          <cell r="AJ1109">
            <v>0</v>
          </cell>
          <cell r="AP1109">
            <v>0</v>
          </cell>
        </row>
        <row r="1110">
          <cell r="AJ1110">
            <v>0</v>
          </cell>
          <cell r="AP1110">
            <v>0</v>
          </cell>
        </row>
        <row r="1111">
          <cell r="AJ1111">
            <v>0</v>
          </cell>
          <cell r="AP1111">
            <v>0</v>
          </cell>
        </row>
        <row r="1112">
          <cell r="AJ1112">
            <v>0</v>
          </cell>
          <cell r="AP1112">
            <v>0</v>
          </cell>
        </row>
        <row r="1113">
          <cell r="AJ1113">
            <v>0</v>
          </cell>
          <cell r="AP1113">
            <v>0</v>
          </cell>
        </row>
        <row r="1114">
          <cell r="AJ1114">
            <v>0</v>
          </cell>
          <cell r="AP1114">
            <v>0</v>
          </cell>
        </row>
        <row r="1115">
          <cell r="AJ1115">
            <v>0</v>
          </cell>
          <cell r="AP1115">
            <v>0</v>
          </cell>
        </row>
        <row r="1116">
          <cell r="AJ1116">
            <v>0</v>
          </cell>
          <cell r="AP1116">
            <v>0</v>
          </cell>
        </row>
        <row r="1117">
          <cell r="AJ1117">
            <v>0</v>
          </cell>
          <cell r="AP1117">
            <v>0</v>
          </cell>
        </row>
        <row r="1118">
          <cell r="AJ1118">
            <v>0</v>
          </cell>
          <cell r="AP1118">
            <v>0</v>
          </cell>
        </row>
        <row r="1119">
          <cell r="AJ1119">
            <v>0</v>
          </cell>
          <cell r="AP1119">
            <v>0</v>
          </cell>
        </row>
        <row r="1120">
          <cell r="AJ1120">
            <v>0</v>
          </cell>
          <cell r="AP1120">
            <v>0</v>
          </cell>
        </row>
        <row r="1121">
          <cell r="AJ1121">
            <v>0</v>
          </cell>
          <cell r="AP1121">
            <v>0</v>
          </cell>
        </row>
        <row r="1122">
          <cell r="AJ1122">
            <v>0</v>
          </cell>
          <cell r="AP1122">
            <v>0</v>
          </cell>
        </row>
        <row r="1123">
          <cell r="AJ1123">
            <v>0</v>
          </cell>
          <cell r="AP1123">
            <v>0</v>
          </cell>
        </row>
        <row r="1124">
          <cell r="AJ1124">
            <v>0</v>
          </cell>
          <cell r="AP1124">
            <v>0</v>
          </cell>
        </row>
        <row r="1125">
          <cell r="AJ1125">
            <v>0</v>
          </cell>
          <cell r="AP1125">
            <v>0</v>
          </cell>
        </row>
        <row r="1126">
          <cell r="AJ1126">
            <v>0</v>
          </cell>
          <cell r="AP1126">
            <v>0</v>
          </cell>
        </row>
        <row r="1127">
          <cell r="AJ1127">
            <v>0</v>
          </cell>
          <cell r="AP1127">
            <v>0</v>
          </cell>
        </row>
        <row r="1128">
          <cell r="AJ1128">
            <v>0</v>
          </cell>
          <cell r="AP1128">
            <v>0</v>
          </cell>
        </row>
        <row r="1129">
          <cell r="AJ1129">
            <v>0</v>
          </cell>
          <cell r="AP1129">
            <v>0</v>
          </cell>
        </row>
        <row r="1130">
          <cell r="AJ1130">
            <v>0</v>
          </cell>
          <cell r="AP1130">
            <v>0</v>
          </cell>
        </row>
        <row r="1131">
          <cell r="AJ1131">
            <v>0</v>
          </cell>
          <cell r="AP1131">
            <v>0</v>
          </cell>
        </row>
        <row r="1132">
          <cell r="AJ1132">
            <v>0</v>
          </cell>
          <cell r="AP1132">
            <v>0</v>
          </cell>
        </row>
        <row r="1133">
          <cell r="AJ1133">
            <v>0</v>
          </cell>
          <cell r="AP1133">
            <v>0</v>
          </cell>
        </row>
        <row r="1134">
          <cell r="AJ1134">
            <v>0</v>
          </cell>
          <cell r="AP1134">
            <v>0</v>
          </cell>
        </row>
        <row r="1135">
          <cell r="AJ1135">
            <v>0</v>
          </cell>
          <cell r="AP1135">
            <v>0</v>
          </cell>
        </row>
        <row r="1136">
          <cell r="AJ1136">
            <v>0</v>
          </cell>
          <cell r="AP1136">
            <v>0</v>
          </cell>
        </row>
        <row r="1137">
          <cell r="AJ1137">
            <v>0</v>
          </cell>
          <cell r="AP1137">
            <v>0</v>
          </cell>
        </row>
        <row r="1138">
          <cell r="AJ1138">
            <v>0</v>
          </cell>
          <cell r="AP1138">
            <v>0</v>
          </cell>
        </row>
        <row r="1139">
          <cell r="AJ1139">
            <v>0</v>
          </cell>
          <cell r="AP1139">
            <v>0</v>
          </cell>
        </row>
        <row r="1140">
          <cell r="AJ1140">
            <v>0</v>
          </cell>
          <cell r="AP1140">
            <v>0</v>
          </cell>
        </row>
        <row r="1141">
          <cell r="AJ1141">
            <v>0</v>
          </cell>
          <cell r="AP1141">
            <v>0</v>
          </cell>
        </row>
        <row r="1142">
          <cell r="AJ1142">
            <v>0</v>
          </cell>
          <cell r="AP1142">
            <v>0</v>
          </cell>
        </row>
        <row r="1143">
          <cell r="AJ1143">
            <v>0</v>
          </cell>
          <cell r="AP1143">
            <v>0</v>
          </cell>
        </row>
        <row r="1144">
          <cell r="AJ1144">
            <v>0</v>
          </cell>
          <cell r="AP1144">
            <v>0</v>
          </cell>
        </row>
        <row r="1145">
          <cell r="AJ1145">
            <v>0</v>
          </cell>
          <cell r="AP1145">
            <v>0</v>
          </cell>
        </row>
        <row r="1146">
          <cell r="AJ1146">
            <v>0</v>
          </cell>
          <cell r="AP1146">
            <v>0</v>
          </cell>
        </row>
        <row r="1147">
          <cell r="AJ1147">
            <v>0</v>
          </cell>
          <cell r="AP1147">
            <v>0</v>
          </cell>
        </row>
        <row r="1148">
          <cell r="AJ1148">
            <v>0</v>
          </cell>
          <cell r="AP1148">
            <v>0</v>
          </cell>
        </row>
        <row r="1149">
          <cell r="AJ1149">
            <v>0</v>
          </cell>
          <cell r="AP1149">
            <v>0</v>
          </cell>
        </row>
        <row r="1150">
          <cell r="AJ1150">
            <v>0</v>
          </cell>
          <cell r="AP1150">
            <v>0</v>
          </cell>
        </row>
        <row r="1151">
          <cell r="AJ1151">
            <v>0</v>
          </cell>
          <cell r="AP1151">
            <v>0</v>
          </cell>
        </row>
        <row r="1152">
          <cell r="AJ1152">
            <v>0</v>
          </cell>
          <cell r="AP1152">
            <v>0</v>
          </cell>
        </row>
        <row r="1153">
          <cell r="AJ1153">
            <v>0</v>
          </cell>
          <cell r="AP1153">
            <v>0</v>
          </cell>
        </row>
        <row r="1154">
          <cell r="AJ1154">
            <v>0</v>
          </cell>
          <cell r="AP1154">
            <v>0</v>
          </cell>
        </row>
        <row r="1155">
          <cell r="AJ1155">
            <v>0</v>
          </cell>
          <cell r="AP1155">
            <v>0</v>
          </cell>
        </row>
        <row r="1156">
          <cell r="AJ1156">
            <v>0</v>
          </cell>
          <cell r="AP1156">
            <v>0</v>
          </cell>
        </row>
        <row r="1157">
          <cell r="AJ1157">
            <v>0</v>
          </cell>
          <cell r="AP1157">
            <v>0</v>
          </cell>
        </row>
        <row r="1158">
          <cell r="AJ1158">
            <v>0</v>
          </cell>
          <cell r="AP1158">
            <v>0</v>
          </cell>
        </row>
        <row r="1159">
          <cell r="AJ1159">
            <v>0</v>
          </cell>
          <cell r="AP1159">
            <v>0</v>
          </cell>
        </row>
        <row r="1160">
          <cell r="AJ1160">
            <v>0</v>
          </cell>
          <cell r="AP1160">
            <v>0</v>
          </cell>
        </row>
        <row r="1161">
          <cell r="AJ1161">
            <v>0</v>
          </cell>
          <cell r="AP1161">
            <v>0</v>
          </cell>
        </row>
        <row r="1162">
          <cell r="AJ1162">
            <v>0</v>
          </cell>
          <cell r="AP1162">
            <v>0</v>
          </cell>
        </row>
        <row r="1163">
          <cell r="AJ1163">
            <v>0</v>
          </cell>
          <cell r="AP1163">
            <v>0</v>
          </cell>
        </row>
        <row r="1164">
          <cell r="AJ1164">
            <v>0</v>
          </cell>
          <cell r="AP1164">
            <v>0</v>
          </cell>
        </row>
        <row r="1165">
          <cell r="AJ1165">
            <v>0</v>
          </cell>
          <cell r="AP1165">
            <v>0</v>
          </cell>
        </row>
        <row r="1166">
          <cell r="AJ1166">
            <v>0</v>
          </cell>
          <cell r="AP1166">
            <v>0</v>
          </cell>
        </row>
        <row r="1167">
          <cell r="AJ1167">
            <v>0</v>
          </cell>
          <cell r="AP1167">
            <v>0</v>
          </cell>
        </row>
        <row r="1168">
          <cell r="AJ1168">
            <v>0</v>
          </cell>
          <cell r="AP1168">
            <v>0</v>
          </cell>
        </row>
        <row r="1169">
          <cell r="AJ1169">
            <v>0</v>
          </cell>
          <cell r="AP1169">
            <v>0</v>
          </cell>
        </row>
        <row r="1170">
          <cell r="AJ1170">
            <v>0</v>
          </cell>
          <cell r="AP1170">
            <v>0</v>
          </cell>
        </row>
        <row r="1171">
          <cell r="AJ1171">
            <v>0</v>
          </cell>
          <cell r="AP1171">
            <v>0</v>
          </cell>
        </row>
        <row r="1172">
          <cell r="AJ1172">
            <v>0</v>
          </cell>
          <cell r="AP1172">
            <v>0</v>
          </cell>
        </row>
        <row r="1173">
          <cell r="AJ1173">
            <v>0</v>
          </cell>
          <cell r="AP1173">
            <v>0</v>
          </cell>
        </row>
        <row r="1174">
          <cell r="AJ1174">
            <v>0</v>
          </cell>
          <cell r="AP1174">
            <v>0</v>
          </cell>
        </row>
        <row r="1175">
          <cell r="AJ1175">
            <v>0</v>
          </cell>
          <cell r="AP1175">
            <v>0</v>
          </cell>
        </row>
        <row r="1176">
          <cell r="AJ1176">
            <v>0</v>
          </cell>
          <cell r="AP1176">
            <v>0</v>
          </cell>
        </row>
        <row r="1177">
          <cell r="AJ1177">
            <v>0</v>
          </cell>
          <cell r="AP1177">
            <v>0</v>
          </cell>
        </row>
        <row r="1178">
          <cell r="AJ1178">
            <v>0</v>
          </cell>
          <cell r="AP1178">
            <v>0</v>
          </cell>
        </row>
        <row r="1179">
          <cell r="AJ1179">
            <v>0</v>
          </cell>
          <cell r="AP1179">
            <v>0</v>
          </cell>
        </row>
        <row r="1180">
          <cell r="AJ1180">
            <v>0</v>
          </cell>
          <cell r="AP1180">
            <v>0</v>
          </cell>
        </row>
        <row r="1181">
          <cell r="AJ1181">
            <v>0</v>
          </cell>
          <cell r="AP1181">
            <v>0</v>
          </cell>
        </row>
        <row r="1182">
          <cell r="AJ1182">
            <v>0</v>
          </cell>
          <cell r="AP1182">
            <v>0</v>
          </cell>
        </row>
        <row r="1183">
          <cell r="AJ1183">
            <v>0</v>
          </cell>
          <cell r="AP1183">
            <v>0</v>
          </cell>
        </row>
        <row r="1184">
          <cell r="AJ1184">
            <v>0</v>
          </cell>
          <cell r="AP1184">
            <v>0</v>
          </cell>
        </row>
        <row r="1185">
          <cell r="AJ1185">
            <v>0</v>
          </cell>
          <cell r="AP1185">
            <v>0</v>
          </cell>
        </row>
        <row r="1186">
          <cell r="AJ1186">
            <v>0</v>
          </cell>
          <cell r="AP1186">
            <v>0</v>
          </cell>
        </row>
        <row r="1187">
          <cell r="AJ1187">
            <v>0</v>
          </cell>
          <cell r="AP1187">
            <v>0</v>
          </cell>
        </row>
        <row r="1188">
          <cell r="AJ1188">
            <v>0</v>
          </cell>
          <cell r="AP1188">
            <v>0</v>
          </cell>
        </row>
        <row r="1189">
          <cell r="AJ1189">
            <v>0</v>
          </cell>
          <cell r="AP1189">
            <v>0</v>
          </cell>
        </row>
        <row r="1190">
          <cell r="AJ1190">
            <v>0</v>
          </cell>
          <cell r="AP1190">
            <v>0</v>
          </cell>
        </row>
        <row r="1191">
          <cell r="AJ1191">
            <v>0</v>
          </cell>
          <cell r="AP1191">
            <v>0</v>
          </cell>
        </row>
        <row r="1192">
          <cell r="AJ1192">
            <v>0</v>
          </cell>
          <cell r="AP1192">
            <v>0</v>
          </cell>
        </row>
        <row r="1193">
          <cell r="AJ1193">
            <v>0</v>
          </cell>
          <cell r="AP1193">
            <v>0</v>
          </cell>
        </row>
        <row r="1194">
          <cell r="AJ1194">
            <v>0</v>
          </cell>
          <cell r="AP1194">
            <v>0</v>
          </cell>
        </row>
        <row r="1195">
          <cell r="AJ1195">
            <v>0</v>
          </cell>
          <cell r="AP1195">
            <v>0</v>
          </cell>
        </row>
        <row r="1196">
          <cell r="AJ1196">
            <v>0</v>
          </cell>
          <cell r="AP1196">
            <v>0</v>
          </cell>
        </row>
        <row r="1197">
          <cell r="AJ1197">
            <v>0</v>
          </cell>
          <cell r="AP1197">
            <v>0</v>
          </cell>
        </row>
        <row r="1198">
          <cell r="AJ1198">
            <v>0</v>
          </cell>
          <cell r="AP1198">
            <v>0</v>
          </cell>
        </row>
        <row r="1199">
          <cell r="AJ1199">
            <v>0</v>
          </cell>
          <cell r="AP1199">
            <v>0</v>
          </cell>
        </row>
        <row r="1200">
          <cell r="AJ1200">
            <v>0</v>
          </cell>
          <cell r="AP1200">
            <v>0</v>
          </cell>
        </row>
        <row r="1201">
          <cell r="AJ1201">
            <v>0</v>
          </cell>
          <cell r="AP1201">
            <v>0</v>
          </cell>
        </row>
        <row r="1202">
          <cell r="AJ1202">
            <v>0</v>
          </cell>
          <cell r="AP1202">
            <v>0</v>
          </cell>
        </row>
        <row r="1203">
          <cell r="AJ1203">
            <v>0</v>
          </cell>
          <cell r="AP1203">
            <v>0</v>
          </cell>
        </row>
        <row r="1204">
          <cell r="AJ1204">
            <v>0</v>
          </cell>
          <cell r="AP1204">
            <v>0</v>
          </cell>
        </row>
        <row r="1205">
          <cell r="AJ1205">
            <v>0</v>
          </cell>
          <cell r="AP1205">
            <v>0</v>
          </cell>
        </row>
        <row r="1206">
          <cell r="AJ1206">
            <v>0</v>
          </cell>
          <cell r="AP1206">
            <v>0</v>
          </cell>
        </row>
        <row r="1207">
          <cell r="AJ1207">
            <v>0</v>
          </cell>
          <cell r="AP1207">
            <v>0</v>
          </cell>
        </row>
        <row r="1208">
          <cell r="AJ1208">
            <v>0</v>
          </cell>
          <cell r="AP1208">
            <v>0</v>
          </cell>
        </row>
        <row r="1209">
          <cell r="AJ1209">
            <v>0</v>
          </cell>
          <cell r="AP1209">
            <v>0</v>
          </cell>
        </row>
        <row r="1210">
          <cell r="AJ1210">
            <v>0</v>
          </cell>
          <cell r="AP1210">
            <v>0</v>
          </cell>
        </row>
        <row r="1211">
          <cell r="AJ1211">
            <v>0</v>
          </cell>
          <cell r="AP1211">
            <v>0</v>
          </cell>
        </row>
        <row r="1212">
          <cell r="AJ1212">
            <v>0</v>
          </cell>
          <cell r="AP1212">
            <v>0</v>
          </cell>
        </row>
        <row r="1213">
          <cell r="AJ1213">
            <v>0</v>
          </cell>
          <cell r="AP1213">
            <v>0</v>
          </cell>
        </row>
        <row r="1214">
          <cell r="AJ1214">
            <v>0</v>
          </cell>
          <cell r="AP1214">
            <v>0</v>
          </cell>
        </row>
        <row r="1215">
          <cell r="AJ1215">
            <v>0</v>
          </cell>
          <cell r="AP1215">
            <v>0</v>
          </cell>
        </row>
        <row r="1216">
          <cell r="AJ1216">
            <v>0</v>
          </cell>
          <cell r="AP1216">
            <v>0</v>
          </cell>
        </row>
        <row r="1217">
          <cell r="AJ1217">
            <v>0</v>
          </cell>
          <cell r="AP1217">
            <v>0</v>
          </cell>
        </row>
        <row r="1218">
          <cell r="AJ1218">
            <v>0</v>
          </cell>
          <cell r="AP1218">
            <v>0</v>
          </cell>
        </row>
        <row r="1219">
          <cell r="AJ1219">
            <v>0</v>
          </cell>
          <cell r="AP1219">
            <v>0</v>
          </cell>
        </row>
        <row r="1220">
          <cell r="AJ1220">
            <v>0</v>
          </cell>
          <cell r="AP1220">
            <v>0</v>
          </cell>
        </row>
        <row r="1221">
          <cell r="AJ1221">
            <v>0</v>
          </cell>
          <cell r="AP1221">
            <v>0</v>
          </cell>
        </row>
        <row r="1222">
          <cell r="AJ1222">
            <v>0</v>
          </cell>
          <cell r="AP1222">
            <v>0</v>
          </cell>
        </row>
        <row r="1223">
          <cell r="AJ1223">
            <v>0</v>
          </cell>
          <cell r="AP1223">
            <v>0</v>
          </cell>
        </row>
        <row r="1224">
          <cell r="AJ1224">
            <v>0</v>
          </cell>
          <cell r="AP1224">
            <v>0</v>
          </cell>
        </row>
        <row r="1225">
          <cell r="AJ1225">
            <v>0</v>
          </cell>
          <cell r="AP1225">
            <v>0</v>
          </cell>
        </row>
        <row r="1226">
          <cell r="AJ1226">
            <v>0</v>
          </cell>
          <cell r="AP1226">
            <v>0</v>
          </cell>
        </row>
        <row r="1227">
          <cell r="AJ1227">
            <v>0</v>
          </cell>
          <cell r="AP1227">
            <v>0</v>
          </cell>
        </row>
        <row r="1228">
          <cell r="AJ1228">
            <v>0</v>
          </cell>
          <cell r="AP1228">
            <v>0</v>
          </cell>
        </row>
        <row r="1229">
          <cell r="AJ1229">
            <v>0</v>
          </cell>
          <cell r="AP1229">
            <v>0</v>
          </cell>
        </row>
        <row r="1230">
          <cell r="AJ1230">
            <v>0</v>
          </cell>
          <cell r="AP1230">
            <v>0</v>
          </cell>
        </row>
        <row r="1231">
          <cell r="AJ1231">
            <v>0</v>
          </cell>
          <cell r="AP1231">
            <v>0</v>
          </cell>
        </row>
        <row r="1232">
          <cell r="AJ1232">
            <v>0</v>
          </cell>
          <cell r="AP1232">
            <v>0</v>
          </cell>
        </row>
        <row r="1233">
          <cell r="AJ1233">
            <v>0</v>
          </cell>
          <cell r="AP1233">
            <v>0</v>
          </cell>
        </row>
        <row r="1234">
          <cell r="AJ1234">
            <v>0</v>
          </cell>
          <cell r="AP1234">
            <v>0</v>
          </cell>
        </row>
        <row r="1235">
          <cell r="AJ1235">
            <v>0</v>
          </cell>
          <cell r="AP1235">
            <v>0</v>
          </cell>
        </row>
        <row r="1236">
          <cell r="AJ1236">
            <v>0</v>
          </cell>
          <cell r="AP1236">
            <v>0</v>
          </cell>
        </row>
        <row r="1237">
          <cell r="AJ1237">
            <v>0</v>
          </cell>
          <cell r="AP1237">
            <v>0</v>
          </cell>
        </row>
        <row r="1238">
          <cell r="AJ1238">
            <v>0</v>
          </cell>
          <cell r="AP1238">
            <v>0</v>
          </cell>
        </row>
        <row r="1239">
          <cell r="AJ1239">
            <v>0</v>
          </cell>
          <cell r="AP1239">
            <v>0</v>
          </cell>
        </row>
        <row r="1240">
          <cell r="AJ1240">
            <v>0</v>
          </cell>
          <cell r="AP1240">
            <v>0</v>
          </cell>
        </row>
        <row r="1241">
          <cell r="AJ1241">
            <v>0</v>
          </cell>
          <cell r="AP1241">
            <v>0</v>
          </cell>
        </row>
        <row r="1242">
          <cell r="AJ1242">
            <v>0</v>
          </cell>
          <cell r="AP1242">
            <v>0</v>
          </cell>
        </row>
        <row r="1243">
          <cell r="AJ1243">
            <v>0</v>
          </cell>
          <cell r="AP1243">
            <v>0</v>
          </cell>
        </row>
        <row r="1244">
          <cell r="AJ1244">
            <v>0</v>
          </cell>
          <cell r="AP1244">
            <v>0</v>
          </cell>
        </row>
        <row r="1245">
          <cell r="AJ1245">
            <v>0</v>
          </cell>
          <cell r="AP1245">
            <v>0</v>
          </cell>
        </row>
        <row r="1246">
          <cell r="AJ1246">
            <v>0</v>
          </cell>
          <cell r="AP1246">
            <v>0</v>
          </cell>
        </row>
        <row r="1247">
          <cell r="AJ1247">
            <v>0</v>
          </cell>
          <cell r="AP1247">
            <v>0</v>
          </cell>
        </row>
        <row r="1248">
          <cell r="AJ1248">
            <v>0</v>
          </cell>
          <cell r="AP1248">
            <v>0</v>
          </cell>
        </row>
        <row r="1249">
          <cell r="AJ1249">
            <v>0</v>
          </cell>
          <cell r="AP1249">
            <v>0</v>
          </cell>
        </row>
        <row r="1250">
          <cell r="AJ1250">
            <v>0</v>
          </cell>
          <cell r="AP1250">
            <v>0</v>
          </cell>
        </row>
        <row r="1251">
          <cell r="AJ1251">
            <v>0</v>
          </cell>
          <cell r="AP1251">
            <v>0</v>
          </cell>
        </row>
        <row r="1252">
          <cell r="AJ1252">
            <v>0</v>
          </cell>
          <cell r="AP1252">
            <v>0</v>
          </cell>
        </row>
        <row r="1253">
          <cell r="AJ1253">
            <v>0</v>
          </cell>
          <cell r="AP1253">
            <v>0</v>
          </cell>
        </row>
        <row r="1254">
          <cell r="AJ1254">
            <v>0</v>
          </cell>
          <cell r="AP1254">
            <v>0</v>
          </cell>
        </row>
        <row r="1255">
          <cell r="AJ1255">
            <v>0</v>
          </cell>
          <cell r="AP1255">
            <v>0</v>
          </cell>
        </row>
        <row r="1256">
          <cell r="AJ1256">
            <v>0</v>
          </cell>
          <cell r="AP1256">
            <v>0</v>
          </cell>
        </row>
        <row r="1257">
          <cell r="AJ1257">
            <v>0</v>
          </cell>
          <cell r="AP1257">
            <v>0</v>
          </cell>
        </row>
        <row r="1258">
          <cell r="AJ1258">
            <v>0</v>
          </cell>
          <cell r="AP1258">
            <v>0</v>
          </cell>
        </row>
        <row r="1259">
          <cell r="AJ1259">
            <v>0</v>
          </cell>
          <cell r="AP1259">
            <v>0</v>
          </cell>
        </row>
        <row r="1260">
          <cell r="AJ1260">
            <v>0</v>
          </cell>
          <cell r="AP1260">
            <v>0</v>
          </cell>
        </row>
        <row r="1261">
          <cell r="AJ1261">
            <v>0</v>
          </cell>
          <cell r="AP1261">
            <v>0</v>
          </cell>
        </row>
        <row r="1262">
          <cell r="AJ1262">
            <v>0</v>
          </cell>
          <cell r="AP1262">
            <v>0</v>
          </cell>
        </row>
        <row r="1263">
          <cell r="AJ1263">
            <v>0</v>
          </cell>
          <cell r="AP1263">
            <v>0</v>
          </cell>
        </row>
        <row r="1264">
          <cell r="AJ1264">
            <v>0</v>
          </cell>
          <cell r="AP1264">
            <v>0</v>
          </cell>
        </row>
        <row r="1265">
          <cell r="AJ1265">
            <v>0</v>
          </cell>
          <cell r="AP1265">
            <v>0</v>
          </cell>
        </row>
        <row r="1266">
          <cell r="AJ1266">
            <v>0</v>
          </cell>
          <cell r="AP1266">
            <v>0</v>
          </cell>
        </row>
        <row r="1267">
          <cell r="AJ1267">
            <v>0</v>
          </cell>
          <cell r="AP1267">
            <v>0</v>
          </cell>
        </row>
        <row r="1268">
          <cell r="AJ1268">
            <v>0</v>
          </cell>
          <cell r="AP1268">
            <v>0</v>
          </cell>
        </row>
        <row r="1269">
          <cell r="AJ1269">
            <v>0</v>
          </cell>
          <cell r="AP1269">
            <v>0</v>
          </cell>
        </row>
        <row r="1270">
          <cell r="AJ1270">
            <v>0</v>
          </cell>
          <cell r="AP1270">
            <v>0</v>
          </cell>
        </row>
        <row r="1271">
          <cell r="AJ1271">
            <v>0</v>
          </cell>
          <cell r="AP1271">
            <v>0</v>
          </cell>
        </row>
        <row r="1272">
          <cell r="AJ1272">
            <v>0</v>
          </cell>
          <cell r="AP1272">
            <v>0</v>
          </cell>
        </row>
        <row r="1273">
          <cell r="AJ1273">
            <v>0</v>
          </cell>
          <cell r="AP1273">
            <v>0</v>
          </cell>
        </row>
        <row r="1274">
          <cell r="AJ1274">
            <v>0</v>
          </cell>
          <cell r="AP1274">
            <v>0</v>
          </cell>
        </row>
        <row r="1275">
          <cell r="AJ1275">
            <v>0</v>
          </cell>
          <cell r="AP1275">
            <v>0</v>
          </cell>
        </row>
        <row r="1276">
          <cell r="AJ1276">
            <v>0</v>
          </cell>
          <cell r="AP1276">
            <v>0</v>
          </cell>
        </row>
        <row r="1277">
          <cell r="AJ1277">
            <v>0</v>
          </cell>
          <cell r="AP1277">
            <v>0</v>
          </cell>
        </row>
        <row r="1278">
          <cell r="AJ1278">
            <v>0</v>
          </cell>
          <cell r="AP1278">
            <v>0</v>
          </cell>
        </row>
        <row r="1279">
          <cell r="AJ1279">
            <v>0</v>
          </cell>
          <cell r="AP1279">
            <v>0</v>
          </cell>
        </row>
        <row r="1280">
          <cell r="AJ1280">
            <v>0</v>
          </cell>
          <cell r="AP1280">
            <v>0</v>
          </cell>
        </row>
        <row r="1281">
          <cell r="AJ1281">
            <v>0</v>
          </cell>
          <cell r="AP1281">
            <v>0</v>
          </cell>
        </row>
        <row r="1282">
          <cell r="AJ1282">
            <v>0</v>
          </cell>
          <cell r="AP1282">
            <v>0</v>
          </cell>
        </row>
        <row r="1283">
          <cell r="AJ1283">
            <v>0</v>
          </cell>
          <cell r="AP1283">
            <v>0</v>
          </cell>
        </row>
        <row r="1284">
          <cell r="AJ1284">
            <v>0</v>
          </cell>
          <cell r="AP1284">
            <v>0</v>
          </cell>
        </row>
        <row r="1285">
          <cell r="AJ1285">
            <v>0</v>
          </cell>
          <cell r="AP1285">
            <v>0</v>
          </cell>
        </row>
        <row r="1286">
          <cell r="AJ1286">
            <v>0</v>
          </cell>
          <cell r="AP1286">
            <v>0</v>
          </cell>
        </row>
        <row r="1287">
          <cell r="AJ1287">
            <v>0</v>
          </cell>
          <cell r="AP1287">
            <v>0</v>
          </cell>
        </row>
        <row r="1288">
          <cell r="AJ1288">
            <v>0</v>
          </cell>
          <cell r="AP1288">
            <v>0</v>
          </cell>
        </row>
        <row r="1289">
          <cell r="AJ1289">
            <v>0</v>
          </cell>
          <cell r="AP1289">
            <v>0</v>
          </cell>
        </row>
        <row r="1290">
          <cell r="AJ1290">
            <v>0</v>
          </cell>
          <cell r="AP1290">
            <v>0</v>
          </cell>
        </row>
        <row r="1291">
          <cell r="AJ1291">
            <v>0</v>
          </cell>
          <cell r="AP1291">
            <v>0</v>
          </cell>
        </row>
        <row r="1292">
          <cell r="AJ1292">
            <v>0</v>
          </cell>
          <cell r="AP1292">
            <v>0</v>
          </cell>
        </row>
        <row r="1293">
          <cell r="AJ1293">
            <v>0</v>
          </cell>
          <cell r="AP1293">
            <v>0</v>
          </cell>
        </row>
        <row r="1294">
          <cell r="AJ1294">
            <v>0</v>
          </cell>
          <cell r="AP1294">
            <v>0</v>
          </cell>
        </row>
        <row r="1295">
          <cell r="AJ1295">
            <v>0</v>
          </cell>
          <cell r="AP1295">
            <v>0</v>
          </cell>
        </row>
        <row r="1296">
          <cell r="AJ1296">
            <v>0</v>
          </cell>
          <cell r="AP1296">
            <v>0</v>
          </cell>
        </row>
        <row r="1297">
          <cell r="AJ1297">
            <v>0</v>
          </cell>
          <cell r="AP1297">
            <v>0</v>
          </cell>
        </row>
        <row r="1298">
          <cell r="AJ1298">
            <v>0</v>
          </cell>
          <cell r="AP1298">
            <v>0</v>
          </cell>
        </row>
        <row r="1299">
          <cell r="AJ1299">
            <v>0</v>
          </cell>
          <cell r="AP1299">
            <v>0</v>
          </cell>
        </row>
        <row r="1300">
          <cell r="AJ1300">
            <v>0</v>
          </cell>
          <cell r="AP1300">
            <v>0</v>
          </cell>
        </row>
        <row r="1301">
          <cell r="AJ1301">
            <v>0</v>
          </cell>
          <cell r="AP1301">
            <v>0</v>
          </cell>
        </row>
        <row r="1302">
          <cell r="AJ1302">
            <v>0</v>
          </cell>
          <cell r="AP1302">
            <v>0</v>
          </cell>
        </row>
        <row r="1303">
          <cell r="AJ1303">
            <v>0</v>
          </cell>
          <cell r="AP1303">
            <v>0</v>
          </cell>
        </row>
        <row r="1304">
          <cell r="AJ1304">
            <v>0</v>
          </cell>
          <cell r="AP1304">
            <v>0</v>
          </cell>
        </row>
        <row r="1305">
          <cell r="AJ1305">
            <v>0</v>
          </cell>
          <cell r="AP1305">
            <v>0</v>
          </cell>
        </row>
        <row r="1306">
          <cell r="AJ1306">
            <v>0</v>
          </cell>
          <cell r="AP1306">
            <v>0</v>
          </cell>
        </row>
        <row r="1307">
          <cell r="AJ1307">
            <v>0</v>
          </cell>
          <cell r="AP1307">
            <v>0</v>
          </cell>
        </row>
        <row r="1308">
          <cell r="AJ1308">
            <v>0</v>
          </cell>
          <cell r="AP1308">
            <v>0</v>
          </cell>
        </row>
        <row r="1309">
          <cell r="AJ1309">
            <v>0</v>
          </cell>
          <cell r="AP1309">
            <v>0</v>
          </cell>
        </row>
        <row r="1310">
          <cell r="AJ1310">
            <v>0</v>
          </cell>
          <cell r="AP1310">
            <v>0</v>
          </cell>
        </row>
        <row r="1311">
          <cell r="AJ1311">
            <v>0</v>
          </cell>
          <cell r="AP1311">
            <v>0</v>
          </cell>
        </row>
        <row r="1312">
          <cell r="AJ1312">
            <v>0</v>
          </cell>
          <cell r="AP1312">
            <v>0</v>
          </cell>
        </row>
        <row r="1313">
          <cell r="AJ1313">
            <v>0</v>
          </cell>
          <cell r="AP1313">
            <v>0</v>
          </cell>
        </row>
        <row r="1314">
          <cell r="AJ1314">
            <v>0</v>
          </cell>
          <cell r="AP1314">
            <v>0</v>
          </cell>
        </row>
        <row r="1315">
          <cell r="AJ1315">
            <v>0</v>
          </cell>
          <cell r="AP1315">
            <v>0</v>
          </cell>
        </row>
        <row r="1316">
          <cell r="AJ1316">
            <v>0</v>
          </cell>
          <cell r="AP1316">
            <v>0</v>
          </cell>
        </row>
        <row r="1317">
          <cell r="AJ1317">
            <v>0</v>
          </cell>
          <cell r="AP1317">
            <v>0</v>
          </cell>
        </row>
        <row r="1318">
          <cell r="AJ1318">
            <v>0</v>
          </cell>
          <cell r="AP1318">
            <v>0</v>
          </cell>
        </row>
        <row r="1319">
          <cell r="AJ1319">
            <v>0</v>
          </cell>
          <cell r="AP1319">
            <v>0</v>
          </cell>
        </row>
        <row r="1320">
          <cell r="AJ1320">
            <v>0</v>
          </cell>
          <cell r="AP1320">
            <v>0</v>
          </cell>
        </row>
        <row r="1321">
          <cell r="AJ1321">
            <v>0</v>
          </cell>
          <cell r="AP1321">
            <v>0</v>
          </cell>
        </row>
        <row r="1322">
          <cell r="AJ1322">
            <v>0</v>
          </cell>
          <cell r="AP1322">
            <v>0</v>
          </cell>
        </row>
        <row r="1323">
          <cell r="AJ1323">
            <v>0</v>
          </cell>
          <cell r="AP1323">
            <v>0</v>
          </cell>
        </row>
        <row r="1324">
          <cell r="AJ1324">
            <v>0</v>
          </cell>
          <cell r="AP1324">
            <v>0</v>
          </cell>
        </row>
        <row r="1325">
          <cell r="AJ1325">
            <v>0</v>
          </cell>
          <cell r="AP1325">
            <v>0</v>
          </cell>
        </row>
        <row r="1326">
          <cell r="AJ1326">
            <v>0</v>
          </cell>
          <cell r="AP1326">
            <v>0</v>
          </cell>
        </row>
        <row r="1327">
          <cell r="AJ1327">
            <v>0</v>
          </cell>
          <cell r="AP1327">
            <v>0</v>
          </cell>
        </row>
        <row r="1328">
          <cell r="AJ1328">
            <v>0</v>
          </cell>
          <cell r="AP1328">
            <v>0</v>
          </cell>
        </row>
        <row r="1329">
          <cell r="AJ1329">
            <v>0</v>
          </cell>
          <cell r="AP1329">
            <v>0</v>
          </cell>
        </row>
        <row r="1330">
          <cell r="AJ1330">
            <v>0</v>
          </cell>
          <cell r="AP1330">
            <v>0</v>
          </cell>
        </row>
        <row r="1331">
          <cell r="AJ1331">
            <v>0</v>
          </cell>
          <cell r="AP1331">
            <v>0</v>
          </cell>
        </row>
        <row r="1332">
          <cell r="AJ1332">
            <v>0</v>
          </cell>
          <cell r="AP1332">
            <v>0</v>
          </cell>
        </row>
        <row r="1333">
          <cell r="AJ1333">
            <v>0</v>
          </cell>
          <cell r="AP1333">
            <v>0</v>
          </cell>
        </row>
        <row r="1334">
          <cell r="AJ1334">
            <v>0</v>
          </cell>
          <cell r="AP1334">
            <v>0</v>
          </cell>
        </row>
        <row r="1335">
          <cell r="AJ1335">
            <v>0</v>
          </cell>
          <cell r="AP1335">
            <v>0</v>
          </cell>
        </row>
        <row r="1336">
          <cell r="AJ1336">
            <v>0</v>
          </cell>
          <cell r="AP1336">
            <v>0</v>
          </cell>
        </row>
        <row r="1337">
          <cell r="AJ1337">
            <v>0</v>
          </cell>
          <cell r="AP1337">
            <v>0</v>
          </cell>
        </row>
        <row r="1338">
          <cell r="AJ1338">
            <v>0</v>
          </cell>
          <cell r="AP1338">
            <v>0</v>
          </cell>
        </row>
        <row r="1339">
          <cell r="AJ1339">
            <v>0</v>
          </cell>
          <cell r="AP1339">
            <v>0</v>
          </cell>
        </row>
        <row r="1340">
          <cell r="AJ1340">
            <v>0</v>
          </cell>
          <cell r="AP1340">
            <v>0</v>
          </cell>
        </row>
        <row r="1341">
          <cell r="AJ1341">
            <v>0</v>
          </cell>
          <cell r="AP1341">
            <v>0</v>
          </cell>
        </row>
        <row r="1342">
          <cell r="AJ1342">
            <v>0</v>
          </cell>
          <cell r="AP1342">
            <v>0</v>
          </cell>
        </row>
        <row r="1343">
          <cell r="AJ1343">
            <v>0</v>
          </cell>
          <cell r="AP1343">
            <v>0</v>
          </cell>
        </row>
        <row r="1344">
          <cell r="AJ1344">
            <v>0</v>
          </cell>
          <cell r="AP1344">
            <v>0</v>
          </cell>
        </row>
        <row r="1345">
          <cell r="AJ1345">
            <v>0</v>
          </cell>
          <cell r="AP1345">
            <v>0</v>
          </cell>
        </row>
        <row r="1346">
          <cell r="AJ1346">
            <v>0</v>
          </cell>
          <cell r="AP1346">
            <v>0</v>
          </cell>
        </row>
        <row r="1347">
          <cell r="AJ1347">
            <v>0</v>
          </cell>
          <cell r="AP1347">
            <v>0</v>
          </cell>
        </row>
        <row r="1348">
          <cell r="AJ1348">
            <v>0</v>
          </cell>
          <cell r="AP1348">
            <v>0</v>
          </cell>
        </row>
        <row r="1349">
          <cell r="AJ1349">
            <v>0</v>
          </cell>
          <cell r="AP1349">
            <v>0</v>
          </cell>
        </row>
        <row r="1350">
          <cell r="AJ1350">
            <v>0</v>
          </cell>
          <cell r="AP1350">
            <v>0</v>
          </cell>
        </row>
        <row r="1351">
          <cell r="AJ1351">
            <v>0</v>
          </cell>
          <cell r="AP1351">
            <v>0</v>
          </cell>
        </row>
        <row r="1352">
          <cell r="AJ1352">
            <v>0</v>
          </cell>
          <cell r="AP1352">
            <v>0</v>
          </cell>
        </row>
        <row r="1353">
          <cell r="AJ1353">
            <v>0</v>
          </cell>
          <cell r="AP1353">
            <v>0</v>
          </cell>
        </row>
        <row r="1354">
          <cell r="AJ1354">
            <v>0</v>
          </cell>
          <cell r="AP1354">
            <v>0</v>
          </cell>
        </row>
        <row r="1355">
          <cell r="AJ1355">
            <v>0</v>
          </cell>
          <cell r="AP1355">
            <v>0</v>
          </cell>
        </row>
        <row r="1356">
          <cell r="AJ1356">
            <v>0</v>
          </cell>
          <cell r="AP1356">
            <v>0</v>
          </cell>
        </row>
        <row r="1357">
          <cell r="AJ1357">
            <v>0</v>
          </cell>
          <cell r="AP1357">
            <v>0</v>
          </cell>
        </row>
        <row r="1358">
          <cell r="AJ1358">
            <v>0</v>
          </cell>
          <cell r="AP1358">
            <v>0</v>
          </cell>
        </row>
        <row r="1359">
          <cell r="AJ1359">
            <v>0</v>
          </cell>
          <cell r="AP1359">
            <v>0</v>
          </cell>
        </row>
        <row r="1360">
          <cell r="AJ1360">
            <v>0</v>
          </cell>
          <cell r="AP1360">
            <v>0</v>
          </cell>
        </row>
        <row r="1361">
          <cell r="AJ1361">
            <v>0</v>
          </cell>
          <cell r="AP1361">
            <v>0</v>
          </cell>
        </row>
        <row r="1362">
          <cell r="AJ1362">
            <v>0</v>
          </cell>
          <cell r="AP1362">
            <v>0</v>
          </cell>
        </row>
        <row r="1363">
          <cell r="AJ1363">
            <v>0</v>
          </cell>
          <cell r="AP1363">
            <v>0</v>
          </cell>
        </row>
        <row r="1364">
          <cell r="AJ1364">
            <v>0</v>
          </cell>
          <cell r="AP1364">
            <v>0</v>
          </cell>
        </row>
        <row r="1365">
          <cell r="AJ1365">
            <v>0</v>
          </cell>
          <cell r="AP1365">
            <v>0</v>
          </cell>
        </row>
        <row r="1366">
          <cell r="AJ1366">
            <v>0</v>
          </cell>
          <cell r="AP1366">
            <v>0</v>
          </cell>
        </row>
        <row r="1367">
          <cell r="AJ1367">
            <v>0</v>
          </cell>
          <cell r="AP1367">
            <v>0</v>
          </cell>
        </row>
        <row r="1368">
          <cell r="AJ1368">
            <v>0</v>
          </cell>
          <cell r="AP1368">
            <v>0</v>
          </cell>
        </row>
        <row r="1369">
          <cell r="AJ1369">
            <v>0</v>
          </cell>
          <cell r="AP1369">
            <v>0</v>
          </cell>
        </row>
        <row r="1370">
          <cell r="AJ1370">
            <v>0</v>
          </cell>
          <cell r="AP1370">
            <v>0</v>
          </cell>
        </row>
        <row r="1371">
          <cell r="AJ1371">
            <v>0</v>
          </cell>
          <cell r="AP1371">
            <v>0</v>
          </cell>
        </row>
        <row r="1372">
          <cell r="AJ1372">
            <v>0</v>
          </cell>
          <cell r="AP1372">
            <v>0</v>
          </cell>
        </row>
        <row r="1373">
          <cell r="AJ1373">
            <v>0</v>
          </cell>
          <cell r="AP1373">
            <v>0</v>
          </cell>
        </row>
        <row r="1374">
          <cell r="AJ1374">
            <v>0</v>
          </cell>
          <cell r="AP1374">
            <v>0</v>
          </cell>
        </row>
        <row r="1375">
          <cell r="AJ1375">
            <v>0</v>
          </cell>
          <cell r="AP1375">
            <v>0</v>
          </cell>
        </row>
        <row r="1376">
          <cell r="AJ1376">
            <v>0</v>
          </cell>
          <cell r="AP1376">
            <v>0</v>
          </cell>
        </row>
        <row r="1377">
          <cell r="AJ1377">
            <v>0</v>
          </cell>
          <cell r="AP1377">
            <v>0</v>
          </cell>
        </row>
        <row r="1378">
          <cell r="AJ1378">
            <v>0</v>
          </cell>
          <cell r="AP1378">
            <v>0</v>
          </cell>
        </row>
        <row r="1379">
          <cell r="AJ1379">
            <v>0</v>
          </cell>
          <cell r="AP1379">
            <v>0</v>
          </cell>
        </row>
        <row r="1380">
          <cell r="AJ1380">
            <v>0</v>
          </cell>
          <cell r="AP1380">
            <v>0</v>
          </cell>
        </row>
        <row r="1381">
          <cell r="AJ1381">
            <v>0</v>
          </cell>
          <cell r="AP1381">
            <v>0</v>
          </cell>
        </row>
        <row r="1382">
          <cell r="AJ1382">
            <v>0</v>
          </cell>
          <cell r="AP1382">
            <v>0</v>
          </cell>
        </row>
        <row r="1383">
          <cell r="AJ1383">
            <v>0</v>
          </cell>
          <cell r="AP1383">
            <v>0</v>
          </cell>
        </row>
        <row r="1384">
          <cell r="AJ1384">
            <v>0</v>
          </cell>
          <cell r="AP1384">
            <v>0</v>
          </cell>
        </row>
        <row r="1385">
          <cell r="AJ1385">
            <v>0</v>
          </cell>
          <cell r="AP1385">
            <v>0</v>
          </cell>
        </row>
        <row r="1386">
          <cell r="AJ1386">
            <v>0</v>
          </cell>
          <cell r="AP1386">
            <v>0</v>
          </cell>
        </row>
        <row r="1387">
          <cell r="AJ1387">
            <v>0</v>
          </cell>
          <cell r="AP1387">
            <v>0</v>
          </cell>
        </row>
        <row r="1388">
          <cell r="AJ1388">
            <v>0</v>
          </cell>
          <cell r="AP1388">
            <v>0</v>
          </cell>
        </row>
        <row r="1389">
          <cell r="AJ1389">
            <v>0</v>
          </cell>
          <cell r="AP1389">
            <v>0</v>
          </cell>
        </row>
        <row r="1390">
          <cell r="AJ1390">
            <v>0</v>
          </cell>
          <cell r="AP1390">
            <v>0</v>
          </cell>
        </row>
        <row r="1391">
          <cell r="AJ1391">
            <v>0</v>
          </cell>
          <cell r="AP1391">
            <v>0</v>
          </cell>
        </row>
        <row r="1392">
          <cell r="AJ1392">
            <v>0</v>
          </cell>
          <cell r="AP1392">
            <v>0</v>
          </cell>
        </row>
        <row r="1393">
          <cell r="AJ1393">
            <v>0</v>
          </cell>
          <cell r="AP1393">
            <v>0</v>
          </cell>
        </row>
        <row r="1394">
          <cell r="AJ1394">
            <v>0</v>
          </cell>
          <cell r="AP1394">
            <v>0</v>
          </cell>
        </row>
        <row r="1395">
          <cell r="AJ1395">
            <v>0</v>
          </cell>
          <cell r="AP1395">
            <v>0</v>
          </cell>
        </row>
        <row r="1396">
          <cell r="AJ1396">
            <v>0</v>
          </cell>
          <cell r="AP1396">
            <v>0</v>
          </cell>
        </row>
        <row r="1397">
          <cell r="AJ1397">
            <v>0</v>
          </cell>
          <cell r="AP1397">
            <v>0</v>
          </cell>
        </row>
        <row r="1398">
          <cell r="AJ1398">
            <v>0</v>
          </cell>
          <cell r="AP1398">
            <v>0</v>
          </cell>
        </row>
        <row r="1399">
          <cell r="AJ1399">
            <v>0</v>
          </cell>
          <cell r="AP1399">
            <v>0</v>
          </cell>
        </row>
        <row r="1400">
          <cell r="AJ1400">
            <v>0</v>
          </cell>
          <cell r="AP1400">
            <v>0</v>
          </cell>
        </row>
        <row r="1401">
          <cell r="AJ1401">
            <v>0</v>
          </cell>
          <cell r="AP1401">
            <v>0</v>
          </cell>
        </row>
        <row r="1402">
          <cell r="AJ1402">
            <v>0</v>
          </cell>
          <cell r="AP1402">
            <v>0</v>
          </cell>
        </row>
        <row r="1403">
          <cell r="AJ1403">
            <v>0</v>
          </cell>
          <cell r="AP1403">
            <v>0</v>
          </cell>
        </row>
        <row r="1404">
          <cell r="AJ1404">
            <v>0</v>
          </cell>
          <cell r="AP1404">
            <v>0</v>
          </cell>
        </row>
        <row r="1405">
          <cell r="AJ1405">
            <v>0</v>
          </cell>
          <cell r="AP1405">
            <v>0</v>
          </cell>
        </row>
        <row r="1406">
          <cell r="AJ1406">
            <v>0</v>
          </cell>
          <cell r="AP1406">
            <v>0</v>
          </cell>
        </row>
        <row r="1407">
          <cell r="AJ1407">
            <v>0</v>
          </cell>
          <cell r="AP1407">
            <v>0</v>
          </cell>
        </row>
        <row r="1408">
          <cell r="AJ1408">
            <v>0</v>
          </cell>
          <cell r="AP1408">
            <v>0</v>
          </cell>
        </row>
        <row r="1409">
          <cell r="AJ1409">
            <v>0</v>
          </cell>
          <cell r="AP1409">
            <v>0</v>
          </cell>
        </row>
        <row r="1410">
          <cell r="AJ1410">
            <v>0</v>
          </cell>
          <cell r="AP1410">
            <v>0</v>
          </cell>
        </row>
        <row r="1411">
          <cell r="AJ1411">
            <v>0</v>
          </cell>
          <cell r="AP1411">
            <v>0</v>
          </cell>
        </row>
        <row r="1412">
          <cell r="AJ1412">
            <v>0</v>
          </cell>
          <cell r="AP1412">
            <v>0</v>
          </cell>
        </row>
        <row r="1413">
          <cell r="AJ1413">
            <v>0</v>
          </cell>
          <cell r="AP1413">
            <v>0</v>
          </cell>
        </row>
        <row r="1414">
          <cell r="AJ1414">
            <v>0</v>
          </cell>
          <cell r="AP1414">
            <v>0</v>
          </cell>
        </row>
        <row r="1415">
          <cell r="AJ1415">
            <v>0</v>
          </cell>
          <cell r="AP1415">
            <v>0</v>
          </cell>
        </row>
        <row r="1416">
          <cell r="AJ1416">
            <v>0</v>
          </cell>
          <cell r="AP1416">
            <v>0</v>
          </cell>
        </row>
        <row r="1417">
          <cell r="AJ1417">
            <v>0</v>
          </cell>
          <cell r="AP1417">
            <v>0</v>
          </cell>
        </row>
        <row r="1418">
          <cell r="AJ1418">
            <v>0</v>
          </cell>
          <cell r="AP1418">
            <v>0</v>
          </cell>
        </row>
        <row r="1419">
          <cell r="AJ1419">
            <v>0</v>
          </cell>
          <cell r="AP1419">
            <v>0</v>
          </cell>
        </row>
        <row r="1420">
          <cell r="AJ1420">
            <v>0</v>
          </cell>
          <cell r="AP1420">
            <v>0</v>
          </cell>
        </row>
        <row r="1421">
          <cell r="AJ1421">
            <v>0</v>
          </cell>
          <cell r="AP1421">
            <v>0</v>
          </cell>
        </row>
        <row r="1422">
          <cell r="AJ1422">
            <v>0</v>
          </cell>
          <cell r="AP1422">
            <v>0</v>
          </cell>
        </row>
        <row r="1423">
          <cell r="AJ1423">
            <v>0</v>
          </cell>
          <cell r="AP1423">
            <v>0</v>
          </cell>
        </row>
        <row r="1424">
          <cell r="AJ1424">
            <v>0</v>
          </cell>
          <cell r="AP1424">
            <v>0</v>
          </cell>
        </row>
        <row r="1425">
          <cell r="AJ1425">
            <v>0</v>
          </cell>
          <cell r="AP1425">
            <v>0</v>
          </cell>
        </row>
        <row r="1426">
          <cell r="AJ1426">
            <v>0</v>
          </cell>
          <cell r="AP1426">
            <v>0</v>
          </cell>
        </row>
        <row r="1427">
          <cell r="AJ1427">
            <v>0</v>
          </cell>
          <cell r="AP1427">
            <v>0</v>
          </cell>
        </row>
        <row r="1428">
          <cell r="AJ1428">
            <v>0</v>
          </cell>
          <cell r="AP1428">
            <v>0</v>
          </cell>
        </row>
        <row r="1429">
          <cell r="AJ1429">
            <v>0</v>
          </cell>
          <cell r="AP1429">
            <v>0</v>
          </cell>
        </row>
        <row r="1430">
          <cell r="AJ1430">
            <v>0</v>
          </cell>
          <cell r="AP1430">
            <v>0</v>
          </cell>
        </row>
        <row r="1431">
          <cell r="AJ1431">
            <v>0</v>
          </cell>
          <cell r="AP1431">
            <v>0</v>
          </cell>
        </row>
        <row r="1432">
          <cell r="AJ1432">
            <v>0</v>
          </cell>
          <cell r="AP1432">
            <v>0</v>
          </cell>
        </row>
        <row r="1433">
          <cell r="AJ1433">
            <v>0</v>
          </cell>
          <cell r="AP1433">
            <v>0</v>
          </cell>
        </row>
        <row r="1434">
          <cell r="AJ1434">
            <v>0</v>
          </cell>
          <cell r="AP1434">
            <v>0</v>
          </cell>
        </row>
        <row r="1435">
          <cell r="AJ1435">
            <v>0</v>
          </cell>
          <cell r="AP1435">
            <v>0</v>
          </cell>
        </row>
        <row r="1436">
          <cell r="AJ1436">
            <v>0</v>
          </cell>
          <cell r="AP1436">
            <v>0</v>
          </cell>
        </row>
        <row r="1437">
          <cell r="AJ1437">
            <v>0</v>
          </cell>
          <cell r="AP1437">
            <v>0</v>
          </cell>
        </row>
        <row r="1438">
          <cell r="AJ1438">
            <v>0</v>
          </cell>
          <cell r="AP1438">
            <v>0</v>
          </cell>
        </row>
        <row r="1439">
          <cell r="AJ1439">
            <v>0</v>
          </cell>
          <cell r="AP1439">
            <v>0</v>
          </cell>
        </row>
        <row r="1440">
          <cell r="AJ1440">
            <v>0</v>
          </cell>
          <cell r="AP1440">
            <v>0</v>
          </cell>
        </row>
        <row r="1441">
          <cell r="AJ1441">
            <v>0</v>
          </cell>
          <cell r="AP1441">
            <v>0</v>
          </cell>
        </row>
        <row r="1442">
          <cell r="AJ1442">
            <v>0</v>
          </cell>
          <cell r="AP1442">
            <v>0</v>
          </cell>
        </row>
        <row r="1443">
          <cell r="AJ1443">
            <v>0</v>
          </cell>
          <cell r="AP1443">
            <v>0</v>
          </cell>
        </row>
        <row r="1444">
          <cell r="AJ1444">
            <v>0</v>
          </cell>
          <cell r="AP1444">
            <v>0</v>
          </cell>
        </row>
        <row r="1445">
          <cell r="AJ1445">
            <v>0</v>
          </cell>
          <cell r="AP1445">
            <v>0</v>
          </cell>
        </row>
        <row r="1446">
          <cell r="AJ1446">
            <v>0</v>
          </cell>
          <cell r="AP1446">
            <v>0</v>
          </cell>
        </row>
        <row r="1447">
          <cell r="AJ1447">
            <v>0</v>
          </cell>
          <cell r="AP1447">
            <v>0</v>
          </cell>
        </row>
        <row r="1448">
          <cell r="AJ1448">
            <v>0</v>
          </cell>
          <cell r="AP1448">
            <v>0</v>
          </cell>
        </row>
        <row r="1449">
          <cell r="AJ1449">
            <v>0</v>
          </cell>
          <cell r="AP1449">
            <v>0</v>
          </cell>
        </row>
        <row r="1450">
          <cell r="AJ1450">
            <v>0</v>
          </cell>
          <cell r="AP1450">
            <v>0</v>
          </cell>
        </row>
        <row r="1451">
          <cell r="AJ1451">
            <v>0</v>
          </cell>
          <cell r="AP1451">
            <v>0</v>
          </cell>
        </row>
        <row r="1452">
          <cell r="AJ1452">
            <v>0</v>
          </cell>
          <cell r="AP1452">
            <v>0</v>
          </cell>
        </row>
        <row r="1453">
          <cell r="AJ1453">
            <v>0</v>
          </cell>
          <cell r="AP1453">
            <v>0</v>
          </cell>
        </row>
        <row r="1454">
          <cell r="AJ1454">
            <v>0</v>
          </cell>
          <cell r="AP1454">
            <v>0</v>
          </cell>
        </row>
        <row r="1455">
          <cell r="AJ1455">
            <v>0</v>
          </cell>
          <cell r="AP1455">
            <v>0</v>
          </cell>
        </row>
        <row r="1456">
          <cell r="AJ1456">
            <v>0</v>
          </cell>
          <cell r="AP1456">
            <v>0</v>
          </cell>
        </row>
        <row r="1457">
          <cell r="AJ1457">
            <v>0</v>
          </cell>
          <cell r="AP1457">
            <v>0</v>
          </cell>
        </row>
        <row r="1458">
          <cell r="AJ1458">
            <v>0</v>
          </cell>
          <cell r="AP1458">
            <v>0</v>
          </cell>
        </row>
        <row r="1459">
          <cell r="AJ1459">
            <v>0</v>
          </cell>
          <cell r="AP1459">
            <v>0</v>
          </cell>
        </row>
        <row r="1460">
          <cell r="AJ1460">
            <v>0</v>
          </cell>
          <cell r="AP1460">
            <v>0</v>
          </cell>
        </row>
        <row r="1461">
          <cell r="AJ1461">
            <v>0</v>
          </cell>
          <cell r="AP1461">
            <v>0</v>
          </cell>
        </row>
        <row r="1462">
          <cell r="AJ1462">
            <v>0</v>
          </cell>
          <cell r="AP1462">
            <v>0</v>
          </cell>
        </row>
        <row r="1463">
          <cell r="AJ1463">
            <v>0</v>
          </cell>
          <cell r="AP1463">
            <v>0</v>
          </cell>
        </row>
        <row r="1464">
          <cell r="AJ1464">
            <v>0</v>
          </cell>
          <cell r="AP1464">
            <v>0</v>
          </cell>
        </row>
        <row r="1465">
          <cell r="AJ1465">
            <v>0</v>
          </cell>
          <cell r="AP1465">
            <v>0</v>
          </cell>
        </row>
        <row r="1466">
          <cell r="AJ1466">
            <v>0</v>
          </cell>
          <cell r="AP1466">
            <v>0</v>
          </cell>
        </row>
        <row r="1467">
          <cell r="AJ1467">
            <v>0</v>
          </cell>
          <cell r="AP1467">
            <v>0</v>
          </cell>
        </row>
        <row r="1468">
          <cell r="AJ1468">
            <v>0</v>
          </cell>
          <cell r="AP1468">
            <v>0</v>
          </cell>
        </row>
        <row r="1469">
          <cell r="AJ1469">
            <v>0</v>
          </cell>
          <cell r="AP1469">
            <v>0</v>
          </cell>
        </row>
        <row r="1470">
          <cell r="AJ1470">
            <v>0</v>
          </cell>
          <cell r="AP1470">
            <v>0</v>
          </cell>
        </row>
        <row r="1471">
          <cell r="AJ1471">
            <v>0</v>
          </cell>
          <cell r="AP1471">
            <v>0</v>
          </cell>
        </row>
        <row r="1472">
          <cell r="AJ1472">
            <v>0</v>
          </cell>
          <cell r="AP1472">
            <v>0</v>
          </cell>
        </row>
        <row r="1473">
          <cell r="AJ1473">
            <v>0</v>
          </cell>
          <cell r="AP1473">
            <v>0</v>
          </cell>
        </row>
        <row r="1474">
          <cell r="AJ1474">
            <v>0</v>
          </cell>
          <cell r="AP1474">
            <v>0</v>
          </cell>
        </row>
        <row r="1475">
          <cell r="AJ1475">
            <v>0</v>
          </cell>
          <cell r="AP1475">
            <v>0</v>
          </cell>
        </row>
        <row r="1476">
          <cell r="AJ1476">
            <v>0</v>
          </cell>
          <cell r="AP1476">
            <v>0</v>
          </cell>
        </row>
        <row r="1477">
          <cell r="AJ1477">
            <v>0</v>
          </cell>
          <cell r="AP1477">
            <v>0</v>
          </cell>
        </row>
        <row r="1478">
          <cell r="AJ1478">
            <v>0</v>
          </cell>
          <cell r="AP1478">
            <v>0</v>
          </cell>
        </row>
        <row r="1479">
          <cell r="AJ1479">
            <v>0</v>
          </cell>
          <cell r="AP1479">
            <v>0</v>
          </cell>
        </row>
        <row r="1480">
          <cell r="AJ1480">
            <v>0</v>
          </cell>
          <cell r="AP1480">
            <v>0</v>
          </cell>
        </row>
        <row r="1481">
          <cell r="AJ1481">
            <v>0</v>
          </cell>
          <cell r="AP1481">
            <v>0</v>
          </cell>
        </row>
        <row r="1482">
          <cell r="AJ1482">
            <v>0</v>
          </cell>
          <cell r="AP1482">
            <v>0</v>
          </cell>
        </row>
        <row r="1483">
          <cell r="AJ1483">
            <v>0</v>
          </cell>
          <cell r="AP1483">
            <v>0</v>
          </cell>
        </row>
        <row r="1484">
          <cell r="AJ1484">
            <v>0</v>
          </cell>
          <cell r="AP1484">
            <v>0</v>
          </cell>
        </row>
        <row r="1485">
          <cell r="AJ1485">
            <v>0</v>
          </cell>
          <cell r="AP1485">
            <v>0</v>
          </cell>
        </row>
        <row r="1486">
          <cell r="AJ1486">
            <v>0</v>
          </cell>
          <cell r="AP1486">
            <v>0</v>
          </cell>
        </row>
        <row r="1487">
          <cell r="AJ1487">
            <v>0</v>
          </cell>
          <cell r="AP1487">
            <v>0</v>
          </cell>
        </row>
        <row r="1488">
          <cell r="AJ1488">
            <v>0</v>
          </cell>
          <cell r="AP1488">
            <v>0</v>
          </cell>
        </row>
        <row r="1489">
          <cell r="AJ1489">
            <v>0</v>
          </cell>
          <cell r="AP1489">
            <v>0</v>
          </cell>
        </row>
        <row r="1490">
          <cell r="AJ1490">
            <v>0</v>
          </cell>
          <cell r="AP1490">
            <v>0</v>
          </cell>
        </row>
        <row r="1491">
          <cell r="AJ1491">
            <v>0</v>
          </cell>
          <cell r="AP1491">
            <v>0</v>
          </cell>
        </row>
        <row r="1492">
          <cell r="AJ1492">
            <v>0</v>
          </cell>
          <cell r="AP1492">
            <v>0</v>
          </cell>
        </row>
        <row r="1493">
          <cell r="AJ1493">
            <v>0</v>
          </cell>
          <cell r="AP1493">
            <v>0</v>
          </cell>
        </row>
        <row r="1494">
          <cell r="AJ1494">
            <v>0</v>
          </cell>
          <cell r="AP1494">
            <v>0</v>
          </cell>
        </row>
        <row r="1495">
          <cell r="AJ1495">
            <v>0</v>
          </cell>
          <cell r="AP1495">
            <v>0</v>
          </cell>
        </row>
        <row r="1496">
          <cell r="AJ1496">
            <v>0</v>
          </cell>
          <cell r="AP1496">
            <v>0</v>
          </cell>
        </row>
        <row r="1497">
          <cell r="AJ1497">
            <v>0</v>
          </cell>
          <cell r="AP1497">
            <v>0</v>
          </cell>
        </row>
        <row r="1498">
          <cell r="AJ1498">
            <v>0</v>
          </cell>
          <cell r="AP1498">
            <v>0</v>
          </cell>
        </row>
        <row r="1499">
          <cell r="AJ1499">
            <v>0</v>
          </cell>
          <cell r="AP1499">
            <v>0</v>
          </cell>
        </row>
        <row r="1500">
          <cell r="AJ1500">
            <v>0</v>
          </cell>
          <cell r="AP1500">
            <v>0</v>
          </cell>
        </row>
        <row r="1501">
          <cell r="AJ1501">
            <v>0</v>
          </cell>
          <cell r="AP1501">
            <v>0</v>
          </cell>
        </row>
        <row r="1502">
          <cell r="AJ1502">
            <v>0</v>
          </cell>
          <cell r="AP1502">
            <v>0</v>
          </cell>
        </row>
        <row r="1503">
          <cell r="AJ1503">
            <v>0</v>
          </cell>
          <cell r="AP1503">
            <v>0</v>
          </cell>
        </row>
        <row r="1504">
          <cell r="AJ1504">
            <v>0</v>
          </cell>
          <cell r="AP1504">
            <v>0</v>
          </cell>
        </row>
        <row r="1505">
          <cell r="AJ1505">
            <v>0</v>
          </cell>
          <cell r="AP1505">
            <v>0</v>
          </cell>
        </row>
        <row r="1506">
          <cell r="AJ1506">
            <v>0</v>
          </cell>
          <cell r="AP1506">
            <v>0</v>
          </cell>
        </row>
        <row r="1507">
          <cell r="AJ1507">
            <v>0</v>
          </cell>
          <cell r="AP1507">
            <v>0</v>
          </cell>
        </row>
        <row r="1508">
          <cell r="AJ1508">
            <v>0</v>
          </cell>
          <cell r="AP1508">
            <v>0</v>
          </cell>
        </row>
        <row r="1509">
          <cell r="AJ1509">
            <v>0</v>
          </cell>
          <cell r="AP1509">
            <v>0</v>
          </cell>
        </row>
        <row r="1510">
          <cell r="AJ1510">
            <v>0</v>
          </cell>
          <cell r="AP1510">
            <v>0</v>
          </cell>
        </row>
        <row r="1511">
          <cell r="AJ1511">
            <v>0</v>
          </cell>
          <cell r="AP1511">
            <v>0</v>
          </cell>
        </row>
        <row r="1512">
          <cell r="AJ1512">
            <v>0</v>
          </cell>
          <cell r="AP1512">
            <v>0</v>
          </cell>
        </row>
        <row r="1513">
          <cell r="AJ1513">
            <v>0</v>
          </cell>
          <cell r="AP1513">
            <v>0</v>
          </cell>
        </row>
        <row r="1514">
          <cell r="AJ1514">
            <v>0</v>
          </cell>
          <cell r="AP1514">
            <v>0</v>
          </cell>
        </row>
        <row r="1515">
          <cell r="AJ1515">
            <v>0</v>
          </cell>
          <cell r="AP1515">
            <v>0</v>
          </cell>
        </row>
        <row r="1516">
          <cell r="AJ1516">
            <v>0</v>
          </cell>
          <cell r="AP1516">
            <v>0</v>
          </cell>
        </row>
        <row r="1517">
          <cell r="AJ1517">
            <v>0</v>
          </cell>
          <cell r="AP1517">
            <v>0</v>
          </cell>
        </row>
        <row r="1518">
          <cell r="AJ1518">
            <v>0</v>
          </cell>
          <cell r="AP1518">
            <v>0</v>
          </cell>
        </row>
        <row r="1519">
          <cell r="AJ1519">
            <v>0</v>
          </cell>
          <cell r="AP1519">
            <v>0</v>
          </cell>
        </row>
        <row r="1520">
          <cell r="AJ1520">
            <v>0</v>
          </cell>
          <cell r="AP1520">
            <v>0</v>
          </cell>
        </row>
        <row r="1521">
          <cell r="AJ1521">
            <v>0</v>
          </cell>
          <cell r="AP1521">
            <v>0</v>
          </cell>
        </row>
        <row r="1522">
          <cell r="AJ1522">
            <v>0</v>
          </cell>
          <cell r="AP1522">
            <v>0</v>
          </cell>
        </row>
        <row r="1523">
          <cell r="AJ1523">
            <v>0</v>
          </cell>
          <cell r="AP1523">
            <v>0</v>
          </cell>
        </row>
        <row r="1524">
          <cell r="AJ1524">
            <v>0</v>
          </cell>
          <cell r="AP1524">
            <v>0</v>
          </cell>
        </row>
        <row r="1525">
          <cell r="AJ1525">
            <v>0</v>
          </cell>
          <cell r="AP1525">
            <v>0</v>
          </cell>
        </row>
        <row r="1526">
          <cell r="AJ1526">
            <v>0</v>
          </cell>
          <cell r="AP1526">
            <v>0</v>
          </cell>
        </row>
        <row r="1527">
          <cell r="AJ1527">
            <v>0</v>
          </cell>
          <cell r="AP1527">
            <v>0</v>
          </cell>
        </row>
        <row r="1528">
          <cell r="AJ1528">
            <v>0</v>
          </cell>
          <cell r="AP1528">
            <v>0</v>
          </cell>
        </row>
        <row r="1529">
          <cell r="AJ1529">
            <v>0</v>
          </cell>
          <cell r="AP1529">
            <v>0</v>
          </cell>
        </row>
        <row r="1530">
          <cell r="AJ1530">
            <v>0</v>
          </cell>
          <cell r="AP1530">
            <v>0</v>
          </cell>
        </row>
        <row r="1531">
          <cell r="AJ1531">
            <v>0</v>
          </cell>
          <cell r="AP1531">
            <v>0</v>
          </cell>
        </row>
        <row r="1532">
          <cell r="AJ1532">
            <v>0</v>
          </cell>
          <cell r="AP1532">
            <v>0</v>
          </cell>
        </row>
        <row r="1533">
          <cell r="AJ1533">
            <v>0</v>
          </cell>
          <cell r="AP1533">
            <v>0</v>
          </cell>
        </row>
        <row r="1534">
          <cell r="AJ1534">
            <v>0</v>
          </cell>
          <cell r="AP1534">
            <v>0</v>
          </cell>
        </row>
        <row r="1535">
          <cell r="AJ1535">
            <v>0</v>
          </cell>
          <cell r="AP1535">
            <v>0</v>
          </cell>
        </row>
        <row r="1536">
          <cell r="AJ1536">
            <v>0</v>
          </cell>
          <cell r="AP1536">
            <v>0</v>
          </cell>
        </row>
        <row r="1537">
          <cell r="AJ1537">
            <v>0</v>
          </cell>
          <cell r="AP1537">
            <v>0</v>
          </cell>
        </row>
        <row r="1538">
          <cell r="AJ1538">
            <v>0</v>
          </cell>
          <cell r="AP1538">
            <v>0</v>
          </cell>
        </row>
        <row r="1539">
          <cell r="AJ1539">
            <v>0</v>
          </cell>
          <cell r="AP1539">
            <v>0</v>
          </cell>
        </row>
        <row r="1540">
          <cell r="AJ1540">
            <v>0</v>
          </cell>
          <cell r="AP1540">
            <v>0</v>
          </cell>
        </row>
        <row r="1541">
          <cell r="AJ1541">
            <v>0</v>
          </cell>
          <cell r="AP1541">
            <v>0</v>
          </cell>
        </row>
        <row r="1542">
          <cell r="AJ1542">
            <v>0</v>
          </cell>
          <cell r="AP1542">
            <v>0</v>
          </cell>
        </row>
        <row r="1543">
          <cell r="AJ1543">
            <v>0</v>
          </cell>
          <cell r="AP1543">
            <v>0</v>
          </cell>
        </row>
        <row r="1544">
          <cell r="AJ1544">
            <v>0</v>
          </cell>
          <cell r="AP1544">
            <v>0</v>
          </cell>
        </row>
        <row r="1545">
          <cell r="AJ1545">
            <v>0</v>
          </cell>
          <cell r="AP1545">
            <v>0</v>
          </cell>
        </row>
        <row r="1546">
          <cell r="AJ1546">
            <v>0</v>
          </cell>
          <cell r="AP1546">
            <v>0</v>
          </cell>
        </row>
        <row r="1547">
          <cell r="AJ1547">
            <v>0</v>
          </cell>
          <cell r="AP1547">
            <v>0</v>
          </cell>
        </row>
        <row r="1548">
          <cell r="AJ1548">
            <v>0</v>
          </cell>
          <cell r="AP1548">
            <v>0</v>
          </cell>
        </row>
        <row r="1549">
          <cell r="AJ1549">
            <v>0</v>
          </cell>
          <cell r="AP1549">
            <v>0</v>
          </cell>
        </row>
        <row r="1550">
          <cell r="AJ1550">
            <v>0</v>
          </cell>
          <cell r="AP1550">
            <v>0</v>
          </cell>
        </row>
        <row r="1551">
          <cell r="AJ1551">
            <v>0</v>
          </cell>
          <cell r="AP1551">
            <v>0</v>
          </cell>
        </row>
        <row r="1552">
          <cell r="AJ1552">
            <v>0</v>
          </cell>
          <cell r="AP1552">
            <v>0</v>
          </cell>
        </row>
        <row r="1553">
          <cell r="AJ1553">
            <v>0</v>
          </cell>
          <cell r="AP1553">
            <v>0</v>
          </cell>
        </row>
        <row r="1554">
          <cell r="AJ1554">
            <v>0</v>
          </cell>
          <cell r="AP1554">
            <v>0</v>
          </cell>
        </row>
        <row r="1555">
          <cell r="AJ1555">
            <v>0</v>
          </cell>
          <cell r="AP1555">
            <v>0</v>
          </cell>
        </row>
        <row r="1556">
          <cell r="AJ1556">
            <v>0</v>
          </cell>
          <cell r="AP1556">
            <v>0</v>
          </cell>
        </row>
        <row r="1557">
          <cell r="AJ1557">
            <v>0</v>
          </cell>
          <cell r="AP1557">
            <v>0</v>
          </cell>
        </row>
        <row r="1558">
          <cell r="AJ1558">
            <v>0</v>
          </cell>
          <cell r="AP1558">
            <v>0</v>
          </cell>
        </row>
        <row r="1559">
          <cell r="AJ1559">
            <v>0</v>
          </cell>
          <cell r="AP1559">
            <v>0</v>
          </cell>
        </row>
        <row r="1560">
          <cell r="AJ1560">
            <v>0</v>
          </cell>
          <cell r="AP1560">
            <v>0</v>
          </cell>
        </row>
        <row r="1561">
          <cell r="AJ1561">
            <v>0</v>
          </cell>
          <cell r="AP1561">
            <v>0</v>
          </cell>
        </row>
        <row r="1562">
          <cell r="AJ1562">
            <v>0</v>
          </cell>
          <cell r="AP1562">
            <v>0</v>
          </cell>
        </row>
        <row r="1563">
          <cell r="AJ1563">
            <v>0</v>
          </cell>
          <cell r="AP1563">
            <v>0</v>
          </cell>
        </row>
        <row r="1564">
          <cell r="AJ1564">
            <v>0</v>
          </cell>
          <cell r="AP1564">
            <v>0</v>
          </cell>
        </row>
        <row r="1565">
          <cell r="AJ1565">
            <v>0</v>
          </cell>
          <cell r="AP1565">
            <v>0</v>
          </cell>
        </row>
        <row r="1566">
          <cell r="AJ1566">
            <v>0</v>
          </cell>
          <cell r="AP1566">
            <v>0</v>
          </cell>
        </row>
        <row r="1567">
          <cell r="AJ1567">
            <v>0</v>
          </cell>
          <cell r="AP1567">
            <v>0</v>
          </cell>
        </row>
        <row r="1568">
          <cell r="AJ1568">
            <v>0</v>
          </cell>
          <cell r="AP1568">
            <v>0</v>
          </cell>
        </row>
        <row r="1569">
          <cell r="AJ1569">
            <v>0</v>
          </cell>
          <cell r="AP1569">
            <v>0</v>
          </cell>
        </row>
        <row r="1570">
          <cell r="AJ1570">
            <v>0</v>
          </cell>
          <cell r="AP1570">
            <v>0</v>
          </cell>
        </row>
        <row r="1571">
          <cell r="AJ1571">
            <v>0</v>
          </cell>
          <cell r="AP1571">
            <v>0</v>
          </cell>
        </row>
        <row r="1572">
          <cell r="AJ1572">
            <v>0</v>
          </cell>
          <cell r="AP1572">
            <v>0</v>
          </cell>
        </row>
        <row r="1573">
          <cell r="AJ1573">
            <v>0</v>
          </cell>
          <cell r="AP1573">
            <v>0</v>
          </cell>
        </row>
        <row r="1574">
          <cell r="AJ1574">
            <v>0</v>
          </cell>
          <cell r="AP1574">
            <v>0</v>
          </cell>
        </row>
        <row r="1575">
          <cell r="AJ1575">
            <v>0</v>
          </cell>
          <cell r="AP1575">
            <v>0</v>
          </cell>
        </row>
        <row r="1576">
          <cell r="AJ1576">
            <v>0</v>
          </cell>
          <cell r="AP1576">
            <v>0</v>
          </cell>
        </row>
        <row r="1577">
          <cell r="AJ1577">
            <v>0</v>
          </cell>
          <cell r="AP1577">
            <v>0</v>
          </cell>
        </row>
        <row r="1578">
          <cell r="AJ1578">
            <v>0</v>
          </cell>
          <cell r="AP1578">
            <v>0</v>
          </cell>
        </row>
        <row r="1579">
          <cell r="AJ1579">
            <v>0</v>
          </cell>
          <cell r="AP1579">
            <v>0</v>
          </cell>
        </row>
        <row r="1580">
          <cell r="AJ1580">
            <v>0</v>
          </cell>
          <cell r="AP1580">
            <v>0</v>
          </cell>
        </row>
        <row r="1581">
          <cell r="AJ1581">
            <v>0</v>
          </cell>
          <cell r="AP1581">
            <v>0</v>
          </cell>
        </row>
        <row r="1582">
          <cell r="AJ1582">
            <v>0</v>
          </cell>
          <cell r="AP1582">
            <v>0</v>
          </cell>
        </row>
        <row r="1583">
          <cell r="AJ1583">
            <v>0</v>
          </cell>
          <cell r="AP1583">
            <v>0</v>
          </cell>
        </row>
        <row r="1584">
          <cell r="AJ1584">
            <v>0</v>
          </cell>
          <cell r="AP1584">
            <v>0</v>
          </cell>
        </row>
        <row r="1585">
          <cell r="AJ1585">
            <v>0</v>
          </cell>
          <cell r="AP1585">
            <v>0</v>
          </cell>
        </row>
        <row r="1586">
          <cell r="AJ1586">
            <v>0</v>
          </cell>
          <cell r="AP1586">
            <v>0</v>
          </cell>
        </row>
        <row r="1587">
          <cell r="AJ1587">
            <v>0</v>
          </cell>
          <cell r="AP1587">
            <v>0</v>
          </cell>
        </row>
        <row r="1588">
          <cell r="AJ1588">
            <v>0</v>
          </cell>
          <cell r="AP1588">
            <v>0</v>
          </cell>
        </row>
        <row r="1589">
          <cell r="AJ1589">
            <v>0</v>
          </cell>
          <cell r="AP1589">
            <v>0</v>
          </cell>
        </row>
        <row r="1590">
          <cell r="AJ1590">
            <v>0</v>
          </cell>
          <cell r="AP1590">
            <v>0</v>
          </cell>
        </row>
        <row r="1591">
          <cell r="AJ1591">
            <v>0</v>
          </cell>
          <cell r="AP1591">
            <v>0</v>
          </cell>
        </row>
        <row r="1592">
          <cell r="AJ1592">
            <v>0</v>
          </cell>
          <cell r="AP1592">
            <v>0</v>
          </cell>
        </row>
        <row r="1593">
          <cell r="AJ1593">
            <v>0</v>
          </cell>
          <cell r="AP1593">
            <v>0</v>
          </cell>
        </row>
        <row r="1594">
          <cell r="AJ1594">
            <v>0</v>
          </cell>
          <cell r="AP1594">
            <v>0</v>
          </cell>
        </row>
        <row r="1595">
          <cell r="AJ1595">
            <v>0</v>
          </cell>
          <cell r="AP1595">
            <v>0</v>
          </cell>
        </row>
        <row r="1596">
          <cell r="AJ1596">
            <v>0</v>
          </cell>
          <cell r="AP1596">
            <v>0</v>
          </cell>
        </row>
        <row r="1597">
          <cell r="AJ1597">
            <v>0</v>
          </cell>
          <cell r="AP1597">
            <v>0</v>
          </cell>
        </row>
        <row r="1598">
          <cell r="AJ1598">
            <v>0</v>
          </cell>
          <cell r="AP1598">
            <v>0</v>
          </cell>
        </row>
        <row r="1599">
          <cell r="AJ1599">
            <v>0</v>
          </cell>
          <cell r="AP1599">
            <v>0</v>
          </cell>
        </row>
        <row r="1600">
          <cell r="AJ1600">
            <v>0</v>
          </cell>
          <cell r="AP1600">
            <v>0</v>
          </cell>
        </row>
        <row r="1601">
          <cell r="AJ1601">
            <v>0</v>
          </cell>
          <cell r="AP1601">
            <v>0</v>
          </cell>
        </row>
        <row r="1602">
          <cell r="AJ1602">
            <v>0</v>
          </cell>
          <cell r="AP1602">
            <v>0</v>
          </cell>
        </row>
        <row r="1603">
          <cell r="AJ1603">
            <v>0</v>
          </cell>
          <cell r="AP1603">
            <v>0</v>
          </cell>
        </row>
        <row r="1604">
          <cell r="AJ1604">
            <v>0</v>
          </cell>
          <cell r="AP1604">
            <v>0</v>
          </cell>
        </row>
        <row r="1605">
          <cell r="AJ1605">
            <v>0</v>
          </cell>
          <cell r="AP1605">
            <v>0</v>
          </cell>
        </row>
        <row r="1606">
          <cell r="AJ1606">
            <v>0</v>
          </cell>
          <cell r="AP1606">
            <v>0</v>
          </cell>
        </row>
        <row r="1607">
          <cell r="AJ1607">
            <v>0</v>
          </cell>
          <cell r="AP1607">
            <v>0</v>
          </cell>
        </row>
        <row r="1608">
          <cell r="AJ1608">
            <v>0</v>
          </cell>
          <cell r="AP1608">
            <v>0</v>
          </cell>
        </row>
        <row r="1609">
          <cell r="AJ1609">
            <v>0</v>
          </cell>
          <cell r="AP1609">
            <v>0</v>
          </cell>
        </row>
        <row r="1610">
          <cell r="AJ1610">
            <v>0</v>
          </cell>
          <cell r="AP1610">
            <v>0</v>
          </cell>
        </row>
        <row r="1611">
          <cell r="AJ1611">
            <v>0</v>
          </cell>
          <cell r="AP1611">
            <v>0</v>
          </cell>
        </row>
        <row r="1612">
          <cell r="AJ1612">
            <v>0</v>
          </cell>
          <cell r="AP1612">
            <v>0</v>
          </cell>
        </row>
        <row r="1613">
          <cell r="AJ1613">
            <v>0</v>
          </cell>
          <cell r="AP1613">
            <v>0</v>
          </cell>
        </row>
        <row r="1614">
          <cell r="AJ1614">
            <v>0</v>
          </cell>
          <cell r="AP1614">
            <v>0</v>
          </cell>
        </row>
        <row r="1615">
          <cell r="AJ1615">
            <v>0</v>
          </cell>
          <cell r="AP1615">
            <v>0</v>
          </cell>
        </row>
        <row r="1616">
          <cell r="AJ1616">
            <v>0</v>
          </cell>
          <cell r="AP1616">
            <v>0</v>
          </cell>
        </row>
        <row r="1617">
          <cell r="AJ1617">
            <v>0</v>
          </cell>
          <cell r="AP1617">
            <v>0</v>
          </cell>
        </row>
        <row r="1618">
          <cell r="AJ1618">
            <v>0</v>
          </cell>
          <cell r="AP1618">
            <v>0</v>
          </cell>
        </row>
        <row r="1619">
          <cell r="AJ1619">
            <v>0</v>
          </cell>
          <cell r="AP1619">
            <v>0</v>
          </cell>
        </row>
        <row r="1620">
          <cell r="AJ1620">
            <v>0</v>
          </cell>
          <cell r="AP1620">
            <v>0</v>
          </cell>
        </row>
        <row r="1621">
          <cell r="AJ1621">
            <v>0</v>
          </cell>
          <cell r="AP1621">
            <v>0</v>
          </cell>
        </row>
        <row r="1622">
          <cell r="AJ1622">
            <v>0</v>
          </cell>
          <cell r="AP1622">
            <v>0</v>
          </cell>
        </row>
        <row r="1623">
          <cell r="AJ1623">
            <v>0</v>
          </cell>
          <cell r="AP1623">
            <v>0</v>
          </cell>
        </row>
        <row r="1624">
          <cell r="AJ1624">
            <v>0</v>
          </cell>
          <cell r="AP1624">
            <v>0</v>
          </cell>
        </row>
        <row r="1625">
          <cell r="AJ1625">
            <v>0</v>
          </cell>
          <cell r="AP1625">
            <v>0</v>
          </cell>
        </row>
        <row r="1626">
          <cell r="AJ1626">
            <v>0</v>
          </cell>
          <cell r="AP1626">
            <v>0</v>
          </cell>
        </row>
        <row r="1627">
          <cell r="AJ1627">
            <v>0</v>
          </cell>
          <cell r="AP1627">
            <v>0</v>
          </cell>
        </row>
        <row r="1628">
          <cell r="AJ1628">
            <v>0</v>
          </cell>
          <cell r="AP1628">
            <v>0</v>
          </cell>
        </row>
        <row r="1629">
          <cell r="AJ1629">
            <v>0</v>
          </cell>
          <cell r="AP1629">
            <v>0</v>
          </cell>
        </row>
        <row r="1630">
          <cell r="AJ1630">
            <v>0</v>
          </cell>
          <cell r="AP1630">
            <v>0</v>
          </cell>
        </row>
        <row r="1631">
          <cell r="AJ1631">
            <v>0</v>
          </cell>
          <cell r="AP1631">
            <v>0</v>
          </cell>
        </row>
        <row r="1632">
          <cell r="AJ1632">
            <v>0</v>
          </cell>
          <cell r="AP1632">
            <v>0</v>
          </cell>
        </row>
        <row r="1633">
          <cell r="AJ1633">
            <v>0</v>
          </cell>
          <cell r="AP1633">
            <v>0</v>
          </cell>
        </row>
        <row r="1634">
          <cell r="AJ1634">
            <v>0</v>
          </cell>
          <cell r="AP1634">
            <v>0</v>
          </cell>
        </row>
        <row r="1635">
          <cell r="AJ1635">
            <v>0</v>
          </cell>
          <cell r="AP1635">
            <v>0</v>
          </cell>
        </row>
        <row r="1636">
          <cell r="AJ1636">
            <v>0</v>
          </cell>
          <cell r="AP1636">
            <v>0</v>
          </cell>
        </row>
        <row r="1637">
          <cell r="AJ1637">
            <v>0</v>
          </cell>
          <cell r="AP1637">
            <v>0</v>
          </cell>
        </row>
        <row r="1638">
          <cell r="AJ1638">
            <v>0</v>
          </cell>
          <cell r="AP1638">
            <v>0</v>
          </cell>
        </row>
        <row r="1639">
          <cell r="AJ1639">
            <v>0</v>
          </cell>
          <cell r="AP1639">
            <v>0</v>
          </cell>
        </row>
        <row r="1640">
          <cell r="AJ1640">
            <v>0</v>
          </cell>
          <cell r="AP1640">
            <v>0</v>
          </cell>
        </row>
        <row r="1641">
          <cell r="AJ1641">
            <v>0</v>
          </cell>
          <cell r="AP1641">
            <v>0</v>
          </cell>
        </row>
        <row r="1642">
          <cell r="AJ1642">
            <v>0</v>
          </cell>
          <cell r="AP1642">
            <v>0</v>
          </cell>
        </row>
        <row r="1643">
          <cell r="AJ1643">
            <v>0</v>
          </cell>
          <cell r="AP1643">
            <v>0</v>
          </cell>
        </row>
        <row r="1644">
          <cell r="AJ1644">
            <v>0</v>
          </cell>
          <cell r="AP1644">
            <v>0</v>
          </cell>
        </row>
        <row r="1645">
          <cell r="AJ1645">
            <v>0</v>
          </cell>
          <cell r="AP1645">
            <v>0</v>
          </cell>
        </row>
        <row r="1646">
          <cell r="AJ1646">
            <v>0</v>
          </cell>
          <cell r="AP1646">
            <v>0</v>
          </cell>
        </row>
        <row r="1647">
          <cell r="AJ1647">
            <v>0</v>
          </cell>
          <cell r="AP1647">
            <v>0</v>
          </cell>
        </row>
        <row r="1648">
          <cell r="AJ1648">
            <v>0</v>
          </cell>
          <cell r="AP1648">
            <v>0</v>
          </cell>
        </row>
        <row r="1649">
          <cell r="AJ1649">
            <v>0</v>
          </cell>
          <cell r="AP1649">
            <v>0</v>
          </cell>
        </row>
        <row r="1650">
          <cell r="AJ1650">
            <v>0</v>
          </cell>
          <cell r="AP1650">
            <v>0</v>
          </cell>
        </row>
        <row r="1651">
          <cell r="AJ1651">
            <v>0</v>
          </cell>
          <cell r="AP1651">
            <v>0</v>
          </cell>
        </row>
        <row r="1652">
          <cell r="AJ1652">
            <v>0</v>
          </cell>
          <cell r="AP1652">
            <v>0</v>
          </cell>
        </row>
        <row r="1653">
          <cell r="AJ1653">
            <v>0</v>
          </cell>
          <cell r="AP1653">
            <v>0</v>
          </cell>
        </row>
        <row r="1654">
          <cell r="AJ1654">
            <v>0</v>
          </cell>
          <cell r="AP1654">
            <v>0</v>
          </cell>
        </row>
        <row r="1655">
          <cell r="AJ1655">
            <v>0</v>
          </cell>
          <cell r="AP1655">
            <v>0</v>
          </cell>
        </row>
        <row r="1656">
          <cell r="AJ1656">
            <v>0</v>
          </cell>
          <cell r="AP1656">
            <v>0</v>
          </cell>
        </row>
        <row r="1657">
          <cell r="AJ1657">
            <v>0</v>
          </cell>
          <cell r="AP1657">
            <v>0</v>
          </cell>
        </row>
        <row r="1658">
          <cell r="AJ1658">
            <v>0</v>
          </cell>
          <cell r="AP1658">
            <v>0</v>
          </cell>
        </row>
        <row r="1659">
          <cell r="AJ1659">
            <v>0</v>
          </cell>
          <cell r="AP1659">
            <v>0</v>
          </cell>
        </row>
        <row r="1660">
          <cell r="AJ1660">
            <v>0</v>
          </cell>
          <cell r="AP1660">
            <v>0</v>
          </cell>
        </row>
        <row r="1661">
          <cell r="AJ1661">
            <v>0</v>
          </cell>
          <cell r="AP1661">
            <v>0</v>
          </cell>
        </row>
        <row r="1662">
          <cell r="AJ1662">
            <v>0</v>
          </cell>
          <cell r="AP1662">
            <v>0</v>
          </cell>
        </row>
        <row r="1663">
          <cell r="AJ1663">
            <v>0</v>
          </cell>
          <cell r="AP1663">
            <v>0</v>
          </cell>
        </row>
        <row r="1664">
          <cell r="AJ1664">
            <v>0</v>
          </cell>
          <cell r="AP1664">
            <v>0</v>
          </cell>
        </row>
        <row r="1665">
          <cell r="AJ1665">
            <v>0</v>
          </cell>
          <cell r="AP1665">
            <v>0</v>
          </cell>
        </row>
        <row r="1666">
          <cell r="AJ1666">
            <v>0</v>
          </cell>
          <cell r="AP1666">
            <v>0</v>
          </cell>
        </row>
        <row r="1667">
          <cell r="AJ1667">
            <v>0</v>
          </cell>
          <cell r="AP1667">
            <v>0</v>
          </cell>
        </row>
        <row r="1668">
          <cell r="AJ1668">
            <v>0</v>
          </cell>
          <cell r="AP1668">
            <v>0</v>
          </cell>
        </row>
        <row r="1669">
          <cell r="AJ1669">
            <v>0</v>
          </cell>
          <cell r="AP1669">
            <v>0</v>
          </cell>
        </row>
        <row r="1670">
          <cell r="AJ1670">
            <v>0</v>
          </cell>
          <cell r="AP1670">
            <v>0</v>
          </cell>
        </row>
        <row r="1671">
          <cell r="AJ1671">
            <v>0</v>
          </cell>
          <cell r="AP1671">
            <v>0</v>
          </cell>
        </row>
        <row r="1672">
          <cell r="AJ1672">
            <v>0</v>
          </cell>
          <cell r="AP1672">
            <v>0</v>
          </cell>
        </row>
        <row r="1673">
          <cell r="AJ1673">
            <v>0</v>
          </cell>
          <cell r="AP1673">
            <v>0</v>
          </cell>
        </row>
        <row r="1674">
          <cell r="AJ1674">
            <v>0</v>
          </cell>
          <cell r="AP1674">
            <v>0</v>
          </cell>
        </row>
        <row r="1675">
          <cell r="AJ1675">
            <v>0</v>
          </cell>
          <cell r="AP1675">
            <v>0</v>
          </cell>
        </row>
        <row r="1676">
          <cell r="AJ1676">
            <v>0</v>
          </cell>
          <cell r="AP1676">
            <v>0</v>
          </cell>
        </row>
        <row r="1677">
          <cell r="AJ1677">
            <v>0</v>
          </cell>
          <cell r="AP1677">
            <v>0</v>
          </cell>
        </row>
        <row r="1678">
          <cell r="AJ1678">
            <v>0</v>
          </cell>
          <cell r="AP1678">
            <v>0</v>
          </cell>
        </row>
        <row r="1679">
          <cell r="AJ1679">
            <v>0</v>
          </cell>
          <cell r="AP1679">
            <v>0</v>
          </cell>
        </row>
        <row r="1680">
          <cell r="AJ1680">
            <v>0</v>
          </cell>
          <cell r="AP1680">
            <v>0</v>
          </cell>
        </row>
        <row r="1681">
          <cell r="AJ1681">
            <v>0</v>
          </cell>
          <cell r="AP1681">
            <v>0</v>
          </cell>
        </row>
        <row r="1682">
          <cell r="AJ1682">
            <v>0</v>
          </cell>
          <cell r="AP1682">
            <v>0</v>
          </cell>
        </row>
        <row r="1683">
          <cell r="AJ1683">
            <v>0</v>
          </cell>
          <cell r="AP1683">
            <v>0</v>
          </cell>
        </row>
        <row r="1684">
          <cell r="AJ1684">
            <v>0</v>
          </cell>
          <cell r="AP1684">
            <v>0</v>
          </cell>
        </row>
        <row r="1685">
          <cell r="AJ1685">
            <v>0</v>
          </cell>
          <cell r="AP1685">
            <v>0</v>
          </cell>
        </row>
        <row r="1686">
          <cell r="AJ1686">
            <v>0</v>
          </cell>
          <cell r="AP1686">
            <v>0</v>
          </cell>
        </row>
        <row r="1687">
          <cell r="AJ1687">
            <v>0</v>
          </cell>
          <cell r="AP1687">
            <v>0</v>
          </cell>
        </row>
        <row r="1688">
          <cell r="AJ1688">
            <v>0</v>
          </cell>
          <cell r="AP1688">
            <v>0</v>
          </cell>
        </row>
        <row r="1689">
          <cell r="AJ1689">
            <v>0</v>
          </cell>
          <cell r="AP1689">
            <v>0</v>
          </cell>
        </row>
        <row r="1690">
          <cell r="AJ1690">
            <v>0</v>
          </cell>
          <cell r="AP1690">
            <v>0</v>
          </cell>
        </row>
        <row r="1691">
          <cell r="AJ1691">
            <v>0</v>
          </cell>
          <cell r="AP1691">
            <v>0</v>
          </cell>
        </row>
        <row r="1692">
          <cell r="AJ1692">
            <v>0</v>
          </cell>
          <cell r="AP1692">
            <v>0</v>
          </cell>
        </row>
        <row r="1693">
          <cell r="AJ1693">
            <v>0</v>
          </cell>
          <cell r="AP1693">
            <v>0</v>
          </cell>
        </row>
        <row r="1694">
          <cell r="AJ1694">
            <v>0</v>
          </cell>
          <cell r="AP1694">
            <v>0</v>
          </cell>
        </row>
        <row r="1695">
          <cell r="AJ1695">
            <v>0</v>
          </cell>
          <cell r="AP1695">
            <v>0</v>
          </cell>
        </row>
        <row r="1696">
          <cell r="AJ1696">
            <v>0</v>
          </cell>
          <cell r="AP1696">
            <v>0</v>
          </cell>
        </row>
        <row r="1697">
          <cell r="AJ1697">
            <v>0</v>
          </cell>
          <cell r="AP1697">
            <v>0</v>
          </cell>
        </row>
        <row r="1698">
          <cell r="AJ1698">
            <v>0</v>
          </cell>
          <cell r="AP1698">
            <v>0</v>
          </cell>
        </row>
        <row r="1699">
          <cell r="AJ1699">
            <v>0</v>
          </cell>
          <cell r="AP1699">
            <v>0</v>
          </cell>
        </row>
        <row r="1700">
          <cell r="AJ1700">
            <v>0</v>
          </cell>
          <cell r="AP1700">
            <v>0</v>
          </cell>
        </row>
        <row r="1701">
          <cell r="AJ1701">
            <v>0</v>
          </cell>
          <cell r="AP1701">
            <v>0</v>
          </cell>
        </row>
        <row r="1702">
          <cell r="AJ1702">
            <v>0</v>
          </cell>
          <cell r="AP1702">
            <v>0</v>
          </cell>
        </row>
        <row r="1703">
          <cell r="AJ1703">
            <v>0</v>
          </cell>
          <cell r="AP1703">
            <v>0</v>
          </cell>
        </row>
        <row r="1704">
          <cell r="AJ1704">
            <v>0</v>
          </cell>
          <cell r="AP1704">
            <v>0</v>
          </cell>
        </row>
        <row r="1705">
          <cell r="AJ1705">
            <v>0</v>
          </cell>
          <cell r="AP1705">
            <v>0</v>
          </cell>
        </row>
        <row r="1706">
          <cell r="AJ1706">
            <v>0</v>
          </cell>
          <cell r="AP1706">
            <v>0</v>
          </cell>
        </row>
        <row r="1707">
          <cell r="AJ1707">
            <v>0</v>
          </cell>
          <cell r="AP1707">
            <v>0</v>
          </cell>
        </row>
        <row r="1708">
          <cell r="AJ1708">
            <v>0</v>
          </cell>
          <cell r="AP1708">
            <v>0</v>
          </cell>
        </row>
        <row r="1709">
          <cell r="AJ1709">
            <v>0</v>
          </cell>
          <cell r="AP1709">
            <v>0</v>
          </cell>
        </row>
        <row r="1710">
          <cell r="AJ1710">
            <v>0</v>
          </cell>
          <cell r="AP1710">
            <v>0</v>
          </cell>
        </row>
        <row r="1711">
          <cell r="AJ1711">
            <v>0</v>
          </cell>
          <cell r="AP1711">
            <v>0</v>
          </cell>
        </row>
        <row r="1712">
          <cell r="AJ1712">
            <v>0</v>
          </cell>
          <cell r="AP1712">
            <v>0</v>
          </cell>
        </row>
        <row r="1713">
          <cell r="AJ1713">
            <v>0</v>
          </cell>
          <cell r="AP1713">
            <v>0</v>
          </cell>
        </row>
        <row r="1714">
          <cell r="AJ1714">
            <v>0</v>
          </cell>
          <cell r="AP1714">
            <v>0</v>
          </cell>
        </row>
        <row r="1715">
          <cell r="AJ1715">
            <v>0</v>
          </cell>
          <cell r="AP1715">
            <v>0</v>
          </cell>
        </row>
        <row r="1716">
          <cell r="AJ1716">
            <v>0</v>
          </cell>
          <cell r="AP1716">
            <v>0</v>
          </cell>
        </row>
        <row r="1717">
          <cell r="AJ1717">
            <v>0</v>
          </cell>
          <cell r="AP1717">
            <v>0</v>
          </cell>
        </row>
        <row r="1718">
          <cell r="AJ1718">
            <v>0</v>
          </cell>
          <cell r="AP1718">
            <v>0</v>
          </cell>
        </row>
        <row r="1719">
          <cell r="AJ1719">
            <v>0</v>
          </cell>
          <cell r="AP1719">
            <v>0</v>
          </cell>
        </row>
        <row r="1720">
          <cell r="AJ1720">
            <v>0</v>
          </cell>
          <cell r="AP1720">
            <v>0</v>
          </cell>
        </row>
        <row r="1721">
          <cell r="AJ1721">
            <v>0</v>
          </cell>
          <cell r="AP1721">
            <v>0</v>
          </cell>
        </row>
        <row r="1722">
          <cell r="AJ1722">
            <v>0</v>
          </cell>
          <cell r="AP1722">
            <v>0</v>
          </cell>
        </row>
        <row r="1723">
          <cell r="AJ1723">
            <v>0</v>
          </cell>
          <cell r="AP1723">
            <v>0</v>
          </cell>
        </row>
        <row r="1724">
          <cell r="AJ1724">
            <v>0</v>
          </cell>
          <cell r="AP1724">
            <v>0</v>
          </cell>
        </row>
        <row r="1725">
          <cell r="AJ1725">
            <v>0</v>
          </cell>
          <cell r="AP1725">
            <v>0</v>
          </cell>
        </row>
        <row r="1726">
          <cell r="AJ1726">
            <v>0</v>
          </cell>
          <cell r="AP1726">
            <v>0</v>
          </cell>
        </row>
        <row r="1727">
          <cell r="AJ1727">
            <v>0</v>
          </cell>
          <cell r="AP1727">
            <v>0</v>
          </cell>
        </row>
        <row r="1728">
          <cell r="AJ1728">
            <v>0</v>
          </cell>
          <cell r="AP1728">
            <v>0</v>
          </cell>
        </row>
        <row r="1729">
          <cell r="AJ1729">
            <v>0</v>
          </cell>
          <cell r="AP1729">
            <v>0</v>
          </cell>
        </row>
        <row r="1730">
          <cell r="AJ1730">
            <v>0</v>
          </cell>
          <cell r="AP1730">
            <v>0</v>
          </cell>
        </row>
        <row r="1731">
          <cell r="AJ1731">
            <v>0</v>
          </cell>
          <cell r="AP1731">
            <v>0</v>
          </cell>
        </row>
        <row r="1732">
          <cell r="AJ1732">
            <v>0</v>
          </cell>
          <cell r="AP1732">
            <v>0</v>
          </cell>
        </row>
        <row r="1733">
          <cell r="AJ1733">
            <v>0</v>
          </cell>
          <cell r="AP1733">
            <v>0</v>
          </cell>
        </row>
        <row r="1734">
          <cell r="AJ1734">
            <v>0</v>
          </cell>
          <cell r="AP1734">
            <v>0</v>
          </cell>
        </row>
        <row r="1735">
          <cell r="AJ1735">
            <v>0</v>
          </cell>
          <cell r="AP1735">
            <v>0</v>
          </cell>
        </row>
        <row r="1736">
          <cell r="AJ1736">
            <v>0</v>
          </cell>
          <cell r="AP1736">
            <v>0</v>
          </cell>
        </row>
        <row r="1737">
          <cell r="AJ1737">
            <v>0</v>
          </cell>
          <cell r="AP1737">
            <v>0</v>
          </cell>
        </row>
        <row r="1738">
          <cell r="AJ1738">
            <v>0</v>
          </cell>
          <cell r="AP1738">
            <v>0</v>
          </cell>
        </row>
        <row r="1739">
          <cell r="AJ1739">
            <v>0</v>
          </cell>
          <cell r="AP1739">
            <v>0</v>
          </cell>
        </row>
        <row r="1740">
          <cell r="AJ1740">
            <v>0</v>
          </cell>
          <cell r="AP1740">
            <v>0</v>
          </cell>
        </row>
        <row r="1741">
          <cell r="AJ1741">
            <v>0</v>
          </cell>
          <cell r="AP1741">
            <v>0</v>
          </cell>
        </row>
        <row r="1742">
          <cell r="AJ1742">
            <v>0</v>
          </cell>
          <cell r="AP1742">
            <v>0</v>
          </cell>
        </row>
        <row r="1743">
          <cell r="AJ1743">
            <v>0</v>
          </cell>
          <cell r="AP1743">
            <v>0</v>
          </cell>
        </row>
        <row r="1744">
          <cell r="AJ1744">
            <v>0</v>
          </cell>
          <cell r="AP1744">
            <v>0</v>
          </cell>
        </row>
        <row r="1745">
          <cell r="AJ1745">
            <v>0</v>
          </cell>
          <cell r="AP1745">
            <v>0</v>
          </cell>
        </row>
        <row r="1746">
          <cell r="AJ1746">
            <v>0</v>
          </cell>
          <cell r="AP1746">
            <v>0</v>
          </cell>
        </row>
        <row r="1747">
          <cell r="AJ1747">
            <v>0</v>
          </cell>
          <cell r="AP1747">
            <v>0</v>
          </cell>
        </row>
        <row r="1748">
          <cell r="AJ1748">
            <v>0</v>
          </cell>
          <cell r="AP1748">
            <v>0</v>
          </cell>
        </row>
        <row r="1749">
          <cell r="AJ1749">
            <v>0</v>
          </cell>
          <cell r="AP1749">
            <v>0</v>
          </cell>
        </row>
        <row r="1750">
          <cell r="AJ1750">
            <v>0</v>
          </cell>
          <cell r="AP1750">
            <v>0</v>
          </cell>
        </row>
        <row r="1751">
          <cell r="AJ1751">
            <v>0</v>
          </cell>
          <cell r="AP1751">
            <v>0</v>
          </cell>
        </row>
        <row r="1752">
          <cell r="AJ1752">
            <v>0</v>
          </cell>
          <cell r="AP1752">
            <v>0</v>
          </cell>
        </row>
        <row r="1753">
          <cell r="AJ1753">
            <v>0</v>
          </cell>
          <cell r="AP1753">
            <v>0</v>
          </cell>
        </row>
        <row r="1754">
          <cell r="AJ1754">
            <v>0</v>
          </cell>
          <cell r="AP1754">
            <v>0</v>
          </cell>
        </row>
        <row r="1755">
          <cell r="AJ1755">
            <v>0</v>
          </cell>
          <cell r="AP1755">
            <v>0</v>
          </cell>
        </row>
        <row r="1756">
          <cell r="AJ1756">
            <v>0</v>
          </cell>
          <cell r="AP1756">
            <v>0</v>
          </cell>
        </row>
        <row r="1757">
          <cell r="AJ1757">
            <v>0</v>
          </cell>
          <cell r="AP1757">
            <v>0</v>
          </cell>
        </row>
        <row r="1758">
          <cell r="AJ1758">
            <v>0</v>
          </cell>
          <cell r="AP1758">
            <v>0</v>
          </cell>
        </row>
        <row r="1759">
          <cell r="AJ1759">
            <v>0</v>
          </cell>
          <cell r="AP1759">
            <v>0</v>
          </cell>
        </row>
        <row r="1760">
          <cell r="AJ1760">
            <v>0</v>
          </cell>
          <cell r="AP1760">
            <v>0</v>
          </cell>
        </row>
        <row r="1761">
          <cell r="AJ1761">
            <v>0</v>
          </cell>
          <cell r="AP1761">
            <v>0</v>
          </cell>
        </row>
        <row r="1762">
          <cell r="AJ1762">
            <v>0</v>
          </cell>
          <cell r="AP1762">
            <v>0</v>
          </cell>
        </row>
        <row r="1763">
          <cell r="AJ1763">
            <v>0</v>
          </cell>
          <cell r="AP1763">
            <v>0</v>
          </cell>
        </row>
        <row r="1764">
          <cell r="AJ1764">
            <v>0</v>
          </cell>
          <cell r="AP1764">
            <v>0</v>
          </cell>
        </row>
        <row r="1765">
          <cell r="AJ1765">
            <v>0</v>
          </cell>
          <cell r="AP1765">
            <v>0</v>
          </cell>
        </row>
        <row r="1766">
          <cell r="AJ1766">
            <v>0</v>
          </cell>
          <cell r="AP1766">
            <v>0</v>
          </cell>
        </row>
        <row r="1767">
          <cell r="AJ1767">
            <v>0</v>
          </cell>
          <cell r="AP1767">
            <v>0</v>
          </cell>
        </row>
        <row r="1768">
          <cell r="AJ1768">
            <v>0</v>
          </cell>
          <cell r="AP1768">
            <v>0</v>
          </cell>
        </row>
        <row r="1769">
          <cell r="AJ1769">
            <v>0</v>
          </cell>
          <cell r="AP1769">
            <v>0</v>
          </cell>
        </row>
        <row r="1770">
          <cell r="AJ1770">
            <v>0</v>
          </cell>
          <cell r="AP1770">
            <v>0</v>
          </cell>
        </row>
        <row r="1771">
          <cell r="AJ1771">
            <v>0</v>
          </cell>
          <cell r="AP1771">
            <v>0</v>
          </cell>
        </row>
        <row r="1772">
          <cell r="AJ1772">
            <v>0</v>
          </cell>
          <cell r="AP1772">
            <v>0</v>
          </cell>
        </row>
        <row r="1773">
          <cell r="AJ1773">
            <v>0</v>
          </cell>
          <cell r="AP1773">
            <v>0</v>
          </cell>
        </row>
        <row r="1774">
          <cell r="AJ1774">
            <v>0</v>
          </cell>
          <cell r="AP1774">
            <v>0</v>
          </cell>
        </row>
        <row r="1775">
          <cell r="AJ1775">
            <v>0</v>
          </cell>
          <cell r="AP1775">
            <v>0</v>
          </cell>
        </row>
        <row r="1776">
          <cell r="AJ1776">
            <v>0</v>
          </cell>
          <cell r="AP1776">
            <v>0</v>
          </cell>
        </row>
        <row r="1777">
          <cell r="AJ1777">
            <v>0</v>
          </cell>
          <cell r="AP1777">
            <v>0</v>
          </cell>
        </row>
        <row r="1778">
          <cell r="AJ1778">
            <v>0</v>
          </cell>
          <cell r="AP1778">
            <v>0</v>
          </cell>
        </row>
        <row r="1779">
          <cell r="AJ1779">
            <v>0</v>
          </cell>
          <cell r="AP1779">
            <v>0</v>
          </cell>
        </row>
        <row r="1780">
          <cell r="AJ1780">
            <v>0</v>
          </cell>
          <cell r="AP1780">
            <v>0</v>
          </cell>
        </row>
        <row r="1781">
          <cell r="AJ1781">
            <v>0</v>
          </cell>
          <cell r="AP1781">
            <v>0</v>
          </cell>
        </row>
        <row r="1782">
          <cell r="AJ1782">
            <v>0</v>
          </cell>
          <cell r="AP1782">
            <v>0</v>
          </cell>
        </row>
        <row r="1783">
          <cell r="AJ1783">
            <v>0</v>
          </cell>
          <cell r="AP1783">
            <v>0</v>
          </cell>
        </row>
        <row r="1784">
          <cell r="AJ1784">
            <v>0</v>
          </cell>
          <cell r="AP1784">
            <v>0</v>
          </cell>
        </row>
        <row r="1785">
          <cell r="AJ1785">
            <v>0</v>
          </cell>
          <cell r="AP1785">
            <v>0</v>
          </cell>
        </row>
        <row r="1786">
          <cell r="AJ1786">
            <v>0</v>
          </cell>
          <cell r="AP1786">
            <v>0</v>
          </cell>
        </row>
        <row r="1787">
          <cell r="AJ1787">
            <v>0</v>
          </cell>
          <cell r="AP1787">
            <v>0</v>
          </cell>
        </row>
        <row r="1788">
          <cell r="AJ1788">
            <v>0</v>
          </cell>
          <cell r="AP1788">
            <v>0</v>
          </cell>
        </row>
        <row r="1789">
          <cell r="AJ1789">
            <v>0</v>
          </cell>
          <cell r="AP1789">
            <v>0</v>
          </cell>
        </row>
        <row r="1790">
          <cell r="AJ1790">
            <v>0</v>
          </cell>
          <cell r="AP1790">
            <v>0</v>
          </cell>
        </row>
        <row r="1791">
          <cell r="AJ1791">
            <v>0</v>
          </cell>
          <cell r="AP1791">
            <v>0</v>
          </cell>
        </row>
        <row r="1792">
          <cell r="AJ1792">
            <v>0</v>
          </cell>
          <cell r="AP1792">
            <v>0</v>
          </cell>
        </row>
        <row r="1793">
          <cell r="AJ1793">
            <v>0</v>
          </cell>
          <cell r="AP1793">
            <v>0</v>
          </cell>
        </row>
        <row r="1794">
          <cell r="AJ1794">
            <v>0</v>
          </cell>
          <cell r="AP1794">
            <v>0</v>
          </cell>
        </row>
        <row r="1795">
          <cell r="AJ1795">
            <v>0</v>
          </cell>
          <cell r="AP1795">
            <v>0</v>
          </cell>
        </row>
        <row r="1796">
          <cell r="AJ1796">
            <v>0</v>
          </cell>
          <cell r="AP1796">
            <v>0</v>
          </cell>
        </row>
        <row r="1797">
          <cell r="AJ1797">
            <v>0</v>
          </cell>
          <cell r="AP1797">
            <v>0</v>
          </cell>
        </row>
        <row r="1798">
          <cell r="AJ1798">
            <v>0</v>
          </cell>
          <cell r="AP1798">
            <v>0</v>
          </cell>
        </row>
        <row r="1799">
          <cell r="AJ1799">
            <v>0</v>
          </cell>
          <cell r="AP1799">
            <v>0</v>
          </cell>
        </row>
        <row r="1800">
          <cell r="AJ1800">
            <v>0</v>
          </cell>
          <cell r="AP1800">
            <v>0</v>
          </cell>
        </row>
        <row r="1801">
          <cell r="AJ1801">
            <v>0</v>
          </cell>
          <cell r="AP1801">
            <v>0</v>
          </cell>
        </row>
        <row r="1802">
          <cell r="AJ1802">
            <v>0</v>
          </cell>
          <cell r="AP1802">
            <v>0</v>
          </cell>
        </row>
        <row r="1803">
          <cell r="AJ1803">
            <v>0</v>
          </cell>
          <cell r="AP1803">
            <v>0</v>
          </cell>
        </row>
        <row r="1804">
          <cell r="AJ1804">
            <v>0</v>
          </cell>
          <cell r="AP1804">
            <v>0</v>
          </cell>
        </row>
        <row r="1805">
          <cell r="AJ1805">
            <v>0</v>
          </cell>
          <cell r="AP1805">
            <v>0</v>
          </cell>
        </row>
        <row r="1806">
          <cell r="AJ1806">
            <v>0</v>
          </cell>
          <cell r="AP1806">
            <v>0</v>
          </cell>
        </row>
        <row r="1807">
          <cell r="AJ1807">
            <v>0</v>
          </cell>
          <cell r="AP1807">
            <v>0</v>
          </cell>
        </row>
        <row r="1808">
          <cell r="AJ1808">
            <v>0</v>
          </cell>
          <cell r="AP1808">
            <v>0</v>
          </cell>
        </row>
        <row r="1809">
          <cell r="AJ1809">
            <v>0</v>
          </cell>
          <cell r="AP1809">
            <v>0</v>
          </cell>
        </row>
        <row r="1810">
          <cell r="AJ1810">
            <v>0</v>
          </cell>
          <cell r="AP1810">
            <v>0</v>
          </cell>
        </row>
        <row r="1811">
          <cell r="AJ1811">
            <v>0</v>
          </cell>
          <cell r="AP1811">
            <v>0</v>
          </cell>
        </row>
        <row r="1812">
          <cell r="AJ1812">
            <v>0</v>
          </cell>
          <cell r="AP1812">
            <v>0</v>
          </cell>
        </row>
        <row r="1813">
          <cell r="AJ1813">
            <v>0</v>
          </cell>
          <cell r="AP1813">
            <v>0</v>
          </cell>
        </row>
        <row r="1814">
          <cell r="AJ1814">
            <v>0</v>
          </cell>
          <cell r="AP1814">
            <v>0</v>
          </cell>
        </row>
        <row r="1815">
          <cell r="AJ1815">
            <v>0</v>
          </cell>
          <cell r="AP1815">
            <v>0</v>
          </cell>
        </row>
        <row r="1816">
          <cell r="AJ1816">
            <v>0</v>
          </cell>
          <cell r="AP1816">
            <v>0</v>
          </cell>
        </row>
        <row r="1817">
          <cell r="AJ1817">
            <v>0</v>
          </cell>
          <cell r="AP1817">
            <v>0</v>
          </cell>
        </row>
        <row r="1818">
          <cell r="AJ1818">
            <v>0</v>
          </cell>
          <cell r="AP1818">
            <v>0</v>
          </cell>
        </row>
        <row r="1819">
          <cell r="AJ1819">
            <v>0</v>
          </cell>
          <cell r="AP1819">
            <v>0</v>
          </cell>
        </row>
        <row r="1820">
          <cell r="AJ1820">
            <v>0</v>
          </cell>
          <cell r="AP1820">
            <v>0</v>
          </cell>
        </row>
        <row r="1821">
          <cell r="AJ1821">
            <v>0</v>
          </cell>
          <cell r="AP1821">
            <v>0</v>
          </cell>
        </row>
        <row r="1822">
          <cell r="AJ1822">
            <v>0</v>
          </cell>
          <cell r="AP1822">
            <v>0</v>
          </cell>
        </row>
        <row r="1823">
          <cell r="AJ1823">
            <v>0</v>
          </cell>
          <cell r="AP1823">
            <v>0</v>
          </cell>
        </row>
        <row r="1824">
          <cell r="AJ1824">
            <v>0</v>
          </cell>
          <cell r="AP1824">
            <v>0</v>
          </cell>
        </row>
        <row r="1825">
          <cell r="AJ1825">
            <v>0</v>
          </cell>
          <cell r="AP1825">
            <v>0</v>
          </cell>
        </row>
        <row r="1826">
          <cell r="AJ1826">
            <v>0</v>
          </cell>
          <cell r="AP1826">
            <v>0</v>
          </cell>
        </row>
        <row r="1827">
          <cell r="AJ1827">
            <v>0</v>
          </cell>
          <cell r="AP1827">
            <v>0</v>
          </cell>
        </row>
        <row r="1828">
          <cell r="AJ1828">
            <v>0</v>
          </cell>
          <cell r="AP1828">
            <v>0</v>
          </cell>
        </row>
        <row r="1829">
          <cell r="AJ1829">
            <v>0</v>
          </cell>
          <cell r="AP1829">
            <v>0</v>
          </cell>
        </row>
        <row r="1830">
          <cell r="AJ1830">
            <v>0</v>
          </cell>
          <cell r="AP1830">
            <v>0</v>
          </cell>
        </row>
        <row r="1831">
          <cell r="AJ1831">
            <v>0</v>
          </cell>
          <cell r="AP1831">
            <v>0</v>
          </cell>
        </row>
        <row r="1832">
          <cell r="AJ1832">
            <v>0</v>
          </cell>
          <cell r="AP1832">
            <v>0</v>
          </cell>
        </row>
        <row r="1833">
          <cell r="AJ1833">
            <v>0</v>
          </cell>
          <cell r="AP1833">
            <v>0</v>
          </cell>
        </row>
        <row r="1834">
          <cell r="AJ1834">
            <v>0</v>
          </cell>
          <cell r="AP1834">
            <v>0</v>
          </cell>
        </row>
        <row r="1835">
          <cell r="AJ1835">
            <v>0</v>
          </cell>
          <cell r="AP1835">
            <v>0</v>
          </cell>
        </row>
        <row r="1836">
          <cell r="AJ1836">
            <v>0</v>
          </cell>
          <cell r="AP1836">
            <v>0</v>
          </cell>
        </row>
        <row r="1837">
          <cell r="AJ1837">
            <v>0</v>
          </cell>
          <cell r="AP1837">
            <v>0</v>
          </cell>
        </row>
        <row r="1838">
          <cell r="AJ1838">
            <v>0</v>
          </cell>
          <cell r="AP1838">
            <v>0</v>
          </cell>
        </row>
        <row r="1839">
          <cell r="AJ1839">
            <v>0</v>
          </cell>
          <cell r="AP1839">
            <v>0</v>
          </cell>
        </row>
        <row r="1840">
          <cell r="AJ1840">
            <v>0</v>
          </cell>
          <cell r="AP1840">
            <v>0</v>
          </cell>
        </row>
        <row r="1841">
          <cell r="AJ1841">
            <v>0</v>
          </cell>
          <cell r="AP1841">
            <v>0</v>
          </cell>
        </row>
        <row r="1842">
          <cell r="AJ1842">
            <v>0</v>
          </cell>
          <cell r="AP1842">
            <v>0</v>
          </cell>
        </row>
        <row r="1843">
          <cell r="AJ1843">
            <v>0</v>
          </cell>
          <cell r="AP1843">
            <v>0</v>
          </cell>
        </row>
        <row r="1844">
          <cell r="AJ1844">
            <v>0</v>
          </cell>
          <cell r="AP1844">
            <v>0</v>
          </cell>
        </row>
        <row r="1845">
          <cell r="AJ1845">
            <v>0</v>
          </cell>
          <cell r="AP1845">
            <v>0</v>
          </cell>
        </row>
        <row r="1846">
          <cell r="AJ1846">
            <v>0</v>
          </cell>
          <cell r="AP1846">
            <v>0</v>
          </cell>
        </row>
        <row r="1847">
          <cell r="AJ1847">
            <v>0</v>
          </cell>
          <cell r="AP1847">
            <v>0</v>
          </cell>
        </row>
        <row r="1848">
          <cell r="AJ1848">
            <v>0</v>
          </cell>
          <cell r="AP1848">
            <v>0</v>
          </cell>
        </row>
        <row r="1849">
          <cell r="AJ1849">
            <v>0</v>
          </cell>
          <cell r="AP1849">
            <v>0</v>
          </cell>
        </row>
        <row r="1850">
          <cell r="AJ1850">
            <v>0</v>
          </cell>
          <cell r="AP1850">
            <v>0</v>
          </cell>
        </row>
        <row r="1851">
          <cell r="AJ1851">
            <v>0</v>
          </cell>
          <cell r="AP1851">
            <v>0</v>
          </cell>
        </row>
        <row r="1852">
          <cell r="AJ1852">
            <v>0</v>
          </cell>
          <cell r="AP1852">
            <v>0</v>
          </cell>
        </row>
        <row r="1853">
          <cell r="AJ1853">
            <v>0</v>
          </cell>
          <cell r="AP1853">
            <v>0</v>
          </cell>
        </row>
        <row r="1854">
          <cell r="AJ1854">
            <v>0</v>
          </cell>
          <cell r="AP1854">
            <v>0</v>
          </cell>
        </row>
        <row r="1855">
          <cell r="AJ1855">
            <v>0</v>
          </cell>
          <cell r="AP1855">
            <v>0</v>
          </cell>
        </row>
        <row r="1856">
          <cell r="AJ1856">
            <v>0</v>
          </cell>
          <cell r="AP1856">
            <v>0</v>
          </cell>
        </row>
        <row r="1857">
          <cell r="AJ1857">
            <v>0</v>
          </cell>
          <cell r="AP1857">
            <v>0</v>
          </cell>
        </row>
        <row r="1858">
          <cell r="AJ1858">
            <v>0</v>
          </cell>
          <cell r="AP1858">
            <v>0</v>
          </cell>
        </row>
        <row r="1859">
          <cell r="AJ1859">
            <v>0</v>
          </cell>
          <cell r="AP1859">
            <v>0</v>
          </cell>
        </row>
        <row r="1860">
          <cell r="AJ1860">
            <v>0</v>
          </cell>
          <cell r="AP1860">
            <v>0</v>
          </cell>
        </row>
        <row r="1861">
          <cell r="AJ1861">
            <v>0</v>
          </cell>
          <cell r="AP1861">
            <v>0</v>
          </cell>
        </row>
        <row r="1862">
          <cell r="AJ1862">
            <v>0</v>
          </cell>
          <cell r="AP1862">
            <v>0</v>
          </cell>
        </row>
        <row r="1863">
          <cell r="AJ1863">
            <v>0</v>
          </cell>
          <cell r="AP1863">
            <v>0</v>
          </cell>
        </row>
        <row r="1864">
          <cell r="AJ1864">
            <v>0</v>
          </cell>
          <cell r="AP1864">
            <v>0</v>
          </cell>
        </row>
        <row r="1865">
          <cell r="AJ1865">
            <v>0</v>
          </cell>
          <cell r="AP1865">
            <v>0</v>
          </cell>
        </row>
        <row r="1866">
          <cell r="AJ1866">
            <v>0</v>
          </cell>
          <cell r="AP1866">
            <v>0</v>
          </cell>
        </row>
        <row r="1867">
          <cell r="AJ1867">
            <v>0</v>
          </cell>
          <cell r="AP1867">
            <v>0</v>
          </cell>
        </row>
        <row r="1868">
          <cell r="AJ1868">
            <v>0</v>
          </cell>
          <cell r="AP1868">
            <v>0</v>
          </cell>
        </row>
        <row r="1869">
          <cell r="AJ1869">
            <v>0</v>
          </cell>
          <cell r="AP1869">
            <v>0</v>
          </cell>
        </row>
        <row r="1870">
          <cell r="AJ1870">
            <v>0</v>
          </cell>
          <cell r="AP1870">
            <v>0</v>
          </cell>
        </row>
        <row r="1871">
          <cell r="AJ1871">
            <v>0</v>
          </cell>
          <cell r="AP1871">
            <v>0</v>
          </cell>
        </row>
        <row r="1872">
          <cell r="AJ1872">
            <v>0</v>
          </cell>
          <cell r="AP1872">
            <v>0</v>
          </cell>
        </row>
        <row r="1873">
          <cell r="AJ1873">
            <v>0</v>
          </cell>
          <cell r="AP1873">
            <v>0</v>
          </cell>
        </row>
        <row r="1874">
          <cell r="AJ1874">
            <v>0</v>
          </cell>
          <cell r="AP1874">
            <v>0</v>
          </cell>
        </row>
        <row r="1875">
          <cell r="AJ1875">
            <v>0</v>
          </cell>
          <cell r="AP1875">
            <v>0</v>
          </cell>
        </row>
        <row r="1876">
          <cell r="AJ1876">
            <v>0</v>
          </cell>
          <cell r="AP1876">
            <v>0</v>
          </cell>
        </row>
        <row r="1877">
          <cell r="AJ1877">
            <v>0</v>
          </cell>
          <cell r="AP1877">
            <v>0</v>
          </cell>
        </row>
        <row r="1878">
          <cell r="AJ1878">
            <v>0</v>
          </cell>
          <cell r="AP1878">
            <v>0</v>
          </cell>
        </row>
        <row r="1879">
          <cell r="AJ1879">
            <v>0</v>
          </cell>
          <cell r="AP1879">
            <v>0</v>
          </cell>
        </row>
        <row r="1880">
          <cell r="AJ1880">
            <v>0</v>
          </cell>
          <cell r="AP1880">
            <v>0</v>
          </cell>
        </row>
        <row r="1881">
          <cell r="AJ1881">
            <v>0</v>
          </cell>
          <cell r="AP1881">
            <v>0</v>
          </cell>
        </row>
        <row r="1882">
          <cell r="AJ1882">
            <v>0</v>
          </cell>
          <cell r="AP1882">
            <v>0</v>
          </cell>
        </row>
        <row r="1883">
          <cell r="AJ1883">
            <v>0</v>
          </cell>
          <cell r="AP1883">
            <v>0</v>
          </cell>
        </row>
        <row r="1884">
          <cell r="AJ1884">
            <v>0</v>
          </cell>
          <cell r="AP1884">
            <v>0</v>
          </cell>
        </row>
        <row r="1885">
          <cell r="AJ1885">
            <v>0</v>
          </cell>
          <cell r="AP1885">
            <v>0</v>
          </cell>
        </row>
        <row r="1886">
          <cell r="AJ1886">
            <v>0</v>
          </cell>
          <cell r="AP1886">
            <v>0</v>
          </cell>
        </row>
        <row r="1887">
          <cell r="AJ1887">
            <v>0</v>
          </cell>
          <cell r="AP1887">
            <v>0</v>
          </cell>
        </row>
        <row r="1888">
          <cell r="AJ1888">
            <v>0</v>
          </cell>
          <cell r="AP1888">
            <v>0</v>
          </cell>
        </row>
        <row r="1889">
          <cell r="AJ1889">
            <v>0</v>
          </cell>
          <cell r="AP1889">
            <v>0</v>
          </cell>
        </row>
        <row r="1890">
          <cell r="AJ1890">
            <v>0</v>
          </cell>
          <cell r="AP1890">
            <v>0</v>
          </cell>
        </row>
        <row r="1891">
          <cell r="AJ1891">
            <v>0</v>
          </cell>
          <cell r="AP1891">
            <v>0</v>
          </cell>
        </row>
        <row r="1892">
          <cell r="AJ1892">
            <v>0</v>
          </cell>
          <cell r="AP1892">
            <v>0</v>
          </cell>
        </row>
        <row r="1893">
          <cell r="AJ1893">
            <v>0</v>
          </cell>
          <cell r="AP1893">
            <v>0</v>
          </cell>
        </row>
        <row r="1894">
          <cell r="AJ1894">
            <v>0</v>
          </cell>
          <cell r="AP1894">
            <v>0</v>
          </cell>
        </row>
        <row r="1895">
          <cell r="AJ1895">
            <v>0</v>
          </cell>
          <cell r="AP1895">
            <v>0</v>
          </cell>
        </row>
        <row r="1896">
          <cell r="AJ1896">
            <v>0</v>
          </cell>
          <cell r="AP1896">
            <v>0</v>
          </cell>
        </row>
        <row r="1897">
          <cell r="AJ1897">
            <v>0</v>
          </cell>
          <cell r="AP1897">
            <v>0</v>
          </cell>
        </row>
        <row r="1898">
          <cell r="AJ1898">
            <v>0</v>
          </cell>
          <cell r="AP1898">
            <v>0</v>
          </cell>
        </row>
        <row r="1899">
          <cell r="AJ1899">
            <v>0</v>
          </cell>
          <cell r="AP1899">
            <v>0</v>
          </cell>
        </row>
        <row r="1900">
          <cell r="AJ1900">
            <v>0</v>
          </cell>
          <cell r="AP1900">
            <v>0</v>
          </cell>
        </row>
        <row r="1901">
          <cell r="AJ1901">
            <v>0</v>
          </cell>
          <cell r="AP1901">
            <v>0</v>
          </cell>
        </row>
        <row r="1902">
          <cell r="AJ1902">
            <v>0</v>
          </cell>
          <cell r="AP1902">
            <v>0</v>
          </cell>
        </row>
        <row r="1903">
          <cell r="AJ1903">
            <v>0</v>
          </cell>
          <cell r="AP1903">
            <v>0</v>
          </cell>
        </row>
        <row r="1904">
          <cell r="AJ1904">
            <v>0</v>
          </cell>
          <cell r="AP1904">
            <v>0</v>
          </cell>
        </row>
        <row r="1905">
          <cell r="AJ1905">
            <v>0</v>
          </cell>
          <cell r="AP1905">
            <v>0</v>
          </cell>
        </row>
        <row r="1906">
          <cell r="AJ1906">
            <v>0</v>
          </cell>
          <cell r="AP1906">
            <v>0</v>
          </cell>
        </row>
        <row r="1907">
          <cell r="AJ1907">
            <v>0</v>
          </cell>
          <cell r="AP1907">
            <v>0</v>
          </cell>
        </row>
        <row r="1908">
          <cell r="AJ1908">
            <v>0</v>
          </cell>
          <cell r="AP1908">
            <v>0</v>
          </cell>
        </row>
        <row r="1909">
          <cell r="AJ1909">
            <v>0</v>
          </cell>
          <cell r="AP1909">
            <v>0</v>
          </cell>
        </row>
        <row r="1910">
          <cell r="AJ1910">
            <v>0</v>
          </cell>
          <cell r="AP1910">
            <v>0</v>
          </cell>
        </row>
        <row r="1911">
          <cell r="AJ1911">
            <v>0</v>
          </cell>
          <cell r="AP1911">
            <v>0</v>
          </cell>
        </row>
        <row r="1912">
          <cell r="AJ1912">
            <v>0</v>
          </cell>
          <cell r="AP1912">
            <v>0</v>
          </cell>
        </row>
        <row r="1913">
          <cell r="AJ1913">
            <v>0</v>
          </cell>
          <cell r="AP1913">
            <v>0</v>
          </cell>
        </row>
        <row r="1914">
          <cell r="AJ1914">
            <v>0</v>
          </cell>
          <cell r="AP1914">
            <v>0</v>
          </cell>
        </row>
        <row r="1915">
          <cell r="AJ1915">
            <v>0</v>
          </cell>
          <cell r="AP1915">
            <v>0</v>
          </cell>
        </row>
        <row r="1916">
          <cell r="AJ1916">
            <v>0</v>
          </cell>
          <cell r="AP1916">
            <v>0</v>
          </cell>
        </row>
        <row r="1917">
          <cell r="AJ1917">
            <v>0</v>
          </cell>
          <cell r="AP1917">
            <v>0</v>
          </cell>
        </row>
        <row r="1918">
          <cell r="AJ1918">
            <v>0</v>
          </cell>
          <cell r="AP1918">
            <v>0</v>
          </cell>
        </row>
        <row r="1919">
          <cell r="AJ1919">
            <v>0</v>
          </cell>
          <cell r="AP1919">
            <v>0</v>
          </cell>
        </row>
        <row r="1920">
          <cell r="AJ1920">
            <v>0</v>
          </cell>
          <cell r="AP1920">
            <v>0</v>
          </cell>
        </row>
        <row r="1921">
          <cell r="AJ1921">
            <v>0</v>
          </cell>
          <cell r="AP1921">
            <v>0</v>
          </cell>
        </row>
        <row r="1922">
          <cell r="AJ1922">
            <v>0</v>
          </cell>
          <cell r="AP1922">
            <v>0</v>
          </cell>
        </row>
        <row r="1923">
          <cell r="AJ1923">
            <v>0</v>
          </cell>
          <cell r="AP1923">
            <v>0</v>
          </cell>
        </row>
        <row r="1924">
          <cell r="AJ1924">
            <v>0</v>
          </cell>
          <cell r="AP1924">
            <v>0</v>
          </cell>
        </row>
        <row r="1925">
          <cell r="AJ1925">
            <v>0</v>
          </cell>
          <cell r="AP1925">
            <v>0</v>
          </cell>
        </row>
        <row r="1926">
          <cell r="AJ1926">
            <v>0</v>
          </cell>
          <cell r="AP1926">
            <v>0</v>
          </cell>
        </row>
        <row r="1927">
          <cell r="AJ1927">
            <v>0</v>
          </cell>
          <cell r="AP1927">
            <v>0</v>
          </cell>
        </row>
        <row r="1928">
          <cell r="AJ1928">
            <v>0</v>
          </cell>
          <cell r="AP1928">
            <v>0</v>
          </cell>
        </row>
        <row r="1929">
          <cell r="AJ1929">
            <v>0</v>
          </cell>
          <cell r="AP1929">
            <v>0</v>
          </cell>
        </row>
        <row r="1930">
          <cell r="AJ1930">
            <v>0</v>
          </cell>
          <cell r="AP1930">
            <v>0</v>
          </cell>
        </row>
        <row r="1931">
          <cell r="AJ1931">
            <v>0</v>
          </cell>
          <cell r="AP1931">
            <v>0</v>
          </cell>
        </row>
        <row r="1932">
          <cell r="AJ1932">
            <v>0</v>
          </cell>
          <cell r="AP1932">
            <v>0</v>
          </cell>
        </row>
        <row r="1933">
          <cell r="AJ1933">
            <v>0</v>
          </cell>
          <cell r="AP1933">
            <v>0</v>
          </cell>
        </row>
        <row r="1934">
          <cell r="AJ1934">
            <v>0</v>
          </cell>
          <cell r="AP1934">
            <v>0</v>
          </cell>
        </row>
        <row r="1935">
          <cell r="AJ1935">
            <v>0</v>
          </cell>
          <cell r="AP1935">
            <v>0</v>
          </cell>
        </row>
        <row r="1936">
          <cell r="AJ1936">
            <v>0</v>
          </cell>
          <cell r="AP1936">
            <v>0</v>
          </cell>
        </row>
        <row r="1937">
          <cell r="AJ1937">
            <v>0</v>
          </cell>
          <cell r="AP1937">
            <v>0</v>
          </cell>
        </row>
        <row r="1938">
          <cell r="AJ1938">
            <v>0</v>
          </cell>
          <cell r="AP1938">
            <v>0</v>
          </cell>
        </row>
        <row r="1939">
          <cell r="AJ1939">
            <v>0</v>
          </cell>
          <cell r="AP1939">
            <v>0</v>
          </cell>
        </row>
        <row r="1940">
          <cell r="AJ1940">
            <v>0</v>
          </cell>
          <cell r="AP1940">
            <v>0</v>
          </cell>
        </row>
        <row r="1941">
          <cell r="AJ1941">
            <v>0</v>
          </cell>
          <cell r="AP1941">
            <v>0</v>
          </cell>
        </row>
        <row r="1942">
          <cell r="AJ1942">
            <v>0</v>
          </cell>
          <cell r="AP1942">
            <v>0</v>
          </cell>
        </row>
        <row r="1943">
          <cell r="AJ1943">
            <v>0</v>
          </cell>
          <cell r="AP1943">
            <v>0</v>
          </cell>
        </row>
        <row r="1944">
          <cell r="AJ1944">
            <v>0</v>
          </cell>
          <cell r="AP1944">
            <v>0</v>
          </cell>
        </row>
        <row r="1945">
          <cell r="AJ1945">
            <v>0</v>
          </cell>
          <cell r="AP1945">
            <v>0</v>
          </cell>
        </row>
        <row r="1946">
          <cell r="AJ1946">
            <v>0</v>
          </cell>
          <cell r="AP1946">
            <v>0</v>
          </cell>
        </row>
        <row r="1947">
          <cell r="AJ1947">
            <v>0</v>
          </cell>
          <cell r="AP1947">
            <v>0</v>
          </cell>
        </row>
        <row r="1948">
          <cell r="AJ1948">
            <v>0</v>
          </cell>
          <cell r="AP1948">
            <v>0</v>
          </cell>
        </row>
        <row r="1949">
          <cell r="AJ1949">
            <v>0</v>
          </cell>
          <cell r="AP1949">
            <v>0</v>
          </cell>
        </row>
        <row r="1950">
          <cell r="AJ1950">
            <v>0</v>
          </cell>
          <cell r="AP1950">
            <v>0</v>
          </cell>
        </row>
        <row r="1951">
          <cell r="AJ1951">
            <v>0</v>
          </cell>
          <cell r="AP1951">
            <v>0</v>
          </cell>
        </row>
        <row r="1952">
          <cell r="AJ1952">
            <v>0</v>
          </cell>
          <cell r="AP1952">
            <v>0</v>
          </cell>
        </row>
        <row r="1953">
          <cell r="AJ1953">
            <v>0</v>
          </cell>
          <cell r="AP1953">
            <v>0</v>
          </cell>
        </row>
        <row r="1954">
          <cell r="AJ1954">
            <v>0</v>
          </cell>
          <cell r="AP1954">
            <v>0</v>
          </cell>
        </row>
        <row r="1955">
          <cell r="AJ1955">
            <v>0</v>
          </cell>
          <cell r="AP1955">
            <v>0</v>
          </cell>
        </row>
        <row r="1956">
          <cell r="AJ1956">
            <v>0</v>
          </cell>
          <cell r="AP1956">
            <v>0</v>
          </cell>
        </row>
        <row r="1957">
          <cell r="AJ1957">
            <v>0</v>
          </cell>
          <cell r="AP1957">
            <v>0</v>
          </cell>
        </row>
        <row r="1958">
          <cell r="AJ1958">
            <v>0</v>
          </cell>
          <cell r="AP1958">
            <v>0</v>
          </cell>
        </row>
        <row r="1959">
          <cell r="AJ1959">
            <v>0</v>
          </cell>
          <cell r="AP1959">
            <v>0</v>
          </cell>
        </row>
        <row r="1960">
          <cell r="AJ1960">
            <v>0</v>
          </cell>
          <cell r="AP1960">
            <v>0</v>
          </cell>
        </row>
        <row r="1961">
          <cell r="AJ1961">
            <v>0</v>
          </cell>
          <cell r="AP1961">
            <v>0</v>
          </cell>
        </row>
        <row r="1962">
          <cell r="AJ1962">
            <v>0</v>
          </cell>
          <cell r="AP1962">
            <v>0</v>
          </cell>
        </row>
        <row r="1963">
          <cell r="AJ1963">
            <v>0</v>
          </cell>
          <cell r="AP1963">
            <v>0</v>
          </cell>
        </row>
        <row r="1964">
          <cell r="AJ1964">
            <v>0</v>
          </cell>
          <cell r="AP1964">
            <v>0</v>
          </cell>
        </row>
        <row r="1965">
          <cell r="AJ1965">
            <v>0</v>
          </cell>
          <cell r="AP1965">
            <v>0</v>
          </cell>
        </row>
        <row r="1966">
          <cell r="AJ1966">
            <v>0</v>
          </cell>
          <cell r="AP1966">
            <v>0</v>
          </cell>
        </row>
        <row r="1967">
          <cell r="AJ1967">
            <v>0</v>
          </cell>
          <cell r="AP1967">
            <v>0</v>
          </cell>
        </row>
        <row r="1968">
          <cell r="AJ1968">
            <v>0</v>
          </cell>
          <cell r="AP1968">
            <v>0</v>
          </cell>
        </row>
        <row r="1969">
          <cell r="AJ1969">
            <v>0</v>
          </cell>
          <cell r="AP1969">
            <v>0</v>
          </cell>
        </row>
        <row r="1970">
          <cell r="AJ1970">
            <v>0</v>
          </cell>
          <cell r="AP1970">
            <v>0</v>
          </cell>
        </row>
        <row r="1971">
          <cell r="AJ1971">
            <v>0</v>
          </cell>
          <cell r="AP1971">
            <v>0</v>
          </cell>
        </row>
        <row r="1972">
          <cell r="AJ1972">
            <v>0</v>
          </cell>
          <cell r="AP1972">
            <v>0</v>
          </cell>
        </row>
        <row r="1973">
          <cell r="AJ1973">
            <v>0</v>
          </cell>
          <cell r="AP1973">
            <v>0</v>
          </cell>
        </row>
        <row r="1974">
          <cell r="AJ1974">
            <v>0</v>
          </cell>
          <cell r="AP1974">
            <v>0</v>
          </cell>
        </row>
        <row r="1975">
          <cell r="AJ1975">
            <v>0</v>
          </cell>
          <cell r="AP1975">
            <v>0</v>
          </cell>
        </row>
        <row r="1976">
          <cell r="AJ1976">
            <v>0</v>
          </cell>
          <cell r="AP1976">
            <v>0</v>
          </cell>
        </row>
        <row r="1977">
          <cell r="AJ1977">
            <v>0</v>
          </cell>
          <cell r="AP1977">
            <v>0</v>
          </cell>
        </row>
        <row r="1978">
          <cell r="AJ1978">
            <v>0</v>
          </cell>
          <cell r="AP1978">
            <v>0</v>
          </cell>
        </row>
        <row r="1979">
          <cell r="AJ1979">
            <v>0</v>
          </cell>
          <cell r="AP1979">
            <v>0</v>
          </cell>
        </row>
        <row r="1980">
          <cell r="AJ1980">
            <v>0</v>
          </cell>
          <cell r="AP1980">
            <v>0</v>
          </cell>
        </row>
        <row r="1981">
          <cell r="AJ1981">
            <v>0</v>
          </cell>
          <cell r="AP1981">
            <v>0</v>
          </cell>
        </row>
        <row r="1982">
          <cell r="AJ1982">
            <v>0</v>
          </cell>
          <cell r="AP1982">
            <v>0</v>
          </cell>
        </row>
        <row r="1983">
          <cell r="AJ1983">
            <v>0</v>
          </cell>
          <cell r="AP1983">
            <v>0</v>
          </cell>
        </row>
        <row r="1984">
          <cell r="AJ1984">
            <v>0</v>
          </cell>
          <cell r="AP1984">
            <v>0</v>
          </cell>
        </row>
        <row r="1985">
          <cell r="AJ1985">
            <v>0</v>
          </cell>
          <cell r="AP1985">
            <v>0</v>
          </cell>
        </row>
        <row r="1986">
          <cell r="AJ1986">
            <v>0</v>
          </cell>
          <cell r="AP1986">
            <v>0</v>
          </cell>
        </row>
        <row r="1987">
          <cell r="AJ1987">
            <v>0</v>
          </cell>
          <cell r="AP1987">
            <v>0</v>
          </cell>
        </row>
        <row r="1988">
          <cell r="AJ1988">
            <v>0</v>
          </cell>
          <cell r="AP1988">
            <v>0</v>
          </cell>
        </row>
        <row r="1989">
          <cell r="AJ1989">
            <v>0</v>
          </cell>
          <cell r="AP1989">
            <v>0</v>
          </cell>
        </row>
        <row r="1990">
          <cell r="AJ1990">
            <v>0</v>
          </cell>
          <cell r="AP1990">
            <v>0</v>
          </cell>
        </row>
        <row r="1991">
          <cell r="AJ1991">
            <v>0</v>
          </cell>
          <cell r="AP1991">
            <v>0</v>
          </cell>
        </row>
        <row r="1992">
          <cell r="AJ1992">
            <v>0</v>
          </cell>
          <cell r="AP1992">
            <v>0</v>
          </cell>
        </row>
        <row r="1993">
          <cell r="AJ1993">
            <v>0</v>
          </cell>
          <cell r="AP1993">
            <v>0</v>
          </cell>
        </row>
        <row r="1994">
          <cell r="AJ1994">
            <v>0</v>
          </cell>
          <cell r="AP1994">
            <v>0</v>
          </cell>
        </row>
        <row r="1995">
          <cell r="AJ1995">
            <v>0</v>
          </cell>
          <cell r="AP1995">
            <v>0</v>
          </cell>
        </row>
        <row r="1996">
          <cell r="AJ1996">
            <v>0</v>
          </cell>
          <cell r="AP1996">
            <v>0</v>
          </cell>
        </row>
        <row r="1997">
          <cell r="AJ1997">
            <v>0</v>
          </cell>
          <cell r="AP1997">
            <v>0</v>
          </cell>
        </row>
        <row r="1998">
          <cell r="AJ1998">
            <v>0</v>
          </cell>
          <cell r="AP1998">
            <v>0</v>
          </cell>
        </row>
        <row r="1999">
          <cell r="AJ1999">
            <v>0</v>
          </cell>
          <cell r="AP1999">
            <v>0</v>
          </cell>
        </row>
        <row r="2000">
          <cell r="AJ2000">
            <v>0</v>
          </cell>
          <cell r="AP2000">
            <v>0</v>
          </cell>
        </row>
        <row r="2001">
          <cell r="AJ2001">
            <v>0</v>
          </cell>
          <cell r="AP2001">
            <v>0</v>
          </cell>
        </row>
        <row r="2002">
          <cell r="AJ2002">
            <v>0</v>
          </cell>
          <cell r="AP2002">
            <v>0</v>
          </cell>
        </row>
        <row r="2003">
          <cell r="AJ2003">
            <v>0</v>
          </cell>
          <cell r="AP2003">
            <v>0</v>
          </cell>
        </row>
        <row r="2004">
          <cell r="AJ2004">
            <v>0</v>
          </cell>
          <cell r="AP2004">
            <v>0</v>
          </cell>
        </row>
        <row r="2005">
          <cell r="AJ2005">
            <v>0</v>
          </cell>
          <cell r="AP2005">
            <v>0</v>
          </cell>
        </row>
        <row r="2006">
          <cell r="AJ2006">
            <v>0</v>
          </cell>
          <cell r="AP2006">
            <v>0</v>
          </cell>
        </row>
        <row r="2007">
          <cell r="AJ2007">
            <v>0</v>
          </cell>
          <cell r="AP2007">
            <v>0</v>
          </cell>
        </row>
        <row r="2008">
          <cell r="AJ2008">
            <v>0</v>
          </cell>
          <cell r="AP2008">
            <v>0</v>
          </cell>
        </row>
        <row r="2009">
          <cell r="AJ2009">
            <v>0</v>
          </cell>
          <cell r="AP2009">
            <v>0</v>
          </cell>
        </row>
        <row r="2010">
          <cell r="AJ2010">
            <v>0</v>
          </cell>
          <cell r="AP2010">
            <v>0</v>
          </cell>
        </row>
        <row r="2011">
          <cell r="AJ2011">
            <v>0</v>
          </cell>
          <cell r="AP2011">
            <v>0</v>
          </cell>
        </row>
        <row r="2012">
          <cell r="AJ2012">
            <v>0</v>
          </cell>
          <cell r="AP2012">
            <v>0</v>
          </cell>
        </row>
        <row r="2013">
          <cell r="AJ2013">
            <v>0</v>
          </cell>
          <cell r="AP2013">
            <v>0</v>
          </cell>
        </row>
        <row r="2014">
          <cell r="AJ2014">
            <v>0</v>
          </cell>
          <cell r="AP2014">
            <v>0</v>
          </cell>
        </row>
        <row r="2015">
          <cell r="AJ2015">
            <v>0</v>
          </cell>
          <cell r="AP2015">
            <v>0</v>
          </cell>
        </row>
        <row r="2016">
          <cell r="AJ2016">
            <v>0</v>
          </cell>
          <cell r="AP2016">
            <v>0</v>
          </cell>
        </row>
        <row r="2017">
          <cell r="AJ2017">
            <v>0</v>
          </cell>
          <cell r="AP2017">
            <v>0</v>
          </cell>
        </row>
        <row r="2018">
          <cell r="AJ2018">
            <v>0</v>
          </cell>
          <cell r="AP2018">
            <v>0</v>
          </cell>
        </row>
        <row r="2019">
          <cell r="AJ2019">
            <v>0</v>
          </cell>
          <cell r="AP2019">
            <v>0</v>
          </cell>
        </row>
        <row r="2020">
          <cell r="AJ2020">
            <v>0</v>
          </cell>
          <cell r="AP2020">
            <v>0</v>
          </cell>
        </row>
        <row r="2021">
          <cell r="AJ2021">
            <v>0</v>
          </cell>
          <cell r="AP2021">
            <v>0</v>
          </cell>
        </row>
        <row r="2022">
          <cell r="AJ2022">
            <v>0</v>
          </cell>
          <cell r="AP2022">
            <v>0</v>
          </cell>
        </row>
        <row r="2023">
          <cell r="AJ2023">
            <v>0</v>
          </cell>
          <cell r="AP2023">
            <v>0</v>
          </cell>
        </row>
        <row r="2024">
          <cell r="AJ2024">
            <v>0</v>
          </cell>
          <cell r="AP2024">
            <v>0</v>
          </cell>
        </row>
        <row r="2025">
          <cell r="AJ2025">
            <v>0</v>
          </cell>
          <cell r="AP2025">
            <v>0</v>
          </cell>
        </row>
        <row r="2026">
          <cell r="AJ2026">
            <v>0</v>
          </cell>
          <cell r="AP2026">
            <v>0</v>
          </cell>
        </row>
        <row r="2027">
          <cell r="AJ2027">
            <v>0</v>
          </cell>
          <cell r="AP2027">
            <v>0</v>
          </cell>
        </row>
        <row r="2028">
          <cell r="AJ2028">
            <v>0</v>
          </cell>
          <cell r="AP2028">
            <v>0</v>
          </cell>
        </row>
        <row r="2029">
          <cell r="AJ2029">
            <v>0</v>
          </cell>
          <cell r="AP2029">
            <v>0</v>
          </cell>
        </row>
        <row r="2030">
          <cell r="AJ2030">
            <v>0</v>
          </cell>
          <cell r="AP2030">
            <v>0</v>
          </cell>
        </row>
        <row r="2031">
          <cell r="AJ2031">
            <v>0</v>
          </cell>
          <cell r="AP2031">
            <v>0</v>
          </cell>
        </row>
        <row r="2032">
          <cell r="AJ2032">
            <v>0</v>
          </cell>
          <cell r="AP2032">
            <v>0</v>
          </cell>
        </row>
        <row r="2033">
          <cell r="AJ2033">
            <v>0</v>
          </cell>
          <cell r="AP2033">
            <v>0</v>
          </cell>
        </row>
        <row r="2034">
          <cell r="AJ2034">
            <v>0</v>
          </cell>
          <cell r="AP2034">
            <v>0</v>
          </cell>
        </row>
        <row r="2035">
          <cell r="AJ2035">
            <v>0</v>
          </cell>
          <cell r="AP2035">
            <v>0</v>
          </cell>
        </row>
        <row r="2036">
          <cell r="AJ2036">
            <v>0</v>
          </cell>
          <cell r="AP2036">
            <v>0</v>
          </cell>
        </row>
        <row r="2037">
          <cell r="AJ2037">
            <v>0</v>
          </cell>
          <cell r="AP2037">
            <v>0</v>
          </cell>
        </row>
        <row r="2038">
          <cell r="AJ2038">
            <v>0</v>
          </cell>
          <cell r="AP2038">
            <v>0</v>
          </cell>
        </row>
        <row r="2039">
          <cell r="AJ2039">
            <v>0</v>
          </cell>
          <cell r="AP2039">
            <v>0</v>
          </cell>
        </row>
        <row r="2040">
          <cell r="AJ2040">
            <v>0</v>
          </cell>
          <cell r="AP2040">
            <v>0</v>
          </cell>
        </row>
        <row r="2041">
          <cell r="AJ2041">
            <v>0</v>
          </cell>
          <cell r="AP2041">
            <v>0</v>
          </cell>
        </row>
        <row r="2042">
          <cell r="AJ2042">
            <v>0</v>
          </cell>
          <cell r="AP2042">
            <v>0</v>
          </cell>
        </row>
        <row r="2043">
          <cell r="AJ2043">
            <v>0</v>
          </cell>
          <cell r="AP2043">
            <v>0</v>
          </cell>
        </row>
        <row r="2044">
          <cell r="AJ2044">
            <v>0</v>
          </cell>
          <cell r="AP2044">
            <v>0</v>
          </cell>
        </row>
        <row r="2045">
          <cell r="AJ2045">
            <v>0</v>
          </cell>
          <cell r="AP2045">
            <v>0</v>
          </cell>
        </row>
        <row r="2046">
          <cell r="AJ2046">
            <v>0</v>
          </cell>
          <cell r="AP2046">
            <v>0</v>
          </cell>
        </row>
        <row r="2047">
          <cell r="AJ2047">
            <v>0</v>
          </cell>
          <cell r="AP2047">
            <v>0</v>
          </cell>
        </row>
        <row r="2048">
          <cell r="AJ2048">
            <v>0</v>
          </cell>
          <cell r="AP2048">
            <v>0</v>
          </cell>
        </row>
        <row r="2049">
          <cell r="AJ2049">
            <v>0</v>
          </cell>
          <cell r="AP2049">
            <v>0</v>
          </cell>
        </row>
        <row r="2050">
          <cell r="AJ2050">
            <v>0</v>
          </cell>
          <cell r="AP2050">
            <v>0</v>
          </cell>
        </row>
        <row r="2051">
          <cell r="AJ2051">
            <v>0</v>
          </cell>
          <cell r="AP2051">
            <v>0</v>
          </cell>
        </row>
        <row r="2052">
          <cell r="AJ2052">
            <v>0</v>
          </cell>
          <cell r="AP2052">
            <v>0</v>
          </cell>
        </row>
        <row r="2053">
          <cell r="AJ2053">
            <v>0</v>
          </cell>
          <cell r="AP2053">
            <v>0</v>
          </cell>
        </row>
        <row r="2054">
          <cell r="AJ2054">
            <v>0</v>
          </cell>
          <cell r="AP2054">
            <v>0</v>
          </cell>
        </row>
        <row r="2055">
          <cell r="AJ2055">
            <v>0</v>
          </cell>
          <cell r="AP2055">
            <v>0</v>
          </cell>
        </row>
        <row r="2056">
          <cell r="AJ2056">
            <v>0</v>
          </cell>
          <cell r="AP2056">
            <v>0</v>
          </cell>
        </row>
        <row r="2057">
          <cell r="AJ2057">
            <v>0</v>
          </cell>
          <cell r="AP2057">
            <v>0</v>
          </cell>
        </row>
        <row r="2058">
          <cell r="AJ2058">
            <v>0</v>
          </cell>
          <cell r="AP2058">
            <v>0</v>
          </cell>
        </row>
        <row r="2059">
          <cell r="AJ2059">
            <v>0</v>
          </cell>
          <cell r="AP2059">
            <v>0</v>
          </cell>
        </row>
        <row r="2060">
          <cell r="AJ2060">
            <v>0</v>
          </cell>
          <cell r="AP2060">
            <v>0</v>
          </cell>
        </row>
        <row r="2061">
          <cell r="AJ2061">
            <v>0</v>
          </cell>
          <cell r="AP2061">
            <v>0</v>
          </cell>
        </row>
        <row r="2062">
          <cell r="AJ2062">
            <v>0</v>
          </cell>
          <cell r="AP2062">
            <v>0</v>
          </cell>
        </row>
        <row r="2063">
          <cell r="AJ2063">
            <v>0</v>
          </cell>
          <cell r="AP2063">
            <v>0</v>
          </cell>
        </row>
        <row r="2064">
          <cell r="AJ2064">
            <v>0</v>
          </cell>
          <cell r="AP2064">
            <v>0</v>
          </cell>
        </row>
        <row r="2065">
          <cell r="AJ2065">
            <v>0</v>
          </cell>
          <cell r="AP2065">
            <v>0</v>
          </cell>
        </row>
        <row r="2066">
          <cell r="AJ2066">
            <v>0</v>
          </cell>
          <cell r="AP2066">
            <v>0</v>
          </cell>
        </row>
        <row r="2067">
          <cell r="AJ2067">
            <v>0</v>
          </cell>
          <cell r="AP2067">
            <v>0</v>
          </cell>
        </row>
        <row r="2068">
          <cell r="AJ2068">
            <v>0</v>
          </cell>
          <cell r="AP2068">
            <v>0</v>
          </cell>
        </row>
        <row r="2069">
          <cell r="AJ2069">
            <v>0</v>
          </cell>
          <cell r="AP2069">
            <v>0</v>
          </cell>
        </row>
        <row r="2070">
          <cell r="AJ2070">
            <v>0</v>
          </cell>
          <cell r="AP2070">
            <v>0</v>
          </cell>
        </row>
        <row r="2071">
          <cell r="AJ2071">
            <v>0</v>
          </cell>
          <cell r="AP2071">
            <v>0</v>
          </cell>
        </row>
        <row r="2072">
          <cell r="AJ2072">
            <v>0</v>
          </cell>
          <cell r="AP2072">
            <v>0</v>
          </cell>
        </row>
        <row r="2073">
          <cell r="AJ2073">
            <v>0</v>
          </cell>
          <cell r="AP2073">
            <v>0</v>
          </cell>
        </row>
        <row r="2074">
          <cell r="AJ2074">
            <v>0</v>
          </cell>
          <cell r="AP2074">
            <v>0</v>
          </cell>
        </row>
        <row r="2075">
          <cell r="AJ2075">
            <v>0</v>
          </cell>
          <cell r="AP2075">
            <v>0</v>
          </cell>
        </row>
        <row r="2076">
          <cell r="AJ2076">
            <v>0</v>
          </cell>
          <cell r="AP2076">
            <v>0</v>
          </cell>
        </row>
        <row r="2077">
          <cell r="AJ2077">
            <v>0</v>
          </cell>
          <cell r="AP2077">
            <v>0</v>
          </cell>
        </row>
        <row r="2078">
          <cell r="AJ2078">
            <v>0</v>
          </cell>
          <cell r="AP2078">
            <v>0</v>
          </cell>
        </row>
        <row r="2079">
          <cell r="AJ2079">
            <v>0</v>
          </cell>
          <cell r="AP2079">
            <v>0</v>
          </cell>
        </row>
        <row r="2080">
          <cell r="AJ2080">
            <v>0</v>
          </cell>
          <cell r="AP2080">
            <v>0</v>
          </cell>
        </row>
        <row r="2081">
          <cell r="AJ2081">
            <v>0</v>
          </cell>
          <cell r="AP2081">
            <v>0</v>
          </cell>
        </row>
        <row r="2082">
          <cell r="AJ2082">
            <v>0</v>
          </cell>
          <cell r="AP2082">
            <v>0</v>
          </cell>
        </row>
        <row r="2083">
          <cell r="AJ2083">
            <v>0</v>
          </cell>
          <cell r="AP2083">
            <v>0</v>
          </cell>
        </row>
        <row r="2084">
          <cell r="AJ2084">
            <v>0</v>
          </cell>
          <cell r="AP2084">
            <v>0</v>
          </cell>
        </row>
        <row r="2085">
          <cell r="AJ2085">
            <v>0</v>
          </cell>
          <cell r="AP2085">
            <v>0</v>
          </cell>
        </row>
        <row r="2086">
          <cell r="AJ2086">
            <v>0</v>
          </cell>
          <cell r="AP2086">
            <v>0</v>
          </cell>
        </row>
        <row r="2087">
          <cell r="AJ2087">
            <v>0</v>
          </cell>
          <cell r="AP2087">
            <v>0</v>
          </cell>
        </row>
        <row r="2088">
          <cell r="AJ2088">
            <v>0</v>
          </cell>
          <cell r="AP2088">
            <v>0</v>
          </cell>
        </row>
        <row r="2089">
          <cell r="AJ2089">
            <v>0</v>
          </cell>
          <cell r="AP2089">
            <v>0</v>
          </cell>
        </row>
        <row r="2090">
          <cell r="AJ2090">
            <v>0</v>
          </cell>
          <cell r="AP2090">
            <v>0</v>
          </cell>
        </row>
        <row r="2091">
          <cell r="AJ2091">
            <v>0</v>
          </cell>
          <cell r="AP2091">
            <v>0</v>
          </cell>
        </row>
        <row r="2092">
          <cell r="AJ2092">
            <v>0</v>
          </cell>
          <cell r="AP2092">
            <v>0</v>
          </cell>
        </row>
        <row r="2093">
          <cell r="AJ2093">
            <v>0</v>
          </cell>
          <cell r="AP2093">
            <v>0</v>
          </cell>
        </row>
        <row r="2094">
          <cell r="AJ2094">
            <v>0</v>
          </cell>
          <cell r="AP2094">
            <v>0</v>
          </cell>
        </row>
        <row r="2095">
          <cell r="AJ2095">
            <v>0</v>
          </cell>
          <cell r="AP2095">
            <v>0</v>
          </cell>
        </row>
        <row r="2096">
          <cell r="AJ2096">
            <v>0</v>
          </cell>
          <cell r="AP2096">
            <v>0</v>
          </cell>
        </row>
        <row r="2097">
          <cell r="AJ2097">
            <v>0</v>
          </cell>
          <cell r="AP2097">
            <v>0</v>
          </cell>
        </row>
        <row r="2098">
          <cell r="AJ2098">
            <v>0</v>
          </cell>
          <cell r="AP2098">
            <v>0</v>
          </cell>
        </row>
        <row r="2099">
          <cell r="AJ2099">
            <v>0</v>
          </cell>
          <cell r="AP2099">
            <v>0</v>
          </cell>
        </row>
        <row r="2100">
          <cell r="AJ2100">
            <v>0</v>
          </cell>
          <cell r="AP2100">
            <v>0</v>
          </cell>
        </row>
        <row r="2101">
          <cell r="AJ2101">
            <v>0</v>
          </cell>
          <cell r="AP2101">
            <v>0</v>
          </cell>
        </row>
        <row r="2102">
          <cell r="AJ2102">
            <v>0</v>
          </cell>
          <cell r="AP2102">
            <v>0</v>
          </cell>
        </row>
        <row r="2103">
          <cell r="AJ2103">
            <v>0</v>
          </cell>
          <cell r="AP2103">
            <v>0</v>
          </cell>
        </row>
        <row r="2104">
          <cell r="AJ2104">
            <v>0</v>
          </cell>
          <cell r="AP2104">
            <v>0</v>
          </cell>
        </row>
        <row r="2105">
          <cell r="AJ2105">
            <v>0</v>
          </cell>
          <cell r="AP2105">
            <v>0</v>
          </cell>
        </row>
        <row r="2106">
          <cell r="AJ2106">
            <v>0</v>
          </cell>
          <cell r="AP2106">
            <v>0</v>
          </cell>
        </row>
        <row r="2107">
          <cell r="AJ2107">
            <v>0</v>
          </cell>
          <cell r="AP2107">
            <v>0</v>
          </cell>
        </row>
        <row r="2108">
          <cell r="AJ2108">
            <v>0</v>
          </cell>
          <cell r="AP2108">
            <v>0</v>
          </cell>
        </row>
        <row r="2109">
          <cell r="AJ2109">
            <v>0</v>
          </cell>
          <cell r="AP2109">
            <v>0</v>
          </cell>
        </row>
        <row r="2110">
          <cell r="AJ2110">
            <v>0</v>
          </cell>
          <cell r="AP2110">
            <v>0</v>
          </cell>
        </row>
        <row r="2111">
          <cell r="AJ2111">
            <v>0</v>
          </cell>
          <cell r="AP2111">
            <v>0</v>
          </cell>
        </row>
        <row r="2112">
          <cell r="AJ2112">
            <v>0</v>
          </cell>
          <cell r="AP2112">
            <v>0</v>
          </cell>
        </row>
        <row r="2113">
          <cell r="AJ2113">
            <v>0</v>
          </cell>
          <cell r="AP2113">
            <v>0</v>
          </cell>
        </row>
        <row r="2114">
          <cell r="AJ2114">
            <v>0</v>
          </cell>
          <cell r="AP2114">
            <v>0</v>
          </cell>
        </row>
        <row r="2115">
          <cell r="AJ2115">
            <v>0</v>
          </cell>
          <cell r="AP2115">
            <v>0</v>
          </cell>
        </row>
        <row r="2116">
          <cell r="AJ2116">
            <v>0</v>
          </cell>
          <cell r="AP2116">
            <v>0</v>
          </cell>
        </row>
        <row r="2117">
          <cell r="AJ2117">
            <v>0</v>
          </cell>
          <cell r="AP2117">
            <v>0</v>
          </cell>
        </row>
        <row r="2118">
          <cell r="AJ2118">
            <v>0</v>
          </cell>
          <cell r="AP2118">
            <v>0</v>
          </cell>
        </row>
        <row r="2119">
          <cell r="AJ2119">
            <v>0</v>
          </cell>
          <cell r="AP2119">
            <v>0</v>
          </cell>
        </row>
        <row r="2120">
          <cell r="AJ2120">
            <v>0</v>
          </cell>
          <cell r="AP2120">
            <v>0</v>
          </cell>
        </row>
        <row r="2121">
          <cell r="AJ2121">
            <v>0</v>
          </cell>
          <cell r="AP2121">
            <v>0</v>
          </cell>
        </row>
        <row r="2122">
          <cell r="AJ2122">
            <v>0</v>
          </cell>
          <cell r="AP2122">
            <v>0</v>
          </cell>
        </row>
        <row r="2123">
          <cell r="AJ2123">
            <v>0</v>
          </cell>
          <cell r="AP2123">
            <v>0</v>
          </cell>
        </row>
        <row r="2124">
          <cell r="AJ2124">
            <v>0</v>
          </cell>
          <cell r="AP2124">
            <v>0</v>
          </cell>
        </row>
        <row r="2125">
          <cell r="AJ2125">
            <v>0</v>
          </cell>
          <cell r="AP2125">
            <v>0</v>
          </cell>
        </row>
        <row r="2126">
          <cell r="AJ2126">
            <v>0</v>
          </cell>
          <cell r="AP2126">
            <v>0</v>
          </cell>
        </row>
        <row r="2127">
          <cell r="AJ2127">
            <v>0</v>
          </cell>
          <cell r="AP2127">
            <v>0</v>
          </cell>
        </row>
        <row r="2128">
          <cell r="AJ2128">
            <v>0</v>
          </cell>
          <cell r="AP2128">
            <v>0</v>
          </cell>
        </row>
        <row r="2129">
          <cell r="AJ2129">
            <v>0</v>
          </cell>
          <cell r="AP2129">
            <v>0</v>
          </cell>
        </row>
        <row r="2130">
          <cell r="AJ2130">
            <v>0</v>
          </cell>
          <cell r="AP2130">
            <v>0</v>
          </cell>
        </row>
        <row r="2131">
          <cell r="AJ2131">
            <v>0</v>
          </cell>
          <cell r="AP2131">
            <v>0</v>
          </cell>
        </row>
        <row r="2132">
          <cell r="AJ2132">
            <v>0</v>
          </cell>
          <cell r="AP2132">
            <v>0</v>
          </cell>
        </row>
        <row r="2133">
          <cell r="AJ2133">
            <v>0</v>
          </cell>
          <cell r="AP2133">
            <v>0</v>
          </cell>
        </row>
        <row r="2134">
          <cell r="AJ2134">
            <v>0</v>
          </cell>
          <cell r="AP2134">
            <v>0</v>
          </cell>
        </row>
        <row r="2135">
          <cell r="AJ2135">
            <v>0</v>
          </cell>
          <cell r="AP2135">
            <v>0</v>
          </cell>
        </row>
        <row r="2136">
          <cell r="AJ2136">
            <v>0</v>
          </cell>
          <cell r="AP2136">
            <v>0</v>
          </cell>
        </row>
        <row r="2137">
          <cell r="AJ2137">
            <v>0</v>
          </cell>
          <cell r="AP2137">
            <v>0</v>
          </cell>
        </row>
        <row r="2138">
          <cell r="AJ2138">
            <v>0</v>
          </cell>
          <cell r="AP2138">
            <v>0</v>
          </cell>
        </row>
        <row r="2139">
          <cell r="AJ2139">
            <v>0</v>
          </cell>
          <cell r="AP2139">
            <v>0</v>
          </cell>
        </row>
        <row r="2140">
          <cell r="AJ2140">
            <v>0</v>
          </cell>
          <cell r="AP2140">
            <v>0</v>
          </cell>
        </row>
        <row r="2141">
          <cell r="AJ2141">
            <v>0</v>
          </cell>
          <cell r="AP2141">
            <v>0</v>
          </cell>
        </row>
        <row r="2142">
          <cell r="AJ2142">
            <v>0</v>
          </cell>
          <cell r="AP2142">
            <v>0</v>
          </cell>
        </row>
        <row r="2143">
          <cell r="AJ2143">
            <v>0</v>
          </cell>
          <cell r="AP2143">
            <v>0</v>
          </cell>
        </row>
        <row r="2144">
          <cell r="AJ2144">
            <v>0</v>
          </cell>
          <cell r="AP2144">
            <v>0</v>
          </cell>
        </row>
        <row r="2145">
          <cell r="AJ2145">
            <v>0</v>
          </cell>
          <cell r="AP2145">
            <v>0</v>
          </cell>
        </row>
        <row r="2146">
          <cell r="AJ2146">
            <v>0</v>
          </cell>
          <cell r="AP2146">
            <v>0</v>
          </cell>
        </row>
        <row r="2147">
          <cell r="AJ2147">
            <v>0</v>
          </cell>
          <cell r="AP2147">
            <v>0</v>
          </cell>
        </row>
        <row r="2148">
          <cell r="AJ2148">
            <v>0</v>
          </cell>
          <cell r="AP2148">
            <v>0</v>
          </cell>
        </row>
        <row r="2149">
          <cell r="AJ2149">
            <v>0</v>
          </cell>
          <cell r="AP2149">
            <v>0</v>
          </cell>
        </row>
        <row r="2150">
          <cell r="AJ2150">
            <v>0</v>
          </cell>
          <cell r="AP2150">
            <v>0</v>
          </cell>
        </row>
        <row r="2151">
          <cell r="AJ2151">
            <v>0</v>
          </cell>
          <cell r="AP2151">
            <v>0</v>
          </cell>
        </row>
        <row r="2152">
          <cell r="AJ2152">
            <v>0</v>
          </cell>
          <cell r="AP2152">
            <v>0</v>
          </cell>
        </row>
        <row r="2153">
          <cell r="AJ2153">
            <v>0</v>
          </cell>
          <cell r="AP2153">
            <v>0</v>
          </cell>
        </row>
        <row r="2154">
          <cell r="AJ2154">
            <v>0</v>
          </cell>
          <cell r="AP2154">
            <v>0</v>
          </cell>
        </row>
        <row r="2155">
          <cell r="AJ2155">
            <v>0</v>
          </cell>
          <cell r="AP2155">
            <v>0</v>
          </cell>
        </row>
        <row r="2156">
          <cell r="AJ2156">
            <v>0</v>
          </cell>
          <cell r="AP2156">
            <v>0</v>
          </cell>
        </row>
        <row r="2157">
          <cell r="AJ2157">
            <v>0</v>
          </cell>
          <cell r="AP2157">
            <v>0</v>
          </cell>
        </row>
        <row r="2158">
          <cell r="AJ2158">
            <v>0</v>
          </cell>
          <cell r="AP2158">
            <v>0</v>
          </cell>
        </row>
        <row r="2159">
          <cell r="AJ2159">
            <v>0</v>
          </cell>
          <cell r="AP2159">
            <v>0</v>
          </cell>
        </row>
        <row r="2160">
          <cell r="AJ2160">
            <v>0</v>
          </cell>
          <cell r="AP2160">
            <v>0</v>
          </cell>
        </row>
        <row r="2161">
          <cell r="AJ2161">
            <v>0</v>
          </cell>
          <cell r="AP2161">
            <v>0</v>
          </cell>
        </row>
        <row r="2162">
          <cell r="AJ2162">
            <v>0</v>
          </cell>
          <cell r="AP2162">
            <v>0</v>
          </cell>
        </row>
        <row r="2163">
          <cell r="AJ2163">
            <v>0</v>
          </cell>
          <cell r="AP2163">
            <v>0</v>
          </cell>
        </row>
        <row r="2164">
          <cell r="AJ2164">
            <v>0</v>
          </cell>
          <cell r="AP2164">
            <v>0</v>
          </cell>
        </row>
        <row r="2165">
          <cell r="AJ2165">
            <v>0</v>
          </cell>
          <cell r="AP2165">
            <v>0</v>
          </cell>
        </row>
        <row r="2166">
          <cell r="AJ2166">
            <v>0</v>
          </cell>
          <cell r="AP2166">
            <v>0</v>
          </cell>
        </row>
        <row r="2167">
          <cell r="AJ2167">
            <v>0</v>
          </cell>
          <cell r="AP2167">
            <v>0</v>
          </cell>
        </row>
        <row r="2168">
          <cell r="AJ2168">
            <v>0</v>
          </cell>
          <cell r="AP2168">
            <v>0</v>
          </cell>
        </row>
        <row r="2169">
          <cell r="AJ2169">
            <v>0</v>
          </cell>
          <cell r="AP2169">
            <v>0</v>
          </cell>
        </row>
        <row r="2170">
          <cell r="AJ2170">
            <v>0</v>
          </cell>
          <cell r="AP2170">
            <v>0</v>
          </cell>
        </row>
        <row r="2171">
          <cell r="AJ2171">
            <v>0</v>
          </cell>
          <cell r="AP2171">
            <v>0</v>
          </cell>
        </row>
        <row r="2172">
          <cell r="AJ2172">
            <v>0</v>
          </cell>
          <cell r="AP2172">
            <v>0</v>
          </cell>
        </row>
        <row r="2173">
          <cell r="AJ2173">
            <v>0</v>
          </cell>
          <cell r="AP2173">
            <v>0</v>
          </cell>
        </row>
        <row r="2174">
          <cell r="AJ2174">
            <v>0</v>
          </cell>
          <cell r="AP2174">
            <v>0</v>
          </cell>
        </row>
        <row r="2175">
          <cell r="AJ2175">
            <v>0</v>
          </cell>
          <cell r="AP2175">
            <v>0</v>
          </cell>
        </row>
        <row r="2176">
          <cell r="AJ2176">
            <v>0</v>
          </cell>
          <cell r="AP2176">
            <v>0</v>
          </cell>
        </row>
        <row r="2177">
          <cell r="AJ2177">
            <v>0</v>
          </cell>
          <cell r="AP2177">
            <v>0</v>
          </cell>
        </row>
        <row r="2178">
          <cell r="AJ2178">
            <v>0</v>
          </cell>
          <cell r="AP2178">
            <v>0</v>
          </cell>
        </row>
        <row r="2179">
          <cell r="AJ2179">
            <v>0</v>
          </cell>
          <cell r="AP2179">
            <v>0</v>
          </cell>
        </row>
        <row r="2180">
          <cell r="AJ2180">
            <v>0</v>
          </cell>
          <cell r="AP2180">
            <v>0</v>
          </cell>
        </row>
        <row r="2181">
          <cell r="AJ2181">
            <v>0</v>
          </cell>
          <cell r="AP2181">
            <v>0</v>
          </cell>
        </row>
        <row r="2182">
          <cell r="AJ2182">
            <v>0</v>
          </cell>
          <cell r="AP2182">
            <v>0</v>
          </cell>
        </row>
        <row r="2183">
          <cell r="AJ2183">
            <v>0</v>
          </cell>
          <cell r="AP2183">
            <v>0</v>
          </cell>
        </row>
        <row r="2184">
          <cell r="AJ2184">
            <v>0</v>
          </cell>
          <cell r="AP2184">
            <v>0</v>
          </cell>
        </row>
        <row r="2185">
          <cell r="AJ2185">
            <v>0</v>
          </cell>
          <cell r="AP2185">
            <v>0</v>
          </cell>
        </row>
        <row r="2186">
          <cell r="AJ2186">
            <v>0</v>
          </cell>
          <cell r="AP2186">
            <v>0</v>
          </cell>
        </row>
        <row r="2187">
          <cell r="AJ2187">
            <v>0</v>
          </cell>
          <cell r="AP2187">
            <v>0</v>
          </cell>
        </row>
        <row r="2188">
          <cell r="AJ2188">
            <v>0</v>
          </cell>
          <cell r="AP2188">
            <v>0</v>
          </cell>
        </row>
        <row r="2189">
          <cell r="AJ2189">
            <v>0</v>
          </cell>
          <cell r="AP2189">
            <v>0</v>
          </cell>
        </row>
        <row r="2190">
          <cell r="AJ2190">
            <v>0</v>
          </cell>
          <cell r="AP2190">
            <v>0</v>
          </cell>
        </row>
        <row r="2191">
          <cell r="AJ2191">
            <v>0</v>
          </cell>
          <cell r="AP2191">
            <v>0</v>
          </cell>
        </row>
        <row r="2192">
          <cell r="AJ2192">
            <v>0</v>
          </cell>
          <cell r="AP2192">
            <v>0</v>
          </cell>
        </row>
        <row r="2193">
          <cell r="AJ2193">
            <v>0</v>
          </cell>
          <cell r="AP2193">
            <v>0</v>
          </cell>
        </row>
        <row r="2194">
          <cell r="AJ2194">
            <v>0</v>
          </cell>
          <cell r="AP2194">
            <v>0</v>
          </cell>
        </row>
        <row r="2195">
          <cell r="AJ2195">
            <v>0</v>
          </cell>
          <cell r="AP2195">
            <v>0</v>
          </cell>
        </row>
        <row r="2196">
          <cell r="AJ2196">
            <v>0</v>
          </cell>
          <cell r="AP2196">
            <v>0</v>
          </cell>
        </row>
        <row r="2197">
          <cell r="AJ2197">
            <v>0</v>
          </cell>
          <cell r="AP2197">
            <v>0</v>
          </cell>
        </row>
        <row r="2198">
          <cell r="AJ2198">
            <v>0</v>
          </cell>
          <cell r="AP2198">
            <v>0</v>
          </cell>
        </row>
        <row r="2199">
          <cell r="AJ2199">
            <v>0</v>
          </cell>
          <cell r="AP2199">
            <v>0</v>
          </cell>
        </row>
        <row r="2200">
          <cell r="AJ2200">
            <v>0</v>
          </cell>
          <cell r="AP2200">
            <v>0</v>
          </cell>
        </row>
        <row r="2201">
          <cell r="AJ2201">
            <v>0</v>
          </cell>
          <cell r="AP2201">
            <v>0</v>
          </cell>
        </row>
        <row r="2202">
          <cell r="AJ2202">
            <v>0</v>
          </cell>
          <cell r="AP2202">
            <v>0</v>
          </cell>
        </row>
        <row r="2203">
          <cell r="AJ2203">
            <v>0</v>
          </cell>
          <cell r="AP2203">
            <v>0</v>
          </cell>
        </row>
        <row r="2204">
          <cell r="AJ2204">
            <v>0</v>
          </cell>
          <cell r="AP2204">
            <v>0</v>
          </cell>
        </row>
        <row r="2205">
          <cell r="AJ2205">
            <v>0</v>
          </cell>
          <cell r="AP2205">
            <v>0</v>
          </cell>
        </row>
        <row r="2206">
          <cell r="AJ2206">
            <v>0</v>
          </cell>
          <cell r="AP2206">
            <v>0</v>
          </cell>
        </row>
        <row r="2207">
          <cell r="AJ2207">
            <v>0</v>
          </cell>
          <cell r="AP2207">
            <v>0</v>
          </cell>
        </row>
        <row r="2208">
          <cell r="AJ2208">
            <v>0</v>
          </cell>
          <cell r="AP2208">
            <v>0</v>
          </cell>
        </row>
        <row r="2209">
          <cell r="AJ2209">
            <v>0</v>
          </cell>
          <cell r="AP2209">
            <v>0</v>
          </cell>
        </row>
        <row r="2210">
          <cell r="AJ2210">
            <v>0</v>
          </cell>
          <cell r="AP2210">
            <v>0</v>
          </cell>
        </row>
        <row r="2211">
          <cell r="AJ2211">
            <v>0</v>
          </cell>
          <cell r="AP2211">
            <v>0</v>
          </cell>
        </row>
        <row r="2212">
          <cell r="AJ2212">
            <v>0</v>
          </cell>
          <cell r="AP2212">
            <v>0</v>
          </cell>
        </row>
        <row r="2213">
          <cell r="AJ2213">
            <v>0</v>
          </cell>
          <cell r="AP2213">
            <v>0</v>
          </cell>
        </row>
        <row r="2214">
          <cell r="AJ2214">
            <v>0</v>
          </cell>
          <cell r="AP2214">
            <v>0</v>
          </cell>
        </row>
        <row r="2215">
          <cell r="AJ2215">
            <v>0</v>
          </cell>
          <cell r="AP2215">
            <v>0</v>
          </cell>
        </row>
        <row r="2216">
          <cell r="AJ2216">
            <v>0</v>
          </cell>
          <cell r="AP2216">
            <v>0</v>
          </cell>
        </row>
        <row r="2217">
          <cell r="AJ2217">
            <v>0</v>
          </cell>
          <cell r="AP2217">
            <v>0</v>
          </cell>
        </row>
        <row r="2218">
          <cell r="AJ2218">
            <v>0</v>
          </cell>
          <cell r="AP2218">
            <v>0</v>
          </cell>
        </row>
        <row r="2219">
          <cell r="AJ2219">
            <v>0</v>
          </cell>
          <cell r="AP2219">
            <v>0</v>
          </cell>
        </row>
        <row r="2220">
          <cell r="AJ2220">
            <v>0</v>
          </cell>
          <cell r="AP2220">
            <v>0</v>
          </cell>
        </row>
        <row r="2221">
          <cell r="AJ2221">
            <v>0</v>
          </cell>
          <cell r="AP2221">
            <v>0</v>
          </cell>
        </row>
        <row r="2222">
          <cell r="AJ2222">
            <v>0</v>
          </cell>
          <cell r="AP2222">
            <v>0</v>
          </cell>
        </row>
        <row r="2223">
          <cell r="AJ2223">
            <v>0</v>
          </cell>
          <cell r="AP2223">
            <v>0</v>
          </cell>
        </row>
        <row r="2224">
          <cell r="AJ2224">
            <v>0</v>
          </cell>
          <cell r="AP2224">
            <v>0</v>
          </cell>
        </row>
        <row r="2225">
          <cell r="AJ2225">
            <v>0</v>
          </cell>
          <cell r="AP2225">
            <v>0</v>
          </cell>
        </row>
        <row r="2226">
          <cell r="AJ2226">
            <v>0</v>
          </cell>
          <cell r="AP2226">
            <v>0</v>
          </cell>
        </row>
        <row r="2227">
          <cell r="AJ2227">
            <v>0</v>
          </cell>
          <cell r="AP2227">
            <v>0</v>
          </cell>
        </row>
        <row r="2228">
          <cell r="AJ2228">
            <v>0</v>
          </cell>
          <cell r="AP2228">
            <v>0</v>
          </cell>
        </row>
        <row r="2229">
          <cell r="AJ2229">
            <v>0</v>
          </cell>
          <cell r="AP2229">
            <v>0</v>
          </cell>
        </row>
        <row r="2230">
          <cell r="AJ2230">
            <v>0</v>
          </cell>
          <cell r="AP2230">
            <v>0</v>
          </cell>
        </row>
        <row r="2231">
          <cell r="AJ2231">
            <v>0</v>
          </cell>
          <cell r="AP2231">
            <v>0</v>
          </cell>
        </row>
        <row r="2232">
          <cell r="AJ2232">
            <v>0</v>
          </cell>
          <cell r="AP2232">
            <v>0</v>
          </cell>
        </row>
        <row r="2233">
          <cell r="AJ2233">
            <v>0</v>
          </cell>
          <cell r="AP2233">
            <v>0</v>
          </cell>
        </row>
        <row r="2234">
          <cell r="AJ2234">
            <v>0</v>
          </cell>
          <cell r="AP2234">
            <v>0</v>
          </cell>
        </row>
        <row r="2235">
          <cell r="AJ2235">
            <v>0</v>
          </cell>
          <cell r="AP2235">
            <v>0</v>
          </cell>
        </row>
        <row r="2236">
          <cell r="AJ2236">
            <v>0</v>
          </cell>
          <cell r="AP2236">
            <v>0</v>
          </cell>
        </row>
        <row r="2237">
          <cell r="AJ2237">
            <v>0</v>
          </cell>
          <cell r="AP2237">
            <v>0</v>
          </cell>
        </row>
        <row r="2238">
          <cell r="AJ2238">
            <v>0</v>
          </cell>
          <cell r="AP2238">
            <v>0</v>
          </cell>
        </row>
        <row r="2239">
          <cell r="AJ2239">
            <v>0</v>
          </cell>
          <cell r="AP2239">
            <v>0</v>
          </cell>
        </row>
        <row r="2240">
          <cell r="AJ2240">
            <v>0</v>
          </cell>
          <cell r="AP2240">
            <v>0</v>
          </cell>
        </row>
        <row r="2241">
          <cell r="AJ2241">
            <v>0</v>
          </cell>
          <cell r="AP2241">
            <v>0</v>
          </cell>
        </row>
        <row r="2242">
          <cell r="AJ2242">
            <v>0</v>
          </cell>
          <cell r="AP2242">
            <v>0</v>
          </cell>
        </row>
        <row r="2243">
          <cell r="AJ2243">
            <v>0</v>
          </cell>
          <cell r="AP2243">
            <v>0</v>
          </cell>
        </row>
        <row r="2244">
          <cell r="AJ2244">
            <v>0</v>
          </cell>
          <cell r="AP2244">
            <v>0</v>
          </cell>
        </row>
        <row r="2245">
          <cell r="AJ2245">
            <v>0</v>
          </cell>
          <cell r="AP2245">
            <v>0</v>
          </cell>
        </row>
        <row r="2246">
          <cell r="AJ2246">
            <v>0</v>
          </cell>
          <cell r="AP2246">
            <v>0</v>
          </cell>
        </row>
        <row r="2247">
          <cell r="AJ2247">
            <v>0</v>
          </cell>
          <cell r="AP2247">
            <v>0</v>
          </cell>
        </row>
        <row r="2248">
          <cell r="AJ2248">
            <v>0</v>
          </cell>
          <cell r="AP2248">
            <v>0</v>
          </cell>
        </row>
        <row r="2249">
          <cell r="AJ2249">
            <v>0</v>
          </cell>
          <cell r="AP2249">
            <v>0</v>
          </cell>
        </row>
        <row r="2250">
          <cell r="AJ2250">
            <v>0</v>
          </cell>
          <cell r="AP2250">
            <v>0</v>
          </cell>
        </row>
        <row r="2251">
          <cell r="AJ2251">
            <v>0</v>
          </cell>
          <cell r="AP2251">
            <v>0</v>
          </cell>
        </row>
        <row r="2252">
          <cell r="AJ2252">
            <v>0</v>
          </cell>
          <cell r="AP2252">
            <v>0</v>
          </cell>
        </row>
        <row r="2253">
          <cell r="AJ2253">
            <v>0</v>
          </cell>
          <cell r="AP2253">
            <v>0</v>
          </cell>
        </row>
        <row r="2254">
          <cell r="AJ2254">
            <v>0</v>
          </cell>
          <cell r="AP2254">
            <v>0</v>
          </cell>
        </row>
        <row r="2255">
          <cell r="AJ2255">
            <v>0</v>
          </cell>
          <cell r="AP2255">
            <v>0</v>
          </cell>
        </row>
        <row r="2256">
          <cell r="AJ2256">
            <v>0</v>
          </cell>
          <cell r="AP2256">
            <v>0</v>
          </cell>
        </row>
        <row r="2257">
          <cell r="AJ2257">
            <v>0</v>
          </cell>
          <cell r="AP2257">
            <v>0</v>
          </cell>
        </row>
        <row r="2258">
          <cell r="AJ2258">
            <v>0</v>
          </cell>
          <cell r="AP2258">
            <v>0</v>
          </cell>
        </row>
        <row r="2259">
          <cell r="AJ2259">
            <v>0</v>
          </cell>
          <cell r="AP2259">
            <v>0</v>
          </cell>
        </row>
        <row r="2260">
          <cell r="AJ2260">
            <v>0</v>
          </cell>
          <cell r="AP2260">
            <v>0</v>
          </cell>
        </row>
        <row r="2261">
          <cell r="AJ2261">
            <v>0</v>
          </cell>
          <cell r="AP2261">
            <v>0</v>
          </cell>
        </row>
        <row r="2262">
          <cell r="AJ2262">
            <v>0</v>
          </cell>
          <cell r="AP2262">
            <v>0</v>
          </cell>
        </row>
        <row r="2263">
          <cell r="AJ2263">
            <v>0</v>
          </cell>
          <cell r="AP2263">
            <v>0</v>
          </cell>
        </row>
        <row r="2264">
          <cell r="AJ2264">
            <v>0</v>
          </cell>
          <cell r="AP2264">
            <v>0</v>
          </cell>
        </row>
        <row r="2265">
          <cell r="AJ2265">
            <v>0</v>
          </cell>
          <cell r="AP2265">
            <v>0</v>
          </cell>
        </row>
        <row r="2266">
          <cell r="AJ2266">
            <v>0</v>
          </cell>
          <cell r="AP2266">
            <v>0</v>
          </cell>
        </row>
        <row r="2267">
          <cell r="AJ2267">
            <v>0</v>
          </cell>
          <cell r="AP2267">
            <v>0</v>
          </cell>
        </row>
        <row r="2268">
          <cell r="AJ2268">
            <v>0</v>
          </cell>
          <cell r="AP2268">
            <v>0</v>
          </cell>
        </row>
        <row r="2269">
          <cell r="AJ2269">
            <v>0</v>
          </cell>
          <cell r="AP2269">
            <v>0</v>
          </cell>
        </row>
        <row r="2270">
          <cell r="AJ2270">
            <v>0</v>
          </cell>
          <cell r="AP2270">
            <v>0</v>
          </cell>
        </row>
        <row r="2271">
          <cell r="AJ2271">
            <v>0</v>
          </cell>
          <cell r="AP2271">
            <v>0</v>
          </cell>
        </row>
        <row r="2272">
          <cell r="AJ2272">
            <v>0</v>
          </cell>
          <cell r="AP2272">
            <v>0</v>
          </cell>
        </row>
        <row r="2273">
          <cell r="AJ2273">
            <v>0</v>
          </cell>
          <cell r="AP2273">
            <v>0</v>
          </cell>
        </row>
        <row r="2274">
          <cell r="AJ2274">
            <v>0</v>
          </cell>
          <cell r="AP2274">
            <v>0</v>
          </cell>
        </row>
        <row r="2275">
          <cell r="AJ2275">
            <v>0</v>
          </cell>
          <cell r="AP2275">
            <v>0</v>
          </cell>
        </row>
        <row r="2276">
          <cell r="AJ2276">
            <v>0</v>
          </cell>
          <cell r="AP2276">
            <v>0</v>
          </cell>
        </row>
        <row r="2277">
          <cell r="AJ2277">
            <v>0</v>
          </cell>
          <cell r="AP2277">
            <v>0</v>
          </cell>
        </row>
        <row r="2278">
          <cell r="AJ2278">
            <v>0</v>
          </cell>
          <cell r="AP2278">
            <v>0</v>
          </cell>
        </row>
        <row r="2279">
          <cell r="AJ2279">
            <v>0</v>
          </cell>
          <cell r="AP2279">
            <v>0</v>
          </cell>
        </row>
        <row r="2280">
          <cell r="AJ2280">
            <v>0</v>
          </cell>
          <cell r="AP2280">
            <v>0</v>
          </cell>
        </row>
        <row r="2281">
          <cell r="AJ2281">
            <v>0</v>
          </cell>
          <cell r="AP2281">
            <v>0</v>
          </cell>
        </row>
        <row r="2282">
          <cell r="AJ2282">
            <v>0</v>
          </cell>
          <cell r="AP2282">
            <v>0</v>
          </cell>
        </row>
        <row r="2283">
          <cell r="AJ2283">
            <v>0</v>
          </cell>
          <cell r="AP2283">
            <v>0</v>
          </cell>
        </row>
        <row r="2284">
          <cell r="AJ2284">
            <v>0</v>
          </cell>
          <cell r="AP2284">
            <v>0</v>
          </cell>
        </row>
        <row r="2285">
          <cell r="AJ2285">
            <v>0</v>
          </cell>
          <cell r="AP2285">
            <v>0</v>
          </cell>
        </row>
        <row r="2286">
          <cell r="AJ2286">
            <v>0</v>
          </cell>
          <cell r="AP2286">
            <v>0</v>
          </cell>
        </row>
        <row r="2287">
          <cell r="AJ2287">
            <v>0</v>
          </cell>
          <cell r="AP2287">
            <v>0</v>
          </cell>
        </row>
        <row r="2288">
          <cell r="AJ2288">
            <v>0</v>
          </cell>
          <cell r="AP2288">
            <v>0</v>
          </cell>
        </row>
        <row r="2289">
          <cell r="AJ2289">
            <v>0</v>
          </cell>
          <cell r="AP2289">
            <v>0</v>
          </cell>
        </row>
        <row r="2290">
          <cell r="AJ2290">
            <v>0</v>
          </cell>
          <cell r="AP2290">
            <v>0</v>
          </cell>
        </row>
        <row r="2291">
          <cell r="AJ2291">
            <v>0</v>
          </cell>
          <cell r="AP2291">
            <v>0</v>
          </cell>
        </row>
        <row r="2292">
          <cell r="AJ2292">
            <v>0</v>
          </cell>
          <cell r="AP2292">
            <v>0</v>
          </cell>
        </row>
        <row r="2293">
          <cell r="AJ2293">
            <v>0</v>
          </cell>
          <cell r="AP2293">
            <v>0</v>
          </cell>
        </row>
        <row r="2294">
          <cell r="AJ2294">
            <v>0</v>
          </cell>
          <cell r="AP2294">
            <v>0</v>
          </cell>
        </row>
        <row r="2295">
          <cell r="AJ2295">
            <v>0</v>
          </cell>
          <cell r="AP2295">
            <v>0</v>
          </cell>
        </row>
        <row r="2296">
          <cell r="AJ2296">
            <v>0</v>
          </cell>
          <cell r="AP2296">
            <v>0</v>
          </cell>
        </row>
        <row r="2297">
          <cell r="AJ2297">
            <v>0</v>
          </cell>
          <cell r="AP2297">
            <v>0</v>
          </cell>
        </row>
        <row r="2298">
          <cell r="AJ2298">
            <v>0</v>
          </cell>
          <cell r="AP2298">
            <v>0</v>
          </cell>
        </row>
        <row r="2299">
          <cell r="AJ2299">
            <v>0</v>
          </cell>
          <cell r="AP2299">
            <v>0</v>
          </cell>
        </row>
        <row r="2300">
          <cell r="AJ2300">
            <v>0</v>
          </cell>
          <cell r="AP2300">
            <v>0</v>
          </cell>
        </row>
        <row r="2301">
          <cell r="AJ2301">
            <v>0</v>
          </cell>
          <cell r="AP2301">
            <v>0</v>
          </cell>
        </row>
        <row r="2302">
          <cell r="AJ2302">
            <v>0</v>
          </cell>
          <cell r="AP2302">
            <v>0</v>
          </cell>
        </row>
        <row r="2303">
          <cell r="AJ2303">
            <v>0</v>
          </cell>
          <cell r="AP2303">
            <v>0</v>
          </cell>
        </row>
        <row r="2304">
          <cell r="AJ2304">
            <v>0</v>
          </cell>
          <cell r="AP2304">
            <v>0</v>
          </cell>
        </row>
        <row r="2305">
          <cell r="AJ2305">
            <v>0</v>
          </cell>
          <cell r="AP2305">
            <v>0</v>
          </cell>
        </row>
        <row r="2306">
          <cell r="AJ2306">
            <v>0</v>
          </cell>
          <cell r="AP2306">
            <v>0</v>
          </cell>
        </row>
        <row r="2307">
          <cell r="AJ2307">
            <v>0</v>
          </cell>
          <cell r="AP2307">
            <v>0</v>
          </cell>
        </row>
        <row r="2308">
          <cell r="AJ2308">
            <v>0</v>
          </cell>
          <cell r="AP2308">
            <v>0</v>
          </cell>
        </row>
        <row r="2309">
          <cell r="AJ2309">
            <v>0</v>
          </cell>
          <cell r="AP2309">
            <v>0</v>
          </cell>
        </row>
        <row r="2310">
          <cell r="AJ2310">
            <v>0</v>
          </cell>
          <cell r="AP2310">
            <v>0</v>
          </cell>
        </row>
        <row r="2311">
          <cell r="AJ2311">
            <v>0</v>
          </cell>
          <cell r="AP2311">
            <v>0</v>
          </cell>
        </row>
        <row r="2312">
          <cell r="AJ2312">
            <v>0</v>
          </cell>
          <cell r="AP2312">
            <v>0</v>
          </cell>
        </row>
        <row r="2313">
          <cell r="AJ2313">
            <v>0</v>
          </cell>
          <cell r="AP2313">
            <v>0</v>
          </cell>
        </row>
        <row r="2314">
          <cell r="AJ2314">
            <v>0</v>
          </cell>
          <cell r="AP2314">
            <v>0</v>
          </cell>
        </row>
        <row r="2315">
          <cell r="AJ2315">
            <v>0</v>
          </cell>
          <cell r="AP2315">
            <v>0</v>
          </cell>
        </row>
        <row r="2316">
          <cell r="AJ2316">
            <v>0</v>
          </cell>
          <cell r="AP2316">
            <v>0</v>
          </cell>
        </row>
        <row r="2317">
          <cell r="AJ2317">
            <v>0</v>
          </cell>
          <cell r="AP2317">
            <v>0</v>
          </cell>
        </row>
        <row r="2318">
          <cell r="AJ2318">
            <v>0</v>
          </cell>
          <cell r="AP2318">
            <v>0</v>
          </cell>
        </row>
        <row r="2319">
          <cell r="AJ2319">
            <v>0</v>
          </cell>
          <cell r="AP2319">
            <v>0</v>
          </cell>
        </row>
        <row r="2320">
          <cell r="AJ2320">
            <v>0</v>
          </cell>
          <cell r="AP2320">
            <v>0</v>
          </cell>
        </row>
        <row r="2321">
          <cell r="AJ2321">
            <v>0</v>
          </cell>
          <cell r="AP2321">
            <v>0</v>
          </cell>
        </row>
        <row r="2322">
          <cell r="AJ2322">
            <v>0</v>
          </cell>
          <cell r="AP2322">
            <v>0</v>
          </cell>
        </row>
        <row r="2323">
          <cell r="AJ2323">
            <v>0</v>
          </cell>
          <cell r="AP2323">
            <v>0</v>
          </cell>
        </row>
        <row r="2324">
          <cell r="AJ2324">
            <v>0</v>
          </cell>
          <cell r="AP2324">
            <v>0</v>
          </cell>
        </row>
        <row r="2325">
          <cell r="AJ2325">
            <v>0</v>
          </cell>
          <cell r="AP2325">
            <v>0</v>
          </cell>
        </row>
        <row r="2326">
          <cell r="AJ2326">
            <v>0</v>
          </cell>
          <cell r="AP2326">
            <v>0</v>
          </cell>
        </row>
        <row r="2327">
          <cell r="AJ2327">
            <v>0</v>
          </cell>
          <cell r="AP2327">
            <v>0</v>
          </cell>
        </row>
        <row r="2328">
          <cell r="AJ2328">
            <v>0</v>
          </cell>
          <cell r="AP2328">
            <v>0</v>
          </cell>
        </row>
        <row r="2329">
          <cell r="AJ2329">
            <v>0</v>
          </cell>
          <cell r="AP2329">
            <v>0</v>
          </cell>
        </row>
        <row r="2330">
          <cell r="AJ2330">
            <v>0</v>
          </cell>
          <cell r="AP2330">
            <v>0</v>
          </cell>
        </row>
        <row r="2331">
          <cell r="AJ2331">
            <v>0</v>
          </cell>
          <cell r="AP2331">
            <v>0</v>
          </cell>
        </row>
        <row r="2332">
          <cell r="AJ2332">
            <v>0</v>
          </cell>
          <cell r="AP2332">
            <v>0</v>
          </cell>
        </row>
        <row r="2333">
          <cell r="AJ2333">
            <v>0</v>
          </cell>
          <cell r="AP2333">
            <v>0</v>
          </cell>
        </row>
        <row r="2334">
          <cell r="AJ2334">
            <v>0</v>
          </cell>
          <cell r="AP2334">
            <v>0</v>
          </cell>
        </row>
        <row r="2335">
          <cell r="AJ2335">
            <v>0</v>
          </cell>
          <cell r="AP2335">
            <v>0</v>
          </cell>
        </row>
        <row r="2336">
          <cell r="AJ2336">
            <v>0</v>
          </cell>
          <cell r="AP2336">
            <v>0</v>
          </cell>
        </row>
        <row r="2337">
          <cell r="AJ2337">
            <v>0</v>
          </cell>
          <cell r="AP2337">
            <v>0</v>
          </cell>
        </row>
        <row r="2338">
          <cell r="AJ2338">
            <v>0</v>
          </cell>
          <cell r="AP2338">
            <v>0</v>
          </cell>
        </row>
        <row r="2339">
          <cell r="AJ2339">
            <v>0</v>
          </cell>
          <cell r="AP2339">
            <v>0</v>
          </cell>
        </row>
        <row r="2340">
          <cell r="AJ2340">
            <v>0</v>
          </cell>
          <cell r="AP2340">
            <v>0</v>
          </cell>
        </row>
        <row r="2341">
          <cell r="AJ2341">
            <v>0</v>
          </cell>
          <cell r="AP2341">
            <v>0</v>
          </cell>
        </row>
        <row r="2342">
          <cell r="AJ2342">
            <v>0</v>
          </cell>
          <cell r="AP2342">
            <v>0</v>
          </cell>
        </row>
        <row r="2343">
          <cell r="AJ2343">
            <v>0</v>
          </cell>
          <cell r="AP2343">
            <v>0</v>
          </cell>
        </row>
        <row r="2344">
          <cell r="AJ2344">
            <v>0</v>
          </cell>
          <cell r="AP2344">
            <v>0</v>
          </cell>
        </row>
        <row r="2345">
          <cell r="AJ2345">
            <v>0</v>
          </cell>
          <cell r="AP2345">
            <v>0</v>
          </cell>
        </row>
        <row r="2346">
          <cell r="AJ2346">
            <v>0</v>
          </cell>
          <cell r="AP2346">
            <v>0</v>
          </cell>
        </row>
        <row r="2347">
          <cell r="AJ2347">
            <v>0</v>
          </cell>
          <cell r="AP2347">
            <v>0</v>
          </cell>
        </row>
        <row r="2348">
          <cell r="AJ2348">
            <v>0</v>
          </cell>
          <cell r="AP2348">
            <v>0</v>
          </cell>
        </row>
        <row r="2349">
          <cell r="AJ2349">
            <v>0</v>
          </cell>
          <cell r="AP2349">
            <v>0</v>
          </cell>
        </row>
        <row r="2350">
          <cell r="AJ2350">
            <v>0</v>
          </cell>
          <cell r="AP2350">
            <v>0</v>
          </cell>
        </row>
        <row r="2351">
          <cell r="AJ2351">
            <v>0</v>
          </cell>
          <cell r="AP2351">
            <v>0</v>
          </cell>
        </row>
        <row r="2352">
          <cell r="AJ2352">
            <v>0</v>
          </cell>
          <cell r="AP2352">
            <v>0</v>
          </cell>
        </row>
        <row r="2353">
          <cell r="AJ2353">
            <v>0</v>
          </cell>
          <cell r="AP2353">
            <v>0</v>
          </cell>
        </row>
        <row r="2354">
          <cell r="AJ2354">
            <v>0</v>
          </cell>
          <cell r="AP2354">
            <v>0</v>
          </cell>
        </row>
        <row r="2355">
          <cell r="AJ2355">
            <v>0</v>
          </cell>
          <cell r="AP2355">
            <v>0</v>
          </cell>
        </row>
        <row r="2356">
          <cell r="AJ2356">
            <v>0</v>
          </cell>
          <cell r="AP2356">
            <v>0</v>
          </cell>
        </row>
        <row r="2357">
          <cell r="AJ2357">
            <v>0</v>
          </cell>
          <cell r="AP2357">
            <v>0</v>
          </cell>
        </row>
        <row r="2358">
          <cell r="AJ2358">
            <v>0</v>
          </cell>
          <cell r="AP2358">
            <v>0</v>
          </cell>
        </row>
        <row r="2359">
          <cell r="AJ2359">
            <v>0</v>
          </cell>
          <cell r="AP2359">
            <v>0</v>
          </cell>
        </row>
        <row r="2360">
          <cell r="AJ2360">
            <v>0</v>
          </cell>
          <cell r="AP2360">
            <v>0</v>
          </cell>
        </row>
        <row r="2361">
          <cell r="AJ2361">
            <v>0</v>
          </cell>
          <cell r="AP2361">
            <v>0</v>
          </cell>
        </row>
        <row r="2362">
          <cell r="AJ2362">
            <v>0</v>
          </cell>
          <cell r="AP2362">
            <v>0</v>
          </cell>
        </row>
        <row r="2363">
          <cell r="AJ2363">
            <v>0</v>
          </cell>
          <cell r="AP2363">
            <v>0</v>
          </cell>
        </row>
        <row r="2364">
          <cell r="AJ2364">
            <v>0</v>
          </cell>
          <cell r="AP2364">
            <v>0</v>
          </cell>
        </row>
        <row r="2365">
          <cell r="AJ2365">
            <v>0</v>
          </cell>
          <cell r="AP2365">
            <v>0</v>
          </cell>
        </row>
        <row r="2366">
          <cell r="AJ2366">
            <v>0</v>
          </cell>
          <cell r="AP2366">
            <v>0</v>
          </cell>
        </row>
        <row r="2367">
          <cell r="AJ2367">
            <v>0</v>
          </cell>
          <cell r="AP2367">
            <v>0</v>
          </cell>
        </row>
        <row r="2368">
          <cell r="AJ2368">
            <v>0</v>
          </cell>
          <cell r="AP2368">
            <v>0</v>
          </cell>
        </row>
        <row r="2369">
          <cell r="AJ2369">
            <v>0</v>
          </cell>
          <cell r="AP2369">
            <v>0</v>
          </cell>
        </row>
        <row r="2370">
          <cell r="AJ2370">
            <v>0</v>
          </cell>
          <cell r="AP2370">
            <v>0</v>
          </cell>
        </row>
        <row r="2371">
          <cell r="AJ2371">
            <v>0</v>
          </cell>
          <cell r="AP2371">
            <v>0</v>
          </cell>
        </row>
        <row r="2372">
          <cell r="AJ2372">
            <v>0</v>
          </cell>
          <cell r="AP2372">
            <v>0</v>
          </cell>
        </row>
        <row r="2373">
          <cell r="AJ2373">
            <v>0</v>
          </cell>
          <cell r="AP2373">
            <v>0</v>
          </cell>
        </row>
        <row r="2374">
          <cell r="AJ2374">
            <v>0</v>
          </cell>
          <cell r="AP2374">
            <v>0</v>
          </cell>
        </row>
        <row r="2375">
          <cell r="AJ2375">
            <v>0</v>
          </cell>
          <cell r="AP2375">
            <v>0</v>
          </cell>
        </row>
        <row r="2376">
          <cell r="AJ2376">
            <v>0</v>
          </cell>
          <cell r="AP2376">
            <v>0</v>
          </cell>
        </row>
        <row r="2377">
          <cell r="AJ2377">
            <v>0</v>
          </cell>
          <cell r="AP2377">
            <v>0</v>
          </cell>
        </row>
        <row r="2378">
          <cell r="AJ2378">
            <v>0</v>
          </cell>
          <cell r="AP2378">
            <v>0</v>
          </cell>
        </row>
        <row r="2379">
          <cell r="AJ2379">
            <v>0</v>
          </cell>
          <cell r="AP2379">
            <v>0</v>
          </cell>
        </row>
        <row r="2380">
          <cell r="AJ2380">
            <v>0</v>
          </cell>
          <cell r="AP2380">
            <v>0</v>
          </cell>
        </row>
        <row r="2381">
          <cell r="AJ2381">
            <v>0</v>
          </cell>
          <cell r="AP2381">
            <v>0</v>
          </cell>
        </row>
        <row r="2382">
          <cell r="AJ2382">
            <v>0</v>
          </cell>
          <cell r="AP2382">
            <v>0</v>
          </cell>
        </row>
        <row r="2383">
          <cell r="AJ2383">
            <v>0</v>
          </cell>
          <cell r="AP2383">
            <v>0</v>
          </cell>
        </row>
        <row r="2384">
          <cell r="AJ2384">
            <v>0</v>
          </cell>
          <cell r="AP2384">
            <v>0</v>
          </cell>
        </row>
        <row r="2385">
          <cell r="AJ2385">
            <v>0</v>
          </cell>
          <cell r="AP2385">
            <v>0</v>
          </cell>
        </row>
        <row r="2386">
          <cell r="AJ2386">
            <v>0</v>
          </cell>
          <cell r="AP2386">
            <v>0</v>
          </cell>
        </row>
        <row r="2387">
          <cell r="AJ2387">
            <v>0</v>
          </cell>
          <cell r="AP2387">
            <v>0</v>
          </cell>
        </row>
        <row r="2388">
          <cell r="AJ2388">
            <v>0</v>
          </cell>
          <cell r="AP2388">
            <v>0</v>
          </cell>
        </row>
        <row r="2389">
          <cell r="AJ2389">
            <v>0</v>
          </cell>
          <cell r="AP2389">
            <v>0</v>
          </cell>
        </row>
        <row r="2390">
          <cell r="AJ2390">
            <v>0</v>
          </cell>
          <cell r="AP2390">
            <v>0</v>
          </cell>
        </row>
        <row r="2391">
          <cell r="AJ2391">
            <v>0</v>
          </cell>
          <cell r="AP2391">
            <v>0</v>
          </cell>
        </row>
        <row r="2392">
          <cell r="AJ2392">
            <v>0</v>
          </cell>
          <cell r="AP2392">
            <v>0</v>
          </cell>
        </row>
        <row r="2393">
          <cell r="AJ2393">
            <v>0</v>
          </cell>
          <cell r="AP2393">
            <v>0</v>
          </cell>
        </row>
        <row r="2394">
          <cell r="AJ2394">
            <v>0</v>
          </cell>
          <cell r="AP2394">
            <v>0</v>
          </cell>
        </row>
        <row r="2395">
          <cell r="AJ2395">
            <v>0</v>
          </cell>
          <cell r="AP2395">
            <v>0</v>
          </cell>
        </row>
        <row r="2396">
          <cell r="AJ2396">
            <v>0</v>
          </cell>
          <cell r="AP2396">
            <v>0</v>
          </cell>
        </row>
        <row r="2397">
          <cell r="AJ2397">
            <v>0</v>
          </cell>
          <cell r="AP2397">
            <v>0</v>
          </cell>
        </row>
        <row r="2398">
          <cell r="AJ2398">
            <v>0</v>
          </cell>
          <cell r="AP2398">
            <v>0</v>
          </cell>
        </row>
        <row r="2399">
          <cell r="AJ2399">
            <v>0</v>
          </cell>
          <cell r="AP2399">
            <v>0</v>
          </cell>
        </row>
        <row r="2400">
          <cell r="AJ2400">
            <v>0</v>
          </cell>
          <cell r="AP2400">
            <v>0</v>
          </cell>
        </row>
        <row r="2401">
          <cell r="AJ2401">
            <v>0</v>
          </cell>
          <cell r="AP2401">
            <v>0</v>
          </cell>
        </row>
        <row r="2402">
          <cell r="AJ2402">
            <v>0</v>
          </cell>
          <cell r="AP2402">
            <v>0</v>
          </cell>
        </row>
        <row r="2403">
          <cell r="AJ2403">
            <v>0</v>
          </cell>
          <cell r="AP2403">
            <v>0</v>
          </cell>
        </row>
        <row r="2404">
          <cell r="AJ2404">
            <v>0</v>
          </cell>
          <cell r="AP2404">
            <v>0</v>
          </cell>
        </row>
        <row r="2405">
          <cell r="AJ2405">
            <v>0</v>
          </cell>
          <cell r="AP2405">
            <v>0</v>
          </cell>
        </row>
        <row r="2406">
          <cell r="AJ2406">
            <v>0</v>
          </cell>
          <cell r="AP2406">
            <v>0</v>
          </cell>
        </row>
        <row r="2407">
          <cell r="AJ2407">
            <v>0</v>
          </cell>
          <cell r="AP2407">
            <v>0</v>
          </cell>
        </row>
        <row r="2408">
          <cell r="AJ2408">
            <v>0</v>
          </cell>
          <cell r="AP2408">
            <v>0</v>
          </cell>
        </row>
        <row r="2409">
          <cell r="AJ2409">
            <v>0</v>
          </cell>
          <cell r="AP2409">
            <v>0</v>
          </cell>
        </row>
        <row r="2410">
          <cell r="AJ2410">
            <v>0</v>
          </cell>
          <cell r="AP2410">
            <v>0</v>
          </cell>
        </row>
        <row r="2411">
          <cell r="AJ2411">
            <v>0</v>
          </cell>
          <cell r="AP2411">
            <v>0</v>
          </cell>
        </row>
        <row r="2412">
          <cell r="AJ2412">
            <v>0</v>
          </cell>
          <cell r="AP2412">
            <v>0</v>
          </cell>
        </row>
        <row r="2413">
          <cell r="AJ2413">
            <v>0</v>
          </cell>
          <cell r="AP2413">
            <v>0</v>
          </cell>
        </row>
        <row r="2414">
          <cell r="AJ2414">
            <v>0</v>
          </cell>
          <cell r="AP2414">
            <v>0</v>
          </cell>
        </row>
        <row r="2415">
          <cell r="AJ2415">
            <v>0</v>
          </cell>
          <cell r="AP2415">
            <v>0</v>
          </cell>
        </row>
        <row r="2416">
          <cell r="AJ2416">
            <v>0</v>
          </cell>
          <cell r="AP2416">
            <v>0</v>
          </cell>
        </row>
        <row r="2417">
          <cell r="AJ2417">
            <v>0</v>
          </cell>
          <cell r="AP2417">
            <v>0</v>
          </cell>
        </row>
        <row r="2418">
          <cell r="AJ2418">
            <v>0</v>
          </cell>
          <cell r="AP2418">
            <v>0</v>
          </cell>
        </row>
        <row r="2419">
          <cell r="AJ2419">
            <v>0</v>
          </cell>
          <cell r="AP2419">
            <v>0</v>
          </cell>
        </row>
        <row r="2420">
          <cell r="AJ2420">
            <v>0</v>
          </cell>
          <cell r="AP2420">
            <v>0</v>
          </cell>
        </row>
        <row r="2421">
          <cell r="AJ2421">
            <v>0</v>
          </cell>
          <cell r="AP2421">
            <v>0</v>
          </cell>
        </row>
        <row r="2422">
          <cell r="AJ2422">
            <v>0</v>
          </cell>
          <cell r="AP2422">
            <v>0</v>
          </cell>
        </row>
        <row r="2423">
          <cell r="AJ2423">
            <v>0</v>
          </cell>
          <cell r="AP2423">
            <v>0</v>
          </cell>
        </row>
        <row r="2424">
          <cell r="AJ2424">
            <v>0</v>
          </cell>
          <cell r="AP2424">
            <v>0</v>
          </cell>
        </row>
        <row r="2425">
          <cell r="AJ2425">
            <v>0</v>
          </cell>
          <cell r="AP2425">
            <v>0</v>
          </cell>
        </row>
        <row r="2426">
          <cell r="AJ2426">
            <v>0</v>
          </cell>
          <cell r="AP2426">
            <v>0</v>
          </cell>
        </row>
        <row r="2427">
          <cell r="AJ2427">
            <v>0</v>
          </cell>
          <cell r="AP2427">
            <v>0</v>
          </cell>
        </row>
        <row r="2428">
          <cell r="AJ2428">
            <v>0</v>
          </cell>
          <cell r="AP2428">
            <v>0</v>
          </cell>
        </row>
        <row r="2429">
          <cell r="AJ2429">
            <v>0</v>
          </cell>
          <cell r="AP2429">
            <v>0</v>
          </cell>
        </row>
        <row r="2430">
          <cell r="AJ2430">
            <v>0</v>
          </cell>
          <cell r="AP2430">
            <v>0</v>
          </cell>
        </row>
        <row r="2431">
          <cell r="AJ2431">
            <v>0</v>
          </cell>
          <cell r="AP2431">
            <v>0</v>
          </cell>
        </row>
        <row r="2432">
          <cell r="AJ2432">
            <v>0</v>
          </cell>
          <cell r="AP2432">
            <v>0</v>
          </cell>
        </row>
        <row r="2433">
          <cell r="AJ2433">
            <v>0</v>
          </cell>
          <cell r="AP2433">
            <v>0</v>
          </cell>
        </row>
        <row r="2434">
          <cell r="AJ2434">
            <v>0</v>
          </cell>
          <cell r="AP2434">
            <v>0</v>
          </cell>
        </row>
        <row r="2435">
          <cell r="AJ2435">
            <v>0</v>
          </cell>
          <cell r="AP2435">
            <v>0</v>
          </cell>
        </row>
        <row r="2436">
          <cell r="AJ2436">
            <v>0</v>
          </cell>
          <cell r="AP2436">
            <v>0</v>
          </cell>
        </row>
        <row r="2437">
          <cell r="AJ2437">
            <v>0</v>
          </cell>
          <cell r="AP2437">
            <v>0</v>
          </cell>
        </row>
        <row r="2438">
          <cell r="AJ2438">
            <v>0</v>
          </cell>
          <cell r="AP2438">
            <v>0</v>
          </cell>
        </row>
        <row r="2439">
          <cell r="AJ2439">
            <v>0</v>
          </cell>
          <cell r="AP2439">
            <v>0</v>
          </cell>
        </row>
        <row r="2440">
          <cell r="AJ2440">
            <v>0</v>
          </cell>
          <cell r="AP2440">
            <v>0</v>
          </cell>
        </row>
        <row r="2441">
          <cell r="AJ2441">
            <v>0</v>
          </cell>
          <cell r="AP2441">
            <v>0</v>
          </cell>
        </row>
        <row r="2442">
          <cell r="AJ2442">
            <v>0</v>
          </cell>
          <cell r="AP2442">
            <v>0</v>
          </cell>
        </row>
        <row r="2443">
          <cell r="AJ2443">
            <v>0</v>
          </cell>
          <cell r="AP2443">
            <v>0</v>
          </cell>
        </row>
        <row r="2444">
          <cell r="AJ2444">
            <v>0</v>
          </cell>
          <cell r="AP2444">
            <v>0</v>
          </cell>
        </row>
        <row r="2445">
          <cell r="AJ2445">
            <v>0</v>
          </cell>
          <cell r="AP2445">
            <v>0</v>
          </cell>
        </row>
        <row r="2446">
          <cell r="AJ2446">
            <v>0</v>
          </cell>
          <cell r="AP2446">
            <v>0</v>
          </cell>
        </row>
        <row r="2447">
          <cell r="AJ2447">
            <v>0</v>
          </cell>
          <cell r="AP2447">
            <v>0</v>
          </cell>
        </row>
        <row r="2448">
          <cell r="AJ2448">
            <v>0</v>
          </cell>
          <cell r="AP2448">
            <v>0</v>
          </cell>
        </row>
        <row r="2449">
          <cell r="AJ2449">
            <v>0</v>
          </cell>
          <cell r="AP2449">
            <v>0</v>
          </cell>
        </row>
        <row r="2450">
          <cell r="AJ2450">
            <v>0</v>
          </cell>
          <cell r="AP2450">
            <v>0</v>
          </cell>
        </row>
        <row r="2451">
          <cell r="AJ2451">
            <v>0</v>
          </cell>
          <cell r="AP2451">
            <v>0</v>
          </cell>
        </row>
        <row r="2452">
          <cell r="AJ2452">
            <v>0</v>
          </cell>
          <cell r="AP2452">
            <v>0</v>
          </cell>
        </row>
        <row r="2453">
          <cell r="AJ2453">
            <v>0</v>
          </cell>
          <cell r="AP2453">
            <v>0</v>
          </cell>
        </row>
        <row r="2454">
          <cell r="AJ2454">
            <v>0</v>
          </cell>
          <cell r="AP2454">
            <v>0</v>
          </cell>
        </row>
        <row r="2455">
          <cell r="AJ2455">
            <v>0</v>
          </cell>
          <cell r="AP2455">
            <v>0</v>
          </cell>
        </row>
        <row r="2456">
          <cell r="AJ2456">
            <v>0</v>
          </cell>
          <cell r="AP2456">
            <v>0</v>
          </cell>
        </row>
        <row r="2457">
          <cell r="AJ2457">
            <v>0</v>
          </cell>
          <cell r="AP2457">
            <v>0</v>
          </cell>
        </row>
        <row r="2458">
          <cell r="AJ2458">
            <v>0</v>
          </cell>
          <cell r="AP2458">
            <v>0</v>
          </cell>
        </row>
        <row r="2459">
          <cell r="AJ2459">
            <v>0</v>
          </cell>
          <cell r="AP2459">
            <v>0</v>
          </cell>
        </row>
        <row r="2460">
          <cell r="AJ2460">
            <v>0</v>
          </cell>
          <cell r="AP2460">
            <v>0</v>
          </cell>
        </row>
        <row r="2461">
          <cell r="AJ2461">
            <v>0</v>
          </cell>
          <cell r="AP2461">
            <v>0</v>
          </cell>
        </row>
        <row r="2462">
          <cell r="AJ2462">
            <v>0</v>
          </cell>
          <cell r="AP2462">
            <v>0</v>
          </cell>
        </row>
        <row r="2463">
          <cell r="AJ2463">
            <v>0</v>
          </cell>
          <cell r="AP2463">
            <v>0</v>
          </cell>
        </row>
        <row r="2464">
          <cell r="AJ2464">
            <v>0</v>
          </cell>
          <cell r="AP2464">
            <v>0</v>
          </cell>
        </row>
        <row r="2465">
          <cell r="AJ2465">
            <v>0</v>
          </cell>
          <cell r="AP2465">
            <v>0</v>
          </cell>
        </row>
        <row r="2466">
          <cell r="AJ2466">
            <v>0</v>
          </cell>
          <cell r="AP2466">
            <v>0</v>
          </cell>
        </row>
        <row r="2467">
          <cell r="AJ2467">
            <v>0</v>
          </cell>
          <cell r="AP2467">
            <v>0</v>
          </cell>
        </row>
        <row r="2468">
          <cell r="AJ2468">
            <v>0</v>
          </cell>
          <cell r="AP2468">
            <v>0</v>
          </cell>
        </row>
        <row r="2469">
          <cell r="AJ2469">
            <v>0</v>
          </cell>
          <cell r="AP2469">
            <v>0</v>
          </cell>
        </row>
        <row r="2470">
          <cell r="AJ2470">
            <v>0</v>
          </cell>
          <cell r="AP2470">
            <v>0</v>
          </cell>
        </row>
        <row r="2471">
          <cell r="AJ2471">
            <v>0</v>
          </cell>
          <cell r="AP2471">
            <v>0</v>
          </cell>
        </row>
        <row r="2472">
          <cell r="AJ2472">
            <v>0</v>
          </cell>
          <cell r="AP2472">
            <v>0</v>
          </cell>
        </row>
        <row r="2473">
          <cell r="AJ2473">
            <v>0</v>
          </cell>
          <cell r="AP2473">
            <v>0</v>
          </cell>
        </row>
        <row r="2474">
          <cell r="AJ2474">
            <v>0</v>
          </cell>
          <cell r="AP2474">
            <v>0</v>
          </cell>
        </row>
        <row r="2475">
          <cell r="AJ2475">
            <v>0</v>
          </cell>
          <cell r="AP2475">
            <v>0</v>
          </cell>
        </row>
        <row r="2476">
          <cell r="AJ2476">
            <v>0</v>
          </cell>
          <cell r="AP2476">
            <v>0</v>
          </cell>
        </row>
        <row r="2477">
          <cell r="AJ2477">
            <v>0</v>
          </cell>
          <cell r="AP2477">
            <v>0</v>
          </cell>
        </row>
        <row r="2478">
          <cell r="AJ2478">
            <v>0</v>
          </cell>
          <cell r="AP2478">
            <v>0</v>
          </cell>
        </row>
        <row r="2479">
          <cell r="AJ2479">
            <v>0</v>
          </cell>
          <cell r="AP2479">
            <v>0</v>
          </cell>
        </row>
        <row r="2480">
          <cell r="AJ2480">
            <v>0</v>
          </cell>
          <cell r="AP2480">
            <v>0</v>
          </cell>
        </row>
        <row r="2481">
          <cell r="AJ2481">
            <v>0</v>
          </cell>
          <cell r="AP2481">
            <v>0</v>
          </cell>
        </row>
        <row r="2482">
          <cell r="AJ2482">
            <v>0</v>
          </cell>
          <cell r="AP2482">
            <v>0</v>
          </cell>
        </row>
        <row r="2483">
          <cell r="AJ2483">
            <v>0</v>
          </cell>
          <cell r="AP2483">
            <v>0</v>
          </cell>
        </row>
        <row r="2484">
          <cell r="AJ2484">
            <v>0</v>
          </cell>
          <cell r="AP2484">
            <v>0</v>
          </cell>
        </row>
        <row r="2485">
          <cell r="AJ2485">
            <v>0</v>
          </cell>
          <cell r="AP2485">
            <v>0</v>
          </cell>
        </row>
        <row r="2486">
          <cell r="AJ2486">
            <v>0</v>
          </cell>
          <cell r="AP2486">
            <v>0</v>
          </cell>
        </row>
        <row r="2487">
          <cell r="AJ2487">
            <v>0</v>
          </cell>
          <cell r="AP2487">
            <v>0</v>
          </cell>
        </row>
        <row r="2488">
          <cell r="AJ2488">
            <v>0</v>
          </cell>
          <cell r="AP2488">
            <v>0</v>
          </cell>
        </row>
        <row r="2489">
          <cell r="AJ2489">
            <v>0</v>
          </cell>
          <cell r="AP2489">
            <v>0</v>
          </cell>
        </row>
        <row r="2490">
          <cell r="AJ2490">
            <v>0</v>
          </cell>
          <cell r="AP2490">
            <v>0</v>
          </cell>
        </row>
        <row r="2491">
          <cell r="AJ2491">
            <v>0</v>
          </cell>
          <cell r="AP2491">
            <v>0</v>
          </cell>
        </row>
        <row r="2492">
          <cell r="AJ2492">
            <v>0</v>
          </cell>
          <cell r="AP2492">
            <v>0</v>
          </cell>
        </row>
        <row r="2493">
          <cell r="AJ2493">
            <v>0</v>
          </cell>
          <cell r="AP2493">
            <v>0</v>
          </cell>
        </row>
        <row r="2494">
          <cell r="AJ2494">
            <v>0</v>
          </cell>
          <cell r="AP2494">
            <v>0</v>
          </cell>
        </row>
        <row r="2495">
          <cell r="AJ2495">
            <v>0</v>
          </cell>
          <cell r="AP2495">
            <v>0</v>
          </cell>
        </row>
        <row r="2496">
          <cell r="AJ2496">
            <v>0</v>
          </cell>
          <cell r="AP2496">
            <v>0</v>
          </cell>
        </row>
        <row r="2497">
          <cell r="AJ2497">
            <v>0</v>
          </cell>
          <cell r="AP2497">
            <v>0</v>
          </cell>
        </row>
        <row r="2498">
          <cell r="AJ2498">
            <v>0</v>
          </cell>
          <cell r="AP2498">
            <v>0</v>
          </cell>
        </row>
        <row r="2499">
          <cell r="AJ2499">
            <v>0</v>
          </cell>
          <cell r="AP2499">
            <v>0</v>
          </cell>
        </row>
        <row r="2500">
          <cell r="AJ2500">
            <v>0</v>
          </cell>
          <cell r="AP2500">
            <v>0</v>
          </cell>
        </row>
        <row r="2501">
          <cell r="AJ2501">
            <v>0</v>
          </cell>
          <cell r="AP2501">
            <v>0</v>
          </cell>
        </row>
        <row r="2502">
          <cell r="AJ2502">
            <v>0</v>
          </cell>
          <cell r="AP2502">
            <v>0</v>
          </cell>
        </row>
        <row r="2503">
          <cell r="AJ2503">
            <v>0</v>
          </cell>
          <cell r="AP2503">
            <v>0</v>
          </cell>
        </row>
        <row r="2504">
          <cell r="AJ2504">
            <v>0</v>
          </cell>
          <cell r="AP2504">
            <v>0</v>
          </cell>
        </row>
        <row r="2505">
          <cell r="AJ2505">
            <v>0</v>
          </cell>
          <cell r="AP2505">
            <v>0</v>
          </cell>
        </row>
        <row r="2506">
          <cell r="AJ2506">
            <v>0</v>
          </cell>
          <cell r="AP2506">
            <v>0</v>
          </cell>
        </row>
        <row r="2507">
          <cell r="AJ2507">
            <v>0</v>
          </cell>
          <cell r="AP2507">
            <v>0</v>
          </cell>
        </row>
        <row r="2508">
          <cell r="AJ2508">
            <v>0</v>
          </cell>
          <cell r="AP2508">
            <v>0</v>
          </cell>
        </row>
        <row r="2509">
          <cell r="AJ2509">
            <v>0</v>
          </cell>
          <cell r="AP2509">
            <v>0</v>
          </cell>
        </row>
        <row r="2510">
          <cell r="AJ2510">
            <v>0</v>
          </cell>
          <cell r="AP2510">
            <v>0</v>
          </cell>
        </row>
        <row r="2511">
          <cell r="AJ2511">
            <v>0</v>
          </cell>
          <cell r="AP2511">
            <v>0</v>
          </cell>
        </row>
        <row r="2512">
          <cell r="AJ2512">
            <v>0</v>
          </cell>
          <cell r="AP2512">
            <v>0</v>
          </cell>
        </row>
        <row r="2513">
          <cell r="AJ2513">
            <v>0</v>
          </cell>
          <cell r="AP2513">
            <v>0</v>
          </cell>
        </row>
        <row r="2514">
          <cell r="AJ2514">
            <v>0</v>
          </cell>
          <cell r="AP2514">
            <v>0</v>
          </cell>
        </row>
        <row r="2515">
          <cell r="AJ2515">
            <v>0</v>
          </cell>
          <cell r="AP2515">
            <v>0</v>
          </cell>
        </row>
        <row r="2516">
          <cell r="AJ2516">
            <v>0</v>
          </cell>
          <cell r="AP2516">
            <v>0</v>
          </cell>
        </row>
        <row r="2517">
          <cell r="AJ2517">
            <v>0</v>
          </cell>
          <cell r="AP2517">
            <v>0</v>
          </cell>
        </row>
        <row r="2518">
          <cell r="AJ2518">
            <v>0</v>
          </cell>
          <cell r="AP2518">
            <v>0</v>
          </cell>
        </row>
        <row r="2519">
          <cell r="AJ2519">
            <v>0</v>
          </cell>
          <cell r="AP2519">
            <v>0</v>
          </cell>
        </row>
        <row r="2520">
          <cell r="AJ2520">
            <v>0</v>
          </cell>
          <cell r="AP2520">
            <v>0</v>
          </cell>
        </row>
        <row r="2521">
          <cell r="AJ2521">
            <v>0</v>
          </cell>
          <cell r="AP2521">
            <v>0</v>
          </cell>
        </row>
        <row r="2522">
          <cell r="AJ2522">
            <v>0</v>
          </cell>
          <cell r="AP2522">
            <v>0</v>
          </cell>
        </row>
        <row r="2523">
          <cell r="AJ2523">
            <v>0</v>
          </cell>
          <cell r="AP2523">
            <v>0</v>
          </cell>
        </row>
        <row r="2524">
          <cell r="AJ2524">
            <v>0</v>
          </cell>
          <cell r="AP2524">
            <v>0</v>
          </cell>
        </row>
        <row r="2525">
          <cell r="AJ2525">
            <v>0</v>
          </cell>
          <cell r="AP2525">
            <v>0</v>
          </cell>
        </row>
        <row r="2526">
          <cell r="AJ2526">
            <v>0</v>
          </cell>
          <cell r="AP2526">
            <v>0</v>
          </cell>
        </row>
        <row r="2527">
          <cell r="AJ2527">
            <v>0</v>
          </cell>
          <cell r="AP2527">
            <v>0</v>
          </cell>
        </row>
        <row r="2528">
          <cell r="AJ2528">
            <v>0</v>
          </cell>
          <cell r="AP2528">
            <v>0</v>
          </cell>
        </row>
        <row r="2529">
          <cell r="AJ2529">
            <v>0</v>
          </cell>
          <cell r="AP2529">
            <v>0</v>
          </cell>
        </row>
        <row r="2530">
          <cell r="AJ2530">
            <v>0</v>
          </cell>
          <cell r="AP2530">
            <v>0</v>
          </cell>
        </row>
        <row r="2531">
          <cell r="AJ2531">
            <v>0</v>
          </cell>
          <cell r="AP2531">
            <v>0</v>
          </cell>
        </row>
        <row r="2532">
          <cell r="AJ2532">
            <v>0</v>
          </cell>
          <cell r="AP2532">
            <v>0</v>
          </cell>
        </row>
        <row r="2533">
          <cell r="AJ2533">
            <v>0</v>
          </cell>
          <cell r="AP2533">
            <v>0</v>
          </cell>
        </row>
        <row r="2534">
          <cell r="AJ2534">
            <v>0</v>
          </cell>
          <cell r="AP2534">
            <v>0</v>
          </cell>
        </row>
        <row r="2535">
          <cell r="AJ2535">
            <v>0</v>
          </cell>
          <cell r="AP2535">
            <v>0</v>
          </cell>
        </row>
        <row r="2536">
          <cell r="AJ2536">
            <v>0</v>
          </cell>
          <cell r="AP2536">
            <v>0</v>
          </cell>
        </row>
        <row r="2537">
          <cell r="AJ2537">
            <v>0</v>
          </cell>
          <cell r="AP2537">
            <v>0</v>
          </cell>
        </row>
        <row r="2538">
          <cell r="AJ2538">
            <v>0</v>
          </cell>
          <cell r="AP2538">
            <v>0</v>
          </cell>
        </row>
        <row r="2539">
          <cell r="AJ2539">
            <v>0</v>
          </cell>
          <cell r="AP2539">
            <v>0</v>
          </cell>
        </row>
        <row r="2540">
          <cell r="AJ2540">
            <v>0</v>
          </cell>
          <cell r="AP2540">
            <v>0</v>
          </cell>
        </row>
        <row r="2541">
          <cell r="AJ2541">
            <v>0</v>
          </cell>
          <cell r="AP2541">
            <v>0</v>
          </cell>
        </row>
        <row r="2542">
          <cell r="AJ2542">
            <v>0</v>
          </cell>
          <cell r="AP2542">
            <v>0</v>
          </cell>
        </row>
        <row r="2543">
          <cell r="AJ2543">
            <v>0</v>
          </cell>
          <cell r="AP2543">
            <v>0</v>
          </cell>
        </row>
        <row r="2544">
          <cell r="AJ2544">
            <v>0</v>
          </cell>
          <cell r="AP2544">
            <v>0</v>
          </cell>
        </row>
        <row r="2545">
          <cell r="AJ2545">
            <v>0</v>
          </cell>
          <cell r="AP2545">
            <v>0</v>
          </cell>
        </row>
        <row r="2546">
          <cell r="AJ2546">
            <v>0</v>
          </cell>
          <cell r="AP2546">
            <v>0</v>
          </cell>
        </row>
        <row r="2547">
          <cell r="AJ2547">
            <v>0</v>
          </cell>
          <cell r="AP2547">
            <v>0</v>
          </cell>
        </row>
        <row r="2548">
          <cell r="AJ2548">
            <v>0</v>
          </cell>
          <cell r="AP2548">
            <v>0</v>
          </cell>
        </row>
        <row r="2549">
          <cell r="AJ2549">
            <v>0</v>
          </cell>
          <cell r="AP2549">
            <v>0</v>
          </cell>
        </row>
        <row r="2550">
          <cell r="AJ2550">
            <v>0</v>
          </cell>
          <cell r="AP2550">
            <v>0</v>
          </cell>
        </row>
        <row r="2551">
          <cell r="AJ2551">
            <v>0</v>
          </cell>
          <cell r="AP2551">
            <v>0</v>
          </cell>
        </row>
        <row r="2552">
          <cell r="AJ2552">
            <v>0</v>
          </cell>
          <cell r="AP2552">
            <v>0</v>
          </cell>
        </row>
        <row r="2553">
          <cell r="AJ2553">
            <v>0</v>
          </cell>
          <cell r="AP2553">
            <v>0</v>
          </cell>
        </row>
        <row r="2554">
          <cell r="AJ2554">
            <v>0</v>
          </cell>
          <cell r="AP2554">
            <v>0</v>
          </cell>
        </row>
        <row r="2555">
          <cell r="AJ2555">
            <v>0</v>
          </cell>
          <cell r="AP2555">
            <v>0</v>
          </cell>
        </row>
        <row r="2556">
          <cell r="AJ2556">
            <v>0</v>
          </cell>
          <cell r="AP2556">
            <v>0</v>
          </cell>
        </row>
        <row r="2557">
          <cell r="AJ2557">
            <v>0</v>
          </cell>
          <cell r="AP2557">
            <v>0</v>
          </cell>
        </row>
        <row r="2558">
          <cell r="AJ2558">
            <v>0</v>
          </cell>
          <cell r="AP2558">
            <v>0</v>
          </cell>
        </row>
        <row r="2559">
          <cell r="AJ2559">
            <v>0</v>
          </cell>
          <cell r="AP2559">
            <v>0</v>
          </cell>
        </row>
        <row r="2560">
          <cell r="AJ2560">
            <v>0</v>
          </cell>
          <cell r="AP2560">
            <v>0</v>
          </cell>
        </row>
        <row r="2561">
          <cell r="AJ2561">
            <v>0</v>
          </cell>
          <cell r="AP2561">
            <v>0</v>
          </cell>
        </row>
        <row r="2562">
          <cell r="AJ2562">
            <v>0</v>
          </cell>
          <cell r="AP2562">
            <v>0</v>
          </cell>
        </row>
        <row r="2563">
          <cell r="AJ2563">
            <v>0</v>
          </cell>
          <cell r="AP2563">
            <v>0</v>
          </cell>
        </row>
        <row r="2564">
          <cell r="AJ2564">
            <v>0</v>
          </cell>
          <cell r="AP2564">
            <v>0</v>
          </cell>
        </row>
        <row r="2565">
          <cell r="AJ2565">
            <v>0</v>
          </cell>
          <cell r="AP2565">
            <v>0</v>
          </cell>
        </row>
        <row r="2566">
          <cell r="AJ2566">
            <v>0</v>
          </cell>
          <cell r="AP2566">
            <v>0</v>
          </cell>
        </row>
        <row r="2567">
          <cell r="AJ2567">
            <v>0</v>
          </cell>
          <cell r="AP2567">
            <v>0</v>
          </cell>
        </row>
        <row r="2568">
          <cell r="AJ2568">
            <v>0</v>
          </cell>
          <cell r="AP2568">
            <v>0</v>
          </cell>
        </row>
        <row r="2569">
          <cell r="AJ2569">
            <v>0</v>
          </cell>
          <cell r="AP2569">
            <v>0</v>
          </cell>
        </row>
        <row r="2570">
          <cell r="AJ2570">
            <v>0</v>
          </cell>
          <cell r="AP2570">
            <v>0</v>
          </cell>
        </row>
        <row r="2571">
          <cell r="AJ2571">
            <v>0</v>
          </cell>
          <cell r="AP2571">
            <v>0</v>
          </cell>
        </row>
        <row r="2572">
          <cell r="AJ2572">
            <v>0</v>
          </cell>
          <cell r="AP2572">
            <v>0</v>
          </cell>
        </row>
        <row r="2573">
          <cell r="AJ2573">
            <v>0</v>
          </cell>
          <cell r="AP2573">
            <v>0</v>
          </cell>
        </row>
        <row r="2574">
          <cell r="AJ2574">
            <v>0</v>
          </cell>
          <cell r="AP2574">
            <v>0</v>
          </cell>
        </row>
        <row r="2575">
          <cell r="AJ2575">
            <v>0</v>
          </cell>
          <cell r="AP2575">
            <v>0</v>
          </cell>
        </row>
        <row r="2576">
          <cell r="AJ2576">
            <v>0</v>
          </cell>
          <cell r="AP2576">
            <v>0</v>
          </cell>
        </row>
        <row r="2577">
          <cell r="AJ2577">
            <v>0</v>
          </cell>
          <cell r="AP2577">
            <v>0</v>
          </cell>
        </row>
        <row r="2578">
          <cell r="AJ2578">
            <v>0</v>
          </cell>
          <cell r="AP2578">
            <v>0</v>
          </cell>
        </row>
        <row r="2579">
          <cell r="AJ2579">
            <v>0</v>
          </cell>
          <cell r="AP2579">
            <v>0</v>
          </cell>
        </row>
        <row r="2580">
          <cell r="AJ2580">
            <v>0</v>
          </cell>
          <cell r="AP2580">
            <v>0</v>
          </cell>
        </row>
        <row r="2581">
          <cell r="AJ2581">
            <v>0</v>
          </cell>
          <cell r="AP2581">
            <v>0</v>
          </cell>
        </row>
        <row r="2582">
          <cell r="AJ2582">
            <v>0</v>
          </cell>
          <cell r="AP2582">
            <v>0</v>
          </cell>
        </row>
        <row r="2583">
          <cell r="AJ2583">
            <v>0</v>
          </cell>
          <cell r="AP2583">
            <v>0</v>
          </cell>
        </row>
        <row r="2584">
          <cell r="AJ2584">
            <v>0</v>
          </cell>
          <cell r="AP2584">
            <v>0</v>
          </cell>
        </row>
        <row r="2585">
          <cell r="AJ2585">
            <v>0</v>
          </cell>
          <cell r="AP2585">
            <v>0</v>
          </cell>
        </row>
        <row r="2586">
          <cell r="AJ2586">
            <v>0</v>
          </cell>
          <cell r="AP2586">
            <v>0</v>
          </cell>
        </row>
        <row r="2587">
          <cell r="AJ2587">
            <v>0</v>
          </cell>
          <cell r="AP2587">
            <v>0</v>
          </cell>
        </row>
        <row r="2588">
          <cell r="AJ2588">
            <v>0</v>
          </cell>
          <cell r="AP2588">
            <v>0</v>
          </cell>
        </row>
        <row r="2589">
          <cell r="AJ2589">
            <v>0</v>
          </cell>
          <cell r="AP2589">
            <v>0</v>
          </cell>
        </row>
        <row r="2590">
          <cell r="AJ2590">
            <v>0</v>
          </cell>
          <cell r="AP2590">
            <v>0</v>
          </cell>
        </row>
        <row r="2591">
          <cell r="AJ2591">
            <v>0</v>
          </cell>
          <cell r="AP2591">
            <v>0</v>
          </cell>
        </row>
        <row r="2592">
          <cell r="AJ2592">
            <v>0</v>
          </cell>
          <cell r="AP2592">
            <v>0</v>
          </cell>
        </row>
        <row r="2593">
          <cell r="AJ2593">
            <v>0</v>
          </cell>
          <cell r="AP2593">
            <v>0</v>
          </cell>
        </row>
        <row r="2594">
          <cell r="AJ2594">
            <v>0</v>
          </cell>
          <cell r="AP2594">
            <v>0</v>
          </cell>
        </row>
        <row r="2595">
          <cell r="AJ2595">
            <v>0</v>
          </cell>
          <cell r="AP2595">
            <v>0</v>
          </cell>
        </row>
        <row r="2596">
          <cell r="AJ2596">
            <v>0</v>
          </cell>
          <cell r="AP2596">
            <v>0</v>
          </cell>
        </row>
        <row r="2597">
          <cell r="AJ2597">
            <v>0</v>
          </cell>
          <cell r="AP2597">
            <v>0</v>
          </cell>
        </row>
        <row r="2598">
          <cell r="AJ2598">
            <v>0</v>
          </cell>
          <cell r="AP2598">
            <v>0</v>
          </cell>
        </row>
        <row r="2599">
          <cell r="AJ2599">
            <v>0</v>
          </cell>
          <cell r="AP2599">
            <v>0</v>
          </cell>
        </row>
        <row r="2600">
          <cell r="AJ2600">
            <v>0</v>
          </cell>
          <cell r="AP2600">
            <v>0</v>
          </cell>
        </row>
        <row r="2601">
          <cell r="AJ2601">
            <v>0</v>
          </cell>
          <cell r="AP2601">
            <v>0</v>
          </cell>
        </row>
        <row r="2602">
          <cell r="AJ2602">
            <v>0</v>
          </cell>
          <cell r="AP2602">
            <v>0</v>
          </cell>
        </row>
        <row r="2603">
          <cell r="AJ2603">
            <v>0</v>
          </cell>
          <cell r="AP2603">
            <v>0</v>
          </cell>
        </row>
        <row r="2604">
          <cell r="AJ2604">
            <v>0</v>
          </cell>
          <cell r="AP2604">
            <v>0</v>
          </cell>
        </row>
        <row r="2605">
          <cell r="AJ2605">
            <v>0</v>
          </cell>
          <cell r="AP2605">
            <v>0</v>
          </cell>
        </row>
        <row r="2606">
          <cell r="AJ2606">
            <v>0</v>
          </cell>
          <cell r="AP2606">
            <v>0</v>
          </cell>
        </row>
        <row r="2607">
          <cell r="AJ2607">
            <v>0</v>
          </cell>
          <cell r="AP2607">
            <v>0</v>
          </cell>
        </row>
        <row r="2608">
          <cell r="AJ2608">
            <v>0</v>
          </cell>
          <cell r="AP2608">
            <v>0</v>
          </cell>
        </row>
        <row r="2609">
          <cell r="AJ2609">
            <v>0</v>
          </cell>
          <cell r="AP2609">
            <v>0</v>
          </cell>
        </row>
        <row r="2610">
          <cell r="AJ2610">
            <v>0</v>
          </cell>
          <cell r="AP2610">
            <v>0</v>
          </cell>
        </row>
        <row r="2611">
          <cell r="AJ2611">
            <v>0</v>
          </cell>
          <cell r="AP2611">
            <v>0</v>
          </cell>
        </row>
        <row r="2612">
          <cell r="AJ2612">
            <v>0</v>
          </cell>
          <cell r="AP2612">
            <v>0</v>
          </cell>
        </row>
        <row r="2613">
          <cell r="AJ2613">
            <v>0</v>
          </cell>
          <cell r="AP2613">
            <v>0</v>
          </cell>
        </row>
        <row r="2614">
          <cell r="AJ2614">
            <v>0</v>
          </cell>
          <cell r="AP2614">
            <v>0</v>
          </cell>
        </row>
        <row r="2615">
          <cell r="AJ2615">
            <v>0</v>
          </cell>
          <cell r="AP2615">
            <v>0</v>
          </cell>
        </row>
        <row r="2616">
          <cell r="AJ2616">
            <v>0</v>
          </cell>
          <cell r="AP2616">
            <v>0</v>
          </cell>
        </row>
        <row r="2617">
          <cell r="AJ2617">
            <v>0</v>
          </cell>
          <cell r="AP2617">
            <v>0</v>
          </cell>
        </row>
        <row r="2618">
          <cell r="AJ2618">
            <v>0</v>
          </cell>
          <cell r="AP2618">
            <v>0</v>
          </cell>
        </row>
        <row r="2619">
          <cell r="AJ2619">
            <v>0</v>
          </cell>
          <cell r="AP2619">
            <v>0</v>
          </cell>
        </row>
        <row r="2620">
          <cell r="AJ2620">
            <v>0</v>
          </cell>
          <cell r="AP2620">
            <v>0</v>
          </cell>
        </row>
        <row r="2621">
          <cell r="AJ2621">
            <v>0</v>
          </cell>
          <cell r="AP2621">
            <v>0</v>
          </cell>
        </row>
        <row r="2622">
          <cell r="AJ2622">
            <v>0</v>
          </cell>
          <cell r="AP2622">
            <v>0</v>
          </cell>
        </row>
        <row r="2623">
          <cell r="AJ2623">
            <v>0</v>
          </cell>
          <cell r="AP2623">
            <v>0</v>
          </cell>
        </row>
        <row r="2624">
          <cell r="AJ2624">
            <v>0</v>
          </cell>
          <cell r="AP2624">
            <v>0</v>
          </cell>
        </row>
        <row r="2625">
          <cell r="AJ2625">
            <v>0</v>
          </cell>
          <cell r="AP2625">
            <v>0</v>
          </cell>
        </row>
        <row r="2626">
          <cell r="AJ2626">
            <v>0</v>
          </cell>
          <cell r="AP2626">
            <v>0</v>
          </cell>
        </row>
        <row r="2627">
          <cell r="AJ2627">
            <v>0</v>
          </cell>
          <cell r="AP2627">
            <v>0</v>
          </cell>
        </row>
        <row r="2628">
          <cell r="AJ2628">
            <v>0</v>
          </cell>
          <cell r="AP2628">
            <v>0</v>
          </cell>
        </row>
        <row r="2629">
          <cell r="AJ2629">
            <v>0</v>
          </cell>
          <cell r="AP2629">
            <v>0</v>
          </cell>
        </row>
        <row r="2630">
          <cell r="AJ2630">
            <v>0</v>
          </cell>
          <cell r="AP2630">
            <v>0</v>
          </cell>
        </row>
        <row r="2631">
          <cell r="AJ2631">
            <v>0</v>
          </cell>
          <cell r="AP2631">
            <v>0</v>
          </cell>
        </row>
        <row r="2632">
          <cell r="AJ2632">
            <v>0</v>
          </cell>
          <cell r="AP2632">
            <v>0</v>
          </cell>
        </row>
        <row r="2633">
          <cell r="AJ2633">
            <v>0</v>
          </cell>
          <cell r="AP2633">
            <v>0</v>
          </cell>
        </row>
        <row r="2634">
          <cell r="AJ2634">
            <v>0</v>
          </cell>
          <cell r="AP2634">
            <v>0</v>
          </cell>
        </row>
        <row r="2635">
          <cell r="AJ2635">
            <v>0</v>
          </cell>
          <cell r="AP2635">
            <v>0</v>
          </cell>
        </row>
        <row r="2636">
          <cell r="AJ2636">
            <v>0</v>
          </cell>
          <cell r="AP2636">
            <v>0</v>
          </cell>
        </row>
        <row r="2637">
          <cell r="AJ2637">
            <v>0</v>
          </cell>
          <cell r="AP2637">
            <v>0</v>
          </cell>
        </row>
        <row r="2638">
          <cell r="AJ2638">
            <v>0</v>
          </cell>
          <cell r="AP2638">
            <v>0</v>
          </cell>
        </row>
        <row r="2639">
          <cell r="AJ2639">
            <v>0</v>
          </cell>
          <cell r="AP2639">
            <v>0</v>
          </cell>
        </row>
        <row r="2640">
          <cell r="AJ2640">
            <v>0</v>
          </cell>
          <cell r="AP2640">
            <v>0</v>
          </cell>
        </row>
        <row r="2641">
          <cell r="AJ2641">
            <v>0</v>
          </cell>
          <cell r="AP2641">
            <v>0</v>
          </cell>
        </row>
        <row r="2642">
          <cell r="AJ2642">
            <v>0</v>
          </cell>
          <cell r="AP2642">
            <v>0</v>
          </cell>
        </row>
        <row r="2643">
          <cell r="AJ2643">
            <v>0</v>
          </cell>
          <cell r="AP2643">
            <v>0</v>
          </cell>
        </row>
        <row r="2644">
          <cell r="AJ2644">
            <v>0</v>
          </cell>
          <cell r="AP2644">
            <v>0</v>
          </cell>
        </row>
        <row r="2645">
          <cell r="AJ2645">
            <v>0</v>
          </cell>
          <cell r="AP2645">
            <v>0</v>
          </cell>
        </row>
        <row r="2646">
          <cell r="AJ2646">
            <v>0</v>
          </cell>
          <cell r="AP2646">
            <v>0</v>
          </cell>
        </row>
        <row r="2647">
          <cell r="AJ2647">
            <v>0</v>
          </cell>
          <cell r="AP2647">
            <v>0</v>
          </cell>
        </row>
        <row r="2648">
          <cell r="AJ2648">
            <v>0</v>
          </cell>
          <cell r="AP2648">
            <v>0</v>
          </cell>
        </row>
        <row r="2649">
          <cell r="AJ2649">
            <v>0</v>
          </cell>
          <cell r="AP2649">
            <v>0</v>
          </cell>
        </row>
        <row r="2650">
          <cell r="AJ2650">
            <v>0</v>
          </cell>
          <cell r="AP2650">
            <v>0</v>
          </cell>
        </row>
        <row r="2651">
          <cell r="AJ2651">
            <v>0</v>
          </cell>
          <cell r="AP2651">
            <v>0</v>
          </cell>
        </row>
        <row r="2652">
          <cell r="AJ2652">
            <v>0</v>
          </cell>
          <cell r="AP2652">
            <v>0</v>
          </cell>
        </row>
        <row r="2653">
          <cell r="AJ2653">
            <v>0</v>
          </cell>
          <cell r="AP2653">
            <v>0</v>
          </cell>
        </row>
        <row r="2654">
          <cell r="AJ2654">
            <v>0</v>
          </cell>
          <cell r="AP2654">
            <v>0</v>
          </cell>
        </row>
        <row r="2655">
          <cell r="AJ2655">
            <v>0</v>
          </cell>
          <cell r="AP2655">
            <v>0</v>
          </cell>
        </row>
        <row r="2656">
          <cell r="AJ2656">
            <v>0</v>
          </cell>
          <cell r="AP2656">
            <v>0</v>
          </cell>
        </row>
        <row r="2657">
          <cell r="AJ2657">
            <v>0</v>
          </cell>
          <cell r="AP2657">
            <v>0</v>
          </cell>
        </row>
        <row r="2658">
          <cell r="AJ2658">
            <v>0</v>
          </cell>
          <cell r="AP2658">
            <v>0</v>
          </cell>
        </row>
        <row r="2659">
          <cell r="AJ2659">
            <v>0</v>
          </cell>
          <cell r="AP2659">
            <v>0</v>
          </cell>
        </row>
        <row r="2660">
          <cell r="AJ2660">
            <v>0</v>
          </cell>
          <cell r="AP2660">
            <v>0</v>
          </cell>
        </row>
        <row r="2661">
          <cell r="AJ2661">
            <v>0</v>
          </cell>
          <cell r="AP2661">
            <v>0</v>
          </cell>
        </row>
        <row r="2662">
          <cell r="AJ2662">
            <v>0</v>
          </cell>
          <cell r="AP2662">
            <v>0</v>
          </cell>
        </row>
        <row r="2663">
          <cell r="AJ2663">
            <v>0</v>
          </cell>
          <cell r="AP2663">
            <v>0</v>
          </cell>
        </row>
        <row r="2664">
          <cell r="AJ2664">
            <v>0</v>
          </cell>
          <cell r="AP2664">
            <v>0</v>
          </cell>
        </row>
        <row r="2665">
          <cell r="AJ2665">
            <v>0</v>
          </cell>
          <cell r="AP2665">
            <v>0</v>
          </cell>
        </row>
        <row r="2666">
          <cell r="AJ2666">
            <v>0</v>
          </cell>
          <cell r="AP2666">
            <v>0</v>
          </cell>
        </row>
        <row r="2667">
          <cell r="AJ2667">
            <v>0</v>
          </cell>
          <cell r="AP2667">
            <v>0</v>
          </cell>
        </row>
        <row r="2668">
          <cell r="AJ2668">
            <v>0</v>
          </cell>
          <cell r="AP2668">
            <v>0</v>
          </cell>
        </row>
        <row r="2669">
          <cell r="AJ2669">
            <v>0</v>
          </cell>
          <cell r="AP2669">
            <v>0</v>
          </cell>
        </row>
        <row r="2670">
          <cell r="AJ2670">
            <v>0</v>
          </cell>
          <cell r="AP2670">
            <v>0</v>
          </cell>
        </row>
        <row r="2671">
          <cell r="AJ2671">
            <v>0</v>
          </cell>
          <cell r="AP2671">
            <v>0</v>
          </cell>
        </row>
        <row r="2672">
          <cell r="AJ2672">
            <v>0</v>
          </cell>
          <cell r="AP2672">
            <v>0</v>
          </cell>
        </row>
        <row r="2673">
          <cell r="AJ2673">
            <v>0</v>
          </cell>
          <cell r="AP2673">
            <v>0</v>
          </cell>
        </row>
        <row r="2674">
          <cell r="AJ2674">
            <v>0</v>
          </cell>
          <cell r="AP2674">
            <v>0</v>
          </cell>
        </row>
        <row r="2675">
          <cell r="AJ2675">
            <v>0</v>
          </cell>
          <cell r="AP2675">
            <v>0</v>
          </cell>
        </row>
        <row r="2676">
          <cell r="AJ2676">
            <v>0</v>
          </cell>
          <cell r="AP2676">
            <v>0</v>
          </cell>
        </row>
        <row r="2677">
          <cell r="AJ2677">
            <v>0</v>
          </cell>
          <cell r="AP2677">
            <v>0</v>
          </cell>
        </row>
        <row r="2678">
          <cell r="AJ2678">
            <v>0</v>
          </cell>
          <cell r="AP2678">
            <v>0</v>
          </cell>
        </row>
        <row r="2679">
          <cell r="AJ2679">
            <v>0</v>
          </cell>
          <cell r="AP2679">
            <v>0</v>
          </cell>
        </row>
        <row r="2680">
          <cell r="AJ2680">
            <v>0</v>
          </cell>
          <cell r="AP2680">
            <v>0</v>
          </cell>
        </row>
        <row r="2681">
          <cell r="AJ2681">
            <v>0</v>
          </cell>
          <cell r="AP2681">
            <v>0</v>
          </cell>
        </row>
        <row r="2682">
          <cell r="AJ2682">
            <v>0</v>
          </cell>
          <cell r="AP2682">
            <v>0</v>
          </cell>
        </row>
        <row r="2683">
          <cell r="AJ2683">
            <v>0</v>
          </cell>
          <cell r="AP2683">
            <v>0</v>
          </cell>
        </row>
        <row r="2684">
          <cell r="AJ2684">
            <v>0</v>
          </cell>
          <cell r="AP2684">
            <v>0</v>
          </cell>
        </row>
        <row r="2685">
          <cell r="AJ2685">
            <v>0</v>
          </cell>
          <cell r="AP2685">
            <v>0</v>
          </cell>
        </row>
        <row r="2686">
          <cell r="AJ2686">
            <v>0</v>
          </cell>
          <cell r="AP2686">
            <v>0</v>
          </cell>
        </row>
        <row r="2687">
          <cell r="AJ2687">
            <v>0</v>
          </cell>
          <cell r="AP2687">
            <v>0</v>
          </cell>
        </row>
        <row r="2688">
          <cell r="AJ2688">
            <v>0</v>
          </cell>
          <cell r="AP2688">
            <v>0</v>
          </cell>
        </row>
        <row r="2689">
          <cell r="AJ2689">
            <v>0</v>
          </cell>
          <cell r="AP2689">
            <v>0</v>
          </cell>
        </row>
        <row r="2690">
          <cell r="AJ2690">
            <v>0</v>
          </cell>
          <cell r="AP2690">
            <v>0</v>
          </cell>
        </row>
        <row r="2691">
          <cell r="AJ2691">
            <v>0</v>
          </cell>
          <cell r="AP2691">
            <v>0</v>
          </cell>
        </row>
        <row r="2692">
          <cell r="AJ2692">
            <v>0</v>
          </cell>
          <cell r="AP2692">
            <v>0</v>
          </cell>
        </row>
        <row r="2693">
          <cell r="AJ2693">
            <v>0</v>
          </cell>
          <cell r="AP2693">
            <v>0</v>
          </cell>
        </row>
        <row r="2694">
          <cell r="AJ2694">
            <v>0</v>
          </cell>
          <cell r="AP2694">
            <v>0</v>
          </cell>
        </row>
        <row r="2695">
          <cell r="AJ2695">
            <v>0</v>
          </cell>
          <cell r="AP2695">
            <v>0</v>
          </cell>
        </row>
        <row r="2696">
          <cell r="AJ2696">
            <v>0</v>
          </cell>
          <cell r="AP2696">
            <v>0</v>
          </cell>
        </row>
        <row r="2697">
          <cell r="AJ2697">
            <v>0</v>
          </cell>
          <cell r="AP2697">
            <v>0</v>
          </cell>
        </row>
        <row r="2698">
          <cell r="AJ2698">
            <v>0</v>
          </cell>
          <cell r="AP2698">
            <v>0</v>
          </cell>
        </row>
        <row r="2699">
          <cell r="AJ2699">
            <v>0</v>
          </cell>
          <cell r="AP2699">
            <v>0</v>
          </cell>
        </row>
        <row r="2700">
          <cell r="AJ2700">
            <v>0</v>
          </cell>
          <cell r="AP2700">
            <v>0</v>
          </cell>
        </row>
        <row r="2701">
          <cell r="AJ2701">
            <v>0</v>
          </cell>
          <cell r="AP2701">
            <v>0</v>
          </cell>
        </row>
        <row r="2702">
          <cell r="AJ2702">
            <v>0</v>
          </cell>
          <cell r="AP2702">
            <v>0</v>
          </cell>
        </row>
        <row r="2703">
          <cell r="AJ2703">
            <v>0</v>
          </cell>
          <cell r="AP2703">
            <v>0</v>
          </cell>
        </row>
        <row r="2704">
          <cell r="AJ2704">
            <v>0</v>
          </cell>
          <cell r="AP2704">
            <v>0</v>
          </cell>
        </row>
        <row r="2705">
          <cell r="AJ2705">
            <v>0</v>
          </cell>
          <cell r="AP2705">
            <v>0</v>
          </cell>
        </row>
        <row r="2706">
          <cell r="AJ2706">
            <v>0</v>
          </cell>
          <cell r="AP2706">
            <v>0</v>
          </cell>
        </row>
        <row r="2707">
          <cell r="AJ2707">
            <v>0</v>
          </cell>
          <cell r="AP2707">
            <v>0</v>
          </cell>
        </row>
        <row r="2708">
          <cell r="AJ2708">
            <v>0</v>
          </cell>
          <cell r="AP2708">
            <v>0</v>
          </cell>
        </row>
        <row r="2709">
          <cell r="AJ2709">
            <v>0</v>
          </cell>
          <cell r="AP2709">
            <v>0</v>
          </cell>
        </row>
        <row r="2710">
          <cell r="AJ2710">
            <v>0</v>
          </cell>
          <cell r="AP2710">
            <v>0</v>
          </cell>
        </row>
        <row r="2711">
          <cell r="AJ2711">
            <v>0</v>
          </cell>
          <cell r="AP2711">
            <v>0</v>
          </cell>
        </row>
        <row r="2712">
          <cell r="AJ2712">
            <v>0</v>
          </cell>
          <cell r="AP2712">
            <v>0</v>
          </cell>
        </row>
        <row r="2713">
          <cell r="AJ2713">
            <v>0</v>
          </cell>
          <cell r="AP2713">
            <v>0</v>
          </cell>
        </row>
        <row r="2714">
          <cell r="AJ2714">
            <v>0</v>
          </cell>
          <cell r="AP2714">
            <v>0</v>
          </cell>
        </row>
        <row r="2715">
          <cell r="AJ2715">
            <v>0</v>
          </cell>
          <cell r="AP2715">
            <v>0</v>
          </cell>
        </row>
        <row r="2716">
          <cell r="AJ2716">
            <v>0</v>
          </cell>
          <cell r="AP2716">
            <v>0</v>
          </cell>
        </row>
        <row r="2717">
          <cell r="AJ2717">
            <v>0</v>
          </cell>
          <cell r="AP2717">
            <v>0</v>
          </cell>
        </row>
        <row r="2718">
          <cell r="AJ2718">
            <v>0</v>
          </cell>
          <cell r="AP2718">
            <v>0</v>
          </cell>
        </row>
        <row r="2719">
          <cell r="AJ2719">
            <v>0</v>
          </cell>
          <cell r="AP2719">
            <v>0</v>
          </cell>
        </row>
        <row r="2720">
          <cell r="AJ2720">
            <v>0</v>
          </cell>
          <cell r="AP2720">
            <v>0</v>
          </cell>
        </row>
        <row r="2721">
          <cell r="AJ2721">
            <v>0</v>
          </cell>
          <cell r="AP2721">
            <v>0</v>
          </cell>
        </row>
        <row r="2722">
          <cell r="AJ2722">
            <v>0</v>
          </cell>
          <cell r="AP2722">
            <v>0</v>
          </cell>
        </row>
        <row r="2723">
          <cell r="AJ2723">
            <v>0</v>
          </cell>
          <cell r="AP2723">
            <v>0</v>
          </cell>
        </row>
        <row r="2724">
          <cell r="AJ2724">
            <v>0</v>
          </cell>
          <cell r="AP2724">
            <v>0</v>
          </cell>
        </row>
        <row r="2725">
          <cell r="AJ2725">
            <v>0</v>
          </cell>
          <cell r="AP2725">
            <v>0</v>
          </cell>
        </row>
        <row r="2726">
          <cell r="AJ2726">
            <v>0</v>
          </cell>
          <cell r="AP2726">
            <v>0</v>
          </cell>
        </row>
        <row r="2727">
          <cell r="AJ2727">
            <v>0</v>
          </cell>
          <cell r="AP2727">
            <v>0</v>
          </cell>
        </row>
        <row r="2728">
          <cell r="AJ2728">
            <v>0</v>
          </cell>
          <cell r="AP2728">
            <v>0</v>
          </cell>
        </row>
        <row r="2729">
          <cell r="AJ2729">
            <v>0</v>
          </cell>
          <cell r="AP2729">
            <v>0</v>
          </cell>
        </row>
        <row r="2730">
          <cell r="AJ2730">
            <v>0</v>
          </cell>
          <cell r="AP2730">
            <v>0</v>
          </cell>
        </row>
        <row r="2731">
          <cell r="AJ2731">
            <v>0</v>
          </cell>
          <cell r="AP2731">
            <v>0</v>
          </cell>
        </row>
        <row r="2732">
          <cell r="AJ2732">
            <v>0</v>
          </cell>
          <cell r="AP2732">
            <v>0</v>
          </cell>
        </row>
        <row r="2733">
          <cell r="AJ2733">
            <v>0</v>
          </cell>
          <cell r="AP2733">
            <v>0</v>
          </cell>
        </row>
        <row r="2734">
          <cell r="AJ2734">
            <v>0</v>
          </cell>
          <cell r="AP2734">
            <v>0</v>
          </cell>
        </row>
        <row r="2735">
          <cell r="AJ2735">
            <v>0</v>
          </cell>
          <cell r="AP2735">
            <v>0</v>
          </cell>
        </row>
        <row r="2736">
          <cell r="AJ2736">
            <v>0</v>
          </cell>
          <cell r="AP2736">
            <v>0</v>
          </cell>
        </row>
        <row r="2737">
          <cell r="AJ2737">
            <v>0</v>
          </cell>
          <cell r="AP2737">
            <v>0</v>
          </cell>
        </row>
        <row r="2738">
          <cell r="AJ2738">
            <v>0</v>
          </cell>
          <cell r="AP2738">
            <v>0</v>
          </cell>
        </row>
        <row r="2739">
          <cell r="AJ2739">
            <v>0</v>
          </cell>
          <cell r="AP2739">
            <v>0</v>
          </cell>
        </row>
        <row r="2740">
          <cell r="AJ2740">
            <v>0</v>
          </cell>
          <cell r="AP2740">
            <v>0</v>
          </cell>
        </row>
        <row r="2741">
          <cell r="AJ2741">
            <v>0</v>
          </cell>
          <cell r="AP2741">
            <v>0</v>
          </cell>
        </row>
        <row r="2742">
          <cell r="AJ2742">
            <v>0</v>
          </cell>
          <cell r="AP2742">
            <v>0</v>
          </cell>
        </row>
        <row r="2743">
          <cell r="AJ2743">
            <v>0</v>
          </cell>
          <cell r="AP2743">
            <v>0</v>
          </cell>
        </row>
        <row r="2744">
          <cell r="AJ2744">
            <v>0</v>
          </cell>
          <cell r="AP2744">
            <v>0</v>
          </cell>
        </row>
        <row r="2745">
          <cell r="AJ2745">
            <v>0</v>
          </cell>
          <cell r="AP2745">
            <v>0</v>
          </cell>
        </row>
        <row r="2746">
          <cell r="AJ2746">
            <v>0</v>
          </cell>
          <cell r="AP2746">
            <v>0</v>
          </cell>
        </row>
        <row r="2747">
          <cell r="AJ2747">
            <v>0</v>
          </cell>
          <cell r="AP2747">
            <v>0</v>
          </cell>
        </row>
        <row r="2748">
          <cell r="AJ2748">
            <v>0</v>
          </cell>
          <cell r="AP2748">
            <v>0</v>
          </cell>
        </row>
        <row r="2749">
          <cell r="AJ2749">
            <v>0</v>
          </cell>
          <cell r="AP2749">
            <v>0</v>
          </cell>
        </row>
        <row r="2750">
          <cell r="AJ2750">
            <v>0</v>
          </cell>
          <cell r="AP2750">
            <v>0</v>
          </cell>
        </row>
        <row r="2751">
          <cell r="AJ2751">
            <v>0</v>
          </cell>
          <cell r="AP2751">
            <v>0</v>
          </cell>
        </row>
        <row r="2752">
          <cell r="AJ2752">
            <v>0</v>
          </cell>
          <cell r="AP2752">
            <v>0</v>
          </cell>
        </row>
        <row r="2753">
          <cell r="AJ2753">
            <v>0</v>
          </cell>
          <cell r="AP2753">
            <v>0</v>
          </cell>
        </row>
        <row r="2754">
          <cell r="AJ2754">
            <v>0</v>
          </cell>
          <cell r="AP2754">
            <v>0</v>
          </cell>
        </row>
        <row r="2755">
          <cell r="AJ2755">
            <v>0</v>
          </cell>
          <cell r="AP2755">
            <v>0</v>
          </cell>
        </row>
        <row r="2756">
          <cell r="AJ2756">
            <v>0</v>
          </cell>
          <cell r="AP2756">
            <v>0</v>
          </cell>
        </row>
        <row r="2757">
          <cell r="AJ2757">
            <v>0</v>
          </cell>
          <cell r="AP2757">
            <v>0</v>
          </cell>
        </row>
        <row r="2758">
          <cell r="AJ2758">
            <v>0</v>
          </cell>
          <cell r="AP2758">
            <v>0</v>
          </cell>
        </row>
        <row r="2759">
          <cell r="AJ2759">
            <v>0</v>
          </cell>
          <cell r="AP2759">
            <v>0</v>
          </cell>
        </row>
        <row r="2760">
          <cell r="AJ2760">
            <v>0</v>
          </cell>
          <cell r="AP2760">
            <v>0</v>
          </cell>
        </row>
        <row r="2761">
          <cell r="AJ2761">
            <v>0</v>
          </cell>
          <cell r="AP2761">
            <v>0</v>
          </cell>
        </row>
        <row r="2762">
          <cell r="AJ2762">
            <v>0</v>
          </cell>
          <cell r="AP2762">
            <v>0</v>
          </cell>
        </row>
        <row r="2763">
          <cell r="AJ2763">
            <v>0</v>
          </cell>
          <cell r="AP2763">
            <v>0</v>
          </cell>
        </row>
        <row r="2764">
          <cell r="AJ2764">
            <v>0</v>
          </cell>
          <cell r="AP2764">
            <v>0</v>
          </cell>
        </row>
        <row r="2765">
          <cell r="AJ2765">
            <v>0</v>
          </cell>
          <cell r="AP2765">
            <v>0</v>
          </cell>
        </row>
        <row r="2766">
          <cell r="AJ2766">
            <v>0</v>
          </cell>
          <cell r="AP2766">
            <v>0</v>
          </cell>
        </row>
        <row r="2767">
          <cell r="AJ2767">
            <v>0</v>
          </cell>
          <cell r="AP2767">
            <v>0</v>
          </cell>
        </row>
        <row r="2768">
          <cell r="AJ2768">
            <v>0</v>
          </cell>
          <cell r="AP2768">
            <v>0</v>
          </cell>
        </row>
        <row r="2769">
          <cell r="AJ2769">
            <v>0</v>
          </cell>
          <cell r="AP2769">
            <v>0</v>
          </cell>
        </row>
        <row r="2770">
          <cell r="AJ2770">
            <v>0</v>
          </cell>
          <cell r="AP2770">
            <v>0</v>
          </cell>
        </row>
        <row r="2771">
          <cell r="AJ2771">
            <v>0</v>
          </cell>
          <cell r="AP2771">
            <v>0</v>
          </cell>
        </row>
        <row r="2772">
          <cell r="AJ2772">
            <v>0</v>
          </cell>
          <cell r="AP2772">
            <v>0</v>
          </cell>
        </row>
        <row r="2773">
          <cell r="AJ2773">
            <v>0</v>
          </cell>
          <cell r="AP2773">
            <v>0</v>
          </cell>
        </row>
        <row r="2774">
          <cell r="AJ2774">
            <v>0</v>
          </cell>
          <cell r="AP2774">
            <v>0</v>
          </cell>
        </row>
        <row r="2775">
          <cell r="AJ2775">
            <v>0</v>
          </cell>
          <cell r="AP2775">
            <v>0</v>
          </cell>
        </row>
        <row r="2776">
          <cell r="AJ2776">
            <v>0</v>
          </cell>
          <cell r="AP2776">
            <v>0</v>
          </cell>
        </row>
        <row r="2777">
          <cell r="AJ2777">
            <v>0</v>
          </cell>
          <cell r="AP2777">
            <v>0</v>
          </cell>
        </row>
        <row r="2778">
          <cell r="AJ2778">
            <v>0</v>
          </cell>
          <cell r="AP2778">
            <v>0</v>
          </cell>
        </row>
        <row r="2779">
          <cell r="AJ2779">
            <v>0</v>
          </cell>
          <cell r="AP2779">
            <v>0</v>
          </cell>
        </row>
        <row r="2780">
          <cell r="AJ2780">
            <v>0</v>
          </cell>
          <cell r="AP2780">
            <v>0</v>
          </cell>
        </row>
        <row r="2781">
          <cell r="AJ2781">
            <v>0</v>
          </cell>
          <cell r="AP2781">
            <v>0</v>
          </cell>
        </row>
        <row r="2782">
          <cell r="AJ2782">
            <v>0</v>
          </cell>
          <cell r="AP2782">
            <v>0</v>
          </cell>
        </row>
        <row r="2783">
          <cell r="AJ2783">
            <v>0</v>
          </cell>
          <cell r="AP2783">
            <v>0</v>
          </cell>
        </row>
        <row r="2784">
          <cell r="AJ2784">
            <v>0</v>
          </cell>
          <cell r="AP2784">
            <v>0</v>
          </cell>
        </row>
        <row r="2785">
          <cell r="AJ2785">
            <v>0</v>
          </cell>
          <cell r="AP2785">
            <v>0</v>
          </cell>
        </row>
        <row r="2786">
          <cell r="AJ2786">
            <v>0</v>
          </cell>
          <cell r="AP2786">
            <v>0</v>
          </cell>
        </row>
        <row r="2787">
          <cell r="AJ2787">
            <v>0</v>
          </cell>
          <cell r="AP2787">
            <v>0</v>
          </cell>
        </row>
        <row r="2788">
          <cell r="AJ2788">
            <v>0</v>
          </cell>
          <cell r="AP2788">
            <v>0</v>
          </cell>
        </row>
        <row r="2789">
          <cell r="AJ2789">
            <v>0</v>
          </cell>
          <cell r="AP2789">
            <v>0</v>
          </cell>
        </row>
        <row r="2790">
          <cell r="AJ2790">
            <v>0</v>
          </cell>
          <cell r="AP2790">
            <v>0</v>
          </cell>
        </row>
        <row r="2791">
          <cell r="AJ2791">
            <v>0</v>
          </cell>
          <cell r="AP2791">
            <v>0</v>
          </cell>
        </row>
        <row r="2792">
          <cell r="AJ2792">
            <v>0</v>
          </cell>
          <cell r="AP2792">
            <v>0</v>
          </cell>
        </row>
        <row r="2793">
          <cell r="AJ2793">
            <v>0</v>
          </cell>
          <cell r="AP2793">
            <v>0</v>
          </cell>
        </row>
        <row r="2794">
          <cell r="AJ2794">
            <v>0</v>
          </cell>
          <cell r="AP2794">
            <v>0</v>
          </cell>
        </row>
        <row r="2795">
          <cell r="AJ2795">
            <v>0</v>
          </cell>
          <cell r="AP2795">
            <v>0</v>
          </cell>
        </row>
        <row r="2796">
          <cell r="AJ2796">
            <v>0</v>
          </cell>
          <cell r="AP2796">
            <v>0</v>
          </cell>
        </row>
        <row r="2797">
          <cell r="AJ2797">
            <v>0</v>
          </cell>
          <cell r="AP2797">
            <v>0</v>
          </cell>
        </row>
        <row r="2798">
          <cell r="AJ2798">
            <v>0</v>
          </cell>
          <cell r="AP2798">
            <v>0</v>
          </cell>
        </row>
        <row r="2799">
          <cell r="AJ2799">
            <v>0</v>
          </cell>
          <cell r="AP2799">
            <v>0</v>
          </cell>
        </row>
        <row r="2800">
          <cell r="AJ2800">
            <v>0</v>
          </cell>
          <cell r="AP2800">
            <v>0</v>
          </cell>
        </row>
        <row r="2801">
          <cell r="AJ2801">
            <v>0</v>
          </cell>
          <cell r="AP2801">
            <v>0</v>
          </cell>
        </row>
        <row r="2802">
          <cell r="AJ2802">
            <v>0</v>
          </cell>
          <cell r="AP2802">
            <v>0</v>
          </cell>
        </row>
        <row r="2803">
          <cell r="AJ2803">
            <v>0</v>
          </cell>
          <cell r="AP2803">
            <v>0</v>
          </cell>
        </row>
        <row r="2804">
          <cell r="AJ2804">
            <v>0</v>
          </cell>
          <cell r="AP2804">
            <v>0</v>
          </cell>
        </row>
        <row r="2805">
          <cell r="AJ2805">
            <v>0</v>
          </cell>
          <cell r="AP2805">
            <v>0</v>
          </cell>
        </row>
        <row r="2806">
          <cell r="AJ2806">
            <v>0</v>
          </cell>
          <cell r="AP2806">
            <v>0</v>
          </cell>
        </row>
        <row r="2807">
          <cell r="AJ2807">
            <v>0</v>
          </cell>
          <cell r="AP2807">
            <v>0</v>
          </cell>
        </row>
        <row r="2808">
          <cell r="AJ2808">
            <v>0</v>
          </cell>
          <cell r="AP2808">
            <v>0</v>
          </cell>
        </row>
        <row r="2809">
          <cell r="AJ2809">
            <v>0</v>
          </cell>
          <cell r="AP2809">
            <v>0</v>
          </cell>
        </row>
        <row r="2810">
          <cell r="AJ2810">
            <v>0</v>
          </cell>
          <cell r="AP2810">
            <v>0</v>
          </cell>
        </row>
        <row r="2811">
          <cell r="AJ2811">
            <v>0</v>
          </cell>
          <cell r="AP2811">
            <v>0</v>
          </cell>
        </row>
        <row r="2812">
          <cell r="AJ2812">
            <v>0</v>
          </cell>
          <cell r="AP2812">
            <v>0</v>
          </cell>
        </row>
        <row r="2813">
          <cell r="AJ2813">
            <v>0</v>
          </cell>
          <cell r="AP2813">
            <v>0</v>
          </cell>
        </row>
        <row r="2814">
          <cell r="AJ2814">
            <v>0</v>
          </cell>
          <cell r="AP2814">
            <v>0</v>
          </cell>
        </row>
        <row r="2815">
          <cell r="AJ2815">
            <v>0</v>
          </cell>
          <cell r="AP2815">
            <v>0</v>
          </cell>
        </row>
        <row r="2816">
          <cell r="AJ2816">
            <v>0</v>
          </cell>
          <cell r="AP2816">
            <v>0</v>
          </cell>
        </row>
        <row r="2817">
          <cell r="AJ2817">
            <v>0</v>
          </cell>
          <cell r="AP2817">
            <v>0</v>
          </cell>
        </row>
        <row r="2818">
          <cell r="AJ2818">
            <v>0</v>
          </cell>
          <cell r="AP2818">
            <v>0</v>
          </cell>
        </row>
        <row r="2819">
          <cell r="AJ2819">
            <v>0</v>
          </cell>
          <cell r="AP2819">
            <v>0</v>
          </cell>
        </row>
        <row r="2820">
          <cell r="AJ2820">
            <v>0</v>
          </cell>
          <cell r="AP2820">
            <v>0</v>
          </cell>
        </row>
        <row r="2821">
          <cell r="AJ2821">
            <v>0</v>
          </cell>
          <cell r="AP2821">
            <v>0</v>
          </cell>
        </row>
        <row r="2822">
          <cell r="AJ2822">
            <v>0</v>
          </cell>
          <cell r="AP2822">
            <v>0</v>
          </cell>
        </row>
        <row r="2823">
          <cell r="AJ2823">
            <v>0</v>
          </cell>
          <cell r="AP2823">
            <v>0</v>
          </cell>
        </row>
        <row r="2824">
          <cell r="AJ2824">
            <v>0</v>
          </cell>
          <cell r="AP2824">
            <v>0</v>
          </cell>
        </row>
        <row r="2825">
          <cell r="AJ2825">
            <v>0</v>
          </cell>
          <cell r="AP2825">
            <v>0</v>
          </cell>
        </row>
        <row r="2826">
          <cell r="AJ2826">
            <v>0</v>
          </cell>
          <cell r="AP2826">
            <v>0</v>
          </cell>
        </row>
        <row r="2827">
          <cell r="AJ2827">
            <v>0</v>
          </cell>
          <cell r="AP2827">
            <v>0</v>
          </cell>
        </row>
        <row r="2828">
          <cell r="AJ2828">
            <v>0</v>
          </cell>
          <cell r="AP2828">
            <v>0</v>
          </cell>
        </row>
        <row r="2829">
          <cell r="AJ2829">
            <v>0</v>
          </cell>
          <cell r="AP2829">
            <v>0</v>
          </cell>
        </row>
        <row r="2830">
          <cell r="AJ2830">
            <v>0</v>
          </cell>
          <cell r="AP2830">
            <v>0</v>
          </cell>
        </row>
        <row r="2831">
          <cell r="AJ2831">
            <v>0</v>
          </cell>
          <cell r="AP2831">
            <v>0</v>
          </cell>
        </row>
        <row r="2832">
          <cell r="AJ2832">
            <v>0</v>
          </cell>
          <cell r="AP2832">
            <v>0</v>
          </cell>
        </row>
        <row r="2833">
          <cell r="AJ2833">
            <v>0</v>
          </cell>
          <cell r="AP2833">
            <v>0</v>
          </cell>
        </row>
        <row r="2834">
          <cell r="AJ2834">
            <v>0</v>
          </cell>
          <cell r="AP2834">
            <v>0</v>
          </cell>
        </row>
        <row r="2835">
          <cell r="AJ2835">
            <v>0</v>
          </cell>
          <cell r="AP2835">
            <v>0</v>
          </cell>
        </row>
        <row r="2836">
          <cell r="AJ2836">
            <v>0</v>
          </cell>
          <cell r="AP2836">
            <v>0</v>
          </cell>
        </row>
        <row r="2837">
          <cell r="AJ2837">
            <v>0</v>
          </cell>
          <cell r="AP2837">
            <v>0</v>
          </cell>
        </row>
        <row r="2838">
          <cell r="AJ2838">
            <v>0</v>
          </cell>
          <cell r="AP2838">
            <v>0</v>
          </cell>
        </row>
        <row r="2839">
          <cell r="AJ2839">
            <v>0</v>
          </cell>
          <cell r="AP2839">
            <v>0</v>
          </cell>
        </row>
        <row r="2840">
          <cell r="AJ2840">
            <v>0</v>
          </cell>
          <cell r="AP2840">
            <v>0</v>
          </cell>
        </row>
        <row r="2841">
          <cell r="AJ2841">
            <v>0</v>
          </cell>
          <cell r="AP2841">
            <v>0</v>
          </cell>
        </row>
        <row r="2842">
          <cell r="AJ2842">
            <v>0</v>
          </cell>
          <cell r="AP2842">
            <v>0</v>
          </cell>
        </row>
        <row r="2843">
          <cell r="AJ2843">
            <v>0</v>
          </cell>
          <cell r="AP2843">
            <v>0</v>
          </cell>
        </row>
        <row r="2844">
          <cell r="AJ2844">
            <v>0</v>
          </cell>
          <cell r="AP2844">
            <v>0</v>
          </cell>
        </row>
        <row r="2845">
          <cell r="AJ2845">
            <v>0</v>
          </cell>
          <cell r="AP2845">
            <v>0</v>
          </cell>
        </row>
        <row r="2846">
          <cell r="AJ2846">
            <v>0</v>
          </cell>
          <cell r="AP2846">
            <v>0</v>
          </cell>
        </row>
        <row r="2847">
          <cell r="AJ2847">
            <v>0</v>
          </cell>
          <cell r="AP2847">
            <v>0</v>
          </cell>
        </row>
        <row r="2848">
          <cell r="AJ2848">
            <v>0</v>
          </cell>
          <cell r="AP2848">
            <v>0</v>
          </cell>
        </row>
        <row r="2849">
          <cell r="AJ2849">
            <v>0</v>
          </cell>
          <cell r="AP2849">
            <v>0</v>
          </cell>
        </row>
        <row r="2850">
          <cell r="AJ2850">
            <v>0</v>
          </cell>
          <cell r="AP2850">
            <v>0</v>
          </cell>
        </row>
        <row r="2851">
          <cell r="AJ2851">
            <v>0</v>
          </cell>
          <cell r="AP2851">
            <v>0</v>
          </cell>
        </row>
        <row r="2852">
          <cell r="AJ2852">
            <v>0</v>
          </cell>
          <cell r="AP2852">
            <v>0</v>
          </cell>
        </row>
        <row r="2853">
          <cell r="AJ2853">
            <v>0</v>
          </cell>
          <cell r="AP2853">
            <v>0</v>
          </cell>
        </row>
        <row r="2854">
          <cell r="AJ2854">
            <v>0</v>
          </cell>
          <cell r="AP2854">
            <v>0</v>
          </cell>
        </row>
        <row r="2855">
          <cell r="AJ2855">
            <v>0</v>
          </cell>
          <cell r="AP2855">
            <v>0</v>
          </cell>
        </row>
        <row r="2856">
          <cell r="AJ2856">
            <v>0</v>
          </cell>
          <cell r="AP2856">
            <v>0</v>
          </cell>
        </row>
        <row r="2857">
          <cell r="AJ2857">
            <v>0</v>
          </cell>
          <cell r="AP2857">
            <v>0</v>
          </cell>
        </row>
        <row r="2858">
          <cell r="AJ2858">
            <v>0</v>
          </cell>
          <cell r="AP2858">
            <v>0</v>
          </cell>
        </row>
        <row r="2859">
          <cell r="AJ2859">
            <v>0</v>
          </cell>
          <cell r="AP2859">
            <v>0</v>
          </cell>
        </row>
        <row r="2860">
          <cell r="AJ2860">
            <v>0</v>
          </cell>
          <cell r="AP2860">
            <v>0</v>
          </cell>
        </row>
        <row r="2861">
          <cell r="AJ2861">
            <v>0</v>
          </cell>
          <cell r="AP2861">
            <v>0</v>
          </cell>
        </row>
        <row r="2862">
          <cell r="AJ2862">
            <v>0</v>
          </cell>
          <cell r="AP2862">
            <v>0</v>
          </cell>
        </row>
        <row r="2863">
          <cell r="AJ2863">
            <v>0</v>
          </cell>
          <cell r="AP2863">
            <v>0</v>
          </cell>
        </row>
        <row r="2864">
          <cell r="AJ2864">
            <v>0</v>
          </cell>
          <cell r="AP2864">
            <v>0</v>
          </cell>
        </row>
        <row r="2865">
          <cell r="AJ2865">
            <v>0</v>
          </cell>
          <cell r="AP2865">
            <v>0</v>
          </cell>
        </row>
        <row r="2866">
          <cell r="AJ2866">
            <v>0</v>
          </cell>
          <cell r="AP2866">
            <v>0</v>
          </cell>
        </row>
        <row r="2867">
          <cell r="AJ2867">
            <v>0</v>
          </cell>
          <cell r="AP2867">
            <v>0</v>
          </cell>
        </row>
        <row r="2868">
          <cell r="AJ2868">
            <v>0</v>
          </cell>
          <cell r="AP2868">
            <v>0</v>
          </cell>
        </row>
        <row r="2869">
          <cell r="AJ2869">
            <v>0</v>
          </cell>
          <cell r="AP2869">
            <v>0</v>
          </cell>
        </row>
        <row r="2870">
          <cell r="AJ2870">
            <v>0</v>
          </cell>
          <cell r="AP2870">
            <v>0</v>
          </cell>
        </row>
        <row r="2871">
          <cell r="AJ2871">
            <v>0</v>
          </cell>
          <cell r="AP2871">
            <v>0</v>
          </cell>
        </row>
        <row r="2872">
          <cell r="AJ2872">
            <v>0</v>
          </cell>
          <cell r="AP2872">
            <v>0</v>
          </cell>
        </row>
        <row r="2873">
          <cell r="AJ2873">
            <v>0</v>
          </cell>
          <cell r="AP2873">
            <v>0</v>
          </cell>
        </row>
        <row r="2874">
          <cell r="AJ2874">
            <v>0</v>
          </cell>
          <cell r="AP2874">
            <v>0</v>
          </cell>
        </row>
        <row r="2875">
          <cell r="AJ2875">
            <v>0</v>
          </cell>
          <cell r="AP2875">
            <v>0</v>
          </cell>
        </row>
        <row r="2876">
          <cell r="AJ2876">
            <v>0</v>
          </cell>
          <cell r="AP2876">
            <v>0</v>
          </cell>
        </row>
        <row r="2877">
          <cell r="AJ2877">
            <v>0</v>
          </cell>
          <cell r="AP2877">
            <v>0</v>
          </cell>
        </row>
        <row r="2878">
          <cell r="AJ2878">
            <v>0</v>
          </cell>
          <cell r="AP2878">
            <v>0</v>
          </cell>
        </row>
        <row r="2879">
          <cell r="AJ2879">
            <v>0</v>
          </cell>
          <cell r="AP2879">
            <v>0</v>
          </cell>
        </row>
        <row r="2880">
          <cell r="AJ2880">
            <v>0</v>
          </cell>
          <cell r="AP2880">
            <v>0</v>
          </cell>
        </row>
        <row r="2881">
          <cell r="AJ2881">
            <v>0</v>
          </cell>
          <cell r="AP2881">
            <v>0</v>
          </cell>
        </row>
        <row r="2882">
          <cell r="AJ2882">
            <v>0</v>
          </cell>
          <cell r="AP2882">
            <v>0</v>
          </cell>
        </row>
        <row r="2883">
          <cell r="AJ2883">
            <v>0</v>
          </cell>
          <cell r="AP2883">
            <v>0</v>
          </cell>
        </row>
        <row r="2884">
          <cell r="AJ2884">
            <v>0</v>
          </cell>
          <cell r="AP2884">
            <v>0</v>
          </cell>
        </row>
        <row r="2885">
          <cell r="AJ2885">
            <v>0</v>
          </cell>
          <cell r="AP2885">
            <v>0</v>
          </cell>
        </row>
        <row r="2886">
          <cell r="AJ2886">
            <v>0</v>
          </cell>
          <cell r="AP2886">
            <v>0</v>
          </cell>
        </row>
        <row r="2887">
          <cell r="AJ2887">
            <v>0</v>
          </cell>
          <cell r="AP2887">
            <v>0</v>
          </cell>
        </row>
        <row r="2888">
          <cell r="AJ2888">
            <v>0</v>
          </cell>
          <cell r="AP2888">
            <v>0</v>
          </cell>
        </row>
        <row r="2889">
          <cell r="AJ2889">
            <v>0</v>
          </cell>
          <cell r="AP2889">
            <v>0</v>
          </cell>
        </row>
        <row r="2890">
          <cell r="AJ2890">
            <v>0</v>
          </cell>
          <cell r="AP2890">
            <v>0</v>
          </cell>
        </row>
        <row r="2891">
          <cell r="AJ2891">
            <v>0</v>
          </cell>
          <cell r="AP2891">
            <v>0</v>
          </cell>
        </row>
        <row r="2892">
          <cell r="AJ2892">
            <v>0</v>
          </cell>
          <cell r="AP2892">
            <v>0</v>
          </cell>
        </row>
        <row r="2893">
          <cell r="AJ2893">
            <v>0</v>
          </cell>
          <cell r="AP2893">
            <v>0</v>
          </cell>
        </row>
        <row r="2894">
          <cell r="AJ2894">
            <v>0</v>
          </cell>
          <cell r="AP2894">
            <v>0</v>
          </cell>
        </row>
        <row r="2895">
          <cell r="AJ2895">
            <v>0</v>
          </cell>
          <cell r="AP2895">
            <v>0</v>
          </cell>
        </row>
        <row r="2896">
          <cell r="AJ2896">
            <v>0</v>
          </cell>
          <cell r="AP2896">
            <v>0</v>
          </cell>
        </row>
        <row r="2897">
          <cell r="AJ2897">
            <v>0</v>
          </cell>
          <cell r="AP2897">
            <v>0</v>
          </cell>
        </row>
        <row r="2898">
          <cell r="AJ2898">
            <v>0</v>
          </cell>
          <cell r="AP2898">
            <v>0</v>
          </cell>
        </row>
        <row r="2899">
          <cell r="AJ2899">
            <v>0</v>
          </cell>
          <cell r="AP2899">
            <v>0</v>
          </cell>
        </row>
        <row r="2900">
          <cell r="AJ2900">
            <v>0</v>
          </cell>
          <cell r="AP2900">
            <v>0</v>
          </cell>
        </row>
        <row r="2901">
          <cell r="AJ2901">
            <v>0</v>
          </cell>
          <cell r="AP2901">
            <v>0</v>
          </cell>
        </row>
        <row r="2902">
          <cell r="AJ2902">
            <v>0</v>
          </cell>
          <cell r="AP2902">
            <v>0</v>
          </cell>
        </row>
        <row r="2903">
          <cell r="AJ2903">
            <v>0</v>
          </cell>
          <cell r="AP2903">
            <v>0</v>
          </cell>
        </row>
        <row r="2904">
          <cell r="AJ2904">
            <v>0</v>
          </cell>
          <cell r="AP2904">
            <v>0</v>
          </cell>
        </row>
        <row r="2905">
          <cell r="AJ2905">
            <v>0</v>
          </cell>
          <cell r="AP2905">
            <v>0</v>
          </cell>
        </row>
        <row r="2906">
          <cell r="AJ2906">
            <v>0</v>
          </cell>
          <cell r="AP2906">
            <v>0</v>
          </cell>
        </row>
        <row r="2907">
          <cell r="AJ2907">
            <v>0</v>
          </cell>
          <cell r="AP2907">
            <v>0</v>
          </cell>
        </row>
        <row r="2908">
          <cell r="AJ2908">
            <v>0</v>
          </cell>
          <cell r="AP2908">
            <v>0</v>
          </cell>
        </row>
        <row r="2909">
          <cell r="AJ2909">
            <v>0</v>
          </cell>
          <cell r="AP2909">
            <v>0</v>
          </cell>
        </row>
        <row r="2910">
          <cell r="AJ2910">
            <v>0</v>
          </cell>
          <cell r="AP2910">
            <v>0</v>
          </cell>
        </row>
        <row r="2911">
          <cell r="AJ2911">
            <v>0</v>
          </cell>
          <cell r="AP2911">
            <v>0</v>
          </cell>
        </row>
        <row r="2912">
          <cell r="AJ2912">
            <v>0</v>
          </cell>
          <cell r="AP2912">
            <v>0</v>
          </cell>
        </row>
        <row r="2913">
          <cell r="AJ2913">
            <v>0</v>
          </cell>
          <cell r="AP2913">
            <v>0</v>
          </cell>
        </row>
        <row r="2914">
          <cell r="AJ2914">
            <v>0</v>
          </cell>
          <cell r="AP2914">
            <v>0</v>
          </cell>
        </row>
        <row r="2915">
          <cell r="AJ2915">
            <v>0</v>
          </cell>
          <cell r="AP2915">
            <v>0</v>
          </cell>
        </row>
        <row r="2916">
          <cell r="AJ2916">
            <v>0</v>
          </cell>
          <cell r="AP2916">
            <v>0</v>
          </cell>
        </row>
        <row r="2917">
          <cell r="AJ2917">
            <v>0</v>
          </cell>
          <cell r="AP2917">
            <v>0</v>
          </cell>
        </row>
        <row r="2918">
          <cell r="AJ2918">
            <v>0</v>
          </cell>
          <cell r="AP2918">
            <v>0</v>
          </cell>
        </row>
        <row r="2919">
          <cell r="AJ2919">
            <v>0</v>
          </cell>
          <cell r="AP2919">
            <v>0</v>
          </cell>
        </row>
        <row r="2920">
          <cell r="AJ2920">
            <v>0</v>
          </cell>
          <cell r="AP2920">
            <v>0</v>
          </cell>
        </row>
        <row r="2921">
          <cell r="AJ2921">
            <v>0</v>
          </cell>
          <cell r="AP2921">
            <v>0</v>
          </cell>
        </row>
        <row r="2922">
          <cell r="AJ2922">
            <v>0</v>
          </cell>
          <cell r="AP2922">
            <v>0</v>
          </cell>
        </row>
        <row r="2923">
          <cell r="AJ2923">
            <v>0</v>
          </cell>
          <cell r="AP2923">
            <v>0</v>
          </cell>
        </row>
        <row r="2924">
          <cell r="AJ2924">
            <v>0</v>
          </cell>
          <cell r="AP2924">
            <v>0</v>
          </cell>
        </row>
        <row r="2925">
          <cell r="AJ2925">
            <v>0</v>
          </cell>
          <cell r="AP2925">
            <v>0</v>
          </cell>
        </row>
        <row r="2926">
          <cell r="AJ2926">
            <v>0</v>
          </cell>
          <cell r="AP2926">
            <v>0</v>
          </cell>
        </row>
        <row r="2927">
          <cell r="AJ2927">
            <v>0</v>
          </cell>
          <cell r="AP2927">
            <v>0</v>
          </cell>
        </row>
        <row r="2928">
          <cell r="AJ2928">
            <v>0</v>
          </cell>
          <cell r="AP2928">
            <v>0</v>
          </cell>
        </row>
        <row r="2929">
          <cell r="AJ2929">
            <v>0</v>
          </cell>
          <cell r="AP2929">
            <v>0</v>
          </cell>
        </row>
        <row r="2930">
          <cell r="AJ2930">
            <v>0</v>
          </cell>
          <cell r="AP2930">
            <v>0</v>
          </cell>
        </row>
        <row r="2931">
          <cell r="AJ2931">
            <v>0</v>
          </cell>
          <cell r="AP2931">
            <v>0</v>
          </cell>
        </row>
        <row r="2932">
          <cell r="AJ2932">
            <v>0</v>
          </cell>
          <cell r="AP2932">
            <v>0</v>
          </cell>
        </row>
        <row r="2933">
          <cell r="AJ2933">
            <v>0</v>
          </cell>
          <cell r="AP2933">
            <v>0</v>
          </cell>
        </row>
        <row r="2934">
          <cell r="AJ2934">
            <v>0</v>
          </cell>
          <cell r="AP2934">
            <v>0</v>
          </cell>
        </row>
        <row r="2935">
          <cell r="AJ2935">
            <v>0</v>
          </cell>
          <cell r="AP2935">
            <v>0</v>
          </cell>
        </row>
        <row r="2936">
          <cell r="AJ2936">
            <v>0</v>
          </cell>
          <cell r="AP2936">
            <v>0</v>
          </cell>
        </row>
        <row r="2937">
          <cell r="AJ2937">
            <v>0</v>
          </cell>
          <cell r="AP2937">
            <v>0</v>
          </cell>
        </row>
        <row r="2938">
          <cell r="AJ2938">
            <v>0</v>
          </cell>
          <cell r="AP2938">
            <v>0</v>
          </cell>
        </row>
        <row r="2939">
          <cell r="AJ2939">
            <v>0</v>
          </cell>
          <cell r="AP2939">
            <v>0</v>
          </cell>
        </row>
        <row r="2940">
          <cell r="AJ2940">
            <v>0</v>
          </cell>
          <cell r="AP2940">
            <v>0</v>
          </cell>
        </row>
        <row r="2941">
          <cell r="AJ2941">
            <v>0</v>
          </cell>
          <cell r="AP2941">
            <v>0</v>
          </cell>
        </row>
        <row r="2942">
          <cell r="AJ2942">
            <v>0</v>
          </cell>
          <cell r="AP2942">
            <v>0</v>
          </cell>
        </row>
        <row r="2943">
          <cell r="AJ2943">
            <v>0</v>
          </cell>
          <cell r="AP2943">
            <v>0</v>
          </cell>
        </row>
        <row r="2944">
          <cell r="AJ2944">
            <v>0</v>
          </cell>
          <cell r="AP2944">
            <v>0</v>
          </cell>
        </row>
        <row r="2945">
          <cell r="AJ2945">
            <v>0</v>
          </cell>
          <cell r="AP2945">
            <v>0</v>
          </cell>
        </row>
        <row r="2946">
          <cell r="AJ2946">
            <v>0</v>
          </cell>
          <cell r="AP2946">
            <v>0</v>
          </cell>
        </row>
        <row r="2947">
          <cell r="AJ2947">
            <v>0</v>
          </cell>
          <cell r="AP2947">
            <v>0</v>
          </cell>
        </row>
        <row r="2948">
          <cell r="AJ2948">
            <v>0</v>
          </cell>
          <cell r="AP2948">
            <v>0</v>
          </cell>
        </row>
        <row r="2949">
          <cell r="AJ2949">
            <v>0</v>
          </cell>
          <cell r="AP2949">
            <v>0</v>
          </cell>
        </row>
        <row r="2950">
          <cell r="AJ2950">
            <v>0</v>
          </cell>
          <cell r="AP2950">
            <v>0</v>
          </cell>
        </row>
        <row r="2951">
          <cell r="AJ2951">
            <v>0</v>
          </cell>
          <cell r="AP2951">
            <v>0</v>
          </cell>
        </row>
        <row r="2952">
          <cell r="AJ2952">
            <v>0</v>
          </cell>
          <cell r="AP2952">
            <v>0</v>
          </cell>
        </row>
        <row r="2953">
          <cell r="AJ2953">
            <v>0</v>
          </cell>
          <cell r="AP2953">
            <v>0</v>
          </cell>
        </row>
        <row r="2954">
          <cell r="AJ2954">
            <v>0</v>
          </cell>
          <cell r="AP2954">
            <v>0</v>
          </cell>
        </row>
        <row r="2955">
          <cell r="AJ2955">
            <v>0</v>
          </cell>
          <cell r="AP2955">
            <v>0</v>
          </cell>
        </row>
        <row r="2956">
          <cell r="AJ2956">
            <v>0</v>
          </cell>
          <cell r="AP2956">
            <v>0</v>
          </cell>
        </row>
        <row r="2957">
          <cell r="AJ2957">
            <v>0</v>
          </cell>
          <cell r="AP2957">
            <v>0</v>
          </cell>
        </row>
        <row r="2958">
          <cell r="AJ2958">
            <v>0</v>
          </cell>
          <cell r="AP2958">
            <v>0</v>
          </cell>
        </row>
        <row r="2959">
          <cell r="AJ2959">
            <v>0</v>
          </cell>
          <cell r="AP2959">
            <v>0</v>
          </cell>
        </row>
        <row r="2960">
          <cell r="AJ2960">
            <v>0</v>
          </cell>
          <cell r="AP2960">
            <v>0</v>
          </cell>
        </row>
        <row r="2961">
          <cell r="AJ2961">
            <v>0</v>
          </cell>
          <cell r="AP2961">
            <v>0</v>
          </cell>
        </row>
        <row r="2962">
          <cell r="AJ2962">
            <v>0</v>
          </cell>
          <cell r="AP2962">
            <v>0</v>
          </cell>
        </row>
        <row r="2963">
          <cell r="AJ2963">
            <v>0</v>
          </cell>
          <cell r="AP2963">
            <v>0</v>
          </cell>
        </row>
        <row r="2964">
          <cell r="AJ2964">
            <v>0</v>
          </cell>
          <cell r="AP2964">
            <v>0</v>
          </cell>
        </row>
        <row r="2965">
          <cell r="AJ2965">
            <v>0</v>
          </cell>
          <cell r="AP2965">
            <v>0</v>
          </cell>
        </row>
        <row r="2966">
          <cell r="AJ2966">
            <v>0</v>
          </cell>
          <cell r="AP2966">
            <v>0</v>
          </cell>
        </row>
        <row r="2967">
          <cell r="AJ2967">
            <v>0</v>
          </cell>
          <cell r="AP2967">
            <v>0</v>
          </cell>
        </row>
        <row r="2968">
          <cell r="AJ2968">
            <v>0</v>
          </cell>
          <cell r="AP2968">
            <v>0</v>
          </cell>
        </row>
        <row r="2969">
          <cell r="AJ2969">
            <v>0</v>
          </cell>
          <cell r="AP2969">
            <v>0</v>
          </cell>
        </row>
        <row r="2970">
          <cell r="AJ2970">
            <v>0</v>
          </cell>
          <cell r="AP2970">
            <v>0</v>
          </cell>
        </row>
        <row r="2971">
          <cell r="AJ2971">
            <v>0</v>
          </cell>
          <cell r="AP2971">
            <v>0</v>
          </cell>
        </row>
        <row r="2972">
          <cell r="AJ2972">
            <v>0</v>
          </cell>
          <cell r="AP2972">
            <v>0</v>
          </cell>
        </row>
        <row r="2973">
          <cell r="AJ2973">
            <v>0</v>
          </cell>
          <cell r="AP2973">
            <v>0</v>
          </cell>
        </row>
        <row r="2974">
          <cell r="AJ2974">
            <v>0</v>
          </cell>
          <cell r="AP2974">
            <v>0</v>
          </cell>
        </row>
        <row r="2975">
          <cell r="AJ2975">
            <v>0</v>
          </cell>
          <cell r="AP2975">
            <v>0</v>
          </cell>
        </row>
        <row r="2976">
          <cell r="AJ2976">
            <v>0</v>
          </cell>
          <cell r="AP2976">
            <v>0</v>
          </cell>
        </row>
        <row r="2977">
          <cell r="AJ2977">
            <v>0</v>
          </cell>
          <cell r="AP2977">
            <v>0</v>
          </cell>
        </row>
        <row r="2978">
          <cell r="AJ2978">
            <v>0</v>
          </cell>
          <cell r="AP2978">
            <v>0</v>
          </cell>
        </row>
        <row r="2979">
          <cell r="AJ2979">
            <v>0</v>
          </cell>
          <cell r="AP2979">
            <v>0</v>
          </cell>
        </row>
        <row r="2980">
          <cell r="AJ2980">
            <v>0</v>
          </cell>
          <cell r="AP2980">
            <v>0</v>
          </cell>
        </row>
        <row r="2981">
          <cell r="AJ2981">
            <v>0</v>
          </cell>
          <cell r="AP2981">
            <v>0</v>
          </cell>
        </row>
        <row r="2982">
          <cell r="AJ2982">
            <v>0</v>
          </cell>
          <cell r="AP2982">
            <v>0</v>
          </cell>
        </row>
        <row r="2983">
          <cell r="AJ2983">
            <v>0</v>
          </cell>
          <cell r="AP2983">
            <v>0</v>
          </cell>
        </row>
        <row r="2984">
          <cell r="AJ2984">
            <v>0</v>
          </cell>
          <cell r="AP2984">
            <v>0</v>
          </cell>
        </row>
        <row r="2985">
          <cell r="AJ2985">
            <v>0</v>
          </cell>
          <cell r="AP2985">
            <v>0</v>
          </cell>
        </row>
        <row r="2986">
          <cell r="AJ2986">
            <v>0</v>
          </cell>
          <cell r="AP2986">
            <v>0</v>
          </cell>
        </row>
        <row r="2987">
          <cell r="AJ2987">
            <v>0</v>
          </cell>
          <cell r="AP2987">
            <v>0</v>
          </cell>
        </row>
        <row r="2988">
          <cell r="AJ2988">
            <v>0</v>
          </cell>
          <cell r="AP2988">
            <v>0</v>
          </cell>
        </row>
        <row r="2989">
          <cell r="AJ2989">
            <v>0</v>
          </cell>
          <cell r="AP2989">
            <v>0</v>
          </cell>
        </row>
        <row r="2990">
          <cell r="AJ2990">
            <v>0</v>
          </cell>
          <cell r="AP2990">
            <v>0</v>
          </cell>
        </row>
        <row r="2991">
          <cell r="AJ2991">
            <v>0</v>
          </cell>
          <cell r="AP2991">
            <v>0</v>
          </cell>
        </row>
        <row r="2992">
          <cell r="AJ2992">
            <v>0</v>
          </cell>
          <cell r="AP2992">
            <v>0</v>
          </cell>
        </row>
        <row r="2993">
          <cell r="AJ2993">
            <v>0</v>
          </cell>
          <cell r="AP2993">
            <v>0</v>
          </cell>
        </row>
        <row r="2994">
          <cell r="AJ2994">
            <v>0</v>
          </cell>
          <cell r="AP2994">
            <v>0</v>
          </cell>
        </row>
        <row r="2995">
          <cell r="AJ2995">
            <v>0</v>
          </cell>
          <cell r="AP2995">
            <v>0</v>
          </cell>
        </row>
        <row r="2996">
          <cell r="AJ2996">
            <v>0</v>
          </cell>
          <cell r="AP2996">
            <v>0</v>
          </cell>
        </row>
        <row r="2997">
          <cell r="AJ2997">
            <v>0</v>
          </cell>
          <cell r="AP2997">
            <v>0</v>
          </cell>
        </row>
        <row r="2998">
          <cell r="AJ2998">
            <v>0</v>
          </cell>
          <cell r="AP2998">
            <v>0</v>
          </cell>
        </row>
        <row r="2999">
          <cell r="AJ2999">
            <v>0</v>
          </cell>
          <cell r="AP2999">
            <v>0</v>
          </cell>
        </row>
        <row r="3000">
          <cell r="AJ3000">
            <v>0</v>
          </cell>
          <cell r="AP3000">
            <v>0</v>
          </cell>
        </row>
        <row r="3001">
          <cell r="AJ3001">
            <v>0</v>
          </cell>
          <cell r="AP3001">
            <v>0</v>
          </cell>
        </row>
        <row r="3002">
          <cell r="AJ3002">
            <v>0</v>
          </cell>
          <cell r="AP3002">
            <v>0</v>
          </cell>
        </row>
        <row r="3003">
          <cell r="AJ3003">
            <v>0</v>
          </cell>
          <cell r="AP3003">
            <v>0</v>
          </cell>
        </row>
        <row r="3004">
          <cell r="AJ3004">
            <v>0</v>
          </cell>
          <cell r="AP3004">
            <v>0</v>
          </cell>
        </row>
        <row r="3005">
          <cell r="AJ3005">
            <v>0</v>
          </cell>
          <cell r="AP3005">
            <v>0</v>
          </cell>
        </row>
        <row r="3006">
          <cell r="AJ3006">
            <v>0</v>
          </cell>
          <cell r="AP3006">
            <v>0</v>
          </cell>
        </row>
        <row r="3007">
          <cell r="AJ3007">
            <v>0</v>
          </cell>
          <cell r="AP3007">
            <v>0</v>
          </cell>
        </row>
        <row r="3008">
          <cell r="AJ3008">
            <v>0</v>
          </cell>
          <cell r="AP3008">
            <v>0</v>
          </cell>
        </row>
        <row r="3009">
          <cell r="AJ3009">
            <v>0</v>
          </cell>
          <cell r="AP3009">
            <v>0</v>
          </cell>
        </row>
        <row r="3010">
          <cell r="AJ3010">
            <v>0</v>
          </cell>
          <cell r="AP3010">
            <v>0</v>
          </cell>
        </row>
        <row r="3011">
          <cell r="AJ3011">
            <v>0</v>
          </cell>
          <cell r="AP3011">
            <v>0</v>
          </cell>
        </row>
        <row r="3012">
          <cell r="AJ3012">
            <v>0</v>
          </cell>
          <cell r="AP3012">
            <v>0</v>
          </cell>
        </row>
        <row r="3013">
          <cell r="AJ3013">
            <v>0</v>
          </cell>
          <cell r="AP3013">
            <v>0</v>
          </cell>
        </row>
        <row r="3014">
          <cell r="AJ3014">
            <v>0</v>
          </cell>
          <cell r="AP3014">
            <v>0</v>
          </cell>
        </row>
        <row r="3015">
          <cell r="AJ3015">
            <v>0</v>
          </cell>
          <cell r="AP3015">
            <v>0</v>
          </cell>
        </row>
        <row r="3016">
          <cell r="AJ3016">
            <v>0</v>
          </cell>
          <cell r="AP3016">
            <v>0</v>
          </cell>
        </row>
        <row r="3017">
          <cell r="AJ3017">
            <v>0</v>
          </cell>
          <cell r="AP3017">
            <v>0</v>
          </cell>
        </row>
        <row r="3018">
          <cell r="AJ3018">
            <v>0</v>
          </cell>
          <cell r="AP3018">
            <v>0</v>
          </cell>
        </row>
        <row r="3019">
          <cell r="AJ3019">
            <v>0</v>
          </cell>
          <cell r="AP3019">
            <v>0</v>
          </cell>
        </row>
        <row r="3020">
          <cell r="AJ3020">
            <v>0</v>
          </cell>
          <cell r="AP3020">
            <v>0</v>
          </cell>
        </row>
        <row r="3021">
          <cell r="AJ3021">
            <v>0</v>
          </cell>
          <cell r="AP3021">
            <v>0</v>
          </cell>
        </row>
        <row r="3022">
          <cell r="AJ3022">
            <v>0</v>
          </cell>
          <cell r="AP3022">
            <v>0</v>
          </cell>
        </row>
        <row r="3023">
          <cell r="AJ3023">
            <v>0</v>
          </cell>
          <cell r="AP3023">
            <v>0</v>
          </cell>
        </row>
        <row r="3024">
          <cell r="AJ3024">
            <v>0</v>
          </cell>
          <cell r="AP3024">
            <v>0</v>
          </cell>
        </row>
        <row r="3025">
          <cell r="AJ3025">
            <v>0</v>
          </cell>
          <cell r="AP3025">
            <v>0</v>
          </cell>
        </row>
        <row r="3026">
          <cell r="AJ3026">
            <v>0</v>
          </cell>
          <cell r="AP3026">
            <v>0</v>
          </cell>
        </row>
        <row r="3027">
          <cell r="AJ3027">
            <v>0</v>
          </cell>
          <cell r="AP3027">
            <v>0</v>
          </cell>
        </row>
        <row r="3028">
          <cell r="AJ3028">
            <v>0</v>
          </cell>
          <cell r="AP3028">
            <v>0</v>
          </cell>
        </row>
        <row r="3029">
          <cell r="AJ3029">
            <v>0</v>
          </cell>
          <cell r="AP3029">
            <v>0</v>
          </cell>
        </row>
        <row r="3030">
          <cell r="AJ3030">
            <v>0</v>
          </cell>
          <cell r="AP3030">
            <v>0</v>
          </cell>
        </row>
        <row r="3031">
          <cell r="AJ3031">
            <v>0</v>
          </cell>
          <cell r="AP3031">
            <v>0</v>
          </cell>
        </row>
        <row r="3032">
          <cell r="AJ3032">
            <v>0</v>
          </cell>
          <cell r="AP3032">
            <v>0</v>
          </cell>
        </row>
        <row r="3033">
          <cell r="AJ3033">
            <v>0</v>
          </cell>
          <cell r="AP3033">
            <v>0</v>
          </cell>
        </row>
        <row r="3034">
          <cell r="AJ3034">
            <v>0</v>
          </cell>
          <cell r="AP3034">
            <v>0</v>
          </cell>
        </row>
        <row r="3035">
          <cell r="AJ3035">
            <v>0</v>
          </cell>
          <cell r="AP3035">
            <v>0</v>
          </cell>
        </row>
        <row r="3036">
          <cell r="AJ3036">
            <v>0</v>
          </cell>
          <cell r="AP3036">
            <v>0</v>
          </cell>
        </row>
        <row r="3037">
          <cell r="AJ3037">
            <v>0</v>
          </cell>
          <cell r="AP3037">
            <v>0</v>
          </cell>
        </row>
        <row r="3038">
          <cell r="AJ3038">
            <v>0</v>
          </cell>
          <cell r="AP3038">
            <v>0</v>
          </cell>
        </row>
        <row r="3039">
          <cell r="AJ3039">
            <v>0</v>
          </cell>
          <cell r="AP3039">
            <v>0</v>
          </cell>
        </row>
        <row r="3040">
          <cell r="AJ3040">
            <v>0</v>
          </cell>
          <cell r="AP3040">
            <v>0</v>
          </cell>
        </row>
        <row r="3041">
          <cell r="AJ3041">
            <v>0</v>
          </cell>
          <cell r="AP3041">
            <v>0</v>
          </cell>
        </row>
        <row r="3042">
          <cell r="AJ3042">
            <v>0</v>
          </cell>
          <cell r="AP3042">
            <v>0</v>
          </cell>
        </row>
        <row r="3043">
          <cell r="AJ3043">
            <v>0</v>
          </cell>
          <cell r="AP3043">
            <v>0</v>
          </cell>
        </row>
        <row r="3044">
          <cell r="AJ3044">
            <v>0</v>
          </cell>
          <cell r="AP3044">
            <v>0</v>
          </cell>
        </row>
        <row r="3045">
          <cell r="AJ3045">
            <v>0</v>
          </cell>
          <cell r="AP3045">
            <v>0</v>
          </cell>
        </row>
        <row r="3046">
          <cell r="AJ3046">
            <v>0</v>
          </cell>
          <cell r="AP3046">
            <v>0</v>
          </cell>
        </row>
        <row r="3047">
          <cell r="AJ3047">
            <v>0</v>
          </cell>
          <cell r="AP3047">
            <v>0</v>
          </cell>
        </row>
        <row r="3048">
          <cell r="AJ3048">
            <v>0</v>
          </cell>
          <cell r="AP3048">
            <v>0</v>
          </cell>
        </row>
        <row r="3049">
          <cell r="AJ3049">
            <v>0</v>
          </cell>
          <cell r="AP3049">
            <v>0</v>
          </cell>
        </row>
        <row r="3050">
          <cell r="AJ3050">
            <v>0</v>
          </cell>
          <cell r="AP3050">
            <v>0</v>
          </cell>
        </row>
        <row r="3051">
          <cell r="AJ3051">
            <v>0</v>
          </cell>
          <cell r="AP3051">
            <v>0</v>
          </cell>
        </row>
        <row r="3052">
          <cell r="AJ3052">
            <v>0</v>
          </cell>
          <cell r="AP3052">
            <v>0</v>
          </cell>
        </row>
        <row r="3053">
          <cell r="AJ3053">
            <v>0</v>
          </cell>
          <cell r="AP3053">
            <v>0</v>
          </cell>
        </row>
        <row r="3054">
          <cell r="AJ3054">
            <v>0</v>
          </cell>
          <cell r="AP3054">
            <v>0</v>
          </cell>
        </row>
        <row r="3055">
          <cell r="AJ3055">
            <v>0</v>
          </cell>
          <cell r="AP3055">
            <v>0</v>
          </cell>
        </row>
        <row r="3056">
          <cell r="AJ3056">
            <v>0</v>
          </cell>
          <cell r="AP3056">
            <v>0</v>
          </cell>
        </row>
        <row r="3057">
          <cell r="AJ3057">
            <v>0</v>
          </cell>
          <cell r="AP3057">
            <v>0</v>
          </cell>
        </row>
        <row r="3058">
          <cell r="AJ3058">
            <v>0</v>
          </cell>
          <cell r="AP3058">
            <v>0</v>
          </cell>
        </row>
        <row r="3059">
          <cell r="AJ3059">
            <v>0</v>
          </cell>
          <cell r="AP3059">
            <v>0</v>
          </cell>
        </row>
        <row r="3060">
          <cell r="AJ3060">
            <v>0</v>
          </cell>
          <cell r="AP3060">
            <v>0</v>
          </cell>
        </row>
        <row r="3061">
          <cell r="AJ3061">
            <v>0</v>
          </cell>
          <cell r="AP3061">
            <v>0</v>
          </cell>
        </row>
        <row r="3062">
          <cell r="AJ3062">
            <v>0</v>
          </cell>
          <cell r="AP3062">
            <v>0</v>
          </cell>
        </row>
        <row r="3063">
          <cell r="AJ3063">
            <v>0</v>
          </cell>
          <cell r="AP3063">
            <v>0</v>
          </cell>
        </row>
        <row r="3064">
          <cell r="AJ3064">
            <v>0</v>
          </cell>
          <cell r="AP3064">
            <v>0</v>
          </cell>
        </row>
        <row r="3065">
          <cell r="AJ3065">
            <v>0</v>
          </cell>
          <cell r="AP3065">
            <v>0</v>
          </cell>
        </row>
        <row r="3066">
          <cell r="AJ3066">
            <v>0</v>
          </cell>
          <cell r="AP3066">
            <v>0</v>
          </cell>
        </row>
        <row r="3067">
          <cell r="AJ3067">
            <v>0</v>
          </cell>
          <cell r="AP3067">
            <v>0</v>
          </cell>
        </row>
        <row r="3068">
          <cell r="AJ3068">
            <v>0</v>
          </cell>
          <cell r="AP3068">
            <v>0</v>
          </cell>
        </row>
        <row r="3069">
          <cell r="AJ3069">
            <v>0</v>
          </cell>
          <cell r="AP3069">
            <v>0</v>
          </cell>
        </row>
        <row r="3070">
          <cell r="AJ3070">
            <v>0</v>
          </cell>
          <cell r="AP3070">
            <v>0</v>
          </cell>
        </row>
        <row r="3071">
          <cell r="AJ3071">
            <v>0</v>
          </cell>
          <cell r="AP3071">
            <v>0</v>
          </cell>
        </row>
        <row r="3072">
          <cell r="AJ3072">
            <v>0</v>
          </cell>
          <cell r="AP3072">
            <v>0</v>
          </cell>
        </row>
        <row r="3073">
          <cell r="AJ3073">
            <v>0</v>
          </cell>
          <cell r="AP3073">
            <v>0</v>
          </cell>
        </row>
        <row r="3074">
          <cell r="AJ3074">
            <v>0</v>
          </cell>
          <cell r="AP3074">
            <v>0</v>
          </cell>
        </row>
        <row r="3075">
          <cell r="AJ3075">
            <v>0</v>
          </cell>
          <cell r="AP3075">
            <v>0</v>
          </cell>
        </row>
        <row r="3076">
          <cell r="AJ3076">
            <v>0</v>
          </cell>
          <cell r="AP3076">
            <v>0</v>
          </cell>
        </row>
        <row r="3077">
          <cell r="AJ3077">
            <v>0</v>
          </cell>
          <cell r="AP3077">
            <v>0</v>
          </cell>
        </row>
        <row r="3078">
          <cell r="AJ3078">
            <v>0</v>
          </cell>
          <cell r="AP3078">
            <v>0</v>
          </cell>
        </row>
        <row r="3079">
          <cell r="AJ3079">
            <v>0</v>
          </cell>
          <cell r="AP3079">
            <v>0</v>
          </cell>
        </row>
        <row r="3080">
          <cell r="AJ3080">
            <v>0</v>
          </cell>
          <cell r="AP3080">
            <v>0</v>
          </cell>
        </row>
        <row r="3081">
          <cell r="AJ3081">
            <v>0</v>
          </cell>
          <cell r="AP3081">
            <v>0</v>
          </cell>
        </row>
        <row r="3082">
          <cell r="AJ3082">
            <v>0</v>
          </cell>
          <cell r="AP3082">
            <v>0</v>
          </cell>
        </row>
        <row r="3083">
          <cell r="AJ3083">
            <v>0</v>
          </cell>
          <cell r="AP3083">
            <v>0</v>
          </cell>
        </row>
        <row r="3084">
          <cell r="AJ3084">
            <v>0</v>
          </cell>
          <cell r="AP3084">
            <v>0</v>
          </cell>
        </row>
        <row r="3085">
          <cell r="AJ3085">
            <v>0</v>
          </cell>
          <cell r="AP3085">
            <v>0</v>
          </cell>
        </row>
        <row r="3086">
          <cell r="AJ3086">
            <v>0</v>
          </cell>
          <cell r="AP3086">
            <v>0</v>
          </cell>
        </row>
        <row r="3087">
          <cell r="AJ3087">
            <v>0</v>
          </cell>
          <cell r="AP3087">
            <v>0</v>
          </cell>
        </row>
        <row r="3088">
          <cell r="AJ3088">
            <v>0</v>
          </cell>
          <cell r="AP3088">
            <v>0</v>
          </cell>
        </row>
        <row r="3089">
          <cell r="AJ3089">
            <v>0</v>
          </cell>
          <cell r="AP3089">
            <v>0</v>
          </cell>
        </row>
        <row r="3090">
          <cell r="AJ3090">
            <v>0</v>
          </cell>
          <cell r="AP3090">
            <v>0</v>
          </cell>
        </row>
        <row r="3091">
          <cell r="AJ3091">
            <v>0</v>
          </cell>
          <cell r="AP3091">
            <v>0</v>
          </cell>
        </row>
        <row r="3092">
          <cell r="AJ3092">
            <v>0</v>
          </cell>
          <cell r="AP3092">
            <v>0</v>
          </cell>
        </row>
        <row r="3093">
          <cell r="AJ3093">
            <v>0</v>
          </cell>
          <cell r="AP3093">
            <v>0</v>
          </cell>
        </row>
        <row r="3094">
          <cell r="AJ3094">
            <v>0</v>
          </cell>
          <cell r="AP3094">
            <v>0</v>
          </cell>
        </row>
        <row r="3095">
          <cell r="AJ3095">
            <v>0</v>
          </cell>
          <cell r="AP3095">
            <v>0</v>
          </cell>
        </row>
        <row r="3096">
          <cell r="AJ3096">
            <v>0</v>
          </cell>
          <cell r="AP3096">
            <v>0</v>
          </cell>
        </row>
        <row r="3097">
          <cell r="AJ3097">
            <v>0</v>
          </cell>
          <cell r="AP3097">
            <v>0</v>
          </cell>
        </row>
        <row r="3098">
          <cell r="AJ3098">
            <v>0</v>
          </cell>
          <cell r="AP3098">
            <v>0</v>
          </cell>
        </row>
        <row r="3099">
          <cell r="AJ3099">
            <v>0</v>
          </cell>
          <cell r="AP3099">
            <v>0</v>
          </cell>
        </row>
        <row r="3100">
          <cell r="AJ3100">
            <v>0</v>
          </cell>
          <cell r="AP3100">
            <v>0</v>
          </cell>
        </row>
        <row r="3101">
          <cell r="AJ3101">
            <v>0</v>
          </cell>
          <cell r="AP3101">
            <v>0</v>
          </cell>
        </row>
        <row r="3102">
          <cell r="AJ3102">
            <v>0</v>
          </cell>
          <cell r="AP3102">
            <v>0</v>
          </cell>
        </row>
        <row r="3103">
          <cell r="AJ3103">
            <v>0</v>
          </cell>
          <cell r="AP3103">
            <v>0</v>
          </cell>
        </row>
        <row r="3104">
          <cell r="AJ3104">
            <v>0</v>
          </cell>
          <cell r="AP3104">
            <v>0</v>
          </cell>
        </row>
        <row r="3105">
          <cell r="AJ3105">
            <v>0</v>
          </cell>
          <cell r="AP3105">
            <v>0</v>
          </cell>
        </row>
        <row r="3106">
          <cell r="AJ3106">
            <v>0</v>
          </cell>
          <cell r="AP3106">
            <v>0</v>
          </cell>
        </row>
        <row r="3107">
          <cell r="AJ3107">
            <v>0</v>
          </cell>
          <cell r="AP3107">
            <v>0</v>
          </cell>
        </row>
        <row r="3108">
          <cell r="AJ3108">
            <v>0</v>
          </cell>
          <cell r="AP3108">
            <v>0</v>
          </cell>
        </row>
        <row r="3109">
          <cell r="AJ3109">
            <v>0</v>
          </cell>
          <cell r="AP3109">
            <v>0</v>
          </cell>
        </row>
        <row r="3110">
          <cell r="AJ3110">
            <v>0</v>
          </cell>
          <cell r="AP3110">
            <v>0</v>
          </cell>
        </row>
        <row r="3111">
          <cell r="AJ3111">
            <v>0</v>
          </cell>
          <cell r="AP3111">
            <v>0</v>
          </cell>
        </row>
        <row r="3112">
          <cell r="AJ3112">
            <v>0</v>
          </cell>
          <cell r="AP3112">
            <v>0</v>
          </cell>
        </row>
        <row r="3113">
          <cell r="AJ3113">
            <v>0</v>
          </cell>
          <cell r="AP3113">
            <v>0</v>
          </cell>
        </row>
        <row r="3114">
          <cell r="AJ3114">
            <v>0</v>
          </cell>
          <cell r="AP3114">
            <v>0</v>
          </cell>
        </row>
        <row r="3115">
          <cell r="AJ3115">
            <v>0</v>
          </cell>
          <cell r="AP3115">
            <v>0</v>
          </cell>
        </row>
        <row r="3116">
          <cell r="AJ3116">
            <v>0</v>
          </cell>
          <cell r="AP3116">
            <v>0</v>
          </cell>
        </row>
        <row r="3117">
          <cell r="AJ3117">
            <v>0</v>
          </cell>
          <cell r="AP3117">
            <v>0</v>
          </cell>
        </row>
        <row r="3118">
          <cell r="AJ3118">
            <v>0</v>
          </cell>
          <cell r="AP3118">
            <v>0</v>
          </cell>
        </row>
        <row r="3119">
          <cell r="AJ3119">
            <v>0</v>
          </cell>
          <cell r="AP3119">
            <v>0</v>
          </cell>
        </row>
        <row r="3120">
          <cell r="AJ3120">
            <v>0</v>
          </cell>
          <cell r="AP3120">
            <v>0</v>
          </cell>
        </row>
        <row r="3121">
          <cell r="AJ3121">
            <v>0</v>
          </cell>
          <cell r="AP3121">
            <v>0</v>
          </cell>
        </row>
        <row r="3122">
          <cell r="AJ3122">
            <v>0</v>
          </cell>
          <cell r="AP3122">
            <v>0</v>
          </cell>
        </row>
        <row r="3123">
          <cell r="AJ3123">
            <v>0</v>
          </cell>
          <cell r="AP3123">
            <v>0</v>
          </cell>
        </row>
        <row r="3124">
          <cell r="AJ3124">
            <v>0</v>
          </cell>
          <cell r="AP3124">
            <v>0</v>
          </cell>
        </row>
        <row r="3125">
          <cell r="AJ3125">
            <v>0</v>
          </cell>
          <cell r="AP3125">
            <v>0</v>
          </cell>
        </row>
        <row r="3126">
          <cell r="AJ3126">
            <v>0</v>
          </cell>
          <cell r="AP3126">
            <v>0</v>
          </cell>
        </row>
        <row r="3127">
          <cell r="AJ3127">
            <v>0</v>
          </cell>
          <cell r="AP3127">
            <v>0</v>
          </cell>
        </row>
        <row r="3128">
          <cell r="AJ3128">
            <v>0</v>
          </cell>
          <cell r="AP3128">
            <v>0</v>
          </cell>
        </row>
        <row r="3129">
          <cell r="AJ3129">
            <v>0</v>
          </cell>
          <cell r="AP3129">
            <v>0</v>
          </cell>
        </row>
        <row r="3130">
          <cell r="AJ3130">
            <v>0</v>
          </cell>
          <cell r="AP3130">
            <v>0</v>
          </cell>
        </row>
        <row r="3131">
          <cell r="AJ3131">
            <v>0</v>
          </cell>
          <cell r="AP3131">
            <v>0</v>
          </cell>
        </row>
        <row r="3132">
          <cell r="AJ3132">
            <v>0</v>
          </cell>
          <cell r="AP3132">
            <v>0</v>
          </cell>
        </row>
        <row r="3133">
          <cell r="AJ3133">
            <v>0</v>
          </cell>
          <cell r="AP3133">
            <v>0</v>
          </cell>
        </row>
        <row r="3134">
          <cell r="AJ3134">
            <v>0</v>
          </cell>
          <cell r="AP3134">
            <v>0</v>
          </cell>
        </row>
        <row r="3135">
          <cell r="AJ3135">
            <v>0</v>
          </cell>
          <cell r="AP3135">
            <v>0</v>
          </cell>
        </row>
        <row r="3136">
          <cell r="AJ3136">
            <v>0</v>
          </cell>
          <cell r="AP3136">
            <v>0</v>
          </cell>
        </row>
        <row r="3137">
          <cell r="AJ3137">
            <v>0</v>
          </cell>
          <cell r="AP3137">
            <v>0</v>
          </cell>
        </row>
        <row r="3138">
          <cell r="AJ3138">
            <v>0</v>
          </cell>
          <cell r="AP3138">
            <v>0</v>
          </cell>
        </row>
        <row r="3139">
          <cell r="AJ3139">
            <v>0</v>
          </cell>
          <cell r="AP3139">
            <v>0</v>
          </cell>
        </row>
        <row r="3140">
          <cell r="AJ3140">
            <v>0</v>
          </cell>
          <cell r="AP3140">
            <v>0</v>
          </cell>
        </row>
        <row r="3141">
          <cell r="AJ3141">
            <v>0</v>
          </cell>
          <cell r="AP3141">
            <v>0</v>
          </cell>
        </row>
        <row r="3142">
          <cell r="AJ3142">
            <v>0</v>
          </cell>
          <cell r="AP3142">
            <v>0</v>
          </cell>
        </row>
        <row r="3143">
          <cell r="AJ3143">
            <v>0</v>
          </cell>
          <cell r="AP3143">
            <v>0</v>
          </cell>
        </row>
        <row r="3144">
          <cell r="AJ3144">
            <v>0</v>
          </cell>
          <cell r="AP3144">
            <v>0</v>
          </cell>
        </row>
        <row r="3145">
          <cell r="AJ3145">
            <v>0</v>
          </cell>
          <cell r="AP3145">
            <v>0</v>
          </cell>
        </row>
        <row r="3146">
          <cell r="AJ3146">
            <v>0</v>
          </cell>
          <cell r="AP3146">
            <v>0</v>
          </cell>
        </row>
        <row r="3147">
          <cell r="AJ3147">
            <v>0</v>
          </cell>
          <cell r="AP3147">
            <v>0</v>
          </cell>
        </row>
        <row r="3148">
          <cell r="AJ3148">
            <v>0</v>
          </cell>
          <cell r="AP3148">
            <v>0</v>
          </cell>
        </row>
        <row r="3149">
          <cell r="AJ3149">
            <v>0</v>
          </cell>
          <cell r="AP3149">
            <v>0</v>
          </cell>
        </row>
        <row r="3150">
          <cell r="AJ3150">
            <v>0</v>
          </cell>
          <cell r="AP3150">
            <v>0</v>
          </cell>
        </row>
        <row r="3151">
          <cell r="AJ3151">
            <v>0</v>
          </cell>
          <cell r="AP3151">
            <v>0</v>
          </cell>
        </row>
        <row r="3152">
          <cell r="AJ3152">
            <v>0</v>
          </cell>
          <cell r="AP3152">
            <v>0</v>
          </cell>
        </row>
        <row r="3153">
          <cell r="AJ3153">
            <v>0</v>
          </cell>
          <cell r="AP3153">
            <v>0</v>
          </cell>
        </row>
        <row r="3154">
          <cell r="AJ3154">
            <v>0</v>
          </cell>
          <cell r="AP3154">
            <v>0</v>
          </cell>
        </row>
        <row r="3155">
          <cell r="AJ3155">
            <v>0</v>
          </cell>
          <cell r="AP3155">
            <v>0</v>
          </cell>
        </row>
        <row r="3156">
          <cell r="AJ3156">
            <v>0</v>
          </cell>
          <cell r="AP3156">
            <v>0</v>
          </cell>
        </row>
        <row r="3157">
          <cell r="AJ3157">
            <v>0</v>
          </cell>
          <cell r="AP3157">
            <v>0</v>
          </cell>
        </row>
        <row r="3158">
          <cell r="AJ3158">
            <v>0</v>
          </cell>
          <cell r="AP3158">
            <v>0</v>
          </cell>
        </row>
        <row r="3159">
          <cell r="AJ3159">
            <v>0</v>
          </cell>
          <cell r="AP3159">
            <v>0</v>
          </cell>
        </row>
        <row r="3160">
          <cell r="AJ3160">
            <v>0</v>
          </cell>
          <cell r="AP3160">
            <v>0</v>
          </cell>
        </row>
        <row r="3161">
          <cell r="AJ3161">
            <v>0</v>
          </cell>
          <cell r="AP3161">
            <v>0</v>
          </cell>
        </row>
        <row r="3162">
          <cell r="AJ3162">
            <v>0</v>
          </cell>
          <cell r="AP3162">
            <v>0</v>
          </cell>
        </row>
        <row r="3163">
          <cell r="AJ3163">
            <v>0</v>
          </cell>
          <cell r="AP3163">
            <v>0</v>
          </cell>
        </row>
        <row r="3164">
          <cell r="AJ3164">
            <v>0</v>
          </cell>
          <cell r="AP3164">
            <v>0</v>
          </cell>
        </row>
        <row r="3165">
          <cell r="AJ3165">
            <v>0</v>
          </cell>
          <cell r="AP3165">
            <v>0</v>
          </cell>
        </row>
        <row r="3166">
          <cell r="AJ3166">
            <v>0</v>
          </cell>
          <cell r="AP3166">
            <v>0</v>
          </cell>
        </row>
        <row r="3167">
          <cell r="AJ3167">
            <v>0</v>
          </cell>
          <cell r="AP3167">
            <v>0</v>
          </cell>
        </row>
        <row r="3168">
          <cell r="AJ3168">
            <v>0</v>
          </cell>
          <cell r="AP3168">
            <v>0</v>
          </cell>
        </row>
        <row r="3169">
          <cell r="AJ3169">
            <v>0</v>
          </cell>
          <cell r="AP3169">
            <v>0</v>
          </cell>
        </row>
        <row r="3170">
          <cell r="AJ3170">
            <v>0</v>
          </cell>
          <cell r="AP3170">
            <v>0</v>
          </cell>
        </row>
        <row r="3171">
          <cell r="AJ3171">
            <v>0</v>
          </cell>
          <cell r="AP3171">
            <v>0</v>
          </cell>
        </row>
        <row r="3172">
          <cell r="AJ3172">
            <v>0</v>
          </cell>
          <cell r="AP3172">
            <v>0</v>
          </cell>
        </row>
        <row r="3173">
          <cell r="AJ3173">
            <v>0</v>
          </cell>
          <cell r="AP3173">
            <v>0</v>
          </cell>
        </row>
        <row r="3174">
          <cell r="AJ3174">
            <v>0</v>
          </cell>
          <cell r="AP3174">
            <v>0</v>
          </cell>
        </row>
        <row r="3175">
          <cell r="AJ3175">
            <v>0</v>
          </cell>
          <cell r="AP3175">
            <v>0</v>
          </cell>
        </row>
        <row r="3176">
          <cell r="AJ3176">
            <v>0</v>
          </cell>
          <cell r="AP3176">
            <v>0</v>
          </cell>
        </row>
        <row r="3177">
          <cell r="AJ3177">
            <v>0</v>
          </cell>
          <cell r="AP3177">
            <v>0</v>
          </cell>
        </row>
        <row r="3178">
          <cell r="AJ3178">
            <v>0</v>
          </cell>
          <cell r="AP3178">
            <v>0</v>
          </cell>
        </row>
        <row r="3179">
          <cell r="AJ3179">
            <v>0</v>
          </cell>
          <cell r="AP3179">
            <v>0</v>
          </cell>
        </row>
        <row r="3180">
          <cell r="AJ3180">
            <v>0</v>
          </cell>
          <cell r="AP3180">
            <v>0</v>
          </cell>
        </row>
        <row r="3181">
          <cell r="AJ3181">
            <v>0</v>
          </cell>
          <cell r="AP3181">
            <v>0</v>
          </cell>
        </row>
        <row r="3182">
          <cell r="AJ3182">
            <v>0</v>
          </cell>
          <cell r="AP3182">
            <v>0</v>
          </cell>
        </row>
        <row r="3183">
          <cell r="AJ3183">
            <v>0</v>
          </cell>
          <cell r="AP3183">
            <v>0</v>
          </cell>
        </row>
        <row r="3184">
          <cell r="AJ3184">
            <v>0</v>
          </cell>
          <cell r="AP3184">
            <v>0</v>
          </cell>
        </row>
        <row r="3185">
          <cell r="AJ3185">
            <v>0</v>
          </cell>
          <cell r="AP3185">
            <v>0</v>
          </cell>
        </row>
        <row r="3186">
          <cell r="AJ3186">
            <v>0</v>
          </cell>
          <cell r="AP3186">
            <v>0</v>
          </cell>
        </row>
        <row r="3187">
          <cell r="AJ3187">
            <v>0</v>
          </cell>
          <cell r="AP3187">
            <v>0</v>
          </cell>
        </row>
        <row r="3188">
          <cell r="AJ3188">
            <v>0</v>
          </cell>
          <cell r="AP3188">
            <v>0</v>
          </cell>
        </row>
        <row r="3189">
          <cell r="AJ3189">
            <v>0</v>
          </cell>
          <cell r="AP3189">
            <v>0</v>
          </cell>
        </row>
        <row r="3190">
          <cell r="AJ3190">
            <v>0</v>
          </cell>
          <cell r="AP3190">
            <v>0</v>
          </cell>
        </row>
        <row r="3191">
          <cell r="AJ3191">
            <v>0</v>
          </cell>
          <cell r="AP3191">
            <v>0</v>
          </cell>
        </row>
        <row r="3192">
          <cell r="AJ3192">
            <v>0</v>
          </cell>
          <cell r="AP3192">
            <v>0</v>
          </cell>
        </row>
        <row r="3193">
          <cell r="AJ3193">
            <v>0</v>
          </cell>
          <cell r="AP3193">
            <v>0</v>
          </cell>
        </row>
        <row r="3194">
          <cell r="AJ3194">
            <v>0</v>
          </cell>
          <cell r="AP3194">
            <v>0</v>
          </cell>
        </row>
        <row r="3195">
          <cell r="AJ3195">
            <v>0</v>
          </cell>
          <cell r="AP3195">
            <v>0</v>
          </cell>
        </row>
        <row r="3196">
          <cell r="AJ3196">
            <v>0</v>
          </cell>
          <cell r="AP3196">
            <v>0</v>
          </cell>
        </row>
        <row r="3197">
          <cell r="AJ3197">
            <v>0</v>
          </cell>
          <cell r="AP3197">
            <v>0</v>
          </cell>
        </row>
        <row r="3198">
          <cell r="AJ3198">
            <v>0</v>
          </cell>
          <cell r="AP3198">
            <v>0</v>
          </cell>
        </row>
        <row r="3199">
          <cell r="AJ3199">
            <v>0</v>
          </cell>
          <cell r="AP3199">
            <v>0</v>
          </cell>
        </row>
        <row r="3200">
          <cell r="AJ3200">
            <v>0</v>
          </cell>
          <cell r="AP3200">
            <v>0</v>
          </cell>
        </row>
        <row r="3201">
          <cell r="AJ3201">
            <v>0</v>
          </cell>
          <cell r="AP3201">
            <v>0</v>
          </cell>
        </row>
        <row r="3202">
          <cell r="AJ3202">
            <v>0</v>
          </cell>
          <cell r="AP3202">
            <v>0</v>
          </cell>
        </row>
        <row r="3203">
          <cell r="AJ3203">
            <v>0</v>
          </cell>
          <cell r="AP3203">
            <v>0</v>
          </cell>
        </row>
        <row r="3204">
          <cell r="AJ3204">
            <v>0</v>
          </cell>
          <cell r="AP3204">
            <v>0</v>
          </cell>
        </row>
        <row r="3205">
          <cell r="AJ3205">
            <v>0</v>
          </cell>
          <cell r="AP3205">
            <v>0</v>
          </cell>
        </row>
        <row r="3206">
          <cell r="AJ3206">
            <v>0</v>
          </cell>
          <cell r="AP3206">
            <v>0</v>
          </cell>
        </row>
        <row r="3207">
          <cell r="AJ3207">
            <v>0</v>
          </cell>
          <cell r="AP3207">
            <v>0</v>
          </cell>
        </row>
        <row r="3208">
          <cell r="AJ3208">
            <v>0</v>
          </cell>
          <cell r="AP3208">
            <v>0</v>
          </cell>
        </row>
        <row r="3209">
          <cell r="AJ3209">
            <v>0</v>
          </cell>
          <cell r="AP3209">
            <v>0</v>
          </cell>
        </row>
        <row r="3210">
          <cell r="AJ3210">
            <v>0</v>
          </cell>
          <cell r="AP3210">
            <v>0</v>
          </cell>
        </row>
        <row r="3211">
          <cell r="AJ3211">
            <v>0</v>
          </cell>
          <cell r="AP3211">
            <v>0</v>
          </cell>
        </row>
        <row r="3212">
          <cell r="AJ3212">
            <v>0</v>
          </cell>
          <cell r="AP3212">
            <v>0</v>
          </cell>
        </row>
        <row r="3213">
          <cell r="AJ3213">
            <v>0</v>
          </cell>
          <cell r="AP3213">
            <v>0</v>
          </cell>
        </row>
        <row r="3214">
          <cell r="AJ3214">
            <v>0</v>
          </cell>
          <cell r="AP3214">
            <v>0</v>
          </cell>
        </row>
        <row r="3215">
          <cell r="AJ3215">
            <v>0</v>
          </cell>
          <cell r="AP3215">
            <v>0</v>
          </cell>
        </row>
        <row r="3216">
          <cell r="AJ3216">
            <v>0</v>
          </cell>
          <cell r="AP3216">
            <v>0</v>
          </cell>
        </row>
        <row r="3217">
          <cell r="AJ3217">
            <v>0</v>
          </cell>
          <cell r="AP3217">
            <v>0</v>
          </cell>
        </row>
        <row r="3218">
          <cell r="AJ3218">
            <v>0</v>
          </cell>
          <cell r="AP3218">
            <v>0</v>
          </cell>
        </row>
        <row r="3219">
          <cell r="AJ3219">
            <v>0</v>
          </cell>
          <cell r="AP3219">
            <v>0</v>
          </cell>
        </row>
        <row r="3220">
          <cell r="AJ3220">
            <v>0</v>
          </cell>
          <cell r="AP3220">
            <v>0</v>
          </cell>
        </row>
        <row r="3221">
          <cell r="AJ3221">
            <v>0</v>
          </cell>
          <cell r="AP3221">
            <v>0</v>
          </cell>
        </row>
        <row r="3222">
          <cell r="AJ3222">
            <v>0</v>
          </cell>
          <cell r="AP3222">
            <v>0</v>
          </cell>
        </row>
        <row r="3223">
          <cell r="AJ3223">
            <v>0</v>
          </cell>
          <cell r="AP3223">
            <v>0</v>
          </cell>
        </row>
        <row r="3224">
          <cell r="AJ3224">
            <v>0</v>
          </cell>
          <cell r="AP3224">
            <v>0</v>
          </cell>
        </row>
        <row r="3225">
          <cell r="AJ3225">
            <v>0</v>
          </cell>
          <cell r="AP3225">
            <v>0</v>
          </cell>
        </row>
        <row r="3226">
          <cell r="AJ3226">
            <v>0</v>
          </cell>
          <cell r="AP3226">
            <v>0</v>
          </cell>
        </row>
        <row r="3227">
          <cell r="AJ3227">
            <v>0</v>
          </cell>
          <cell r="AP3227">
            <v>0</v>
          </cell>
        </row>
        <row r="3228">
          <cell r="AJ3228">
            <v>0</v>
          </cell>
          <cell r="AP3228">
            <v>0</v>
          </cell>
        </row>
        <row r="3229">
          <cell r="AJ3229">
            <v>0</v>
          </cell>
          <cell r="AP3229">
            <v>0</v>
          </cell>
        </row>
        <row r="3230">
          <cell r="AJ3230">
            <v>0</v>
          </cell>
          <cell r="AP3230">
            <v>0</v>
          </cell>
        </row>
        <row r="3231">
          <cell r="AJ3231">
            <v>0</v>
          </cell>
          <cell r="AP3231">
            <v>0</v>
          </cell>
        </row>
        <row r="3232">
          <cell r="AJ3232">
            <v>0</v>
          </cell>
          <cell r="AP3232">
            <v>0</v>
          </cell>
        </row>
        <row r="3233">
          <cell r="AJ3233">
            <v>0</v>
          </cell>
          <cell r="AP3233">
            <v>0</v>
          </cell>
        </row>
        <row r="3234">
          <cell r="AJ3234">
            <v>0</v>
          </cell>
          <cell r="AP3234">
            <v>0</v>
          </cell>
        </row>
        <row r="3235">
          <cell r="AJ3235">
            <v>0</v>
          </cell>
          <cell r="AP3235">
            <v>0</v>
          </cell>
        </row>
        <row r="3236">
          <cell r="AJ3236">
            <v>0</v>
          </cell>
          <cell r="AP3236">
            <v>0</v>
          </cell>
        </row>
        <row r="3237">
          <cell r="AJ3237">
            <v>0</v>
          </cell>
          <cell r="AP3237">
            <v>0</v>
          </cell>
        </row>
        <row r="3238">
          <cell r="AJ3238">
            <v>0</v>
          </cell>
          <cell r="AP3238">
            <v>0</v>
          </cell>
        </row>
        <row r="3239">
          <cell r="AJ3239">
            <v>0</v>
          </cell>
          <cell r="AP3239">
            <v>0</v>
          </cell>
        </row>
        <row r="3240">
          <cell r="AJ3240">
            <v>0</v>
          </cell>
          <cell r="AP3240">
            <v>0</v>
          </cell>
        </row>
        <row r="3241">
          <cell r="AJ3241">
            <v>0</v>
          </cell>
          <cell r="AP3241">
            <v>0</v>
          </cell>
        </row>
        <row r="3242">
          <cell r="AJ3242">
            <v>0</v>
          </cell>
          <cell r="AP3242">
            <v>0</v>
          </cell>
        </row>
        <row r="3243">
          <cell r="AJ3243">
            <v>0</v>
          </cell>
          <cell r="AP3243">
            <v>0</v>
          </cell>
        </row>
        <row r="3244">
          <cell r="AJ3244">
            <v>0</v>
          </cell>
          <cell r="AP3244">
            <v>0</v>
          </cell>
        </row>
        <row r="3245">
          <cell r="AJ3245">
            <v>0</v>
          </cell>
          <cell r="AP3245">
            <v>0</v>
          </cell>
        </row>
        <row r="3246">
          <cell r="AJ3246">
            <v>0</v>
          </cell>
          <cell r="AP3246">
            <v>0</v>
          </cell>
        </row>
        <row r="3247">
          <cell r="AJ3247">
            <v>0</v>
          </cell>
          <cell r="AP3247">
            <v>0</v>
          </cell>
        </row>
        <row r="3248">
          <cell r="AJ3248">
            <v>0</v>
          </cell>
          <cell r="AP3248">
            <v>0</v>
          </cell>
        </row>
        <row r="3249">
          <cell r="AJ3249">
            <v>0</v>
          </cell>
          <cell r="AP3249">
            <v>0</v>
          </cell>
        </row>
        <row r="3250">
          <cell r="AJ3250">
            <v>0</v>
          </cell>
          <cell r="AP3250">
            <v>0</v>
          </cell>
        </row>
        <row r="3251">
          <cell r="AJ3251">
            <v>0</v>
          </cell>
          <cell r="AP3251">
            <v>0</v>
          </cell>
        </row>
        <row r="3252">
          <cell r="AJ3252">
            <v>0</v>
          </cell>
          <cell r="AP3252">
            <v>0</v>
          </cell>
        </row>
        <row r="3253">
          <cell r="AJ3253">
            <v>0</v>
          </cell>
          <cell r="AP3253">
            <v>0</v>
          </cell>
        </row>
        <row r="3254">
          <cell r="AJ3254">
            <v>0</v>
          </cell>
          <cell r="AP3254">
            <v>0</v>
          </cell>
        </row>
        <row r="3255">
          <cell r="AJ3255">
            <v>0</v>
          </cell>
          <cell r="AP3255">
            <v>0</v>
          </cell>
        </row>
        <row r="3256">
          <cell r="AJ3256">
            <v>0</v>
          </cell>
          <cell r="AP3256">
            <v>0</v>
          </cell>
        </row>
        <row r="3257">
          <cell r="AJ3257">
            <v>0</v>
          </cell>
          <cell r="AP3257">
            <v>0</v>
          </cell>
        </row>
        <row r="3258">
          <cell r="AJ3258">
            <v>0</v>
          </cell>
          <cell r="AP3258">
            <v>0</v>
          </cell>
        </row>
        <row r="3259">
          <cell r="AJ3259">
            <v>0</v>
          </cell>
          <cell r="AP3259">
            <v>0</v>
          </cell>
        </row>
        <row r="3260">
          <cell r="AJ3260">
            <v>0</v>
          </cell>
          <cell r="AP3260">
            <v>0</v>
          </cell>
        </row>
        <row r="3261">
          <cell r="AJ3261">
            <v>0</v>
          </cell>
          <cell r="AP3261">
            <v>0</v>
          </cell>
        </row>
        <row r="3262">
          <cell r="AJ3262">
            <v>0</v>
          </cell>
          <cell r="AP3262">
            <v>0</v>
          </cell>
        </row>
        <row r="3263">
          <cell r="AJ3263">
            <v>0</v>
          </cell>
          <cell r="AP3263">
            <v>0</v>
          </cell>
        </row>
        <row r="3264">
          <cell r="AJ3264">
            <v>0</v>
          </cell>
          <cell r="AP3264">
            <v>0</v>
          </cell>
        </row>
        <row r="3265">
          <cell r="AJ3265">
            <v>0</v>
          </cell>
          <cell r="AP3265">
            <v>0</v>
          </cell>
        </row>
        <row r="3266">
          <cell r="AJ3266">
            <v>0</v>
          </cell>
          <cell r="AP3266">
            <v>0</v>
          </cell>
        </row>
        <row r="3267">
          <cell r="AJ3267">
            <v>0</v>
          </cell>
          <cell r="AP3267">
            <v>0</v>
          </cell>
        </row>
        <row r="3268">
          <cell r="AJ3268">
            <v>0</v>
          </cell>
          <cell r="AP3268">
            <v>0</v>
          </cell>
        </row>
        <row r="3269">
          <cell r="AJ3269">
            <v>0</v>
          </cell>
          <cell r="AP3269">
            <v>0</v>
          </cell>
        </row>
        <row r="3270">
          <cell r="AJ3270">
            <v>0</v>
          </cell>
          <cell r="AP3270">
            <v>0</v>
          </cell>
        </row>
        <row r="3271">
          <cell r="AJ3271">
            <v>0</v>
          </cell>
          <cell r="AP3271">
            <v>0</v>
          </cell>
        </row>
        <row r="3272">
          <cell r="AJ3272">
            <v>0</v>
          </cell>
          <cell r="AP3272">
            <v>0</v>
          </cell>
        </row>
        <row r="3273">
          <cell r="AJ3273">
            <v>0</v>
          </cell>
          <cell r="AP3273">
            <v>0</v>
          </cell>
        </row>
        <row r="3274">
          <cell r="AJ3274">
            <v>0</v>
          </cell>
          <cell r="AP3274">
            <v>0</v>
          </cell>
        </row>
        <row r="3275">
          <cell r="AJ3275">
            <v>0</v>
          </cell>
          <cell r="AP3275">
            <v>0</v>
          </cell>
        </row>
        <row r="3276">
          <cell r="AJ3276">
            <v>0</v>
          </cell>
          <cell r="AP3276">
            <v>0</v>
          </cell>
        </row>
        <row r="3277">
          <cell r="AJ3277">
            <v>0</v>
          </cell>
          <cell r="AP3277">
            <v>0</v>
          </cell>
        </row>
        <row r="3278">
          <cell r="AJ3278">
            <v>0</v>
          </cell>
          <cell r="AP3278">
            <v>0</v>
          </cell>
        </row>
        <row r="3279">
          <cell r="AJ3279">
            <v>0</v>
          </cell>
          <cell r="AP3279">
            <v>0</v>
          </cell>
        </row>
        <row r="3280">
          <cell r="AJ3280">
            <v>0</v>
          </cell>
          <cell r="AP3280">
            <v>0</v>
          </cell>
        </row>
        <row r="3281">
          <cell r="AJ3281">
            <v>0</v>
          </cell>
          <cell r="AP3281">
            <v>0</v>
          </cell>
        </row>
        <row r="3282">
          <cell r="AJ3282">
            <v>0</v>
          </cell>
          <cell r="AP3282">
            <v>0</v>
          </cell>
        </row>
        <row r="3283">
          <cell r="AJ3283">
            <v>0</v>
          </cell>
          <cell r="AP3283">
            <v>0</v>
          </cell>
        </row>
        <row r="3284">
          <cell r="AJ3284">
            <v>0</v>
          </cell>
          <cell r="AP3284">
            <v>0</v>
          </cell>
        </row>
        <row r="3285">
          <cell r="AJ3285">
            <v>0</v>
          </cell>
          <cell r="AP3285">
            <v>0</v>
          </cell>
        </row>
        <row r="3286">
          <cell r="AJ3286">
            <v>0</v>
          </cell>
          <cell r="AP3286">
            <v>0</v>
          </cell>
        </row>
        <row r="3287">
          <cell r="AJ3287">
            <v>0</v>
          </cell>
          <cell r="AP3287">
            <v>0</v>
          </cell>
        </row>
        <row r="3288">
          <cell r="AJ3288">
            <v>0</v>
          </cell>
          <cell r="AP3288">
            <v>0</v>
          </cell>
        </row>
        <row r="3289">
          <cell r="AJ3289">
            <v>0</v>
          </cell>
          <cell r="AP3289">
            <v>0</v>
          </cell>
        </row>
        <row r="3290">
          <cell r="AJ3290">
            <v>0</v>
          </cell>
          <cell r="AP3290">
            <v>0</v>
          </cell>
        </row>
        <row r="3291">
          <cell r="AJ3291">
            <v>0</v>
          </cell>
          <cell r="AP3291">
            <v>0</v>
          </cell>
        </row>
        <row r="3292">
          <cell r="AJ3292">
            <v>0</v>
          </cell>
          <cell r="AP3292">
            <v>0</v>
          </cell>
        </row>
        <row r="3293">
          <cell r="AJ3293">
            <v>0</v>
          </cell>
          <cell r="AP3293">
            <v>0</v>
          </cell>
        </row>
        <row r="3294">
          <cell r="AJ3294">
            <v>0</v>
          </cell>
          <cell r="AP3294">
            <v>0</v>
          </cell>
        </row>
        <row r="3295">
          <cell r="AJ3295">
            <v>0</v>
          </cell>
          <cell r="AP3295">
            <v>0</v>
          </cell>
        </row>
        <row r="3296">
          <cell r="AJ3296">
            <v>0</v>
          </cell>
          <cell r="AP3296">
            <v>0</v>
          </cell>
        </row>
        <row r="3297">
          <cell r="AJ3297">
            <v>0</v>
          </cell>
          <cell r="AP3297">
            <v>0</v>
          </cell>
        </row>
        <row r="3298">
          <cell r="AJ3298">
            <v>0</v>
          </cell>
          <cell r="AP3298">
            <v>0</v>
          </cell>
        </row>
        <row r="3299">
          <cell r="AJ3299">
            <v>0</v>
          </cell>
          <cell r="AP3299">
            <v>0</v>
          </cell>
        </row>
        <row r="3300">
          <cell r="AJ3300">
            <v>0</v>
          </cell>
          <cell r="AP3300">
            <v>0</v>
          </cell>
        </row>
        <row r="3301">
          <cell r="AJ3301">
            <v>0</v>
          </cell>
          <cell r="AP3301">
            <v>0</v>
          </cell>
        </row>
        <row r="3302">
          <cell r="AJ3302">
            <v>0</v>
          </cell>
          <cell r="AP3302">
            <v>0</v>
          </cell>
        </row>
        <row r="3303">
          <cell r="AJ3303">
            <v>0</v>
          </cell>
          <cell r="AP3303">
            <v>0</v>
          </cell>
        </row>
        <row r="3304">
          <cell r="AJ3304">
            <v>0</v>
          </cell>
          <cell r="AP3304">
            <v>0</v>
          </cell>
        </row>
        <row r="3305">
          <cell r="AJ3305">
            <v>0</v>
          </cell>
          <cell r="AP3305">
            <v>0</v>
          </cell>
        </row>
        <row r="3306">
          <cell r="AJ3306">
            <v>0</v>
          </cell>
          <cell r="AP3306">
            <v>0</v>
          </cell>
        </row>
        <row r="3307">
          <cell r="AJ3307">
            <v>0</v>
          </cell>
          <cell r="AP3307">
            <v>0</v>
          </cell>
        </row>
        <row r="3308">
          <cell r="AJ3308">
            <v>0</v>
          </cell>
          <cell r="AP3308">
            <v>0</v>
          </cell>
        </row>
        <row r="3309">
          <cell r="AJ3309">
            <v>0</v>
          </cell>
          <cell r="AP3309">
            <v>0</v>
          </cell>
        </row>
        <row r="3310">
          <cell r="AJ3310">
            <v>0</v>
          </cell>
          <cell r="AP3310">
            <v>0</v>
          </cell>
        </row>
        <row r="3311">
          <cell r="AJ3311">
            <v>0</v>
          </cell>
          <cell r="AP3311">
            <v>0</v>
          </cell>
        </row>
        <row r="3312">
          <cell r="AJ3312">
            <v>0</v>
          </cell>
          <cell r="AP3312">
            <v>0</v>
          </cell>
        </row>
        <row r="3313">
          <cell r="AJ3313">
            <v>0</v>
          </cell>
          <cell r="AP3313">
            <v>0</v>
          </cell>
        </row>
        <row r="3314">
          <cell r="AJ3314">
            <v>0</v>
          </cell>
          <cell r="AP3314">
            <v>0</v>
          </cell>
        </row>
        <row r="3315">
          <cell r="AJ3315">
            <v>0</v>
          </cell>
          <cell r="AP3315">
            <v>0</v>
          </cell>
        </row>
        <row r="3316">
          <cell r="AJ3316">
            <v>0</v>
          </cell>
          <cell r="AP3316">
            <v>0</v>
          </cell>
        </row>
        <row r="3317">
          <cell r="AJ3317">
            <v>0</v>
          </cell>
          <cell r="AP3317">
            <v>0</v>
          </cell>
        </row>
        <row r="3318">
          <cell r="AJ3318">
            <v>0</v>
          </cell>
          <cell r="AP3318">
            <v>0</v>
          </cell>
        </row>
        <row r="3319">
          <cell r="AJ3319">
            <v>0</v>
          </cell>
          <cell r="AP3319">
            <v>0</v>
          </cell>
        </row>
        <row r="3320">
          <cell r="AJ3320">
            <v>0</v>
          </cell>
          <cell r="AP3320">
            <v>0</v>
          </cell>
        </row>
        <row r="3321">
          <cell r="AJ3321">
            <v>0</v>
          </cell>
          <cell r="AP3321">
            <v>0</v>
          </cell>
        </row>
        <row r="3322">
          <cell r="AJ3322">
            <v>0</v>
          </cell>
          <cell r="AP3322">
            <v>0</v>
          </cell>
        </row>
        <row r="3323">
          <cell r="AJ3323">
            <v>0</v>
          </cell>
          <cell r="AP3323">
            <v>0</v>
          </cell>
        </row>
        <row r="3324">
          <cell r="AJ3324">
            <v>0</v>
          </cell>
          <cell r="AP3324">
            <v>0</v>
          </cell>
        </row>
        <row r="3325">
          <cell r="AJ3325">
            <v>0</v>
          </cell>
          <cell r="AP3325">
            <v>0</v>
          </cell>
        </row>
        <row r="3326">
          <cell r="AJ3326">
            <v>0</v>
          </cell>
          <cell r="AP3326">
            <v>0</v>
          </cell>
        </row>
        <row r="3327">
          <cell r="AJ3327">
            <v>0</v>
          </cell>
          <cell r="AP3327">
            <v>0</v>
          </cell>
        </row>
        <row r="3328">
          <cell r="AJ3328">
            <v>0</v>
          </cell>
          <cell r="AP3328">
            <v>0</v>
          </cell>
        </row>
        <row r="3329">
          <cell r="AJ3329">
            <v>0</v>
          </cell>
          <cell r="AP3329">
            <v>0</v>
          </cell>
        </row>
        <row r="3330">
          <cell r="AJ3330">
            <v>0</v>
          </cell>
          <cell r="AP3330">
            <v>0</v>
          </cell>
        </row>
        <row r="3331">
          <cell r="AJ3331">
            <v>0</v>
          </cell>
          <cell r="AP3331">
            <v>0</v>
          </cell>
        </row>
        <row r="3332">
          <cell r="AJ3332">
            <v>0</v>
          </cell>
          <cell r="AP3332">
            <v>0</v>
          </cell>
        </row>
        <row r="3333">
          <cell r="AJ3333">
            <v>0</v>
          </cell>
          <cell r="AP3333">
            <v>0</v>
          </cell>
        </row>
        <row r="3334">
          <cell r="AJ3334">
            <v>0</v>
          </cell>
          <cell r="AP3334">
            <v>0</v>
          </cell>
        </row>
        <row r="3335">
          <cell r="AJ3335">
            <v>0</v>
          </cell>
          <cell r="AP3335">
            <v>0</v>
          </cell>
        </row>
        <row r="3336">
          <cell r="AJ3336">
            <v>0</v>
          </cell>
          <cell r="AP3336">
            <v>0</v>
          </cell>
        </row>
        <row r="3337">
          <cell r="AJ3337">
            <v>0</v>
          </cell>
          <cell r="AP3337">
            <v>0</v>
          </cell>
        </row>
        <row r="3338">
          <cell r="AJ3338">
            <v>0</v>
          </cell>
          <cell r="AP3338">
            <v>0</v>
          </cell>
        </row>
        <row r="3339">
          <cell r="AJ3339">
            <v>0</v>
          </cell>
          <cell r="AP3339">
            <v>0</v>
          </cell>
        </row>
        <row r="3340">
          <cell r="AJ3340">
            <v>0</v>
          </cell>
          <cell r="AP3340">
            <v>0</v>
          </cell>
        </row>
        <row r="3341">
          <cell r="AJ3341">
            <v>0</v>
          </cell>
          <cell r="AP3341">
            <v>0</v>
          </cell>
        </row>
        <row r="3342">
          <cell r="AJ3342">
            <v>0</v>
          </cell>
          <cell r="AP3342">
            <v>0</v>
          </cell>
        </row>
        <row r="3343">
          <cell r="AJ3343">
            <v>0</v>
          </cell>
          <cell r="AP3343">
            <v>0</v>
          </cell>
        </row>
        <row r="3344">
          <cell r="AJ3344">
            <v>0</v>
          </cell>
          <cell r="AP3344">
            <v>0</v>
          </cell>
        </row>
        <row r="3345">
          <cell r="AJ3345">
            <v>0</v>
          </cell>
          <cell r="AP3345">
            <v>0</v>
          </cell>
        </row>
        <row r="3346">
          <cell r="AJ3346">
            <v>0</v>
          </cell>
          <cell r="AP3346">
            <v>0</v>
          </cell>
        </row>
        <row r="3347">
          <cell r="AJ3347">
            <v>0</v>
          </cell>
          <cell r="AP3347">
            <v>0</v>
          </cell>
        </row>
        <row r="3348">
          <cell r="AJ3348">
            <v>0</v>
          </cell>
          <cell r="AP3348">
            <v>0</v>
          </cell>
        </row>
        <row r="3349">
          <cell r="AJ3349">
            <v>0</v>
          </cell>
          <cell r="AP3349">
            <v>0</v>
          </cell>
        </row>
        <row r="3350">
          <cell r="AJ3350">
            <v>0</v>
          </cell>
          <cell r="AP3350">
            <v>0</v>
          </cell>
        </row>
        <row r="3351">
          <cell r="AJ3351">
            <v>0</v>
          </cell>
          <cell r="AP3351">
            <v>0</v>
          </cell>
        </row>
        <row r="3352">
          <cell r="AJ3352">
            <v>0</v>
          </cell>
          <cell r="AP3352">
            <v>0</v>
          </cell>
        </row>
        <row r="3353">
          <cell r="AJ3353">
            <v>0</v>
          </cell>
          <cell r="AP3353">
            <v>0</v>
          </cell>
        </row>
        <row r="3354">
          <cell r="AJ3354">
            <v>0</v>
          </cell>
          <cell r="AP3354">
            <v>0</v>
          </cell>
        </row>
        <row r="3355">
          <cell r="AJ3355">
            <v>0</v>
          </cell>
          <cell r="AP3355">
            <v>0</v>
          </cell>
        </row>
        <row r="3356">
          <cell r="AJ3356">
            <v>0</v>
          </cell>
          <cell r="AP3356">
            <v>0</v>
          </cell>
        </row>
        <row r="3357">
          <cell r="AJ3357">
            <v>0</v>
          </cell>
          <cell r="AP3357">
            <v>0</v>
          </cell>
        </row>
        <row r="3358">
          <cell r="AJ3358">
            <v>0</v>
          </cell>
          <cell r="AP3358">
            <v>0</v>
          </cell>
        </row>
        <row r="3359">
          <cell r="AJ3359">
            <v>0</v>
          </cell>
          <cell r="AP3359">
            <v>0</v>
          </cell>
        </row>
        <row r="3360">
          <cell r="AJ3360">
            <v>0</v>
          </cell>
          <cell r="AP3360">
            <v>0</v>
          </cell>
        </row>
        <row r="3361">
          <cell r="AJ3361">
            <v>0</v>
          </cell>
          <cell r="AP3361">
            <v>0</v>
          </cell>
        </row>
        <row r="3362">
          <cell r="AJ3362">
            <v>0</v>
          </cell>
          <cell r="AP3362">
            <v>0</v>
          </cell>
        </row>
        <row r="3363">
          <cell r="AJ3363">
            <v>0</v>
          </cell>
          <cell r="AP3363">
            <v>0</v>
          </cell>
        </row>
        <row r="3364">
          <cell r="AJ3364">
            <v>0</v>
          </cell>
          <cell r="AP3364">
            <v>0</v>
          </cell>
        </row>
        <row r="3365">
          <cell r="AJ3365">
            <v>0</v>
          </cell>
          <cell r="AP3365">
            <v>0</v>
          </cell>
        </row>
        <row r="3366">
          <cell r="AJ3366">
            <v>0</v>
          </cell>
          <cell r="AP3366">
            <v>0</v>
          </cell>
        </row>
        <row r="3367">
          <cell r="AJ3367">
            <v>0</v>
          </cell>
          <cell r="AP3367">
            <v>0</v>
          </cell>
        </row>
        <row r="3368">
          <cell r="AJ3368">
            <v>0</v>
          </cell>
          <cell r="AP3368">
            <v>0</v>
          </cell>
        </row>
        <row r="3369">
          <cell r="AJ3369">
            <v>0</v>
          </cell>
          <cell r="AP3369">
            <v>0</v>
          </cell>
        </row>
        <row r="3370">
          <cell r="AJ3370">
            <v>0</v>
          </cell>
          <cell r="AP3370">
            <v>0</v>
          </cell>
        </row>
        <row r="3371">
          <cell r="AJ3371">
            <v>0</v>
          </cell>
          <cell r="AP3371">
            <v>0</v>
          </cell>
        </row>
        <row r="3372">
          <cell r="AJ3372">
            <v>0</v>
          </cell>
          <cell r="AP3372">
            <v>0</v>
          </cell>
        </row>
        <row r="3373">
          <cell r="AJ3373">
            <v>0</v>
          </cell>
          <cell r="AP3373">
            <v>0</v>
          </cell>
        </row>
        <row r="3374">
          <cell r="AJ3374">
            <v>0</v>
          </cell>
          <cell r="AP3374">
            <v>0</v>
          </cell>
        </row>
        <row r="3375">
          <cell r="AJ3375">
            <v>0</v>
          </cell>
          <cell r="AP3375">
            <v>0</v>
          </cell>
        </row>
        <row r="3376">
          <cell r="AJ3376">
            <v>0</v>
          </cell>
          <cell r="AP3376">
            <v>0</v>
          </cell>
        </row>
        <row r="3377">
          <cell r="AJ3377">
            <v>0</v>
          </cell>
          <cell r="AP3377">
            <v>0</v>
          </cell>
        </row>
        <row r="3378">
          <cell r="AJ3378">
            <v>0</v>
          </cell>
          <cell r="AP3378">
            <v>0</v>
          </cell>
        </row>
        <row r="3379">
          <cell r="AJ3379">
            <v>0</v>
          </cell>
          <cell r="AP3379">
            <v>0</v>
          </cell>
        </row>
        <row r="3380">
          <cell r="AJ3380">
            <v>0</v>
          </cell>
          <cell r="AP3380">
            <v>0</v>
          </cell>
        </row>
        <row r="3381">
          <cell r="AJ3381">
            <v>0</v>
          </cell>
          <cell r="AP3381">
            <v>0</v>
          </cell>
        </row>
        <row r="3382">
          <cell r="AJ3382">
            <v>0</v>
          </cell>
          <cell r="AP3382">
            <v>0</v>
          </cell>
        </row>
        <row r="3383">
          <cell r="AJ3383">
            <v>0</v>
          </cell>
          <cell r="AP3383">
            <v>0</v>
          </cell>
        </row>
        <row r="3384">
          <cell r="AJ3384">
            <v>0</v>
          </cell>
          <cell r="AP3384">
            <v>0</v>
          </cell>
        </row>
        <row r="3385">
          <cell r="AJ3385">
            <v>0</v>
          </cell>
          <cell r="AP3385">
            <v>0</v>
          </cell>
        </row>
        <row r="3386">
          <cell r="AJ3386">
            <v>0</v>
          </cell>
          <cell r="AP3386">
            <v>0</v>
          </cell>
        </row>
        <row r="3387">
          <cell r="AJ3387">
            <v>0</v>
          </cell>
          <cell r="AP3387">
            <v>0</v>
          </cell>
        </row>
        <row r="3388">
          <cell r="AJ3388">
            <v>0</v>
          </cell>
          <cell r="AP3388">
            <v>0</v>
          </cell>
        </row>
        <row r="3389">
          <cell r="AJ3389">
            <v>0</v>
          </cell>
          <cell r="AP3389">
            <v>0</v>
          </cell>
        </row>
        <row r="3390">
          <cell r="AJ3390">
            <v>0</v>
          </cell>
          <cell r="AP3390">
            <v>0</v>
          </cell>
        </row>
        <row r="3391">
          <cell r="AJ3391">
            <v>0</v>
          </cell>
          <cell r="AP3391">
            <v>0</v>
          </cell>
        </row>
        <row r="3392">
          <cell r="AJ3392">
            <v>0</v>
          </cell>
          <cell r="AP3392">
            <v>0</v>
          </cell>
        </row>
        <row r="3393">
          <cell r="AJ3393">
            <v>0</v>
          </cell>
          <cell r="AP3393">
            <v>0</v>
          </cell>
        </row>
        <row r="3394">
          <cell r="AJ3394">
            <v>0</v>
          </cell>
          <cell r="AP3394">
            <v>0</v>
          </cell>
        </row>
        <row r="3395">
          <cell r="AJ3395">
            <v>0</v>
          </cell>
          <cell r="AP3395">
            <v>0</v>
          </cell>
        </row>
        <row r="3396">
          <cell r="AJ3396">
            <v>0</v>
          </cell>
          <cell r="AP3396">
            <v>0</v>
          </cell>
        </row>
        <row r="3397">
          <cell r="AJ3397">
            <v>0</v>
          </cell>
          <cell r="AP3397">
            <v>0</v>
          </cell>
        </row>
        <row r="3398">
          <cell r="AJ3398">
            <v>0</v>
          </cell>
          <cell r="AP3398">
            <v>0</v>
          </cell>
        </row>
        <row r="3399">
          <cell r="AJ3399">
            <v>0</v>
          </cell>
          <cell r="AP3399">
            <v>0</v>
          </cell>
        </row>
        <row r="3400">
          <cell r="AJ3400">
            <v>0</v>
          </cell>
          <cell r="AP3400">
            <v>0</v>
          </cell>
        </row>
        <row r="3401">
          <cell r="AJ3401">
            <v>0</v>
          </cell>
          <cell r="AP3401">
            <v>0</v>
          </cell>
        </row>
        <row r="3402">
          <cell r="AJ3402">
            <v>0</v>
          </cell>
          <cell r="AP3402">
            <v>0</v>
          </cell>
        </row>
        <row r="3403">
          <cell r="AJ3403">
            <v>0</v>
          </cell>
          <cell r="AP3403">
            <v>0</v>
          </cell>
        </row>
        <row r="3404">
          <cell r="AJ3404">
            <v>0</v>
          </cell>
          <cell r="AP3404">
            <v>0</v>
          </cell>
        </row>
        <row r="3405">
          <cell r="AJ3405">
            <v>0</v>
          </cell>
          <cell r="AP3405">
            <v>0</v>
          </cell>
        </row>
        <row r="3406">
          <cell r="AJ3406">
            <v>0</v>
          </cell>
          <cell r="AP3406">
            <v>0</v>
          </cell>
        </row>
        <row r="3407">
          <cell r="AJ3407">
            <v>0</v>
          </cell>
          <cell r="AP3407">
            <v>0</v>
          </cell>
        </row>
        <row r="3408">
          <cell r="AJ3408">
            <v>0</v>
          </cell>
          <cell r="AP3408">
            <v>0</v>
          </cell>
        </row>
        <row r="3409">
          <cell r="AJ3409">
            <v>0</v>
          </cell>
          <cell r="AP3409">
            <v>0</v>
          </cell>
        </row>
        <row r="3410">
          <cell r="AJ3410">
            <v>0</v>
          </cell>
          <cell r="AP3410">
            <v>0</v>
          </cell>
        </row>
        <row r="3411">
          <cell r="AJ3411">
            <v>0</v>
          </cell>
          <cell r="AP3411">
            <v>0</v>
          </cell>
        </row>
        <row r="3412">
          <cell r="AJ3412">
            <v>0</v>
          </cell>
          <cell r="AP3412">
            <v>0</v>
          </cell>
        </row>
        <row r="3413">
          <cell r="AJ3413">
            <v>0</v>
          </cell>
          <cell r="AP3413">
            <v>0</v>
          </cell>
        </row>
        <row r="3414">
          <cell r="AJ3414">
            <v>0</v>
          </cell>
          <cell r="AP3414">
            <v>0</v>
          </cell>
        </row>
        <row r="3415">
          <cell r="AJ3415">
            <v>0</v>
          </cell>
          <cell r="AP3415">
            <v>0</v>
          </cell>
        </row>
        <row r="3416">
          <cell r="AJ3416">
            <v>0</v>
          </cell>
          <cell r="AP3416">
            <v>0</v>
          </cell>
        </row>
        <row r="3417">
          <cell r="AJ3417">
            <v>0</v>
          </cell>
          <cell r="AP3417">
            <v>0</v>
          </cell>
        </row>
        <row r="3418">
          <cell r="AJ3418">
            <v>0</v>
          </cell>
          <cell r="AP3418">
            <v>0</v>
          </cell>
        </row>
        <row r="3419">
          <cell r="AJ3419">
            <v>0</v>
          </cell>
          <cell r="AP3419">
            <v>0</v>
          </cell>
        </row>
        <row r="3420">
          <cell r="AJ3420">
            <v>0</v>
          </cell>
          <cell r="AP3420">
            <v>0</v>
          </cell>
        </row>
        <row r="3421">
          <cell r="AJ3421">
            <v>0</v>
          </cell>
          <cell r="AP3421">
            <v>0</v>
          </cell>
        </row>
        <row r="3422">
          <cell r="AJ3422">
            <v>0</v>
          </cell>
          <cell r="AP3422">
            <v>0</v>
          </cell>
        </row>
        <row r="3423">
          <cell r="AJ3423">
            <v>0</v>
          </cell>
          <cell r="AP3423">
            <v>0</v>
          </cell>
        </row>
        <row r="3424">
          <cell r="AJ3424">
            <v>0</v>
          </cell>
          <cell r="AP3424">
            <v>0</v>
          </cell>
        </row>
        <row r="3425">
          <cell r="AJ3425">
            <v>0</v>
          </cell>
          <cell r="AP3425">
            <v>0</v>
          </cell>
        </row>
        <row r="3426">
          <cell r="AJ3426">
            <v>0</v>
          </cell>
          <cell r="AP3426">
            <v>0</v>
          </cell>
        </row>
        <row r="3427">
          <cell r="AJ3427">
            <v>0</v>
          </cell>
          <cell r="AP3427">
            <v>0</v>
          </cell>
        </row>
        <row r="3428">
          <cell r="AJ3428">
            <v>0</v>
          </cell>
          <cell r="AP3428">
            <v>0</v>
          </cell>
        </row>
        <row r="3429">
          <cell r="AJ3429">
            <v>0</v>
          </cell>
          <cell r="AP3429">
            <v>0</v>
          </cell>
        </row>
        <row r="3430">
          <cell r="AJ3430">
            <v>0</v>
          </cell>
          <cell r="AP3430">
            <v>0</v>
          </cell>
        </row>
        <row r="3431">
          <cell r="AJ3431">
            <v>0</v>
          </cell>
          <cell r="AP3431">
            <v>0</v>
          </cell>
        </row>
        <row r="3432">
          <cell r="AJ3432">
            <v>0</v>
          </cell>
          <cell r="AP3432">
            <v>0</v>
          </cell>
        </row>
        <row r="3433">
          <cell r="AJ3433">
            <v>0</v>
          </cell>
          <cell r="AP3433">
            <v>0</v>
          </cell>
        </row>
        <row r="3434">
          <cell r="AJ3434">
            <v>0</v>
          </cell>
          <cell r="AP3434">
            <v>0</v>
          </cell>
        </row>
        <row r="3435">
          <cell r="AJ3435">
            <v>0</v>
          </cell>
          <cell r="AP3435">
            <v>0</v>
          </cell>
        </row>
        <row r="3436">
          <cell r="AJ3436">
            <v>0</v>
          </cell>
          <cell r="AP3436">
            <v>0</v>
          </cell>
        </row>
        <row r="3437">
          <cell r="AJ3437">
            <v>0</v>
          </cell>
          <cell r="AP3437">
            <v>0</v>
          </cell>
        </row>
        <row r="3438">
          <cell r="AJ3438">
            <v>0</v>
          </cell>
          <cell r="AP3438">
            <v>0</v>
          </cell>
        </row>
        <row r="3439">
          <cell r="AJ3439">
            <v>0</v>
          </cell>
          <cell r="AP3439">
            <v>0</v>
          </cell>
        </row>
        <row r="3440">
          <cell r="AJ3440">
            <v>0</v>
          </cell>
          <cell r="AP3440">
            <v>0</v>
          </cell>
        </row>
        <row r="3441">
          <cell r="AJ3441">
            <v>0</v>
          </cell>
          <cell r="AP3441">
            <v>0</v>
          </cell>
        </row>
        <row r="3442">
          <cell r="AJ3442">
            <v>0</v>
          </cell>
          <cell r="AP3442">
            <v>0</v>
          </cell>
        </row>
        <row r="3443">
          <cell r="AJ3443">
            <v>0</v>
          </cell>
          <cell r="AP3443">
            <v>0</v>
          </cell>
        </row>
        <row r="3444">
          <cell r="AJ3444">
            <v>0</v>
          </cell>
          <cell r="AP3444">
            <v>0</v>
          </cell>
        </row>
        <row r="3445">
          <cell r="AJ3445">
            <v>0</v>
          </cell>
          <cell r="AP3445">
            <v>0</v>
          </cell>
        </row>
        <row r="3446">
          <cell r="AJ3446">
            <v>0</v>
          </cell>
          <cell r="AP3446">
            <v>0</v>
          </cell>
        </row>
        <row r="3447">
          <cell r="AJ3447">
            <v>0</v>
          </cell>
          <cell r="AP3447">
            <v>0</v>
          </cell>
        </row>
        <row r="3448">
          <cell r="AJ3448">
            <v>0</v>
          </cell>
          <cell r="AP3448">
            <v>0</v>
          </cell>
        </row>
        <row r="3449">
          <cell r="AJ3449">
            <v>0</v>
          </cell>
          <cell r="AP3449">
            <v>0</v>
          </cell>
        </row>
        <row r="3450">
          <cell r="AJ3450">
            <v>0</v>
          </cell>
          <cell r="AP3450">
            <v>0</v>
          </cell>
        </row>
        <row r="3451">
          <cell r="AJ3451">
            <v>0</v>
          </cell>
          <cell r="AP3451">
            <v>0</v>
          </cell>
        </row>
        <row r="3452">
          <cell r="AJ3452">
            <v>0</v>
          </cell>
          <cell r="AP3452">
            <v>0</v>
          </cell>
        </row>
        <row r="3453">
          <cell r="AJ3453">
            <v>0</v>
          </cell>
          <cell r="AP3453">
            <v>0</v>
          </cell>
        </row>
        <row r="3454">
          <cell r="AJ3454">
            <v>0</v>
          </cell>
          <cell r="AP3454">
            <v>0</v>
          </cell>
        </row>
        <row r="3455">
          <cell r="AJ3455">
            <v>0</v>
          </cell>
          <cell r="AP3455">
            <v>0</v>
          </cell>
        </row>
        <row r="3456">
          <cell r="AJ3456">
            <v>0</v>
          </cell>
          <cell r="AP3456">
            <v>0</v>
          </cell>
        </row>
        <row r="3457">
          <cell r="AJ3457">
            <v>0</v>
          </cell>
          <cell r="AP3457">
            <v>0</v>
          </cell>
        </row>
        <row r="3458">
          <cell r="AJ3458">
            <v>0</v>
          </cell>
          <cell r="AP3458">
            <v>0</v>
          </cell>
        </row>
        <row r="3459">
          <cell r="AJ3459">
            <v>0</v>
          </cell>
          <cell r="AP3459">
            <v>0</v>
          </cell>
        </row>
        <row r="3460">
          <cell r="AJ3460">
            <v>0</v>
          </cell>
          <cell r="AP3460">
            <v>0</v>
          </cell>
        </row>
        <row r="3461">
          <cell r="AJ3461">
            <v>0</v>
          </cell>
          <cell r="AP3461">
            <v>0</v>
          </cell>
        </row>
        <row r="3462">
          <cell r="AJ3462">
            <v>0</v>
          </cell>
          <cell r="AP3462">
            <v>0</v>
          </cell>
        </row>
        <row r="3463">
          <cell r="AJ3463">
            <v>0</v>
          </cell>
          <cell r="AP3463">
            <v>0</v>
          </cell>
        </row>
        <row r="3464">
          <cell r="AJ3464">
            <v>0</v>
          </cell>
          <cell r="AP3464">
            <v>0</v>
          </cell>
        </row>
        <row r="3465">
          <cell r="AJ3465">
            <v>0</v>
          </cell>
          <cell r="AP3465">
            <v>0</v>
          </cell>
        </row>
        <row r="3466">
          <cell r="AJ3466">
            <v>0</v>
          </cell>
          <cell r="AP3466">
            <v>0</v>
          </cell>
        </row>
        <row r="3467">
          <cell r="AJ3467">
            <v>0</v>
          </cell>
          <cell r="AP3467">
            <v>0</v>
          </cell>
        </row>
        <row r="3468">
          <cell r="AJ3468">
            <v>0</v>
          </cell>
          <cell r="AP3468">
            <v>0</v>
          </cell>
        </row>
        <row r="3469">
          <cell r="AJ3469">
            <v>0</v>
          </cell>
          <cell r="AP3469">
            <v>0</v>
          </cell>
        </row>
        <row r="3470">
          <cell r="AJ3470">
            <v>0</v>
          </cell>
          <cell r="AP3470">
            <v>0</v>
          </cell>
        </row>
        <row r="3471">
          <cell r="AJ3471">
            <v>0</v>
          </cell>
          <cell r="AP3471">
            <v>0</v>
          </cell>
        </row>
        <row r="3472">
          <cell r="AJ3472">
            <v>0</v>
          </cell>
          <cell r="AP3472">
            <v>0</v>
          </cell>
        </row>
        <row r="3473">
          <cell r="AJ3473">
            <v>0</v>
          </cell>
          <cell r="AP3473">
            <v>0</v>
          </cell>
        </row>
        <row r="3474">
          <cell r="AJ3474">
            <v>0</v>
          </cell>
          <cell r="AP3474">
            <v>0</v>
          </cell>
        </row>
        <row r="3475">
          <cell r="AJ3475">
            <v>0</v>
          </cell>
          <cell r="AP3475">
            <v>0</v>
          </cell>
        </row>
        <row r="3476">
          <cell r="AJ3476">
            <v>0</v>
          </cell>
          <cell r="AP3476">
            <v>0</v>
          </cell>
        </row>
        <row r="3477">
          <cell r="AJ3477">
            <v>0</v>
          </cell>
          <cell r="AP3477">
            <v>0</v>
          </cell>
        </row>
        <row r="3478">
          <cell r="AJ3478">
            <v>0</v>
          </cell>
          <cell r="AP3478">
            <v>0</v>
          </cell>
        </row>
        <row r="3479">
          <cell r="AJ3479">
            <v>0</v>
          </cell>
          <cell r="AP3479">
            <v>0</v>
          </cell>
        </row>
        <row r="3480">
          <cell r="AJ3480">
            <v>0</v>
          </cell>
          <cell r="AP3480">
            <v>0</v>
          </cell>
        </row>
        <row r="3481">
          <cell r="AJ3481">
            <v>0</v>
          </cell>
          <cell r="AP3481">
            <v>0</v>
          </cell>
        </row>
        <row r="3482">
          <cell r="AJ3482">
            <v>0</v>
          </cell>
          <cell r="AP3482">
            <v>0</v>
          </cell>
        </row>
        <row r="3483">
          <cell r="AJ3483">
            <v>0</v>
          </cell>
          <cell r="AP3483">
            <v>0</v>
          </cell>
        </row>
        <row r="3484">
          <cell r="AJ3484">
            <v>0</v>
          </cell>
          <cell r="AP3484">
            <v>0</v>
          </cell>
        </row>
        <row r="3485">
          <cell r="AJ3485">
            <v>0</v>
          </cell>
          <cell r="AP3485">
            <v>0</v>
          </cell>
        </row>
        <row r="3486">
          <cell r="AJ3486">
            <v>0</v>
          </cell>
          <cell r="AP3486">
            <v>0</v>
          </cell>
        </row>
        <row r="3487">
          <cell r="AJ3487">
            <v>0</v>
          </cell>
          <cell r="AP3487">
            <v>0</v>
          </cell>
        </row>
        <row r="3488">
          <cell r="AJ3488">
            <v>0</v>
          </cell>
          <cell r="AP3488">
            <v>0</v>
          </cell>
        </row>
        <row r="3489">
          <cell r="AJ3489">
            <v>0</v>
          </cell>
          <cell r="AP3489">
            <v>0</v>
          </cell>
        </row>
        <row r="3490">
          <cell r="AJ3490">
            <v>0</v>
          </cell>
          <cell r="AP3490">
            <v>0</v>
          </cell>
        </row>
        <row r="3491">
          <cell r="AJ3491">
            <v>0</v>
          </cell>
          <cell r="AP3491">
            <v>0</v>
          </cell>
        </row>
        <row r="3492">
          <cell r="AJ3492">
            <v>0</v>
          </cell>
          <cell r="AP3492">
            <v>0</v>
          </cell>
        </row>
        <row r="3493">
          <cell r="AJ3493">
            <v>0</v>
          </cell>
          <cell r="AP3493">
            <v>0</v>
          </cell>
        </row>
        <row r="3494">
          <cell r="AJ3494">
            <v>0</v>
          </cell>
          <cell r="AP3494">
            <v>0</v>
          </cell>
        </row>
        <row r="3495">
          <cell r="AJ3495">
            <v>0</v>
          </cell>
          <cell r="AP3495">
            <v>0</v>
          </cell>
        </row>
        <row r="3496">
          <cell r="AJ3496">
            <v>0</v>
          </cell>
          <cell r="AP3496">
            <v>0</v>
          </cell>
        </row>
        <row r="3497">
          <cell r="AJ3497">
            <v>0</v>
          </cell>
          <cell r="AP3497">
            <v>0</v>
          </cell>
        </row>
        <row r="3498">
          <cell r="AJ3498">
            <v>0</v>
          </cell>
          <cell r="AP3498">
            <v>0</v>
          </cell>
        </row>
        <row r="3499">
          <cell r="AJ3499">
            <v>0</v>
          </cell>
          <cell r="AP3499">
            <v>0</v>
          </cell>
        </row>
        <row r="3500">
          <cell r="AJ3500">
            <v>0</v>
          </cell>
          <cell r="AP3500">
            <v>0</v>
          </cell>
        </row>
        <row r="3501">
          <cell r="AJ3501">
            <v>0</v>
          </cell>
          <cell r="AP3501">
            <v>0</v>
          </cell>
        </row>
        <row r="3502">
          <cell r="AJ3502">
            <v>0</v>
          </cell>
          <cell r="AP3502">
            <v>0</v>
          </cell>
        </row>
        <row r="3503">
          <cell r="AJ3503">
            <v>0</v>
          </cell>
          <cell r="AP3503">
            <v>0</v>
          </cell>
        </row>
        <row r="3504">
          <cell r="AJ3504">
            <v>0</v>
          </cell>
          <cell r="AP3504">
            <v>0</v>
          </cell>
        </row>
        <row r="3505">
          <cell r="AJ3505">
            <v>0</v>
          </cell>
          <cell r="AP3505">
            <v>0</v>
          </cell>
        </row>
        <row r="3506">
          <cell r="AJ3506">
            <v>0</v>
          </cell>
          <cell r="AP3506">
            <v>0</v>
          </cell>
        </row>
        <row r="3507">
          <cell r="AJ3507">
            <v>0</v>
          </cell>
          <cell r="AP3507">
            <v>0</v>
          </cell>
        </row>
        <row r="3508">
          <cell r="AJ3508">
            <v>0</v>
          </cell>
          <cell r="AP3508">
            <v>0</v>
          </cell>
        </row>
        <row r="3509">
          <cell r="AJ3509">
            <v>0</v>
          </cell>
          <cell r="AP3509">
            <v>0</v>
          </cell>
        </row>
        <row r="3510">
          <cell r="AJ3510">
            <v>0</v>
          </cell>
          <cell r="AP3510">
            <v>0</v>
          </cell>
        </row>
        <row r="3511">
          <cell r="AJ3511">
            <v>0</v>
          </cell>
          <cell r="AP3511">
            <v>0</v>
          </cell>
        </row>
        <row r="3512">
          <cell r="AJ3512">
            <v>0</v>
          </cell>
          <cell r="AP3512">
            <v>0</v>
          </cell>
        </row>
        <row r="3513">
          <cell r="AJ3513">
            <v>0</v>
          </cell>
          <cell r="AP3513">
            <v>0</v>
          </cell>
        </row>
        <row r="3514">
          <cell r="AJ3514">
            <v>0</v>
          </cell>
          <cell r="AP3514">
            <v>0</v>
          </cell>
        </row>
        <row r="3515">
          <cell r="AJ3515">
            <v>0</v>
          </cell>
          <cell r="AP3515">
            <v>0</v>
          </cell>
        </row>
        <row r="3516">
          <cell r="AJ3516">
            <v>0</v>
          </cell>
          <cell r="AP3516">
            <v>0</v>
          </cell>
        </row>
        <row r="3517">
          <cell r="AJ3517">
            <v>0</v>
          </cell>
          <cell r="AP3517">
            <v>0</v>
          </cell>
        </row>
        <row r="3518">
          <cell r="AJ3518">
            <v>0</v>
          </cell>
          <cell r="AP3518">
            <v>0</v>
          </cell>
        </row>
        <row r="3519">
          <cell r="AJ3519">
            <v>0</v>
          </cell>
          <cell r="AP3519">
            <v>0</v>
          </cell>
        </row>
        <row r="3520">
          <cell r="AJ3520">
            <v>0</v>
          </cell>
          <cell r="AP3520">
            <v>0</v>
          </cell>
        </row>
        <row r="3521">
          <cell r="AJ3521">
            <v>0</v>
          </cell>
          <cell r="AP3521">
            <v>0</v>
          </cell>
        </row>
        <row r="3522">
          <cell r="AJ3522">
            <v>0</v>
          </cell>
          <cell r="AP3522">
            <v>0</v>
          </cell>
        </row>
        <row r="3523">
          <cell r="AJ3523">
            <v>0</v>
          </cell>
          <cell r="AP3523">
            <v>0</v>
          </cell>
        </row>
        <row r="3524">
          <cell r="AJ3524">
            <v>0</v>
          </cell>
          <cell r="AP3524">
            <v>0</v>
          </cell>
        </row>
        <row r="3525">
          <cell r="AJ3525">
            <v>0</v>
          </cell>
          <cell r="AP3525">
            <v>0</v>
          </cell>
        </row>
        <row r="3526">
          <cell r="AJ3526">
            <v>0</v>
          </cell>
          <cell r="AP3526">
            <v>0</v>
          </cell>
        </row>
        <row r="3527">
          <cell r="AJ3527">
            <v>0</v>
          </cell>
          <cell r="AP3527">
            <v>0</v>
          </cell>
        </row>
        <row r="3528">
          <cell r="AJ3528">
            <v>0</v>
          </cell>
          <cell r="AP3528">
            <v>0</v>
          </cell>
        </row>
        <row r="3529">
          <cell r="AJ3529">
            <v>0</v>
          </cell>
          <cell r="AP3529">
            <v>0</v>
          </cell>
        </row>
        <row r="3530">
          <cell r="AJ3530">
            <v>0</v>
          </cell>
          <cell r="AP3530">
            <v>0</v>
          </cell>
        </row>
        <row r="3531">
          <cell r="AJ3531">
            <v>0</v>
          </cell>
          <cell r="AP3531">
            <v>0</v>
          </cell>
        </row>
        <row r="3532">
          <cell r="AJ3532">
            <v>0</v>
          </cell>
          <cell r="AP3532">
            <v>0</v>
          </cell>
        </row>
        <row r="3533">
          <cell r="AJ3533">
            <v>0</v>
          </cell>
          <cell r="AP3533">
            <v>0</v>
          </cell>
        </row>
        <row r="3534">
          <cell r="AJ3534">
            <v>0</v>
          </cell>
          <cell r="AP3534">
            <v>0</v>
          </cell>
        </row>
        <row r="3535">
          <cell r="AJ3535">
            <v>0</v>
          </cell>
          <cell r="AP3535">
            <v>0</v>
          </cell>
        </row>
        <row r="3536">
          <cell r="AJ3536">
            <v>0</v>
          </cell>
          <cell r="AP3536">
            <v>0</v>
          </cell>
        </row>
        <row r="3537">
          <cell r="AJ3537">
            <v>0</v>
          </cell>
          <cell r="AP3537">
            <v>0</v>
          </cell>
        </row>
        <row r="3538">
          <cell r="AJ3538">
            <v>0</v>
          </cell>
          <cell r="AP3538">
            <v>0</v>
          </cell>
        </row>
        <row r="3539">
          <cell r="AJ3539">
            <v>0</v>
          </cell>
          <cell r="AP3539">
            <v>0</v>
          </cell>
        </row>
        <row r="3540">
          <cell r="AJ3540">
            <v>0</v>
          </cell>
          <cell r="AP3540">
            <v>0</v>
          </cell>
        </row>
        <row r="3541">
          <cell r="AJ3541">
            <v>0</v>
          </cell>
          <cell r="AP3541">
            <v>0</v>
          </cell>
        </row>
        <row r="3542">
          <cell r="AJ3542">
            <v>0</v>
          </cell>
          <cell r="AP3542">
            <v>0</v>
          </cell>
        </row>
        <row r="3543">
          <cell r="AJ3543">
            <v>0</v>
          </cell>
          <cell r="AP3543">
            <v>0</v>
          </cell>
        </row>
        <row r="3544">
          <cell r="AJ3544">
            <v>0</v>
          </cell>
          <cell r="AP3544">
            <v>0</v>
          </cell>
        </row>
        <row r="3545">
          <cell r="AJ3545">
            <v>0</v>
          </cell>
          <cell r="AP3545">
            <v>0</v>
          </cell>
        </row>
        <row r="3546">
          <cell r="AJ3546">
            <v>0</v>
          </cell>
          <cell r="AP3546">
            <v>0</v>
          </cell>
        </row>
        <row r="3547">
          <cell r="AJ3547">
            <v>0</v>
          </cell>
          <cell r="AP3547">
            <v>0</v>
          </cell>
        </row>
        <row r="3548">
          <cell r="AJ3548">
            <v>0</v>
          </cell>
          <cell r="AP3548">
            <v>0</v>
          </cell>
        </row>
        <row r="3549">
          <cell r="AJ3549">
            <v>0</v>
          </cell>
          <cell r="AP3549">
            <v>0</v>
          </cell>
        </row>
        <row r="3550">
          <cell r="AJ3550">
            <v>0</v>
          </cell>
          <cell r="AP3550">
            <v>0</v>
          </cell>
        </row>
        <row r="3551">
          <cell r="AJ3551">
            <v>0</v>
          </cell>
          <cell r="AP3551">
            <v>0</v>
          </cell>
        </row>
        <row r="3552">
          <cell r="AJ3552">
            <v>0</v>
          </cell>
          <cell r="AP3552">
            <v>0</v>
          </cell>
        </row>
        <row r="3553">
          <cell r="AJ3553">
            <v>0</v>
          </cell>
          <cell r="AP3553">
            <v>0</v>
          </cell>
        </row>
        <row r="3554">
          <cell r="AJ3554">
            <v>0</v>
          </cell>
          <cell r="AP3554">
            <v>0</v>
          </cell>
        </row>
        <row r="3555">
          <cell r="AJ3555">
            <v>0</v>
          </cell>
          <cell r="AP3555">
            <v>0</v>
          </cell>
        </row>
        <row r="3556">
          <cell r="AJ3556">
            <v>0</v>
          </cell>
          <cell r="AP3556">
            <v>0</v>
          </cell>
        </row>
        <row r="3557">
          <cell r="AJ3557">
            <v>0</v>
          </cell>
          <cell r="AP3557">
            <v>0</v>
          </cell>
        </row>
        <row r="3558">
          <cell r="AJ3558">
            <v>0</v>
          </cell>
          <cell r="AP3558">
            <v>0</v>
          </cell>
        </row>
        <row r="3559">
          <cell r="AJ3559">
            <v>0</v>
          </cell>
          <cell r="AP3559">
            <v>0</v>
          </cell>
        </row>
        <row r="3560">
          <cell r="AJ3560">
            <v>0</v>
          </cell>
          <cell r="AP3560">
            <v>0</v>
          </cell>
        </row>
        <row r="3561">
          <cell r="AJ3561">
            <v>0</v>
          </cell>
          <cell r="AP3561">
            <v>0</v>
          </cell>
        </row>
        <row r="3562">
          <cell r="AJ3562">
            <v>0</v>
          </cell>
          <cell r="AP3562">
            <v>0</v>
          </cell>
        </row>
        <row r="3563">
          <cell r="AJ3563">
            <v>0</v>
          </cell>
          <cell r="AP3563">
            <v>0</v>
          </cell>
        </row>
        <row r="3564">
          <cell r="AJ3564">
            <v>0</v>
          </cell>
          <cell r="AP3564">
            <v>0</v>
          </cell>
        </row>
        <row r="3565">
          <cell r="AJ3565">
            <v>0</v>
          </cell>
          <cell r="AP3565">
            <v>0</v>
          </cell>
        </row>
        <row r="3566">
          <cell r="AJ3566">
            <v>0</v>
          </cell>
          <cell r="AP3566">
            <v>0</v>
          </cell>
        </row>
        <row r="3567">
          <cell r="AJ3567">
            <v>0</v>
          </cell>
          <cell r="AP3567">
            <v>0</v>
          </cell>
        </row>
        <row r="3568">
          <cell r="AJ3568">
            <v>0</v>
          </cell>
          <cell r="AP3568">
            <v>0</v>
          </cell>
        </row>
        <row r="3569">
          <cell r="AJ3569">
            <v>0</v>
          </cell>
          <cell r="AP3569">
            <v>0</v>
          </cell>
        </row>
        <row r="3570">
          <cell r="AJ3570">
            <v>0</v>
          </cell>
          <cell r="AP3570">
            <v>0</v>
          </cell>
        </row>
        <row r="3571">
          <cell r="AJ3571">
            <v>0</v>
          </cell>
          <cell r="AP3571">
            <v>0</v>
          </cell>
        </row>
        <row r="3572">
          <cell r="AJ3572">
            <v>0</v>
          </cell>
          <cell r="AP3572">
            <v>0</v>
          </cell>
        </row>
        <row r="3573">
          <cell r="AJ3573">
            <v>0</v>
          </cell>
          <cell r="AP3573">
            <v>0</v>
          </cell>
        </row>
        <row r="3574">
          <cell r="AJ3574">
            <v>0</v>
          </cell>
          <cell r="AP3574">
            <v>0</v>
          </cell>
        </row>
        <row r="3575">
          <cell r="AJ3575">
            <v>0</v>
          </cell>
          <cell r="AP3575">
            <v>0</v>
          </cell>
        </row>
        <row r="3576">
          <cell r="AJ3576">
            <v>0</v>
          </cell>
          <cell r="AP3576">
            <v>0</v>
          </cell>
        </row>
        <row r="3577">
          <cell r="AJ3577">
            <v>0</v>
          </cell>
          <cell r="AP3577">
            <v>0</v>
          </cell>
        </row>
        <row r="3578">
          <cell r="AJ3578">
            <v>0</v>
          </cell>
          <cell r="AP3578">
            <v>0</v>
          </cell>
        </row>
        <row r="3579">
          <cell r="AJ3579">
            <v>0</v>
          </cell>
          <cell r="AP3579">
            <v>0</v>
          </cell>
        </row>
        <row r="3580">
          <cell r="AJ3580">
            <v>0</v>
          </cell>
          <cell r="AP3580">
            <v>0</v>
          </cell>
        </row>
        <row r="3581">
          <cell r="AJ3581">
            <v>0</v>
          </cell>
          <cell r="AP3581">
            <v>0</v>
          </cell>
        </row>
        <row r="3582">
          <cell r="AJ3582">
            <v>0</v>
          </cell>
          <cell r="AP3582">
            <v>0</v>
          </cell>
        </row>
        <row r="3583">
          <cell r="AJ3583">
            <v>0</v>
          </cell>
          <cell r="AP3583">
            <v>0</v>
          </cell>
        </row>
        <row r="3584">
          <cell r="AJ3584">
            <v>0</v>
          </cell>
          <cell r="AP3584">
            <v>0</v>
          </cell>
        </row>
        <row r="3585">
          <cell r="AJ3585">
            <v>0</v>
          </cell>
          <cell r="AP3585">
            <v>0</v>
          </cell>
        </row>
        <row r="3586">
          <cell r="AJ3586">
            <v>0</v>
          </cell>
          <cell r="AP3586">
            <v>0</v>
          </cell>
        </row>
        <row r="3587">
          <cell r="AJ3587">
            <v>0</v>
          </cell>
          <cell r="AP3587">
            <v>0</v>
          </cell>
        </row>
        <row r="3588">
          <cell r="AJ3588">
            <v>0</v>
          </cell>
          <cell r="AP3588">
            <v>0</v>
          </cell>
        </row>
        <row r="3589">
          <cell r="AJ3589">
            <v>0</v>
          </cell>
          <cell r="AP3589">
            <v>0</v>
          </cell>
        </row>
        <row r="3590">
          <cell r="AJ3590">
            <v>0</v>
          </cell>
          <cell r="AP3590">
            <v>0</v>
          </cell>
        </row>
        <row r="3591">
          <cell r="AJ3591">
            <v>0</v>
          </cell>
          <cell r="AP3591">
            <v>0</v>
          </cell>
        </row>
        <row r="3592">
          <cell r="AJ3592">
            <v>0</v>
          </cell>
          <cell r="AP3592">
            <v>0</v>
          </cell>
        </row>
        <row r="3593">
          <cell r="AJ3593">
            <v>0</v>
          </cell>
          <cell r="AP3593">
            <v>0</v>
          </cell>
        </row>
        <row r="3594">
          <cell r="AJ3594">
            <v>0</v>
          </cell>
          <cell r="AP3594">
            <v>0</v>
          </cell>
        </row>
        <row r="3595">
          <cell r="AJ3595">
            <v>0</v>
          </cell>
          <cell r="AP3595">
            <v>0</v>
          </cell>
        </row>
        <row r="3596">
          <cell r="AJ3596">
            <v>0</v>
          </cell>
          <cell r="AP3596">
            <v>0</v>
          </cell>
        </row>
        <row r="3597">
          <cell r="AJ3597">
            <v>0</v>
          </cell>
          <cell r="AP3597">
            <v>0</v>
          </cell>
        </row>
        <row r="3598">
          <cell r="AJ3598">
            <v>0</v>
          </cell>
          <cell r="AP3598">
            <v>0</v>
          </cell>
        </row>
        <row r="3599">
          <cell r="AJ3599">
            <v>0</v>
          </cell>
          <cell r="AP3599">
            <v>0</v>
          </cell>
        </row>
        <row r="3600">
          <cell r="AJ3600">
            <v>0</v>
          </cell>
          <cell r="AP3600">
            <v>0</v>
          </cell>
        </row>
        <row r="3601">
          <cell r="AJ3601">
            <v>0</v>
          </cell>
          <cell r="AP3601">
            <v>0</v>
          </cell>
        </row>
        <row r="3602">
          <cell r="AJ3602">
            <v>0</v>
          </cell>
          <cell r="AP3602">
            <v>0</v>
          </cell>
        </row>
        <row r="3603">
          <cell r="AJ3603">
            <v>0</v>
          </cell>
          <cell r="AP3603">
            <v>0</v>
          </cell>
        </row>
        <row r="3604">
          <cell r="AJ3604">
            <v>0</v>
          </cell>
          <cell r="AP3604">
            <v>0</v>
          </cell>
        </row>
        <row r="3605">
          <cell r="AJ3605">
            <v>0</v>
          </cell>
          <cell r="AP3605">
            <v>0</v>
          </cell>
        </row>
        <row r="3606">
          <cell r="AJ3606">
            <v>0</v>
          </cell>
          <cell r="AP3606">
            <v>0</v>
          </cell>
        </row>
        <row r="3607">
          <cell r="AJ3607">
            <v>0</v>
          </cell>
          <cell r="AP3607">
            <v>0</v>
          </cell>
        </row>
        <row r="3608">
          <cell r="AJ3608">
            <v>0</v>
          </cell>
          <cell r="AP3608">
            <v>0</v>
          </cell>
        </row>
        <row r="3609">
          <cell r="AJ3609">
            <v>0</v>
          </cell>
          <cell r="AP3609">
            <v>0</v>
          </cell>
        </row>
        <row r="3610">
          <cell r="AJ3610">
            <v>0</v>
          </cell>
          <cell r="AP3610">
            <v>0</v>
          </cell>
        </row>
        <row r="3611">
          <cell r="AJ3611">
            <v>0</v>
          </cell>
          <cell r="AP3611">
            <v>0</v>
          </cell>
        </row>
        <row r="3612">
          <cell r="AJ3612">
            <v>0</v>
          </cell>
          <cell r="AP3612">
            <v>0</v>
          </cell>
        </row>
        <row r="3613">
          <cell r="AJ3613">
            <v>0</v>
          </cell>
          <cell r="AP3613">
            <v>0</v>
          </cell>
        </row>
        <row r="3614">
          <cell r="AJ3614">
            <v>0</v>
          </cell>
          <cell r="AP3614">
            <v>0</v>
          </cell>
        </row>
        <row r="3615">
          <cell r="AJ3615">
            <v>0</v>
          </cell>
          <cell r="AP3615">
            <v>0</v>
          </cell>
        </row>
        <row r="3616">
          <cell r="AJ3616">
            <v>0</v>
          </cell>
          <cell r="AP3616">
            <v>0</v>
          </cell>
        </row>
        <row r="3617">
          <cell r="AJ3617">
            <v>0</v>
          </cell>
          <cell r="AP3617">
            <v>0</v>
          </cell>
        </row>
        <row r="3618">
          <cell r="AJ3618">
            <v>0</v>
          </cell>
          <cell r="AP3618">
            <v>0</v>
          </cell>
        </row>
        <row r="3619">
          <cell r="AJ3619">
            <v>0</v>
          </cell>
          <cell r="AP3619">
            <v>0</v>
          </cell>
        </row>
        <row r="3620">
          <cell r="AJ3620">
            <v>0</v>
          </cell>
          <cell r="AP3620">
            <v>0</v>
          </cell>
        </row>
        <row r="3621">
          <cell r="AJ3621">
            <v>0</v>
          </cell>
          <cell r="AP3621">
            <v>0</v>
          </cell>
        </row>
        <row r="3622">
          <cell r="AJ3622">
            <v>0</v>
          </cell>
          <cell r="AP3622">
            <v>0</v>
          </cell>
        </row>
        <row r="3623">
          <cell r="AJ3623">
            <v>0</v>
          </cell>
          <cell r="AP3623">
            <v>0</v>
          </cell>
        </row>
        <row r="3624">
          <cell r="AJ3624">
            <v>0</v>
          </cell>
          <cell r="AP3624">
            <v>0</v>
          </cell>
        </row>
        <row r="3625">
          <cell r="AJ3625">
            <v>0</v>
          </cell>
          <cell r="AP3625">
            <v>0</v>
          </cell>
        </row>
        <row r="3626">
          <cell r="AJ3626">
            <v>0</v>
          </cell>
          <cell r="AP3626">
            <v>0</v>
          </cell>
        </row>
        <row r="3627">
          <cell r="AJ3627">
            <v>0</v>
          </cell>
          <cell r="AP3627">
            <v>0</v>
          </cell>
        </row>
        <row r="3628">
          <cell r="AJ3628">
            <v>0</v>
          </cell>
          <cell r="AP3628">
            <v>0</v>
          </cell>
        </row>
        <row r="3629">
          <cell r="AJ3629">
            <v>0</v>
          </cell>
          <cell r="AP3629">
            <v>0</v>
          </cell>
        </row>
        <row r="3630">
          <cell r="AJ3630">
            <v>0</v>
          </cell>
          <cell r="AP3630">
            <v>0</v>
          </cell>
        </row>
        <row r="3631">
          <cell r="AJ3631">
            <v>0</v>
          </cell>
          <cell r="AP3631">
            <v>0</v>
          </cell>
        </row>
        <row r="3632">
          <cell r="AJ3632">
            <v>0</v>
          </cell>
          <cell r="AP3632">
            <v>0</v>
          </cell>
        </row>
        <row r="3633">
          <cell r="AJ3633">
            <v>0</v>
          </cell>
          <cell r="AP3633">
            <v>0</v>
          </cell>
        </row>
        <row r="3634">
          <cell r="AJ3634">
            <v>0</v>
          </cell>
          <cell r="AP3634">
            <v>0</v>
          </cell>
        </row>
        <row r="3635">
          <cell r="AJ3635">
            <v>0</v>
          </cell>
          <cell r="AP3635">
            <v>0</v>
          </cell>
        </row>
        <row r="3636">
          <cell r="AJ3636">
            <v>0</v>
          </cell>
          <cell r="AP3636">
            <v>0</v>
          </cell>
        </row>
        <row r="3637">
          <cell r="AJ3637">
            <v>0</v>
          </cell>
          <cell r="AP3637">
            <v>0</v>
          </cell>
        </row>
        <row r="3638">
          <cell r="AJ3638">
            <v>0</v>
          </cell>
          <cell r="AP3638">
            <v>0</v>
          </cell>
        </row>
        <row r="3639">
          <cell r="AJ3639">
            <v>0</v>
          </cell>
          <cell r="AP3639">
            <v>0</v>
          </cell>
        </row>
        <row r="3640">
          <cell r="AJ3640">
            <v>0</v>
          </cell>
          <cell r="AP3640">
            <v>0</v>
          </cell>
        </row>
        <row r="3641">
          <cell r="AJ3641">
            <v>0</v>
          </cell>
          <cell r="AP3641">
            <v>0</v>
          </cell>
        </row>
        <row r="3642">
          <cell r="AJ3642">
            <v>0</v>
          </cell>
          <cell r="AP3642">
            <v>0</v>
          </cell>
        </row>
        <row r="3643">
          <cell r="AJ3643">
            <v>0</v>
          </cell>
          <cell r="AP3643">
            <v>0</v>
          </cell>
        </row>
        <row r="3644">
          <cell r="AJ3644">
            <v>0</v>
          </cell>
          <cell r="AP3644">
            <v>0</v>
          </cell>
        </row>
        <row r="3645">
          <cell r="AJ3645">
            <v>0</v>
          </cell>
          <cell r="AP3645">
            <v>0</v>
          </cell>
        </row>
        <row r="3646">
          <cell r="AJ3646">
            <v>0</v>
          </cell>
          <cell r="AP3646">
            <v>0</v>
          </cell>
        </row>
        <row r="3647">
          <cell r="AJ3647">
            <v>0</v>
          </cell>
          <cell r="AP3647">
            <v>0</v>
          </cell>
        </row>
        <row r="3648">
          <cell r="AJ3648">
            <v>0</v>
          </cell>
          <cell r="AP3648">
            <v>0</v>
          </cell>
        </row>
        <row r="3649">
          <cell r="AJ3649">
            <v>0</v>
          </cell>
          <cell r="AP3649">
            <v>0</v>
          </cell>
        </row>
        <row r="3650">
          <cell r="AJ3650">
            <v>0</v>
          </cell>
          <cell r="AP3650">
            <v>0</v>
          </cell>
        </row>
        <row r="3651">
          <cell r="AJ3651">
            <v>0</v>
          </cell>
          <cell r="AP3651">
            <v>0</v>
          </cell>
        </row>
        <row r="3652">
          <cell r="AJ3652">
            <v>0</v>
          </cell>
          <cell r="AP3652">
            <v>0</v>
          </cell>
        </row>
        <row r="3653">
          <cell r="AJ3653">
            <v>0</v>
          </cell>
          <cell r="AP3653">
            <v>0</v>
          </cell>
        </row>
        <row r="3654">
          <cell r="AJ3654">
            <v>0</v>
          </cell>
          <cell r="AP3654">
            <v>0</v>
          </cell>
        </row>
        <row r="3655">
          <cell r="AJ3655">
            <v>0</v>
          </cell>
          <cell r="AP3655">
            <v>0</v>
          </cell>
        </row>
        <row r="3656">
          <cell r="AJ3656">
            <v>0</v>
          </cell>
          <cell r="AP3656">
            <v>0</v>
          </cell>
        </row>
        <row r="3657">
          <cell r="AJ3657">
            <v>0</v>
          </cell>
          <cell r="AP3657">
            <v>0</v>
          </cell>
        </row>
        <row r="3658">
          <cell r="AJ3658">
            <v>0</v>
          </cell>
          <cell r="AP3658">
            <v>0</v>
          </cell>
        </row>
        <row r="3659">
          <cell r="AJ3659">
            <v>0</v>
          </cell>
          <cell r="AP3659">
            <v>0</v>
          </cell>
        </row>
        <row r="3660">
          <cell r="AJ3660">
            <v>0</v>
          </cell>
          <cell r="AP3660">
            <v>0</v>
          </cell>
        </row>
        <row r="3661">
          <cell r="AJ3661">
            <v>0</v>
          </cell>
          <cell r="AP3661">
            <v>0</v>
          </cell>
        </row>
        <row r="3662">
          <cell r="AJ3662">
            <v>0</v>
          </cell>
          <cell r="AP3662">
            <v>0</v>
          </cell>
        </row>
        <row r="3663">
          <cell r="AJ3663">
            <v>0</v>
          </cell>
          <cell r="AP3663">
            <v>0</v>
          </cell>
        </row>
        <row r="3664">
          <cell r="AJ3664">
            <v>0</v>
          </cell>
          <cell r="AP3664">
            <v>0</v>
          </cell>
        </row>
        <row r="3665">
          <cell r="AJ3665">
            <v>0</v>
          </cell>
          <cell r="AP3665">
            <v>0</v>
          </cell>
        </row>
        <row r="3666">
          <cell r="AJ3666">
            <v>0</v>
          </cell>
          <cell r="AP3666">
            <v>0</v>
          </cell>
        </row>
        <row r="3667">
          <cell r="AJ3667">
            <v>0</v>
          </cell>
          <cell r="AP3667">
            <v>0</v>
          </cell>
        </row>
        <row r="3668">
          <cell r="AJ3668">
            <v>0</v>
          </cell>
          <cell r="AP3668">
            <v>0</v>
          </cell>
        </row>
        <row r="3669">
          <cell r="AJ3669">
            <v>0</v>
          </cell>
          <cell r="AP3669">
            <v>0</v>
          </cell>
        </row>
        <row r="3670">
          <cell r="AJ3670">
            <v>0</v>
          </cell>
          <cell r="AP3670">
            <v>0</v>
          </cell>
        </row>
        <row r="3671">
          <cell r="AJ3671">
            <v>0</v>
          </cell>
          <cell r="AP3671">
            <v>0</v>
          </cell>
        </row>
        <row r="3672">
          <cell r="AJ3672">
            <v>0</v>
          </cell>
          <cell r="AP3672">
            <v>0</v>
          </cell>
        </row>
        <row r="3673">
          <cell r="AJ3673">
            <v>0</v>
          </cell>
          <cell r="AP3673">
            <v>0</v>
          </cell>
        </row>
        <row r="3674">
          <cell r="AJ3674">
            <v>0</v>
          </cell>
          <cell r="AP3674">
            <v>0</v>
          </cell>
        </row>
        <row r="3675">
          <cell r="AJ3675">
            <v>0</v>
          </cell>
          <cell r="AP3675">
            <v>0</v>
          </cell>
        </row>
        <row r="3676">
          <cell r="AJ3676">
            <v>0</v>
          </cell>
          <cell r="AP3676">
            <v>0</v>
          </cell>
        </row>
        <row r="3677">
          <cell r="AJ3677">
            <v>0</v>
          </cell>
          <cell r="AP3677">
            <v>0</v>
          </cell>
        </row>
        <row r="3678">
          <cell r="AJ3678">
            <v>0</v>
          </cell>
          <cell r="AP3678">
            <v>0</v>
          </cell>
        </row>
        <row r="3679">
          <cell r="AJ3679">
            <v>0</v>
          </cell>
          <cell r="AP3679">
            <v>0</v>
          </cell>
        </row>
        <row r="3680">
          <cell r="AJ3680">
            <v>0</v>
          </cell>
          <cell r="AP3680">
            <v>0</v>
          </cell>
        </row>
        <row r="3681">
          <cell r="AJ3681">
            <v>0</v>
          </cell>
          <cell r="AP3681">
            <v>0</v>
          </cell>
        </row>
        <row r="3682">
          <cell r="AJ3682">
            <v>0</v>
          </cell>
          <cell r="AP3682">
            <v>0</v>
          </cell>
        </row>
        <row r="3683">
          <cell r="AJ3683">
            <v>0</v>
          </cell>
          <cell r="AP3683">
            <v>0</v>
          </cell>
        </row>
        <row r="3684">
          <cell r="AJ3684">
            <v>0</v>
          </cell>
          <cell r="AP3684">
            <v>0</v>
          </cell>
        </row>
        <row r="3685">
          <cell r="AJ3685">
            <v>0</v>
          </cell>
          <cell r="AP3685">
            <v>0</v>
          </cell>
        </row>
        <row r="3686">
          <cell r="AJ3686">
            <v>0</v>
          </cell>
          <cell r="AP3686">
            <v>0</v>
          </cell>
        </row>
        <row r="3687">
          <cell r="AJ3687">
            <v>0</v>
          </cell>
          <cell r="AP3687">
            <v>0</v>
          </cell>
        </row>
        <row r="3688">
          <cell r="AJ3688">
            <v>0</v>
          </cell>
          <cell r="AP3688">
            <v>0</v>
          </cell>
        </row>
        <row r="3689">
          <cell r="AJ3689">
            <v>0</v>
          </cell>
          <cell r="AP3689">
            <v>0</v>
          </cell>
        </row>
        <row r="3690">
          <cell r="AJ3690">
            <v>0</v>
          </cell>
          <cell r="AP3690">
            <v>0</v>
          </cell>
        </row>
        <row r="3691">
          <cell r="AJ3691">
            <v>0</v>
          </cell>
          <cell r="AP3691">
            <v>0</v>
          </cell>
        </row>
        <row r="3692">
          <cell r="AJ3692">
            <v>0</v>
          </cell>
          <cell r="AP3692">
            <v>0</v>
          </cell>
        </row>
        <row r="3693">
          <cell r="AJ3693">
            <v>0</v>
          </cell>
          <cell r="AP3693">
            <v>0</v>
          </cell>
        </row>
        <row r="3694">
          <cell r="AJ3694">
            <v>0</v>
          </cell>
          <cell r="AP3694">
            <v>0</v>
          </cell>
        </row>
        <row r="3695">
          <cell r="AJ3695">
            <v>0</v>
          </cell>
          <cell r="AP3695">
            <v>0</v>
          </cell>
        </row>
        <row r="3696">
          <cell r="AJ3696">
            <v>0</v>
          </cell>
          <cell r="AP3696">
            <v>0</v>
          </cell>
        </row>
        <row r="3697">
          <cell r="AJ3697">
            <v>0</v>
          </cell>
          <cell r="AP3697">
            <v>0</v>
          </cell>
        </row>
        <row r="3698">
          <cell r="AJ3698">
            <v>0</v>
          </cell>
          <cell r="AP3698">
            <v>0</v>
          </cell>
        </row>
        <row r="3699">
          <cell r="AJ3699">
            <v>0</v>
          </cell>
          <cell r="AP3699">
            <v>0</v>
          </cell>
        </row>
        <row r="3700">
          <cell r="AJ3700">
            <v>0</v>
          </cell>
          <cell r="AP3700">
            <v>0</v>
          </cell>
        </row>
        <row r="3701">
          <cell r="AJ3701">
            <v>0</v>
          </cell>
          <cell r="AP3701">
            <v>0</v>
          </cell>
        </row>
        <row r="3702">
          <cell r="AJ3702">
            <v>0</v>
          </cell>
          <cell r="AP3702">
            <v>0</v>
          </cell>
        </row>
        <row r="3703">
          <cell r="AJ3703">
            <v>0</v>
          </cell>
          <cell r="AP3703">
            <v>0</v>
          </cell>
        </row>
        <row r="3704">
          <cell r="AJ3704">
            <v>0</v>
          </cell>
          <cell r="AP3704">
            <v>0</v>
          </cell>
        </row>
        <row r="3705">
          <cell r="AJ3705">
            <v>0</v>
          </cell>
          <cell r="AP3705">
            <v>0</v>
          </cell>
        </row>
        <row r="3706">
          <cell r="AJ3706">
            <v>0</v>
          </cell>
          <cell r="AP3706">
            <v>0</v>
          </cell>
        </row>
        <row r="3707">
          <cell r="AJ3707">
            <v>0</v>
          </cell>
          <cell r="AP3707">
            <v>0</v>
          </cell>
        </row>
        <row r="3708">
          <cell r="AJ3708">
            <v>0</v>
          </cell>
          <cell r="AP3708">
            <v>0</v>
          </cell>
        </row>
        <row r="3709">
          <cell r="AJ3709">
            <v>0</v>
          </cell>
          <cell r="AP3709">
            <v>0</v>
          </cell>
        </row>
        <row r="3710">
          <cell r="AJ3710">
            <v>0</v>
          </cell>
          <cell r="AP3710">
            <v>0</v>
          </cell>
        </row>
        <row r="3711">
          <cell r="AJ3711">
            <v>0</v>
          </cell>
          <cell r="AP3711">
            <v>0</v>
          </cell>
        </row>
        <row r="3712">
          <cell r="AJ3712">
            <v>0</v>
          </cell>
          <cell r="AP3712">
            <v>0</v>
          </cell>
        </row>
        <row r="3713">
          <cell r="AJ3713">
            <v>0</v>
          </cell>
          <cell r="AP3713">
            <v>0</v>
          </cell>
        </row>
        <row r="3714">
          <cell r="AJ3714">
            <v>0</v>
          </cell>
          <cell r="AP3714">
            <v>0</v>
          </cell>
        </row>
        <row r="3715">
          <cell r="AJ3715">
            <v>0</v>
          </cell>
          <cell r="AP3715">
            <v>0</v>
          </cell>
        </row>
        <row r="3716">
          <cell r="AJ3716">
            <v>0</v>
          </cell>
          <cell r="AP3716">
            <v>0</v>
          </cell>
        </row>
        <row r="3717">
          <cell r="AJ3717">
            <v>0</v>
          </cell>
          <cell r="AP3717">
            <v>0</v>
          </cell>
        </row>
        <row r="3718">
          <cell r="AJ3718">
            <v>0</v>
          </cell>
          <cell r="AP3718">
            <v>0</v>
          </cell>
        </row>
        <row r="3719">
          <cell r="AJ3719">
            <v>0</v>
          </cell>
          <cell r="AP3719">
            <v>0</v>
          </cell>
        </row>
        <row r="3720">
          <cell r="AJ3720">
            <v>0</v>
          </cell>
          <cell r="AP3720">
            <v>0</v>
          </cell>
        </row>
        <row r="3721">
          <cell r="AJ3721">
            <v>0</v>
          </cell>
          <cell r="AP3721">
            <v>0</v>
          </cell>
        </row>
        <row r="3722">
          <cell r="AJ3722">
            <v>0</v>
          </cell>
          <cell r="AP3722">
            <v>0</v>
          </cell>
        </row>
        <row r="3723">
          <cell r="AJ3723">
            <v>0</v>
          </cell>
          <cell r="AP3723">
            <v>0</v>
          </cell>
        </row>
        <row r="3724">
          <cell r="AJ3724">
            <v>0</v>
          </cell>
          <cell r="AP3724">
            <v>0</v>
          </cell>
        </row>
        <row r="3725">
          <cell r="AJ3725">
            <v>0</v>
          </cell>
          <cell r="AP3725">
            <v>0</v>
          </cell>
        </row>
        <row r="3726">
          <cell r="AJ3726">
            <v>0</v>
          </cell>
          <cell r="AP3726">
            <v>0</v>
          </cell>
        </row>
        <row r="3727">
          <cell r="AJ3727">
            <v>0</v>
          </cell>
          <cell r="AP3727">
            <v>0</v>
          </cell>
        </row>
        <row r="3728">
          <cell r="AJ3728">
            <v>0</v>
          </cell>
          <cell r="AP3728">
            <v>0</v>
          </cell>
        </row>
        <row r="3729">
          <cell r="AJ3729">
            <v>0</v>
          </cell>
          <cell r="AP3729">
            <v>0</v>
          </cell>
        </row>
        <row r="3730">
          <cell r="AJ3730">
            <v>0</v>
          </cell>
          <cell r="AP3730">
            <v>0</v>
          </cell>
        </row>
        <row r="3731">
          <cell r="AJ3731">
            <v>0</v>
          </cell>
          <cell r="AP3731">
            <v>0</v>
          </cell>
        </row>
        <row r="3732">
          <cell r="AJ3732">
            <v>0</v>
          </cell>
          <cell r="AP3732">
            <v>0</v>
          </cell>
        </row>
        <row r="3733">
          <cell r="AJ3733">
            <v>0</v>
          </cell>
          <cell r="AP3733">
            <v>0</v>
          </cell>
        </row>
        <row r="3734">
          <cell r="AJ3734">
            <v>0</v>
          </cell>
          <cell r="AP3734">
            <v>0</v>
          </cell>
        </row>
        <row r="3735">
          <cell r="AJ3735">
            <v>0</v>
          </cell>
          <cell r="AP3735">
            <v>0</v>
          </cell>
        </row>
        <row r="3736">
          <cell r="AJ3736">
            <v>0</v>
          </cell>
          <cell r="AP3736">
            <v>0</v>
          </cell>
        </row>
        <row r="3737">
          <cell r="AJ3737">
            <v>0</v>
          </cell>
          <cell r="AP3737">
            <v>0</v>
          </cell>
        </row>
        <row r="3738">
          <cell r="AJ3738">
            <v>0</v>
          </cell>
          <cell r="AP3738">
            <v>0</v>
          </cell>
        </row>
        <row r="3739">
          <cell r="AJ3739">
            <v>0</v>
          </cell>
          <cell r="AP3739">
            <v>0</v>
          </cell>
        </row>
        <row r="3740">
          <cell r="AJ3740">
            <v>0</v>
          </cell>
          <cell r="AP3740">
            <v>0</v>
          </cell>
        </row>
        <row r="3741">
          <cell r="AJ3741">
            <v>0</v>
          </cell>
          <cell r="AP3741">
            <v>0</v>
          </cell>
        </row>
        <row r="3742">
          <cell r="AJ3742">
            <v>0</v>
          </cell>
          <cell r="AP3742">
            <v>0</v>
          </cell>
        </row>
        <row r="3743">
          <cell r="AJ3743">
            <v>0</v>
          </cell>
          <cell r="AP3743">
            <v>0</v>
          </cell>
        </row>
        <row r="3744">
          <cell r="AJ3744">
            <v>0</v>
          </cell>
          <cell r="AP3744">
            <v>0</v>
          </cell>
        </row>
        <row r="3745">
          <cell r="AJ3745">
            <v>0</v>
          </cell>
          <cell r="AP3745">
            <v>0</v>
          </cell>
        </row>
        <row r="3746">
          <cell r="AJ3746">
            <v>0</v>
          </cell>
          <cell r="AP3746">
            <v>0</v>
          </cell>
        </row>
        <row r="3747">
          <cell r="AJ3747">
            <v>0</v>
          </cell>
          <cell r="AP3747">
            <v>0</v>
          </cell>
        </row>
        <row r="3748">
          <cell r="AJ3748">
            <v>0</v>
          </cell>
          <cell r="AP3748">
            <v>0</v>
          </cell>
        </row>
        <row r="3749">
          <cell r="AJ3749">
            <v>0</v>
          </cell>
          <cell r="AP3749">
            <v>0</v>
          </cell>
        </row>
        <row r="3750">
          <cell r="AJ3750">
            <v>0</v>
          </cell>
          <cell r="AP3750">
            <v>0</v>
          </cell>
        </row>
        <row r="3751">
          <cell r="AJ3751">
            <v>0</v>
          </cell>
          <cell r="AP3751">
            <v>0</v>
          </cell>
        </row>
        <row r="3752">
          <cell r="AJ3752">
            <v>0</v>
          </cell>
          <cell r="AP3752">
            <v>0</v>
          </cell>
        </row>
        <row r="3753">
          <cell r="AJ3753">
            <v>0</v>
          </cell>
          <cell r="AP3753">
            <v>0</v>
          </cell>
        </row>
        <row r="3754">
          <cell r="AJ3754">
            <v>0</v>
          </cell>
          <cell r="AP3754">
            <v>0</v>
          </cell>
        </row>
        <row r="3755">
          <cell r="AJ3755">
            <v>0</v>
          </cell>
          <cell r="AP3755">
            <v>0</v>
          </cell>
        </row>
        <row r="3756">
          <cell r="AJ3756">
            <v>0</v>
          </cell>
          <cell r="AP3756">
            <v>0</v>
          </cell>
        </row>
        <row r="3757">
          <cell r="AJ3757">
            <v>0</v>
          </cell>
          <cell r="AP3757">
            <v>0</v>
          </cell>
        </row>
        <row r="3758">
          <cell r="AJ3758">
            <v>0</v>
          </cell>
          <cell r="AP3758">
            <v>0</v>
          </cell>
        </row>
        <row r="3759">
          <cell r="AJ3759">
            <v>0</v>
          </cell>
          <cell r="AP3759">
            <v>0</v>
          </cell>
        </row>
        <row r="3760">
          <cell r="AJ3760">
            <v>0</v>
          </cell>
          <cell r="AP3760">
            <v>0</v>
          </cell>
        </row>
        <row r="3761">
          <cell r="AJ3761">
            <v>0</v>
          </cell>
          <cell r="AP3761">
            <v>0</v>
          </cell>
        </row>
        <row r="3762">
          <cell r="AJ3762">
            <v>0</v>
          </cell>
          <cell r="AP3762">
            <v>0</v>
          </cell>
        </row>
        <row r="3763">
          <cell r="AJ3763">
            <v>0</v>
          </cell>
          <cell r="AP3763">
            <v>0</v>
          </cell>
        </row>
        <row r="3764">
          <cell r="AJ3764">
            <v>0</v>
          </cell>
          <cell r="AP3764">
            <v>0</v>
          </cell>
        </row>
        <row r="3765">
          <cell r="AJ3765">
            <v>0</v>
          </cell>
          <cell r="AP3765">
            <v>0</v>
          </cell>
        </row>
        <row r="3766">
          <cell r="AJ3766">
            <v>0</v>
          </cell>
          <cell r="AP3766">
            <v>0</v>
          </cell>
        </row>
        <row r="3767">
          <cell r="AJ3767">
            <v>0</v>
          </cell>
          <cell r="AP3767">
            <v>0</v>
          </cell>
        </row>
        <row r="3768">
          <cell r="AJ3768">
            <v>0</v>
          </cell>
          <cell r="AP3768">
            <v>0</v>
          </cell>
        </row>
        <row r="3769">
          <cell r="AJ3769">
            <v>0</v>
          </cell>
          <cell r="AP3769">
            <v>0</v>
          </cell>
        </row>
        <row r="3770">
          <cell r="AJ3770">
            <v>0</v>
          </cell>
          <cell r="AP3770">
            <v>0</v>
          </cell>
        </row>
        <row r="3771">
          <cell r="AJ3771">
            <v>0</v>
          </cell>
          <cell r="AP3771">
            <v>0</v>
          </cell>
        </row>
        <row r="3772">
          <cell r="AJ3772">
            <v>0</v>
          </cell>
          <cell r="AP3772">
            <v>0</v>
          </cell>
        </row>
        <row r="3773">
          <cell r="AJ3773">
            <v>0</v>
          </cell>
          <cell r="AP3773">
            <v>0</v>
          </cell>
        </row>
        <row r="3774">
          <cell r="AJ3774">
            <v>0</v>
          </cell>
          <cell r="AP3774">
            <v>0</v>
          </cell>
        </row>
        <row r="3775">
          <cell r="AJ3775">
            <v>0</v>
          </cell>
          <cell r="AP3775">
            <v>0</v>
          </cell>
        </row>
        <row r="3776">
          <cell r="AJ3776">
            <v>0</v>
          </cell>
          <cell r="AP3776">
            <v>0</v>
          </cell>
        </row>
        <row r="3777">
          <cell r="AJ3777">
            <v>0</v>
          </cell>
          <cell r="AP3777">
            <v>0</v>
          </cell>
        </row>
        <row r="3778">
          <cell r="AJ3778">
            <v>0</v>
          </cell>
          <cell r="AP3778">
            <v>0</v>
          </cell>
        </row>
        <row r="3779">
          <cell r="AJ3779">
            <v>0</v>
          </cell>
          <cell r="AP3779">
            <v>0</v>
          </cell>
        </row>
        <row r="3780">
          <cell r="AJ3780">
            <v>0</v>
          </cell>
          <cell r="AP3780">
            <v>0</v>
          </cell>
        </row>
        <row r="3781">
          <cell r="AJ3781">
            <v>0</v>
          </cell>
          <cell r="AP3781">
            <v>0</v>
          </cell>
        </row>
        <row r="3782">
          <cell r="AJ3782">
            <v>0</v>
          </cell>
          <cell r="AP3782">
            <v>0</v>
          </cell>
        </row>
        <row r="3783">
          <cell r="AJ3783">
            <v>0</v>
          </cell>
          <cell r="AP3783">
            <v>0</v>
          </cell>
        </row>
        <row r="3784">
          <cell r="AJ3784">
            <v>0</v>
          </cell>
          <cell r="AP3784">
            <v>0</v>
          </cell>
        </row>
        <row r="3785">
          <cell r="AJ3785">
            <v>0</v>
          </cell>
          <cell r="AP3785">
            <v>0</v>
          </cell>
        </row>
        <row r="3786">
          <cell r="AJ3786">
            <v>0</v>
          </cell>
          <cell r="AP3786">
            <v>0</v>
          </cell>
        </row>
        <row r="3787">
          <cell r="AJ3787">
            <v>0</v>
          </cell>
          <cell r="AP3787">
            <v>0</v>
          </cell>
        </row>
        <row r="3788">
          <cell r="AJ3788">
            <v>0</v>
          </cell>
          <cell r="AP3788">
            <v>0</v>
          </cell>
        </row>
        <row r="3789">
          <cell r="AJ3789">
            <v>0</v>
          </cell>
          <cell r="AP3789">
            <v>0</v>
          </cell>
        </row>
        <row r="3790">
          <cell r="AJ3790">
            <v>0</v>
          </cell>
          <cell r="AP3790">
            <v>0</v>
          </cell>
        </row>
        <row r="3791">
          <cell r="AJ3791">
            <v>0</v>
          </cell>
          <cell r="AP3791">
            <v>0</v>
          </cell>
        </row>
        <row r="3792">
          <cell r="AJ3792">
            <v>0</v>
          </cell>
          <cell r="AP3792">
            <v>0</v>
          </cell>
        </row>
        <row r="3793">
          <cell r="AJ3793">
            <v>0</v>
          </cell>
          <cell r="AP3793">
            <v>0</v>
          </cell>
        </row>
        <row r="3794">
          <cell r="AJ3794">
            <v>0</v>
          </cell>
          <cell r="AP3794">
            <v>0</v>
          </cell>
        </row>
        <row r="3795">
          <cell r="AJ3795">
            <v>0</v>
          </cell>
          <cell r="AP3795">
            <v>0</v>
          </cell>
        </row>
        <row r="3796">
          <cell r="AJ3796">
            <v>0</v>
          </cell>
          <cell r="AP3796">
            <v>0</v>
          </cell>
        </row>
        <row r="3797">
          <cell r="AJ3797">
            <v>0</v>
          </cell>
          <cell r="AP3797">
            <v>0</v>
          </cell>
        </row>
        <row r="3798">
          <cell r="AJ3798">
            <v>0</v>
          </cell>
          <cell r="AP3798">
            <v>0</v>
          </cell>
        </row>
        <row r="3799">
          <cell r="AJ3799">
            <v>0</v>
          </cell>
          <cell r="AP3799">
            <v>0</v>
          </cell>
        </row>
        <row r="3800">
          <cell r="AJ3800">
            <v>0</v>
          </cell>
          <cell r="AP3800">
            <v>0</v>
          </cell>
        </row>
        <row r="3801">
          <cell r="AJ3801">
            <v>0</v>
          </cell>
          <cell r="AP3801">
            <v>0</v>
          </cell>
        </row>
        <row r="3802">
          <cell r="AJ3802">
            <v>0</v>
          </cell>
          <cell r="AP3802">
            <v>0</v>
          </cell>
        </row>
        <row r="3803">
          <cell r="AJ3803">
            <v>0</v>
          </cell>
          <cell r="AP3803">
            <v>0</v>
          </cell>
        </row>
        <row r="3804">
          <cell r="AJ3804">
            <v>0</v>
          </cell>
          <cell r="AP3804">
            <v>0</v>
          </cell>
        </row>
        <row r="3805">
          <cell r="AJ3805">
            <v>0</v>
          </cell>
          <cell r="AP3805">
            <v>0</v>
          </cell>
        </row>
        <row r="3806">
          <cell r="AJ3806">
            <v>0</v>
          </cell>
          <cell r="AP3806">
            <v>0</v>
          </cell>
        </row>
        <row r="3807">
          <cell r="AJ3807">
            <v>0</v>
          </cell>
          <cell r="AP3807">
            <v>0</v>
          </cell>
        </row>
        <row r="3808">
          <cell r="AJ3808">
            <v>0</v>
          </cell>
          <cell r="AP3808">
            <v>0</v>
          </cell>
        </row>
        <row r="3809">
          <cell r="AJ3809">
            <v>0</v>
          </cell>
          <cell r="AP3809">
            <v>0</v>
          </cell>
        </row>
        <row r="3810">
          <cell r="AJ3810">
            <v>0</v>
          </cell>
          <cell r="AP3810">
            <v>0</v>
          </cell>
        </row>
        <row r="3811">
          <cell r="AJ3811">
            <v>0</v>
          </cell>
          <cell r="AP3811">
            <v>0</v>
          </cell>
        </row>
        <row r="3812">
          <cell r="AJ3812">
            <v>0</v>
          </cell>
          <cell r="AP3812">
            <v>0</v>
          </cell>
        </row>
        <row r="3813">
          <cell r="AJ3813">
            <v>0</v>
          </cell>
          <cell r="AP3813">
            <v>0</v>
          </cell>
        </row>
        <row r="3814">
          <cell r="AJ3814">
            <v>0</v>
          </cell>
          <cell r="AP3814">
            <v>0</v>
          </cell>
        </row>
        <row r="3815">
          <cell r="AJ3815">
            <v>0</v>
          </cell>
          <cell r="AP3815">
            <v>0</v>
          </cell>
        </row>
        <row r="3816">
          <cell r="AJ3816">
            <v>0</v>
          </cell>
          <cell r="AP3816">
            <v>0</v>
          </cell>
        </row>
        <row r="3817">
          <cell r="AJ3817">
            <v>0</v>
          </cell>
          <cell r="AP3817">
            <v>0</v>
          </cell>
        </row>
        <row r="3818">
          <cell r="AJ3818">
            <v>0</v>
          </cell>
          <cell r="AP3818">
            <v>0</v>
          </cell>
        </row>
        <row r="3819">
          <cell r="AJ3819">
            <v>0</v>
          </cell>
          <cell r="AP3819">
            <v>0</v>
          </cell>
        </row>
        <row r="3820">
          <cell r="AJ3820">
            <v>0</v>
          </cell>
          <cell r="AP3820">
            <v>0</v>
          </cell>
        </row>
        <row r="3821">
          <cell r="AJ3821">
            <v>0</v>
          </cell>
          <cell r="AP3821">
            <v>0</v>
          </cell>
        </row>
        <row r="3822">
          <cell r="AJ3822">
            <v>0</v>
          </cell>
          <cell r="AP3822">
            <v>0</v>
          </cell>
        </row>
        <row r="3823">
          <cell r="AJ3823">
            <v>0</v>
          </cell>
          <cell r="AP3823">
            <v>0</v>
          </cell>
        </row>
        <row r="3824">
          <cell r="AJ3824">
            <v>0</v>
          </cell>
          <cell r="AP3824">
            <v>0</v>
          </cell>
        </row>
        <row r="3825">
          <cell r="AJ3825">
            <v>0</v>
          </cell>
          <cell r="AP3825">
            <v>0</v>
          </cell>
        </row>
        <row r="3826">
          <cell r="AJ3826">
            <v>0</v>
          </cell>
          <cell r="AP3826">
            <v>0</v>
          </cell>
        </row>
        <row r="3827">
          <cell r="AJ3827">
            <v>0</v>
          </cell>
          <cell r="AP3827">
            <v>0</v>
          </cell>
        </row>
        <row r="3828">
          <cell r="AJ3828">
            <v>0</v>
          </cell>
          <cell r="AP3828">
            <v>0</v>
          </cell>
        </row>
        <row r="3829">
          <cell r="AJ3829">
            <v>0</v>
          </cell>
          <cell r="AP3829">
            <v>0</v>
          </cell>
        </row>
        <row r="3830">
          <cell r="AJ3830">
            <v>0</v>
          </cell>
          <cell r="AP3830">
            <v>0</v>
          </cell>
        </row>
        <row r="3831">
          <cell r="AJ3831">
            <v>0</v>
          </cell>
          <cell r="AP3831">
            <v>0</v>
          </cell>
        </row>
        <row r="3832">
          <cell r="AJ3832">
            <v>0</v>
          </cell>
          <cell r="AP3832">
            <v>0</v>
          </cell>
        </row>
        <row r="3833">
          <cell r="AJ3833">
            <v>0</v>
          </cell>
          <cell r="AP3833">
            <v>0</v>
          </cell>
        </row>
        <row r="3834">
          <cell r="AJ3834">
            <v>0</v>
          </cell>
          <cell r="AP3834">
            <v>0</v>
          </cell>
        </row>
        <row r="3835">
          <cell r="AJ3835">
            <v>0</v>
          </cell>
          <cell r="AP3835">
            <v>0</v>
          </cell>
        </row>
        <row r="3836">
          <cell r="AJ3836">
            <v>0</v>
          </cell>
          <cell r="AP3836">
            <v>0</v>
          </cell>
        </row>
        <row r="3837">
          <cell r="AJ3837">
            <v>0</v>
          </cell>
          <cell r="AP3837">
            <v>0</v>
          </cell>
        </row>
        <row r="3838">
          <cell r="AJ3838">
            <v>0</v>
          </cell>
          <cell r="AP3838">
            <v>0</v>
          </cell>
        </row>
        <row r="3839">
          <cell r="AJ3839">
            <v>0</v>
          </cell>
          <cell r="AP3839">
            <v>0</v>
          </cell>
        </row>
        <row r="3840">
          <cell r="AJ3840">
            <v>0</v>
          </cell>
          <cell r="AP3840">
            <v>0</v>
          </cell>
        </row>
        <row r="3841">
          <cell r="AJ3841">
            <v>0</v>
          </cell>
          <cell r="AP3841">
            <v>0</v>
          </cell>
        </row>
        <row r="3842">
          <cell r="AJ3842">
            <v>0</v>
          </cell>
          <cell r="AP3842">
            <v>0</v>
          </cell>
        </row>
        <row r="3843">
          <cell r="AJ3843">
            <v>0</v>
          </cell>
          <cell r="AP3843">
            <v>0</v>
          </cell>
        </row>
        <row r="3844">
          <cell r="AJ3844">
            <v>0</v>
          </cell>
          <cell r="AP3844">
            <v>0</v>
          </cell>
        </row>
        <row r="3845">
          <cell r="AJ3845">
            <v>0</v>
          </cell>
          <cell r="AP3845">
            <v>0</v>
          </cell>
        </row>
        <row r="3846">
          <cell r="AJ3846">
            <v>0</v>
          </cell>
          <cell r="AP3846">
            <v>0</v>
          </cell>
        </row>
        <row r="3847">
          <cell r="AJ3847">
            <v>0</v>
          </cell>
          <cell r="AP3847">
            <v>0</v>
          </cell>
        </row>
        <row r="3848">
          <cell r="AJ3848">
            <v>0</v>
          </cell>
          <cell r="AP3848">
            <v>0</v>
          </cell>
        </row>
        <row r="3849">
          <cell r="AJ3849">
            <v>0</v>
          </cell>
          <cell r="AP3849">
            <v>0</v>
          </cell>
        </row>
        <row r="3850">
          <cell r="AJ3850">
            <v>0</v>
          </cell>
          <cell r="AP3850">
            <v>0</v>
          </cell>
        </row>
        <row r="3851">
          <cell r="AJ3851">
            <v>0</v>
          </cell>
          <cell r="AP3851">
            <v>0</v>
          </cell>
        </row>
        <row r="3852">
          <cell r="AJ3852">
            <v>0</v>
          </cell>
          <cell r="AP3852">
            <v>0</v>
          </cell>
        </row>
        <row r="3853">
          <cell r="AJ3853">
            <v>0</v>
          </cell>
          <cell r="AP3853">
            <v>0</v>
          </cell>
        </row>
        <row r="3854">
          <cell r="AJ3854">
            <v>0</v>
          </cell>
          <cell r="AP3854">
            <v>0</v>
          </cell>
        </row>
        <row r="3855">
          <cell r="AJ3855">
            <v>0</v>
          </cell>
          <cell r="AP3855">
            <v>0</v>
          </cell>
        </row>
        <row r="3856">
          <cell r="AJ3856">
            <v>0</v>
          </cell>
          <cell r="AP3856">
            <v>0</v>
          </cell>
        </row>
        <row r="3857">
          <cell r="AJ3857">
            <v>0</v>
          </cell>
          <cell r="AP3857">
            <v>0</v>
          </cell>
        </row>
        <row r="3858">
          <cell r="AJ3858">
            <v>0</v>
          </cell>
          <cell r="AP3858">
            <v>0</v>
          </cell>
        </row>
        <row r="3859">
          <cell r="AJ3859">
            <v>0</v>
          </cell>
          <cell r="AP3859">
            <v>0</v>
          </cell>
        </row>
        <row r="3860">
          <cell r="AJ3860">
            <v>0</v>
          </cell>
          <cell r="AP3860">
            <v>0</v>
          </cell>
        </row>
        <row r="3861">
          <cell r="AJ3861">
            <v>0</v>
          </cell>
          <cell r="AP3861">
            <v>0</v>
          </cell>
        </row>
        <row r="3862">
          <cell r="AJ3862">
            <v>0</v>
          </cell>
          <cell r="AP3862">
            <v>0</v>
          </cell>
        </row>
        <row r="3863">
          <cell r="AJ3863">
            <v>0</v>
          </cell>
          <cell r="AP3863">
            <v>0</v>
          </cell>
        </row>
        <row r="3864">
          <cell r="AJ3864">
            <v>0</v>
          </cell>
          <cell r="AP3864">
            <v>0</v>
          </cell>
        </row>
        <row r="3865">
          <cell r="AJ3865">
            <v>0</v>
          </cell>
          <cell r="AP3865">
            <v>0</v>
          </cell>
        </row>
        <row r="3866">
          <cell r="AJ3866">
            <v>0</v>
          </cell>
          <cell r="AP3866">
            <v>0</v>
          </cell>
        </row>
        <row r="3867">
          <cell r="AJ3867">
            <v>0</v>
          </cell>
          <cell r="AP3867">
            <v>0</v>
          </cell>
        </row>
        <row r="3868">
          <cell r="AJ3868">
            <v>0</v>
          </cell>
          <cell r="AP3868">
            <v>0</v>
          </cell>
        </row>
        <row r="3869">
          <cell r="AJ3869">
            <v>0</v>
          </cell>
          <cell r="AP3869">
            <v>0</v>
          </cell>
        </row>
        <row r="3870">
          <cell r="AJ3870">
            <v>0</v>
          </cell>
          <cell r="AP3870">
            <v>0</v>
          </cell>
        </row>
        <row r="3871">
          <cell r="AJ3871">
            <v>0</v>
          </cell>
          <cell r="AP3871">
            <v>0</v>
          </cell>
        </row>
        <row r="3872">
          <cell r="AJ3872">
            <v>0</v>
          </cell>
          <cell r="AP3872">
            <v>0</v>
          </cell>
        </row>
        <row r="3873">
          <cell r="AJ3873">
            <v>0</v>
          </cell>
          <cell r="AP3873">
            <v>0</v>
          </cell>
        </row>
        <row r="3874">
          <cell r="AJ3874">
            <v>0</v>
          </cell>
          <cell r="AP3874">
            <v>0</v>
          </cell>
        </row>
        <row r="3875">
          <cell r="AJ3875">
            <v>0</v>
          </cell>
          <cell r="AP3875">
            <v>0</v>
          </cell>
        </row>
        <row r="3876">
          <cell r="AJ3876">
            <v>0</v>
          </cell>
          <cell r="AP3876">
            <v>0</v>
          </cell>
        </row>
        <row r="3877">
          <cell r="AJ3877">
            <v>0</v>
          </cell>
          <cell r="AP3877">
            <v>0</v>
          </cell>
        </row>
        <row r="3878">
          <cell r="AJ3878">
            <v>0</v>
          </cell>
          <cell r="AP3878">
            <v>0</v>
          </cell>
        </row>
        <row r="3879">
          <cell r="AJ3879">
            <v>0</v>
          </cell>
          <cell r="AP3879">
            <v>0</v>
          </cell>
        </row>
        <row r="3880">
          <cell r="AJ3880">
            <v>0</v>
          </cell>
          <cell r="AP3880">
            <v>0</v>
          </cell>
        </row>
        <row r="3881">
          <cell r="AJ3881">
            <v>0</v>
          </cell>
          <cell r="AP3881">
            <v>0</v>
          </cell>
        </row>
        <row r="3882">
          <cell r="AJ3882">
            <v>0</v>
          </cell>
          <cell r="AP3882">
            <v>0</v>
          </cell>
        </row>
        <row r="3883">
          <cell r="AJ3883">
            <v>0</v>
          </cell>
          <cell r="AP3883">
            <v>0</v>
          </cell>
        </row>
        <row r="3884">
          <cell r="AJ3884">
            <v>0</v>
          </cell>
          <cell r="AP3884">
            <v>0</v>
          </cell>
        </row>
        <row r="3885">
          <cell r="AJ3885">
            <v>0</v>
          </cell>
          <cell r="AP3885">
            <v>0</v>
          </cell>
        </row>
        <row r="3886">
          <cell r="AJ3886">
            <v>0</v>
          </cell>
          <cell r="AP3886">
            <v>0</v>
          </cell>
        </row>
        <row r="3887">
          <cell r="AJ3887">
            <v>0</v>
          </cell>
          <cell r="AP3887">
            <v>0</v>
          </cell>
        </row>
        <row r="3888">
          <cell r="AJ3888">
            <v>0</v>
          </cell>
          <cell r="AP3888">
            <v>0</v>
          </cell>
        </row>
        <row r="3889">
          <cell r="AJ3889">
            <v>0</v>
          </cell>
          <cell r="AP3889">
            <v>0</v>
          </cell>
        </row>
        <row r="3890">
          <cell r="AJ3890">
            <v>0</v>
          </cell>
          <cell r="AP3890">
            <v>0</v>
          </cell>
        </row>
        <row r="3891">
          <cell r="AJ3891">
            <v>0</v>
          </cell>
          <cell r="AP3891">
            <v>0</v>
          </cell>
        </row>
        <row r="3892">
          <cell r="AJ3892">
            <v>0</v>
          </cell>
          <cell r="AP3892">
            <v>0</v>
          </cell>
        </row>
        <row r="3893">
          <cell r="AJ3893">
            <v>0</v>
          </cell>
          <cell r="AP3893">
            <v>0</v>
          </cell>
        </row>
        <row r="3894">
          <cell r="AJ3894">
            <v>0</v>
          </cell>
          <cell r="AP3894">
            <v>0</v>
          </cell>
        </row>
        <row r="3895">
          <cell r="AJ3895">
            <v>0</v>
          </cell>
          <cell r="AP3895">
            <v>0</v>
          </cell>
        </row>
        <row r="3896">
          <cell r="AJ3896">
            <v>0</v>
          </cell>
          <cell r="AP3896">
            <v>0</v>
          </cell>
        </row>
        <row r="3897">
          <cell r="AJ3897">
            <v>0</v>
          </cell>
          <cell r="AP3897">
            <v>0</v>
          </cell>
        </row>
        <row r="3898">
          <cell r="AJ3898">
            <v>0</v>
          </cell>
          <cell r="AP3898">
            <v>0</v>
          </cell>
        </row>
        <row r="3899">
          <cell r="AJ3899">
            <v>0</v>
          </cell>
          <cell r="AP3899">
            <v>0</v>
          </cell>
        </row>
        <row r="3900">
          <cell r="AJ3900">
            <v>0</v>
          </cell>
          <cell r="AP3900">
            <v>0</v>
          </cell>
        </row>
        <row r="3901">
          <cell r="AJ3901">
            <v>0</v>
          </cell>
          <cell r="AP3901">
            <v>0</v>
          </cell>
        </row>
        <row r="3902">
          <cell r="AJ3902">
            <v>0</v>
          </cell>
          <cell r="AP3902">
            <v>0</v>
          </cell>
        </row>
        <row r="3903">
          <cell r="AJ3903">
            <v>0</v>
          </cell>
          <cell r="AP3903">
            <v>0</v>
          </cell>
        </row>
        <row r="3904">
          <cell r="AJ3904">
            <v>0</v>
          </cell>
          <cell r="AP3904">
            <v>0</v>
          </cell>
        </row>
        <row r="3905">
          <cell r="AJ3905">
            <v>0</v>
          </cell>
          <cell r="AP3905">
            <v>0</v>
          </cell>
        </row>
        <row r="3906">
          <cell r="AJ3906">
            <v>0</v>
          </cell>
          <cell r="AP3906">
            <v>0</v>
          </cell>
        </row>
        <row r="3907">
          <cell r="AJ3907">
            <v>0</v>
          </cell>
          <cell r="AP3907">
            <v>0</v>
          </cell>
        </row>
        <row r="3908">
          <cell r="AJ3908">
            <v>0</v>
          </cell>
          <cell r="AP3908">
            <v>0</v>
          </cell>
        </row>
        <row r="3909">
          <cell r="AJ3909">
            <v>0</v>
          </cell>
          <cell r="AP3909">
            <v>0</v>
          </cell>
        </row>
        <row r="3910">
          <cell r="AJ3910">
            <v>0</v>
          </cell>
          <cell r="AP3910">
            <v>0</v>
          </cell>
        </row>
        <row r="3911">
          <cell r="AJ3911">
            <v>0</v>
          </cell>
          <cell r="AP3911">
            <v>0</v>
          </cell>
        </row>
        <row r="3912">
          <cell r="AJ3912">
            <v>0</v>
          </cell>
          <cell r="AP3912">
            <v>0</v>
          </cell>
        </row>
        <row r="3913">
          <cell r="AJ3913">
            <v>0</v>
          </cell>
          <cell r="AP3913">
            <v>0</v>
          </cell>
        </row>
        <row r="3914">
          <cell r="AJ3914">
            <v>0</v>
          </cell>
          <cell r="AP3914">
            <v>0</v>
          </cell>
        </row>
        <row r="3915">
          <cell r="AJ3915">
            <v>0</v>
          </cell>
          <cell r="AP3915">
            <v>0</v>
          </cell>
        </row>
        <row r="3916">
          <cell r="AJ3916">
            <v>0</v>
          </cell>
          <cell r="AP3916">
            <v>0</v>
          </cell>
        </row>
        <row r="3917">
          <cell r="AJ3917">
            <v>0</v>
          </cell>
          <cell r="AP3917">
            <v>0</v>
          </cell>
        </row>
        <row r="3918">
          <cell r="AJ3918">
            <v>0</v>
          </cell>
          <cell r="AP3918">
            <v>0</v>
          </cell>
        </row>
        <row r="3919">
          <cell r="AJ3919">
            <v>0</v>
          </cell>
          <cell r="AP3919">
            <v>0</v>
          </cell>
        </row>
        <row r="3920">
          <cell r="AJ3920">
            <v>0</v>
          </cell>
          <cell r="AP3920">
            <v>0</v>
          </cell>
        </row>
        <row r="3921">
          <cell r="AJ3921">
            <v>0</v>
          </cell>
          <cell r="AP3921">
            <v>0</v>
          </cell>
        </row>
        <row r="3922">
          <cell r="AJ3922">
            <v>0</v>
          </cell>
          <cell r="AP3922">
            <v>0</v>
          </cell>
        </row>
        <row r="3923">
          <cell r="AJ3923">
            <v>0</v>
          </cell>
          <cell r="AP3923">
            <v>0</v>
          </cell>
        </row>
        <row r="3924">
          <cell r="AJ3924">
            <v>0</v>
          </cell>
          <cell r="AP3924">
            <v>0</v>
          </cell>
        </row>
        <row r="3925">
          <cell r="AJ3925">
            <v>0</v>
          </cell>
          <cell r="AP3925">
            <v>0</v>
          </cell>
        </row>
        <row r="3926">
          <cell r="AJ3926">
            <v>0</v>
          </cell>
          <cell r="AP3926">
            <v>0</v>
          </cell>
        </row>
        <row r="3927">
          <cell r="AJ3927">
            <v>0</v>
          </cell>
          <cell r="AP3927">
            <v>0</v>
          </cell>
        </row>
        <row r="3928">
          <cell r="AJ3928">
            <v>0</v>
          </cell>
          <cell r="AP3928">
            <v>0</v>
          </cell>
        </row>
        <row r="3929">
          <cell r="AJ3929">
            <v>0</v>
          </cell>
          <cell r="AP3929">
            <v>0</v>
          </cell>
        </row>
        <row r="3930">
          <cell r="AJ3930">
            <v>0</v>
          </cell>
          <cell r="AP3930">
            <v>0</v>
          </cell>
        </row>
        <row r="3931">
          <cell r="AJ3931">
            <v>0</v>
          </cell>
          <cell r="AP3931">
            <v>0</v>
          </cell>
        </row>
        <row r="3932">
          <cell r="AJ3932">
            <v>0</v>
          </cell>
          <cell r="AP3932">
            <v>0</v>
          </cell>
        </row>
        <row r="3933">
          <cell r="AJ3933">
            <v>0</v>
          </cell>
          <cell r="AP3933">
            <v>0</v>
          </cell>
        </row>
        <row r="3934">
          <cell r="AJ3934">
            <v>0</v>
          </cell>
          <cell r="AP3934">
            <v>0</v>
          </cell>
        </row>
        <row r="3935">
          <cell r="AJ3935">
            <v>0</v>
          </cell>
          <cell r="AP3935">
            <v>0</v>
          </cell>
        </row>
        <row r="3936">
          <cell r="AJ3936">
            <v>0</v>
          </cell>
          <cell r="AP3936">
            <v>0</v>
          </cell>
        </row>
        <row r="3937">
          <cell r="AJ3937">
            <v>0</v>
          </cell>
          <cell r="AP3937">
            <v>0</v>
          </cell>
        </row>
        <row r="3938">
          <cell r="AJ3938">
            <v>0</v>
          </cell>
          <cell r="AP3938">
            <v>0</v>
          </cell>
        </row>
        <row r="3939">
          <cell r="AJ3939">
            <v>0</v>
          </cell>
          <cell r="AP3939">
            <v>0</v>
          </cell>
        </row>
        <row r="3940">
          <cell r="AJ3940">
            <v>0</v>
          </cell>
          <cell r="AP3940">
            <v>0</v>
          </cell>
        </row>
        <row r="3941">
          <cell r="AJ3941">
            <v>0</v>
          </cell>
          <cell r="AP3941">
            <v>0</v>
          </cell>
        </row>
        <row r="3942">
          <cell r="AJ3942">
            <v>0</v>
          </cell>
          <cell r="AP3942">
            <v>0</v>
          </cell>
        </row>
        <row r="3943">
          <cell r="AJ3943">
            <v>0</v>
          </cell>
          <cell r="AP3943">
            <v>0</v>
          </cell>
        </row>
        <row r="3944">
          <cell r="AJ3944">
            <v>0</v>
          </cell>
          <cell r="AP3944">
            <v>0</v>
          </cell>
        </row>
        <row r="3945">
          <cell r="AJ3945">
            <v>0</v>
          </cell>
          <cell r="AP3945">
            <v>0</v>
          </cell>
        </row>
        <row r="3946">
          <cell r="AJ3946">
            <v>0</v>
          </cell>
          <cell r="AP3946">
            <v>0</v>
          </cell>
        </row>
        <row r="3947">
          <cell r="AJ3947">
            <v>0</v>
          </cell>
          <cell r="AP3947">
            <v>0</v>
          </cell>
        </row>
        <row r="3948">
          <cell r="AJ3948">
            <v>0</v>
          </cell>
          <cell r="AP3948">
            <v>0</v>
          </cell>
        </row>
        <row r="3949">
          <cell r="AJ3949">
            <v>0</v>
          </cell>
          <cell r="AP3949">
            <v>0</v>
          </cell>
        </row>
        <row r="3950">
          <cell r="AJ3950">
            <v>0</v>
          </cell>
          <cell r="AP3950">
            <v>0</v>
          </cell>
        </row>
        <row r="3951">
          <cell r="AJ3951">
            <v>0</v>
          </cell>
          <cell r="AP3951">
            <v>0</v>
          </cell>
        </row>
        <row r="3952">
          <cell r="AJ3952">
            <v>0</v>
          </cell>
          <cell r="AP3952">
            <v>0</v>
          </cell>
        </row>
        <row r="3953">
          <cell r="AJ3953">
            <v>0</v>
          </cell>
          <cell r="AP3953">
            <v>0</v>
          </cell>
        </row>
        <row r="3954">
          <cell r="AJ3954">
            <v>0</v>
          </cell>
          <cell r="AP3954">
            <v>0</v>
          </cell>
        </row>
        <row r="3955">
          <cell r="AJ3955">
            <v>0</v>
          </cell>
          <cell r="AP3955">
            <v>0</v>
          </cell>
        </row>
        <row r="3956">
          <cell r="AJ3956">
            <v>0</v>
          </cell>
          <cell r="AP3956">
            <v>0</v>
          </cell>
        </row>
        <row r="3957">
          <cell r="AJ3957">
            <v>0</v>
          </cell>
          <cell r="AP3957">
            <v>0</v>
          </cell>
        </row>
        <row r="3958">
          <cell r="AJ3958">
            <v>0</v>
          </cell>
          <cell r="AP3958">
            <v>0</v>
          </cell>
        </row>
        <row r="3959">
          <cell r="AJ3959">
            <v>0</v>
          </cell>
          <cell r="AP3959">
            <v>0</v>
          </cell>
        </row>
        <row r="3960">
          <cell r="AJ3960">
            <v>0</v>
          </cell>
          <cell r="AP3960">
            <v>0</v>
          </cell>
        </row>
        <row r="3961">
          <cell r="AJ3961">
            <v>0</v>
          </cell>
          <cell r="AP3961">
            <v>0</v>
          </cell>
        </row>
        <row r="3962">
          <cell r="AJ3962">
            <v>0</v>
          </cell>
          <cell r="AP3962">
            <v>0</v>
          </cell>
        </row>
        <row r="3963">
          <cell r="AJ3963">
            <v>0</v>
          </cell>
          <cell r="AP3963">
            <v>0</v>
          </cell>
        </row>
        <row r="3964">
          <cell r="AJ3964">
            <v>0</v>
          </cell>
          <cell r="AP3964">
            <v>0</v>
          </cell>
        </row>
        <row r="3965">
          <cell r="AJ3965">
            <v>0</v>
          </cell>
          <cell r="AP3965">
            <v>0</v>
          </cell>
        </row>
        <row r="3966">
          <cell r="AJ3966">
            <v>0</v>
          </cell>
          <cell r="AP3966">
            <v>0</v>
          </cell>
        </row>
        <row r="3967">
          <cell r="AJ3967">
            <v>0</v>
          </cell>
          <cell r="AP3967">
            <v>0</v>
          </cell>
        </row>
        <row r="3968">
          <cell r="AJ3968">
            <v>0</v>
          </cell>
          <cell r="AP3968">
            <v>0</v>
          </cell>
        </row>
        <row r="3969">
          <cell r="AJ3969">
            <v>0</v>
          </cell>
          <cell r="AP3969">
            <v>0</v>
          </cell>
        </row>
        <row r="3970">
          <cell r="AJ3970">
            <v>0</v>
          </cell>
          <cell r="AP3970">
            <v>0</v>
          </cell>
        </row>
        <row r="3971">
          <cell r="AJ3971">
            <v>0</v>
          </cell>
          <cell r="AP3971">
            <v>0</v>
          </cell>
        </row>
        <row r="3972">
          <cell r="AJ3972">
            <v>0</v>
          </cell>
          <cell r="AP3972">
            <v>0</v>
          </cell>
        </row>
        <row r="3973">
          <cell r="AJ3973">
            <v>0</v>
          </cell>
          <cell r="AP3973">
            <v>0</v>
          </cell>
        </row>
        <row r="3974">
          <cell r="AJ3974">
            <v>0</v>
          </cell>
          <cell r="AP3974">
            <v>0</v>
          </cell>
        </row>
        <row r="3975">
          <cell r="AJ3975">
            <v>0</v>
          </cell>
          <cell r="AP3975">
            <v>0</v>
          </cell>
        </row>
        <row r="3976">
          <cell r="AJ3976">
            <v>0</v>
          </cell>
          <cell r="AP3976">
            <v>0</v>
          </cell>
        </row>
        <row r="3977">
          <cell r="AJ3977">
            <v>0</v>
          </cell>
          <cell r="AP3977">
            <v>0</v>
          </cell>
        </row>
        <row r="3978">
          <cell r="AJ3978">
            <v>0</v>
          </cell>
          <cell r="AP3978">
            <v>0</v>
          </cell>
        </row>
        <row r="3979">
          <cell r="AJ3979">
            <v>0</v>
          </cell>
          <cell r="AP3979">
            <v>0</v>
          </cell>
        </row>
        <row r="3980">
          <cell r="AJ3980">
            <v>0</v>
          </cell>
          <cell r="AP3980">
            <v>0</v>
          </cell>
        </row>
        <row r="3981">
          <cell r="AJ3981">
            <v>0</v>
          </cell>
          <cell r="AP3981">
            <v>0</v>
          </cell>
        </row>
        <row r="3982">
          <cell r="AJ3982">
            <v>0</v>
          </cell>
          <cell r="AP3982">
            <v>0</v>
          </cell>
        </row>
        <row r="3983">
          <cell r="AJ3983">
            <v>0</v>
          </cell>
          <cell r="AP3983">
            <v>0</v>
          </cell>
        </row>
        <row r="3984">
          <cell r="AJ3984">
            <v>0</v>
          </cell>
          <cell r="AP3984">
            <v>0</v>
          </cell>
        </row>
        <row r="3985">
          <cell r="AJ3985">
            <v>0</v>
          </cell>
          <cell r="AP3985">
            <v>0</v>
          </cell>
        </row>
        <row r="3986">
          <cell r="AJ3986">
            <v>0</v>
          </cell>
          <cell r="AP3986">
            <v>0</v>
          </cell>
        </row>
        <row r="3987">
          <cell r="AJ3987">
            <v>0</v>
          </cell>
          <cell r="AP3987">
            <v>0</v>
          </cell>
        </row>
        <row r="3988">
          <cell r="AJ3988">
            <v>0</v>
          </cell>
          <cell r="AP3988">
            <v>0</v>
          </cell>
        </row>
        <row r="3989">
          <cell r="AJ3989">
            <v>0</v>
          </cell>
          <cell r="AP3989">
            <v>0</v>
          </cell>
        </row>
        <row r="3990">
          <cell r="AJ3990">
            <v>0</v>
          </cell>
          <cell r="AP3990">
            <v>0</v>
          </cell>
        </row>
        <row r="3991">
          <cell r="AJ3991">
            <v>0</v>
          </cell>
          <cell r="AP3991">
            <v>0</v>
          </cell>
        </row>
        <row r="3992">
          <cell r="AJ3992">
            <v>0</v>
          </cell>
          <cell r="AP3992">
            <v>0</v>
          </cell>
        </row>
        <row r="3993">
          <cell r="AJ3993">
            <v>0</v>
          </cell>
          <cell r="AP3993">
            <v>0</v>
          </cell>
        </row>
        <row r="3994">
          <cell r="AJ3994">
            <v>0</v>
          </cell>
          <cell r="AP3994">
            <v>0</v>
          </cell>
        </row>
        <row r="3995">
          <cell r="AJ3995">
            <v>0</v>
          </cell>
          <cell r="AP3995">
            <v>0</v>
          </cell>
        </row>
        <row r="3996">
          <cell r="AJ3996">
            <v>0</v>
          </cell>
          <cell r="AP3996">
            <v>0</v>
          </cell>
        </row>
        <row r="3997">
          <cell r="AJ3997">
            <v>0</v>
          </cell>
          <cell r="AP3997">
            <v>0</v>
          </cell>
        </row>
        <row r="3998">
          <cell r="AJ3998">
            <v>0</v>
          </cell>
          <cell r="AP3998">
            <v>0</v>
          </cell>
        </row>
        <row r="3999">
          <cell r="AJ3999">
            <v>0</v>
          </cell>
          <cell r="AP3999">
            <v>0</v>
          </cell>
        </row>
        <row r="4000">
          <cell r="AJ4000">
            <v>0</v>
          </cell>
          <cell r="AP4000">
            <v>0</v>
          </cell>
        </row>
        <row r="4001">
          <cell r="AJ4001">
            <v>0</v>
          </cell>
          <cell r="AP4001">
            <v>0</v>
          </cell>
        </row>
        <row r="4002">
          <cell r="AJ4002">
            <v>0</v>
          </cell>
          <cell r="AP4002">
            <v>0</v>
          </cell>
        </row>
        <row r="4003">
          <cell r="AJ4003">
            <v>0</v>
          </cell>
          <cell r="AP4003">
            <v>0</v>
          </cell>
        </row>
        <row r="4004">
          <cell r="AJ4004">
            <v>0</v>
          </cell>
          <cell r="AP4004">
            <v>0</v>
          </cell>
        </row>
        <row r="4005">
          <cell r="AJ4005">
            <v>0</v>
          </cell>
          <cell r="AP4005">
            <v>0</v>
          </cell>
        </row>
        <row r="4006">
          <cell r="AJ4006">
            <v>0</v>
          </cell>
          <cell r="AP4006">
            <v>0</v>
          </cell>
        </row>
        <row r="4007">
          <cell r="AJ4007">
            <v>0</v>
          </cell>
          <cell r="AP4007">
            <v>0</v>
          </cell>
        </row>
        <row r="4008">
          <cell r="AJ4008">
            <v>0</v>
          </cell>
          <cell r="AP4008">
            <v>0</v>
          </cell>
        </row>
        <row r="4009">
          <cell r="AJ4009">
            <v>0</v>
          </cell>
          <cell r="AP4009">
            <v>0</v>
          </cell>
        </row>
        <row r="4010">
          <cell r="AJ4010">
            <v>0</v>
          </cell>
          <cell r="AP4010">
            <v>0</v>
          </cell>
        </row>
        <row r="4011">
          <cell r="AJ4011">
            <v>0</v>
          </cell>
          <cell r="AP4011">
            <v>0</v>
          </cell>
        </row>
        <row r="4012">
          <cell r="AJ4012">
            <v>0</v>
          </cell>
          <cell r="AP4012">
            <v>0</v>
          </cell>
        </row>
        <row r="4013">
          <cell r="AJ4013">
            <v>0</v>
          </cell>
          <cell r="AP4013">
            <v>0</v>
          </cell>
        </row>
        <row r="4014">
          <cell r="AJ4014">
            <v>0</v>
          </cell>
          <cell r="AP4014">
            <v>0</v>
          </cell>
        </row>
        <row r="4015">
          <cell r="AJ4015">
            <v>0</v>
          </cell>
          <cell r="AP4015">
            <v>0</v>
          </cell>
        </row>
        <row r="4016">
          <cell r="AJ4016">
            <v>0</v>
          </cell>
          <cell r="AP4016">
            <v>0</v>
          </cell>
        </row>
        <row r="4017">
          <cell r="AJ4017">
            <v>0</v>
          </cell>
          <cell r="AP4017">
            <v>0</v>
          </cell>
        </row>
        <row r="4018">
          <cell r="AJ4018">
            <v>0</v>
          </cell>
          <cell r="AP4018">
            <v>0</v>
          </cell>
        </row>
        <row r="4019">
          <cell r="AJ4019">
            <v>0</v>
          </cell>
          <cell r="AP4019">
            <v>0</v>
          </cell>
        </row>
        <row r="4020">
          <cell r="AJ4020">
            <v>0</v>
          </cell>
          <cell r="AP4020">
            <v>0</v>
          </cell>
        </row>
        <row r="4021">
          <cell r="AJ4021">
            <v>0</v>
          </cell>
          <cell r="AP4021">
            <v>0</v>
          </cell>
        </row>
        <row r="4022">
          <cell r="AJ4022">
            <v>0</v>
          </cell>
          <cell r="AP4022">
            <v>0</v>
          </cell>
        </row>
        <row r="4023">
          <cell r="AJ4023">
            <v>0</v>
          </cell>
          <cell r="AP4023">
            <v>0</v>
          </cell>
        </row>
        <row r="4024">
          <cell r="AJ4024">
            <v>0</v>
          </cell>
          <cell r="AP4024">
            <v>0</v>
          </cell>
        </row>
        <row r="4025">
          <cell r="AJ4025">
            <v>0</v>
          </cell>
          <cell r="AP4025">
            <v>0</v>
          </cell>
        </row>
        <row r="4026">
          <cell r="AJ4026">
            <v>0</v>
          </cell>
          <cell r="AP4026">
            <v>0</v>
          </cell>
        </row>
        <row r="4027">
          <cell r="AJ4027">
            <v>0</v>
          </cell>
          <cell r="AP4027">
            <v>0</v>
          </cell>
        </row>
        <row r="4028">
          <cell r="AJ4028">
            <v>0</v>
          </cell>
          <cell r="AP4028">
            <v>0</v>
          </cell>
        </row>
        <row r="4029">
          <cell r="AJ4029">
            <v>0</v>
          </cell>
          <cell r="AP4029">
            <v>0</v>
          </cell>
        </row>
        <row r="4030">
          <cell r="AJ4030">
            <v>0</v>
          </cell>
          <cell r="AP4030">
            <v>0</v>
          </cell>
        </row>
        <row r="4031">
          <cell r="AJ4031">
            <v>0</v>
          </cell>
          <cell r="AP4031">
            <v>0</v>
          </cell>
        </row>
        <row r="4032">
          <cell r="AJ4032">
            <v>0</v>
          </cell>
          <cell r="AP4032">
            <v>0</v>
          </cell>
        </row>
        <row r="4033">
          <cell r="AJ4033">
            <v>0</v>
          </cell>
          <cell r="AP4033">
            <v>0</v>
          </cell>
        </row>
        <row r="4034">
          <cell r="AJ4034">
            <v>0</v>
          </cell>
          <cell r="AP4034">
            <v>0</v>
          </cell>
        </row>
        <row r="4035">
          <cell r="AJ4035">
            <v>0</v>
          </cell>
          <cell r="AP4035">
            <v>0</v>
          </cell>
        </row>
        <row r="4036">
          <cell r="AJ4036">
            <v>0</v>
          </cell>
          <cell r="AP4036">
            <v>0</v>
          </cell>
        </row>
        <row r="4037">
          <cell r="AJ4037">
            <v>0</v>
          </cell>
          <cell r="AP4037">
            <v>0</v>
          </cell>
        </row>
        <row r="4038">
          <cell r="AJ4038">
            <v>0</v>
          </cell>
          <cell r="AP4038">
            <v>0</v>
          </cell>
        </row>
        <row r="4039">
          <cell r="AJ4039">
            <v>0</v>
          </cell>
          <cell r="AP4039">
            <v>0</v>
          </cell>
        </row>
        <row r="4040">
          <cell r="AJ4040">
            <v>0</v>
          </cell>
          <cell r="AP4040">
            <v>0</v>
          </cell>
        </row>
        <row r="4041">
          <cell r="AJ4041">
            <v>0</v>
          </cell>
          <cell r="AP4041">
            <v>0</v>
          </cell>
        </row>
        <row r="4042">
          <cell r="AJ4042">
            <v>0</v>
          </cell>
          <cell r="AP4042">
            <v>0</v>
          </cell>
        </row>
        <row r="4043">
          <cell r="AJ4043">
            <v>0</v>
          </cell>
          <cell r="AP4043">
            <v>0</v>
          </cell>
        </row>
        <row r="4044">
          <cell r="AJ4044">
            <v>0</v>
          </cell>
          <cell r="AP4044">
            <v>0</v>
          </cell>
        </row>
        <row r="4045">
          <cell r="AJ4045">
            <v>0</v>
          </cell>
          <cell r="AP4045">
            <v>0</v>
          </cell>
        </row>
        <row r="4046">
          <cell r="AJ4046">
            <v>0</v>
          </cell>
          <cell r="AP4046">
            <v>0</v>
          </cell>
        </row>
        <row r="4047">
          <cell r="AJ4047">
            <v>0</v>
          </cell>
          <cell r="AP4047">
            <v>0</v>
          </cell>
        </row>
        <row r="4048">
          <cell r="AJ4048">
            <v>0</v>
          </cell>
          <cell r="AP4048">
            <v>0</v>
          </cell>
        </row>
        <row r="4049">
          <cell r="AJ4049">
            <v>0</v>
          </cell>
          <cell r="AP4049">
            <v>0</v>
          </cell>
        </row>
        <row r="4050">
          <cell r="AJ4050">
            <v>0</v>
          </cell>
          <cell r="AP4050">
            <v>0</v>
          </cell>
        </row>
        <row r="4051">
          <cell r="AJ4051">
            <v>0</v>
          </cell>
          <cell r="AP4051">
            <v>0</v>
          </cell>
        </row>
        <row r="4052">
          <cell r="AJ4052">
            <v>0</v>
          </cell>
          <cell r="AP4052">
            <v>0</v>
          </cell>
        </row>
        <row r="4053">
          <cell r="AJ4053">
            <v>0</v>
          </cell>
          <cell r="AP4053">
            <v>0</v>
          </cell>
        </row>
        <row r="4054">
          <cell r="AJ4054">
            <v>0</v>
          </cell>
          <cell r="AP4054">
            <v>0</v>
          </cell>
        </row>
        <row r="4055">
          <cell r="AJ4055">
            <v>0</v>
          </cell>
          <cell r="AP4055">
            <v>0</v>
          </cell>
        </row>
        <row r="4056">
          <cell r="AJ4056">
            <v>0</v>
          </cell>
          <cell r="AP4056">
            <v>0</v>
          </cell>
        </row>
        <row r="4057">
          <cell r="AJ4057">
            <v>0</v>
          </cell>
          <cell r="AP4057">
            <v>0</v>
          </cell>
        </row>
        <row r="4058">
          <cell r="AJ4058">
            <v>0</v>
          </cell>
          <cell r="AP4058">
            <v>0</v>
          </cell>
        </row>
        <row r="4059">
          <cell r="AJ4059">
            <v>0</v>
          </cell>
          <cell r="AP4059">
            <v>0</v>
          </cell>
        </row>
        <row r="4060">
          <cell r="AJ4060">
            <v>0</v>
          </cell>
          <cell r="AP4060">
            <v>0</v>
          </cell>
        </row>
        <row r="4061">
          <cell r="AJ4061">
            <v>0</v>
          </cell>
          <cell r="AP4061">
            <v>0</v>
          </cell>
        </row>
        <row r="4062">
          <cell r="AJ4062">
            <v>0</v>
          </cell>
          <cell r="AP4062">
            <v>0</v>
          </cell>
        </row>
        <row r="4063">
          <cell r="AJ4063">
            <v>0</v>
          </cell>
          <cell r="AP4063">
            <v>0</v>
          </cell>
        </row>
        <row r="4064">
          <cell r="AJ4064">
            <v>0</v>
          </cell>
          <cell r="AP4064">
            <v>0</v>
          </cell>
        </row>
        <row r="4065">
          <cell r="AJ4065">
            <v>0</v>
          </cell>
          <cell r="AP4065">
            <v>0</v>
          </cell>
        </row>
        <row r="4066">
          <cell r="AJ4066">
            <v>0</v>
          </cell>
          <cell r="AP4066">
            <v>0</v>
          </cell>
        </row>
        <row r="4067">
          <cell r="AJ4067">
            <v>0</v>
          </cell>
          <cell r="AP4067">
            <v>0</v>
          </cell>
        </row>
        <row r="4068">
          <cell r="AJ4068">
            <v>0</v>
          </cell>
          <cell r="AP4068">
            <v>0</v>
          </cell>
        </row>
        <row r="4069">
          <cell r="AJ4069">
            <v>0</v>
          </cell>
          <cell r="AP4069">
            <v>0</v>
          </cell>
        </row>
        <row r="4070">
          <cell r="AJ4070">
            <v>0</v>
          </cell>
          <cell r="AP4070">
            <v>0</v>
          </cell>
        </row>
        <row r="4071">
          <cell r="AJ4071">
            <v>0</v>
          </cell>
          <cell r="AP4071">
            <v>0</v>
          </cell>
        </row>
        <row r="4072">
          <cell r="AJ4072">
            <v>0</v>
          </cell>
          <cell r="AP4072">
            <v>0</v>
          </cell>
        </row>
        <row r="4073">
          <cell r="AJ4073">
            <v>0</v>
          </cell>
          <cell r="AP4073">
            <v>0</v>
          </cell>
        </row>
        <row r="4074">
          <cell r="AJ4074">
            <v>0</v>
          </cell>
          <cell r="AP4074">
            <v>0</v>
          </cell>
        </row>
        <row r="4075">
          <cell r="AJ4075">
            <v>0</v>
          </cell>
          <cell r="AP4075">
            <v>0</v>
          </cell>
        </row>
        <row r="4076">
          <cell r="AJ4076">
            <v>0</v>
          </cell>
          <cell r="AP4076">
            <v>0</v>
          </cell>
        </row>
        <row r="4077">
          <cell r="AJ4077">
            <v>0</v>
          </cell>
          <cell r="AP4077">
            <v>0</v>
          </cell>
        </row>
        <row r="4078">
          <cell r="AJ4078">
            <v>0</v>
          </cell>
          <cell r="AP4078">
            <v>0</v>
          </cell>
        </row>
        <row r="4079">
          <cell r="AJ4079">
            <v>0</v>
          </cell>
          <cell r="AP4079">
            <v>0</v>
          </cell>
        </row>
        <row r="4080">
          <cell r="AJ4080">
            <v>0</v>
          </cell>
          <cell r="AP4080">
            <v>0</v>
          </cell>
        </row>
        <row r="4081">
          <cell r="AJ4081">
            <v>0</v>
          </cell>
          <cell r="AP4081">
            <v>0</v>
          </cell>
        </row>
        <row r="4082">
          <cell r="AJ4082">
            <v>0</v>
          </cell>
          <cell r="AP4082">
            <v>0</v>
          </cell>
        </row>
        <row r="4083">
          <cell r="AJ4083">
            <v>0</v>
          </cell>
          <cell r="AP4083">
            <v>0</v>
          </cell>
        </row>
        <row r="4084">
          <cell r="AJ4084">
            <v>0</v>
          </cell>
          <cell r="AP4084">
            <v>0</v>
          </cell>
        </row>
        <row r="4085">
          <cell r="AJ4085">
            <v>0</v>
          </cell>
          <cell r="AP4085">
            <v>0</v>
          </cell>
        </row>
        <row r="4086">
          <cell r="AJ4086">
            <v>0</v>
          </cell>
          <cell r="AP4086">
            <v>0</v>
          </cell>
        </row>
        <row r="4087">
          <cell r="AJ4087">
            <v>0</v>
          </cell>
          <cell r="AP4087">
            <v>0</v>
          </cell>
        </row>
        <row r="4088">
          <cell r="AJ4088">
            <v>0</v>
          </cell>
          <cell r="AP4088">
            <v>0</v>
          </cell>
        </row>
        <row r="4089">
          <cell r="AJ4089">
            <v>0</v>
          </cell>
          <cell r="AP4089">
            <v>0</v>
          </cell>
        </row>
        <row r="4090">
          <cell r="AJ4090">
            <v>0</v>
          </cell>
          <cell r="AP4090">
            <v>0</v>
          </cell>
        </row>
        <row r="4091">
          <cell r="AJ4091">
            <v>0</v>
          </cell>
          <cell r="AP4091">
            <v>0</v>
          </cell>
        </row>
        <row r="4092">
          <cell r="AJ4092">
            <v>0</v>
          </cell>
          <cell r="AP4092">
            <v>0</v>
          </cell>
        </row>
        <row r="4093">
          <cell r="AJ4093">
            <v>0</v>
          </cell>
          <cell r="AP4093">
            <v>0</v>
          </cell>
        </row>
        <row r="4094">
          <cell r="AJ4094">
            <v>0</v>
          </cell>
          <cell r="AP4094">
            <v>0</v>
          </cell>
        </row>
        <row r="4095">
          <cell r="AJ4095">
            <v>0</v>
          </cell>
          <cell r="AP4095">
            <v>0</v>
          </cell>
        </row>
        <row r="4096">
          <cell r="AJ4096">
            <v>0</v>
          </cell>
          <cell r="AP4096">
            <v>0</v>
          </cell>
        </row>
        <row r="4097">
          <cell r="AJ4097">
            <v>0</v>
          </cell>
          <cell r="AP4097">
            <v>0</v>
          </cell>
        </row>
        <row r="4098">
          <cell r="AJ4098">
            <v>0</v>
          </cell>
          <cell r="AP4098">
            <v>0</v>
          </cell>
        </row>
        <row r="4099">
          <cell r="AJ4099">
            <v>0</v>
          </cell>
          <cell r="AP4099">
            <v>0</v>
          </cell>
        </row>
        <row r="4100">
          <cell r="AJ4100">
            <v>0</v>
          </cell>
          <cell r="AP4100">
            <v>0</v>
          </cell>
        </row>
        <row r="4101">
          <cell r="AJ4101">
            <v>0</v>
          </cell>
          <cell r="AP4101">
            <v>0</v>
          </cell>
        </row>
        <row r="4102">
          <cell r="AJ4102">
            <v>0</v>
          </cell>
          <cell r="AP4102">
            <v>0</v>
          </cell>
        </row>
        <row r="4103">
          <cell r="AJ4103">
            <v>0</v>
          </cell>
          <cell r="AP4103">
            <v>0</v>
          </cell>
        </row>
        <row r="4104">
          <cell r="AJ4104">
            <v>0</v>
          </cell>
          <cell r="AP4104">
            <v>0</v>
          </cell>
        </row>
        <row r="4105">
          <cell r="AJ4105">
            <v>0</v>
          </cell>
          <cell r="AP4105">
            <v>0</v>
          </cell>
        </row>
        <row r="4106">
          <cell r="AJ4106">
            <v>0</v>
          </cell>
          <cell r="AP4106">
            <v>0</v>
          </cell>
        </row>
        <row r="4107">
          <cell r="AJ4107">
            <v>0</v>
          </cell>
          <cell r="AP4107">
            <v>0</v>
          </cell>
        </row>
        <row r="4108">
          <cell r="AJ4108">
            <v>0</v>
          </cell>
          <cell r="AP4108">
            <v>0</v>
          </cell>
        </row>
        <row r="4109">
          <cell r="AJ4109">
            <v>0</v>
          </cell>
          <cell r="AP4109">
            <v>0</v>
          </cell>
        </row>
        <row r="4110">
          <cell r="AJ4110">
            <v>0</v>
          </cell>
          <cell r="AP4110">
            <v>0</v>
          </cell>
        </row>
        <row r="4111">
          <cell r="AJ4111">
            <v>0</v>
          </cell>
          <cell r="AP4111">
            <v>0</v>
          </cell>
        </row>
        <row r="4112">
          <cell r="AJ4112">
            <v>0</v>
          </cell>
          <cell r="AP4112">
            <v>0</v>
          </cell>
        </row>
        <row r="4113">
          <cell r="AJ4113">
            <v>0</v>
          </cell>
          <cell r="AP4113">
            <v>0</v>
          </cell>
        </row>
        <row r="4114">
          <cell r="AJ4114">
            <v>0</v>
          </cell>
          <cell r="AP4114">
            <v>0</v>
          </cell>
        </row>
        <row r="4115">
          <cell r="AJ4115">
            <v>0</v>
          </cell>
          <cell r="AP4115">
            <v>0</v>
          </cell>
        </row>
        <row r="4116">
          <cell r="AJ4116">
            <v>0</v>
          </cell>
          <cell r="AP4116">
            <v>0</v>
          </cell>
        </row>
        <row r="4117">
          <cell r="AJ4117">
            <v>0</v>
          </cell>
          <cell r="AP4117">
            <v>0</v>
          </cell>
        </row>
        <row r="4118">
          <cell r="AJ4118">
            <v>0</v>
          </cell>
          <cell r="AP4118">
            <v>0</v>
          </cell>
        </row>
        <row r="4119">
          <cell r="AJ4119">
            <v>0</v>
          </cell>
          <cell r="AP4119">
            <v>0</v>
          </cell>
        </row>
        <row r="4120">
          <cell r="AJ4120">
            <v>0</v>
          </cell>
          <cell r="AP4120">
            <v>0</v>
          </cell>
        </row>
        <row r="4121">
          <cell r="AJ4121">
            <v>0</v>
          </cell>
          <cell r="AP4121">
            <v>0</v>
          </cell>
        </row>
        <row r="4122">
          <cell r="AJ4122">
            <v>0</v>
          </cell>
          <cell r="AP4122">
            <v>0</v>
          </cell>
        </row>
        <row r="4123">
          <cell r="AJ4123">
            <v>0</v>
          </cell>
          <cell r="AP4123">
            <v>0</v>
          </cell>
        </row>
        <row r="4124">
          <cell r="AJ4124">
            <v>0</v>
          </cell>
          <cell r="AP4124">
            <v>0</v>
          </cell>
        </row>
        <row r="4125">
          <cell r="AJ4125">
            <v>0</v>
          </cell>
          <cell r="AP4125">
            <v>0</v>
          </cell>
        </row>
        <row r="4126">
          <cell r="AJ4126">
            <v>0</v>
          </cell>
          <cell r="AP4126">
            <v>0</v>
          </cell>
        </row>
        <row r="4127">
          <cell r="AJ4127">
            <v>0</v>
          </cell>
          <cell r="AP4127">
            <v>0</v>
          </cell>
        </row>
        <row r="4128">
          <cell r="AJ4128">
            <v>0</v>
          </cell>
          <cell r="AP4128">
            <v>0</v>
          </cell>
        </row>
        <row r="4129">
          <cell r="AJ4129">
            <v>0</v>
          </cell>
          <cell r="AP4129">
            <v>0</v>
          </cell>
        </row>
        <row r="4130">
          <cell r="AJ4130">
            <v>0</v>
          </cell>
          <cell r="AP4130">
            <v>0</v>
          </cell>
        </row>
        <row r="4131">
          <cell r="AJ4131">
            <v>0</v>
          </cell>
          <cell r="AP4131">
            <v>0</v>
          </cell>
        </row>
        <row r="4132">
          <cell r="AJ4132">
            <v>0</v>
          </cell>
          <cell r="AP4132">
            <v>0</v>
          </cell>
        </row>
        <row r="4133">
          <cell r="AJ4133">
            <v>0</v>
          </cell>
          <cell r="AP4133">
            <v>0</v>
          </cell>
        </row>
        <row r="4134">
          <cell r="AJ4134">
            <v>0</v>
          </cell>
          <cell r="AP4134">
            <v>0</v>
          </cell>
        </row>
        <row r="4135">
          <cell r="AJ4135">
            <v>0</v>
          </cell>
          <cell r="AP4135">
            <v>0</v>
          </cell>
        </row>
        <row r="4136">
          <cell r="AJ4136">
            <v>0</v>
          </cell>
          <cell r="AP4136">
            <v>0</v>
          </cell>
        </row>
        <row r="4137">
          <cell r="AJ4137">
            <v>0</v>
          </cell>
          <cell r="AP4137">
            <v>0</v>
          </cell>
        </row>
        <row r="4138">
          <cell r="AJ4138">
            <v>0</v>
          </cell>
          <cell r="AP4138">
            <v>0</v>
          </cell>
        </row>
        <row r="4139">
          <cell r="AJ4139">
            <v>0</v>
          </cell>
          <cell r="AP4139">
            <v>0</v>
          </cell>
        </row>
        <row r="4140">
          <cell r="AJ4140">
            <v>0</v>
          </cell>
          <cell r="AP4140">
            <v>0</v>
          </cell>
        </row>
        <row r="4141">
          <cell r="AJ4141">
            <v>0</v>
          </cell>
          <cell r="AP4141">
            <v>0</v>
          </cell>
        </row>
        <row r="4142">
          <cell r="AJ4142">
            <v>0</v>
          </cell>
          <cell r="AP4142">
            <v>0</v>
          </cell>
        </row>
        <row r="4143">
          <cell r="AJ4143">
            <v>0</v>
          </cell>
          <cell r="AP4143">
            <v>0</v>
          </cell>
        </row>
        <row r="4144">
          <cell r="AJ4144">
            <v>0</v>
          </cell>
          <cell r="AP4144">
            <v>0</v>
          </cell>
        </row>
        <row r="4145">
          <cell r="AJ4145">
            <v>0</v>
          </cell>
          <cell r="AP4145">
            <v>0</v>
          </cell>
        </row>
        <row r="4146">
          <cell r="AJ4146">
            <v>0</v>
          </cell>
          <cell r="AP4146">
            <v>0</v>
          </cell>
        </row>
        <row r="4147">
          <cell r="AJ4147">
            <v>0</v>
          </cell>
          <cell r="AP4147">
            <v>0</v>
          </cell>
        </row>
        <row r="4148">
          <cell r="AJ4148">
            <v>0</v>
          </cell>
          <cell r="AP4148">
            <v>0</v>
          </cell>
        </row>
        <row r="4149">
          <cell r="AJ4149">
            <v>0</v>
          </cell>
          <cell r="AP4149">
            <v>0</v>
          </cell>
        </row>
        <row r="4150">
          <cell r="AJ4150">
            <v>0</v>
          </cell>
          <cell r="AP4150">
            <v>0</v>
          </cell>
        </row>
        <row r="4151">
          <cell r="AJ4151">
            <v>0</v>
          </cell>
          <cell r="AP4151">
            <v>0</v>
          </cell>
        </row>
        <row r="4152">
          <cell r="AJ4152">
            <v>0</v>
          </cell>
          <cell r="AP4152">
            <v>0</v>
          </cell>
        </row>
        <row r="4153">
          <cell r="AJ4153">
            <v>0</v>
          </cell>
          <cell r="AP4153">
            <v>0</v>
          </cell>
        </row>
        <row r="4154">
          <cell r="AJ4154">
            <v>0</v>
          </cell>
          <cell r="AP4154">
            <v>0</v>
          </cell>
        </row>
        <row r="4155">
          <cell r="AJ4155">
            <v>0</v>
          </cell>
          <cell r="AP4155">
            <v>0</v>
          </cell>
        </row>
        <row r="4156">
          <cell r="AJ4156">
            <v>0</v>
          </cell>
          <cell r="AP4156">
            <v>0</v>
          </cell>
        </row>
        <row r="4157">
          <cell r="AJ4157">
            <v>0</v>
          </cell>
          <cell r="AP4157">
            <v>0</v>
          </cell>
        </row>
        <row r="4158">
          <cell r="AJ4158">
            <v>0</v>
          </cell>
          <cell r="AP4158">
            <v>0</v>
          </cell>
        </row>
        <row r="4159">
          <cell r="AJ4159">
            <v>0</v>
          </cell>
          <cell r="AP4159">
            <v>0</v>
          </cell>
        </row>
        <row r="4160">
          <cell r="AJ4160">
            <v>0</v>
          </cell>
          <cell r="AP4160">
            <v>0</v>
          </cell>
        </row>
        <row r="4161">
          <cell r="AJ4161">
            <v>0</v>
          </cell>
          <cell r="AP4161">
            <v>0</v>
          </cell>
        </row>
        <row r="4162">
          <cell r="AJ4162">
            <v>0</v>
          </cell>
          <cell r="AP4162">
            <v>0</v>
          </cell>
        </row>
        <row r="4163">
          <cell r="AJ4163">
            <v>0</v>
          </cell>
          <cell r="AP4163">
            <v>0</v>
          </cell>
        </row>
        <row r="4164">
          <cell r="AJ4164">
            <v>0</v>
          </cell>
          <cell r="AP4164">
            <v>0</v>
          </cell>
        </row>
        <row r="4165">
          <cell r="AJ4165">
            <v>0</v>
          </cell>
          <cell r="AP4165">
            <v>0</v>
          </cell>
        </row>
        <row r="4166">
          <cell r="AJ4166">
            <v>0</v>
          </cell>
          <cell r="AP4166">
            <v>0</v>
          </cell>
        </row>
        <row r="4167">
          <cell r="AJ4167">
            <v>0</v>
          </cell>
          <cell r="AP4167">
            <v>0</v>
          </cell>
        </row>
        <row r="4168">
          <cell r="AJ4168">
            <v>0</v>
          </cell>
          <cell r="AP4168">
            <v>0</v>
          </cell>
        </row>
        <row r="4169">
          <cell r="AJ4169">
            <v>0</v>
          </cell>
          <cell r="AP4169">
            <v>0</v>
          </cell>
        </row>
        <row r="4170">
          <cell r="AJ4170">
            <v>0</v>
          </cell>
          <cell r="AP4170">
            <v>0</v>
          </cell>
        </row>
        <row r="4171">
          <cell r="AJ4171">
            <v>0</v>
          </cell>
          <cell r="AP4171">
            <v>0</v>
          </cell>
        </row>
        <row r="4172">
          <cell r="AJ4172">
            <v>0</v>
          </cell>
          <cell r="AP4172">
            <v>0</v>
          </cell>
        </row>
        <row r="4173">
          <cell r="AJ4173">
            <v>0</v>
          </cell>
          <cell r="AP4173">
            <v>0</v>
          </cell>
        </row>
        <row r="4174">
          <cell r="AJ4174">
            <v>0</v>
          </cell>
          <cell r="AP4174">
            <v>0</v>
          </cell>
        </row>
        <row r="4175">
          <cell r="AJ4175">
            <v>0</v>
          </cell>
          <cell r="AP4175">
            <v>0</v>
          </cell>
        </row>
        <row r="4176">
          <cell r="AJ4176">
            <v>0</v>
          </cell>
          <cell r="AP4176">
            <v>0</v>
          </cell>
        </row>
        <row r="4177">
          <cell r="AJ4177">
            <v>0</v>
          </cell>
          <cell r="AP4177">
            <v>0</v>
          </cell>
        </row>
        <row r="4178">
          <cell r="AJ4178">
            <v>0</v>
          </cell>
          <cell r="AP4178">
            <v>0</v>
          </cell>
        </row>
        <row r="4179">
          <cell r="AJ4179">
            <v>0</v>
          </cell>
          <cell r="AP4179">
            <v>0</v>
          </cell>
        </row>
        <row r="4180">
          <cell r="AJ4180">
            <v>0</v>
          </cell>
          <cell r="AP4180">
            <v>0</v>
          </cell>
        </row>
        <row r="4181">
          <cell r="AJ4181">
            <v>0</v>
          </cell>
          <cell r="AP4181">
            <v>0</v>
          </cell>
        </row>
        <row r="4182">
          <cell r="AJ4182">
            <v>0</v>
          </cell>
          <cell r="AP4182">
            <v>0</v>
          </cell>
        </row>
        <row r="4183">
          <cell r="AJ4183">
            <v>0</v>
          </cell>
          <cell r="AP4183">
            <v>0</v>
          </cell>
        </row>
        <row r="4184">
          <cell r="AJ4184">
            <v>0</v>
          </cell>
          <cell r="AP4184">
            <v>0</v>
          </cell>
        </row>
        <row r="4185">
          <cell r="AJ4185">
            <v>0</v>
          </cell>
          <cell r="AP4185">
            <v>0</v>
          </cell>
        </row>
        <row r="4186">
          <cell r="AJ4186">
            <v>0</v>
          </cell>
          <cell r="AP4186">
            <v>0</v>
          </cell>
        </row>
        <row r="4187">
          <cell r="AJ4187">
            <v>0</v>
          </cell>
          <cell r="AP4187">
            <v>0</v>
          </cell>
        </row>
        <row r="4188">
          <cell r="AJ4188">
            <v>0</v>
          </cell>
          <cell r="AP4188">
            <v>0</v>
          </cell>
        </row>
        <row r="4189">
          <cell r="AJ4189">
            <v>0</v>
          </cell>
          <cell r="AP4189">
            <v>0</v>
          </cell>
        </row>
        <row r="4190">
          <cell r="AJ4190">
            <v>0</v>
          </cell>
          <cell r="AP4190">
            <v>0</v>
          </cell>
        </row>
        <row r="4191">
          <cell r="AJ4191">
            <v>0</v>
          </cell>
          <cell r="AP4191">
            <v>0</v>
          </cell>
        </row>
        <row r="4192">
          <cell r="AJ4192">
            <v>0</v>
          </cell>
          <cell r="AP4192">
            <v>0</v>
          </cell>
        </row>
        <row r="4193">
          <cell r="AJ4193">
            <v>0</v>
          </cell>
          <cell r="AP4193">
            <v>0</v>
          </cell>
        </row>
        <row r="4194">
          <cell r="AJ4194">
            <v>0</v>
          </cell>
          <cell r="AP4194">
            <v>0</v>
          </cell>
        </row>
        <row r="4195">
          <cell r="AJ4195">
            <v>0</v>
          </cell>
          <cell r="AP4195">
            <v>0</v>
          </cell>
        </row>
        <row r="4196">
          <cell r="AJ4196">
            <v>0</v>
          </cell>
          <cell r="AP4196">
            <v>0</v>
          </cell>
        </row>
        <row r="4197">
          <cell r="AJ4197">
            <v>0</v>
          </cell>
          <cell r="AP4197">
            <v>0</v>
          </cell>
        </row>
        <row r="4198">
          <cell r="AJ4198">
            <v>0</v>
          </cell>
          <cell r="AP4198">
            <v>0</v>
          </cell>
        </row>
        <row r="4199">
          <cell r="AJ4199">
            <v>0</v>
          </cell>
          <cell r="AP4199">
            <v>0</v>
          </cell>
        </row>
        <row r="4200">
          <cell r="AJ4200">
            <v>0</v>
          </cell>
          <cell r="AP4200">
            <v>0</v>
          </cell>
        </row>
        <row r="4201">
          <cell r="AJ4201">
            <v>0</v>
          </cell>
          <cell r="AP4201">
            <v>0</v>
          </cell>
        </row>
        <row r="4202">
          <cell r="AJ4202">
            <v>0</v>
          </cell>
          <cell r="AP4202">
            <v>0</v>
          </cell>
        </row>
        <row r="4203">
          <cell r="AJ4203">
            <v>0</v>
          </cell>
          <cell r="AP4203">
            <v>0</v>
          </cell>
        </row>
        <row r="4204">
          <cell r="AJ4204">
            <v>0</v>
          </cell>
          <cell r="AP4204">
            <v>0</v>
          </cell>
        </row>
        <row r="4205">
          <cell r="AJ4205">
            <v>0</v>
          </cell>
          <cell r="AP4205">
            <v>0</v>
          </cell>
        </row>
        <row r="4206">
          <cell r="AJ4206">
            <v>0</v>
          </cell>
          <cell r="AP4206">
            <v>0</v>
          </cell>
        </row>
        <row r="4207">
          <cell r="AJ4207">
            <v>0</v>
          </cell>
          <cell r="AP4207">
            <v>0</v>
          </cell>
        </row>
        <row r="4208">
          <cell r="AJ4208">
            <v>0</v>
          </cell>
          <cell r="AP4208">
            <v>0</v>
          </cell>
        </row>
        <row r="4209">
          <cell r="AJ4209">
            <v>0</v>
          </cell>
          <cell r="AP4209">
            <v>0</v>
          </cell>
        </row>
        <row r="4210">
          <cell r="AJ4210">
            <v>0</v>
          </cell>
          <cell r="AP4210">
            <v>0</v>
          </cell>
        </row>
        <row r="4211">
          <cell r="AJ4211">
            <v>0</v>
          </cell>
          <cell r="AP4211">
            <v>0</v>
          </cell>
        </row>
        <row r="4212">
          <cell r="AJ4212">
            <v>0</v>
          </cell>
          <cell r="AP4212">
            <v>0</v>
          </cell>
        </row>
        <row r="4213">
          <cell r="AJ4213">
            <v>0</v>
          </cell>
          <cell r="AP4213">
            <v>0</v>
          </cell>
        </row>
        <row r="4214">
          <cell r="AJ4214">
            <v>0</v>
          </cell>
          <cell r="AP4214">
            <v>0</v>
          </cell>
        </row>
        <row r="4215">
          <cell r="AJ4215">
            <v>0</v>
          </cell>
          <cell r="AP4215">
            <v>0</v>
          </cell>
        </row>
        <row r="4216">
          <cell r="AJ4216">
            <v>0</v>
          </cell>
          <cell r="AP4216">
            <v>0</v>
          </cell>
        </row>
        <row r="4217">
          <cell r="AJ4217">
            <v>0</v>
          </cell>
          <cell r="AP4217">
            <v>0</v>
          </cell>
        </row>
        <row r="4218">
          <cell r="AJ4218">
            <v>0</v>
          </cell>
          <cell r="AP4218">
            <v>0</v>
          </cell>
        </row>
        <row r="4219">
          <cell r="AJ4219">
            <v>0</v>
          </cell>
          <cell r="AP4219">
            <v>0</v>
          </cell>
        </row>
        <row r="4220">
          <cell r="AJ4220">
            <v>0</v>
          </cell>
          <cell r="AP4220">
            <v>0</v>
          </cell>
        </row>
        <row r="4221">
          <cell r="AJ4221">
            <v>0</v>
          </cell>
          <cell r="AP4221">
            <v>0</v>
          </cell>
        </row>
        <row r="4222">
          <cell r="AJ4222">
            <v>0</v>
          </cell>
          <cell r="AP4222">
            <v>0</v>
          </cell>
        </row>
        <row r="4223">
          <cell r="AJ4223">
            <v>0</v>
          </cell>
          <cell r="AP4223">
            <v>0</v>
          </cell>
        </row>
        <row r="4224">
          <cell r="AJ4224">
            <v>0</v>
          </cell>
          <cell r="AP4224">
            <v>0</v>
          </cell>
        </row>
        <row r="4225">
          <cell r="AJ4225">
            <v>0</v>
          </cell>
          <cell r="AP4225">
            <v>0</v>
          </cell>
        </row>
        <row r="4226">
          <cell r="AJ4226">
            <v>0</v>
          </cell>
          <cell r="AP4226">
            <v>0</v>
          </cell>
        </row>
        <row r="4227">
          <cell r="AJ4227">
            <v>0</v>
          </cell>
          <cell r="AP4227">
            <v>0</v>
          </cell>
        </row>
        <row r="4228">
          <cell r="AJ4228">
            <v>0</v>
          </cell>
          <cell r="AP4228">
            <v>0</v>
          </cell>
        </row>
        <row r="4229">
          <cell r="AJ4229">
            <v>0</v>
          </cell>
          <cell r="AP4229">
            <v>0</v>
          </cell>
        </row>
        <row r="4230">
          <cell r="AJ4230">
            <v>0</v>
          </cell>
          <cell r="AP4230">
            <v>0</v>
          </cell>
        </row>
        <row r="4231">
          <cell r="AJ4231">
            <v>0</v>
          </cell>
          <cell r="AP4231">
            <v>0</v>
          </cell>
        </row>
        <row r="4232">
          <cell r="AJ4232">
            <v>0</v>
          </cell>
          <cell r="AP4232">
            <v>0</v>
          </cell>
        </row>
        <row r="4233">
          <cell r="AJ4233">
            <v>0</v>
          </cell>
          <cell r="AP4233">
            <v>0</v>
          </cell>
        </row>
        <row r="4234">
          <cell r="AJ4234">
            <v>0</v>
          </cell>
          <cell r="AP4234">
            <v>0</v>
          </cell>
        </row>
        <row r="4235">
          <cell r="AJ4235">
            <v>0</v>
          </cell>
          <cell r="AP4235">
            <v>0</v>
          </cell>
        </row>
        <row r="4236">
          <cell r="AJ4236">
            <v>0</v>
          </cell>
          <cell r="AP4236">
            <v>0</v>
          </cell>
        </row>
        <row r="4237">
          <cell r="AJ4237">
            <v>0</v>
          </cell>
          <cell r="AP4237">
            <v>0</v>
          </cell>
        </row>
        <row r="4238">
          <cell r="AJ4238">
            <v>0</v>
          </cell>
          <cell r="AP4238">
            <v>0</v>
          </cell>
        </row>
        <row r="4239">
          <cell r="AJ4239">
            <v>0</v>
          </cell>
          <cell r="AP4239">
            <v>0</v>
          </cell>
        </row>
        <row r="4240">
          <cell r="AJ4240">
            <v>0</v>
          </cell>
          <cell r="AP4240">
            <v>0</v>
          </cell>
        </row>
        <row r="4241">
          <cell r="AJ4241">
            <v>0</v>
          </cell>
          <cell r="AP4241">
            <v>0</v>
          </cell>
        </row>
        <row r="4242">
          <cell r="AJ4242">
            <v>0</v>
          </cell>
          <cell r="AP4242">
            <v>0</v>
          </cell>
        </row>
        <row r="4243">
          <cell r="AJ4243">
            <v>0</v>
          </cell>
          <cell r="AP4243">
            <v>0</v>
          </cell>
        </row>
        <row r="4244">
          <cell r="AJ4244">
            <v>0</v>
          </cell>
          <cell r="AP4244">
            <v>0</v>
          </cell>
        </row>
        <row r="4245">
          <cell r="AJ4245">
            <v>0</v>
          </cell>
          <cell r="AP4245">
            <v>0</v>
          </cell>
        </row>
        <row r="4246">
          <cell r="AJ4246">
            <v>0</v>
          </cell>
          <cell r="AP4246">
            <v>0</v>
          </cell>
        </row>
        <row r="4247">
          <cell r="AJ4247">
            <v>0</v>
          </cell>
          <cell r="AP4247">
            <v>0</v>
          </cell>
        </row>
        <row r="4248">
          <cell r="AJ4248">
            <v>0</v>
          </cell>
          <cell r="AP4248">
            <v>0</v>
          </cell>
        </row>
        <row r="4249">
          <cell r="AJ4249">
            <v>0</v>
          </cell>
          <cell r="AP4249">
            <v>0</v>
          </cell>
        </row>
        <row r="4250">
          <cell r="AJ4250">
            <v>0</v>
          </cell>
          <cell r="AP4250">
            <v>0</v>
          </cell>
        </row>
        <row r="4251">
          <cell r="AJ4251">
            <v>0</v>
          </cell>
          <cell r="AP4251">
            <v>0</v>
          </cell>
        </row>
        <row r="4252">
          <cell r="AJ4252">
            <v>0</v>
          </cell>
          <cell r="AP4252">
            <v>0</v>
          </cell>
        </row>
        <row r="4253">
          <cell r="AJ4253">
            <v>0</v>
          </cell>
          <cell r="AP4253">
            <v>0</v>
          </cell>
        </row>
        <row r="4254">
          <cell r="AJ4254">
            <v>0</v>
          </cell>
          <cell r="AP4254">
            <v>0</v>
          </cell>
        </row>
        <row r="4255">
          <cell r="AJ4255">
            <v>0</v>
          </cell>
          <cell r="AP4255">
            <v>0</v>
          </cell>
        </row>
        <row r="4256">
          <cell r="AJ4256">
            <v>0</v>
          </cell>
          <cell r="AP4256">
            <v>0</v>
          </cell>
        </row>
        <row r="4257">
          <cell r="AJ4257">
            <v>0</v>
          </cell>
          <cell r="AP4257">
            <v>0</v>
          </cell>
        </row>
        <row r="4258">
          <cell r="AJ4258">
            <v>0</v>
          </cell>
          <cell r="AP4258">
            <v>0</v>
          </cell>
        </row>
        <row r="4259">
          <cell r="AJ4259">
            <v>0</v>
          </cell>
          <cell r="AP4259">
            <v>0</v>
          </cell>
        </row>
        <row r="4260">
          <cell r="AJ4260">
            <v>0</v>
          </cell>
          <cell r="AP4260">
            <v>0</v>
          </cell>
        </row>
        <row r="4261">
          <cell r="AJ4261">
            <v>0</v>
          </cell>
          <cell r="AP4261">
            <v>0</v>
          </cell>
        </row>
        <row r="4262">
          <cell r="AJ4262">
            <v>0</v>
          </cell>
          <cell r="AP4262">
            <v>0</v>
          </cell>
        </row>
        <row r="4263">
          <cell r="AJ4263">
            <v>0</v>
          </cell>
          <cell r="AP4263">
            <v>0</v>
          </cell>
        </row>
        <row r="4264">
          <cell r="AJ4264">
            <v>0</v>
          </cell>
          <cell r="AP4264">
            <v>0</v>
          </cell>
        </row>
        <row r="4265">
          <cell r="AJ4265">
            <v>0</v>
          </cell>
          <cell r="AP4265">
            <v>0</v>
          </cell>
        </row>
        <row r="4266">
          <cell r="AJ4266">
            <v>0</v>
          </cell>
          <cell r="AP4266">
            <v>0</v>
          </cell>
        </row>
        <row r="4267">
          <cell r="AJ4267">
            <v>0</v>
          </cell>
          <cell r="AP4267">
            <v>0</v>
          </cell>
        </row>
        <row r="4268">
          <cell r="AJ4268">
            <v>0</v>
          </cell>
          <cell r="AP4268">
            <v>0</v>
          </cell>
        </row>
        <row r="4269">
          <cell r="AJ4269">
            <v>0</v>
          </cell>
          <cell r="AP4269">
            <v>0</v>
          </cell>
        </row>
        <row r="4270">
          <cell r="AJ4270">
            <v>0</v>
          </cell>
          <cell r="AP4270">
            <v>0</v>
          </cell>
        </row>
        <row r="4271">
          <cell r="AJ4271">
            <v>0</v>
          </cell>
          <cell r="AP4271">
            <v>0</v>
          </cell>
        </row>
        <row r="4272">
          <cell r="AJ4272">
            <v>0</v>
          </cell>
          <cell r="AP4272">
            <v>0</v>
          </cell>
        </row>
        <row r="4273">
          <cell r="AJ4273">
            <v>0</v>
          </cell>
          <cell r="AP4273">
            <v>0</v>
          </cell>
        </row>
        <row r="4274">
          <cell r="AJ4274">
            <v>0</v>
          </cell>
          <cell r="AP4274">
            <v>0</v>
          </cell>
        </row>
        <row r="4275">
          <cell r="AJ4275">
            <v>0</v>
          </cell>
          <cell r="AP4275">
            <v>0</v>
          </cell>
        </row>
        <row r="4276">
          <cell r="AJ4276">
            <v>0</v>
          </cell>
          <cell r="AP4276">
            <v>0</v>
          </cell>
        </row>
        <row r="4277">
          <cell r="AJ4277">
            <v>0</v>
          </cell>
          <cell r="AP4277">
            <v>0</v>
          </cell>
        </row>
        <row r="4278">
          <cell r="AJ4278">
            <v>0</v>
          </cell>
          <cell r="AP4278">
            <v>0</v>
          </cell>
        </row>
        <row r="4279">
          <cell r="AJ4279">
            <v>0</v>
          </cell>
          <cell r="AP4279">
            <v>0</v>
          </cell>
        </row>
        <row r="4280">
          <cell r="AJ4280">
            <v>0</v>
          </cell>
          <cell r="AP4280">
            <v>0</v>
          </cell>
        </row>
        <row r="4281">
          <cell r="AJ4281">
            <v>0</v>
          </cell>
          <cell r="AP4281">
            <v>0</v>
          </cell>
        </row>
        <row r="4282">
          <cell r="AJ4282">
            <v>0</v>
          </cell>
          <cell r="AP4282">
            <v>0</v>
          </cell>
        </row>
        <row r="4283">
          <cell r="AJ4283">
            <v>0</v>
          </cell>
          <cell r="AP4283">
            <v>0</v>
          </cell>
        </row>
        <row r="4284">
          <cell r="AJ4284">
            <v>0</v>
          </cell>
          <cell r="AP4284">
            <v>0</v>
          </cell>
        </row>
        <row r="4285">
          <cell r="AJ4285">
            <v>0</v>
          </cell>
          <cell r="AP4285">
            <v>0</v>
          </cell>
        </row>
        <row r="4286">
          <cell r="AJ4286">
            <v>0</v>
          </cell>
          <cell r="AP4286">
            <v>0</v>
          </cell>
        </row>
        <row r="4287">
          <cell r="AJ4287">
            <v>0</v>
          </cell>
          <cell r="AP4287">
            <v>0</v>
          </cell>
        </row>
        <row r="4288">
          <cell r="AJ4288">
            <v>0</v>
          </cell>
          <cell r="AP4288">
            <v>0</v>
          </cell>
        </row>
        <row r="4289">
          <cell r="AJ4289">
            <v>0</v>
          </cell>
          <cell r="AP4289">
            <v>0</v>
          </cell>
        </row>
        <row r="4290">
          <cell r="AJ4290">
            <v>0</v>
          </cell>
          <cell r="AP4290">
            <v>0</v>
          </cell>
        </row>
        <row r="4291">
          <cell r="AJ4291">
            <v>0</v>
          </cell>
          <cell r="AP4291">
            <v>0</v>
          </cell>
        </row>
        <row r="4292">
          <cell r="AJ4292">
            <v>0</v>
          </cell>
          <cell r="AP4292">
            <v>0</v>
          </cell>
        </row>
        <row r="4293">
          <cell r="AJ4293">
            <v>0</v>
          </cell>
          <cell r="AP4293">
            <v>0</v>
          </cell>
        </row>
        <row r="4294">
          <cell r="AJ4294">
            <v>0</v>
          </cell>
          <cell r="AP4294">
            <v>0</v>
          </cell>
        </row>
        <row r="4295">
          <cell r="AJ4295">
            <v>0</v>
          </cell>
          <cell r="AP4295">
            <v>0</v>
          </cell>
        </row>
        <row r="4296">
          <cell r="AJ4296">
            <v>0</v>
          </cell>
          <cell r="AP4296">
            <v>0</v>
          </cell>
        </row>
        <row r="4297">
          <cell r="AJ4297">
            <v>0</v>
          </cell>
          <cell r="AP4297">
            <v>0</v>
          </cell>
        </row>
        <row r="4298">
          <cell r="AJ4298">
            <v>0</v>
          </cell>
          <cell r="AP4298">
            <v>0</v>
          </cell>
        </row>
        <row r="4299">
          <cell r="AJ4299">
            <v>0</v>
          </cell>
          <cell r="AP4299">
            <v>0</v>
          </cell>
        </row>
        <row r="4300">
          <cell r="AJ4300">
            <v>0</v>
          </cell>
          <cell r="AP4300">
            <v>0</v>
          </cell>
        </row>
        <row r="4301">
          <cell r="AJ4301">
            <v>0</v>
          </cell>
          <cell r="AP4301">
            <v>0</v>
          </cell>
        </row>
        <row r="4302">
          <cell r="AJ4302">
            <v>0</v>
          </cell>
          <cell r="AP4302">
            <v>0</v>
          </cell>
        </row>
        <row r="4303">
          <cell r="AJ4303">
            <v>0</v>
          </cell>
          <cell r="AP4303">
            <v>0</v>
          </cell>
        </row>
        <row r="4304">
          <cell r="AJ4304">
            <v>0</v>
          </cell>
          <cell r="AP4304">
            <v>0</v>
          </cell>
        </row>
        <row r="4305">
          <cell r="AJ4305">
            <v>0</v>
          </cell>
          <cell r="AP4305">
            <v>0</v>
          </cell>
        </row>
        <row r="4306">
          <cell r="AJ4306">
            <v>0</v>
          </cell>
          <cell r="AP4306">
            <v>0</v>
          </cell>
        </row>
        <row r="4307">
          <cell r="AJ4307">
            <v>0</v>
          </cell>
          <cell r="AP4307">
            <v>0</v>
          </cell>
        </row>
        <row r="4308">
          <cell r="AJ4308">
            <v>0</v>
          </cell>
          <cell r="AP4308">
            <v>0</v>
          </cell>
        </row>
        <row r="4309">
          <cell r="AJ4309">
            <v>0</v>
          </cell>
          <cell r="AP4309">
            <v>0</v>
          </cell>
        </row>
        <row r="4310">
          <cell r="AJ4310">
            <v>0</v>
          </cell>
          <cell r="AP4310">
            <v>0</v>
          </cell>
        </row>
        <row r="4311">
          <cell r="AJ4311">
            <v>0</v>
          </cell>
          <cell r="AP4311">
            <v>0</v>
          </cell>
        </row>
        <row r="4312">
          <cell r="AJ4312">
            <v>0</v>
          </cell>
          <cell r="AP4312">
            <v>0</v>
          </cell>
        </row>
        <row r="4313">
          <cell r="AJ4313">
            <v>0</v>
          </cell>
          <cell r="AP4313">
            <v>0</v>
          </cell>
        </row>
        <row r="4314">
          <cell r="AJ4314">
            <v>0</v>
          </cell>
          <cell r="AP4314">
            <v>0</v>
          </cell>
        </row>
        <row r="4315">
          <cell r="AJ4315">
            <v>0</v>
          </cell>
          <cell r="AP4315">
            <v>0</v>
          </cell>
        </row>
        <row r="4316">
          <cell r="AJ4316">
            <v>0</v>
          </cell>
          <cell r="AP4316">
            <v>0</v>
          </cell>
        </row>
        <row r="4317">
          <cell r="AJ4317">
            <v>0</v>
          </cell>
          <cell r="AP4317">
            <v>0</v>
          </cell>
        </row>
        <row r="4318">
          <cell r="AJ4318">
            <v>0</v>
          </cell>
          <cell r="AP4318">
            <v>0</v>
          </cell>
        </row>
        <row r="4319">
          <cell r="AJ4319">
            <v>0</v>
          </cell>
          <cell r="AP4319">
            <v>0</v>
          </cell>
        </row>
        <row r="4320">
          <cell r="AJ4320">
            <v>0</v>
          </cell>
          <cell r="AP4320">
            <v>0</v>
          </cell>
        </row>
        <row r="4321">
          <cell r="AJ4321">
            <v>0</v>
          </cell>
          <cell r="AP4321">
            <v>0</v>
          </cell>
        </row>
        <row r="4322">
          <cell r="AJ4322">
            <v>0</v>
          </cell>
          <cell r="AP4322">
            <v>0</v>
          </cell>
        </row>
        <row r="4323">
          <cell r="AJ4323">
            <v>0</v>
          </cell>
          <cell r="AP4323">
            <v>0</v>
          </cell>
        </row>
        <row r="4324">
          <cell r="AJ4324">
            <v>0</v>
          </cell>
          <cell r="AP4324">
            <v>0</v>
          </cell>
        </row>
        <row r="4325">
          <cell r="AJ4325">
            <v>0</v>
          </cell>
          <cell r="AP4325">
            <v>0</v>
          </cell>
        </row>
        <row r="4326">
          <cell r="AJ4326">
            <v>0</v>
          </cell>
          <cell r="AP4326">
            <v>0</v>
          </cell>
        </row>
        <row r="4327">
          <cell r="AJ4327">
            <v>0</v>
          </cell>
          <cell r="AP4327">
            <v>0</v>
          </cell>
        </row>
        <row r="4328">
          <cell r="AJ4328">
            <v>0</v>
          </cell>
          <cell r="AP4328">
            <v>0</v>
          </cell>
        </row>
        <row r="4329">
          <cell r="AJ4329">
            <v>0</v>
          </cell>
          <cell r="AP4329">
            <v>0</v>
          </cell>
        </row>
        <row r="4330">
          <cell r="AJ4330">
            <v>0</v>
          </cell>
          <cell r="AP4330">
            <v>0</v>
          </cell>
        </row>
        <row r="4331">
          <cell r="AJ4331">
            <v>0</v>
          </cell>
          <cell r="AP4331">
            <v>0</v>
          </cell>
        </row>
        <row r="4332">
          <cell r="AJ4332">
            <v>0</v>
          </cell>
          <cell r="AP4332">
            <v>0</v>
          </cell>
        </row>
        <row r="4333">
          <cell r="AJ4333">
            <v>0</v>
          </cell>
          <cell r="AP4333">
            <v>0</v>
          </cell>
        </row>
        <row r="4334">
          <cell r="AJ4334">
            <v>0</v>
          </cell>
          <cell r="AP4334">
            <v>0</v>
          </cell>
        </row>
        <row r="4335">
          <cell r="AJ4335">
            <v>0</v>
          </cell>
          <cell r="AP4335">
            <v>0</v>
          </cell>
        </row>
        <row r="4336">
          <cell r="AJ4336">
            <v>0</v>
          </cell>
          <cell r="AP4336">
            <v>0</v>
          </cell>
        </row>
        <row r="4337">
          <cell r="AJ4337">
            <v>0</v>
          </cell>
          <cell r="AP4337">
            <v>0</v>
          </cell>
        </row>
        <row r="4338">
          <cell r="AJ4338">
            <v>0</v>
          </cell>
          <cell r="AP4338">
            <v>0</v>
          </cell>
        </row>
        <row r="4339">
          <cell r="AJ4339">
            <v>0</v>
          </cell>
          <cell r="AP4339">
            <v>0</v>
          </cell>
        </row>
        <row r="4340">
          <cell r="AJ4340">
            <v>0</v>
          </cell>
          <cell r="AP4340">
            <v>0</v>
          </cell>
        </row>
        <row r="4341">
          <cell r="AJ4341">
            <v>0</v>
          </cell>
          <cell r="AP4341">
            <v>0</v>
          </cell>
        </row>
        <row r="4342">
          <cell r="AJ4342">
            <v>0</v>
          </cell>
          <cell r="AP4342">
            <v>0</v>
          </cell>
        </row>
        <row r="4343">
          <cell r="AJ4343">
            <v>0</v>
          </cell>
          <cell r="AP4343">
            <v>0</v>
          </cell>
        </row>
        <row r="4344">
          <cell r="AJ4344">
            <v>0</v>
          </cell>
          <cell r="AP4344">
            <v>0</v>
          </cell>
        </row>
        <row r="4345">
          <cell r="AJ4345">
            <v>0</v>
          </cell>
          <cell r="AP4345">
            <v>0</v>
          </cell>
        </row>
        <row r="4346">
          <cell r="AJ4346">
            <v>0</v>
          </cell>
          <cell r="AP4346">
            <v>0</v>
          </cell>
        </row>
        <row r="4347">
          <cell r="AJ4347">
            <v>0</v>
          </cell>
          <cell r="AP4347">
            <v>0</v>
          </cell>
        </row>
        <row r="4348">
          <cell r="AJ4348">
            <v>0</v>
          </cell>
          <cell r="AP4348">
            <v>0</v>
          </cell>
        </row>
        <row r="4349">
          <cell r="AJ4349">
            <v>0</v>
          </cell>
          <cell r="AP4349">
            <v>0</v>
          </cell>
        </row>
        <row r="4350">
          <cell r="AJ4350">
            <v>0</v>
          </cell>
          <cell r="AP4350">
            <v>0</v>
          </cell>
        </row>
        <row r="4351">
          <cell r="AJ4351">
            <v>0</v>
          </cell>
          <cell r="AP4351">
            <v>0</v>
          </cell>
        </row>
        <row r="4352">
          <cell r="AJ4352">
            <v>0</v>
          </cell>
          <cell r="AP4352">
            <v>0</v>
          </cell>
        </row>
        <row r="4353">
          <cell r="AJ4353">
            <v>0</v>
          </cell>
          <cell r="AP4353">
            <v>0</v>
          </cell>
        </row>
        <row r="4354">
          <cell r="AJ4354">
            <v>0</v>
          </cell>
          <cell r="AP4354">
            <v>0</v>
          </cell>
        </row>
        <row r="4355">
          <cell r="AJ4355">
            <v>0</v>
          </cell>
          <cell r="AP4355">
            <v>0</v>
          </cell>
        </row>
        <row r="4356">
          <cell r="AJ4356">
            <v>0</v>
          </cell>
          <cell r="AP4356">
            <v>0</v>
          </cell>
        </row>
        <row r="4357">
          <cell r="AJ4357">
            <v>0</v>
          </cell>
          <cell r="AP4357">
            <v>0</v>
          </cell>
        </row>
        <row r="4358">
          <cell r="AJ4358">
            <v>0</v>
          </cell>
          <cell r="AP4358">
            <v>0</v>
          </cell>
        </row>
        <row r="4359">
          <cell r="AJ4359">
            <v>0</v>
          </cell>
          <cell r="AP4359">
            <v>0</v>
          </cell>
        </row>
        <row r="4360">
          <cell r="AJ4360">
            <v>0</v>
          </cell>
          <cell r="AP4360">
            <v>0</v>
          </cell>
        </row>
        <row r="4361">
          <cell r="AJ4361">
            <v>0</v>
          </cell>
          <cell r="AP4361">
            <v>0</v>
          </cell>
        </row>
        <row r="4362">
          <cell r="AJ4362">
            <v>0</v>
          </cell>
          <cell r="AP4362">
            <v>0</v>
          </cell>
        </row>
        <row r="4363">
          <cell r="AJ4363">
            <v>0</v>
          </cell>
          <cell r="AP4363">
            <v>0</v>
          </cell>
        </row>
        <row r="4364">
          <cell r="AJ4364">
            <v>0</v>
          </cell>
          <cell r="AP4364">
            <v>0</v>
          </cell>
        </row>
        <row r="4365">
          <cell r="AJ4365">
            <v>0</v>
          </cell>
          <cell r="AP4365">
            <v>0</v>
          </cell>
        </row>
        <row r="4366">
          <cell r="AJ4366">
            <v>0</v>
          </cell>
          <cell r="AP4366">
            <v>0</v>
          </cell>
        </row>
        <row r="4367">
          <cell r="AJ4367">
            <v>0</v>
          </cell>
          <cell r="AP4367">
            <v>0</v>
          </cell>
        </row>
        <row r="4368">
          <cell r="AJ4368">
            <v>0</v>
          </cell>
          <cell r="AP4368">
            <v>0</v>
          </cell>
        </row>
        <row r="4369">
          <cell r="AJ4369">
            <v>0</v>
          </cell>
          <cell r="AP4369">
            <v>0</v>
          </cell>
        </row>
        <row r="4370">
          <cell r="AJ4370">
            <v>0</v>
          </cell>
          <cell r="AP4370">
            <v>0</v>
          </cell>
        </row>
        <row r="4371">
          <cell r="AJ4371">
            <v>0</v>
          </cell>
          <cell r="AP4371">
            <v>0</v>
          </cell>
        </row>
        <row r="4372">
          <cell r="AJ4372">
            <v>0</v>
          </cell>
          <cell r="AP4372">
            <v>0</v>
          </cell>
        </row>
        <row r="4373">
          <cell r="AJ4373">
            <v>0</v>
          </cell>
          <cell r="AP4373">
            <v>0</v>
          </cell>
        </row>
        <row r="4374">
          <cell r="AJ4374">
            <v>0</v>
          </cell>
          <cell r="AP4374">
            <v>0</v>
          </cell>
        </row>
        <row r="4375">
          <cell r="AJ4375">
            <v>0</v>
          </cell>
          <cell r="AP4375">
            <v>0</v>
          </cell>
        </row>
        <row r="4376">
          <cell r="AJ4376">
            <v>0</v>
          </cell>
          <cell r="AP4376">
            <v>0</v>
          </cell>
        </row>
        <row r="4377">
          <cell r="AJ4377">
            <v>0</v>
          </cell>
          <cell r="AP4377">
            <v>0</v>
          </cell>
        </row>
        <row r="4378">
          <cell r="AJ4378">
            <v>0</v>
          </cell>
          <cell r="AP4378">
            <v>0</v>
          </cell>
        </row>
        <row r="4379">
          <cell r="AJ4379">
            <v>0</v>
          </cell>
          <cell r="AP4379">
            <v>0</v>
          </cell>
        </row>
        <row r="4380">
          <cell r="AJ4380">
            <v>0</v>
          </cell>
          <cell r="AP4380">
            <v>0</v>
          </cell>
        </row>
        <row r="4381">
          <cell r="AJ4381">
            <v>0</v>
          </cell>
          <cell r="AP4381">
            <v>0</v>
          </cell>
        </row>
        <row r="4382">
          <cell r="AJ4382">
            <v>0</v>
          </cell>
          <cell r="AP4382">
            <v>0</v>
          </cell>
        </row>
        <row r="4383">
          <cell r="AJ4383">
            <v>0</v>
          </cell>
          <cell r="AP4383">
            <v>0</v>
          </cell>
        </row>
        <row r="4384">
          <cell r="AJ4384">
            <v>0</v>
          </cell>
          <cell r="AP4384">
            <v>0</v>
          </cell>
        </row>
        <row r="4385">
          <cell r="AJ4385">
            <v>0</v>
          </cell>
          <cell r="AP4385">
            <v>0</v>
          </cell>
        </row>
        <row r="4386">
          <cell r="AJ4386">
            <v>0</v>
          </cell>
          <cell r="AP4386">
            <v>0</v>
          </cell>
        </row>
        <row r="4387">
          <cell r="AJ4387">
            <v>0</v>
          </cell>
          <cell r="AP4387">
            <v>0</v>
          </cell>
        </row>
        <row r="4388">
          <cell r="AJ4388">
            <v>0</v>
          </cell>
          <cell r="AP4388">
            <v>0</v>
          </cell>
        </row>
        <row r="4389">
          <cell r="AJ4389">
            <v>0</v>
          </cell>
          <cell r="AP4389">
            <v>0</v>
          </cell>
        </row>
        <row r="4390">
          <cell r="AJ4390">
            <v>0</v>
          </cell>
          <cell r="AP4390">
            <v>0</v>
          </cell>
        </row>
        <row r="4391">
          <cell r="AJ4391">
            <v>0</v>
          </cell>
          <cell r="AP4391">
            <v>0</v>
          </cell>
        </row>
        <row r="4392">
          <cell r="AJ4392">
            <v>0</v>
          </cell>
          <cell r="AP4392">
            <v>0</v>
          </cell>
        </row>
        <row r="4393">
          <cell r="AJ4393">
            <v>0</v>
          </cell>
          <cell r="AP4393">
            <v>0</v>
          </cell>
        </row>
        <row r="4394">
          <cell r="AJ4394">
            <v>0</v>
          </cell>
          <cell r="AP4394">
            <v>0</v>
          </cell>
        </row>
        <row r="4395">
          <cell r="AJ4395">
            <v>0</v>
          </cell>
          <cell r="AP4395">
            <v>0</v>
          </cell>
        </row>
        <row r="4396">
          <cell r="AJ4396">
            <v>0</v>
          </cell>
          <cell r="AP4396">
            <v>0</v>
          </cell>
        </row>
        <row r="4397">
          <cell r="AJ4397">
            <v>0</v>
          </cell>
          <cell r="AP4397">
            <v>0</v>
          </cell>
        </row>
        <row r="4398">
          <cell r="AJ4398">
            <v>0</v>
          </cell>
          <cell r="AP4398">
            <v>0</v>
          </cell>
        </row>
        <row r="4399">
          <cell r="AJ4399">
            <v>0</v>
          </cell>
          <cell r="AP4399">
            <v>0</v>
          </cell>
        </row>
        <row r="4400">
          <cell r="AJ4400">
            <v>0</v>
          </cell>
          <cell r="AP4400">
            <v>0</v>
          </cell>
        </row>
        <row r="4401">
          <cell r="AJ4401">
            <v>0</v>
          </cell>
          <cell r="AP4401">
            <v>0</v>
          </cell>
        </row>
        <row r="4402">
          <cell r="AJ4402">
            <v>0</v>
          </cell>
          <cell r="AP4402">
            <v>0</v>
          </cell>
        </row>
        <row r="4403">
          <cell r="AJ4403">
            <v>0</v>
          </cell>
          <cell r="AP4403">
            <v>0</v>
          </cell>
        </row>
        <row r="4404">
          <cell r="AJ4404">
            <v>0</v>
          </cell>
          <cell r="AP4404">
            <v>0</v>
          </cell>
        </row>
        <row r="4405">
          <cell r="AJ4405">
            <v>0</v>
          </cell>
          <cell r="AP4405">
            <v>0</v>
          </cell>
        </row>
        <row r="4406">
          <cell r="AJ4406">
            <v>0</v>
          </cell>
          <cell r="AP4406">
            <v>0</v>
          </cell>
        </row>
        <row r="4407">
          <cell r="AJ4407">
            <v>0</v>
          </cell>
          <cell r="AP4407">
            <v>0</v>
          </cell>
        </row>
        <row r="4408">
          <cell r="AJ4408">
            <v>0</v>
          </cell>
          <cell r="AP4408">
            <v>0</v>
          </cell>
        </row>
        <row r="4409">
          <cell r="AJ4409">
            <v>0</v>
          </cell>
          <cell r="AP4409">
            <v>0</v>
          </cell>
        </row>
        <row r="4410">
          <cell r="AJ4410">
            <v>0</v>
          </cell>
          <cell r="AP4410">
            <v>0</v>
          </cell>
        </row>
        <row r="4411">
          <cell r="AJ4411">
            <v>0</v>
          </cell>
          <cell r="AP4411">
            <v>0</v>
          </cell>
        </row>
        <row r="4412">
          <cell r="AJ4412">
            <v>0</v>
          </cell>
          <cell r="AP4412">
            <v>0</v>
          </cell>
        </row>
        <row r="4413">
          <cell r="AJ4413">
            <v>0</v>
          </cell>
          <cell r="AP4413">
            <v>0</v>
          </cell>
        </row>
        <row r="4414">
          <cell r="AJ4414">
            <v>0</v>
          </cell>
          <cell r="AP4414">
            <v>0</v>
          </cell>
        </row>
        <row r="4415">
          <cell r="AJ4415">
            <v>0</v>
          </cell>
          <cell r="AP4415">
            <v>0</v>
          </cell>
        </row>
        <row r="4416">
          <cell r="AJ4416">
            <v>0</v>
          </cell>
          <cell r="AP4416">
            <v>0</v>
          </cell>
        </row>
        <row r="4417">
          <cell r="AJ4417">
            <v>0</v>
          </cell>
          <cell r="AP4417">
            <v>0</v>
          </cell>
        </row>
        <row r="4418">
          <cell r="AJ4418">
            <v>0</v>
          </cell>
          <cell r="AP4418">
            <v>0</v>
          </cell>
        </row>
        <row r="4419">
          <cell r="AJ4419">
            <v>0</v>
          </cell>
          <cell r="AP4419">
            <v>0</v>
          </cell>
        </row>
        <row r="4420">
          <cell r="AJ4420">
            <v>0</v>
          </cell>
          <cell r="AP4420">
            <v>0</v>
          </cell>
        </row>
        <row r="4421">
          <cell r="AJ4421">
            <v>0</v>
          </cell>
          <cell r="AP4421">
            <v>0</v>
          </cell>
        </row>
        <row r="4422">
          <cell r="AJ4422">
            <v>0</v>
          </cell>
          <cell r="AP4422">
            <v>0</v>
          </cell>
        </row>
        <row r="4423">
          <cell r="AJ4423">
            <v>0</v>
          </cell>
          <cell r="AP4423">
            <v>0</v>
          </cell>
        </row>
        <row r="4424">
          <cell r="AJ4424">
            <v>0</v>
          </cell>
          <cell r="AP4424">
            <v>0</v>
          </cell>
        </row>
        <row r="4425">
          <cell r="AJ4425">
            <v>0</v>
          </cell>
          <cell r="AP4425">
            <v>0</v>
          </cell>
        </row>
        <row r="4426">
          <cell r="AJ4426">
            <v>0</v>
          </cell>
          <cell r="AP4426">
            <v>0</v>
          </cell>
        </row>
        <row r="4427">
          <cell r="AJ4427">
            <v>0</v>
          </cell>
          <cell r="AP4427">
            <v>0</v>
          </cell>
        </row>
        <row r="4428">
          <cell r="AJ4428">
            <v>0</v>
          </cell>
          <cell r="AP4428">
            <v>0</v>
          </cell>
        </row>
        <row r="4429">
          <cell r="AJ4429">
            <v>0</v>
          </cell>
          <cell r="AP4429">
            <v>0</v>
          </cell>
        </row>
        <row r="4430">
          <cell r="AJ4430">
            <v>0</v>
          </cell>
          <cell r="AP4430">
            <v>0</v>
          </cell>
        </row>
        <row r="4431">
          <cell r="AJ4431">
            <v>0</v>
          </cell>
          <cell r="AP4431">
            <v>0</v>
          </cell>
        </row>
        <row r="4432">
          <cell r="AJ4432">
            <v>0</v>
          </cell>
          <cell r="AP4432">
            <v>0</v>
          </cell>
        </row>
        <row r="4433">
          <cell r="AJ4433">
            <v>0</v>
          </cell>
          <cell r="AP4433">
            <v>0</v>
          </cell>
        </row>
        <row r="4434">
          <cell r="AJ4434">
            <v>0</v>
          </cell>
          <cell r="AP4434">
            <v>0</v>
          </cell>
        </row>
        <row r="4435">
          <cell r="AJ4435">
            <v>0</v>
          </cell>
          <cell r="AP4435">
            <v>0</v>
          </cell>
        </row>
        <row r="4436">
          <cell r="AJ4436">
            <v>0</v>
          </cell>
          <cell r="AP4436">
            <v>0</v>
          </cell>
        </row>
        <row r="4437">
          <cell r="AJ4437">
            <v>0</v>
          </cell>
          <cell r="AP4437">
            <v>0</v>
          </cell>
        </row>
        <row r="4438">
          <cell r="AJ4438">
            <v>0</v>
          </cell>
          <cell r="AP4438">
            <v>0</v>
          </cell>
        </row>
        <row r="4439">
          <cell r="AJ4439">
            <v>0</v>
          </cell>
          <cell r="AP4439">
            <v>0</v>
          </cell>
        </row>
        <row r="4440">
          <cell r="AJ4440">
            <v>0</v>
          </cell>
          <cell r="AP4440">
            <v>0</v>
          </cell>
        </row>
        <row r="4441">
          <cell r="AJ4441">
            <v>0</v>
          </cell>
          <cell r="AP4441">
            <v>0</v>
          </cell>
        </row>
        <row r="4442">
          <cell r="AJ4442">
            <v>0</v>
          </cell>
          <cell r="AP4442">
            <v>0</v>
          </cell>
        </row>
        <row r="4443">
          <cell r="AJ4443">
            <v>0</v>
          </cell>
          <cell r="AP4443">
            <v>0</v>
          </cell>
        </row>
        <row r="4444">
          <cell r="AJ4444">
            <v>0</v>
          </cell>
          <cell r="AP4444">
            <v>0</v>
          </cell>
        </row>
        <row r="4445">
          <cell r="AJ4445">
            <v>0</v>
          </cell>
          <cell r="AP4445">
            <v>0</v>
          </cell>
        </row>
        <row r="4446">
          <cell r="AJ4446">
            <v>0</v>
          </cell>
          <cell r="AP4446">
            <v>0</v>
          </cell>
        </row>
        <row r="4447">
          <cell r="AJ4447">
            <v>0</v>
          </cell>
          <cell r="AP4447">
            <v>0</v>
          </cell>
        </row>
        <row r="4448">
          <cell r="AJ4448">
            <v>0</v>
          </cell>
          <cell r="AP4448">
            <v>0</v>
          </cell>
        </row>
        <row r="4449">
          <cell r="AJ4449">
            <v>0</v>
          </cell>
          <cell r="AP4449">
            <v>0</v>
          </cell>
        </row>
        <row r="4450">
          <cell r="AJ4450">
            <v>0</v>
          </cell>
          <cell r="AP4450">
            <v>0</v>
          </cell>
        </row>
        <row r="4451">
          <cell r="AJ4451">
            <v>0</v>
          </cell>
          <cell r="AP4451">
            <v>0</v>
          </cell>
        </row>
        <row r="4452">
          <cell r="AJ4452">
            <v>0</v>
          </cell>
          <cell r="AP4452">
            <v>0</v>
          </cell>
        </row>
        <row r="4453">
          <cell r="AJ4453">
            <v>0</v>
          </cell>
          <cell r="AP4453">
            <v>0</v>
          </cell>
        </row>
        <row r="4454">
          <cell r="AJ4454">
            <v>0</v>
          </cell>
          <cell r="AP4454">
            <v>0</v>
          </cell>
        </row>
        <row r="4455">
          <cell r="AJ4455">
            <v>0</v>
          </cell>
          <cell r="AP4455">
            <v>0</v>
          </cell>
        </row>
        <row r="4456">
          <cell r="AJ4456">
            <v>0</v>
          </cell>
          <cell r="AP4456">
            <v>0</v>
          </cell>
        </row>
        <row r="4457">
          <cell r="AJ4457">
            <v>0</v>
          </cell>
          <cell r="AP4457">
            <v>0</v>
          </cell>
        </row>
        <row r="4458">
          <cell r="AJ4458">
            <v>0</v>
          </cell>
          <cell r="AP4458">
            <v>0</v>
          </cell>
        </row>
        <row r="4459">
          <cell r="AJ4459">
            <v>0</v>
          </cell>
          <cell r="AP4459">
            <v>0</v>
          </cell>
        </row>
        <row r="4460">
          <cell r="AJ4460">
            <v>0</v>
          </cell>
          <cell r="AP4460">
            <v>0</v>
          </cell>
        </row>
        <row r="4461">
          <cell r="AJ4461">
            <v>0</v>
          </cell>
          <cell r="AP4461">
            <v>0</v>
          </cell>
        </row>
        <row r="4462">
          <cell r="AJ4462">
            <v>0</v>
          </cell>
          <cell r="AP4462">
            <v>0</v>
          </cell>
        </row>
        <row r="4463">
          <cell r="AJ4463">
            <v>0</v>
          </cell>
          <cell r="AP4463">
            <v>0</v>
          </cell>
        </row>
        <row r="4464">
          <cell r="AJ4464">
            <v>0</v>
          </cell>
          <cell r="AP4464">
            <v>0</v>
          </cell>
        </row>
        <row r="4465">
          <cell r="AJ4465">
            <v>0</v>
          </cell>
          <cell r="AP4465">
            <v>0</v>
          </cell>
        </row>
        <row r="4466">
          <cell r="AJ4466">
            <v>0</v>
          </cell>
          <cell r="AP4466">
            <v>0</v>
          </cell>
        </row>
        <row r="4467">
          <cell r="AJ4467">
            <v>0</v>
          </cell>
          <cell r="AP4467">
            <v>0</v>
          </cell>
        </row>
        <row r="4468">
          <cell r="AJ4468">
            <v>0</v>
          </cell>
          <cell r="AP4468">
            <v>0</v>
          </cell>
        </row>
        <row r="4469">
          <cell r="AJ4469">
            <v>0</v>
          </cell>
          <cell r="AP4469">
            <v>0</v>
          </cell>
        </row>
        <row r="4470">
          <cell r="AJ4470">
            <v>0</v>
          </cell>
          <cell r="AP4470">
            <v>0</v>
          </cell>
        </row>
        <row r="4471">
          <cell r="AJ4471">
            <v>0</v>
          </cell>
          <cell r="AP4471">
            <v>0</v>
          </cell>
        </row>
        <row r="4472">
          <cell r="AJ4472">
            <v>0</v>
          </cell>
          <cell r="AP4472">
            <v>0</v>
          </cell>
        </row>
        <row r="4473">
          <cell r="AJ4473">
            <v>0</v>
          </cell>
          <cell r="AP4473">
            <v>0</v>
          </cell>
        </row>
        <row r="4474">
          <cell r="AJ4474">
            <v>0</v>
          </cell>
          <cell r="AP4474">
            <v>0</v>
          </cell>
        </row>
        <row r="4475">
          <cell r="AJ4475">
            <v>0</v>
          </cell>
          <cell r="AP4475">
            <v>0</v>
          </cell>
        </row>
        <row r="4476">
          <cell r="AJ4476">
            <v>0</v>
          </cell>
          <cell r="AP4476">
            <v>0</v>
          </cell>
        </row>
        <row r="4477">
          <cell r="AJ4477">
            <v>0</v>
          </cell>
          <cell r="AP4477">
            <v>0</v>
          </cell>
        </row>
        <row r="4478">
          <cell r="AJ4478">
            <v>0</v>
          </cell>
          <cell r="AP4478">
            <v>0</v>
          </cell>
        </row>
        <row r="4479">
          <cell r="AJ4479">
            <v>0</v>
          </cell>
          <cell r="AP4479">
            <v>0</v>
          </cell>
        </row>
        <row r="4480">
          <cell r="AJ4480">
            <v>0</v>
          </cell>
          <cell r="AP4480">
            <v>0</v>
          </cell>
        </row>
        <row r="4481">
          <cell r="AJ4481">
            <v>0</v>
          </cell>
          <cell r="AP4481">
            <v>0</v>
          </cell>
        </row>
        <row r="4482">
          <cell r="AJ4482">
            <v>0</v>
          </cell>
          <cell r="AP4482">
            <v>0</v>
          </cell>
        </row>
        <row r="4483">
          <cell r="AJ4483">
            <v>0</v>
          </cell>
          <cell r="AP4483">
            <v>0</v>
          </cell>
        </row>
        <row r="4484">
          <cell r="AJ4484">
            <v>0</v>
          </cell>
          <cell r="AP4484">
            <v>0</v>
          </cell>
        </row>
        <row r="4485">
          <cell r="AJ4485">
            <v>0</v>
          </cell>
          <cell r="AP4485">
            <v>0</v>
          </cell>
        </row>
        <row r="4486">
          <cell r="AJ4486">
            <v>0</v>
          </cell>
          <cell r="AP4486">
            <v>0</v>
          </cell>
        </row>
        <row r="4487">
          <cell r="AJ4487">
            <v>0</v>
          </cell>
          <cell r="AP4487">
            <v>0</v>
          </cell>
        </row>
        <row r="4488">
          <cell r="AJ4488">
            <v>0</v>
          </cell>
          <cell r="AP4488">
            <v>0</v>
          </cell>
        </row>
        <row r="4489">
          <cell r="AJ4489">
            <v>0</v>
          </cell>
          <cell r="AP4489">
            <v>0</v>
          </cell>
        </row>
        <row r="4490">
          <cell r="AJ4490">
            <v>0</v>
          </cell>
          <cell r="AP4490">
            <v>0</v>
          </cell>
        </row>
        <row r="4491">
          <cell r="AJ4491">
            <v>0</v>
          </cell>
          <cell r="AP4491">
            <v>0</v>
          </cell>
        </row>
        <row r="4492">
          <cell r="AJ4492">
            <v>0</v>
          </cell>
          <cell r="AP4492">
            <v>0</v>
          </cell>
        </row>
        <row r="4493">
          <cell r="AJ4493">
            <v>0</v>
          </cell>
          <cell r="AP4493">
            <v>0</v>
          </cell>
        </row>
        <row r="4494">
          <cell r="AJ4494">
            <v>0</v>
          </cell>
          <cell r="AP4494">
            <v>0</v>
          </cell>
        </row>
        <row r="4495">
          <cell r="AJ4495">
            <v>0</v>
          </cell>
          <cell r="AP4495">
            <v>0</v>
          </cell>
        </row>
        <row r="4496">
          <cell r="AJ4496">
            <v>0</v>
          </cell>
          <cell r="AP4496">
            <v>0</v>
          </cell>
        </row>
        <row r="4497">
          <cell r="AJ4497">
            <v>0</v>
          </cell>
          <cell r="AP4497">
            <v>0</v>
          </cell>
        </row>
        <row r="4498">
          <cell r="AJ4498">
            <v>0</v>
          </cell>
          <cell r="AP4498">
            <v>0</v>
          </cell>
        </row>
        <row r="4499">
          <cell r="AJ4499">
            <v>0</v>
          </cell>
          <cell r="AP4499">
            <v>0</v>
          </cell>
        </row>
        <row r="4500">
          <cell r="AJ4500">
            <v>0</v>
          </cell>
          <cell r="AP4500">
            <v>0</v>
          </cell>
        </row>
        <row r="4501">
          <cell r="AJ4501">
            <v>0</v>
          </cell>
          <cell r="AP4501">
            <v>0</v>
          </cell>
        </row>
        <row r="4502">
          <cell r="AJ4502">
            <v>0</v>
          </cell>
          <cell r="AP4502">
            <v>0</v>
          </cell>
        </row>
        <row r="4503">
          <cell r="AJ4503">
            <v>0</v>
          </cell>
          <cell r="AP4503">
            <v>0</v>
          </cell>
        </row>
        <row r="4504">
          <cell r="AJ4504">
            <v>0</v>
          </cell>
          <cell r="AP4504">
            <v>0</v>
          </cell>
        </row>
        <row r="4505">
          <cell r="AJ4505">
            <v>0</v>
          </cell>
          <cell r="AP4505">
            <v>0</v>
          </cell>
        </row>
        <row r="4506">
          <cell r="AJ4506">
            <v>0</v>
          </cell>
          <cell r="AP4506">
            <v>0</v>
          </cell>
        </row>
        <row r="4507">
          <cell r="AJ4507">
            <v>0</v>
          </cell>
          <cell r="AP4507">
            <v>0</v>
          </cell>
        </row>
        <row r="4508">
          <cell r="AJ4508">
            <v>0</v>
          </cell>
          <cell r="AP4508">
            <v>0</v>
          </cell>
        </row>
        <row r="4509">
          <cell r="AJ4509">
            <v>0</v>
          </cell>
          <cell r="AP4509">
            <v>0</v>
          </cell>
        </row>
        <row r="4510">
          <cell r="AJ4510">
            <v>0</v>
          </cell>
          <cell r="AP4510">
            <v>0</v>
          </cell>
        </row>
        <row r="4511">
          <cell r="AJ4511">
            <v>0</v>
          </cell>
          <cell r="AP4511">
            <v>0</v>
          </cell>
        </row>
        <row r="4512">
          <cell r="AJ4512">
            <v>0</v>
          </cell>
          <cell r="AP4512">
            <v>0</v>
          </cell>
        </row>
        <row r="4513">
          <cell r="AJ4513">
            <v>0</v>
          </cell>
          <cell r="AP4513">
            <v>0</v>
          </cell>
        </row>
        <row r="4514">
          <cell r="AJ4514">
            <v>0</v>
          </cell>
          <cell r="AP4514">
            <v>0</v>
          </cell>
        </row>
        <row r="4515">
          <cell r="AJ4515">
            <v>0</v>
          </cell>
          <cell r="AP4515">
            <v>0</v>
          </cell>
        </row>
        <row r="4516">
          <cell r="AJ4516">
            <v>0</v>
          </cell>
          <cell r="AP4516">
            <v>0</v>
          </cell>
        </row>
        <row r="4517">
          <cell r="AJ4517">
            <v>0</v>
          </cell>
          <cell r="AP4517">
            <v>0</v>
          </cell>
        </row>
        <row r="4518">
          <cell r="AJ4518">
            <v>0</v>
          </cell>
          <cell r="AP4518">
            <v>0</v>
          </cell>
        </row>
        <row r="4519">
          <cell r="AJ4519">
            <v>0</v>
          </cell>
          <cell r="AP4519">
            <v>0</v>
          </cell>
        </row>
        <row r="4520">
          <cell r="AJ4520">
            <v>0</v>
          </cell>
          <cell r="AP4520">
            <v>0</v>
          </cell>
        </row>
        <row r="4521">
          <cell r="AJ4521">
            <v>0</v>
          </cell>
          <cell r="AP4521">
            <v>0</v>
          </cell>
        </row>
        <row r="4522">
          <cell r="AJ4522">
            <v>0</v>
          </cell>
          <cell r="AP4522">
            <v>0</v>
          </cell>
        </row>
        <row r="4523">
          <cell r="AJ4523">
            <v>0</v>
          </cell>
          <cell r="AP4523">
            <v>0</v>
          </cell>
        </row>
        <row r="4524">
          <cell r="AJ4524">
            <v>0</v>
          </cell>
          <cell r="AP4524">
            <v>0</v>
          </cell>
        </row>
        <row r="4525">
          <cell r="AJ4525">
            <v>0</v>
          </cell>
          <cell r="AP4525">
            <v>0</v>
          </cell>
        </row>
        <row r="4526">
          <cell r="AJ4526">
            <v>0</v>
          </cell>
          <cell r="AP4526">
            <v>0</v>
          </cell>
        </row>
        <row r="4527">
          <cell r="AJ4527">
            <v>0</v>
          </cell>
          <cell r="AP4527">
            <v>0</v>
          </cell>
        </row>
        <row r="4528">
          <cell r="AJ4528">
            <v>0</v>
          </cell>
          <cell r="AP4528">
            <v>0</v>
          </cell>
        </row>
        <row r="4529">
          <cell r="AJ4529">
            <v>0</v>
          </cell>
          <cell r="AP4529">
            <v>0</v>
          </cell>
        </row>
        <row r="4530">
          <cell r="AJ4530">
            <v>0</v>
          </cell>
          <cell r="AP4530">
            <v>0</v>
          </cell>
        </row>
        <row r="4531">
          <cell r="AJ4531">
            <v>0</v>
          </cell>
          <cell r="AP4531">
            <v>0</v>
          </cell>
        </row>
        <row r="4532">
          <cell r="AJ4532">
            <v>0</v>
          </cell>
          <cell r="AP4532">
            <v>0</v>
          </cell>
        </row>
        <row r="4533">
          <cell r="AJ4533">
            <v>0</v>
          </cell>
          <cell r="AP4533">
            <v>0</v>
          </cell>
        </row>
        <row r="4534">
          <cell r="AJ4534">
            <v>0</v>
          </cell>
          <cell r="AP4534">
            <v>0</v>
          </cell>
        </row>
        <row r="4535">
          <cell r="AJ4535">
            <v>0</v>
          </cell>
          <cell r="AP4535">
            <v>0</v>
          </cell>
        </row>
        <row r="4536">
          <cell r="AJ4536">
            <v>0</v>
          </cell>
          <cell r="AP4536">
            <v>0</v>
          </cell>
        </row>
        <row r="4537">
          <cell r="AJ4537">
            <v>0</v>
          </cell>
          <cell r="AP4537">
            <v>0</v>
          </cell>
        </row>
        <row r="4538">
          <cell r="AJ4538">
            <v>0</v>
          </cell>
          <cell r="AP4538">
            <v>0</v>
          </cell>
        </row>
        <row r="4539">
          <cell r="AJ4539">
            <v>0</v>
          </cell>
          <cell r="AP4539">
            <v>0</v>
          </cell>
        </row>
        <row r="4540">
          <cell r="AJ4540">
            <v>0</v>
          </cell>
          <cell r="AP4540">
            <v>0</v>
          </cell>
        </row>
        <row r="4541">
          <cell r="AJ4541">
            <v>0</v>
          </cell>
          <cell r="AP4541">
            <v>0</v>
          </cell>
        </row>
        <row r="4542">
          <cell r="AJ4542">
            <v>0</v>
          </cell>
          <cell r="AP4542">
            <v>0</v>
          </cell>
        </row>
        <row r="4543">
          <cell r="AJ4543">
            <v>0</v>
          </cell>
          <cell r="AP4543">
            <v>0</v>
          </cell>
        </row>
        <row r="4544">
          <cell r="AJ4544">
            <v>0</v>
          </cell>
          <cell r="AP4544">
            <v>0</v>
          </cell>
        </row>
        <row r="4545">
          <cell r="AJ4545">
            <v>0</v>
          </cell>
          <cell r="AP4545">
            <v>0</v>
          </cell>
        </row>
        <row r="4546">
          <cell r="AJ4546">
            <v>0</v>
          </cell>
          <cell r="AP4546">
            <v>0</v>
          </cell>
        </row>
        <row r="4547">
          <cell r="AJ4547">
            <v>0</v>
          </cell>
          <cell r="AP4547">
            <v>0</v>
          </cell>
        </row>
        <row r="4548">
          <cell r="AJ4548">
            <v>0</v>
          </cell>
          <cell r="AP4548">
            <v>0</v>
          </cell>
        </row>
        <row r="4549">
          <cell r="AJ4549">
            <v>0</v>
          </cell>
          <cell r="AP4549">
            <v>0</v>
          </cell>
        </row>
        <row r="4550">
          <cell r="AJ4550">
            <v>0</v>
          </cell>
          <cell r="AP4550">
            <v>0</v>
          </cell>
        </row>
        <row r="4551">
          <cell r="AJ4551">
            <v>0</v>
          </cell>
          <cell r="AP4551">
            <v>0</v>
          </cell>
        </row>
        <row r="4552">
          <cell r="AJ4552">
            <v>0</v>
          </cell>
          <cell r="AP4552">
            <v>0</v>
          </cell>
        </row>
        <row r="4553">
          <cell r="AJ4553">
            <v>0</v>
          </cell>
          <cell r="AP4553">
            <v>0</v>
          </cell>
        </row>
        <row r="4554">
          <cell r="AJ4554">
            <v>0</v>
          </cell>
          <cell r="AP4554">
            <v>0</v>
          </cell>
        </row>
        <row r="4555">
          <cell r="AJ4555">
            <v>0</v>
          </cell>
          <cell r="AP4555">
            <v>0</v>
          </cell>
        </row>
        <row r="4556">
          <cell r="AJ4556">
            <v>0</v>
          </cell>
          <cell r="AP4556">
            <v>0</v>
          </cell>
        </row>
        <row r="4557">
          <cell r="AJ4557">
            <v>0</v>
          </cell>
          <cell r="AP4557">
            <v>0</v>
          </cell>
        </row>
        <row r="4558">
          <cell r="AJ4558">
            <v>0</v>
          </cell>
          <cell r="AP4558">
            <v>0</v>
          </cell>
        </row>
        <row r="4559">
          <cell r="AJ4559">
            <v>0</v>
          </cell>
          <cell r="AP4559">
            <v>0</v>
          </cell>
        </row>
        <row r="4560">
          <cell r="AJ4560">
            <v>0</v>
          </cell>
          <cell r="AP4560">
            <v>0</v>
          </cell>
        </row>
        <row r="4561">
          <cell r="AJ4561">
            <v>0</v>
          </cell>
          <cell r="AP4561">
            <v>0</v>
          </cell>
        </row>
        <row r="4562">
          <cell r="AJ4562">
            <v>0</v>
          </cell>
          <cell r="AP4562">
            <v>0</v>
          </cell>
        </row>
        <row r="4563">
          <cell r="AJ4563">
            <v>0</v>
          </cell>
          <cell r="AP4563">
            <v>0</v>
          </cell>
        </row>
        <row r="4564">
          <cell r="AJ4564">
            <v>0</v>
          </cell>
          <cell r="AP4564">
            <v>0</v>
          </cell>
        </row>
        <row r="4565">
          <cell r="AJ4565">
            <v>0</v>
          </cell>
          <cell r="AP4565">
            <v>0</v>
          </cell>
        </row>
        <row r="4566">
          <cell r="AJ4566">
            <v>0</v>
          </cell>
          <cell r="AP4566">
            <v>0</v>
          </cell>
        </row>
        <row r="4567">
          <cell r="AJ4567">
            <v>0</v>
          </cell>
          <cell r="AP4567">
            <v>0</v>
          </cell>
        </row>
        <row r="4568">
          <cell r="AJ4568">
            <v>0</v>
          </cell>
          <cell r="AP4568">
            <v>0</v>
          </cell>
        </row>
        <row r="4569">
          <cell r="AJ4569">
            <v>0</v>
          </cell>
          <cell r="AP4569">
            <v>0</v>
          </cell>
        </row>
        <row r="4570">
          <cell r="AJ4570">
            <v>0</v>
          </cell>
          <cell r="AP4570">
            <v>0</v>
          </cell>
        </row>
        <row r="4571">
          <cell r="AJ4571">
            <v>0</v>
          </cell>
          <cell r="AP4571">
            <v>0</v>
          </cell>
        </row>
        <row r="4572">
          <cell r="AJ4572">
            <v>0</v>
          </cell>
          <cell r="AP4572">
            <v>0</v>
          </cell>
        </row>
        <row r="4573">
          <cell r="AJ4573">
            <v>0</v>
          </cell>
          <cell r="AP4573">
            <v>0</v>
          </cell>
        </row>
        <row r="4574">
          <cell r="AJ4574">
            <v>0</v>
          </cell>
          <cell r="AP4574">
            <v>0</v>
          </cell>
        </row>
        <row r="4575">
          <cell r="AJ4575">
            <v>0</v>
          </cell>
          <cell r="AP4575">
            <v>0</v>
          </cell>
        </row>
        <row r="4576">
          <cell r="AJ4576">
            <v>0</v>
          </cell>
          <cell r="AP4576">
            <v>0</v>
          </cell>
        </row>
        <row r="4577">
          <cell r="AJ4577">
            <v>0</v>
          </cell>
          <cell r="AP4577">
            <v>0</v>
          </cell>
        </row>
        <row r="4578">
          <cell r="AJ4578">
            <v>0</v>
          </cell>
          <cell r="AP4578">
            <v>0</v>
          </cell>
        </row>
        <row r="4579">
          <cell r="AJ4579">
            <v>0</v>
          </cell>
          <cell r="AP4579">
            <v>0</v>
          </cell>
        </row>
        <row r="4580">
          <cell r="AJ4580">
            <v>0</v>
          </cell>
          <cell r="AP4580">
            <v>0</v>
          </cell>
        </row>
        <row r="4581">
          <cell r="AJ4581">
            <v>0</v>
          </cell>
          <cell r="AP4581">
            <v>0</v>
          </cell>
        </row>
        <row r="4582">
          <cell r="AJ4582">
            <v>0</v>
          </cell>
          <cell r="AP4582">
            <v>0</v>
          </cell>
        </row>
        <row r="4583">
          <cell r="AJ4583">
            <v>0</v>
          </cell>
          <cell r="AP4583">
            <v>0</v>
          </cell>
        </row>
        <row r="4584">
          <cell r="AJ4584">
            <v>0</v>
          </cell>
          <cell r="AP4584">
            <v>0</v>
          </cell>
        </row>
        <row r="4585">
          <cell r="AJ4585">
            <v>0</v>
          </cell>
          <cell r="AP4585">
            <v>0</v>
          </cell>
        </row>
        <row r="4586">
          <cell r="AJ4586">
            <v>0</v>
          </cell>
          <cell r="AP4586">
            <v>0</v>
          </cell>
        </row>
        <row r="4587">
          <cell r="AJ4587">
            <v>0</v>
          </cell>
          <cell r="AP4587">
            <v>0</v>
          </cell>
        </row>
        <row r="4588">
          <cell r="AJ4588">
            <v>0</v>
          </cell>
          <cell r="AP4588">
            <v>0</v>
          </cell>
        </row>
        <row r="4589">
          <cell r="AJ4589">
            <v>0</v>
          </cell>
          <cell r="AP4589">
            <v>0</v>
          </cell>
        </row>
        <row r="4590">
          <cell r="AJ4590">
            <v>0</v>
          </cell>
          <cell r="AP4590">
            <v>0</v>
          </cell>
        </row>
        <row r="4591">
          <cell r="AJ4591">
            <v>0</v>
          </cell>
          <cell r="AP4591">
            <v>0</v>
          </cell>
        </row>
        <row r="4592">
          <cell r="AJ4592">
            <v>0</v>
          </cell>
          <cell r="AP4592">
            <v>0</v>
          </cell>
        </row>
        <row r="4593">
          <cell r="AJ4593">
            <v>0</v>
          </cell>
          <cell r="AP4593">
            <v>0</v>
          </cell>
        </row>
        <row r="4594">
          <cell r="AJ4594">
            <v>0</v>
          </cell>
          <cell r="AP4594">
            <v>0</v>
          </cell>
        </row>
        <row r="4595">
          <cell r="AJ4595">
            <v>0</v>
          </cell>
          <cell r="AP4595">
            <v>0</v>
          </cell>
        </row>
        <row r="4596">
          <cell r="AJ4596">
            <v>0</v>
          </cell>
          <cell r="AP4596">
            <v>0</v>
          </cell>
        </row>
        <row r="4597">
          <cell r="AJ4597">
            <v>0</v>
          </cell>
          <cell r="AP4597">
            <v>0</v>
          </cell>
        </row>
        <row r="4598">
          <cell r="AJ4598">
            <v>0</v>
          </cell>
          <cell r="AP4598">
            <v>0</v>
          </cell>
        </row>
        <row r="4599">
          <cell r="AJ4599">
            <v>0</v>
          </cell>
          <cell r="AP4599">
            <v>0</v>
          </cell>
        </row>
        <row r="4600">
          <cell r="AJ4600">
            <v>0</v>
          </cell>
          <cell r="AP4600">
            <v>0</v>
          </cell>
        </row>
        <row r="4601">
          <cell r="AJ4601">
            <v>0</v>
          </cell>
          <cell r="AP4601">
            <v>0</v>
          </cell>
        </row>
        <row r="4602">
          <cell r="AJ4602">
            <v>0</v>
          </cell>
          <cell r="AP4602">
            <v>0</v>
          </cell>
        </row>
        <row r="4603">
          <cell r="AJ4603">
            <v>0</v>
          </cell>
          <cell r="AP4603">
            <v>0</v>
          </cell>
        </row>
        <row r="4604">
          <cell r="AJ4604">
            <v>0</v>
          </cell>
          <cell r="AP4604">
            <v>0</v>
          </cell>
        </row>
        <row r="4605">
          <cell r="AJ4605">
            <v>0</v>
          </cell>
          <cell r="AP4605">
            <v>0</v>
          </cell>
        </row>
        <row r="4606">
          <cell r="AJ4606">
            <v>0</v>
          </cell>
          <cell r="AP4606">
            <v>0</v>
          </cell>
        </row>
        <row r="4607">
          <cell r="AJ4607">
            <v>0</v>
          </cell>
          <cell r="AP4607">
            <v>0</v>
          </cell>
        </row>
        <row r="4608">
          <cell r="AJ4608">
            <v>0</v>
          </cell>
          <cell r="AP4608">
            <v>0</v>
          </cell>
        </row>
        <row r="4609">
          <cell r="AJ4609">
            <v>0</v>
          </cell>
          <cell r="AP4609">
            <v>0</v>
          </cell>
        </row>
        <row r="4610">
          <cell r="AJ4610">
            <v>0</v>
          </cell>
          <cell r="AP4610">
            <v>0</v>
          </cell>
        </row>
        <row r="4611">
          <cell r="AJ4611">
            <v>0</v>
          </cell>
          <cell r="AP4611">
            <v>0</v>
          </cell>
        </row>
        <row r="4612">
          <cell r="AJ4612">
            <v>0</v>
          </cell>
          <cell r="AP4612">
            <v>0</v>
          </cell>
        </row>
        <row r="4613">
          <cell r="AJ4613">
            <v>0</v>
          </cell>
          <cell r="AP4613">
            <v>0</v>
          </cell>
        </row>
        <row r="4614">
          <cell r="AJ4614">
            <v>0</v>
          </cell>
          <cell r="AP4614">
            <v>0</v>
          </cell>
        </row>
        <row r="4615">
          <cell r="AJ4615">
            <v>0</v>
          </cell>
          <cell r="AP4615">
            <v>0</v>
          </cell>
        </row>
        <row r="4616">
          <cell r="AJ4616">
            <v>0</v>
          </cell>
          <cell r="AP4616">
            <v>0</v>
          </cell>
        </row>
        <row r="4617">
          <cell r="AJ4617">
            <v>0</v>
          </cell>
          <cell r="AP4617">
            <v>0</v>
          </cell>
        </row>
        <row r="4618">
          <cell r="AJ4618">
            <v>0</v>
          </cell>
          <cell r="AP4618">
            <v>0</v>
          </cell>
        </row>
        <row r="4619">
          <cell r="AJ4619">
            <v>0</v>
          </cell>
          <cell r="AP4619">
            <v>0</v>
          </cell>
        </row>
        <row r="4620">
          <cell r="AJ4620">
            <v>0</v>
          </cell>
          <cell r="AP4620">
            <v>0</v>
          </cell>
        </row>
        <row r="4621">
          <cell r="AJ4621">
            <v>0</v>
          </cell>
          <cell r="AP4621">
            <v>0</v>
          </cell>
        </row>
        <row r="4622">
          <cell r="AJ4622">
            <v>0</v>
          </cell>
          <cell r="AP4622">
            <v>0</v>
          </cell>
        </row>
        <row r="4623">
          <cell r="AJ4623">
            <v>0</v>
          </cell>
          <cell r="AP4623">
            <v>0</v>
          </cell>
        </row>
        <row r="4624">
          <cell r="AJ4624">
            <v>0</v>
          </cell>
          <cell r="AP4624">
            <v>0</v>
          </cell>
        </row>
        <row r="4625">
          <cell r="AJ4625">
            <v>0</v>
          </cell>
          <cell r="AP4625">
            <v>0</v>
          </cell>
        </row>
        <row r="4626">
          <cell r="AJ4626">
            <v>0</v>
          </cell>
          <cell r="AP4626">
            <v>0</v>
          </cell>
        </row>
        <row r="4627">
          <cell r="AJ4627">
            <v>0</v>
          </cell>
          <cell r="AP4627">
            <v>0</v>
          </cell>
        </row>
        <row r="4628">
          <cell r="AJ4628">
            <v>0</v>
          </cell>
          <cell r="AP4628">
            <v>0</v>
          </cell>
        </row>
        <row r="4629">
          <cell r="AJ4629">
            <v>0</v>
          </cell>
          <cell r="AP4629">
            <v>0</v>
          </cell>
        </row>
        <row r="4630">
          <cell r="AJ4630">
            <v>0</v>
          </cell>
          <cell r="AP4630">
            <v>0</v>
          </cell>
        </row>
        <row r="4631">
          <cell r="AJ4631">
            <v>0</v>
          </cell>
          <cell r="AP4631">
            <v>0</v>
          </cell>
        </row>
        <row r="4632">
          <cell r="AJ4632">
            <v>0</v>
          </cell>
          <cell r="AP4632">
            <v>0</v>
          </cell>
        </row>
        <row r="4633">
          <cell r="AJ4633">
            <v>0</v>
          </cell>
          <cell r="AP4633">
            <v>0</v>
          </cell>
        </row>
        <row r="4634">
          <cell r="AJ4634">
            <v>0</v>
          </cell>
          <cell r="AP4634">
            <v>0</v>
          </cell>
        </row>
        <row r="4635">
          <cell r="AJ4635">
            <v>0</v>
          </cell>
          <cell r="AP4635">
            <v>0</v>
          </cell>
        </row>
        <row r="4636">
          <cell r="AJ4636">
            <v>0</v>
          </cell>
          <cell r="AP4636">
            <v>0</v>
          </cell>
        </row>
        <row r="4637">
          <cell r="AJ4637">
            <v>0</v>
          </cell>
          <cell r="AP4637">
            <v>0</v>
          </cell>
        </row>
        <row r="4638">
          <cell r="AJ4638">
            <v>0</v>
          </cell>
          <cell r="AP4638">
            <v>0</v>
          </cell>
        </row>
        <row r="4639">
          <cell r="AJ4639">
            <v>0</v>
          </cell>
          <cell r="AP4639">
            <v>0</v>
          </cell>
        </row>
        <row r="4640">
          <cell r="AJ4640">
            <v>0</v>
          </cell>
          <cell r="AP4640">
            <v>0</v>
          </cell>
        </row>
        <row r="4641">
          <cell r="AJ4641">
            <v>0</v>
          </cell>
          <cell r="AP4641">
            <v>0</v>
          </cell>
        </row>
        <row r="4642">
          <cell r="AJ4642">
            <v>0</v>
          </cell>
          <cell r="AP4642">
            <v>0</v>
          </cell>
        </row>
        <row r="4643">
          <cell r="AJ4643">
            <v>0</v>
          </cell>
          <cell r="AP4643">
            <v>0</v>
          </cell>
        </row>
        <row r="4644">
          <cell r="AJ4644">
            <v>0</v>
          </cell>
          <cell r="AP4644">
            <v>0</v>
          </cell>
        </row>
        <row r="4645">
          <cell r="AJ4645">
            <v>0</v>
          </cell>
          <cell r="AP4645">
            <v>0</v>
          </cell>
        </row>
        <row r="4646">
          <cell r="AJ4646">
            <v>0</v>
          </cell>
          <cell r="AP4646">
            <v>0</v>
          </cell>
        </row>
        <row r="4647">
          <cell r="AJ4647">
            <v>0</v>
          </cell>
          <cell r="AP4647">
            <v>0</v>
          </cell>
        </row>
        <row r="4648">
          <cell r="AJ4648">
            <v>0</v>
          </cell>
          <cell r="AP4648">
            <v>0</v>
          </cell>
        </row>
        <row r="4649">
          <cell r="AJ4649">
            <v>0</v>
          </cell>
          <cell r="AP4649">
            <v>0</v>
          </cell>
        </row>
        <row r="4650">
          <cell r="AJ4650">
            <v>0</v>
          </cell>
          <cell r="AP4650">
            <v>0</v>
          </cell>
        </row>
        <row r="4651">
          <cell r="AJ4651">
            <v>0</v>
          </cell>
          <cell r="AP4651">
            <v>0</v>
          </cell>
        </row>
        <row r="4652">
          <cell r="AJ4652">
            <v>0</v>
          </cell>
          <cell r="AP4652">
            <v>0</v>
          </cell>
        </row>
        <row r="4653">
          <cell r="AJ4653">
            <v>0</v>
          </cell>
          <cell r="AP4653">
            <v>0</v>
          </cell>
        </row>
        <row r="4654">
          <cell r="AJ4654">
            <v>0</v>
          </cell>
          <cell r="AP4654">
            <v>0</v>
          </cell>
        </row>
        <row r="4655">
          <cell r="AJ4655">
            <v>0</v>
          </cell>
          <cell r="AP4655">
            <v>0</v>
          </cell>
        </row>
        <row r="4656">
          <cell r="AJ4656">
            <v>0</v>
          </cell>
          <cell r="AP4656">
            <v>0</v>
          </cell>
        </row>
        <row r="4657">
          <cell r="AJ4657">
            <v>0</v>
          </cell>
          <cell r="AP4657">
            <v>0</v>
          </cell>
        </row>
        <row r="4658">
          <cell r="AJ4658">
            <v>0</v>
          </cell>
          <cell r="AP4658">
            <v>0</v>
          </cell>
        </row>
        <row r="4659">
          <cell r="AJ4659">
            <v>0</v>
          </cell>
          <cell r="AP4659">
            <v>0</v>
          </cell>
        </row>
        <row r="4660">
          <cell r="AJ4660">
            <v>0</v>
          </cell>
          <cell r="AP4660">
            <v>0</v>
          </cell>
        </row>
        <row r="4661">
          <cell r="AJ4661">
            <v>0</v>
          </cell>
          <cell r="AP4661">
            <v>0</v>
          </cell>
        </row>
        <row r="4662">
          <cell r="AJ4662">
            <v>0</v>
          </cell>
          <cell r="AP4662">
            <v>0</v>
          </cell>
        </row>
        <row r="4663">
          <cell r="AJ4663">
            <v>0</v>
          </cell>
          <cell r="AP4663">
            <v>0</v>
          </cell>
        </row>
        <row r="4664">
          <cell r="AJ4664">
            <v>0</v>
          </cell>
          <cell r="AP4664">
            <v>0</v>
          </cell>
        </row>
        <row r="4665">
          <cell r="AJ4665">
            <v>0</v>
          </cell>
          <cell r="AP4665">
            <v>0</v>
          </cell>
        </row>
        <row r="4666">
          <cell r="AJ4666">
            <v>0</v>
          </cell>
          <cell r="AP4666">
            <v>0</v>
          </cell>
        </row>
        <row r="4667">
          <cell r="AJ4667">
            <v>0</v>
          </cell>
          <cell r="AP4667">
            <v>0</v>
          </cell>
        </row>
        <row r="4668">
          <cell r="AJ4668">
            <v>0</v>
          </cell>
          <cell r="AP4668">
            <v>0</v>
          </cell>
        </row>
        <row r="4669">
          <cell r="AJ4669">
            <v>0</v>
          </cell>
          <cell r="AP4669">
            <v>0</v>
          </cell>
        </row>
        <row r="4670">
          <cell r="AJ4670">
            <v>0</v>
          </cell>
          <cell r="AP4670">
            <v>0</v>
          </cell>
        </row>
        <row r="4671">
          <cell r="AJ4671">
            <v>0</v>
          </cell>
          <cell r="AP4671">
            <v>0</v>
          </cell>
        </row>
        <row r="4672">
          <cell r="AJ4672">
            <v>0</v>
          </cell>
          <cell r="AP4672">
            <v>0</v>
          </cell>
        </row>
        <row r="4673">
          <cell r="AJ4673">
            <v>0</v>
          </cell>
          <cell r="AP4673">
            <v>0</v>
          </cell>
        </row>
        <row r="4674">
          <cell r="AJ4674">
            <v>0</v>
          </cell>
          <cell r="AP4674">
            <v>0</v>
          </cell>
        </row>
        <row r="4675">
          <cell r="AJ4675">
            <v>0</v>
          </cell>
          <cell r="AP4675">
            <v>0</v>
          </cell>
        </row>
        <row r="4676">
          <cell r="AJ4676">
            <v>0</v>
          </cell>
          <cell r="AP4676">
            <v>0</v>
          </cell>
        </row>
        <row r="4677">
          <cell r="AJ4677">
            <v>0</v>
          </cell>
          <cell r="AP4677">
            <v>0</v>
          </cell>
        </row>
        <row r="4678">
          <cell r="AJ4678">
            <v>0</v>
          </cell>
          <cell r="AP4678">
            <v>0</v>
          </cell>
        </row>
        <row r="4679">
          <cell r="AJ4679">
            <v>0</v>
          </cell>
          <cell r="AP4679">
            <v>0</v>
          </cell>
        </row>
        <row r="4680">
          <cell r="AJ4680">
            <v>0</v>
          </cell>
          <cell r="AP4680">
            <v>0</v>
          </cell>
        </row>
        <row r="4681">
          <cell r="AJ4681">
            <v>0</v>
          </cell>
          <cell r="AP4681">
            <v>0</v>
          </cell>
        </row>
        <row r="4682">
          <cell r="AJ4682">
            <v>0</v>
          </cell>
          <cell r="AP4682">
            <v>0</v>
          </cell>
        </row>
        <row r="4683">
          <cell r="AJ4683">
            <v>0</v>
          </cell>
          <cell r="AP4683">
            <v>0</v>
          </cell>
        </row>
        <row r="4684">
          <cell r="AJ4684">
            <v>0</v>
          </cell>
          <cell r="AP4684">
            <v>0</v>
          </cell>
        </row>
        <row r="4685">
          <cell r="AJ4685">
            <v>0</v>
          </cell>
          <cell r="AP4685">
            <v>0</v>
          </cell>
        </row>
        <row r="4686">
          <cell r="AJ4686">
            <v>0</v>
          </cell>
          <cell r="AP4686">
            <v>0</v>
          </cell>
        </row>
        <row r="4687">
          <cell r="AJ4687">
            <v>0</v>
          </cell>
          <cell r="AP4687">
            <v>0</v>
          </cell>
        </row>
        <row r="4688">
          <cell r="AJ4688">
            <v>0</v>
          </cell>
          <cell r="AP4688">
            <v>0</v>
          </cell>
        </row>
        <row r="4689">
          <cell r="AJ4689">
            <v>0</v>
          </cell>
          <cell r="AP4689">
            <v>0</v>
          </cell>
        </row>
        <row r="4690">
          <cell r="AJ4690">
            <v>0</v>
          </cell>
          <cell r="AP4690">
            <v>0</v>
          </cell>
        </row>
        <row r="4691">
          <cell r="AJ4691">
            <v>0</v>
          </cell>
          <cell r="AP4691">
            <v>0</v>
          </cell>
        </row>
        <row r="4692">
          <cell r="AJ4692">
            <v>0</v>
          </cell>
          <cell r="AP4692">
            <v>0</v>
          </cell>
        </row>
        <row r="4693">
          <cell r="AJ4693">
            <v>0</v>
          </cell>
          <cell r="AP4693">
            <v>0</v>
          </cell>
        </row>
        <row r="4694">
          <cell r="AJ4694">
            <v>0</v>
          </cell>
          <cell r="AP4694">
            <v>0</v>
          </cell>
        </row>
        <row r="4695">
          <cell r="AJ4695">
            <v>0</v>
          </cell>
          <cell r="AP4695">
            <v>0</v>
          </cell>
        </row>
        <row r="4696">
          <cell r="AJ4696">
            <v>0</v>
          </cell>
          <cell r="AP4696">
            <v>0</v>
          </cell>
        </row>
        <row r="4697">
          <cell r="AJ4697">
            <v>0</v>
          </cell>
          <cell r="AP4697">
            <v>0</v>
          </cell>
        </row>
        <row r="4698">
          <cell r="AJ4698">
            <v>0</v>
          </cell>
          <cell r="AP4698">
            <v>0</v>
          </cell>
        </row>
        <row r="4699">
          <cell r="AJ4699">
            <v>0</v>
          </cell>
          <cell r="AP4699">
            <v>0</v>
          </cell>
        </row>
        <row r="4700">
          <cell r="AJ4700">
            <v>0</v>
          </cell>
          <cell r="AP4700">
            <v>0</v>
          </cell>
        </row>
        <row r="4701">
          <cell r="AJ4701">
            <v>0</v>
          </cell>
          <cell r="AP4701">
            <v>0</v>
          </cell>
        </row>
        <row r="4702">
          <cell r="AJ4702">
            <v>0</v>
          </cell>
          <cell r="AP4702">
            <v>0</v>
          </cell>
        </row>
        <row r="4703">
          <cell r="AJ4703">
            <v>0</v>
          </cell>
          <cell r="AP4703">
            <v>0</v>
          </cell>
        </row>
        <row r="4704">
          <cell r="AJ4704">
            <v>0</v>
          </cell>
          <cell r="AP4704">
            <v>0</v>
          </cell>
        </row>
        <row r="4705">
          <cell r="AJ4705">
            <v>0</v>
          </cell>
          <cell r="AP4705">
            <v>0</v>
          </cell>
        </row>
        <row r="4706">
          <cell r="AJ4706">
            <v>0</v>
          </cell>
          <cell r="AP4706">
            <v>0</v>
          </cell>
        </row>
        <row r="4707">
          <cell r="AJ4707">
            <v>0</v>
          </cell>
          <cell r="AP4707">
            <v>0</v>
          </cell>
        </row>
        <row r="4708">
          <cell r="AJ4708">
            <v>0</v>
          </cell>
          <cell r="AP4708">
            <v>0</v>
          </cell>
        </row>
        <row r="4709">
          <cell r="AJ4709">
            <v>0</v>
          </cell>
          <cell r="AP4709">
            <v>0</v>
          </cell>
        </row>
        <row r="4710">
          <cell r="AJ4710">
            <v>0</v>
          </cell>
          <cell r="AP4710">
            <v>0</v>
          </cell>
        </row>
        <row r="4711">
          <cell r="AJ4711">
            <v>0</v>
          </cell>
          <cell r="AP4711">
            <v>0</v>
          </cell>
        </row>
        <row r="4712">
          <cell r="AJ4712">
            <v>0</v>
          </cell>
          <cell r="AP4712">
            <v>0</v>
          </cell>
        </row>
        <row r="4713">
          <cell r="AJ4713">
            <v>0</v>
          </cell>
          <cell r="AP4713">
            <v>0</v>
          </cell>
        </row>
        <row r="4714">
          <cell r="AJ4714">
            <v>0</v>
          </cell>
          <cell r="AP4714">
            <v>0</v>
          </cell>
        </row>
        <row r="4715">
          <cell r="AJ4715">
            <v>0</v>
          </cell>
          <cell r="AP4715">
            <v>0</v>
          </cell>
        </row>
        <row r="4716">
          <cell r="AJ4716">
            <v>0</v>
          </cell>
          <cell r="AP4716">
            <v>0</v>
          </cell>
        </row>
        <row r="4717">
          <cell r="AJ4717">
            <v>0</v>
          </cell>
          <cell r="AP4717">
            <v>0</v>
          </cell>
        </row>
        <row r="4718">
          <cell r="AJ4718">
            <v>0</v>
          </cell>
          <cell r="AP4718">
            <v>0</v>
          </cell>
        </row>
        <row r="4719">
          <cell r="AJ4719">
            <v>0</v>
          </cell>
          <cell r="AP4719">
            <v>0</v>
          </cell>
        </row>
        <row r="4720">
          <cell r="AJ4720">
            <v>0</v>
          </cell>
          <cell r="AP4720">
            <v>0</v>
          </cell>
        </row>
        <row r="4721">
          <cell r="AJ4721">
            <v>0</v>
          </cell>
          <cell r="AP4721">
            <v>0</v>
          </cell>
        </row>
        <row r="4722">
          <cell r="AJ4722">
            <v>0</v>
          </cell>
          <cell r="AP4722">
            <v>0</v>
          </cell>
        </row>
        <row r="4723">
          <cell r="AJ4723">
            <v>0</v>
          </cell>
          <cell r="AP4723">
            <v>0</v>
          </cell>
        </row>
        <row r="4724">
          <cell r="AJ4724">
            <v>0</v>
          </cell>
          <cell r="AP4724">
            <v>0</v>
          </cell>
        </row>
        <row r="4725">
          <cell r="AJ4725">
            <v>0</v>
          </cell>
          <cell r="AP4725">
            <v>0</v>
          </cell>
        </row>
        <row r="4726">
          <cell r="AJ4726">
            <v>0</v>
          </cell>
          <cell r="AP4726">
            <v>0</v>
          </cell>
        </row>
        <row r="4727">
          <cell r="AJ4727">
            <v>0</v>
          </cell>
          <cell r="AP4727">
            <v>0</v>
          </cell>
        </row>
        <row r="4728">
          <cell r="AJ4728">
            <v>0</v>
          </cell>
          <cell r="AP4728">
            <v>0</v>
          </cell>
        </row>
        <row r="4729">
          <cell r="AJ4729">
            <v>0</v>
          </cell>
          <cell r="AP4729">
            <v>0</v>
          </cell>
        </row>
        <row r="4730">
          <cell r="AJ4730">
            <v>0</v>
          </cell>
          <cell r="AP4730">
            <v>0</v>
          </cell>
        </row>
        <row r="4731">
          <cell r="AJ4731">
            <v>0</v>
          </cell>
          <cell r="AP4731">
            <v>0</v>
          </cell>
        </row>
        <row r="4732">
          <cell r="AJ4732">
            <v>0</v>
          </cell>
          <cell r="AP4732">
            <v>0</v>
          </cell>
        </row>
        <row r="4733">
          <cell r="AJ4733">
            <v>0</v>
          </cell>
          <cell r="AP4733">
            <v>0</v>
          </cell>
        </row>
        <row r="4734">
          <cell r="AJ4734">
            <v>0</v>
          </cell>
          <cell r="AP4734">
            <v>0</v>
          </cell>
        </row>
        <row r="4735">
          <cell r="AJ4735">
            <v>0</v>
          </cell>
          <cell r="AP4735">
            <v>0</v>
          </cell>
        </row>
        <row r="4736">
          <cell r="AJ4736">
            <v>0</v>
          </cell>
          <cell r="AP4736">
            <v>0</v>
          </cell>
        </row>
        <row r="4737">
          <cell r="AJ4737">
            <v>0</v>
          </cell>
          <cell r="AP4737">
            <v>0</v>
          </cell>
        </row>
        <row r="4738">
          <cell r="AJ4738">
            <v>0</v>
          </cell>
          <cell r="AP4738">
            <v>0</v>
          </cell>
        </row>
        <row r="4739">
          <cell r="AJ4739">
            <v>0</v>
          </cell>
          <cell r="AP4739">
            <v>0</v>
          </cell>
        </row>
        <row r="4740">
          <cell r="AJ4740">
            <v>0</v>
          </cell>
          <cell r="AP4740">
            <v>0</v>
          </cell>
        </row>
        <row r="4741">
          <cell r="AJ4741">
            <v>0</v>
          </cell>
          <cell r="AP4741">
            <v>0</v>
          </cell>
        </row>
        <row r="4742">
          <cell r="AJ4742">
            <v>0</v>
          </cell>
          <cell r="AP4742">
            <v>0</v>
          </cell>
        </row>
        <row r="4743">
          <cell r="AJ4743">
            <v>0</v>
          </cell>
          <cell r="AP4743">
            <v>0</v>
          </cell>
        </row>
        <row r="4744">
          <cell r="AJ4744">
            <v>0</v>
          </cell>
          <cell r="AP4744">
            <v>0</v>
          </cell>
        </row>
        <row r="4745">
          <cell r="AJ4745">
            <v>0</v>
          </cell>
          <cell r="AP4745">
            <v>0</v>
          </cell>
        </row>
        <row r="4746">
          <cell r="AJ4746">
            <v>0</v>
          </cell>
          <cell r="AP4746">
            <v>0</v>
          </cell>
        </row>
        <row r="4747">
          <cell r="AJ4747">
            <v>0</v>
          </cell>
          <cell r="AP4747">
            <v>0</v>
          </cell>
        </row>
        <row r="4748">
          <cell r="AJ4748">
            <v>0</v>
          </cell>
          <cell r="AP4748">
            <v>0</v>
          </cell>
        </row>
        <row r="4749">
          <cell r="AJ4749">
            <v>0</v>
          </cell>
          <cell r="AP4749">
            <v>0</v>
          </cell>
        </row>
        <row r="4750">
          <cell r="AJ4750">
            <v>0</v>
          </cell>
          <cell r="AP4750">
            <v>0</v>
          </cell>
        </row>
        <row r="4751">
          <cell r="AJ4751">
            <v>0</v>
          </cell>
          <cell r="AP4751">
            <v>0</v>
          </cell>
        </row>
        <row r="4752">
          <cell r="AJ4752">
            <v>0</v>
          </cell>
          <cell r="AP4752">
            <v>0</v>
          </cell>
        </row>
        <row r="4753">
          <cell r="AJ4753">
            <v>0</v>
          </cell>
          <cell r="AP4753">
            <v>0</v>
          </cell>
        </row>
        <row r="4754">
          <cell r="AJ4754">
            <v>0</v>
          </cell>
          <cell r="AP4754">
            <v>0</v>
          </cell>
        </row>
        <row r="4755">
          <cell r="AJ4755">
            <v>0</v>
          </cell>
          <cell r="AP4755">
            <v>0</v>
          </cell>
        </row>
        <row r="4756">
          <cell r="AJ4756">
            <v>0</v>
          </cell>
          <cell r="AP4756">
            <v>0</v>
          </cell>
        </row>
        <row r="4757">
          <cell r="AJ4757">
            <v>0</v>
          </cell>
          <cell r="AP4757">
            <v>0</v>
          </cell>
        </row>
        <row r="4758">
          <cell r="AJ4758">
            <v>0</v>
          </cell>
          <cell r="AP4758">
            <v>0</v>
          </cell>
        </row>
        <row r="4759">
          <cell r="AJ4759">
            <v>0</v>
          </cell>
          <cell r="AP4759">
            <v>0</v>
          </cell>
        </row>
        <row r="4760">
          <cell r="AJ4760">
            <v>0</v>
          </cell>
          <cell r="AP4760">
            <v>0</v>
          </cell>
        </row>
        <row r="4761">
          <cell r="AJ4761">
            <v>0</v>
          </cell>
          <cell r="AP4761">
            <v>0</v>
          </cell>
        </row>
        <row r="4762">
          <cell r="AJ4762">
            <v>0</v>
          </cell>
          <cell r="AP4762">
            <v>0</v>
          </cell>
        </row>
        <row r="4763">
          <cell r="AJ4763">
            <v>0</v>
          </cell>
          <cell r="AP4763">
            <v>0</v>
          </cell>
        </row>
        <row r="4764">
          <cell r="AJ4764">
            <v>0</v>
          </cell>
          <cell r="AP4764">
            <v>0</v>
          </cell>
        </row>
        <row r="4765">
          <cell r="AJ4765">
            <v>0</v>
          </cell>
          <cell r="AP4765">
            <v>0</v>
          </cell>
        </row>
        <row r="4766">
          <cell r="AJ4766">
            <v>0</v>
          </cell>
          <cell r="AP4766">
            <v>0</v>
          </cell>
        </row>
        <row r="4767">
          <cell r="AJ4767">
            <v>0</v>
          </cell>
          <cell r="AP4767">
            <v>0</v>
          </cell>
        </row>
        <row r="4768">
          <cell r="AJ4768">
            <v>0</v>
          </cell>
          <cell r="AP4768">
            <v>0</v>
          </cell>
        </row>
        <row r="4769">
          <cell r="AJ4769">
            <v>0</v>
          </cell>
          <cell r="AP4769">
            <v>0</v>
          </cell>
        </row>
        <row r="4770">
          <cell r="AJ4770">
            <v>0</v>
          </cell>
          <cell r="AP4770">
            <v>0</v>
          </cell>
        </row>
        <row r="4771">
          <cell r="AJ4771">
            <v>0</v>
          </cell>
          <cell r="AP4771">
            <v>0</v>
          </cell>
        </row>
        <row r="4772">
          <cell r="AJ4772">
            <v>0</v>
          </cell>
          <cell r="AP4772">
            <v>0</v>
          </cell>
        </row>
        <row r="4773">
          <cell r="AJ4773">
            <v>0</v>
          </cell>
          <cell r="AP4773">
            <v>0</v>
          </cell>
        </row>
        <row r="4774">
          <cell r="AJ4774">
            <v>0</v>
          </cell>
          <cell r="AP4774">
            <v>0</v>
          </cell>
        </row>
        <row r="4775">
          <cell r="AJ4775">
            <v>0</v>
          </cell>
          <cell r="AP4775">
            <v>0</v>
          </cell>
        </row>
        <row r="4776">
          <cell r="AJ4776">
            <v>0</v>
          </cell>
          <cell r="AP4776">
            <v>0</v>
          </cell>
        </row>
        <row r="4777">
          <cell r="AJ4777">
            <v>0</v>
          </cell>
          <cell r="AP4777">
            <v>0</v>
          </cell>
        </row>
        <row r="4778">
          <cell r="AJ4778">
            <v>0</v>
          </cell>
          <cell r="AP4778">
            <v>0</v>
          </cell>
        </row>
        <row r="4779">
          <cell r="AJ4779">
            <v>0</v>
          </cell>
          <cell r="AP4779">
            <v>0</v>
          </cell>
        </row>
        <row r="4780">
          <cell r="AJ4780">
            <v>0</v>
          </cell>
          <cell r="AP4780">
            <v>0</v>
          </cell>
        </row>
        <row r="4781">
          <cell r="AJ4781">
            <v>0</v>
          </cell>
          <cell r="AP4781">
            <v>0</v>
          </cell>
        </row>
        <row r="4782">
          <cell r="AJ4782">
            <v>0</v>
          </cell>
          <cell r="AP4782">
            <v>0</v>
          </cell>
        </row>
        <row r="4783">
          <cell r="AJ4783">
            <v>0</v>
          </cell>
          <cell r="AP4783">
            <v>0</v>
          </cell>
        </row>
        <row r="4784">
          <cell r="AJ4784">
            <v>0</v>
          </cell>
          <cell r="AP4784">
            <v>0</v>
          </cell>
        </row>
        <row r="4785">
          <cell r="AJ4785">
            <v>0</v>
          </cell>
          <cell r="AP4785">
            <v>0</v>
          </cell>
        </row>
        <row r="4786">
          <cell r="AJ4786">
            <v>0</v>
          </cell>
          <cell r="AP4786">
            <v>0</v>
          </cell>
        </row>
        <row r="4787">
          <cell r="AJ4787">
            <v>0</v>
          </cell>
          <cell r="AP4787">
            <v>0</v>
          </cell>
        </row>
        <row r="4788">
          <cell r="AJ4788">
            <v>0</v>
          </cell>
          <cell r="AP4788">
            <v>0</v>
          </cell>
        </row>
        <row r="4789">
          <cell r="AJ4789">
            <v>0</v>
          </cell>
          <cell r="AP4789">
            <v>0</v>
          </cell>
        </row>
        <row r="4790">
          <cell r="AJ4790">
            <v>0</v>
          </cell>
          <cell r="AP4790">
            <v>0</v>
          </cell>
        </row>
        <row r="4791">
          <cell r="AJ4791">
            <v>0</v>
          </cell>
          <cell r="AP4791">
            <v>0</v>
          </cell>
        </row>
        <row r="4792">
          <cell r="AJ4792">
            <v>0</v>
          </cell>
          <cell r="AP4792">
            <v>0</v>
          </cell>
        </row>
        <row r="4793">
          <cell r="AJ4793">
            <v>0</v>
          </cell>
          <cell r="AP4793">
            <v>0</v>
          </cell>
        </row>
        <row r="4794">
          <cell r="AJ4794">
            <v>0</v>
          </cell>
          <cell r="AP4794">
            <v>0</v>
          </cell>
        </row>
        <row r="4795">
          <cell r="AJ4795">
            <v>0</v>
          </cell>
          <cell r="AP4795">
            <v>0</v>
          </cell>
        </row>
        <row r="4796">
          <cell r="AJ4796">
            <v>0</v>
          </cell>
          <cell r="AP4796">
            <v>0</v>
          </cell>
        </row>
        <row r="4797">
          <cell r="AJ4797">
            <v>0</v>
          </cell>
          <cell r="AP4797">
            <v>0</v>
          </cell>
        </row>
        <row r="4798">
          <cell r="AJ4798">
            <v>0</v>
          </cell>
          <cell r="AP4798">
            <v>0</v>
          </cell>
        </row>
        <row r="4799">
          <cell r="AJ4799">
            <v>0</v>
          </cell>
          <cell r="AP4799">
            <v>0</v>
          </cell>
        </row>
        <row r="4800">
          <cell r="AJ4800">
            <v>0</v>
          </cell>
          <cell r="AP4800">
            <v>0</v>
          </cell>
        </row>
        <row r="4801">
          <cell r="AJ4801">
            <v>0</v>
          </cell>
          <cell r="AP4801">
            <v>0</v>
          </cell>
        </row>
        <row r="4802">
          <cell r="AJ4802">
            <v>0</v>
          </cell>
          <cell r="AP4802">
            <v>0</v>
          </cell>
        </row>
        <row r="4803">
          <cell r="AJ4803">
            <v>0</v>
          </cell>
          <cell r="AP4803">
            <v>0</v>
          </cell>
        </row>
        <row r="4804">
          <cell r="AJ4804">
            <v>0</v>
          </cell>
          <cell r="AP4804">
            <v>0</v>
          </cell>
        </row>
        <row r="4805">
          <cell r="AJ4805">
            <v>0</v>
          </cell>
          <cell r="AP4805">
            <v>0</v>
          </cell>
        </row>
        <row r="4806">
          <cell r="AJ4806">
            <v>0</v>
          </cell>
          <cell r="AP4806">
            <v>0</v>
          </cell>
        </row>
        <row r="4807">
          <cell r="AJ4807">
            <v>0</v>
          </cell>
          <cell r="AP4807">
            <v>0</v>
          </cell>
        </row>
        <row r="4808">
          <cell r="AJ4808">
            <v>0</v>
          </cell>
          <cell r="AP4808">
            <v>0</v>
          </cell>
        </row>
        <row r="4809">
          <cell r="AJ4809">
            <v>0</v>
          </cell>
          <cell r="AP4809">
            <v>0</v>
          </cell>
        </row>
        <row r="4810">
          <cell r="AJ4810">
            <v>0</v>
          </cell>
          <cell r="AP4810">
            <v>0</v>
          </cell>
        </row>
        <row r="4811">
          <cell r="AJ4811">
            <v>0</v>
          </cell>
          <cell r="AP4811">
            <v>0</v>
          </cell>
        </row>
        <row r="4812">
          <cell r="AJ4812">
            <v>0</v>
          </cell>
          <cell r="AP4812">
            <v>0</v>
          </cell>
        </row>
        <row r="4813">
          <cell r="AJ4813">
            <v>0</v>
          </cell>
          <cell r="AP4813">
            <v>0</v>
          </cell>
        </row>
        <row r="4814">
          <cell r="AJ4814">
            <v>0</v>
          </cell>
          <cell r="AP4814">
            <v>0</v>
          </cell>
        </row>
        <row r="4815">
          <cell r="AJ4815">
            <v>0</v>
          </cell>
          <cell r="AP4815">
            <v>0</v>
          </cell>
        </row>
        <row r="4816">
          <cell r="AJ4816">
            <v>0</v>
          </cell>
          <cell r="AP4816">
            <v>0</v>
          </cell>
        </row>
        <row r="4817">
          <cell r="AJ4817">
            <v>0</v>
          </cell>
          <cell r="AP4817">
            <v>0</v>
          </cell>
        </row>
        <row r="4818">
          <cell r="AJ4818">
            <v>0</v>
          </cell>
          <cell r="AP4818">
            <v>0</v>
          </cell>
        </row>
        <row r="4819">
          <cell r="AJ4819">
            <v>0</v>
          </cell>
          <cell r="AP4819">
            <v>0</v>
          </cell>
        </row>
        <row r="4820">
          <cell r="AJ4820">
            <v>0</v>
          </cell>
          <cell r="AP4820">
            <v>0</v>
          </cell>
        </row>
        <row r="4821">
          <cell r="AJ4821">
            <v>0</v>
          </cell>
          <cell r="AP4821">
            <v>0</v>
          </cell>
        </row>
        <row r="4822">
          <cell r="AJ4822">
            <v>0</v>
          </cell>
          <cell r="AP4822">
            <v>0</v>
          </cell>
        </row>
        <row r="4823">
          <cell r="AJ4823">
            <v>0</v>
          </cell>
          <cell r="AP4823">
            <v>0</v>
          </cell>
        </row>
        <row r="4824">
          <cell r="AJ4824">
            <v>0</v>
          </cell>
          <cell r="AP4824">
            <v>0</v>
          </cell>
        </row>
        <row r="4825">
          <cell r="AJ4825">
            <v>0</v>
          </cell>
          <cell r="AP4825">
            <v>0</v>
          </cell>
        </row>
        <row r="4826">
          <cell r="AJ4826">
            <v>0</v>
          </cell>
          <cell r="AP4826">
            <v>0</v>
          </cell>
        </row>
        <row r="4827">
          <cell r="AJ4827">
            <v>0</v>
          </cell>
          <cell r="AP4827">
            <v>0</v>
          </cell>
        </row>
        <row r="4828">
          <cell r="AJ4828">
            <v>0</v>
          </cell>
          <cell r="AP4828">
            <v>0</v>
          </cell>
        </row>
        <row r="4829">
          <cell r="AJ4829">
            <v>0</v>
          </cell>
          <cell r="AP4829">
            <v>0</v>
          </cell>
        </row>
        <row r="4830">
          <cell r="AJ4830">
            <v>0</v>
          </cell>
          <cell r="AP4830">
            <v>0</v>
          </cell>
        </row>
        <row r="4831">
          <cell r="AJ4831">
            <v>0</v>
          </cell>
          <cell r="AP4831">
            <v>0</v>
          </cell>
        </row>
        <row r="4832">
          <cell r="AJ4832">
            <v>0</v>
          </cell>
          <cell r="AP4832">
            <v>0</v>
          </cell>
        </row>
        <row r="4833">
          <cell r="AJ4833">
            <v>0</v>
          </cell>
          <cell r="AP4833">
            <v>0</v>
          </cell>
        </row>
        <row r="4834">
          <cell r="AJ4834">
            <v>0</v>
          </cell>
          <cell r="AP4834">
            <v>0</v>
          </cell>
        </row>
        <row r="4835">
          <cell r="AJ4835">
            <v>0</v>
          </cell>
          <cell r="AP4835">
            <v>0</v>
          </cell>
        </row>
        <row r="4836">
          <cell r="AJ4836">
            <v>0</v>
          </cell>
          <cell r="AP4836">
            <v>0</v>
          </cell>
        </row>
        <row r="4837">
          <cell r="AJ4837">
            <v>0</v>
          </cell>
          <cell r="AP4837">
            <v>0</v>
          </cell>
        </row>
        <row r="4838">
          <cell r="AJ4838">
            <v>0</v>
          </cell>
          <cell r="AP4838">
            <v>0</v>
          </cell>
        </row>
        <row r="4839">
          <cell r="AJ4839">
            <v>0</v>
          </cell>
          <cell r="AP4839">
            <v>0</v>
          </cell>
        </row>
        <row r="4840">
          <cell r="AJ4840">
            <v>0</v>
          </cell>
          <cell r="AP4840">
            <v>0</v>
          </cell>
        </row>
        <row r="4841">
          <cell r="AJ4841">
            <v>0</v>
          </cell>
          <cell r="AP4841">
            <v>0</v>
          </cell>
        </row>
        <row r="4842">
          <cell r="AJ4842">
            <v>0</v>
          </cell>
          <cell r="AP4842">
            <v>0</v>
          </cell>
        </row>
        <row r="4843">
          <cell r="AJ4843">
            <v>0</v>
          </cell>
          <cell r="AP4843">
            <v>0</v>
          </cell>
        </row>
        <row r="4844">
          <cell r="AJ4844">
            <v>0</v>
          </cell>
          <cell r="AP4844">
            <v>0</v>
          </cell>
        </row>
        <row r="4845">
          <cell r="AJ4845">
            <v>0</v>
          </cell>
          <cell r="AP4845">
            <v>0</v>
          </cell>
        </row>
        <row r="4846">
          <cell r="AJ4846">
            <v>0</v>
          </cell>
          <cell r="AP4846">
            <v>0</v>
          </cell>
        </row>
        <row r="4847">
          <cell r="AJ4847">
            <v>0</v>
          </cell>
          <cell r="AP4847">
            <v>0</v>
          </cell>
        </row>
        <row r="4848">
          <cell r="AJ4848">
            <v>0</v>
          </cell>
          <cell r="AP4848">
            <v>0</v>
          </cell>
        </row>
        <row r="4849">
          <cell r="AJ4849">
            <v>0</v>
          </cell>
          <cell r="AP4849">
            <v>0</v>
          </cell>
        </row>
        <row r="4850">
          <cell r="AJ4850">
            <v>0</v>
          </cell>
          <cell r="AP4850">
            <v>0</v>
          </cell>
        </row>
        <row r="4851">
          <cell r="AJ4851">
            <v>0</v>
          </cell>
          <cell r="AP4851">
            <v>0</v>
          </cell>
        </row>
        <row r="4852">
          <cell r="AJ4852">
            <v>0</v>
          </cell>
          <cell r="AP4852">
            <v>0</v>
          </cell>
        </row>
        <row r="4853">
          <cell r="AJ4853">
            <v>0</v>
          </cell>
          <cell r="AP4853">
            <v>0</v>
          </cell>
        </row>
        <row r="4854">
          <cell r="AJ4854">
            <v>0</v>
          </cell>
          <cell r="AP4854">
            <v>0</v>
          </cell>
        </row>
        <row r="4855">
          <cell r="AJ4855">
            <v>0</v>
          </cell>
          <cell r="AP4855">
            <v>0</v>
          </cell>
        </row>
        <row r="4856">
          <cell r="AJ4856">
            <v>0</v>
          </cell>
          <cell r="AP4856">
            <v>0</v>
          </cell>
        </row>
        <row r="4857">
          <cell r="AJ4857">
            <v>0</v>
          </cell>
          <cell r="AP4857">
            <v>0</v>
          </cell>
        </row>
        <row r="4858">
          <cell r="AJ4858">
            <v>0</v>
          </cell>
          <cell r="AP4858">
            <v>0</v>
          </cell>
        </row>
        <row r="4859">
          <cell r="AJ4859">
            <v>0</v>
          </cell>
          <cell r="AP4859">
            <v>0</v>
          </cell>
        </row>
        <row r="4860">
          <cell r="AJ4860">
            <v>0</v>
          </cell>
          <cell r="AP4860">
            <v>0</v>
          </cell>
        </row>
        <row r="4861">
          <cell r="AJ4861">
            <v>0</v>
          </cell>
          <cell r="AP4861">
            <v>0</v>
          </cell>
        </row>
        <row r="4862">
          <cell r="AJ4862">
            <v>0</v>
          </cell>
          <cell r="AP4862">
            <v>0</v>
          </cell>
        </row>
        <row r="4863">
          <cell r="AJ4863">
            <v>0</v>
          </cell>
          <cell r="AP4863">
            <v>0</v>
          </cell>
        </row>
        <row r="4864">
          <cell r="AJ4864">
            <v>0</v>
          </cell>
          <cell r="AP4864">
            <v>0</v>
          </cell>
        </row>
        <row r="4865">
          <cell r="AJ4865">
            <v>0</v>
          </cell>
          <cell r="AP4865">
            <v>0</v>
          </cell>
        </row>
        <row r="4866">
          <cell r="AJ4866">
            <v>0</v>
          </cell>
          <cell r="AP4866">
            <v>0</v>
          </cell>
        </row>
        <row r="4867">
          <cell r="AJ4867">
            <v>0</v>
          </cell>
          <cell r="AP4867">
            <v>0</v>
          </cell>
        </row>
        <row r="4868">
          <cell r="AJ4868">
            <v>0</v>
          </cell>
          <cell r="AP4868">
            <v>0</v>
          </cell>
        </row>
        <row r="4869">
          <cell r="AJ4869">
            <v>0</v>
          </cell>
          <cell r="AP4869">
            <v>0</v>
          </cell>
        </row>
        <row r="4870">
          <cell r="AJ4870">
            <v>0</v>
          </cell>
          <cell r="AP4870">
            <v>0</v>
          </cell>
        </row>
        <row r="4871">
          <cell r="AJ4871">
            <v>0</v>
          </cell>
          <cell r="AP4871">
            <v>0</v>
          </cell>
        </row>
        <row r="4872">
          <cell r="AJ4872">
            <v>0</v>
          </cell>
          <cell r="AP4872">
            <v>0</v>
          </cell>
        </row>
        <row r="4873">
          <cell r="AJ4873">
            <v>0</v>
          </cell>
          <cell r="AP4873">
            <v>0</v>
          </cell>
        </row>
        <row r="4874">
          <cell r="AJ4874">
            <v>0</v>
          </cell>
          <cell r="AP4874">
            <v>0</v>
          </cell>
        </row>
        <row r="4875">
          <cell r="AJ4875">
            <v>0</v>
          </cell>
          <cell r="AP4875">
            <v>0</v>
          </cell>
        </row>
        <row r="4876">
          <cell r="AJ4876">
            <v>0</v>
          </cell>
          <cell r="AP4876">
            <v>0</v>
          </cell>
        </row>
        <row r="4877">
          <cell r="AJ4877">
            <v>0</v>
          </cell>
          <cell r="AP4877">
            <v>0</v>
          </cell>
        </row>
        <row r="4878">
          <cell r="AJ4878">
            <v>0</v>
          </cell>
          <cell r="AP4878">
            <v>0</v>
          </cell>
        </row>
        <row r="4879">
          <cell r="AJ4879">
            <v>0</v>
          </cell>
          <cell r="AP4879">
            <v>0</v>
          </cell>
        </row>
        <row r="4880">
          <cell r="AJ4880">
            <v>0</v>
          </cell>
          <cell r="AP4880">
            <v>0</v>
          </cell>
        </row>
        <row r="4881">
          <cell r="AJ4881">
            <v>0</v>
          </cell>
          <cell r="AP4881">
            <v>0</v>
          </cell>
        </row>
        <row r="4882">
          <cell r="AJ4882">
            <v>0</v>
          </cell>
          <cell r="AP4882">
            <v>0</v>
          </cell>
        </row>
        <row r="4883">
          <cell r="AJ4883">
            <v>0</v>
          </cell>
          <cell r="AP4883">
            <v>0</v>
          </cell>
        </row>
        <row r="4884">
          <cell r="AJ4884">
            <v>0</v>
          </cell>
          <cell r="AP4884">
            <v>0</v>
          </cell>
        </row>
        <row r="4885">
          <cell r="AJ4885">
            <v>0</v>
          </cell>
          <cell r="AP4885">
            <v>0</v>
          </cell>
        </row>
        <row r="4886">
          <cell r="AJ4886">
            <v>0</v>
          </cell>
          <cell r="AP4886">
            <v>0</v>
          </cell>
        </row>
        <row r="4887">
          <cell r="AJ4887">
            <v>0</v>
          </cell>
          <cell r="AP4887">
            <v>0</v>
          </cell>
        </row>
        <row r="4888">
          <cell r="AJ4888">
            <v>0</v>
          </cell>
          <cell r="AP4888">
            <v>0</v>
          </cell>
        </row>
        <row r="4889">
          <cell r="AJ4889">
            <v>0</v>
          </cell>
          <cell r="AP4889">
            <v>0</v>
          </cell>
        </row>
        <row r="4890">
          <cell r="AJ4890">
            <v>0</v>
          </cell>
          <cell r="AP4890">
            <v>0</v>
          </cell>
        </row>
        <row r="4891">
          <cell r="AJ4891">
            <v>0</v>
          </cell>
          <cell r="AP4891">
            <v>0</v>
          </cell>
        </row>
        <row r="4892">
          <cell r="AJ4892">
            <v>0</v>
          </cell>
          <cell r="AP4892">
            <v>0</v>
          </cell>
        </row>
        <row r="4893">
          <cell r="AJ4893">
            <v>0</v>
          </cell>
          <cell r="AP4893">
            <v>0</v>
          </cell>
        </row>
        <row r="4894">
          <cell r="AJ4894">
            <v>0</v>
          </cell>
          <cell r="AP4894">
            <v>0</v>
          </cell>
        </row>
        <row r="4895">
          <cell r="AJ4895">
            <v>0</v>
          </cell>
          <cell r="AP4895">
            <v>0</v>
          </cell>
        </row>
        <row r="4896">
          <cell r="AJ4896">
            <v>0</v>
          </cell>
          <cell r="AP4896">
            <v>0</v>
          </cell>
        </row>
        <row r="4897">
          <cell r="AJ4897">
            <v>0</v>
          </cell>
          <cell r="AP4897">
            <v>0</v>
          </cell>
        </row>
        <row r="4898">
          <cell r="AJ4898">
            <v>0</v>
          </cell>
          <cell r="AP4898">
            <v>0</v>
          </cell>
        </row>
        <row r="4899">
          <cell r="AJ4899">
            <v>0</v>
          </cell>
          <cell r="AP4899">
            <v>0</v>
          </cell>
        </row>
        <row r="4900">
          <cell r="AJ4900">
            <v>0</v>
          </cell>
          <cell r="AP4900">
            <v>0</v>
          </cell>
        </row>
        <row r="4901">
          <cell r="AJ4901">
            <v>0</v>
          </cell>
          <cell r="AP4901">
            <v>0</v>
          </cell>
        </row>
        <row r="4902">
          <cell r="AJ4902">
            <v>0</v>
          </cell>
          <cell r="AP4902">
            <v>0</v>
          </cell>
        </row>
        <row r="4903">
          <cell r="AJ4903">
            <v>0</v>
          </cell>
          <cell r="AP4903">
            <v>0</v>
          </cell>
        </row>
        <row r="4904">
          <cell r="AJ4904">
            <v>0</v>
          </cell>
          <cell r="AP4904">
            <v>0</v>
          </cell>
        </row>
        <row r="4905">
          <cell r="AJ4905">
            <v>0</v>
          </cell>
          <cell r="AP4905">
            <v>0</v>
          </cell>
        </row>
        <row r="4906">
          <cell r="AJ4906">
            <v>0</v>
          </cell>
          <cell r="AP4906">
            <v>0</v>
          </cell>
        </row>
        <row r="4907">
          <cell r="AJ4907">
            <v>0</v>
          </cell>
          <cell r="AP4907">
            <v>0</v>
          </cell>
        </row>
        <row r="4908">
          <cell r="AJ4908">
            <v>0</v>
          </cell>
          <cell r="AP4908">
            <v>0</v>
          </cell>
        </row>
        <row r="4909">
          <cell r="AJ4909">
            <v>0</v>
          </cell>
          <cell r="AP4909">
            <v>0</v>
          </cell>
        </row>
        <row r="4910">
          <cell r="AJ4910">
            <v>0</v>
          </cell>
          <cell r="AP4910">
            <v>0</v>
          </cell>
        </row>
        <row r="4911">
          <cell r="AJ4911">
            <v>0</v>
          </cell>
          <cell r="AP4911">
            <v>0</v>
          </cell>
        </row>
        <row r="4912">
          <cell r="AJ4912">
            <v>0</v>
          </cell>
          <cell r="AP4912">
            <v>0</v>
          </cell>
        </row>
        <row r="4913">
          <cell r="AJ4913">
            <v>0</v>
          </cell>
          <cell r="AP4913">
            <v>0</v>
          </cell>
        </row>
        <row r="4914">
          <cell r="AJ4914">
            <v>0</v>
          </cell>
          <cell r="AP4914">
            <v>0</v>
          </cell>
        </row>
        <row r="4915">
          <cell r="AJ4915">
            <v>0</v>
          </cell>
          <cell r="AP4915">
            <v>0</v>
          </cell>
        </row>
        <row r="4916">
          <cell r="AJ4916">
            <v>0</v>
          </cell>
          <cell r="AP4916">
            <v>0</v>
          </cell>
        </row>
        <row r="4917">
          <cell r="AJ4917">
            <v>0</v>
          </cell>
          <cell r="AP4917">
            <v>0</v>
          </cell>
        </row>
        <row r="4918">
          <cell r="AJ4918">
            <v>0</v>
          </cell>
          <cell r="AP4918">
            <v>0</v>
          </cell>
        </row>
        <row r="4919">
          <cell r="AJ4919">
            <v>0</v>
          </cell>
          <cell r="AP4919">
            <v>0</v>
          </cell>
        </row>
        <row r="4920">
          <cell r="AJ4920">
            <v>0</v>
          </cell>
          <cell r="AP4920">
            <v>0</v>
          </cell>
        </row>
        <row r="4921">
          <cell r="AJ4921">
            <v>0</v>
          </cell>
          <cell r="AP4921">
            <v>0</v>
          </cell>
        </row>
        <row r="4922">
          <cell r="AJ4922">
            <v>0</v>
          </cell>
          <cell r="AP4922">
            <v>0</v>
          </cell>
        </row>
        <row r="4923">
          <cell r="AJ4923">
            <v>0</v>
          </cell>
          <cell r="AP4923">
            <v>0</v>
          </cell>
        </row>
        <row r="4924">
          <cell r="AJ4924">
            <v>0</v>
          </cell>
          <cell r="AP4924">
            <v>0</v>
          </cell>
        </row>
        <row r="4925">
          <cell r="AJ4925">
            <v>0</v>
          </cell>
          <cell r="AP4925">
            <v>0</v>
          </cell>
        </row>
        <row r="4926">
          <cell r="AJ4926">
            <v>0</v>
          </cell>
          <cell r="AP4926">
            <v>0</v>
          </cell>
        </row>
        <row r="4927">
          <cell r="AJ4927">
            <v>0</v>
          </cell>
          <cell r="AP4927">
            <v>0</v>
          </cell>
        </row>
        <row r="4928">
          <cell r="AJ4928">
            <v>0</v>
          </cell>
          <cell r="AP4928">
            <v>0</v>
          </cell>
        </row>
        <row r="4929">
          <cell r="AJ4929">
            <v>0</v>
          </cell>
          <cell r="AP4929">
            <v>0</v>
          </cell>
        </row>
        <row r="4930">
          <cell r="AJ4930">
            <v>0</v>
          </cell>
          <cell r="AP4930">
            <v>0</v>
          </cell>
        </row>
        <row r="4931">
          <cell r="AJ4931">
            <v>0</v>
          </cell>
          <cell r="AP4931">
            <v>0</v>
          </cell>
        </row>
        <row r="4932">
          <cell r="AJ4932">
            <v>0</v>
          </cell>
          <cell r="AP4932">
            <v>0</v>
          </cell>
        </row>
        <row r="4933">
          <cell r="AJ4933">
            <v>0</v>
          </cell>
          <cell r="AP4933">
            <v>0</v>
          </cell>
        </row>
        <row r="4934">
          <cell r="AJ4934">
            <v>0</v>
          </cell>
          <cell r="AP4934">
            <v>0</v>
          </cell>
        </row>
        <row r="4935">
          <cell r="AJ4935">
            <v>0</v>
          </cell>
          <cell r="AP4935">
            <v>0</v>
          </cell>
        </row>
        <row r="4936">
          <cell r="AJ4936">
            <v>0</v>
          </cell>
          <cell r="AP4936">
            <v>0</v>
          </cell>
        </row>
        <row r="4937">
          <cell r="AJ4937">
            <v>0</v>
          </cell>
          <cell r="AP4937">
            <v>0</v>
          </cell>
        </row>
        <row r="4938">
          <cell r="AJ4938">
            <v>0</v>
          </cell>
          <cell r="AP4938">
            <v>0</v>
          </cell>
        </row>
        <row r="4939">
          <cell r="AJ4939">
            <v>0</v>
          </cell>
          <cell r="AP4939">
            <v>0</v>
          </cell>
        </row>
        <row r="4940">
          <cell r="AJ4940">
            <v>0</v>
          </cell>
          <cell r="AP4940">
            <v>0</v>
          </cell>
        </row>
        <row r="4941">
          <cell r="AJ4941">
            <v>0</v>
          </cell>
          <cell r="AP4941">
            <v>0</v>
          </cell>
        </row>
        <row r="4942">
          <cell r="AJ4942">
            <v>0</v>
          </cell>
          <cell r="AP4942">
            <v>0</v>
          </cell>
        </row>
        <row r="4943">
          <cell r="AJ4943">
            <v>0</v>
          </cell>
          <cell r="AP4943">
            <v>0</v>
          </cell>
        </row>
        <row r="4944">
          <cell r="AJ4944">
            <v>0</v>
          </cell>
          <cell r="AP4944">
            <v>0</v>
          </cell>
        </row>
        <row r="4945">
          <cell r="AJ4945">
            <v>0</v>
          </cell>
          <cell r="AP4945">
            <v>0</v>
          </cell>
        </row>
        <row r="4946">
          <cell r="AJ4946">
            <v>0</v>
          </cell>
          <cell r="AP4946">
            <v>0</v>
          </cell>
        </row>
        <row r="4947">
          <cell r="AJ4947">
            <v>0</v>
          </cell>
          <cell r="AP4947">
            <v>0</v>
          </cell>
        </row>
        <row r="4948">
          <cell r="AJ4948">
            <v>0</v>
          </cell>
          <cell r="AP4948">
            <v>0</v>
          </cell>
        </row>
        <row r="4949">
          <cell r="AJ4949">
            <v>0</v>
          </cell>
          <cell r="AP4949">
            <v>0</v>
          </cell>
        </row>
        <row r="4950">
          <cell r="AJ4950">
            <v>0</v>
          </cell>
          <cell r="AP4950">
            <v>0</v>
          </cell>
        </row>
        <row r="4951">
          <cell r="AJ4951">
            <v>0</v>
          </cell>
          <cell r="AP4951">
            <v>0</v>
          </cell>
        </row>
        <row r="4952">
          <cell r="AJ4952">
            <v>0</v>
          </cell>
          <cell r="AP4952">
            <v>0</v>
          </cell>
        </row>
        <row r="4953">
          <cell r="AJ4953">
            <v>0</v>
          </cell>
          <cell r="AP4953">
            <v>0</v>
          </cell>
        </row>
        <row r="4954">
          <cell r="AJ4954">
            <v>0</v>
          </cell>
          <cell r="AP4954">
            <v>0</v>
          </cell>
        </row>
        <row r="4955">
          <cell r="AJ4955">
            <v>0</v>
          </cell>
          <cell r="AP4955">
            <v>0</v>
          </cell>
        </row>
        <row r="4956">
          <cell r="AJ4956">
            <v>0</v>
          </cell>
          <cell r="AP4956">
            <v>0</v>
          </cell>
        </row>
        <row r="4957">
          <cell r="AJ4957">
            <v>0</v>
          </cell>
          <cell r="AP4957">
            <v>0</v>
          </cell>
        </row>
        <row r="4958">
          <cell r="AJ4958">
            <v>0</v>
          </cell>
          <cell r="AP4958">
            <v>0</v>
          </cell>
        </row>
        <row r="4959">
          <cell r="AJ4959">
            <v>0</v>
          </cell>
          <cell r="AP4959">
            <v>0</v>
          </cell>
        </row>
        <row r="4960">
          <cell r="AJ4960">
            <v>0</v>
          </cell>
          <cell r="AP4960">
            <v>0</v>
          </cell>
        </row>
        <row r="4961">
          <cell r="AJ4961">
            <v>0</v>
          </cell>
          <cell r="AP4961">
            <v>0</v>
          </cell>
        </row>
        <row r="4962">
          <cell r="AJ4962">
            <v>0</v>
          </cell>
          <cell r="AP4962">
            <v>0</v>
          </cell>
        </row>
        <row r="4963">
          <cell r="AJ4963">
            <v>0</v>
          </cell>
          <cell r="AP4963">
            <v>0</v>
          </cell>
        </row>
        <row r="4964">
          <cell r="AJ4964">
            <v>0</v>
          </cell>
          <cell r="AP4964">
            <v>0</v>
          </cell>
        </row>
        <row r="4965">
          <cell r="AJ4965">
            <v>0</v>
          </cell>
          <cell r="AP4965">
            <v>0</v>
          </cell>
        </row>
        <row r="4966">
          <cell r="AJ4966">
            <v>0</v>
          </cell>
          <cell r="AP4966">
            <v>0</v>
          </cell>
        </row>
        <row r="4967">
          <cell r="AJ4967">
            <v>0</v>
          </cell>
          <cell r="AP4967">
            <v>0</v>
          </cell>
        </row>
        <row r="4968">
          <cell r="AJ4968">
            <v>0</v>
          </cell>
          <cell r="AP4968">
            <v>0</v>
          </cell>
        </row>
        <row r="4969">
          <cell r="AJ4969">
            <v>0</v>
          </cell>
          <cell r="AP4969">
            <v>0</v>
          </cell>
        </row>
        <row r="4970">
          <cell r="AJ4970">
            <v>0</v>
          </cell>
          <cell r="AP4970">
            <v>0</v>
          </cell>
        </row>
        <row r="4971">
          <cell r="AJ4971">
            <v>0</v>
          </cell>
          <cell r="AP4971">
            <v>0</v>
          </cell>
        </row>
        <row r="4972">
          <cell r="AJ4972">
            <v>0</v>
          </cell>
          <cell r="AP4972">
            <v>0</v>
          </cell>
        </row>
        <row r="4973">
          <cell r="AJ4973">
            <v>0</v>
          </cell>
          <cell r="AP4973">
            <v>0</v>
          </cell>
        </row>
        <row r="4974">
          <cell r="AJ4974">
            <v>0</v>
          </cell>
          <cell r="AP4974">
            <v>0</v>
          </cell>
        </row>
        <row r="4975">
          <cell r="AJ4975">
            <v>0</v>
          </cell>
          <cell r="AP4975">
            <v>0</v>
          </cell>
        </row>
        <row r="4976">
          <cell r="AJ4976">
            <v>0</v>
          </cell>
          <cell r="AP4976">
            <v>0</v>
          </cell>
        </row>
        <row r="4977">
          <cell r="AJ4977">
            <v>0</v>
          </cell>
          <cell r="AP4977">
            <v>0</v>
          </cell>
        </row>
        <row r="4978">
          <cell r="AJ4978">
            <v>0</v>
          </cell>
          <cell r="AP4978">
            <v>0</v>
          </cell>
        </row>
        <row r="4979">
          <cell r="AJ4979">
            <v>0</v>
          </cell>
          <cell r="AP4979">
            <v>0</v>
          </cell>
        </row>
        <row r="4980">
          <cell r="AJ4980">
            <v>0</v>
          </cell>
          <cell r="AP4980">
            <v>0</v>
          </cell>
        </row>
        <row r="4981">
          <cell r="AJ4981">
            <v>0</v>
          </cell>
          <cell r="AP4981">
            <v>0</v>
          </cell>
        </row>
        <row r="4982">
          <cell r="AJ4982">
            <v>0</v>
          </cell>
          <cell r="AP4982">
            <v>0</v>
          </cell>
        </row>
        <row r="4983">
          <cell r="AJ4983">
            <v>0</v>
          </cell>
          <cell r="AP4983">
            <v>0</v>
          </cell>
        </row>
        <row r="4984">
          <cell r="AJ4984">
            <v>0</v>
          </cell>
          <cell r="AP4984">
            <v>0</v>
          </cell>
        </row>
        <row r="4985">
          <cell r="AJ4985">
            <v>0</v>
          </cell>
          <cell r="AP4985">
            <v>0</v>
          </cell>
        </row>
        <row r="4986">
          <cell r="AJ4986">
            <v>0</v>
          </cell>
          <cell r="AP4986">
            <v>0</v>
          </cell>
        </row>
        <row r="4987">
          <cell r="AJ4987">
            <v>0</v>
          </cell>
          <cell r="AP4987">
            <v>0</v>
          </cell>
        </row>
        <row r="4988">
          <cell r="AJ4988">
            <v>0</v>
          </cell>
          <cell r="AP4988">
            <v>0</v>
          </cell>
        </row>
        <row r="4989">
          <cell r="AJ4989">
            <v>0</v>
          </cell>
          <cell r="AP4989">
            <v>0</v>
          </cell>
        </row>
        <row r="4990">
          <cell r="AJ4990">
            <v>0</v>
          </cell>
          <cell r="AP4990">
            <v>0</v>
          </cell>
        </row>
        <row r="4991">
          <cell r="AJ4991">
            <v>0</v>
          </cell>
          <cell r="AP4991">
            <v>0</v>
          </cell>
        </row>
        <row r="4992">
          <cell r="AJ4992">
            <v>0</v>
          </cell>
          <cell r="AP4992">
            <v>0</v>
          </cell>
        </row>
        <row r="4993">
          <cell r="AJ4993">
            <v>0</v>
          </cell>
          <cell r="AP4993">
            <v>0</v>
          </cell>
        </row>
        <row r="4994">
          <cell r="AJ4994">
            <v>0</v>
          </cell>
          <cell r="AP4994">
            <v>0</v>
          </cell>
        </row>
        <row r="4995">
          <cell r="AJ4995">
            <v>0</v>
          </cell>
          <cell r="AP4995">
            <v>0</v>
          </cell>
        </row>
        <row r="4996">
          <cell r="AJ4996">
            <v>0</v>
          </cell>
          <cell r="AP4996">
            <v>0</v>
          </cell>
        </row>
        <row r="4997">
          <cell r="AJ4997">
            <v>0</v>
          </cell>
          <cell r="AP4997">
            <v>0</v>
          </cell>
        </row>
        <row r="4998">
          <cell r="AJ4998">
            <v>0</v>
          </cell>
          <cell r="AP4998">
            <v>0</v>
          </cell>
        </row>
        <row r="4999">
          <cell r="AJ4999">
            <v>0</v>
          </cell>
          <cell r="AP4999">
            <v>0</v>
          </cell>
        </row>
        <row r="5000">
          <cell r="AJ5000">
            <v>0</v>
          </cell>
          <cell r="AP5000">
            <v>0</v>
          </cell>
        </row>
        <row r="5001">
          <cell r="AJ5001">
            <v>0</v>
          </cell>
          <cell r="AP5001">
            <v>0</v>
          </cell>
        </row>
        <row r="5002">
          <cell r="AJ5002">
            <v>0</v>
          </cell>
          <cell r="AP5002">
            <v>0</v>
          </cell>
        </row>
        <row r="5003">
          <cell r="AJ5003">
            <v>0</v>
          </cell>
          <cell r="AP5003">
            <v>0</v>
          </cell>
        </row>
        <row r="5004">
          <cell r="AJ5004">
            <v>0</v>
          </cell>
          <cell r="AP5004">
            <v>0</v>
          </cell>
        </row>
        <row r="5005">
          <cell r="AJ5005">
            <v>0</v>
          </cell>
          <cell r="AP5005">
            <v>0</v>
          </cell>
        </row>
        <row r="5006">
          <cell r="AJ5006">
            <v>0</v>
          </cell>
          <cell r="AP5006">
            <v>0</v>
          </cell>
        </row>
        <row r="5007">
          <cell r="AJ5007">
            <v>0</v>
          </cell>
          <cell r="AP5007">
            <v>0</v>
          </cell>
        </row>
        <row r="5008">
          <cell r="AJ5008">
            <v>0</v>
          </cell>
          <cell r="AP5008">
            <v>0</v>
          </cell>
        </row>
        <row r="5009">
          <cell r="AJ5009">
            <v>0</v>
          </cell>
          <cell r="AP5009">
            <v>0</v>
          </cell>
        </row>
        <row r="5010">
          <cell r="AJ5010">
            <v>0</v>
          </cell>
          <cell r="AP5010">
            <v>0</v>
          </cell>
        </row>
        <row r="5011">
          <cell r="AJ5011">
            <v>0</v>
          </cell>
          <cell r="AP5011">
            <v>0</v>
          </cell>
        </row>
        <row r="5012">
          <cell r="AJ5012">
            <v>0</v>
          </cell>
          <cell r="AP5012">
            <v>0</v>
          </cell>
        </row>
        <row r="5013">
          <cell r="AJ5013">
            <v>0</v>
          </cell>
          <cell r="AP5013">
            <v>0</v>
          </cell>
        </row>
        <row r="5014">
          <cell r="AJ5014">
            <v>0</v>
          </cell>
          <cell r="AP5014">
            <v>0</v>
          </cell>
        </row>
        <row r="5015">
          <cell r="AJ5015">
            <v>0</v>
          </cell>
          <cell r="AP5015">
            <v>0</v>
          </cell>
        </row>
        <row r="5016">
          <cell r="AJ5016">
            <v>0</v>
          </cell>
          <cell r="AP5016">
            <v>0</v>
          </cell>
        </row>
        <row r="5017">
          <cell r="AJ5017">
            <v>0</v>
          </cell>
          <cell r="AP5017">
            <v>0</v>
          </cell>
        </row>
        <row r="5018">
          <cell r="AJ5018">
            <v>0</v>
          </cell>
          <cell r="AP5018">
            <v>0</v>
          </cell>
        </row>
        <row r="5019">
          <cell r="AJ5019">
            <v>0</v>
          </cell>
          <cell r="AP5019">
            <v>0</v>
          </cell>
        </row>
        <row r="5020">
          <cell r="AJ5020">
            <v>0</v>
          </cell>
          <cell r="AP5020">
            <v>0</v>
          </cell>
        </row>
        <row r="5021">
          <cell r="AJ5021">
            <v>0</v>
          </cell>
          <cell r="AP5021">
            <v>0</v>
          </cell>
        </row>
        <row r="5022">
          <cell r="AJ5022">
            <v>0</v>
          </cell>
          <cell r="AP5022">
            <v>0</v>
          </cell>
        </row>
        <row r="5023">
          <cell r="AJ5023">
            <v>0</v>
          </cell>
          <cell r="AP5023">
            <v>0</v>
          </cell>
        </row>
        <row r="5024">
          <cell r="AJ5024">
            <v>0</v>
          </cell>
          <cell r="AP5024">
            <v>0</v>
          </cell>
        </row>
        <row r="5025">
          <cell r="AJ5025">
            <v>0</v>
          </cell>
          <cell r="AP5025">
            <v>0</v>
          </cell>
        </row>
        <row r="5026">
          <cell r="AJ5026">
            <v>0</v>
          </cell>
          <cell r="AP5026">
            <v>0</v>
          </cell>
        </row>
        <row r="5027">
          <cell r="AJ5027">
            <v>0</v>
          </cell>
          <cell r="AP5027">
            <v>0</v>
          </cell>
        </row>
        <row r="5028">
          <cell r="AJ5028">
            <v>0</v>
          </cell>
          <cell r="AP5028">
            <v>0</v>
          </cell>
        </row>
        <row r="5029">
          <cell r="AJ5029">
            <v>0</v>
          </cell>
          <cell r="AP5029">
            <v>0</v>
          </cell>
        </row>
        <row r="5030">
          <cell r="AJ5030">
            <v>0</v>
          </cell>
          <cell r="AP5030">
            <v>0</v>
          </cell>
        </row>
        <row r="5031">
          <cell r="AJ5031">
            <v>0</v>
          </cell>
          <cell r="AP5031">
            <v>0</v>
          </cell>
        </row>
        <row r="5032">
          <cell r="AJ5032">
            <v>0</v>
          </cell>
          <cell r="AP5032">
            <v>0</v>
          </cell>
        </row>
        <row r="5033">
          <cell r="AJ5033">
            <v>0</v>
          </cell>
          <cell r="AP5033">
            <v>0</v>
          </cell>
        </row>
        <row r="5034">
          <cell r="AJ5034">
            <v>0</v>
          </cell>
          <cell r="AP5034">
            <v>0</v>
          </cell>
        </row>
        <row r="5035">
          <cell r="AJ5035">
            <v>0</v>
          </cell>
          <cell r="AP5035">
            <v>0</v>
          </cell>
        </row>
        <row r="5036">
          <cell r="AJ5036">
            <v>0</v>
          </cell>
          <cell r="AP5036">
            <v>0</v>
          </cell>
        </row>
        <row r="5037">
          <cell r="AJ5037">
            <v>0</v>
          </cell>
          <cell r="AP5037">
            <v>0</v>
          </cell>
        </row>
        <row r="5038">
          <cell r="AJ5038">
            <v>0</v>
          </cell>
          <cell r="AP5038">
            <v>0</v>
          </cell>
        </row>
        <row r="5039">
          <cell r="AJ5039">
            <v>0</v>
          </cell>
          <cell r="AP5039">
            <v>0</v>
          </cell>
        </row>
        <row r="5040">
          <cell r="AJ5040">
            <v>0</v>
          </cell>
          <cell r="AP5040">
            <v>0</v>
          </cell>
        </row>
        <row r="5041">
          <cell r="AJ5041">
            <v>0</v>
          </cell>
          <cell r="AP5041">
            <v>0</v>
          </cell>
        </row>
        <row r="5042">
          <cell r="AJ5042">
            <v>0</v>
          </cell>
          <cell r="AP5042">
            <v>0</v>
          </cell>
        </row>
        <row r="5043">
          <cell r="AJ5043">
            <v>0</v>
          </cell>
          <cell r="AP5043">
            <v>0</v>
          </cell>
        </row>
        <row r="5044">
          <cell r="AJ5044">
            <v>0</v>
          </cell>
          <cell r="AP5044">
            <v>0</v>
          </cell>
        </row>
        <row r="5045">
          <cell r="AJ5045">
            <v>0</v>
          </cell>
          <cell r="AP5045">
            <v>0</v>
          </cell>
        </row>
        <row r="5046">
          <cell r="AJ5046">
            <v>0</v>
          </cell>
          <cell r="AP5046">
            <v>0</v>
          </cell>
        </row>
        <row r="5047">
          <cell r="AJ5047">
            <v>0</v>
          </cell>
          <cell r="AP5047">
            <v>0</v>
          </cell>
        </row>
        <row r="5048">
          <cell r="AJ5048">
            <v>0</v>
          </cell>
          <cell r="AP5048">
            <v>0</v>
          </cell>
        </row>
        <row r="5049">
          <cell r="AJ5049">
            <v>0</v>
          </cell>
          <cell r="AP5049">
            <v>0</v>
          </cell>
        </row>
        <row r="5050">
          <cell r="AJ5050">
            <v>0</v>
          </cell>
          <cell r="AP5050">
            <v>0</v>
          </cell>
        </row>
        <row r="5051">
          <cell r="AJ5051">
            <v>0</v>
          </cell>
          <cell r="AP5051">
            <v>0</v>
          </cell>
        </row>
        <row r="5052">
          <cell r="AJ5052">
            <v>0</v>
          </cell>
          <cell r="AP5052">
            <v>0</v>
          </cell>
        </row>
        <row r="5053">
          <cell r="AJ5053">
            <v>0</v>
          </cell>
          <cell r="AP5053">
            <v>0</v>
          </cell>
        </row>
        <row r="5054">
          <cell r="AJ5054">
            <v>0</v>
          </cell>
          <cell r="AP5054">
            <v>0</v>
          </cell>
        </row>
        <row r="5055">
          <cell r="AJ5055">
            <v>0</v>
          </cell>
          <cell r="AP5055">
            <v>0</v>
          </cell>
        </row>
        <row r="5056">
          <cell r="AJ5056">
            <v>0</v>
          </cell>
          <cell r="AP5056">
            <v>0</v>
          </cell>
        </row>
        <row r="5057">
          <cell r="AJ5057">
            <v>0</v>
          </cell>
          <cell r="AP5057">
            <v>0</v>
          </cell>
        </row>
        <row r="5058">
          <cell r="AJ5058">
            <v>0</v>
          </cell>
          <cell r="AP5058">
            <v>0</v>
          </cell>
        </row>
        <row r="5059">
          <cell r="AJ5059">
            <v>0</v>
          </cell>
          <cell r="AP5059">
            <v>0</v>
          </cell>
        </row>
        <row r="5060">
          <cell r="AJ5060">
            <v>0</v>
          </cell>
          <cell r="AP5060">
            <v>0</v>
          </cell>
        </row>
        <row r="5061">
          <cell r="AJ5061">
            <v>0</v>
          </cell>
          <cell r="AP5061">
            <v>0</v>
          </cell>
        </row>
        <row r="5062">
          <cell r="AJ5062">
            <v>0</v>
          </cell>
          <cell r="AP5062">
            <v>0</v>
          </cell>
        </row>
        <row r="5063">
          <cell r="AJ5063">
            <v>0</v>
          </cell>
          <cell r="AP5063">
            <v>0</v>
          </cell>
        </row>
        <row r="5064">
          <cell r="AJ5064">
            <v>0</v>
          </cell>
          <cell r="AP5064">
            <v>0</v>
          </cell>
        </row>
        <row r="5065">
          <cell r="AJ5065">
            <v>0</v>
          </cell>
          <cell r="AP5065">
            <v>0</v>
          </cell>
        </row>
        <row r="5066">
          <cell r="AJ5066">
            <v>0</v>
          </cell>
          <cell r="AP5066">
            <v>0</v>
          </cell>
        </row>
        <row r="5067">
          <cell r="AJ5067">
            <v>0</v>
          </cell>
          <cell r="AP5067">
            <v>0</v>
          </cell>
        </row>
        <row r="5068">
          <cell r="AJ5068">
            <v>0</v>
          </cell>
          <cell r="AP5068">
            <v>0</v>
          </cell>
        </row>
        <row r="5069">
          <cell r="AJ5069">
            <v>0</v>
          </cell>
          <cell r="AP5069">
            <v>0</v>
          </cell>
        </row>
        <row r="5070">
          <cell r="AJ5070">
            <v>0</v>
          </cell>
          <cell r="AP5070">
            <v>0</v>
          </cell>
        </row>
        <row r="5071">
          <cell r="AJ5071">
            <v>0</v>
          </cell>
          <cell r="AP5071">
            <v>0</v>
          </cell>
        </row>
        <row r="5072">
          <cell r="AJ5072">
            <v>0</v>
          </cell>
          <cell r="AP5072">
            <v>0</v>
          </cell>
        </row>
        <row r="5073">
          <cell r="AJ5073">
            <v>0</v>
          </cell>
          <cell r="AP5073">
            <v>0</v>
          </cell>
        </row>
        <row r="5074">
          <cell r="AJ5074">
            <v>0</v>
          </cell>
          <cell r="AP5074">
            <v>0</v>
          </cell>
        </row>
        <row r="5075">
          <cell r="AJ5075">
            <v>0</v>
          </cell>
          <cell r="AP5075">
            <v>0</v>
          </cell>
        </row>
        <row r="5076">
          <cell r="AJ5076">
            <v>0</v>
          </cell>
          <cell r="AP5076">
            <v>0</v>
          </cell>
        </row>
        <row r="5077">
          <cell r="AJ5077">
            <v>0</v>
          </cell>
          <cell r="AP5077">
            <v>0</v>
          </cell>
        </row>
        <row r="5078">
          <cell r="AJ5078">
            <v>0</v>
          </cell>
          <cell r="AP5078">
            <v>0</v>
          </cell>
        </row>
        <row r="5079">
          <cell r="AJ5079">
            <v>0</v>
          </cell>
          <cell r="AP5079">
            <v>0</v>
          </cell>
        </row>
        <row r="5080">
          <cell r="AJ5080">
            <v>0</v>
          </cell>
          <cell r="AP5080">
            <v>0</v>
          </cell>
        </row>
        <row r="5081">
          <cell r="AJ5081">
            <v>0</v>
          </cell>
          <cell r="AP5081">
            <v>0</v>
          </cell>
        </row>
        <row r="5082">
          <cell r="AJ5082">
            <v>0</v>
          </cell>
          <cell r="AP5082">
            <v>0</v>
          </cell>
        </row>
        <row r="5083">
          <cell r="AJ5083">
            <v>0</v>
          </cell>
          <cell r="AP5083">
            <v>0</v>
          </cell>
        </row>
        <row r="5084">
          <cell r="AJ5084">
            <v>0</v>
          </cell>
          <cell r="AP5084">
            <v>0</v>
          </cell>
        </row>
        <row r="5085">
          <cell r="AJ5085">
            <v>0</v>
          </cell>
          <cell r="AP5085">
            <v>0</v>
          </cell>
        </row>
        <row r="5086">
          <cell r="AJ5086">
            <v>0</v>
          </cell>
          <cell r="AP5086">
            <v>0</v>
          </cell>
        </row>
        <row r="5087">
          <cell r="AJ5087">
            <v>0</v>
          </cell>
          <cell r="AP5087">
            <v>0</v>
          </cell>
        </row>
        <row r="5088">
          <cell r="AJ5088">
            <v>0</v>
          </cell>
          <cell r="AP5088">
            <v>0</v>
          </cell>
        </row>
        <row r="5089">
          <cell r="AJ5089">
            <v>0</v>
          </cell>
          <cell r="AP5089">
            <v>0</v>
          </cell>
        </row>
        <row r="5090">
          <cell r="AJ5090">
            <v>0</v>
          </cell>
          <cell r="AP5090">
            <v>0</v>
          </cell>
        </row>
        <row r="5091">
          <cell r="AJ5091">
            <v>0</v>
          </cell>
          <cell r="AP5091">
            <v>0</v>
          </cell>
        </row>
        <row r="5092">
          <cell r="AJ5092">
            <v>0</v>
          </cell>
          <cell r="AP5092">
            <v>0</v>
          </cell>
        </row>
        <row r="5093">
          <cell r="AJ5093">
            <v>0</v>
          </cell>
          <cell r="AP5093">
            <v>0</v>
          </cell>
        </row>
        <row r="5094">
          <cell r="AJ5094">
            <v>0</v>
          </cell>
          <cell r="AP5094">
            <v>0</v>
          </cell>
        </row>
        <row r="5095">
          <cell r="AJ5095">
            <v>0</v>
          </cell>
          <cell r="AP5095">
            <v>0</v>
          </cell>
        </row>
        <row r="5096">
          <cell r="AJ5096">
            <v>0</v>
          </cell>
          <cell r="AP5096">
            <v>0</v>
          </cell>
        </row>
        <row r="5097">
          <cell r="AJ5097">
            <v>0</v>
          </cell>
          <cell r="AP5097">
            <v>0</v>
          </cell>
        </row>
        <row r="5098">
          <cell r="AJ5098">
            <v>0</v>
          </cell>
          <cell r="AP5098">
            <v>0</v>
          </cell>
        </row>
        <row r="5099">
          <cell r="AJ5099">
            <v>0</v>
          </cell>
          <cell r="AP5099">
            <v>0</v>
          </cell>
        </row>
        <row r="5100">
          <cell r="AJ5100">
            <v>0</v>
          </cell>
          <cell r="AP5100">
            <v>0</v>
          </cell>
        </row>
        <row r="5101">
          <cell r="AJ5101">
            <v>0</v>
          </cell>
          <cell r="AP5101">
            <v>0</v>
          </cell>
        </row>
        <row r="5102">
          <cell r="AJ5102">
            <v>0</v>
          </cell>
          <cell r="AP5102">
            <v>0</v>
          </cell>
        </row>
        <row r="5103">
          <cell r="AJ5103">
            <v>0</v>
          </cell>
          <cell r="AP5103">
            <v>0</v>
          </cell>
        </row>
        <row r="5104">
          <cell r="AJ5104">
            <v>0</v>
          </cell>
          <cell r="AP5104">
            <v>0</v>
          </cell>
        </row>
        <row r="5105">
          <cell r="AJ5105">
            <v>0</v>
          </cell>
          <cell r="AP5105">
            <v>0</v>
          </cell>
        </row>
        <row r="5106">
          <cell r="AJ5106">
            <v>0</v>
          </cell>
          <cell r="AP5106">
            <v>0</v>
          </cell>
        </row>
        <row r="5107">
          <cell r="AJ5107">
            <v>0</v>
          </cell>
          <cell r="AP5107">
            <v>0</v>
          </cell>
        </row>
        <row r="5108">
          <cell r="AJ5108">
            <v>0</v>
          </cell>
          <cell r="AP5108">
            <v>0</v>
          </cell>
        </row>
        <row r="5109">
          <cell r="AJ5109">
            <v>0</v>
          </cell>
          <cell r="AP5109">
            <v>0</v>
          </cell>
        </row>
        <row r="5110">
          <cell r="AJ5110">
            <v>0</v>
          </cell>
          <cell r="AP5110">
            <v>0</v>
          </cell>
        </row>
        <row r="5111">
          <cell r="AJ5111">
            <v>0</v>
          </cell>
          <cell r="AP5111">
            <v>0</v>
          </cell>
        </row>
        <row r="5112">
          <cell r="AJ5112">
            <v>0</v>
          </cell>
          <cell r="AP5112">
            <v>0</v>
          </cell>
        </row>
        <row r="5113">
          <cell r="AJ5113">
            <v>0</v>
          </cell>
          <cell r="AP5113">
            <v>0</v>
          </cell>
        </row>
        <row r="5114">
          <cell r="AJ5114">
            <v>0</v>
          </cell>
          <cell r="AP5114">
            <v>0</v>
          </cell>
        </row>
        <row r="5115">
          <cell r="AJ5115">
            <v>0</v>
          </cell>
          <cell r="AP5115">
            <v>0</v>
          </cell>
        </row>
        <row r="5116">
          <cell r="AJ5116">
            <v>0</v>
          </cell>
          <cell r="AP5116">
            <v>0</v>
          </cell>
        </row>
        <row r="5117">
          <cell r="AJ5117">
            <v>0</v>
          </cell>
          <cell r="AP5117">
            <v>0</v>
          </cell>
        </row>
        <row r="5118">
          <cell r="AJ5118">
            <v>0</v>
          </cell>
          <cell r="AP5118">
            <v>0</v>
          </cell>
        </row>
        <row r="5119">
          <cell r="AJ5119">
            <v>0</v>
          </cell>
          <cell r="AP5119">
            <v>0</v>
          </cell>
        </row>
        <row r="5120">
          <cell r="AJ5120">
            <v>0</v>
          </cell>
          <cell r="AP5120">
            <v>0</v>
          </cell>
        </row>
        <row r="5121">
          <cell r="AJ5121">
            <v>0</v>
          </cell>
          <cell r="AP5121">
            <v>0</v>
          </cell>
        </row>
        <row r="5122">
          <cell r="AJ5122">
            <v>0</v>
          </cell>
          <cell r="AP5122">
            <v>0</v>
          </cell>
        </row>
        <row r="5123">
          <cell r="AJ5123">
            <v>0</v>
          </cell>
          <cell r="AP5123">
            <v>0</v>
          </cell>
        </row>
        <row r="5124">
          <cell r="AJ5124">
            <v>0</v>
          </cell>
          <cell r="AP5124">
            <v>0</v>
          </cell>
        </row>
        <row r="5125">
          <cell r="AJ5125">
            <v>0</v>
          </cell>
          <cell r="AP5125">
            <v>0</v>
          </cell>
        </row>
        <row r="5126">
          <cell r="AJ5126">
            <v>0</v>
          </cell>
          <cell r="AP5126">
            <v>0</v>
          </cell>
        </row>
        <row r="5127">
          <cell r="AJ5127">
            <v>0</v>
          </cell>
          <cell r="AP5127">
            <v>0</v>
          </cell>
        </row>
        <row r="5128">
          <cell r="AJ5128">
            <v>0</v>
          </cell>
          <cell r="AP5128">
            <v>0</v>
          </cell>
        </row>
        <row r="5129">
          <cell r="AJ5129">
            <v>0</v>
          </cell>
          <cell r="AP5129">
            <v>0</v>
          </cell>
        </row>
        <row r="5130">
          <cell r="AJ5130">
            <v>0</v>
          </cell>
          <cell r="AP5130">
            <v>0</v>
          </cell>
        </row>
        <row r="5131">
          <cell r="AJ5131">
            <v>0</v>
          </cell>
          <cell r="AP5131">
            <v>0</v>
          </cell>
        </row>
        <row r="5132">
          <cell r="AJ5132">
            <v>0</v>
          </cell>
          <cell r="AP5132">
            <v>0</v>
          </cell>
        </row>
        <row r="5133">
          <cell r="AJ5133">
            <v>0</v>
          </cell>
          <cell r="AP5133">
            <v>0</v>
          </cell>
        </row>
        <row r="5134">
          <cell r="AJ5134">
            <v>0</v>
          </cell>
          <cell r="AP5134">
            <v>0</v>
          </cell>
        </row>
        <row r="5135">
          <cell r="AJ5135">
            <v>0</v>
          </cell>
          <cell r="AP5135">
            <v>0</v>
          </cell>
        </row>
        <row r="5136">
          <cell r="AJ5136">
            <v>0</v>
          </cell>
          <cell r="AP5136">
            <v>0</v>
          </cell>
        </row>
        <row r="5137">
          <cell r="AJ5137">
            <v>0</v>
          </cell>
          <cell r="AP5137">
            <v>0</v>
          </cell>
        </row>
        <row r="5138">
          <cell r="AJ5138">
            <v>0</v>
          </cell>
          <cell r="AP5138">
            <v>0</v>
          </cell>
        </row>
        <row r="5139">
          <cell r="AJ5139">
            <v>0</v>
          </cell>
          <cell r="AP5139">
            <v>0</v>
          </cell>
        </row>
        <row r="5140">
          <cell r="AJ5140">
            <v>0</v>
          </cell>
          <cell r="AP5140">
            <v>0</v>
          </cell>
        </row>
        <row r="5141">
          <cell r="AJ5141">
            <v>0</v>
          </cell>
          <cell r="AP5141">
            <v>0</v>
          </cell>
        </row>
        <row r="5142">
          <cell r="AJ5142">
            <v>0</v>
          </cell>
          <cell r="AP5142">
            <v>0</v>
          </cell>
        </row>
        <row r="5143">
          <cell r="AJ5143">
            <v>0</v>
          </cell>
          <cell r="AP5143">
            <v>0</v>
          </cell>
        </row>
        <row r="5144">
          <cell r="AJ5144">
            <v>0</v>
          </cell>
          <cell r="AP5144">
            <v>0</v>
          </cell>
        </row>
        <row r="5145">
          <cell r="AJ5145">
            <v>0</v>
          </cell>
          <cell r="AP5145">
            <v>0</v>
          </cell>
        </row>
        <row r="5146">
          <cell r="AJ5146">
            <v>0</v>
          </cell>
          <cell r="AP5146">
            <v>0</v>
          </cell>
        </row>
        <row r="5147">
          <cell r="AJ5147">
            <v>0</v>
          </cell>
          <cell r="AP5147">
            <v>0</v>
          </cell>
        </row>
        <row r="5148">
          <cell r="AJ5148">
            <v>0</v>
          </cell>
          <cell r="AP5148">
            <v>0</v>
          </cell>
        </row>
        <row r="5149">
          <cell r="AJ5149">
            <v>0</v>
          </cell>
          <cell r="AP5149">
            <v>0</v>
          </cell>
        </row>
        <row r="5150">
          <cell r="AJ5150">
            <v>0</v>
          </cell>
          <cell r="AP5150">
            <v>0</v>
          </cell>
        </row>
        <row r="5151">
          <cell r="AJ5151">
            <v>0</v>
          </cell>
          <cell r="AP5151">
            <v>0</v>
          </cell>
        </row>
        <row r="5152">
          <cell r="AJ5152">
            <v>0</v>
          </cell>
          <cell r="AP5152">
            <v>0</v>
          </cell>
        </row>
        <row r="5153">
          <cell r="AJ5153">
            <v>0</v>
          </cell>
          <cell r="AP5153">
            <v>0</v>
          </cell>
        </row>
        <row r="5154">
          <cell r="AJ5154">
            <v>0</v>
          </cell>
          <cell r="AP5154">
            <v>0</v>
          </cell>
        </row>
        <row r="5155">
          <cell r="AJ5155">
            <v>0</v>
          </cell>
          <cell r="AP5155">
            <v>0</v>
          </cell>
        </row>
        <row r="5156">
          <cell r="AJ5156">
            <v>0</v>
          </cell>
          <cell r="AP5156">
            <v>0</v>
          </cell>
        </row>
        <row r="5157">
          <cell r="AJ5157">
            <v>0</v>
          </cell>
          <cell r="AP5157">
            <v>0</v>
          </cell>
        </row>
        <row r="5158">
          <cell r="AJ5158">
            <v>0</v>
          </cell>
          <cell r="AP5158">
            <v>0</v>
          </cell>
        </row>
        <row r="5159">
          <cell r="AJ5159">
            <v>0</v>
          </cell>
          <cell r="AP5159">
            <v>0</v>
          </cell>
        </row>
        <row r="5160">
          <cell r="AJ5160">
            <v>0</v>
          </cell>
          <cell r="AP5160">
            <v>0</v>
          </cell>
        </row>
        <row r="5161">
          <cell r="AJ5161">
            <v>0</v>
          </cell>
          <cell r="AP5161">
            <v>0</v>
          </cell>
        </row>
        <row r="5162">
          <cell r="AJ5162">
            <v>0</v>
          </cell>
          <cell r="AP5162">
            <v>0</v>
          </cell>
        </row>
        <row r="5163">
          <cell r="AJ5163">
            <v>0</v>
          </cell>
          <cell r="AP5163">
            <v>0</v>
          </cell>
        </row>
        <row r="5164">
          <cell r="AJ5164">
            <v>0</v>
          </cell>
          <cell r="AP5164">
            <v>0</v>
          </cell>
        </row>
        <row r="5165">
          <cell r="AJ5165">
            <v>0</v>
          </cell>
          <cell r="AP5165">
            <v>0</v>
          </cell>
        </row>
        <row r="5166">
          <cell r="AJ5166">
            <v>0</v>
          </cell>
          <cell r="AP5166">
            <v>0</v>
          </cell>
        </row>
        <row r="5167">
          <cell r="AJ5167">
            <v>0</v>
          </cell>
          <cell r="AP5167">
            <v>0</v>
          </cell>
        </row>
        <row r="5168">
          <cell r="AJ5168">
            <v>0</v>
          </cell>
          <cell r="AP5168">
            <v>0</v>
          </cell>
        </row>
        <row r="5169">
          <cell r="AJ5169">
            <v>0</v>
          </cell>
          <cell r="AP5169">
            <v>0</v>
          </cell>
        </row>
        <row r="5170">
          <cell r="AJ5170">
            <v>0</v>
          </cell>
          <cell r="AP5170">
            <v>0</v>
          </cell>
        </row>
        <row r="5171">
          <cell r="AJ5171">
            <v>0</v>
          </cell>
          <cell r="AP5171">
            <v>0</v>
          </cell>
        </row>
        <row r="5172">
          <cell r="AJ5172">
            <v>0</v>
          </cell>
          <cell r="AP5172">
            <v>0</v>
          </cell>
        </row>
        <row r="5173">
          <cell r="AJ5173">
            <v>0</v>
          </cell>
          <cell r="AP5173">
            <v>0</v>
          </cell>
        </row>
        <row r="5174">
          <cell r="AJ5174">
            <v>0</v>
          </cell>
          <cell r="AP5174">
            <v>0</v>
          </cell>
        </row>
        <row r="5175">
          <cell r="AJ5175">
            <v>0</v>
          </cell>
          <cell r="AP5175">
            <v>0</v>
          </cell>
        </row>
        <row r="5176">
          <cell r="AJ5176">
            <v>0</v>
          </cell>
          <cell r="AP5176">
            <v>0</v>
          </cell>
        </row>
        <row r="5177">
          <cell r="AJ5177">
            <v>0</v>
          </cell>
          <cell r="AP5177">
            <v>0</v>
          </cell>
        </row>
        <row r="5178">
          <cell r="AJ5178">
            <v>0</v>
          </cell>
          <cell r="AP5178">
            <v>0</v>
          </cell>
        </row>
        <row r="5179">
          <cell r="AJ5179">
            <v>0</v>
          </cell>
          <cell r="AP5179">
            <v>0</v>
          </cell>
        </row>
        <row r="5180">
          <cell r="AJ5180">
            <v>0</v>
          </cell>
          <cell r="AP5180">
            <v>0</v>
          </cell>
        </row>
        <row r="5181">
          <cell r="AJ5181">
            <v>0</v>
          </cell>
          <cell r="AP5181">
            <v>0</v>
          </cell>
        </row>
        <row r="5182">
          <cell r="AJ5182">
            <v>0</v>
          </cell>
          <cell r="AP5182">
            <v>0</v>
          </cell>
        </row>
        <row r="5183">
          <cell r="AJ5183">
            <v>0</v>
          </cell>
          <cell r="AP5183">
            <v>0</v>
          </cell>
        </row>
        <row r="5184">
          <cell r="AJ5184">
            <v>0</v>
          </cell>
          <cell r="AP5184">
            <v>0</v>
          </cell>
        </row>
        <row r="5185">
          <cell r="AJ5185">
            <v>0</v>
          </cell>
          <cell r="AP5185">
            <v>0</v>
          </cell>
        </row>
        <row r="5186">
          <cell r="AJ5186">
            <v>0</v>
          </cell>
          <cell r="AP5186">
            <v>0</v>
          </cell>
        </row>
        <row r="5187">
          <cell r="AJ5187">
            <v>0</v>
          </cell>
          <cell r="AP5187">
            <v>0</v>
          </cell>
        </row>
        <row r="5188">
          <cell r="AJ5188">
            <v>0</v>
          </cell>
          <cell r="AP5188">
            <v>0</v>
          </cell>
        </row>
        <row r="5189">
          <cell r="AJ5189">
            <v>0</v>
          </cell>
          <cell r="AP5189">
            <v>0</v>
          </cell>
        </row>
        <row r="5190">
          <cell r="AJ5190">
            <v>0</v>
          </cell>
          <cell r="AP5190">
            <v>0</v>
          </cell>
        </row>
        <row r="5191">
          <cell r="AJ5191">
            <v>0</v>
          </cell>
          <cell r="AP5191">
            <v>0</v>
          </cell>
        </row>
        <row r="5192">
          <cell r="AJ5192">
            <v>0</v>
          </cell>
          <cell r="AP5192">
            <v>0</v>
          </cell>
        </row>
        <row r="5193">
          <cell r="AJ5193">
            <v>0</v>
          </cell>
          <cell r="AP5193">
            <v>0</v>
          </cell>
        </row>
        <row r="5194">
          <cell r="AJ5194">
            <v>0</v>
          </cell>
          <cell r="AP5194">
            <v>0</v>
          </cell>
        </row>
        <row r="5195">
          <cell r="AJ5195">
            <v>0</v>
          </cell>
          <cell r="AP5195">
            <v>0</v>
          </cell>
        </row>
        <row r="5196">
          <cell r="AJ5196">
            <v>0</v>
          </cell>
          <cell r="AP5196">
            <v>0</v>
          </cell>
        </row>
        <row r="5197">
          <cell r="AJ5197">
            <v>0</v>
          </cell>
          <cell r="AP5197">
            <v>0</v>
          </cell>
        </row>
        <row r="5198">
          <cell r="AJ5198">
            <v>0</v>
          </cell>
          <cell r="AP5198">
            <v>0</v>
          </cell>
        </row>
        <row r="5199">
          <cell r="AJ5199">
            <v>0</v>
          </cell>
          <cell r="AP5199">
            <v>0</v>
          </cell>
        </row>
        <row r="5200">
          <cell r="AJ5200">
            <v>0</v>
          </cell>
          <cell r="AP5200">
            <v>0</v>
          </cell>
        </row>
        <row r="5201">
          <cell r="AJ5201">
            <v>0</v>
          </cell>
          <cell r="AP5201">
            <v>0</v>
          </cell>
        </row>
        <row r="5202">
          <cell r="AJ5202">
            <v>0</v>
          </cell>
          <cell r="AP5202">
            <v>0</v>
          </cell>
        </row>
        <row r="5203">
          <cell r="AJ5203">
            <v>0</v>
          </cell>
          <cell r="AP5203">
            <v>0</v>
          </cell>
        </row>
        <row r="5204">
          <cell r="AJ5204">
            <v>0</v>
          </cell>
          <cell r="AP5204">
            <v>0</v>
          </cell>
        </row>
        <row r="5205">
          <cell r="AJ5205">
            <v>0</v>
          </cell>
          <cell r="AP5205">
            <v>0</v>
          </cell>
        </row>
        <row r="5206">
          <cell r="AJ5206">
            <v>0</v>
          </cell>
          <cell r="AP5206">
            <v>0</v>
          </cell>
        </row>
        <row r="5207">
          <cell r="AJ5207">
            <v>0</v>
          </cell>
          <cell r="AP5207">
            <v>0</v>
          </cell>
        </row>
        <row r="5208">
          <cell r="AJ5208">
            <v>0</v>
          </cell>
          <cell r="AP5208">
            <v>0</v>
          </cell>
        </row>
        <row r="5209">
          <cell r="AJ5209">
            <v>0</v>
          </cell>
          <cell r="AP5209">
            <v>0</v>
          </cell>
        </row>
        <row r="5210">
          <cell r="AJ5210">
            <v>0</v>
          </cell>
          <cell r="AP5210">
            <v>0</v>
          </cell>
        </row>
        <row r="5211">
          <cell r="AJ5211">
            <v>0</v>
          </cell>
          <cell r="AP5211">
            <v>0</v>
          </cell>
        </row>
        <row r="5212">
          <cell r="AJ5212">
            <v>0</v>
          </cell>
          <cell r="AP5212">
            <v>0</v>
          </cell>
        </row>
        <row r="5213">
          <cell r="AJ5213">
            <v>0</v>
          </cell>
          <cell r="AP5213">
            <v>0</v>
          </cell>
        </row>
        <row r="5214">
          <cell r="AJ5214">
            <v>0</v>
          </cell>
          <cell r="AP5214">
            <v>0</v>
          </cell>
        </row>
        <row r="5215">
          <cell r="AJ5215">
            <v>0</v>
          </cell>
          <cell r="AP5215">
            <v>0</v>
          </cell>
        </row>
        <row r="5216">
          <cell r="AJ5216">
            <v>0</v>
          </cell>
          <cell r="AP5216">
            <v>0</v>
          </cell>
        </row>
        <row r="5217">
          <cell r="AJ5217">
            <v>0</v>
          </cell>
          <cell r="AP5217">
            <v>0</v>
          </cell>
        </row>
        <row r="5218">
          <cell r="AJ5218">
            <v>0</v>
          </cell>
          <cell r="AP5218">
            <v>0</v>
          </cell>
        </row>
        <row r="5219">
          <cell r="AJ5219">
            <v>0</v>
          </cell>
          <cell r="AP5219">
            <v>0</v>
          </cell>
        </row>
        <row r="5220">
          <cell r="AJ5220">
            <v>0</v>
          </cell>
          <cell r="AP5220">
            <v>0</v>
          </cell>
        </row>
        <row r="5221">
          <cell r="AJ5221">
            <v>0</v>
          </cell>
          <cell r="AP5221">
            <v>0</v>
          </cell>
        </row>
        <row r="5222">
          <cell r="AJ5222">
            <v>0</v>
          </cell>
          <cell r="AP5222">
            <v>0</v>
          </cell>
        </row>
        <row r="5223">
          <cell r="AJ5223">
            <v>0</v>
          </cell>
          <cell r="AP5223">
            <v>0</v>
          </cell>
        </row>
      </sheetData>
      <sheetData sheetId="2" refreshError="1"/>
      <sheetData sheetId="3" refreshError="1"/>
    </sheetDataSet>
  </externalBook>
</externalLink>
</file>

<file path=xl/externalLinks/externalLink1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PERIMETR"/>
      <sheetName val="Ecarts conv récap"/>
      <sheetName val="Ecarts conversion 1204"/>
      <sheetName val="cdcam 1204 version calcul"/>
      <sheetName val="cdcam 1204 version calcul (2)"/>
      <sheetName val="cdcam 0604"/>
      <sheetName val="provincia vida 1204"/>
      <sheetName val="Prévisol 1204"/>
      <sheetName val="Prévisol Vida 1204"/>
      <sheetName val="Prévisol retiro 1204"/>
      <sheetName val="provincia vida 0604"/>
      <sheetName val="Prévisol 0604"/>
      <sheetName val="Prévisol Vida 0604"/>
      <sheetName val="Prévisol retiro 0604"/>
      <sheetName val="provincia vida 1203"/>
      <sheetName val="provincia vida 0603"/>
      <sheetName val="Prévisol 1203"/>
      <sheetName val="Prévisol Vida 1203"/>
      <sheetName val="Prévisol retiro 1203"/>
      <sheetName val="cdcam 1203"/>
      <sheetName val="Prévisol 0603"/>
      <sheetName val="Prévisol Vida 0603"/>
      <sheetName val="Prévisol retiro 0603"/>
      <sheetName val="cdc am"/>
      <sheetName val="cdcam 0603"/>
      <sheetName val="ecart conv 1202"/>
      <sheetName val="Ecarts conversion 0602"/>
      <sheetName val="Ecarts conversion 1201"/>
      <sheetName val="RECAP 99"/>
      <sheetName val="RECAP 00"/>
      <sheetName val="CARIVITA 1202"/>
      <sheetName val="SIT NETTE MEQ"/>
      <sheetName val="provincia vida 1202"/>
      <sheetName val="Prévisol 1202"/>
      <sheetName val="Prévisol Vida 1202"/>
      <sheetName val="Prévisol retiro 1202"/>
      <sheetName val="CARIVITA 0602"/>
      <sheetName val="provincia vida 0602"/>
      <sheetName val="Prévisol 0602"/>
      <sheetName val="Prévisol Vida 0602"/>
      <sheetName val="Prévisol retiro 0602"/>
      <sheetName val="CARIVITA 1201"/>
      <sheetName val="provincia vida 1201"/>
      <sheetName val="Prévisol 1201"/>
      <sheetName val="Prévisol Vida 1201"/>
      <sheetName val="Prévisol retiro 1201"/>
      <sheetName val="CARIVITA"/>
      <sheetName val="provincia vida 0601"/>
      <sheetName val="Prévisol 0601"/>
      <sheetName val="Prévisol Vida 0601"/>
      <sheetName val="Prévisol retiro 0601"/>
      <sheetName val="provincia vida 311200"/>
      <sheetName val="Prévisol 311200"/>
      <sheetName val="Prévisol Vida 311200"/>
      <sheetName val="Prévisol retiro 311200"/>
      <sheetName val="provincia vida 3006"/>
      <sheetName val="Prévisol 3006"/>
      <sheetName val="Prévisol Vida 3006"/>
      <sheetName val="Prévisol retiro 3006 "/>
      <sheetName val="provincia vida"/>
      <sheetName val="Prévisol"/>
      <sheetName val="Prévisol vida"/>
      <sheetName val="Prévisol Retiro"/>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Set>
  </externalBook>
</externalLink>
</file>

<file path=xl/externalLinks/externalLink1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EXPERTISE"/>
      <sheetName val="A5C13012"/>
      <sheetName val="BALANCE"/>
    </sheetNames>
    <sheetDataSet>
      <sheetData sheetId="0" refreshError="1">
        <row r="2">
          <cell r="B2" t="str">
            <v>I0130</v>
          </cell>
          <cell r="G2">
            <v>56500000</v>
          </cell>
        </row>
        <row r="3">
          <cell r="B3" t="str">
            <v>I0141</v>
          </cell>
          <cell r="G3">
            <v>22900000</v>
          </cell>
        </row>
        <row r="4">
          <cell r="B4" t="str">
            <v>I0146</v>
          </cell>
          <cell r="G4">
            <v>45000000</v>
          </cell>
        </row>
        <row r="5">
          <cell r="B5" t="str">
            <v>I0152</v>
          </cell>
          <cell r="G5">
            <v>38000000</v>
          </cell>
        </row>
        <row r="6">
          <cell r="B6" t="str">
            <v>I0155</v>
          </cell>
          <cell r="G6">
            <v>76000000</v>
          </cell>
        </row>
        <row r="7">
          <cell r="B7" t="str">
            <v>I0156</v>
          </cell>
          <cell r="G7">
            <v>67000000</v>
          </cell>
        </row>
        <row r="8">
          <cell r="B8" t="str">
            <v>I0159</v>
          </cell>
          <cell r="G8">
            <v>115000000</v>
          </cell>
        </row>
        <row r="9">
          <cell r="B9" t="str">
            <v>I0162</v>
          </cell>
          <cell r="G9">
            <v>22500000</v>
          </cell>
        </row>
        <row r="10">
          <cell r="B10" t="str">
            <v>I0164</v>
          </cell>
          <cell r="G10">
            <v>50000000</v>
          </cell>
        </row>
        <row r="11">
          <cell r="B11" t="str">
            <v>I0168</v>
          </cell>
          <cell r="G11">
            <v>65000000</v>
          </cell>
        </row>
        <row r="12">
          <cell r="B12" t="str">
            <v>I0170</v>
          </cell>
          <cell r="G12">
            <v>20500000</v>
          </cell>
        </row>
        <row r="13">
          <cell r="B13" t="str">
            <v>I0188</v>
          </cell>
          <cell r="G13">
            <v>35000000</v>
          </cell>
        </row>
        <row r="14">
          <cell r="B14" t="str">
            <v>I0192</v>
          </cell>
          <cell r="G14">
            <v>33200000.000000004</v>
          </cell>
        </row>
        <row r="15">
          <cell r="B15" t="str">
            <v>I0202</v>
          </cell>
          <cell r="G15">
            <v>34900000</v>
          </cell>
        </row>
        <row r="16">
          <cell r="B16" t="str">
            <v>I0242</v>
          </cell>
          <cell r="G16">
            <v>52000000</v>
          </cell>
        </row>
        <row r="17">
          <cell r="B17" t="str">
            <v>I0247</v>
          </cell>
          <cell r="G17">
            <v>17400000</v>
          </cell>
        </row>
        <row r="18">
          <cell r="B18" t="str">
            <v>I0267</v>
          </cell>
          <cell r="G18">
            <v>32000000</v>
          </cell>
        </row>
        <row r="19">
          <cell r="B19" t="str">
            <v>I0287</v>
          </cell>
          <cell r="G19">
            <v>26000000</v>
          </cell>
        </row>
        <row r="20">
          <cell r="B20" t="str">
            <v>I0289</v>
          </cell>
          <cell r="G20">
            <v>35000000</v>
          </cell>
        </row>
        <row r="21">
          <cell r="B21" t="str">
            <v>I0343</v>
          </cell>
          <cell r="G21">
            <v>28500000</v>
          </cell>
        </row>
        <row r="22">
          <cell r="B22" t="str">
            <v>I0355</v>
          </cell>
          <cell r="G22">
            <v>16700000</v>
          </cell>
        </row>
        <row r="23">
          <cell r="B23" t="str">
            <v>I0377</v>
          </cell>
          <cell r="G23">
            <v>30000000</v>
          </cell>
        </row>
        <row r="24">
          <cell r="B24" t="str">
            <v>I0401</v>
          </cell>
          <cell r="G24">
            <v>11600000</v>
          </cell>
        </row>
        <row r="25">
          <cell r="B25" t="str">
            <v>I0413</v>
          </cell>
          <cell r="G25">
            <v>7800000</v>
          </cell>
        </row>
        <row r="26">
          <cell r="B26" t="str">
            <v>I0416</v>
          </cell>
          <cell r="G26">
            <v>63000000</v>
          </cell>
        </row>
        <row r="27">
          <cell r="B27" t="str">
            <v>I0435</v>
          </cell>
          <cell r="G27">
            <v>84000000</v>
          </cell>
        </row>
        <row r="28">
          <cell r="B28" t="str">
            <v>I0436</v>
          </cell>
          <cell r="G28">
            <v>30600000</v>
          </cell>
        </row>
        <row r="29">
          <cell r="B29" t="str">
            <v>I0444</v>
          </cell>
          <cell r="G29">
            <v>26400000</v>
          </cell>
        </row>
        <row r="30">
          <cell r="B30" t="str">
            <v>I0445</v>
          </cell>
          <cell r="G30">
            <v>83500000</v>
          </cell>
        </row>
        <row r="31">
          <cell r="B31" t="str">
            <v>I0449</v>
          </cell>
          <cell r="G31">
            <v>63000000</v>
          </cell>
        </row>
        <row r="32">
          <cell r="B32" t="str">
            <v>I0455</v>
          </cell>
          <cell r="G32">
            <v>18800000</v>
          </cell>
        </row>
        <row r="33">
          <cell r="B33" t="str">
            <v>I0459</v>
          </cell>
          <cell r="G33">
            <v>67400000</v>
          </cell>
        </row>
        <row r="34">
          <cell r="B34" t="str">
            <v>I0460</v>
          </cell>
          <cell r="G34">
            <v>89100000</v>
          </cell>
        </row>
        <row r="35">
          <cell r="B35" t="str">
            <v>I0501</v>
          </cell>
          <cell r="G35">
            <v>72000000</v>
          </cell>
        </row>
        <row r="36">
          <cell r="B36" t="str">
            <v>F0080</v>
          </cell>
          <cell r="G36">
            <v>1190000</v>
          </cell>
        </row>
        <row r="37">
          <cell r="B37" t="str">
            <v>F0082</v>
          </cell>
          <cell r="G37">
            <v>7059000</v>
          </cell>
        </row>
        <row r="38">
          <cell r="B38" t="str">
            <v>F0083</v>
          </cell>
          <cell r="G38">
            <v>1500000</v>
          </cell>
        </row>
        <row r="39">
          <cell r="B39" t="str">
            <v>F0084</v>
          </cell>
          <cell r="G39">
            <v>5930000</v>
          </cell>
        </row>
        <row r="40">
          <cell r="B40" t="str">
            <v>F0087</v>
          </cell>
          <cell r="G40">
            <v>984000</v>
          </cell>
        </row>
        <row r="41">
          <cell r="B41" t="str">
            <v>F0089</v>
          </cell>
          <cell r="G41">
            <v>54560000</v>
          </cell>
        </row>
        <row r="42">
          <cell r="B42" t="str">
            <v>F0090</v>
          </cell>
          <cell r="G42">
            <v>33543999.999999996</v>
          </cell>
        </row>
        <row r="43">
          <cell r="B43" t="str">
            <v>F0091</v>
          </cell>
          <cell r="G43">
            <v>14650000</v>
          </cell>
        </row>
        <row r="44">
          <cell r="B44" t="str">
            <v>F0092</v>
          </cell>
          <cell r="G44">
            <v>3325999.9999999995</v>
          </cell>
        </row>
        <row r="45">
          <cell r="B45" t="str">
            <v>F0096</v>
          </cell>
          <cell r="G45">
            <v>3601000</v>
          </cell>
        </row>
        <row r="46">
          <cell r="B46" t="str">
            <v>F0099</v>
          </cell>
          <cell r="G46">
            <v>1532000</v>
          </cell>
        </row>
        <row r="47">
          <cell r="B47" t="str">
            <v>F0100</v>
          </cell>
          <cell r="G47">
            <v>17170000</v>
          </cell>
        </row>
        <row r="48">
          <cell r="B48" t="str">
            <v>F0104</v>
          </cell>
          <cell r="G48">
            <v>28370000</v>
          </cell>
        </row>
        <row r="49">
          <cell r="B49" t="str">
            <v>F0105</v>
          </cell>
          <cell r="G49">
            <v>2440000</v>
          </cell>
        </row>
        <row r="50">
          <cell r="B50" t="str">
            <v>F0107</v>
          </cell>
          <cell r="G50">
            <v>917000</v>
          </cell>
        </row>
        <row r="51">
          <cell r="B51" t="str">
            <v>F0108</v>
          </cell>
          <cell r="G51">
            <v>6570000</v>
          </cell>
        </row>
        <row r="52">
          <cell r="B52" t="str">
            <v>F0113</v>
          </cell>
          <cell r="G52">
            <v>7513999.9999999991</v>
          </cell>
        </row>
        <row r="53">
          <cell r="B53" t="str">
            <v>F0116</v>
          </cell>
          <cell r="G53">
            <v>2440000</v>
          </cell>
        </row>
        <row r="54">
          <cell r="B54" t="str">
            <v>F0119</v>
          </cell>
          <cell r="G54">
            <v>2429000.0000000005</v>
          </cell>
        </row>
        <row r="55">
          <cell r="B55" t="str">
            <v>F0122</v>
          </cell>
          <cell r="G55">
            <v>5087999.9999999991</v>
          </cell>
        </row>
        <row r="56">
          <cell r="B56" t="str">
            <v>F0123</v>
          </cell>
          <cell r="G56">
            <v>9009000</v>
          </cell>
        </row>
        <row r="57">
          <cell r="B57" t="str">
            <v>F0126</v>
          </cell>
          <cell r="G57">
            <v>1604000</v>
          </cell>
        </row>
        <row r="58">
          <cell r="B58" t="str">
            <v>F0130</v>
          </cell>
          <cell r="G58">
            <v>9550000</v>
          </cell>
        </row>
        <row r="59">
          <cell r="B59" t="str">
            <v>F0131</v>
          </cell>
          <cell r="G59">
            <v>786999.99999999988</v>
          </cell>
        </row>
        <row r="60">
          <cell r="B60" t="str">
            <v>F0132</v>
          </cell>
          <cell r="G60">
            <v>8060000.0000000009</v>
          </cell>
        </row>
        <row r="61">
          <cell r="B61" t="str">
            <v>F0133</v>
          </cell>
          <cell r="G61">
            <v>293000</v>
          </cell>
        </row>
        <row r="62">
          <cell r="B62" t="str">
            <v>F0139</v>
          </cell>
          <cell r="G62">
            <v>5830000</v>
          </cell>
        </row>
        <row r="63">
          <cell r="B63" t="str">
            <v>F0140</v>
          </cell>
          <cell r="G63">
            <v>2060000</v>
          </cell>
        </row>
        <row r="64">
          <cell r="B64" t="str">
            <v>F0142</v>
          </cell>
          <cell r="G64">
            <v>5645000</v>
          </cell>
        </row>
        <row r="65">
          <cell r="B65" t="str">
            <v>F0144</v>
          </cell>
          <cell r="G65">
            <v>1350000</v>
          </cell>
        </row>
        <row r="66">
          <cell r="B66" t="str">
            <v>F0145</v>
          </cell>
          <cell r="G66">
            <v>14405000</v>
          </cell>
        </row>
        <row r="67">
          <cell r="B67" t="str">
            <v>F0146</v>
          </cell>
          <cell r="G67">
            <v>7198000</v>
          </cell>
        </row>
        <row r="68">
          <cell r="B68" t="str">
            <v>F0147</v>
          </cell>
          <cell r="G68">
            <v>11750000</v>
          </cell>
        </row>
        <row r="69">
          <cell r="B69" t="str">
            <v>F0155</v>
          </cell>
          <cell r="G69">
            <v>11228000</v>
          </cell>
        </row>
        <row r="70">
          <cell r="B70" t="str">
            <v>F0160</v>
          </cell>
          <cell r="G70">
            <v>4499000</v>
          </cell>
        </row>
        <row r="71">
          <cell r="B71" t="str">
            <v>F0162</v>
          </cell>
          <cell r="G71">
            <v>6465000</v>
          </cell>
        </row>
        <row r="72">
          <cell r="B72" t="str">
            <v>F0163</v>
          </cell>
          <cell r="G72">
            <v>15550000</v>
          </cell>
        </row>
        <row r="73">
          <cell r="B73" t="str">
            <v>F0165</v>
          </cell>
          <cell r="G73">
            <v>2511000</v>
          </cell>
        </row>
        <row r="74">
          <cell r="B74" t="str">
            <v>F0166</v>
          </cell>
          <cell r="G74">
            <v>3975000</v>
          </cell>
        </row>
        <row r="75">
          <cell r="B75">
            <v>169</v>
          </cell>
          <cell r="G75">
            <v>0</v>
          </cell>
        </row>
        <row r="76">
          <cell r="B76" t="str">
            <v>F0178</v>
          </cell>
          <cell r="G76">
            <v>16810000</v>
          </cell>
        </row>
        <row r="77">
          <cell r="G77">
            <v>220000</v>
          </cell>
        </row>
        <row r="78">
          <cell r="B78" t="str">
            <v>F0181</v>
          </cell>
          <cell r="G78">
            <v>1950000</v>
          </cell>
        </row>
        <row r="79">
          <cell r="B79" t="str">
            <v>F0187</v>
          </cell>
          <cell r="G79">
            <v>3800000</v>
          </cell>
        </row>
        <row r="80">
          <cell r="B80" t="str">
            <v>F0188</v>
          </cell>
          <cell r="G80">
            <v>3440000</v>
          </cell>
        </row>
        <row r="81">
          <cell r="B81" t="str">
            <v>F0190</v>
          </cell>
          <cell r="G81">
            <v>18348000</v>
          </cell>
        </row>
        <row r="82">
          <cell r="B82" t="str">
            <v>F0193</v>
          </cell>
          <cell r="G82">
            <v>3668999.9999999995</v>
          </cell>
        </row>
        <row r="83">
          <cell r="B83" t="str">
            <v>F0199</v>
          </cell>
          <cell r="G83">
            <v>3971000</v>
          </cell>
        </row>
        <row r="84">
          <cell r="B84" t="str">
            <v>F0200</v>
          </cell>
          <cell r="G84">
            <v>4080000</v>
          </cell>
        </row>
        <row r="85">
          <cell r="B85" t="str">
            <v>F0205</v>
          </cell>
          <cell r="G85">
            <v>13960000</v>
          </cell>
        </row>
        <row r="86">
          <cell r="B86" t="str">
            <v>F0206</v>
          </cell>
          <cell r="G86">
            <v>7780000</v>
          </cell>
        </row>
        <row r="87">
          <cell r="B87" t="str">
            <v>F0210</v>
          </cell>
          <cell r="G87">
            <v>6343000</v>
          </cell>
        </row>
        <row r="88">
          <cell r="B88" t="str">
            <v>F0213</v>
          </cell>
          <cell r="G88">
            <v>8430000</v>
          </cell>
        </row>
        <row r="89">
          <cell r="B89" t="str">
            <v>F0214</v>
          </cell>
          <cell r="G89">
            <v>12450000</v>
          </cell>
        </row>
        <row r="90">
          <cell r="B90" t="str">
            <v>F0215</v>
          </cell>
          <cell r="G90">
            <v>3180000</v>
          </cell>
        </row>
        <row r="91">
          <cell r="B91" t="str">
            <v>F0222</v>
          </cell>
          <cell r="G91">
            <v>4750000</v>
          </cell>
        </row>
        <row r="92">
          <cell r="B92" t="str">
            <v>F0304</v>
          </cell>
          <cell r="G92">
            <v>10000</v>
          </cell>
        </row>
      </sheetData>
      <sheetData sheetId="1" refreshError="1"/>
      <sheetData sheetId="2"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Feuil3"/>
      <sheetName val="A5"/>
      <sheetName val="EXPERTISE"/>
      <sheetName val="BALANCE"/>
      <sheetName val="BALANCES"/>
      <sheetName val="Feuil1"/>
    </sheetNames>
    <sheetDataSet>
      <sheetData sheetId="0" refreshError="1"/>
      <sheetData sheetId="1" refreshError="1"/>
      <sheetData sheetId="2" refreshError="1"/>
      <sheetData sheetId="3" refreshError="1"/>
      <sheetData sheetId="4" refreshError="1"/>
      <sheetData sheetId="5" refreshError="1"/>
    </sheetDataSet>
  </externalBook>
</externalLink>
</file>

<file path=xl/externalLinks/externalLink2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Feuil1"/>
      <sheetName val="A5IAM197"/>
    </sheetNames>
    <sheetDataSet>
      <sheetData sheetId="0" refreshError="1">
        <row r="5">
          <cell r="B5">
            <v>21310000</v>
          </cell>
          <cell r="G5">
            <v>27160000</v>
          </cell>
        </row>
        <row r="6">
          <cell r="B6">
            <v>21310000</v>
          </cell>
          <cell r="G6">
            <v>300000</v>
          </cell>
        </row>
        <row r="7">
          <cell r="B7">
            <v>21310000</v>
          </cell>
          <cell r="G7">
            <v>4659300</v>
          </cell>
        </row>
        <row r="8">
          <cell r="B8">
            <v>21310000</v>
          </cell>
          <cell r="G8">
            <v>8950</v>
          </cell>
        </row>
        <row r="9">
          <cell r="B9">
            <v>21310000</v>
          </cell>
          <cell r="G9">
            <v>2602216</v>
          </cell>
        </row>
        <row r="10">
          <cell r="B10">
            <v>21310000</v>
          </cell>
          <cell r="G10">
            <v>1835936.43</v>
          </cell>
        </row>
        <row r="11">
          <cell r="B11">
            <v>21310000</v>
          </cell>
          <cell r="G11">
            <v>200000</v>
          </cell>
        </row>
        <row r="12">
          <cell r="B12">
            <v>21310000</v>
          </cell>
          <cell r="G12">
            <v>52100</v>
          </cell>
        </row>
        <row r="13">
          <cell r="B13">
            <v>21310000</v>
          </cell>
          <cell r="G13">
            <v>600000</v>
          </cell>
        </row>
        <row r="14">
          <cell r="B14">
            <v>21310000</v>
          </cell>
          <cell r="G14">
            <v>110000</v>
          </cell>
        </row>
        <row r="15">
          <cell r="B15">
            <v>21310000</v>
          </cell>
          <cell r="G15">
            <v>10000000</v>
          </cell>
        </row>
        <row r="16">
          <cell r="B16">
            <v>21310000</v>
          </cell>
          <cell r="G16">
            <v>50000</v>
          </cell>
        </row>
        <row r="17">
          <cell r="B17">
            <v>21310000</v>
          </cell>
          <cell r="G17">
            <v>7000</v>
          </cell>
        </row>
        <row r="18">
          <cell r="B18">
            <v>21310000</v>
          </cell>
          <cell r="G18">
            <v>10000000</v>
          </cell>
        </row>
        <row r="19">
          <cell r="B19">
            <v>21310000</v>
          </cell>
          <cell r="G19">
            <v>50000</v>
          </cell>
        </row>
        <row r="20">
          <cell r="B20">
            <v>21310000</v>
          </cell>
          <cell r="G20">
            <v>50000</v>
          </cell>
        </row>
        <row r="21">
          <cell r="B21">
            <v>21310000</v>
          </cell>
          <cell r="G21">
            <v>0</v>
          </cell>
        </row>
        <row r="22">
          <cell r="B22">
            <v>21310000</v>
          </cell>
          <cell r="G22">
            <v>50000</v>
          </cell>
        </row>
        <row r="23">
          <cell r="B23">
            <v>21310000</v>
          </cell>
          <cell r="G23">
            <v>5770</v>
          </cell>
        </row>
        <row r="24">
          <cell r="B24">
            <v>21310000</v>
          </cell>
          <cell r="G24">
            <v>11751214.279999999</v>
          </cell>
        </row>
        <row r="25">
          <cell r="B25">
            <v>21310000</v>
          </cell>
          <cell r="G25">
            <v>50000</v>
          </cell>
        </row>
        <row r="26">
          <cell r="B26">
            <v>21310000</v>
          </cell>
          <cell r="G26">
            <v>0</v>
          </cell>
        </row>
        <row r="27">
          <cell r="B27">
            <v>21310000</v>
          </cell>
          <cell r="G27">
            <v>124900</v>
          </cell>
        </row>
        <row r="28">
          <cell r="B28">
            <v>21310100</v>
          </cell>
          <cell r="G28">
            <v>1074000</v>
          </cell>
        </row>
        <row r="29">
          <cell r="B29">
            <v>21310100</v>
          </cell>
          <cell r="G29">
            <v>76531743.829999998</v>
          </cell>
        </row>
        <row r="30">
          <cell r="B30">
            <v>21310100</v>
          </cell>
          <cell r="G30">
            <v>4252845.16</v>
          </cell>
        </row>
        <row r="31">
          <cell r="B31">
            <v>21310100</v>
          </cell>
          <cell r="G31">
            <v>310215655.25</v>
          </cell>
        </row>
        <row r="32">
          <cell r="B32">
            <v>21310100</v>
          </cell>
          <cell r="G32">
            <v>146909680</v>
          </cell>
        </row>
        <row r="33">
          <cell r="B33">
            <v>21310100</v>
          </cell>
          <cell r="G33">
            <v>36927000</v>
          </cell>
        </row>
        <row r="34">
          <cell r="B34">
            <v>21310100</v>
          </cell>
          <cell r="G34">
            <v>20184418.210000001</v>
          </cell>
        </row>
        <row r="35">
          <cell r="B35">
            <v>21310100</v>
          </cell>
          <cell r="G35">
            <v>0</v>
          </cell>
        </row>
        <row r="36">
          <cell r="B36">
            <v>21310100</v>
          </cell>
          <cell r="G36">
            <v>11099751.66</v>
          </cell>
        </row>
        <row r="37">
          <cell r="B37">
            <v>21310100</v>
          </cell>
          <cell r="G37">
            <v>15444189.720000001</v>
          </cell>
        </row>
        <row r="38">
          <cell r="B38">
            <v>21310100</v>
          </cell>
          <cell r="G38">
            <v>13943619.23</v>
          </cell>
        </row>
        <row r="39">
          <cell r="B39">
            <v>21310100</v>
          </cell>
          <cell r="G39">
            <v>14546655.66</v>
          </cell>
        </row>
        <row r="40">
          <cell r="B40">
            <v>21310100</v>
          </cell>
          <cell r="G40">
            <v>0</v>
          </cell>
        </row>
        <row r="41">
          <cell r="B41">
            <v>21310100</v>
          </cell>
          <cell r="G41">
            <v>1545126.73</v>
          </cell>
        </row>
        <row r="42">
          <cell r="B42">
            <v>21310100</v>
          </cell>
          <cell r="G42">
            <v>0</v>
          </cell>
        </row>
        <row r="43">
          <cell r="B43">
            <v>21310100</v>
          </cell>
          <cell r="G43">
            <v>0</v>
          </cell>
        </row>
        <row r="44">
          <cell r="B44">
            <v>21310100</v>
          </cell>
          <cell r="G44">
            <v>0</v>
          </cell>
        </row>
        <row r="45">
          <cell r="B45">
            <v>21310100</v>
          </cell>
          <cell r="G45">
            <v>1650220</v>
          </cell>
        </row>
        <row r="46">
          <cell r="B46">
            <v>21310100</v>
          </cell>
          <cell r="G46">
            <v>2550000</v>
          </cell>
        </row>
        <row r="47">
          <cell r="B47">
            <v>21310100</v>
          </cell>
          <cell r="G47">
            <v>0</v>
          </cell>
        </row>
        <row r="48">
          <cell r="B48">
            <v>21311000</v>
          </cell>
          <cell r="G48">
            <v>4600000</v>
          </cell>
        </row>
        <row r="49">
          <cell r="B49">
            <v>21311000</v>
          </cell>
          <cell r="G49">
            <v>11700000</v>
          </cell>
        </row>
        <row r="50">
          <cell r="B50">
            <v>21311000</v>
          </cell>
          <cell r="G50">
            <v>20480000</v>
          </cell>
        </row>
        <row r="51">
          <cell r="B51">
            <v>21311000</v>
          </cell>
          <cell r="G51">
            <v>0</v>
          </cell>
        </row>
        <row r="52">
          <cell r="B52">
            <v>21311000</v>
          </cell>
          <cell r="G52">
            <v>0</v>
          </cell>
        </row>
        <row r="53">
          <cell r="B53">
            <v>21311000</v>
          </cell>
          <cell r="G53">
            <v>5431500</v>
          </cell>
        </row>
        <row r="54">
          <cell r="B54">
            <v>21311000</v>
          </cell>
          <cell r="G54">
            <v>9199700</v>
          </cell>
        </row>
        <row r="55">
          <cell r="B55">
            <v>21311000</v>
          </cell>
          <cell r="G55">
            <v>12671800</v>
          </cell>
        </row>
        <row r="56">
          <cell r="B56">
            <v>21311000</v>
          </cell>
          <cell r="G56">
            <v>46520000</v>
          </cell>
        </row>
        <row r="57">
          <cell r="B57">
            <v>21311000</v>
          </cell>
          <cell r="G57">
            <v>400000</v>
          </cell>
        </row>
        <row r="58">
          <cell r="B58">
            <v>21311100</v>
          </cell>
          <cell r="G58">
            <v>1063500</v>
          </cell>
        </row>
        <row r="59">
          <cell r="B59">
            <v>21311100</v>
          </cell>
          <cell r="G59">
            <v>0</v>
          </cell>
        </row>
        <row r="60">
          <cell r="B60">
            <v>21311100</v>
          </cell>
          <cell r="G60">
            <v>0</v>
          </cell>
        </row>
        <row r="61">
          <cell r="B61">
            <v>21311100</v>
          </cell>
          <cell r="G61">
            <v>0</v>
          </cell>
        </row>
        <row r="62">
          <cell r="B62">
            <v>21311100</v>
          </cell>
          <cell r="G62">
            <v>6133</v>
          </cell>
        </row>
        <row r="63">
          <cell r="B63">
            <v>21322050</v>
          </cell>
          <cell r="G63">
            <v>12500</v>
          </cell>
        </row>
        <row r="64">
          <cell r="B64">
            <v>21322050</v>
          </cell>
          <cell r="G64">
            <v>0</v>
          </cell>
        </row>
        <row r="65">
          <cell r="B65">
            <v>21322050</v>
          </cell>
          <cell r="G65">
            <v>10000</v>
          </cell>
        </row>
        <row r="66">
          <cell r="B66">
            <v>23050000</v>
          </cell>
          <cell r="G66">
            <v>0</v>
          </cell>
        </row>
        <row r="67">
          <cell r="B67">
            <v>23051000</v>
          </cell>
          <cell r="G67">
            <v>0</v>
          </cell>
        </row>
        <row r="68">
          <cell r="B68">
            <v>23051000</v>
          </cell>
          <cell r="G68">
            <v>1474678.11</v>
          </cell>
        </row>
        <row r="69">
          <cell r="B69">
            <v>23051000</v>
          </cell>
          <cell r="G69">
            <v>40000</v>
          </cell>
        </row>
        <row r="70">
          <cell r="B70">
            <v>23051000</v>
          </cell>
          <cell r="G70">
            <v>0</v>
          </cell>
        </row>
        <row r="71">
          <cell r="B71">
            <v>23051000</v>
          </cell>
          <cell r="G71">
            <v>0</v>
          </cell>
        </row>
        <row r="72">
          <cell r="B72">
            <v>23051000</v>
          </cell>
          <cell r="G72">
            <v>3150000</v>
          </cell>
        </row>
        <row r="73">
          <cell r="B73">
            <v>23051000</v>
          </cell>
          <cell r="G73">
            <v>20000000</v>
          </cell>
        </row>
        <row r="74">
          <cell r="B74">
            <v>23051000</v>
          </cell>
          <cell r="G74">
            <v>100</v>
          </cell>
        </row>
        <row r="75">
          <cell r="B75">
            <v>23051000</v>
          </cell>
          <cell r="G75">
            <v>3320700</v>
          </cell>
        </row>
        <row r="76">
          <cell r="B76">
            <v>23051000</v>
          </cell>
          <cell r="G76">
            <v>2950000</v>
          </cell>
        </row>
        <row r="77">
          <cell r="B77">
            <v>23051000</v>
          </cell>
          <cell r="G77">
            <v>30000000</v>
          </cell>
        </row>
        <row r="78">
          <cell r="B78">
            <v>23051000</v>
          </cell>
          <cell r="G78">
            <v>30</v>
          </cell>
        </row>
        <row r="79">
          <cell r="B79">
            <v>23051000</v>
          </cell>
          <cell r="G79">
            <v>55944520</v>
          </cell>
        </row>
        <row r="80">
          <cell r="B80">
            <v>23051000</v>
          </cell>
          <cell r="G80">
            <v>0</v>
          </cell>
        </row>
        <row r="81">
          <cell r="B81">
            <v>23051000</v>
          </cell>
          <cell r="G81">
            <v>4000000</v>
          </cell>
        </row>
        <row r="82">
          <cell r="B82">
            <v>23051100</v>
          </cell>
          <cell r="G82">
            <v>0</v>
          </cell>
        </row>
        <row r="83">
          <cell r="B83">
            <v>23905000</v>
          </cell>
          <cell r="G83">
            <v>0</v>
          </cell>
        </row>
        <row r="84">
          <cell r="B84">
            <v>23905000</v>
          </cell>
          <cell r="G84">
            <v>0</v>
          </cell>
        </row>
        <row r="85">
          <cell r="B85">
            <v>23905000</v>
          </cell>
          <cell r="G85">
            <v>-5000000</v>
          </cell>
        </row>
        <row r="86">
          <cell r="B86">
            <v>23905000</v>
          </cell>
          <cell r="G86">
            <v>-24000000</v>
          </cell>
        </row>
        <row r="87">
          <cell r="B87">
            <v>25051000</v>
          </cell>
          <cell r="G87">
            <v>245553570</v>
          </cell>
        </row>
        <row r="88">
          <cell r="B88">
            <v>26050000</v>
          </cell>
          <cell r="G88">
            <v>10000</v>
          </cell>
        </row>
        <row r="89">
          <cell r="B89">
            <v>26051000</v>
          </cell>
          <cell r="G89">
            <v>54778</v>
          </cell>
        </row>
        <row r="90">
          <cell r="B90">
            <v>26051000</v>
          </cell>
          <cell r="G90">
            <v>14800000</v>
          </cell>
        </row>
        <row r="91">
          <cell r="B91">
            <v>26051000</v>
          </cell>
          <cell r="G91">
            <v>0</v>
          </cell>
        </row>
        <row r="92">
          <cell r="B92">
            <v>26051000</v>
          </cell>
          <cell r="G92">
            <v>6342000</v>
          </cell>
        </row>
        <row r="93">
          <cell r="B93">
            <v>26051000</v>
          </cell>
          <cell r="G93">
            <v>250000</v>
          </cell>
        </row>
        <row r="94">
          <cell r="B94">
            <v>26051000</v>
          </cell>
          <cell r="G94">
            <v>1315135</v>
          </cell>
        </row>
        <row r="95">
          <cell r="B95">
            <v>26051000</v>
          </cell>
          <cell r="G95">
            <v>8653801.25</v>
          </cell>
        </row>
        <row r="96">
          <cell r="B96">
            <v>26051100</v>
          </cell>
          <cell r="G96">
            <v>1668532.62</v>
          </cell>
        </row>
        <row r="97">
          <cell r="B97">
            <v>26220500</v>
          </cell>
          <cell r="G97">
            <v>3000</v>
          </cell>
        </row>
        <row r="98">
          <cell r="B98">
            <v>26220500</v>
          </cell>
          <cell r="G98">
            <v>0</v>
          </cell>
        </row>
        <row r="99">
          <cell r="B99">
            <v>26905000</v>
          </cell>
          <cell r="G99">
            <v>-7000000</v>
          </cell>
        </row>
        <row r="100">
          <cell r="B100">
            <v>26905000</v>
          </cell>
          <cell r="G100">
            <v>-5000</v>
          </cell>
        </row>
        <row r="101">
          <cell r="B101">
            <v>29113100</v>
          </cell>
          <cell r="G101">
            <v>-6260000</v>
          </cell>
        </row>
        <row r="102">
          <cell r="B102">
            <v>29113100</v>
          </cell>
          <cell r="G102">
            <v>-388031.68</v>
          </cell>
        </row>
        <row r="103">
          <cell r="B103">
            <v>29113100</v>
          </cell>
          <cell r="G103">
            <v>-5882000</v>
          </cell>
        </row>
        <row r="104">
          <cell r="B104">
            <v>29113110</v>
          </cell>
          <cell r="G104">
            <v>0</v>
          </cell>
        </row>
        <row r="105">
          <cell r="B105">
            <v>29113110</v>
          </cell>
          <cell r="G105">
            <v>0</v>
          </cell>
        </row>
        <row r="106">
          <cell r="B106">
            <v>29113110</v>
          </cell>
          <cell r="G106">
            <v>0</v>
          </cell>
        </row>
        <row r="107">
          <cell r="B107">
            <v>29113110</v>
          </cell>
          <cell r="G107">
            <v>0</v>
          </cell>
        </row>
        <row r="108">
          <cell r="B108">
            <v>29113110</v>
          </cell>
          <cell r="G108">
            <v>-168300</v>
          </cell>
        </row>
        <row r="109">
          <cell r="B109">
            <v>29113110</v>
          </cell>
          <cell r="G109">
            <v>0</v>
          </cell>
        </row>
        <row r="110">
          <cell r="B110">
            <v>29330510</v>
          </cell>
          <cell r="G110">
            <v>0</v>
          </cell>
        </row>
        <row r="111">
          <cell r="B111">
            <v>29330510</v>
          </cell>
          <cell r="G111">
            <v>0</v>
          </cell>
        </row>
        <row r="112">
          <cell r="B112">
            <v>29600000</v>
          </cell>
          <cell r="G112">
            <v>0</v>
          </cell>
        </row>
      </sheetData>
      <sheetData sheetId="1" refreshError="1"/>
    </sheetDataSet>
  </externalBook>
</externalLink>
</file>

<file path=xl/externalLinks/externalLink2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ETATA5"/>
      <sheetName val="PART"/>
      <sheetName val="tb"/>
      <sheetName val="BALANCE"/>
      <sheetName val="EXTRACTION"/>
      <sheetName val="LISTE"/>
      <sheetName val="Feuil5"/>
      <sheetName val="Feuil6"/>
      <sheetName val="Feuil7"/>
      <sheetName val="Feuil8"/>
      <sheetName val="Feuil9"/>
      <sheetName val="Feuil10"/>
      <sheetName val="Feuil11"/>
      <sheetName val="Feuil12"/>
      <sheetName val="Feuil13"/>
      <sheetName val="Feuil14"/>
      <sheetName val="Feuil15"/>
      <sheetName val="Feuil16"/>
    </sheetNames>
    <sheetDataSet>
      <sheetData sheetId="0" refreshError="1"/>
      <sheetData sheetId="1" refreshError="1">
        <row r="2">
          <cell r="A2" t="str">
            <v>PA301</v>
          </cell>
          <cell r="B2" t="str">
            <v>A3C</v>
          </cell>
          <cell r="C2">
            <v>25499</v>
          </cell>
          <cell r="G2">
            <v>7800000</v>
          </cell>
        </row>
        <row r="3">
          <cell r="A3" t="str">
            <v>PAG01</v>
          </cell>
          <cell r="B3" t="str">
            <v>AGIFRANCE</v>
          </cell>
          <cell r="C3">
            <v>39954</v>
          </cell>
          <cell r="G3">
            <v>5000000</v>
          </cell>
        </row>
        <row r="4">
          <cell r="A4" t="str">
            <v>PAN01</v>
          </cell>
          <cell r="B4" t="str">
            <v>ANTICIPA</v>
          </cell>
          <cell r="C4">
            <v>65</v>
          </cell>
          <cell r="G4">
            <v>6500</v>
          </cell>
        </row>
        <row r="5">
          <cell r="A5" t="str">
            <v>PAS01</v>
          </cell>
          <cell r="B5" t="str">
            <v>ASSOCIART</v>
          </cell>
          <cell r="C5">
            <v>200000</v>
          </cell>
          <cell r="G5">
            <v>1040700</v>
          </cell>
        </row>
        <row r="6">
          <cell r="A6" t="str">
            <v>PAS02</v>
          </cell>
          <cell r="B6" t="str">
            <v>ASSURBAIL</v>
          </cell>
          <cell r="C6">
            <v>204645</v>
          </cell>
          <cell r="G6">
            <v>1153119444.1800001</v>
          </cell>
        </row>
        <row r="7">
          <cell r="A7" t="str">
            <v>PAV02</v>
          </cell>
          <cell r="B7" t="str">
            <v>AVENUE BOSQUET</v>
          </cell>
          <cell r="C7">
            <v>5</v>
          </cell>
          <cell r="G7">
            <v>204695.8</v>
          </cell>
        </row>
        <row r="8">
          <cell r="A8" t="str">
            <v>PBD01</v>
          </cell>
          <cell r="B8" t="str">
            <v>BD2I</v>
          </cell>
          <cell r="C8">
            <v>4000</v>
          </cell>
          <cell r="G8">
            <v>100000</v>
          </cell>
        </row>
        <row r="9">
          <cell r="A9" t="str">
            <v>PCA01</v>
          </cell>
          <cell r="B9" t="str">
            <v>CAPA CONSEIL</v>
          </cell>
          <cell r="C9">
            <v>121394</v>
          </cell>
          <cell r="G9">
            <v>485576</v>
          </cell>
        </row>
        <row r="10">
          <cell r="A10" t="str">
            <v>PCA02</v>
          </cell>
          <cell r="B10" t="str">
            <v>CARRES BLEUS</v>
          </cell>
          <cell r="C10">
            <v>450</v>
          </cell>
          <cell r="G10">
            <v>45000</v>
          </cell>
        </row>
        <row r="11">
          <cell r="A11" t="str">
            <v>PCD01</v>
          </cell>
          <cell r="B11" t="str">
            <v>CDC CONSULTANTS</v>
          </cell>
          <cell r="C11">
            <v>4000</v>
          </cell>
          <cell r="G11">
            <v>400000</v>
          </cell>
        </row>
        <row r="12">
          <cell r="A12" t="str">
            <v>PCD02</v>
          </cell>
          <cell r="B12" t="str">
            <v>CDC COURTAGE</v>
          </cell>
          <cell r="C12">
            <v>170</v>
          </cell>
          <cell r="G12">
            <v>111400</v>
          </cell>
        </row>
        <row r="13">
          <cell r="A13" t="str">
            <v>PCD03</v>
          </cell>
          <cell r="B13" t="str">
            <v xml:space="preserve">CDC EUROPE </v>
          </cell>
          <cell r="C13">
            <v>32</v>
          </cell>
          <cell r="G13">
            <v>1600</v>
          </cell>
        </row>
        <row r="14">
          <cell r="A14" t="str">
            <v>PCD04</v>
          </cell>
          <cell r="B14" t="str">
            <v>CDC AM EUROPE(CDC GESTION)</v>
          </cell>
          <cell r="C14">
            <v>102379</v>
          </cell>
          <cell r="G14">
            <v>52059721.5</v>
          </cell>
        </row>
        <row r="15">
          <cell r="A15" t="str">
            <v>PCD06</v>
          </cell>
          <cell r="B15" t="str">
            <v xml:space="preserve">CDC TRESOR </v>
          </cell>
          <cell r="C15">
            <v>1000</v>
          </cell>
        </row>
        <row r="16">
          <cell r="A16" t="str">
            <v>PCE01</v>
          </cell>
          <cell r="B16" t="str">
            <v>CEGAPE</v>
          </cell>
          <cell r="C16">
            <v>1049</v>
          </cell>
          <cell r="G16">
            <v>2500000</v>
          </cell>
        </row>
        <row r="17">
          <cell r="A17" t="str">
            <v>PCI02</v>
          </cell>
          <cell r="B17" t="str">
            <v>CICOGE</v>
          </cell>
          <cell r="C17">
            <v>1272298</v>
          </cell>
          <cell r="G17">
            <v>1090540160</v>
          </cell>
        </row>
        <row r="18">
          <cell r="A18" t="str">
            <v>PCI03</v>
          </cell>
          <cell r="B18" t="str">
            <v>CILOGER</v>
          </cell>
          <cell r="C18">
            <v>1497</v>
          </cell>
          <cell r="G18">
            <v>3700000</v>
          </cell>
        </row>
        <row r="19">
          <cell r="A19" t="str">
            <v>PCI04</v>
          </cell>
          <cell r="B19" t="str">
            <v>CIMO</v>
          </cell>
          <cell r="C19">
            <v>2491529</v>
          </cell>
          <cell r="G19">
            <v>2428464634.1999998</v>
          </cell>
        </row>
        <row r="20">
          <cell r="A20" t="str">
            <v>PCN01</v>
          </cell>
          <cell r="B20" t="str">
            <v>CNP ASSURANCES</v>
          </cell>
          <cell r="C20">
            <v>149980</v>
          </cell>
          <cell r="G20">
            <v>22497000</v>
          </cell>
        </row>
        <row r="21">
          <cell r="A21" t="str">
            <v>PCN02</v>
          </cell>
          <cell r="B21" t="str">
            <v>CNP IAM</v>
          </cell>
          <cell r="C21">
            <v>1999994</v>
          </cell>
          <cell r="G21">
            <v>1611000000</v>
          </cell>
        </row>
        <row r="22">
          <cell r="A22" t="str">
            <v>PCN03</v>
          </cell>
          <cell r="B22" t="str">
            <v>CNP IMMOBILIER</v>
          </cell>
          <cell r="C22">
            <v>4999</v>
          </cell>
          <cell r="G22">
            <v>300898798.16000003</v>
          </cell>
        </row>
        <row r="23">
          <cell r="A23" t="str">
            <v>PCN04</v>
          </cell>
          <cell r="B23" t="str">
            <v>CNP INTERNATIONAL</v>
          </cell>
          <cell r="C23">
            <v>1499994</v>
          </cell>
          <cell r="G23">
            <v>153000000</v>
          </cell>
        </row>
        <row r="24">
          <cell r="A24" t="str">
            <v>PCN05</v>
          </cell>
          <cell r="B24" t="str">
            <v>CNP SEGUROS DE VIDA</v>
          </cell>
          <cell r="C24">
            <v>7188210</v>
          </cell>
          <cell r="G24">
            <v>39797548.689999998</v>
          </cell>
        </row>
        <row r="25">
          <cell r="A25" t="str">
            <v>PCO01</v>
          </cell>
          <cell r="B25" t="str">
            <v>COMPTAPIERRE</v>
          </cell>
          <cell r="C25">
            <v>2000</v>
          </cell>
          <cell r="G25">
            <v>4950000</v>
          </cell>
        </row>
        <row r="26">
          <cell r="A26" t="str">
            <v>PCR01</v>
          </cell>
          <cell r="B26" t="str">
            <v xml:space="preserve">CREP </v>
          </cell>
          <cell r="C26">
            <v>1500</v>
          </cell>
        </row>
        <row r="27">
          <cell r="A27" t="str">
            <v>PDE01</v>
          </cell>
          <cell r="B27" t="str">
            <v>DEFENSE CTRE COM.4TEMPS</v>
          </cell>
          <cell r="C27">
            <v>44000</v>
          </cell>
          <cell r="G27">
            <v>269947802.25</v>
          </cell>
        </row>
        <row r="28">
          <cell r="A28" t="str">
            <v>PEC01</v>
          </cell>
          <cell r="B28" t="str">
            <v>ECUREUIL VIE</v>
          </cell>
          <cell r="C28">
            <v>12552224</v>
          </cell>
          <cell r="G28">
            <v>2761489280</v>
          </cell>
        </row>
        <row r="29">
          <cell r="A29" t="str">
            <v>PEP01</v>
          </cell>
          <cell r="B29" t="str">
            <v>EPARGNE DEV 1A</v>
          </cell>
          <cell r="C29">
            <v>440</v>
          </cell>
          <cell r="G29">
            <v>313932.94</v>
          </cell>
        </row>
        <row r="30">
          <cell r="A30" t="str">
            <v>PEP03</v>
          </cell>
          <cell r="B30" t="str">
            <v>EPARGNE DEV 1B</v>
          </cell>
          <cell r="C30">
            <v>100</v>
          </cell>
          <cell r="G30">
            <v>100000</v>
          </cell>
        </row>
        <row r="31">
          <cell r="A31" t="str">
            <v>PEU01</v>
          </cell>
          <cell r="B31" t="str">
            <v>EUROPREVOYANCE</v>
          </cell>
          <cell r="C31">
            <v>500</v>
          </cell>
          <cell r="G31">
            <v>50000</v>
          </cell>
        </row>
        <row r="32">
          <cell r="A32" t="str">
            <v>PFI01</v>
          </cell>
          <cell r="B32" t="str">
            <v>FINANCIERE CENT.LOIRE</v>
          </cell>
          <cell r="C32">
            <v>19493</v>
          </cell>
          <cell r="G32">
            <v>1949300</v>
          </cell>
        </row>
        <row r="33">
          <cell r="A33" t="str">
            <v>PFI02</v>
          </cell>
          <cell r="B33" t="str">
            <v>FINANCIERE REG.BOURGO</v>
          </cell>
          <cell r="C33">
            <v>58800</v>
          </cell>
          <cell r="G33">
            <v>5880000</v>
          </cell>
        </row>
        <row r="34">
          <cell r="A34" t="str">
            <v>PFO01</v>
          </cell>
          <cell r="B34" t="str">
            <v>FONCIERE DE LA CNP</v>
          </cell>
          <cell r="C34">
            <v>479</v>
          </cell>
          <cell r="G34">
            <v>339288903.16000003</v>
          </cell>
        </row>
        <row r="35">
          <cell r="A35" t="str">
            <v>PFR03</v>
          </cell>
          <cell r="B35" t="str">
            <v>FRATERNA RETIRO</v>
          </cell>
          <cell r="C35">
            <v>293</v>
          </cell>
          <cell r="G35">
            <v>1646150.88</v>
          </cell>
        </row>
        <row r="36">
          <cell r="A36" t="str">
            <v>PFR04</v>
          </cell>
          <cell r="B36" t="str">
            <v>FRATERNA VIDA</v>
          </cell>
          <cell r="C36">
            <v>240</v>
          </cell>
          <cell r="G36">
            <v>1295328</v>
          </cell>
        </row>
        <row r="37">
          <cell r="A37" t="str">
            <v>PGI01</v>
          </cell>
          <cell r="B37" t="str">
            <v xml:space="preserve">GIP </v>
          </cell>
          <cell r="C37">
            <v>98</v>
          </cell>
          <cell r="G37">
            <v>4900</v>
          </cell>
        </row>
        <row r="38">
          <cell r="A38" t="str">
            <v>PGP01</v>
          </cell>
          <cell r="B38" t="str">
            <v>GPM ASSURANCES</v>
          </cell>
          <cell r="C38">
            <v>3404</v>
          </cell>
          <cell r="G38">
            <v>17020000</v>
          </cell>
        </row>
        <row r="39">
          <cell r="A39" t="str">
            <v>PGR01</v>
          </cell>
          <cell r="B39" t="str">
            <v>GRAND FEU (LE)</v>
          </cell>
          <cell r="C39">
            <v>50</v>
          </cell>
          <cell r="G39">
            <v>104090</v>
          </cell>
        </row>
        <row r="40">
          <cell r="A40" t="str">
            <v>PGR02</v>
          </cell>
          <cell r="B40" t="str">
            <v>GROUP PROPRIETES CDC CNP</v>
          </cell>
          <cell r="C40">
            <v>385</v>
          </cell>
          <cell r="G40">
            <v>38500</v>
          </cell>
        </row>
        <row r="41">
          <cell r="A41" t="str">
            <v>PIC01</v>
          </cell>
          <cell r="B41" t="str">
            <v>ICDC</v>
          </cell>
          <cell r="C41">
            <v>800</v>
          </cell>
          <cell r="G41">
            <v>80000</v>
          </cell>
        </row>
        <row r="42">
          <cell r="A42" t="str">
            <v>PIM01</v>
          </cell>
          <cell r="B42" t="str">
            <v>IMMOPOSTE</v>
          </cell>
          <cell r="C42">
            <v>398</v>
          </cell>
          <cell r="G42">
            <v>2360936</v>
          </cell>
        </row>
        <row r="43">
          <cell r="A43" t="str">
            <v>PIT01</v>
          </cell>
          <cell r="B43" t="str">
            <v>ITV</v>
          </cell>
          <cell r="C43">
            <v>1469990</v>
          </cell>
          <cell r="G43">
            <v>147000000</v>
          </cell>
        </row>
        <row r="44">
          <cell r="A44" t="str">
            <v>PKN01</v>
          </cell>
          <cell r="B44" t="str">
            <v>KNIGHTSBRIDGE PVIII</v>
          </cell>
          <cell r="C44">
            <v>67000</v>
          </cell>
          <cell r="G44">
            <v>23003336.170000002</v>
          </cell>
        </row>
        <row r="45">
          <cell r="A45" t="str">
            <v>PLI01</v>
          </cell>
          <cell r="B45" t="str">
            <v>LILLE HELLEMES</v>
          </cell>
          <cell r="C45">
            <v>125</v>
          </cell>
          <cell r="G45">
            <v>297937.53999999998</v>
          </cell>
        </row>
        <row r="46">
          <cell r="A46" t="str">
            <v>PME01</v>
          </cell>
          <cell r="B46" t="str">
            <v>MENUCOURT</v>
          </cell>
          <cell r="C46">
            <v>100</v>
          </cell>
          <cell r="G46">
            <v>238400</v>
          </cell>
        </row>
        <row r="47">
          <cell r="A47" t="str">
            <v>PMO01</v>
          </cell>
          <cell r="B47" t="str">
            <v>MONTAGNE DE LA FAGE</v>
          </cell>
          <cell r="C47">
            <v>50</v>
          </cell>
          <cell r="G47">
            <v>178058439.5</v>
          </cell>
        </row>
        <row r="48">
          <cell r="A48" t="str">
            <v>PPA01</v>
          </cell>
          <cell r="B48" t="str">
            <v>PARC DE MONFORT</v>
          </cell>
          <cell r="C48">
            <v>50000</v>
          </cell>
          <cell r="G48">
            <v>5000000</v>
          </cell>
        </row>
        <row r="49">
          <cell r="A49" t="str">
            <v>PPB01</v>
          </cell>
          <cell r="B49" t="str">
            <v>PB 6</v>
          </cell>
          <cell r="C49">
            <v>500000</v>
          </cell>
          <cell r="G49">
            <v>85148000</v>
          </cell>
        </row>
        <row r="50">
          <cell r="A50" t="str">
            <v>PPI03</v>
          </cell>
          <cell r="B50" t="str">
            <v>PIERRE ECUREUIL 2</v>
          </cell>
          <cell r="C50">
            <v>3000</v>
          </cell>
          <cell r="G50">
            <v>6570000</v>
          </cell>
        </row>
        <row r="51">
          <cell r="A51" t="str">
            <v>PPI04</v>
          </cell>
          <cell r="B51" t="str">
            <v>PIERRE POSTE</v>
          </cell>
          <cell r="C51">
            <v>4153</v>
          </cell>
          <cell r="G51">
            <v>12845229</v>
          </cell>
        </row>
        <row r="52">
          <cell r="A52" t="str">
            <v>PPO01</v>
          </cell>
          <cell r="B52" t="str">
            <v>POLISA VIE</v>
          </cell>
          <cell r="C52">
            <v>106740</v>
          </cell>
          <cell r="G52">
            <v>23660457.25</v>
          </cell>
        </row>
        <row r="53">
          <cell r="A53" t="str">
            <v>PPO02</v>
          </cell>
          <cell r="B53" t="str">
            <v>POLLUX DEV.</v>
          </cell>
          <cell r="C53">
            <v>112725</v>
          </cell>
          <cell r="G53">
            <v>112725</v>
          </cell>
        </row>
        <row r="54">
          <cell r="A54" t="str">
            <v>PPR01</v>
          </cell>
          <cell r="B54" t="str">
            <v>PREVIMUT</v>
          </cell>
          <cell r="C54">
            <v>1987485</v>
          </cell>
          <cell r="G54">
            <v>247335121.99000001</v>
          </cell>
        </row>
        <row r="55">
          <cell r="A55" t="str">
            <v>PPR02</v>
          </cell>
          <cell r="B55" t="str">
            <v>PREVIPOSTE</v>
          </cell>
          <cell r="C55">
            <v>8249988</v>
          </cell>
          <cell r="G55">
            <v>824999900</v>
          </cell>
        </row>
        <row r="56">
          <cell r="A56" t="str">
            <v>PPR03</v>
          </cell>
          <cell r="B56" t="str">
            <v>PREVISOL</v>
          </cell>
          <cell r="C56">
            <v>4000</v>
          </cell>
          <cell r="G56">
            <v>21588800</v>
          </cell>
        </row>
        <row r="57">
          <cell r="A57" t="str">
            <v>PPR04</v>
          </cell>
          <cell r="B57" t="str">
            <v>PROVINCIA ART</v>
          </cell>
          <cell r="C57">
            <v>30000</v>
          </cell>
          <cell r="G57">
            <v>38447254</v>
          </cell>
        </row>
        <row r="58">
          <cell r="A58" t="str">
            <v>PPR05</v>
          </cell>
          <cell r="B58" t="str">
            <v>PROVINCIA VIDA</v>
          </cell>
          <cell r="C58">
            <v>4000000</v>
          </cell>
          <cell r="G58">
            <v>22334000</v>
          </cell>
        </row>
        <row r="59">
          <cell r="A59" t="str">
            <v>PRE01</v>
          </cell>
          <cell r="B59" t="str">
            <v>RENNES (RUE DE)</v>
          </cell>
          <cell r="C59">
            <v>499</v>
          </cell>
          <cell r="G59">
            <v>338764500.38999999</v>
          </cell>
        </row>
        <row r="60">
          <cell r="A60" t="str">
            <v>PSA01</v>
          </cell>
          <cell r="B60" t="str">
            <v>SAA</v>
          </cell>
          <cell r="C60">
            <v>7350</v>
          </cell>
          <cell r="G60">
            <v>735000</v>
          </cell>
        </row>
        <row r="61">
          <cell r="A61" t="str">
            <v>PSA02</v>
          </cell>
          <cell r="B61" t="str">
            <v>SAGE</v>
          </cell>
          <cell r="C61">
            <v>210</v>
          </cell>
          <cell r="G61">
            <v>9404660.0500000007</v>
          </cell>
        </row>
        <row r="62">
          <cell r="A62" t="str">
            <v>PSC01</v>
          </cell>
          <cell r="B62" t="str">
            <v>SCDC</v>
          </cell>
          <cell r="C62">
            <v>1</v>
          </cell>
          <cell r="G62">
            <v>100</v>
          </cell>
        </row>
        <row r="63">
          <cell r="A63" t="str">
            <v>PSC02</v>
          </cell>
          <cell r="B63" t="str">
            <v>SCI DE LA CNP</v>
          </cell>
          <cell r="C63">
            <v>1247857</v>
          </cell>
          <cell r="G63">
            <v>841986461.07000005</v>
          </cell>
        </row>
        <row r="64">
          <cell r="A64" t="str">
            <v>PSC03</v>
          </cell>
          <cell r="B64" t="str">
            <v>SCOR VIE</v>
          </cell>
          <cell r="C64">
            <v>5</v>
          </cell>
        </row>
        <row r="65">
          <cell r="A65" t="str">
            <v>PSI01</v>
          </cell>
          <cell r="B65" t="str">
            <v>SICAC</v>
          </cell>
          <cell r="C65">
            <v>2100</v>
          </cell>
          <cell r="G65">
            <v>231504864</v>
          </cell>
        </row>
        <row r="66">
          <cell r="A66" t="str">
            <v>PSI02</v>
          </cell>
          <cell r="B66" t="str">
            <v>SIPAREX 1 SPF</v>
          </cell>
          <cell r="C66">
            <v>25</v>
          </cell>
          <cell r="G66">
            <v>12332768</v>
          </cell>
        </row>
        <row r="67">
          <cell r="A67" t="str">
            <v>PSI03</v>
          </cell>
          <cell r="B67" t="str">
            <v>SIPAREX 2 SPF</v>
          </cell>
          <cell r="C67">
            <v>60</v>
          </cell>
          <cell r="G67">
            <v>18229975</v>
          </cell>
        </row>
        <row r="68">
          <cell r="A68" t="str">
            <v>PSI04</v>
          </cell>
          <cell r="B68" t="str">
            <v>SIRCE 2</v>
          </cell>
          <cell r="C68">
            <v>10</v>
          </cell>
          <cell r="G68">
            <v>1000</v>
          </cell>
        </row>
        <row r="69">
          <cell r="A69" t="str">
            <v>PSM01</v>
          </cell>
          <cell r="B69" t="str">
            <v>SMAF</v>
          </cell>
          <cell r="C69">
            <v>900</v>
          </cell>
          <cell r="G69">
            <v>900000</v>
          </cell>
        </row>
        <row r="70">
          <cell r="A70" t="str">
            <v>PSO02</v>
          </cell>
          <cell r="B70" t="str">
            <v>SOGESTOP C</v>
          </cell>
          <cell r="C70">
            <v>4994</v>
          </cell>
          <cell r="G70">
            <v>500000</v>
          </cell>
        </row>
        <row r="71">
          <cell r="A71" t="str">
            <v>PSO03</v>
          </cell>
          <cell r="B71" t="str">
            <v>SOGESTOP E</v>
          </cell>
          <cell r="C71">
            <v>6994</v>
          </cell>
          <cell r="G71">
            <v>700000</v>
          </cell>
        </row>
        <row r="72">
          <cell r="A72" t="str">
            <v>PSO04</v>
          </cell>
          <cell r="B72" t="str">
            <v>SOGESTOP G</v>
          </cell>
          <cell r="C72">
            <v>732494</v>
          </cell>
          <cell r="G72">
            <v>19001017</v>
          </cell>
        </row>
        <row r="73">
          <cell r="A73" t="str">
            <v>PSO05</v>
          </cell>
          <cell r="B73" t="str">
            <v>SOGESTOP H</v>
          </cell>
          <cell r="C73">
            <v>1462494</v>
          </cell>
          <cell r="G73">
            <v>39207841</v>
          </cell>
        </row>
        <row r="74">
          <cell r="A74" t="str">
            <v>PSO06</v>
          </cell>
          <cell r="B74" t="str">
            <v>SOGESTOP I</v>
          </cell>
          <cell r="C74">
            <v>2494</v>
          </cell>
          <cell r="G74">
            <v>249400</v>
          </cell>
        </row>
        <row r="75">
          <cell r="A75" t="str">
            <v>PSP01</v>
          </cell>
          <cell r="B75" t="str">
            <v>SPIFIC</v>
          </cell>
          <cell r="C75">
            <v>1246</v>
          </cell>
          <cell r="G75">
            <v>16403934.43</v>
          </cell>
        </row>
        <row r="76">
          <cell r="A76" t="str">
            <v>PVE01</v>
          </cell>
          <cell r="B76" t="str">
            <v>VENDOME EUROPE</v>
          </cell>
          <cell r="C76">
            <v>50</v>
          </cell>
          <cell r="G76">
            <v>79887476.329999998</v>
          </cell>
        </row>
        <row r="77">
          <cell r="A77" t="str">
            <v>PVI01</v>
          </cell>
          <cell r="B77" t="str">
            <v>VICTOR HUGO</v>
          </cell>
          <cell r="C77">
            <v>2006</v>
          </cell>
          <cell r="G77">
            <v>8474842.0999999996</v>
          </cell>
        </row>
      </sheetData>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Set>
  </externalBook>
</externalLink>
</file>

<file path=xl/externalLinks/externalLink2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900"/>
      <sheetName val="902"/>
      <sheetName val="905"/>
      <sheetName val="910"/>
      <sheetName val="915"/>
      <sheetName val="930"/>
      <sheetName val="945"/>
      <sheetName val="950"/>
      <sheetName val="955"/>
      <sheetName val="960"/>
      <sheetName val="970"/>
      <sheetName val="975"/>
      <sheetName val="980"/>
      <sheetName val="985"/>
      <sheetName val="990"/>
      <sheetName val="995"/>
      <sheetName val="BO"/>
      <sheetName val="PVL_NETTES"/>
      <sheetName val="ACCESS"/>
    </sheetNames>
    <sheetDataSet>
      <sheetData sheetId="0"/>
      <sheetData sheetId="1" refreshError="1"/>
      <sheetData sheetId="2"/>
      <sheetData sheetId="3"/>
      <sheetData sheetId="4"/>
      <sheetData sheetId="5">
        <row r="11">
          <cell r="F11">
            <v>87440000</v>
          </cell>
        </row>
      </sheetData>
      <sheetData sheetId="6"/>
      <sheetData sheetId="7">
        <row r="9">
          <cell r="F9">
            <v>21870000</v>
          </cell>
        </row>
      </sheetData>
      <sheetData sheetId="8"/>
      <sheetData sheetId="9" refreshError="1"/>
      <sheetData sheetId="10" refreshError="1"/>
      <sheetData sheetId="11" refreshError="1"/>
      <sheetData sheetId="12" refreshError="1"/>
      <sheetData sheetId="13" refreshError="1"/>
      <sheetData sheetId="14" refreshError="1"/>
      <sheetData sheetId="15" refreshError="1"/>
      <sheetData sheetId="16"/>
      <sheetData sheetId="17" refreshError="1"/>
      <sheetData sheetId="18"/>
    </sheetDataSet>
  </externalBook>
</externalLink>
</file>

<file path=xl/externalLinks/externalLink2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EXTRACTION"/>
      <sheetName val="BALANCE"/>
      <sheetName val="PART"/>
      <sheetName val="A5IAM"/>
      <sheetName val="A5global"/>
      <sheetName val="A5DETAIL"/>
    </sheetNames>
    <sheetDataSet>
      <sheetData sheetId="0" refreshError="1"/>
      <sheetData sheetId="1" refreshError="1"/>
      <sheetData sheetId="2" refreshError="1">
        <row r="3">
          <cell r="D3">
            <v>500</v>
          </cell>
        </row>
        <row r="4">
          <cell r="D4">
            <v>944437</v>
          </cell>
        </row>
        <row r="5">
          <cell r="D5">
            <v>500</v>
          </cell>
        </row>
        <row r="6">
          <cell r="D6">
            <v>8333</v>
          </cell>
        </row>
        <row r="7">
          <cell r="D7">
            <v>500</v>
          </cell>
        </row>
        <row r="8">
          <cell r="D8">
            <v>7000</v>
          </cell>
        </row>
        <row r="9">
          <cell r="D9">
            <v>577</v>
          </cell>
        </row>
        <row r="10">
          <cell r="D10">
            <v>142361</v>
          </cell>
        </row>
        <row r="11">
          <cell r="D11">
            <v>500</v>
          </cell>
        </row>
        <row r="12">
          <cell r="D12">
            <v>0</v>
          </cell>
        </row>
        <row r="13">
          <cell r="D13">
            <v>14800</v>
          </cell>
        </row>
        <row r="14">
          <cell r="D14">
            <v>20</v>
          </cell>
        </row>
        <row r="15">
          <cell r="D15">
            <v>200</v>
          </cell>
        </row>
        <row r="16">
          <cell r="D16">
            <v>42500</v>
          </cell>
        </row>
        <row r="17">
          <cell r="D17">
            <v>1</v>
          </cell>
        </row>
        <row r="18">
          <cell r="D18">
            <v>521</v>
          </cell>
        </row>
        <row r="19">
          <cell r="D19">
            <v>12910</v>
          </cell>
        </row>
        <row r="20">
          <cell r="D20">
            <v>6345</v>
          </cell>
        </row>
        <row r="21">
          <cell r="D21">
            <v>9000</v>
          </cell>
        </row>
        <row r="22">
          <cell r="D22">
            <v>5273</v>
          </cell>
        </row>
        <row r="23">
          <cell r="D23">
            <v>2048</v>
          </cell>
        </row>
        <row r="24">
          <cell r="D24">
            <v>4652</v>
          </cell>
        </row>
        <row r="25">
          <cell r="D25">
            <v>460</v>
          </cell>
        </row>
        <row r="26">
          <cell r="D26">
            <v>1170</v>
          </cell>
        </row>
        <row r="27">
          <cell r="D27">
            <v>26594</v>
          </cell>
        </row>
        <row r="28">
          <cell r="D28">
            <v>25007</v>
          </cell>
        </row>
        <row r="29">
          <cell r="D29">
            <v>15300</v>
          </cell>
        </row>
        <row r="30">
          <cell r="D30">
            <v>1</v>
          </cell>
        </row>
        <row r="31">
          <cell r="D31">
            <v>1100</v>
          </cell>
        </row>
        <row r="32">
          <cell r="D32">
            <v>4000</v>
          </cell>
        </row>
        <row r="33">
          <cell r="D33">
            <v>240</v>
          </cell>
        </row>
        <row r="34">
          <cell r="D34">
            <v>500</v>
          </cell>
        </row>
        <row r="35">
          <cell r="D35">
            <v>30</v>
          </cell>
        </row>
        <row r="36">
          <cell r="D36">
            <v>30</v>
          </cell>
        </row>
        <row r="37">
          <cell r="D37">
            <v>0</v>
          </cell>
        </row>
        <row r="38">
          <cell r="D38">
            <v>2573</v>
          </cell>
        </row>
        <row r="39">
          <cell r="D39">
            <v>2000</v>
          </cell>
        </row>
        <row r="40">
          <cell r="D40">
            <v>2000</v>
          </cell>
        </row>
        <row r="41">
          <cell r="D41">
            <v>1</v>
          </cell>
        </row>
        <row r="42">
          <cell r="D42">
            <v>31500</v>
          </cell>
        </row>
        <row r="43">
          <cell r="D43">
            <v>2500</v>
          </cell>
        </row>
        <row r="44">
          <cell r="D44">
            <v>66356</v>
          </cell>
        </row>
        <row r="45">
          <cell r="D45">
            <v>1400</v>
          </cell>
        </row>
        <row r="46">
          <cell r="D46">
            <v>10986</v>
          </cell>
        </row>
        <row r="47">
          <cell r="D47">
            <v>2000</v>
          </cell>
        </row>
        <row r="48">
          <cell r="D48">
            <v>1</v>
          </cell>
        </row>
        <row r="49">
          <cell r="D49">
            <v>3000</v>
          </cell>
        </row>
        <row r="50">
          <cell r="D50">
            <v>1249</v>
          </cell>
        </row>
        <row r="51">
          <cell r="D51">
            <v>2494</v>
          </cell>
        </row>
      </sheetData>
      <sheetData sheetId="3" refreshError="1"/>
      <sheetData sheetId="4" refreshError="1"/>
      <sheetData sheetId="5" refreshError="1"/>
    </sheetDataSet>
  </externalBook>
</externalLink>
</file>

<file path=xl/externalLinks/externalLink2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Feuil3"/>
      <sheetName val="A5"/>
      <sheetName val="EXPERTISE"/>
      <sheetName val="BALANCE"/>
      <sheetName val="BALANCES"/>
      <sheetName val="Feuil1"/>
    </sheetNames>
    <sheetDataSet>
      <sheetData sheetId="0" refreshError="1"/>
      <sheetData sheetId="1" refreshError="1"/>
      <sheetData sheetId="2" refreshError="1"/>
      <sheetData sheetId="3" refreshError="1">
        <row r="2">
          <cell r="G2">
            <v>265843.3</v>
          </cell>
        </row>
        <row r="3">
          <cell r="G3">
            <v>112433.59</v>
          </cell>
        </row>
        <row r="4">
          <cell r="G4">
            <v>340535.05</v>
          </cell>
        </row>
        <row r="5">
          <cell r="G5">
            <v>51118.76</v>
          </cell>
        </row>
        <row r="6">
          <cell r="G6">
            <v>171889.31</v>
          </cell>
        </row>
        <row r="7">
          <cell r="G7">
            <v>203955.64</v>
          </cell>
        </row>
        <row r="8">
          <cell r="G8">
            <v>203159.67999999999</v>
          </cell>
        </row>
        <row r="9">
          <cell r="G9">
            <v>190946.09</v>
          </cell>
        </row>
        <row r="10">
          <cell r="G10">
            <v>297877.48</v>
          </cell>
        </row>
        <row r="11">
          <cell r="G11">
            <v>340689.46</v>
          </cell>
        </row>
        <row r="12">
          <cell r="G12">
            <v>171904.76</v>
          </cell>
        </row>
        <row r="13">
          <cell r="G13">
            <v>67271.399999999994</v>
          </cell>
        </row>
        <row r="14">
          <cell r="G14">
            <v>74255.03</v>
          </cell>
        </row>
        <row r="15">
          <cell r="G15">
            <v>897311.7</v>
          </cell>
        </row>
        <row r="16">
          <cell r="G16">
            <v>120662.64</v>
          </cell>
        </row>
        <row r="17">
          <cell r="G17">
            <v>155636.44</v>
          </cell>
        </row>
        <row r="18">
          <cell r="G18">
            <v>37853.980000000003</v>
          </cell>
        </row>
        <row r="19">
          <cell r="G19">
            <v>1027926.02</v>
          </cell>
        </row>
        <row r="20">
          <cell r="G20">
            <v>77177.16</v>
          </cell>
        </row>
        <row r="21">
          <cell r="G21">
            <v>79122.78</v>
          </cell>
        </row>
        <row r="22">
          <cell r="G22">
            <v>56110.06</v>
          </cell>
        </row>
        <row r="23">
          <cell r="G23">
            <v>239687.24</v>
          </cell>
        </row>
        <row r="24">
          <cell r="G24">
            <v>378865.32</v>
          </cell>
        </row>
        <row r="25">
          <cell r="G25">
            <v>74725.679999999993</v>
          </cell>
        </row>
        <row r="26">
          <cell r="G26">
            <v>113599.55</v>
          </cell>
        </row>
        <row r="27">
          <cell r="G27">
            <v>71099.69</v>
          </cell>
        </row>
        <row r="28">
          <cell r="G28">
            <v>622534.43999999994</v>
          </cell>
        </row>
        <row r="29">
          <cell r="G29">
            <v>813594.07</v>
          </cell>
        </row>
        <row r="30">
          <cell r="G30">
            <v>227763.82</v>
          </cell>
        </row>
        <row r="31">
          <cell r="G31">
            <v>2088053.95</v>
          </cell>
        </row>
        <row r="32">
          <cell r="G32">
            <v>35774.21</v>
          </cell>
        </row>
        <row r="33">
          <cell r="G33">
            <v>130026.03</v>
          </cell>
        </row>
        <row r="34">
          <cell r="G34">
            <v>386977.14</v>
          </cell>
        </row>
        <row r="35">
          <cell r="G35">
            <v>109858.14</v>
          </cell>
        </row>
        <row r="36">
          <cell r="G36">
            <v>572254.12</v>
          </cell>
        </row>
        <row r="37">
          <cell r="G37">
            <v>848702.72</v>
          </cell>
        </row>
        <row r="38">
          <cell r="G38">
            <v>155052.39000000001</v>
          </cell>
        </row>
        <row r="39">
          <cell r="G39">
            <v>222186.26</v>
          </cell>
        </row>
        <row r="40">
          <cell r="G40">
            <v>228067.09</v>
          </cell>
        </row>
        <row r="41">
          <cell r="G41">
            <v>97349.36</v>
          </cell>
        </row>
        <row r="42">
          <cell r="G42">
            <v>78601.570000000007</v>
          </cell>
        </row>
        <row r="43">
          <cell r="G43">
            <v>112664.53</v>
          </cell>
        </row>
        <row r="44">
          <cell r="G44">
            <v>454337.91</v>
          </cell>
        </row>
        <row r="45">
          <cell r="G45">
            <v>905253.61</v>
          </cell>
        </row>
        <row r="46">
          <cell r="G46">
            <v>117250.57</v>
          </cell>
        </row>
        <row r="47">
          <cell r="G47">
            <v>187246.89</v>
          </cell>
        </row>
        <row r="48">
          <cell r="G48">
            <v>3211.81</v>
          </cell>
        </row>
        <row r="49">
          <cell r="G49">
            <v>1891151.73</v>
          </cell>
        </row>
        <row r="50">
          <cell r="G50">
            <v>578777.53</v>
          </cell>
        </row>
        <row r="51">
          <cell r="G51">
            <v>195323.63</v>
          </cell>
        </row>
        <row r="52">
          <cell r="G52">
            <v>322240.71999999997</v>
          </cell>
        </row>
        <row r="53">
          <cell r="G53">
            <v>196501.8</v>
          </cell>
        </row>
        <row r="54">
          <cell r="G54">
            <v>4577.3900000000003</v>
          </cell>
        </row>
        <row r="55">
          <cell r="G55">
            <v>209969.62</v>
          </cell>
        </row>
        <row r="56">
          <cell r="G56">
            <v>137329.43</v>
          </cell>
        </row>
        <row r="57">
          <cell r="G57">
            <v>529139.11</v>
          </cell>
        </row>
        <row r="58">
          <cell r="G58">
            <v>2593.16</v>
          </cell>
        </row>
        <row r="59">
          <cell r="G59">
            <v>704.31</v>
          </cell>
        </row>
        <row r="60">
          <cell r="G60">
            <v>2141.3000000000002</v>
          </cell>
        </row>
        <row r="61">
          <cell r="G61">
            <v>54.88</v>
          </cell>
        </row>
        <row r="62">
          <cell r="G62">
            <v>45042.13</v>
          </cell>
        </row>
        <row r="63">
          <cell r="G63">
            <v>641.30999999999995</v>
          </cell>
        </row>
        <row r="64">
          <cell r="G64">
            <v>4880.96</v>
          </cell>
        </row>
        <row r="65">
          <cell r="G65">
            <v>1909.95</v>
          </cell>
        </row>
        <row r="66">
          <cell r="G66">
            <v>68.599999999999994</v>
          </cell>
        </row>
        <row r="67">
          <cell r="G67">
            <v>1808.96</v>
          </cell>
        </row>
        <row r="68">
          <cell r="G68">
            <v>632.82000000000005</v>
          </cell>
        </row>
        <row r="69">
          <cell r="G69">
            <v>15108.98</v>
          </cell>
        </row>
        <row r="70">
          <cell r="G70">
            <v>2012.33</v>
          </cell>
        </row>
        <row r="71">
          <cell r="G71">
            <v>25253.35</v>
          </cell>
        </row>
        <row r="72">
          <cell r="G72">
            <v>256.11</v>
          </cell>
        </row>
        <row r="73">
          <cell r="G73">
            <v>5079.45</v>
          </cell>
        </row>
        <row r="74">
          <cell r="G74">
            <v>19412.150000000001</v>
          </cell>
        </row>
        <row r="75">
          <cell r="G75">
            <v>29610.53</v>
          </cell>
        </row>
        <row r="76">
          <cell r="G76">
            <v>6386.65</v>
          </cell>
        </row>
        <row r="77">
          <cell r="G77">
            <v>1880492.17</v>
          </cell>
        </row>
        <row r="78">
          <cell r="G78">
            <v>682490.83</v>
          </cell>
        </row>
        <row r="79">
          <cell r="G79">
            <v>211670.28</v>
          </cell>
        </row>
        <row r="80">
          <cell r="G80">
            <v>3571087.74</v>
          </cell>
        </row>
        <row r="81">
          <cell r="G81">
            <v>2539038.38</v>
          </cell>
        </row>
        <row r="82">
          <cell r="G82">
            <v>44210.21</v>
          </cell>
        </row>
        <row r="83">
          <cell r="G83">
            <v>1524490.17</v>
          </cell>
        </row>
        <row r="84">
          <cell r="G84">
            <v>259163.33</v>
          </cell>
        </row>
        <row r="85">
          <cell r="G85">
            <v>7052633.3799999999</v>
          </cell>
        </row>
        <row r="86">
          <cell r="G86">
            <v>2554100.94</v>
          </cell>
        </row>
        <row r="87">
          <cell r="G87">
            <v>2523216.16</v>
          </cell>
        </row>
        <row r="88">
          <cell r="G88">
            <v>2657186.37</v>
          </cell>
        </row>
        <row r="89">
          <cell r="G89">
            <v>5505055.3200000003</v>
          </cell>
        </row>
        <row r="90">
          <cell r="G90">
            <v>3811225.43</v>
          </cell>
        </row>
        <row r="91">
          <cell r="G91">
            <v>1884269.85</v>
          </cell>
        </row>
        <row r="92">
          <cell r="G92">
            <v>5488164.6200000001</v>
          </cell>
        </row>
        <row r="93">
          <cell r="G93">
            <v>7077883.0899999999</v>
          </cell>
        </row>
        <row r="94">
          <cell r="G94">
            <v>7535079.2800000003</v>
          </cell>
        </row>
        <row r="95">
          <cell r="G95">
            <v>8110287.7199999997</v>
          </cell>
        </row>
        <row r="96">
          <cell r="G96">
            <v>3501364.21</v>
          </cell>
        </row>
        <row r="97">
          <cell r="G97">
            <v>17576152.100000001</v>
          </cell>
        </row>
        <row r="98">
          <cell r="G98">
            <v>4268572.49</v>
          </cell>
        </row>
        <row r="99">
          <cell r="G99">
            <v>1992528.17</v>
          </cell>
        </row>
        <row r="100">
          <cell r="G100">
            <v>2308020.62</v>
          </cell>
        </row>
        <row r="101">
          <cell r="G101">
            <v>2513970.58</v>
          </cell>
        </row>
        <row r="102">
          <cell r="G102">
            <v>1417488.22</v>
          </cell>
        </row>
        <row r="103">
          <cell r="G103">
            <v>3162885.68</v>
          </cell>
        </row>
        <row r="104">
          <cell r="G104">
            <v>1651867.85</v>
          </cell>
        </row>
        <row r="105">
          <cell r="G105">
            <v>6509573.04</v>
          </cell>
        </row>
        <row r="106">
          <cell r="G106">
            <v>7249292.1500000004</v>
          </cell>
        </row>
        <row r="107">
          <cell r="G107">
            <v>47564093.380000003</v>
          </cell>
        </row>
        <row r="108">
          <cell r="G108">
            <v>19726902.829999998</v>
          </cell>
        </row>
        <row r="109">
          <cell r="G109">
            <v>207716.37</v>
          </cell>
        </row>
        <row r="110">
          <cell r="G110">
            <v>0</v>
          </cell>
        </row>
        <row r="111">
          <cell r="G111">
            <v>8537144.9700000007</v>
          </cell>
        </row>
        <row r="112">
          <cell r="G112">
            <v>1975739.26</v>
          </cell>
        </row>
        <row r="114">
          <cell r="G114">
            <v>4303243.25</v>
          </cell>
        </row>
        <row r="115">
          <cell r="G115">
            <v>3838186.91</v>
          </cell>
        </row>
        <row r="116">
          <cell r="G116">
            <v>1996565.85</v>
          </cell>
        </row>
        <row r="118">
          <cell r="G118">
            <v>10501376.550000001</v>
          </cell>
        </row>
        <row r="119">
          <cell r="G119">
            <v>7751707.54</v>
          </cell>
        </row>
        <row r="120">
          <cell r="G120">
            <v>878106.34</v>
          </cell>
        </row>
        <row r="121">
          <cell r="G121">
            <v>4562799.09</v>
          </cell>
        </row>
        <row r="122">
          <cell r="G122">
            <v>1036653.32</v>
          </cell>
        </row>
        <row r="123">
          <cell r="G123">
            <v>5067063.49</v>
          </cell>
        </row>
        <row r="124">
          <cell r="G124">
            <v>4728351.8499999996</v>
          </cell>
        </row>
        <row r="125">
          <cell r="G125">
            <v>15146364.77</v>
          </cell>
        </row>
        <row r="126">
          <cell r="G126">
            <v>6708571.0999999996</v>
          </cell>
        </row>
        <row r="127">
          <cell r="G127">
            <v>6185442.2699999996</v>
          </cell>
        </row>
        <row r="128">
          <cell r="G128">
            <v>6174185.2000000002</v>
          </cell>
        </row>
        <row r="129">
          <cell r="G129">
            <v>2826404.78</v>
          </cell>
        </row>
        <row r="130">
          <cell r="G130">
            <v>8079797.9100000001</v>
          </cell>
        </row>
        <row r="131">
          <cell r="G131">
            <v>11701760.710000001</v>
          </cell>
        </row>
        <row r="132">
          <cell r="G132">
            <v>11302618.92</v>
          </cell>
        </row>
        <row r="133">
          <cell r="G133">
            <v>12165431.58</v>
          </cell>
        </row>
        <row r="134">
          <cell r="G134">
            <v>5252046.38</v>
          </cell>
        </row>
        <row r="135">
          <cell r="G135">
            <v>26364228.140000001</v>
          </cell>
        </row>
        <row r="136">
          <cell r="G136">
            <v>6402858.7199999997</v>
          </cell>
        </row>
        <row r="137">
          <cell r="G137">
            <v>2988792.25</v>
          </cell>
        </row>
        <row r="138">
          <cell r="G138">
            <v>3462030.92</v>
          </cell>
        </row>
        <row r="139">
          <cell r="G139">
            <v>3770955.87</v>
          </cell>
        </row>
        <row r="140">
          <cell r="G140">
            <v>2126232.33</v>
          </cell>
        </row>
        <row r="141">
          <cell r="G141">
            <v>4744328.51</v>
          </cell>
        </row>
        <row r="142">
          <cell r="G142">
            <v>7126241.3499999996</v>
          </cell>
        </row>
        <row r="143">
          <cell r="G143">
            <v>53357.16</v>
          </cell>
        </row>
        <row r="144">
          <cell r="G144">
            <v>5605813.3899999997</v>
          </cell>
        </row>
        <row r="145">
          <cell r="G145">
            <v>12384766.35</v>
          </cell>
        </row>
        <row r="146">
          <cell r="G146">
            <v>13846839.699999999</v>
          </cell>
        </row>
        <row r="147">
          <cell r="G147">
            <v>15002604.77</v>
          </cell>
        </row>
        <row r="148">
          <cell r="G148">
            <v>22103737.050000001</v>
          </cell>
        </row>
        <row r="149">
          <cell r="G149">
            <v>775756.64</v>
          </cell>
        </row>
        <row r="150">
          <cell r="G150">
            <v>-0.01</v>
          </cell>
        </row>
        <row r="151">
          <cell r="G151">
            <v>16342534.65</v>
          </cell>
        </row>
        <row r="152">
          <cell r="G152">
            <v>2963608.9</v>
          </cell>
        </row>
        <row r="153">
          <cell r="G153">
            <v>407057.33</v>
          </cell>
        </row>
        <row r="154">
          <cell r="G154">
            <v>91151.46</v>
          </cell>
        </row>
        <row r="155">
          <cell r="G155">
            <v>191000.31</v>
          </cell>
        </row>
        <row r="156">
          <cell r="G156">
            <v>340894.2</v>
          </cell>
        </row>
        <row r="157">
          <cell r="G157">
            <v>67275.09</v>
          </cell>
        </row>
        <row r="158">
          <cell r="G158">
            <v>4377.3100000000004</v>
          </cell>
        </row>
        <row r="159">
          <cell r="G159">
            <v>24074.77</v>
          </cell>
        </row>
        <row r="160">
          <cell r="G160">
            <v>728533.72</v>
          </cell>
        </row>
        <row r="161">
          <cell r="G161">
            <v>7886.29</v>
          </cell>
        </row>
        <row r="162">
          <cell r="G162">
            <v>67389.179999999993</v>
          </cell>
        </row>
        <row r="163">
          <cell r="G163">
            <v>285558.95</v>
          </cell>
        </row>
        <row r="164">
          <cell r="G164">
            <v>446156.37</v>
          </cell>
        </row>
        <row r="165">
          <cell r="G165">
            <v>161716.87</v>
          </cell>
        </row>
        <row r="166">
          <cell r="G166">
            <v>77060.3</v>
          </cell>
        </row>
        <row r="167">
          <cell r="G167">
            <v>14332.45</v>
          </cell>
        </row>
        <row r="168">
          <cell r="G168">
            <v>553841.34</v>
          </cell>
        </row>
        <row r="169">
          <cell r="G169">
            <v>154292.14000000001</v>
          </cell>
        </row>
        <row r="170">
          <cell r="G170">
            <v>200878.64</v>
          </cell>
        </row>
        <row r="171">
          <cell r="G171">
            <v>89324.49</v>
          </cell>
        </row>
        <row r="172">
          <cell r="G172">
            <v>36017.89</v>
          </cell>
        </row>
        <row r="173">
          <cell r="G173">
            <v>2286.7399999999998</v>
          </cell>
        </row>
        <row r="174">
          <cell r="G174">
            <v>2679.3</v>
          </cell>
        </row>
        <row r="175">
          <cell r="G175">
            <v>1074924.9099999999</v>
          </cell>
        </row>
        <row r="176">
          <cell r="G176">
            <v>6612.65</v>
          </cell>
        </row>
        <row r="177">
          <cell r="G177">
            <v>2536.46</v>
          </cell>
        </row>
        <row r="178">
          <cell r="G178">
            <v>3483.4</v>
          </cell>
        </row>
        <row r="179">
          <cell r="G179">
            <v>12476.44</v>
          </cell>
        </row>
        <row r="180">
          <cell r="G180">
            <v>9691.5499999999993</v>
          </cell>
        </row>
        <row r="181">
          <cell r="G181">
            <v>642213.85</v>
          </cell>
        </row>
        <row r="182">
          <cell r="G182">
            <v>-0.01</v>
          </cell>
        </row>
        <row r="183">
          <cell r="G183">
            <v>34496.870000000003</v>
          </cell>
        </row>
        <row r="184">
          <cell r="G184">
            <v>0</v>
          </cell>
        </row>
        <row r="185">
          <cell r="G185">
            <v>17389.55</v>
          </cell>
        </row>
        <row r="186">
          <cell r="G186">
            <v>0</v>
          </cell>
        </row>
        <row r="187">
          <cell r="G187">
            <v>37060368.390000001</v>
          </cell>
        </row>
        <row r="188">
          <cell r="G188">
            <v>463274.23</v>
          </cell>
        </row>
        <row r="189">
          <cell r="G189">
            <v>689745.39</v>
          </cell>
        </row>
        <row r="190">
          <cell r="G190">
            <v>491417.95</v>
          </cell>
        </row>
        <row r="191">
          <cell r="G191">
            <v>1033857.04</v>
          </cell>
        </row>
        <row r="192">
          <cell r="G192">
            <v>15796.45</v>
          </cell>
        </row>
        <row r="193">
          <cell r="G193">
            <v>1136873.6399999999</v>
          </cell>
        </row>
        <row r="194">
          <cell r="G194">
            <v>327404.81</v>
          </cell>
        </row>
        <row r="195">
          <cell r="G195">
            <v>0</v>
          </cell>
        </row>
        <row r="196">
          <cell r="G196">
            <v>0</v>
          </cell>
        </row>
        <row r="197">
          <cell r="G197">
            <v>4617129.67</v>
          </cell>
        </row>
        <row r="198">
          <cell r="G198">
            <v>884823.95</v>
          </cell>
        </row>
        <row r="199">
          <cell r="G199">
            <v>637957.69999999995</v>
          </cell>
        </row>
        <row r="200">
          <cell r="G200">
            <v>2168776.31</v>
          </cell>
        </row>
        <row r="201">
          <cell r="G201">
            <v>0</v>
          </cell>
        </row>
        <row r="202">
          <cell r="G202">
            <v>1301369.42</v>
          </cell>
        </row>
        <row r="203">
          <cell r="G203">
            <v>936556.59</v>
          </cell>
        </row>
        <row r="204">
          <cell r="G204">
            <v>839745.29</v>
          </cell>
        </row>
        <row r="205">
          <cell r="G205">
            <v>417361.38</v>
          </cell>
        </row>
        <row r="206">
          <cell r="G206">
            <v>658043.13</v>
          </cell>
        </row>
        <row r="207">
          <cell r="G207">
            <v>456112.99</v>
          </cell>
        </row>
        <row r="208">
          <cell r="G208">
            <v>1411520.88</v>
          </cell>
        </row>
        <row r="209">
          <cell r="G209">
            <v>1179412.5900000001</v>
          </cell>
        </row>
        <row r="210">
          <cell r="G210">
            <v>0</v>
          </cell>
        </row>
        <row r="211">
          <cell r="G211">
            <v>998700.43</v>
          </cell>
        </row>
        <row r="212">
          <cell r="G212">
            <v>617875.87</v>
          </cell>
        </row>
        <row r="213">
          <cell r="G213">
            <v>0</v>
          </cell>
        </row>
        <row r="214">
          <cell r="G214">
            <v>96166.12</v>
          </cell>
        </row>
        <row r="215">
          <cell r="G215">
            <v>485576.65</v>
          </cell>
        </row>
        <row r="216">
          <cell r="G216">
            <v>1754591.99</v>
          </cell>
        </row>
        <row r="217">
          <cell r="G217">
            <v>1792306.07</v>
          </cell>
        </row>
        <row r="218">
          <cell r="G218">
            <v>7903240.3499999996</v>
          </cell>
        </row>
        <row r="219">
          <cell r="G219">
            <v>2252438.79</v>
          </cell>
        </row>
        <row r="220">
          <cell r="G220">
            <v>2320353.16</v>
          </cell>
        </row>
        <row r="221">
          <cell r="G221">
            <v>9556035.9600000009</v>
          </cell>
        </row>
        <row r="222">
          <cell r="G222">
            <v>0</v>
          </cell>
        </row>
        <row r="223">
          <cell r="G223">
            <v>3580356.62</v>
          </cell>
        </row>
        <row r="224">
          <cell r="G224">
            <v>1934253.72</v>
          </cell>
        </row>
        <row r="225">
          <cell r="G225">
            <v>3423325.91</v>
          </cell>
        </row>
        <row r="226">
          <cell r="G226">
            <v>3479136.09</v>
          </cell>
        </row>
        <row r="227">
          <cell r="G227">
            <v>3477659.5</v>
          </cell>
        </row>
        <row r="228">
          <cell r="G228">
            <v>2266853.6</v>
          </cell>
        </row>
        <row r="229">
          <cell r="G229">
            <v>2848049.68</v>
          </cell>
        </row>
        <row r="230">
          <cell r="G230">
            <v>2883398.64</v>
          </cell>
        </row>
        <row r="231">
          <cell r="G231">
            <v>0</v>
          </cell>
        </row>
        <row r="232">
          <cell r="G232">
            <v>5706465.3700000001</v>
          </cell>
        </row>
        <row r="233">
          <cell r="G233">
            <v>3948769.63</v>
          </cell>
        </row>
        <row r="234">
          <cell r="G234">
            <v>0</v>
          </cell>
        </row>
        <row r="235">
          <cell r="G235">
            <v>789314.12</v>
          </cell>
        </row>
        <row r="236">
          <cell r="G236">
            <v>0</v>
          </cell>
        </row>
        <row r="237">
          <cell r="G237">
            <v>24040394.850000001</v>
          </cell>
        </row>
        <row r="238">
          <cell r="G238">
            <v>1699378.62</v>
          </cell>
        </row>
        <row r="239">
          <cell r="G239">
            <v>6164024.7300000004</v>
          </cell>
        </row>
        <row r="240">
          <cell r="G240">
            <v>2781817.2</v>
          </cell>
        </row>
        <row r="241">
          <cell r="G241">
            <v>0.02</v>
          </cell>
        </row>
        <row r="242">
          <cell r="G242">
            <v>21342.86</v>
          </cell>
        </row>
        <row r="243">
          <cell r="G243">
            <v>1219.5899999999999</v>
          </cell>
        </row>
        <row r="244">
          <cell r="G244">
            <v>13465.94</v>
          </cell>
        </row>
        <row r="245">
          <cell r="G245">
            <v>11168.37</v>
          </cell>
        </row>
        <row r="246">
          <cell r="G246">
            <v>111009.88</v>
          </cell>
        </row>
        <row r="247">
          <cell r="G247">
            <v>13717.75</v>
          </cell>
        </row>
        <row r="248">
          <cell r="G248">
            <v>49738.21</v>
          </cell>
        </row>
        <row r="249">
          <cell r="G249">
            <v>30200.87</v>
          </cell>
        </row>
        <row r="250">
          <cell r="G250">
            <v>453230.82</v>
          </cell>
        </row>
        <row r="251">
          <cell r="G251">
            <v>152.44999999999999</v>
          </cell>
        </row>
        <row r="252">
          <cell r="G252">
            <v>152.44999999999999</v>
          </cell>
        </row>
        <row r="253">
          <cell r="G253">
            <v>54130.1</v>
          </cell>
        </row>
        <row r="254">
          <cell r="G254">
            <v>12806.54</v>
          </cell>
        </row>
        <row r="255">
          <cell r="G255">
            <v>7206.82</v>
          </cell>
        </row>
        <row r="256">
          <cell r="G256">
            <v>37267.68</v>
          </cell>
        </row>
        <row r="257">
          <cell r="G257">
            <v>19618.5</v>
          </cell>
        </row>
        <row r="258">
          <cell r="G258">
            <v>161.44</v>
          </cell>
        </row>
        <row r="259">
          <cell r="G259">
            <v>38216.6</v>
          </cell>
        </row>
        <row r="260">
          <cell r="G260">
            <v>3005.53</v>
          </cell>
        </row>
        <row r="261">
          <cell r="G261">
            <v>14517.42</v>
          </cell>
        </row>
        <row r="262">
          <cell r="G262">
            <v>9386.84</v>
          </cell>
        </row>
        <row r="263">
          <cell r="G263">
            <v>3288.03</v>
          </cell>
        </row>
        <row r="264">
          <cell r="G264">
            <v>0</v>
          </cell>
        </row>
        <row r="265">
          <cell r="G265">
            <v>5616283.3300000001</v>
          </cell>
        </row>
        <row r="266">
          <cell r="G266">
            <v>30411.62</v>
          </cell>
        </row>
        <row r="267">
          <cell r="G267">
            <v>0</v>
          </cell>
        </row>
        <row r="269">
          <cell r="G269">
            <v>324970.46000000002</v>
          </cell>
        </row>
        <row r="270">
          <cell r="G270">
            <v>0</v>
          </cell>
        </row>
        <row r="272">
          <cell r="G272">
            <v>1411313.23</v>
          </cell>
        </row>
        <row r="273">
          <cell r="G273">
            <v>9830767.1600000001</v>
          </cell>
        </row>
        <row r="274">
          <cell r="G274">
            <v>-548.63</v>
          </cell>
        </row>
        <row r="275">
          <cell r="G275">
            <v>-170.3</v>
          </cell>
        </row>
        <row r="276">
          <cell r="G276">
            <v>-913.59</v>
          </cell>
        </row>
        <row r="277">
          <cell r="G277">
            <v>-28.6</v>
          </cell>
        </row>
        <row r="278">
          <cell r="G278">
            <v>-23280.29</v>
          </cell>
        </row>
        <row r="279">
          <cell r="G279">
            <v>-205.68</v>
          </cell>
        </row>
        <row r="280">
          <cell r="G280">
            <v>-1798.87</v>
          </cell>
        </row>
        <row r="281">
          <cell r="G281">
            <v>-825.23</v>
          </cell>
        </row>
        <row r="282">
          <cell r="G282">
            <v>-14.61</v>
          </cell>
        </row>
        <row r="283">
          <cell r="G283">
            <v>-416.07</v>
          </cell>
        </row>
        <row r="284">
          <cell r="G284">
            <v>-301.8</v>
          </cell>
        </row>
        <row r="285">
          <cell r="G285">
            <v>-4986.49</v>
          </cell>
        </row>
        <row r="286">
          <cell r="G286">
            <v>-976.26</v>
          </cell>
        </row>
        <row r="287">
          <cell r="G287">
            <v>-2132.11</v>
          </cell>
        </row>
        <row r="288">
          <cell r="G288">
            <v>-109.98</v>
          </cell>
        </row>
        <row r="289">
          <cell r="G289">
            <v>-248.76</v>
          </cell>
        </row>
        <row r="290">
          <cell r="G290">
            <v>-2722.04</v>
          </cell>
        </row>
        <row r="291">
          <cell r="G291">
            <v>-4088.11</v>
          </cell>
        </row>
        <row r="292">
          <cell r="G292">
            <v>-902.44</v>
          </cell>
        </row>
        <row r="293">
          <cell r="G293">
            <v>-2313576.9900000002</v>
          </cell>
        </row>
        <row r="294">
          <cell r="G294">
            <v>-603592.88</v>
          </cell>
        </row>
        <row r="295">
          <cell r="G295">
            <v>-660599.96</v>
          </cell>
        </row>
        <row r="296">
          <cell r="G296">
            <v>-2281436.7000000002</v>
          </cell>
        </row>
        <row r="297">
          <cell r="G297">
            <v>0.01</v>
          </cell>
        </row>
        <row r="298">
          <cell r="G298">
            <v>-773553.96</v>
          </cell>
        </row>
        <row r="299">
          <cell r="G299">
            <v>-444675.26</v>
          </cell>
        </row>
        <row r="300">
          <cell r="G300">
            <v>-754764.63</v>
          </cell>
        </row>
        <row r="301">
          <cell r="G301">
            <v>-749426.79</v>
          </cell>
        </row>
        <row r="302">
          <cell r="G302">
            <v>-738489.86</v>
          </cell>
        </row>
        <row r="303">
          <cell r="G303">
            <v>-488636.17</v>
          </cell>
        </row>
        <row r="304">
          <cell r="G304">
            <v>-590177.59</v>
          </cell>
        </row>
        <row r="305">
          <cell r="G305">
            <v>-760365.12</v>
          </cell>
        </row>
        <row r="306">
          <cell r="G306">
            <v>0</v>
          </cell>
        </row>
        <row r="307">
          <cell r="G307">
            <v>-1510603.72</v>
          </cell>
        </row>
        <row r="308">
          <cell r="G308">
            <v>-897040.65</v>
          </cell>
        </row>
        <row r="309">
          <cell r="G309">
            <v>0</v>
          </cell>
        </row>
        <row r="310">
          <cell r="G310">
            <v>0</v>
          </cell>
        </row>
        <row r="311">
          <cell r="G311">
            <v>-204888.05</v>
          </cell>
        </row>
        <row r="312">
          <cell r="G312">
            <v>0</v>
          </cell>
        </row>
        <row r="313">
          <cell r="G313">
            <v>-7881135.1600000001</v>
          </cell>
        </row>
        <row r="314">
          <cell r="G314">
            <v>-441335.9</v>
          </cell>
        </row>
        <row r="315">
          <cell r="G315">
            <v>-1451191.61</v>
          </cell>
        </row>
        <row r="316">
          <cell r="G316">
            <v>-609064.82999999996</v>
          </cell>
        </row>
        <row r="317">
          <cell r="G317">
            <v>0</v>
          </cell>
        </row>
        <row r="318">
          <cell r="G318">
            <v>-491.52</v>
          </cell>
        </row>
        <row r="319">
          <cell r="G319">
            <v>-20916.009999999998</v>
          </cell>
        </row>
        <row r="320">
          <cell r="G320">
            <v>-1048.8499999999999</v>
          </cell>
        </row>
        <row r="321">
          <cell r="G321">
            <v>-8606.51</v>
          </cell>
        </row>
        <row r="322">
          <cell r="G322">
            <v>-11168.37</v>
          </cell>
        </row>
        <row r="323">
          <cell r="G323">
            <v>-92277.97</v>
          </cell>
        </row>
        <row r="324">
          <cell r="G324">
            <v>-13585.12</v>
          </cell>
        </row>
        <row r="325">
          <cell r="G325">
            <v>-42851.43</v>
          </cell>
        </row>
        <row r="326">
          <cell r="G326">
            <v>-30133.27</v>
          </cell>
        </row>
        <row r="327">
          <cell r="G327">
            <v>-272004.53000000003</v>
          </cell>
        </row>
        <row r="328">
          <cell r="G328">
            <v>-152.44999999999999</v>
          </cell>
        </row>
        <row r="329">
          <cell r="G329">
            <v>-152.44</v>
          </cell>
        </row>
        <row r="330">
          <cell r="G330">
            <v>-53109.52</v>
          </cell>
        </row>
        <row r="331">
          <cell r="G331">
            <v>-12806.53</v>
          </cell>
        </row>
        <row r="332">
          <cell r="G332">
            <v>-7206.81</v>
          </cell>
        </row>
        <row r="333">
          <cell r="G333">
            <v>-32527.09</v>
          </cell>
        </row>
        <row r="334">
          <cell r="G334">
            <v>-19618.5</v>
          </cell>
        </row>
        <row r="335">
          <cell r="G335">
            <v>-137.22999999999999</v>
          </cell>
        </row>
        <row r="336">
          <cell r="G336">
            <v>-28908.51</v>
          </cell>
        </row>
        <row r="337">
          <cell r="G337">
            <v>-1144.99</v>
          </cell>
        </row>
        <row r="338">
          <cell r="G338">
            <v>-9109.5300000000007</v>
          </cell>
        </row>
        <row r="339">
          <cell r="G339">
            <v>-7560.65</v>
          </cell>
        </row>
        <row r="340">
          <cell r="G340">
            <v>-931</v>
          </cell>
        </row>
        <row r="341">
          <cell r="G341">
            <v>0</v>
          </cell>
        </row>
        <row r="343">
          <cell r="G343">
            <v>-1739856.5</v>
          </cell>
        </row>
        <row r="344">
          <cell r="G344">
            <v>-1544966.26</v>
          </cell>
        </row>
        <row r="345">
          <cell r="G345">
            <v>-802155.65</v>
          </cell>
        </row>
        <row r="346">
          <cell r="G346">
            <v>-4073332.48</v>
          </cell>
        </row>
        <row r="347">
          <cell r="G347">
            <v>-2867931.75</v>
          </cell>
        </row>
        <row r="348">
          <cell r="G348">
            <v>-131667.84</v>
          </cell>
        </row>
        <row r="349">
          <cell r="G349">
            <v>-469905.81</v>
          </cell>
        </row>
        <row r="350">
          <cell r="G350">
            <v>-123858.78</v>
          </cell>
        </row>
        <row r="351">
          <cell r="G351">
            <v>-608741.74</v>
          </cell>
        </row>
        <row r="352">
          <cell r="G352">
            <v>-489287.28</v>
          </cell>
        </row>
        <row r="353">
          <cell r="G353">
            <v>-905877.1</v>
          </cell>
        </row>
        <row r="354">
          <cell r="G354">
            <v>-525858.98</v>
          </cell>
        </row>
        <row r="355">
          <cell r="G355">
            <v>-516696.27</v>
          </cell>
        </row>
        <row r="356">
          <cell r="G356">
            <v>-480571.51</v>
          </cell>
        </row>
        <row r="357">
          <cell r="G357">
            <v>-281478.94</v>
          </cell>
        </row>
        <row r="358">
          <cell r="G358">
            <v>-701946.28</v>
          </cell>
        </row>
        <row r="359">
          <cell r="G359">
            <v>-461693.35</v>
          </cell>
        </row>
        <row r="360">
          <cell r="G360">
            <v>-583710.59</v>
          </cell>
        </row>
        <row r="361">
          <cell r="G361">
            <v>-502282.34</v>
          </cell>
        </row>
        <row r="362">
          <cell r="G362">
            <v>-207386.74</v>
          </cell>
        </row>
        <row r="363">
          <cell r="G363">
            <v>-838599.14</v>
          </cell>
        </row>
        <row r="364">
          <cell r="G364">
            <v>-99814.43</v>
          </cell>
        </row>
        <row r="365">
          <cell r="G365">
            <v>-42661.95</v>
          </cell>
        </row>
        <row r="366">
          <cell r="G366">
            <v>-49416.94</v>
          </cell>
        </row>
        <row r="367">
          <cell r="G367">
            <v>-53826.52</v>
          </cell>
        </row>
        <row r="368">
          <cell r="G368">
            <v>-30349.79</v>
          </cell>
        </row>
        <row r="369">
          <cell r="G369">
            <v>-29219.86</v>
          </cell>
        </row>
        <row r="370">
          <cell r="G370">
            <v>-1367751.73</v>
          </cell>
        </row>
        <row r="371">
          <cell r="G371">
            <v>-15301.08</v>
          </cell>
        </row>
        <row r="372">
          <cell r="G372">
            <v>-1765772.45</v>
          </cell>
        </row>
        <row r="373">
          <cell r="G373">
            <v>-3468752.52</v>
          </cell>
        </row>
        <row r="374">
          <cell r="G374">
            <v>-3438189.27</v>
          </cell>
        </row>
        <row r="375">
          <cell r="G375">
            <v>-3425115.22</v>
          </cell>
        </row>
        <row r="376">
          <cell r="G376">
            <v>-5083859.5199999996</v>
          </cell>
        </row>
        <row r="377">
          <cell r="G377">
            <v>0</v>
          </cell>
        </row>
        <row r="378">
          <cell r="G378">
            <v>-255492.12</v>
          </cell>
        </row>
        <row r="379">
          <cell r="G379">
            <v>0</v>
          </cell>
        </row>
        <row r="380">
          <cell r="G380">
            <v>-2083337.37</v>
          </cell>
        </row>
        <row r="381">
          <cell r="G381">
            <v>-296604.46999999997</v>
          </cell>
        </row>
        <row r="382">
          <cell r="G382">
            <v>-182039.08</v>
          </cell>
        </row>
        <row r="383">
          <cell r="G383">
            <v>-70198.460000000006</v>
          </cell>
        </row>
        <row r="384">
          <cell r="G384">
            <v>-155141.26999999999</v>
          </cell>
        </row>
        <row r="385">
          <cell r="G385">
            <v>-115703.92</v>
          </cell>
        </row>
        <row r="386">
          <cell r="G386">
            <v>-40043.699999999997</v>
          </cell>
        </row>
        <row r="387">
          <cell r="G387">
            <v>-3441.04</v>
          </cell>
        </row>
        <row r="388">
          <cell r="G388">
            <v>-23826.83</v>
          </cell>
        </row>
        <row r="389">
          <cell r="G389">
            <v>-246130.46</v>
          </cell>
        </row>
        <row r="390">
          <cell r="G390">
            <v>-3565.59</v>
          </cell>
        </row>
        <row r="391">
          <cell r="G391">
            <v>-17099.39</v>
          </cell>
        </row>
        <row r="392">
          <cell r="G392">
            <v>-277858.34999999998</v>
          </cell>
        </row>
        <row r="393">
          <cell r="G393">
            <v>-397646.22</v>
          </cell>
        </row>
        <row r="394">
          <cell r="G394">
            <v>-113149.56</v>
          </cell>
        </row>
        <row r="395">
          <cell r="G395">
            <v>-72274.67</v>
          </cell>
        </row>
        <row r="396">
          <cell r="G396">
            <v>-14332.45</v>
          </cell>
        </row>
        <row r="397">
          <cell r="G397">
            <v>-342532.46</v>
          </cell>
        </row>
        <row r="398">
          <cell r="G398">
            <v>-63537.02</v>
          </cell>
        </row>
        <row r="399">
          <cell r="G399">
            <v>-194231.61</v>
          </cell>
        </row>
        <row r="400">
          <cell r="G400">
            <v>-88385.96</v>
          </cell>
        </row>
        <row r="401">
          <cell r="G401">
            <v>-13671.03</v>
          </cell>
        </row>
        <row r="402">
          <cell r="G402">
            <v>-1143.29</v>
          </cell>
        </row>
        <row r="403">
          <cell r="G403">
            <v>-438453.1</v>
          </cell>
        </row>
        <row r="404">
          <cell r="G404">
            <v>0</v>
          </cell>
        </row>
        <row r="405">
          <cell r="G405">
            <v>-2542.39</v>
          </cell>
        </row>
        <row r="406">
          <cell r="G406">
            <v>-380.46</v>
          </cell>
        </row>
        <row r="407">
          <cell r="G407">
            <v>-785.64</v>
          </cell>
        </row>
        <row r="408">
          <cell r="G408">
            <v>-2459.13</v>
          </cell>
        </row>
        <row r="409">
          <cell r="G409">
            <v>-3689.44</v>
          </cell>
        </row>
        <row r="410">
          <cell r="G410">
            <v>-15149.97</v>
          </cell>
        </row>
        <row r="412">
          <cell r="G412">
            <v>-2140.59</v>
          </cell>
        </row>
        <row r="413">
          <cell r="G413">
            <v>0</v>
          </cell>
        </row>
        <row r="414">
          <cell r="G414">
            <v>-13890.2</v>
          </cell>
        </row>
        <row r="415">
          <cell r="G415">
            <v>0</v>
          </cell>
        </row>
        <row r="416">
          <cell r="G416">
            <v>-35421769.869999997</v>
          </cell>
        </row>
        <row r="417">
          <cell r="G417">
            <v>-429044.34</v>
          </cell>
        </row>
        <row r="418">
          <cell r="G418">
            <v>-545793.9</v>
          </cell>
        </row>
        <row r="419">
          <cell r="G419">
            <v>-333673.8</v>
          </cell>
        </row>
        <row r="420">
          <cell r="G420">
            <v>-645053.09</v>
          </cell>
        </row>
        <row r="421">
          <cell r="G421">
            <v>-6061.09</v>
          </cell>
        </row>
        <row r="422">
          <cell r="G422">
            <v>-899120.21</v>
          </cell>
        </row>
        <row r="423">
          <cell r="G423">
            <v>-296592.56</v>
          </cell>
        </row>
        <row r="424">
          <cell r="G424">
            <v>0</v>
          </cell>
        </row>
        <row r="425">
          <cell r="G425">
            <v>-1369036.38</v>
          </cell>
        </row>
        <row r="426">
          <cell r="G426">
            <v>-238902.45</v>
          </cell>
        </row>
        <row r="427">
          <cell r="G427">
            <v>-181738.45</v>
          </cell>
        </row>
        <row r="428">
          <cell r="G428">
            <v>-517778.64</v>
          </cell>
        </row>
        <row r="429">
          <cell r="G429">
            <v>0</v>
          </cell>
        </row>
        <row r="430">
          <cell r="G430">
            <v>-281165.03000000003</v>
          </cell>
        </row>
        <row r="431">
          <cell r="G431">
            <v>-215309.33</v>
          </cell>
        </row>
        <row r="432">
          <cell r="G432">
            <v>-185144.62</v>
          </cell>
        </row>
        <row r="433">
          <cell r="G433">
            <v>-89906.3</v>
          </cell>
        </row>
        <row r="434">
          <cell r="G434">
            <v>-139736.78</v>
          </cell>
        </row>
        <row r="435">
          <cell r="G435">
            <v>-98319.37</v>
          </cell>
        </row>
        <row r="436">
          <cell r="G436">
            <v>-292496.77</v>
          </cell>
        </row>
        <row r="437">
          <cell r="G437">
            <v>-316902.15000000002</v>
          </cell>
        </row>
        <row r="438">
          <cell r="G438">
            <v>0</v>
          </cell>
        </row>
        <row r="439">
          <cell r="G439">
            <v>-269649.09999999998</v>
          </cell>
        </row>
        <row r="440">
          <cell r="G440">
            <v>-140362.65</v>
          </cell>
        </row>
        <row r="441">
          <cell r="G441">
            <v>0</v>
          </cell>
        </row>
        <row r="442">
          <cell r="G442">
            <v>0</v>
          </cell>
        </row>
        <row r="443">
          <cell r="G443">
            <v>-24962.51</v>
          </cell>
        </row>
        <row r="444">
          <cell r="G444">
            <v>-159621.22</v>
          </cell>
        </row>
        <row r="445">
          <cell r="G445">
            <v>-413081.84</v>
          </cell>
        </row>
        <row r="446">
          <cell r="G446">
            <v>-392416.45</v>
          </cell>
        </row>
        <row r="447">
          <cell r="G447">
            <v>0</v>
          </cell>
        </row>
        <row r="448">
          <cell r="G448">
            <v>0</v>
          </cell>
        </row>
        <row r="449">
          <cell r="G449">
            <v>-27395532.539999999</v>
          </cell>
        </row>
        <row r="450">
          <cell r="G450">
            <v>0</v>
          </cell>
        </row>
        <row r="451">
          <cell r="G451">
            <v>0</v>
          </cell>
        </row>
        <row r="452">
          <cell r="G452">
            <v>0</v>
          </cell>
        </row>
        <row r="453">
          <cell r="G453">
            <v>0</v>
          </cell>
        </row>
        <row r="454">
          <cell r="G454">
            <v>630318.38</v>
          </cell>
        </row>
        <row r="455">
          <cell r="G455">
            <v>34570.97</v>
          </cell>
        </row>
        <row r="456">
          <cell r="G456">
            <v>982389.68</v>
          </cell>
        </row>
        <row r="457">
          <cell r="G457">
            <v>92690.49</v>
          </cell>
        </row>
        <row r="458">
          <cell r="G458">
            <v>278462.07</v>
          </cell>
        </row>
        <row r="459">
          <cell r="G459">
            <v>636552.68999999994</v>
          </cell>
        </row>
        <row r="460">
          <cell r="G460">
            <v>394843.38</v>
          </cell>
        </row>
        <row r="461">
          <cell r="G461">
            <v>546776.43999999994</v>
          </cell>
        </row>
        <row r="462">
          <cell r="G462">
            <v>499943.26</v>
          </cell>
        </row>
        <row r="463">
          <cell r="G463">
            <v>627582.69999999995</v>
          </cell>
        </row>
        <row r="464">
          <cell r="G464">
            <v>291967.84999999998</v>
          </cell>
        </row>
        <row r="465">
          <cell r="G465">
            <v>179107.39</v>
          </cell>
        </row>
        <row r="466">
          <cell r="G466">
            <v>126426.02</v>
          </cell>
        </row>
        <row r="467">
          <cell r="G467">
            <v>1694256.51</v>
          </cell>
        </row>
        <row r="468">
          <cell r="G468">
            <v>245158.39999999999</v>
          </cell>
        </row>
        <row r="469">
          <cell r="G469">
            <v>267835.39</v>
          </cell>
        </row>
        <row r="470">
          <cell r="G470">
            <v>71894.5</v>
          </cell>
        </row>
        <row r="471">
          <cell r="G471">
            <v>2474114.23</v>
          </cell>
        </row>
        <row r="472">
          <cell r="G472">
            <v>224059.32</v>
          </cell>
        </row>
        <row r="473">
          <cell r="G473">
            <v>114687.96</v>
          </cell>
        </row>
        <row r="474">
          <cell r="G474">
            <v>114781.64</v>
          </cell>
        </row>
        <row r="475">
          <cell r="G475">
            <v>520156.86</v>
          </cell>
        </row>
        <row r="476">
          <cell r="G476">
            <v>868375.97</v>
          </cell>
        </row>
        <row r="477">
          <cell r="G477">
            <v>152781.99</v>
          </cell>
        </row>
        <row r="478">
          <cell r="G478">
            <v>244153.75</v>
          </cell>
        </row>
        <row r="479">
          <cell r="G479">
            <v>7857.53</v>
          </cell>
        </row>
        <row r="480">
          <cell r="G480">
            <v>1342704.52</v>
          </cell>
        </row>
        <row r="481">
          <cell r="G481">
            <v>1884828.3</v>
          </cell>
        </row>
        <row r="482">
          <cell r="G482">
            <v>423102.7</v>
          </cell>
        </row>
        <row r="483">
          <cell r="G483">
            <v>3588869.13</v>
          </cell>
        </row>
        <row r="484">
          <cell r="G484">
            <v>78498.929999999993</v>
          </cell>
        </row>
        <row r="485">
          <cell r="G485">
            <v>257965.96</v>
          </cell>
        </row>
        <row r="486">
          <cell r="G486">
            <v>692717.14</v>
          </cell>
        </row>
        <row r="487">
          <cell r="G487">
            <v>134896.16</v>
          </cell>
        </row>
        <row r="488">
          <cell r="G488">
            <v>786849.42</v>
          </cell>
        </row>
        <row r="489">
          <cell r="G489">
            <v>1577496.75</v>
          </cell>
        </row>
        <row r="490">
          <cell r="G490">
            <v>919616.63</v>
          </cell>
        </row>
        <row r="491">
          <cell r="G491">
            <v>369609.93</v>
          </cell>
        </row>
        <row r="492">
          <cell r="G492">
            <v>381319.86</v>
          </cell>
        </row>
        <row r="493">
          <cell r="G493">
            <v>225500.39</v>
          </cell>
        </row>
        <row r="494">
          <cell r="G494">
            <v>285536.24</v>
          </cell>
        </row>
        <row r="495">
          <cell r="G495">
            <v>176346.61</v>
          </cell>
        </row>
        <row r="496">
          <cell r="G496">
            <v>580883.97</v>
          </cell>
        </row>
        <row r="497">
          <cell r="G497">
            <v>1690384.08</v>
          </cell>
        </row>
        <row r="498">
          <cell r="G498">
            <v>186700.75</v>
          </cell>
        </row>
        <row r="499">
          <cell r="G499">
            <v>720657.49</v>
          </cell>
        </row>
        <row r="500">
          <cell r="G500">
            <v>22774.639999999999</v>
          </cell>
        </row>
        <row r="501">
          <cell r="G501">
            <v>3534732.24</v>
          </cell>
        </row>
        <row r="502">
          <cell r="G502">
            <v>966564.91</v>
          </cell>
        </row>
        <row r="503">
          <cell r="G503">
            <v>682977.84</v>
          </cell>
        </row>
        <row r="504">
          <cell r="G504">
            <v>484936.35</v>
          </cell>
        </row>
        <row r="505">
          <cell r="G505">
            <v>407144.17</v>
          </cell>
        </row>
        <row r="506">
          <cell r="G506">
            <v>221.72</v>
          </cell>
        </row>
        <row r="507">
          <cell r="G507">
            <v>365315.01</v>
          </cell>
        </row>
        <row r="508">
          <cell r="G508">
            <v>323173.40999999997</v>
          </cell>
        </row>
        <row r="509">
          <cell r="G509">
            <v>610401.75</v>
          </cell>
        </row>
        <row r="510">
          <cell r="G510">
            <v>0</v>
          </cell>
        </row>
        <row r="511">
          <cell r="G511">
            <v>350313.21</v>
          </cell>
        </row>
        <row r="512">
          <cell r="G512">
            <v>564061.36</v>
          </cell>
        </row>
        <row r="513">
          <cell r="G513">
            <v>461397.16</v>
          </cell>
        </row>
        <row r="514">
          <cell r="G514">
            <v>3710609.08</v>
          </cell>
        </row>
        <row r="515">
          <cell r="G515">
            <v>13339289.01</v>
          </cell>
        </row>
        <row r="516">
          <cell r="G516">
            <v>5876909.6100000003</v>
          </cell>
        </row>
        <row r="517">
          <cell r="G517">
            <v>2611863.16</v>
          </cell>
        </row>
        <row r="518">
          <cell r="G518">
            <v>4502858.4800000004</v>
          </cell>
        </row>
        <row r="519">
          <cell r="G519">
            <v>1845588.51</v>
          </cell>
        </row>
        <row r="520">
          <cell r="G520">
            <v>1758274.47</v>
          </cell>
        </row>
        <row r="521">
          <cell r="G521">
            <v>11906268.25</v>
          </cell>
        </row>
        <row r="522">
          <cell r="G522">
            <v>8815364.4199999999</v>
          </cell>
        </row>
        <row r="523">
          <cell r="G523">
            <v>48466.98</v>
          </cell>
        </row>
        <row r="524">
          <cell r="G524">
            <v>59342.59</v>
          </cell>
        </row>
        <row r="525">
          <cell r="G525">
            <v>39835.42</v>
          </cell>
        </row>
        <row r="526">
          <cell r="G526">
            <v>7967.43</v>
          </cell>
        </row>
        <row r="527">
          <cell r="G527">
            <v>1219.5899999999999</v>
          </cell>
        </row>
        <row r="528">
          <cell r="G528">
            <v>71228.91</v>
          </cell>
        </row>
        <row r="529">
          <cell r="G529">
            <v>558016.96</v>
          </cell>
        </row>
        <row r="530">
          <cell r="G530">
            <v>1531661.26</v>
          </cell>
        </row>
        <row r="531">
          <cell r="G531">
            <v>628536.47</v>
          </cell>
        </row>
        <row r="532">
          <cell r="G532">
            <v>-346995.26</v>
          </cell>
        </row>
        <row r="533">
          <cell r="G533">
            <v>-264197.46999999997</v>
          </cell>
        </row>
        <row r="534">
          <cell r="G534">
            <v>-1070834.18</v>
          </cell>
        </row>
        <row r="535">
          <cell r="G535">
            <v>-1620987.67</v>
          </cell>
        </row>
        <row r="536">
          <cell r="G536">
            <v>-581360.38</v>
          </cell>
        </row>
        <row r="537">
          <cell r="G537">
            <v>-319524.24</v>
          </cell>
        </row>
        <row r="538">
          <cell r="G538">
            <v>-1422554.4</v>
          </cell>
        </row>
        <row r="539">
          <cell r="G539">
            <v>-1125731.02</v>
          </cell>
        </row>
        <row r="540">
          <cell r="G540">
            <v>-42458.52</v>
          </cell>
        </row>
        <row r="541">
          <cell r="G541">
            <v>-44748.27</v>
          </cell>
        </row>
        <row r="542">
          <cell r="G542">
            <v>-21316.95</v>
          </cell>
        </row>
        <row r="543">
          <cell r="G543">
            <v>-6385.95</v>
          </cell>
        </row>
        <row r="544">
          <cell r="G544">
            <v>-1219.5899999999999</v>
          </cell>
        </row>
        <row r="545">
          <cell r="G545">
            <v>-61717.02</v>
          </cell>
        </row>
        <row r="546">
          <cell r="G546">
            <v>-126405.71</v>
          </cell>
        </row>
        <row r="547">
          <cell r="G547">
            <v>-263021.28000000003</v>
          </cell>
        </row>
        <row r="548">
          <cell r="G548">
            <v>-338339.23</v>
          </cell>
        </row>
        <row r="549">
          <cell r="G549">
            <v>-664674.17000000004</v>
          </cell>
        </row>
      </sheetData>
      <sheetData sheetId="4" refreshError="1"/>
      <sheetData sheetId="5" refreshError="1"/>
    </sheetDataSet>
  </externalBook>
</externalLink>
</file>

<file path=xl/externalLinks/externalLink2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Feuil3"/>
      <sheetName val="A5"/>
      <sheetName val="EXPERTISE"/>
      <sheetName val="BALANCE"/>
      <sheetName val="BALANCES"/>
      <sheetName val="Feuil1"/>
    </sheetNames>
    <sheetDataSet>
      <sheetData sheetId="0" refreshError="1"/>
      <sheetData sheetId="1" refreshError="1"/>
      <sheetData sheetId="2" refreshError="1">
        <row r="2">
          <cell r="B2" t="str">
            <v>I0137</v>
          </cell>
          <cell r="H2">
            <v>1600000</v>
          </cell>
        </row>
        <row r="3">
          <cell r="B3" t="str">
            <v>I0151</v>
          </cell>
          <cell r="H3">
            <v>5800000</v>
          </cell>
        </row>
        <row r="4">
          <cell r="B4" t="str">
            <v>I0511</v>
          </cell>
          <cell r="H4">
            <v>4050000</v>
          </cell>
        </row>
        <row r="5">
          <cell r="B5" t="str">
            <v>I0810</v>
          </cell>
          <cell r="H5">
            <v>15300000</v>
          </cell>
        </row>
        <row r="6">
          <cell r="B6" t="str">
            <v>I0132</v>
          </cell>
          <cell r="H6">
            <v>36000000</v>
          </cell>
        </row>
        <row r="7">
          <cell r="B7" t="str">
            <v>I0134</v>
          </cell>
          <cell r="H7">
            <v>9000000</v>
          </cell>
        </row>
        <row r="8">
          <cell r="B8" t="str">
            <v>I0136</v>
          </cell>
          <cell r="H8">
            <v>0</v>
          </cell>
        </row>
        <row r="9">
          <cell r="B9" t="str">
            <v>I0142</v>
          </cell>
          <cell r="H9">
            <v>40000000</v>
          </cell>
        </row>
        <row r="10">
          <cell r="B10" t="str">
            <v>I0144</v>
          </cell>
          <cell r="H10">
            <v>1100000</v>
          </cell>
        </row>
        <row r="11">
          <cell r="B11" t="str">
            <v>I0145</v>
          </cell>
          <cell r="H11">
            <v>0</v>
          </cell>
        </row>
        <row r="12">
          <cell r="B12" t="str">
            <v>I0150</v>
          </cell>
          <cell r="H12">
            <v>14000000</v>
          </cell>
        </row>
        <row r="13">
          <cell r="B13" t="str">
            <v>I0153</v>
          </cell>
          <cell r="H13">
            <v>7200000</v>
          </cell>
        </row>
        <row r="14">
          <cell r="B14" t="str">
            <v>I0157</v>
          </cell>
          <cell r="H14">
            <v>7780000</v>
          </cell>
        </row>
        <row r="15">
          <cell r="B15" t="str">
            <v>I0161</v>
          </cell>
          <cell r="H15">
            <v>7700000</v>
          </cell>
        </row>
        <row r="16">
          <cell r="B16" t="str">
            <v>I0166</v>
          </cell>
          <cell r="H16">
            <v>6700000</v>
          </cell>
        </row>
        <row r="17">
          <cell r="B17" t="str">
            <v>I0187</v>
          </cell>
          <cell r="H17">
            <v>5200000</v>
          </cell>
        </row>
        <row r="18">
          <cell r="B18" t="str">
            <v>I0203</v>
          </cell>
          <cell r="H18">
            <v>5350000</v>
          </cell>
        </row>
        <row r="19">
          <cell r="B19" t="str">
            <v>I0209</v>
          </cell>
          <cell r="H19">
            <v>10500000</v>
          </cell>
        </row>
        <row r="20">
          <cell r="B20" t="str">
            <v>I0210</v>
          </cell>
          <cell r="H20">
            <v>0</v>
          </cell>
        </row>
        <row r="21">
          <cell r="B21" t="str">
            <v>I0214</v>
          </cell>
          <cell r="H21">
            <v>8700000</v>
          </cell>
        </row>
        <row r="22">
          <cell r="B22" t="str">
            <v>I0221</v>
          </cell>
          <cell r="H22">
            <v>6100000</v>
          </cell>
        </row>
        <row r="23">
          <cell r="B23" t="str">
            <v>I0227</v>
          </cell>
          <cell r="H23">
            <v>2500000</v>
          </cell>
        </row>
        <row r="24">
          <cell r="B24" t="str">
            <v>I0240</v>
          </cell>
          <cell r="H24">
            <v>23000000</v>
          </cell>
        </row>
        <row r="25">
          <cell r="B25" t="str">
            <v>I0241</v>
          </cell>
          <cell r="H25">
            <v>7000000</v>
          </cell>
        </row>
        <row r="26">
          <cell r="B26" t="str">
            <v>I0244</v>
          </cell>
          <cell r="H26">
            <v>94670000</v>
          </cell>
        </row>
        <row r="27">
          <cell r="B27" t="str">
            <v>I0245</v>
          </cell>
          <cell r="H27">
            <v>2750000</v>
          </cell>
        </row>
        <row r="28">
          <cell r="B28" t="str">
            <v>I0246</v>
          </cell>
          <cell r="H28">
            <v>42470000</v>
          </cell>
        </row>
        <row r="29">
          <cell r="B29" t="str">
            <v>I0259</v>
          </cell>
          <cell r="H29">
            <v>13300000</v>
          </cell>
        </row>
        <row r="30">
          <cell r="B30" t="str">
            <v>I0271</v>
          </cell>
          <cell r="H30">
            <v>11812500</v>
          </cell>
        </row>
        <row r="31">
          <cell r="B31" t="str">
            <v>I0294</v>
          </cell>
          <cell r="H31">
            <v>12750000</v>
          </cell>
        </row>
        <row r="32">
          <cell r="B32" t="str">
            <v>I0402</v>
          </cell>
          <cell r="H32">
            <v>10630000</v>
          </cell>
        </row>
        <row r="33">
          <cell r="B33" t="str">
            <v>I0428</v>
          </cell>
          <cell r="H33">
            <v>24200000</v>
          </cell>
        </row>
        <row r="34">
          <cell r="B34" t="str">
            <v>I0447</v>
          </cell>
          <cell r="H34">
            <v>18080000</v>
          </cell>
        </row>
        <row r="35">
          <cell r="B35" t="str">
            <v>I0461</v>
          </cell>
          <cell r="H35">
            <v>33009999.999999996</v>
          </cell>
        </row>
        <row r="36">
          <cell r="B36" t="str">
            <v>I0466</v>
          </cell>
          <cell r="H36">
            <v>38570000</v>
          </cell>
        </row>
        <row r="37">
          <cell r="B37" t="str">
            <v>I0513</v>
          </cell>
          <cell r="H37">
            <v>860000</v>
          </cell>
        </row>
        <row r="38">
          <cell r="B38" t="str">
            <v>I0519</v>
          </cell>
          <cell r="H38">
            <v>23000000</v>
          </cell>
        </row>
        <row r="39">
          <cell r="B39" t="str">
            <v>I0802</v>
          </cell>
          <cell r="H39">
            <v>12100000</v>
          </cell>
        </row>
        <row r="40">
          <cell r="B40" t="str">
            <v>I0805</v>
          </cell>
          <cell r="H40">
            <v>7200000</v>
          </cell>
        </row>
        <row r="41">
          <cell r="B41" t="str">
            <v>I0812</v>
          </cell>
          <cell r="H41">
            <v>1900000</v>
          </cell>
        </row>
        <row r="42">
          <cell r="B42" t="str">
            <v>F0085</v>
          </cell>
          <cell r="H42">
            <v>1300000</v>
          </cell>
        </row>
        <row r="43">
          <cell r="B43" t="str">
            <v>F0086</v>
          </cell>
          <cell r="H43">
            <v>207000</v>
          </cell>
        </row>
        <row r="44">
          <cell r="B44" t="str">
            <v>F0097</v>
          </cell>
          <cell r="H44">
            <v>1415000</v>
          </cell>
        </row>
        <row r="45">
          <cell r="B45" t="str">
            <v>F0098</v>
          </cell>
          <cell r="H45">
            <v>324000</v>
          </cell>
        </row>
        <row r="46">
          <cell r="B46" t="str">
            <v>F0102</v>
          </cell>
          <cell r="H46">
            <v>417000</v>
          </cell>
        </row>
        <row r="47">
          <cell r="B47" t="str">
            <v>F0103</v>
          </cell>
          <cell r="H47">
            <v>1649000</v>
          </cell>
        </row>
        <row r="48">
          <cell r="B48" t="str">
            <v>F0106</v>
          </cell>
          <cell r="H48">
            <v>1249000</v>
          </cell>
        </row>
        <row r="49">
          <cell r="B49" t="str">
            <v>F0109</v>
          </cell>
          <cell r="H49">
            <v>1197000</v>
          </cell>
        </row>
        <row r="50">
          <cell r="B50" t="str">
            <v>F0111</v>
          </cell>
          <cell r="H50">
            <v>1205000</v>
          </cell>
        </row>
        <row r="51">
          <cell r="B51" t="str">
            <v>F0114</v>
          </cell>
          <cell r="H51">
            <v>979000</v>
          </cell>
        </row>
        <row r="52">
          <cell r="B52" t="str">
            <v>F0118</v>
          </cell>
          <cell r="H52">
            <v>377000</v>
          </cell>
        </row>
        <row r="53">
          <cell r="B53" t="str">
            <v>F0120</v>
          </cell>
          <cell r="H53">
            <v>452000</v>
          </cell>
        </row>
        <row r="54">
          <cell r="B54" t="str">
            <v>F0125</v>
          </cell>
          <cell r="H54">
            <v>367000</v>
          </cell>
        </row>
        <row r="55">
          <cell r="B55" t="str">
            <v>F0127</v>
          </cell>
          <cell r="H55">
            <v>1718000</v>
          </cell>
        </row>
        <row r="56">
          <cell r="B56" t="str">
            <v>F0128</v>
          </cell>
          <cell r="H56">
            <v>358000</v>
          </cell>
        </row>
        <row r="57">
          <cell r="B57" t="str">
            <v>F0129</v>
          </cell>
          <cell r="H57">
            <v>346000</v>
          </cell>
        </row>
        <row r="58">
          <cell r="B58" t="str">
            <v>F0134</v>
          </cell>
          <cell r="H58">
            <v>85000</v>
          </cell>
        </row>
        <row r="59">
          <cell r="B59" t="str">
            <v>F0136</v>
          </cell>
          <cell r="H59">
            <v>4330000</v>
          </cell>
        </row>
        <row r="60">
          <cell r="B60" t="str">
            <v>F0137</v>
          </cell>
          <cell r="H60">
            <v>291000</v>
          </cell>
        </row>
        <row r="61">
          <cell r="B61" t="str">
            <v>F0138</v>
          </cell>
          <cell r="H61">
            <v>106000</v>
          </cell>
        </row>
        <row r="62">
          <cell r="B62" t="str">
            <v>F0141</v>
          </cell>
          <cell r="H62">
            <v>143000</v>
          </cell>
        </row>
        <row r="63">
          <cell r="B63" t="str">
            <v>F0143</v>
          </cell>
          <cell r="H63">
            <v>854000</v>
          </cell>
        </row>
        <row r="64">
          <cell r="B64" t="str">
            <v>F0156</v>
          </cell>
          <cell r="H64">
            <v>730000</v>
          </cell>
        </row>
        <row r="65">
          <cell r="B65" t="str">
            <v>F0161</v>
          </cell>
          <cell r="H65">
            <v>356000</v>
          </cell>
        </row>
        <row r="66">
          <cell r="B66" t="str">
            <v>F0164</v>
          </cell>
          <cell r="H66">
            <v>123000</v>
          </cell>
        </row>
        <row r="67">
          <cell r="B67" t="str">
            <v>F0167</v>
          </cell>
          <cell r="H67">
            <v>72000</v>
          </cell>
        </row>
        <row r="68">
          <cell r="B68" t="str">
            <v>F0168</v>
          </cell>
          <cell r="H68">
            <v>3474000</v>
          </cell>
        </row>
        <row r="69">
          <cell r="B69" t="str">
            <v>F0171</v>
          </cell>
          <cell r="H69">
            <v>1626000</v>
          </cell>
        </row>
        <row r="70">
          <cell r="B70" t="str">
            <v>F0172</v>
          </cell>
          <cell r="H70">
            <v>583000</v>
          </cell>
        </row>
        <row r="71">
          <cell r="B71" t="str">
            <v>F0174</v>
          </cell>
          <cell r="H71">
            <v>10545000</v>
          </cell>
        </row>
        <row r="72">
          <cell r="B72" t="str">
            <v>F0176</v>
          </cell>
          <cell r="H72">
            <v>0</v>
          </cell>
        </row>
        <row r="73">
          <cell r="B73" t="str">
            <v>F0179</v>
          </cell>
          <cell r="H73">
            <v>505000</v>
          </cell>
        </row>
        <row r="74">
          <cell r="B74" t="str">
            <v>F0182</v>
          </cell>
          <cell r="H74">
            <v>1433000</v>
          </cell>
        </row>
        <row r="75">
          <cell r="B75" t="str">
            <v>F0184</v>
          </cell>
          <cell r="H75">
            <v>324000</v>
          </cell>
        </row>
        <row r="76">
          <cell r="B76" t="str">
            <v>F0185</v>
          </cell>
          <cell r="H76">
            <v>268000</v>
          </cell>
        </row>
        <row r="77">
          <cell r="B77" t="str">
            <v>F0189</v>
          </cell>
          <cell r="H77">
            <v>2904000</v>
          </cell>
        </row>
        <row r="78">
          <cell r="B78" t="str">
            <v>F0191</v>
          </cell>
          <cell r="H78">
            <v>1049000</v>
          </cell>
        </row>
        <row r="79">
          <cell r="B79" t="str">
            <v>F0194</v>
          </cell>
          <cell r="H79">
            <v>440000</v>
          </cell>
        </row>
        <row r="80">
          <cell r="B80" t="str">
            <v>F0195</v>
          </cell>
          <cell r="H80">
            <v>685000</v>
          </cell>
        </row>
        <row r="81">
          <cell r="B81" t="str">
            <v>F0196</v>
          </cell>
          <cell r="H81">
            <v>289000</v>
          </cell>
        </row>
        <row r="82">
          <cell r="B82" t="str">
            <v>F0197</v>
          </cell>
          <cell r="H82">
            <v>665000</v>
          </cell>
        </row>
        <row r="83">
          <cell r="B83" t="str">
            <v>F0201</v>
          </cell>
          <cell r="H83">
            <v>350000</v>
          </cell>
        </row>
        <row r="84">
          <cell r="B84" t="str">
            <v>F0203</v>
          </cell>
          <cell r="H84">
            <v>998000</v>
          </cell>
        </row>
        <row r="85">
          <cell r="B85" t="str">
            <v>F0204</v>
          </cell>
          <cell r="H85">
            <v>2629000</v>
          </cell>
        </row>
        <row r="86">
          <cell r="B86" t="str">
            <v>F0207</v>
          </cell>
          <cell r="H86">
            <v>374000</v>
          </cell>
        </row>
        <row r="87">
          <cell r="B87" t="str">
            <v>F0208</v>
          </cell>
          <cell r="H87">
            <v>1663000</v>
          </cell>
        </row>
        <row r="88">
          <cell r="B88" t="str">
            <v>F0209</v>
          </cell>
          <cell r="H88">
            <v>60000</v>
          </cell>
        </row>
        <row r="89">
          <cell r="B89" t="str">
            <v>F0211</v>
          </cell>
          <cell r="H89">
            <v>5117000</v>
          </cell>
        </row>
        <row r="90">
          <cell r="B90" t="str">
            <v>F0212</v>
          </cell>
          <cell r="H90">
            <v>1878000</v>
          </cell>
        </row>
        <row r="91">
          <cell r="B91" t="str">
            <v>F0216</v>
          </cell>
          <cell r="H91">
            <v>1772000</v>
          </cell>
        </row>
        <row r="92">
          <cell r="B92" t="str">
            <v>F0217</v>
          </cell>
          <cell r="H92">
            <v>937000</v>
          </cell>
        </row>
        <row r="93">
          <cell r="B93" t="str">
            <v>F0218</v>
          </cell>
          <cell r="H93">
            <v>883000</v>
          </cell>
        </row>
        <row r="94">
          <cell r="B94" t="str">
            <v>F0219</v>
          </cell>
          <cell r="H94">
            <v>39000</v>
          </cell>
        </row>
        <row r="95">
          <cell r="B95" t="str">
            <v>F0220</v>
          </cell>
          <cell r="H95">
            <v>1062000</v>
          </cell>
        </row>
        <row r="96">
          <cell r="B96" t="str">
            <v>F0223</v>
          </cell>
          <cell r="H96">
            <v>237000</v>
          </cell>
        </row>
        <row r="97">
          <cell r="B97" t="str">
            <v>F0362</v>
          </cell>
          <cell r="H97">
            <v>1594000</v>
          </cell>
        </row>
        <row r="98">
          <cell r="B98" t="str">
            <v>I0400</v>
          </cell>
          <cell r="H98">
            <v>830000</v>
          </cell>
        </row>
        <row r="99">
          <cell r="B99" t="str">
            <v>I0806</v>
          </cell>
          <cell r="H99">
            <v>7400000</v>
          </cell>
        </row>
        <row r="100">
          <cell r="B100" t="str">
            <v>I0807</v>
          </cell>
          <cell r="H100">
            <v>21650000</v>
          </cell>
        </row>
        <row r="101">
          <cell r="B101" t="str">
            <v>I0809</v>
          </cell>
          <cell r="H101">
            <v>9900000</v>
          </cell>
        </row>
        <row r="102">
          <cell r="B102" t="str">
            <v>I0811</v>
          </cell>
          <cell r="H102">
            <v>14400000</v>
          </cell>
        </row>
        <row r="103">
          <cell r="B103" t="str">
            <v>I0813</v>
          </cell>
          <cell r="H103">
            <v>11210000</v>
          </cell>
        </row>
        <row r="104">
          <cell r="B104" t="str">
            <v>I0814</v>
          </cell>
          <cell r="H104">
            <v>5180000</v>
          </cell>
        </row>
        <row r="105">
          <cell r="B105" t="str">
            <v>I0815</v>
          </cell>
          <cell r="H105">
            <v>9200000</v>
          </cell>
        </row>
        <row r="106">
          <cell r="B106" t="str">
            <v>I0816</v>
          </cell>
          <cell r="H106">
            <v>22800000</v>
          </cell>
        </row>
        <row r="107">
          <cell r="B107" t="str">
            <v>I0818</v>
          </cell>
          <cell r="H107">
            <v>23300000</v>
          </cell>
        </row>
        <row r="108">
          <cell r="B108" t="str">
            <v>I0829</v>
          </cell>
          <cell r="H108">
            <v>25200000</v>
          </cell>
        </row>
        <row r="109">
          <cell r="B109" t="str">
            <v>I0831</v>
          </cell>
          <cell r="H109">
            <v>24400000</v>
          </cell>
        </row>
        <row r="110">
          <cell r="B110" t="str">
            <v>I0832</v>
          </cell>
          <cell r="H110">
            <v>9980000</v>
          </cell>
        </row>
        <row r="111">
          <cell r="B111" t="str">
            <v>I0833</v>
          </cell>
          <cell r="H111">
            <v>46350000</v>
          </cell>
        </row>
        <row r="112">
          <cell r="B112" t="str">
            <v>I0834</v>
          </cell>
          <cell r="H112">
            <v>11900000</v>
          </cell>
        </row>
        <row r="113">
          <cell r="B113" t="str">
            <v>I0835</v>
          </cell>
          <cell r="H113">
            <v>0</v>
          </cell>
        </row>
        <row r="114">
          <cell r="B114" t="str">
            <v>I0836</v>
          </cell>
          <cell r="H114">
            <v>5500000</v>
          </cell>
        </row>
        <row r="115">
          <cell r="B115" t="str">
            <v>I0837</v>
          </cell>
          <cell r="H115">
            <v>6600000</v>
          </cell>
        </row>
        <row r="116">
          <cell r="B116" t="str">
            <v>I0838</v>
          </cell>
          <cell r="H116">
            <v>7350000</v>
          </cell>
        </row>
        <row r="117">
          <cell r="B117" t="str">
            <v>I0839</v>
          </cell>
          <cell r="H117">
            <v>4300000</v>
          </cell>
        </row>
        <row r="118">
          <cell r="B118" t="str">
            <v>I0840</v>
          </cell>
          <cell r="H118">
            <v>9400000</v>
          </cell>
        </row>
        <row r="119">
          <cell r="B119" t="str">
            <v>I0200</v>
          </cell>
          <cell r="H119">
            <v>3800000</v>
          </cell>
        </row>
        <row r="120">
          <cell r="B120" t="str">
            <v>I0340</v>
          </cell>
          <cell r="H120">
            <v>3200000</v>
          </cell>
        </row>
        <row r="121">
          <cell r="B121" t="str">
            <v>I0430</v>
          </cell>
          <cell r="H121">
            <v>1460000</v>
          </cell>
        </row>
        <row r="122">
          <cell r="B122" t="str">
            <v>I0804</v>
          </cell>
          <cell r="H122">
            <v>30270000</v>
          </cell>
        </row>
      </sheetData>
      <sheetData sheetId="3" refreshError="1">
        <row r="2">
          <cell r="B2">
            <v>21021000</v>
          </cell>
          <cell r="C2">
            <v>201</v>
          </cell>
          <cell r="D2" t="str">
            <v>F0085</v>
          </cell>
          <cell r="G2">
            <v>265843.31</v>
          </cell>
        </row>
        <row r="3">
          <cell r="B3">
            <v>21021000</v>
          </cell>
          <cell r="C3">
            <v>201</v>
          </cell>
          <cell r="D3" t="str">
            <v>F0086</v>
          </cell>
          <cell r="G3">
            <v>112433.59</v>
          </cell>
        </row>
        <row r="4">
          <cell r="B4">
            <v>21021000</v>
          </cell>
          <cell r="C4">
            <v>201</v>
          </cell>
          <cell r="D4" t="str">
            <v>F0097</v>
          </cell>
          <cell r="G4">
            <v>340535.05</v>
          </cell>
        </row>
        <row r="5">
          <cell r="B5">
            <v>21021000</v>
          </cell>
          <cell r="C5">
            <v>201</v>
          </cell>
          <cell r="D5" t="str">
            <v>F0098</v>
          </cell>
          <cell r="G5">
            <v>51118.76</v>
          </cell>
        </row>
        <row r="6">
          <cell r="B6">
            <v>21021000</v>
          </cell>
          <cell r="C6">
            <v>201</v>
          </cell>
          <cell r="D6" t="str">
            <v>F0102</v>
          </cell>
          <cell r="G6">
            <v>171889.31</v>
          </cell>
        </row>
        <row r="7">
          <cell r="B7">
            <v>21021000</v>
          </cell>
          <cell r="C7">
            <v>201</v>
          </cell>
          <cell r="D7" t="str">
            <v>F0103</v>
          </cell>
          <cell r="G7">
            <v>203955.65</v>
          </cell>
        </row>
        <row r="8">
          <cell r="B8">
            <v>21021000</v>
          </cell>
          <cell r="C8">
            <v>201</v>
          </cell>
          <cell r="D8" t="str">
            <v>F0106</v>
          </cell>
          <cell r="G8">
            <v>203159.67999999999</v>
          </cell>
        </row>
        <row r="9">
          <cell r="B9">
            <v>21021000</v>
          </cell>
          <cell r="C9">
            <v>201</v>
          </cell>
          <cell r="D9" t="str">
            <v>F0109</v>
          </cell>
          <cell r="G9">
            <v>190946.08</v>
          </cell>
        </row>
        <row r="10">
          <cell r="B10">
            <v>21021000</v>
          </cell>
          <cell r="C10">
            <v>201</v>
          </cell>
          <cell r="D10" t="str">
            <v>F0111</v>
          </cell>
          <cell r="G10">
            <v>297877.48</v>
          </cell>
        </row>
        <row r="11">
          <cell r="B11">
            <v>21021000</v>
          </cell>
          <cell r="C11">
            <v>201</v>
          </cell>
          <cell r="D11" t="str">
            <v>F0114</v>
          </cell>
          <cell r="G11">
            <v>340689.46</v>
          </cell>
        </row>
        <row r="12">
          <cell r="B12">
            <v>21021000</v>
          </cell>
          <cell r="C12">
            <v>201</v>
          </cell>
          <cell r="D12" t="str">
            <v>F0118</v>
          </cell>
          <cell r="G12">
            <v>171904.76</v>
          </cell>
        </row>
        <row r="13">
          <cell r="B13">
            <v>21021000</v>
          </cell>
          <cell r="C13">
            <v>201</v>
          </cell>
          <cell r="D13" t="str">
            <v>F0120</v>
          </cell>
          <cell r="G13">
            <v>67271.399999999994</v>
          </cell>
        </row>
        <row r="14">
          <cell r="B14">
            <v>21021000</v>
          </cell>
          <cell r="C14">
            <v>201</v>
          </cell>
          <cell r="D14" t="str">
            <v>F0125</v>
          </cell>
          <cell r="G14">
            <v>74255.039999999994</v>
          </cell>
        </row>
        <row r="15">
          <cell r="B15">
            <v>21021000</v>
          </cell>
          <cell r="C15">
            <v>201</v>
          </cell>
          <cell r="D15" t="str">
            <v>F0127</v>
          </cell>
          <cell r="G15">
            <v>897311.7</v>
          </cell>
        </row>
        <row r="16">
          <cell r="B16">
            <v>21021000</v>
          </cell>
          <cell r="C16">
            <v>201</v>
          </cell>
          <cell r="D16" t="str">
            <v>F0128</v>
          </cell>
          <cell r="G16">
            <v>120662.64</v>
          </cell>
        </row>
        <row r="17">
          <cell r="B17">
            <v>21021000</v>
          </cell>
          <cell r="C17">
            <v>201</v>
          </cell>
          <cell r="D17" t="str">
            <v>F0129</v>
          </cell>
          <cell r="G17">
            <v>155636.44</v>
          </cell>
        </row>
        <row r="18">
          <cell r="B18">
            <v>21021000</v>
          </cell>
          <cell r="C18">
            <v>201</v>
          </cell>
          <cell r="D18" t="str">
            <v>F0134</v>
          </cell>
          <cell r="G18">
            <v>37853.980000000003</v>
          </cell>
        </row>
        <row r="19">
          <cell r="B19">
            <v>21021000</v>
          </cell>
          <cell r="C19">
            <v>201</v>
          </cell>
          <cell r="D19" t="str">
            <v>F0136</v>
          </cell>
          <cell r="G19">
            <v>1027926.02</v>
          </cell>
        </row>
        <row r="20">
          <cell r="B20">
            <v>21021000</v>
          </cell>
          <cell r="C20">
            <v>201</v>
          </cell>
          <cell r="D20" t="str">
            <v>F0137</v>
          </cell>
          <cell r="G20">
            <v>77177.16</v>
          </cell>
        </row>
        <row r="21">
          <cell r="B21">
            <v>21021000</v>
          </cell>
          <cell r="C21">
            <v>201</v>
          </cell>
          <cell r="D21" t="str">
            <v>F0138</v>
          </cell>
          <cell r="G21">
            <v>79122.789999999994</v>
          </cell>
        </row>
        <row r="22">
          <cell r="B22">
            <v>21021000</v>
          </cell>
          <cell r="C22">
            <v>201</v>
          </cell>
          <cell r="D22" t="str">
            <v>F0141</v>
          </cell>
          <cell r="G22">
            <v>56110.06</v>
          </cell>
        </row>
        <row r="23">
          <cell r="B23">
            <v>21021000</v>
          </cell>
          <cell r="C23">
            <v>201</v>
          </cell>
          <cell r="D23" t="str">
            <v>F0143</v>
          </cell>
          <cell r="G23">
            <v>239687.24</v>
          </cell>
        </row>
        <row r="24">
          <cell r="B24">
            <v>21021000</v>
          </cell>
          <cell r="C24">
            <v>201</v>
          </cell>
          <cell r="D24" t="str">
            <v>F0156</v>
          </cell>
          <cell r="G24">
            <v>378865.32</v>
          </cell>
        </row>
        <row r="25">
          <cell r="B25">
            <v>21021000</v>
          </cell>
          <cell r="C25">
            <v>201</v>
          </cell>
          <cell r="D25" t="str">
            <v>F0161</v>
          </cell>
          <cell r="G25">
            <v>74725.679999999993</v>
          </cell>
        </row>
        <row r="26">
          <cell r="B26">
            <v>21021000</v>
          </cell>
          <cell r="C26">
            <v>201</v>
          </cell>
          <cell r="D26" t="str">
            <v>F0164</v>
          </cell>
          <cell r="G26">
            <v>113599.56</v>
          </cell>
        </row>
        <row r="27">
          <cell r="B27">
            <v>21021000</v>
          </cell>
          <cell r="C27">
            <v>201</v>
          </cell>
          <cell r="D27" t="str">
            <v>F0167</v>
          </cell>
          <cell r="G27">
            <v>71099.69</v>
          </cell>
        </row>
        <row r="28">
          <cell r="B28">
            <v>21021000</v>
          </cell>
          <cell r="C28">
            <v>201</v>
          </cell>
          <cell r="D28" t="str">
            <v>F0168</v>
          </cell>
          <cell r="G28">
            <v>622534.43999999994</v>
          </cell>
        </row>
        <row r="29">
          <cell r="B29">
            <v>21021000</v>
          </cell>
          <cell r="C29">
            <v>201</v>
          </cell>
          <cell r="D29" t="str">
            <v>F0171</v>
          </cell>
          <cell r="G29">
            <v>813594.07</v>
          </cell>
        </row>
        <row r="30">
          <cell r="B30">
            <v>21021000</v>
          </cell>
          <cell r="C30">
            <v>201</v>
          </cell>
          <cell r="D30" t="str">
            <v>F0172</v>
          </cell>
          <cell r="G30">
            <v>227763.82</v>
          </cell>
        </row>
        <row r="31">
          <cell r="B31">
            <v>21021000</v>
          </cell>
          <cell r="C31">
            <v>201</v>
          </cell>
          <cell r="D31" t="str">
            <v>F0174</v>
          </cell>
          <cell r="G31">
            <v>2088053.95</v>
          </cell>
        </row>
        <row r="32">
          <cell r="B32">
            <v>21021000</v>
          </cell>
          <cell r="C32">
            <v>201</v>
          </cell>
          <cell r="D32" t="str">
            <v>F0176</v>
          </cell>
          <cell r="G32">
            <v>0</v>
          </cell>
        </row>
        <row r="33">
          <cell r="B33">
            <v>21021000</v>
          </cell>
          <cell r="C33">
            <v>201</v>
          </cell>
          <cell r="D33" t="str">
            <v>F0179</v>
          </cell>
          <cell r="G33">
            <v>130026.03</v>
          </cell>
        </row>
        <row r="34">
          <cell r="B34">
            <v>21021000</v>
          </cell>
          <cell r="C34">
            <v>201</v>
          </cell>
          <cell r="D34" t="str">
            <v>F0182</v>
          </cell>
          <cell r="G34">
            <v>386977.15</v>
          </cell>
        </row>
        <row r="35">
          <cell r="B35">
            <v>21021000</v>
          </cell>
          <cell r="C35">
            <v>201</v>
          </cell>
          <cell r="D35" t="str">
            <v>F0184</v>
          </cell>
          <cell r="G35">
            <v>109858.15</v>
          </cell>
        </row>
        <row r="36">
          <cell r="B36">
            <v>21021000</v>
          </cell>
          <cell r="C36">
            <v>201</v>
          </cell>
          <cell r="D36" t="str">
            <v>F0185</v>
          </cell>
          <cell r="G36">
            <v>572254.12</v>
          </cell>
        </row>
        <row r="37">
          <cell r="B37">
            <v>21021000</v>
          </cell>
          <cell r="C37">
            <v>201</v>
          </cell>
          <cell r="D37" t="str">
            <v>F0189</v>
          </cell>
          <cell r="G37">
            <v>848702.73</v>
          </cell>
        </row>
        <row r="38">
          <cell r="B38">
            <v>21021000</v>
          </cell>
          <cell r="C38">
            <v>201</v>
          </cell>
          <cell r="D38" t="str">
            <v>F0191</v>
          </cell>
          <cell r="G38">
            <v>155052.39000000001</v>
          </cell>
        </row>
        <row r="39">
          <cell r="B39">
            <v>21021000</v>
          </cell>
          <cell r="C39">
            <v>201</v>
          </cell>
          <cell r="D39" t="str">
            <v>F0194</v>
          </cell>
          <cell r="G39">
            <v>222186.26</v>
          </cell>
        </row>
        <row r="40">
          <cell r="B40">
            <v>21021000</v>
          </cell>
          <cell r="C40">
            <v>201</v>
          </cell>
          <cell r="D40" t="str">
            <v>F0195</v>
          </cell>
          <cell r="G40">
            <v>228067.1</v>
          </cell>
        </row>
        <row r="41">
          <cell r="B41">
            <v>21021000</v>
          </cell>
          <cell r="C41">
            <v>201</v>
          </cell>
          <cell r="D41" t="str">
            <v>F0196</v>
          </cell>
          <cell r="G41">
            <v>97349.36</v>
          </cell>
        </row>
        <row r="42">
          <cell r="B42">
            <v>21021000</v>
          </cell>
          <cell r="C42">
            <v>201</v>
          </cell>
          <cell r="D42" t="str">
            <v>F0197</v>
          </cell>
          <cell r="G42">
            <v>78601.570000000007</v>
          </cell>
        </row>
        <row r="43">
          <cell r="B43">
            <v>21021000</v>
          </cell>
          <cell r="C43">
            <v>201</v>
          </cell>
          <cell r="D43" t="str">
            <v>F0201</v>
          </cell>
          <cell r="G43">
            <v>112664.53</v>
          </cell>
        </row>
        <row r="44">
          <cell r="B44">
            <v>21021000</v>
          </cell>
          <cell r="C44">
            <v>201</v>
          </cell>
          <cell r="D44" t="str">
            <v>F0203</v>
          </cell>
          <cell r="G44">
            <v>454337.91</v>
          </cell>
        </row>
        <row r="45">
          <cell r="B45">
            <v>21021000</v>
          </cell>
          <cell r="C45">
            <v>201</v>
          </cell>
          <cell r="D45" t="str">
            <v>F0204</v>
          </cell>
          <cell r="G45">
            <v>905253.61</v>
          </cell>
        </row>
        <row r="46">
          <cell r="B46">
            <v>21021000</v>
          </cell>
          <cell r="C46">
            <v>201</v>
          </cell>
          <cell r="D46" t="str">
            <v>F0207</v>
          </cell>
          <cell r="G46">
            <v>117250.57</v>
          </cell>
        </row>
        <row r="47">
          <cell r="B47">
            <v>21021000</v>
          </cell>
          <cell r="C47">
            <v>201</v>
          </cell>
          <cell r="D47" t="str">
            <v>F0208</v>
          </cell>
          <cell r="G47">
            <v>187246.89</v>
          </cell>
        </row>
        <row r="48">
          <cell r="B48">
            <v>21021000</v>
          </cell>
          <cell r="C48">
            <v>201</v>
          </cell>
          <cell r="D48" t="str">
            <v>F0209</v>
          </cell>
          <cell r="G48">
            <v>3211.81</v>
          </cell>
        </row>
        <row r="49">
          <cell r="B49">
            <v>21021000</v>
          </cell>
          <cell r="C49">
            <v>201</v>
          </cell>
          <cell r="D49" t="str">
            <v>F0211</v>
          </cell>
          <cell r="G49">
            <v>1891072.37</v>
          </cell>
        </row>
        <row r="50">
          <cell r="B50">
            <v>21021000</v>
          </cell>
          <cell r="C50">
            <v>201</v>
          </cell>
          <cell r="D50" t="str">
            <v>F0212</v>
          </cell>
          <cell r="G50">
            <v>578777.53</v>
          </cell>
        </row>
        <row r="51">
          <cell r="B51">
            <v>21021000</v>
          </cell>
          <cell r="C51">
            <v>201</v>
          </cell>
          <cell r="D51" t="str">
            <v>F0216</v>
          </cell>
          <cell r="G51">
            <v>195323.62</v>
          </cell>
        </row>
        <row r="52">
          <cell r="B52">
            <v>21021000</v>
          </cell>
          <cell r="C52">
            <v>201</v>
          </cell>
          <cell r="D52" t="str">
            <v>F0217</v>
          </cell>
          <cell r="G52">
            <v>322240.71999999997</v>
          </cell>
        </row>
        <row r="53">
          <cell r="B53">
            <v>21021000</v>
          </cell>
          <cell r="C53">
            <v>201</v>
          </cell>
          <cell r="D53" t="str">
            <v>F0218</v>
          </cell>
          <cell r="G53">
            <v>196501.8</v>
          </cell>
        </row>
        <row r="54">
          <cell r="B54">
            <v>21021000</v>
          </cell>
          <cell r="C54">
            <v>201</v>
          </cell>
          <cell r="D54" t="str">
            <v>F0219</v>
          </cell>
          <cell r="G54">
            <v>4577.3900000000003</v>
          </cell>
        </row>
        <row r="55">
          <cell r="B55">
            <v>21021000</v>
          </cell>
          <cell r="C55">
            <v>201</v>
          </cell>
          <cell r="D55" t="str">
            <v>F0220</v>
          </cell>
          <cell r="G55">
            <v>209969.62</v>
          </cell>
        </row>
        <row r="56">
          <cell r="B56">
            <v>21021000</v>
          </cell>
          <cell r="C56">
            <v>201</v>
          </cell>
          <cell r="D56" t="str">
            <v>F0223</v>
          </cell>
          <cell r="G56">
            <v>137329.43</v>
          </cell>
        </row>
        <row r="57">
          <cell r="B57">
            <v>21021000</v>
          </cell>
          <cell r="C57">
            <v>201</v>
          </cell>
          <cell r="D57" t="str">
            <v>F0362</v>
          </cell>
          <cell r="G57">
            <v>529139.11</v>
          </cell>
        </row>
        <row r="58">
          <cell r="B58">
            <v>21021000</v>
          </cell>
          <cell r="C58">
            <v>201</v>
          </cell>
          <cell r="D58" t="str">
            <v>I0513</v>
          </cell>
          <cell r="G58">
            <v>0</v>
          </cell>
        </row>
        <row r="59">
          <cell r="B59">
            <v>21021500</v>
          </cell>
          <cell r="C59">
            <v>201</v>
          </cell>
          <cell r="D59" t="str">
            <v>F0086</v>
          </cell>
          <cell r="G59">
            <v>11531.18</v>
          </cell>
        </row>
        <row r="60">
          <cell r="B60">
            <v>21021500</v>
          </cell>
          <cell r="C60">
            <v>201</v>
          </cell>
          <cell r="D60" t="str">
            <v>F0102</v>
          </cell>
          <cell r="G60">
            <v>704.32</v>
          </cell>
        </row>
        <row r="61">
          <cell r="B61">
            <v>21021500</v>
          </cell>
          <cell r="C61">
            <v>201</v>
          </cell>
          <cell r="D61" t="str">
            <v>F0109</v>
          </cell>
          <cell r="G61">
            <v>2141.3000000000002</v>
          </cell>
        </row>
        <row r="62">
          <cell r="B62">
            <v>21021500</v>
          </cell>
          <cell r="C62">
            <v>201</v>
          </cell>
          <cell r="D62" t="str">
            <v>F0111</v>
          </cell>
          <cell r="G62">
            <v>948.12</v>
          </cell>
        </row>
        <row r="63">
          <cell r="B63">
            <v>21021500</v>
          </cell>
          <cell r="C63">
            <v>201</v>
          </cell>
          <cell r="D63" t="str">
            <v>F0127</v>
          </cell>
          <cell r="G63">
            <v>54.88</v>
          </cell>
        </row>
        <row r="64">
          <cell r="B64">
            <v>21021500</v>
          </cell>
          <cell r="C64">
            <v>201</v>
          </cell>
          <cell r="D64" t="str">
            <v>F0136</v>
          </cell>
          <cell r="G64">
            <v>45042.13</v>
          </cell>
        </row>
        <row r="65">
          <cell r="B65">
            <v>21021500</v>
          </cell>
          <cell r="C65">
            <v>201</v>
          </cell>
          <cell r="D65" t="str">
            <v>F0164</v>
          </cell>
          <cell r="G65">
            <v>4143.16</v>
          </cell>
        </row>
        <row r="66">
          <cell r="B66">
            <v>21021500</v>
          </cell>
          <cell r="C66">
            <v>201</v>
          </cell>
          <cell r="D66" t="str">
            <v>F0168</v>
          </cell>
          <cell r="G66">
            <v>641.30999999999995</v>
          </cell>
        </row>
        <row r="67">
          <cell r="B67">
            <v>21021500</v>
          </cell>
          <cell r="C67">
            <v>201</v>
          </cell>
          <cell r="D67" t="str">
            <v>F0171</v>
          </cell>
          <cell r="G67">
            <v>4880.97</v>
          </cell>
        </row>
        <row r="68">
          <cell r="B68">
            <v>21021500</v>
          </cell>
          <cell r="C68">
            <v>201</v>
          </cell>
          <cell r="D68" t="str">
            <v>F0174</v>
          </cell>
          <cell r="G68">
            <v>1909.95</v>
          </cell>
        </row>
        <row r="69">
          <cell r="B69">
            <v>21021500</v>
          </cell>
          <cell r="C69">
            <v>201</v>
          </cell>
          <cell r="D69" t="str">
            <v>F0179</v>
          </cell>
          <cell r="G69">
            <v>68.599999999999994</v>
          </cell>
        </row>
        <row r="70">
          <cell r="B70">
            <v>21021500</v>
          </cell>
          <cell r="C70">
            <v>201</v>
          </cell>
          <cell r="D70" t="str">
            <v>F0182</v>
          </cell>
          <cell r="G70">
            <v>1808.96</v>
          </cell>
        </row>
        <row r="71">
          <cell r="B71">
            <v>21021500</v>
          </cell>
          <cell r="C71">
            <v>201</v>
          </cell>
          <cell r="D71" t="str">
            <v>F0194</v>
          </cell>
          <cell r="G71">
            <v>632.82000000000005</v>
          </cell>
        </row>
        <row r="72">
          <cell r="B72">
            <v>21021500</v>
          </cell>
          <cell r="C72">
            <v>201</v>
          </cell>
          <cell r="D72" t="str">
            <v>F0195</v>
          </cell>
          <cell r="G72">
            <v>15108.98</v>
          </cell>
        </row>
        <row r="73">
          <cell r="B73">
            <v>21021500</v>
          </cell>
          <cell r="C73">
            <v>201</v>
          </cell>
          <cell r="D73" t="str">
            <v>F0196</v>
          </cell>
          <cell r="G73">
            <v>2012.33</v>
          </cell>
        </row>
        <row r="74">
          <cell r="B74">
            <v>21021500</v>
          </cell>
          <cell r="C74">
            <v>201</v>
          </cell>
          <cell r="D74" t="str">
            <v>F0203</v>
          </cell>
          <cell r="G74">
            <v>25253.34</v>
          </cell>
        </row>
        <row r="75">
          <cell r="B75">
            <v>21021500</v>
          </cell>
          <cell r="C75">
            <v>201</v>
          </cell>
          <cell r="D75" t="str">
            <v>F0204</v>
          </cell>
          <cell r="G75">
            <v>256.11</v>
          </cell>
        </row>
        <row r="76">
          <cell r="B76">
            <v>21021500</v>
          </cell>
          <cell r="C76">
            <v>201</v>
          </cell>
          <cell r="D76" t="str">
            <v>F0211</v>
          </cell>
          <cell r="G76">
            <v>5079.24</v>
          </cell>
        </row>
        <row r="77">
          <cell r="B77">
            <v>21021500</v>
          </cell>
          <cell r="C77">
            <v>201</v>
          </cell>
          <cell r="D77" t="str">
            <v>F0212</v>
          </cell>
          <cell r="G77">
            <v>19412.150000000001</v>
          </cell>
        </row>
        <row r="78">
          <cell r="B78">
            <v>21021500</v>
          </cell>
          <cell r="C78">
            <v>201</v>
          </cell>
          <cell r="D78" t="str">
            <v>F0218</v>
          </cell>
          <cell r="G78">
            <v>35219.64</v>
          </cell>
        </row>
        <row r="79">
          <cell r="B79">
            <v>21021500</v>
          </cell>
          <cell r="C79">
            <v>201</v>
          </cell>
          <cell r="D79" t="str">
            <v>F0362</v>
          </cell>
          <cell r="G79">
            <v>9241.41</v>
          </cell>
        </row>
        <row r="80">
          <cell r="B80">
            <v>21021500</v>
          </cell>
          <cell r="C80">
            <v>201</v>
          </cell>
          <cell r="D80" t="str">
            <v>I0513</v>
          </cell>
          <cell r="G80">
            <v>0</v>
          </cell>
        </row>
        <row r="81">
          <cell r="B81">
            <v>21201000</v>
          </cell>
          <cell r="C81">
            <v>201</v>
          </cell>
          <cell r="D81" t="str">
            <v>I0214</v>
          </cell>
          <cell r="G81">
            <v>1880492.17</v>
          </cell>
        </row>
        <row r="82">
          <cell r="B82">
            <v>21201000</v>
          </cell>
          <cell r="C82">
            <v>201</v>
          </cell>
          <cell r="D82" t="str">
            <v>I0221</v>
          </cell>
          <cell r="G82">
            <v>682490.83</v>
          </cell>
        </row>
        <row r="83">
          <cell r="B83">
            <v>21201000</v>
          </cell>
          <cell r="C83">
            <v>201</v>
          </cell>
          <cell r="D83" t="str">
            <v>I0227</v>
          </cell>
          <cell r="G83">
            <v>211670.28</v>
          </cell>
        </row>
        <row r="84">
          <cell r="B84">
            <v>21201000</v>
          </cell>
          <cell r="C84">
            <v>201</v>
          </cell>
          <cell r="D84" t="str">
            <v>I0259</v>
          </cell>
          <cell r="G84">
            <v>3571087.74</v>
          </cell>
        </row>
        <row r="85">
          <cell r="B85">
            <v>21201000</v>
          </cell>
          <cell r="C85">
            <v>201</v>
          </cell>
          <cell r="D85" t="str">
            <v>I0294</v>
          </cell>
          <cell r="G85">
            <v>2539038.38</v>
          </cell>
        </row>
        <row r="86">
          <cell r="B86">
            <v>21201000</v>
          </cell>
          <cell r="C86">
            <v>201</v>
          </cell>
          <cell r="D86" t="str">
            <v>I0513</v>
          </cell>
          <cell r="G86">
            <v>44210.22</v>
          </cell>
        </row>
        <row r="87">
          <cell r="B87">
            <v>21201000</v>
          </cell>
          <cell r="C87">
            <v>201</v>
          </cell>
          <cell r="D87" t="str">
            <v>I0805</v>
          </cell>
          <cell r="G87">
            <v>1524490.17</v>
          </cell>
        </row>
        <row r="88">
          <cell r="B88">
            <v>21201000</v>
          </cell>
          <cell r="C88">
            <v>201</v>
          </cell>
          <cell r="D88" t="str">
            <v>I0812</v>
          </cell>
          <cell r="G88">
            <v>259163.33</v>
          </cell>
        </row>
        <row r="89">
          <cell r="B89">
            <v>21201000</v>
          </cell>
          <cell r="C89">
            <v>270</v>
          </cell>
          <cell r="D89" t="str">
            <v>I0802</v>
          </cell>
          <cell r="G89">
            <v>7052633.3799999999</v>
          </cell>
        </row>
        <row r="90">
          <cell r="B90">
            <v>21201000</v>
          </cell>
          <cell r="C90">
            <v>270</v>
          </cell>
          <cell r="D90" t="str">
            <v>I0806</v>
          </cell>
          <cell r="G90">
            <v>2554100.94</v>
          </cell>
        </row>
        <row r="91">
          <cell r="B91">
            <v>21201000</v>
          </cell>
          <cell r="C91">
            <v>270</v>
          </cell>
          <cell r="D91" t="str">
            <v>I0807</v>
          </cell>
          <cell r="G91">
            <v>2523216.16</v>
          </cell>
        </row>
        <row r="92">
          <cell r="B92">
            <v>21201000</v>
          </cell>
          <cell r="C92">
            <v>270</v>
          </cell>
          <cell r="D92" t="str">
            <v>I0809</v>
          </cell>
          <cell r="G92">
            <v>2657186.37</v>
          </cell>
        </row>
        <row r="93">
          <cell r="B93">
            <v>21201000</v>
          </cell>
          <cell r="C93">
            <v>270</v>
          </cell>
          <cell r="D93" t="str">
            <v>I0811</v>
          </cell>
          <cell r="G93">
            <v>5505055.3200000003</v>
          </cell>
        </row>
        <row r="94">
          <cell r="B94">
            <v>21201000</v>
          </cell>
          <cell r="C94">
            <v>270</v>
          </cell>
          <cell r="D94" t="str">
            <v>I0813</v>
          </cell>
          <cell r="G94">
            <v>3811225.43</v>
          </cell>
        </row>
        <row r="95">
          <cell r="B95">
            <v>21201000</v>
          </cell>
          <cell r="C95">
            <v>270</v>
          </cell>
          <cell r="D95" t="str">
            <v>I0815</v>
          </cell>
          <cell r="G95">
            <v>1884269.85</v>
          </cell>
        </row>
        <row r="96">
          <cell r="B96">
            <v>21201000</v>
          </cell>
          <cell r="C96">
            <v>270</v>
          </cell>
          <cell r="D96" t="str">
            <v>I0816</v>
          </cell>
          <cell r="G96">
            <v>5488164.6200000001</v>
          </cell>
        </row>
        <row r="97">
          <cell r="B97">
            <v>21201000</v>
          </cell>
          <cell r="C97">
            <v>270</v>
          </cell>
          <cell r="D97" t="str">
            <v>I0818</v>
          </cell>
          <cell r="G97">
            <v>7077883.0899999999</v>
          </cell>
        </row>
        <row r="98">
          <cell r="B98">
            <v>21201000</v>
          </cell>
          <cell r="C98">
            <v>270</v>
          </cell>
          <cell r="D98" t="str">
            <v>I0829</v>
          </cell>
          <cell r="G98">
            <v>7535079.2800000003</v>
          </cell>
        </row>
        <row r="99">
          <cell r="B99">
            <v>21201000</v>
          </cell>
          <cell r="C99">
            <v>270</v>
          </cell>
          <cell r="D99" t="str">
            <v>I0831</v>
          </cell>
          <cell r="G99">
            <v>8110287.7199999997</v>
          </cell>
        </row>
        <row r="100">
          <cell r="B100">
            <v>21201000</v>
          </cell>
          <cell r="C100">
            <v>270</v>
          </cell>
          <cell r="D100" t="str">
            <v>I0832</v>
          </cell>
          <cell r="G100">
            <v>3501364.21</v>
          </cell>
        </row>
        <row r="101">
          <cell r="B101">
            <v>21201000</v>
          </cell>
          <cell r="C101">
            <v>270</v>
          </cell>
          <cell r="D101" t="str">
            <v>I0833</v>
          </cell>
          <cell r="G101">
            <v>17576152.100000001</v>
          </cell>
        </row>
        <row r="102">
          <cell r="B102">
            <v>21201000</v>
          </cell>
          <cell r="C102">
            <v>270</v>
          </cell>
          <cell r="D102" t="str">
            <v>I0834</v>
          </cell>
          <cell r="G102">
            <v>4268572.49</v>
          </cell>
        </row>
        <row r="103">
          <cell r="B103">
            <v>21201000</v>
          </cell>
          <cell r="C103">
            <v>270</v>
          </cell>
          <cell r="D103" t="str">
            <v>I0836</v>
          </cell>
          <cell r="G103">
            <v>1992528.17</v>
          </cell>
        </row>
        <row r="104">
          <cell r="B104">
            <v>21201000</v>
          </cell>
          <cell r="C104">
            <v>270</v>
          </cell>
          <cell r="D104" t="str">
            <v>I0837</v>
          </cell>
          <cell r="G104">
            <v>2308020.62</v>
          </cell>
        </row>
        <row r="105">
          <cell r="B105">
            <v>21201000</v>
          </cell>
          <cell r="C105">
            <v>270</v>
          </cell>
          <cell r="D105" t="str">
            <v>I0838</v>
          </cell>
          <cell r="G105">
            <v>2513970.58</v>
          </cell>
        </row>
        <row r="106">
          <cell r="B106">
            <v>21201000</v>
          </cell>
          <cell r="C106">
            <v>270</v>
          </cell>
          <cell r="D106" t="str">
            <v>I0839</v>
          </cell>
          <cell r="G106">
            <v>1417488.22</v>
          </cell>
        </row>
        <row r="107">
          <cell r="B107">
            <v>21201000</v>
          </cell>
          <cell r="C107">
            <v>270</v>
          </cell>
          <cell r="D107" t="str">
            <v>I0840</v>
          </cell>
          <cell r="G107">
            <v>3162885.68</v>
          </cell>
        </row>
        <row r="108">
          <cell r="B108">
            <v>21201100</v>
          </cell>
          <cell r="C108">
            <v>201</v>
          </cell>
          <cell r="D108" t="str">
            <v>I0402</v>
          </cell>
          <cell r="G108">
            <v>1651867.85</v>
          </cell>
        </row>
        <row r="109">
          <cell r="B109">
            <v>21201100</v>
          </cell>
          <cell r="C109">
            <v>201</v>
          </cell>
          <cell r="D109" t="str">
            <v>I0428</v>
          </cell>
          <cell r="G109">
            <v>6509573.04</v>
          </cell>
        </row>
        <row r="110">
          <cell r="B110">
            <v>21201100</v>
          </cell>
          <cell r="C110">
            <v>201</v>
          </cell>
          <cell r="D110" t="str">
            <v>I0447</v>
          </cell>
          <cell r="G110">
            <v>7249292.1500000004</v>
          </cell>
        </row>
        <row r="111">
          <cell r="B111">
            <v>21201100</v>
          </cell>
          <cell r="C111">
            <v>201</v>
          </cell>
          <cell r="D111" t="str">
            <v>I0461</v>
          </cell>
          <cell r="G111">
            <v>47564093.380000003</v>
          </cell>
        </row>
        <row r="112">
          <cell r="B112">
            <v>21201100</v>
          </cell>
          <cell r="C112">
            <v>201</v>
          </cell>
          <cell r="D112" t="str">
            <v>I0466</v>
          </cell>
          <cell r="G112">
            <v>19726902.829999998</v>
          </cell>
        </row>
        <row r="113">
          <cell r="B113">
            <v>21201100</v>
          </cell>
          <cell r="C113">
            <v>208</v>
          </cell>
          <cell r="D113" t="str">
            <v>I0400</v>
          </cell>
          <cell r="G113">
            <v>207716.37</v>
          </cell>
        </row>
        <row r="114">
          <cell r="B114">
            <v>21201100</v>
          </cell>
          <cell r="C114">
            <v>208</v>
          </cell>
          <cell r="D114" t="str">
            <v>I0427</v>
          </cell>
          <cell r="G114">
            <v>0</v>
          </cell>
        </row>
        <row r="115">
          <cell r="B115">
            <v>21201100</v>
          </cell>
          <cell r="C115">
            <v>270</v>
          </cell>
          <cell r="D115" t="str">
            <v>I0519</v>
          </cell>
          <cell r="G115">
            <v>8537144.9700000007</v>
          </cell>
        </row>
        <row r="116">
          <cell r="B116">
            <v>21201100</v>
          </cell>
          <cell r="C116">
            <v>270</v>
          </cell>
          <cell r="D116" t="str">
            <v>I0814</v>
          </cell>
          <cell r="G116">
            <v>1975739.26</v>
          </cell>
        </row>
        <row r="117">
          <cell r="B117">
            <v>21211000</v>
          </cell>
          <cell r="C117">
            <v>201</v>
          </cell>
          <cell r="D117" t="str">
            <v>I0132</v>
          </cell>
        </row>
        <row r="118">
          <cell r="B118">
            <v>21211000</v>
          </cell>
          <cell r="C118">
            <v>201</v>
          </cell>
          <cell r="D118" t="str">
            <v>I0214</v>
          </cell>
          <cell r="G118">
            <v>4303243.25</v>
          </cell>
        </row>
        <row r="119">
          <cell r="B119">
            <v>21211000</v>
          </cell>
          <cell r="C119">
            <v>201</v>
          </cell>
          <cell r="D119" t="str">
            <v>I0221</v>
          </cell>
          <cell r="G119">
            <v>3838186.91</v>
          </cell>
        </row>
        <row r="120">
          <cell r="B120">
            <v>21211000</v>
          </cell>
          <cell r="C120">
            <v>201</v>
          </cell>
          <cell r="D120" t="str">
            <v>I0227</v>
          </cell>
          <cell r="G120">
            <v>1996565.85</v>
          </cell>
        </row>
        <row r="121">
          <cell r="B121">
            <v>21211000</v>
          </cell>
          <cell r="C121">
            <v>201</v>
          </cell>
          <cell r="D121" t="str">
            <v>I0240</v>
          </cell>
        </row>
        <row r="122">
          <cell r="B122">
            <v>21211000</v>
          </cell>
          <cell r="C122">
            <v>201</v>
          </cell>
          <cell r="D122" t="str">
            <v>I0259</v>
          </cell>
          <cell r="G122">
            <v>10501376.550000001</v>
          </cell>
        </row>
        <row r="123">
          <cell r="B123">
            <v>21211000</v>
          </cell>
          <cell r="C123">
            <v>201</v>
          </cell>
          <cell r="D123" t="str">
            <v>I0294</v>
          </cell>
          <cell r="G123">
            <v>7751707.54</v>
          </cell>
        </row>
        <row r="124">
          <cell r="B124">
            <v>21211000</v>
          </cell>
          <cell r="C124">
            <v>201</v>
          </cell>
          <cell r="D124" t="str">
            <v>I0513</v>
          </cell>
          <cell r="G124">
            <v>878106.34</v>
          </cell>
        </row>
        <row r="125">
          <cell r="B125">
            <v>21211000</v>
          </cell>
          <cell r="C125">
            <v>201</v>
          </cell>
          <cell r="D125" t="str">
            <v>I0805</v>
          </cell>
          <cell r="G125">
            <v>4562799.0999999996</v>
          </cell>
        </row>
        <row r="126">
          <cell r="B126">
            <v>21211000</v>
          </cell>
          <cell r="C126">
            <v>201</v>
          </cell>
          <cell r="D126" t="str">
            <v>I0812</v>
          </cell>
          <cell r="G126">
            <v>1036653.32</v>
          </cell>
        </row>
        <row r="127">
          <cell r="B127">
            <v>21211000</v>
          </cell>
          <cell r="C127">
            <v>270</v>
          </cell>
          <cell r="D127" t="str">
            <v>I0802</v>
          </cell>
          <cell r="G127">
            <v>5067063.5</v>
          </cell>
        </row>
        <row r="128">
          <cell r="B128">
            <v>21211000</v>
          </cell>
          <cell r="C128">
            <v>270</v>
          </cell>
          <cell r="D128" t="str">
            <v>I0806</v>
          </cell>
          <cell r="G128">
            <v>4728351.8600000003</v>
          </cell>
        </row>
        <row r="129">
          <cell r="B129">
            <v>21211000</v>
          </cell>
          <cell r="C129">
            <v>270</v>
          </cell>
          <cell r="D129" t="str">
            <v>I0807</v>
          </cell>
          <cell r="G129">
            <v>15146364.779999999</v>
          </cell>
        </row>
        <row r="130">
          <cell r="B130">
            <v>21211000</v>
          </cell>
          <cell r="C130">
            <v>270</v>
          </cell>
          <cell r="D130" t="str">
            <v>I0809</v>
          </cell>
          <cell r="G130">
            <v>6708571.0999999996</v>
          </cell>
        </row>
        <row r="131">
          <cell r="B131">
            <v>21211000</v>
          </cell>
          <cell r="C131">
            <v>270</v>
          </cell>
          <cell r="D131" t="str">
            <v>I0811</v>
          </cell>
          <cell r="G131">
            <v>6185442.2800000003</v>
          </cell>
        </row>
        <row r="132">
          <cell r="B132">
            <v>21211000</v>
          </cell>
          <cell r="C132">
            <v>270</v>
          </cell>
          <cell r="D132" t="str">
            <v>I0813</v>
          </cell>
          <cell r="G132">
            <v>6174185.2000000002</v>
          </cell>
        </row>
        <row r="133">
          <cell r="B133">
            <v>21211000</v>
          </cell>
          <cell r="C133">
            <v>270</v>
          </cell>
          <cell r="D133" t="str">
            <v>I0815</v>
          </cell>
          <cell r="G133">
            <v>2826404.78</v>
          </cell>
        </row>
        <row r="134">
          <cell r="B134">
            <v>21211000</v>
          </cell>
          <cell r="C134">
            <v>270</v>
          </cell>
          <cell r="D134" t="str">
            <v>I0816</v>
          </cell>
          <cell r="G134">
            <v>8079797.9100000001</v>
          </cell>
        </row>
        <row r="135">
          <cell r="B135">
            <v>21211000</v>
          </cell>
          <cell r="C135">
            <v>270</v>
          </cell>
          <cell r="D135" t="str">
            <v>I0818</v>
          </cell>
          <cell r="G135">
            <v>11701760.710000001</v>
          </cell>
        </row>
        <row r="136">
          <cell r="B136">
            <v>21211000</v>
          </cell>
          <cell r="C136">
            <v>270</v>
          </cell>
          <cell r="D136" t="str">
            <v>I0829</v>
          </cell>
          <cell r="G136">
            <v>11302618.92</v>
          </cell>
        </row>
        <row r="137">
          <cell r="B137">
            <v>21211000</v>
          </cell>
          <cell r="C137">
            <v>270</v>
          </cell>
          <cell r="D137" t="str">
            <v>I0831</v>
          </cell>
          <cell r="G137">
            <v>12165431.58</v>
          </cell>
        </row>
        <row r="138">
          <cell r="B138">
            <v>21211000</v>
          </cell>
          <cell r="C138">
            <v>270</v>
          </cell>
          <cell r="D138" t="str">
            <v>I0832</v>
          </cell>
          <cell r="G138">
            <v>5252046.38</v>
          </cell>
        </row>
        <row r="139">
          <cell r="B139">
            <v>21211000</v>
          </cell>
          <cell r="C139">
            <v>270</v>
          </cell>
          <cell r="D139" t="str">
            <v>I0833</v>
          </cell>
          <cell r="G139">
            <v>26364228.140000001</v>
          </cell>
        </row>
        <row r="140">
          <cell r="B140">
            <v>21211000</v>
          </cell>
          <cell r="C140">
            <v>270</v>
          </cell>
          <cell r="D140" t="str">
            <v>I0834</v>
          </cell>
          <cell r="G140">
            <v>6402858.7199999997</v>
          </cell>
        </row>
        <row r="141">
          <cell r="B141">
            <v>21211000</v>
          </cell>
          <cell r="C141">
            <v>270</v>
          </cell>
          <cell r="D141" t="str">
            <v>I0836</v>
          </cell>
          <cell r="G141">
            <v>2988792.25</v>
          </cell>
        </row>
        <row r="142">
          <cell r="B142">
            <v>21211000</v>
          </cell>
          <cell r="C142">
            <v>270</v>
          </cell>
          <cell r="D142" t="str">
            <v>I0837</v>
          </cell>
          <cell r="G142">
            <v>3462030.92</v>
          </cell>
        </row>
        <row r="143">
          <cell r="B143">
            <v>21211000</v>
          </cell>
          <cell r="C143">
            <v>270</v>
          </cell>
          <cell r="D143" t="str">
            <v>I0838</v>
          </cell>
          <cell r="G143">
            <v>3770955.87</v>
          </cell>
        </row>
        <row r="144">
          <cell r="B144">
            <v>21211000</v>
          </cell>
          <cell r="C144">
            <v>270</v>
          </cell>
          <cell r="D144" t="str">
            <v>I0839</v>
          </cell>
          <cell r="G144">
            <v>2126232.33</v>
          </cell>
        </row>
        <row r="145">
          <cell r="B145">
            <v>21211000</v>
          </cell>
          <cell r="C145">
            <v>270</v>
          </cell>
          <cell r="D145" t="str">
            <v>I0840</v>
          </cell>
          <cell r="G145">
            <v>4744328.51</v>
          </cell>
        </row>
        <row r="146">
          <cell r="B146">
            <v>21211100</v>
          </cell>
          <cell r="C146">
            <v>201</v>
          </cell>
          <cell r="D146" t="str">
            <v>I0244</v>
          </cell>
          <cell r="G146">
            <v>7126241.3499999996</v>
          </cell>
        </row>
        <row r="147">
          <cell r="B147">
            <v>21211100</v>
          </cell>
          <cell r="C147">
            <v>201</v>
          </cell>
          <cell r="D147" t="str">
            <v>I0246</v>
          </cell>
          <cell r="G147">
            <v>53357.16</v>
          </cell>
        </row>
        <row r="148">
          <cell r="B148">
            <v>21211100</v>
          </cell>
          <cell r="C148">
            <v>201</v>
          </cell>
          <cell r="D148" t="str">
            <v>I0402</v>
          </cell>
          <cell r="G148">
            <v>5605813.3899999997</v>
          </cell>
        </row>
        <row r="149">
          <cell r="B149">
            <v>21211100</v>
          </cell>
          <cell r="C149">
            <v>201</v>
          </cell>
          <cell r="D149" t="str">
            <v>I0428</v>
          </cell>
          <cell r="G149">
            <v>12384766.35</v>
          </cell>
        </row>
        <row r="150">
          <cell r="B150">
            <v>21211100</v>
          </cell>
          <cell r="C150">
            <v>201</v>
          </cell>
          <cell r="D150" t="str">
            <v>I0447</v>
          </cell>
          <cell r="G150">
            <v>13846839.699999999</v>
          </cell>
        </row>
        <row r="151">
          <cell r="B151">
            <v>21211100</v>
          </cell>
          <cell r="C151">
            <v>201</v>
          </cell>
          <cell r="D151" t="str">
            <v>I0461</v>
          </cell>
          <cell r="G151">
            <v>15002604.77</v>
          </cell>
        </row>
        <row r="152">
          <cell r="B152">
            <v>21211100</v>
          </cell>
          <cell r="C152">
            <v>201</v>
          </cell>
          <cell r="D152" t="str">
            <v>I0466</v>
          </cell>
          <cell r="G152">
            <v>22103737.050000001</v>
          </cell>
        </row>
        <row r="153">
          <cell r="B153">
            <v>21211100</v>
          </cell>
          <cell r="C153">
            <v>208</v>
          </cell>
          <cell r="D153" t="str">
            <v>I0400</v>
          </cell>
          <cell r="G153">
            <v>775756.64</v>
          </cell>
        </row>
        <row r="154">
          <cell r="B154">
            <v>21211100</v>
          </cell>
          <cell r="C154">
            <v>208</v>
          </cell>
          <cell r="D154" t="str">
            <v>I0427</v>
          </cell>
          <cell r="G154">
            <v>0</v>
          </cell>
        </row>
        <row r="155">
          <cell r="B155">
            <v>21211100</v>
          </cell>
          <cell r="C155">
            <v>270</v>
          </cell>
          <cell r="D155" t="str">
            <v>I0519</v>
          </cell>
          <cell r="G155">
            <v>16342534.65</v>
          </cell>
        </row>
        <row r="156">
          <cell r="B156">
            <v>21211100</v>
          </cell>
          <cell r="C156">
            <v>270</v>
          </cell>
          <cell r="D156" t="str">
            <v>I0814</v>
          </cell>
          <cell r="G156">
            <v>2963608.9</v>
          </cell>
        </row>
        <row r="157">
          <cell r="B157">
            <v>21211500</v>
          </cell>
          <cell r="C157">
            <v>201</v>
          </cell>
          <cell r="D157" t="str">
            <v>I0132</v>
          </cell>
          <cell r="G157">
            <v>442319.6</v>
          </cell>
        </row>
        <row r="158">
          <cell r="B158">
            <v>21211500</v>
          </cell>
          <cell r="C158">
            <v>201</v>
          </cell>
          <cell r="D158" t="str">
            <v>I0134</v>
          </cell>
          <cell r="G158">
            <v>89997.61</v>
          </cell>
        </row>
        <row r="159">
          <cell r="B159">
            <v>21211500</v>
          </cell>
          <cell r="C159">
            <v>201</v>
          </cell>
          <cell r="D159" t="str">
            <v>I0136</v>
          </cell>
          <cell r="G159">
            <v>0</v>
          </cell>
        </row>
        <row r="160">
          <cell r="B160">
            <v>21211500</v>
          </cell>
          <cell r="C160">
            <v>201</v>
          </cell>
          <cell r="D160" t="str">
            <v>I0142</v>
          </cell>
          <cell r="G160">
            <v>340894.2</v>
          </cell>
        </row>
        <row r="161">
          <cell r="B161">
            <v>21211500</v>
          </cell>
          <cell r="C161">
            <v>201</v>
          </cell>
          <cell r="D161" t="str">
            <v>I0150</v>
          </cell>
          <cell r="G161">
            <v>67275.100000000006</v>
          </cell>
        </row>
        <row r="162">
          <cell r="B162">
            <v>21211500</v>
          </cell>
          <cell r="C162">
            <v>201</v>
          </cell>
          <cell r="D162" t="str">
            <v>I0153</v>
          </cell>
          <cell r="G162">
            <v>4377.3100000000004</v>
          </cell>
        </row>
        <row r="163">
          <cell r="B163">
            <v>21211500</v>
          </cell>
          <cell r="C163">
            <v>201</v>
          </cell>
          <cell r="D163" t="str">
            <v>I0157</v>
          </cell>
          <cell r="G163">
            <v>24074.77</v>
          </cell>
        </row>
        <row r="164">
          <cell r="B164">
            <v>21211500</v>
          </cell>
          <cell r="C164">
            <v>201</v>
          </cell>
          <cell r="D164" t="str">
            <v>I0161</v>
          </cell>
          <cell r="G164">
            <v>728533.72</v>
          </cell>
        </row>
        <row r="165">
          <cell r="B165">
            <v>21211500</v>
          </cell>
          <cell r="C165">
            <v>201</v>
          </cell>
          <cell r="D165" t="str">
            <v>I0166</v>
          </cell>
          <cell r="G165">
            <v>7886.29</v>
          </cell>
        </row>
        <row r="166">
          <cell r="B166">
            <v>21211500</v>
          </cell>
          <cell r="C166">
            <v>201</v>
          </cell>
          <cell r="D166" t="str">
            <v>I0187</v>
          </cell>
          <cell r="G166">
            <v>67389.179999999993</v>
          </cell>
        </row>
        <row r="167">
          <cell r="B167">
            <v>21211500</v>
          </cell>
          <cell r="C167">
            <v>201</v>
          </cell>
          <cell r="D167" t="str">
            <v>I0203</v>
          </cell>
          <cell r="G167">
            <v>285558.95</v>
          </cell>
        </row>
        <row r="168">
          <cell r="B168">
            <v>21211500</v>
          </cell>
          <cell r="C168">
            <v>201</v>
          </cell>
          <cell r="D168" t="str">
            <v>I0209</v>
          </cell>
          <cell r="G168">
            <v>442902.61</v>
          </cell>
        </row>
        <row r="169">
          <cell r="B169">
            <v>21211500</v>
          </cell>
          <cell r="C169">
            <v>201</v>
          </cell>
          <cell r="D169" t="str">
            <v>I0214</v>
          </cell>
          <cell r="G169">
            <v>161716.85</v>
          </cell>
        </row>
        <row r="170">
          <cell r="B170">
            <v>21211500</v>
          </cell>
          <cell r="C170">
            <v>201</v>
          </cell>
          <cell r="D170" t="str">
            <v>I0221</v>
          </cell>
          <cell r="G170">
            <v>77060.31</v>
          </cell>
        </row>
        <row r="171">
          <cell r="B171">
            <v>21211500</v>
          </cell>
          <cell r="C171">
            <v>201</v>
          </cell>
          <cell r="D171" t="str">
            <v>I0227</v>
          </cell>
          <cell r="G171">
            <v>14332.45</v>
          </cell>
        </row>
        <row r="172">
          <cell r="B172">
            <v>21211500</v>
          </cell>
          <cell r="C172">
            <v>201</v>
          </cell>
          <cell r="D172" t="str">
            <v>I0240</v>
          </cell>
          <cell r="G172">
            <v>555482.13</v>
          </cell>
        </row>
        <row r="173">
          <cell r="B173">
            <v>21211500</v>
          </cell>
          <cell r="C173">
            <v>201</v>
          </cell>
          <cell r="D173" t="str">
            <v>I0241</v>
          </cell>
          <cell r="G173">
            <v>154292.14000000001</v>
          </cell>
        </row>
        <row r="174">
          <cell r="B174">
            <v>21211500</v>
          </cell>
          <cell r="C174">
            <v>201</v>
          </cell>
          <cell r="D174" t="str">
            <v>I0259</v>
          </cell>
          <cell r="G174">
            <v>200878.63</v>
          </cell>
        </row>
        <row r="175">
          <cell r="B175">
            <v>21211500</v>
          </cell>
          <cell r="C175">
            <v>201</v>
          </cell>
          <cell r="D175" t="str">
            <v>I0294</v>
          </cell>
          <cell r="G175">
            <v>89324.5</v>
          </cell>
        </row>
        <row r="176">
          <cell r="B176">
            <v>21211500</v>
          </cell>
          <cell r="C176">
            <v>201</v>
          </cell>
          <cell r="D176" t="str">
            <v>I0428</v>
          </cell>
          <cell r="G176">
            <v>36017.89</v>
          </cell>
        </row>
        <row r="177">
          <cell r="B177">
            <v>21211500</v>
          </cell>
          <cell r="C177">
            <v>201</v>
          </cell>
          <cell r="D177" t="str">
            <v>I0447</v>
          </cell>
          <cell r="G177">
            <v>5556.74</v>
          </cell>
        </row>
        <row r="178">
          <cell r="B178">
            <v>21211500</v>
          </cell>
          <cell r="C178">
            <v>201</v>
          </cell>
          <cell r="D178" t="str">
            <v>I0805</v>
          </cell>
          <cell r="G178">
            <v>2679.3</v>
          </cell>
        </row>
        <row r="179">
          <cell r="B179">
            <v>21211500</v>
          </cell>
          <cell r="C179">
            <v>201</v>
          </cell>
          <cell r="D179" t="str">
            <v>I0812</v>
          </cell>
          <cell r="G179">
            <v>1074924.93</v>
          </cell>
        </row>
        <row r="180">
          <cell r="B180">
            <v>21211500</v>
          </cell>
          <cell r="C180">
            <v>270</v>
          </cell>
          <cell r="D180" t="str">
            <v>I0802</v>
          </cell>
          <cell r="G180">
            <v>16102.9</v>
          </cell>
        </row>
        <row r="181">
          <cell r="B181">
            <v>21211500</v>
          </cell>
          <cell r="C181">
            <v>270</v>
          </cell>
          <cell r="D181" t="str">
            <v>I0807</v>
          </cell>
          <cell r="G181">
            <v>2536.46</v>
          </cell>
        </row>
        <row r="182">
          <cell r="B182">
            <v>21211500</v>
          </cell>
          <cell r="C182">
            <v>270</v>
          </cell>
          <cell r="D182" t="str">
            <v>I0811</v>
          </cell>
          <cell r="G182">
            <v>3483.4</v>
          </cell>
        </row>
        <row r="183">
          <cell r="B183">
            <v>21211500</v>
          </cell>
          <cell r="C183">
            <v>270</v>
          </cell>
          <cell r="D183" t="str">
            <v>I0813</v>
          </cell>
          <cell r="G183">
            <v>12476.45</v>
          </cell>
        </row>
        <row r="184">
          <cell r="B184">
            <v>21211500</v>
          </cell>
          <cell r="C184">
            <v>270</v>
          </cell>
          <cell r="D184" t="str">
            <v>I0815</v>
          </cell>
          <cell r="G184">
            <v>9691.5499999999993</v>
          </cell>
        </row>
        <row r="185">
          <cell r="B185">
            <v>21211500</v>
          </cell>
          <cell r="C185">
            <v>270</v>
          </cell>
          <cell r="D185" t="str">
            <v>I0816</v>
          </cell>
          <cell r="G185">
            <v>888639.21</v>
          </cell>
        </row>
        <row r="186">
          <cell r="B186">
            <v>21211500</v>
          </cell>
          <cell r="C186">
            <v>270</v>
          </cell>
          <cell r="D186" t="str">
            <v>I0818</v>
          </cell>
          <cell r="G186">
            <v>3929.88</v>
          </cell>
        </row>
        <row r="187">
          <cell r="B187">
            <v>21211500</v>
          </cell>
          <cell r="C187">
            <v>270</v>
          </cell>
          <cell r="D187" t="str">
            <v>I0831</v>
          </cell>
          <cell r="G187">
            <v>29171.95</v>
          </cell>
        </row>
        <row r="188">
          <cell r="B188">
            <v>21211500</v>
          </cell>
          <cell r="C188">
            <v>270</v>
          </cell>
          <cell r="D188" t="str">
            <v>I0836</v>
          </cell>
          <cell r="G188">
            <v>34496.870000000003</v>
          </cell>
        </row>
        <row r="189">
          <cell r="B189">
            <v>21211600</v>
          </cell>
          <cell r="C189">
            <v>201</v>
          </cell>
          <cell r="D189" t="str">
            <v>I0138</v>
          </cell>
          <cell r="G189">
            <v>0</v>
          </cell>
        </row>
        <row r="190">
          <cell r="B190">
            <v>21211600</v>
          </cell>
          <cell r="C190">
            <v>201</v>
          </cell>
          <cell r="D190" t="str">
            <v>I0144</v>
          </cell>
          <cell r="G190">
            <v>17389.55</v>
          </cell>
        </row>
        <row r="191">
          <cell r="B191">
            <v>21211600</v>
          </cell>
          <cell r="C191">
            <v>201</v>
          </cell>
          <cell r="D191" t="str">
            <v>I0206</v>
          </cell>
          <cell r="G191">
            <v>0</v>
          </cell>
        </row>
        <row r="192">
          <cell r="B192">
            <v>21211600</v>
          </cell>
          <cell r="C192">
            <v>201</v>
          </cell>
          <cell r="D192" t="str">
            <v>I0244</v>
          </cell>
          <cell r="G192">
            <v>38065527.759999998</v>
          </cell>
        </row>
        <row r="193">
          <cell r="B193">
            <v>21211600</v>
          </cell>
          <cell r="C193">
            <v>201</v>
          </cell>
          <cell r="D193" t="str">
            <v>I0245</v>
          </cell>
          <cell r="G193">
            <v>463274.23</v>
          </cell>
        </row>
        <row r="194">
          <cell r="B194">
            <v>21211600</v>
          </cell>
          <cell r="C194">
            <v>201</v>
          </cell>
          <cell r="D194" t="str">
            <v>I0246</v>
          </cell>
          <cell r="G194">
            <v>689745.4</v>
          </cell>
        </row>
        <row r="195">
          <cell r="B195">
            <v>21211600</v>
          </cell>
          <cell r="C195">
            <v>201</v>
          </cell>
          <cell r="D195" t="str">
            <v>I0402</v>
          </cell>
          <cell r="G195">
            <v>491417.96</v>
          </cell>
        </row>
        <row r="196">
          <cell r="B196">
            <v>21211600</v>
          </cell>
          <cell r="C196">
            <v>201</v>
          </cell>
          <cell r="D196" t="str">
            <v>I0428</v>
          </cell>
          <cell r="G196">
            <v>1033856.98</v>
          </cell>
        </row>
        <row r="197">
          <cell r="B197">
            <v>21211600</v>
          </cell>
          <cell r="C197">
            <v>201</v>
          </cell>
          <cell r="D197" t="str">
            <v>I0447</v>
          </cell>
          <cell r="G197">
            <v>15796.45</v>
          </cell>
        </row>
        <row r="198">
          <cell r="B198">
            <v>21211600</v>
          </cell>
          <cell r="C198">
            <v>201</v>
          </cell>
          <cell r="D198" t="str">
            <v>I0461</v>
          </cell>
          <cell r="G198">
            <v>1136873.6399999999</v>
          </cell>
        </row>
        <row r="199">
          <cell r="B199">
            <v>21211600</v>
          </cell>
          <cell r="C199">
            <v>201</v>
          </cell>
          <cell r="D199" t="str">
            <v>I0466</v>
          </cell>
          <cell r="G199">
            <v>331750</v>
          </cell>
        </row>
        <row r="200">
          <cell r="B200">
            <v>21211800</v>
          </cell>
          <cell r="C200">
            <v>201</v>
          </cell>
          <cell r="D200" t="str">
            <v>F0174</v>
          </cell>
          <cell r="G200">
            <v>0</v>
          </cell>
        </row>
        <row r="201">
          <cell r="B201">
            <v>21211800</v>
          </cell>
          <cell r="C201">
            <v>201</v>
          </cell>
          <cell r="D201" t="str">
            <v>F0204</v>
          </cell>
          <cell r="G201">
            <v>0</v>
          </cell>
        </row>
        <row r="202">
          <cell r="B202">
            <v>21211800</v>
          </cell>
          <cell r="C202">
            <v>201</v>
          </cell>
          <cell r="D202" t="str">
            <v>F0305</v>
          </cell>
          <cell r="G202">
            <v>0</v>
          </cell>
        </row>
        <row r="203">
          <cell r="B203">
            <v>21220000</v>
          </cell>
          <cell r="C203">
            <v>201</v>
          </cell>
          <cell r="D203" t="str">
            <v>I0132</v>
          </cell>
          <cell r="G203">
            <v>4617129.67</v>
          </cell>
        </row>
        <row r="204">
          <cell r="B204">
            <v>21220000</v>
          </cell>
          <cell r="C204">
            <v>201</v>
          </cell>
          <cell r="D204" t="str">
            <v>I0134</v>
          </cell>
          <cell r="G204">
            <v>873623.56</v>
          </cell>
        </row>
        <row r="205">
          <cell r="B205">
            <v>21220000</v>
          </cell>
          <cell r="C205">
            <v>201</v>
          </cell>
          <cell r="D205" t="str">
            <v>I0136</v>
          </cell>
          <cell r="G205">
            <v>0</v>
          </cell>
        </row>
        <row r="206">
          <cell r="B206">
            <v>21220000</v>
          </cell>
          <cell r="C206">
            <v>201</v>
          </cell>
          <cell r="D206" t="str">
            <v>I0142</v>
          </cell>
          <cell r="G206">
            <v>2168776.31</v>
          </cell>
        </row>
        <row r="207">
          <cell r="B207">
            <v>21220000</v>
          </cell>
          <cell r="C207">
            <v>201</v>
          </cell>
          <cell r="D207" t="str">
            <v>I0145</v>
          </cell>
          <cell r="G207">
            <v>0</v>
          </cell>
        </row>
        <row r="208">
          <cell r="B208">
            <v>21220000</v>
          </cell>
          <cell r="C208">
            <v>201</v>
          </cell>
          <cell r="D208" t="str">
            <v>I0150</v>
          </cell>
          <cell r="G208">
            <v>1301369.42</v>
          </cell>
        </row>
        <row r="209">
          <cell r="B209">
            <v>21220000</v>
          </cell>
          <cell r="C209">
            <v>201</v>
          </cell>
          <cell r="D209" t="str">
            <v>I0153</v>
          </cell>
          <cell r="G209">
            <v>936556.59</v>
          </cell>
        </row>
        <row r="210">
          <cell r="B210">
            <v>21220000</v>
          </cell>
          <cell r="C210">
            <v>201</v>
          </cell>
          <cell r="D210" t="str">
            <v>I0157</v>
          </cell>
          <cell r="G210">
            <v>839745.29</v>
          </cell>
        </row>
        <row r="211">
          <cell r="B211">
            <v>21220000</v>
          </cell>
          <cell r="C211">
            <v>201</v>
          </cell>
          <cell r="D211" t="str">
            <v>I0161</v>
          </cell>
          <cell r="G211">
            <v>417361.38</v>
          </cell>
        </row>
        <row r="212">
          <cell r="B212">
            <v>21220000</v>
          </cell>
          <cell r="C212">
            <v>201</v>
          </cell>
          <cell r="D212" t="str">
            <v>I0166</v>
          </cell>
          <cell r="G212">
            <v>658043.13</v>
          </cell>
        </row>
        <row r="213">
          <cell r="B213">
            <v>21220000</v>
          </cell>
          <cell r="C213">
            <v>201</v>
          </cell>
          <cell r="D213" t="str">
            <v>I0187</v>
          </cell>
          <cell r="G213">
            <v>456112.99</v>
          </cell>
        </row>
        <row r="214">
          <cell r="B214">
            <v>21220000</v>
          </cell>
          <cell r="C214">
            <v>201</v>
          </cell>
          <cell r="D214" t="str">
            <v>I0203</v>
          </cell>
          <cell r="G214">
            <v>1411520.88</v>
          </cell>
        </row>
        <row r="215">
          <cell r="B215">
            <v>21220000</v>
          </cell>
          <cell r="C215">
            <v>201</v>
          </cell>
          <cell r="D215" t="str">
            <v>I0209</v>
          </cell>
          <cell r="G215">
            <v>1170811.23</v>
          </cell>
        </row>
        <row r="216">
          <cell r="B216">
            <v>21220000</v>
          </cell>
          <cell r="C216">
            <v>201</v>
          </cell>
          <cell r="D216" t="str">
            <v>I0210</v>
          </cell>
          <cell r="G216">
            <v>0</v>
          </cell>
        </row>
        <row r="217">
          <cell r="B217">
            <v>21220000</v>
          </cell>
          <cell r="C217">
            <v>201</v>
          </cell>
          <cell r="D217" t="str">
            <v>I0240</v>
          </cell>
          <cell r="G217">
            <v>998700.43</v>
          </cell>
        </row>
        <row r="218">
          <cell r="B218">
            <v>21220000</v>
          </cell>
          <cell r="C218">
            <v>201</v>
          </cell>
          <cell r="D218" t="str">
            <v>I0241</v>
          </cell>
          <cell r="G218">
            <v>617875.87</v>
          </cell>
        </row>
        <row r="219">
          <cell r="B219">
            <v>21220100</v>
          </cell>
          <cell r="C219">
            <v>201</v>
          </cell>
          <cell r="D219" t="str">
            <v>I0138</v>
          </cell>
          <cell r="G219">
            <v>0</v>
          </cell>
        </row>
        <row r="220">
          <cell r="B220">
            <v>21220100</v>
          </cell>
          <cell r="C220">
            <v>201</v>
          </cell>
          <cell r="D220" t="str">
            <v>I0144</v>
          </cell>
          <cell r="G220">
            <v>96166.12</v>
          </cell>
        </row>
        <row r="221">
          <cell r="B221">
            <v>21220100</v>
          </cell>
          <cell r="C221">
            <v>201</v>
          </cell>
          <cell r="D221" t="str">
            <v>I0244</v>
          </cell>
          <cell r="G221">
            <v>485576.65</v>
          </cell>
        </row>
        <row r="222">
          <cell r="B222">
            <v>21220100</v>
          </cell>
          <cell r="C222">
            <v>201</v>
          </cell>
          <cell r="D222" t="str">
            <v>I0246</v>
          </cell>
          <cell r="G222">
            <v>1754591.99</v>
          </cell>
        </row>
        <row r="223">
          <cell r="B223">
            <v>21220100</v>
          </cell>
          <cell r="C223">
            <v>201</v>
          </cell>
          <cell r="D223" t="str">
            <v>I0271</v>
          </cell>
          <cell r="G223">
            <v>1792306.07</v>
          </cell>
        </row>
        <row r="224">
          <cell r="B224">
            <v>21221000</v>
          </cell>
          <cell r="C224">
            <v>201</v>
          </cell>
          <cell r="D224" t="str">
            <v>I0132</v>
          </cell>
          <cell r="G224">
            <v>7903240.3499999996</v>
          </cell>
        </row>
        <row r="225">
          <cell r="B225">
            <v>21221000</v>
          </cell>
          <cell r="C225">
            <v>201</v>
          </cell>
          <cell r="D225" t="str">
            <v>I0134</v>
          </cell>
          <cell r="G225">
            <v>2223926.69</v>
          </cell>
        </row>
        <row r="226">
          <cell r="B226">
            <v>21221000</v>
          </cell>
          <cell r="C226">
            <v>201</v>
          </cell>
          <cell r="D226" t="str">
            <v>I0136</v>
          </cell>
          <cell r="G226">
            <v>0</v>
          </cell>
        </row>
        <row r="227">
          <cell r="B227">
            <v>21221000</v>
          </cell>
          <cell r="C227">
            <v>201</v>
          </cell>
          <cell r="D227" t="str">
            <v>I0142</v>
          </cell>
          <cell r="G227">
            <v>9556035.9600000009</v>
          </cell>
        </row>
        <row r="228">
          <cell r="B228">
            <v>21221000</v>
          </cell>
          <cell r="C228">
            <v>201</v>
          </cell>
          <cell r="D228" t="str">
            <v>I0145</v>
          </cell>
          <cell r="G228">
            <v>0</v>
          </cell>
        </row>
        <row r="229">
          <cell r="B229">
            <v>21221000</v>
          </cell>
          <cell r="C229">
            <v>201</v>
          </cell>
          <cell r="D229" t="str">
            <v>I0150</v>
          </cell>
          <cell r="G229">
            <v>3580356.62</v>
          </cell>
        </row>
        <row r="230">
          <cell r="B230">
            <v>21221000</v>
          </cell>
          <cell r="C230">
            <v>201</v>
          </cell>
          <cell r="D230" t="str">
            <v>I0153</v>
          </cell>
          <cell r="G230">
            <v>1934253.72</v>
          </cell>
        </row>
        <row r="231">
          <cell r="B231">
            <v>21221000</v>
          </cell>
          <cell r="C231">
            <v>201</v>
          </cell>
          <cell r="D231" t="str">
            <v>I0157</v>
          </cell>
          <cell r="G231">
            <v>3423325.92</v>
          </cell>
        </row>
        <row r="232">
          <cell r="B232">
            <v>21221000</v>
          </cell>
          <cell r="C232">
            <v>201</v>
          </cell>
          <cell r="D232" t="str">
            <v>I0161</v>
          </cell>
          <cell r="G232">
            <v>3479136.09</v>
          </cell>
        </row>
        <row r="233">
          <cell r="B233">
            <v>21221000</v>
          </cell>
          <cell r="C233">
            <v>201</v>
          </cell>
          <cell r="D233" t="str">
            <v>I0166</v>
          </cell>
          <cell r="G233">
            <v>3477659.5</v>
          </cell>
        </row>
        <row r="234">
          <cell r="B234">
            <v>21221000</v>
          </cell>
          <cell r="C234">
            <v>201</v>
          </cell>
          <cell r="D234" t="str">
            <v>I0187</v>
          </cell>
          <cell r="G234">
            <v>2266853.61</v>
          </cell>
        </row>
        <row r="235">
          <cell r="B235">
            <v>21221000</v>
          </cell>
          <cell r="C235">
            <v>201</v>
          </cell>
          <cell r="D235" t="str">
            <v>I0203</v>
          </cell>
          <cell r="G235">
            <v>2848049.68</v>
          </cell>
        </row>
        <row r="236">
          <cell r="B236">
            <v>21221000</v>
          </cell>
          <cell r="C236">
            <v>201</v>
          </cell>
          <cell r="D236" t="str">
            <v>I0209</v>
          </cell>
          <cell r="G236">
            <v>2862370.25</v>
          </cell>
        </row>
        <row r="237">
          <cell r="B237">
            <v>21221000</v>
          </cell>
          <cell r="C237">
            <v>201</v>
          </cell>
          <cell r="D237" t="str">
            <v>I0210</v>
          </cell>
          <cell r="G237">
            <v>0</v>
          </cell>
        </row>
        <row r="238">
          <cell r="B238">
            <v>21221000</v>
          </cell>
          <cell r="C238">
            <v>201</v>
          </cell>
          <cell r="D238" t="str">
            <v>I0240</v>
          </cell>
          <cell r="G238">
            <v>5706465.3700000001</v>
          </cell>
        </row>
        <row r="239">
          <cell r="B239">
            <v>21221000</v>
          </cell>
          <cell r="C239">
            <v>201</v>
          </cell>
          <cell r="D239" t="str">
            <v>I0241</v>
          </cell>
          <cell r="G239">
            <v>3948769.63</v>
          </cell>
        </row>
        <row r="240">
          <cell r="B240">
            <v>21221100</v>
          </cell>
          <cell r="C240">
            <v>201</v>
          </cell>
          <cell r="D240" t="str">
            <v>I0138</v>
          </cell>
          <cell r="G240">
            <v>0</v>
          </cell>
        </row>
        <row r="241">
          <cell r="B241">
            <v>21221100</v>
          </cell>
          <cell r="C241">
            <v>201</v>
          </cell>
          <cell r="D241" t="str">
            <v>I0144</v>
          </cell>
          <cell r="G241">
            <v>789314.12</v>
          </cell>
        </row>
        <row r="242">
          <cell r="B242">
            <v>21221100</v>
          </cell>
          <cell r="C242">
            <v>201</v>
          </cell>
          <cell r="D242" t="str">
            <v>I0206</v>
          </cell>
          <cell r="G242">
            <v>0</v>
          </cell>
        </row>
        <row r="243">
          <cell r="B243">
            <v>21221100</v>
          </cell>
          <cell r="C243">
            <v>201</v>
          </cell>
          <cell r="D243" t="str">
            <v>I0244</v>
          </cell>
          <cell r="G243">
            <v>24040394.850000001</v>
          </cell>
        </row>
        <row r="244">
          <cell r="B244">
            <v>21221100</v>
          </cell>
          <cell r="C244">
            <v>201</v>
          </cell>
          <cell r="D244" t="str">
            <v>I0245</v>
          </cell>
          <cell r="G244">
            <v>1699378.62</v>
          </cell>
        </row>
        <row r="245">
          <cell r="B245">
            <v>21221100</v>
          </cell>
          <cell r="C245">
            <v>201</v>
          </cell>
          <cell r="D245" t="str">
            <v>I0246</v>
          </cell>
          <cell r="G245">
            <v>6164024.7300000004</v>
          </cell>
        </row>
        <row r="246">
          <cell r="B246">
            <v>21221100</v>
          </cell>
          <cell r="C246">
            <v>201</v>
          </cell>
          <cell r="D246" t="str">
            <v>I0271</v>
          </cell>
          <cell r="G246">
            <v>2781817.2</v>
          </cell>
        </row>
        <row r="247">
          <cell r="B247">
            <v>21221300</v>
          </cell>
          <cell r="C247">
            <v>201</v>
          </cell>
          <cell r="D247" t="str">
            <v>F0085</v>
          </cell>
          <cell r="G247">
            <v>0.01</v>
          </cell>
        </row>
        <row r="248">
          <cell r="B248">
            <v>21221300</v>
          </cell>
          <cell r="C248">
            <v>201</v>
          </cell>
          <cell r="D248" t="str">
            <v>F0118</v>
          </cell>
          <cell r="G248">
            <v>21342.86</v>
          </cell>
        </row>
        <row r="249">
          <cell r="B249">
            <v>21221300</v>
          </cell>
          <cell r="C249">
            <v>201</v>
          </cell>
          <cell r="D249" t="str">
            <v>F0127</v>
          </cell>
          <cell r="G249">
            <v>1219.5899999999999</v>
          </cell>
        </row>
        <row r="250">
          <cell r="B250">
            <v>21221300</v>
          </cell>
          <cell r="C250">
            <v>201</v>
          </cell>
          <cell r="D250" t="str">
            <v>F0164</v>
          </cell>
          <cell r="G250">
            <v>13465.94</v>
          </cell>
        </row>
        <row r="251">
          <cell r="B251">
            <v>21221300</v>
          </cell>
          <cell r="C251">
            <v>201</v>
          </cell>
          <cell r="D251" t="str">
            <v>F0168</v>
          </cell>
          <cell r="G251">
            <v>11168.37</v>
          </cell>
        </row>
        <row r="252">
          <cell r="B252">
            <v>21221300</v>
          </cell>
          <cell r="C252">
            <v>201</v>
          </cell>
          <cell r="D252" t="str">
            <v>F0174</v>
          </cell>
          <cell r="G252">
            <v>111009.87</v>
          </cell>
        </row>
        <row r="253">
          <cell r="B253">
            <v>21221300</v>
          </cell>
          <cell r="C253">
            <v>201</v>
          </cell>
          <cell r="D253" t="str">
            <v>F0179</v>
          </cell>
          <cell r="G253">
            <v>13717.75</v>
          </cell>
        </row>
        <row r="254">
          <cell r="B254">
            <v>21221300</v>
          </cell>
          <cell r="C254">
            <v>201</v>
          </cell>
          <cell r="D254" t="str">
            <v>F0189</v>
          </cell>
          <cell r="G254">
            <v>49738.21</v>
          </cell>
        </row>
        <row r="255">
          <cell r="B255">
            <v>21221300</v>
          </cell>
          <cell r="C255">
            <v>201</v>
          </cell>
          <cell r="D255" t="str">
            <v>F0195</v>
          </cell>
          <cell r="G255">
            <v>30200.87</v>
          </cell>
        </row>
        <row r="256">
          <cell r="B256">
            <v>21221300</v>
          </cell>
          <cell r="C256">
            <v>201</v>
          </cell>
          <cell r="D256" t="str">
            <v>F0203</v>
          </cell>
          <cell r="G256">
            <v>453230.83</v>
          </cell>
        </row>
        <row r="257">
          <cell r="B257">
            <v>21221300</v>
          </cell>
          <cell r="C257">
            <v>201</v>
          </cell>
          <cell r="D257" t="str">
            <v>F0207</v>
          </cell>
          <cell r="G257">
            <v>152.44999999999999</v>
          </cell>
        </row>
        <row r="258">
          <cell r="B258">
            <v>21221300</v>
          </cell>
          <cell r="C258">
            <v>201</v>
          </cell>
          <cell r="D258" t="str">
            <v>F0216</v>
          </cell>
          <cell r="G258">
            <v>152.44999999999999</v>
          </cell>
        </row>
        <row r="259">
          <cell r="B259">
            <v>21221300</v>
          </cell>
          <cell r="C259">
            <v>201</v>
          </cell>
          <cell r="D259" t="str">
            <v>F0219</v>
          </cell>
          <cell r="G259">
            <v>54130.1</v>
          </cell>
        </row>
        <row r="260">
          <cell r="B260">
            <v>21221300</v>
          </cell>
          <cell r="C260">
            <v>201</v>
          </cell>
          <cell r="D260" t="str">
            <v>F0302</v>
          </cell>
          <cell r="G260">
            <v>12806.54</v>
          </cell>
        </row>
        <row r="261">
          <cell r="B261">
            <v>21221300</v>
          </cell>
          <cell r="C261">
            <v>201</v>
          </cell>
          <cell r="D261" t="str">
            <v>F0303</v>
          </cell>
          <cell r="G261">
            <v>7206.82</v>
          </cell>
        </row>
        <row r="262">
          <cell r="B262">
            <v>21221300</v>
          </cell>
          <cell r="C262">
            <v>201</v>
          </cell>
          <cell r="D262" t="str">
            <v>F0305</v>
          </cell>
          <cell r="G262">
            <v>37267.68</v>
          </cell>
        </row>
        <row r="263">
          <cell r="B263">
            <v>21221300</v>
          </cell>
          <cell r="C263">
            <v>201</v>
          </cell>
          <cell r="D263" t="str">
            <v>F0306</v>
          </cell>
          <cell r="G263">
            <v>19618.5</v>
          </cell>
        </row>
        <row r="264">
          <cell r="B264">
            <v>21221800</v>
          </cell>
          <cell r="C264">
            <v>201</v>
          </cell>
          <cell r="D264" t="str">
            <v>F0127</v>
          </cell>
          <cell r="G264">
            <v>161.44</v>
          </cell>
        </row>
        <row r="265">
          <cell r="B265">
            <v>21221800</v>
          </cell>
          <cell r="C265">
            <v>201</v>
          </cell>
          <cell r="D265" t="str">
            <v>F0174</v>
          </cell>
          <cell r="G265">
            <v>46990.03</v>
          </cell>
        </row>
        <row r="266">
          <cell r="B266">
            <v>21221800</v>
          </cell>
          <cell r="C266">
            <v>201</v>
          </cell>
          <cell r="D266" t="str">
            <v>F0189</v>
          </cell>
          <cell r="G266">
            <v>3005.53</v>
          </cell>
        </row>
        <row r="267">
          <cell r="B267">
            <v>21221800</v>
          </cell>
          <cell r="C267">
            <v>201</v>
          </cell>
          <cell r="D267" t="str">
            <v>F0195</v>
          </cell>
          <cell r="G267">
            <v>14517.41</v>
          </cell>
        </row>
        <row r="268">
          <cell r="B268">
            <v>21221800</v>
          </cell>
          <cell r="C268">
            <v>201</v>
          </cell>
          <cell r="D268" t="str">
            <v>F0203</v>
          </cell>
          <cell r="G268">
            <v>9386.84</v>
          </cell>
        </row>
        <row r="269">
          <cell r="B269">
            <v>21221800</v>
          </cell>
          <cell r="C269">
            <v>201</v>
          </cell>
          <cell r="D269" t="str">
            <v>F0204</v>
          </cell>
          <cell r="G269">
            <v>3288.03</v>
          </cell>
        </row>
        <row r="270">
          <cell r="B270">
            <v>21221800</v>
          </cell>
          <cell r="C270">
            <v>201</v>
          </cell>
          <cell r="D270" t="str">
            <v>F0305</v>
          </cell>
          <cell r="G270">
            <v>8733.2800000000007</v>
          </cell>
        </row>
        <row r="271">
          <cell r="B271">
            <v>22000000</v>
          </cell>
          <cell r="C271">
            <v>270</v>
          </cell>
          <cell r="D271" t="str">
            <v>I0818</v>
          </cell>
          <cell r="G271">
            <v>0</v>
          </cell>
        </row>
        <row r="272">
          <cell r="B272">
            <v>22010000</v>
          </cell>
          <cell r="C272">
            <v>270</v>
          </cell>
          <cell r="D272" t="str">
            <v>I0835</v>
          </cell>
          <cell r="G272">
            <v>7113958.8899999997</v>
          </cell>
        </row>
        <row r="273">
          <cell r="B273">
            <v>22211000</v>
          </cell>
          <cell r="C273">
            <v>201</v>
          </cell>
          <cell r="D273" t="str">
            <v>I0132</v>
          </cell>
          <cell r="G273">
            <v>0</v>
          </cell>
        </row>
        <row r="274">
          <cell r="B274">
            <v>22211000</v>
          </cell>
          <cell r="C274">
            <v>201</v>
          </cell>
          <cell r="D274" t="str">
            <v>I0240</v>
          </cell>
          <cell r="G274">
            <v>0</v>
          </cell>
        </row>
        <row r="275">
          <cell r="B275">
            <v>22211000</v>
          </cell>
          <cell r="C275">
            <v>270</v>
          </cell>
          <cell r="D275" t="str">
            <v>I0809</v>
          </cell>
        </row>
        <row r="276">
          <cell r="B276">
            <v>22211000</v>
          </cell>
          <cell r="C276">
            <v>270</v>
          </cell>
          <cell r="D276" t="str">
            <v>I0816</v>
          </cell>
          <cell r="G276">
            <v>1373740.28</v>
          </cell>
        </row>
        <row r="277">
          <cell r="B277">
            <v>22211000</v>
          </cell>
          <cell r="C277">
            <v>270</v>
          </cell>
          <cell r="D277" t="str">
            <v>I0818</v>
          </cell>
          <cell r="G277">
            <v>0</v>
          </cell>
        </row>
        <row r="278">
          <cell r="B278">
            <v>22211000</v>
          </cell>
          <cell r="C278">
            <v>270</v>
          </cell>
          <cell r="D278" t="str">
            <v>I0836</v>
          </cell>
        </row>
        <row r="279">
          <cell r="B279">
            <v>22211100</v>
          </cell>
          <cell r="C279">
            <v>201</v>
          </cell>
          <cell r="D279" t="str">
            <v>I0244</v>
          </cell>
          <cell r="G279">
            <v>810203.26</v>
          </cell>
        </row>
        <row r="280">
          <cell r="B280">
            <v>22211100</v>
          </cell>
          <cell r="C280">
            <v>270</v>
          </cell>
          <cell r="D280" t="str">
            <v>I0816</v>
          </cell>
          <cell r="G280">
            <v>0</v>
          </cell>
        </row>
        <row r="281">
          <cell r="B281">
            <v>22211100</v>
          </cell>
          <cell r="C281">
            <v>270</v>
          </cell>
          <cell r="D281" t="str">
            <v>I0835</v>
          </cell>
          <cell r="G281">
            <v>12452305.060000001</v>
          </cell>
        </row>
        <row r="282">
          <cell r="B282">
            <v>28102100</v>
          </cell>
          <cell r="C282">
            <v>201</v>
          </cell>
          <cell r="D282" t="str">
            <v>F0086</v>
          </cell>
          <cell r="G282">
            <v>-719.18</v>
          </cell>
        </row>
        <row r="283">
          <cell r="B283">
            <v>28102100</v>
          </cell>
          <cell r="C283">
            <v>201</v>
          </cell>
          <cell r="D283" t="str">
            <v>F0102</v>
          </cell>
          <cell r="G283">
            <v>-187.91</v>
          </cell>
        </row>
        <row r="284">
          <cell r="B284">
            <v>28102100</v>
          </cell>
          <cell r="C284">
            <v>201</v>
          </cell>
          <cell r="D284" t="str">
            <v>F0109</v>
          </cell>
          <cell r="G284">
            <v>-967.12</v>
          </cell>
        </row>
        <row r="285">
          <cell r="B285">
            <v>28102100</v>
          </cell>
          <cell r="C285">
            <v>201</v>
          </cell>
          <cell r="D285" t="str">
            <v>F0111</v>
          </cell>
          <cell r="G285">
            <v>-3.9</v>
          </cell>
        </row>
        <row r="286">
          <cell r="B286">
            <v>28102100</v>
          </cell>
          <cell r="C286">
            <v>201</v>
          </cell>
          <cell r="D286" t="str">
            <v>F0127</v>
          </cell>
          <cell r="G286">
            <v>-29.96</v>
          </cell>
        </row>
        <row r="287">
          <cell r="B287">
            <v>28102100</v>
          </cell>
          <cell r="C287">
            <v>201</v>
          </cell>
          <cell r="D287" t="str">
            <v>F0136</v>
          </cell>
          <cell r="G287">
            <v>-24406.31</v>
          </cell>
        </row>
        <row r="288">
          <cell r="B288">
            <v>28102100</v>
          </cell>
          <cell r="C288">
            <v>201</v>
          </cell>
          <cell r="D288" t="str">
            <v>F0164</v>
          </cell>
          <cell r="G288">
            <v>-18.16</v>
          </cell>
        </row>
        <row r="289">
          <cell r="B289">
            <v>28102100</v>
          </cell>
          <cell r="C289">
            <v>201</v>
          </cell>
          <cell r="D289" t="str">
            <v>F0168</v>
          </cell>
          <cell r="G289">
            <v>-221.71</v>
          </cell>
        </row>
        <row r="290">
          <cell r="B290">
            <v>28102100</v>
          </cell>
          <cell r="C290">
            <v>201</v>
          </cell>
          <cell r="D290" t="str">
            <v>F0171</v>
          </cell>
          <cell r="G290">
            <v>-1920.89</v>
          </cell>
        </row>
        <row r="291">
          <cell r="B291">
            <v>28102100</v>
          </cell>
          <cell r="C291">
            <v>201</v>
          </cell>
          <cell r="D291" t="str">
            <v>F0174</v>
          </cell>
          <cell r="G291">
            <v>-872.77</v>
          </cell>
        </row>
        <row r="292">
          <cell r="B292">
            <v>28102100</v>
          </cell>
          <cell r="C292">
            <v>201</v>
          </cell>
          <cell r="D292" t="str">
            <v>F0179</v>
          </cell>
          <cell r="G292">
            <v>-16.309999999999999</v>
          </cell>
        </row>
        <row r="293">
          <cell r="B293">
            <v>28102100</v>
          </cell>
          <cell r="C293">
            <v>201</v>
          </cell>
          <cell r="D293" t="str">
            <v>F0182</v>
          </cell>
          <cell r="G293">
            <v>-461.28</v>
          </cell>
        </row>
        <row r="294">
          <cell r="B294">
            <v>28102100</v>
          </cell>
          <cell r="C294">
            <v>201</v>
          </cell>
          <cell r="D294" t="str">
            <v>F0194</v>
          </cell>
          <cell r="G294">
            <v>-317.62</v>
          </cell>
        </row>
        <row r="295">
          <cell r="B295">
            <v>28102100</v>
          </cell>
          <cell r="C295">
            <v>201</v>
          </cell>
          <cell r="D295" t="str">
            <v>F0195</v>
          </cell>
          <cell r="G295">
            <v>-5364.2</v>
          </cell>
        </row>
        <row r="296">
          <cell r="B296">
            <v>28102100</v>
          </cell>
          <cell r="C296">
            <v>201</v>
          </cell>
          <cell r="D296" t="str">
            <v>F0196</v>
          </cell>
          <cell r="G296">
            <v>-1026.57</v>
          </cell>
        </row>
        <row r="297">
          <cell r="B297">
            <v>28102100</v>
          </cell>
          <cell r="C297">
            <v>201</v>
          </cell>
          <cell r="D297" t="str">
            <v>F0203</v>
          </cell>
          <cell r="G297">
            <v>-2763.43</v>
          </cell>
        </row>
        <row r="298">
          <cell r="B298">
            <v>28102100</v>
          </cell>
          <cell r="C298">
            <v>201</v>
          </cell>
          <cell r="D298" t="str">
            <v>F0204</v>
          </cell>
          <cell r="G298">
            <v>-116.38</v>
          </cell>
        </row>
        <row r="299">
          <cell r="B299">
            <v>28102100</v>
          </cell>
          <cell r="C299">
            <v>201</v>
          </cell>
          <cell r="D299" t="str">
            <v>F0211</v>
          </cell>
          <cell r="G299">
            <v>-375.72</v>
          </cell>
        </row>
        <row r="300">
          <cell r="B300">
            <v>28102100</v>
          </cell>
          <cell r="C300">
            <v>201</v>
          </cell>
          <cell r="D300" t="str">
            <v>F0212</v>
          </cell>
          <cell r="G300">
            <v>-3207.33</v>
          </cell>
        </row>
        <row r="301">
          <cell r="B301">
            <v>28102100</v>
          </cell>
          <cell r="C301">
            <v>201</v>
          </cell>
          <cell r="D301" t="str">
            <v>F0218</v>
          </cell>
          <cell r="G301">
            <v>-4901.07</v>
          </cell>
        </row>
        <row r="302">
          <cell r="B302">
            <v>28102100</v>
          </cell>
          <cell r="C302">
            <v>201</v>
          </cell>
          <cell r="D302" t="str">
            <v>F0362</v>
          </cell>
          <cell r="G302">
            <v>-1124.28</v>
          </cell>
        </row>
        <row r="303">
          <cell r="B303">
            <v>28120000</v>
          </cell>
          <cell r="C303">
            <v>201</v>
          </cell>
          <cell r="D303" t="str">
            <v>I0132</v>
          </cell>
          <cell r="G303">
            <v>-2353093.19</v>
          </cell>
        </row>
        <row r="304">
          <cell r="B304">
            <v>28120000</v>
          </cell>
          <cell r="C304">
            <v>201</v>
          </cell>
          <cell r="D304" t="str">
            <v>I0134</v>
          </cell>
          <cell r="G304">
            <v>-607072.03</v>
          </cell>
        </row>
        <row r="305">
          <cell r="B305">
            <v>28120000</v>
          </cell>
          <cell r="C305">
            <v>201</v>
          </cell>
          <cell r="D305" t="str">
            <v>I0136</v>
          </cell>
          <cell r="G305">
            <v>0</v>
          </cell>
        </row>
        <row r="306">
          <cell r="B306">
            <v>28120000</v>
          </cell>
          <cell r="C306">
            <v>201</v>
          </cell>
          <cell r="D306" t="str">
            <v>I0142</v>
          </cell>
          <cell r="G306">
            <v>-2329216.88</v>
          </cell>
        </row>
        <row r="307">
          <cell r="B307">
            <v>28120000</v>
          </cell>
          <cell r="C307">
            <v>201</v>
          </cell>
          <cell r="D307" t="str">
            <v>I0145</v>
          </cell>
          <cell r="G307">
            <v>0</v>
          </cell>
        </row>
        <row r="308">
          <cell r="B308">
            <v>28120000</v>
          </cell>
          <cell r="C308">
            <v>201</v>
          </cell>
          <cell r="D308" t="str">
            <v>I0150</v>
          </cell>
          <cell r="G308">
            <v>-791455.74</v>
          </cell>
        </row>
        <row r="309">
          <cell r="B309">
            <v>28120000</v>
          </cell>
          <cell r="C309">
            <v>201</v>
          </cell>
          <cell r="D309" t="str">
            <v>I0153</v>
          </cell>
          <cell r="G309">
            <v>-454346.54</v>
          </cell>
        </row>
        <row r="310">
          <cell r="B310">
            <v>28120000</v>
          </cell>
          <cell r="C310">
            <v>201</v>
          </cell>
          <cell r="D310" t="str">
            <v>I0157</v>
          </cell>
          <cell r="G310">
            <v>-771881.26</v>
          </cell>
        </row>
        <row r="311">
          <cell r="B311">
            <v>28120000</v>
          </cell>
          <cell r="C311">
            <v>201</v>
          </cell>
          <cell r="D311" t="str">
            <v>I0161</v>
          </cell>
          <cell r="G311">
            <v>-766822.47</v>
          </cell>
        </row>
        <row r="312">
          <cell r="B312">
            <v>28120000</v>
          </cell>
          <cell r="C312">
            <v>201</v>
          </cell>
          <cell r="D312" t="str">
            <v>I0166</v>
          </cell>
          <cell r="G312">
            <v>-755878.16</v>
          </cell>
        </row>
        <row r="313">
          <cell r="B313">
            <v>28120000</v>
          </cell>
          <cell r="C313">
            <v>201</v>
          </cell>
          <cell r="D313" t="str">
            <v>I0187</v>
          </cell>
          <cell r="G313">
            <v>-499970.44</v>
          </cell>
        </row>
        <row r="314">
          <cell r="B314">
            <v>28120000</v>
          </cell>
          <cell r="C314">
            <v>201</v>
          </cell>
          <cell r="D314" t="str">
            <v>I0203</v>
          </cell>
          <cell r="G314">
            <v>-604417.84</v>
          </cell>
        </row>
        <row r="315">
          <cell r="B315">
            <v>28120000</v>
          </cell>
          <cell r="C315">
            <v>201</v>
          </cell>
          <cell r="D315" t="str">
            <v>I0209</v>
          </cell>
          <cell r="G315">
            <v>-769131.68</v>
          </cell>
        </row>
        <row r="316">
          <cell r="B316">
            <v>28120000</v>
          </cell>
          <cell r="C316">
            <v>201</v>
          </cell>
          <cell r="D316" t="str">
            <v>I0210</v>
          </cell>
          <cell r="G316">
            <v>0</v>
          </cell>
        </row>
        <row r="317">
          <cell r="B317">
            <v>28120000</v>
          </cell>
          <cell r="C317">
            <v>201</v>
          </cell>
          <cell r="D317" t="str">
            <v>I0240</v>
          </cell>
          <cell r="G317">
            <v>-1539136.06</v>
          </cell>
        </row>
        <row r="318">
          <cell r="B318">
            <v>28120000</v>
          </cell>
          <cell r="C318">
            <v>201</v>
          </cell>
          <cell r="D318" t="str">
            <v>I0241</v>
          </cell>
          <cell r="G318">
            <v>-916784.5</v>
          </cell>
        </row>
        <row r="319">
          <cell r="B319">
            <v>28120000</v>
          </cell>
          <cell r="C319">
            <v>201</v>
          </cell>
          <cell r="D319" t="str">
            <v>I9201</v>
          </cell>
          <cell r="G319">
            <v>0</v>
          </cell>
        </row>
        <row r="320">
          <cell r="B320">
            <v>28120100</v>
          </cell>
          <cell r="C320">
            <v>201</v>
          </cell>
          <cell r="D320" t="str">
            <v>I0138</v>
          </cell>
          <cell r="G320">
            <v>0</v>
          </cell>
        </row>
        <row r="321">
          <cell r="B321">
            <v>28120100</v>
          </cell>
          <cell r="C321">
            <v>201</v>
          </cell>
          <cell r="D321" t="str">
            <v>I0144</v>
          </cell>
          <cell r="G321">
            <v>-208834.62</v>
          </cell>
        </row>
        <row r="322">
          <cell r="B322">
            <v>28120100</v>
          </cell>
          <cell r="C322">
            <v>201</v>
          </cell>
          <cell r="D322" t="str">
            <v>I0206</v>
          </cell>
          <cell r="G322">
            <v>0</v>
          </cell>
        </row>
        <row r="323">
          <cell r="B323">
            <v>28120100</v>
          </cell>
          <cell r="C323">
            <v>201</v>
          </cell>
          <cell r="D323" t="str">
            <v>I0244</v>
          </cell>
          <cell r="G323">
            <v>-8001337.1299999999</v>
          </cell>
        </row>
        <row r="324">
          <cell r="B324">
            <v>28120100</v>
          </cell>
          <cell r="C324">
            <v>201</v>
          </cell>
          <cell r="D324" t="str">
            <v>I0245</v>
          </cell>
          <cell r="G324">
            <v>-449832.79</v>
          </cell>
        </row>
        <row r="325">
          <cell r="B325">
            <v>28120100</v>
          </cell>
          <cell r="C325">
            <v>201</v>
          </cell>
          <cell r="D325" t="str">
            <v>I0246</v>
          </cell>
          <cell r="G325">
            <v>-1482011.74</v>
          </cell>
        </row>
        <row r="326">
          <cell r="B326">
            <v>28120100</v>
          </cell>
          <cell r="C326">
            <v>201</v>
          </cell>
          <cell r="D326" t="str">
            <v>I0271</v>
          </cell>
          <cell r="G326">
            <v>-622973.91</v>
          </cell>
        </row>
        <row r="327">
          <cell r="B327">
            <v>28120100</v>
          </cell>
          <cell r="C327">
            <v>201</v>
          </cell>
          <cell r="D327" t="str">
            <v>I9201</v>
          </cell>
          <cell r="G327">
            <v>0</v>
          </cell>
        </row>
        <row r="328">
          <cell r="B328">
            <v>28120300</v>
          </cell>
          <cell r="C328">
            <v>201</v>
          </cell>
          <cell r="D328" t="str">
            <v>F0085</v>
          </cell>
          <cell r="G328">
            <v>-491.52</v>
          </cell>
        </row>
        <row r="329">
          <cell r="B329">
            <v>28120300</v>
          </cell>
          <cell r="C329">
            <v>201</v>
          </cell>
          <cell r="D329" t="str">
            <v>F0118</v>
          </cell>
          <cell r="G329">
            <v>-21342.86</v>
          </cell>
        </row>
        <row r="330">
          <cell r="B330">
            <v>28120300</v>
          </cell>
          <cell r="C330">
            <v>201</v>
          </cell>
          <cell r="D330" t="str">
            <v>F0127</v>
          </cell>
          <cell r="G330">
            <v>-1073.23</v>
          </cell>
        </row>
        <row r="331">
          <cell r="B331">
            <v>28120300</v>
          </cell>
          <cell r="C331">
            <v>201</v>
          </cell>
          <cell r="D331" t="str">
            <v>F0164</v>
          </cell>
          <cell r="G331">
            <v>-8875.83</v>
          </cell>
        </row>
        <row r="332">
          <cell r="B332">
            <v>28120300</v>
          </cell>
          <cell r="C332">
            <v>201</v>
          </cell>
          <cell r="D332" t="str">
            <v>F0168</v>
          </cell>
          <cell r="G332">
            <v>-11168.37</v>
          </cell>
        </row>
        <row r="333">
          <cell r="B333">
            <v>28120300</v>
          </cell>
          <cell r="C333">
            <v>201</v>
          </cell>
          <cell r="D333" t="str">
            <v>F0174</v>
          </cell>
          <cell r="G333">
            <v>-94498.17</v>
          </cell>
        </row>
        <row r="334">
          <cell r="B334">
            <v>28120300</v>
          </cell>
          <cell r="C334">
            <v>201</v>
          </cell>
          <cell r="D334" t="str">
            <v>F0179</v>
          </cell>
          <cell r="G334">
            <v>-13717.75</v>
          </cell>
        </row>
        <row r="335">
          <cell r="B335">
            <v>28120300</v>
          </cell>
          <cell r="C335">
            <v>201</v>
          </cell>
          <cell r="D335" t="str">
            <v>F0189</v>
          </cell>
          <cell r="G335">
            <v>-43668.04</v>
          </cell>
        </row>
        <row r="336">
          <cell r="B336">
            <v>28120300</v>
          </cell>
          <cell r="C336">
            <v>201</v>
          </cell>
          <cell r="D336" t="str">
            <v>F0195</v>
          </cell>
          <cell r="G336">
            <v>-30200.87</v>
          </cell>
        </row>
        <row r="337">
          <cell r="B337">
            <v>28120300</v>
          </cell>
          <cell r="C337">
            <v>201</v>
          </cell>
          <cell r="D337" t="str">
            <v>F0203</v>
          </cell>
          <cell r="G337">
            <v>-279827.94</v>
          </cell>
        </row>
        <row r="338">
          <cell r="B338">
            <v>28120300</v>
          </cell>
          <cell r="C338">
            <v>201</v>
          </cell>
          <cell r="D338" t="str">
            <v>F0207</v>
          </cell>
          <cell r="G338">
            <v>-152.44999999999999</v>
          </cell>
        </row>
        <row r="339">
          <cell r="B339">
            <v>28120300</v>
          </cell>
          <cell r="C339">
            <v>201</v>
          </cell>
          <cell r="D339" t="str">
            <v>F0216</v>
          </cell>
          <cell r="G339">
            <v>-152.44999999999999</v>
          </cell>
        </row>
        <row r="340">
          <cell r="B340">
            <v>28120300</v>
          </cell>
          <cell r="C340">
            <v>201</v>
          </cell>
          <cell r="D340" t="str">
            <v>F0219</v>
          </cell>
          <cell r="G340">
            <v>-54130.1</v>
          </cell>
        </row>
        <row r="341">
          <cell r="B341">
            <v>28120300</v>
          </cell>
          <cell r="C341">
            <v>201</v>
          </cell>
          <cell r="D341" t="str">
            <v>F0302</v>
          </cell>
          <cell r="G341">
            <v>-12806.54</v>
          </cell>
        </row>
        <row r="342">
          <cell r="B342">
            <v>28120300</v>
          </cell>
          <cell r="C342">
            <v>201</v>
          </cell>
          <cell r="D342" t="str">
            <v>F0303</v>
          </cell>
          <cell r="G342">
            <v>-7206.82</v>
          </cell>
        </row>
        <row r="343">
          <cell r="B343">
            <v>28120300</v>
          </cell>
          <cell r="C343">
            <v>201</v>
          </cell>
          <cell r="D343" t="str">
            <v>F0305</v>
          </cell>
          <cell r="G343">
            <v>-33272.44</v>
          </cell>
        </row>
        <row r="344">
          <cell r="B344">
            <v>28120300</v>
          </cell>
          <cell r="C344">
            <v>201</v>
          </cell>
          <cell r="D344" t="str">
            <v>F0306</v>
          </cell>
          <cell r="G344">
            <v>-19618.5</v>
          </cell>
        </row>
        <row r="345">
          <cell r="B345">
            <v>28120600</v>
          </cell>
          <cell r="C345">
            <v>201</v>
          </cell>
          <cell r="D345" t="str">
            <v>F0127</v>
          </cell>
          <cell r="G345">
            <v>-145.29</v>
          </cell>
        </row>
        <row r="346">
          <cell r="B346">
            <v>28120600</v>
          </cell>
          <cell r="C346">
            <v>201</v>
          </cell>
          <cell r="D346" t="str">
            <v>F0174</v>
          </cell>
          <cell r="G346">
            <v>-31105.55</v>
          </cell>
        </row>
        <row r="347">
          <cell r="B347">
            <v>28120600</v>
          </cell>
          <cell r="C347">
            <v>201</v>
          </cell>
          <cell r="D347" t="str">
            <v>F0189</v>
          </cell>
          <cell r="G347">
            <v>-1295.25</v>
          </cell>
        </row>
        <row r="348">
          <cell r="B348">
            <v>28120600</v>
          </cell>
          <cell r="C348">
            <v>201</v>
          </cell>
          <cell r="D348" t="str">
            <v>F0195</v>
          </cell>
          <cell r="G348">
            <v>-9835.41</v>
          </cell>
        </row>
        <row r="349">
          <cell r="B349">
            <v>28120600</v>
          </cell>
          <cell r="C349">
            <v>201</v>
          </cell>
          <cell r="D349" t="str">
            <v>F0203</v>
          </cell>
          <cell r="G349">
            <v>-8029.98</v>
          </cell>
        </row>
        <row r="350">
          <cell r="B350">
            <v>28120600</v>
          </cell>
          <cell r="C350">
            <v>201</v>
          </cell>
          <cell r="D350" t="str">
            <v>F0204</v>
          </cell>
          <cell r="G350">
            <v>-1095.4100000000001</v>
          </cell>
        </row>
        <row r="351">
          <cell r="B351">
            <v>28120600</v>
          </cell>
          <cell r="C351">
            <v>201</v>
          </cell>
          <cell r="D351" t="str">
            <v>F0305</v>
          </cell>
          <cell r="G351">
            <v>-363.68</v>
          </cell>
        </row>
        <row r="352">
          <cell r="B352">
            <v>28120600</v>
          </cell>
          <cell r="C352">
            <v>201</v>
          </cell>
          <cell r="D352" t="str">
            <v>I9201</v>
          </cell>
          <cell r="G352">
            <v>0</v>
          </cell>
        </row>
        <row r="353">
          <cell r="B353">
            <v>28121000</v>
          </cell>
          <cell r="C353">
            <v>201</v>
          </cell>
          <cell r="D353" t="str">
            <v>I0132</v>
          </cell>
        </row>
        <row r="354">
          <cell r="B354">
            <v>28121000</v>
          </cell>
          <cell r="C354">
            <v>201</v>
          </cell>
          <cell r="D354" t="str">
            <v>I0214</v>
          </cell>
          <cell r="G354">
            <v>-1782888.92</v>
          </cell>
        </row>
        <row r="355">
          <cell r="B355">
            <v>28121000</v>
          </cell>
          <cell r="C355">
            <v>201</v>
          </cell>
          <cell r="D355" t="str">
            <v>I0221</v>
          </cell>
          <cell r="G355">
            <v>-1583348.13</v>
          </cell>
        </row>
        <row r="356">
          <cell r="B356">
            <v>28121000</v>
          </cell>
          <cell r="C356">
            <v>201</v>
          </cell>
          <cell r="D356" t="str">
            <v>I0227</v>
          </cell>
          <cell r="G356">
            <v>-822121.31</v>
          </cell>
        </row>
        <row r="357">
          <cell r="B357">
            <v>28121000</v>
          </cell>
          <cell r="C357">
            <v>201</v>
          </cell>
          <cell r="D357" t="str">
            <v>I0259</v>
          </cell>
          <cell r="G357">
            <v>-4178346.24</v>
          </cell>
        </row>
        <row r="358">
          <cell r="B358">
            <v>28121000</v>
          </cell>
          <cell r="C358">
            <v>201</v>
          </cell>
          <cell r="D358" t="str">
            <v>I0294</v>
          </cell>
          <cell r="G358">
            <v>-2945448.82</v>
          </cell>
        </row>
        <row r="359">
          <cell r="B359">
            <v>28121000</v>
          </cell>
          <cell r="C359">
            <v>201</v>
          </cell>
          <cell r="D359" t="str">
            <v>I0513</v>
          </cell>
          <cell r="G359">
            <v>-140448.9</v>
          </cell>
        </row>
        <row r="360">
          <cell r="B360">
            <v>28121000</v>
          </cell>
          <cell r="C360">
            <v>201</v>
          </cell>
          <cell r="D360" t="str">
            <v>I0805</v>
          </cell>
          <cell r="G360">
            <v>-515533.79</v>
          </cell>
        </row>
        <row r="361">
          <cell r="B361">
            <v>28121000</v>
          </cell>
          <cell r="C361">
            <v>201</v>
          </cell>
          <cell r="D361" t="str">
            <v>I0812</v>
          </cell>
          <cell r="G361">
            <v>-134225.31</v>
          </cell>
        </row>
        <row r="362">
          <cell r="B362">
            <v>28121000</v>
          </cell>
          <cell r="C362">
            <v>270</v>
          </cell>
          <cell r="D362" t="str">
            <v>I0802</v>
          </cell>
          <cell r="G362">
            <v>-659412.37</v>
          </cell>
        </row>
        <row r="363">
          <cell r="B363">
            <v>28121000</v>
          </cell>
          <cell r="C363">
            <v>270</v>
          </cell>
          <cell r="D363" t="str">
            <v>I0806</v>
          </cell>
          <cell r="G363">
            <v>-536570.78</v>
          </cell>
        </row>
        <row r="364">
          <cell r="B364">
            <v>28121000</v>
          </cell>
          <cell r="C364">
            <v>270</v>
          </cell>
          <cell r="D364" t="str">
            <v>I0807</v>
          </cell>
          <cell r="G364">
            <v>-1057340.75</v>
          </cell>
        </row>
        <row r="365">
          <cell r="B365">
            <v>28121000</v>
          </cell>
          <cell r="C365">
            <v>270</v>
          </cell>
          <cell r="D365" t="str">
            <v>I0809</v>
          </cell>
          <cell r="G365">
            <v>-592944.68000000005</v>
          </cell>
        </row>
        <row r="366">
          <cell r="B366">
            <v>28121000</v>
          </cell>
          <cell r="C366">
            <v>270</v>
          </cell>
          <cell r="D366" t="str">
            <v>I0811</v>
          </cell>
          <cell r="G366">
            <v>-578550.68999999994</v>
          </cell>
        </row>
        <row r="367">
          <cell r="B367">
            <v>28121000</v>
          </cell>
          <cell r="C367">
            <v>270</v>
          </cell>
          <cell r="D367" t="str">
            <v>I0813</v>
          </cell>
          <cell r="G367">
            <v>-542313.36</v>
          </cell>
        </row>
        <row r="368">
          <cell r="B368">
            <v>28121000</v>
          </cell>
          <cell r="C368">
            <v>270</v>
          </cell>
          <cell r="D368" t="str">
            <v>I0815</v>
          </cell>
          <cell r="G368">
            <v>-309743</v>
          </cell>
        </row>
        <row r="369">
          <cell r="B369">
            <v>28121000</v>
          </cell>
          <cell r="C369">
            <v>270</v>
          </cell>
          <cell r="D369" t="str">
            <v>I0816</v>
          </cell>
          <cell r="G369">
            <v>-782744.26</v>
          </cell>
        </row>
        <row r="370">
          <cell r="B370">
            <v>28121000</v>
          </cell>
          <cell r="C370">
            <v>270</v>
          </cell>
          <cell r="D370" t="str">
            <v>I0818</v>
          </cell>
          <cell r="G370">
            <v>-578710.93999999994</v>
          </cell>
        </row>
        <row r="371">
          <cell r="B371">
            <v>28121000</v>
          </cell>
          <cell r="C371">
            <v>270</v>
          </cell>
          <cell r="D371" t="str">
            <v>I0829</v>
          </cell>
          <cell r="G371">
            <v>-696736.79</v>
          </cell>
        </row>
        <row r="372">
          <cell r="B372">
            <v>28121000</v>
          </cell>
          <cell r="C372">
            <v>270</v>
          </cell>
          <cell r="D372" t="str">
            <v>I0831</v>
          </cell>
          <cell r="G372">
            <v>-623936.65</v>
          </cell>
        </row>
        <row r="373">
          <cell r="B373">
            <v>28121000</v>
          </cell>
          <cell r="C373">
            <v>270</v>
          </cell>
          <cell r="D373" t="str">
            <v>I0832</v>
          </cell>
          <cell r="G373">
            <v>-259907.21</v>
          </cell>
        </row>
        <row r="374">
          <cell r="B374">
            <v>28121000</v>
          </cell>
          <cell r="C374">
            <v>270</v>
          </cell>
          <cell r="D374" t="str">
            <v>I0833</v>
          </cell>
          <cell r="G374">
            <v>-1102241.42</v>
          </cell>
        </row>
        <row r="375">
          <cell r="B375">
            <v>28121000</v>
          </cell>
          <cell r="C375">
            <v>270</v>
          </cell>
          <cell r="D375" t="str">
            <v>I0834</v>
          </cell>
          <cell r="G375">
            <v>-163843.01</v>
          </cell>
        </row>
        <row r="376">
          <cell r="B376">
            <v>28121000</v>
          </cell>
          <cell r="C376">
            <v>270</v>
          </cell>
          <cell r="D376" t="str">
            <v>I0836</v>
          </cell>
          <cell r="G376">
            <v>-72549.87</v>
          </cell>
        </row>
        <row r="377">
          <cell r="B377">
            <v>28121000</v>
          </cell>
          <cell r="C377">
            <v>270</v>
          </cell>
          <cell r="D377" t="str">
            <v>I0837</v>
          </cell>
          <cell r="G377">
            <v>-84037.25</v>
          </cell>
        </row>
        <row r="378">
          <cell r="B378">
            <v>28121000</v>
          </cell>
          <cell r="C378">
            <v>270</v>
          </cell>
          <cell r="D378" t="str">
            <v>I0838</v>
          </cell>
          <cell r="G378">
            <v>-91536.08</v>
          </cell>
        </row>
        <row r="379">
          <cell r="B379">
            <v>28121000</v>
          </cell>
          <cell r="C379">
            <v>270</v>
          </cell>
          <cell r="D379" t="str">
            <v>I0839</v>
          </cell>
          <cell r="G379">
            <v>-51612.11</v>
          </cell>
        </row>
        <row r="380">
          <cell r="B380">
            <v>28121000</v>
          </cell>
          <cell r="C380">
            <v>270</v>
          </cell>
          <cell r="D380" t="str">
            <v>I0840</v>
          </cell>
          <cell r="G380">
            <v>-73049.66</v>
          </cell>
        </row>
        <row r="381">
          <cell r="B381">
            <v>28121100</v>
          </cell>
          <cell r="C381">
            <v>201</v>
          </cell>
          <cell r="D381" t="str">
            <v>I0214</v>
          </cell>
          <cell r="G381">
            <v>0</v>
          </cell>
        </row>
        <row r="382">
          <cell r="B382">
            <v>28121100</v>
          </cell>
          <cell r="C382">
            <v>201</v>
          </cell>
          <cell r="D382" t="str">
            <v>I0244</v>
          </cell>
          <cell r="G382">
            <v>-1439014.14</v>
          </cell>
        </row>
        <row r="383">
          <cell r="B383">
            <v>28121100</v>
          </cell>
          <cell r="C383">
            <v>201</v>
          </cell>
          <cell r="D383" t="str">
            <v>I0246</v>
          </cell>
          <cell r="G383">
            <v>-15834.64</v>
          </cell>
        </row>
        <row r="384">
          <cell r="B384">
            <v>28121100</v>
          </cell>
          <cell r="C384">
            <v>201</v>
          </cell>
          <cell r="D384" t="str">
            <v>I0402</v>
          </cell>
          <cell r="G384">
            <v>-1821830.58</v>
          </cell>
        </row>
        <row r="385">
          <cell r="B385">
            <v>28121100</v>
          </cell>
          <cell r="C385">
            <v>201</v>
          </cell>
          <cell r="D385" t="str">
            <v>I0428</v>
          </cell>
          <cell r="G385">
            <v>-3592600.18</v>
          </cell>
        </row>
        <row r="386">
          <cell r="B386">
            <v>28121100</v>
          </cell>
          <cell r="C386">
            <v>201</v>
          </cell>
          <cell r="D386" t="str">
            <v>I0447</v>
          </cell>
          <cell r="G386">
            <v>-3576657.66</v>
          </cell>
        </row>
        <row r="387">
          <cell r="B387">
            <v>28121100</v>
          </cell>
          <cell r="C387">
            <v>201</v>
          </cell>
          <cell r="D387" t="str">
            <v>I0461</v>
          </cell>
          <cell r="G387">
            <v>-3575141.27</v>
          </cell>
        </row>
        <row r="388">
          <cell r="B388">
            <v>28121100</v>
          </cell>
          <cell r="C388">
            <v>201</v>
          </cell>
          <cell r="D388" t="str">
            <v>I0466</v>
          </cell>
          <cell r="G388">
            <v>-5304896.8899999997</v>
          </cell>
        </row>
        <row r="389">
          <cell r="B389">
            <v>28121100</v>
          </cell>
          <cell r="C389">
            <v>201</v>
          </cell>
          <cell r="D389" t="str">
            <v>I9201</v>
          </cell>
          <cell r="G389">
            <v>0</v>
          </cell>
        </row>
        <row r="390">
          <cell r="B390">
            <v>28121100</v>
          </cell>
          <cell r="C390">
            <v>208</v>
          </cell>
          <cell r="D390" t="str">
            <v>I0400</v>
          </cell>
          <cell r="G390">
            <v>-263249.68</v>
          </cell>
        </row>
        <row r="391">
          <cell r="B391">
            <v>28121100</v>
          </cell>
          <cell r="C391">
            <v>208</v>
          </cell>
          <cell r="D391" t="str">
            <v>I0427</v>
          </cell>
          <cell r="G391">
            <v>0</v>
          </cell>
        </row>
        <row r="392">
          <cell r="B392">
            <v>28121100</v>
          </cell>
          <cell r="C392">
            <v>270</v>
          </cell>
          <cell r="D392" t="str">
            <v>I0519</v>
          </cell>
          <cell r="G392">
            <v>-2246762.71</v>
          </cell>
        </row>
        <row r="393">
          <cell r="B393">
            <v>28121100</v>
          </cell>
          <cell r="C393">
            <v>270</v>
          </cell>
          <cell r="D393" t="str">
            <v>I0814</v>
          </cell>
          <cell r="G393">
            <v>-326240.57</v>
          </cell>
        </row>
        <row r="394">
          <cell r="B394">
            <v>28121400</v>
          </cell>
          <cell r="C394">
            <v>201</v>
          </cell>
          <cell r="D394" t="str">
            <v>I0132</v>
          </cell>
          <cell r="G394">
            <v>-204342.91</v>
          </cell>
        </row>
        <row r="395">
          <cell r="B395">
            <v>28121400</v>
          </cell>
          <cell r="C395">
            <v>201</v>
          </cell>
          <cell r="D395" t="str">
            <v>I0134</v>
          </cell>
          <cell r="G395">
            <v>-72097.69</v>
          </cell>
        </row>
        <row r="396">
          <cell r="B396">
            <v>28121400</v>
          </cell>
          <cell r="C396">
            <v>201</v>
          </cell>
          <cell r="D396" t="str">
            <v>I0136</v>
          </cell>
          <cell r="G396">
            <v>0</v>
          </cell>
        </row>
        <row r="397">
          <cell r="B397">
            <v>28121400</v>
          </cell>
          <cell r="C397">
            <v>201</v>
          </cell>
          <cell r="D397" t="str">
            <v>I0142</v>
          </cell>
          <cell r="G397">
            <v>-131064.3</v>
          </cell>
        </row>
        <row r="398">
          <cell r="B398">
            <v>28121400</v>
          </cell>
          <cell r="C398">
            <v>201</v>
          </cell>
          <cell r="D398" t="str">
            <v>I0150</v>
          </cell>
          <cell r="G398">
            <v>-42232.88</v>
          </cell>
        </row>
        <row r="399">
          <cell r="B399">
            <v>28121400</v>
          </cell>
          <cell r="C399">
            <v>201</v>
          </cell>
          <cell r="D399" t="str">
            <v>I0153</v>
          </cell>
          <cell r="G399">
            <v>-3639.84</v>
          </cell>
        </row>
        <row r="400">
          <cell r="B400">
            <v>28121400</v>
          </cell>
          <cell r="C400">
            <v>201</v>
          </cell>
          <cell r="D400" t="str">
            <v>I0157</v>
          </cell>
          <cell r="G400">
            <v>-23984.22</v>
          </cell>
        </row>
        <row r="401">
          <cell r="B401">
            <v>28121400</v>
          </cell>
          <cell r="C401">
            <v>201</v>
          </cell>
          <cell r="D401" t="str">
            <v>I0161</v>
          </cell>
          <cell r="G401">
            <v>-281562.32</v>
          </cell>
        </row>
        <row r="402">
          <cell r="B402">
            <v>28121400</v>
          </cell>
          <cell r="C402">
            <v>201</v>
          </cell>
          <cell r="D402" t="str">
            <v>I0166</v>
          </cell>
          <cell r="G402">
            <v>-3959.9</v>
          </cell>
        </row>
        <row r="403">
          <cell r="B403">
            <v>28121400</v>
          </cell>
          <cell r="C403">
            <v>201</v>
          </cell>
          <cell r="D403" t="str">
            <v>I0187</v>
          </cell>
          <cell r="G403">
            <v>-20454.150000000001</v>
          </cell>
        </row>
        <row r="404">
          <cell r="B404">
            <v>28121400</v>
          </cell>
          <cell r="C404">
            <v>201</v>
          </cell>
          <cell r="D404" t="str">
            <v>I0203</v>
          </cell>
          <cell r="G404">
            <v>-279733.12</v>
          </cell>
        </row>
        <row r="405">
          <cell r="B405">
            <v>28121400</v>
          </cell>
          <cell r="C405">
            <v>201</v>
          </cell>
          <cell r="D405" t="str">
            <v>I0209</v>
          </cell>
          <cell r="G405">
            <v>-413268.35</v>
          </cell>
        </row>
        <row r="406">
          <cell r="B406">
            <v>28121400</v>
          </cell>
          <cell r="C406">
            <v>201</v>
          </cell>
          <cell r="D406" t="str">
            <v>I0214</v>
          </cell>
          <cell r="G406">
            <v>-118977.16</v>
          </cell>
        </row>
        <row r="407">
          <cell r="B407">
            <v>28121400</v>
          </cell>
          <cell r="C407">
            <v>201</v>
          </cell>
          <cell r="D407" t="str">
            <v>I0221</v>
          </cell>
          <cell r="G407">
            <v>-74181.86</v>
          </cell>
        </row>
        <row r="408">
          <cell r="B408">
            <v>28121400</v>
          </cell>
          <cell r="C408">
            <v>201</v>
          </cell>
          <cell r="D408" t="str">
            <v>I0227</v>
          </cell>
          <cell r="G408">
            <v>-14332.45</v>
          </cell>
        </row>
        <row r="409">
          <cell r="B409">
            <v>28121400</v>
          </cell>
          <cell r="C409">
            <v>201</v>
          </cell>
          <cell r="D409" t="str">
            <v>I0240</v>
          </cell>
          <cell r="G409">
            <v>-362261.77</v>
          </cell>
        </row>
        <row r="410">
          <cell r="B410">
            <v>28121400</v>
          </cell>
          <cell r="C410">
            <v>201</v>
          </cell>
          <cell r="D410" t="str">
            <v>I0241</v>
          </cell>
          <cell r="G410">
            <v>-69521.52</v>
          </cell>
        </row>
        <row r="411">
          <cell r="B411">
            <v>28121400</v>
          </cell>
          <cell r="C411">
            <v>201</v>
          </cell>
          <cell r="D411" t="str">
            <v>I0259</v>
          </cell>
          <cell r="G411">
            <v>-195484.66</v>
          </cell>
        </row>
        <row r="412">
          <cell r="B412">
            <v>28121400</v>
          </cell>
          <cell r="C412">
            <v>201</v>
          </cell>
          <cell r="D412" t="str">
            <v>I0294</v>
          </cell>
          <cell r="G412">
            <v>-88523.81</v>
          </cell>
        </row>
        <row r="413">
          <cell r="B413">
            <v>28121400</v>
          </cell>
          <cell r="C413">
            <v>201</v>
          </cell>
          <cell r="D413" t="str">
            <v>I0428</v>
          </cell>
          <cell r="G413">
            <v>-15471.93</v>
          </cell>
        </row>
        <row r="414">
          <cell r="B414">
            <v>28121400</v>
          </cell>
          <cell r="C414">
            <v>201</v>
          </cell>
          <cell r="D414" t="str">
            <v>I0447</v>
          </cell>
          <cell r="G414">
            <v>-513.67999999999995</v>
          </cell>
        </row>
        <row r="415">
          <cell r="B415">
            <v>28121400</v>
          </cell>
          <cell r="C415">
            <v>201</v>
          </cell>
          <cell r="D415" t="str">
            <v>I0805</v>
          </cell>
          <cell r="G415">
            <v>-1277.25</v>
          </cell>
        </row>
        <row r="416">
          <cell r="B416">
            <v>28121400</v>
          </cell>
          <cell r="C416">
            <v>201</v>
          </cell>
          <cell r="D416" t="str">
            <v>I0812</v>
          </cell>
          <cell r="G416">
            <v>-492199.35</v>
          </cell>
        </row>
        <row r="417">
          <cell r="B417">
            <v>28121400</v>
          </cell>
          <cell r="C417">
            <v>201</v>
          </cell>
          <cell r="D417" t="str">
            <v>I9201</v>
          </cell>
          <cell r="G417">
            <v>0</v>
          </cell>
        </row>
        <row r="418">
          <cell r="B418">
            <v>28121400</v>
          </cell>
          <cell r="C418">
            <v>270</v>
          </cell>
          <cell r="D418" t="str">
            <v>I0802</v>
          </cell>
          <cell r="G418">
            <v>-3473.64</v>
          </cell>
        </row>
        <row r="419">
          <cell r="B419">
            <v>28121400</v>
          </cell>
          <cell r="C419">
            <v>270</v>
          </cell>
          <cell r="D419" t="str">
            <v>I0807</v>
          </cell>
          <cell r="G419">
            <v>-507.28</v>
          </cell>
        </row>
        <row r="420">
          <cell r="B420">
            <v>28121400</v>
          </cell>
          <cell r="C420">
            <v>270</v>
          </cell>
          <cell r="D420" t="str">
            <v>I0811</v>
          </cell>
          <cell r="G420">
            <v>-959.8</v>
          </cell>
        </row>
        <row r="421">
          <cell r="B421">
            <v>28121400</v>
          </cell>
          <cell r="C421">
            <v>270</v>
          </cell>
          <cell r="D421" t="str">
            <v>I0813</v>
          </cell>
          <cell r="G421">
            <v>-3082.95</v>
          </cell>
        </row>
        <row r="422">
          <cell r="B422">
            <v>28121400</v>
          </cell>
          <cell r="C422">
            <v>270</v>
          </cell>
          <cell r="D422" t="str">
            <v>I0815</v>
          </cell>
          <cell r="G422">
            <v>-4174.01</v>
          </cell>
        </row>
        <row r="423">
          <cell r="B423">
            <v>28121400</v>
          </cell>
          <cell r="C423">
            <v>270</v>
          </cell>
          <cell r="D423" t="str">
            <v>I0816</v>
          </cell>
          <cell r="G423">
            <v>-62584.88</v>
          </cell>
        </row>
        <row r="424">
          <cell r="B424">
            <v>28121400</v>
          </cell>
          <cell r="C424">
            <v>270</v>
          </cell>
          <cell r="D424" t="str">
            <v>I0818</v>
          </cell>
          <cell r="G424">
            <v>-32.299999999999997</v>
          </cell>
        </row>
        <row r="425">
          <cell r="B425">
            <v>28121400</v>
          </cell>
          <cell r="C425">
            <v>270</v>
          </cell>
          <cell r="D425" t="str">
            <v>I0831</v>
          </cell>
          <cell r="G425">
            <v>-1777.79</v>
          </cell>
        </row>
        <row r="426">
          <cell r="B426">
            <v>28121400</v>
          </cell>
          <cell r="C426">
            <v>270</v>
          </cell>
          <cell r="D426" t="str">
            <v>I0836</v>
          </cell>
          <cell r="G426">
            <v>-3825.45</v>
          </cell>
        </row>
        <row r="427">
          <cell r="B427">
            <v>28121500</v>
          </cell>
          <cell r="C427">
            <v>201</v>
          </cell>
          <cell r="D427" t="str">
            <v>I0138</v>
          </cell>
          <cell r="G427">
            <v>0</v>
          </cell>
        </row>
        <row r="428">
          <cell r="B428">
            <v>28121500</v>
          </cell>
          <cell r="C428">
            <v>201</v>
          </cell>
          <cell r="D428" t="str">
            <v>I0144</v>
          </cell>
          <cell r="G428">
            <v>-14759.67</v>
          </cell>
        </row>
        <row r="429">
          <cell r="B429">
            <v>28121500</v>
          </cell>
          <cell r="C429">
            <v>201</v>
          </cell>
          <cell r="D429" t="str">
            <v>I0206</v>
          </cell>
          <cell r="G429">
            <v>0</v>
          </cell>
        </row>
        <row r="430">
          <cell r="B430">
            <v>28121500</v>
          </cell>
          <cell r="C430">
            <v>201</v>
          </cell>
          <cell r="D430" t="str">
            <v>I0244</v>
          </cell>
          <cell r="G430">
            <v>-36665286.640000001</v>
          </cell>
        </row>
        <row r="431">
          <cell r="B431">
            <v>28121500</v>
          </cell>
          <cell r="C431">
            <v>201</v>
          </cell>
          <cell r="D431" t="str">
            <v>I0245</v>
          </cell>
          <cell r="G431">
            <v>-432189.29</v>
          </cell>
        </row>
        <row r="432">
          <cell r="B432">
            <v>28121500</v>
          </cell>
          <cell r="C432">
            <v>201</v>
          </cell>
          <cell r="D432" t="str">
            <v>I0246</v>
          </cell>
          <cell r="G432">
            <v>-571930.59</v>
          </cell>
        </row>
        <row r="433">
          <cell r="B433">
            <v>28121500</v>
          </cell>
          <cell r="C433">
            <v>201</v>
          </cell>
          <cell r="D433" t="str">
            <v>I0402</v>
          </cell>
          <cell r="G433">
            <v>-358244.66</v>
          </cell>
        </row>
        <row r="434">
          <cell r="B434">
            <v>28121500</v>
          </cell>
          <cell r="C434">
            <v>201</v>
          </cell>
          <cell r="D434" t="str">
            <v>I0428</v>
          </cell>
          <cell r="G434">
            <v>-673675.75</v>
          </cell>
        </row>
        <row r="435">
          <cell r="B435">
            <v>28121500</v>
          </cell>
          <cell r="C435">
            <v>201</v>
          </cell>
          <cell r="D435" t="str">
            <v>I0447</v>
          </cell>
          <cell r="G435">
            <v>-6850.91</v>
          </cell>
        </row>
        <row r="436">
          <cell r="B436">
            <v>28121500</v>
          </cell>
          <cell r="C436">
            <v>201</v>
          </cell>
          <cell r="D436" t="str">
            <v>I0461</v>
          </cell>
          <cell r="G436">
            <v>-955565.81</v>
          </cell>
        </row>
        <row r="437">
          <cell r="B437">
            <v>28121500</v>
          </cell>
          <cell r="C437">
            <v>201</v>
          </cell>
          <cell r="D437" t="str">
            <v>I0466</v>
          </cell>
          <cell r="G437">
            <v>-308817.68</v>
          </cell>
        </row>
        <row r="438">
          <cell r="B438">
            <v>28121500</v>
          </cell>
          <cell r="C438">
            <v>201</v>
          </cell>
          <cell r="D438" t="str">
            <v>I9201</v>
          </cell>
          <cell r="G438">
            <v>0</v>
          </cell>
        </row>
        <row r="439">
          <cell r="B439">
            <v>28122000</v>
          </cell>
          <cell r="C439">
            <v>201</v>
          </cell>
          <cell r="D439" t="str">
            <v>I0132</v>
          </cell>
          <cell r="G439">
            <v>-1392122.04</v>
          </cell>
        </row>
        <row r="440">
          <cell r="B440">
            <v>28122000</v>
          </cell>
          <cell r="C440">
            <v>201</v>
          </cell>
          <cell r="D440" t="str">
            <v>I0134</v>
          </cell>
          <cell r="G440">
            <v>-240246.47</v>
          </cell>
        </row>
        <row r="441">
          <cell r="B441">
            <v>28122000</v>
          </cell>
          <cell r="C441">
            <v>201</v>
          </cell>
          <cell r="D441" t="str">
            <v>I0136</v>
          </cell>
          <cell r="G441">
            <v>0</v>
          </cell>
        </row>
        <row r="442">
          <cell r="B442">
            <v>28122000</v>
          </cell>
          <cell r="C442">
            <v>201</v>
          </cell>
          <cell r="D442" t="str">
            <v>I0142</v>
          </cell>
          <cell r="G442">
            <v>-528622.52</v>
          </cell>
        </row>
        <row r="443">
          <cell r="B443">
            <v>28122000</v>
          </cell>
          <cell r="C443">
            <v>201</v>
          </cell>
          <cell r="D443" t="str">
            <v>I0145</v>
          </cell>
          <cell r="G443">
            <v>0</v>
          </cell>
        </row>
        <row r="444">
          <cell r="B444">
            <v>28122000</v>
          </cell>
          <cell r="C444">
            <v>201</v>
          </cell>
          <cell r="D444" t="str">
            <v>I0150</v>
          </cell>
          <cell r="G444">
            <v>-287671.87</v>
          </cell>
        </row>
        <row r="445">
          <cell r="B445">
            <v>28122000</v>
          </cell>
          <cell r="C445">
            <v>201</v>
          </cell>
          <cell r="D445" t="str">
            <v>I0153</v>
          </cell>
          <cell r="G445">
            <v>-219992.11</v>
          </cell>
        </row>
        <row r="446">
          <cell r="B446">
            <v>28122000</v>
          </cell>
          <cell r="C446">
            <v>201</v>
          </cell>
          <cell r="D446" t="str">
            <v>I0157</v>
          </cell>
          <cell r="G446">
            <v>-189343.35</v>
          </cell>
        </row>
        <row r="447">
          <cell r="B447">
            <v>28122000</v>
          </cell>
          <cell r="C447">
            <v>201</v>
          </cell>
          <cell r="D447" t="str">
            <v>I0161</v>
          </cell>
          <cell r="G447">
            <v>-91993.1</v>
          </cell>
        </row>
        <row r="448">
          <cell r="B448">
            <v>28122000</v>
          </cell>
          <cell r="C448">
            <v>201</v>
          </cell>
          <cell r="D448" t="str">
            <v>I0166</v>
          </cell>
          <cell r="G448">
            <v>-143026.99</v>
          </cell>
        </row>
        <row r="449">
          <cell r="B449">
            <v>28122000</v>
          </cell>
          <cell r="C449">
            <v>201</v>
          </cell>
          <cell r="D449" t="str">
            <v>I0187</v>
          </cell>
          <cell r="G449">
            <v>-100599.93</v>
          </cell>
        </row>
        <row r="450">
          <cell r="B450">
            <v>28122000</v>
          </cell>
          <cell r="C450">
            <v>201</v>
          </cell>
          <cell r="D450" t="str">
            <v>I0203</v>
          </cell>
          <cell r="G450">
            <v>-299554.37</v>
          </cell>
        </row>
        <row r="451">
          <cell r="B451">
            <v>28122000</v>
          </cell>
          <cell r="C451">
            <v>201</v>
          </cell>
          <cell r="D451" t="str">
            <v>I0209</v>
          </cell>
          <cell r="G451">
            <v>-320445.05</v>
          </cell>
        </row>
        <row r="452">
          <cell r="B452">
            <v>28122000</v>
          </cell>
          <cell r="C452">
            <v>201</v>
          </cell>
          <cell r="D452" t="str">
            <v>I0210</v>
          </cell>
          <cell r="G452">
            <v>0</v>
          </cell>
        </row>
        <row r="453">
          <cell r="B453">
            <v>28122000</v>
          </cell>
          <cell r="C453">
            <v>201</v>
          </cell>
          <cell r="D453" t="str">
            <v>I0240</v>
          </cell>
          <cell r="G453">
            <v>-274642.59999999998</v>
          </cell>
        </row>
        <row r="454">
          <cell r="B454">
            <v>28122000</v>
          </cell>
          <cell r="C454">
            <v>201</v>
          </cell>
          <cell r="D454" t="str">
            <v>I0241</v>
          </cell>
          <cell r="G454">
            <v>-143452.03</v>
          </cell>
        </row>
        <row r="455">
          <cell r="B455">
            <v>28122000</v>
          </cell>
          <cell r="C455">
            <v>201</v>
          </cell>
          <cell r="D455" t="str">
            <v>I9201</v>
          </cell>
          <cell r="G455">
            <v>0</v>
          </cell>
        </row>
        <row r="456">
          <cell r="B456">
            <v>28122100</v>
          </cell>
          <cell r="C456">
            <v>201</v>
          </cell>
          <cell r="D456" t="str">
            <v>I0138</v>
          </cell>
          <cell r="G456">
            <v>0</v>
          </cell>
        </row>
        <row r="457">
          <cell r="B457">
            <v>28122100</v>
          </cell>
          <cell r="C457">
            <v>201</v>
          </cell>
          <cell r="D457" t="str">
            <v>I0144</v>
          </cell>
          <cell r="G457">
            <v>-25443.34</v>
          </cell>
        </row>
        <row r="458">
          <cell r="B458">
            <v>28122100</v>
          </cell>
          <cell r="C458">
            <v>201</v>
          </cell>
          <cell r="D458" t="str">
            <v>I0244</v>
          </cell>
          <cell r="G458">
            <v>-162049.1</v>
          </cell>
        </row>
        <row r="459">
          <cell r="B459">
            <v>28122100</v>
          </cell>
          <cell r="C459">
            <v>201</v>
          </cell>
          <cell r="D459" t="str">
            <v>I0246</v>
          </cell>
          <cell r="G459">
            <v>-421854.8</v>
          </cell>
        </row>
        <row r="460">
          <cell r="B460">
            <v>28122100</v>
          </cell>
          <cell r="C460">
            <v>201</v>
          </cell>
          <cell r="D460" t="str">
            <v>I0271</v>
          </cell>
          <cell r="G460">
            <v>-401377.98</v>
          </cell>
        </row>
        <row r="461">
          <cell r="B461">
            <v>28122100</v>
          </cell>
          <cell r="C461">
            <v>201</v>
          </cell>
          <cell r="D461" t="str">
            <v>I9201</v>
          </cell>
          <cell r="G461">
            <v>0</v>
          </cell>
        </row>
        <row r="462">
          <cell r="B462">
            <v>29100000</v>
          </cell>
          <cell r="C462">
            <v>201</v>
          </cell>
          <cell r="D462" t="str">
            <v>I0447</v>
          </cell>
          <cell r="G462">
            <v>0</v>
          </cell>
        </row>
        <row r="463">
          <cell r="B463">
            <v>29100000</v>
          </cell>
          <cell r="C463">
            <v>201</v>
          </cell>
          <cell r="D463" t="str">
            <v>I0461</v>
          </cell>
          <cell r="G463">
            <v>-26162864.710000001</v>
          </cell>
        </row>
        <row r="464">
          <cell r="B464">
            <v>29100000</v>
          </cell>
          <cell r="C464">
            <v>201</v>
          </cell>
          <cell r="D464" t="str">
            <v>I0466</v>
          </cell>
          <cell r="G464">
            <v>0</v>
          </cell>
        </row>
        <row r="465">
          <cell r="B465">
            <v>29100000</v>
          </cell>
          <cell r="C465">
            <v>201</v>
          </cell>
          <cell r="D465" t="str">
            <v>I0812</v>
          </cell>
          <cell r="G465">
            <v>0</v>
          </cell>
        </row>
        <row r="466">
          <cell r="B466">
            <v>29100000</v>
          </cell>
          <cell r="C466">
            <v>208</v>
          </cell>
          <cell r="D466" t="str">
            <v>I0400</v>
          </cell>
          <cell r="G466">
            <v>0</v>
          </cell>
        </row>
        <row r="467">
          <cell r="B467">
            <v>29100000</v>
          </cell>
          <cell r="C467" t="str">
            <v>EPO</v>
          </cell>
          <cell r="D467" t="str">
            <v>I0430</v>
          </cell>
          <cell r="G467">
            <v>0</v>
          </cell>
        </row>
        <row r="468">
          <cell r="B468">
            <v>55210200</v>
          </cell>
          <cell r="C468">
            <v>201</v>
          </cell>
          <cell r="D468" t="str">
            <v>F0085</v>
          </cell>
          <cell r="G468">
            <v>629144.68999999994</v>
          </cell>
        </row>
        <row r="469">
          <cell r="B469">
            <v>55210200</v>
          </cell>
          <cell r="C469">
            <v>201</v>
          </cell>
          <cell r="D469" t="str">
            <v>F0086</v>
          </cell>
          <cell r="G469">
            <v>100859.61</v>
          </cell>
        </row>
        <row r="470">
          <cell r="B470">
            <v>55210200</v>
          </cell>
          <cell r="C470">
            <v>201</v>
          </cell>
          <cell r="D470" t="str">
            <v>F0097</v>
          </cell>
          <cell r="G470">
            <v>985746.65</v>
          </cell>
        </row>
        <row r="471">
          <cell r="B471">
            <v>55210200</v>
          </cell>
          <cell r="C471">
            <v>201</v>
          </cell>
          <cell r="D471" t="str">
            <v>F0098</v>
          </cell>
          <cell r="G471">
            <v>92690.49</v>
          </cell>
        </row>
        <row r="472">
          <cell r="B472">
            <v>55210200</v>
          </cell>
          <cell r="C472">
            <v>201</v>
          </cell>
          <cell r="D472" t="str">
            <v>F0102</v>
          </cell>
          <cell r="G472">
            <v>278462.07</v>
          </cell>
        </row>
        <row r="473">
          <cell r="B473">
            <v>55210200</v>
          </cell>
          <cell r="C473">
            <v>201</v>
          </cell>
          <cell r="D473" t="str">
            <v>F0103</v>
          </cell>
          <cell r="G473">
            <v>636552.68999999994</v>
          </cell>
        </row>
        <row r="474">
          <cell r="B474">
            <v>55210200</v>
          </cell>
          <cell r="C474">
            <v>201</v>
          </cell>
          <cell r="D474" t="str">
            <v>F0106</v>
          </cell>
          <cell r="G474">
            <v>394843.38</v>
          </cell>
        </row>
        <row r="475">
          <cell r="B475">
            <v>55210200</v>
          </cell>
          <cell r="C475">
            <v>201</v>
          </cell>
          <cell r="D475" t="str">
            <v>F0109</v>
          </cell>
          <cell r="G475">
            <v>546203.82999999996</v>
          </cell>
        </row>
        <row r="476">
          <cell r="B476">
            <v>55210200</v>
          </cell>
          <cell r="C476">
            <v>201</v>
          </cell>
          <cell r="D476" t="str">
            <v>F0111</v>
          </cell>
          <cell r="G476">
            <v>506932.17</v>
          </cell>
        </row>
        <row r="477">
          <cell r="B477">
            <v>55210200</v>
          </cell>
          <cell r="C477">
            <v>201</v>
          </cell>
          <cell r="D477" t="str">
            <v>F0114</v>
          </cell>
          <cell r="G477">
            <v>627213.07999999996</v>
          </cell>
        </row>
        <row r="478">
          <cell r="B478">
            <v>55210200</v>
          </cell>
          <cell r="C478">
            <v>201</v>
          </cell>
          <cell r="D478" t="str">
            <v>F0118</v>
          </cell>
          <cell r="G478">
            <v>306802.21000000002</v>
          </cell>
        </row>
        <row r="479">
          <cell r="B479">
            <v>55210200</v>
          </cell>
          <cell r="C479">
            <v>201</v>
          </cell>
          <cell r="D479" t="str">
            <v>F0120</v>
          </cell>
          <cell r="G479">
            <v>178684.07</v>
          </cell>
        </row>
        <row r="480">
          <cell r="B480">
            <v>55210200</v>
          </cell>
          <cell r="C480">
            <v>201</v>
          </cell>
          <cell r="D480" t="str">
            <v>F0125</v>
          </cell>
          <cell r="G480">
            <v>126426.02</v>
          </cell>
        </row>
        <row r="481">
          <cell r="B481">
            <v>55210200</v>
          </cell>
          <cell r="C481">
            <v>201</v>
          </cell>
          <cell r="D481" t="str">
            <v>F0127</v>
          </cell>
          <cell r="G481">
            <v>1706663.55</v>
          </cell>
        </row>
        <row r="482">
          <cell r="B482">
            <v>55210200</v>
          </cell>
          <cell r="C482">
            <v>201</v>
          </cell>
          <cell r="D482" t="str">
            <v>F0128</v>
          </cell>
          <cell r="G482">
            <v>245158.39999999999</v>
          </cell>
        </row>
        <row r="483">
          <cell r="B483">
            <v>55210200</v>
          </cell>
          <cell r="C483">
            <v>201</v>
          </cell>
          <cell r="D483" t="str">
            <v>F0129</v>
          </cell>
          <cell r="G483">
            <v>271544.86</v>
          </cell>
        </row>
        <row r="484">
          <cell r="B484">
            <v>55210200</v>
          </cell>
          <cell r="C484">
            <v>201</v>
          </cell>
          <cell r="D484" t="str">
            <v>F0134</v>
          </cell>
          <cell r="G484">
            <v>71617.789999999994</v>
          </cell>
        </row>
        <row r="485">
          <cell r="B485">
            <v>55210200</v>
          </cell>
          <cell r="C485">
            <v>201</v>
          </cell>
          <cell r="D485" t="str">
            <v>F0136</v>
          </cell>
          <cell r="G485">
            <v>2467858.4300000002</v>
          </cell>
        </row>
        <row r="486">
          <cell r="B486">
            <v>55210200</v>
          </cell>
          <cell r="C486">
            <v>201</v>
          </cell>
          <cell r="D486" t="str">
            <v>F0137</v>
          </cell>
          <cell r="G486">
            <v>224059.32</v>
          </cell>
        </row>
        <row r="487">
          <cell r="B487">
            <v>55210200</v>
          </cell>
          <cell r="C487">
            <v>201</v>
          </cell>
          <cell r="D487" t="str">
            <v>F0138</v>
          </cell>
          <cell r="G487">
            <v>116975.96</v>
          </cell>
        </row>
        <row r="488">
          <cell r="B488">
            <v>55210200</v>
          </cell>
          <cell r="C488">
            <v>201</v>
          </cell>
          <cell r="D488" t="str">
            <v>F0141</v>
          </cell>
          <cell r="G488">
            <v>114781.64</v>
          </cell>
        </row>
        <row r="489">
          <cell r="B489">
            <v>55210200</v>
          </cell>
          <cell r="C489">
            <v>201</v>
          </cell>
          <cell r="D489" t="str">
            <v>F0143</v>
          </cell>
          <cell r="G489">
            <v>521910.25</v>
          </cell>
        </row>
        <row r="490">
          <cell r="B490">
            <v>55210200</v>
          </cell>
          <cell r="C490">
            <v>201</v>
          </cell>
          <cell r="D490" t="str">
            <v>F0156</v>
          </cell>
          <cell r="G490">
            <v>872208.14</v>
          </cell>
        </row>
        <row r="491">
          <cell r="B491">
            <v>55210200</v>
          </cell>
          <cell r="C491">
            <v>201</v>
          </cell>
          <cell r="D491" t="str">
            <v>F0161</v>
          </cell>
          <cell r="G491">
            <v>152781.99</v>
          </cell>
        </row>
        <row r="492">
          <cell r="B492">
            <v>55210200</v>
          </cell>
          <cell r="C492">
            <v>201</v>
          </cell>
          <cell r="D492" t="str">
            <v>F0164</v>
          </cell>
          <cell r="G492">
            <v>267337.92</v>
          </cell>
        </row>
        <row r="493">
          <cell r="B493">
            <v>55210200</v>
          </cell>
          <cell r="C493">
            <v>201</v>
          </cell>
          <cell r="D493" t="str">
            <v>F0167</v>
          </cell>
          <cell r="G493">
            <v>7857.53</v>
          </cell>
        </row>
        <row r="494">
          <cell r="B494">
            <v>55210200</v>
          </cell>
          <cell r="C494">
            <v>201</v>
          </cell>
          <cell r="D494" t="str">
            <v>F0168</v>
          </cell>
          <cell r="G494">
            <v>1342426.34</v>
          </cell>
        </row>
        <row r="495">
          <cell r="B495">
            <v>55210200</v>
          </cell>
          <cell r="C495">
            <v>201</v>
          </cell>
          <cell r="D495" t="str">
            <v>F0171</v>
          </cell>
          <cell r="G495">
            <v>1882174.54</v>
          </cell>
        </row>
        <row r="496">
          <cell r="B496">
            <v>55210200</v>
          </cell>
          <cell r="C496">
            <v>201</v>
          </cell>
          <cell r="D496" t="str">
            <v>F0172</v>
          </cell>
          <cell r="G496">
            <v>355737.27</v>
          </cell>
        </row>
        <row r="497">
          <cell r="B497">
            <v>55210200</v>
          </cell>
          <cell r="C497">
            <v>201</v>
          </cell>
          <cell r="D497" t="str">
            <v>F0174</v>
          </cell>
          <cell r="G497">
            <v>3611275.53</v>
          </cell>
        </row>
        <row r="498">
          <cell r="B498">
            <v>55210200</v>
          </cell>
          <cell r="C498">
            <v>201</v>
          </cell>
          <cell r="D498" t="str">
            <v>F0176</v>
          </cell>
          <cell r="G498">
            <v>0</v>
          </cell>
        </row>
        <row r="499">
          <cell r="B499">
            <v>55210200</v>
          </cell>
          <cell r="C499">
            <v>201</v>
          </cell>
          <cell r="D499" t="str">
            <v>F0179</v>
          </cell>
          <cell r="G499">
            <v>258185.96</v>
          </cell>
        </row>
        <row r="500">
          <cell r="B500">
            <v>55210200</v>
          </cell>
          <cell r="C500">
            <v>201</v>
          </cell>
          <cell r="D500" t="str">
            <v>F0182</v>
          </cell>
          <cell r="G500">
            <v>695318.06</v>
          </cell>
        </row>
        <row r="501">
          <cell r="B501">
            <v>55210200</v>
          </cell>
          <cell r="C501">
            <v>201</v>
          </cell>
          <cell r="D501" t="str">
            <v>F0184</v>
          </cell>
          <cell r="G501">
            <v>134680.78</v>
          </cell>
        </row>
        <row r="502">
          <cell r="B502">
            <v>55210200</v>
          </cell>
          <cell r="C502">
            <v>201</v>
          </cell>
          <cell r="D502" t="str">
            <v>F0185</v>
          </cell>
          <cell r="G502">
            <v>786849.42</v>
          </cell>
        </row>
        <row r="503">
          <cell r="B503">
            <v>55210200</v>
          </cell>
          <cell r="C503">
            <v>201</v>
          </cell>
          <cell r="D503" t="str">
            <v>F0189</v>
          </cell>
          <cell r="G503">
            <v>1589378.63</v>
          </cell>
        </row>
        <row r="504">
          <cell r="B504">
            <v>55210200</v>
          </cell>
          <cell r="C504">
            <v>201</v>
          </cell>
          <cell r="D504" t="str">
            <v>F0191</v>
          </cell>
          <cell r="G504">
            <v>919616.63</v>
          </cell>
        </row>
        <row r="505">
          <cell r="B505">
            <v>55210200</v>
          </cell>
          <cell r="C505">
            <v>201</v>
          </cell>
          <cell r="D505" t="str">
            <v>F0194</v>
          </cell>
          <cell r="G505">
            <v>383677.56</v>
          </cell>
        </row>
        <row r="506">
          <cell r="B506">
            <v>55210200</v>
          </cell>
          <cell r="C506">
            <v>201</v>
          </cell>
          <cell r="D506" t="str">
            <v>F0195</v>
          </cell>
          <cell r="G506">
            <v>382531.39</v>
          </cell>
        </row>
        <row r="507">
          <cell r="B507">
            <v>55210200</v>
          </cell>
          <cell r="C507">
            <v>201</v>
          </cell>
          <cell r="D507" t="str">
            <v>F0196</v>
          </cell>
          <cell r="G507">
            <v>225654.75</v>
          </cell>
        </row>
        <row r="508">
          <cell r="B508">
            <v>55210200</v>
          </cell>
          <cell r="C508">
            <v>201</v>
          </cell>
          <cell r="D508" t="str">
            <v>F0197</v>
          </cell>
          <cell r="G508">
            <v>285742.05</v>
          </cell>
        </row>
        <row r="509">
          <cell r="B509">
            <v>55210200</v>
          </cell>
          <cell r="C509">
            <v>201</v>
          </cell>
          <cell r="D509" t="str">
            <v>F0201</v>
          </cell>
          <cell r="G509">
            <v>163204.29999999999</v>
          </cell>
        </row>
        <row r="510">
          <cell r="B510">
            <v>55210200</v>
          </cell>
          <cell r="C510">
            <v>201</v>
          </cell>
          <cell r="D510" t="str">
            <v>F0203</v>
          </cell>
          <cell r="G510">
            <v>590105.62</v>
          </cell>
        </row>
        <row r="511">
          <cell r="B511">
            <v>55210200</v>
          </cell>
          <cell r="C511">
            <v>201</v>
          </cell>
          <cell r="D511" t="str">
            <v>F0204</v>
          </cell>
          <cell r="G511">
            <v>1678619.22</v>
          </cell>
        </row>
        <row r="512">
          <cell r="B512">
            <v>55210200</v>
          </cell>
          <cell r="C512">
            <v>201</v>
          </cell>
          <cell r="D512" t="str">
            <v>F0207</v>
          </cell>
          <cell r="G512">
            <v>186700.75</v>
          </cell>
        </row>
        <row r="513">
          <cell r="B513">
            <v>55210200</v>
          </cell>
          <cell r="C513">
            <v>201</v>
          </cell>
          <cell r="D513" t="str">
            <v>F0208</v>
          </cell>
          <cell r="G513">
            <v>722479.09</v>
          </cell>
        </row>
        <row r="514">
          <cell r="B514">
            <v>55210200</v>
          </cell>
          <cell r="C514">
            <v>201</v>
          </cell>
          <cell r="D514" t="str">
            <v>F0209</v>
          </cell>
          <cell r="G514">
            <v>22774.639999999999</v>
          </cell>
        </row>
        <row r="515">
          <cell r="B515">
            <v>55210200</v>
          </cell>
          <cell r="C515">
            <v>201</v>
          </cell>
          <cell r="D515" t="str">
            <v>F0211</v>
          </cell>
          <cell r="G515">
            <v>3546916.9</v>
          </cell>
        </row>
        <row r="516">
          <cell r="B516">
            <v>55210200</v>
          </cell>
          <cell r="C516">
            <v>201</v>
          </cell>
          <cell r="D516" t="str">
            <v>F0212</v>
          </cell>
          <cell r="G516">
            <v>984714.01</v>
          </cell>
        </row>
        <row r="517">
          <cell r="B517">
            <v>55210200</v>
          </cell>
          <cell r="C517">
            <v>201</v>
          </cell>
          <cell r="D517" t="str">
            <v>F0216</v>
          </cell>
          <cell r="G517">
            <v>682977.84</v>
          </cell>
        </row>
        <row r="518">
          <cell r="B518">
            <v>55210200</v>
          </cell>
          <cell r="C518">
            <v>201</v>
          </cell>
          <cell r="D518" t="str">
            <v>F0217</v>
          </cell>
          <cell r="G518">
            <v>484362.1</v>
          </cell>
        </row>
        <row r="519">
          <cell r="B519">
            <v>55210200</v>
          </cell>
          <cell r="C519">
            <v>201</v>
          </cell>
          <cell r="D519" t="str">
            <v>F0218</v>
          </cell>
          <cell r="G519">
            <v>411624.27</v>
          </cell>
        </row>
        <row r="520">
          <cell r="B520">
            <v>55210200</v>
          </cell>
          <cell r="C520">
            <v>201</v>
          </cell>
          <cell r="D520" t="str">
            <v>F0219</v>
          </cell>
          <cell r="G520">
            <v>221.72</v>
          </cell>
        </row>
        <row r="521">
          <cell r="B521">
            <v>55210200</v>
          </cell>
          <cell r="C521">
            <v>201</v>
          </cell>
          <cell r="D521" t="str">
            <v>F0220</v>
          </cell>
          <cell r="G521">
            <v>362766.95</v>
          </cell>
        </row>
        <row r="522">
          <cell r="B522">
            <v>55210200</v>
          </cell>
          <cell r="C522">
            <v>201</v>
          </cell>
          <cell r="D522" t="str">
            <v>F0223</v>
          </cell>
          <cell r="G522">
            <v>325317.32</v>
          </cell>
        </row>
        <row r="523">
          <cell r="B523">
            <v>55210200</v>
          </cell>
          <cell r="C523">
            <v>201</v>
          </cell>
          <cell r="D523" t="str">
            <v>F0362</v>
          </cell>
          <cell r="G523">
            <v>603611.06000000006</v>
          </cell>
        </row>
        <row r="524">
          <cell r="B524">
            <v>59521020</v>
          </cell>
          <cell r="C524">
            <v>201</v>
          </cell>
          <cell r="D524" t="str">
            <v>F9201</v>
          </cell>
          <cell r="G524">
            <v>0</v>
          </cell>
        </row>
        <row r="525">
          <cell r="B525">
            <v>21201000</v>
          </cell>
          <cell r="C525">
            <v>35</v>
          </cell>
          <cell r="D525" t="str">
            <v>I0200</v>
          </cell>
          <cell r="G525">
            <v>350313.21</v>
          </cell>
        </row>
        <row r="526">
          <cell r="B526">
            <v>21201000</v>
          </cell>
          <cell r="C526">
            <v>35</v>
          </cell>
          <cell r="D526" t="str">
            <v>I0340</v>
          </cell>
          <cell r="G526">
            <v>564061.36</v>
          </cell>
        </row>
        <row r="527">
          <cell r="B527">
            <v>21201100</v>
          </cell>
          <cell r="C527">
            <v>35</v>
          </cell>
          <cell r="D527" t="str">
            <v>I0430</v>
          </cell>
          <cell r="G527">
            <v>461397.17</v>
          </cell>
        </row>
        <row r="528">
          <cell r="B528">
            <v>21201100</v>
          </cell>
          <cell r="C528">
            <v>35</v>
          </cell>
          <cell r="D528" t="str">
            <v>I0511</v>
          </cell>
          <cell r="G528">
            <v>3710609.08</v>
          </cell>
        </row>
        <row r="529">
          <cell r="B529">
            <v>21201100</v>
          </cell>
          <cell r="C529">
            <v>35</v>
          </cell>
          <cell r="D529" t="str">
            <v>I0804</v>
          </cell>
          <cell r="G529">
            <v>13339289.01</v>
          </cell>
        </row>
        <row r="530">
          <cell r="B530">
            <v>21201100</v>
          </cell>
          <cell r="C530">
            <v>35</v>
          </cell>
          <cell r="D530" t="str">
            <v>I0810</v>
          </cell>
          <cell r="G530">
            <v>5876909.6200000001</v>
          </cell>
        </row>
        <row r="531">
          <cell r="B531">
            <v>21211000</v>
          </cell>
          <cell r="C531">
            <v>35</v>
          </cell>
          <cell r="D531" t="str">
            <v>I0200</v>
          </cell>
          <cell r="G531">
            <v>2611863.16</v>
          </cell>
        </row>
        <row r="532">
          <cell r="B532">
            <v>21211000</v>
          </cell>
          <cell r="C532">
            <v>35</v>
          </cell>
          <cell r="D532" t="str">
            <v>I0340</v>
          </cell>
          <cell r="G532">
            <v>4502858.4800000004</v>
          </cell>
        </row>
        <row r="533">
          <cell r="B533">
            <v>21211100</v>
          </cell>
          <cell r="C533">
            <v>35</v>
          </cell>
          <cell r="D533" t="str">
            <v>I0430</v>
          </cell>
          <cell r="G533">
            <v>1845588.51</v>
          </cell>
        </row>
        <row r="534">
          <cell r="B534">
            <v>21211100</v>
          </cell>
          <cell r="C534">
            <v>35</v>
          </cell>
          <cell r="D534" t="str">
            <v>I0511</v>
          </cell>
          <cell r="G534">
            <v>1758274.47</v>
          </cell>
        </row>
        <row r="535">
          <cell r="B535">
            <v>21211100</v>
          </cell>
          <cell r="C535">
            <v>35</v>
          </cell>
          <cell r="D535" t="str">
            <v>I0804</v>
          </cell>
          <cell r="G535">
            <v>11906268.25</v>
          </cell>
        </row>
        <row r="536">
          <cell r="B536">
            <v>21211100</v>
          </cell>
          <cell r="C536">
            <v>35</v>
          </cell>
          <cell r="D536" t="str">
            <v>I0810</v>
          </cell>
          <cell r="G536">
            <v>8815364.4199999999</v>
          </cell>
        </row>
        <row r="537">
          <cell r="B537">
            <v>21211500</v>
          </cell>
          <cell r="C537">
            <v>35</v>
          </cell>
          <cell r="D537" t="str">
            <v>I0151</v>
          </cell>
          <cell r="G537">
            <v>48466.98</v>
          </cell>
        </row>
        <row r="538">
          <cell r="B538">
            <v>21211500</v>
          </cell>
          <cell r="C538">
            <v>35</v>
          </cell>
          <cell r="D538" t="str">
            <v>I0200</v>
          </cell>
          <cell r="G538">
            <v>59342.6</v>
          </cell>
        </row>
        <row r="539">
          <cell r="B539">
            <v>21211500</v>
          </cell>
          <cell r="C539">
            <v>35</v>
          </cell>
          <cell r="D539" t="str">
            <v>I0340</v>
          </cell>
          <cell r="G539">
            <v>39835.42</v>
          </cell>
        </row>
        <row r="540">
          <cell r="B540">
            <v>21211600</v>
          </cell>
          <cell r="C540">
            <v>35</v>
          </cell>
          <cell r="D540" t="str">
            <v>I0137</v>
          </cell>
          <cell r="G540">
            <v>7967.43</v>
          </cell>
        </row>
        <row r="541">
          <cell r="B541">
            <v>21211600</v>
          </cell>
          <cell r="C541">
            <v>35</v>
          </cell>
          <cell r="D541" t="str">
            <v>I0430</v>
          </cell>
          <cell r="G541">
            <v>1219.5899999999999</v>
          </cell>
        </row>
        <row r="542">
          <cell r="B542">
            <v>21211600</v>
          </cell>
          <cell r="C542">
            <v>35</v>
          </cell>
          <cell r="D542" t="str">
            <v>I0511</v>
          </cell>
          <cell r="G542">
            <v>71228.91</v>
          </cell>
        </row>
        <row r="543">
          <cell r="B543">
            <v>21220000</v>
          </cell>
          <cell r="C543">
            <v>35</v>
          </cell>
          <cell r="D543" t="str">
            <v>I0151</v>
          </cell>
          <cell r="G543">
            <v>558016.96</v>
          </cell>
        </row>
        <row r="544">
          <cell r="B544">
            <v>21221000</v>
          </cell>
          <cell r="C544">
            <v>35</v>
          </cell>
          <cell r="D544" t="str">
            <v>I0151</v>
          </cell>
          <cell r="G544">
            <v>1531661.26</v>
          </cell>
        </row>
        <row r="545">
          <cell r="B545">
            <v>21221100</v>
          </cell>
          <cell r="C545">
            <v>35</v>
          </cell>
          <cell r="D545" t="str">
            <v>I0137</v>
          </cell>
          <cell r="G545">
            <v>628536.47</v>
          </cell>
        </row>
        <row r="546">
          <cell r="B546">
            <v>28120000</v>
          </cell>
          <cell r="C546">
            <v>35</v>
          </cell>
          <cell r="D546" t="str">
            <v>I0151</v>
          </cell>
          <cell r="G546">
            <v>-354653.56</v>
          </cell>
        </row>
        <row r="547">
          <cell r="B547">
            <v>28120100</v>
          </cell>
          <cell r="C547">
            <v>35</v>
          </cell>
          <cell r="D547" t="str">
            <v>I0137</v>
          </cell>
          <cell r="G547">
            <v>-268793.63</v>
          </cell>
        </row>
        <row r="548">
          <cell r="B548">
            <v>28121000</v>
          </cell>
          <cell r="C548">
            <v>35</v>
          </cell>
          <cell r="D548" t="str">
            <v>I0200</v>
          </cell>
          <cell r="G548">
            <v>-1096952.81</v>
          </cell>
        </row>
        <row r="549">
          <cell r="B549">
            <v>28121000</v>
          </cell>
          <cell r="C549">
            <v>35</v>
          </cell>
          <cell r="D549" t="str">
            <v>I0340</v>
          </cell>
          <cell r="G549">
            <v>-1666016.25</v>
          </cell>
        </row>
        <row r="550">
          <cell r="B550">
            <v>28121100</v>
          </cell>
          <cell r="C550">
            <v>35</v>
          </cell>
          <cell r="D550" t="str">
            <v>I0430</v>
          </cell>
          <cell r="G550">
            <v>-599816.26</v>
          </cell>
        </row>
        <row r="551">
          <cell r="B551">
            <v>28121100</v>
          </cell>
          <cell r="C551">
            <v>35</v>
          </cell>
          <cell r="D551" t="str">
            <v>I0511</v>
          </cell>
          <cell r="G551">
            <v>-337106.98</v>
          </cell>
        </row>
        <row r="552">
          <cell r="B552">
            <v>28121100</v>
          </cell>
          <cell r="C552">
            <v>35</v>
          </cell>
          <cell r="D552" t="str">
            <v>I0804</v>
          </cell>
          <cell r="G552">
            <v>-1541617.08</v>
          </cell>
        </row>
        <row r="553">
          <cell r="B553">
            <v>28121100</v>
          </cell>
          <cell r="C553">
            <v>35</v>
          </cell>
          <cell r="D553" t="str">
            <v>I0810</v>
          </cell>
          <cell r="G553">
            <v>-1213884.6599999999</v>
          </cell>
        </row>
        <row r="554">
          <cell r="B554">
            <v>28121400</v>
          </cell>
          <cell r="C554">
            <v>35</v>
          </cell>
          <cell r="D554" t="str">
            <v>I0151</v>
          </cell>
          <cell r="G554">
            <v>-43676.959999999999</v>
          </cell>
        </row>
        <row r="555">
          <cell r="B555">
            <v>28121400</v>
          </cell>
          <cell r="C555">
            <v>35</v>
          </cell>
          <cell r="D555" t="str">
            <v>I0200</v>
          </cell>
          <cell r="G555">
            <v>-47207.58</v>
          </cell>
        </row>
        <row r="556">
          <cell r="B556">
            <v>28121400</v>
          </cell>
          <cell r="C556">
            <v>35</v>
          </cell>
          <cell r="D556" t="str">
            <v>I0340</v>
          </cell>
          <cell r="G556">
            <v>-23068.54</v>
          </cell>
        </row>
        <row r="557">
          <cell r="B557">
            <v>28121500</v>
          </cell>
          <cell r="C557">
            <v>35</v>
          </cell>
          <cell r="D557" t="str">
            <v>I0137</v>
          </cell>
          <cell r="G557">
            <v>-6784.31</v>
          </cell>
        </row>
        <row r="558">
          <cell r="B558">
            <v>28121500</v>
          </cell>
          <cell r="C558">
            <v>35</v>
          </cell>
          <cell r="D558" t="str">
            <v>I0430</v>
          </cell>
          <cell r="G558">
            <v>-1219.5899999999999</v>
          </cell>
        </row>
        <row r="559">
          <cell r="B559">
            <v>28121500</v>
          </cell>
          <cell r="C559">
            <v>35</v>
          </cell>
          <cell r="D559" t="str">
            <v>I0511</v>
          </cell>
          <cell r="G559">
            <v>-65278.47</v>
          </cell>
        </row>
        <row r="560">
          <cell r="B560">
            <v>28122000</v>
          </cell>
          <cell r="C560">
            <v>35</v>
          </cell>
          <cell r="D560" t="str">
            <v>I0151</v>
          </cell>
          <cell r="G560">
            <v>-129195.79</v>
          </cell>
        </row>
        <row r="561">
          <cell r="B561">
            <v>29100000</v>
          </cell>
          <cell r="C561">
            <v>35</v>
          </cell>
          <cell r="D561" t="str">
            <v>I0340</v>
          </cell>
          <cell r="G561">
            <v>-217670.47</v>
          </cell>
        </row>
        <row r="562">
          <cell r="B562">
            <v>29100000</v>
          </cell>
          <cell r="C562">
            <v>35</v>
          </cell>
          <cell r="D562" t="str">
            <v>I0430</v>
          </cell>
          <cell r="G562">
            <v>-247169.42</v>
          </cell>
        </row>
        <row r="563">
          <cell r="B563">
            <v>29100000</v>
          </cell>
          <cell r="C563">
            <v>35</v>
          </cell>
          <cell r="D563" t="str">
            <v>I0511</v>
          </cell>
          <cell r="G563">
            <v>-682727.01</v>
          </cell>
        </row>
      </sheetData>
      <sheetData sheetId="4" refreshError="1"/>
      <sheetData sheetId="5" refreshError="1"/>
    </sheetDataSet>
  </externalBook>
</externalLink>
</file>

<file path=xl/externalLinks/externalLink2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Feuil3"/>
      <sheetName val="A5"/>
      <sheetName val="EXPERTISE"/>
      <sheetName val="BALANCE"/>
      <sheetName val="BALANCES"/>
    </sheetNames>
    <sheetDataSet>
      <sheetData sheetId="0" refreshError="1"/>
      <sheetData sheetId="1" refreshError="1"/>
      <sheetData sheetId="2" refreshError="1">
        <row r="2">
          <cell r="C2" t="str">
            <v>I0137</v>
          </cell>
        </row>
        <row r="3">
          <cell r="C3" t="str">
            <v>I0151</v>
          </cell>
        </row>
        <row r="4">
          <cell r="C4" t="str">
            <v>I0200</v>
          </cell>
        </row>
        <row r="5">
          <cell r="C5" t="str">
            <v>I0340</v>
          </cell>
        </row>
        <row r="6">
          <cell r="C6" t="str">
            <v>I0430</v>
          </cell>
        </row>
        <row r="7">
          <cell r="C7" t="str">
            <v>I0511</v>
          </cell>
        </row>
        <row r="8">
          <cell r="C8" t="str">
            <v>I0804</v>
          </cell>
        </row>
        <row r="9">
          <cell r="C9" t="str">
            <v>I0810</v>
          </cell>
        </row>
        <row r="10">
          <cell r="C10" t="str">
            <v>F0085</v>
          </cell>
        </row>
        <row r="11">
          <cell r="C11" t="str">
            <v>F0086</v>
          </cell>
        </row>
        <row r="12">
          <cell r="C12" t="str">
            <v>F0097</v>
          </cell>
        </row>
        <row r="13">
          <cell r="C13" t="str">
            <v>F0098</v>
          </cell>
        </row>
        <row r="14">
          <cell r="C14" t="str">
            <v>F0102</v>
          </cell>
        </row>
        <row r="15">
          <cell r="C15" t="str">
            <v>F0103</v>
          </cell>
        </row>
        <row r="16">
          <cell r="C16" t="str">
            <v>F0106</v>
          </cell>
        </row>
        <row r="17">
          <cell r="C17" t="str">
            <v>F0109</v>
          </cell>
        </row>
        <row r="18">
          <cell r="C18" t="str">
            <v>F0111</v>
          </cell>
        </row>
        <row r="19">
          <cell r="C19" t="str">
            <v>F0114</v>
          </cell>
        </row>
        <row r="20">
          <cell r="C20" t="str">
            <v>F0118</v>
          </cell>
        </row>
        <row r="21">
          <cell r="C21" t="str">
            <v>F0120</v>
          </cell>
        </row>
        <row r="22">
          <cell r="C22" t="str">
            <v>F0125</v>
          </cell>
        </row>
        <row r="23">
          <cell r="C23" t="str">
            <v>F0127</v>
          </cell>
        </row>
        <row r="24">
          <cell r="C24" t="str">
            <v>F0128</v>
          </cell>
        </row>
        <row r="25">
          <cell r="C25" t="str">
            <v>F0129</v>
          </cell>
        </row>
        <row r="26">
          <cell r="C26" t="str">
            <v>F0134</v>
          </cell>
        </row>
        <row r="27">
          <cell r="C27" t="str">
            <v>F0136</v>
          </cell>
        </row>
        <row r="28">
          <cell r="C28" t="str">
            <v>F0137</v>
          </cell>
        </row>
        <row r="29">
          <cell r="C29" t="str">
            <v>F0138</v>
          </cell>
        </row>
        <row r="30">
          <cell r="C30" t="str">
            <v>F0141</v>
          </cell>
        </row>
        <row r="31">
          <cell r="C31" t="str">
            <v>F0143</v>
          </cell>
        </row>
        <row r="32">
          <cell r="C32" t="str">
            <v>F0156</v>
          </cell>
        </row>
        <row r="33">
          <cell r="C33" t="str">
            <v>F0161</v>
          </cell>
        </row>
        <row r="34">
          <cell r="C34" t="str">
            <v>F0164</v>
          </cell>
        </row>
        <row r="35">
          <cell r="C35" t="str">
            <v>F0167</v>
          </cell>
        </row>
        <row r="36">
          <cell r="C36" t="str">
            <v>F0168</v>
          </cell>
        </row>
        <row r="37">
          <cell r="C37" t="str">
            <v>F0171</v>
          </cell>
        </row>
        <row r="38">
          <cell r="C38" t="str">
            <v>F0172</v>
          </cell>
        </row>
        <row r="39">
          <cell r="C39" t="str">
            <v>F0174</v>
          </cell>
        </row>
        <row r="40">
          <cell r="C40" t="str">
            <v>F0176</v>
          </cell>
        </row>
        <row r="41">
          <cell r="C41" t="str">
            <v>F0179</v>
          </cell>
        </row>
        <row r="42">
          <cell r="C42" t="str">
            <v>F0182</v>
          </cell>
        </row>
        <row r="43">
          <cell r="C43" t="str">
            <v>F0184</v>
          </cell>
        </row>
        <row r="44">
          <cell r="C44" t="str">
            <v>F0185</v>
          </cell>
        </row>
        <row r="45">
          <cell r="C45" t="str">
            <v>F0189</v>
          </cell>
        </row>
        <row r="46">
          <cell r="C46" t="str">
            <v>F0191</v>
          </cell>
        </row>
        <row r="47">
          <cell r="C47" t="str">
            <v>F0194</v>
          </cell>
        </row>
        <row r="48">
          <cell r="C48" t="str">
            <v>F0195</v>
          </cell>
        </row>
        <row r="49">
          <cell r="C49" t="str">
            <v>F0196</v>
          </cell>
        </row>
        <row r="50">
          <cell r="C50" t="str">
            <v>F0197</v>
          </cell>
        </row>
        <row r="51">
          <cell r="C51" t="str">
            <v>F0201</v>
          </cell>
        </row>
        <row r="52">
          <cell r="C52" t="str">
            <v>F0203</v>
          </cell>
        </row>
        <row r="53">
          <cell r="C53" t="str">
            <v>F0204</v>
          </cell>
        </row>
        <row r="54">
          <cell r="C54" t="str">
            <v>F0207</v>
          </cell>
        </row>
        <row r="55">
          <cell r="C55" t="str">
            <v>F0208</v>
          </cell>
        </row>
        <row r="56">
          <cell r="C56" t="str">
            <v>F0209</v>
          </cell>
        </row>
        <row r="57">
          <cell r="C57" t="str">
            <v>F0211</v>
          </cell>
        </row>
        <row r="58">
          <cell r="C58" t="str">
            <v>F0212</v>
          </cell>
        </row>
        <row r="59">
          <cell r="C59" t="str">
            <v>F0216</v>
          </cell>
        </row>
        <row r="60">
          <cell r="C60" t="str">
            <v>F0217</v>
          </cell>
        </row>
        <row r="61">
          <cell r="C61" t="str">
            <v>F0218</v>
          </cell>
        </row>
        <row r="62">
          <cell r="C62" t="str">
            <v>F0219</v>
          </cell>
        </row>
        <row r="63">
          <cell r="C63" t="str">
            <v>F0220</v>
          </cell>
        </row>
        <row r="64">
          <cell r="C64" t="str">
            <v>F0223</v>
          </cell>
        </row>
        <row r="65">
          <cell r="C65" t="str">
            <v>F0302</v>
          </cell>
        </row>
        <row r="66">
          <cell r="C66" t="str">
            <v>F0303</v>
          </cell>
        </row>
        <row r="67">
          <cell r="C67" t="str">
            <v>F0305</v>
          </cell>
        </row>
        <row r="68">
          <cell r="C68" t="str">
            <v>F0306</v>
          </cell>
        </row>
        <row r="69">
          <cell r="C69" t="str">
            <v>F0362</v>
          </cell>
        </row>
        <row r="70">
          <cell r="C70" t="str">
            <v>I0132</v>
          </cell>
        </row>
        <row r="71">
          <cell r="C71" t="str">
            <v>I0134</v>
          </cell>
        </row>
        <row r="72">
          <cell r="C72" t="str">
            <v>I0136</v>
          </cell>
        </row>
        <row r="73">
          <cell r="C73" t="str">
            <v>I0138</v>
          </cell>
        </row>
        <row r="74">
          <cell r="C74" t="str">
            <v>I0142</v>
          </cell>
        </row>
        <row r="75">
          <cell r="C75" t="str">
            <v>I0144</v>
          </cell>
        </row>
        <row r="76">
          <cell r="C76" t="str">
            <v>I0145</v>
          </cell>
        </row>
        <row r="77">
          <cell r="C77" t="str">
            <v>I0150</v>
          </cell>
        </row>
        <row r="78">
          <cell r="C78" t="str">
            <v>I0153</v>
          </cell>
        </row>
        <row r="79">
          <cell r="C79" t="str">
            <v>I0157</v>
          </cell>
        </row>
        <row r="80">
          <cell r="C80" t="str">
            <v>I0161</v>
          </cell>
        </row>
        <row r="81">
          <cell r="C81" t="str">
            <v>I0166</v>
          </cell>
        </row>
        <row r="82">
          <cell r="C82" t="str">
            <v>I0187</v>
          </cell>
        </row>
        <row r="83">
          <cell r="C83" t="str">
            <v>I0203</v>
          </cell>
        </row>
        <row r="84">
          <cell r="C84" t="str">
            <v>I0206</v>
          </cell>
        </row>
        <row r="85">
          <cell r="C85" t="str">
            <v>I0209</v>
          </cell>
        </row>
        <row r="86">
          <cell r="C86" t="str">
            <v>I0210</v>
          </cell>
        </row>
        <row r="87">
          <cell r="C87" t="str">
            <v>I0214</v>
          </cell>
        </row>
        <row r="88">
          <cell r="C88" t="str">
            <v>I0221</v>
          </cell>
        </row>
        <row r="89">
          <cell r="C89" t="str">
            <v>I0227</v>
          </cell>
        </row>
        <row r="90">
          <cell r="C90" t="str">
            <v>I0240</v>
          </cell>
        </row>
        <row r="91">
          <cell r="C91" t="str">
            <v>I0241</v>
          </cell>
        </row>
        <row r="92">
          <cell r="C92" t="str">
            <v>I0244</v>
          </cell>
        </row>
        <row r="93">
          <cell r="C93" t="str">
            <v>I0245</v>
          </cell>
        </row>
        <row r="94">
          <cell r="C94" t="str">
            <v>I0246</v>
          </cell>
        </row>
        <row r="95">
          <cell r="C95" t="str">
            <v>I0259</v>
          </cell>
        </row>
        <row r="96">
          <cell r="C96" t="str">
            <v>I0271</v>
          </cell>
        </row>
        <row r="97">
          <cell r="C97" t="str">
            <v>I0294</v>
          </cell>
        </row>
        <row r="98">
          <cell r="C98" t="str">
            <v>I0402</v>
          </cell>
        </row>
        <row r="99">
          <cell r="C99" t="str">
            <v>I0428</v>
          </cell>
        </row>
        <row r="100">
          <cell r="C100" t="str">
            <v>I0447</v>
          </cell>
        </row>
        <row r="101">
          <cell r="C101" t="str">
            <v>I0461</v>
          </cell>
        </row>
        <row r="102">
          <cell r="C102" t="str">
            <v>I0466</v>
          </cell>
        </row>
        <row r="103">
          <cell r="C103" t="str">
            <v>I0513</v>
          </cell>
        </row>
        <row r="104">
          <cell r="C104" t="str">
            <v>I0805</v>
          </cell>
        </row>
        <row r="105">
          <cell r="C105" t="str">
            <v>I0812</v>
          </cell>
        </row>
        <row r="106">
          <cell r="C106" t="str">
            <v>I0400</v>
          </cell>
        </row>
        <row r="107">
          <cell r="C107" t="str">
            <v>I0427</v>
          </cell>
        </row>
        <row r="108">
          <cell r="C108" t="str">
            <v>I0519</v>
          </cell>
        </row>
        <row r="109">
          <cell r="C109" t="str">
            <v>I0802</v>
          </cell>
        </row>
        <row r="110">
          <cell r="C110" t="str">
            <v>I0806</v>
          </cell>
        </row>
        <row r="111">
          <cell r="C111" t="str">
            <v>I0807</v>
          </cell>
        </row>
        <row r="112">
          <cell r="C112" t="str">
            <v>I0809</v>
          </cell>
        </row>
        <row r="113">
          <cell r="C113" t="str">
            <v>I0811</v>
          </cell>
        </row>
        <row r="114">
          <cell r="C114" t="str">
            <v>I0813</v>
          </cell>
        </row>
        <row r="115">
          <cell r="C115" t="str">
            <v>I0814</v>
          </cell>
        </row>
        <row r="116">
          <cell r="C116" t="str">
            <v>I0815</v>
          </cell>
        </row>
        <row r="117">
          <cell r="C117" t="str">
            <v>I0816</v>
          </cell>
        </row>
        <row r="118">
          <cell r="C118" t="str">
            <v>I0818</v>
          </cell>
        </row>
        <row r="119">
          <cell r="C119" t="str">
            <v>I0829</v>
          </cell>
        </row>
        <row r="120">
          <cell r="C120" t="str">
            <v>I0831</v>
          </cell>
        </row>
        <row r="121">
          <cell r="C121" t="str">
            <v>I0832</v>
          </cell>
        </row>
        <row r="122">
          <cell r="C122" t="str">
            <v>I0833</v>
          </cell>
        </row>
      </sheetData>
      <sheetData sheetId="3" refreshError="1">
        <row r="2">
          <cell r="B2">
            <v>21021000</v>
          </cell>
          <cell r="D2" t="str">
            <v>F0085</v>
          </cell>
          <cell r="G2">
            <v>1743817.76</v>
          </cell>
        </row>
        <row r="3">
          <cell r="B3">
            <v>21021000</v>
          </cell>
          <cell r="D3" t="str">
            <v>F0086</v>
          </cell>
          <cell r="G3">
            <v>737515.98</v>
          </cell>
        </row>
        <row r="4">
          <cell r="B4">
            <v>21021000</v>
          </cell>
          <cell r="D4" t="str">
            <v>F0097</v>
          </cell>
          <cell r="G4">
            <v>2233763.4700000002</v>
          </cell>
        </row>
        <row r="5">
          <cell r="B5">
            <v>21021000</v>
          </cell>
          <cell r="D5" t="str">
            <v>F0098</v>
          </cell>
          <cell r="G5">
            <v>335317.09999999998</v>
          </cell>
        </row>
        <row r="6">
          <cell r="B6">
            <v>21021000</v>
          </cell>
          <cell r="D6" t="str">
            <v>F0101</v>
          </cell>
        </row>
        <row r="7">
          <cell r="B7">
            <v>21021000</v>
          </cell>
          <cell r="D7" t="str">
            <v>F0102</v>
          </cell>
          <cell r="G7">
            <v>1127519.96</v>
          </cell>
        </row>
        <row r="8">
          <cell r="B8">
            <v>21021000</v>
          </cell>
          <cell r="D8" t="str">
            <v>F0103</v>
          </cell>
          <cell r="G8">
            <v>1337861.33</v>
          </cell>
        </row>
        <row r="9">
          <cell r="B9">
            <v>21021000</v>
          </cell>
          <cell r="D9" t="str">
            <v>F0106</v>
          </cell>
          <cell r="G9">
            <v>1332640.1399999999</v>
          </cell>
        </row>
        <row r="10">
          <cell r="B10">
            <v>21021000</v>
          </cell>
          <cell r="D10" t="str">
            <v>F0109</v>
          </cell>
          <cell r="G10">
            <v>1252524.22</v>
          </cell>
        </row>
        <row r="11">
          <cell r="B11">
            <v>21021000</v>
          </cell>
          <cell r="D11" t="str">
            <v>F0111</v>
          </cell>
          <cell r="G11">
            <v>1953948.16</v>
          </cell>
        </row>
        <row r="12">
          <cell r="B12">
            <v>21021000</v>
          </cell>
          <cell r="D12" t="str">
            <v>F0114</v>
          </cell>
          <cell r="G12">
            <v>2234776.33</v>
          </cell>
        </row>
        <row r="13">
          <cell r="B13">
            <v>21021000</v>
          </cell>
          <cell r="D13" t="str">
            <v>F0115</v>
          </cell>
        </row>
        <row r="14">
          <cell r="B14">
            <v>21021000</v>
          </cell>
          <cell r="D14" t="str">
            <v>F0118</v>
          </cell>
          <cell r="G14">
            <v>1127621.3</v>
          </cell>
        </row>
        <row r="15">
          <cell r="B15">
            <v>21021000</v>
          </cell>
          <cell r="D15" t="str">
            <v>F0120</v>
          </cell>
          <cell r="G15">
            <v>441271.45</v>
          </cell>
        </row>
        <row r="16">
          <cell r="B16">
            <v>21021000</v>
          </cell>
          <cell r="D16" t="str">
            <v>F0125</v>
          </cell>
          <cell r="G16">
            <v>487081.08</v>
          </cell>
        </row>
        <row r="17">
          <cell r="B17">
            <v>21021000</v>
          </cell>
          <cell r="D17" t="str">
            <v>F0127</v>
          </cell>
          <cell r="G17">
            <v>5885978.9199999999</v>
          </cell>
        </row>
        <row r="18">
          <cell r="B18">
            <v>21021000</v>
          </cell>
          <cell r="D18" t="str">
            <v>F0128</v>
          </cell>
          <cell r="G18">
            <v>791495.04</v>
          </cell>
        </row>
        <row r="19">
          <cell r="B19">
            <v>21021000</v>
          </cell>
          <cell r="D19" t="str">
            <v>F0129</v>
          </cell>
          <cell r="G19">
            <v>1020908.11</v>
          </cell>
        </row>
        <row r="20">
          <cell r="B20">
            <v>21021000</v>
          </cell>
          <cell r="D20" t="str">
            <v>F0134</v>
          </cell>
          <cell r="G20">
            <v>248305.8</v>
          </cell>
        </row>
        <row r="21">
          <cell r="B21">
            <v>21021000</v>
          </cell>
          <cell r="D21" t="str">
            <v>F0136</v>
          </cell>
          <cell r="G21">
            <v>6742752.6900000004</v>
          </cell>
        </row>
        <row r="22">
          <cell r="B22">
            <v>21021000</v>
          </cell>
          <cell r="D22" t="str">
            <v>F0137</v>
          </cell>
          <cell r="G22">
            <v>506248.98</v>
          </cell>
        </row>
        <row r="23">
          <cell r="B23">
            <v>21021000</v>
          </cell>
          <cell r="D23" t="str">
            <v>F0138</v>
          </cell>
          <cell r="G23">
            <v>519011.44</v>
          </cell>
        </row>
        <row r="24">
          <cell r="B24">
            <v>21021000</v>
          </cell>
          <cell r="D24" t="str">
            <v>F0141</v>
          </cell>
          <cell r="G24">
            <v>368057.87</v>
          </cell>
        </row>
        <row r="25">
          <cell r="B25">
            <v>21021000</v>
          </cell>
          <cell r="D25" t="str">
            <v>F0143</v>
          </cell>
          <cell r="G25">
            <v>1572245.25</v>
          </cell>
        </row>
        <row r="26">
          <cell r="B26">
            <v>21021000</v>
          </cell>
          <cell r="D26" t="str">
            <v>F0148</v>
          </cell>
        </row>
        <row r="27">
          <cell r="B27">
            <v>21021000</v>
          </cell>
          <cell r="D27" t="str">
            <v>F0153</v>
          </cell>
        </row>
        <row r="28">
          <cell r="B28">
            <v>21021000</v>
          </cell>
          <cell r="D28" t="str">
            <v>F0156</v>
          </cell>
          <cell r="G28">
            <v>2485193.61</v>
          </cell>
        </row>
        <row r="29">
          <cell r="B29">
            <v>21021000</v>
          </cell>
          <cell r="D29" t="str">
            <v>F0161</v>
          </cell>
          <cell r="G29">
            <v>490168.34</v>
          </cell>
        </row>
        <row r="30">
          <cell r="B30">
            <v>21021000</v>
          </cell>
          <cell r="D30" t="str">
            <v>F0164</v>
          </cell>
          <cell r="G30">
            <v>745164.23</v>
          </cell>
        </row>
        <row r="31">
          <cell r="B31">
            <v>21021000</v>
          </cell>
          <cell r="D31" t="str">
            <v>F0167</v>
          </cell>
          <cell r="G31">
            <v>466383.4</v>
          </cell>
        </row>
        <row r="32">
          <cell r="B32">
            <v>21021000</v>
          </cell>
          <cell r="D32" t="str">
            <v>F0168</v>
          </cell>
          <cell r="G32">
            <v>4083558.26</v>
          </cell>
        </row>
        <row r="33">
          <cell r="B33">
            <v>21021000</v>
          </cell>
          <cell r="D33" t="str">
            <v>F0171</v>
          </cell>
          <cell r="G33">
            <v>5336827.25</v>
          </cell>
        </row>
        <row r="34">
          <cell r="B34">
            <v>21021000</v>
          </cell>
          <cell r="D34" t="str">
            <v>F0172</v>
          </cell>
          <cell r="G34">
            <v>1494032.75</v>
          </cell>
        </row>
        <row r="35">
          <cell r="B35">
            <v>21021000</v>
          </cell>
          <cell r="D35" t="str">
            <v>F0173</v>
          </cell>
        </row>
        <row r="36">
          <cell r="B36">
            <v>21021000</v>
          </cell>
          <cell r="D36" t="str">
            <v>F0174</v>
          </cell>
          <cell r="G36">
            <v>13696736.08</v>
          </cell>
        </row>
        <row r="37">
          <cell r="B37">
            <v>21021000</v>
          </cell>
          <cell r="D37" t="str">
            <v>F0176</v>
          </cell>
          <cell r="G37">
            <v>234663.44</v>
          </cell>
        </row>
        <row r="38">
          <cell r="B38">
            <v>21021000</v>
          </cell>
          <cell r="D38" t="str">
            <v>F0179</v>
          </cell>
          <cell r="G38">
            <v>852914.82</v>
          </cell>
        </row>
        <row r="39">
          <cell r="B39">
            <v>21021000</v>
          </cell>
          <cell r="D39" t="str">
            <v>F0182</v>
          </cell>
          <cell r="G39">
            <v>2538403.65</v>
          </cell>
        </row>
        <row r="40">
          <cell r="B40">
            <v>21021000</v>
          </cell>
          <cell r="D40" t="str">
            <v>F0184</v>
          </cell>
          <cell r="G40">
            <v>720622.19</v>
          </cell>
        </row>
        <row r="41">
          <cell r="B41">
            <v>21021000</v>
          </cell>
          <cell r="D41" t="str">
            <v>F0185</v>
          </cell>
          <cell r="G41">
            <v>3753740.96</v>
          </cell>
        </row>
        <row r="42">
          <cell r="B42">
            <v>21021000</v>
          </cell>
          <cell r="D42" t="str">
            <v>F0189</v>
          </cell>
          <cell r="G42">
            <v>5567124.9299999997</v>
          </cell>
        </row>
        <row r="43">
          <cell r="B43">
            <v>21021000</v>
          </cell>
          <cell r="D43" t="str">
            <v>F0191</v>
          </cell>
          <cell r="G43">
            <v>1017076.98</v>
          </cell>
        </row>
        <row r="44">
          <cell r="B44">
            <v>21021000</v>
          </cell>
          <cell r="D44" t="str">
            <v>F0194</v>
          </cell>
          <cell r="G44">
            <v>1457446.3</v>
          </cell>
        </row>
        <row r="45">
          <cell r="B45">
            <v>21021000</v>
          </cell>
          <cell r="D45" t="str">
            <v>F0195</v>
          </cell>
          <cell r="G45">
            <v>1496022.05</v>
          </cell>
        </row>
        <row r="46">
          <cell r="B46">
            <v>21021000</v>
          </cell>
          <cell r="D46" t="str">
            <v>F0196</v>
          </cell>
          <cell r="G46">
            <v>638569.93000000005</v>
          </cell>
        </row>
        <row r="47">
          <cell r="B47">
            <v>21021000</v>
          </cell>
          <cell r="D47" t="str">
            <v>F0197</v>
          </cell>
          <cell r="G47">
            <v>515592.51</v>
          </cell>
        </row>
        <row r="48">
          <cell r="B48">
            <v>21021000</v>
          </cell>
          <cell r="D48" t="str">
            <v>F0201</v>
          </cell>
          <cell r="G48">
            <v>739030.87</v>
          </cell>
        </row>
        <row r="49">
          <cell r="B49">
            <v>21021000</v>
          </cell>
          <cell r="D49" t="str">
            <v>F0202</v>
          </cell>
        </row>
        <row r="50">
          <cell r="B50">
            <v>21021000</v>
          </cell>
          <cell r="D50" t="str">
            <v>F0203</v>
          </cell>
          <cell r="G50">
            <v>3111244.7</v>
          </cell>
        </row>
        <row r="51">
          <cell r="B51">
            <v>21021000</v>
          </cell>
          <cell r="D51" t="str">
            <v>F0204</v>
          </cell>
          <cell r="G51">
            <v>5938074.4199999999</v>
          </cell>
        </row>
        <row r="52">
          <cell r="B52">
            <v>21021000</v>
          </cell>
          <cell r="D52" t="str">
            <v>F0207</v>
          </cell>
          <cell r="G52">
            <v>769113.29</v>
          </cell>
        </row>
        <row r="53">
          <cell r="B53">
            <v>21021000</v>
          </cell>
          <cell r="D53" t="str">
            <v>F0208</v>
          </cell>
          <cell r="G53">
            <v>1228259.06</v>
          </cell>
        </row>
        <row r="54">
          <cell r="B54">
            <v>21021000</v>
          </cell>
          <cell r="D54" t="str">
            <v>F0209</v>
          </cell>
          <cell r="G54">
            <v>21068.080000000002</v>
          </cell>
        </row>
        <row r="55">
          <cell r="B55">
            <v>21021000</v>
          </cell>
          <cell r="D55" t="str">
            <v>F0211</v>
          </cell>
          <cell r="G55">
            <v>12405142.17</v>
          </cell>
        </row>
        <row r="56">
          <cell r="B56">
            <v>21021000</v>
          </cell>
          <cell r="D56" t="str">
            <v>F0212</v>
          </cell>
          <cell r="G56">
            <v>3796531.74</v>
          </cell>
        </row>
        <row r="57">
          <cell r="B57">
            <v>21021000</v>
          </cell>
          <cell r="D57" t="str">
            <v>F0216</v>
          </cell>
          <cell r="G57">
            <v>1281239</v>
          </cell>
        </row>
        <row r="58">
          <cell r="B58">
            <v>21021000</v>
          </cell>
          <cell r="D58" t="str">
            <v>F0217</v>
          </cell>
          <cell r="G58">
            <v>2113760.5299999998</v>
          </cell>
        </row>
        <row r="59">
          <cell r="B59">
            <v>21021000</v>
          </cell>
          <cell r="D59" t="str">
            <v>F0218</v>
          </cell>
          <cell r="G59">
            <v>1288967.32</v>
          </cell>
        </row>
        <row r="60">
          <cell r="B60">
            <v>21021000</v>
          </cell>
          <cell r="D60" t="str">
            <v>F0219</v>
          </cell>
          <cell r="G60">
            <v>30025.73</v>
          </cell>
        </row>
        <row r="61">
          <cell r="B61">
            <v>21021000</v>
          </cell>
          <cell r="D61" t="str">
            <v>F0220</v>
          </cell>
          <cell r="G61">
            <v>1377310.44</v>
          </cell>
        </row>
        <row r="62">
          <cell r="B62">
            <v>21021000</v>
          </cell>
          <cell r="D62" t="str">
            <v>F0223</v>
          </cell>
          <cell r="G62">
            <v>900822.02</v>
          </cell>
        </row>
        <row r="63">
          <cell r="B63">
            <v>21021000</v>
          </cell>
          <cell r="D63" t="str">
            <v>F0362</v>
          </cell>
          <cell r="G63">
            <v>3470925</v>
          </cell>
        </row>
        <row r="64">
          <cell r="B64">
            <v>21021500</v>
          </cell>
          <cell r="D64" t="str">
            <v>F0086</v>
          </cell>
          <cell r="G64">
            <v>17010</v>
          </cell>
        </row>
        <row r="65">
          <cell r="B65">
            <v>21021500</v>
          </cell>
          <cell r="D65" t="str">
            <v>F0102</v>
          </cell>
          <cell r="G65">
            <v>4620</v>
          </cell>
        </row>
        <row r="66">
          <cell r="B66">
            <v>21021500</v>
          </cell>
          <cell r="D66" t="str">
            <v>F0109</v>
          </cell>
          <cell r="G66">
            <v>14046</v>
          </cell>
        </row>
        <row r="67">
          <cell r="B67">
            <v>21021500</v>
          </cell>
          <cell r="D67" t="str">
            <v>F0127</v>
          </cell>
          <cell r="G67">
            <v>360</v>
          </cell>
        </row>
        <row r="68">
          <cell r="B68">
            <v>21021500</v>
          </cell>
          <cell r="D68" t="str">
            <v>F0136</v>
          </cell>
          <cell r="G68">
            <v>295457.03000000003</v>
          </cell>
        </row>
        <row r="69">
          <cell r="B69">
            <v>21021500</v>
          </cell>
          <cell r="D69" t="str">
            <v>F0168</v>
          </cell>
          <cell r="G69">
            <v>4206.7</v>
          </cell>
        </row>
        <row r="70">
          <cell r="B70">
            <v>21021500</v>
          </cell>
          <cell r="D70" t="str">
            <v>F0171</v>
          </cell>
          <cell r="G70">
            <v>32017</v>
          </cell>
        </row>
        <row r="71">
          <cell r="B71">
            <v>21021500</v>
          </cell>
          <cell r="D71" t="str">
            <v>F0174</v>
          </cell>
          <cell r="G71">
            <v>11969.28</v>
          </cell>
        </row>
        <row r="72">
          <cell r="B72">
            <v>21021500</v>
          </cell>
          <cell r="D72" t="str">
            <v>F0179</v>
          </cell>
          <cell r="G72">
            <v>450</v>
          </cell>
        </row>
        <row r="73">
          <cell r="B73">
            <v>21021500</v>
          </cell>
          <cell r="D73" t="str">
            <v>F0182</v>
          </cell>
          <cell r="G73">
            <v>5266</v>
          </cell>
        </row>
        <row r="74">
          <cell r="B74">
            <v>21021500</v>
          </cell>
          <cell r="D74" t="str">
            <v>F0194</v>
          </cell>
          <cell r="G74">
            <v>4151</v>
          </cell>
        </row>
        <row r="75">
          <cell r="B75">
            <v>21021500</v>
          </cell>
          <cell r="D75" t="str">
            <v>F0195</v>
          </cell>
          <cell r="G75">
            <v>99108.39</v>
          </cell>
        </row>
        <row r="76">
          <cell r="B76">
            <v>21021500</v>
          </cell>
          <cell r="D76" t="str">
            <v>F0196</v>
          </cell>
          <cell r="G76">
            <v>13200</v>
          </cell>
        </row>
        <row r="77">
          <cell r="B77">
            <v>21021500</v>
          </cell>
          <cell r="D77" t="str">
            <v>F0203</v>
          </cell>
          <cell r="G77">
            <v>168911.17</v>
          </cell>
        </row>
        <row r="78">
          <cell r="B78">
            <v>21021500</v>
          </cell>
          <cell r="D78" t="str">
            <v>F0204</v>
          </cell>
          <cell r="G78">
            <v>1680</v>
          </cell>
        </row>
        <row r="79">
          <cell r="B79">
            <v>21021500</v>
          </cell>
          <cell r="D79" t="str">
            <v>F0212</v>
          </cell>
          <cell r="G79">
            <v>127335.38</v>
          </cell>
        </row>
        <row r="80">
          <cell r="B80">
            <v>21021500</v>
          </cell>
          <cell r="D80" t="str">
            <v>F0218</v>
          </cell>
          <cell r="G80">
            <v>181296.37</v>
          </cell>
        </row>
        <row r="81">
          <cell r="B81">
            <v>21021500</v>
          </cell>
          <cell r="D81" t="str">
            <v>F0362</v>
          </cell>
          <cell r="G81">
            <v>41893.699999999997</v>
          </cell>
        </row>
        <row r="82">
          <cell r="B82">
            <v>21201000</v>
          </cell>
          <cell r="D82" t="str">
            <v>I0214</v>
          </cell>
          <cell r="G82">
            <v>12335220</v>
          </cell>
        </row>
        <row r="83">
          <cell r="B83">
            <v>21201000</v>
          </cell>
          <cell r="D83" t="str">
            <v>I0221</v>
          </cell>
          <cell r="G83">
            <v>4476846.4000000004</v>
          </cell>
        </row>
        <row r="84">
          <cell r="B84">
            <v>21201000</v>
          </cell>
          <cell r="D84" t="str">
            <v>I0227</v>
          </cell>
          <cell r="G84">
            <v>1388466</v>
          </cell>
        </row>
        <row r="85">
          <cell r="B85">
            <v>21201000</v>
          </cell>
          <cell r="D85" t="str">
            <v>I0259</v>
          </cell>
          <cell r="G85">
            <v>23424800</v>
          </cell>
        </row>
        <row r="86">
          <cell r="B86">
            <v>21201000</v>
          </cell>
          <cell r="D86" t="str">
            <v>I0294</v>
          </cell>
          <cell r="G86">
            <v>16655000</v>
          </cell>
        </row>
        <row r="87">
          <cell r="B87">
            <v>21201000</v>
          </cell>
          <cell r="D87" t="str">
            <v>I0513</v>
          </cell>
          <cell r="G87">
            <v>290000</v>
          </cell>
        </row>
        <row r="88">
          <cell r="B88">
            <v>21201000</v>
          </cell>
          <cell r="D88" t="str">
            <v>I0802</v>
          </cell>
          <cell r="G88">
            <v>46262242.329999998</v>
          </cell>
        </row>
        <row r="89">
          <cell r="B89">
            <v>21201000</v>
          </cell>
          <cell r="D89" t="str">
            <v>I0805</v>
          </cell>
          <cell r="G89">
            <v>10000000</v>
          </cell>
        </row>
        <row r="90">
          <cell r="B90">
            <v>21201000</v>
          </cell>
          <cell r="D90" t="str">
            <v>I0806</v>
          </cell>
          <cell r="G90">
            <v>16753803.890000001</v>
          </cell>
        </row>
        <row r="91">
          <cell r="B91">
            <v>21201000</v>
          </cell>
          <cell r="D91" t="str">
            <v>I0807</v>
          </cell>
          <cell r="G91">
            <v>16551213.01</v>
          </cell>
        </row>
        <row r="92">
          <cell r="B92">
            <v>21201000</v>
          </cell>
          <cell r="D92" t="str">
            <v>I0809</v>
          </cell>
          <cell r="G92">
            <v>17430000</v>
          </cell>
        </row>
        <row r="93">
          <cell r="B93">
            <v>21201000</v>
          </cell>
          <cell r="D93" t="str">
            <v>I0811</v>
          </cell>
          <cell r="G93">
            <v>36110795.719999999</v>
          </cell>
        </row>
        <row r="94">
          <cell r="B94">
            <v>21201000</v>
          </cell>
          <cell r="D94" t="str">
            <v>I0812</v>
          </cell>
          <cell r="G94">
            <v>1700000</v>
          </cell>
        </row>
        <row r="95">
          <cell r="B95">
            <v>21201000</v>
          </cell>
          <cell r="D95" t="str">
            <v>I0813</v>
          </cell>
          <cell r="G95">
            <v>25000000</v>
          </cell>
        </row>
        <row r="96">
          <cell r="B96">
            <v>21201000</v>
          </cell>
          <cell r="D96" t="str">
            <v>I0815</v>
          </cell>
          <cell r="G96">
            <v>12360000</v>
          </cell>
        </row>
        <row r="97">
          <cell r="B97">
            <v>21201000</v>
          </cell>
          <cell r="D97" t="str">
            <v>I0816</v>
          </cell>
          <cell r="G97">
            <v>36000000</v>
          </cell>
        </row>
        <row r="98">
          <cell r="B98">
            <v>21201000</v>
          </cell>
          <cell r="D98" t="str">
            <v>I0818</v>
          </cell>
          <cell r="G98">
            <v>46427869.600000001</v>
          </cell>
        </row>
        <row r="99">
          <cell r="B99">
            <v>21201000</v>
          </cell>
          <cell r="D99" t="str">
            <v>I0829</v>
          </cell>
          <cell r="G99">
            <v>49426880</v>
          </cell>
        </row>
        <row r="100">
          <cell r="B100">
            <v>21201000</v>
          </cell>
          <cell r="D100" t="str">
            <v>I0831</v>
          </cell>
          <cell r="G100">
            <v>53200000</v>
          </cell>
        </row>
        <row r="101">
          <cell r="B101">
            <v>21201000</v>
          </cell>
          <cell r="D101" t="str">
            <v>I0832</v>
          </cell>
          <cell r="G101">
            <v>22598388.52</v>
          </cell>
        </row>
        <row r="102">
          <cell r="B102">
            <v>21201000</v>
          </cell>
          <cell r="D102" t="str">
            <v>I0833</v>
          </cell>
          <cell r="G102">
            <v>115292000</v>
          </cell>
        </row>
        <row r="103">
          <cell r="B103">
            <v>21201100</v>
          </cell>
          <cell r="D103" t="str">
            <v>I0400</v>
          </cell>
          <cell r="G103">
            <v>1362530.05</v>
          </cell>
        </row>
        <row r="104">
          <cell r="B104">
            <v>21201100</v>
          </cell>
          <cell r="D104" t="str">
            <v>I0402</v>
          </cell>
          <cell r="G104">
            <v>10835542.800000001</v>
          </cell>
        </row>
        <row r="105">
          <cell r="B105">
            <v>21201100</v>
          </cell>
          <cell r="D105" t="str">
            <v>I0409</v>
          </cell>
        </row>
        <row r="106">
          <cell r="B106">
            <v>21201100</v>
          </cell>
          <cell r="D106" t="str">
            <v>I0427</v>
          </cell>
          <cell r="G106">
            <v>1200000</v>
          </cell>
        </row>
        <row r="107">
          <cell r="B107">
            <v>21201100</v>
          </cell>
          <cell r="D107" t="str">
            <v>I0428</v>
          </cell>
          <cell r="G107">
            <v>42700000</v>
          </cell>
        </row>
        <row r="108">
          <cell r="B108">
            <v>21201100</v>
          </cell>
          <cell r="D108" t="str">
            <v>I0447</v>
          </cell>
          <cell r="G108">
            <v>47552239.32</v>
          </cell>
        </row>
        <row r="109">
          <cell r="B109">
            <v>21201100</v>
          </cell>
          <cell r="D109" t="str">
            <v>I0461</v>
          </cell>
          <cell r="G109">
            <v>312000000</v>
          </cell>
        </row>
        <row r="110">
          <cell r="B110">
            <v>21201100</v>
          </cell>
          <cell r="D110" t="str">
            <v>I0466</v>
          </cell>
          <cell r="G110">
            <v>129400000</v>
          </cell>
        </row>
        <row r="111">
          <cell r="B111">
            <v>21201100</v>
          </cell>
          <cell r="D111" t="str">
            <v>I0519</v>
          </cell>
          <cell r="G111">
            <v>56000000</v>
          </cell>
        </row>
        <row r="112">
          <cell r="B112">
            <v>21201100</v>
          </cell>
          <cell r="D112" t="str">
            <v>I0814</v>
          </cell>
          <cell r="G112">
            <v>12960000</v>
          </cell>
        </row>
        <row r="113">
          <cell r="B113">
            <v>21211000</v>
          </cell>
          <cell r="D113" t="str">
            <v>I0214</v>
          </cell>
          <cell r="G113">
            <v>28227425.34</v>
          </cell>
        </row>
        <row r="114">
          <cell r="B114">
            <v>21211000</v>
          </cell>
          <cell r="D114" t="str">
            <v>I0221</v>
          </cell>
          <cell r="G114">
            <v>25176855.68</v>
          </cell>
        </row>
        <row r="115">
          <cell r="B115">
            <v>21211000</v>
          </cell>
          <cell r="D115" t="str">
            <v>I0227</v>
          </cell>
          <cell r="G115">
            <v>13096613.42</v>
          </cell>
        </row>
        <row r="116">
          <cell r="B116">
            <v>21211000</v>
          </cell>
          <cell r="D116" t="str">
            <v>I0259</v>
          </cell>
          <cell r="G116">
            <v>68884514.549999997</v>
          </cell>
        </row>
        <row r="117">
          <cell r="B117">
            <v>21211000</v>
          </cell>
          <cell r="D117" t="str">
            <v>I0294</v>
          </cell>
          <cell r="G117">
            <v>50847868.219999999</v>
          </cell>
        </row>
        <row r="118">
          <cell r="B118">
            <v>21211000</v>
          </cell>
          <cell r="D118" t="str">
            <v>I0513</v>
          </cell>
          <cell r="G118">
            <v>5760000</v>
          </cell>
        </row>
        <row r="119">
          <cell r="B119">
            <v>21211000</v>
          </cell>
          <cell r="D119" t="str">
            <v>I0802</v>
          </cell>
          <cell r="G119">
            <v>33237757.670000002</v>
          </cell>
        </row>
        <row r="120">
          <cell r="B120">
            <v>21211000</v>
          </cell>
          <cell r="D120" t="str">
            <v>I0805</v>
          </cell>
          <cell r="G120">
            <v>29930000</v>
          </cell>
        </row>
        <row r="121">
          <cell r="B121">
            <v>21211000</v>
          </cell>
          <cell r="D121" t="str">
            <v>I0806</v>
          </cell>
          <cell r="G121">
            <v>31015954.969999999</v>
          </cell>
        </row>
        <row r="122">
          <cell r="B122">
            <v>21211000</v>
          </cell>
          <cell r="D122" t="str">
            <v>I0807</v>
          </cell>
          <cell r="G122">
            <v>99353639.980000004</v>
          </cell>
        </row>
        <row r="123">
          <cell r="B123">
            <v>21211000</v>
          </cell>
          <cell r="D123" t="str">
            <v>I0809</v>
          </cell>
          <cell r="G123">
            <v>44007000</v>
          </cell>
        </row>
        <row r="124">
          <cell r="B124">
            <v>21211000</v>
          </cell>
          <cell r="D124" t="str">
            <v>I0811</v>
          </cell>
          <cell r="G124">
            <v>40573841.579999998</v>
          </cell>
        </row>
        <row r="125">
          <cell r="B125">
            <v>21211000</v>
          </cell>
          <cell r="D125" t="str">
            <v>I0812</v>
          </cell>
          <cell r="G125">
            <v>6800000</v>
          </cell>
        </row>
        <row r="126">
          <cell r="B126">
            <v>21211000</v>
          </cell>
          <cell r="D126" t="str">
            <v>I0813</v>
          </cell>
          <cell r="G126">
            <v>40500000.009999998</v>
          </cell>
        </row>
        <row r="127">
          <cell r="B127">
            <v>21211000</v>
          </cell>
          <cell r="D127" t="str">
            <v>I0815</v>
          </cell>
          <cell r="G127">
            <v>18540000</v>
          </cell>
        </row>
        <row r="128">
          <cell r="B128">
            <v>21211000</v>
          </cell>
          <cell r="D128" t="str">
            <v>I0816</v>
          </cell>
          <cell r="G128">
            <v>53000000</v>
          </cell>
        </row>
        <row r="129">
          <cell r="B129">
            <v>21211000</v>
          </cell>
          <cell r="D129" t="str">
            <v>I0818</v>
          </cell>
          <cell r="G129">
            <v>74344850.150000006</v>
          </cell>
        </row>
        <row r="130">
          <cell r="B130">
            <v>21211000</v>
          </cell>
          <cell r="D130" t="str">
            <v>I0829</v>
          </cell>
          <cell r="G130">
            <v>74140320</v>
          </cell>
        </row>
        <row r="131">
          <cell r="B131">
            <v>21211000</v>
          </cell>
          <cell r="D131" t="str">
            <v>I0831</v>
          </cell>
          <cell r="G131">
            <v>79800000</v>
          </cell>
        </row>
        <row r="132">
          <cell r="B132">
            <v>21211000</v>
          </cell>
          <cell r="D132" t="str">
            <v>I0832</v>
          </cell>
          <cell r="G132">
            <v>33897582.780000001</v>
          </cell>
        </row>
        <row r="133">
          <cell r="B133">
            <v>21211000</v>
          </cell>
          <cell r="D133" t="str">
            <v>I0833</v>
          </cell>
          <cell r="G133">
            <v>172938000</v>
          </cell>
        </row>
        <row r="134">
          <cell r="B134">
            <v>21211100</v>
          </cell>
          <cell r="D134" t="str">
            <v>I0244</v>
          </cell>
          <cell r="G134">
            <v>46745078.979999997</v>
          </cell>
        </row>
        <row r="135">
          <cell r="B135">
            <v>21211100</v>
          </cell>
          <cell r="D135" t="str">
            <v>I0246</v>
          </cell>
          <cell r="G135">
            <v>350000</v>
          </cell>
        </row>
        <row r="136">
          <cell r="B136">
            <v>21211100</v>
          </cell>
          <cell r="D136" t="str">
            <v>I0400</v>
          </cell>
          <cell r="G136">
            <v>5088629.96</v>
          </cell>
        </row>
        <row r="137">
          <cell r="B137">
            <v>21211100</v>
          </cell>
          <cell r="D137" t="str">
            <v>I0402</v>
          </cell>
          <cell r="G137">
            <v>36771725.340000004</v>
          </cell>
        </row>
        <row r="138">
          <cell r="B138">
            <v>21211100</v>
          </cell>
          <cell r="D138" t="str">
            <v>I0409</v>
          </cell>
        </row>
        <row r="139">
          <cell r="B139">
            <v>21211100</v>
          </cell>
          <cell r="D139" t="str">
            <v>I0427</v>
          </cell>
          <cell r="G139">
            <v>10150000</v>
          </cell>
        </row>
        <row r="140">
          <cell r="B140">
            <v>21211100</v>
          </cell>
          <cell r="D140" t="str">
            <v>I0428</v>
          </cell>
          <cell r="G140">
            <v>81238741.810000002</v>
          </cell>
        </row>
        <row r="141">
          <cell r="B141">
            <v>21211100</v>
          </cell>
          <cell r="D141" t="str">
            <v>I0447</v>
          </cell>
          <cell r="G141">
            <v>90829314.269999996</v>
          </cell>
        </row>
        <row r="142">
          <cell r="B142">
            <v>21211100</v>
          </cell>
          <cell r="D142" t="str">
            <v>I0461</v>
          </cell>
          <cell r="G142">
            <v>98410636.200000003</v>
          </cell>
        </row>
        <row r="143">
          <cell r="B143">
            <v>21211100</v>
          </cell>
          <cell r="D143" t="str">
            <v>I0466</v>
          </cell>
          <cell r="G143">
            <v>144991010.41999999</v>
          </cell>
        </row>
        <row r="144">
          <cell r="B144">
            <v>21211100</v>
          </cell>
          <cell r="D144" t="str">
            <v>I0519</v>
          </cell>
          <cell r="G144">
            <v>107200000</v>
          </cell>
        </row>
        <row r="145">
          <cell r="B145">
            <v>21211100</v>
          </cell>
          <cell r="D145" t="str">
            <v>I0814</v>
          </cell>
          <cell r="G145">
            <v>19440000</v>
          </cell>
        </row>
        <row r="146">
          <cell r="B146">
            <v>21211500</v>
          </cell>
          <cell r="D146" t="str">
            <v>I0132</v>
          </cell>
          <cell r="G146">
            <v>2622311.3199999998</v>
          </cell>
        </row>
        <row r="147">
          <cell r="B147">
            <v>21211500</v>
          </cell>
          <cell r="D147" t="str">
            <v>I0134</v>
          </cell>
          <cell r="G147">
            <v>648066.89</v>
          </cell>
        </row>
        <row r="148">
          <cell r="B148">
            <v>21211500</v>
          </cell>
          <cell r="D148" t="str">
            <v>I0136</v>
          </cell>
          <cell r="G148">
            <v>1252879.92</v>
          </cell>
        </row>
        <row r="149">
          <cell r="B149">
            <v>21211500</v>
          </cell>
          <cell r="D149" t="str">
            <v>I0138</v>
          </cell>
        </row>
        <row r="150">
          <cell r="B150">
            <v>21211500</v>
          </cell>
          <cell r="D150" t="str">
            <v>I0142</v>
          </cell>
          <cell r="G150">
            <v>2236119.36</v>
          </cell>
        </row>
        <row r="151">
          <cell r="B151">
            <v>21211500</v>
          </cell>
          <cell r="D151" t="str">
            <v>I0150</v>
          </cell>
          <cell r="G151">
            <v>441295.63</v>
          </cell>
        </row>
        <row r="152">
          <cell r="B152">
            <v>21211500</v>
          </cell>
          <cell r="D152" t="str">
            <v>I0153</v>
          </cell>
          <cell r="G152">
            <v>28713.25</v>
          </cell>
        </row>
        <row r="153">
          <cell r="B153">
            <v>21211500</v>
          </cell>
          <cell r="D153" t="str">
            <v>I0157</v>
          </cell>
          <cell r="G153">
            <v>157920.14000000001</v>
          </cell>
        </row>
        <row r="154">
          <cell r="B154">
            <v>21211500</v>
          </cell>
          <cell r="D154" t="str">
            <v>I0161</v>
          </cell>
          <cell r="G154">
            <v>4577212.01</v>
          </cell>
        </row>
        <row r="155">
          <cell r="B155">
            <v>21211500</v>
          </cell>
          <cell r="D155" t="str">
            <v>I0166</v>
          </cell>
          <cell r="G155">
            <v>51730.65</v>
          </cell>
        </row>
        <row r="156">
          <cell r="B156">
            <v>21211500</v>
          </cell>
          <cell r="D156" t="str">
            <v>I0187</v>
          </cell>
          <cell r="G156">
            <v>442044.05</v>
          </cell>
        </row>
        <row r="157">
          <cell r="B157">
            <v>21211500</v>
          </cell>
          <cell r="D157" t="str">
            <v>I0203</v>
          </cell>
          <cell r="G157">
            <v>1871841.47</v>
          </cell>
        </row>
        <row r="158">
          <cell r="B158">
            <v>21211500</v>
          </cell>
          <cell r="D158" t="str">
            <v>I0206</v>
          </cell>
        </row>
        <row r="159">
          <cell r="B159">
            <v>21211500</v>
          </cell>
          <cell r="D159" t="str">
            <v>I0209</v>
          </cell>
          <cell r="G159">
            <v>2959146.17</v>
          </cell>
        </row>
        <row r="160">
          <cell r="B160">
            <v>21211500</v>
          </cell>
          <cell r="D160" t="str">
            <v>I0214</v>
          </cell>
          <cell r="G160">
            <v>1060793.1299999999</v>
          </cell>
        </row>
        <row r="161">
          <cell r="B161">
            <v>21211500</v>
          </cell>
          <cell r="D161" t="str">
            <v>I0221</v>
          </cell>
          <cell r="G161">
            <v>505482.43</v>
          </cell>
        </row>
        <row r="162">
          <cell r="B162">
            <v>21211500</v>
          </cell>
          <cell r="D162" t="str">
            <v>I0227</v>
          </cell>
          <cell r="G162">
            <v>94014.7</v>
          </cell>
        </row>
        <row r="163">
          <cell r="B163">
            <v>21211500</v>
          </cell>
          <cell r="D163" t="str">
            <v>I0240</v>
          </cell>
          <cell r="G163">
            <v>3590453.49</v>
          </cell>
        </row>
        <row r="164">
          <cell r="B164">
            <v>21211500</v>
          </cell>
          <cell r="D164" t="str">
            <v>I0241</v>
          </cell>
          <cell r="G164">
            <v>1012253.72</v>
          </cell>
        </row>
        <row r="165">
          <cell r="B165">
            <v>21211500</v>
          </cell>
          <cell r="D165" t="str">
            <v>I0245</v>
          </cell>
        </row>
        <row r="166">
          <cell r="B166">
            <v>21211500</v>
          </cell>
          <cell r="D166" t="str">
            <v>I0259</v>
          </cell>
          <cell r="G166">
            <v>1317677.48</v>
          </cell>
        </row>
        <row r="167">
          <cell r="B167">
            <v>21211500</v>
          </cell>
          <cell r="D167" t="str">
            <v>I0294</v>
          </cell>
          <cell r="G167">
            <v>585930.23</v>
          </cell>
        </row>
        <row r="168">
          <cell r="B168">
            <v>21211500</v>
          </cell>
          <cell r="D168" t="str">
            <v>I0428</v>
          </cell>
          <cell r="G168">
            <v>236261.88</v>
          </cell>
        </row>
        <row r="169">
          <cell r="B169">
            <v>21211500</v>
          </cell>
          <cell r="D169" t="str">
            <v>I0447</v>
          </cell>
        </row>
        <row r="170">
          <cell r="B170">
            <v>21211500</v>
          </cell>
          <cell r="D170" t="str">
            <v>I0461</v>
          </cell>
        </row>
        <row r="171">
          <cell r="B171">
            <v>21211500</v>
          </cell>
          <cell r="D171" t="str">
            <v>I0802</v>
          </cell>
          <cell r="G171">
            <v>43376.15</v>
          </cell>
        </row>
        <row r="172">
          <cell r="B172">
            <v>21211500</v>
          </cell>
          <cell r="D172" t="str">
            <v>I0805</v>
          </cell>
          <cell r="G172">
            <v>17575.04</v>
          </cell>
        </row>
        <row r="173">
          <cell r="B173">
            <v>21211500</v>
          </cell>
          <cell r="D173" t="str">
            <v>I0807</v>
          </cell>
          <cell r="G173">
            <v>15524.08</v>
          </cell>
        </row>
        <row r="174">
          <cell r="B174">
            <v>21211500</v>
          </cell>
          <cell r="D174" t="str">
            <v>I0811</v>
          </cell>
          <cell r="G174">
            <v>22849.59</v>
          </cell>
        </row>
        <row r="175">
          <cell r="B175">
            <v>21211500</v>
          </cell>
          <cell r="D175" t="str">
            <v>I0812</v>
          </cell>
          <cell r="G175">
            <v>7051045.1799999997</v>
          </cell>
        </row>
        <row r="176">
          <cell r="B176">
            <v>21211500</v>
          </cell>
          <cell r="D176" t="str">
            <v>I0813</v>
          </cell>
          <cell r="G176">
            <v>79438.720000000001</v>
          </cell>
        </row>
        <row r="177">
          <cell r="B177">
            <v>21211500</v>
          </cell>
          <cell r="D177" t="str">
            <v>I0815</v>
          </cell>
          <cell r="G177">
            <v>63572.38</v>
          </cell>
        </row>
        <row r="178">
          <cell r="B178">
            <v>21211500</v>
          </cell>
          <cell r="D178" t="str">
            <v>I0818</v>
          </cell>
          <cell r="G178">
            <v>0</v>
          </cell>
        </row>
        <row r="179">
          <cell r="B179">
            <v>21211600</v>
          </cell>
          <cell r="D179" t="str">
            <v>I0138</v>
          </cell>
          <cell r="G179">
            <v>0</v>
          </cell>
        </row>
        <row r="180">
          <cell r="B180">
            <v>21211600</v>
          </cell>
          <cell r="D180" t="str">
            <v>I0144</v>
          </cell>
          <cell r="G180">
            <v>114068</v>
          </cell>
        </row>
        <row r="181">
          <cell r="B181">
            <v>21211600</v>
          </cell>
          <cell r="D181" t="str">
            <v>I0206</v>
          </cell>
          <cell r="G181">
            <v>0</v>
          </cell>
        </row>
        <row r="182">
          <cell r="B182">
            <v>21211600</v>
          </cell>
          <cell r="D182" t="str">
            <v>I0244</v>
          </cell>
          <cell r="G182">
            <v>243100080.71000001</v>
          </cell>
        </row>
        <row r="183">
          <cell r="B183">
            <v>21211600</v>
          </cell>
          <cell r="D183" t="str">
            <v>I0245</v>
          </cell>
          <cell r="G183">
            <v>3038879.75</v>
          </cell>
        </row>
        <row r="184">
          <cell r="B184">
            <v>21211600</v>
          </cell>
          <cell r="D184" t="str">
            <v>I0246</v>
          </cell>
          <cell r="G184">
            <v>4524433.2</v>
          </cell>
        </row>
        <row r="185">
          <cell r="B185">
            <v>21211600</v>
          </cell>
          <cell r="D185" t="str">
            <v>I0402</v>
          </cell>
          <cell r="G185">
            <v>3223490.43</v>
          </cell>
        </row>
        <row r="186">
          <cell r="B186">
            <v>21211600</v>
          </cell>
          <cell r="D186" t="str">
            <v>I0428</v>
          </cell>
          <cell r="G186">
            <v>6810575.2199999997</v>
          </cell>
        </row>
        <row r="187">
          <cell r="B187">
            <v>21211600</v>
          </cell>
          <cell r="D187" t="str">
            <v>I0447</v>
          </cell>
          <cell r="G187">
            <v>103617.92</v>
          </cell>
        </row>
        <row r="188">
          <cell r="B188">
            <v>21211600</v>
          </cell>
          <cell r="D188" t="str">
            <v>I0461</v>
          </cell>
          <cell r="G188">
            <v>7457402.25</v>
          </cell>
        </row>
        <row r="189">
          <cell r="B189">
            <v>21211600</v>
          </cell>
          <cell r="D189" t="str">
            <v>I0466</v>
          </cell>
          <cell r="G189">
            <v>2147634.7799999998</v>
          </cell>
        </row>
        <row r="190">
          <cell r="B190">
            <v>21211800</v>
          </cell>
          <cell r="D190" t="str">
            <v>F0204</v>
          </cell>
          <cell r="G190">
            <v>1960.7</v>
          </cell>
        </row>
        <row r="191">
          <cell r="B191">
            <v>21220000</v>
          </cell>
          <cell r="D191" t="str">
            <v>I0132</v>
          </cell>
          <cell r="G191">
            <v>30286385.280000001</v>
          </cell>
        </row>
        <row r="192">
          <cell r="B192">
            <v>21220000</v>
          </cell>
          <cell r="D192" t="str">
            <v>I0134</v>
          </cell>
          <cell r="G192">
            <v>6290902</v>
          </cell>
        </row>
        <row r="193">
          <cell r="B193">
            <v>21220000</v>
          </cell>
          <cell r="D193" t="str">
            <v>I0136</v>
          </cell>
          <cell r="G193">
            <v>4184728.22</v>
          </cell>
        </row>
        <row r="194">
          <cell r="B194">
            <v>21220000</v>
          </cell>
          <cell r="D194" t="str">
            <v>I0142</v>
          </cell>
          <cell r="G194">
            <v>14226240</v>
          </cell>
        </row>
        <row r="195">
          <cell r="B195">
            <v>21220000</v>
          </cell>
          <cell r="D195" t="str">
            <v>I0145</v>
          </cell>
          <cell r="G195">
            <v>786000</v>
          </cell>
        </row>
        <row r="196">
          <cell r="B196">
            <v>21220000</v>
          </cell>
          <cell r="D196" t="str">
            <v>I0150</v>
          </cell>
          <cell r="G196">
            <v>8536423.7799999993</v>
          </cell>
        </row>
        <row r="197">
          <cell r="B197">
            <v>21220000</v>
          </cell>
          <cell r="D197" t="str">
            <v>I0153</v>
          </cell>
          <cell r="G197">
            <v>6143408.5199999996</v>
          </cell>
        </row>
        <row r="198">
          <cell r="B198">
            <v>21220000</v>
          </cell>
          <cell r="D198" t="str">
            <v>I0157</v>
          </cell>
          <cell r="G198">
            <v>5508368</v>
          </cell>
        </row>
        <row r="199">
          <cell r="B199">
            <v>21220000</v>
          </cell>
          <cell r="D199" t="str">
            <v>I0161</v>
          </cell>
          <cell r="G199">
            <v>2737711.2</v>
          </cell>
        </row>
        <row r="200">
          <cell r="B200">
            <v>21220000</v>
          </cell>
          <cell r="D200" t="str">
            <v>I0166</v>
          </cell>
          <cell r="G200">
            <v>4316480</v>
          </cell>
        </row>
        <row r="201">
          <cell r="B201">
            <v>21220000</v>
          </cell>
          <cell r="D201" t="str">
            <v>I0187</v>
          </cell>
          <cell r="G201">
            <v>2991905.06</v>
          </cell>
        </row>
        <row r="202">
          <cell r="B202">
            <v>21220000</v>
          </cell>
          <cell r="D202" t="str">
            <v>I0203</v>
          </cell>
          <cell r="G202">
            <v>9258970</v>
          </cell>
        </row>
        <row r="203">
          <cell r="B203">
            <v>21220000</v>
          </cell>
          <cell r="D203" t="str">
            <v>I0209</v>
          </cell>
          <cell r="G203">
            <v>7822491.2199999997</v>
          </cell>
        </row>
        <row r="204">
          <cell r="B204">
            <v>21220000</v>
          </cell>
          <cell r="D204" t="str">
            <v>I0210</v>
          </cell>
          <cell r="G204">
            <v>768541</v>
          </cell>
        </row>
        <row r="205">
          <cell r="B205">
            <v>21220000</v>
          </cell>
          <cell r="D205" t="str">
            <v>I0240</v>
          </cell>
          <cell r="G205">
            <v>6551045.3499999996</v>
          </cell>
        </row>
        <row r="206">
          <cell r="B206">
            <v>21220000</v>
          </cell>
          <cell r="D206" t="str">
            <v>I0241</v>
          </cell>
          <cell r="G206">
            <v>4053000</v>
          </cell>
        </row>
        <row r="207">
          <cell r="B207">
            <v>21220100</v>
          </cell>
          <cell r="D207" t="str">
            <v>I0138</v>
          </cell>
          <cell r="G207">
            <v>0</v>
          </cell>
        </row>
        <row r="208">
          <cell r="B208">
            <v>21220100</v>
          </cell>
          <cell r="D208" t="str">
            <v>I0144</v>
          </cell>
          <cell r="G208">
            <v>630808.38</v>
          </cell>
        </row>
        <row r="209">
          <cell r="B209">
            <v>21220100</v>
          </cell>
          <cell r="D209" t="str">
            <v>I0244</v>
          </cell>
          <cell r="G209">
            <v>3185174.02</v>
          </cell>
        </row>
        <row r="210">
          <cell r="B210">
            <v>21220100</v>
          </cell>
          <cell r="D210" t="str">
            <v>I0246</v>
          </cell>
          <cell r="G210">
            <v>11509369</v>
          </cell>
        </row>
        <row r="211">
          <cell r="B211">
            <v>21220100</v>
          </cell>
          <cell r="D211" t="str">
            <v>I0271</v>
          </cell>
          <cell r="G211">
            <v>11756757.15</v>
          </cell>
        </row>
        <row r="212">
          <cell r="B212">
            <v>21220200</v>
          </cell>
          <cell r="D212" t="str">
            <v>I0148</v>
          </cell>
        </row>
        <row r="213">
          <cell r="B213">
            <v>21220200</v>
          </cell>
          <cell r="D213" t="str">
            <v>I0163</v>
          </cell>
        </row>
        <row r="214">
          <cell r="B214">
            <v>21221000</v>
          </cell>
          <cell r="D214" t="str">
            <v>I0132</v>
          </cell>
          <cell r="G214">
            <v>51841858.329999998</v>
          </cell>
        </row>
        <row r="215">
          <cell r="B215">
            <v>21221000</v>
          </cell>
          <cell r="D215" t="str">
            <v>I0134</v>
          </cell>
          <cell r="G215">
            <v>16014340.609999999</v>
          </cell>
        </row>
        <row r="216">
          <cell r="B216">
            <v>21221000</v>
          </cell>
          <cell r="D216" t="str">
            <v>I0136</v>
          </cell>
          <cell r="G216">
            <v>15220518.98</v>
          </cell>
        </row>
        <row r="217">
          <cell r="B217">
            <v>21221000</v>
          </cell>
          <cell r="D217" t="str">
            <v>I0142</v>
          </cell>
          <cell r="G217">
            <v>62683486.799999997</v>
          </cell>
        </row>
        <row r="218">
          <cell r="B218">
            <v>21221000</v>
          </cell>
          <cell r="D218" t="str">
            <v>I0145</v>
          </cell>
          <cell r="G218">
            <v>15630257.73</v>
          </cell>
        </row>
        <row r="219">
          <cell r="B219">
            <v>21221000</v>
          </cell>
          <cell r="D219" t="str">
            <v>I0150</v>
          </cell>
          <cell r="G219">
            <v>23485599.890000001</v>
          </cell>
        </row>
        <row r="220">
          <cell r="B220">
            <v>21221000</v>
          </cell>
          <cell r="D220" t="str">
            <v>I0153</v>
          </cell>
          <cell r="G220">
            <v>12687872.699999999</v>
          </cell>
        </row>
        <row r="221">
          <cell r="B221">
            <v>21221000</v>
          </cell>
          <cell r="D221" t="str">
            <v>I0157</v>
          </cell>
          <cell r="G221">
            <v>22455545.969999999</v>
          </cell>
        </row>
        <row r="222">
          <cell r="B222">
            <v>21221000</v>
          </cell>
          <cell r="D222" t="str">
            <v>I0161</v>
          </cell>
          <cell r="G222">
            <v>22821636.690000001</v>
          </cell>
        </row>
        <row r="223">
          <cell r="B223">
            <v>21221000</v>
          </cell>
          <cell r="D223" t="str">
            <v>I0166</v>
          </cell>
          <cell r="G223">
            <v>22811950.949999999</v>
          </cell>
        </row>
        <row r="224">
          <cell r="B224">
            <v>21221000</v>
          </cell>
          <cell r="D224" t="str">
            <v>I0187</v>
          </cell>
          <cell r="G224">
            <v>14869584.9</v>
          </cell>
        </row>
        <row r="225">
          <cell r="B225">
            <v>21221000</v>
          </cell>
          <cell r="D225" t="str">
            <v>I0203</v>
          </cell>
          <cell r="G225">
            <v>18681981.239999998</v>
          </cell>
        </row>
        <row r="226">
          <cell r="B226">
            <v>21221000</v>
          </cell>
          <cell r="D226" t="str">
            <v>I0209</v>
          </cell>
          <cell r="G226">
            <v>19124232.48</v>
          </cell>
        </row>
        <row r="227">
          <cell r="B227">
            <v>21221000</v>
          </cell>
          <cell r="D227" t="str">
            <v>I0210</v>
          </cell>
          <cell r="G227">
            <v>7716311.1299999999</v>
          </cell>
        </row>
        <row r="228">
          <cell r="B228">
            <v>21221000</v>
          </cell>
          <cell r="D228" t="str">
            <v>I0240</v>
          </cell>
          <cell r="G228">
            <v>37431959.060000002</v>
          </cell>
        </row>
        <row r="229">
          <cell r="B229">
            <v>21221000</v>
          </cell>
          <cell r="D229" t="str">
            <v>I0241</v>
          </cell>
          <cell r="G229">
            <v>25902230.789999999</v>
          </cell>
        </row>
        <row r="230">
          <cell r="B230">
            <v>21221100</v>
          </cell>
          <cell r="D230" t="str">
            <v>I0138</v>
          </cell>
          <cell r="G230">
            <v>0</v>
          </cell>
        </row>
        <row r="231">
          <cell r="B231">
            <v>21221100</v>
          </cell>
          <cell r="D231" t="str">
            <v>I0144</v>
          </cell>
          <cell r="G231">
            <v>5177561.21</v>
          </cell>
        </row>
        <row r="232">
          <cell r="B232">
            <v>21221100</v>
          </cell>
          <cell r="D232" t="str">
            <v>I0206</v>
          </cell>
          <cell r="G232">
            <v>0</v>
          </cell>
        </row>
        <row r="233">
          <cell r="B233">
            <v>21221100</v>
          </cell>
          <cell r="D233" t="str">
            <v>I0244</v>
          </cell>
          <cell r="G233">
            <v>157694652.83000001</v>
          </cell>
        </row>
        <row r="234">
          <cell r="B234">
            <v>21221100</v>
          </cell>
          <cell r="D234" t="str">
            <v>I0245</v>
          </cell>
          <cell r="G234">
            <v>11147193.02</v>
          </cell>
        </row>
        <row r="235">
          <cell r="B235">
            <v>21221100</v>
          </cell>
          <cell r="D235" t="str">
            <v>I0246</v>
          </cell>
          <cell r="G235">
            <v>40433351.689999998</v>
          </cell>
        </row>
        <row r="236">
          <cell r="B236">
            <v>21221100</v>
          </cell>
          <cell r="D236" t="str">
            <v>I0271</v>
          </cell>
          <cell r="G236">
            <v>18247524.68</v>
          </cell>
        </row>
        <row r="237">
          <cell r="B237">
            <v>21221200</v>
          </cell>
          <cell r="D237" t="str">
            <v>I0148</v>
          </cell>
        </row>
        <row r="238">
          <cell r="B238">
            <v>21221200</v>
          </cell>
          <cell r="D238" t="str">
            <v>I0163</v>
          </cell>
        </row>
        <row r="239">
          <cell r="B239">
            <v>21221300</v>
          </cell>
          <cell r="D239" t="str">
            <v>F0085</v>
          </cell>
          <cell r="G239">
            <v>0.11</v>
          </cell>
        </row>
        <row r="240">
          <cell r="B240">
            <v>21221300</v>
          </cell>
          <cell r="D240" t="str">
            <v>F0101</v>
          </cell>
        </row>
        <row r="241">
          <cell r="B241">
            <v>21221300</v>
          </cell>
          <cell r="D241" t="str">
            <v>F0118</v>
          </cell>
          <cell r="G241">
            <v>140000</v>
          </cell>
        </row>
        <row r="242">
          <cell r="B242">
            <v>21221300</v>
          </cell>
          <cell r="D242" t="str">
            <v>F0127</v>
          </cell>
          <cell r="G242">
            <v>8000</v>
          </cell>
        </row>
        <row r="243">
          <cell r="B243">
            <v>21221300</v>
          </cell>
          <cell r="D243" t="str">
            <v>F0153</v>
          </cell>
        </row>
        <row r="244">
          <cell r="B244">
            <v>21221300</v>
          </cell>
          <cell r="D244" t="str">
            <v>F0164</v>
          </cell>
          <cell r="G244">
            <v>88330.78</v>
          </cell>
        </row>
        <row r="245">
          <cell r="B245">
            <v>21221300</v>
          </cell>
          <cell r="D245" t="str">
            <v>F0168</v>
          </cell>
          <cell r="G245">
            <v>73259.7</v>
          </cell>
        </row>
        <row r="246">
          <cell r="B246">
            <v>21221300</v>
          </cell>
          <cell r="D246" t="str">
            <v>F0172</v>
          </cell>
        </row>
        <row r="247">
          <cell r="B247">
            <v>21221300</v>
          </cell>
          <cell r="D247" t="str">
            <v>F0174</v>
          </cell>
          <cell r="G247">
            <v>728177.07</v>
          </cell>
        </row>
        <row r="248">
          <cell r="B248">
            <v>21221300</v>
          </cell>
          <cell r="D248" t="str">
            <v>F0179</v>
          </cell>
          <cell r="G248">
            <v>89982.53</v>
          </cell>
        </row>
        <row r="249">
          <cell r="B249">
            <v>21221300</v>
          </cell>
          <cell r="D249" t="str">
            <v>F0189</v>
          </cell>
          <cell r="G249">
            <v>326261.3</v>
          </cell>
        </row>
        <row r="250">
          <cell r="B250">
            <v>21221300</v>
          </cell>
          <cell r="D250" t="str">
            <v>F0195</v>
          </cell>
          <cell r="G250">
            <v>198104.75</v>
          </cell>
        </row>
        <row r="251">
          <cell r="B251">
            <v>21221300</v>
          </cell>
          <cell r="D251" t="str">
            <v>F0203</v>
          </cell>
          <cell r="G251">
            <v>3103663.64</v>
          </cell>
        </row>
        <row r="252">
          <cell r="B252">
            <v>21221300</v>
          </cell>
          <cell r="D252" t="str">
            <v>F0204</v>
          </cell>
        </row>
        <row r="253">
          <cell r="B253">
            <v>21221300</v>
          </cell>
          <cell r="D253" t="str">
            <v>F0207</v>
          </cell>
          <cell r="G253">
            <v>1000</v>
          </cell>
        </row>
        <row r="254">
          <cell r="B254">
            <v>21221300</v>
          </cell>
          <cell r="D254" t="str">
            <v>F0216</v>
          </cell>
          <cell r="G254">
            <v>1000</v>
          </cell>
        </row>
        <row r="255">
          <cell r="B255">
            <v>21221300</v>
          </cell>
          <cell r="D255" t="str">
            <v>F0219</v>
          </cell>
          <cell r="G255">
            <v>355070.18</v>
          </cell>
        </row>
        <row r="256">
          <cell r="B256">
            <v>21221300</v>
          </cell>
          <cell r="D256" t="str">
            <v>F0302</v>
          </cell>
          <cell r="G256">
            <v>84005.37</v>
          </cell>
        </row>
        <row r="257">
          <cell r="B257">
            <v>21221300</v>
          </cell>
          <cell r="D257" t="str">
            <v>F0303</v>
          </cell>
          <cell r="G257">
            <v>47273.62</v>
          </cell>
        </row>
        <row r="258">
          <cell r="B258">
            <v>21221300</v>
          </cell>
          <cell r="D258" t="str">
            <v>F0305</v>
          </cell>
          <cell r="G258">
            <v>244459.98</v>
          </cell>
        </row>
        <row r="259">
          <cell r="B259">
            <v>21221300</v>
          </cell>
          <cell r="D259" t="str">
            <v>F0306</v>
          </cell>
          <cell r="G259">
            <v>128688.95</v>
          </cell>
        </row>
        <row r="260">
          <cell r="B260">
            <v>21221800</v>
          </cell>
          <cell r="D260" t="str">
            <v>F0127</v>
          </cell>
          <cell r="G260">
            <v>1059</v>
          </cell>
        </row>
        <row r="261">
          <cell r="B261">
            <v>21221800</v>
          </cell>
          <cell r="D261" t="str">
            <v>F0153</v>
          </cell>
        </row>
        <row r="262">
          <cell r="B262">
            <v>21221800</v>
          </cell>
          <cell r="D262" t="str">
            <v>F0174</v>
          </cell>
          <cell r="G262">
            <v>250684.47</v>
          </cell>
        </row>
        <row r="263">
          <cell r="B263">
            <v>21221800</v>
          </cell>
          <cell r="D263" t="str">
            <v>F0189</v>
          </cell>
          <cell r="G263">
            <v>19715</v>
          </cell>
        </row>
        <row r="264">
          <cell r="B264">
            <v>21221800</v>
          </cell>
          <cell r="D264" t="str">
            <v>F0195</v>
          </cell>
          <cell r="G264">
            <v>95228</v>
          </cell>
        </row>
        <row r="265">
          <cell r="B265">
            <v>21221800</v>
          </cell>
          <cell r="D265" t="str">
            <v>F0203</v>
          </cell>
          <cell r="G265">
            <v>64279.77</v>
          </cell>
        </row>
        <row r="266">
          <cell r="B266">
            <v>21221800</v>
          </cell>
          <cell r="D266" t="str">
            <v>F0204</v>
          </cell>
          <cell r="G266">
            <v>19607.349999999999</v>
          </cell>
        </row>
        <row r="267">
          <cell r="B267">
            <v>22000000</v>
          </cell>
          <cell r="D267" t="str">
            <v>I0818</v>
          </cell>
          <cell r="G267">
            <v>0</v>
          </cell>
        </row>
        <row r="268">
          <cell r="B268">
            <v>22211000</v>
          </cell>
          <cell r="D268" t="str">
            <v>I0132</v>
          </cell>
          <cell r="G268">
            <v>199487.13</v>
          </cell>
        </row>
        <row r="269">
          <cell r="B269">
            <v>22211000</v>
          </cell>
          <cell r="D269" t="str">
            <v>I0136</v>
          </cell>
        </row>
        <row r="270">
          <cell r="B270">
            <v>22211000</v>
          </cell>
          <cell r="D270" t="str">
            <v>I0161</v>
          </cell>
        </row>
        <row r="271">
          <cell r="B271">
            <v>22211000</v>
          </cell>
          <cell r="D271" t="str">
            <v>I0240</v>
          </cell>
          <cell r="G271">
            <v>-7816.19</v>
          </cell>
        </row>
        <row r="272">
          <cell r="B272">
            <v>22211000</v>
          </cell>
          <cell r="D272" t="str">
            <v>I0513</v>
          </cell>
        </row>
        <row r="273">
          <cell r="B273">
            <v>22211000</v>
          </cell>
          <cell r="D273" t="str">
            <v>I0816</v>
          </cell>
          <cell r="G273">
            <v>328827.2</v>
          </cell>
        </row>
        <row r="274">
          <cell r="B274">
            <v>22211000</v>
          </cell>
          <cell r="D274" t="str">
            <v>I0818</v>
          </cell>
          <cell r="G274">
            <v>0</v>
          </cell>
        </row>
        <row r="275">
          <cell r="B275">
            <v>22211100</v>
          </cell>
          <cell r="D275" t="str">
            <v>I0244</v>
          </cell>
          <cell r="G275">
            <v>2664194.71</v>
          </cell>
        </row>
        <row r="276">
          <cell r="B276">
            <v>22211100</v>
          </cell>
          <cell r="D276" t="str">
            <v>I0246</v>
          </cell>
        </row>
        <row r="277">
          <cell r="B277">
            <v>22211100</v>
          </cell>
          <cell r="D277" t="str">
            <v>I0461</v>
          </cell>
        </row>
        <row r="278">
          <cell r="B278">
            <v>22211100</v>
          </cell>
          <cell r="D278" t="str">
            <v>I0519</v>
          </cell>
        </row>
        <row r="279">
          <cell r="B279">
            <v>28102100</v>
          </cell>
          <cell r="D279" t="str">
            <v>F0086</v>
          </cell>
          <cell r="G279">
            <v>-2322.87</v>
          </cell>
        </row>
        <row r="280">
          <cell r="B280">
            <v>28102100</v>
          </cell>
          <cell r="D280" t="str">
            <v>F0102</v>
          </cell>
          <cell r="G280">
            <v>-770.14</v>
          </cell>
        </row>
        <row r="281">
          <cell r="B281">
            <v>28102100</v>
          </cell>
          <cell r="D281" t="str">
            <v>F0109</v>
          </cell>
          <cell r="G281">
            <v>-4939.1899999999996</v>
          </cell>
        </row>
        <row r="282">
          <cell r="B282">
            <v>28102100</v>
          </cell>
          <cell r="D282" t="str">
            <v>F0127</v>
          </cell>
          <cell r="G282">
            <v>-160.62</v>
          </cell>
        </row>
        <row r="283">
          <cell r="B283">
            <v>28102100</v>
          </cell>
          <cell r="D283" t="str">
            <v>F0136</v>
          </cell>
          <cell r="G283">
            <v>-130549.31</v>
          </cell>
        </row>
        <row r="284">
          <cell r="B284">
            <v>28102100</v>
          </cell>
          <cell r="D284" t="str">
            <v>F0168</v>
          </cell>
          <cell r="G284">
            <v>-1033.7</v>
          </cell>
        </row>
        <row r="285">
          <cell r="B285">
            <v>28102100</v>
          </cell>
          <cell r="D285" t="str">
            <v>F0171</v>
          </cell>
          <cell r="G285">
            <v>-9398.58</v>
          </cell>
        </row>
        <row r="286">
          <cell r="B286">
            <v>28102100</v>
          </cell>
          <cell r="D286" t="str">
            <v>F0174</v>
          </cell>
          <cell r="G286">
            <v>-4506.8100000000004</v>
          </cell>
        </row>
        <row r="287">
          <cell r="B287">
            <v>28102100</v>
          </cell>
          <cell r="D287" t="str">
            <v>F0179</v>
          </cell>
          <cell r="G287">
            <v>-62.01</v>
          </cell>
        </row>
        <row r="288">
          <cell r="B288">
            <v>28102100</v>
          </cell>
          <cell r="D288" t="str">
            <v>F0182</v>
          </cell>
          <cell r="G288">
            <v>-2158.4</v>
          </cell>
        </row>
        <row r="289">
          <cell r="B289">
            <v>28102100</v>
          </cell>
          <cell r="D289" t="str">
            <v>F0194</v>
          </cell>
          <cell r="G289">
            <v>-1668.36</v>
          </cell>
        </row>
        <row r="290">
          <cell r="B290">
            <v>28102100</v>
          </cell>
          <cell r="D290" t="str">
            <v>F0195</v>
          </cell>
          <cell r="G290">
            <v>-25276.02</v>
          </cell>
        </row>
        <row r="291">
          <cell r="B291">
            <v>28102100</v>
          </cell>
          <cell r="D291" t="str">
            <v>F0196</v>
          </cell>
          <cell r="G291">
            <v>-5413.81</v>
          </cell>
        </row>
        <row r="292">
          <cell r="B292">
            <v>28102100</v>
          </cell>
          <cell r="D292" t="str">
            <v>F0203</v>
          </cell>
          <cell r="G292">
            <v>-1592.54</v>
          </cell>
        </row>
        <row r="293">
          <cell r="B293">
            <v>28102100</v>
          </cell>
          <cell r="D293" t="str">
            <v>F0204</v>
          </cell>
          <cell r="G293">
            <v>-595.36</v>
          </cell>
        </row>
        <row r="294">
          <cell r="B294">
            <v>28102100</v>
          </cell>
          <cell r="D294" t="str">
            <v>F0212</v>
          </cell>
          <cell r="G294">
            <v>-8305.06</v>
          </cell>
        </row>
        <row r="295">
          <cell r="B295">
            <v>28102100</v>
          </cell>
          <cell r="D295" t="str">
            <v>F0218</v>
          </cell>
          <cell r="G295">
            <v>-12253.97</v>
          </cell>
        </row>
        <row r="296">
          <cell r="B296">
            <v>28102100</v>
          </cell>
          <cell r="D296" t="str">
            <v>F0362</v>
          </cell>
          <cell r="G296">
            <v>-2777.61</v>
          </cell>
        </row>
        <row r="297">
          <cell r="B297">
            <v>28120000</v>
          </cell>
          <cell r="D297" t="str">
            <v>I0132</v>
          </cell>
          <cell r="G297">
            <v>-14398442.23</v>
          </cell>
        </row>
        <row r="298">
          <cell r="B298">
            <v>28120000</v>
          </cell>
          <cell r="D298" t="str">
            <v>I0134</v>
          </cell>
          <cell r="G298">
            <v>-4053618.61</v>
          </cell>
        </row>
        <row r="299">
          <cell r="B299">
            <v>28120000</v>
          </cell>
          <cell r="D299" t="str">
            <v>I0136</v>
          </cell>
          <cell r="G299">
            <v>-4104943.87</v>
          </cell>
        </row>
        <row r="300">
          <cell r="B300">
            <v>28120000</v>
          </cell>
          <cell r="D300" t="str">
            <v>I0142</v>
          </cell>
          <cell r="G300">
            <v>-14024991.4</v>
          </cell>
        </row>
        <row r="301">
          <cell r="B301">
            <v>28120000</v>
          </cell>
          <cell r="D301" t="str">
            <v>I0145</v>
          </cell>
          <cell r="G301">
            <v>-3626610.57</v>
          </cell>
        </row>
        <row r="302">
          <cell r="B302">
            <v>28120000</v>
          </cell>
          <cell r="D302" t="str">
            <v>I0150</v>
          </cell>
          <cell r="G302">
            <v>-4721897.3</v>
          </cell>
        </row>
        <row r="303">
          <cell r="B303">
            <v>28120000</v>
          </cell>
          <cell r="D303" t="str">
            <v>I0153</v>
          </cell>
          <cell r="G303">
            <v>-2726560.43</v>
          </cell>
        </row>
        <row r="304">
          <cell r="B304">
            <v>28120000</v>
          </cell>
          <cell r="D304" t="str">
            <v>I0157</v>
          </cell>
          <cell r="G304">
            <v>-4614098.22</v>
          </cell>
        </row>
        <row r="305">
          <cell r="B305">
            <v>28120000</v>
          </cell>
          <cell r="D305" t="str">
            <v>I0161</v>
          </cell>
          <cell r="G305">
            <v>-4573592.95</v>
          </cell>
        </row>
        <row r="306">
          <cell r="B306">
            <v>28120000</v>
          </cell>
          <cell r="D306" t="str">
            <v>I0166</v>
          </cell>
          <cell r="G306">
            <v>-4501996.6100000003</v>
          </cell>
        </row>
        <row r="307">
          <cell r="B307">
            <v>28120000</v>
          </cell>
          <cell r="D307" t="str">
            <v>I0187</v>
          </cell>
          <cell r="G307">
            <v>-2982199.35</v>
          </cell>
        </row>
        <row r="308">
          <cell r="B308">
            <v>28120000</v>
          </cell>
          <cell r="D308" t="str">
            <v>I0203</v>
          </cell>
          <cell r="G308">
            <v>-3591081.48</v>
          </cell>
        </row>
        <row r="309">
          <cell r="B309">
            <v>28120000</v>
          </cell>
          <cell r="D309" t="str">
            <v>I0209</v>
          </cell>
          <cell r="G309">
            <v>-4756282.13</v>
          </cell>
        </row>
        <row r="310">
          <cell r="B310">
            <v>28120000</v>
          </cell>
          <cell r="D310" t="str">
            <v>I0210</v>
          </cell>
          <cell r="G310">
            <v>-1637817.17</v>
          </cell>
        </row>
        <row r="311">
          <cell r="B311">
            <v>28120000</v>
          </cell>
          <cell r="D311" t="str">
            <v>I0240</v>
          </cell>
          <cell r="G311">
            <v>-9347431.4299999997</v>
          </cell>
        </row>
        <row r="312">
          <cell r="B312">
            <v>28120000</v>
          </cell>
          <cell r="D312" t="str">
            <v>I0241</v>
          </cell>
          <cell r="G312">
            <v>-5495667.4400000004</v>
          </cell>
        </row>
        <row r="313">
          <cell r="B313">
            <v>28120000</v>
          </cell>
          <cell r="D313" t="str">
            <v>I9201</v>
          </cell>
          <cell r="G313">
            <v>2422.0100000000002</v>
          </cell>
        </row>
        <row r="314">
          <cell r="B314">
            <v>28120100</v>
          </cell>
          <cell r="D314" t="str">
            <v>I0138</v>
          </cell>
          <cell r="G314">
            <v>0</v>
          </cell>
        </row>
        <row r="315">
          <cell r="B315">
            <v>28120100</v>
          </cell>
          <cell r="D315" t="str">
            <v>I0144</v>
          </cell>
          <cell r="G315">
            <v>-1266314.1100000001</v>
          </cell>
        </row>
        <row r="316">
          <cell r="B316">
            <v>28120100</v>
          </cell>
          <cell r="D316" t="str">
            <v>I0206</v>
          </cell>
          <cell r="G316">
            <v>0</v>
          </cell>
        </row>
        <row r="317">
          <cell r="B317">
            <v>28120100</v>
          </cell>
          <cell r="D317" t="str">
            <v>I0244</v>
          </cell>
          <cell r="G317">
            <v>-47894212.07</v>
          </cell>
        </row>
        <row r="318">
          <cell r="B318">
            <v>28120100</v>
          </cell>
          <cell r="D318" t="str">
            <v>I0245</v>
          </cell>
          <cell r="G318">
            <v>-2727765.77</v>
          </cell>
        </row>
        <row r="319">
          <cell r="B319">
            <v>28120100</v>
          </cell>
          <cell r="D319" t="str">
            <v>I0246</v>
          </cell>
          <cell r="G319">
            <v>-8912692.6500000004</v>
          </cell>
        </row>
        <row r="320">
          <cell r="B320">
            <v>28120100</v>
          </cell>
          <cell r="D320" t="str">
            <v>I0271</v>
          </cell>
          <cell r="G320">
            <v>-3721490.52</v>
          </cell>
        </row>
        <row r="321">
          <cell r="B321">
            <v>28120100</v>
          </cell>
          <cell r="D321" t="str">
            <v>I9201</v>
          </cell>
          <cell r="G321">
            <v>1969.83</v>
          </cell>
        </row>
        <row r="322">
          <cell r="B322">
            <v>28120200</v>
          </cell>
          <cell r="D322" t="str">
            <v>I0148</v>
          </cell>
        </row>
        <row r="323">
          <cell r="B323">
            <v>28120200</v>
          </cell>
          <cell r="D323" t="str">
            <v>I0163</v>
          </cell>
        </row>
        <row r="324">
          <cell r="B324">
            <v>28120300</v>
          </cell>
          <cell r="D324" t="str">
            <v>F0085</v>
          </cell>
          <cell r="G324">
            <v>-3224.17</v>
          </cell>
        </row>
        <row r="325">
          <cell r="B325">
            <v>28120300</v>
          </cell>
          <cell r="D325" t="str">
            <v>F0101</v>
          </cell>
        </row>
        <row r="326">
          <cell r="B326">
            <v>28120300</v>
          </cell>
          <cell r="D326" t="str">
            <v>F0109</v>
          </cell>
        </row>
        <row r="327">
          <cell r="B327">
            <v>28120300</v>
          </cell>
          <cell r="D327" t="str">
            <v>F0118</v>
          </cell>
          <cell r="G327">
            <v>-128800</v>
          </cell>
        </row>
        <row r="328">
          <cell r="B328">
            <v>28120300</v>
          </cell>
          <cell r="D328" t="str">
            <v>F0127</v>
          </cell>
          <cell r="G328">
            <v>-6400</v>
          </cell>
        </row>
        <row r="329">
          <cell r="B329">
            <v>28120300</v>
          </cell>
          <cell r="D329" t="str">
            <v>F0136</v>
          </cell>
        </row>
        <row r="330">
          <cell r="B330">
            <v>28120300</v>
          </cell>
          <cell r="D330" t="str">
            <v>F0153</v>
          </cell>
        </row>
        <row r="331">
          <cell r="B331">
            <v>28120300</v>
          </cell>
          <cell r="D331" t="str">
            <v>F0164</v>
          </cell>
          <cell r="G331">
            <v>-51155.16</v>
          </cell>
        </row>
        <row r="332">
          <cell r="B332">
            <v>28120300</v>
          </cell>
          <cell r="D332" t="str">
            <v>F0168</v>
          </cell>
          <cell r="G332">
            <v>-73259.7</v>
          </cell>
        </row>
        <row r="333">
          <cell r="B333">
            <v>28120300</v>
          </cell>
          <cell r="D333" t="str">
            <v>F0171</v>
          </cell>
        </row>
        <row r="334">
          <cell r="B334">
            <v>28120300</v>
          </cell>
          <cell r="D334" t="str">
            <v>F0172</v>
          </cell>
        </row>
        <row r="335">
          <cell r="B335">
            <v>28120300</v>
          </cell>
          <cell r="D335" t="str">
            <v>F0174</v>
          </cell>
          <cell r="G335">
            <v>-561613.07999999996</v>
          </cell>
        </row>
        <row r="336">
          <cell r="B336">
            <v>28120300</v>
          </cell>
          <cell r="D336" t="str">
            <v>F0179</v>
          </cell>
          <cell r="G336">
            <v>-83773.009999999995</v>
          </cell>
        </row>
        <row r="337">
          <cell r="B337">
            <v>28120300</v>
          </cell>
          <cell r="D337" t="str">
            <v>F0182</v>
          </cell>
        </row>
        <row r="338">
          <cell r="B338">
            <v>28120300</v>
          </cell>
          <cell r="D338" t="str">
            <v>F0189</v>
          </cell>
          <cell r="G338">
            <v>-265016.90999999997</v>
          </cell>
        </row>
        <row r="339">
          <cell r="B339">
            <v>28120300</v>
          </cell>
          <cell r="D339" t="str">
            <v>F0194</v>
          </cell>
        </row>
        <row r="340">
          <cell r="B340">
            <v>28120300</v>
          </cell>
          <cell r="D340" t="str">
            <v>F0195</v>
          </cell>
          <cell r="G340">
            <v>-188326.33</v>
          </cell>
        </row>
        <row r="341">
          <cell r="B341">
            <v>28120300</v>
          </cell>
          <cell r="D341" t="str">
            <v>F0196</v>
          </cell>
        </row>
        <row r="342">
          <cell r="B342">
            <v>28120300</v>
          </cell>
          <cell r="D342" t="str">
            <v>F0203</v>
          </cell>
          <cell r="G342">
            <v>-1701929.29</v>
          </cell>
        </row>
        <row r="343">
          <cell r="B343">
            <v>28120300</v>
          </cell>
          <cell r="D343" t="str">
            <v>F0204</v>
          </cell>
        </row>
        <row r="344">
          <cell r="B344">
            <v>28120300</v>
          </cell>
          <cell r="D344" t="str">
            <v>F0207</v>
          </cell>
          <cell r="G344">
            <v>-1000</v>
          </cell>
        </row>
        <row r="345">
          <cell r="B345">
            <v>28120300</v>
          </cell>
          <cell r="D345" t="str">
            <v>F0212</v>
          </cell>
        </row>
        <row r="346">
          <cell r="B346">
            <v>28120300</v>
          </cell>
          <cell r="D346" t="str">
            <v>F0216</v>
          </cell>
          <cell r="G346">
            <v>-1000</v>
          </cell>
        </row>
        <row r="347">
          <cell r="B347">
            <v>28120300</v>
          </cell>
          <cell r="D347" t="str">
            <v>F0218</v>
          </cell>
        </row>
        <row r="348">
          <cell r="B348">
            <v>28120300</v>
          </cell>
          <cell r="D348" t="str">
            <v>F0219</v>
          </cell>
          <cell r="G348">
            <v>-327478.28999999998</v>
          </cell>
        </row>
        <row r="349">
          <cell r="B349">
            <v>28120300</v>
          </cell>
          <cell r="D349" t="str">
            <v>F0302</v>
          </cell>
          <cell r="G349">
            <v>-79678.039999999994</v>
          </cell>
        </row>
        <row r="350">
          <cell r="B350">
            <v>28120300</v>
          </cell>
          <cell r="D350" t="str">
            <v>F0303</v>
          </cell>
          <cell r="G350">
            <v>-47273.62</v>
          </cell>
        </row>
        <row r="351">
          <cell r="B351">
            <v>28120300</v>
          </cell>
          <cell r="D351" t="str">
            <v>F0305</v>
          </cell>
          <cell r="G351">
            <v>-198696.04</v>
          </cell>
        </row>
        <row r="352">
          <cell r="B352">
            <v>28120300</v>
          </cell>
          <cell r="D352" t="str">
            <v>F0306</v>
          </cell>
          <cell r="G352">
            <v>-125936.72</v>
          </cell>
        </row>
        <row r="353">
          <cell r="B353">
            <v>28120600</v>
          </cell>
          <cell r="D353" t="str">
            <v>F0127</v>
          </cell>
          <cell r="G353">
            <v>-741.3</v>
          </cell>
        </row>
        <row r="354">
          <cell r="B354">
            <v>28120600</v>
          </cell>
          <cell r="D354" t="str">
            <v>F0153</v>
          </cell>
        </row>
        <row r="355">
          <cell r="B355">
            <v>28120600</v>
          </cell>
          <cell r="D355" t="str">
            <v>F0174</v>
          </cell>
          <cell r="G355">
            <v>-152024.57</v>
          </cell>
        </row>
        <row r="356">
          <cell r="B356">
            <v>28120600</v>
          </cell>
          <cell r="D356" t="str">
            <v>F0189</v>
          </cell>
          <cell r="G356">
            <v>-4553.3500000000004</v>
          </cell>
        </row>
        <row r="357">
          <cell r="B357">
            <v>28120600</v>
          </cell>
          <cell r="D357" t="str">
            <v>F0195</v>
          </cell>
          <cell r="G357">
            <v>-45470.400000000001</v>
          </cell>
        </row>
        <row r="358">
          <cell r="B358">
            <v>28120600</v>
          </cell>
          <cell r="D358" t="str">
            <v>F0203</v>
          </cell>
          <cell r="G358">
            <v>-42132.28</v>
          </cell>
        </row>
        <row r="359">
          <cell r="B359">
            <v>28120600</v>
          </cell>
          <cell r="D359" t="str">
            <v>F0204</v>
          </cell>
          <cell r="G359">
            <v>-6604.31</v>
          </cell>
        </row>
        <row r="360">
          <cell r="B360">
            <v>28120600</v>
          </cell>
          <cell r="D360" t="str">
            <v>I9201</v>
          </cell>
          <cell r="G360">
            <v>3732.5</v>
          </cell>
        </row>
        <row r="361">
          <cell r="B361">
            <v>28121000</v>
          </cell>
          <cell r="D361" t="str">
            <v>I0214</v>
          </cell>
          <cell r="G361">
            <v>-10565887.609999999</v>
          </cell>
        </row>
        <row r="362">
          <cell r="B362">
            <v>28121000</v>
          </cell>
          <cell r="D362" t="str">
            <v>I0221</v>
          </cell>
          <cell r="G362">
            <v>-9379008.6400000006</v>
          </cell>
        </row>
        <row r="363">
          <cell r="B363">
            <v>28121000</v>
          </cell>
          <cell r="D363" t="str">
            <v>I0227</v>
          </cell>
          <cell r="G363">
            <v>-4868897.68</v>
          </cell>
        </row>
        <row r="364">
          <cell r="B364">
            <v>28121000</v>
          </cell>
          <cell r="D364" t="str">
            <v>I0259</v>
          </cell>
          <cell r="G364">
            <v>-24652774.100000001</v>
          </cell>
        </row>
        <row r="365">
          <cell r="B365">
            <v>28121000</v>
          </cell>
          <cell r="D365" t="str">
            <v>I0294</v>
          </cell>
          <cell r="G365">
            <v>-17286962.969999999</v>
          </cell>
        </row>
        <row r="366">
          <cell r="B366">
            <v>28121000</v>
          </cell>
          <cell r="D366" t="str">
            <v>I0513</v>
          </cell>
          <cell r="G366">
            <v>-690884.38</v>
          </cell>
        </row>
        <row r="367">
          <cell r="B367">
            <v>28121000</v>
          </cell>
          <cell r="D367" t="str">
            <v>I0802</v>
          </cell>
          <cell r="G367">
            <v>-2995951.3</v>
          </cell>
        </row>
        <row r="368">
          <cell r="B368">
            <v>28121000</v>
          </cell>
          <cell r="D368" t="str">
            <v>I0805</v>
          </cell>
          <cell r="G368">
            <v>-2184480</v>
          </cell>
        </row>
        <row r="369">
          <cell r="B369">
            <v>28121000</v>
          </cell>
          <cell r="D369" t="str">
            <v>I0806</v>
          </cell>
          <cell r="G369">
            <v>-2279035.38</v>
          </cell>
        </row>
        <row r="370">
          <cell r="B370">
            <v>28121000</v>
          </cell>
          <cell r="D370" t="str">
            <v>I0807</v>
          </cell>
          <cell r="G370">
            <v>-2961555.08</v>
          </cell>
        </row>
        <row r="371">
          <cell r="B371">
            <v>28121000</v>
          </cell>
          <cell r="D371" t="str">
            <v>I0809</v>
          </cell>
          <cell r="G371">
            <v>-2129215.4</v>
          </cell>
        </row>
        <row r="372">
          <cell r="B372">
            <v>28121000</v>
          </cell>
          <cell r="D372" t="str">
            <v>I0811</v>
          </cell>
          <cell r="G372">
            <v>-2172090.02</v>
          </cell>
        </row>
        <row r="373">
          <cell r="B373">
            <v>28121000</v>
          </cell>
          <cell r="D373" t="str">
            <v>I0812</v>
          </cell>
          <cell r="G373">
            <v>-608460.27</v>
          </cell>
        </row>
        <row r="374">
          <cell r="B374">
            <v>28121000</v>
          </cell>
          <cell r="D374" t="str">
            <v>I0813</v>
          </cell>
          <cell r="G374">
            <v>-1937342.47</v>
          </cell>
        </row>
        <row r="375">
          <cell r="B375">
            <v>28121000</v>
          </cell>
          <cell r="D375" t="str">
            <v>I0815</v>
          </cell>
          <cell r="G375">
            <v>-1290180.82</v>
          </cell>
        </row>
        <row r="376">
          <cell r="B376">
            <v>28121000</v>
          </cell>
          <cell r="D376" t="str">
            <v>I0816</v>
          </cell>
          <cell r="G376">
            <v>-3014465.75</v>
          </cell>
        </row>
        <row r="377">
          <cell r="B377">
            <v>28121000</v>
          </cell>
          <cell r="D377" t="str">
            <v>I0818</v>
          </cell>
          <cell r="G377">
            <v>-680306.3</v>
          </cell>
        </row>
        <row r="378">
          <cell r="B378">
            <v>28121000</v>
          </cell>
          <cell r="D378" t="str">
            <v>I0829</v>
          </cell>
          <cell r="G378">
            <v>-1604680.9</v>
          </cell>
        </row>
        <row r="379">
          <cell r="B379">
            <v>28121000</v>
          </cell>
          <cell r="D379" t="str">
            <v>I0831</v>
          </cell>
          <cell r="G379">
            <v>-900756.16</v>
          </cell>
        </row>
        <row r="380">
          <cell r="B380">
            <v>28121000</v>
          </cell>
          <cell r="D380" t="str">
            <v>I0832</v>
          </cell>
          <cell r="G380">
            <v>-332474.92</v>
          </cell>
        </row>
        <row r="381">
          <cell r="B381">
            <v>28121000</v>
          </cell>
          <cell r="D381" t="str">
            <v>I0833</v>
          </cell>
          <cell r="G381">
            <v>-312709.81</v>
          </cell>
        </row>
        <row r="382">
          <cell r="B382">
            <v>28121100</v>
          </cell>
          <cell r="D382" t="str">
            <v>I0244</v>
          </cell>
          <cell r="G382">
            <v>-6445028.7999999998</v>
          </cell>
        </row>
        <row r="383">
          <cell r="B383">
            <v>28121100</v>
          </cell>
          <cell r="D383" t="str">
            <v>I0246</v>
          </cell>
          <cell r="G383">
            <v>-89868.49</v>
          </cell>
        </row>
        <row r="384">
          <cell r="B384">
            <v>28121100</v>
          </cell>
          <cell r="D384" t="str">
            <v>I0400</v>
          </cell>
          <cell r="G384">
            <v>-1523259.55</v>
          </cell>
        </row>
        <row r="385">
          <cell r="B385">
            <v>28121100</v>
          </cell>
          <cell r="D385" t="str">
            <v>I0402</v>
          </cell>
          <cell r="G385">
            <v>-10479556.140000001</v>
          </cell>
        </row>
        <row r="386">
          <cell r="B386">
            <v>28121100</v>
          </cell>
          <cell r="D386" t="str">
            <v>I0409</v>
          </cell>
        </row>
        <row r="387">
          <cell r="B387">
            <v>28121100</v>
          </cell>
          <cell r="D387" t="str">
            <v>I0427</v>
          </cell>
          <cell r="G387">
            <v>-3045000</v>
          </cell>
        </row>
        <row r="388">
          <cell r="B388">
            <v>28121100</v>
          </cell>
          <cell r="D388" t="str">
            <v>I0428</v>
          </cell>
          <cell r="G388">
            <v>-20316362.649999999</v>
          </cell>
        </row>
        <row r="389">
          <cell r="B389">
            <v>28121100</v>
          </cell>
          <cell r="D389" t="str">
            <v>I0447</v>
          </cell>
          <cell r="G389">
            <v>-19828163.77</v>
          </cell>
        </row>
        <row r="390">
          <cell r="B390">
            <v>28121100</v>
          </cell>
          <cell r="D390" t="str">
            <v>I0461</v>
          </cell>
          <cell r="G390">
            <v>-19514963.93</v>
          </cell>
        </row>
        <row r="391">
          <cell r="B391">
            <v>28121100</v>
          </cell>
          <cell r="D391" t="str">
            <v>I0466</v>
          </cell>
          <cell r="G391">
            <v>-28998202.100000001</v>
          </cell>
        </row>
        <row r="392">
          <cell r="B392">
            <v>28121100</v>
          </cell>
          <cell r="D392" t="str">
            <v>I0519</v>
          </cell>
          <cell r="G392">
            <v>-10449797.27</v>
          </cell>
        </row>
        <row r="393">
          <cell r="B393">
            <v>28121100</v>
          </cell>
          <cell r="D393" t="str">
            <v>I0814</v>
          </cell>
          <cell r="G393">
            <v>-1362397.81</v>
          </cell>
        </row>
        <row r="394">
          <cell r="B394">
            <v>28121100</v>
          </cell>
          <cell r="D394" t="str">
            <v>I9201</v>
          </cell>
          <cell r="G394">
            <v>786.99</v>
          </cell>
        </row>
        <row r="395">
          <cell r="B395">
            <v>28121400</v>
          </cell>
          <cell r="D395" t="str">
            <v>I0132</v>
          </cell>
          <cell r="G395">
            <v>-850920.64</v>
          </cell>
        </row>
        <row r="396">
          <cell r="B396">
            <v>28121400</v>
          </cell>
          <cell r="D396" t="str">
            <v>I0134</v>
          </cell>
          <cell r="G396">
            <v>-439159.19</v>
          </cell>
        </row>
        <row r="397">
          <cell r="B397">
            <v>28121400</v>
          </cell>
          <cell r="D397" t="str">
            <v>I0136</v>
          </cell>
          <cell r="G397">
            <v>-883554.63</v>
          </cell>
        </row>
        <row r="398">
          <cell r="B398">
            <v>28121400</v>
          </cell>
          <cell r="D398" t="str">
            <v>I0142</v>
          </cell>
          <cell r="G398">
            <v>-435781.77</v>
          </cell>
        </row>
        <row r="399">
          <cell r="B399">
            <v>28121400</v>
          </cell>
          <cell r="D399" t="str">
            <v>I0150</v>
          </cell>
          <cell r="G399">
            <v>-210599.14</v>
          </cell>
        </row>
        <row r="400">
          <cell r="B400">
            <v>28121400</v>
          </cell>
          <cell r="D400" t="str">
            <v>I0153</v>
          </cell>
          <cell r="G400">
            <v>-18659.46</v>
          </cell>
        </row>
        <row r="401">
          <cell r="B401">
            <v>28121400</v>
          </cell>
          <cell r="D401" t="str">
            <v>I0157</v>
          </cell>
          <cell r="G401">
            <v>-153196.76</v>
          </cell>
        </row>
        <row r="402">
          <cell r="B402">
            <v>28121400</v>
          </cell>
          <cell r="D402" t="str">
            <v>I0161</v>
          </cell>
          <cell r="G402">
            <v>-917255.95</v>
          </cell>
        </row>
        <row r="403">
          <cell r="B403">
            <v>28121400</v>
          </cell>
          <cell r="D403" t="str">
            <v>I0166</v>
          </cell>
          <cell r="G403">
            <v>-15629.11</v>
          </cell>
        </row>
        <row r="404">
          <cell r="B404">
            <v>28121400</v>
          </cell>
          <cell r="D404" t="str">
            <v>I0187</v>
          </cell>
          <cell r="G404">
            <v>-46147.040000000001</v>
          </cell>
        </row>
        <row r="405">
          <cell r="B405">
            <v>28121400</v>
          </cell>
          <cell r="D405" t="str">
            <v>I0203</v>
          </cell>
          <cell r="G405">
            <v>-1780357.41</v>
          </cell>
        </row>
        <row r="406">
          <cell r="B406">
            <v>28121400</v>
          </cell>
          <cell r="D406" t="str">
            <v>I0209</v>
          </cell>
          <cell r="G406">
            <v>-2265159.14</v>
          </cell>
        </row>
        <row r="407">
          <cell r="B407">
            <v>28121400</v>
          </cell>
          <cell r="D407" t="str">
            <v>I0214</v>
          </cell>
          <cell r="G407">
            <v>-612910.37</v>
          </cell>
        </row>
        <row r="408">
          <cell r="B408">
            <v>28121400</v>
          </cell>
          <cell r="D408" t="str">
            <v>I0221</v>
          </cell>
          <cell r="G408">
            <v>-434464.05</v>
          </cell>
        </row>
        <row r="409">
          <cell r="B409">
            <v>28121400</v>
          </cell>
          <cell r="D409" t="str">
            <v>I0227</v>
          </cell>
          <cell r="G409">
            <v>-94014.7</v>
          </cell>
        </row>
        <row r="410">
          <cell r="B410">
            <v>28121400</v>
          </cell>
          <cell r="D410" t="str">
            <v>I0240</v>
          </cell>
          <cell r="G410">
            <v>-1858322.3</v>
          </cell>
        </row>
        <row r="411">
          <cell r="B411">
            <v>28121400</v>
          </cell>
          <cell r="D411" t="str">
            <v>I0241</v>
          </cell>
          <cell r="G411">
            <v>-299008.28999999998</v>
          </cell>
        </row>
        <row r="412">
          <cell r="B412">
            <v>28121400</v>
          </cell>
          <cell r="D412" t="str">
            <v>I0259</v>
          </cell>
          <cell r="G412">
            <v>-1245097.8500000001</v>
          </cell>
        </row>
        <row r="413">
          <cell r="B413">
            <v>28121400</v>
          </cell>
          <cell r="D413" t="str">
            <v>I0294</v>
          </cell>
          <cell r="G413">
            <v>-535329.88</v>
          </cell>
        </row>
        <row r="414">
          <cell r="B414">
            <v>28121400</v>
          </cell>
          <cell r="D414" t="str">
            <v>I0428</v>
          </cell>
          <cell r="G414">
            <v>-54236.77</v>
          </cell>
        </row>
        <row r="415">
          <cell r="B415">
            <v>28121400</v>
          </cell>
          <cell r="D415" t="str">
            <v>I0802</v>
          </cell>
          <cell r="G415">
            <v>-10170.450000000001</v>
          </cell>
        </row>
        <row r="416">
          <cell r="B416">
            <v>28121400</v>
          </cell>
          <cell r="D416" t="str">
            <v>I0805</v>
          </cell>
          <cell r="G416">
            <v>-4863.22</v>
          </cell>
        </row>
        <row r="417">
          <cell r="B417">
            <v>28121400</v>
          </cell>
          <cell r="D417" t="str">
            <v>I0811</v>
          </cell>
          <cell r="G417">
            <v>-1725.95</v>
          </cell>
        </row>
        <row r="418">
          <cell r="B418">
            <v>28121400</v>
          </cell>
          <cell r="D418" t="str">
            <v>I0812</v>
          </cell>
          <cell r="G418">
            <v>-1818406.86</v>
          </cell>
        </row>
        <row r="419">
          <cell r="B419">
            <v>28121400</v>
          </cell>
          <cell r="D419" t="str">
            <v>I0813</v>
          </cell>
          <cell r="G419">
            <v>-3875.63</v>
          </cell>
        </row>
        <row r="420">
          <cell r="B420">
            <v>28121400</v>
          </cell>
          <cell r="D420" t="str">
            <v>I0815</v>
          </cell>
          <cell r="G420">
            <v>-14665.19</v>
          </cell>
        </row>
        <row r="421">
          <cell r="B421">
            <v>28121400</v>
          </cell>
          <cell r="D421" t="str">
            <v>I0818</v>
          </cell>
          <cell r="G421">
            <v>0</v>
          </cell>
        </row>
        <row r="422">
          <cell r="B422">
            <v>28121400</v>
          </cell>
          <cell r="D422" t="str">
            <v>I9201</v>
          </cell>
          <cell r="G422">
            <v>289.06</v>
          </cell>
        </row>
        <row r="423">
          <cell r="B423">
            <v>28121500</v>
          </cell>
          <cell r="D423" t="str">
            <v>I0138</v>
          </cell>
          <cell r="G423">
            <v>0</v>
          </cell>
        </row>
        <row r="424">
          <cell r="B424">
            <v>28121500</v>
          </cell>
          <cell r="D424" t="str">
            <v>I0144</v>
          </cell>
          <cell r="G424">
            <v>-74003.570000000007</v>
          </cell>
        </row>
        <row r="425">
          <cell r="B425">
            <v>28121500</v>
          </cell>
          <cell r="D425" t="str">
            <v>I0206</v>
          </cell>
          <cell r="G425">
            <v>0</v>
          </cell>
        </row>
        <row r="426">
          <cell r="B426">
            <v>28121500</v>
          </cell>
          <cell r="D426" t="str">
            <v>I0244</v>
          </cell>
          <cell r="G426">
            <v>-196180475.46000001</v>
          </cell>
        </row>
        <row r="427">
          <cell r="B427">
            <v>28121500</v>
          </cell>
          <cell r="D427" t="str">
            <v>I0245</v>
          </cell>
          <cell r="G427">
            <v>-2752457.65</v>
          </cell>
        </row>
        <row r="428">
          <cell r="B428">
            <v>28121500</v>
          </cell>
          <cell r="D428" t="str">
            <v>I0246</v>
          </cell>
          <cell r="G428">
            <v>-3065837.37</v>
          </cell>
        </row>
        <row r="429">
          <cell r="B429">
            <v>28121500</v>
          </cell>
          <cell r="D429" t="str">
            <v>I0402</v>
          </cell>
          <cell r="G429">
            <v>-1705232.95</v>
          </cell>
        </row>
        <row r="430">
          <cell r="B430">
            <v>28121500</v>
          </cell>
          <cell r="D430" t="str">
            <v>I0428</v>
          </cell>
          <cell r="G430">
            <v>-3666332.35</v>
          </cell>
        </row>
        <row r="431">
          <cell r="B431">
            <v>28121500</v>
          </cell>
          <cell r="D431" t="str">
            <v>I0447</v>
          </cell>
          <cell r="G431">
            <v>-24215.360000000001</v>
          </cell>
        </row>
        <row r="432">
          <cell r="B432">
            <v>28121500</v>
          </cell>
          <cell r="D432" t="str">
            <v>I0461</v>
          </cell>
          <cell r="G432">
            <v>-4780252.71</v>
          </cell>
        </row>
        <row r="433">
          <cell r="B433">
            <v>28121500</v>
          </cell>
          <cell r="D433" t="str">
            <v>I0466</v>
          </cell>
          <cell r="G433">
            <v>-1657871.82</v>
          </cell>
        </row>
        <row r="434">
          <cell r="B434">
            <v>28121500</v>
          </cell>
          <cell r="D434" t="str">
            <v>I9201</v>
          </cell>
          <cell r="G434">
            <v>11491.15</v>
          </cell>
        </row>
        <row r="435">
          <cell r="B435">
            <v>28122000</v>
          </cell>
          <cell r="D435" t="str">
            <v>I0132</v>
          </cell>
          <cell r="G435">
            <v>-8525994.1999999993</v>
          </cell>
        </row>
        <row r="436">
          <cell r="B436">
            <v>28122000</v>
          </cell>
          <cell r="D436" t="str">
            <v>I0134</v>
          </cell>
          <cell r="G436">
            <v>-1604444.7</v>
          </cell>
        </row>
        <row r="437">
          <cell r="B437">
            <v>28122000</v>
          </cell>
          <cell r="D437" t="str">
            <v>I0136</v>
          </cell>
          <cell r="G437">
            <v>-1129355.1499999999</v>
          </cell>
        </row>
        <row r="438">
          <cell r="B438">
            <v>28122000</v>
          </cell>
          <cell r="D438" t="str">
            <v>I0142</v>
          </cell>
          <cell r="G438">
            <v>-3183011.68</v>
          </cell>
        </row>
        <row r="439">
          <cell r="B439">
            <v>28122000</v>
          </cell>
          <cell r="D439" t="str">
            <v>I0145</v>
          </cell>
          <cell r="G439">
            <v>-182374.03</v>
          </cell>
        </row>
        <row r="440">
          <cell r="B440">
            <v>28122000</v>
          </cell>
          <cell r="D440" t="str">
            <v>I0150</v>
          </cell>
          <cell r="G440">
            <v>-1716275.35</v>
          </cell>
        </row>
        <row r="441">
          <cell r="B441">
            <v>28122000</v>
          </cell>
          <cell r="D441" t="str">
            <v>I0153</v>
          </cell>
          <cell r="G441">
            <v>-1320185.45</v>
          </cell>
        </row>
        <row r="442">
          <cell r="B442">
            <v>28122000</v>
          </cell>
          <cell r="D442" t="str">
            <v>I0157</v>
          </cell>
          <cell r="G442">
            <v>-1131843.6100000001</v>
          </cell>
        </row>
        <row r="443">
          <cell r="B443">
            <v>28122000</v>
          </cell>
          <cell r="D443" t="str">
            <v>I0161</v>
          </cell>
          <cell r="G443">
            <v>-548681.01</v>
          </cell>
        </row>
        <row r="444">
          <cell r="B444">
            <v>28122000</v>
          </cell>
          <cell r="D444" t="str">
            <v>I0166</v>
          </cell>
          <cell r="G444">
            <v>-851865.96</v>
          </cell>
        </row>
        <row r="445">
          <cell r="B445">
            <v>28122000</v>
          </cell>
          <cell r="D445" t="str">
            <v>I0187</v>
          </cell>
          <cell r="G445">
            <v>-600054.19999999995</v>
          </cell>
        </row>
        <row r="446">
          <cell r="B446">
            <v>28122000</v>
          </cell>
          <cell r="D446" t="str">
            <v>I0203</v>
          </cell>
          <cell r="G446">
            <v>-1779768.47</v>
          </cell>
        </row>
        <row r="447">
          <cell r="B447">
            <v>28122000</v>
          </cell>
          <cell r="D447" t="str">
            <v>I0209</v>
          </cell>
          <cell r="G447">
            <v>-1984526.11</v>
          </cell>
        </row>
        <row r="448">
          <cell r="B448">
            <v>28122000</v>
          </cell>
          <cell r="D448" t="str">
            <v>I0210</v>
          </cell>
          <cell r="G448">
            <v>-163125.82999999999</v>
          </cell>
        </row>
        <row r="449">
          <cell r="B449">
            <v>28122000</v>
          </cell>
          <cell r="D449" t="str">
            <v>I0240</v>
          </cell>
          <cell r="G449">
            <v>-1670516.53</v>
          </cell>
        </row>
        <row r="450">
          <cell r="B450">
            <v>28122000</v>
          </cell>
          <cell r="D450" t="str">
            <v>I0241</v>
          </cell>
          <cell r="G450">
            <v>-859923.61</v>
          </cell>
        </row>
        <row r="451">
          <cell r="B451">
            <v>28122000</v>
          </cell>
          <cell r="D451" t="str">
            <v>I9201</v>
          </cell>
          <cell r="G451">
            <v>264.67</v>
          </cell>
        </row>
        <row r="452">
          <cell r="B452">
            <v>28122100</v>
          </cell>
          <cell r="D452" t="str">
            <v>I0138</v>
          </cell>
          <cell r="G452">
            <v>0</v>
          </cell>
        </row>
        <row r="453">
          <cell r="B453">
            <v>28122100</v>
          </cell>
          <cell r="D453" t="str">
            <v>I0144</v>
          </cell>
          <cell r="G453">
            <v>-154281.19</v>
          </cell>
        </row>
        <row r="454">
          <cell r="B454">
            <v>28122100</v>
          </cell>
          <cell r="D454" t="str">
            <v>I0244</v>
          </cell>
          <cell r="G454">
            <v>-970239.29</v>
          </cell>
        </row>
        <row r="455">
          <cell r="B455">
            <v>28122100</v>
          </cell>
          <cell r="D455" t="str">
            <v>I0246</v>
          </cell>
          <cell r="G455">
            <v>-2536998.7000000002</v>
          </cell>
        </row>
        <row r="456">
          <cell r="B456">
            <v>28122100</v>
          </cell>
          <cell r="D456" t="str">
            <v>I0271</v>
          </cell>
          <cell r="G456">
            <v>-2397731.83</v>
          </cell>
        </row>
        <row r="457">
          <cell r="B457">
            <v>28122100</v>
          </cell>
          <cell r="D457" t="str">
            <v>I9201</v>
          </cell>
          <cell r="G457">
            <v>39.79</v>
          </cell>
        </row>
        <row r="458">
          <cell r="B458">
            <v>28122200</v>
          </cell>
          <cell r="D458" t="str">
            <v>I0148</v>
          </cell>
        </row>
        <row r="459">
          <cell r="B459">
            <v>28122200</v>
          </cell>
          <cell r="D459" t="str">
            <v>I0163</v>
          </cell>
        </row>
        <row r="460">
          <cell r="B460">
            <v>29100000</v>
          </cell>
          <cell r="D460" t="str">
            <v>I0400</v>
          </cell>
          <cell r="G460">
            <v>0</v>
          </cell>
        </row>
        <row r="461">
          <cell r="B461">
            <v>29100000</v>
          </cell>
          <cell r="D461" t="str">
            <v>I0427</v>
          </cell>
        </row>
        <row r="462">
          <cell r="B462">
            <v>29100000</v>
          </cell>
          <cell r="D462" t="str">
            <v>I0428</v>
          </cell>
        </row>
        <row r="463">
          <cell r="B463">
            <v>29100000</v>
          </cell>
          <cell r="D463" t="str">
            <v>I0430</v>
          </cell>
          <cell r="G463">
            <v>1.02</v>
          </cell>
        </row>
        <row r="464">
          <cell r="B464">
            <v>29100000</v>
          </cell>
          <cell r="D464" t="str">
            <v>I0447</v>
          </cell>
          <cell r="G464">
            <v>-11132792.380000001</v>
          </cell>
        </row>
        <row r="465">
          <cell r="B465">
            <v>29100000</v>
          </cell>
          <cell r="D465" t="str">
            <v>I0461</v>
          </cell>
          <cell r="G465">
            <v>-194272821.81</v>
          </cell>
        </row>
        <row r="466">
          <cell r="B466">
            <v>29100000</v>
          </cell>
          <cell r="D466" t="str">
            <v>I0466</v>
          </cell>
          <cell r="G466">
            <v>-14082571.279999999</v>
          </cell>
        </row>
        <row r="467">
          <cell r="B467">
            <v>29100000</v>
          </cell>
          <cell r="D467" t="str">
            <v>I0812</v>
          </cell>
          <cell r="G467">
            <v>-2124178.0499999998</v>
          </cell>
        </row>
        <row r="468">
          <cell r="B468">
            <v>55210200</v>
          </cell>
          <cell r="D468" t="str">
            <v>F0085</v>
          </cell>
          <cell r="G468">
            <v>4272078.67</v>
          </cell>
        </row>
        <row r="469">
          <cell r="B469">
            <v>55210200</v>
          </cell>
          <cell r="D469" t="str">
            <v>F0086</v>
          </cell>
          <cell r="G469">
            <v>133884.5</v>
          </cell>
        </row>
        <row r="470">
          <cell r="B470">
            <v>55210200</v>
          </cell>
          <cell r="D470" t="str">
            <v>F0097</v>
          </cell>
          <cell r="G470">
            <v>6256373.29</v>
          </cell>
        </row>
        <row r="471">
          <cell r="B471">
            <v>55210200</v>
          </cell>
          <cell r="D471" t="str">
            <v>F0098</v>
          </cell>
          <cell r="G471">
            <v>608009.79</v>
          </cell>
        </row>
        <row r="472">
          <cell r="B472">
            <v>55210200</v>
          </cell>
          <cell r="D472" t="str">
            <v>F0101</v>
          </cell>
        </row>
        <row r="473">
          <cell r="B473">
            <v>55210200</v>
          </cell>
          <cell r="D473" t="str">
            <v>F0102</v>
          </cell>
          <cell r="G473">
            <v>1826591.41</v>
          </cell>
        </row>
        <row r="474">
          <cell r="B474">
            <v>55210200</v>
          </cell>
          <cell r="D474" t="str">
            <v>F0103</v>
          </cell>
          <cell r="G474">
            <v>4159655.8</v>
          </cell>
        </row>
        <row r="475">
          <cell r="B475">
            <v>55210200</v>
          </cell>
          <cell r="D475" t="str">
            <v>F0106</v>
          </cell>
          <cell r="G475">
            <v>2590002.7999999998</v>
          </cell>
        </row>
        <row r="476">
          <cell r="B476">
            <v>55210200</v>
          </cell>
          <cell r="D476" t="str">
            <v>F0109</v>
          </cell>
          <cell r="G476">
            <v>3604334.73</v>
          </cell>
        </row>
        <row r="477">
          <cell r="B477">
            <v>55210200</v>
          </cell>
          <cell r="D477" t="str">
            <v>F0111</v>
          </cell>
          <cell r="G477">
            <v>3378980.83</v>
          </cell>
        </row>
        <row r="478">
          <cell r="B478">
            <v>55210200</v>
          </cell>
          <cell r="D478" t="str">
            <v>F0114</v>
          </cell>
          <cell r="G478">
            <v>4107148.13</v>
          </cell>
        </row>
        <row r="479">
          <cell r="B479">
            <v>55210200</v>
          </cell>
          <cell r="D479" t="str">
            <v>F0115</v>
          </cell>
        </row>
        <row r="480">
          <cell r="B480">
            <v>55210200</v>
          </cell>
          <cell r="D480" t="str">
            <v>F0118</v>
          </cell>
          <cell r="G480">
            <v>1634907.54</v>
          </cell>
        </row>
        <row r="481">
          <cell r="B481">
            <v>55210200</v>
          </cell>
          <cell r="D481" t="str">
            <v>F0120</v>
          </cell>
          <cell r="G481">
            <v>1097820.98</v>
          </cell>
        </row>
        <row r="482">
          <cell r="B482">
            <v>55210200</v>
          </cell>
          <cell r="D482" t="str">
            <v>F0125</v>
          </cell>
          <cell r="G482">
            <v>834834.61</v>
          </cell>
        </row>
        <row r="483">
          <cell r="B483">
            <v>55210200</v>
          </cell>
          <cell r="D483" t="str">
            <v>F0127</v>
          </cell>
          <cell r="G483">
            <v>11072867.35</v>
          </cell>
        </row>
        <row r="484">
          <cell r="B484">
            <v>55210200</v>
          </cell>
          <cell r="D484" t="str">
            <v>F0128</v>
          </cell>
          <cell r="G484">
            <v>1680993.73</v>
          </cell>
        </row>
        <row r="485">
          <cell r="B485">
            <v>55210200</v>
          </cell>
          <cell r="D485" t="str">
            <v>F0129</v>
          </cell>
          <cell r="G485">
            <v>1690235.7</v>
          </cell>
        </row>
        <row r="486">
          <cell r="B486">
            <v>55210200</v>
          </cell>
          <cell r="D486" t="str">
            <v>F0134</v>
          </cell>
          <cell r="G486">
            <v>471597.04</v>
          </cell>
        </row>
        <row r="487">
          <cell r="B487">
            <v>55210200</v>
          </cell>
          <cell r="D487" t="str">
            <v>F0136</v>
          </cell>
          <cell r="G487">
            <v>16092238.380000001</v>
          </cell>
        </row>
        <row r="488">
          <cell r="B488">
            <v>55210200</v>
          </cell>
          <cell r="D488" t="str">
            <v>F0137</v>
          </cell>
          <cell r="G488">
            <v>1419242.79</v>
          </cell>
        </row>
        <row r="489">
          <cell r="B489">
            <v>55210200</v>
          </cell>
          <cell r="D489" t="str">
            <v>F0138</v>
          </cell>
          <cell r="G489">
            <v>752303.73</v>
          </cell>
        </row>
        <row r="490">
          <cell r="B490">
            <v>55210200</v>
          </cell>
          <cell r="D490" t="str">
            <v>F0141</v>
          </cell>
          <cell r="G490">
            <v>751658.17</v>
          </cell>
        </row>
        <row r="491">
          <cell r="B491">
            <v>55210200</v>
          </cell>
          <cell r="D491" t="str">
            <v>F0143</v>
          </cell>
          <cell r="G491">
            <v>3410205.29</v>
          </cell>
        </row>
        <row r="492">
          <cell r="B492">
            <v>55210200</v>
          </cell>
          <cell r="D492" t="str">
            <v>F0148</v>
          </cell>
        </row>
        <row r="493">
          <cell r="B493">
            <v>55210200</v>
          </cell>
          <cell r="D493" t="str">
            <v>F0153</v>
          </cell>
        </row>
        <row r="494">
          <cell r="B494">
            <v>55210200</v>
          </cell>
          <cell r="D494" t="str">
            <v>F0156</v>
          </cell>
          <cell r="G494">
            <v>5679073.2599999998</v>
          </cell>
        </row>
        <row r="495">
          <cell r="B495">
            <v>55210200</v>
          </cell>
          <cell r="D495" t="str">
            <v>F0157</v>
          </cell>
        </row>
        <row r="496">
          <cell r="B496">
            <v>55210200</v>
          </cell>
          <cell r="D496" t="str">
            <v>F0158</v>
          </cell>
        </row>
        <row r="497">
          <cell r="B497">
            <v>55210200</v>
          </cell>
          <cell r="D497" t="str">
            <v>F0161</v>
          </cell>
          <cell r="G497">
            <v>1002184.18</v>
          </cell>
        </row>
        <row r="498">
          <cell r="B498">
            <v>55210200</v>
          </cell>
          <cell r="D498" t="str">
            <v>F0164</v>
          </cell>
          <cell r="G498">
            <v>1596401.1</v>
          </cell>
        </row>
        <row r="499">
          <cell r="B499">
            <v>55210200</v>
          </cell>
          <cell r="D499" t="str">
            <v>F0167</v>
          </cell>
          <cell r="G499">
            <v>51542.05</v>
          </cell>
        </row>
        <row r="500">
          <cell r="B500">
            <v>55210200</v>
          </cell>
          <cell r="D500" t="str">
            <v>F0168</v>
          </cell>
          <cell r="G500">
            <v>8883899.4600000009</v>
          </cell>
        </row>
        <row r="501">
          <cell r="B501">
            <v>55210200</v>
          </cell>
          <cell r="D501" t="str">
            <v>F0171</v>
          </cell>
          <cell r="G501">
            <v>12408731.210000001</v>
          </cell>
        </row>
        <row r="502">
          <cell r="B502">
            <v>55210200</v>
          </cell>
          <cell r="D502" t="str">
            <v>F0172</v>
          </cell>
          <cell r="G502">
            <v>2785274.67</v>
          </cell>
        </row>
        <row r="503">
          <cell r="B503">
            <v>55210200</v>
          </cell>
          <cell r="D503" t="str">
            <v>F0173</v>
          </cell>
        </row>
        <row r="504">
          <cell r="B504">
            <v>55210200</v>
          </cell>
          <cell r="D504" t="str">
            <v>F0174</v>
          </cell>
          <cell r="G504">
            <v>23452065.34</v>
          </cell>
        </row>
        <row r="505">
          <cell r="B505">
            <v>55210200</v>
          </cell>
          <cell r="D505" t="str">
            <v>F0176</v>
          </cell>
          <cell r="G505">
            <v>514919.2</v>
          </cell>
        </row>
        <row r="506">
          <cell r="B506">
            <v>55210200</v>
          </cell>
          <cell r="D506" t="str">
            <v>F0179</v>
          </cell>
          <cell r="G506">
            <v>1669575.05</v>
          </cell>
        </row>
        <row r="507">
          <cell r="B507">
            <v>55210200</v>
          </cell>
          <cell r="D507" t="str">
            <v>F0182</v>
          </cell>
          <cell r="G507">
            <v>4395990.67</v>
          </cell>
        </row>
        <row r="508">
          <cell r="B508">
            <v>55210200</v>
          </cell>
          <cell r="D508" t="str">
            <v>F0183</v>
          </cell>
        </row>
        <row r="509">
          <cell r="B509">
            <v>55210200</v>
          </cell>
          <cell r="D509" t="str">
            <v>F0184</v>
          </cell>
          <cell r="G509">
            <v>898281.7</v>
          </cell>
        </row>
        <row r="510">
          <cell r="B510">
            <v>55210200</v>
          </cell>
          <cell r="D510" t="str">
            <v>F0185</v>
          </cell>
          <cell r="G510">
            <v>5161393.83</v>
          </cell>
        </row>
        <row r="511">
          <cell r="B511">
            <v>55210200</v>
          </cell>
          <cell r="D511" t="str">
            <v>F0189</v>
          </cell>
          <cell r="G511">
            <v>10270423.449999999</v>
          </cell>
        </row>
        <row r="512">
          <cell r="B512">
            <v>55210200</v>
          </cell>
          <cell r="D512" t="str">
            <v>F0191</v>
          </cell>
          <cell r="G512">
            <v>6032289.7000000002</v>
          </cell>
        </row>
        <row r="513">
          <cell r="B513">
            <v>55210200</v>
          </cell>
          <cell r="D513" t="str">
            <v>F0194</v>
          </cell>
          <cell r="G513">
            <v>2452380.0699999998</v>
          </cell>
        </row>
        <row r="514">
          <cell r="B514">
            <v>55210200</v>
          </cell>
          <cell r="D514" t="str">
            <v>F0195</v>
          </cell>
          <cell r="G514">
            <v>2615652.7000000002</v>
          </cell>
        </row>
        <row r="515">
          <cell r="B515">
            <v>55210200</v>
          </cell>
          <cell r="D515" t="str">
            <v>F0196</v>
          </cell>
          <cell r="G515">
            <v>1445097.95</v>
          </cell>
        </row>
        <row r="516">
          <cell r="B516">
            <v>55210200</v>
          </cell>
          <cell r="D516" t="str">
            <v>F0197</v>
          </cell>
          <cell r="G516">
            <v>1869444.95</v>
          </cell>
        </row>
        <row r="517">
          <cell r="B517">
            <v>55210200</v>
          </cell>
          <cell r="D517" t="str">
            <v>F0201</v>
          </cell>
          <cell r="G517">
            <v>1197393.83</v>
          </cell>
        </row>
        <row r="518">
          <cell r="B518">
            <v>55210200</v>
          </cell>
          <cell r="D518" t="str">
            <v>F0202</v>
          </cell>
        </row>
        <row r="519">
          <cell r="B519">
            <v>55210200</v>
          </cell>
          <cell r="D519" t="str">
            <v>F0203</v>
          </cell>
          <cell r="G519">
            <v>3998437.5</v>
          </cell>
        </row>
        <row r="520">
          <cell r="B520">
            <v>55210200</v>
          </cell>
          <cell r="D520" t="str">
            <v>F0204</v>
          </cell>
          <cell r="G520">
            <v>10767907.710000001</v>
          </cell>
        </row>
        <row r="521">
          <cell r="B521">
            <v>55210200</v>
          </cell>
          <cell r="D521" t="str">
            <v>F0207</v>
          </cell>
          <cell r="G521">
            <v>1224676.6599999999</v>
          </cell>
        </row>
        <row r="522">
          <cell r="B522">
            <v>55210200</v>
          </cell>
          <cell r="D522" t="str">
            <v>F0208</v>
          </cell>
          <cell r="G522">
            <v>4716143.72</v>
          </cell>
        </row>
        <row r="523">
          <cell r="B523">
            <v>55210200</v>
          </cell>
          <cell r="D523" t="str">
            <v>F0209</v>
          </cell>
          <cell r="G523">
            <v>149391.85999999999</v>
          </cell>
        </row>
        <row r="524">
          <cell r="B524">
            <v>55210200</v>
          </cell>
          <cell r="D524" t="str">
            <v>F0211</v>
          </cell>
          <cell r="G524">
            <v>23209076.129999999</v>
          </cell>
        </row>
        <row r="525">
          <cell r="B525">
            <v>55210200</v>
          </cell>
          <cell r="D525" t="str">
            <v>F0212</v>
          </cell>
          <cell r="G525">
            <v>6945906.1399999997</v>
          </cell>
        </row>
        <row r="526">
          <cell r="B526">
            <v>55210200</v>
          </cell>
          <cell r="D526" t="str">
            <v>F0216</v>
          </cell>
          <cell r="G526">
            <v>4470300.99</v>
          </cell>
        </row>
        <row r="527">
          <cell r="B527">
            <v>55210200</v>
          </cell>
          <cell r="D527" t="str">
            <v>F0217</v>
          </cell>
          <cell r="G527">
            <v>3185113.92</v>
          </cell>
        </row>
        <row r="528">
          <cell r="B528">
            <v>55210200</v>
          </cell>
          <cell r="D528" t="str">
            <v>F0218</v>
          </cell>
          <cell r="G528">
            <v>2587514.42</v>
          </cell>
        </row>
        <row r="529">
          <cell r="B529">
            <v>55210200</v>
          </cell>
          <cell r="D529" t="str">
            <v>F0219</v>
          </cell>
          <cell r="G529">
            <v>1454.37</v>
          </cell>
        </row>
        <row r="530">
          <cell r="B530">
            <v>55210200</v>
          </cell>
          <cell r="D530" t="str">
            <v>F0220</v>
          </cell>
          <cell r="G530">
            <v>2393999.42</v>
          </cell>
        </row>
        <row r="531">
          <cell r="B531">
            <v>55210200</v>
          </cell>
          <cell r="D531" t="str">
            <v>F0223</v>
          </cell>
          <cell r="G531">
            <v>2121807.7400000002</v>
          </cell>
        </row>
        <row r="532">
          <cell r="B532">
            <v>55210200</v>
          </cell>
          <cell r="D532" t="str">
            <v>F0305</v>
          </cell>
        </row>
        <row r="533">
          <cell r="B533">
            <v>55210200</v>
          </cell>
          <cell r="D533" t="str">
            <v>F0362</v>
          </cell>
          <cell r="G533">
            <v>4005307.27</v>
          </cell>
        </row>
        <row r="534">
          <cell r="B534">
            <v>59521020</v>
          </cell>
          <cell r="D534" t="str">
            <v>F9201</v>
          </cell>
          <cell r="G534">
            <v>-20894200.73</v>
          </cell>
        </row>
        <row r="535">
          <cell r="B535">
            <v>21201000</v>
          </cell>
          <cell r="D535" t="str">
            <v>I0200</v>
          </cell>
          <cell r="G535">
            <v>2297904</v>
          </cell>
        </row>
        <row r="536">
          <cell r="B536">
            <v>21201000</v>
          </cell>
          <cell r="D536" t="str">
            <v>I0340</v>
          </cell>
          <cell r="G536">
            <v>3700000</v>
          </cell>
        </row>
        <row r="537">
          <cell r="B537">
            <v>21201100</v>
          </cell>
          <cell r="D537" t="str">
            <v>I0430</v>
          </cell>
          <cell r="G537">
            <v>3026567</v>
          </cell>
        </row>
        <row r="538">
          <cell r="B538">
            <v>21201100</v>
          </cell>
          <cell r="D538" t="str">
            <v>I0511</v>
          </cell>
          <cell r="G538">
            <v>24340000</v>
          </cell>
        </row>
        <row r="539">
          <cell r="B539">
            <v>21201100</v>
          </cell>
          <cell r="D539" t="str">
            <v>I0804</v>
          </cell>
          <cell r="G539">
            <v>87500000</v>
          </cell>
        </row>
        <row r="540">
          <cell r="B540">
            <v>21201100</v>
          </cell>
          <cell r="D540" t="str">
            <v>I0810</v>
          </cell>
          <cell r="G540">
            <v>38550000</v>
          </cell>
        </row>
        <row r="541">
          <cell r="B541">
            <v>21211000</v>
          </cell>
          <cell r="D541" t="str">
            <v>I0200</v>
          </cell>
          <cell r="G541">
            <v>17132699.23</v>
          </cell>
        </row>
        <row r="542">
          <cell r="B542">
            <v>21211000</v>
          </cell>
          <cell r="D542" t="str">
            <v>I0340</v>
          </cell>
          <cell r="G542">
            <v>29536815.390000001</v>
          </cell>
        </row>
        <row r="543">
          <cell r="B543">
            <v>21211100</v>
          </cell>
          <cell r="D543" t="str">
            <v>I0430</v>
          </cell>
          <cell r="G543">
            <v>12106267</v>
          </cell>
        </row>
        <row r="544">
          <cell r="B544">
            <v>21211100</v>
          </cell>
          <cell r="D544" t="str">
            <v>I0511</v>
          </cell>
          <cell r="G544">
            <v>11533524.449999999</v>
          </cell>
        </row>
        <row r="545">
          <cell r="B545">
            <v>21211100</v>
          </cell>
          <cell r="D545" t="str">
            <v>I0804</v>
          </cell>
          <cell r="G545">
            <v>78100000</v>
          </cell>
        </row>
        <row r="546">
          <cell r="B546">
            <v>21211100</v>
          </cell>
          <cell r="D546" t="str">
            <v>I0810</v>
          </cell>
          <cell r="G546">
            <v>57825000</v>
          </cell>
        </row>
        <row r="547">
          <cell r="B547">
            <v>21211500</v>
          </cell>
          <cell r="D547" t="str">
            <v>I0151</v>
          </cell>
          <cell r="G547">
            <v>317922.58</v>
          </cell>
        </row>
        <row r="548">
          <cell r="B548">
            <v>21211500</v>
          </cell>
          <cell r="D548" t="str">
            <v>I0200</v>
          </cell>
          <cell r="G548">
            <v>389261.88</v>
          </cell>
        </row>
        <row r="549">
          <cell r="B549">
            <v>21211500</v>
          </cell>
          <cell r="D549" t="str">
            <v>I0340</v>
          </cell>
          <cell r="G549">
            <v>261303.23</v>
          </cell>
        </row>
        <row r="550">
          <cell r="B550">
            <v>21211600</v>
          </cell>
          <cell r="D550" t="str">
            <v>I0137</v>
          </cell>
          <cell r="G550">
            <v>52262.89</v>
          </cell>
        </row>
        <row r="551">
          <cell r="B551">
            <v>21211600</v>
          </cell>
          <cell r="D551" t="str">
            <v>I0430</v>
          </cell>
          <cell r="G551">
            <v>8000</v>
          </cell>
        </row>
        <row r="552">
          <cell r="B552">
            <v>21211600</v>
          </cell>
          <cell r="D552" t="str">
            <v>I0511</v>
          </cell>
          <cell r="G552">
            <v>467231</v>
          </cell>
        </row>
        <row r="553">
          <cell r="B553">
            <v>21220000</v>
          </cell>
          <cell r="D553" t="str">
            <v>I0151</v>
          </cell>
          <cell r="G553">
            <v>3660351.31</v>
          </cell>
        </row>
        <row r="554">
          <cell r="B554">
            <v>21221000</v>
          </cell>
          <cell r="D554" t="str">
            <v>I0151</v>
          </cell>
          <cell r="G554">
            <v>10047039.24</v>
          </cell>
        </row>
        <row r="555">
          <cell r="B555">
            <v>21221100</v>
          </cell>
          <cell r="D555" t="str">
            <v>I0137</v>
          </cell>
          <cell r="G555">
            <v>4122928.98</v>
          </cell>
        </row>
        <row r="556">
          <cell r="B556">
            <v>22211000</v>
          </cell>
          <cell r="D556" t="str">
            <v>I0340</v>
          </cell>
        </row>
        <row r="557">
          <cell r="B557">
            <v>28120000</v>
          </cell>
          <cell r="D557" t="str">
            <v>I0151</v>
          </cell>
          <cell r="G557">
            <v>-2125434.12</v>
          </cell>
        </row>
        <row r="558">
          <cell r="B558">
            <v>28120100</v>
          </cell>
          <cell r="D558" t="str">
            <v>I0137</v>
          </cell>
          <cell r="G558">
            <v>-1642575.03</v>
          </cell>
        </row>
        <row r="559">
          <cell r="B559">
            <v>28121000</v>
          </cell>
          <cell r="D559" t="str">
            <v>I0200</v>
          </cell>
          <cell r="G559">
            <v>-6510230.8399999999</v>
          </cell>
        </row>
        <row r="560">
          <cell r="B560">
            <v>28121000</v>
          </cell>
          <cell r="D560" t="str">
            <v>I0340</v>
          </cell>
          <cell r="G560">
            <v>-9746877.6099999994</v>
          </cell>
        </row>
        <row r="561">
          <cell r="B561">
            <v>28121100</v>
          </cell>
          <cell r="D561" t="str">
            <v>I0430</v>
          </cell>
          <cell r="G561">
            <v>-3450286.09</v>
          </cell>
        </row>
        <row r="562">
          <cell r="B562">
            <v>28121100</v>
          </cell>
          <cell r="D562" t="str">
            <v>I0511</v>
          </cell>
          <cell r="G562">
            <v>-1749935.85</v>
          </cell>
        </row>
        <row r="563">
          <cell r="B563">
            <v>28121100</v>
          </cell>
          <cell r="D563" t="str">
            <v>I0804</v>
          </cell>
          <cell r="G563">
            <v>-6988345.21</v>
          </cell>
        </row>
        <row r="564">
          <cell r="B564">
            <v>28121100</v>
          </cell>
          <cell r="D564" t="str">
            <v>I0810</v>
          </cell>
          <cell r="G564">
            <v>-5649561.3700000001</v>
          </cell>
        </row>
        <row r="565">
          <cell r="B565">
            <v>28121400</v>
          </cell>
          <cell r="D565" t="str">
            <v>I0151</v>
          </cell>
          <cell r="G565">
            <v>-247100.45</v>
          </cell>
        </row>
        <row r="566">
          <cell r="B566">
            <v>28121400</v>
          </cell>
          <cell r="D566" t="str">
            <v>I0200</v>
          </cell>
          <cell r="G566">
            <v>-242761.86</v>
          </cell>
        </row>
        <row r="567">
          <cell r="B567">
            <v>28121400</v>
          </cell>
          <cell r="D567" t="str">
            <v>I0340</v>
          </cell>
          <cell r="G567">
            <v>-100742.02</v>
          </cell>
        </row>
        <row r="568">
          <cell r="B568">
            <v>28121500</v>
          </cell>
          <cell r="D568" t="str">
            <v>I0137</v>
          </cell>
          <cell r="G568">
            <v>-34049.64</v>
          </cell>
        </row>
        <row r="569">
          <cell r="B569">
            <v>28121500</v>
          </cell>
          <cell r="D569" t="str">
            <v>I0430</v>
          </cell>
          <cell r="G569">
            <v>-8000</v>
          </cell>
        </row>
        <row r="570">
          <cell r="B570">
            <v>28121500</v>
          </cell>
          <cell r="D570" t="str">
            <v>I0511</v>
          </cell>
          <cell r="G570">
            <v>-334752.46999999997</v>
          </cell>
        </row>
        <row r="571">
          <cell r="B571">
            <v>28122000</v>
          </cell>
          <cell r="D571" t="str">
            <v>I0151</v>
          </cell>
          <cell r="G571">
            <v>-774261.82</v>
          </cell>
        </row>
        <row r="572">
          <cell r="B572">
            <v>29100000</v>
          </cell>
          <cell r="D572" t="str">
            <v>I0430</v>
          </cell>
          <cell r="G572">
            <v>-2682548.9300000002</v>
          </cell>
        </row>
        <row r="573">
          <cell r="B573">
            <v>29100000</v>
          </cell>
          <cell r="D573" t="str">
            <v>I0511</v>
          </cell>
          <cell r="G573">
            <v>-10056067.130000001</v>
          </cell>
        </row>
      </sheetData>
      <sheetData sheetId="4" refreshError="1"/>
    </sheetDataSet>
  </externalBook>
</externalLink>
</file>

<file path=xl/externalLinks/externalLink2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ETATA5"/>
      <sheetName val="ETATA5 (2)"/>
      <sheetName val="ETATA5 (3)"/>
      <sheetName val="tb"/>
      <sheetName val="PART"/>
      <sheetName val="BALANCE"/>
      <sheetName val="EXTRACTION"/>
      <sheetName val="LISTE"/>
      <sheetName val="Feuil5"/>
      <sheetName val="Feuil6"/>
      <sheetName val="Feuil7"/>
      <sheetName val="Feuil8"/>
      <sheetName val="Feuil9"/>
      <sheetName val="Feuil10"/>
      <sheetName val="Feuil11"/>
      <sheetName val="Feuil12"/>
      <sheetName val="Feuil13"/>
      <sheetName val="Feuil14"/>
      <sheetName val="Feuil15"/>
      <sheetName val="Feuil16"/>
      <sheetName val="EXPERTISE"/>
    </sheetNames>
    <sheetDataSet>
      <sheetData sheetId="0" refreshError="1"/>
      <sheetData sheetId="1" refreshError="1"/>
      <sheetData sheetId="2" refreshError="1"/>
      <sheetData sheetId="3" refreshError="1"/>
      <sheetData sheetId="4" refreshError="1">
        <row r="2">
          <cell r="A2" t="str">
            <v>PA301</v>
          </cell>
          <cell r="B2" t="str">
            <v>A3C</v>
          </cell>
          <cell r="C2">
            <v>25500</v>
          </cell>
        </row>
        <row r="3">
          <cell r="B3" t="str">
            <v>AGIFRANCE</v>
          </cell>
          <cell r="C3">
            <v>0</v>
          </cell>
        </row>
        <row r="4">
          <cell r="B4" t="str">
            <v>ANTICIPA</v>
          </cell>
          <cell r="C4">
            <v>65</v>
          </cell>
        </row>
        <row r="5">
          <cell r="B5" t="str">
            <v>ASSOCIART</v>
          </cell>
          <cell r="C5">
            <v>200000</v>
          </cell>
        </row>
        <row r="6">
          <cell r="B6" t="str">
            <v>ASSURBAIL</v>
          </cell>
          <cell r="C6">
            <v>3937849</v>
          </cell>
        </row>
        <row r="7">
          <cell r="B7" t="str">
            <v>ASSURPOSTE</v>
          </cell>
          <cell r="C7">
            <v>17000</v>
          </cell>
        </row>
        <row r="9">
          <cell r="B9" t="str">
            <v>AVENUE BOSQUET</v>
          </cell>
          <cell r="C9">
            <v>10</v>
          </cell>
        </row>
        <row r="10">
          <cell r="B10" t="str">
            <v>BD2I</v>
          </cell>
          <cell r="C10">
            <v>4000</v>
          </cell>
        </row>
        <row r="11">
          <cell r="B11" t="str">
            <v>CAPA CONSEIL</v>
          </cell>
          <cell r="C11">
            <v>121394</v>
          </cell>
        </row>
        <row r="12">
          <cell r="B12" t="str">
            <v>CARRES BLEUS</v>
          </cell>
          <cell r="C12">
            <v>450</v>
          </cell>
        </row>
        <row r="13">
          <cell r="B13" t="str">
            <v>CDC CONSULTANTS</v>
          </cell>
          <cell r="C13">
            <v>4000</v>
          </cell>
        </row>
        <row r="14">
          <cell r="B14" t="str">
            <v>CDC COURTAGE</v>
          </cell>
          <cell r="C14">
            <v>170</v>
          </cell>
        </row>
        <row r="15">
          <cell r="B15" t="str">
            <v xml:space="preserve">CDC EUROPE </v>
          </cell>
          <cell r="C15">
            <v>32</v>
          </cell>
        </row>
        <row r="16">
          <cell r="B16" t="str">
            <v>CDC AM EUROPE(CDC GESTION)</v>
          </cell>
          <cell r="C16">
            <v>291382</v>
          </cell>
        </row>
        <row r="17">
          <cell r="B17" t="str">
            <v xml:space="preserve">CDC TRESOR </v>
          </cell>
          <cell r="C17">
            <v>0</v>
          </cell>
        </row>
        <row r="18">
          <cell r="B18" t="str">
            <v>CDC SERVICE IND 1-A</v>
          </cell>
          <cell r="C18">
            <v>1998</v>
          </cell>
        </row>
        <row r="19">
          <cell r="B19" t="str">
            <v>CDC SERVICE IND 2-A</v>
          </cell>
          <cell r="C19">
            <v>1998</v>
          </cell>
        </row>
        <row r="20">
          <cell r="B20" t="str">
            <v>CEGAPE</v>
          </cell>
          <cell r="C20">
            <v>1050</v>
          </cell>
        </row>
        <row r="21">
          <cell r="B21" t="str">
            <v>CENTRE CAPITAL 3</v>
          </cell>
        </row>
        <row r="22">
          <cell r="B22" t="str">
            <v>CICOGE</v>
          </cell>
          <cell r="C22">
            <v>2488000</v>
          </cell>
        </row>
        <row r="23">
          <cell r="B23" t="str">
            <v>CILOGER</v>
          </cell>
          <cell r="C23">
            <v>1497</v>
          </cell>
        </row>
        <row r="24">
          <cell r="B24" t="str">
            <v>CIMO</v>
          </cell>
          <cell r="C24">
            <v>13211820</v>
          </cell>
        </row>
        <row r="25">
          <cell r="B25" t="str">
            <v>CNP ASSURANCES</v>
          </cell>
          <cell r="C25">
            <v>149985</v>
          </cell>
        </row>
        <row r="26">
          <cell r="B26" t="str">
            <v>CNP IAM</v>
          </cell>
          <cell r="C26">
            <v>2000000</v>
          </cell>
        </row>
        <row r="27">
          <cell r="B27" t="str">
            <v>CNP IMMOBILIER</v>
          </cell>
          <cell r="C27">
            <v>4999</v>
          </cell>
        </row>
        <row r="28">
          <cell r="B28" t="str">
            <v>CNP INTERNATIONAL</v>
          </cell>
          <cell r="C28">
            <v>1499994</v>
          </cell>
        </row>
        <row r="29">
          <cell r="B29" t="str">
            <v>CNP SEGUROS DE VIDA</v>
          </cell>
          <cell r="C29">
            <v>7188210</v>
          </cell>
        </row>
        <row r="30">
          <cell r="B30" t="str">
            <v>CNP CAUTION</v>
          </cell>
          <cell r="C30">
            <v>504000</v>
          </cell>
        </row>
        <row r="31">
          <cell r="B31" t="str">
            <v>COMPTAPIERRE</v>
          </cell>
          <cell r="C31">
            <v>2000</v>
          </cell>
        </row>
        <row r="32">
          <cell r="B32" t="str">
            <v xml:space="preserve">CREP </v>
          </cell>
        </row>
        <row r="33">
          <cell r="B33" t="str">
            <v>DEFENSE CTRE COM.4TEMPS</v>
          </cell>
          <cell r="C33">
            <v>44000</v>
          </cell>
        </row>
        <row r="34">
          <cell r="B34" t="str">
            <v>ECUREUIL VIE</v>
          </cell>
          <cell r="C34">
            <v>13518727</v>
          </cell>
        </row>
        <row r="35">
          <cell r="B35" t="str">
            <v>EPARGNE DEV 1A</v>
          </cell>
          <cell r="C35">
            <v>0</v>
          </cell>
        </row>
        <row r="36">
          <cell r="B36" t="str">
            <v>EPARGNE DEV 1B</v>
          </cell>
          <cell r="C36">
            <v>52</v>
          </cell>
        </row>
        <row r="37">
          <cell r="B37" t="str">
            <v>EUROPREVOYANCE</v>
          </cell>
          <cell r="C37">
            <v>500</v>
          </cell>
        </row>
        <row r="38">
          <cell r="B38" t="str">
            <v>EUROPE PARTNERS</v>
          </cell>
          <cell r="C38">
            <v>75</v>
          </cell>
        </row>
        <row r="39">
          <cell r="B39" t="str">
            <v>FINANCIERE CENT.LOIRE</v>
          </cell>
          <cell r="C39">
            <v>19493</v>
          </cell>
        </row>
        <row r="40">
          <cell r="B40" t="str">
            <v>FINANCIERE REG.BOURGO</v>
          </cell>
          <cell r="C40">
            <v>253200</v>
          </cell>
        </row>
        <row r="41">
          <cell r="B41" t="str">
            <v>FILASSIATANCE INTERNATIONAL</v>
          </cell>
          <cell r="C41">
            <v>17496</v>
          </cell>
        </row>
        <row r="42">
          <cell r="B42" t="str">
            <v>FONCIERE DE LA CNP</v>
          </cell>
          <cell r="C42">
            <v>479</v>
          </cell>
        </row>
        <row r="43">
          <cell r="B43" t="str">
            <v>FONDINVEST III A</v>
          </cell>
          <cell r="C43">
            <v>6100</v>
          </cell>
        </row>
        <row r="44">
          <cell r="B44" t="str">
            <v>FONDINVEST III B</v>
          </cell>
          <cell r="C44">
            <v>6100</v>
          </cell>
        </row>
        <row r="45">
          <cell r="B45" t="str">
            <v>FRATERNA RETIRO</v>
          </cell>
          <cell r="C45">
            <v>0</v>
          </cell>
        </row>
        <row r="46">
          <cell r="B46" t="str">
            <v>FRATERNA VIDA</v>
          </cell>
          <cell r="C46">
            <v>0</v>
          </cell>
        </row>
        <row r="47">
          <cell r="B47" t="str">
            <v>France ACTIVE</v>
          </cell>
          <cell r="C47">
            <v>748</v>
          </cell>
        </row>
        <row r="48">
          <cell r="B48" t="str">
            <v xml:space="preserve">GIP </v>
          </cell>
          <cell r="C48">
            <v>98</v>
          </cell>
        </row>
        <row r="49">
          <cell r="B49" t="str">
            <v>GIMAR</v>
          </cell>
          <cell r="C49">
            <v>44000</v>
          </cell>
        </row>
        <row r="50">
          <cell r="B50" t="str">
            <v>GLOBAL</v>
          </cell>
          <cell r="C50">
            <v>2295378</v>
          </cell>
        </row>
        <row r="51">
          <cell r="B51" t="str">
            <v>GLOBAL VIDA</v>
          </cell>
          <cell r="C51">
            <v>1260759</v>
          </cell>
        </row>
        <row r="52">
          <cell r="B52" t="str">
            <v>GPM ASSURANCES</v>
          </cell>
          <cell r="C52">
            <v>3404</v>
          </cell>
        </row>
        <row r="53">
          <cell r="B53" t="str">
            <v>GRAND FEU (LE)</v>
          </cell>
          <cell r="C53">
            <v>50</v>
          </cell>
        </row>
        <row r="54">
          <cell r="B54" t="str">
            <v>GROUP PROPRIETES CDC CNP</v>
          </cell>
          <cell r="C54">
            <v>385</v>
          </cell>
        </row>
        <row r="55">
          <cell r="B55" t="str">
            <v>HERMES UOB</v>
          </cell>
        </row>
        <row r="56">
          <cell r="B56" t="str">
            <v>ICDC</v>
          </cell>
          <cell r="C56">
            <v>800</v>
          </cell>
        </row>
        <row r="57">
          <cell r="B57" t="str">
            <v>ICG FUN 2000</v>
          </cell>
        </row>
        <row r="58">
          <cell r="B58" t="str">
            <v>ILOT A5B</v>
          </cell>
          <cell r="C58">
            <v>24999</v>
          </cell>
        </row>
        <row r="59">
          <cell r="B59" t="str">
            <v>IMMOPOSTE</v>
          </cell>
          <cell r="C59">
            <v>398</v>
          </cell>
        </row>
        <row r="60">
          <cell r="B60" t="str">
            <v>ING IBERICA</v>
          </cell>
          <cell r="C60">
            <v>3700</v>
          </cell>
        </row>
        <row r="61">
          <cell r="B61" t="str">
            <v>ITV</v>
          </cell>
          <cell r="C61">
            <v>1469990</v>
          </cell>
        </row>
        <row r="62">
          <cell r="B62" t="str">
            <v>KNIGHTSBRIDGE PV III</v>
          </cell>
          <cell r="C62">
            <v>67000</v>
          </cell>
        </row>
        <row r="63">
          <cell r="B63" t="str">
            <v>KNIGHTSBRIDGE PV IV</v>
          </cell>
          <cell r="C63">
            <v>1273</v>
          </cell>
        </row>
        <row r="64">
          <cell r="B64" t="str">
            <v>KNIGHTSBRIDGE PV V</v>
          </cell>
        </row>
        <row r="65">
          <cell r="B65" t="str">
            <v>LILLE HELLEMES</v>
          </cell>
          <cell r="C65">
            <v>125</v>
          </cell>
        </row>
        <row r="66">
          <cell r="B66" t="str">
            <v>MENUCOURT</v>
          </cell>
          <cell r="C66">
            <v>100</v>
          </cell>
        </row>
        <row r="67">
          <cell r="B67" t="str">
            <v>MONTAGNE DE LA FAGE</v>
          </cell>
          <cell r="C67">
            <v>50</v>
          </cell>
        </row>
        <row r="68">
          <cell r="B68" t="str">
            <v>PARC DE MONFORT</v>
          </cell>
          <cell r="C68">
            <v>50000</v>
          </cell>
        </row>
        <row r="69">
          <cell r="B69" t="str">
            <v>PARTENAIRES MIDCAP A</v>
          </cell>
          <cell r="C69">
            <v>49500</v>
          </cell>
        </row>
        <row r="70">
          <cell r="B70" t="str">
            <v>PARTENAIRES MIDCAP B</v>
          </cell>
          <cell r="C70">
            <v>500</v>
          </cell>
        </row>
        <row r="71">
          <cell r="B71" t="str">
            <v>PB 6</v>
          </cell>
          <cell r="C71">
            <v>500000</v>
          </cell>
        </row>
        <row r="72">
          <cell r="B72" t="str">
            <v>PIERRE ECUREUIL 2</v>
          </cell>
          <cell r="C72">
            <v>3000</v>
          </cell>
        </row>
        <row r="73">
          <cell r="B73" t="str">
            <v>PIERRE POSTE</v>
          </cell>
          <cell r="C73">
            <v>4153</v>
          </cell>
        </row>
        <row r="74">
          <cell r="B74" t="str">
            <v>POLISA VIE</v>
          </cell>
          <cell r="C74">
            <v>90360</v>
          </cell>
        </row>
        <row r="75">
          <cell r="B75" t="str">
            <v>POLLUX DEV.</v>
          </cell>
          <cell r="C75">
            <v>112725</v>
          </cell>
        </row>
        <row r="76">
          <cell r="B76" t="str">
            <v>PREVIMUT</v>
          </cell>
          <cell r="C76">
            <v>1987500</v>
          </cell>
        </row>
        <row r="77">
          <cell r="B77" t="str">
            <v>PREVIPOSTE</v>
          </cell>
          <cell r="C77">
            <v>8249988</v>
          </cell>
        </row>
        <row r="78">
          <cell r="B78" t="str">
            <v>PREVISOL</v>
          </cell>
          <cell r="C78">
            <v>7459</v>
          </cell>
        </row>
        <row r="79">
          <cell r="B79" t="str">
            <v>PROVINCIA ART</v>
          </cell>
          <cell r="C79">
            <v>30000</v>
          </cell>
        </row>
        <row r="80">
          <cell r="B80" t="str">
            <v>PROVINCIA VIDA</v>
          </cell>
          <cell r="C80">
            <v>4000000</v>
          </cell>
        </row>
        <row r="81">
          <cell r="B81" t="str">
            <v>PREVISOL VIDA</v>
          </cell>
          <cell r="C81">
            <v>448</v>
          </cell>
        </row>
        <row r="82">
          <cell r="B82" t="str">
            <v>PREVISOL RETIRO</v>
          </cell>
          <cell r="C82">
            <v>328</v>
          </cell>
        </row>
        <row r="83">
          <cell r="B83" t="str">
            <v>PYRAMIDES1</v>
          </cell>
          <cell r="C83">
            <v>1250</v>
          </cell>
        </row>
        <row r="84">
          <cell r="B84" t="str">
            <v>RENNES (RUE DE)</v>
          </cell>
          <cell r="C84">
            <v>500</v>
          </cell>
        </row>
        <row r="85">
          <cell r="B85" t="str">
            <v>SAA</v>
          </cell>
          <cell r="C85">
            <v>7350</v>
          </cell>
        </row>
        <row r="86">
          <cell r="B86" t="str">
            <v>SAGE</v>
          </cell>
          <cell r="C86">
            <v>220</v>
          </cell>
        </row>
        <row r="87">
          <cell r="B87" t="str">
            <v>SCDC</v>
          </cell>
          <cell r="C87">
            <v>1</v>
          </cell>
        </row>
        <row r="88">
          <cell r="B88" t="str">
            <v>SCI DE LA CNP</v>
          </cell>
          <cell r="C88">
            <v>2059000</v>
          </cell>
        </row>
        <row r="89">
          <cell r="B89" t="str">
            <v>SCOR VIE</v>
          </cell>
        </row>
        <row r="90">
          <cell r="B90" t="str">
            <v>SICAC</v>
          </cell>
          <cell r="C90">
            <v>2100</v>
          </cell>
        </row>
        <row r="91">
          <cell r="B91" t="str">
            <v>SIPAREX 1 SPF</v>
          </cell>
          <cell r="C91">
            <v>25</v>
          </cell>
        </row>
        <row r="92">
          <cell r="B92" t="str">
            <v>SIPAREX 2 SPF</v>
          </cell>
          <cell r="C92">
            <v>60</v>
          </cell>
        </row>
        <row r="93">
          <cell r="B93" t="str">
            <v>SIRCE 2</v>
          </cell>
          <cell r="C93">
            <v>10</v>
          </cell>
        </row>
        <row r="94">
          <cell r="B94" t="str">
            <v>SIPAREX VENTURES I</v>
          </cell>
          <cell r="C94">
            <v>20000</v>
          </cell>
        </row>
        <row r="95">
          <cell r="B95" t="str">
            <v>SMAF</v>
          </cell>
          <cell r="C95">
            <v>900</v>
          </cell>
        </row>
        <row r="96">
          <cell r="B96" t="str">
            <v>SOGESTOP C</v>
          </cell>
          <cell r="C96">
            <v>5000</v>
          </cell>
        </row>
        <row r="97">
          <cell r="B97" t="str">
            <v>SOGESTOP E</v>
          </cell>
          <cell r="C97">
            <v>0</v>
          </cell>
        </row>
        <row r="98">
          <cell r="B98" t="str">
            <v>SOGESTOP G</v>
          </cell>
          <cell r="C98">
            <v>732500</v>
          </cell>
        </row>
        <row r="99">
          <cell r="B99" t="str">
            <v>SOGESTOP H</v>
          </cell>
          <cell r="C99">
            <v>1462500</v>
          </cell>
        </row>
        <row r="100">
          <cell r="B100" t="str">
            <v>SOGESTOP I</v>
          </cell>
          <cell r="C100">
            <v>2500</v>
          </cell>
        </row>
        <row r="101">
          <cell r="B101" t="str">
            <v>SOFINOVA VENTURE 5</v>
          </cell>
          <cell r="C101">
            <v>50</v>
          </cell>
        </row>
        <row r="102">
          <cell r="B102" t="str">
            <v>SPIFIC</v>
          </cell>
          <cell r="C102">
            <v>1246</v>
          </cell>
        </row>
        <row r="103">
          <cell r="B103" t="str">
            <v>VENDOME EUROPE</v>
          </cell>
          <cell r="C103">
            <v>50</v>
          </cell>
        </row>
        <row r="104">
          <cell r="B104" t="str">
            <v>VICTOR HUGO</v>
          </cell>
          <cell r="C104">
            <v>2006</v>
          </cell>
        </row>
      </sheetData>
      <sheetData sheetId="5" refreshError="1">
        <row r="2">
          <cell r="B2">
            <v>21310000</v>
          </cell>
          <cell r="C2">
            <v>201</v>
          </cell>
          <cell r="D2" t="str">
            <v>PAV02</v>
          </cell>
          <cell r="G2">
            <v>110880</v>
          </cell>
        </row>
        <row r="3">
          <cell r="B3">
            <v>21310000</v>
          </cell>
          <cell r="C3">
            <v>201</v>
          </cell>
          <cell r="D3" t="str">
            <v>PCI02</v>
          </cell>
          <cell r="G3">
            <v>618816060.80999994</v>
          </cell>
        </row>
        <row r="4">
          <cell r="B4">
            <v>21310000</v>
          </cell>
          <cell r="C4">
            <v>209</v>
          </cell>
          <cell r="D4" t="str">
            <v>PCI02</v>
          </cell>
          <cell r="G4">
            <v>99991800</v>
          </cell>
        </row>
        <row r="5">
          <cell r="B5">
            <v>21310000</v>
          </cell>
          <cell r="C5">
            <v>201</v>
          </cell>
          <cell r="D5" t="str">
            <v>PCI04</v>
          </cell>
          <cell r="G5">
            <v>402176849.45999998</v>
          </cell>
        </row>
        <row r="6">
          <cell r="B6">
            <v>21310000</v>
          </cell>
          <cell r="C6">
            <v>201</v>
          </cell>
          <cell r="D6" t="str">
            <v>PCN03</v>
          </cell>
          <cell r="G6">
            <v>4999000</v>
          </cell>
        </row>
        <row r="7">
          <cell r="B7">
            <v>21310000</v>
          </cell>
          <cell r="C7">
            <v>234</v>
          </cell>
          <cell r="D7" t="str">
            <v>PCO01</v>
          </cell>
          <cell r="G7">
            <v>0</v>
          </cell>
        </row>
        <row r="8">
          <cell r="B8">
            <v>21310000</v>
          </cell>
          <cell r="C8">
            <v>236</v>
          </cell>
          <cell r="D8" t="str">
            <v>PCO01</v>
          </cell>
          <cell r="G8">
            <v>0</v>
          </cell>
        </row>
        <row r="9">
          <cell r="B9">
            <v>21310000</v>
          </cell>
          <cell r="C9">
            <v>270</v>
          </cell>
          <cell r="D9" t="str">
            <v>PDE01</v>
          </cell>
          <cell r="G9">
            <v>180828075.86000001</v>
          </cell>
        </row>
        <row r="10">
          <cell r="B10">
            <v>21310000</v>
          </cell>
          <cell r="C10">
            <v>201</v>
          </cell>
          <cell r="D10" t="str">
            <v>PFO01</v>
          </cell>
          <cell r="G10">
            <v>12722397.18</v>
          </cell>
        </row>
        <row r="11">
          <cell r="B11">
            <v>21310000</v>
          </cell>
          <cell r="C11">
            <v>201</v>
          </cell>
          <cell r="D11" t="str">
            <v>PGR01</v>
          </cell>
          <cell r="G11">
            <v>5000</v>
          </cell>
        </row>
        <row r="12">
          <cell r="B12">
            <v>21310000</v>
          </cell>
          <cell r="C12">
            <v>270</v>
          </cell>
          <cell r="D12" t="str">
            <v>PIL01</v>
          </cell>
          <cell r="G12">
            <v>24999000</v>
          </cell>
        </row>
        <row r="13">
          <cell r="B13">
            <v>21310000</v>
          </cell>
          <cell r="C13">
            <v>270</v>
          </cell>
          <cell r="D13" t="str">
            <v>PIM01</v>
          </cell>
          <cell r="G13">
            <v>3355140</v>
          </cell>
        </row>
        <row r="14">
          <cell r="B14">
            <v>21310000</v>
          </cell>
          <cell r="C14">
            <v>270</v>
          </cell>
          <cell r="D14" t="str">
            <v>PIN01</v>
          </cell>
          <cell r="G14">
            <v>242704090</v>
          </cell>
        </row>
        <row r="15">
          <cell r="B15">
            <v>21310000</v>
          </cell>
          <cell r="C15">
            <v>201</v>
          </cell>
          <cell r="D15" t="str">
            <v>PLI01</v>
          </cell>
          <cell r="G15">
            <v>12500</v>
          </cell>
        </row>
        <row r="16">
          <cell r="B16">
            <v>21310000</v>
          </cell>
          <cell r="C16">
            <v>201</v>
          </cell>
          <cell r="D16" t="str">
            <v>PME01</v>
          </cell>
          <cell r="G16">
            <v>10000</v>
          </cell>
        </row>
        <row r="17">
          <cell r="B17">
            <v>21310000</v>
          </cell>
          <cell r="C17">
            <v>270</v>
          </cell>
          <cell r="D17" t="str">
            <v>PMO01</v>
          </cell>
          <cell r="G17">
            <v>5000</v>
          </cell>
        </row>
        <row r="18">
          <cell r="B18">
            <v>21310000</v>
          </cell>
          <cell r="C18">
            <v>201</v>
          </cell>
          <cell r="D18" t="str">
            <v>PPB01</v>
          </cell>
          <cell r="G18">
            <v>50000000</v>
          </cell>
        </row>
        <row r="19">
          <cell r="B19">
            <v>21310000</v>
          </cell>
          <cell r="C19">
            <v>234</v>
          </cell>
          <cell r="D19" t="str">
            <v>PPI03</v>
          </cell>
          <cell r="G19">
            <v>0</v>
          </cell>
        </row>
        <row r="20">
          <cell r="B20">
            <v>21310000</v>
          </cell>
          <cell r="C20">
            <v>236</v>
          </cell>
          <cell r="D20" t="str">
            <v>PPI03</v>
          </cell>
          <cell r="G20">
            <v>0</v>
          </cell>
        </row>
        <row r="21">
          <cell r="B21">
            <v>21310000</v>
          </cell>
          <cell r="C21">
            <v>270</v>
          </cell>
          <cell r="D21" t="str">
            <v>PPI04</v>
          </cell>
          <cell r="G21">
            <v>15366100</v>
          </cell>
        </row>
        <row r="22">
          <cell r="B22">
            <v>21310000</v>
          </cell>
          <cell r="C22">
            <v>270</v>
          </cell>
          <cell r="D22" t="str">
            <v>PPY01</v>
          </cell>
          <cell r="G22">
            <v>125000</v>
          </cell>
        </row>
        <row r="23">
          <cell r="B23">
            <v>21310000</v>
          </cell>
          <cell r="C23">
            <v>270</v>
          </cell>
          <cell r="D23" t="str">
            <v>PRE01</v>
          </cell>
          <cell r="G23">
            <v>68559886</v>
          </cell>
        </row>
        <row r="24">
          <cell r="B24">
            <v>21310000</v>
          </cell>
          <cell r="C24">
            <v>201</v>
          </cell>
          <cell r="D24" t="str">
            <v>PSA02</v>
          </cell>
          <cell r="G24">
            <v>42000</v>
          </cell>
        </row>
        <row r="25">
          <cell r="B25">
            <v>21310000</v>
          </cell>
          <cell r="C25">
            <v>270</v>
          </cell>
          <cell r="D25" t="str">
            <v>PSA02</v>
          </cell>
          <cell r="G25">
            <v>7792630.3899999997</v>
          </cell>
        </row>
        <row r="26">
          <cell r="B26">
            <v>21310000</v>
          </cell>
          <cell r="C26">
            <v>201</v>
          </cell>
          <cell r="D26" t="str">
            <v>PSC02</v>
          </cell>
          <cell r="G26">
            <v>0</v>
          </cell>
        </row>
        <row r="27">
          <cell r="B27">
            <v>21310000</v>
          </cell>
          <cell r="C27">
            <v>201</v>
          </cell>
          <cell r="D27" t="str">
            <v>PSI01</v>
          </cell>
          <cell r="G27">
            <v>6000000</v>
          </cell>
        </row>
        <row r="28">
          <cell r="B28">
            <v>21310000</v>
          </cell>
          <cell r="C28">
            <v>201</v>
          </cell>
          <cell r="D28" t="str">
            <v>PSO04</v>
          </cell>
          <cell r="G28">
            <v>73249400</v>
          </cell>
        </row>
        <row r="29">
          <cell r="B29">
            <v>21310000</v>
          </cell>
          <cell r="C29">
            <v>201</v>
          </cell>
          <cell r="D29" t="str">
            <v>PSO05</v>
          </cell>
          <cell r="G29">
            <v>146249400</v>
          </cell>
        </row>
        <row r="30">
          <cell r="B30">
            <v>21310000</v>
          </cell>
          <cell r="C30">
            <v>201</v>
          </cell>
          <cell r="D30" t="str">
            <v>PSP01</v>
          </cell>
          <cell r="G30">
            <v>1752146</v>
          </cell>
        </row>
        <row r="31">
          <cell r="B31">
            <v>21310000</v>
          </cell>
          <cell r="C31">
            <v>270</v>
          </cell>
          <cell r="D31" t="str">
            <v>PVE01</v>
          </cell>
          <cell r="G31">
            <v>5000</v>
          </cell>
        </row>
        <row r="32">
          <cell r="B32">
            <v>21310000</v>
          </cell>
          <cell r="C32">
            <v>201</v>
          </cell>
          <cell r="D32" t="str">
            <v>PVI01</v>
          </cell>
          <cell r="G32">
            <v>9455555.4399999995</v>
          </cell>
        </row>
        <row r="33">
          <cell r="B33">
            <v>21310100</v>
          </cell>
          <cell r="C33">
            <v>201</v>
          </cell>
          <cell r="D33" t="str">
            <v>PCN03</v>
          </cell>
          <cell r="G33">
            <v>403752573.29000002</v>
          </cell>
        </row>
        <row r="34">
          <cell r="B34">
            <v>21310100</v>
          </cell>
          <cell r="C34">
            <v>270</v>
          </cell>
          <cell r="D34" t="str">
            <v>PDE01</v>
          </cell>
          <cell r="G34">
            <v>91304361.150000006</v>
          </cell>
        </row>
        <row r="35">
          <cell r="B35">
            <v>21310100</v>
          </cell>
          <cell r="C35">
            <v>201</v>
          </cell>
          <cell r="D35" t="str">
            <v>PFO01</v>
          </cell>
          <cell r="G35">
            <v>255436691.16999999</v>
          </cell>
        </row>
        <row r="36">
          <cell r="B36">
            <v>21310100</v>
          </cell>
          <cell r="C36">
            <v>201</v>
          </cell>
          <cell r="D36" t="str">
            <v>PGR01</v>
          </cell>
          <cell r="G36">
            <v>33862.01</v>
          </cell>
        </row>
        <row r="37">
          <cell r="B37">
            <v>21310100</v>
          </cell>
          <cell r="C37">
            <v>270</v>
          </cell>
          <cell r="D37" t="str">
            <v>PIL01</v>
          </cell>
          <cell r="G37">
            <v>142682090</v>
          </cell>
        </row>
        <row r="38">
          <cell r="B38">
            <v>21310100</v>
          </cell>
          <cell r="C38">
            <v>201</v>
          </cell>
          <cell r="D38" t="str">
            <v>PLI01</v>
          </cell>
          <cell r="G38">
            <v>229656.21</v>
          </cell>
        </row>
        <row r="39">
          <cell r="B39">
            <v>21310100</v>
          </cell>
          <cell r="C39">
            <v>201</v>
          </cell>
          <cell r="D39" t="str">
            <v>PME01</v>
          </cell>
          <cell r="G39">
            <v>36771.83</v>
          </cell>
        </row>
        <row r="40">
          <cell r="B40">
            <v>21310100</v>
          </cell>
          <cell r="C40">
            <v>270</v>
          </cell>
          <cell r="D40" t="str">
            <v>PMO01</v>
          </cell>
          <cell r="G40">
            <v>155008669.5</v>
          </cell>
        </row>
        <row r="41">
          <cell r="B41">
            <v>21310100</v>
          </cell>
          <cell r="C41">
            <v>201</v>
          </cell>
          <cell r="D41" t="str">
            <v>PPB01</v>
          </cell>
          <cell r="G41">
            <v>312565471.30000001</v>
          </cell>
        </row>
        <row r="42">
          <cell r="B42">
            <v>21310100</v>
          </cell>
          <cell r="C42">
            <v>270</v>
          </cell>
          <cell r="D42" t="str">
            <v>PPY01</v>
          </cell>
          <cell r="G42">
            <v>64794600</v>
          </cell>
        </row>
        <row r="43">
          <cell r="B43">
            <v>21310100</v>
          </cell>
          <cell r="C43">
            <v>270</v>
          </cell>
          <cell r="D43" t="str">
            <v>PRE01</v>
          </cell>
          <cell r="G43">
            <v>270000000</v>
          </cell>
        </row>
        <row r="44">
          <cell r="B44">
            <v>21310100</v>
          </cell>
          <cell r="C44">
            <v>201</v>
          </cell>
          <cell r="D44" t="str">
            <v>PSA02</v>
          </cell>
          <cell r="G44">
            <v>71364.98</v>
          </cell>
        </row>
        <row r="45">
          <cell r="B45">
            <v>21310100</v>
          </cell>
          <cell r="C45">
            <v>270</v>
          </cell>
          <cell r="D45" t="str">
            <v>PSA02</v>
          </cell>
          <cell r="G45">
            <v>1498664.68</v>
          </cell>
        </row>
        <row r="46">
          <cell r="B46">
            <v>21310100</v>
          </cell>
          <cell r="C46">
            <v>201</v>
          </cell>
          <cell r="D46" t="str">
            <v>PSI01</v>
          </cell>
          <cell r="G46">
            <v>150000000</v>
          </cell>
        </row>
        <row r="47">
          <cell r="B47">
            <v>21310100</v>
          </cell>
          <cell r="C47">
            <v>201</v>
          </cell>
          <cell r="D47" t="str">
            <v>PSO05</v>
          </cell>
          <cell r="G47">
            <v>100000</v>
          </cell>
        </row>
        <row r="48">
          <cell r="B48">
            <v>21310100</v>
          </cell>
          <cell r="C48">
            <v>201</v>
          </cell>
          <cell r="D48" t="str">
            <v>PSP01</v>
          </cell>
          <cell r="G48">
            <v>6500000</v>
          </cell>
        </row>
        <row r="49">
          <cell r="B49">
            <v>21310100</v>
          </cell>
          <cell r="C49">
            <v>270</v>
          </cell>
          <cell r="D49" t="str">
            <v>PVE01</v>
          </cell>
          <cell r="G49">
            <v>86422347.859999999</v>
          </cell>
        </row>
        <row r="50">
          <cell r="B50">
            <v>21311000</v>
          </cell>
          <cell r="C50">
            <v>201</v>
          </cell>
          <cell r="D50" t="str">
            <v>PSC02</v>
          </cell>
          <cell r="G50">
            <v>380803320.69</v>
          </cell>
        </row>
        <row r="51">
          <cell r="B51">
            <v>21322050</v>
          </cell>
          <cell r="C51">
            <v>201</v>
          </cell>
          <cell r="D51" t="str">
            <v>PAV02</v>
          </cell>
          <cell r="G51">
            <v>110880</v>
          </cell>
        </row>
        <row r="52">
          <cell r="B52">
            <v>21322050</v>
          </cell>
          <cell r="C52">
            <v>201</v>
          </cell>
          <cell r="D52" t="str">
            <v>PCI02</v>
          </cell>
          <cell r="G52">
            <v>128019</v>
          </cell>
        </row>
        <row r="53">
          <cell r="B53">
            <v>21322050</v>
          </cell>
          <cell r="C53">
            <v>201</v>
          </cell>
          <cell r="D53" t="str">
            <v>PSC02</v>
          </cell>
          <cell r="G53">
            <v>388.43</v>
          </cell>
        </row>
        <row r="54">
          <cell r="B54">
            <v>21322050</v>
          </cell>
          <cell r="C54">
            <v>201</v>
          </cell>
          <cell r="D54" t="str">
            <v>PSO04</v>
          </cell>
          <cell r="G54">
            <v>600</v>
          </cell>
        </row>
        <row r="55">
          <cell r="B55">
            <v>21322050</v>
          </cell>
          <cell r="C55">
            <v>201</v>
          </cell>
          <cell r="D55" t="str">
            <v>PSO05</v>
          </cell>
          <cell r="G55">
            <v>600</v>
          </cell>
        </row>
        <row r="56">
          <cell r="B56">
            <v>21322050</v>
          </cell>
          <cell r="C56">
            <v>201</v>
          </cell>
          <cell r="D56" t="str">
            <v>PSP01</v>
          </cell>
          <cell r="G56">
            <v>500</v>
          </cell>
        </row>
        <row r="57">
          <cell r="B57">
            <v>21830000</v>
          </cell>
          <cell r="C57">
            <v>270</v>
          </cell>
          <cell r="D57" t="str">
            <v>PIN01</v>
          </cell>
          <cell r="G57">
            <v>-130715568.79000001</v>
          </cell>
        </row>
        <row r="58">
          <cell r="B58">
            <v>23050000</v>
          </cell>
          <cell r="C58">
            <v>201</v>
          </cell>
          <cell r="D58" t="str">
            <v>PEC01</v>
          </cell>
          <cell r="G58">
            <v>0</v>
          </cell>
        </row>
        <row r="59">
          <cell r="B59">
            <v>23051000</v>
          </cell>
          <cell r="C59">
            <v>201</v>
          </cell>
          <cell r="D59" t="str">
            <v>PAS01</v>
          </cell>
          <cell r="G59">
            <v>1409902.2</v>
          </cell>
        </row>
        <row r="60">
          <cell r="B60">
            <v>23051000</v>
          </cell>
          <cell r="C60">
            <v>201</v>
          </cell>
          <cell r="D60" t="str">
            <v>PBD01</v>
          </cell>
          <cell r="G60">
            <v>400000</v>
          </cell>
        </row>
        <row r="61">
          <cell r="B61">
            <v>23051000</v>
          </cell>
          <cell r="C61">
            <v>201</v>
          </cell>
          <cell r="D61" t="str">
            <v>PCA01</v>
          </cell>
          <cell r="G61">
            <v>606970</v>
          </cell>
        </row>
        <row r="62">
          <cell r="B62">
            <v>23051000</v>
          </cell>
          <cell r="C62">
            <v>270</v>
          </cell>
          <cell r="D62" t="str">
            <v>PCD07</v>
          </cell>
          <cell r="G62">
            <v>19659031.289999999</v>
          </cell>
        </row>
        <row r="63">
          <cell r="B63">
            <v>23051000</v>
          </cell>
          <cell r="C63">
            <v>270</v>
          </cell>
          <cell r="D63" t="str">
            <v>PCD08</v>
          </cell>
          <cell r="G63">
            <v>13106.02</v>
          </cell>
        </row>
        <row r="64">
          <cell r="B64">
            <v>23051000</v>
          </cell>
          <cell r="C64">
            <v>201</v>
          </cell>
          <cell r="D64" t="str">
            <v>PCE02</v>
          </cell>
          <cell r="G64">
            <v>35247555.079999998</v>
          </cell>
        </row>
        <row r="65">
          <cell r="B65">
            <v>23051000</v>
          </cell>
          <cell r="C65">
            <v>201</v>
          </cell>
          <cell r="D65" t="str">
            <v>PCI03</v>
          </cell>
          <cell r="G65">
            <v>49900</v>
          </cell>
        </row>
        <row r="66">
          <cell r="B66">
            <v>23051000</v>
          </cell>
          <cell r="C66">
            <v>201</v>
          </cell>
          <cell r="D66" t="str">
            <v>PEP01</v>
          </cell>
          <cell r="G66">
            <v>-0.01</v>
          </cell>
        </row>
        <row r="67">
          <cell r="B67">
            <v>23051000</v>
          </cell>
          <cell r="C67">
            <v>201</v>
          </cell>
          <cell r="D67" t="str">
            <v>PEP03</v>
          </cell>
          <cell r="G67">
            <v>52000.02</v>
          </cell>
        </row>
        <row r="68">
          <cell r="B68">
            <v>23051000</v>
          </cell>
          <cell r="C68">
            <v>201</v>
          </cell>
          <cell r="D68" t="str">
            <v>PEU04</v>
          </cell>
          <cell r="G68">
            <v>49196775</v>
          </cell>
        </row>
        <row r="69">
          <cell r="B69">
            <v>23051000</v>
          </cell>
          <cell r="C69">
            <v>201</v>
          </cell>
          <cell r="D69" t="str">
            <v>PFI01</v>
          </cell>
          <cell r="G69">
            <v>1949300</v>
          </cell>
        </row>
        <row r="70">
          <cell r="B70">
            <v>23051000</v>
          </cell>
          <cell r="C70">
            <v>201</v>
          </cell>
          <cell r="D70" t="str">
            <v>PFI02</v>
          </cell>
          <cell r="G70">
            <v>25725000.02</v>
          </cell>
        </row>
        <row r="71">
          <cell r="B71">
            <v>23051000</v>
          </cell>
          <cell r="C71">
            <v>201</v>
          </cell>
          <cell r="D71" t="str">
            <v>PFR08</v>
          </cell>
          <cell r="G71">
            <v>500468.95</v>
          </cell>
        </row>
        <row r="72">
          <cell r="B72">
            <v>23051000</v>
          </cell>
          <cell r="C72">
            <v>201</v>
          </cell>
          <cell r="D72" t="str">
            <v>PHE01</v>
          </cell>
          <cell r="G72">
            <v>10495312</v>
          </cell>
        </row>
        <row r="73">
          <cell r="B73">
            <v>23051000</v>
          </cell>
          <cell r="C73">
            <v>270</v>
          </cell>
          <cell r="D73" t="str">
            <v>PHE01</v>
          </cell>
          <cell r="G73">
            <v>22302538</v>
          </cell>
        </row>
        <row r="74">
          <cell r="B74">
            <v>23051000</v>
          </cell>
          <cell r="C74">
            <v>201</v>
          </cell>
          <cell r="D74" t="str">
            <v>PIC01</v>
          </cell>
          <cell r="G74">
            <v>80000</v>
          </cell>
        </row>
        <row r="75">
          <cell r="B75">
            <v>23051000</v>
          </cell>
          <cell r="C75">
            <v>201</v>
          </cell>
          <cell r="D75" t="str">
            <v>PIC02</v>
          </cell>
          <cell r="G75">
            <v>19678710</v>
          </cell>
        </row>
        <row r="76">
          <cell r="B76">
            <v>23051000</v>
          </cell>
          <cell r="C76">
            <v>201</v>
          </cell>
          <cell r="D76" t="str">
            <v>PKN01</v>
          </cell>
          <cell r="G76">
            <v>129618.02</v>
          </cell>
        </row>
        <row r="77">
          <cell r="B77">
            <v>23051000</v>
          </cell>
          <cell r="C77">
            <v>201</v>
          </cell>
          <cell r="D77" t="str">
            <v>PKN02</v>
          </cell>
          <cell r="G77">
            <v>70495110.159999996</v>
          </cell>
        </row>
        <row r="78">
          <cell r="B78">
            <v>23051000</v>
          </cell>
          <cell r="C78">
            <v>270</v>
          </cell>
          <cell r="D78" t="str">
            <v>PKN03</v>
          </cell>
          <cell r="G78">
            <v>28198044.059999999</v>
          </cell>
        </row>
        <row r="79">
          <cell r="B79">
            <v>23051000</v>
          </cell>
          <cell r="C79">
            <v>201</v>
          </cell>
          <cell r="D79" t="str">
            <v>PPA02</v>
          </cell>
          <cell r="G79">
            <v>10392843.050000001</v>
          </cell>
        </row>
        <row r="80">
          <cell r="B80">
            <v>23051000</v>
          </cell>
          <cell r="C80">
            <v>270</v>
          </cell>
          <cell r="D80" t="str">
            <v>PPA02</v>
          </cell>
          <cell r="G80">
            <v>22084811.239999998</v>
          </cell>
        </row>
        <row r="81">
          <cell r="B81">
            <v>23051000</v>
          </cell>
          <cell r="C81">
            <v>201</v>
          </cell>
          <cell r="D81" t="str">
            <v>PPA03</v>
          </cell>
          <cell r="G81">
            <v>104953.12</v>
          </cell>
        </row>
        <row r="82">
          <cell r="B82">
            <v>23051000</v>
          </cell>
          <cell r="C82">
            <v>270</v>
          </cell>
          <cell r="D82" t="str">
            <v>PPA03</v>
          </cell>
          <cell r="G82">
            <v>223025.38</v>
          </cell>
        </row>
        <row r="83">
          <cell r="B83">
            <v>23051000</v>
          </cell>
          <cell r="C83">
            <v>201</v>
          </cell>
          <cell r="D83" t="str">
            <v>PPR01</v>
          </cell>
          <cell r="G83">
            <v>247335122</v>
          </cell>
        </row>
        <row r="84">
          <cell r="B84">
            <v>23051000</v>
          </cell>
          <cell r="C84">
            <v>201</v>
          </cell>
          <cell r="D84" t="str">
            <v>PSA01</v>
          </cell>
          <cell r="G84">
            <v>735000</v>
          </cell>
        </row>
        <row r="85">
          <cell r="B85">
            <v>23051000</v>
          </cell>
          <cell r="C85">
            <v>201</v>
          </cell>
          <cell r="D85" t="str">
            <v>PSA02</v>
          </cell>
        </row>
        <row r="86">
          <cell r="B86">
            <v>23051000</v>
          </cell>
          <cell r="C86">
            <v>201</v>
          </cell>
          <cell r="D86" t="str">
            <v>PSC01</v>
          </cell>
          <cell r="G86">
            <v>100</v>
          </cell>
        </row>
        <row r="87">
          <cell r="B87">
            <v>23051000</v>
          </cell>
          <cell r="C87">
            <v>201</v>
          </cell>
          <cell r="D87" t="str">
            <v>PSI02</v>
          </cell>
          <cell r="G87">
            <v>25</v>
          </cell>
        </row>
        <row r="88">
          <cell r="B88">
            <v>23051000</v>
          </cell>
          <cell r="C88">
            <v>201</v>
          </cell>
          <cell r="D88" t="str">
            <v>PSI03</v>
          </cell>
          <cell r="G88">
            <v>57949975</v>
          </cell>
        </row>
        <row r="89">
          <cell r="B89">
            <v>23051000</v>
          </cell>
          <cell r="C89">
            <v>201</v>
          </cell>
          <cell r="D89" t="str">
            <v>PSI04</v>
          </cell>
          <cell r="G89">
            <v>1000</v>
          </cell>
        </row>
        <row r="90">
          <cell r="B90">
            <v>23051000</v>
          </cell>
          <cell r="C90">
            <v>201</v>
          </cell>
          <cell r="D90" t="str">
            <v>PSI05</v>
          </cell>
          <cell r="G90">
            <v>20058951</v>
          </cell>
        </row>
        <row r="91">
          <cell r="B91">
            <v>23051000</v>
          </cell>
          <cell r="C91">
            <v>201</v>
          </cell>
          <cell r="D91" t="str">
            <v>PSM01</v>
          </cell>
          <cell r="G91">
            <v>900000</v>
          </cell>
        </row>
        <row r="92">
          <cell r="B92">
            <v>23051000</v>
          </cell>
          <cell r="C92">
            <v>201</v>
          </cell>
          <cell r="D92" t="str">
            <v>PSO09</v>
          </cell>
          <cell r="G92">
            <v>11279217.619999999</v>
          </cell>
        </row>
        <row r="93">
          <cell r="B93">
            <v>23051000</v>
          </cell>
          <cell r="C93">
            <v>270</v>
          </cell>
          <cell r="D93" t="str">
            <v>PSO09</v>
          </cell>
          <cell r="G93">
            <v>23968337.449999999</v>
          </cell>
        </row>
        <row r="94">
          <cell r="B94">
            <v>23051100</v>
          </cell>
          <cell r="C94">
            <v>201</v>
          </cell>
          <cell r="D94" t="str">
            <v>PSA02</v>
          </cell>
        </row>
        <row r="95">
          <cell r="B95">
            <v>23220500</v>
          </cell>
          <cell r="C95">
            <v>201</v>
          </cell>
          <cell r="D95" t="str">
            <v>PPR01</v>
          </cell>
          <cell r="G95">
            <v>300</v>
          </cell>
        </row>
        <row r="96">
          <cell r="B96">
            <v>23905000</v>
          </cell>
          <cell r="C96">
            <v>270</v>
          </cell>
          <cell r="D96" t="str">
            <v>PCD07</v>
          </cell>
          <cell r="G96">
            <v>-13171550.960000001</v>
          </cell>
        </row>
        <row r="97">
          <cell r="B97">
            <v>23905000</v>
          </cell>
          <cell r="C97">
            <v>201</v>
          </cell>
          <cell r="D97" t="str">
            <v>PCE02</v>
          </cell>
          <cell r="G97">
            <v>-15932987.57</v>
          </cell>
        </row>
        <row r="98">
          <cell r="B98">
            <v>23905000</v>
          </cell>
          <cell r="C98">
            <v>201</v>
          </cell>
          <cell r="D98" t="str">
            <v>PEU04</v>
          </cell>
          <cell r="G98">
            <v>-41325291</v>
          </cell>
        </row>
        <row r="99">
          <cell r="B99">
            <v>23905000</v>
          </cell>
          <cell r="C99">
            <v>201</v>
          </cell>
          <cell r="D99" t="str">
            <v>PHE01</v>
          </cell>
          <cell r="G99">
            <v>-10390358.880000001</v>
          </cell>
        </row>
        <row r="100">
          <cell r="B100">
            <v>23905000</v>
          </cell>
          <cell r="C100">
            <v>270</v>
          </cell>
          <cell r="D100" t="str">
            <v>PHE01</v>
          </cell>
          <cell r="G100">
            <v>-22079512.620000001</v>
          </cell>
        </row>
        <row r="101">
          <cell r="B101">
            <v>23905000</v>
          </cell>
          <cell r="C101">
            <v>201</v>
          </cell>
          <cell r="D101" t="str">
            <v>PIC02</v>
          </cell>
          <cell r="G101">
            <v>-16561337.58</v>
          </cell>
        </row>
        <row r="102">
          <cell r="B102">
            <v>23905000</v>
          </cell>
          <cell r="C102">
            <v>201</v>
          </cell>
          <cell r="D102" t="str">
            <v>PKN01</v>
          </cell>
          <cell r="G102">
            <v>0</v>
          </cell>
        </row>
        <row r="103">
          <cell r="B103">
            <v>23905000</v>
          </cell>
          <cell r="C103">
            <v>201</v>
          </cell>
          <cell r="D103" t="str">
            <v>PKN02</v>
          </cell>
          <cell r="G103">
            <v>-37009932.840000004</v>
          </cell>
        </row>
        <row r="104">
          <cell r="B104">
            <v>23905000</v>
          </cell>
          <cell r="C104">
            <v>270</v>
          </cell>
          <cell r="D104" t="str">
            <v>PKN03</v>
          </cell>
          <cell r="G104">
            <v>-25378239.66</v>
          </cell>
        </row>
        <row r="105">
          <cell r="B105">
            <v>23905000</v>
          </cell>
          <cell r="C105">
            <v>201</v>
          </cell>
          <cell r="D105" t="str">
            <v>PPA02</v>
          </cell>
          <cell r="G105">
            <v>-10379863.57</v>
          </cell>
        </row>
        <row r="106">
          <cell r="B106">
            <v>23905000</v>
          </cell>
          <cell r="C106">
            <v>270</v>
          </cell>
          <cell r="D106" t="str">
            <v>PPA02</v>
          </cell>
          <cell r="G106">
            <v>-22057210.079999998</v>
          </cell>
        </row>
        <row r="107">
          <cell r="B107">
            <v>23905000</v>
          </cell>
          <cell r="C107">
            <v>201</v>
          </cell>
          <cell r="D107" t="str">
            <v>PSI02</v>
          </cell>
          <cell r="G107">
            <v>0</v>
          </cell>
        </row>
        <row r="108">
          <cell r="B108">
            <v>23905000</v>
          </cell>
          <cell r="C108">
            <v>201</v>
          </cell>
          <cell r="D108" t="str">
            <v>PSI03</v>
          </cell>
          <cell r="G108">
            <v>-6000000.0199999996</v>
          </cell>
        </row>
        <row r="109">
          <cell r="B109">
            <v>23905000</v>
          </cell>
          <cell r="C109">
            <v>201</v>
          </cell>
          <cell r="D109" t="str">
            <v>PSI05</v>
          </cell>
          <cell r="G109">
            <v>-10000000</v>
          </cell>
        </row>
        <row r="110">
          <cell r="B110">
            <v>23905000</v>
          </cell>
          <cell r="C110">
            <v>201</v>
          </cell>
          <cell r="D110" t="str">
            <v>PSO09</v>
          </cell>
          <cell r="G110">
            <v>-9587334.9800000004</v>
          </cell>
        </row>
        <row r="111">
          <cell r="B111">
            <v>23905000</v>
          </cell>
          <cell r="C111">
            <v>270</v>
          </cell>
          <cell r="D111" t="str">
            <v>PSO09</v>
          </cell>
          <cell r="G111">
            <v>-20373086.84</v>
          </cell>
        </row>
        <row r="112">
          <cell r="B112">
            <v>24010000</v>
          </cell>
          <cell r="C112">
            <v>294</v>
          </cell>
          <cell r="D112" t="str">
            <v>PCI02</v>
          </cell>
          <cell r="G112">
            <v>489243928.68000001</v>
          </cell>
        </row>
        <row r="113">
          <cell r="B113">
            <v>24010000</v>
          </cell>
          <cell r="C113">
            <v>295</v>
          </cell>
          <cell r="D113" t="str">
            <v>PCI04</v>
          </cell>
          <cell r="G113">
            <v>2053162634.3199999</v>
          </cell>
        </row>
        <row r="114">
          <cell r="B114">
            <v>24010000</v>
          </cell>
          <cell r="C114">
            <v>234</v>
          </cell>
          <cell r="D114" t="str">
            <v>PCO01</v>
          </cell>
          <cell r="G114">
            <v>8292850.9699999997</v>
          </cell>
        </row>
        <row r="115">
          <cell r="B115">
            <v>24010000</v>
          </cell>
          <cell r="C115">
            <v>234</v>
          </cell>
          <cell r="D115" t="str">
            <v>PPI03</v>
          </cell>
          <cell r="G115">
            <v>9459075.0099999998</v>
          </cell>
        </row>
        <row r="116">
          <cell r="B116">
            <v>24010000</v>
          </cell>
          <cell r="C116">
            <v>294</v>
          </cell>
          <cell r="D116" t="str">
            <v>PSC02</v>
          </cell>
          <cell r="G116">
            <v>373994556.38999999</v>
          </cell>
        </row>
        <row r="117">
          <cell r="B117">
            <v>25050000</v>
          </cell>
          <cell r="C117">
            <v>201</v>
          </cell>
          <cell r="D117" t="str">
            <v>PAS12</v>
          </cell>
          <cell r="G117">
            <v>617000000</v>
          </cell>
        </row>
        <row r="118">
          <cell r="B118">
            <v>25050000</v>
          </cell>
          <cell r="C118">
            <v>201</v>
          </cell>
          <cell r="D118" t="str">
            <v>PCN02</v>
          </cell>
          <cell r="G118">
            <v>1610999400</v>
          </cell>
        </row>
        <row r="119">
          <cell r="B119">
            <v>25050000</v>
          </cell>
          <cell r="C119">
            <v>201</v>
          </cell>
          <cell r="D119" t="str">
            <v>PCN04</v>
          </cell>
          <cell r="G119">
            <v>152999400</v>
          </cell>
        </row>
        <row r="120">
          <cell r="B120">
            <v>25050000</v>
          </cell>
          <cell r="C120">
            <v>201</v>
          </cell>
          <cell r="D120" t="str">
            <v>PEC01</v>
          </cell>
          <cell r="G120">
            <v>2689249224</v>
          </cell>
        </row>
        <row r="121">
          <cell r="B121">
            <v>25050000</v>
          </cell>
          <cell r="C121">
            <v>201</v>
          </cell>
          <cell r="D121" t="str">
            <v>PIT01</v>
          </cell>
          <cell r="G121">
            <v>146999000</v>
          </cell>
        </row>
        <row r="122">
          <cell r="B122">
            <v>25050000</v>
          </cell>
          <cell r="C122">
            <v>201</v>
          </cell>
          <cell r="D122" t="str">
            <v>PPR02</v>
          </cell>
          <cell r="G122">
            <v>824998800</v>
          </cell>
        </row>
        <row r="123">
          <cell r="B123">
            <v>25051000</v>
          </cell>
          <cell r="C123">
            <v>122</v>
          </cell>
          <cell r="D123" t="str">
            <v>PAS02</v>
          </cell>
          <cell r="G123">
            <v>67532850</v>
          </cell>
        </row>
        <row r="124">
          <cell r="B124">
            <v>25051000</v>
          </cell>
          <cell r="C124">
            <v>201</v>
          </cell>
          <cell r="D124" t="str">
            <v>PAS02</v>
          </cell>
          <cell r="G124">
            <v>881687995.02999997</v>
          </cell>
        </row>
        <row r="125">
          <cell r="B125">
            <v>25051000</v>
          </cell>
          <cell r="C125">
            <v>208</v>
          </cell>
          <cell r="D125" t="str">
            <v>PAS02</v>
          </cell>
          <cell r="G125">
            <v>60013140</v>
          </cell>
        </row>
        <row r="126">
          <cell r="B126">
            <v>25051000</v>
          </cell>
          <cell r="C126">
            <v>220</v>
          </cell>
          <cell r="D126" t="str">
            <v>PAS02</v>
          </cell>
          <cell r="G126">
            <v>20011530</v>
          </cell>
        </row>
        <row r="127">
          <cell r="B127">
            <v>25051100</v>
          </cell>
          <cell r="C127">
            <v>201</v>
          </cell>
          <cell r="D127" t="str">
            <v>PAS02</v>
          </cell>
          <cell r="G127">
            <v>110225600</v>
          </cell>
        </row>
        <row r="128">
          <cell r="B128">
            <v>25220500</v>
          </cell>
          <cell r="C128">
            <v>201</v>
          </cell>
          <cell r="D128" t="str">
            <v>PAS02</v>
          </cell>
          <cell r="G128">
            <v>750</v>
          </cell>
        </row>
        <row r="129">
          <cell r="B129">
            <v>25220500</v>
          </cell>
          <cell r="C129">
            <v>201</v>
          </cell>
          <cell r="D129" t="str">
            <v>PCN02</v>
          </cell>
          <cell r="G129">
            <v>600</v>
          </cell>
        </row>
        <row r="130">
          <cell r="B130">
            <v>25220500</v>
          </cell>
          <cell r="C130">
            <v>201</v>
          </cell>
          <cell r="D130" t="str">
            <v>PCN04</v>
          </cell>
          <cell r="G130">
            <v>600</v>
          </cell>
        </row>
        <row r="131">
          <cell r="B131">
            <v>25220500</v>
          </cell>
          <cell r="C131">
            <v>201</v>
          </cell>
          <cell r="D131" t="str">
            <v>PEC01</v>
          </cell>
          <cell r="G131">
            <v>400</v>
          </cell>
        </row>
        <row r="132">
          <cell r="B132">
            <v>25220500</v>
          </cell>
          <cell r="C132">
            <v>201</v>
          </cell>
          <cell r="D132" t="str">
            <v>PIT01</v>
          </cell>
          <cell r="G132">
            <v>1000</v>
          </cell>
        </row>
        <row r="133">
          <cell r="B133">
            <v>25220500</v>
          </cell>
          <cell r="C133">
            <v>201</v>
          </cell>
          <cell r="D133" t="str">
            <v>PPR02</v>
          </cell>
          <cell r="G133">
            <v>1100</v>
          </cell>
        </row>
        <row r="134">
          <cell r="B134">
            <v>26050000</v>
          </cell>
          <cell r="C134">
            <v>201</v>
          </cell>
          <cell r="D134" t="str">
            <v>PCN05</v>
          </cell>
          <cell r="G134">
            <v>50673365.579999998</v>
          </cell>
        </row>
        <row r="135">
          <cell r="B135">
            <v>26050000</v>
          </cell>
          <cell r="C135">
            <v>201</v>
          </cell>
          <cell r="D135" t="str">
            <v>PFR03</v>
          </cell>
          <cell r="G135">
            <v>0</v>
          </cell>
        </row>
        <row r="136">
          <cell r="B136">
            <v>26050000</v>
          </cell>
          <cell r="C136">
            <v>201</v>
          </cell>
          <cell r="D136" t="str">
            <v>PFR04</v>
          </cell>
          <cell r="G136">
            <v>0</v>
          </cell>
        </row>
        <row r="137">
          <cell r="B137">
            <v>26050000</v>
          </cell>
          <cell r="C137">
            <v>201</v>
          </cell>
          <cell r="D137" t="str">
            <v>PGL01</v>
          </cell>
          <cell r="G137">
            <v>287929577.47000003</v>
          </cell>
        </row>
        <row r="138">
          <cell r="B138">
            <v>26050000</v>
          </cell>
          <cell r="C138">
            <v>201</v>
          </cell>
          <cell r="D138" t="str">
            <v>PGL02</v>
          </cell>
          <cell r="G138">
            <v>157148865.59</v>
          </cell>
        </row>
        <row r="139">
          <cell r="B139">
            <v>26050000</v>
          </cell>
          <cell r="C139">
            <v>201</v>
          </cell>
          <cell r="D139" t="str">
            <v>PGP01</v>
          </cell>
          <cell r="G139">
            <v>34040000</v>
          </cell>
        </row>
        <row r="140">
          <cell r="B140">
            <v>26050000</v>
          </cell>
          <cell r="C140">
            <v>201</v>
          </cell>
          <cell r="D140" t="str">
            <v>PPO01</v>
          </cell>
          <cell r="G140">
            <v>19214798.920000002</v>
          </cell>
        </row>
        <row r="141">
          <cell r="B141">
            <v>26050000</v>
          </cell>
          <cell r="C141">
            <v>201</v>
          </cell>
          <cell r="D141" t="str">
            <v>PPR03</v>
          </cell>
          <cell r="G141">
            <v>57691965.399999999</v>
          </cell>
        </row>
        <row r="142">
          <cell r="B142">
            <v>26050000</v>
          </cell>
          <cell r="C142">
            <v>201</v>
          </cell>
          <cell r="D142" t="str">
            <v>PPR04</v>
          </cell>
          <cell r="G142">
            <v>49064596.670000002</v>
          </cell>
        </row>
        <row r="143">
          <cell r="B143">
            <v>26050000</v>
          </cell>
          <cell r="C143">
            <v>201</v>
          </cell>
          <cell r="D143" t="str">
            <v>PPR05</v>
          </cell>
          <cell r="G143">
            <v>39477261.689999998</v>
          </cell>
        </row>
        <row r="144">
          <cell r="B144">
            <v>26050000</v>
          </cell>
          <cell r="C144">
            <v>201</v>
          </cell>
          <cell r="D144" t="str">
            <v>PPR06</v>
          </cell>
          <cell r="G144">
            <v>6620251.4900000002</v>
          </cell>
        </row>
        <row r="145">
          <cell r="B145">
            <v>26050000</v>
          </cell>
          <cell r="C145">
            <v>201</v>
          </cell>
          <cell r="D145" t="str">
            <v>PPR07</v>
          </cell>
          <cell r="G145">
            <v>6248936.3300000001</v>
          </cell>
        </row>
        <row r="146">
          <cell r="B146">
            <v>26050100</v>
          </cell>
          <cell r="C146">
            <v>201</v>
          </cell>
          <cell r="D146" t="str">
            <v>PCN05</v>
          </cell>
          <cell r="G146">
            <v>63445.599999999999</v>
          </cell>
        </row>
        <row r="147">
          <cell r="B147">
            <v>26051000</v>
          </cell>
          <cell r="C147">
            <v>201</v>
          </cell>
          <cell r="D147" t="str">
            <v>PA301</v>
          </cell>
          <cell r="G147">
            <v>2549900</v>
          </cell>
        </row>
        <row r="148">
          <cell r="B148">
            <v>26051000</v>
          </cell>
          <cell r="C148">
            <v>201</v>
          </cell>
          <cell r="D148" t="str">
            <v>PAG01</v>
          </cell>
          <cell r="G148">
            <v>-300</v>
          </cell>
        </row>
        <row r="149">
          <cell r="B149">
            <v>26051000</v>
          </cell>
          <cell r="C149">
            <v>201</v>
          </cell>
          <cell r="D149" t="str">
            <v>PAN01</v>
          </cell>
          <cell r="G149">
            <v>6500</v>
          </cell>
        </row>
        <row r="150">
          <cell r="B150">
            <v>26051000</v>
          </cell>
          <cell r="C150">
            <v>201</v>
          </cell>
          <cell r="D150" t="str">
            <v>PCA02</v>
          </cell>
          <cell r="G150">
            <v>45000</v>
          </cell>
        </row>
        <row r="151">
          <cell r="B151">
            <v>26051000</v>
          </cell>
          <cell r="C151">
            <v>201</v>
          </cell>
          <cell r="D151" t="str">
            <v>PCD01</v>
          </cell>
          <cell r="G151">
            <v>400000</v>
          </cell>
        </row>
        <row r="152">
          <cell r="B152">
            <v>26051000</v>
          </cell>
          <cell r="C152">
            <v>201</v>
          </cell>
          <cell r="D152" t="str">
            <v>PCD02</v>
          </cell>
          <cell r="G152">
            <v>65630.3</v>
          </cell>
        </row>
        <row r="153">
          <cell r="B153">
            <v>26051000</v>
          </cell>
          <cell r="C153">
            <v>201</v>
          </cell>
          <cell r="D153" t="str">
            <v>PCD03</v>
          </cell>
          <cell r="G153">
            <v>1600</v>
          </cell>
        </row>
        <row r="154">
          <cell r="B154">
            <v>26051000</v>
          </cell>
          <cell r="C154">
            <v>201</v>
          </cell>
          <cell r="D154" t="str">
            <v>PCD04</v>
          </cell>
          <cell r="G154">
            <v>951281927.22000003</v>
          </cell>
        </row>
        <row r="155">
          <cell r="B155">
            <v>26051000</v>
          </cell>
          <cell r="C155">
            <v>201</v>
          </cell>
          <cell r="D155" t="str">
            <v>PCE01</v>
          </cell>
          <cell r="G155">
            <v>2499900</v>
          </cell>
        </row>
        <row r="156">
          <cell r="B156">
            <v>26051000</v>
          </cell>
          <cell r="C156">
            <v>201</v>
          </cell>
          <cell r="D156" t="str">
            <v>PCN06</v>
          </cell>
          <cell r="G156">
            <v>50399400</v>
          </cell>
        </row>
        <row r="157">
          <cell r="B157">
            <v>26051000</v>
          </cell>
          <cell r="C157">
            <v>201</v>
          </cell>
          <cell r="D157" t="str">
            <v>PEU01</v>
          </cell>
          <cell r="G157">
            <v>50000</v>
          </cell>
        </row>
        <row r="158">
          <cell r="B158">
            <v>26051000</v>
          </cell>
          <cell r="C158">
            <v>201</v>
          </cell>
          <cell r="D158" t="str">
            <v>PFI04</v>
          </cell>
          <cell r="G158">
            <v>11475967.720000001</v>
          </cell>
        </row>
        <row r="159">
          <cell r="B159">
            <v>26051000</v>
          </cell>
          <cell r="C159">
            <v>270</v>
          </cell>
          <cell r="D159" t="str">
            <v>PFO07</v>
          </cell>
          <cell r="G159">
            <v>40375209.439999998</v>
          </cell>
        </row>
        <row r="160">
          <cell r="B160">
            <v>26051000</v>
          </cell>
          <cell r="C160">
            <v>270</v>
          </cell>
          <cell r="D160" t="str">
            <v>PFO08</v>
          </cell>
          <cell r="G160">
            <v>40013.379999999997</v>
          </cell>
        </row>
        <row r="161">
          <cell r="B161">
            <v>26051000</v>
          </cell>
          <cell r="C161">
            <v>201</v>
          </cell>
          <cell r="D161" t="str">
            <v>PGI01</v>
          </cell>
          <cell r="G161">
            <v>4900</v>
          </cell>
        </row>
        <row r="162">
          <cell r="B162">
            <v>26051000</v>
          </cell>
          <cell r="C162">
            <v>201</v>
          </cell>
          <cell r="D162" t="str">
            <v>PGI02</v>
          </cell>
          <cell r="G162">
            <v>2886211</v>
          </cell>
        </row>
        <row r="163">
          <cell r="B163">
            <v>26051000</v>
          </cell>
          <cell r="C163">
            <v>201</v>
          </cell>
          <cell r="D163" t="str">
            <v>PGR02</v>
          </cell>
          <cell r="G163">
            <v>38500</v>
          </cell>
        </row>
        <row r="164">
          <cell r="B164">
            <v>26051000</v>
          </cell>
          <cell r="C164" t="str">
            <v>EPO</v>
          </cell>
          <cell r="D164" t="str">
            <v>PPA01</v>
          </cell>
          <cell r="G164">
            <v>5000000</v>
          </cell>
        </row>
        <row r="165">
          <cell r="B165">
            <v>26051000</v>
          </cell>
          <cell r="C165">
            <v>201</v>
          </cell>
          <cell r="D165" t="str">
            <v>PPO02</v>
          </cell>
          <cell r="G165">
            <v>112725</v>
          </cell>
        </row>
        <row r="166">
          <cell r="B166">
            <v>26051000</v>
          </cell>
          <cell r="C166">
            <v>201</v>
          </cell>
          <cell r="D166" t="str">
            <v>PPR01</v>
          </cell>
        </row>
        <row r="167">
          <cell r="B167">
            <v>26051000</v>
          </cell>
          <cell r="C167">
            <v>270</v>
          </cell>
          <cell r="D167" t="str">
            <v>PSA02</v>
          </cell>
        </row>
        <row r="168">
          <cell r="B168">
            <v>26051000</v>
          </cell>
          <cell r="C168">
            <v>201</v>
          </cell>
          <cell r="D168" t="str">
            <v>PSI02</v>
          </cell>
        </row>
        <row r="169">
          <cell r="B169">
            <v>26051000</v>
          </cell>
          <cell r="C169">
            <v>201</v>
          </cell>
          <cell r="D169" t="str">
            <v>PSI03</v>
          </cell>
          <cell r="G169">
            <v>0</v>
          </cell>
        </row>
        <row r="170">
          <cell r="B170">
            <v>26051000</v>
          </cell>
          <cell r="C170">
            <v>201</v>
          </cell>
          <cell r="D170" t="str">
            <v>PSO02</v>
          </cell>
          <cell r="G170">
            <v>499400</v>
          </cell>
        </row>
        <row r="171">
          <cell r="B171">
            <v>26051000</v>
          </cell>
          <cell r="C171">
            <v>201</v>
          </cell>
          <cell r="D171" t="str">
            <v>PSO03</v>
          </cell>
          <cell r="G171">
            <v>0</v>
          </cell>
        </row>
        <row r="172">
          <cell r="B172">
            <v>26051000</v>
          </cell>
          <cell r="C172">
            <v>201</v>
          </cell>
          <cell r="D172" t="str">
            <v>PSO04</v>
          </cell>
        </row>
        <row r="173">
          <cell r="B173">
            <v>26051000</v>
          </cell>
          <cell r="C173">
            <v>201</v>
          </cell>
          <cell r="D173" t="str">
            <v>PSO05</v>
          </cell>
        </row>
        <row r="174">
          <cell r="B174">
            <v>26051000</v>
          </cell>
          <cell r="C174">
            <v>201</v>
          </cell>
          <cell r="D174" t="str">
            <v>PSO06</v>
          </cell>
          <cell r="G174">
            <v>249400</v>
          </cell>
        </row>
        <row r="175">
          <cell r="B175">
            <v>26051100</v>
          </cell>
          <cell r="C175">
            <v>201</v>
          </cell>
          <cell r="D175" t="str">
            <v>PEU01</v>
          </cell>
          <cell r="G175">
            <v>150000</v>
          </cell>
        </row>
        <row r="176">
          <cell r="B176">
            <v>26051100</v>
          </cell>
          <cell r="C176">
            <v>210</v>
          </cell>
          <cell r="D176" t="str">
            <v>PEU01</v>
          </cell>
        </row>
        <row r="177">
          <cell r="B177">
            <v>26051100</v>
          </cell>
          <cell r="C177">
            <v>270</v>
          </cell>
          <cell r="D177" t="str">
            <v>PSA02</v>
          </cell>
        </row>
        <row r="178">
          <cell r="B178">
            <v>26220500</v>
          </cell>
          <cell r="C178">
            <v>201</v>
          </cell>
          <cell r="D178" t="str">
            <v>PA301</v>
          </cell>
          <cell r="G178">
            <v>100</v>
          </cell>
        </row>
        <row r="179">
          <cell r="B179">
            <v>26220500</v>
          </cell>
          <cell r="C179">
            <v>201</v>
          </cell>
          <cell r="D179" t="str">
            <v>PAG01</v>
          </cell>
          <cell r="G179">
            <v>300</v>
          </cell>
        </row>
        <row r="180">
          <cell r="B180">
            <v>26220500</v>
          </cell>
          <cell r="C180">
            <v>201</v>
          </cell>
          <cell r="D180" t="str">
            <v>PCD04</v>
          </cell>
          <cell r="G180">
            <v>100</v>
          </cell>
        </row>
        <row r="181">
          <cell r="B181">
            <v>26220500</v>
          </cell>
          <cell r="C181">
            <v>201</v>
          </cell>
          <cell r="D181" t="str">
            <v>PCE01</v>
          </cell>
          <cell r="G181">
            <v>100</v>
          </cell>
        </row>
        <row r="182">
          <cell r="B182">
            <v>26220500</v>
          </cell>
          <cell r="C182">
            <v>201</v>
          </cell>
          <cell r="D182" t="str">
            <v>PCN06</v>
          </cell>
          <cell r="G182">
            <v>600</v>
          </cell>
        </row>
        <row r="183">
          <cell r="B183">
            <v>26220500</v>
          </cell>
          <cell r="C183">
            <v>201</v>
          </cell>
          <cell r="D183" t="str">
            <v>PFI04</v>
          </cell>
          <cell r="G183">
            <v>655.96</v>
          </cell>
        </row>
        <row r="184">
          <cell r="B184">
            <v>26220500</v>
          </cell>
          <cell r="C184">
            <v>201</v>
          </cell>
          <cell r="D184" t="str">
            <v>PGP01</v>
          </cell>
          <cell r="G184">
            <v>50000</v>
          </cell>
        </row>
        <row r="185">
          <cell r="B185">
            <v>26220500</v>
          </cell>
          <cell r="C185">
            <v>201</v>
          </cell>
          <cell r="D185" t="str">
            <v>PPR01</v>
          </cell>
        </row>
        <row r="186">
          <cell r="B186">
            <v>26220500</v>
          </cell>
          <cell r="C186">
            <v>201</v>
          </cell>
          <cell r="D186" t="str">
            <v>PSO02</v>
          </cell>
          <cell r="G186">
            <v>600</v>
          </cell>
        </row>
        <row r="187">
          <cell r="B187">
            <v>26220500</v>
          </cell>
          <cell r="C187">
            <v>201</v>
          </cell>
          <cell r="D187" t="str">
            <v>PSO03</v>
          </cell>
          <cell r="G187">
            <v>0</v>
          </cell>
        </row>
        <row r="188">
          <cell r="B188">
            <v>26220500</v>
          </cell>
          <cell r="C188">
            <v>201</v>
          </cell>
          <cell r="D188" t="str">
            <v>PSO04</v>
          </cell>
        </row>
        <row r="189">
          <cell r="B189">
            <v>26220500</v>
          </cell>
          <cell r="C189">
            <v>201</v>
          </cell>
          <cell r="D189" t="str">
            <v>PSO05</v>
          </cell>
        </row>
        <row r="190">
          <cell r="B190">
            <v>26220500</v>
          </cell>
          <cell r="C190">
            <v>201</v>
          </cell>
          <cell r="D190" t="str">
            <v>PSO06</v>
          </cell>
          <cell r="G190">
            <v>500</v>
          </cell>
        </row>
        <row r="191">
          <cell r="B191">
            <v>26905000</v>
          </cell>
          <cell r="C191">
            <v>270</v>
          </cell>
          <cell r="D191" t="str">
            <v>PFO07</v>
          </cell>
          <cell r="G191">
            <v>-24008026.199999999</v>
          </cell>
        </row>
        <row r="192">
          <cell r="B192">
            <v>26905000</v>
          </cell>
          <cell r="C192">
            <v>270</v>
          </cell>
          <cell r="D192" t="str">
            <v>PFO08</v>
          </cell>
          <cell r="G192">
            <v>-24008.03</v>
          </cell>
        </row>
        <row r="193">
          <cell r="B193">
            <v>26905000</v>
          </cell>
          <cell r="C193">
            <v>201</v>
          </cell>
          <cell r="D193" t="str">
            <v>PFR03</v>
          </cell>
          <cell r="G193">
            <v>0.01</v>
          </cell>
        </row>
        <row r="194">
          <cell r="B194">
            <v>26905000</v>
          </cell>
          <cell r="C194">
            <v>201</v>
          </cell>
          <cell r="D194" t="str">
            <v>PFR04</v>
          </cell>
          <cell r="G194">
            <v>-0.01</v>
          </cell>
        </row>
        <row r="195">
          <cell r="B195">
            <v>26905000</v>
          </cell>
          <cell r="C195">
            <v>201</v>
          </cell>
          <cell r="D195" t="str">
            <v>PGI02</v>
          </cell>
          <cell r="G195">
            <v>-1443106</v>
          </cell>
        </row>
        <row r="196">
          <cell r="B196">
            <v>26905000</v>
          </cell>
          <cell r="C196">
            <v>201</v>
          </cell>
          <cell r="D196" t="str">
            <v>PGP01</v>
          </cell>
          <cell r="G196">
            <v>-8522500</v>
          </cell>
        </row>
        <row r="197">
          <cell r="B197">
            <v>26905000</v>
          </cell>
          <cell r="C197">
            <v>201</v>
          </cell>
          <cell r="D197" t="str">
            <v>PPR03</v>
          </cell>
          <cell r="G197">
            <v>-29493921.34</v>
          </cell>
        </row>
        <row r="198">
          <cell r="B198">
            <v>26905000</v>
          </cell>
          <cell r="C198">
            <v>201</v>
          </cell>
          <cell r="D198" t="str">
            <v>PPR06</v>
          </cell>
          <cell r="G198">
            <v>-2651314.7400000002</v>
          </cell>
        </row>
        <row r="199">
          <cell r="B199">
            <v>26905000</v>
          </cell>
          <cell r="C199">
            <v>201</v>
          </cell>
          <cell r="D199" t="str">
            <v>PPR07</v>
          </cell>
          <cell r="G199">
            <v>-2222579.92</v>
          </cell>
        </row>
        <row r="200">
          <cell r="B200">
            <v>26905000</v>
          </cell>
          <cell r="C200">
            <v>201</v>
          </cell>
          <cell r="D200" t="str">
            <v>PSI03</v>
          </cell>
        </row>
        <row r="201">
          <cell r="B201">
            <v>29113100</v>
          </cell>
          <cell r="C201">
            <v>122</v>
          </cell>
          <cell r="D201" t="str">
            <v>PAS02</v>
          </cell>
          <cell r="G201">
            <v>-8428732.8800000008</v>
          </cell>
        </row>
        <row r="202">
          <cell r="B202">
            <v>29113100</v>
          </cell>
          <cell r="C202">
            <v>208</v>
          </cell>
          <cell r="D202" t="str">
            <v>PAS02</v>
          </cell>
          <cell r="G202">
            <v>-7490731.0199999996</v>
          </cell>
        </row>
        <row r="203">
          <cell r="B203">
            <v>29113100</v>
          </cell>
          <cell r="C203">
            <v>220</v>
          </cell>
          <cell r="D203" t="str">
            <v>PAS02</v>
          </cell>
          <cell r="G203">
            <v>-2497802.79</v>
          </cell>
        </row>
        <row r="204">
          <cell r="B204">
            <v>29113100</v>
          </cell>
          <cell r="C204">
            <v>234</v>
          </cell>
          <cell r="D204" t="str">
            <v>PCO01</v>
          </cell>
          <cell r="G204">
            <v>0</v>
          </cell>
        </row>
        <row r="205">
          <cell r="B205">
            <v>29113100</v>
          </cell>
          <cell r="C205">
            <v>236</v>
          </cell>
          <cell r="D205" t="str">
            <v>PCO01</v>
          </cell>
          <cell r="G205">
            <v>0</v>
          </cell>
        </row>
        <row r="206">
          <cell r="B206">
            <v>29113100</v>
          </cell>
          <cell r="C206">
            <v>270</v>
          </cell>
          <cell r="D206" t="str">
            <v>PDE01</v>
          </cell>
          <cell r="G206">
            <v>0</v>
          </cell>
        </row>
        <row r="207">
          <cell r="B207">
            <v>29113100</v>
          </cell>
          <cell r="C207">
            <v>201</v>
          </cell>
          <cell r="D207" t="str">
            <v>PPB01</v>
          </cell>
          <cell r="G207">
            <v>0</v>
          </cell>
        </row>
        <row r="208">
          <cell r="B208">
            <v>29113100</v>
          </cell>
          <cell r="C208">
            <v>234</v>
          </cell>
          <cell r="D208" t="str">
            <v>PPI03</v>
          </cell>
          <cell r="G208">
            <v>0</v>
          </cell>
        </row>
        <row r="209">
          <cell r="B209">
            <v>29113100</v>
          </cell>
          <cell r="C209">
            <v>236</v>
          </cell>
          <cell r="D209" t="str">
            <v>PPI03</v>
          </cell>
          <cell r="G209">
            <v>0</v>
          </cell>
        </row>
        <row r="210">
          <cell r="B210">
            <v>29113100</v>
          </cell>
          <cell r="C210">
            <v>270</v>
          </cell>
          <cell r="D210" t="str">
            <v>PPI04</v>
          </cell>
          <cell r="G210">
            <v>-2844805</v>
          </cell>
        </row>
        <row r="211">
          <cell r="B211">
            <v>29113100</v>
          </cell>
          <cell r="C211">
            <v>201</v>
          </cell>
          <cell r="D211" t="str">
            <v>PSA02</v>
          </cell>
          <cell r="G211">
            <v>-30923.9</v>
          </cell>
        </row>
        <row r="212">
          <cell r="B212">
            <v>29113100</v>
          </cell>
          <cell r="C212">
            <v>201</v>
          </cell>
          <cell r="D212" t="str">
            <v>PSO04</v>
          </cell>
          <cell r="G212">
            <v>-73250000</v>
          </cell>
        </row>
        <row r="213">
          <cell r="B213">
            <v>29113100</v>
          </cell>
          <cell r="C213">
            <v>201</v>
          </cell>
          <cell r="D213" t="str">
            <v>PSO05</v>
          </cell>
          <cell r="G213">
            <v>-134420061</v>
          </cell>
        </row>
        <row r="214">
          <cell r="B214">
            <v>29330510</v>
          </cell>
          <cell r="C214">
            <v>201</v>
          </cell>
          <cell r="D214" t="str">
            <v>PBD01</v>
          </cell>
          <cell r="G214">
            <v>-272000</v>
          </cell>
        </row>
        <row r="215">
          <cell r="B215">
            <v>29330510</v>
          </cell>
          <cell r="C215">
            <v>201</v>
          </cell>
          <cell r="D215" t="str">
            <v>PCA01</v>
          </cell>
          <cell r="G215">
            <v>-606970</v>
          </cell>
        </row>
        <row r="216">
          <cell r="B216">
            <v>29330510</v>
          </cell>
          <cell r="C216">
            <v>201</v>
          </cell>
          <cell r="D216" t="str">
            <v>PCE01</v>
          </cell>
          <cell r="G216">
            <v>-873876.57</v>
          </cell>
        </row>
        <row r="217">
          <cell r="B217">
            <v>29330510</v>
          </cell>
          <cell r="C217">
            <v>201</v>
          </cell>
          <cell r="D217" t="str">
            <v>PSO04</v>
          </cell>
        </row>
        <row r="218">
          <cell r="B218">
            <v>29330510</v>
          </cell>
          <cell r="C218">
            <v>201</v>
          </cell>
          <cell r="D218" t="str">
            <v>PSO05</v>
          </cell>
        </row>
        <row r="219">
          <cell r="B219">
            <v>29600000</v>
          </cell>
          <cell r="C219">
            <v>201</v>
          </cell>
          <cell r="D219" t="str">
            <v>PAV01</v>
          </cell>
          <cell r="G219">
            <v>0</v>
          </cell>
        </row>
        <row r="220">
          <cell r="B220">
            <v>29600000</v>
          </cell>
          <cell r="C220">
            <v>201</v>
          </cell>
          <cell r="D220" t="str">
            <v>PAV02</v>
          </cell>
          <cell r="G220">
            <v>0</v>
          </cell>
        </row>
        <row r="221">
          <cell r="B221">
            <v>29600000</v>
          </cell>
          <cell r="C221">
            <v>270</v>
          </cell>
          <cell r="D221" t="str">
            <v>PAV02</v>
          </cell>
        </row>
        <row r="222">
          <cell r="B222">
            <v>29600000</v>
          </cell>
          <cell r="C222">
            <v>201</v>
          </cell>
          <cell r="D222" t="str">
            <v>PCI02</v>
          </cell>
          <cell r="G222">
            <v>-41441513.039999999</v>
          </cell>
        </row>
        <row r="223">
          <cell r="B223">
            <v>29600000</v>
          </cell>
          <cell r="C223">
            <v>209</v>
          </cell>
          <cell r="D223" t="str">
            <v>PCI02</v>
          </cell>
          <cell r="G223">
            <v>-15127200</v>
          </cell>
        </row>
        <row r="224">
          <cell r="B224">
            <v>29600000</v>
          </cell>
          <cell r="C224">
            <v>201</v>
          </cell>
          <cell r="D224" t="str">
            <v>PCI04</v>
          </cell>
        </row>
        <row r="225">
          <cell r="B225">
            <v>29600000</v>
          </cell>
          <cell r="C225">
            <v>201</v>
          </cell>
          <cell r="D225" t="str">
            <v>PCN03</v>
          </cell>
          <cell r="G225">
            <v>-93474451.370000005</v>
          </cell>
        </row>
        <row r="226">
          <cell r="B226">
            <v>29600000</v>
          </cell>
          <cell r="C226">
            <v>270</v>
          </cell>
          <cell r="D226" t="str">
            <v>PIM01</v>
          </cell>
          <cell r="G226">
            <v>-1016890</v>
          </cell>
        </row>
        <row r="227">
          <cell r="B227">
            <v>29600000</v>
          </cell>
          <cell r="C227">
            <v>270</v>
          </cell>
          <cell r="D227" t="str">
            <v>PMO01</v>
          </cell>
          <cell r="G227">
            <v>0</v>
          </cell>
        </row>
        <row r="228">
          <cell r="B228">
            <v>29600000</v>
          </cell>
          <cell r="C228">
            <v>201</v>
          </cell>
          <cell r="D228" t="str">
            <v>PSC02</v>
          </cell>
          <cell r="G228">
            <v>-22905077.100000001</v>
          </cell>
        </row>
        <row r="229">
          <cell r="B229">
            <v>29600000</v>
          </cell>
          <cell r="C229">
            <v>201</v>
          </cell>
          <cell r="D229" t="str">
            <v>PSP01</v>
          </cell>
          <cell r="G229">
            <v>-392338.62</v>
          </cell>
        </row>
        <row r="230">
          <cell r="B230">
            <v>29600000</v>
          </cell>
          <cell r="C230">
            <v>270</v>
          </cell>
          <cell r="D230" t="str">
            <v>PVE01</v>
          </cell>
          <cell r="G230">
            <v>0</v>
          </cell>
        </row>
        <row r="231">
          <cell r="B231">
            <v>29600000</v>
          </cell>
          <cell r="C231">
            <v>201</v>
          </cell>
          <cell r="D231" t="str">
            <v>PVI01</v>
          </cell>
        </row>
        <row r="232">
          <cell r="B232">
            <v>53000000</v>
          </cell>
          <cell r="C232">
            <v>201</v>
          </cell>
          <cell r="D232" t="str">
            <v>PCN01</v>
          </cell>
          <cell r="G232">
            <v>3749500</v>
          </cell>
        </row>
        <row r="233">
          <cell r="B233">
            <v>53220500</v>
          </cell>
          <cell r="C233">
            <v>201</v>
          </cell>
          <cell r="D233" t="str">
            <v>PCN01</v>
          </cell>
          <cell r="G233">
            <v>500</v>
          </cell>
        </row>
      </sheetData>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Set>
  </externalBook>
</externalLink>
</file>

<file path=xl/externalLinks/externalLink2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Feuil3"/>
      <sheetName val="A5"/>
      <sheetName val="EXPERTISE"/>
      <sheetName val="BALANCE"/>
      <sheetName val="BALANCES"/>
    </sheetNames>
    <sheetDataSet>
      <sheetData sheetId="0" refreshError="1"/>
      <sheetData sheetId="1" refreshError="1"/>
      <sheetData sheetId="2" refreshError="1">
        <row r="2">
          <cell r="C2" t="str">
            <v>I0132</v>
          </cell>
          <cell r="I2">
            <v>220000000</v>
          </cell>
        </row>
        <row r="3">
          <cell r="C3" t="str">
            <v>I0134</v>
          </cell>
          <cell r="I3">
            <v>68000000</v>
          </cell>
        </row>
        <row r="4">
          <cell r="C4" t="str">
            <v>I0136</v>
          </cell>
          <cell r="I4">
            <v>42000000</v>
          </cell>
        </row>
        <row r="5">
          <cell r="C5" t="str">
            <v>I0138</v>
          </cell>
          <cell r="I5">
            <v>87090000</v>
          </cell>
        </row>
        <row r="6">
          <cell r="C6" t="str">
            <v>I0206</v>
          </cell>
          <cell r="I6">
            <v>3010000</v>
          </cell>
        </row>
        <row r="7">
          <cell r="C7" t="str">
            <v>I0142</v>
          </cell>
          <cell r="I7">
            <v>240000000</v>
          </cell>
        </row>
        <row r="8">
          <cell r="C8" t="str">
            <v>I0144</v>
          </cell>
          <cell r="I8">
            <v>7300000</v>
          </cell>
        </row>
        <row r="9">
          <cell r="C9" t="str">
            <v>I0145</v>
          </cell>
          <cell r="I9">
            <v>26000000</v>
          </cell>
        </row>
        <row r="10">
          <cell r="C10" t="str">
            <v>I0150</v>
          </cell>
          <cell r="I10">
            <v>74500000</v>
          </cell>
        </row>
        <row r="11">
          <cell r="C11" t="str">
            <v>I0153</v>
          </cell>
          <cell r="I11">
            <v>40000000</v>
          </cell>
        </row>
        <row r="12">
          <cell r="C12" t="str">
            <v>I0157</v>
          </cell>
          <cell r="I12">
            <v>49700000</v>
          </cell>
        </row>
        <row r="13">
          <cell r="C13" t="str">
            <v>I0161</v>
          </cell>
          <cell r="I13">
            <v>47200000</v>
          </cell>
        </row>
        <row r="14">
          <cell r="C14" t="str">
            <v>I0166</v>
          </cell>
          <cell r="I14">
            <v>38000000</v>
          </cell>
        </row>
        <row r="15">
          <cell r="C15" t="str">
            <v>I0187</v>
          </cell>
          <cell r="I15">
            <v>31500000</v>
          </cell>
        </row>
        <row r="16">
          <cell r="C16" t="str">
            <v>I0203</v>
          </cell>
          <cell r="I16">
            <v>31000000</v>
          </cell>
        </row>
        <row r="17">
          <cell r="C17" t="str">
            <v>I0209</v>
          </cell>
          <cell r="I17">
            <v>64000000</v>
          </cell>
        </row>
        <row r="18">
          <cell r="C18" t="str">
            <v>I0210</v>
          </cell>
          <cell r="I18">
            <v>13000000</v>
          </cell>
        </row>
        <row r="19">
          <cell r="C19" t="str">
            <v>I0214</v>
          </cell>
          <cell r="I19">
            <v>55000000</v>
          </cell>
        </row>
        <row r="20">
          <cell r="C20" t="str">
            <v>I0221</v>
          </cell>
          <cell r="I20">
            <v>38800000</v>
          </cell>
        </row>
        <row r="21">
          <cell r="C21" t="str">
            <v>I0227</v>
          </cell>
          <cell r="I21">
            <v>15800000</v>
          </cell>
        </row>
        <row r="22">
          <cell r="C22" t="str">
            <v>I0240</v>
          </cell>
          <cell r="I22">
            <v>130000000</v>
          </cell>
        </row>
        <row r="23">
          <cell r="C23" t="str">
            <v>I0241</v>
          </cell>
          <cell r="I23">
            <v>46500000</v>
          </cell>
        </row>
        <row r="24">
          <cell r="C24" t="str">
            <v>I0244</v>
          </cell>
          <cell r="I24">
            <v>508400000</v>
          </cell>
        </row>
        <row r="25">
          <cell r="C25" t="str">
            <v>I0245</v>
          </cell>
          <cell r="I25">
            <v>18000000</v>
          </cell>
        </row>
        <row r="26">
          <cell r="C26" t="str">
            <v>I0246</v>
          </cell>
          <cell r="I26">
            <v>232900000</v>
          </cell>
        </row>
        <row r="27">
          <cell r="C27" t="str">
            <v>I0259</v>
          </cell>
          <cell r="I27">
            <v>75000000</v>
          </cell>
        </row>
        <row r="28">
          <cell r="C28" t="str">
            <v>I0271</v>
          </cell>
          <cell r="I28">
            <v>56070000</v>
          </cell>
        </row>
        <row r="29">
          <cell r="C29" t="str">
            <v>I0294</v>
          </cell>
          <cell r="I29">
            <v>83400000</v>
          </cell>
        </row>
        <row r="30">
          <cell r="C30" t="str">
            <v>I0402</v>
          </cell>
          <cell r="I30">
            <v>57200000</v>
          </cell>
        </row>
        <row r="31">
          <cell r="C31" t="str">
            <v>I0428</v>
          </cell>
          <cell r="I31">
            <v>122000000</v>
          </cell>
        </row>
        <row r="32">
          <cell r="C32" t="str">
            <v>I0447</v>
          </cell>
          <cell r="I32">
            <v>79000000</v>
          </cell>
        </row>
        <row r="33">
          <cell r="C33" t="str">
            <v>I0461</v>
          </cell>
          <cell r="I33">
            <v>179300000</v>
          </cell>
        </row>
        <row r="34">
          <cell r="C34" t="str">
            <v>I0466</v>
          </cell>
          <cell r="I34">
            <v>205400000</v>
          </cell>
        </row>
        <row r="35">
          <cell r="C35" t="str">
            <v>I0513</v>
          </cell>
          <cell r="I35">
            <v>5500000</v>
          </cell>
        </row>
        <row r="36">
          <cell r="C36" t="str">
            <v>I0805</v>
          </cell>
          <cell r="I36">
            <v>46000000</v>
          </cell>
        </row>
        <row r="37">
          <cell r="C37" t="str">
            <v>I0812</v>
          </cell>
          <cell r="I37">
            <v>9000000</v>
          </cell>
        </row>
        <row r="38">
          <cell r="C38" t="str">
            <v>I0400</v>
          </cell>
          <cell r="I38">
            <v>4900000</v>
          </cell>
        </row>
        <row r="39">
          <cell r="C39" t="str">
            <v>I0427</v>
          </cell>
          <cell r="I39">
            <v>9500000</v>
          </cell>
        </row>
        <row r="40">
          <cell r="C40" t="str">
            <v>I0137</v>
          </cell>
          <cell r="I40">
            <v>9700000</v>
          </cell>
        </row>
        <row r="41">
          <cell r="C41" t="str">
            <v>I0511</v>
          </cell>
          <cell r="I41">
            <v>21000000</v>
          </cell>
        </row>
        <row r="42">
          <cell r="C42" t="str">
            <v>I0810</v>
          </cell>
          <cell r="I42">
            <v>100000000</v>
          </cell>
        </row>
        <row r="43">
          <cell r="C43" t="str">
            <v>I0151</v>
          </cell>
          <cell r="I43">
            <v>36000000</v>
          </cell>
        </row>
        <row r="44">
          <cell r="C44" t="str">
            <v>I0200</v>
          </cell>
          <cell r="I44">
            <v>25000000</v>
          </cell>
        </row>
        <row r="45">
          <cell r="C45" t="str">
            <v>I0430</v>
          </cell>
          <cell r="I45">
            <v>9000000</v>
          </cell>
        </row>
        <row r="46">
          <cell r="C46" t="str">
            <v>I0804</v>
          </cell>
          <cell r="I46">
            <v>176100000</v>
          </cell>
        </row>
        <row r="47">
          <cell r="C47" t="str">
            <v>I0340</v>
          </cell>
          <cell r="I47">
            <v>26000000</v>
          </cell>
        </row>
        <row r="48">
          <cell r="C48" t="str">
            <v>I0519</v>
          </cell>
          <cell r="I48">
            <v>145000000</v>
          </cell>
        </row>
        <row r="49">
          <cell r="C49" t="str">
            <v>I0802</v>
          </cell>
          <cell r="I49">
            <v>77000000</v>
          </cell>
        </row>
        <row r="50">
          <cell r="C50" t="str">
            <v>I0809</v>
          </cell>
          <cell r="I50">
            <v>62000000</v>
          </cell>
        </row>
        <row r="51">
          <cell r="C51" t="str">
            <v>I0814</v>
          </cell>
          <cell r="I51">
            <v>32400000</v>
          </cell>
        </row>
        <row r="52">
          <cell r="C52" t="str">
            <v>I0815</v>
          </cell>
          <cell r="I52">
            <v>41000000</v>
          </cell>
        </row>
        <row r="53">
          <cell r="C53" t="str">
            <v>I0816</v>
          </cell>
          <cell r="I53">
            <v>113000000</v>
          </cell>
        </row>
        <row r="54">
          <cell r="C54" t="str">
            <v>I0813</v>
          </cell>
          <cell r="I54">
            <v>66500000</v>
          </cell>
        </row>
        <row r="55">
          <cell r="C55" t="str">
            <v>I0811</v>
          </cell>
          <cell r="I55">
            <v>87800000</v>
          </cell>
        </row>
        <row r="56">
          <cell r="C56" t="str">
            <v>I0807</v>
          </cell>
          <cell r="I56">
            <v>128000000</v>
          </cell>
        </row>
        <row r="57">
          <cell r="C57" t="str">
            <v>I0806</v>
          </cell>
          <cell r="I57">
            <v>44000000</v>
          </cell>
        </row>
        <row r="58">
          <cell r="C58" t="str">
            <v>F0086</v>
          </cell>
          <cell r="I58">
            <v>6719000</v>
          </cell>
        </row>
        <row r="59">
          <cell r="C59" t="str">
            <v>F0097</v>
          </cell>
          <cell r="I59">
            <v>8919000</v>
          </cell>
        </row>
        <row r="60">
          <cell r="C60" t="str">
            <v>F0103</v>
          </cell>
          <cell r="I60">
            <v>10803000</v>
          </cell>
        </row>
        <row r="61">
          <cell r="C61" t="str">
            <v>F0106</v>
          </cell>
          <cell r="I61">
            <v>14437000</v>
          </cell>
        </row>
        <row r="62">
          <cell r="C62" t="str">
            <v>F0118</v>
          </cell>
          <cell r="I62">
            <v>2653000</v>
          </cell>
        </row>
        <row r="63">
          <cell r="C63" t="str">
            <v>F0127</v>
          </cell>
          <cell r="I63">
            <v>12954000</v>
          </cell>
        </row>
        <row r="64">
          <cell r="C64" t="str">
            <v>F0128</v>
          </cell>
          <cell r="I64">
            <v>2167000</v>
          </cell>
        </row>
        <row r="65">
          <cell r="C65" t="str">
            <v>F0138</v>
          </cell>
          <cell r="I65">
            <v>1021000</v>
          </cell>
        </row>
        <row r="66">
          <cell r="C66" t="str">
            <v>F0141</v>
          </cell>
          <cell r="I66">
            <v>1341000</v>
          </cell>
        </row>
        <row r="67">
          <cell r="C67" t="str">
            <v>F0156</v>
          </cell>
          <cell r="I67">
            <v>5979000</v>
          </cell>
        </row>
        <row r="68">
          <cell r="C68" t="str">
            <v>F0164</v>
          </cell>
          <cell r="I68">
            <v>2315000</v>
          </cell>
        </row>
        <row r="69">
          <cell r="C69" t="str">
            <v>F0167</v>
          </cell>
          <cell r="I69">
            <v>1779000</v>
          </cell>
        </row>
        <row r="70">
          <cell r="C70" t="str">
            <v>F0171</v>
          </cell>
          <cell r="I70">
            <v>13724000</v>
          </cell>
        </row>
        <row r="71">
          <cell r="C71" t="str">
            <v>F0176</v>
          </cell>
          <cell r="I71">
            <v>1210000</v>
          </cell>
        </row>
        <row r="72">
          <cell r="C72" t="str">
            <v>F0189</v>
          </cell>
          <cell r="I72">
            <v>19731000</v>
          </cell>
        </row>
        <row r="73">
          <cell r="C73" t="str">
            <v>F0191</v>
          </cell>
          <cell r="I73">
            <v>8203000</v>
          </cell>
        </row>
        <row r="74">
          <cell r="C74" t="str">
            <v>F0194</v>
          </cell>
          <cell r="I74">
            <v>2970000</v>
          </cell>
        </row>
        <row r="75">
          <cell r="C75" t="str">
            <v>F0195</v>
          </cell>
          <cell r="I75">
            <v>4486000</v>
          </cell>
        </row>
        <row r="76">
          <cell r="C76" t="str">
            <v>F0196</v>
          </cell>
          <cell r="I76">
            <v>2032000</v>
          </cell>
        </row>
        <row r="77">
          <cell r="C77" t="str">
            <v>F0211</v>
          </cell>
          <cell r="I77">
            <v>41323000</v>
          </cell>
        </row>
        <row r="78">
          <cell r="C78" t="str">
            <v>F0212</v>
          </cell>
          <cell r="I78">
            <v>12055000</v>
          </cell>
        </row>
        <row r="79">
          <cell r="C79" t="str">
            <v>F0223</v>
          </cell>
          <cell r="I79">
            <v>1744000</v>
          </cell>
        </row>
        <row r="80">
          <cell r="C80" t="str">
            <v>F0102</v>
          </cell>
          <cell r="I80">
            <v>3030000</v>
          </cell>
        </row>
        <row r="81">
          <cell r="C81" t="str">
            <v>F0111</v>
          </cell>
          <cell r="I81">
            <v>9910000</v>
          </cell>
        </row>
        <row r="82">
          <cell r="C82" t="str">
            <v>F0136</v>
          </cell>
          <cell r="I82">
            <v>32720000</v>
          </cell>
        </row>
        <row r="83">
          <cell r="C83" t="str">
            <v>F0220</v>
          </cell>
          <cell r="I83">
            <v>7120000</v>
          </cell>
        </row>
        <row r="84">
          <cell r="C84" t="str">
            <v>F0168</v>
          </cell>
          <cell r="I84">
            <v>22720000</v>
          </cell>
        </row>
        <row r="85">
          <cell r="C85" t="str">
            <v>F0085</v>
          </cell>
          <cell r="I85">
            <v>9620000</v>
          </cell>
        </row>
        <row r="86">
          <cell r="C86" t="str">
            <v>F0217</v>
          </cell>
          <cell r="I86">
            <v>5690000</v>
          </cell>
        </row>
        <row r="87">
          <cell r="C87" t="str">
            <v>F0362</v>
          </cell>
          <cell r="I87">
            <v>10690000</v>
          </cell>
        </row>
        <row r="88">
          <cell r="C88" t="str">
            <v>F0098</v>
          </cell>
          <cell r="I88">
            <v>2660000</v>
          </cell>
        </row>
        <row r="89">
          <cell r="C89" t="str">
            <v>F0204</v>
          </cell>
          <cell r="I89">
            <v>18390000</v>
          </cell>
        </row>
        <row r="90">
          <cell r="C90" t="str">
            <v>F0129</v>
          </cell>
          <cell r="I90">
            <v>2120000</v>
          </cell>
        </row>
        <row r="91">
          <cell r="C91" t="str">
            <v>F0143</v>
          </cell>
          <cell r="I91">
            <v>6570000</v>
          </cell>
        </row>
        <row r="92">
          <cell r="C92" t="str">
            <v>F0174</v>
          </cell>
          <cell r="I92">
            <v>79970000</v>
          </cell>
        </row>
        <row r="93">
          <cell r="C93" t="str">
            <v>F0125</v>
          </cell>
          <cell r="I93">
            <v>2430000</v>
          </cell>
        </row>
        <row r="94">
          <cell r="C94" t="str">
            <v>F0114</v>
          </cell>
          <cell r="I94">
            <v>6260000</v>
          </cell>
        </row>
        <row r="95">
          <cell r="C95" t="str">
            <v>F0182</v>
          </cell>
          <cell r="I95">
            <v>9980000</v>
          </cell>
        </row>
        <row r="96">
          <cell r="C96" t="str">
            <v>F0201</v>
          </cell>
          <cell r="I96">
            <v>2650000</v>
          </cell>
        </row>
        <row r="97">
          <cell r="C97" t="str">
            <v>F0203</v>
          </cell>
          <cell r="I97">
            <v>10050000</v>
          </cell>
        </row>
        <row r="98">
          <cell r="C98" t="str">
            <v>F0137</v>
          </cell>
          <cell r="I98">
            <v>2110000</v>
          </cell>
        </row>
        <row r="99">
          <cell r="C99" t="str">
            <v>F0120</v>
          </cell>
          <cell r="I99">
            <v>3060000</v>
          </cell>
        </row>
        <row r="100">
          <cell r="C100" t="str">
            <v>F0197</v>
          </cell>
          <cell r="I100">
            <v>3980000</v>
          </cell>
        </row>
        <row r="101">
          <cell r="C101" t="str">
            <v>F0172</v>
          </cell>
          <cell r="I101">
            <v>4990000</v>
          </cell>
        </row>
        <row r="102">
          <cell r="C102" t="str">
            <v>F0161</v>
          </cell>
          <cell r="I102">
            <v>2560000</v>
          </cell>
        </row>
        <row r="103">
          <cell r="C103" t="str">
            <v>F0179</v>
          </cell>
          <cell r="I103">
            <v>3610000</v>
          </cell>
        </row>
        <row r="104">
          <cell r="C104" t="str">
            <v>F0207</v>
          </cell>
          <cell r="I104">
            <v>2740000</v>
          </cell>
        </row>
        <row r="105">
          <cell r="C105" t="str">
            <v>F0208</v>
          </cell>
          <cell r="I105">
            <v>11640000</v>
          </cell>
        </row>
        <row r="106">
          <cell r="C106" t="str">
            <v>F0109</v>
          </cell>
          <cell r="I106">
            <v>8730000</v>
          </cell>
        </row>
        <row r="107">
          <cell r="C107" t="str">
            <v>F0184</v>
          </cell>
          <cell r="I107">
            <v>2490000</v>
          </cell>
        </row>
        <row r="108">
          <cell r="C108" t="str">
            <v>F0216</v>
          </cell>
          <cell r="I108">
            <v>11120000</v>
          </cell>
        </row>
        <row r="109">
          <cell r="C109" t="str">
            <v>F0218</v>
          </cell>
          <cell r="I109">
            <v>5920000</v>
          </cell>
        </row>
        <row r="110">
          <cell r="C110" t="str">
            <v>F0209</v>
          </cell>
          <cell r="I110">
            <v>440000</v>
          </cell>
        </row>
        <row r="111">
          <cell r="C111" t="str">
            <v>F0134</v>
          </cell>
          <cell r="I111">
            <v>670000</v>
          </cell>
        </row>
        <row r="112">
          <cell r="C112" t="str">
            <v>F0185</v>
          </cell>
          <cell r="I112">
            <v>1890000</v>
          </cell>
        </row>
        <row r="113">
          <cell r="C113" t="str">
            <v>F0219</v>
          </cell>
          <cell r="I113">
            <v>251454.37</v>
          </cell>
        </row>
      </sheetData>
      <sheetData sheetId="3" refreshError="1">
        <row r="2">
          <cell r="B2">
            <v>21021000</v>
          </cell>
          <cell r="G2">
            <v>1743817.76</v>
          </cell>
        </row>
        <row r="3">
          <cell r="B3">
            <v>21021000</v>
          </cell>
          <cell r="G3">
            <v>737515.98</v>
          </cell>
        </row>
        <row r="4">
          <cell r="B4">
            <v>21021000</v>
          </cell>
          <cell r="G4">
            <v>2233763.4700000002</v>
          </cell>
        </row>
        <row r="5">
          <cell r="B5">
            <v>21021000</v>
          </cell>
          <cell r="G5">
            <v>335317.09999999998</v>
          </cell>
        </row>
        <row r="6">
          <cell r="B6">
            <v>21021000</v>
          </cell>
          <cell r="G6">
            <v>0</v>
          </cell>
        </row>
        <row r="7">
          <cell r="B7">
            <v>21021000</v>
          </cell>
          <cell r="G7">
            <v>1127519.96</v>
          </cell>
        </row>
        <row r="8">
          <cell r="B8">
            <v>21021000</v>
          </cell>
          <cell r="G8">
            <v>1337861.33</v>
          </cell>
        </row>
        <row r="9">
          <cell r="B9">
            <v>21021000</v>
          </cell>
          <cell r="G9">
            <v>1332640.1399999999</v>
          </cell>
        </row>
        <row r="10">
          <cell r="B10">
            <v>21021000</v>
          </cell>
          <cell r="G10">
            <v>1252524.22</v>
          </cell>
        </row>
        <row r="11">
          <cell r="B11">
            <v>21021000</v>
          </cell>
          <cell r="G11">
            <v>1953948.16</v>
          </cell>
        </row>
        <row r="12">
          <cell r="B12">
            <v>21021000</v>
          </cell>
          <cell r="G12">
            <v>2234776.33</v>
          </cell>
        </row>
        <row r="13">
          <cell r="B13">
            <v>21021000</v>
          </cell>
          <cell r="G13">
            <v>0</v>
          </cell>
        </row>
        <row r="14">
          <cell r="B14">
            <v>21021000</v>
          </cell>
          <cell r="G14">
            <v>1127621.3</v>
          </cell>
        </row>
        <row r="15">
          <cell r="B15">
            <v>21021000</v>
          </cell>
          <cell r="G15">
            <v>441271.45</v>
          </cell>
        </row>
        <row r="16">
          <cell r="B16">
            <v>21021000</v>
          </cell>
          <cell r="G16">
            <v>487081.08</v>
          </cell>
        </row>
        <row r="17">
          <cell r="B17">
            <v>21021000</v>
          </cell>
          <cell r="G17">
            <v>5885978.9199999999</v>
          </cell>
        </row>
        <row r="18">
          <cell r="B18">
            <v>21021000</v>
          </cell>
          <cell r="G18">
            <v>791495.04</v>
          </cell>
        </row>
        <row r="19">
          <cell r="B19">
            <v>21021000</v>
          </cell>
          <cell r="G19">
            <v>1020908.11</v>
          </cell>
        </row>
        <row r="20">
          <cell r="B20">
            <v>21021000</v>
          </cell>
          <cell r="G20">
            <v>248305.8</v>
          </cell>
        </row>
        <row r="21">
          <cell r="B21">
            <v>21021000</v>
          </cell>
          <cell r="G21">
            <v>6742752.6900000004</v>
          </cell>
        </row>
        <row r="22">
          <cell r="B22">
            <v>21021000</v>
          </cell>
          <cell r="G22">
            <v>506248.98</v>
          </cell>
        </row>
        <row r="23">
          <cell r="B23">
            <v>21021000</v>
          </cell>
          <cell r="G23">
            <v>519011.44</v>
          </cell>
        </row>
        <row r="24">
          <cell r="B24">
            <v>21021000</v>
          </cell>
          <cell r="G24">
            <v>368057.87</v>
          </cell>
        </row>
        <row r="25">
          <cell r="B25">
            <v>21021000</v>
          </cell>
          <cell r="G25">
            <v>1572245.25</v>
          </cell>
        </row>
        <row r="26">
          <cell r="B26">
            <v>21021000</v>
          </cell>
          <cell r="G26">
            <v>0</v>
          </cell>
        </row>
        <row r="27">
          <cell r="B27">
            <v>21021000</v>
          </cell>
          <cell r="G27">
            <v>0</v>
          </cell>
        </row>
        <row r="28">
          <cell r="B28">
            <v>21021000</v>
          </cell>
          <cell r="G28">
            <v>2485193.61</v>
          </cell>
        </row>
        <row r="29">
          <cell r="B29">
            <v>21021000</v>
          </cell>
          <cell r="G29">
            <v>490168.34</v>
          </cell>
        </row>
        <row r="30">
          <cell r="B30">
            <v>21021000</v>
          </cell>
          <cell r="G30">
            <v>745164.23</v>
          </cell>
        </row>
        <row r="31">
          <cell r="B31">
            <v>21021000</v>
          </cell>
          <cell r="G31">
            <v>466383.4</v>
          </cell>
        </row>
        <row r="32">
          <cell r="B32">
            <v>21021000</v>
          </cell>
          <cell r="G32">
            <v>4083558.26</v>
          </cell>
        </row>
        <row r="33">
          <cell r="B33">
            <v>21021000</v>
          </cell>
          <cell r="G33">
            <v>5336827.25</v>
          </cell>
        </row>
        <row r="34">
          <cell r="B34">
            <v>21021000</v>
          </cell>
          <cell r="G34">
            <v>1494032.75</v>
          </cell>
        </row>
        <row r="35">
          <cell r="B35">
            <v>21021000</v>
          </cell>
          <cell r="G35">
            <v>0</v>
          </cell>
        </row>
        <row r="36">
          <cell r="B36">
            <v>21021000</v>
          </cell>
          <cell r="G36">
            <v>13696736.08</v>
          </cell>
        </row>
        <row r="37">
          <cell r="B37">
            <v>21021000</v>
          </cell>
          <cell r="G37">
            <v>234663.44</v>
          </cell>
        </row>
        <row r="38">
          <cell r="B38">
            <v>21021000</v>
          </cell>
          <cell r="G38">
            <v>852914.82</v>
          </cell>
        </row>
        <row r="39">
          <cell r="B39">
            <v>21021000</v>
          </cell>
          <cell r="G39">
            <v>2538403.65</v>
          </cell>
        </row>
        <row r="40">
          <cell r="B40">
            <v>21021000</v>
          </cell>
          <cell r="G40">
            <v>720622.19</v>
          </cell>
        </row>
        <row r="41">
          <cell r="B41">
            <v>21021000</v>
          </cell>
          <cell r="G41">
            <v>3753740.96</v>
          </cell>
        </row>
        <row r="42">
          <cell r="B42">
            <v>21021000</v>
          </cell>
          <cell r="G42">
            <v>5567124.9299999997</v>
          </cell>
        </row>
        <row r="43">
          <cell r="B43">
            <v>21021000</v>
          </cell>
          <cell r="G43">
            <v>1017076.98</v>
          </cell>
        </row>
        <row r="44">
          <cell r="B44">
            <v>21021000</v>
          </cell>
          <cell r="G44">
            <v>1457446.3</v>
          </cell>
        </row>
        <row r="45">
          <cell r="B45">
            <v>21021000</v>
          </cell>
          <cell r="G45">
            <v>1496022.05</v>
          </cell>
        </row>
        <row r="46">
          <cell r="B46">
            <v>21021000</v>
          </cell>
          <cell r="G46">
            <v>638569.93000000005</v>
          </cell>
        </row>
        <row r="47">
          <cell r="B47">
            <v>21021000</v>
          </cell>
          <cell r="G47">
            <v>515592.51</v>
          </cell>
        </row>
        <row r="48">
          <cell r="B48">
            <v>21021000</v>
          </cell>
          <cell r="G48">
            <v>739030.87</v>
          </cell>
        </row>
        <row r="49">
          <cell r="B49">
            <v>21021000</v>
          </cell>
          <cell r="G49">
            <v>0</v>
          </cell>
        </row>
        <row r="50">
          <cell r="B50">
            <v>21021000</v>
          </cell>
          <cell r="G50">
            <v>3111244.7</v>
          </cell>
        </row>
        <row r="51">
          <cell r="B51">
            <v>21021000</v>
          </cell>
          <cell r="G51">
            <v>5938074.4199999999</v>
          </cell>
        </row>
        <row r="52">
          <cell r="B52">
            <v>21021000</v>
          </cell>
          <cell r="G52">
            <v>769113.29</v>
          </cell>
        </row>
        <row r="53">
          <cell r="B53">
            <v>21021000</v>
          </cell>
          <cell r="G53">
            <v>1228259.06</v>
          </cell>
        </row>
        <row r="54">
          <cell r="B54">
            <v>21021000</v>
          </cell>
          <cell r="G54">
            <v>21068.080000000002</v>
          </cell>
        </row>
        <row r="55">
          <cell r="B55">
            <v>21021000</v>
          </cell>
          <cell r="G55">
            <v>12405142.17</v>
          </cell>
        </row>
        <row r="56">
          <cell r="B56">
            <v>21021000</v>
          </cell>
          <cell r="G56">
            <v>3796531.74</v>
          </cell>
        </row>
        <row r="57">
          <cell r="B57">
            <v>21021000</v>
          </cell>
          <cell r="G57">
            <v>1281239</v>
          </cell>
        </row>
        <row r="58">
          <cell r="B58">
            <v>21021000</v>
          </cell>
          <cell r="G58">
            <v>2113760.5299999998</v>
          </cell>
        </row>
        <row r="59">
          <cell r="B59">
            <v>21021000</v>
          </cell>
          <cell r="G59">
            <v>1288967.32</v>
          </cell>
        </row>
        <row r="60">
          <cell r="B60">
            <v>21021000</v>
          </cell>
          <cell r="G60">
            <v>30025.73</v>
          </cell>
        </row>
        <row r="61">
          <cell r="B61">
            <v>21021000</v>
          </cell>
          <cell r="G61">
            <v>1377310.44</v>
          </cell>
        </row>
        <row r="62">
          <cell r="B62">
            <v>21021000</v>
          </cell>
          <cell r="G62">
            <v>900822.02</v>
          </cell>
        </row>
        <row r="63">
          <cell r="B63">
            <v>21021000</v>
          </cell>
          <cell r="G63">
            <v>3470925</v>
          </cell>
        </row>
        <row r="64">
          <cell r="B64">
            <v>21021500</v>
          </cell>
          <cell r="G64">
            <v>17010</v>
          </cell>
        </row>
        <row r="65">
          <cell r="B65">
            <v>21021500</v>
          </cell>
          <cell r="G65">
            <v>4620</v>
          </cell>
        </row>
        <row r="66">
          <cell r="B66">
            <v>21021500</v>
          </cell>
          <cell r="G66">
            <v>14046</v>
          </cell>
        </row>
        <row r="67">
          <cell r="B67">
            <v>21021500</v>
          </cell>
          <cell r="G67">
            <v>360</v>
          </cell>
        </row>
        <row r="68">
          <cell r="B68">
            <v>21021500</v>
          </cell>
          <cell r="G68">
            <v>295457.03000000003</v>
          </cell>
        </row>
        <row r="69">
          <cell r="B69">
            <v>21021500</v>
          </cell>
          <cell r="G69">
            <v>4206.7</v>
          </cell>
        </row>
        <row r="70">
          <cell r="B70">
            <v>21021500</v>
          </cell>
          <cell r="G70">
            <v>32017</v>
          </cell>
        </row>
        <row r="71">
          <cell r="B71">
            <v>21021500</v>
          </cell>
          <cell r="G71">
            <v>11969.28</v>
          </cell>
        </row>
        <row r="72">
          <cell r="B72">
            <v>21021500</v>
          </cell>
          <cell r="G72">
            <v>450</v>
          </cell>
        </row>
        <row r="73">
          <cell r="B73">
            <v>21021500</v>
          </cell>
          <cell r="G73">
            <v>5266</v>
          </cell>
        </row>
        <row r="74">
          <cell r="B74">
            <v>21021500</v>
          </cell>
          <cell r="G74">
            <v>4151</v>
          </cell>
        </row>
        <row r="75">
          <cell r="B75">
            <v>21021500</v>
          </cell>
          <cell r="G75">
            <v>99108.39</v>
          </cell>
        </row>
        <row r="76">
          <cell r="B76">
            <v>21021500</v>
          </cell>
          <cell r="G76">
            <v>13200</v>
          </cell>
        </row>
        <row r="77">
          <cell r="B77">
            <v>21021500</v>
          </cell>
          <cell r="G77">
            <v>1640</v>
          </cell>
        </row>
        <row r="78">
          <cell r="B78">
            <v>21021500</v>
          </cell>
          <cell r="G78">
            <v>1680</v>
          </cell>
        </row>
        <row r="79">
          <cell r="B79">
            <v>21021500</v>
          </cell>
          <cell r="G79">
            <v>93447.679999999993</v>
          </cell>
        </row>
        <row r="80">
          <cell r="B80">
            <v>21021500</v>
          </cell>
          <cell r="G80">
            <v>29534.75</v>
          </cell>
        </row>
        <row r="81">
          <cell r="B81">
            <v>21021500</v>
          </cell>
          <cell r="G81">
            <v>41893.699999999997</v>
          </cell>
        </row>
        <row r="82">
          <cell r="B82">
            <v>21201000</v>
          </cell>
          <cell r="G82">
            <v>2297904</v>
          </cell>
        </row>
        <row r="83">
          <cell r="B83">
            <v>21201000</v>
          </cell>
          <cell r="G83">
            <v>3700000</v>
          </cell>
        </row>
        <row r="84">
          <cell r="B84">
            <v>21201000</v>
          </cell>
          <cell r="G84">
            <v>12335220</v>
          </cell>
        </row>
        <row r="85">
          <cell r="B85">
            <v>21201000</v>
          </cell>
          <cell r="G85">
            <v>4476846.4000000004</v>
          </cell>
        </row>
        <row r="86">
          <cell r="B86">
            <v>21201000</v>
          </cell>
          <cell r="G86">
            <v>1388466</v>
          </cell>
        </row>
        <row r="87">
          <cell r="B87">
            <v>21201000</v>
          </cell>
          <cell r="G87">
            <v>23424800</v>
          </cell>
        </row>
        <row r="88">
          <cell r="B88">
            <v>21201000</v>
          </cell>
          <cell r="G88">
            <v>16655000</v>
          </cell>
        </row>
        <row r="89">
          <cell r="B89">
            <v>21201000</v>
          </cell>
          <cell r="G89">
            <v>290000</v>
          </cell>
        </row>
        <row r="90">
          <cell r="B90">
            <v>21201000</v>
          </cell>
          <cell r="G90">
            <v>10000000</v>
          </cell>
        </row>
        <row r="91">
          <cell r="B91">
            <v>21201000</v>
          </cell>
          <cell r="G91">
            <v>1700000</v>
          </cell>
        </row>
        <row r="92">
          <cell r="B92">
            <v>21201000</v>
          </cell>
          <cell r="G92">
            <v>46262242.329999998</v>
          </cell>
        </row>
        <row r="93">
          <cell r="B93">
            <v>21201000</v>
          </cell>
          <cell r="G93">
            <v>16753803.890000001</v>
          </cell>
        </row>
        <row r="94">
          <cell r="B94">
            <v>21201000</v>
          </cell>
          <cell r="G94">
            <v>16551213.01</v>
          </cell>
        </row>
        <row r="95">
          <cell r="B95">
            <v>21201000</v>
          </cell>
          <cell r="G95">
            <v>17430000</v>
          </cell>
        </row>
        <row r="96">
          <cell r="B96">
            <v>21201000</v>
          </cell>
          <cell r="G96">
            <v>36110795.719999999</v>
          </cell>
        </row>
        <row r="97">
          <cell r="B97">
            <v>21201000</v>
          </cell>
          <cell r="G97">
            <v>25000000</v>
          </cell>
        </row>
        <row r="98">
          <cell r="B98">
            <v>21201000</v>
          </cell>
          <cell r="G98">
            <v>12360000</v>
          </cell>
        </row>
        <row r="99">
          <cell r="B99">
            <v>21201000</v>
          </cell>
          <cell r="G99">
            <v>36000000</v>
          </cell>
        </row>
        <row r="100">
          <cell r="B100">
            <v>21201000</v>
          </cell>
          <cell r="G100">
            <v>49426880</v>
          </cell>
        </row>
        <row r="101">
          <cell r="B101">
            <v>21201100</v>
          </cell>
          <cell r="G101">
            <v>3026567</v>
          </cell>
        </row>
        <row r="102">
          <cell r="B102">
            <v>21201100</v>
          </cell>
          <cell r="G102">
            <v>24340000</v>
          </cell>
        </row>
        <row r="103">
          <cell r="B103">
            <v>21201100</v>
          </cell>
          <cell r="G103">
            <v>87500000</v>
          </cell>
        </row>
        <row r="104">
          <cell r="B104">
            <v>21201100</v>
          </cell>
          <cell r="G104">
            <v>38550000</v>
          </cell>
        </row>
        <row r="105">
          <cell r="B105">
            <v>21201100</v>
          </cell>
          <cell r="G105">
            <v>10835542.800000001</v>
          </cell>
        </row>
        <row r="106">
          <cell r="B106">
            <v>21201100</v>
          </cell>
          <cell r="G106">
            <v>0</v>
          </cell>
        </row>
        <row r="107">
          <cell r="B107">
            <v>21201100</v>
          </cell>
          <cell r="G107">
            <v>42700000</v>
          </cell>
        </row>
        <row r="108">
          <cell r="B108">
            <v>21201100</v>
          </cell>
          <cell r="G108">
            <v>47552239.32</v>
          </cell>
        </row>
        <row r="109">
          <cell r="B109">
            <v>21201100</v>
          </cell>
          <cell r="G109">
            <v>312000000</v>
          </cell>
        </row>
        <row r="110">
          <cell r="B110">
            <v>21201100</v>
          </cell>
          <cell r="G110">
            <v>129400000</v>
          </cell>
        </row>
        <row r="111">
          <cell r="B111">
            <v>21201100</v>
          </cell>
          <cell r="G111">
            <v>1362530.05</v>
          </cell>
        </row>
        <row r="112">
          <cell r="B112">
            <v>21201100</v>
          </cell>
          <cell r="G112">
            <v>1200000</v>
          </cell>
        </row>
        <row r="113">
          <cell r="B113">
            <v>21201100</v>
          </cell>
          <cell r="G113">
            <v>56000000</v>
          </cell>
        </row>
        <row r="114">
          <cell r="B114">
            <v>21201100</v>
          </cell>
          <cell r="G114">
            <v>12960000</v>
          </cell>
        </row>
        <row r="115">
          <cell r="B115">
            <v>21211000</v>
          </cell>
          <cell r="G115">
            <v>17132699.23</v>
          </cell>
        </row>
        <row r="116">
          <cell r="B116">
            <v>21211000</v>
          </cell>
          <cell r="G116">
            <v>29536815.390000001</v>
          </cell>
        </row>
        <row r="117">
          <cell r="B117">
            <v>21211000</v>
          </cell>
          <cell r="G117">
            <v>28227425.34</v>
          </cell>
        </row>
        <row r="118">
          <cell r="B118">
            <v>21211000</v>
          </cell>
          <cell r="G118">
            <v>25176855.68</v>
          </cell>
        </row>
        <row r="119">
          <cell r="B119">
            <v>21211000</v>
          </cell>
          <cell r="G119">
            <v>13096613.42</v>
          </cell>
        </row>
        <row r="120">
          <cell r="B120">
            <v>21211000</v>
          </cell>
          <cell r="G120">
            <v>68884514.549999997</v>
          </cell>
        </row>
        <row r="121">
          <cell r="B121">
            <v>21211000</v>
          </cell>
          <cell r="G121">
            <v>50847868.219999999</v>
          </cell>
        </row>
        <row r="122">
          <cell r="B122">
            <v>21211000</v>
          </cell>
          <cell r="G122">
            <v>5760000</v>
          </cell>
        </row>
        <row r="123">
          <cell r="B123">
            <v>21211000</v>
          </cell>
          <cell r="G123">
            <v>29930000</v>
          </cell>
        </row>
        <row r="124">
          <cell r="B124">
            <v>21211000</v>
          </cell>
          <cell r="G124">
            <v>6800000</v>
          </cell>
        </row>
        <row r="125">
          <cell r="B125">
            <v>21211000</v>
          </cell>
          <cell r="G125">
            <v>33237757.670000002</v>
          </cell>
        </row>
        <row r="126">
          <cell r="B126">
            <v>21211000</v>
          </cell>
          <cell r="G126">
            <v>31015954.969999999</v>
          </cell>
        </row>
        <row r="127">
          <cell r="B127">
            <v>21211000</v>
          </cell>
          <cell r="G127">
            <v>99353639.980000004</v>
          </cell>
        </row>
        <row r="128">
          <cell r="B128">
            <v>21211000</v>
          </cell>
          <cell r="G128">
            <v>44007000</v>
          </cell>
        </row>
        <row r="129">
          <cell r="B129">
            <v>21211000</v>
          </cell>
          <cell r="G129">
            <v>40573841.579999998</v>
          </cell>
        </row>
        <row r="130">
          <cell r="B130">
            <v>21211000</v>
          </cell>
          <cell r="G130">
            <v>40500000.009999998</v>
          </cell>
        </row>
        <row r="131">
          <cell r="B131">
            <v>21211000</v>
          </cell>
          <cell r="G131">
            <v>18540000</v>
          </cell>
        </row>
        <row r="132">
          <cell r="B132">
            <v>21211000</v>
          </cell>
          <cell r="G132">
            <v>53000000</v>
          </cell>
        </row>
        <row r="133">
          <cell r="B133">
            <v>21211000</v>
          </cell>
          <cell r="G133">
            <v>74140320</v>
          </cell>
        </row>
        <row r="134">
          <cell r="B134">
            <v>21211100</v>
          </cell>
          <cell r="G134">
            <v>12106267</v>
          </cell>
        </row>
        <row r="135">
          <cell r="B135">
            <v>21211100</v>
          </cell>
          <cell r="G135">
            <v>11533524.449999999</v>
          </cell>
        </row>
        <row r="136">
          <cell r="B136">
            <v>21211100</v>
          </cell>
          <cell r="G136">
            <v>78100000</v>
          </cell>
        </row>
        <row r="137">
          <cell r="B137">
            <v>21211100</v>
          </cell>
          <cell r="G137">
            <v>57825000</v>
          </cell>
        </row>
        <row r="138">
          <cell r="B138">
            <v>21211100</v>
          </cell>
          <cell r="G138">
            <v>46745078.979999997</v>
          </cell>
        </row>
        <row r="139">
          <cell r="B139">
            <v>21211100</v>
          </cell>
          <cell r="G139">
            <v>350000</v>
          </cell>
        </row>
        <row r="140">
          <cell r="B140">
            <v>21211100</v>
          </cell>
          <cell r="G140">
            <v>36771725.340000004</v>
          </cell>
        </row>
        <row r="141">
          <cell r="B141">
            <v>21211100</v>
          </cell>
          <cell r="G141">
            <v>0</v>
          </cell>
        </row>
        <row r="142">
          <cell r="B142">
            <v>21211100</v>
          </cell>
          <cell r="G142">
            <v>81238741.810000002</v>
          </cell>
        </row>
        <row r="143">
          <cell r="B143">
            <v>21211100</v>
          </cell>
          <cell r="G143">
            <v>90829314.269999996</v>
          </cell>
        </row>
        <row r="144">
          <cell r="B144">
            <v>21211100</v>
          </cell>
          <cell r="G144">
            <v>98410636.200000003</v>
          </cell>
        </row>
        <row r="145">
          <cell r="B145">
            <v>21211100</v>
          </cell>
          <cell r="G145">
            <v>144991010.41999999</v>
          </cell>
        </row>
        <row r="146">
          <cell r="B146">
            <v>21211100</v>
          </cell>
          <cell r="G146">
            <v>5088629.96</v>
          </cell>
        </row>
        <row r="147">
          <cell r="B147">
            <v>21211100</v>
          </cell>
          <cell r="G147">
            <v>10150000</v>
          </cell>
        </row>
        <row r="148">
          <cell r="B148">
            <v>21211100</v>
          </cell>
          <cell r="G148">
            <v>107200000</v>
          </cell>
        </row>
        <row r="149">
          <cell r="B149">
            <v>21211100</v>
          </cell>
          <cell r="G149">
            <v>19440000</v>
          </cell>
        </row>
        <row r="150">
          <cell r="B150">
            <v>21211500</v>
          </cell>
          <cell r="G150">
            <v>317922.58</v>
          </cell>
        </row>
        <row r="151">
          <cell r="B151">
            <v>21211500</v>
          </cell>
          <cell r="G151">
            <v>389261.88</v>
          </cell>
        </row>
        <row r="152">
          <cell r="B152">
            <v>21211500</v>
          </cell>
          <cell r="G152">
            <v>261303.23</v>
          </cell>
        </row>
        <row r="153">
          <cell r="B153">
            <v>21211500</v>
          </cell>
          <cell r="G153">
            <v>2622311.3199999998</v>
          </cell>
        </row>
        <row r="154">
          <cell r="B154">
            <v>21211500</v>
          </cell>
          <cell r="G154">
            <v>704041.22</v>
          </cell>
        </row>
        <row r="155">
          <cell r="B155">
            <v>21211500</v>
          </cell>
          <cell r="G155">
            <v>1252879.92</v>
          </cell>
        </row>
        <row r="156">
          <cell r="B156">
            <v>21211500</v>
          </cell>
          <cell r="G156">
            <v>0</v>
          </cell>
        </row>
        <row r="157">
          <cell r="B157">
            <v>21211500</v>
          </cell>
          <cell r="G157">
            <v>1161911.04</v>
          </cell>
        </row>
        <row r="158">
          <cell r="B158">
            <v>21211500</v>
          </cell>
          <cell r="G158">
            <v>428461.99</v>
          </cell>
        </row>
        <row r="159">
          <cell r="B159">
            <v>21211500</v>
          </cell>
          <cell r="G159">
            <v>28713.25</v>
          </cell>
        </row>
        <row r="160">
          <cell r="B160">
            <v>21211500</v>
          </cell>
          <cell r="G160">
            <v>157920.14000000001</v>
          </cell>
        </row>
        <row r="161">
          <cell r="B161">
            <v>21211500</v>
          </cell>
          <cell r="G161">
            <v>4589468.4000000004</v>
          </cell>
        </row>
        <row r="162">
          <cell r="B162">
            <v>21211500</v>
          </cell>
          <cell r="G162">
            <v>51730.65</v>
          </cell>
        </row>
        <row r="163">
          <cell r="B163">
            <v>21211500</v>
          </cell>
          <cell r="G163">
            <v>419363.26</v>
          </cell>
        </row>
        <row r="164">
          <cell r="B164">
            <v>21211500</v>
          </cell>
          <cell r="G164">
            <v>1871841.47</v>
          </cell>
        </row>
        <row r="165">
          <cell r="B165">
            <v>21211500</v>
          </cell>
          <cell r="G165">
            <v>0</v>
          </cell>
        </row>
        <row r="166">
          <cell r="B166">
            <v>21211500</v>
          </cell>
          <cell r="G166">
            <v>2959146.17</v>
          </cell>
        </row>
        <row r="167">
          <cell r="B167">
            <v>21211500</v>
          </cell>
          <cell r="G167">
            <v>1054988.75</v>
          </cell>
        </row>
        <row r="168">
          <cell r="B168">
            <v>21211500</v>
          </cell>
          <cell r="G168">
            <v>505482.43</v>
          </cell>
        </row>
        <row r="169">
          <cell r="B169">
            <v>21211500</v>
          </cell>
          <cell r="G169">
            <v>94014.7</v>
          </cell>
        </row>
        <row r="170">
          <cell r="B170">
            <v>21211500</v>
          </cell>
          <cell r="G170">
            <v>3474623.61</v>
          </cell>
        </row>
        <row r="171">
          <cell r="B171">
            <v>21211500</v>
          </cell>
          <cell r="G171">
            <v>517438.39</v>
          </cell>
        </row>
        <row r="172">
          <cell r="B172">
            <v>21211500</v>
          </cell>
          <cell r="G172">
            <v>0</v>
          </cell>
        </row>
        <row r="173">
          <cell r="B173">
            <v>21211500</v>
          </cell>
          <cell r="G173">
            <v>1317677.48</v>
          </cell>
        </row>
        <row r="174">
          <cell r="B174">
            <v>21211500</v>
          </cell>
          <cell r="G174">
            <v>585930.23</v>
          </cell>
        </row>
        <row r="175">
          <cell r="B175">
            <v>21211500</v>
          </cell>
          <cell r="G175">
            <v>236261.88</v>
          </cell>
        </row>
        <row r="176">
          <cell r="B176">
            <v>21211500</v>
          </cell>
          <cell r="G176">
            <v>0</v>
          </cell>
        </row>
        <row r="177">
          <cell r="B177">
            <v>21211500</v>
          </cell>
          <cell r="G177">
            <v>0</v>
          </cell>
        </row>
        <row r="178">
          <cell r="B178">
            <v>21211500</v>
          </cell>
          <cell r="G178">
            <v>17575.04</v>
          </cell>
        </row>
        <row r="179">
          <cell r="B179">
            <v>21211500</v>
          </cell>
          <cell r="G179">
            <v>7051045.1799999997</v>
          </cell>
        </row>
        <row r="180">
          <cell r="B180">
            <v>21211500</v>
          </cell>
          <cell r="G180">
            <v>43376.15</v>
          </cell>
        </row>
        <row r="181">
          <cell r="B181">
            <v>21211500</v>
          </cell>
          <cell r="G181">
            <v>7630.27</v>
          </cell>
        </row>
        <row r="182">
          <cell r="B182">
            <v>21211500</v>
          </cell>
          <cell r="G182">
            <v>19205.009999999998</v>
          </cell>
        </row>
        <row r="183">
          <cell r="B183">
            <v>21211500</v>
          </cell>
          <cell r="G183">
            <v>63572.38</v>
          </cell>
        </row>
        <row r="184">
          <cell r="B184">
            <v>21211600</v>
          </cell>
          <cell r="G184">
            <v>52262.89</v>
          </cell>
        </row>
        <row r="185">
          <cell r="B185">
            <v>21211600</v>
          </cell>
          <cell r="G185">
            <v>8000</v>
          </cell>
        </row>
        <row r="186">
          <cell r="B186">
            <v>21211600</v>
          </cell>
          <cell r="G186">
            <v>467231</v>
          </cell>
        </row>
        <row r="187">
          <cell r="B187">
            <v>21211600</v>
          </cell>
          <cell r="G187">
            <v>233833.59</v>
          </cell>
        </row>
        <row r="188">
          <cell r="B188">
            <v>21211600</v>
          </cell>
          <cell r="G188">
            <v>114068</v>
          </cell>
        </row>
        <row r="189">
          <cell r="B189">
            <v>21211600</v>
          </cell>
          <cell r="G189">
            <v>23263.46</v>
          </cell>
        </row>
        <row r="190">
          <cell r="B190">
            <v>21211600</v>
          </cell>
          <cell r="G190">
            <v>243100080.71000001</v>
          </cell>
        </row>
        <row r="191">
          <cell r="B191">
            <v>21211600</v>
          </cell>
          <cell r="G191">
            <v>3038879.75</v>
          </cell>
        </row>
        <row r="192">
          <cell r="B192">
            <v>21211600</v>
          </cell>
          <cell r="G192">
            <v>4524433.2</v>
          </cell>
        </row>
        <row r="193">
          <cell r="B193">
            <v>21211600</v>
          </cell>
          <cell r="G193">
            <v>3223490.43</v>
          </cell>
        </row>
        <row r="194">
          <cell r="B194">
            <v>21211600</v>
          </cell>
          <cell r="G194">
            <v>6082613.4299999997</v>
          </cell>
        </row>
        <row r="195">
          <cell r="B195">
            <v>21211600</v>
          </cell>
          <cell r="G195">
            <v>103617.92</v>
          </cell>
        </row>
        <row r="196">
          <cell r="B196">
            <v>21211600</v>
          </cell>
          <cell r="G196">
            <v>7457402.25</v>
          </cell>
        </row>
        <row r="197">
          <cell r="B197">
            <v>21211600</v>
          </cell>
          <cell r="G197">
            <v>2147634.7799999998</v>
          </cell>
        </row>
        <row r="198">
          <cell r="B198">
            <v>21211800</v>
          </cell>
          <cell r="G198">
            <v>1960.7</v>
          </cell>
        </row>
        <row r="199">
          <cell r="B199">
            <v>21220000</v>
          </cell>
          <cell r="G199">
            <v>3660351.31</v>
          </cell>
        </row>
        <row r="200">
          <cell r="B200">
            <v>21220000</v>
          </cell>
          <cell r="G200">
            <v>30286385.280000001</v>
          </cell>
        </row>
        <row r="201">
          <cell r="B201">
            <v>21220000</v>
          </cell>
          <cell r="G201">
            <v>6834254.6900000004</v>
          </cell>
        </row>
        <row r="202">
          <cell r="B202">
            <v>21220000</v>
          </cell>
          <cell r="G202">
            <v>4184728.22</v>
          </cell>
        </row>
        <row r="203">
          <cell r="B203">
            <v>21220000</v>
          </cell>
          <cell r="G203">
            <v>14226240</v>
          </cell>
        </row>
        <row r="204">
          <cell r="B204">
            <v>21220000</v>
          </cell>
          <cell r="G204">
            <v>786000</v>
          </cell>
        </row>
        <row r="205">
          <cell r="B205">
            <v>21220000</v>
          </cell>
          <cell r="G205">
            <v>8536423.7799999993</v>
          </cell>
        </row>
        <row r="206">
          <cell r="B206">
            <v>21220000</v>
          </cell>
          <cell r="G206">
            <v>6143408.5199999996</v>
          </cell>
        </row>
        <row r="207">
          <cell r="B207">
            <v>21220000</v>
          </cell>
          <cell r="G207">
            <v>5508368</v>
          </cell>
        </row>
        <row r="208">
          <cell r="B208">
            <v>21220000</v>
          </cell>
          <cell r="G208">
            <v>2737711.2</v>
          </cell>
        </row>
        <row r="209">
          <cell r="B209">
            <v>21220000</v>
          </cell>
          <cell r="G209">
            <v>4316480</v>
          </cell>
        </row>
        <row r="210">
          <cell r="B210">
            <v>21220000</v>
          </cell>
          <cell r="G210">
            <v>2991905.06</v>
          </cell>
        </row>
        <row r="211">
          <cell r="B211">
            <v>21220000</v>
          </cell>
          <cell r="G211">
            <v>9258970</v>
          </cell>
        </row>
        <row r="212">
          <cell r="B212">
            <v>21220000</v>
          </cell>
          <cell r="G212">
            <v>7822491.2199999997</v>
          </cell>
        </row>
        <row r="213">
          <cell r="B213">
            <v>21220000</v>
          </cell>
          <cell r="G213">
            <v>768541</v>
          </cell>
        </row>
        <row r="214">
          <cell r="B214">
            <v>21220000</v>
          </cell>
          <cell r="G214">
            <v>6551045.3499999996</v>
          </cell>
        </row>
        <row r="215">
          <cell r="B215">
            <v>21220000</v>
          </cell>
          <cell r="G215">
            <v>4053000</v>
          </cell>
        </row>
        <row r="216">
          <cell r="B216">
            <v>21220100</v>
          </cell>
          <cell r="G216">
            <v>5153797.3499999996</v>
          </cell>
        </row>
        <row r="217">
          <cell r="B217">
            <v>21220100</v>
          </cell>
          <cell r="G217">
            <v>630808.38</v>
          </cell>
        </row>
        <row r="218">
          <cell r="B218">
            <v>21220100</v>
          </cell>
          <cell r="G218">
            <v>3185174.02</v>
          </cell>
        </row>
        <row r="219">
          <cell r="B219">
            <v>21220100</v>
          </cell>
          <cell r="G219">
            <v>11509369</v>
          </cell>
        </row>
        <row r="220">
          <cell r="B220">
            <v>21220100</v>
          </cell>
          <cell r="G220">
            <v>11756757.15</v>
          </cell>
        </row>
        <row r="221">
          <cell r="B221">
            <v>21220200</v>
          </cell>
          <cell r="G221">
            <v>0</v>
          </cell>
        </row>
        <row r="222">
          <cell r="B222">
            <v>21220200</v>
          </cell>
          <cell r="G222">
            <v>0</v>
          </cell>
        </row>
        <row r="223">
          <cell r="B223">
            <v>21221000</v>
          </cell>
          <cell r="G223">
            <v>10047039.24</v>
          </cell>
        </row>
        <row r="224">
          <cell r="B224">
            <v>21221000</v>
          </cell>
          <cell r="G224">
            <v>51841858.329999998</v>
          </cell>
        </row>
        <row r="225">
          <cell r="B225">
            <v>21221000</v>
          </cell>
          <cell r="G225">
            <v>17397518.260000002</v>
          </cell>
        </row>
        <row r="226">
          <cell r="B226">
            <v>21221000</v>
          </cell>
          <cell r="G226">
            <v>15220518.98</v>
          </cell>
        </row>
        <row r="227">
          <cell r="B227">
            <v>21221000</v>
          </cell>
          <cell r="G227">
            <v>62683486.799999997</v>
          </cell>
        </row>
        <row r="228">
          <cell r="B228">
            <v>21221000</v>
          </cell>
          <cell r="G228">
            <v>15630257.73</v>
          </cell>
        </row>
        <row r="229">
          <cell r="B229">
            <v>21221000</v>
          </cell>
          <cell r="G229">
            <v>23485599.890000001</v>
          </cell>
        </row>
        <row r="230">
          <cell r="B230">
            <v>21221000</v>
          </cell>
          <cell r="G230">
            <v>12687872.699999999</v>
          </cell>
        </row>
        <row r="231">
          <cell r="B231">
            <v>21221000</v>
          </cell>
          <cell r="G231">
            <v>22455545.969999999</v>
          </cell>
        </row>
        <row r="232">
          <cell r="B232">
            <v>21221000</v>
          </cell>
          <cell r="G232">
            <v>22821636.690000001</v>
          </cell>
        </row>
        <row r="233">
          <cell r="B233">
            <v>21221000</v>
          </cell>
          <cell r="G233">
            <v>22811950.949999999</v>
          </cell>
        </row>
        <row r="234">
          <cell r="B234">
            <v>21221000</v>
          </cell>
          <cell r="G234">
            <v>14869584.9</v>
          </cell>
        </row>
        <row r="235">
          <cell r="B235">
            <v>21221000</v>
          </cell>
          <cell r="G235">
            <v>18681981.239999998</v>
          </cell>
        </row>
        <row r="236">
          <cell r="B236">
            <v>21221000</v>
          </cell>
          <cell r="G236">
            <v>19124232.48</v>
          </cell>
        </row>
        <row r="237">
          <cell r="B237">
            <v>21221000</v>
          </cell>
          <cell r="G237">
            <v>7716311.1299999999</v>
          </cell>
        </row>
        <row r="238">
          <cell r="B238">
            <v>21221000</v>
          </cell>
          <cell r="G238">
            <v>37431959.060000002</v>
          </cell>
        </row>
        <row r="239">
          <cell r="B239">
            <v>21221000</v>
          </cell>
          <cell r="G239">
            <v>25902230.789999999</v>
          </cell>
        </row>
        <row r="240">
          <cell r="B240">
            <v>21221100</v>
          </cell>
          <cell r="G240">
            <v>4122928.98</v>
          </cell>
        </row>
        <row r="241">
          <cell r="B241">
            <v>21221100</v>
          </cell>
          <cell r="G241">
            <v>47971112.439999998</v>
          </cell>
        </row>
        <row r="242">
          <cell r="B242">
            <v>21221100</v>
          </cell>
          <cell r="G242">
            <v>5177561.21</v>
          </cell>
        </row>
        <row r="243">
          <cell r="B243">
            <v>21221100</v>
          </cell>
          <cell r="G243">
            <v>3640085.8</v>
          </cell>
        </row>
        <row r="244">
          <cell r="B244">
            <v>21221100</v>
          </cell>
          <cell r="G244">
            <v>157694652.83000001</v>
          </cell>
        </row>
        <row r="245">
          <cell r="B245">
            <v>21221100</v>
          </cell>
          <cell r="G245">
            <v>11147193.02</v>
          </cell>
        </row>
        <row r="246">
          <cell r="B246">
            <v>21221100</v>
          </cell>
          <cell r="G246">
            <v>40433351.689999998</v>
          </cell>
        </row>
        <row r="247">
          <cell r="B247">
            <v>21221100</v>
          </cell>
          <cell r="G247">
            <v>18247524.68</v>
          </cell>
        </row>
        <row r="248">
          <cell r="B248">
            <v>21221200</v>
          </cell>
          <cell r="G248">
            <v>0</v>
          </cell>
        </row>
        <row r="249">
          <cell r="B249">
            <v>21221200</v>
          </cell>
          <cell r="G249">
            <v>0</v>
          </cell>
        </row>
        <row r="250">
          <cell r="B250">
            <v>21221300</v>
          </cell>
          <cell r="G250">
            <v>0.11</v>
          </cell>
        </row>
        <row r="251">
          <cell r="B251">
            <v>21221300</v>
          </cell>
          <cell r="G251">
            <v>0</v>
          </cell>
        </row>
        <row r="252">
          <cell r="B252">
            <v>21221300</v>
          </cell>
          <cell r="G252">
            <v>140000</v>
          </cell>
        </row>
        <row r="253">
          <cell r="B253">
            <v>21221300</v>
          </cell>
          <cell r="G253">
            <v>8000</v>
          </cell>
        </row>
        <row r="254">
          <cell r="B254">
            <v>21221300</v>
          </cell>
          <cell r="G254">
            <v>0</v>
          </cell>
        </row>
        <row r="255">
          <cell r="B255">
            <v>21221300</v>
          </cell>
          <cell r="G255">
            <v>88330.78</v>
          </cell>
        </row>
        <row r="256">
          <cell r="B256">
            <v>21221300</v>
          </cell>
          <cell r="G256">
            <v>73259.7</v>
          </cell>
        </row>
        <row r="257">
          <cell r="B257">
            <v>21221300</v>
          </cell>
          <cell r="G257">
            <v>0</v>
          </cell>
        </row>
        <row r="258">
          <cell r="B258">
            <v>21221300</v>
          </cell>
          <cell r="G258">
            <v>728177.07</v>
          </cell>
        </row>
        <row r="259">
          <cell r="B259">
            <v>21221300</v>
          </cell>
          <cell r="G259">
            <v>89982.53</v>
          </cell>
        </row>
        <row r="260">
          <cell r="B260">
            <v>21221300</v>
          </cell>
          <cell r="G260">
            <v>326261.3</v>
          </cell>
        </row>
        <row r="261">
          <cell r="B261">
            <v>21221300</v>
          </cell>
          <cell r="G261">
            <v>198104.75</v>
          </cell>
        </row>
        <row r="262">
          <cell r="B262">
            <v>21221300</v>
          </cell>
          <cell r="G262">
            <v>3103663.64</v>
          </cell>
        </row>
        <row r="263">
          <cell r="B263">
            <v>21221300</v>
          </cell>
          <cell r="G263">
            <v>0</v>
          </cell>
        </row>
        <row r="264">
          <cell r="B264">
            <v>21221300</v>
          </cell>
          <cell r="G264">
            <v>1000</v>
          </cell>
        </row>
        <row r="265">
          <cell r="B265">
            <v>21221300</v>
          </cell>
          <cell r="G265">
            <v>1000</v>
          </cell>
        </row>
        <row r="266">
          <cell r="B266">
            <v>21221300</v>
          </cell>
          <cell r="G266">
            <v>355070.18</v>
          </cell>
        </row>
        <row r="267">
          <cell r="B267">
            <v>21221300</v>
          </cell>
          <cell r="G267">
            <v>84005.37</v>
          </cell>
        </row>
        <row r="268">
          <cell r="B268">
            <v>21221300</v>
          </cell>
          <cell r="G268">
            <v>47273.62</v>
          </cell>
        </row>
        <row r="269">
          <cell r="B269">
            <v>21221300</v>
          </cell>
          <cell r="G269">
            <v>244459.98</v>
          </cell>
        </row>
        <row r="270">
          <cell r="B270">
            <v>21221300</v>
          </cell>
          <cell r="G270">
            <v>128688.95</v>
          </cell>
        </row>
        <row r="271">
          <cell r="B271">
            <v>21221800</v>
          </cell>
          <cell r="G271">
            <v>1059</v>
          </cell>
        </row>
        <row r="272">
          <cell r="B272">
            <v>21221800</v>
          </cell>
          <cell r="G272">
            <v>0</v>
          </cell>
        </row>
        <row r="273">
          <cell r="B273">
            <v>21221800</v>
          </cell>
          <cell r="G273">
            <v>250684.47</v>
          </cell>
        </row>
        <row r="274">
          <cell r="B274">
            <v>21221800</v>
          </cell>
          <cell r="G274">
            <v>19715</v>
          </cell>
        </row>
        <row r="275">
          <cell r="B275">
            <v>21221800</v>
          </cell>
          <cell r="G275">
            <v>95228</v>
          </cell>
        </row>
        <row r="276">
          <cell r="B276">
            <v>21221800</v>
          </cell>
          <cell r="G276">
            <v>64279.77</v>
          </cell>
        </row>
        <row r="277">
          <cell r="B277">
            <v>21221800</v>
          </cell>
          <cell r="G277">
            <v>19607.349999999999</v>
          </cell>
        </row>
        <row r="278">
          <cell r="B278">
            <v>22000000</v>
          </cell>
          <cell r="G278">
            <v>0</v>
          </cell>
        </row>
        <row r="279">
          <cell r="B279">
            <v>22000000</v>
          </cell>
          <cell r="G279">
            <v>0</v>
          </cell>
        </row>
        <row r="280">
          <cell r="B280">
            <v>22000000</v>
          </cell>
          <cell r="G280">
            <v>0</v>
          </cell>
        </row>
        <row r="281">
          <cell r="B281">
            <v>22000000</v>
          </cell>
          <cell r="G281">
            <v>0</v>
          </cell>
        </row>
        <row r="282">
          <cell r="B282">
            <v>22000000</v>
          </cell>
          <cell r="G282">
            <v>0</v>
          </cell>
        </row>
        <row r="283">
          <cell r="B283">
            <v>22000000</v>
          </cell>
          <cell r="G283">
            <v>0</v>
          </cell>
        </row>
        <row r="284">
          <cell r="B284">
            <v>22000000</v>
          </cell>
          <cell r="G284">
            <v>46427869.600000001</v>
          </cell>
        </row>
        <row r="285">
          <cell r="B285">
            <v>22000000</v>
          </cell>
          <cell r="G285">
            <v>0</v>
          </cell>
        </row>
        <row r="286">
          <cell r="B286">
            <v>22211000</v>
          </cell>
          <cell r="G286">
            <v>0</v>
          </cell>
        </row>
        <row r="287">
          <cell r="B287">
            <v>22211000</v>
          </cell>
          <cell r="G287">
            <v>199487.13</v>
          </cell>
        </row>
        <row r="288">
          <cell r="B288">
            <v>22211000</v>
          </cell>
          <cell r="G288">
            <v>0</v>
          </cell>
        </row>
        <row r="289">
          <cell r="B289">
            <v>22211000</v>
          </cell>
          <cell r="G289">
            <v>0</v>
          </cell>
        </row>
        <row r="290">
          <cell r="B290">
            <v>22211000</v>
          </cell>
          <cell r="G290">
            <v>-7816.19</v>
          </cell>
        </row>
        <row r="291">
          <cell r="B291">
            <v>22211000</v>
          </cell>
          <cell r="G291">
            <v>0</v>
          </cell>
        </row>
        <row r="292">
          <cell r="B292">
            <v>22211000</v>
          </cell>
          <cell r="G292">
            <v>0</v>
          </cell>
        </row>
        <row r="293">
          <cell r="B293">
            <v>22211000</v>
          </cell>
          <cell r="G293">
            <v>0</v>
          </cell>
        </row>
        <row r="294">
          <cell r="B294">
            <v>22211000</v>
          </cell>
          <cell r="G294">
            <v>0</v>
          </cell>
        </row>
        <row r="295">
          <cell r="B295">
            <v>22211000</v>
          </cell>
          <cell r="G295">
            <v>0</v>
          </cell>
        </row>
        <row r="296">
          <cell r="B296">
            <v>22211000</v>
          </cell>
          <cell r="G296">
            <v>0</v>
          </cell>
        </row>
        <row r="297">
          <cell r="B297">
            <v>22211000</v>
          </cell>
          <cell r="G297">
            <v>0</v>
          </cell>
        </row>
        <row r="298">
          <cell r="B298">
            <v>22211000</v>
          </cell>
          <cell r="G298">
            <v>0</v>
          </cell>
        </row>
        <row r="299">
          <cell r="B299">
            <v>22211000</v>
          </cell>
          <cell r="G299">
            <v>52362146.380000003</v>
          </cell>
        </row>
        <row r="300">
          <cell r="B300">
            <v>22211000</v>
          </cell>
          <cell r="G300">
            <v>0</v>
          </cell>
        </row>
        <row r="301">
          <cell r="B301">
            <v>22211100</v>
          </cell>
          <cell r="G301">
            <v>2664194.71</v>
          </cell>
        </row>
        <row r="302">
          <cell r="B302">
            <v>22211100</v>
          </cell>
          <cell r="G302">
            <v>0</v>
          </cell>
        </row>
        <row r="303">
          <cell r="B303">
            <v>22211100</v>
          </cell>
          <cell r="G303">
            <v>0</v>
          </cell>
        </row>
        <row r="304">
          <cell r="B304">
            <v>22211100</v>
          </cell>
          <cell r="G304">
            <v>0</v>
          </cell>
        </row>
        <row r="305">
          <cell r="B305">
            <v>28102100</v>
          </cell>
          <cell r="G305">
            <v>-1472.37</v>
          </cell>
        </row>
        <row r="306">
          <cell r="B306">
            <v>28102100</v>
          </cell>
          <cell r="G306">
            <v>-539.16</v>
          </cell>
        </row>
        <row r="307">
          <cell r="B307">
            <v>28102100</v>
          </cell>
          <cell r="G307">
            <v>-4236.8900000000003</v>
          </cell>
        </row>
        <row r="308">
          <cell r="B308">
            <v>28102100</v>
          </cell>
          <cell r="G308">
            <v>-142.62</v>
          </cell>
        </row>
        <row r="309">
          <cell r="B309">
            <v>28102100</v>
          </cell>
          <cell r="G309">
            <v>-115776.46</v>
          </cell>
        </row>
        <row r="310">
          <cell r="B310">
            <v>28102100</v>
          </cell>
          <cell r="G310">
            <v>-823.36</v>
          </cell>
        </row>
        <row r="311">
          <cell r="B311">
            <v>28102100</v>
          </cell>
          <cell r="G311">
            <v>-7797.73</v>
          </cell>
        </row>
        <row r="312">
          <cell r="B312">
            <v>28102100</v>
          </cell>
          <cell r="G312">
            <v>-3908.35</v>
          </cell>
        </row>
        <row r="313">
          <cell r="B313">
            <v>28102100</v>
          </cell>
          <cell r="G313">
            <v>-39.51</v>
          </cell>
        </row>
        <row r="314">
          <cell r="B314">
            <v>28102100</v>
          </cell>
          <cell r="G314">
            <v>-1895.1</v>
          </cell>
        </row>
        <row r="315">
          <cell r="B315">
            <v>28102100</v>
          </cell>
          <cell r="G315">
            <v>-1460.81</v>
          </cell>
        </row>
        <row r="316">
          <cell r="B316">
            <v>28102100</v>
          </cell>
          <cell r="G316">
            <v>-20320.599999999999</v>
          </cell>
        </row>
        <row r="317">
          <cell r="B317">
            <v>28102100</v>
          </cell>
          <cell r="G317">
            <v>-4753.8100000000004</v>
          </cell>
        </row>
        <row r="318">
          <cell r="B318">
            <v>28102100</v>
          </cell>
          <cell r="G318">
            <v>-603.48</v>
          </cell>
        </row>
        <row r="319">
          <cell r="B319">
            <v>28102100</v>
          </cell>
          <cell r="G319">
            <v>-511.36</v>
          </cell>
        </row>
        <row r="320">
          <cell r="B320">
            <v>28102100</v>
          </cell>
          <cell r="G320">
            <v>-3512.39</v>
          </cell>
        </row>
        <row r="321">
          <cell r="B321">
            <v>28102100</v>
          </cell>
          <cell r="G321">
            <v>-7385.72</v>
          </cell>
        </row>
        <row r="322">
          <cell r="B322">
            <v>28102100</v>
          </cell>
          <cell r="G322">
            <v>-682.92</v>
          </cell>
        </row>
        <row r="323">
          <cell r="B323">
            <v>28120000</v>
          </cell>
          <cell r="G323">
            <v>-2024963.73</v>
          </cell>
        </row>
        <row r="324">
          <cell r="B324">
            <v>28120000</v>
          </cell>
          <cell r="G324">
            <v>-13880023.640000001</v>
          </cell>
        </row>
        <row r="325">
          <cell r="B325">
            <v>28120000</v>
          </cell>
          <cell r="G325">
            <v>-4229550.09</v>
          </cell>
        </row>
        <row r="326">
          <cell r="B326">
            <v>28120000</v>
          </cell>
          <cell r="G326">
            <v>-3952738.68</v>
          </cell>
        </row>
        <row r="327">
          <cell r="B327">
            <v>28120000</v>
          </cell>
          <cell r="G327">
            <v>-13398156.529999999</v>
          </cell>
        </row>
        <row r="328">
          <cell r="B328">
            <v>28120000</v>
          </cell>
          <cell r="G328">
            <v>-3470307.99</v>
          </cell>
        </row>
        <row r="329">
          <cell r="B329">
            <v>28120000</v>
          </cell>
          <cell r="G329">
            <v>-4487041.3</v>
          </cell>
        </row>
        <row r="330">
          <cell r="B330">
            <v>28120000</v>
          </cell>
          <cell r="G330">
            <v>-2599681.7000000002</v>
          </cell>
        </row>
        <row r="331">
          <cell r="B331">
            <v>28120000</v>
          </cell>
          <cell r="G331">
            <v>-4389542.76</v>
          </cell>
        </row>
        <row r="332">
          <cell r="B332">
            <v>28120000</v>
          </cell>
          <cell r="G332">
            <v>-4345376.58</v>
          </cell>
        </row>
        <row r="333">
          <cell r="B333">
            <v>28120000</v>
          </cell>
          <cell r="G333">
            <v>-4273877.0999999996</v>
          </cell>
        </row>
        <row r="334">
          <cell r="B334">
            <v>28120000</v>
          </cell>
          <cell r="G334">
            <v>-2833503.5</v>
          </cell>
        </row>
        <row r="335">
          <cell r="B335">
            <v>28120000</v>
          </cell>
          <cell r="G335">
            <v>-3404261.67</v>
          </cell>
        </row>
        <row r="336">
          <cell r="B336">
            <v>28120000</v>
          </cell>
          <cell r="G336">
            <v>-4565039.8</v>
          </cell>
        </row>
        <row r="337">
          <cell r="B337">
            <v>28120000</v>
          </cell>
          <cell r="G337">
            <v>-1560654.06</v>
          </cell>
        </row>
        <row r="338">
          <cell r="B338">
            <v>28120000</v>
          </cell>
          <cell r="G338">
            <v>-8973111.8399999999</v>
          </cell>
        </row>
        <row r="339">
          <cell r="B339">
            <v>28120000</v>
          </cell>
          <cell r="G339">
            <v>-5236645.13</v>
          </cell>
        </row>
        <row r="340">
          <cell r="B340">
            <v>28120100</v>
          </cell>
          <cell r="G340">
            <v>-1582277.3</v>
          </cell>
        </row>
        <row r="341">
          <cell r="B341">
            <v>28120100</v>
          </cell>
          <cell r="G341">
            <v>-16251466.34</v>
          </cell>
        </row>
        <row r="342">
          <cell r="B342">
            <v>28120100</v>
          </cell>
          <cell r="G342">
            <v>-1214538.5</v>
          </cell>
        </row>
        <row r="343">
          <cell r="B343">
            <v>28120100</v>
          </cell>
          <cell r="G343">
            <v>-726166.39</v>
          </cell>
        </row>
        <row r="344">
          <cell r="B344">
            <v>28120100</v>
          </cell>
          <cell r="G344">
            <v>-47756461.219999999</v>
          </cell>
        </row>
        <row r="345">
          <cell r="B345">
            <v>28120100</v>
          </cell>
          <cell r="G345">
            <v>-2616293.84</v>
          </cell>
        </row>
        <row r="346">
          <cell r="B346">
            <v>28120100</v>
          </cell>
          <cell r="G346">
            <v>-8508359.1300000008</v>
          </cell>
        </row>
        <row r="347">
          <cell r="B347">
            <v>28120100</v>
          </cell>
          <cell r="G347">
            <v>-3539015.27</v>
          </cell>
        </row>
        <row r="348">
          <cell r="B348">
            <v>28120200</v>
          </cell>
          <cell r="G348">
            <v>0</v>
          </cell>
        </row>
        <row r="349">
          <cell r="B349">
            <v>28120200</v>
          </cell>
          <cell r="G349">
            <v>0</v>
          </cell>
        </row>
        <row r="350">
          <cell r="B350">
            <v>28120300</v>
          </cell>
          <cell r="G350">
            <v>-1880.63</v>
          </cell>
        </row>
        <row r="351">
          <cell r="B351">
            <v>28120300</v>
          </cell>
          <cell r="G351">
            <v>0</v>
          </cell>
        </row>
        <row r="352">
          <cell r="B352">
            <v>28120300</v>
          </cell>
          <cell r="G352">
            <v>0</v>
          </cell>
        </row>
        <row r="353">
          <cell r="B353">
            <v>28120300</v>
          </cell>
          <cell r="G353">
            <v>-123200</v>
          </cell>
        </row>
        <row r="354">
          <cell r="B354">
            <v>28120300</v>
          </cell>
          <cell r="G354">
            <v>-6080</v>
          </cell>
        </row>
        <row r="355">
          <cell r="B355">
            <v>28120300</v>
          </cell>
          <cell r="G355">
            <v>0</v>
          </cell>
        </row>
        <row r="356">
          <cell r="B356">
            <v>28120300</v>
          </cell>
          <cell r="G356">
            <v>0</v>
          </cell>
        </row>
        <row r="357">
          <cell r="B357">
            <v>28120300</v>
          </cell>
          <cell r="G357">
            <v>-47621.93</v>
          </cell>
        </row>
        <row r="358">
          <cell r="B358">
            <v>28120300</v>
          </cell>
          <cell r="G358">
            <v>-71192.89</v>
          </cell>
        </row>
        <row r="359">
          <cell r="B359">
            <v>28120300</v>
          </cell>
          <cell r="G359">
            <v>0</v>
          </cell>
        </row>
        <row r="360">
          <cell r="B360">
            <v>28120300</v>
          </cell>
          <cell r="G360">
            <v>0</v>
          </cell>
        </row>
        <row r="361">
          <cell r="B361">
            <v>28120300</v>
          </cell>
          <cell r="G361">
            <v>-532485.99</v>
          </cell>
        </row>
        <row r="362">
          <cell r="B362">
            <v>28120300</v>
          </cell>
          <cell r="G362">
            <v>-80173.710000000006</v>
          </cell>
        </row>
        <row r="363">
          <cell r="B363">
            <v>28120300</v>
          </cell>
          <cell r="G363">
            <v>0</v>
          </cell>
        </row>
        <row r="364">
          <cell r="B364">
            <v>28120300</v>
          </cell>
          <cell r="G364">
            <v>-254303.59</v>
          </cell>
        </row>
        <row r="365">
          <cell r="B365">
            <v>28120300</v>
          </cell>
          <cell r="G365">
            <v>0</v>
          </cell>
        </row>
        <row r="366">
          <cell r="B366">
            <v>28120300</v>
          </cell>
          <cell r="G366">
            <v>-180402.14</v>
          </cell>
        </row>
        <row r="367">
          <cell r="B367">
            <v>28120300</v>
          </cell>
          <cell r="G367">
            <v>0</v>
          </cell>
        </row>
        <row r="368">
          <cell r="B368">
            <v>28120300</v>
          </cell>
          <cell r="G368">
            <v>-1583081.48</v>
          </cell>
        </row>
        <row r="369">
          <cell r="B369">
            <v>28120300</v>
          </cell>
          <cell r="G369">
            <v>0</v>
          </cell>
        </row>
        <row r="370">
          <cell r="B370">
            <v>28120300</v>
          </cell>
          <cell r="G370">
            <v>-1000</v>
          </cell>
        </row>
        <row r="371">
          <cell r="B371">
            <v>28120300</v>
          </cell>
          <cell r="G371">
            <v>0</v>
          </cell>
        </row>
        <row r="372">
          <cell r="B372">
            <v>28120300</v>
          </cell>
          <cell r="G372">
            <v>-960</v>
          </cell>
        </row>
        <row r="373">
          <cell r="B373">
            <v>28120300</v>
          </cell>
          <cell r="G373">
            <v>0</v>
          </cell>
        </row>
        <row r="374">
          <cell r="B374">
            <v>28120300</v>
          </cell>
          <cell r="G374">
            <v>-313275.48</v>
          </cell>
        </row>
        <row r="375">
          <cell r="B375">
            <v>28120300</v>
          </cell>
          <cell r="G375">
            <v>-76317.83</v>
          </cell>
        </row>
        <row r="376">
          <cell r="B376">
            <v>28120300</v>
          </cell>
          <cell r="G376">
            <v>-45574.64</v>
          </cell>
        </row>
        <row r="377">
          <cell r="B377">
            <v>28120300</v>
          </cell>
          <cell r="G377">
            <v>-188917.64</v>
          </cell>
        </row>
        <row r="378">
          <cell r="B378">
            <v>28120300</v>
          </cell>
          <cell r="G378">
            <v>-120789.16</v>
          </cell>
        </row>
        <row r="379">
          <cell r="B379">
            <v>28120600</v>
          </cell>
          <cell r="G379">
            <v>-635.4</v>
          </cell>
        </row>
        <row r="380">
          <cell r="B380">
            <v>28120600</v>
          </cell>
          <cell r="G380">
            <v>0</v>
          </cell>
        </row>
        <row r="381">
          <cell r="B381">
            <v>28120600</v>
          </cell>
          <cell r="G381">
            <v>-126956.12</v>
          </cell>
        </row>
        <row r="382">
          <cell r="B382">
            <v>28120600</v>
          </cell>
          <cell r="G382">
            <v>-2581.85</v>
          </cell>
        </row>
        <row r="383">
          <cell r="B383">
            <v>28120600</v>
          </cell>
          <cell r="G383">
            <v>-35947.599999999999</v>
          </cell>
        </row>
        <row r="384">
          <cell r="B384">
            <v>28120600</v>
          </cell>
          <cell r="G384">
            <v>-35704.300000000003</v>
          </cell>
        </row>
        <row r="385">
          <cell r="B385">
            <v>28120600</v>
          </cell>
          <cell r="G385">
            <v>-4447.5</v>
          </cell>
        </row>
        <row r="386">
          <cell r="B386">
            <v>28121000</v>
          </cell>
          <cell r="G386">
            <v>-6167576.8600000003</v>
          </cell>
        </row>
        <row r="387">
          <cell r="B387">
            <v>28121000</v>
          </cell>
          <cell r="G387">
            <v>-9156141.3000000007</v>
          </cell>
        </row>
        <row r="388">
          <cell r="B388">
            <v>28121000</v>
          </cell>
          <cell r="G388">
            <v>-10001339.1</v>
          </cell>
        </row>
        <row r="389">
          <cell r="B389">
            <v>28121000</v>
          </cell>
          <cell r="G389">
            <v>-8875471.5299999993</v>
          </cell>
        </row>
        <row r="390">
          <cell r="B390">
            <v>28121000</v>
          </cell>
          <cell r="G390">
            <v>-4606965.41</v>
          </cell>
        </row>
        <row r="391">
          <cell r="B391">
            <v>28121000</v>
          </cell>
          <cell r="G391">
            <v>-23275083.809999999</v>
          </cell>
        </row>
        <row r="392">
          <cell r="B392">
            <v>28121000</v>
          </cell>
          <cell r="G392">
            <v>-16270005.609999999</v>
          </cell>
        </row>
        <row r="393">
          <cell r="B393">
            <v>28121000</v>
          </cell>
          <cell r="G393">
            <v>-575684.38</v>
          </cell>
        </row>
        <row r="394">
          <cell r="B394">
            <v>28121000</v>
          </cell>
          <cell r="G394">
            <v>-1585880</v>
          </cell>
        </row>
        <row r="395">
          <cell r="B395">
            <v>28121000</v>
          </cell>
          <cell r="G395">
            <v>-472460.27</v>
          </cell>
        </row>
        <row r="396">
          <cell r="B396">
            <v>28121000</v>
          </cell>
          <cell r="G396">
            <v>-2331196.15</v>
          </cell>
        </row>
        <row r="397">
          <cell r="B397">
            <v>28121000</v>
          </cell>
          <cell r="G397">
            <v>-1658716.28</v>
          </cell>
        </row>
        <row r="398">
          <cell r="B398">
            <v>28121000</v>
          </cell>
          <cell r="G398">
            <v>-974482.28</v>
          </cell>
        </row>
        <row r="399">
          <cell r="B399">
            <v>28121000</v>
          </cell>
          <cell r="G399">
            <v>-1249075.3999999999</v>
          </cell>
        </row>
        <row r="400">
          <cell r="B400">
            <v>28121000</v>
          </cell>
          <cell r="G400">
            <v>-1360613.2</v>
          </cell>
        </row>
        <row r="401">
          <cell r="B401">
            <v>28121000</v>
          </cell>
          <cell r="G401">
            <v>-1127342.47</v>
          </cell>
        </row>
        <row r="402">
          <cell r="B402">
            <v>28121000</v>
          </cell>
          <cell r="G402">
            <v>-919380.82</v>
          </cell>
        </row>
        <row r="403">
          <cell r="B403">
            <v>28121000</v>
          </cell>
          <cell r="G403">
            <v>-1954465.75</v>
          </cell>
        </row>
        <row r="404">
          <cell r="B404">
            <v>28121000</v>
          </cell>
          <cell r="G404">
            <v>-121874.5</v>
          </cell>
        </row>
        <row r="405">
          <cell r="B405">
            <v>28121100</v>
          </cell>
          <cell r="G405">
            <v>-3208160.75</v>
          </cell>
        </row>
        <row r="406">
          <cell r="B406">
            <v>28121100</v>
          </cell>
          <cell r="G406">
            <v>-1519265.36</v>
          </cell>
        </row>
        <row r="407">
          <cell r="B407">
            <v>28121100</v>
          </cell>
          <cell r="G407">
            <v>-5426345.21</v>
          </cell>
        </row>
        <row r="408">
          <cell r="B408">
            <v>28121100</v>
          </cell>
          <cell r="G408">
            <v>-4493061.37</v>
          </cell>
        </row>
        <row r="409">
          <cell r="B409">
            <v>28121100</v>
          </cell>
          <cell r="G409">
            <v>-6390896.8600000003</v>
          </cell>
        </row>
        <row r="410">
          <cell r="B410">
            <v>28121100</v>
          </cell>
          <cell r="G410">
            <v>-82868.490000000005</v>
          </cell>
        </row>
        <row r="411">
          <cell r="B411">
            <v>28121100</v>
          </cell>
          <cell r="G411">
            <v>-9744121.6300000008</v>
          </cell>
        </row>
        <row r="412">
          <cell r="B412">
            <v>28121100</v>
          </cell>
          <cell r="G412">
            <v>0</v>
          </cell>
        </row>
        <row r="413">
          <cell r="B413">
            <v>28121100</v>
          </cell>
          <cell r="G413">
            <v>-18691587.809999999</v>
          </cell>
        </row>
        <row r="414">
          <cell r="B414">
            <v>28121100</v>
          </cell>
          <cell r="G414">
            <v>-18011577.48</v>
          </cell>
        </row>
        <row r="415">
          <cell r="B415">
            <v>28121100</v>
          </cell>
          <cell r="G415">
            <v>-17546751.210000001</v>
          </cell>
        </row>
        <row r="416">
          <cell r="B416">
            <v>28121100</v>
          </cell>
          <cell r="G416">
            <v>-26098381.890000001</v>
          </cell>
        </row>
        <row r="417">
          <cell r="B417">
            <v>28121100</v>
          </cell>
          <cell r="G417">
            <v>-1421486.95</v>
          </cell>
        </row>
        <row r="418">
          <cell r="B418">
            <v>28121100</v>
          </cell>
          <cell r="G418">
            <v>-2842000</v>
          </cell>
        </row>
        <row r="419">
          <cell r="B419">
            <v>28121100</v>
          </cell>
          <cell r="G419">
            <v>-8305797.2699999996</v>
          </cell>
        </row>
        <row r="420">
          <cell r="B420">
            <v>28121100</v>
          </cell>
          <cell r="G420">
            <v>-973597.81</v>
          </cell>
        </row>
        <row r="421">
          <cell r="B421">
            <v>28121400</v>
          </cell>
          <cell r="G421">
            <v>-219479.23</v>
          </cell>
        </row>
        <row r="422">
          <cell r="B422">
            <v>28121400</v>
          </cell>
          <cell r="G422">
            <v>-204237.77</v>
          </cell>
        </row>
        <row r="423">
          <cell r="B423">
            <v>28121400</v>
          </cell>
          <cell r="G423">
            <v>-76753.350000000006</v>
          </cell>
        </row>
        <row r="424">
          <cell r="B424">
            <v>28121400</v>
          </cell>
          <cell r="G424">
            <v>-614545.09</v>
          </cell>
        </row>
        <row r="425">
          <cell r="B425">
            <v>28121400</v>
          </cell>
          <cell r="G425">
            <v>-433446.88</v>
          </cell>
        </row>
        <row r="426">
          <cell r="B426">
            <v>28121400</v>
          </cell>
          <cell r="G426">
            <v>-784289.87</v>
          </cell>
        </row>
        <row r="427">
          <cell r="B427">
            <v>28121400</v>
          </cell>
          <cell r="G427">
            <v>-284483.64</v>
          </cell>
        </row>
        <row r="428">
          <cell r="B428">
            <v>28121400</v>
          </cell>
          <cell r="G428">
            <v>-162023.62</v>
          </cell>
        </row>
        <row r="429">
          <cell r="B429">
            <v>28121400</v>
          </cell>
          <cell r="G429">
            <v>-16051.34</v>
          </cell>
        </row>
        <row r="430">
          <cell r="B430">
            <v>28121400</v>
          </cell>
          <cell r="G430">
            <v>-151132.04999999999</v>
          </cell>
        </row>
        <row r="431">
          <cell r="B431">
            <v>28121400</v>
          </cell>
          <cell r="G431">
            <v>-561045.43000000005</v>
          </cell>
        </row>
        <row r="432">
          <cell r="B432">
            <v>28121400</v>
          </cell>
          <cell r="G432">
            <v>-10456.040000000001</v>
          </cell>
        </row>
        <row r="433">
          <cell r="B433">
            <v>28121400</v>
          </cell>
          <cell r="G433">
            <v>-22928.23</v>
          </cell>
        </row>
        <row r="434">
          <cell r="B434">
            <v>28121400</v>
          </cell>
          <cell r="G434">
            <v>-1717145.93</v>
          </cell>
        </row>
        <row r="435">
          <cell r="B435">
            <v>28121400</v>
          </cell>
          <cell r="G435">
            <v>-2029788.7</v>
          </cell>
        </row>
        <row r="436">
          <cell r="B436">
            <v>28121400</v>
          </cell>
          <cell r="G436">
            <v>-520359.43</v>
          </cell>
        </row>
        <row r="437">
          <cell r="B437">
            <v>28121400</v>
          </cell>
          <cell r="G437">
            <v>-398795.02</v>
          </cell>
        </row>
        <row r="438">
          <cell r="B438">
            <v>28121400</v>
          </cell>
          <cell r="G438">
            <v>-94014.7</v>
          </cell>
        </row>
        <row r="439">
          <cell r="B439">
            <v>28121400</v>
          </cell>
          <cell r="G439">
            <v>-1611493.17</v>
          </cell>
        </row>
        <row r="440">
          <cell r="B440">
            <v>28121400</v>
          </cell>
          <cell r="G440">
            <v>-223780.22</v>
          </cell>
        </row>
        <row r="441">
          <cell r="B441">
            <v>28121400</v>
          </cell>
          <cell r="G441">
            <v>-1215821.45</v>
          </cell>
        </row>
        <row r="442">
          <cell r="B442">
            <v>28121400</v>
          </cell>
          <cell r="G442">
            <v>-476972.81</v>
          </cell>
        </row>
        <row r="443">
          <cell r="B443">
            <v>28121400</v>
          </cell>
          <cell r="G443">
            <v>-31695.98</v>
          </cell>
        </row>
        <row r="444">
          <cell r="B444">
            <v>28121400</v>
          </cell>
          <cell r="G444">
            <v>-3105.72</v>
          </cell>
        </row>
        <row r="445">
          <cell r="B445">
            <v>28121400</v>
          </cell>
          <cell r="G445">
            <v>-1113302.33</v>
          </cell>
        </row>
        <row r="446">
          <cell r="B446">
            <v>28121400</v>
          </cell>
          <cell r="G446">
            <v>-6942.35</v>
          </cell>
        </row>
        <row r="447">
          <cell r="B447">
            <v>28121400</v>
          </cell>
          <cell r="G447">
            <v>-154</v>
          </cell>
        </row>
        <row r="448">
          <cell r="B448">
            <v>28121400</v>
          </cell>
          <cell r="G448">
            <v>-20.94</v>
          </cell>
        </row>
        <row r="449">
          <cell r="B449">
            <v>28121400</v>
          </cell>
          <cell r="G449">
            <v>-8307.9500000000007</v>
          </cell>
        </row>
        <row r="450">
          <cell r="B450">
            <v>28121500</v>
          </cell>
          <cell r="G450">
            <v>-28823.35</v>
          </cell>
        </row>
        <row r="451">
          <cell r="B451">
            <v>28121500</v>
          </cell>
          <cell r="G451">
            <v>-7200</v>
          </cell>
        </row>
        <row r="452">
          <cell r="B452">
            <v>28121500</v>
          </cell>
          <cell r="G452">
            <v>-288029.37</v>
          </cell>
        </row>
        <row r="453">
          <cell r="B453">
            <v>28121500</v>
          </cell>
          <cell r="G453">
            <v>-47151.1</v>
          </cell>
        </row>
        <row r="454">
          <cell r="B454">
            <v>28121500</v>
          </cell>
          <cell r="G454">
            <v>-62596.77</v>
          </cell>
        </row>
        <row r="455">
          <cell r="B455">
            <v>28121500</v>
          </cell>
          <cell r="G455">
            <v>-4690.9399999999996</v>
          </cell>
        </row>
        <row r="456">
          <cell r="B456">
            <v>28121500</v>
          </cell>
          <cell r="G456">
            <v>-194882978.13</v>
          </cell>
        </row>
        <row r="457">
          <cell r="B457">
            <v>28121500</v>
          </cell>
          <cell r="G457">
            <v>-2711198.5</v>
          </cell>
        </row>
        <row r="458">
          <cell r="B458">
            <v>28121500</v>
          </cell>
          <cell r="G458">
            <v>-2722946.74</v>
          </cell>
        </row>
        <row r="459">
          <cell r="B459">
            <v>28121500</v>
          </cell>
          <cell r="G459">
            <v>-1382883.9</v>
          </cell>
        </row>
        <row r="460">
          <cell r="B460">
            <v>28121500</v>
          </cell>
          <cell r="G460">
            <v>-3411188.71</v>
          </cell>
        </row>
        <row r="461">
          <cell r="B461">
            <v>28121500</v>
          </cell>
          <cell r="G461">
            <v>-13853.57</v>
          </cell>
        </row>
        <row r="462">
          <cell r="B462">
            <v>28121500</v>
          </cell>
          <cell r="G462">
            <v>-4034512.46</v>
          </cell>
        </row>
        <row r="463">
          <cell r="B463">
            <v>28121500</v>
          </cell>
          <cell r="G463">
            <v>-1443526.89</v>
          </cell>
        </row>
        <row r="464">
          <cell r="B464">
            <v>28122000</v>
          </cell>
          <cell r="G464">
            <v>-737658.31</v>
          </cell>
        </row>
        <row r="465">
          <cell r="B465">
            <v>28122000</v>
          </cell>
          <cell r="G465">
            <v>-8223130.3499999996</v>
          </cell>
        </row>
        <row r="466">
          <cell r="B466">
            <v>28122000</v>
          </cell>
          <cell r="G466">
            <v>-1674657.08</v>
          </cell>
        </row>
        <row r="467">
          <cell r="B467">
            <v>28122000</v>
          </cell>
          <cell r="G467">
            <v>-1087507.8700000001</v>
          </cell>
        </row>
        <row r="468">
          <cell r="B468">
            <v>28122000</v>
          </cell>
          <cell r="G468">
            <v>-3040749.28</v>
          </cell>
        </row>
        <row r="469">
          <cell r="B469">
            <v>28122000</v>
          </cell>
          <cell r="G469">
            <v>-174514.03</v>
          </cell>
        </row>
        <row r="470">
          <cell r="B470">
            <v>28122000</v>
          </cell>
          <cell r="G470">
            <v>-1630911.11</v>
          </cell>
        </row>
        <row r="471">
          <cell r="B471">
            <v>28122000</v>
          </cell>
          <cell r="G471">
            <v>-1258751.3600000001</v>
          </cell>
        </row>
        <row r="472">
          <cell r="B472">
            <v>28122000</v>
          </cell>
          <cell r="G472">
            <v>-1076759.93</v>
          </cell>
        </row>
        <row r="473">
          <cell r="B473">
            <v>28122000</v>
          </cell>
          <cell r="G473">
            <v>-521303.9</v>
          </cell>
        </row>
        <row r="474">
          <cell r="B474">
            <v>28122000</v>
          </cell>
          <cell r="G474">
            <v>-808701.16</v>
          </cell>
        </row>
        <row r="475">
          <cell r="B475">
            <v>28122000</v>
          </cell>
          <cell r="G475">
            <v>-570135.15</v>
          </cell>
        </row>
        <row r="476">
          <cell r="B476">
            <v>28122000</v>
          </cell>
          <cell r="G476">
            <v>-1687178.77</v>
          </cell>
        </row>
        <row r="477">
          <cell r="B477">
            <v>28122000</v>
          </cell>
          <cell r="G477">
            <v>-1906301.2</v>
          </cell>
        </row>
        <row r="478">
          <cell r="B478">
            <v>28122000</v>
          </cell>
          <cell r="G478">
            <v>-155440.42000000001</v>
          </cell>
        </row>
        <row r="479">
          <cell r="B479">
            <v>28122000</v>
          </cell>
          <cell r="G479">
            <v>-1605006.08</v>
          </cell>
        </row>
        <row r="480">
          <cell r="B480">
            <v>28122000</v>
          </cell>
          <cell r="G480">
            <v>-819393.61</v>
          </cell>
        </row>
        <row r="481">
          <cell r="B481">
            <v>28122100</v>
          </cell>
          <cell r="G481">
            <v>-1777752.6</v>
          </cell>
        </row>
        <row r="482">
          <cell r="B482">
            <v>28122100</v>
          </cell>
          <cell r="G482">
            <v>-147973.10999999999</v>
          </cell>
        </row>
        <row r="483">
          <cell r="B483">
            <v>28122100</v>
          </cell>
          <cell r="G483">
            <v>-967456.95</v>
          </cell>
        </row>
        <row r="484">
          <cell r="B484">
            <v>28122100</v>
          </cell>
          <cell r="G484">
            <v>-2421905.0099999998</v>
          </cell>
        </row>
        <row r="485">
          <cell r="B485">
            <v>28122100</v>
          </cell>
          <cell r="G485">
            <v>-2280164.2599999998</v>
          </cell>
        </row>
        <row r="486">
          <cell r="B486">
            <v>28122200</v>
          </cell>
          <cell r="G486">
            <v>0</v>
          </cell>
        </row>
        <row r="487">
          <cell r="B487">
            <v>28122200</v>
          </cell>
          <cell r="G487">
            <v>0</v>
          </cell>
        </row>
        <row r="488">
          <cell r="B488">
            <v>29100000</v>
          </cell>
          <cell r="G488">
            <v>-2925473.25</v>
          </cell>
        </row>
        <row r="489">
          <cell r="B489">
            <v>29100000</v>
          </cell>
          <cell r="G489">
            <v>-11433460.720000001</v>
          </cell>
        </row>
        <row r="490">
          <cell r="B490">
            <v>29100000</v>
          </cell>
          <cell r="G490">
            <v>0</v>
          </cell>
        </row>
        <row r="491">
          <cell r="B491">
            <v>29100000</v>
          </cell>
          <cell r="G491">
            <v>0</v>
          </cell>
        </row>
        <row r="492">
          <cell r="B492">
            <v>29100000</v>
          </cell>
          <cell r="G492">
            <v>0</v>
          </cell>
        </row>
        <row r="493">
          <cell r="B493">
            <v>29100000</v>
          </cell>
          <cell r="G493">
            <v>-41459740.460000001</v>
          </cell>
        </row>
        <row r="494">
          <cell r="B494">
            <v>29100000</v>
          </cell>
          <cell r="G494">
            <v>-216986774.78</v>
          </cell>
        </row>
        <row r="495">
          <cell r="B495">
            <v>29100000</v>
          </cell>
          <cell r="G495">
            <v>-43596736.420000002</v>
          </cell>
        </row>
        <row r="496">
          <cell r="B496">
            <v>29100000</v>
          </cell>
          <cell r="G496">
            <v>0</v>
          </cell>
        </row>
        <row r="497">
          <cell r="B497">
            <v>29100000</v>
          </cell>
          <cell r="G497">
            <v>0</v>
          </cell>
        </row>
        <row r="498">
          <cell r="B498">
            <v>29100000</v>
          </cell>
          <cell r="G498">
            <v>-4065282.58</v>
          </cell>
        </row>
        <row r="499">
          <cell r="B499">
            <v>29100000</v>
          </cell>
          <cell r="G499">
            <v>-129673.06</v>
          </cell>
        </row>
        <row r="500">
          <cell r="B500">
            <v>29100000</v>
          </cell>
          <cell r="G500">
            <v>0</v>
          </cell>
        </row>
        <row r="501">
          <cell r="B501">
            <v>29100000</v>
          </cell>
          <cell r="G501">
            <v>0</v>
          </cell>
        </row>
        <row r="502">
          <cell r="B502">
            <v>29100000</v>
          </cell>
          <cell r="G502">
            <v>0</v>
          </cell>
        </row>
        <row r="503">
          <cell r="B503">
            <v>55210200</v>
          </cell>
          <cell r="G503">
            <v>4724662.49</v>
          </cell>
        </row>
        <row r="504">
          <cell r="B504">
            <v>55210200</v>
          </cell>
          <cell r="G504">
            <v>3192069.13</v>
          </cell>
        </row>
        <row r="505">
          <cell r="B505">
            <v>55210200</v>
          </cell>
          <cell r="G505">
            <v>6234725.29</v>
          </cell>
        </row>
        <row r="506">
          <cell r="B506">
            <v>55210200</v>
          </cell>
          <cell r="G506">
            <v>840864.61</v>
          </cell>
        </row>
        <row r="507">
          <cell r="B507">
            <v>55210200</v>
          </cell>
          <cell r="G507">
            <v>0</v>
          </cell>
        </row>
        <row r="508">
          <cell r="B508">
            <v>55210200</v>
          </cell>
          <cell r="G508">
            <v>1855406.78</v>
          </cell>
        </row>
        <row r="509">
          <cell r="B509">
            <v>55210200</v>
          </cell>
          <cell r="G509">
            <v>4879363.83</v>
          </cell>
        </row>
        <row r="510">
          <cell r="B510">
            <v>55210200</v>
          </cell>
          <cell r="G510">
            <v>5688709.0499999998</v>
          </cell>
        </row>
        <row r="511">
          <cell r="B511">
            <v>55210200</v>
          </cell>
          <cell r="G511">
            <v>3682571.49</v>
          </cell>
        </row>
        <row r="512">
          <cell r="B512">
            <v>55210200</v>
          </cell>
          <cell r="G512">
            <v>4296189.12</v>
          </cell>
        </row>
        <row r="513">
          <cell r="B513">
            <v>55210200</v>
          </cell>
          <cell r="G513">
            <v>3927328.14</v>
          </cell>
        </row>
        <row r="514">
          <cell r="B514">
            <v>55210200</v>
          </cell>
          <cell r="G514">
            <v>0</v>
          </cell>
        </row>
        <row r="515">
          <cell r="B515">
            <v>55210200</v>
          </cell>
          <cell r="G515">
            <v>1634907.54</v>
          </cell>
        </row>
        <row r="516">
          <cell r="B516">
            <v>55210200</v>
          </cell>
          <cell r="G516">
            <v>1095820.98</v>
          </cell>
        </row>
        <row r="517">
          <cell r="B517">
            <v>55210200</v>
          </cell>
          <cell r="G517">
            <v>834834.61</v>
          </cell>
        </row>
        <row r="518">
          <cell r="B518">
            <v>55210200</v>
          </cell>
          <cell r="G518">
            <v>11338777.16</v>
          </cell>
        </row>
        <row r="519">
          <cell r="B519">
            <v>55210200</v>
          </cell>
          <cell r="G519">
            <v>1680993.73</v>
          </cell>
        </row>
        <row r="520">
          <cell r="B520">
            <v>55210200</v>
          </cell>
          <cell r="G520">
            <v>1731105.06</v>
          </cell>
        </row>
        <row r="521">
          <cell r="B521">
            <v>55210200</v>
          </cell>
          <cell r="G521">
            <v>472277.98</v>
          </cell>
        </row>
        <row r="522">
          <cell r="B522">
            <v>55210200</v>
          </cell>
          <cell r="G522">
            <v>22291407.190000001</v>
          </cell>
        </row>
        <row r="523">
          <cell r="B523">
            <v>55210200</v>
          </cell>
          <cell r="G523">
            <v>1416242.79</v>
          </cell>
        </row>
        <row r="524">
          <cell r="B524">
            <v>55210200</v>
          </cell>
          <cell r="G524">
            <v>931423.67</v>
          </cell>
        </row>
        <row r="525">
          <cell r="B525">
            <v>55210200</v>
          </cell>
          <cell r="G525">
            <v>1145727.58</v>
          </cell>
        </row>
        <row r="526">
          <cell r="B526">
            <v>55210200</v>
          </cell>
          <cell r="G526">
            <v>3410205.29</v>
          </cell>
        </row>
        <row r="527">
          <cell r="B527">
            <v>55210200</v>
          </cell>
          <cell r="G527">
            <v>0</v>
          </cell>
        </row>
        <row r="528">
          <cell r="B528">
            <v>55210200</v>
          </cell>
          <cell r="G528">
            <v>0</v>
          </cell>
        </row>
        <row r="529">
          <cell r="B529">
            <v>55210200</v>
          </cell>
          <cell r="G529">
            <v>6235770.5800000001</v>
          </cell>
        </row>
        <row r="530">
          <cell r="B530">
            <v>55210200</v>
          </cell>
          <cell r="G530">
            <v>0</v>
          </cell>
        </row>
        <row r="531">
          <cell r="B531">
            <v>55210200</v>
          </cell>
          <cell r="G531">
            <v>0</v>
          </cell>
        </row>
        <row r="532">
          <cell r="B532">
            <v>55210200</v>
          </cell>
          <cell r="G532">
            <v>1204413.6299999999</v>
          </cell>
        </row>
        <row r="533">
          <cell r="B533">
            <v>55210200</v>
          </cell>
          <cell r="G533">
            <v>3305620.41</v>
          </cell>
        </row>
        <row r="534">
          <cell r="B534">
            <v>55210200</v>
          </cell>
          <cell r="G534">
            <v>1407624.19</v>
          </cell>
        </row>
        <row r="535">
          <cell r="B535">
            <v>55210200</v>
          </cell>
          <cell r="G535">
            <v>8800230.2300000004</v>
          </cell>
        </row>
        <row r="536">
          <cell r="B536">
            <v>55210200</v>
          </cell>
          <cell r="G536">
            <v>13086578.73</v>
          </cell>
        </row>
        <row r="537">
          <cell r="B537">
            <v>55210200</v>
          </cell>
          <cell r="G537">
            <v>3367226.62</v>
          </cell>
        </row>
        <row r="538">
          <cell r="B538">
            <v>55210200</v>
          </cell>
          <cell r="G538">
            <v>0</v>
          </cell>
        </row>
        <row r="539">
          <cell r="B539">
            <v>55210200</v>
          </cell>
          <cell r="G539">
            <v>27348499.359999999</v>
          </cell>
        </row>
        <row r="540">
          <cell r="B540">
            <v>55210200</v>
          </cell>
          <cell r="G540">
            <v>553565.05000000005</v>
          </cell>
        </row>
        <row r="541">
          <cell r="B541">
            <v>55210200</v>
          </cell>
          <cell r="G541">
            <v>1796337.08</v>
          </cell>
        </row>
        <row r="542">
          <cell r="B542">
            <v>55210200</v>
          </cell>
          <cell r="G542">
            <v>4946608.6900000004</v>
          </cell>
        </row>
        <row r="543">
          <cell r="B543">
            <v>55210200</v>
          </cell>
          <cell r="G543">
            <v>0</v>
          </cell>
        </row>
        <row r="544">
          <cell r="B544">
            <v>55210200</v>
          </cell>
          <cell r="G544">
            <v>901619.87</v>
          </cell>
        </row>
        <row r="545">
          <cell r="B545">
            <v>55210200</v>
          </cell>
          <cell r="G545">
            <v>5161393.83</v>
          </cell>
        </row>
        <row r="546">
          <cell r="B546">
            <v>55210200</v>
          </cell>
          <cell r="G546">
            <v>10503648.640000001</v>
          </cell>
        </row>
        <row r="547">
          <cell r="B547">
            <v>55210200</v>
          </cell>
          <cell r="G547">
            <v>6002529.7000000002</v>
          </cell>
        </row>
        <row r="548">
          <cell r="B548">
            <v>55210200</v>
          </cell>
          <cell r="G548">
            <v>2465355.9500000002</v>
          </cell>
        </row>
        <row r="549">
          <cell r="B549">
            <v>55210200</v>
          </cell>
          <cell r="G549">
            <v>2637699.91</v>
          </cell>
        </row>
        <row r="550">
          <cell r="B550">
            <v>55210200</v>
          </cell>
          <cell r="G550">
            <v>1750077.18</v>
          </cell>
        </row>
        <row r="551">
          <cell r="B551">
            <v>55210200</v>
          </cell>
          <cell r="G551">
            <v>1869444.95</v>
          </cell>
        </row>
        <row r="552">
          <cell r="B552">
            <v>55210200</v>
          </cell>
          <cell r="G552">
            <v>1394971.06</v>
          </cell>
        </row>
        <row r="553">
          <cell r="B553">
            <v>55210200</v>
          </cell>
          <cell r="G553">
            <v>0</v>
          </cell>
        </row>
        <row r="554">
          <cell r="B554">
            <v>55210200</v>
          </cell>
          <cell r="G554">
            <v>6898384.4699999997</v>
          </cell>
        </row>
        <row r="555">
          <cell r="B555">
            <v>55210200</v>
          </cell>
          <cell r="G555">
            <v>10477732.23</v>
          </cell>
        </row>
        <row r="556">
          <cell r="B556">
            <v>55210200</v>
          </cell>
          <cell r="G556">
            <v>1224676.6599999999</v>
          </cell>
        </row>
        <row r="557">
          <cell r="B557">
            <v>55210200</v>
          </cell>
          <cell r="G557">
            <v>5035649.16</v>
          </cell>
        </row>
        <row r="558">
          <cell r="B558">
            <v>55210200</v>
          </cell>
          <cell r="G558">
            <v>149391.85999999999</v>
          </cell>
        </row>
        <row r="559">
          <cell r="B559">
            <v>55210200</v>
          </cell>
          <cell r="G559">
            <v>24841072.920000002</v>
          </cell>
        </row>
        <row r="560">
          <cell r="B560">
            <v>55210200</v>
          </cell>
          <cell r="G560">
            <v>6945906.1399999997</v>
          </cell>
        </row>
        <row r="561">
          <cell r="B561">
            <v>55210200</v>
          </cell>
          <cell r="G561">
            <v>4464526.91</v>
          </cell>
        </row>
        <row r="562">
          <cell r="B562">
            <v>55210200</v>
          </cell>
          <cell r="G562">
            <v>3189143.06</v>
          </cell>
        </row>
        <row r="563">
          <cell r="B563">
            <v>55210200</v>
          </cell>
          <cell r="G563">
            <v>2686955.8</v>
          </cell>
        </row>
        <row r="564">
          <cell r="B564">
            <v>55210200</v>
          </cell>
          <cell r="G564">
            <v>1454.37</v>
          </cell>
        </row>
        <row r="565">
          <cell r="B565">
            <v>55210200</v>
          </cell>
          <cell r="G565">
            <v>2406806.2599999998</v>
          </cell>
        </row>
        <row r="566">
          <cell r="B566">
            <v>55210200</v>
          </cell>
          <cell r="G566">
            <v>2489359.61</v>
          </cell>
        </row>
        <row r="567">
          <cell r="B567">
            <v>55210200</v>
          </cell>
          <cell r="G567">
            <v>0</v>
          </cell>
        </row>
        <row r="568">
          <cell r="B568">
            <v>55210200</v>
          </cell>
          <cell r="G568">
            <v>4000358.72</v>
          </cell>
        </row>
        <row r="569">
          <cell r="B569">
            <v>55210200</v>
          </cell>
          <cell r="G569">
            <v>0</v>
          </cell>
        </row>
        <row r="570">
          <cell r="B570">
            <v>59521020</v>
          </cell>
          <cell r="G570">
            <v>-53559882</v>
          </cell>
        </row>
      </sheetData>
      <sheetData sheetId="4" refreshError="1"/>
    </sheetDataSet>
  </externalBook>
</externalLink>
</file>

<file path=xl/externalLinks/externalLink2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Bilan"/>
      <sheetName val="Résultat MIXTE"/>
      <sheetName val="Résultat MIXTE EN%"/>
      <sheetName val="Périmètre"/>
      <sheetName val="ecart"/>
      <sheetName val="Chiffres clé"/>
      <sheetName val="Chiffres clé (2)"/>
      <sheetName val="organigramme"/>
      <sheetName val="Placements (2)"/>
      <sheetName val="Placements vie capi (2)"/>
      <sheetName val="Placements IAM (2)"/>
      <sheetName val="Placements TOTAUX"/>
      <sheetName val="Placements IAM TOTAUX"/>
      <sheetName val="Placements vie capi TOTAUX"/>
      <sheetName val="Participation NC"/>
      <sheetName val="particip non cons"/>
      <sheetName val="tméquiv"/>
      <sheetName val="Cpte assurbail (3)"/>
      <sheetName val="Prov réass"/>
      <sheetName val="Prov réass par activité"/>
      <sheetName val="Créances"/>
      <sheetName val="Autactifs"/>
      <sheetName val="Régulactif"/>
      <sheetName val="Cpxpropres"/>
      <sheetName val="Provisions"/>
      <sheetName val="Provpcharg"/>
      <sheetName val="Impotdiff"/>
      <sheetName val="Impotdiff (2)"/>
      <sheetName val="Autdettes"/>
      <sheetName val="regulpassif"/>
      <sheetName val="Engagements"/>
      <sheetName val="Bilan résumé anglais"/>
      <sheetName val="Bilan résumé"/>
      <sheetName val="Placements"/>
      <sheetName val="Placements IAM"/>
      <sheetName val="Placements vie capi"/>
      <sheetName val="Cpte assurbail"/>
      <sheetName val="Cpte assurbail (2)"/>
      <sheetName val="Idiff (3)"/>
      <sheetName val="engagemts (2)"/>
      <sheetName val="actif (2)"/>
      <sheetName val="passif (2)"/>
      <sheetName val="résultat mixte (2)"/>
      <sheetName val="engagements (2)"/>
      <sheetName val="Filiales participations"/>
      <sheetName val="res5"/>
      <sheetName val="BALANCE"/>
      <sheetName val="PART"/>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PART"/>
      <sheetName val="PORT_HORS_CONSO"/>
      <sheetName val="BALANCE"/>
      <sheetName val="A5DETAIL"/>
      <sheetName val="Feuil9"/>
      <sheetName val="Feuil10"/>
    </sheetNames>
    <sheetDataSet>
      <sheetData sheetId="0" refreshError="1"/>
      <sheetData sheetId="1" refreshError="1"/>
      <sheetData sheetId="2" refreshError="1"/>
      <sheetData sheetId="3" refreshError="1"/>
      <sheetData sheetId="4" refreshError="1"/>
      <sheetData sheetId="5" refreshError="1"/>
    </sheetDataSet>
  </externalBook>
</externalLink>
</file>

<file path=xl/externalLinks/externalLink3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VNCI_ASS"/>
      <sheetName val="035"/>
      <sheetName val="201"/>
      <sheetName val="208"/>
      <sheetName val="270"/>
      <sheetName val="401"/>
      <sheetName val="PV_NETTES"/>
    </sheetNames>
    <sheetDataSet>
      <sheetData sheetId="0" refreshError="1">
        <row r="2">
          <cell r="B2" t="str">
            <v>I0132</v>
          </cell>
          <cell r="C2" t="str">
            <v>Ilot 14</v>
          </cell>
        </row>
        <row r="3">
          <cell r="B3" t="str">
            <v>I0134</v>
          </cell>
          <cell r="C3" t="str">
            <v>Lauzin 2</v>
          </cell>
        </row>
        <row r="4">
          <cell r="B4" t="str">
            <v>I0136</v>
          </cell>
          <cell r="C4" t="str">
            <v>Beurries (les)</v>
          </cell>
        </row>
        <row r="5">
          <cell r="B5" t="str">
            <v>I0138</v>
          </cell>
          <cell r="C5" t="str">
            <v>Arago Défense</v>
          </cell>
        </row>
        <row r="6">
          <cell r="B6" t="str">
            <v>I0142</v>
          </cell>
          <cell r="C6" t="str">
            <v>Rungis</v>
          </cell>
        </row>
        <row r="7">
          <cell r="B7" t="str">
            <v>I0144</v>
          </cell>
          <cell r="C7" t="str">
            <v>Galées du Roi (les)</v>
          </cell>
        </row>
        <row r="8">
          <cell r="B8" t="str">
            <v>I0145</v>
          </cell>
          <cell r="C8" t="str">
            <v>Champs Elysées I</v>
          </cell>
        </row>
        <row r="9">
          <cell r="B9" t="str">
            <v>I0148</v>
          </cell>
          <cell r="C9" t="str">
            <v>Courtaboeuf</v>
          </cell>
        </row>
        <row r="10">
          <cell r="B10" t="str">
            <v>I0150</v>
          </cell>
          <cell r="C10" t="str">
            <v>Bois (le)</v>
          </cell>
        </row>
        <row r="11">
          <cell r="B11" t="str">
            <v>I0153</v>
          </cell>
          <cell r="C11" t="str">
            <v>Champ-de-Mars</v>
          </cell>
        </row>
        <row r="12">
          <cell r="B12" t="str">
            <v>I0157</v>
          </cell>
          <cell r="C12" t="str">
            <v>Strasbourg Esplanade</v>
          </cell>
        </row>
        <row r="13">
          <cell r="B13" t="str">
            <v>I0161</v>
          </cell>
          <cell r="C13" t="str">
            <v>Villers-Nancy</v>
          </cell>
        </row>
        <row r="14">
          <cell r="B14" t="str">
            <v>I0163</v>
          </cell>
          <cell r="C14" t="str">
            <v>Villepinte</v>
          </cell>
        </row>
        <row r="15">
          <cell r="B15" t="str">
            <v>I0166</v>
          </cell>
          <cell r="C15" t="str">
            <v>Buzenval</v>
          </cell>
        </row>
        <row r="16">
          <cell r="B16" t="str">
            <v>I0187</v>
          </cell>
          <cell r="C16" t="str">
            <v>Brantôme (le)</v>
          </cell>
        </row>
        <row r="17">
          <cell r="B17" t="str">
            <v>I0203</v>
          </cell>
          <cell r="C17" t="str">
            <v>Marepolis</v>
          </cell>
        </row>
        <row r="18">
          <cell r="B18" t="str">
            <v>I0206</v>
          </cell>
          <cell r="C18" t="str">
            <v>Puteaux Arago</v>
          </cell>
        </row>
        <row r="19">
          <cell r="B19" t="str">
            <v>I0209</v>
          </cell>
          <cell r="C19" t="str">
            <v>Lauzin 3</v>
          </cell>
        </row>
        <row r="20">
          <cell r="B20" t="str">
            <v>I0210</v>
          </cell>
          <cell r="C20" t="str">
            <v>Champs Elysées II</v>
          </cell>
        </row>
        <row r="21">
          <cell r="B21" t="str">
            <v>I0214</v>
          </cell>
          <cell r="C21" t="str">
            <v>Sainte-Odile</v>
          </cell>
        </row>
        <row r="22">
          <cell r="B22" t="str">
            <v>I0221</v>
          </cell>
          <cell r="C22" t="str">
            <v>Ramonville</v>
          </cell>
        </row>
        <row r="23">
          <cell r="B23" t="str">
            <v>I0227</v>
          </cell>
          <cell r="C23" t="str">
            <v>Tours Montbazon</v>
          </cell>
        </row>
        <row r="24">
          <cell r="B24" t="str">
            <v>I0240</v>
          </cell>
          <cell r="C24" t="str">
            <v>Valmante Michelet</v>
          </cell>
        </row>
        <row r="25">
          <cell r="B25" t="str">
            <v>I0241</v>
          </cell>
          <cell r="C25" t="str">
            <v>Conquérant (le)</v>
          </cell>
        </row>
        <row r="26">
          <cell r="B26" t="str">
            <v>I0244</v>
          </cell>
          <cell r="C26" t="str">
            <v>Maine Montparnasse</v>
          </cell>
        </row>
        <row r="27">
          <cell r="B27" t="str">
            <v>I0245</v>
          </cell>
          <cell r="C27" t="str">
            <v>Vikings Odin (les)</v>
          </cell>
        </row>
        <row r="28">
          <cell r="B28" t="str">
            <v>I0246</v>
          </cell>
          <cell r="C28" t="str">
            <v>Daru</v>
          </cell>
        </row>
        <row r="29">
          <cell r="B29" t="str">
            <v>I0259</v>
          </cell>
          <cell r="C29" t="str">
            <v>Château Miramar</v>
          </cell>
        </row>
        <row r="30">
          <cell r="B30" t="str">
            <v>I0271</v>
          </cell>
          <cell r="C30" t="str">
            <v>Washington</v>
          </cell>
        </row>
        <row r="31">
          <cell r="B31" t="str">
            <v>I0294</v>
          </cell>
          <cell r="C31" t="str">
            <v>Carrière Mainguet</v>
          </cell>
        </row>
        <row r="32">
          <cell r="B32" t="str">
            <v>I0402</v>
          </cell>
          <cell r="C32" t="str">
            <v>Présensé</v>
          </cell>
        </row>
        <row r="33">
          <cell r="B33" t="str">
            <v>I0428</v>
          </cell>
          <cell r="C33" t="str">
            <v>Tabacs (les)</v>
          </cell>
        </row>
        <row r="34">
          <cell r="B34" t="str">
            <v>I0447</v>
          </cell>
          <cell r="C34" t="str">
            <v>Scheffer</v>
          </cell>
        </row>
        <row r="35">
          <cell r="B35" t="str">
            <v>I0461</v>
          </cell>
          <cell r="C35" t="str">
            <v>Friedland</v>
          </cell>
        </row>
        <row r="36">
          <cell r="B36" t="str">
            <v>I0466</v>
          </cell>
          <cell r="C36" t="str">
            <v>Wilson</v>
          </cell>
        </row>
        <row r="37">
          <cell r="B37" t="str">
            <v>I0513</v>
          </cell>
          <cell r="C37" t="str">
            <v>Longué-Jumelles</v>
          </cell>
        </row>
        <row r="38">
          <cell r="B38" t="str">
            <v>I0805</v>
          </cell>
          <cell r="C38" t="str">
            <v>Glacière</v>
          </cell>
        </row>
        <row r="39">
          <cell r="B39" t="str">
            <v>I0812</v>
          </cell>
          <cell r="C39" t="str">
            <v>Bac-Grenelle</v>
          </cell>
        </row>
        <row r="40">
          <cell r="B40" t="str">
            <v>I0400</v>
          </cell>
          <cell r="C40" t="str">
            <v>Petit Nanterre - Bâtiment 3</v>
          </cell>
        </row>
        <row r="41">
          <cell r="B41" t="str">
            <v>I0427</v>
          </cell>
          <cell r="C41" t="str">
            <v>Eraudière (l')</v>
          </cell>
        </row>
        <row r="42">
          <cell r="B42" t="str">
            <v>I0519</v>
          </cell>
          <cell r="C42" t="str">
            <v>Norwich Union</v>
          </cell>
        </row>
        <row r="43">
          <cell r="B43" t="str">
            <v>I0802</v>
          </cell>
          <cell r="C43" t="str">
            <v>Maillasson</v>
          </cell>
        </row>
        <row r="44">
          <cell r="B44" t="str">
            <v>I0806</v>
          </cell>
          <cell r="C44" t="str">
            <v>Plantes</v>
          </cell>
        </row>
        <row r="45">
          <cell r="B45" t="str">
            <v>I0807</v>
          </cell>
          <cell r="C45" t="str">
            <v>Jarrige</v>
          </cell>
        </row>
        <row r="46">
          <cell r="B46" t="str">
            <v>I0809</v>
          </cell>
          <cell r="C46" t="str">
            <v>Ibert</v>
          </cell>
        </row>
        <row r="47">
          <cell r="B47" t="str">
            <v>I0811</v>
          </cell>
          <cell r="C47" t="str">
            <v>Dupleix</v>
          </cell>
        </row>
        <row r="48">
          <cell r="B48" t="str">
            <v>I0813</v>
          </cell>
          <cell r="C48" t="str">
            <v>Versailles Saint-Charles</v>
          </cell>
        </row>
        <row r="49">
          <cell r="B49" t="str">
            <v>I0814</v>
          </cell>
          <cell r="C49" t="str">
            <v>NICE Massena</v>
          </cell>
        </row>
        <row r="50">
          <cell r="B50" t="str">
            <v>I0815</v>
          </cell>
          <cell r="C50" t="str">
            <v>Rue du Four</v>
          </cell>
        </row>
        <row r="51">
          <cell r="B51" t="str">
            <v>I0816</v>
          </cell>
          <cell r="C51" t="str">
            <v>Bd Saint Germain</v>
          </cell>
        </row>
        <row r="52">
          <cell r="B52" t="str">
            <v>I0818</v>
          </cell>
          <cell r="C52" t="str">
            <v>Rue de l'université</v>
          </cell>
        </row>
        <row r="53">
          <cell r="B53" t="str">
            <v>I0137</v>
          </cell>
          <cell r="C53" t="str">
            <v>Vega Beaugrenelle</v>
          </cell>
        </row>
        <row r="54">
          <cell r="B54" t="str">
            <v>I0151</v>
          </cell>
          <cell r="C54" t="str">
            <v>Village (le)</v>
          </cell>
        </row>
        <row r="55">
          <cell r="B55" t="str">
            <v>I0200</v>
          </cell>
          <cell r="C55" t="str">
            <v>Champy (le)</v>
          </cell>
        </row>
        <row r="56">
          <cell r="B56" t="str">
            <v>I0340</v>
          </cell>
          <cell r="C56" t="str">
            <v>Luzard (le)</v>
          </cell>
        </row>
        <row r="57">
          <cell r="B57" t="str">
            <v>I0430</v>
          </cell>
          <cell r="C57" t="str">
            <v>Hôtel Le Savoy</v>
          </cell>
        </row>
        <row r="58">
          <cell r="B58" t="str">
            <v>I0511</v>
          </cell>
          <cell r="C58" t="str">
            <v>Courcelles</v>
          </cell>
        </row>
        <row r="59">
          <cell r="B59" t="str">
            <v>I0804</v>
          </cell>
          <cell r="C59" t="str">
            <v>Neuilly Bergerat</v>
          </cell>
        </row>
        <row r="60">
          <cell r="B60" t="str">
            <v>I0810</v>
          </cell>
          <cell r="C60" t="str">
            <v>Faubourg St-Honori</v>
          </cell>
        </row>
        <row r="61">
          <cell r="B61" t="str">
            <v>I0130</v>
          </cell>
          <cell r="C61" t="str">
            <v>Ilot 7</v>
          </cell>
        </row>
        <row r="62">
          <cell r="B62" t="str">
            <v>I0141</v>
          </cell>
          <cell r="C62" t="str">
            <v>Lecourbe</v>
          </cell>
        </row>
        <row r="63">
          <cell r="B63" t="str">
            <v>I0146</v>
          </cell>
          <cell r="C63" t="str">
            <v>Epi d'Or (l')</v>
          </cell>
        </row>
        <row r="64">
          <cell r="B64" t="str">
            <v>I0152</v>
          </cell>
          <cell r="C64" t="str">
            <v>Manhattan Square</v>
          </cell>
        </row>
        <row r="65">
          <cell r="B65" t="str">
            <v>I0155</v>
          </cell>
          <cell r="C65" t="str">
            <v>Lisfranc</v>
          </cell>
        </row>
        <row r="66">
          <cell r="B66" t="str">
            <v>I0156</v>
          </cell>
          <cell r="C66" t="str">
            <v>Flandre - Bâtiment I (Foc Eiders 1)</v>
          </cell>
        </row>
        <row r="67">
          <cell r="B67" t="str">
            <v>I0159</v>
          </cell>
          <cell r="C67" t="str">
            <v>Rocquencourt</v>
          </cell>
        </row>
        <row r="68">
          <cell r="B68" t="str">
            <v>I0162</v>
          </cell>
          <cell r="C68" t="str">
            <v>Saints-Pères (les)</v>
          </cell>
        </row>
        <row r="69">
          <cell r="B69" t="str">
            <v>I0164</v>
          </cell>
          <cell r="C69" t="str">
            <v>Flandre - Bâtiment F (Foc Eiders 2)</v>
          </cell>
        </row>
        <row r="70">
          <cell r="B70" t="str">
            <v>I0168</v>
          </cell>
          <cell r="C70" t="str">
            <v>Parc (le)</v>
          </cell>
        </row>
        <row r="71">
          <cell r="B71" t="str">
            <v>I0170</v>
          </cell>
          <cell r="C71" t="str">
            <v>Petit Port</v>
          </cell>
        </row>
        <row r="72">
          <cell r="B72" t="str">
            <v>I0188</v>
          </cell>
          <cell r="C72" t="str">
            <v>Talence Bois-d'Arcy</v>
          </cell>
        </row>
        <row r="73">
          <cell r="B73" t="str">
            <v>I0192</v>
          </cell>
          <cell r="C73" t="str">
            <v>Baraban</v>
          </cell>
        </row>
        <row r="74">
          <cell r="B74" t="str">
            <v>I0202</v>
          </cell>
          <cell r="C74" t="str">
            <v>Bonneveine</v>
          </cell>
        </row>
        <row r="75">
          <cell r="B75" t="str">
            <v>I0242</v>
          </cell>
          <cell r="C75" t="str">
            <v>Bosquet</v>
          </cell>
        </row>
        <row r="76">
          <cell r="B76" t="str">
            <v>I0247</v>
          </cell>
          <cell r="C76" t="str">
            <v>Tertial (le)</v>
          </cell>
        </row>
        <row r="77">
          <cell r="B77" t="str">
            <v>I0267</v>
          </cell>
          <cell r="C77" t="str">
            <v>Volney</v>
          </cell>
        </row>
        <row r="78">
          <cell r="B78" t="str">
            <v>I0287</v>
          </cell>
          <cell r="C78" t="str">
            <v>Béranger</v>
          </cell>
        </row>
        <row r="79">
          <cell r="B79" t="str">
            <v>I0289</v>
          </cell>
          <cell r="C79" t="str">
            <v>Balkans</v>
          </cell>
        </row>
        <row r="80">
          <cell r="B80" t="str">
            <v>I0343</v>
          </cell>
          <cell r="C80" t="str">
            <v>Carmel (le)</v>
          </cell>
        </row>
        <row r="81">
          <cell r="B81" t="str">
            <v>I0355</v>
          </cell>
          <cell r="C81" t="str">
            <v>Marie Marvingt</v>
          </cell>
        </row>
        <row r="82">
          <cell r="B82" t="str">
            <v>I0377</v>
          </cell>
          <cell r="C82" t="str">
            <v>Cariatides (les)</v>
          </cell>
        </row>
        <row r="83">
          <cell r="B83" t="str">
            <v>I0401</v>
          </cell>
          <cell r="C83" t="str">
            <v>Petit Nanterre - Bâtiment 4</v>
          </cell>
        </row>
        <row r="84">
          <cell r="B84" t="str">
            <v>I0413</v>
          </cell>
          <cell r="C84" t="str">
            <v>Courtaboeuf II</v>
          </cell>
        </row>
        <row r="85">
          <cell r="B85" t="str">
            <v>I0416</v>
          </cell>
          <cell r="C85" t="str">
            <v>Sauvageot</v>
          </cell>
        </row>
        <row r="86">
          <cell r="B86" t="str">
            <v>I0435</v>
          </cell>
          <cell r="C86" t="str">
            <v>Chassagne (le)</v>
          </cell>
        </row>
        <row r="87">
          <cell r="B87" t="str">
            <v>I0436</v>
          </cell>
          <cell r="C87" t="str">
            <v>Strasbourg Cathédrale</v>
          </cell>
        </row>
        <row r="88">
          <cell r="B88" t="str">
            <v>I0444</v>
          </cell>
          <cell r="C88" t="str">
            <v>Golf (le)</v>
          </cell>
        </row>
        <row r="89">
          <cell r="B89" t="str">
            <v>I0445</v>
          </cell>
          <cell r="C89" t="str">
            <v>Villa Thoréton</v>
          </cell>
        </row>
        <row r="90">
          <cell r="B90" t="str">
            <v>I0449</v>
          </cell>
          <cell r="C90" t="str">
            <v>Faisanderie</v>
          </cell>
        </row>
        <row r="91">
          <cell r="B91" t="str">
            <v>I0455</v>
          </cell>
          <cell r="C91" t="str">
            <v>Courtaboeuf Hightec 6</v>
          </cell>
        </row>
        <row r="92">
          <cell r="B92" t="str">
            <v>I0459</v>
          </cell>
          <cell r="C92" t="str">
            <v>Lille</v>
          </cell>
        </row>
        <row r="93">
          <cell r="B93" t="str">
            <v>I0460</v>
          </cell>
          <cell r="C93" t="str">
            <v>Armand Carrel</v>
          </cell>
        </row>
        <row r="94">
          <cell r="B94" t="str">
            <v>I0501</v>
          </cell>
          <cell r="C94" t="str">
            <v>Sisley</v>
          </cell>
        </row>
      </sheetData>
      <sheetData sheetId="1" refreshError="1"/>
      <sheetData sheetId="2" refreshError="1"/>
      <sheetData sheetId="3" refreshError="1"/>
      <sheetData sheetId="4" refreshError="1"/>
      <sheetData sheetId="5" refreshError="1"/>
      <sheetData sheetId="6" refreshError="1"/>
    </sheetDataSet>
  </externalBook>
</externalLink>
</file>

<file path=xl/externalLinks/externalLink3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ReadMe"/>
      <sheetName val="Source"/>
      <sheetName val="TrackChange"/>
      <sheetName val="Monitoring -&gt;"/>
      <sheetName val="1-Drivers"/>
      <sheetName val="3-GenTables"/>
      <sheetName val="4-GenTablesFolio"/>
      <sheetName val="ReferenceData -&gt;"/>
      <sheetName val="Previous-CalcFolio"/>
      <sheetName val="Previous-InputsFolioVIF_RM"/>
      <sheetName val="Previous-InputsFolio_Other"/>
      <sheetName val="Previous-InputsFolioNL"/>
      <sheetName val="Previous-InputsEnt"/>
      <sheetName val="Previous-CalcEnt"/>
      <sheetName val="Inputs -&gt;"/>
      <sheetName val="PreClosing-InputsFolio"/>
      <sheetName val="5-InputsSplitEntitySCRtoKeyS2"/>
      <sheetName val="5-InputsFolio"/>
      <sheetName val="5b-InputsFolioVIF_RM"/>
      <sheetName val="5c-InputsFolio_Other"/>
      <sheetName val="6-InputsFolioNL"/>
      <sheetName val="7-InputsEnt"/>
      <sheetName val="8-InputsIntraGrp"/>
      <sheetName val="Gathering -&gt;"/>
      <sheetName val="RecalculatedSCR"/>
      <sheetName val="ProxySCR"/>
      <sheetName val="PlugSCR"/>
      <sheetName val="SCRAfterPlug"/>
      <sheetName val="Misc -&gt;"/>
      <sheetName val="IM_Options"/>
    </sheetNames>
    <sheetDataSet>
      <sheetData sheetId="0"/>
      <sheetData sheetId="1"/>
      <sheetData sheetId="2"/>
      <sheetData sheetId="3"/>
      <sheetData sheetId="4"/>
      <sheetData sheetId="5"/>
      <sheetData sheetId="6"/>
      <sheetData sheetId="7"/>
      <sheetData sheetId="8"/>
      <sheetData sheetId="9"/>
      <sheetData sheetId="10"/>
      <sheetData sheetId="11">
        <row r="2">
          <cell r="A2" t="str">
            <v>Key</v>
          </cell>
          <cell r="B2" t="str">
            <v>SCR-B3EA01</v>
          </cell>
          <cell r="C2" t="str">
            <v>SCR-B3EA02</v>
          </cell>
          <cell r="D2" t="str">
            <v>SCR-B3EA03</v>
          </cell>
          <cell r="E2" t="str">
            <v>SCR-B3EA04</v>
          </cell>
          <cell r="F2" t="str">
            <v>SCR-B3EA05</v>
          </cell>
          <cell r="G2" t="str">
            <v>SCR-B3EA06</v>
          </cell>
          <cell r="H2" t="str">
            <v>SCR-B3EA07</v>
          </cell>
          <cell r="I2" t="str">
            <v>SCR-B3EA08</v>
          </cell>
          <cell r="J2" t="str">
            <v>SCR-B3EA09</v>
          </cell>
          <cell r="K2" t="str">
            <v>SCR-B3EA10</v>
          </cell>
          <cell r="L2" t="str">
            <v>SCR-B3EA11</v>
          </cell>
          <cell r="M2" t="str">
            <v>SCR-B3EA12</v>
          </cell>
          <cell r="N2" t="str">
            <v>SCR-B3EA01A</v>
          </cell>
          <cell r="O2" t="str">
            <v>SCR-B3EA02A</v>
          </cell>
          <cell r="P2" t="str">
            <v>SCR-B3EA03A</v>
          </cell>
          <cell r="Q2" t="str">
            <v>SCR-B3EA04A</v>
          </cell>
          <cell r="R2" t="str">
            <v>SCR-B3EA05A</v>
          </cell>
          <cell r="S2" t="str">
            <v>SCR-B3EA06A</v>
          </cell>
          <cell r="T2" t="str">
            <v>SCR-B3EA07A</v>
          </cell>
          <cell r="U2" t="str">
            <v>SCR-B3EA08A</v>
          </cell>
          <cell r="V2" t="str">
            <v>SCR-B3EA09A</v>
          </cell>
          <cell r="W2" t="str">
            <v>SCR-B3EA10A</v>
          </cell>
          <cell r="X2" t="str">
            <v>SCR-B3EA11A</v>
          </cell>
          <cell r="Y2" t="str">
            <v>SCR-B3EA12A</v>
          </cell>
          <cell r="Z2" t="str">
            <v>SCR-B3EB01</v>
          </cell>
          <cell r="AA2" t="str">
            <v>SCR-B3EB02</v>
          </cell>
          <cell r="AB2" t="str">
            <v>SCR-B3EB03</v>
          </cell>
          <cell r="AC2" t="str">
            <v>SCR-B3EB04</v>
          </cell>
          <cell r="AD2" t="str">
            <v>SCR-B3EB05</v>
          </cell>
          <cell r="AE2" t="str">
            <v>SCR-B3EB06</v>
          </cell>
          <cell r="AF2" t="str">
            <v>SCR-B3EB07</v>
          </cell>
          <cell r="AG2" t="str">
            <v>SCR-B3EB08</v>
          </cell>
          <cell r="AH2" t="str">
            <v>SCR-B3EB09</v>
          </cell>
          <cell r="AI2" t="str">
            <v>SCR-B3EB10</v>
          </cell>
          <cell r="AJ2" t="str">
            <v>SCR-B3EB11</v>
          </cell>
          <cell r="AK2" t="str">
            <v>SCR-B3EB12</v>
          </cell>
          <cell r="AL2" t="str">
            <v>SCR-B3EC01</v>
          </cell>
          <cell r="AM2" t="str">
            <v>SCR-B3EC02</v>
          </cell>
          <cell r="AN2" t="str">
            <v>SCR-B3EC03</v>
          </cell>
          <cell r="AO2" t="str">
            <v>SCR-B3EC04</v>
          </cell>
          <cell r="AP2" t="str">
            <v>SCR-B3EC05</v>
          </cell>
          <cell r="AQ2" t="str">
            <v>SCR-B3EC06</v>
          </cell>
          <cell r="AR2" t="str">
            <v>SCR-B3EC07</v>
          </cell>
          <cell r="AS2" t="str">
            <v>SCR-B3EC08</v>
          </cell>
          <cell r="AT2" t="str">
            <v>SCR-B3EC09</v>
          </cell>
          <cell r="AU2" t="str">
            <v>SCR-B3EC10</v>
          </cell>
          <cell r="AV2" t="str">
            <v>SCR-B3EC11</v>
          </cell>
          <cell r="AW2" t="str">
            <v>SCR-B3EC12</v>
          </cell>
          <cell r="AX2" t="str">
            <v>SCR-B3ED01</v>
          </cell>
          <cell r="AY2" t="str">
            <v>SCR-B3ED02</v>
          </cell>
          <cell r="AZ2" t="str">
            <v>SCR-B3ED03</v>
          </cell>
          <cell r="BA2" t="str">
            <v>SCR-B3ED04</v>
          </cell>
          <cell r="BB2" t="str">
            <v>SCR-B3ED05</v>
          </cell>
          <cell r="BC2" t="str">
            <v>SCR-B3ED06</v>
          </cell>
          <cell r="BD2" t="str">
            <v>SCR-B3ED07</v>
          </cell>
          <cell r="BE2" t="str">
            <v>SCR-B3ED08</v>
          </cell>
          <cell r="BF2" t="str">
            <v>SCR-B3ED09</v>
          </cell>
          <cell r="BG2" t="str">
            <v>SCR-B3ED10</v>
          </cell>
          <cell r="BH2" t="str">
            <v>SCR-B3ED11</v>
          </cell>
          <cell r="BI2" t="str">
            <v>SCR-B3ED12</v>
          </cell>
          <cell r="BJ2" t="str">
            <v>SCR-B3EE01</v>
          </cell>
          <cell r="BK2" t="str">
            <v>SCR-B3EE02</v>
          </cell>
          <cell r="BL2" t="str">
            <v>SCR-B3EE03</v>
          </cell>
          <cell r="BM2" t="str">
            <v>SCR-B3EE04</v>
          </cell>
          <cell r="BN2" t="str">
            <v>SCR-B3EE05</v>
          </cell>
          <cell r="BO2" t="str">
            <v>SCR-B3EE06</v>
          </cell>
          <cell r="BP2" t="str">
            <v>SCR-B3EE07</v>
          </cell>
          <cell r="BQ2" t="str">
            <v>SCR-B3EE08</v>
          </cell>
          <cell r="BR2" t="str">
            <v>SCR-B3EE09</v>
          </cell>
          <cell r="BS2" t="str">
            <v>SCR-B3EE10</v>
          </cell>
          <cell r="BT2" t="str">
            <v>SCR-B3EE11</v>
          </cell>
          <cell r="BU2" t="str">
            <v>SCR-B3EE12</v>
          </cell>
          <cell r="BV2" t="str">
            <v>SCR-B3EA15A</v>
          </cell>
          <cell r="BW2" t="str">
            <v>SCR-B3EA16A</v>
          </cell>
          <cell r="BX2" t="str">
            <v>SCR-B3EA17A</v>
          </cell>
          <cell r="BY2" t="str">
            <v>SCR-B3EB15A</v>
          </cell>
          <cell r="BZ2" t="str">
            <v>SCR-B3EB16A</v>
          </cell>
          <cell r="CA2" t="str">
            <v>SCR-B3EB17A</v>
          </cell>
          <cell r="CB2" t="str">
            <v>SCR-B3EA16</v>
          </cell>
          <cell r="CC2" t="str">
            <v>SCR-B3EA17</v>
          </cell>
          <cell r="CD2" t="str">
            <v>SCR-B3D</v>
          </cell>
          <cell r="CE2" t="str">
            <v>SCR-B3D</v>
          </cell>
          <cell r="CF2" t="str">
            <v>SCR-B3D</v>
          </cell>
          <cell r="CG2" t="str">
            <v>SCR-B3D</v>
          </cell>
          <cell r="CH2" t="str">
            <v>SCR-B3D</v>
          </cell>
          <cell r="CI2" t="str">
            <v>SCR-B3D</v>
          </cell>
          <cell r="CJ2" t="str">
            <v>SCR-B3D</v>
          </cell>
          <cell r="CK2" t="str">
            <v>SCR-B3D</v>
          </cell>
          <cell r="CL2" t="str">
            <v>SCR-B3D</v>
          </cell>
          <cell r="CM2" t="str">
            <v>SCR-B3D</v>
          </cell>
          <cell r="CN2" t="str">
            <v>SCR-B3D</v>
          </cell>
          <cell r="CO2" t="str">
            <v>SCR-B3D</v>
          </cell>
          <cell r="CP2" t="str">
            <v>SCR-B3D</v>
          </cell>
          <cell r="CQ2" t="str">
            <v>SCR-B3D</v>
          </cell>
          <cell r="CR2" t="str">
            <v>SCR-B3D</v>
          </cell>
          <cell r="CS2" t="str">
            <v>SCR-B3D</v>
          </cell>
          <cell r="CT2" t="str">
            <v>SCR-B3D</v>
          </cell>
          <cell r="CU2" t="str">
            <v>SCR-B3D</v>
          </cell>
          <cell r="CV2" t="str">
            <v>SCR-B3D</v>
          </cell>
          <cell r="CW2" t="str">
            <v>SCR-B3D</v>
          </cell>
          <cell r="CX2" t="str">
            <v>SCR-B3D</v>
          </cell>
          <cell r="CY2" t="str">
            <v>SCR-B3D</v>
          </cell>
          <cell r="CZ2" t="str">
            <v>SCR-B3D</v>
          </cell>
          <cell r="DA2" t="str">
            <v>SCR-B3D</v>
          </cell>
          <cell r="DB2" t="str">
            <v>SCR-B3D</v>
          </cell>
          <cell r="DC2" t="str">
            <v>SCR-B3D</v>
          </cell>
          <cell r="DD2" t="str">
            <v>SCR-B3D</v>
          </cell>
          <cell r="DE2" t="str">
            <v>SCR-B3D</v>
          </cell>
          <cell r="DF2" t="str">
            <v>SCR-B3D</v>
          </cell>
          <cell r="DG2" t="str">
            <v>SCR-B3D</v>
          </cell>
          <cell r="DH2" t="str">
            <v>SCR-B3D</v>
          </cell>
          <cell r="DI2" t="str">
            <v>SCR-B3D</v>
          </cell>
          <cell r="DJ2" t="str">
            <v>SCR-B3D</v>
          </cell>
          <cell r="DK2" t="str">
            <v>SCR-B3D</v>
          </cell>
          <cell r="DL2" t="str">
            <v>SCR-B3D</v>
          </cell>
          <cell r="DM2" t="str">
            <v>SCR-B3D</v>
          </cell>
          <cell r="DN2" t="str">
            <v>SCR-B3D</v>
          </cell>
          <cell r="DO2" t="str">
            <v>SCR-B3D</v>
          </cell>
          <cell r="DP2" t="str">
            <v>SCR-B3D</v>
          </cell>
          <cell r="DQ2" t="str">
            <v>SCR-B3D</v>
          </cell>
          <cell r="DR2" t="str">
            <v>SCR-B3D</v>
          </cell>
          <cell r="DS2" t="str">
            <v>SCR-B3D</v>
          </cell>
          <cell r="DT2" t="str">
            <v>SCR-B3D</v>
          </cell>
          <cell r="DU2" t="str">
            <v>SCR-B3D</v>
          </cell>
          <cell r="DV2" t="str">
            <v>SCR-B3D</v>
          </cell>
          <cell r="DW2" t="str">
            <v>SCR-B3D</v>
          </cell>
          <cell r="DX2" t="str">
            <v>SCR-B3D</v>
          </cell>
          <cell r="DY2" t="str">
            <v>SCR-B3D</v>
          </cell>
          <cell r="EA2" t="str">
            <v>SCR-B3DE09</v>
          </cell>
          <cell r="EB2" t="str">
            <v>SCR-B3DF09</v>
          </cell>
          <cell r="EC2" t="str">
            <v>SCR-B3DG09</v>
          </cell>
          <cell r="ED2" t="str">
            <v>SCR-B3DA12</v>
          </cell>
          <cell r="EE2" t="str">
            <v>SCR-B3DA13</v>
          </cell>
          <cell r="EF2" t="str">
            <v>SCR-B3DA14</v>
          </cell>
          <cell r="EG2" t="str">
            <v>SCR-B3DA15</v>
          </cell>
          <cell r="EH2" t="str">
            <v>SCR-B3DA12A</v>
          </cell>
          <cell r="EI2" t="str">
            <v>SCR-B3DA13A</v>
          </cell>
          <cell r="EJ2" t="str">
            <v>SCR-B3DA14A</v>
          </cell>
          <cell r="EK2" t="str">
            <v>SCR-B3DA15A</v>
          </cell>
          <cell r="EL2" t="str">
            <v>SCR-B3DB12</v>
          </cell>
          <cell r="EM2" t="str">
            <v>SCR-B3DB13</v>
          </cell>
          <cell r="EN2" t="str">
            <v>SCR-B3DB14</v>
          </cell>
          <cell r="EO2" t="str">
            <v>SCR-B3DB15</v>
          </cell>
          <cell r="EP2" t="str">
            <v>SCR-B3DC12</v>
          </cell>
          <cell r="EQ2" t="str">
            <v>SCR-B3DC13</v>
          </cell>
          <cell r="ER2" t="str">
            <v>SCR-B3DC14</v>
          </cell>
          <cell r="ES2" t="str">
            <v>SCR-B3DC15</v>
          </cell>
          <cell r="ET2" t="str">
            <v>SCR-B3DD12</v>
          </cell>
          <cell r="EU2" t="str">
            <v>SCR-B3DD13</v>
          </cell>
          <cell r="EV2" t="str">
            <v>SCR-B3DD14</v>
          </cell>
          <cell r="EW2" t="str">
            <v>SCR-B3DD15</v>
          </cell>
          <cell r="EX2" t="str">
            <v>SCR-B3DE12</v>
          </cell>
          <cell r="EY2" t="str">
            <v>SCR-B3DE13</v>
          </cell>
          <cell r="EZ2" t="str">
            <v>SCR-B3DE14</v>
          </cell>
          <cell r="FA2" t="str">
            <v>SCR-B3DE15</v>
          </cell>
          <cell r="FB2" t="str">
            <v>SCR-B3DA18A</v>
          </cell>
          <cell r="FC2" t="str">
            <v>SCR-B3DA19A</v>
          </cell>
          <cell r="FD2" t="str">
            <v>SCR-B3DA20A</v>
          </cell>
          <cell r="FE2" t="str">
            <v>SCR-B3DB18A</v>
          </cell>
          <cell r="FF2" t="str">
            <v>SCR-B3DB19A</v>
          </cell>
          <cell r="FG2" t="str">
            <v>SCR-B3DB20A</v>
          </cell>
          <cell r="FH2" t="str">
            <v>SCR-B3DA21</v>
          </cell>
          <cell r="FI2" t="str">
            <v>SCR-B3DA22</v>
          </cell>
          <cell r="FJ2" t="str">
            <v>SCR-B3DA23</v>
          </cell>
          <cell r="FK2" t="str">
            <v>SCR-B3D</v>
          </cell>
          <cell r="FL2" t="str">
            <v>SCR-B3D</v>
          </cell>
          <cell r="FM2" t="str">
            <v>SCR-B3D</v>
          </cell>
          <cell r="FN2" t="str">
            <v>SCR-B3D</v>
          </cell>
          <cell r="FO2" t="str">
            <v>SCR-B3D</v>
          </cell>
          <cell r="FP2" t="str">
            <v>SCR-B3D</v>
          </cell>
          <cell r="FQ2" t="str">
            <v>SCR-B3D</v>
          </cell>
          <cell r="FR2" t="str">
            <v>SCR-B3D</v>
          </cell>
          <cell r="FS2" t="str">
            <v>SCR-B3D</v>
          </cell>
          <cell r="FT2" t="str">
            <v>SCR-B3D</v>
          </cell>
          <cell r="FU2" t="str">
            <v>SCR-B3D</v>
          </cell>
          <cell r="FV2" t="str">
            <v>SCR-B3D</v>
          </cell>
          <cell r="FW2" t="str">
            <v>SCR-B3D</v>
          </cell>
          <cell r="FX2" t="str">
            <v>SCR-B3D</v>
          </cell>
          <cell r="FY2" t="str">
            <v>SCR-B3D</v>
          </cell>
          <cell r="FZ2" t="str">
            <v>SCR-B3D</v>
          </cell>
        </row>
        <row r="3">
          <cell r="A3" t="str">
            <v>NumCol</v>
          </cell>
          <cell r="B3">
            <v>2</v>
          </cell>
          <cell r="C3">
            <v>3</v>
          </cell>
          <cell r="D3">
            <v>4</v>
          </cell>
          <cell r="E3">
            <v>5</v>
          </cell>
          <cell r="F3">
            <v>6</v>
          </cell>
          <cell r="G3">
            <v>7</v>
          </cell>
          <cell r="H3">
            <v>8</v>
          </cell>
          <cell r="I3">
            <v>9</v>
          </cell>
          <cell r="J3">
            <v>10</v>
          </cell>
          <cell r="K3">
            <v>11</v>
          </cell>
          <cell r="L3">
            <v>12</v>
          </cell>
          <cell r="M3">
            <v>13</v>
          </cell>
          <cell r="N3">
            <v>14</v>
          </cell>
          <cell r="O3">
            <v>15</v>
          </cell>
          <cell r="P3">
            <v>16</v>
          </cell>
          <cell r="Q3">
            <v>17</v>
          </cell>
          <cell r="R3">
            <v>18</v>
          </cell>
          <cell r="S3">
            <v>19</v>
          </cell>
          <cell r="T3">
            <v>20</v>
          </cell>
          <cell r="U3">
            <v>21</v>
          </cell>
          <cell r="V3">
            <v>22</v>
          </cell>
          <cell r="W3">
            <v>23</v>
          </cell>
          <cell r="X3">
            <v>24</v>
          </cell>
          <cell r="Y3">
            <v>25</v>
          </cell>
          <cell r="Z3">
            <v>26</v>
          </cell>
          <cell r="AA3">
            <v>27</v>
          </cell>
          <cell r="AB3">
            <v>28</v>
          </cell>
          <cell r="AC3">
            <v>29</v>
          </cell>
          <cell r="AD3">
            <v>30</v>
          </cell>
          <cell r="AE3">
            <v>31</v>
          </cell>
          <cell r="AF3">
            <v>32</v>
          </cell>
          <cell r="AG3">
            <v>33</v>
          </cell>
          <cell r="AH3">
            <v>34</v>
          </cell>
          <cell r="AI3">
            <v>35</v>
          </cell>
          <cell r="AJ3">
            <v>36</v>
          </cell>
          <cell r="AK3">
            <v>37</v>
          </cell>
          <cell r="AL3">
            <v>38</v>
          </cell>
          <cell r="AM3">
            <v>39</v>
          </cell>
          <cell r="AN3">
            <v>40</v>
          </cell>
          <cell r="AO3">
            <v>41</v>
          </cell>
          <cell r="AP3">
            <v>42</v>
          </cell>
          <cell r="AQ3">
            <v>43</v>
          </cell>
          <cell r="AR3">
            <v>44</v>
          </cell>
          <cell r="AS3">
            <v>45</v>
          </cell>
          <cell r="AT3">
            <v>46</v>
          </cell>
          <cell r="AU3">
            <v>47</v>
          </cell>
          <cell r="AV3">
            <v>48</v>
          </cell>
          <cell r="AW3">
            <v>49</v>
          </cell>
          <cell r="AX3">
            <v>50</v>
          </cell>
          <cell r="AY3">
            <v>51</v>
          </cell>
          <cell r="AZ3">
            <v>52</v>
          </cell>
          <cell r="BA3">
            <v>53</v>
          </cell>
          <cell r="BB3">
            <v>54</v>
          </cell>
          <cell r="BC3">
            <v>55</v>
          </cell>
          <cell r="BD3">
            <v>56</v>
          </cell>
          <cell r="BE3">
            <v>57</v>
          </cell>
          <cell r="BF3">
            <v>58</v>
          </cell>
          <cell r="BG3">
            <v>59</v>
          </cell>
          <cell r="BH3">
            <v>60</v>
          </cell>
          <cell r="BI3">
            <v>61</v>
          </cell>
          <cell r="BJ3">
            <v>62</v>
          </cell>
          <cell r="BK3">
            <v>63</v>
          </cell>
          <cell r="BL3">
            <v>64</v>
          </cell>
          <cell r="BM3">
            <v>65</v>
          </cell>
          <cell r="BN3">
            <v>66</v>
          </cell>
          <cell r="BO3">
            <v>67</v>
          </cell>
          <cell r="BP3">
            <v>68</v>
          </cell>
          <cell r="BQ3">
            <v>69</v>
          </cell>
          <cell r="BR3">
            <v>70</v>
          </cell>
          <cell r="BS3">
            <v>71</v>
          </cell>
          <cell r="BT3">
            <v>72</v>
          </cell>
          <cell r="BU3">
            <v>73</v>
          </cell>
          <cell r="BV3">
            <v>74</v>
          </cell>
          <cell r="BW3">
            <v>75</v>
          </cell>
          <cell r="BX3">
            <v>76</v>
          </cell>
          <cell r="BY3">
            <v>77</v>
          </cell>
          <cell r="BZ3">
            <v>78</v>
          </cell>
          <cell r="CA3">
            <v>79</v>
          </cell>
          <cell r="CB3">
            <v>80</v>
          </cell>
          <cell r="CC3">
            <v>81</v>
          </cell>
          <cell r="CD3">
            <v>82</v>
          </cell>
          <cell r="CE3">
            <v>83</v>
          </cell>
          <cell r="CF3">
            <v>84</v>
          </cell>
          <cell r="CG3">
            <v>85</v>
          </cell>
          <cell r="CH3">
            <v>86</v>
          </cell>
          <cell r="CI3">
            <v>87</v>
          </cell>
          <cell r="CJ3">
            <v>88</v>
          </cell>
          <cell r="CK3">
            <v>89</v>
          </cell>
          <cell r="CL3">
            <v>90</v>
          </cell>
          <cell r="CM3">
            <v>91</v>
          </cell>
          <cell r="CN3">
            <v>92</v>
          </cell>
          <cell r="CO3">
            <v>93</v>
          </cell>
          <cell r="CP3">
            <v>94</v>
          </cell>
          <cell r="CQ3">
            <v>95</v>
          </cell>
          <cell r="CR3">
            <v>96</v>
          </cell>
          <cell r="CS3">
            <v>97</v>
          </cell>
          <cell r="CT3">
            <v>98</v>
          </cell>
          <cell r="CU3">
            <v>99</v>
          </cell>
          <cell r="CV3">
            <v>100</v>
          </cell>
          <cell r="CW3">
            <v>101</v>
          </cell>
          <cell r="CX3">
            <v>102</v>
          </cell>
          <cell r="CY3">
            <v>103</v>
          </cell>
          <cell r="CZ3">
            <v>104</v>
          </cell>
          <cell r="DA3">
            <v>105</v>
          </cell>
          <cell r="DB3">
            <v>106</v>
          </cell>
          <cell r="DC3">
            <v>107</v>
          </cell>
          <cell r="DD3">
            <v>108</v>
          </cell>
          <cell r="DE3">
            <v>109</v>
          </cell>
          <cell r="DF3">
            <v>110</v>
          </cell>
          <cell r="DG3">
            <v>111</v>
          </cell>
          <cell r="DH3">
            <v>112</v>
          </cell>
          <cell r="DI3">
            <v>113</v>
          </cell>
          <cell r="DJ3">
            <v>114</v>
          </cell>
          <cell r="DK3">
            <v>115</v>
          </cell>
          <cell r="DL3">
            <v>116</v>
          </cell>
          <cell r="DM3">
            <v>117</v>
          </cell>
          <cell r="DN3">
            <v>118</v>
          </cell>
          <cell r="DO3">
            <v>119</v>
          </cell>
          <cell r="DP3">
            <v>120</v>
          </cell>
          <cell r="DQ3">
            <v>121</v>
          </cell>
          <cell r="DR3">
            <v>122</v>
          </cell>
          <cell r="DS3">
            <v>123</v>
          </cell>
          <cell r="DT3">
            <v>124</v>
          </cell>
          <cell r="DU3">
            <v>125</v>
          </cell>
          <cell r="DV3">
            <v>126</v>
          </cell>
          <cell r="DW3">
            <v>127</v>
          </cell>
          <cell r="DX3">
            <v>128</v>
          </cell>
          <cell r="DY3">
            <v>129</v>
          </cell>
          <cell r="EA3">
            <v>131</v>
          </cell>
          <cell r="EB3">
            <v>132</v>
          </cell>
          <cell r="EC3">
            <v>133</v>
          </cell>
          <cell r="ED3">
            <v>134</v>
          </cell>
          <cell r="EE3">
            <v>135</v>
          </cell>
          <cell r="EF3">
            <v>136</v>
          </cell>
          <cell r="EG3">
            <v>137</v>
          </cell>
          <cell r="EH3">
            <v>138</v>
          </cell>
          <cell r="EI3">
            <v>139</v>
          </cell>
          <cell r="EJ3">
            <v>140</v>
          </cell>
          <cell r="EK3">
            <v>141</v>
          </cell>
          <cell r="EL3">
            <v>142</v>
          </cell>
          <cell r="EM3">
            <v>143</v>
          </cell>
          <cell r="EN3">
            <v>144</v>
          </cell>
          <cell r="EO3">
            <v>145</v>
          </cell>
          <cell r="EP3">
            <v>146</v>
          </cell>
          <cell r="EQ3">
            <v>147</v>
          </cell>
          <cell r="ER3">
            <v>148</v>
          </cell>
          <cell r="ES3">
            <v>149</v>
          </cell>
          <cell r="ET3">
            <v>150</v>
          </cell>
          <cell r="EU3">
            <v>151</v>
          </cell>
          <cell r="EV3">
            <v>152</v>
          </cell>
          <cell r="EW3">
            <v>153</v>
          </cell>
          <cell r="EX3">
            <v>154</v>
          </cell>
          <cell r="EY3">
            <v>155</v>
          </cell>
          <cell r="EZ3">
            <v>156</v>
          </cell>
          <cell r="FA3">
            <v>157</v>
          </cell>
          <cell r="FB3">
            <v>158</v>
          </cell>
          <cell r="FC3">
            <v>159</v>
          </cell>
          <cell r="FD3">
            <v>160</v>
          </cell>
          <cell r="FE3">
            <v>161</v>
          </cell>
          <cell r="FF3">
            <v>162</v>
          </cell>
          <cell r="FG3">
            <v>163</v>
          </cell>
          <cell r="FH3">
            <v>164</v>
          </cell>
          <cell r="FI3">
            <v>165</v>
          </cell>
          <cell r="FJ3">
            <v>166</v>
          </cell>
          <cell r="FK3">
            <v>167</v>
          </cell>
          <cell r="FL3">
            <v>168</v>
          </cell>
          <cell r="FM3">
            <v>169</v>
          </cell>
          <cell r="FN3">
            <v>170</v>
          </cell>
          <cell r="FO3">
            <v>171</v>
          </cell>
          <cell r="FP3">
            <v>172</v>
          </cell>
          <cell r="FQ3">
            <v>173</v>
          </cell>
          <cell r="FR3">
            <v>174</v>
          </cell>
          <cell r="FS3">
            <v>175</v>
          </cell>
          <cell r="FT3">
            <v>176</v>
          </cell>
          <cell r="FU3">
            <v>177</v>
          </cell>
          <cell r="FV3">
            <v>178</v>
          </cell>
          <cell r="FW3">
            <v>179</v>
          </cell>
          <cell r="FX3">
            <v>180</v>
          </cell>
          <cell r="FY3">
            <v>181</v>
          </cell>
          <cell r="FZ3">
            <v>182</v>
          </cell>
        </row>
        <row r="4">
          <cell r="A4" t="str">
            <v>Templates</v>
          </cell>
          <cell r="B4" t="str">
            <v>SCR-B3E</v>
          </cell>
          <cell r="C4" t="str">
            <v>SCR-B3E</v>
          </cell>
          <cell r="D4" t="str">
            <v>SCR-B3E</v>
          </cell>
          <cell r="E4" t="str">
            <v>SCR-B3E</v>
          </cell>
          <cell r="F4" t="str">
            <v>SCR-B3E</v>
          </cell>
          <cell r="G4" t="str">
            <v>SCR-B3E</v>
          </cell>
          <cell r="H4" t="str">
            <v>SCR-B3E</v>
          </cell>
          <cell r="I4" t="str">
            <v>SCR-B3E</v>
          </cell>
          <cell r="J4" t="str">
            <v>SCR-B3E</v>
          </cell>
          <cell r="K4" t="str">
            <v>SCR-B3E</v>
          </cell>
          <cell r="L4" t="str">
            <v>SCR-B3E</v>
          </cell>
          <cell r="M4" t="str">
            <v>SCR-B3E</v>
          </cell>
          <cell r="N4" t="str">
            <v>SCR-B3E</v>
          </cell>
          <cell r="O4" t="str">
            <v>SCR-B3E</v>
          </cell>
          <cell r="P4" t="str">
            <v>SCR-B3E</v>
          </cell>
          <cell r="Q4" t="str">
            <v>SCR-B3E</v>
          </cell>
          <cell r="R4" t="str">
            <v>SCR-B3E</v>
          </cell>
          <cell r="S4" t="str">
            <v>SCR-B3E</v>
          </cell>
          <cell r="T4" t="str">
            <v>SCR-B3E</v>
          </cell>
          <cell r="U4" t="str">
            <v>SCR-B3E</v>
          </cell>
          <cell r="V4" t="str">
            <v>SCR-B3E</v>
          </cell>
          <cell r="W4" t="str">
            <v>SCR-B3E</v>
          </cell>
          <cell r="X4" t="str">
            <v>SCR-B3E</v>
          </cell>
          <cell r="Y4" t="str">
            <v>SCR-B3E</v>
          </cell>
          <cell r="Z4" t="str">
            <v>SCR-B3E</v>
          </cell>
          <cell r="AA4" t="str">
            <v>SCR-B3E</v>
          </cell>
          <cell r="AB4" t="str">
            <v>SCR-B3E</v>
          </cell>
          <cell r="AC4" t="str">
            <v>SCR-B3E</v>
          </cell>
          <cell r="AD4" t="str">
            <v>SCR-B3E</v>
          </cell>
          <cell r="AE4" t="str">
            <v>SCR-B3E</v>
          </cell>
          <cell r="AF4" t="str">
            <v>SCR-B3E</v>
          </cell>
          <cell r="AG4" t="str">
            <v>SCR-B3E</v>
          </cell>
          <cell r="AH4" t="str">
            <v>SCR-B3E</v>
          </cell>
          <cell r="AI4" t="str">
            <v>SCR-B3E</v>
          </cell>
          <cell r="AJ4" t="str">
            <v>SCR-B3E</v>
          </cell>
          <cell r="AK4" t="str">
            <v>SCR-B3E</v>
          </cell>
          <cell r="AL4" t="str">
            <v>SCR-B3E</v>
          </cell>
          <cell r="AM4" t="str">
            <v>SCR-B3E</v>
          </cell>
          <cell r="AN4" t="str">
            <v>SCR-B3E</v>
          </cell>
          <cell r="AO4" t="str">
            <v>SCR-B3E</v>
          </cell>
          <cell r="AP4" t="str">
            <v>SCR-B3E</v>
          </cell>
          <cell r="AQ4" t="str">
            <v>SCR-B3E</v>
          </cell>
          <cell r="AR4" t="str">
            <v>SCR-B3E</v>
          </cell>
          <cell r="AS4" t="str">
            <v>SCR-B3E</v>
          </cell>
          <cell r="AT4" t="str">
            <v>SCR-B3E</v>
          </cell>
          <cell r="AU4" t="str">
            <v>SCR-B3E</v>
          </cell>
          <cell r="AV4" t="str">
            <v>SCR-B3E</v>
          </cell>
          <cell r="AW4" t="str">
            <v>SCR-B3E</v>
          </cell>
          <cell r="AX4" t="str">
            <v>SCR-B3E</v>
          </cell>
          <cell r="AY4" t="str">
            <v>SCR-B3E</v>
          </cell>
          <cell r="AZ4" t="str">
            <v>SCR-B3E</v>
          </cell>
          <cell r="BA4" t="str">
            <v>SCR-B3E</v>
          </cell>
          <cell r="BB4" t="str">
            <v>SCR-B3E</v>
          </cell>
          <cell r="BC4" t="str">
            <v>SCR-B3E</v>
          </cell>
          <cell r="BD4" t="str">
            <v>SCR-B3E</v>
          </cell>
          <cell r="BE4" t="str">
            <v>SCR-B3E</v>
          </cell>
          <cell r="BF4" t="str">
            <v>SCR-B3E</v>
          </cell>
          <cell r="BG4" t="str">
            <v>SCR-B3E</v>
          </cell>
          <cell r="BH4" t="str">
            <v>SCR-B3E</v>
          </cell>
          <cell r="BI4" t="str">
            <v>SCR-B3E</v>
          </cell>
          <cell r="BJ4" t="str">
            <v>SCR-B3E</v>
          </cell>
          <cell r="BK4" t="str">
            <v>SCR-B3E</v>
          </cell>
          <cell r="BL4" t="str">
            <v>SCR-B3E</v>
          </cell>
          <cell r="BM4" t="str">
            <v>SCR-B3E</v>
          </cell>
          <cell r="BN4" t="str">
            <v>SCR-B3E</v>
          </cell>
          <cell r="BO4" t="str">
            <v>SCR-B3E</v>
          </cell>
          <cell r="BP4" t="str">
            <v>SCR-B3E</v>
          </cell>
          <cell r="BQ4" t="str">
            <v>SCR-B3E</v>
          </cell>
          <cell r="BR4" t="str">
            <v>SCR-B3E</v>
          </cell>
          <cell r="BS4" t="str">
            <v>SCR-B3E</v>
          </cell>
          <cell r="BT4" t="str">
            <v>SCR-B3E</v>
          </cell>
          <cell r="BU4" t="str">
            <v>SCR-B3E</v>
          </cell>
          <cell r="BV4" t="str">
            <v>SCR-B3E</v>
          </cell>
          <cell r="BW4" t="str">
            <v>SCR-B3E</v>
          </cell>
          <cell r="BX4" t="str">
            <v>SCR-B3E</v>
          </cell>
          <cell r="BY4" t="str">
            <v>SCR-B3E</v>
          </cell>
          <cell r="BZ4" t="str">
            <v>SCR-B3E</v>
          </cell>
          <cell r="CA4" t="str">
            <v>SCR-B3E</v>
          </cell>
          <cell r="CB4" t="str">
            <v>SCR-B3E</v>
          </cell>
          <cell r="CC4" t="str">
            <v>SCR-B3E</v>
          </cell>
          <cell r="CD4" t="str">
            <v>SCR-B3D</v>
          </cell>
          <cell r="CE4" t="str">
            <v>SCR-B3D</v>
          </cell>
          <cell r="CF4" t="str">
            <v>SCR-B3D</v>
          </cell>
          <cell r="CG4" t="str">
            <v>SCR-B3D</v>
          </cell>
          <cell r="CH4" t="str">
            <v>SCR-B3D</v>
          </cell>
          <cell r="CI4" t="str">
            <v>SCR-B3D</v>
          </cell>
          <cell r="CJ4" t="str">
            <v>SCR-B3D</v>
          </cell>
          <cell r="CK4" t="str">
            <v>SCR-B3D</v>
          </cell>
          <cell r="CL4" t="str">
            <v>SCR-B3D</v>
          </cell>
          <cell r="CM4" t="str">
            <v>SCR-B3D</v>
          </cell>
          <cell r="CN4" t="str">
            <v>SCR-B3D</v>
          </cell>
          <cell r="CO4" t="str">
            <v>SCR-B3D</v>
          </cell>
          <cell r="CP4" t="str">
            <v>SCR-B3D</v>
          </cell>
          <cell r="CQ4" t="str">
            <v>SCR-B3D</v>
          </cell>
          <cell r="CR4" t="str">
            <v>SCR-B3D</v>
          </cell>
          <cell r="CS4" t="str">
            <v>SCR-B3D</v>
          </cell>
          <cell r="CT4" t="str">
            <v>SCR-B3D</v>
          </cell>
          <cell r="CU4" t="str">
            <v>SCR-B3D</v>
          </cell>
          <cell r="CV4" t="str">
            <v>SCR-B3D</v>
          </cell>
          <cell r="CW4" t="str">
            <v>SCR-B3D</v>
          </cell>
          <cell r="CX4" t="str">
            <v>SCR-B3D</v>
          </cell>
          <cell r="CY4" t="str">
            <v>SCR-B3D</v>
          </cell>
          <cell r="CZ4" t="str">
            <v>SCR-B3D</v>
          </cell>
          <cell r="DA4" t="str">
            <v>SCR-B3D</v>
          </cell>
          <cell r="DB4" t="str">
            <v>SCR-B3D</v>
          </cell>
          <cell r="DC4" t="str">
            <v>SCR-B3D</v>
          </cell>
          <cell r="DD4" t="str">
            <v>SCR-B3D</v>
          </cell>
          <cell r="DE4" t="str">
            <v>SCR-B3D</v>
          </cell>
          <cell r="DF4" t="str">
            <v>SCR-B3D</v>
          </cell>
          <cell r="DG4" t="str">
            <v>SCR-B3D</v>
          </cell>
          <cell r="DH4" t="str">
            <v>SCR-B3D</v>
          </cell>
          <cell r="DI4" t="str">
            <v>SCR-B3D</v>
          </cell>
          <cell r="DJ4" t="str">
            <v>SCR-B3D</v>
          </cell>
          <cell r="DK4" t="str">
            <v>SCR-B3D</v>
          </cell>
          <cell r="DL4" t="str">
            <v>SCR-B3D</v>
          </cell>
          <cell r="DM4" t="str">
            <v>SCR-B3D</v>
          </cell>
          <cell r="DN4" t="str">
            <v>SCR-B3D</v>
          </cell>
          <cell r="DO4" t="str">
            <v>SCR-B3D</v>
          </cell>
          <cell r="DP4" t="str">
            <v>SCR-B3D</v>
          </cell>
          <cell r="DQ4" t="str">
            <v>SCR-B3D</v>
          </cell>
          <cell r="DR4" t="str">
            <v>SCR-B3D</v>
          </cell>
          <cell r="DS4" t="str">
            <v>SCR-B3D</v>
          </cell>
          <cell r="DT4" t="str">
            <v>SCR-B3D</v>
          </cell>
          <cell r="DU4" t="str">
            <v>SCR-B3D</v>
          </cell>
          <cell r="DV4" t="str">
            <v>SCR-B3D</v>
          </cell>
          <cell r="DW4" t="str">
            <v>SCR-B3D</v>
          </cell>
          <cell r="DX4" t="str">
            <v>SCR-B3D</v>
          </cell>
          <cell r="DY4" t="str">
            <v>SCR-B3D</v>
          </cell>
          <cell r="EA4" t="str">
            <v>SCR-B3D</v>
          </cell>
          <cell r="EB4" t="str">
            <v>SCR-B3D</v>
          </cell>
          <cell r="EC4" t="str">
            <v>SCR-B3D</v>
          </cell>
          <cell r="ED4" t="str">
            <v>SCR-B3D</v>
          </cell>
          <cell r="EE4" t="str">
            <v>SCR-B3D</v>
          </cell>
          <cell r="EF4" t="str">
            <v>SCR-B3D</v>
          </cell>
          <cell r="EG4" t="str">
            <v>SCR-B3D</v>
          </cell>
          <cell r="EH4" t="str">
            <v>SCR-B3D</v>
          </cell>
          <cell r="EI4" t="str">
            <v>SCR-B3D</v>
          </cell>
          <cell r="EJ4" t="str">
            <v>SCR-B3D</v>
          </cell>
          <cell r="EK4" t="str">
            <v>SCR-B3D</v>
          </cell>
          <cell r="EL4" t="str">
            <v>SCR-B3D</v>
          </cell>
          <cell r="EM4" t="str">
            <v>SCR-B3D</v>
          </cell>
          <cell r="EN4" t="str">
            <v>SCR-B3D</v>
          </cell>
          <cell r="EO4" t="str">
            <v>SCR-B3D</v>
          </cell>
          <cell r="EP4" t="str">
            <v>SCR-B3D</v>
          </cell>
          <cell r="EQ4" t="str">
            <v>SCR-B3D</v>
          </cell>
          <cell r="ER4" t="str">
            <v>SCR-B3D</v>
          </cell>
          <cell r="ES4" t="str">
            <v>SCR-B3D</v>
          </cell>
          <cell r="ET4" t="str">
            <v>SCR-B3D</v>
          </cell>
          <cell r="EU4" t="str">
            <v>SCR-B3D</v>
          </cell>
          <cell r="EV4" t="str">
            <v>SCR-B3D</v>
          </cell>
          <cell r="EW4" t="str">
            <v>SCR-B3D</v>
          </cell>
          <cell r="EX4" t="str">
            <v>SCR-B3D</v>
          </cell>
          <cell r="EY4" t="str">
            <v>SCR-B3D</v>
          </cell>
          <cell r="EZ4" t="str">
            <v>SCR-B3D</v>
          </cell>
          <cell r="FA4" t="str">
            <v>SCR-B3D</v>
          </cell>
          <cell r="FB4" t="str">
            <v>SCR-B3D</v>
          </cell>
          <cell r="FC4" t="str">
            <v>SCR-B3D</v>
          </cell>
          <cell r="FD4" t="str">
            <v>SCR-B3D</v>
          </cell>
          <cell r="FE4" t="str">
            <v>SCR-B3D</v>
          </cell>
          <cell r="FF4" t="str">
            <v>SCR-B3D</v>
          </cell>
          <cell r="FG4" t="str">
            <v>SCR-B3D</v>
          </cell>
          <cell r="FH4" t="str">
            <v>SCR-B3D</v>
          </cell>
          <cell r="FI4" t="str">
            <v>SCR-B3D</v>
          </cell>
          <cell r="FJ4" t="str">
            <v>SCR-B3D</v>
          </cell>
          <cell r="FK4" t="str">
            <v>SCR-B3D</v>
          </cell>
          <cell r="FL4" t="str">
            <v>SCR-B3D</v>
          </cell>
          <cell r="FM4" t="str">
            <v>SCR-B3D</v>
          </cell>
          <cell r="FN4" t="str">
            <v>SCR-B3D</v>
          </cell>
          <cell r="FO4" t="str">
            <v>SCR-B3D</v>
          </cell>
          <cell r="FP4" t="str">
            <v>SCR-B3D</v>
          </cell>
          <cell r="FQ4" t="str">
            <v>SCR-B3D</v>
          </cell>
          <cell r="FR4" t="str">
            <v>SCR-B3D</v>
          </cell>
          <cell r="FS4" t="str">
            <v>SCR-B3D</v>
          </cell>
          <cell r="FT4" t="str">
            <v>SCR-B3D</v>
          </cell>
          <cell r="FU4" t="str">
            <v>SCR-B3D</v>
          </cell>
          <cell r="FV4" t="str">
            <v>SCR-B3D</v>
          </cell>
          <cell r="FW4" t="str">
            <v>SCR-B3D</v>
          </cell>
          <cell r="FX4" t="str">
            <v>SCR-B3D</v>
          </cell>
          <cell r="FY4" t="str">
            <v>SCR-B3D</v>
          </cell>
          <cell r="FZ4" t="str">
            <v>SCR-B3D</v>
          </cell>
        </row>
        <row r="5">
          <cell r="A5" t="str">
            <v xml:space="preserve">Cells </v>
          </cell>
          <cell r="B5" t="str">
            <v>A01</v>
          </cell>
          <cell r="C5" t="str">
            <v>A02</v>
          </cell>
          <cell r="D5" t="str">
            <v>A03</v>
          </cell>
          <cell r="E5" t="str">
            <v>A04</v>
          </cell>
          <cell r="F5" t="str">
            <v>A05</v>
          </cell>
          <cell r="G5" t="str">
            <v>A06</v>
          </cell>
          <cell r="H5" t="str">
            <v>A07</v>
          </cell>
          <cell r="I5" t="str">
            <v>A08</v>
          </cell>
          <cell r="J5" t="str">
            <v>A09</v>
          </cell>
          <cell r="K5" t="str">
            <v>A10</v>
          </cell>
          <cell r="L5" t="str">
            <v>A11</v>
          </cell>
          <cell r="M5" t="str">
            <v>A12</v>
          </cell>
          <cell r="N5" t="str">
            <v>A01A</v>
          </cell>
          <cell r="O5" t="str">
            <v>A02A</v>
          </cell>
          <cell r="P5" t="str">
            <v>A03A</v>
          </cell>
          <cell r="Q5" t="str">
            <v>A04A</v>
          </cell>
          <cell r="R5" t="str">
            <v>A05A</v>
          </cell>
          <cell r="S5" t="str">
            <v>A06A</v>
          </cell>
          <cell r="T5" t="str">
            <v>A07A</v>
          </cell>
          <cell r="U5" t="str">
            <v>A08A</v>
          </cell>
          <cell r="V5" t="str">
            <v>A09A</v>
          </cell>
          <cell r="W5" t="str">
            <v>A10A</v>
          </cell>
          <cell r="X5" t="str">
            <v>A11A</v>
          </cell>
          <cell r="Y5" t="str">
            <v>A12A</v>
          </cell>
          <cell r="Z5" t="str">
            <v>B01</v>
          </cell>
          <cell r="AA5" t="str">
            <v>B02</v>
          </cell>
          <cell r="AB5" t="str">
            <v>B03</v>
          </cell>
          <cell r="AC5" t="str">
            <v>B04</v>
          </cell>
          <cell r="AD5" t="str">
            <v>B05</v>
          </cell>
          <cell r="AE5" t="str">
            <v>B06</v>
          </cell>
          <cell r="AF5" t="str">
            <v>B07</v>
          </cell>
          <cell r="AG5" t="str">
            <v>B08</v>
          </cell>
          <cell r="AH5" t="str">
            <v>B09</v>
          </cell>
          <cell r="AI5" t="str">
            <v>B10</v>
          </cell>
          <cell r="AJ5" t="str">
            <v>B11</v>
          </cell>
          <cell r="AK5" t="str">
            <v>B12</v>
          </cell>
          <cell r="AL5" t="str">
            <v>C01</v>
          </cell>
          <cell r="AM5" t="str">
            <v>C02</v>
          </cell>
          <cell r="AN5" t="str">
            <v>C03</v>
          </cell>
          <cell r="AO5" t="str">
            <v>C04</v>
          </cell>
          <cell r="AP5" t="str">
            <v>C05</v>
          </cell>
          <cell r="AQ5" t="str">
            <v>C06</v>
          </cell>
          <cell r="AR5" t="str">
            <v>C07</v>
          </cell>
          <cell r="AS5" t="str">
            <v>C08</v>
          </cell>
          <cell r="AT5" t="str">
            <v>C09</v>
          </cell>
          <cell r="AU5" t="str">
            <v>C10</v>
          </cell>
          <cell r="AV5" t="str">
            <v>C11</v>
          </cell>
          <cell r="AW5" t="str">
            <v>C12</v>
          </cell>
          <cell r="AX5" t="str">
            <v>D01</v>
          </cell>
          <cell r="AY5" t="str">
            <v>D02</v>
          </cell>
          <cell r="AZ5" t="str">
            <v>D03</v>
          </cell>
          <cell r="BA5" t="str">
            <v>D04</v>
          </cell>
          <cell r="BB5" t="str">
            <v>D05</v>
          </cell>
          <cell r="BC5" t="str">
            <v>D06</v>
          </cell>
          <cell r="BD5" t="str">
            <v>D07</v>
          </cell>
          <cell r="BE5" t="str">
            <v>D08</v>
          </cell>
          <cell r="BF5" t="str">
            <v>D09</v>
          </cell>
          <cell r="BG5" t="str">
            <v>D10</v>
          </cell>
          <cell r="BH5" t="str">
            <v>D11</v>
          </cell>
          <cell r="BI5" t="str">
            <v>D12</v>
          </cell>
          <cell r="BJ5" t="str">
            <v>E01</v>
          </cell>
          <cell r="BK5" t="str">
            <v>E02</v>
          </cell>
          <cell r="BL5" t="str">
            <v>E03</v>
          </cell>
          <cell r="BM5" t="str">
            <v>E04</v>
          </cell>
          <cell r="BN5" t="str">
            <v>E05</v>
          </cell>
          <cell r="BO5" t="str">
            <v>E06</v>
          </cell>
          <cell r="BP5" t="str">
            <v>E07</v>
          </cell>
          <cell r="BQ5" t="str">
            <v>E08</v>
          </cell>
          <cell r="BR5" t="str">
            <v>E09</v>
          </cell>
          <cell r="BS5" t="str">
            <v>E10</v>
          </cell>
          <cell r="BT5" t="str">
            <v>E11</v>
          </cell>
          <cell r="BU5" t="str">
            <v>E12</v>
          </cell>
          <cell r="BV5" t="str">
            <v>A15A</v>
          </cell>
          <cell r="BW5" t="str">
            <v>A16A</v>
          </cell>
          <cell r="BX5" t="str">
            <v>A17A</v>
          </cell>
          <cell r="BY5" t="str">
            <v>B15A</v>
          </cell>
          <cell r="BZ5" t="str">
            <v>B16A</v>
          </cell>
          <cell r="CA5" t="str">
            <v>B17A</v>
          </cell>
          <cell r="CB5" t="str">
            <v>A16</v>
          </cell>
          <cell r="CC5" t="str">
            <v>A17</v>
          </cell>
          <cell r="CD5">
            <v>0</v>
          </cell>
          <cell r="CE5">
            <v>0</v>
          </cell>
          <cell r="CF5">
            <v>0</v>
          </cell>
          <cell r="CG5">
            <v>0</v>
          </cell>
          <cell r="CH5">
            <v>0</v>
          </cell>
          <cell r="CI5">
            <v>0</v>
          </cell>
          <cell r="CJ5">
            <v>0</v>
          </cell>
          <cell r="CK5">
            <v>0</v>
          </cell>
          <cell r="CL5">
            <v>0</v>
          </cell>
          <cell r="CM5">
            <v>0</v>
          </cell>
          <cell r="CN5">
            <v>0</v>
          </cell>
          <cell r="CO5">
            <v>0</v>
          </cell>
          <cell r="CP5">
            <v>0</v>
          </cell>
          <cell r="CQ5">
            <v>0</v>
          </cell>
          <cell r="CR5">
            <v>0</v>
          </cell>
          <cell r="CS5">
            <v>0</v>
          </cell>
          <cell r="CT5">
            <v>0</v>
          </cell>
          <cell r="CU5">
            <v>0</v>
          </cell>
          <cell r="CV5">
            <v>0</v>
          </cell>
          <cell r="CW5">
            <v>0</v>
          </cell>
          <cell r="CX5">
            <v>0</v>
          </cell>
          <cell r="CY5">
            <v>0</v>
          </cell>
          <cell r="CZ5">
            <v>0</v>
          </cell>
          <cell r="DA5">
            <v>0</v>
          </cell>
          <cell r="DB5">
            <v>0</v>
          </cell>
          <cell r="DC5">
            <v>0</v>
          </cell>
          <cell r="DD5">
            <v>0</v>
          </cell>
          <cell r="DE5">
            <v>0</v>
          </cell>
          <cell r="DF5">
            <v>0</v>
          </cell>
          <cell r="DG5">
            <v>0</v>
          </cell>
          <cell r="DH5">
            <v>0</v>
          </cell>
          <cell r="DI5">
            <v>0</v>
          </cell>
          <cell r="DJ5">
            <v>0</v>
          </cell>
          <cell r="DK5">
            <v>0</v>
          </cell>
          <cell r="DL5">
            <v>0</v>
          </cell>
          <cell r="DM5">
            <v>0</v>
          </cell>
          <cell r="DN5">
            <v>0</v>
          </cell>
          <cell r="DO5">
            <v>0</v>
          </cell>
          <cell r="DP5">
            <v>0</v>
          </cell>
          <cell r="DQ5">
            <v>0</v>
          </cell>
          <cell r="DR5">
            <v>0</v>
          </cell>
          <cell r="DS5">
            <v>0</v>
          </cell>
          <cell r="DT5">
            <v>0</v>
          </cell>
          <cell r="DU5">
            <v>0</v>
          </cell>
          <cell r="DV5">
            <v>0</v>
          </cell>
          <cell r="DW5">
            <v>0</v>
          </cell>
          <cell r="DX5">
            <v>0</v>
          </cell>
          <cell r="DY5">
            <v>0</v>
          </cell>
          <cell r="EA5" t="str">
            <v>E09</v>
          </cell>
          <cell r="EB5" t="str">
            <v>F09</v>
          </cell>
          <cell r="EC5" t="str">
            <v>G09</v>
          </cell>
          <cell r="ED5" t="str">
            <v>A12</v>
          </cell>
          <cell r="EE5" t="str">
            <v>A13</v>
          </cell>
          <cell r="EF5" t="str">
            <v>A14</v>
          </cell>
          <cell r="EG5" t="str">
            <v>A15</v>
          </cell>
          <cell r="EH5" t="str">
            <v>A12A</v>
          </cell>
          <cell r="EI5" t="str">
            <v>A13A</v>
          </cell>
          <cell r="EJ5" t="str">
            <v>A14A</v>
          </cell>
          <cell r="EK5" t="str">
            <v>A15A</v>
          </cell>
          <cell r="EL5" t="str">
            <v>B12</v>
          </cell>
          <cell r="EM5" t="str">
            <v>B13</v>
          </cell>
          <cell r="EN5" t="str">
            <v>B14</v>
          </cell>
          <cell r="EO5" t="str">
            <v>B15</v>
          </cell>
          <cell r="EP5" t="str">
            <v>C12</v>
          </cell>
          <cell r="EQ5" t="str">
            <v>C13</v>
          </cell>
          <cell r="ER5" t="str">
            <v>C14</v>
          </cell>
          <cell r="ES5" t="str">
            <v>C15</v>
          </cell>
          <cell r="ET5" t="str">
            <v>D12</v>
          </cell>
          <cell r="EU5" t="str">
            <v>D13</v>
          </cell>
          <cell r="EV5" t="str">
            <v>D14</v>
          </cell>
          <cell r="EW5" t="str">
            <v>D15</v>
          </cell>
          <cell r="EX5" t="str">
            <v>E12</v>
          </cell>
          <cell r="EY5" t="str">
            <v>E13</v>
          </cell>
          <cell r="EZ5" t="str">
            <v>E14</v>
          </cell>
          <cell r="FA5" t="str">
            <v>E15</v>
          </cell>
          <cell r="FB5" t="str">
            <v>A18A</v>
          </cell>
          <cell r="FC5" t="str">
            <v>A19A</v>
          </cell>
          <cell r="FD5" t="str">
            <v>A20A</v>
          </cell>
          <cell r="FE5" t="str">
            <v>B18A</v>
          </cell>
          <cell r="FF5" t="str">
            <v>B19A</v>
          </cell>
          <cell r="FG5" t="str">
            <v>B20A</v>
          </cell>
          <cell r="FH5" t="str">
            <v>A21</v>
          </cell>
          <cell r="FI5" t="str">
            <v>A22</v>
          </cell>
          <cell r="FJ5" t="str">
            <v>A23</v>
          </cell>
          <cell r="FK5">
            <v>0</v>
          </cell>
          <cell r="FL5">
            <v>0</v>
          </cell>
          <cell r="FM5">
            <v>0</v>
          </cell>
          <cell r="FN5">
            <v>0</v>
          </cell>
          <cell r="FO5">
            <v>0</v>
          </cell>
          <cell r="FP5">
            <v>0</v>
          </cell>
          <cell r="FQ5">
            <v>0</v>
          </cell>
          <cell r="FR5">
            <v>0</v>
          </cell>
          <cell r="FS5">
            <v>0</v>
          </cell>
          <cell r="FT5">
            <v>0</v>
          </cell>
          <cell r="FU5">
            <v>0</v>
          </cell>
          <cell r="FV5">
            <v>0</v>
          </cell>
          <cell r="FW5">
            <v>0</v>
          </cell>
          <cell r="FX5">
            <v>0</v>
          </cell>
          <cell r="FY5">
            <v>0</v>
          </cell>
          <cell r="FZ5">
            <v>0</v>
          </cell>
        </row>
        <row r="6">
          <cell r="A6" t="str">
            <v>Total</v>
          </cell>
          <cell r="B6">
            <v>0</v>
          </cell>
          <cell r="C6">
            <v>0</v>
          </cell>
          <cell r="D6">
            <v>0</v>
          </cell>
          <cell r="E6">
            <v>0</v>
          </cell>
          <cell r="F6">
            <v>0</v>
          </cell>
          <cell r="G6">
            <v>0</v>
          </cell>
          <cell r="H6">
            <v>0</v>
          </cell>
          <cell r="I6">
            <v>0</v>
          </cell>
          <cell r="J6">
            <v>0</v>
          </cell>
          <cell r="K6">
            <v>0</v>
          </cell>
          <cell r="L6">
            <v>0</v>
          </cell>
          <cell r="M6">
            <v>0</v>
          </cell>
          <cell r="N6">
            <v>0</v>
          </cell>
          <cell r="O6">
            <v>0</v>
          </cell>
          <cell r="P6">
            <v>0</v>
          </cell>
          <cell r="Q6">
            <v>0</v>
          </cell>
          <cell r="R6">
            <v>0</v>
          </cell>
          <cell r="S6">
            <v>0</v>
          </cell>
          <cell r="T6">
            <v>0</v>
          </cell>
          <cell r="U6">
            <v>0</v>
          </cell>
          <cell r="V6">
            <v>0</v>
          </cell>
          <cell r="W6">
            <v>0</v>
          </cell>
          <cell r="X6">
            <v>0</v>
          </cell>
          <cell r="Y6">
            <v>0</v>
          </cell>
          <cell r="Z6">
            <v>0</v>
          </cell>
          <cell r="AA6">
            <v>0</v>
          </cell>
          <cell r="AB6">
            <v>0</v>
          </cell>
          <cell r="AC6">
            <v>0</v>
          </cell>
          <cell r="AD6">
            <v>0</v>
          </cell>
          <cell r="AE6">
            <v>0</v>
          </cell>
          <cell r="AF6">
            <v>0</v>
          </cell>
          <cell r="AG6">
            <v>0</v>
          </cell>
          <cell r="AH6">
            <v>0</v>
          </cell>
          <cell r="AI6">
            <v>0</v>
          </cell>
          <cell r="AJ6">
            <v>0</v>
          </cell>
          <cell r="AK6">
            <v>0</v>
          </cell>
          <cell r="AL6">
            <v>0</v>
          </cell>
          <cell r="AM6">
            <v>0</v>
          </cell>
          <cell r="AN6">
            <v>0</v>
          </cell>
          <cell r="AO6">
            <v>0</v>
          </cell>
          <cell r="AP6">
            <v>0</v>
          </cell>
          <cell r="AQ6">
            <v>0</v>
          </cell>
          <cell r="AR6">
            <v>0</v>
          </cell>
          <cell r="AS6">
            <v>0</v>
          </cell>
          <cell r="AT6">
            <v>0</v>
          </cell>
          <cell r="AU6">
            <v>0</v>
          </cell>
          <cell r="AV6">
            <v>0</v>
          </cell>
          <cell r="AW6">
            <v>0</v>
          </cell>
          <cell r="AX6">
            <v>0</v>
          </cell>
          <cell r="AY6">
            <v>0</v>
          </cell>
          <cell r="AZ6">
            <v>0</v>
          </cell>
          <cell r="BA6">
            <v>0</v>
          </cell>
          <cell r="BB6">
            <v>0</v>
          </cell>
          <cell r="BC6">
            <v>0</v>
          </cell>
          <cell r="BD6">
            <v>0</v>
          </cell>
          <cell r="BE6">
            <v>0</v>
          </cell>
          <cell r="BF6">
            <v>0</v>
          </cell>
          <cell r="BG6">
            <v>0</v>
          </cell>
          <cell r="BH6">
            <v>0</v>
          </cell>
          <cell r="BI6">
            <v>0</v>
          </cell>
          <cell r="BJ6">
            <v>0</v>
          </cell>
          <cell r="BK6">
            <v>0</v>
          </cell>
          <cell r="BL6">
            <v>0</v>
          </cell>
          <cell r="BM6">
            <v>0</v>
          </cell>
          <cell r="BN6">
            <v>0</v>
          </cell>
          <cell r="BO6">
            <v>0</v>
          </cell>
          <cell r="BP6">
            <v>0</v>
          </cell>
          <cell r="BQ6">
            <v>0</v>
          </cell>
          <cell r="BR6">
            <v>0</v>
          </cell>
          <cell r="BS6">
            <v>0</v>
          </cell>
          <cell r="BT6">
            <v>0</v>
          </cell>
          <cell r="BU6">
            <v>0</v>
          </cell>
          <cell r="BV6">
            <v>0</v>
          </cell>
          <cell r="BW6">
            <v>0</v>
          </cell>
          <cell r="BX6">
            <v>0</v>
          </cell>
          <cell r="BY6">
            <v>0</v>
          </cell>
          <cell r="BZ6">
            <v>0</v>
          </cell>
          <cell r="CA6">
            <v>0</v>
          </cell>
          <cell r="CB6">
            <v>0</v>
          </cell>
          <cell r="CC6">
            <v>0</v>
          </cell>
          <cell r="CD6">
            <v>0</v>
          </cell>
          <cell r="CE6">
            <v>0</v>
          </cell>
          <cell r="CF6">
            <v>0</v>
          </cell>
          <cell r="CG6">
            <v>0</v>
          </cell>
          <cell r="CH6">
            <v>0</v>
          </cell>
          <cell r="CI6">
            <v>0</v>
          </cell>
          <cell r="CJ6">
            <v>0</v>
          </cell>
          <cell r="CK6">
            <v>0</v>
          </cell>
          <cell r="CL6">
            <v>0</v>
          </cell>
          <cell r="CM6">
            <v>0</v>
          </cell>
          <cell r="CN6">
            <v>0</v>
          </cell>
          <cell r="CO6">
            <v>0</v>
          </cell>
          <cell r="CP6">
            <v>0</v>
          </cell>
          <cell r="CQ6">
            <v>0</v>
          </cell>
          <cell r="CR6">
            <v>0</v>
          </cell>
          <cell r="CS6">
            <v>0</v>
          </cell>
          <cell r="CT6">
            <v>0</v>
          </cell>
          <cell r="CU6">
            <v>0</v>
          </cell>
          <cell r="CV6">
            <v>0</v>
          </cell>
          <cell r="CW6">
            <v>0</v>
          </cell>
          <cell r="CX6">
            <v>0</v>
          </cell>
          <cell r="CY6">
            <v>0</v>
          </cell>
          <cell r="CZ6">
            <v>0</v>
          </cell>
          <cell r="DA6">
            <v>0</v>
          </cell>
          <cell r="DB6">
            <v>0</v>
          </cell>
          <cell r="DC6">
            <v>0</v>
          </cell>
          <cell r="DD6">
            <v>0</v>
          </cell>
          <cell r="DE6">
            <v>0</v>
          </cell>
          <cell r="DF6">
            <v>0</v>
          </cell>
          <cell r="DG6">
            <v>0</v>
          </cell>
          <cell r="DH6">
            <v>0</v>
          </cell>
          <cell r="DI6">
            <v>0</v>
          </cell>
          <cell r="DJ6">
            <v>0</v>
          </cell>
          <cell r="DK6">
            <v>0</v>
          </cell>
          <cell r="DL6">
            <v>0</v>
          </cell>
          <cell r="DM6">
            <v>0</v>
          </cell>
          <cell r="DN6">
            <v>0</v>
          </cell>
          <cell r="DO6">
            <v>0</v>
          </cell>
          <cell r="DP6">
            <v>0</v>
          </cell>
          <cell r="DQ6">
            <v>0</v>
          </cell>
          <cell r="DR6">
            <v>0</v>
          </cell>
          <cell r="DS6">
            <v>0</v>
          </cell>
          <cell r="DT6">
            <v>0</v>
          </cell>
          <cell r="DU6">
            <v>0</v>
          </cell>
          <cell r="DV6">
            <v>0</v>
          </cell>
          <cell r="DW6">
            <v>0</v>
          </cell>
          <cell r="DX6">
            <v>0</v>
          </cell>
          <cell r="DY6">
            <v>0</v>
          </cell>
          <cell r="EA6">
            <v>0</v>
          </cell>
          <cell r="EB6">
            <v>0</v>
          </cell>
          <cell r="EC6">
            <v>0</v>
          </cell>
          <cell r="ED6">
            <v>0</v>
          </cell>
          <cell r="EE6">
            <v>0</v>
          </cell>
          <cell r="EF6">
            <v>0</v>
          </cell>
          <cell r="EG6">
            <v>0</v>
          </cell>
          <cell r="EH6">
            <v>0</v>
          </cell>
          <cell r="EI6">
            <v>0</v>
          </cell>
          <cell r="EJ6">
            <v>0</v>
          </cell>
          <cell r="EK6">
            <v>0</v>
          </cell>
          <cell r="EL6">
            <v>0</v>
          </cell>
          <cell r="EM6">
            <v>0</v>
          </cell>
          <cell r="EN6">
            <v>0</v>
          </cell>
          <cell r="EO6">
            <v>0</v>
          </cell>
          <cell r="EP6">
            <v>0</v>
          </cell>
          <cell r="EQ6">
            <v>0</v>
          </cell>
          <cell r="ER6">
            <v>0</v>
          </cell>
          <cell r="ES6">
            <v>0</v>
          </cell>
          <cell r="ET6">
            <v>0</v>
          </cell>
          <cell r="EU6">
            <v>0</v>
          </cell>
          <cell r="EV6">
            <v>0</v>
          </cell>
          <cell r="EW6">
            <v>0</v>
          </cell>
          <cell r="EX6">
            <v>0</v>
          </cell>
          <cell r="EY6">
            <v>0</v>
          </cell>
          <cell r="EZ6">
            <v>0</v>
          </cell>
          <cell r="FA6">
            <v>0</v>
          </cell>
          <cell r="FB6">
            <v>0</v>
          </cell>
          <cell r="FC6">
            <v>0</v>
          </cell>
          <cell r="FD6">
            <v>0</v>
          </cell>
          <cell r="FE6">
            <v>0</v>
          </cell>
          <cell r="FF6">
            <v>0</v>
          </cell>
          <cell r="FG6">
            <v>0</v>
          </cell>
          <cell r="FH6">
            <v>0</v>
          </cell>
          <cell r="FI6">
            <v>0</v>
          </cell>
          <cell r="FJ6">
            <v>0</v>
          </cell>
          <cell r="FK6">
            <v>0</v>
          </cell>
          <cell r="FL6">
            <v>0</v>
          </cell>
          <cell r="FM6">
            <v>0</v>
          </cell>
          <cell r="FN6">
            <v>0</v>
          </cell>
          <cell r="FO6">
            <v>0</v>
          </cell>
          <cell r="FP6">
            <v>0</v>
          </cell>
          <cell r="FQ6">
            <v>0</v>
          </cell>
          <cell r="FR6">
            <v>0</v>
          </cell>
          <cell r="FS6">
            <v>0</v>
          </cell>
          <cell r="FT6">
            <v>0</v>
          </cell>
          <cell r="FU6">
            <v>0</v>
          </cell>
          <cell r="FV6">
            <v>0</v>
          </cell>
          <cell r="FW6">
            <v>0</v>
          </cell>
          <cell r="FX6">
            <v>0</v>
          </cell>
          <cell r="FY6">
            <v>0</v>
          </cell>
          <cell r="FZ6">
            <v>0</v>
          </cell>
        </row>
        <row r="7">
          <cell r="A7" t="str">
            <v>Key_S2</v>
          </cell>
          <cell r="B7" t="str">
            <v>Standard deviation for premium risk - USP -Motor vehicle liability</v>
          </cell>
          <cell r="C7" t="str">
            <v>Standard deviation for premium risk - USP -Motor, other classes</v>
          </cell>
          <cell r="D7" t="str">
            <v>Standard deviation for premium risk - USP -Marine, aviation, transport (MAT)</v>
          </cell>
          <cell r="E7" t="str">
            <v>Standard deviation for premium risk - USP -Fire and other property damage</v>
          </cell>
          <cell r="F7" t="str">
            <v>Standard deviation for premium risk - USP -Third-party liability</v>
          </cell>
          <cell r="G7" t="str">
            <v>Standard deviation for premium risk - USP -Credit and suretyship</v>
          </cell>
          <cell r="H7" t="str">
            <v>Standard deviation for premium risk - USP -Legal expenses</v>
          </cell>
          <cell r="I7" t="str">
            <v>Standard deviation for premium risk - USP -Assistance</v>
          </cell>
          <cell r="J7" t="str">
            <v>Standard deviation for premium risk - USP -Miscellaneous</v>
          </cell>
          <cell r="K7" t="str">
            <v>Standard deviation for premium risk - USP -Non-proportional reinsurance - property</v>
          </cell>
          <cell r="L7" t="str">
            <v>Standard deviation for premium risk - USP -Non-proportional reinsurance - casualty</v>
          </cell>
          <cell r="M7" t="str">
            <v>Standard deviation for premium risk - USP -Non-proportional reinsurance - MAT</v>
          </cell>
          <cell r="N7" t="str">
            <v>Standard deviation for premium risk - Adj. Factor - Motor vehicle liability</v>
          </cell>
          <cell r="O7" t="str">
            <v>Standard deviation for premium risk - Adj. Factor - Motor, other classes</v>
          </cell>
          <cell r="P7" t="str">
            <v>Standard deviation for premium risk - Adj. Factor - Marine, aviation, transport (MAT)</v>
          </cell>
          <cell r="Q7" t="str">
            <v>Standard deviation for premium risk - Adj. Factor - Fire and other property damage</v>
          </cell>
          <cell r="R7" t="str">
            <v>Standard deviation for premium risk - Adj. Factor - Third-party liability</v>
          </cell>
          <cell r="S7" t="str">
            <v>Standard deviation for premium risk - Adj. Factor - Credit and suretyship</v>
          </cell>
          <cell r="T7" t="str">
            <v>Standard deviation for premium risk - Adj. Factor - Legal expenses</v>
          </cell>
          <cell r="U7" t="str">
            <v>Standard deviation for premium risk - Adj. Factor - Assistance</v>
          </cell>
          <cell r="V7" t="str">
            <v>Standard deviation for premium risk - Adj. Factor - Miscellaneous</v>
          </cell>
          <cell r="W7" t="str">
            <v>Standard deviation for premium risk - Adj. Factor - Non-proportional reinsurance - property</v>
          </cell>
          <cell r="X7" t="str">
            <v>Standard deviation for premium risk - Adj. Factor - Non-proportional reinsurance - casualty</v>
          </cell>
          <cell r="Y7" t="str">
            <v>Standard deviation for premium risk - Adj. Factor - Non-proportional reinsurance - MAT</v>
          </cell>
          <cell r="Z7" t="str">
            <v>Standard deviation for reserve risk - USP - Motor vehicle liability</v>
          </cell>
          <cell r="AA7" t="str">
            <v>Standard deviation for reserve risk - USP - Motor, other classes</v>
          </cell>
          <cell r="AB7" t="str">
            <v>Standard deviation for reserve risk - USP - Marine, aviation, transport (MAT)</v>
          </cell>
          <cell r="AC7" t="str">
            <v>Standard deviation for reserve risk - USP - Fire and other property damage</v>
          </cell>
          <cell r="AD7" t="str">
            <v>Standard deviation for reserve risk - USP - Third-party liability</v>
          </cell>
          <cell r="AE7" t="str">
            <v>Standard deviation for reserve risk - USP - Credit and suretyship</v>
          </cell>
          <cell r="AF7" t="str">
            <v>Standard deviation for reserve risk - USP - Legal expenses</v>
          </cell>
          <cell r="AG7" t="str">
            <v>Standard deviation for reserve risk - USP - Assistance</v>
          </cell>
          <cell r="AH7" t="str">
            <v>Standard deviation for reserve risk - USP - Miscellaneous</v>
          </cell>
          <cell r="AI7" t="str">
            <v>Standard deviation for reserve risk - USP - Non-proportional reinsurance - property</v>
          </cell>
          <cell r="AJ7" t="str">
            <v>Standard deviation for reserve risk - USP - Non-proportional reinsurance - casualty</v>
          </cell>
          <cell r="AK7" t="str">
            <v>Standard deviation for reserve risk - USP - Non-proportional reinsurance - MAT</v>
          </cell>
          <cell r="AL7" t="str">
            <v>Volume measure for premium and reserve risk - Vprem - Motor vehicle liability</v>
          </cell>
          <cell r="AM7" t="str">
            <v>Volume measure for premium and reserve risk - Vprem - Motor, other classes</v>
          </cell>
          <cell r="AN7" t="str">
            <v>Volume measure for premium and reserve risk - Vprem - Marine, aviation, transport (MAT)</v>
          </cell>
          <cell r="AO7" t="str">
            <v>Volume measure for premium and reserve risk - Vprem - Fire and other property damage</v>
          </cell>
          <cell r="AP7" t="str">
            <v>Volume measure for premium and reserve risk - Vprem - Third-party liability</v>
          </cell>
          <cell r="AQ7" t="str">
            <v>Volume measure for premium and reserve risk - Vprem - Credit and suretyship</v>
          </cell>
          <cell r="AR7" t="str">
            <v>Volume measure for premium and reserve risk - Vprem - Legal expenses</v>
          </cell>
          <cell r="AS7" t="str">
            <v>Volume measure for premium and reserve risk - Vprem - Assistance</v>
          </cell>
          <cell r="AT7" t="str">
            <v>Volume measure for premium and reserve risk - Vprem - Miscellaneous</v>
          </cell>
          <cell r="AU7" t="str">
            <v>Volume measure for premium and reserve risk - Vprem - Non-proportional reinsurance - property</v>
          </cell>
          <cell r="AV7" t="str">
            <v>Volume measure for premium and reserve risk - Vprem - Non-proportional reinsurance - casualty</v>
          </cell>
          <cell r="AW7" t="str">
            <v>Volume measure for premium and reserve risk - Vprem - Non-proportional reinsurance - MAT</v>
          </cell>
          <cell r="AX7" t="str">
            <v>Volume measure for premium and reserve risk - Vres - Motor vehicle liability</v>
          </cell>
          <cell r="AY7" t="str">
            <v>Volume measure for premium and reserve risk - Vres - Motor, other classes</v>
          </cell>
          <cell r="AZ7" t="str">
            <v>Volume measure for premium and reserve risk - Vres - Marine, aviation, transport (MAT)</v>
          </cell>
          <cell r="BA7" t="str">
            <v>Volume measure for premium and reserve risk - Vres - Fire and other property damage</v>
          </cell>
          <cell r="BB7" t="str">
            <v>Volume measure for premium and reserve risk - Vres - Third-party liability</v>
          </cell>
          <cell r="BC7" t="str">
            <v>Volume measure for premium and reserve risk - Vres - Credit and suretyship</v>
          </cell>
          <cell r="BD7" t="str">
            <v>Volume measure for premium and reserve risk - Vres - Legal expenses</v>
          </cell>
          <cell r="BE7" t="str">
            <v>Volume measure for premium and reserve risk - Vres - Assistance</v>
          </cell>
          <cell r="BF7" t="str">
            <v>Volume measure for premium and reserve risk - Vres - Miscellaneous</v>
          </cell>
          <cell r="BG7" t="str">
            <v>Volume measure for premium and reserve risk - Vres - Non-proportional reinsurance - property</v>
          </cell>
          <cell r="BH7" t="str">
            <v>Volume measure for premium and reserve risk - Vres - Non-proportional reinsurance - casualty</v>
          </cell>
          <cell r="BI7" t="str">
            <v>Volume measure for premium and reserve risk - Vres - Non-proportional reinsurance - MAT</v>
          </cell>
          <cell r="BJ7" t="str">
            <v>Volume measure for premium and reserve risk - Geographical diversification - Motor vehicle liability</v>
          </cell>
          <cell r="BK7" t="str">
            <v>Volume measure for premium and reserve risk - Geographical diversification - Motor, other classes</v>
          </cell>
          <cell r="BL7" t="str">
            <v>Volume measure for premium and reserve risk - Geographical diversification - Marine, aviation, transport (MAT)</v>
          </cell>
          <cell r="BM7" t="str">
            <v>Volume measure for premium and reserve risk - Geographical diversification - Fire and other property damage</v>
          </cell>
          <cell r="BN7" t="str">
            <v>Volume measure for premium and reserve risk - Geographical diversification - Third-party liability</v>
          </cell>
          <cell r="BO7" t="str">
            <v>Volume measure for premium and reserve risk - Geographical diversification - Credit and suretyship</v>
          </cell>
          <cell r="BP7" t="str">
            <v>Volume measure for premium and reserve risk - Geographical diversification - Legal expenses</v>
          </cell>
          <cell r="BQ7" t="str">
            <v>Volume measure for premium and reserve risk - Geographical diversification - Assistance</v>
          </cell>
          <cell r="BR7" t="str">
            <v>Volume measure for premium and reserve risk - Geographical diversification - Miscellaneous</v>
          </cell>
          <cell r="BS7" t="str">
            <v>Volume measure for premium and reserve risk - Geographical diversification - Non-proportional reinsurance - property</v>
          </cell>
          <cell r="BT7" t="str">
            <v>Volume measure for premium and reserve risk - Geographical diversification - Non-proportional reinsurance - casualty</v>
          </cell>
          <cell r="BU7" t="str">
            <v>Volume measure for premium and reserve risk - Geographical diversification - Non-proportional reinsurance - MAT</v>
          </cell>
          <cell r="BV7" t="str">
            <v>Initial Liabilities before shock - Risk of increase in Lapsation</v>
          </cell>
          <cell r="BW7" t="str">
            <v>Initial Liabilities before shock - Risk of decrease in Lapsation</v>
          </cell>
          <cell r="BX7" t="str">
            <v>Initial Liabilities before shock - Mass lapse risk</v>
          </cell>
          <cell r="BY7" t="str">
            <v>Liabilities after shock - Risk of increase in Lapsation</v>
          </cell>
          <cell r="BZ7" t="str">
            <v>Liabilities after shock - Risk of decrease in Lapsation</v>
          </cell>
          <cell r="CA7" t="str">
            <v>Liabilities after shock - Mass Lapse Risk</v>
          </cell>
          <cell r="CB7" t="str">
            <v>SCR Non Life Catastrophe risk - Method 1</v>
          </cell>
          <cell r="CC7" t="str">
            <v>SCR Non Life Catastrophe risk - Method 2</v>
          </cell>
          <cell r="CD7" t="str">
            <v>Net written premiums n -Motor vehicle liability</v>
          </cell>
          <cell r="CE7" t="str">
            <v>Net written premiums n -Motor, other classes</v>
          </cell>
          <cell r="CF7" t="str">
            <v>Net written premiums n -Marine, aviation, transport (MAT)</v>
          </cell>
          <cell r="CG7" t="str">
            <v>Net written premiums n -Fire and other property damage</v>
          </cell>
          <cell r="CH7" t="str">
            <v>Net written premiums n -Third-party liability</v>
          </cell>
          <cell r="CI7" t="str">
            <v>Net written premiums n -Credit and suretyship</v>
          </cell>
          <cell r="CJ7" t="str">
            <v>Net written premiums n -Legal expenses</v>
          </cell>
          <cell r="CK7" t="str">
            <v>Net written premiums n -Assistance</v>
          </cell>
          <cell r="CL7" t="str">
            <v>Net written premiums n -Miscellaneous</v>
          </cell>
          <cell r="CM7" t="str">
            <v>Net written premiums n -Non-proportional reinsurance - property</v>
          </cell>
          <cell r="CN7" t="str">
            <v>Net written premiums n -Non-proportional reinsurance - casualty</v>
          </cell>
          <cell r="CO7" t="str">
            <v>Net written premiums n -Non-proportional reinsurance - MAT</v>
          </cell>
          <cell r="CP7" t="str">
            <v>Net earned premiums n -Motor vehicle liability</v>
          </cell>
          <cell r="CQ7" t="str">
            <v>Net earned premiums n -Motor, other classes</v>
          </cell>
          <cell r="CR7" t="str">
            <v>Net earned premiums n -Marine, aviation, transport (MAT)</v>
          </cell>
          <cell r="CS7" t="str">
            <v>Net earned premiums n -Fire and other property damage</v>
          </cell>
          <cell r="CT7" t="str">
            <v>Net earned premiums n -Third-party liability</v>
          </cell>
          <cell r="CU7" t="str">
            <v>Net earned premiums n -Credit and suretyship</v>
          </cell>
          <cell r="CV7" t="str">
            <v>Net earned premiums n -Legal expenses</v>
          </cell>
          <cell r="CW7" t="str">
            <v>Net earned premiums n -Assistance</v>
          </cell>
          <cell r="CX7" t="str">
            <v>Net earned premiums n -Miscellaneous</v>
          </cell>
          <cell r="CY7" t="str">
            <v>Net earned premiums n -Non-proportional reinsurance - property</v>
          </cell>
          <cell r="CZ7" t="str">
            <v>Net earned premiums n -Non-proportional reinsurance - casualty</v>
          </cell>
          <cell r="DA7" t="str">
            <v>Net earned premiums n -Non-proportional reinsurance - MAT</v>
          </cell>
          <cell r="DB7" t="str">
            <v>Net written premiums n-1 -Motor vehicle liability</v>
          </cell>
          <cell r="DC7" t="str">
            <v>Net written premiums n-1 -Motor, other classes</v>
          </cell>
          <cell r="DD7" t="str">
            <v>Net written premiums n-1 -Marine, aviation, transport (MAT)</v>
          </cell>
          <cell r="DE7" t="str">
            <v>Net written premiums n-1 -Fire and other property damage</v>
          </cell>
          <cell r="DF7" t="str">
            <v>Net written premiums n-1 -Third-party liability</v>
          </cell>
          <cell r="DG7" t="str">
            <v>Net written premiums n-1 -Credit and suretyship</v>
          </cell>
          <cell r="DH7" t="str">
            <v>Net written premiums n-1 -Legal expenses</v>
          </cell>
          <cell r="DI7" t="str">
            <v>Net written premiums n-1 -Assistance</v>
          </cell>
          <cell r="DJ7" t="str">
            <v>Net written premiums n-1 -Miscellaneous</v>
          </cell>
          <cell r="DK7" t="str">
            <v>Net written premiums n-1 -Non-proportional reinsurance - property</v>
          </cell>
          <cell r="DL7" t="str">
            <v>Net written premiums n-1 -Non-proportional reinsurance - casualty</v>
          </cell>
          <cell r="DM7" t="str">
            <v>Net written premiums n-1 -Non-proportional reinsurance - MAT</v>
          </cell>
          <cell r="DN7" t="str">
            <v>Net premiums expected for the existing contracts n -Motor vehicle liability</v>
          </cell>
          <cell r="DO7" t="str">
            <v>Net premiums expected for the existing contracts n -Motor, other classes</v>
          </cell>
          <cell r="DP7" t="str">
            <v>Net premiums expected for the existing contracts n -Marine, aviation, transport (MAT)</v>
          </cell>
          <cell r="DQ7" t="str">
            <v>Net premiums expected for the existing contracts n -Fire and other property damage</v>
          </cell>
          <cell r="DR7" t="str">
            <v>Net premiums expected for the existing contracts n -Third-party liability</v>
          </cell>
          <cell r="DS7" t="str">
            <v>Net premiums expected for the existing contracts n -Credit and suretyship</v>
          </cell>
          <cell r="DT7" t="str">
            <v>Net premiums expected for the existing contracts n -Legal expenses</v>
          </cell>
          <cell r="DU7" t="str">
            <v>Net premiums expected for the existing contracts n -Assistance</v>
          </cell>
          <cell r="DV7" t="str">
            <v>Net premiums expected for the existing contracts n -Miscellaneous</v>
          </cell>
          <cell r="DW7" t="str">
            <v>Net premiums expected for the existing contracts n -Non-proportional reinsurance - property</v>
          </cell>
          <cell r="DX7" t="str">
            <v>Net premiums expected for the existing contracts n -Non-proportional reinsurance - casualty</v>
          </cell>
          <cell r="DY7" t="str">
            <v>Net premiums expected for the existing contracts n -Non-proportional reinsurance - MAT</v>
          </cell>
          <cell r="EA7" t="str">
            <v>Revision shock Used</v>
          </cell>
          <cell r="EB7" t="str">
            <v>Revision shock Standard</v>
          </cell>
          <cell r="EC7" t="str">
            <v>Revision shock USP</v>
          </cell>
          <cell r="ED7" t="str">
            <v>Standard deviation for premium risk - USP - Medical expense</v>
          </cell>
          <cell r="EE7" t="str">
            <v>Standard deviation for premium risk - USP - Income protection</v>
          </cell>
          <cell r="EF7" t="str">
            <v>Standard deviation for premium risk - USP - Worker's compensation</v>
          </cell>
          <cell r="EG7" t="str">
            <v>Standard deviation for premium risk - USP - Non-Proportional health reinsurance</v>
          </cell>
          <cell r="EH7" t="str">
            <v>Standard deviation for premium risk - Adjustment factor for non-proportional reinsurance - Medical expense</v>
          </cell>
          <cell r="EI7" t="str">
            <v>Standard deviation for premium risk - Adjustment factor for non-proportional reinsurance - Income protection</v>
          </cell>
          <cell r="EJ7" t="str">
            <v>Standard deviation for premium risk - Adjustment factor for non-proportional reinsurance - Worker's compensation</v>
          </cell>
          <cell r="EK7" t="str">
            <v>Standard deviation for premium risk - Adjustment factor for non-proportional reinsurance - Non-Proportional health reinsurance</v>
          </cell>
          <cell r="EL7" t="str">
            <v>Standard deviation for reserve risk - USP - Medical expense</v>
          </cell>
          <cell r="EM7" t="str">
            <v>Standard deviation for reserve risk - USP - Income protection</v>
          </cell>
          <cell r="EN7" t="str">
            <v>Standard deviation for reserve risk - USP - Worker's compensation</v>
          </cell>
          <cell r="EO7" t="str">
            <v>Standard deviation for reserve risk - USP - Non-Proportional health reinsurance</v>
          </cell>
          <cell r="EP7" t="str">
            <v>Volume measure for premium and reserve risk - Premium - Medical expense</v>
          </cell>
          <cell r="EQ7" t="str">
            <v>Volume measure for premium and reserve risk - Premium - Income protection</v>
          </cell>
          <cell r="ER7" t="str">
            <v>Volume measure for premium and reserve risk - Premium - Worker's compensation</v>
          </cell>
          <cell r="ES7" t="str">
            <v>Volume measure for premium and reserve risk - Premium - Non-Proportional health reinsurance</v>
          </cell>
          <cell r="ET7" t="str">
            <v>Volume measure for premium and reserve risk - Reserve - Medical expense</v>
          </cell>
          <cell r="EU7" t="str">
            <v>Volume measure for premium and reserve risk - Reserve - Income protection</v>
          </cell>
          <cell r="EV7" t="str">
            <v>Volume measure for premium and reserve risk - Reserve - Worker's compensation</v>
          </cell>
          <cell r="EW7" t="str">
            <v>Volume measure for premium and reserve risk - Reserve - Non-Proportional health reinsurance</v>
          </cell>
          <cell r="EX7" t="str">
            <v>Volume measure for premium and reserve risk - Geographical Diversification - Medical expense</v>
          </cell>
          <cell r="EY7" t="str">
            <v>Volume measure for premium and reserve risk - Geographical Diversification - Income protection</v>
          </cell>
          <cell r="EZ7" t="str">
            <v>Volume measure for premium and reserve risk - Geographical Diversification - Worker's compensation</v>
          </cell>
          <cell r="FA7" t="str">
            <v>Volume measure for premium and reserve risk - Geographical Diversification - Non-Proportional health reinsurance</v>
          </cell>
          <cell r="FB7" t="str">
            <v>Initial liabilities Health NSLT Lapse Up risk before shock</v>
          </cell>
          <cell r="FC7" t="str">
            <v>Initial liabilities Health NSLT Lapse Down risk before shock</v>
          </cell>
          <cell r="FD7" t="str">
            <v>Initial liabilities Health NSLT Lapse Mass risk before shock</v>
          </cell>
          <cell r="FE7" t="str">
            <v>Liabilities after Health NSLT Lapse up risk shock</v>
          </cell>
          <cell r="FF7" t="str">
            <v>Liabilities after Health NSLT Lapse Down risk shock</v>
          </cell>
          <cell r="FG7" t="str">
            <v>Liabilities after Health NSLT Lapse Mass risk shock</v>
          </cell>
          <cell r="FH7" t="str">
            <v>SCR Health mass accident Risk</v>
          </cell>
          <cell r="FI7" t="str">
            <v>SCR Health accident concentration Risk</v>
          </cell>
          <cell r="FJ7" t="str">
            <v>SCR Health pandemic Risk</v>
          </cell>
          <cell r="FK7" t="str">
            <v>Net written premiums n - Premium - Medical expense</v>
          </cell>
          <cell r="FL7" t="str">
            <v>Net written premiums n - Premium - Income protection</v>
          </cell>
          <cell r="FM7" t="str">
            <v>Net written premiums n - Premium - Worker's compensation</v>
          </cell>
          <cell r="FN7" t="str">
            <v>Net written premiums n - Premium - Non-Proportional health reinsurance</v>
          </cell>
          <cell r="FO7" t="str">
            <v>Net earned premiums n - Premium - Medical expense</v>
          </cell>
          <cell r="FP7" t="str">
            <v>Net earned premiums n - Premium - Income protection</v>
          </cell>
          <cell r="FQ7" t="str">
            <v>Net earned premiums n - Premium - Worker's compensation</v>
          </cell>
          <cell r="FR7" t="str">
            <v>Net earned premiums n - Premium - Non-Proportional health reinsurance</v>
          </cell>
          <cell r="FS7" t="str">
            <v>Net written premiums n-1 - Premium - Medical expense</v>
          </cell>
          <cell r="FT7" t="str">
            <v>Net written premiums n-1 - Premium - Income protection</v>
          </cell>
          <cell r="FU7" t="str">
            <v>Net written premiums n-1 - Premium - Worker's compensation</v>
          </cell>
          <cell r="FV7" t="str">
            <v>Net written premiums n-1 - Premium - Non-Proportional health reinsurance</v>
          </cell>
          <cell r="FW7" t="str">
            <v>Net premiums expected for the existing contracts n - Premium - Medical expense</v>
          </cell>
          <cell r="FX7" t="str">
            <v>Net premiums expected for the existing contracts n - Premium - Income protection</v>
          </cell>
          <cell r="FY7" t="str">
            <v>Net premiums expected for the existing contracts n - Premium - Worker's compensation</v>
          </cell>
          <cell r="FZ7" t="str">
            <v>Net premiums expected for the existing contracts n - Premium - Non-Proportional health reinsurance</v>
          </cell>
        </row>
        <row r="8">
          <cell r="A8" t="str">
            <v>F_CNP_NRF_EPA_EUR_FRCE_220</v>
          </cell>
          <cell r="B8">
            <v>0.1</v>
          </cell>
          <cell r="C8">
            <v>0.08</v>
          </cell>
          <cell r="D8">
            <v>0.15</v>
          </cell>
          <cell r="E8">
            <v>0.08</v>
          </cell>
          <cell r="F8">
            <v>0.15</v>
          </cell>
          <cell r="G8">
            <v>0.22</v>
          </cell>
          <cell r="H8">
            <v>7.0000000000000007E-2</v>
          </cell>
          <cell r="I8">
            <v>0.05</v>
          </cell>
          <cell r="J8">
            <v>0.13</v>
          </cell>
          <cell r="K8">
            <v>0.18</v>
          </cell>
          <cell r="L8">
            <v>0.17</v>
          </cell>
          <cell r="M8">
            <v>0.16</v>
          </cell>
          <cell r="N8">
            <v>0.8</v>
          </cell>
          <cell r="O8">
            <v>1</v>
          </cell>
          <cell r="P8">
            <v>1</v>
          </cell>
          <cell r="Q8">
            <v>0.8</v>
          </cell>
          <cell r="R8">
            <v>0.8</v>
          </cell>
          <cell r="S8">
            <v>1</v>
          </cell>
          <cell r="T8">
            <v>1</v>
          </cell>
          <cell r="U8">
            <v>1</v>
          </cell>
          <cell r="V8">
            <v>1</v>
          </cell>
          <cell r="W8">
            <v>1</v>
          </cell>
          <cell r="X8">
            <v>1</v>
          </cell>
          <cell r="Y8">
            <v>1</v>
          </cell>
          <cell r="Z8">
            <v>0.1</v>
          </cell>
          <cell r="AA8">
            <v>0.1</v>
          </cell>
          <cell r="AB8">
            <v>0.14000000000000001</v>
          </cell>
          <cell r="AC8">
            <v>0.11</v>
          </cell>
          <cell r="AD8">
            <v>0.11</v>
          </cell>
          <cell r="AE8">
            <v>0.19</v>
          </cell>
          <cell r="AF8">
            <v>0.09</v>
          </cell>
          <cell r="AG8">
            <v>0.11</v>
          </cell>
          <cell r="AH8">
            <v>0.15</v>
          </cell>
          <cell r="AI8">
            <v>0.2</v>
          </cell>
          <cell r="AJ8">
            <v>0.2</v>
          </cell>
          <cell r="AK8">
            <v>0.2</v>
          </cell>
          <cell r="AL8">
            <v>0</v>
          </cell>
          <cell r="AM8">
            <v>0</v>
          </cell>
          <cell r="AN8">
            <v>0</v>
          </cell>
          <cell r="AO8">
            <v>0</v>
          </cell>
          <cell r="AP8">
            <v>0</v>
          </cell>
          <cell r="AQ8">
            <v>0</v>
          </cell>
          <cell r="AR8">
            <v>0</v>
          </cell>
          <cell r="AS8">
            <v>0</v>
          </cell>
          <cell r="AT8">
            <v>0</v>
          </cell>
          <cell r="AU8">
            <v>0</v>
          </cell>
          <cell r="AV8">
            <v>0</v>
          </cell>
          <cell r="AW8">
            <v>0</v>
          </cell>
          <cell r="AX8">
            <v>0</v>
          </cell>
          <cell r="AY8">
            <v>0</v>
          </cell>
          <cell r="AZ8">
            <v>0</v>
          </cell>
          <cell r="BA8">
            <v>0</v>
          </cell>
          <cell r="BB8">
            <v>0</v>
          </cell>
          <cell r="BC8">
            <v>0</v>
          </cell>
          <cell r="BD8">
            <v>0</v>
          </cell>
          <cell r="BE8">
            <v>0</v>
          </cell>
          <cell r="BF8">
            <v>0</v>
          </cell>
          <cell r="BG8">
            <v>0</v>
          </cell>
          <cell r="BH8">
            <v>0</v>
          </cell>
          <cell r="BI8">
            <v>0</v>
          </cell>
          <cell r="BJ8">
            <v>0</v>
          </cell>
          <cell r="BK8">
            <v>0</v>
          </cell>
          <cell r="BL8">
            <v>0</v>
          </cell>
          <cell r="BM8">
            <v>0</v>
          </cell>
          <cell r="BN8">
            <v>0</v>
          </cell>
          <cell r="BO8">
            <v>0</v>
          </cell>
          <cell r="BP8">
            <v>0</v>
          </cell>
          <cell r="BQ8">
            <v>0</v>
          </cell>
          <cell r="BR8">
            <v>0</v>
          </cell>
          <cell r="BS8">
            <v>0</v>
          </cell>
          <cell r="BT8">
            <v>0</v>
          </cell>
          <cell r="BU8">
            <v>0</v>
          </cell>
          <cell r="BV8">
            <v>0</v>
          </cell>
          <cell r="BW8">
            <v>0</v>
          </cell>
          <cell r="BX8">
            <v>0</v>
          </cell>
          <cell r="BY8">
            <v>0</v>
          </cell>
          <cell r="BZ8">
            <v>0</v>
          </cell>
          <cell r="CA8">
            <v>0</v>
          </cell>
          <cell r="CB8">
            <v>0</v>
          </cell>
          <cell r="CC8">
            <v>0</v>
          </cell>
          <cell r="CD8">
            <v>0</v>
          </cell>
          <cell r="CE8">
            <v>0</v>
          </cell>
          <cell r="CF8">
            <v>0</v>
          </cell>
          <cell r="CG8">
            <v>0</v>
          </cell>
          <cell r="CH8">
            <v>0</v>
          </cell>
          <cell r="CI8">
            <v>0</v>
          </cell>
          <cell r="CJ8">
            <v>0</v>
          </cell>
          <cell r="CK8">
            <v>0</v>
          </cell>
          <cell r="CL8">
            <v>0</v>
          </cell>
          <cell r="CM8">
            <v>0</v>
          </cell>
          <cell r="CN8">
            <v>0</v>
          </cell>
          <cell r="CO8">
            <v>0</v>
          </cell>
          <cell r="CP8">
            <v>0</v>
          </cell>
          <cell r="CQ8">
            <v>0</v>
          </cell>
          <cell r="CR8">
            <v>0</v>
          </cell>
          <cell r="CS8">
            <v>0</v>
          </cell>
          <cell r="CT8">
            <v>0</v>
          </cell>
          <cell r="CU8">
            <v>0</v>
          </cell>
          <cell r="CV8">
            <v>0</v>
          </cell>
          <cell r="CW8">
            <v>0</v>
          </cell>
          <cell r="CX8">
            <v>0</v>
          </cell>
          <cell r="CY8">
            <v>0</v>
          </cell>
          <cell r="CZ8">
            <v>0</v>
          </cell>
          <cell r="DA8">
            <v>0</v>
          </cell>
          <cell r="DB8">
            <v>0</v>
          </cell>
          <cell r="DC8">
            <v>0</v>
          </cell>
          <cell r="DD8">
            <v>0</v>
          </cell>
          <cell r="DE8">
            <v>0</v>
          </cell>
          <cell r="DF8">
            <v>0</v>
          </cell>
          <cell r="DG8">
            <v>0</v>
          </cell>
          <cell r="DH8">
            <v>0</v>
          </cell>
          <cell r="DI8">
            <v>0</v>
          </cell>
          <cell r="DJ8">
            <v>0</v>
          </cell>
          <cell r="DK8">
            <v>0</v>
          </cell>
          <cell r="DL8">
            <v>0</v>
          </cell>
          <cell r="DM8">
            <v>0</v>
          </cell>
          <cell r="DN8">
            <v>0</v>
          </cell>
          <cell r="DO8">
            <v>0</v>
          </cell>
          <cell r="DP8">
            <v>0</v>
          </cell>
          <cell r="DQ8">
            <v>0</v>
          </cell>
          <cell r="DR8">
            <v>0</v>
          </cell>
          <cell r="DS8">
            <v>0</v>
          </cell>
          <cell r="DT8">
            <v>0</v>
          </cell>
          <cell r="DU8">
            <v>0</v>
          </cell>
          <cell r="DV8">
            <v>0</v>
          </cell>
          <cell r="DW8">
            <v>0</v>
          </cell>
          <cell r="DX8">
            <v>0</v>
          </cell>
          <cell r="DY8">
            <v>0</v>
          </cell>
          <cell r="EA8">
            <v>0</v>
          </cell>
          <cell r="EB8">
            <v>0</v>
          </cell>
          <cell r="EC8">
            <v>0</v>
          </cell>
          <cell r="ED8">
            <v>0.05</v>
          </cell>
          <cell r="EE8">
            <v>0.09</v>
          </cell>
          <cell r="EF8">
            <v>0.08</v>
          </cell>
          <cell r="EG8">
            <v>0.17</v>
          </cell>
          <cell r="EH8">
            <v>1</v>
          </cell>
          <cell r="EI8">
            <v>1</v>
          </cell>
          <cell r="EJ8">
            <v>1</v>
          </cell>
          <cell r="EK8">
            <v>1</v>
          </cell>
          <cell r="EL8">
            <v>0.05</v>
          </cell>
          <cell r="EM8">
            <v>0.14000000000000001</v>
          </cell>
          <cell r="EN8">
            <v>0.11</v>
          </cell>
          <cell r="EO8">
            <v>0.2</v>
          </cell>
          <cell r="EP8">
            <v>0</v>
          </cell>
          <cell r="EQ8">
            <v>0</v>
          </cell>
          <cell r="ER8">
            <v>0</v>
          </cell>
          <cell r="ES8">
            <v>0</v>
          </cell>
          <cell r="ET8">
            <v>0</v>
          </cell>
          <cell r="EU8">
            <v>0</v>
          </cell>
          <cell r="EV8">
            <v>0</v>
          </cell>
          <cell r="EW8">
            <v>0</v>
          </cell>
          <cell r="EX8">
            <v>1</v>
          </cell>
          <cell r="EY8">
            <v>1</v>
          </cell>
          <cell r="EZ8">
            <v>1</v>
          </cell>
          <cell r="FA8">
            <v>0</v>
          </cell>
          <cell r="FB8">
            <v>0</v>
          </cell>
          <cell r="FC8">
            <v>0</v>
          </cell>
          <cell r="FD8">
            <v>0</v>
          </cell>
          <cell r="FE8">
            <v>0</v>
          </cell>
          <cell r="FF8">
            <v>0</v>
          </cell>
          <cell r="FG8">
            <v>0</v>
          </cell>
          <cell r="FH8">
            <v>0</v>
          </cell>
          <cell r="FI8">
            <v>0</v>
          </cell>
          <cell r="FJ8">
            <v>0</v>
          </cell>
          <cell r="FK8">
            <v>0</v>
          </cell>
          <cell r="FL8">
            <v>0</v>
          </cell>
          <cell r="FM8">
            <v>0</v>
          </cell>
          <cell r="FN8">
            <v>0</v>
          </cell>
          <cell r="FO8">
            <v>0</v>
          </cell>
          <cell r="FP8">
            <v>0</v>
          </cell>
          <cell r="FQ8">
            <v>0</v>
          </cell>
          <cell r="FR8">
            <v>0</v>
          </cell>
          <cell r="FS8">
            <v>0</v>
          </cell>
          <cell r="FT8">
            <v>0</v>
          </cell>
          <cell r="FU8">
            <v>0</v>
          </cell>
          <cell r="FV8">
            <v>0</v>
          </cell>
          <cell r="FW8">
            <v>0</v>
          </cell>
          <cell r="FX8">
            <v>0</v>
          </cell>
          <cell r="FY8">
            <v>0</v>
          </cell>
          <cell r="FZ8">
            <v>0</v>
          </cell>
        </row>
        <row r="9">
          <cell r="A9" t="str">
            <v>F_CNP_NRF_EPA_EUR_FRCE_270</v>
          </cell>
          <cell r="B9">
            <v>0.1</v>
          </cell>
          <cell r="C9">
            <v>0.08</v>
          </cell>
          <cell r="D9">
            <v>0.15</v>
          </cell>
          <cell r="E9">
            <v>0.08</v>
          </cell>
          <cell r="F9">
            <v>0.15</v>
          </cell>
          <cell r="G9">
            <v>0.22</v>
          </cell>
          <cell r="H9">
            <v>7.0000000000000007E-2</v>
          </cell>
          <cell r="I9">
            <v>0.05</v>
          </cell>
          <cell r="J9">
            <v>0.13</v>
          </cell>
          <cell r="K9">
            <v>0.18</v>
          </cell>
          <cell r="L9">
            <v>0.17</v>
          </cell>
          <cell r="M9">
            <v>0.16</v>
          </cell>
          <cell r="N9">
            <v>0.8</v>
          </cell>
          <cell r="O9">
            <v>1</v>
          </cell>
          <cell r="P9">
            <v>1</v>
          </cell>
          <cell r="Q9">
            <v>0.8</v>
          </cell>
          <cell r="R9">
            <v>0.8</v>
          </cell>
          <cell r="S9">
            <v>1</v>
          </cell>
          <cell r="T9">
            <v>1</v>
          </cell>
          <cell r="U9">
            <v>1</v>
          </cell>
          <cell r="V9">
            <v>1</v>
          </cell>
          <cell r="W9">
            <v>1</v>
          </cell>
          <cell r="X9">
            <v>1</v>
          </cell>
          <cell r="Y9">
            <v>1</v>
          </cell>
          <cell r="Z9">
            <v>0.1</v>
          </cell>
          <cell r="AA9">
            <v>0.1</v>
          </cell>
          <cell r="AB9">
            <v>0.14000000000000001</v>
          </cell>
          <cell r="AC9">
            <v>0.11</v>
          </cell>
          <cell r="AD9">
            <v>0.11</v>
          </cell>
          <cell r="AE9">
            <v>0.19</v>
          </cell>
          <cell r="AF9">
            <v>0.09</v>
          </cell>
          <cell r="AG9">
            <v>0.11</v>
          </cell>
          <cell r="AH9">
            <v>0.15</v>
          </cell>
          <cell r="AI9">
            <v>0.2</v>
          </cell>
          <cell r="AJ9">
            <v>0.2</v>
          </cell>
          <cell r="AK9">
            <v>0.2</v>
          </cell>
          <cell r="AL9">
            <v>0</v>
          </cell>
          <cell r="AM9">
            <v>0</v>
          </cell>
          <cell r="AN9">
            <v>0</v>
          </cell>
          <cell r="AO9">
            <v>0</v>
          </cell>
          <cell r="AP9">
            <v>0</v>
          </cell>
          <cell r="AQ9">
            <v>0</v>
          </cell>
          <cell r="AR9">
            <v>0</v>
          </cell>
          <cell r="AS9">
            <v>0</v>
          </cell>
          <cell r="AT9">
            <v>0</v>
          </cell>
          <cell r="AU9">
            <v>0</v>
          </cell>
          <cell r="AV9">
            <v>0</v>
          </cell>
          <cell r="AW9">
            <v>0</v>
          </cell>
          <cell r="AX9">
            <v>0</v>
          </cell>
          <cell r="AY9">
            <v>0</v>
          </cell>
          <cell r="AZ9">
            <v>0</v>
          </cell>
          <cell r="BA9">
            <v>0</v>
          </cell>
          <cell r="BB9">
            <v>0</v>
          </cell>
          <cell r="BC9">
            <v>0</v>
          </cell>
          <cell r="BD9">
            <v>0</v>
          </cell>
          <cell r="BE9">
            <v>0</v>
          </cell>
          <cell r="BF9">
            <v>0</v>
          </cell>
          <cell r="BG9">
            <v>0</v>
          </cell>
          <cell r="BH9">
            <v>0</v>
          </cell>
          <cell r="BI9">
            <v>0</v>
          </cell>
          <cell r="BJ9">
            <v>0</v>
          </cell>
          <cell r="BK9">
            <v>0</v>
          </cell>
          <cell r="BL9">
            <v>0</v>
          </cell>
          <cell r="BM9">
            <v>0</v>
          </cell>
          <cell r="BN9">
            <v>0</v>
          </cell>
          <cell r="BO9">
            <v>0</v>
          </cell>
          <cell r="BP9">
            <v>0</v>
          </cell>
          <cell r="BQ9">
            <v>0</v>
          </cell>
          <cell r="BR9">
            <v>0</v>
          </cell>
          <cell r="BS9">
            <v>0</v>
          </cell>
          <cell r="BT9">
            <v>0</v>
          </cell>
          <cell r="BU9">
            <v>0</v>
          </cell>
          <cell r="BV9">
            <v>0</v>
          </cell>
          <cell r="BW9">
            <v>0</v>
          </cell>
          <cell r="BX9">
            <v>0</v>
          </cell>
          <cell r="BY9">
            <v>0</v>
          </cell>
          <cell r="BZ9">
            <v>0</v>
          </cell>
          <cell r="CA9">
            <v>0</v>
          </cell>
          <cell r="CB9">
            <v>0</v>
          </cell>
          <cell r="CC9">
            <v>0</v>
          </cell>
          <cell r="CD9">
            <v>0</v>
          </cell>
          <cell r="CE9">
            <v>0</v>
          </cell>
          <cell r="CF9">
            <v>0</v>
          </cell>
          <cell r="CG9">
            <v>0</v>
          </cell>
          <cell r="CH9">
            <v>0</v>
          </cell>
          <cell r="CI9">
            <v>0</v>
          </cell>
          <cell r="CJ9">
            <v>0</v>
          </cell>
          <cell r="CK9">
            <v>0</v>
          </cell>
          <cell r="CL9">
            <v>0</v>
          </cell>
          <cell r="CM9">
            <v>0</v>
          </cell>
          <cell r="CN9">
            <v>0</v>
          </cell>
          <cell r="CO9">
            <v>0</v>
          </cell>
          <cell r="CP9">
            <v>0</v>
          </cell>
          <cell r="CQ9">
            <v>0</v>
          </cell>
          <cell r="CR9">
            <v>0</v>
          </cell>
          <cell r="CS9">
            <v>0</v>
          </cell>
          <cell r="CT9">
            <v>0</v>
          </cell>
          <cell r="CU9">
            <v>0</v>
          </cell>
          <cell r="CV9">
            <v>0</v>
          </cell>
          <cell r="CW9">
            <v>0</v>
          </cell>
          <cell r="CX9">
            <v>0</v>
          </cell>
          <cell r="CY9">
            <v>0</v>
          </cell>
          <cell r="CZ9">
            <v>0</v>
          </cell>
          <cell r="DA9">
            <v>0</v>
          </cell>
          <cell r="DB9">
            <v>0</v>
          </cell>
          <cell r="DC9">
            <v>0</v>
          </cell>
          <cell r="DD9">
            <v>0</v>
          </cell>
          <cell r="DE9">
            <v>0</v>
          </cell>
          <cell r="DF9">
            <v>0</v>
          </cell>
          <cell r="DG9">
            <v>0</v>
          </cell>
          <cell r="DH9">
            <v>0</v>
          </cell>
          <cell r="DI9">
            <v>0</v>
          </cell>
          <cell r="DJ9">
            <v>0</v>
          </cell>
          <cell r="DK9">
            <v>0</v>
          </cell>
          <cell r="DL9">
            <v>0</v>
          </cell>
          <cell r="DM9">
            <v>0</v>
          </cell>
          <cell r="DN9">
            <v>0</v>
          </cell>
          <cell r="DO9">
            <v>0</v>
          </cell>
          <cell r="DP9">
            <v>0</v>
          </cell>
          <cell r="DQ9">
            <v>0</v>
          </cell>
          <cell r="DR9">
            <v>0</v>
          </cell>
          <cell r="DS9">
            <v>0</v>
          </cell>
          <cell r="DT9">
            <v>0</v>
          </cell>
          <cell r="DU9">
            <v>0</v>
          </cell>
          <cell r="DV9">
            <v>0</v>
          </cell>
          <cell r="DW9">
            <v>0</v>
          </cell>
          <cell r="DX9">
            <v>0</v>
          </cell>
          <cell r="DY9">
            <v>0</v>
          </cell>
          <cell r="EA9">
            <v>0</v>
          </cell>
          <cell r="EB9">
            <v>0</v>
          </cell>
          <cell r="EC9">
            <v>0</v>
          </cell>
          <cell r="ED9">
            <v>0.05</v>
          </cell>
          <cell r="EE9">
            <v>0.09</v>
          </cell>
          <cell r="EF9">
            <v>0.08</v>
          </cell>
          <cell r="EG9">
            <v>0.17</v>
          </cell>
          <cell r="EH9">
            <v>1</v>
          </cell>
          <cell r="EI9">
            <v>1</v>
          </cell>
          <cell r="EJ9">
            <v>1</v>
          </cell>
          <cell r="EK9">
            <v>1</v>
          </cell>
          <cell r="EL9">
            <v>0.05</v>
          </cell>
          <cell r="EM9">
            <v>0.14000000000000001</v>
          </cell>
          <cell r="EN9">
            <v>0.11</v>
          </cell>
          <cell r="EO9">
            <v>0.2</v>
          </cell>
          <cell r="EP9">
            <v>0</v>
          </cell>
          <cell r="EQ9">
            <v>0</v>
          </cell>
          <cell r="ER9">
            <v>0</v>
          </cell>
          <cell r="ES9">
            <v>0</v>
          </cell>
          <cell r="ET9">
            <v>0</v>
          </cell>
          <cell r="EU9">
            <v>0</v>
          </cell>
          <cell r="EV9">
            <v>0</v>
          </cell>
          <cell r="EW9">
            <v>0</v>
          </cell>
          <cell r="EX9">
            <v>1</v>
          </cell>
          <cell r="EY9">
            <v>1</v>
          </cell>
          <cell r="EZ9">
            <v>1</v>
          </cell>
          <cell r="FA9">
            <v>0</v>
          </cell>
          <cell r="FB9">
            <v>0</v>
          </cell>
          <cell r="FC9">
            <v>0</v>
          </cell>
          <cell r="FD9">
            <v>0</v>
          </cell>
          <cell r="FE9">
            <v>0</v>
          </cell>
          <cell r="FF9">
            <v>0</v>
          </cell>
          <cell r="FG9">
            <v>0</v>
          </cell>
          <cell r="FH9">
            <v>0</v>
          </cell>
          <cell r="FI9">
            <v>0</v>
          </cell>
          <cell r="FJ9">
            <v>0</v>
          </cell>
          <cell r="FK9">
            <v>0</v>
          </cell>
          <cell r="FL9">
            <v>0</v>
          </cell>
          <cell r="FM9">
            <v>0</v>
          </cell>
          <cell r="FN9">
            <v>0</v>
          </cell>
          <cell r="FO9">
            <v>0</v>
          </cell>
          <cell r="FP9">
            <v>0</v>
          </cell>
          <cell r="FQ9">
            <v>0</v>
          </cell>
          <cell r="FR9">
            <v>0</v>
          </cell>
          <cell r="FS9">
            <v>0</v>
          </cell>
          <cell r="FT9">
            <v>0</v>
          </cell>
          <cell r="FU9">
            <v>0</v>
          </cell>
          <cell r="FV9">
            <v>0</v>
          </cell>
          <cell r="FW9">
            <v>0</v>
          </cell>
          <cell r="FX9">
            <v>0</v>
          </cell>
          <cell r="FY9">
            <v>0</v>
          </cell>
          <cell r="FZ9">
            <v>0</v>
          </cell>
        </row>
        <row r="10">
          <cell r="A10" t="str">
            <v>F_CNP_NRF_EPA_EUR_FRCE_272</v>
          </cell>
          <cell r="B10">
            <v>0.1</v>
          </cell>
          <cell r="C10">
            <v>0.08</v>
          </cell>
          <cell r="D10">
            <v>0.15</v>
          </cell>
          <cell r="E10">
            <v>0.08</v>
          </cell>
          <cell r="F10">
            <v>0.15</v>
          </cell>
          <cell r="G10">
            <v>0.22</v>
          </cell>
          <cell r="H10">
            <v>7.0000000000000007E-2</v>
          </cell>
          <cell r="I10">
            <v>0.05</v>
          </cell>
          <cell r="J10">
            <v>0.13</v>
          </cell>
          <cell r="K10">
            <v>0.18</v>
          </cell>
          <cell r="L10">
            <v>0.17</v>
          </cell>
          <cell r="M10">
            <v>0.16</v>
          </cell>
          <cell r="N10">
            <v>0.8</v>
          </cell>
          <cell r="O10">
            <v>1</v>
          </cell>
          <cell r="P10">
            <v>1</v>
          </cell>
          <cell r="Q10">
            <v>0.8</v>
          </cell>
          <cell r="R10">
            <v>0.8</v>
          </cell>
          <cell r="S10">
            <v>1</v>
          </cell>
          <cell r="T10">
            <v>1</v>
          </cell>
          <cell r="U10">
            <v>1</v>
          </cell>
          <cell r="V10">
            <v>1</v>
          </cell>
          <cell r="W10">
            <v>1</v>
          </cell>
          <cell r="X10">
            <v>1</v>
          </cell>
          <cell r="Y10">
            <v>1</v>
          </cell>
          <cell r="Z10">
            <v>0.1</v>
          </cell>
          <cell r="AA10">
            <v>0.1</v>
          </cell>
          <cell r="AB10">
            <v>0.14000000000000001</v>
          </cell>
          <cell r="AC10">
            <v>0.11</v>
          </cell>
          <cell r="AD10">
            <v>0.11</v>
          </cell>
          <cell r="AE10">
            <v>0.19</v>
          </cell>
          <cell r="AF10">
            <v>0.09</v>
          </cell>
          <cell r="AG10">
            <v>0.11</v>
          </cell>
          <cell r="AH10">
            <v>0.15</v>
          </cell>
          <cell r="AI10">
            <v>0.2</v>
          </cell>
          <cell r="AJ10">
            <v>0.2</v>
          </cell>
          <cell r="AK10">
            <v>0.2</v>
          </cell>
          <cell r="AL10">
            <v>0</v>
          </cell>
          <cell r="AM10">
            <v>0</v>
          </cell>
          <cell r="AN10">
            <v>0</v>
          </cell>
          <cell r="AO10">
            <v>0</v>
          </cell>
          <cell r="AP10">
            <v>0</v>
          </cell>
          <cell r="AQ10">
            <v>0</v>
          </cell>
          <cell r="AR10">
            <v>0</v>
          </cell>
          <cell r="AS10">
            <v>0</v>
          </cell>
          <cell r="AT10">
            <v>0</v>
          </cell>
          <cell r="AU10">
            <v>0</v>
          </cell>
          <cell r="AV10">
            <v>0</v>
          </cell>
          <cell r="AW10">
            <v>0</v>
          </cell>
          <cell r="AX10">
            <v>0</v>
          </cell>
          <cell r="AY10">
            <v>0</v>
          </cell>
          <cell r="AZ10">
            <v>0</v>
          </cell>
          <cell r="BA10">
            <v>0</v>
          </cell>
          <cell r="BB10">
            <v>0</v>
          </cell>
          <cell r="BC10">
            <v>0</v>
          </cell>
          <cell r="BD10">
            <v>0</v>
          </cell>
          <cell r="BE10">
            <v>0</v>
          </cell>
          <cell r="BF10">
            <v>0</v>
          </cell>
          <cell r="BG10">
            <v>0</v>
          </cell>
          <cell r="BH10">
            <v>0</v>
          </cell>
          <cell r="BI10">
            <v>0</v>
          </cell>
          <cell r="BJ10">
            <v>0</v>
          </cell>
          <cell r="BK10">
            <v>0</v>
          </cell>
          <cell r="BL10">
            <v>0</v>
          </cell>
          <cell r="BM10">
            <v>0</v>
          </cell>
          <cell r="BN10">
            <v>0</v>
          </cell>
          <cell r="BO10">
            <v>0</v>
          </cell>
          <cell r="BP10">
            <v>0</v>
          </cell>
          <cell r="BQ10">
            <v>0</v>
          </cell>
          <cell r="BR10">
            <v>0</v>
          </cell>
          <cell r="BS10">
            <v>0</v>
          </cell>
          <cell r="BT10">
            <v>0</v>
          </cell>
          <cell r="BU10">
            <v>0</v>
          </cell>
          <cell r="BV10">
            <v>0</v>
          </cell>
          <cell r="BW10">
            <v>0</v>
          </cell>
          <cell r="BX10">
            <v>0</v>
          </cell>
          <cell r="BY10">
            <v>0</v>
          </cell>
          <cell r="BZ10">
            <v>0</v>
          </cell>
          <cell r="CA10">
            <v>0</v>
          </cell>
          <cell r="CB10">
            <v>0</v>
          </cell>
          <cell r="CC10">
            <v>0</v>
          </cell>
          <cell r="CD10">
            <v>0</v>
          </cell>
          <cell r="CE10">
            <v>0</v>
          </cell>
          <cell r="CF10">
            <v>0</v>
          </cell>
          <cell r="CG10">
            <v>0</v>
          </cell>
          <cell r="CH10">
            <v>0</v>
          </cell>
          <cell r="CI10">
            <v>0</v>
          </cell>
          <cell r="CJ10">
            <v>0</v>
          </cell>
          <cell r="CK10">
            <v>0</v>
          </cell>
          <cell r="CL10">
            <v>0</v>
          </cell>
          <cell r="CM10">
            <v>0</v>
          </cell>
          <cell r="CN10">
            <v>0</v>
          </cell>
          <cell r="CO10">
            <v>0</v>
          </cell>
          <cell r="CP10">
            <v>0</v>
          </cell>
          <cell r="CQ10">
            <v>0</v>
          </cell>
          <cell r="CR10">
            <v>0</v>
          </cell>
          <cell r="CS10">
            <v>0</v>
          </cell>
          <cell r="CT10">
            <v>0</v>
          </cell>
          <cell r="CU10">
            <v>0</v>
          </cell>
          <cell r="CV10">
            <v>0</v>
          </cell>
          <cell r="CW10">
            <v>0</v>
          </cell>
          <cell r="CX10">
            <v>0</v>
          </cell>
          <cell r="CY10">
            <v>0</v>
          </cell>
          <cell r="CZ10">
            <v>0</v>
          </cell>
          <cell r="DA10">
            <v>0</v>
          </cell>
          <cell r="DB10">
            <v>0</v>
          </cell>
          <cell r="DC10">
            <v>0</v>
          </cell>
          <cell r="DD10">
            <v>0</v>
          </cell>
          <cell r="DE10">
            <v>0</v>
          </cell>
          <cell r="DF10">
            <v>0</v>
          </cell>
          <cell r="DG10">
            <v>0</v>
          </cell>
          <cell r="DH10">
            <v>0</v>
          </cell>
          <cell r="DI10">
            <v>0</v>
          </cell>
          <cell r="DJ10">
            <v>0</v>
          </cell>
          <cell r="DK10">
            <v>0</v>
          </cell>
          <cell r="DL10">
            <v>0</v>
          </cell>
          <cell r="DM10">
            <v>0</v>
          </cell>
          <cell r="DN10">
            <v>0</v>
          </cell>
          <cell r="DO10">
            <v>0</v>
          </cell>
          <cell r="DP10">
            <v>0</v>
          </cell>
          <cell r="DQ10">
            <v>0</v>
          </cell>
          <cell r="DR10">
            <v>0</v>
          </cell>
          <cell r="DS10">
            <v>0</v>
          </cell>
          <cell r="DT10">
            <v>0</v>
          </cell>
          <cell r="DU10">
            <v>0</v>
          </cell>
          <cell r="DV10">
            <v>0</v>
          </cell>
          <cell r="DW10">
            <v>0</v>
          </cell>
          <cell r="DX10">
            <v>0</v>
          </cell>
          <cell r="DY10">
            <v>0</v>
          </cell>
          <cell r="EA10">
            <v>0</v>
          </cell>
          <cell r="EB10">
            <v>0</v>
          </cell>
          <cell r="EC10">
            <v>0</v>
          </cell>
          <cell r="ED10">
            <v>0.05</v>
          </cell>
          <cell r="EE10">
            <v>0.09</v>
          </cell>
          <cell r="EF10">
            <v>0.08</v>
          </cell>
          <cell r="EG10">
            <v>0.17</v>
          </cell>
          <cell r="EH10">
            <v>1</v>
          </cell>
          <cell r="EI10">
            <v>1</v>
          </cell>
          <cell r="EJ10">
            <v>1</v>
          </cell>
          <cell r="EK10">
            <v>1</v>
          </cell>
          <cell r="EL10">
            <v>0.05</v>
          </cell>
          <cell r="EM10">
            <v>0.14000000000000001</v>
          </cell>
          <cell r="EN10">
            <v>0.11</v>
          </cell>
          <cell r="EO10">
            <v>0.2</v>
          </cell>
          <cell r="EP10">
            <v>0</v>
          </cell>
          <cell r="EQ10">
            <v>0</v>
          </cell>
          <cell r="ER10">
            <v>0</v>
          </cell>
          <cell r="ES10">
            <v>0</v>
          </cell>
          <cell r="ET10">
            <v>0</v>
          </cell>
          <cell r="EU10">
            <v>0</v>
          </cell>
          <cell r="EV10">
            <v>0</v>
          </cell>
          <cell r="EW10">
            <v>0</v>
          </cell>
          <cell r="EX10">
            <v>1</v>
          </cell>
          <cell r="EY10">
            <v>1</v>
          </cell>
          <cell r="EZ10">
            <v>1</v>
          </cell>
          <cell r="FA10">
            <v>0</v>
          </cell>
          <cell r="FB10">
            <v>0</v>
          </cell>
          <cell r="FC10">
            <v>0</v>
          </cell>
          <cell r="FD10">
            <v>0</v>
          </cell>
          <cell r="FE10">
            <v>0</v>
          </cell>
          <cell r="FF10">
            <v>0</v>
          </cell>
          <cell r="FG10">
            <v>0</v>
          </cell>
          <cell r="FH10">
            <v>0</v>
          </cell>
          <cell r="FI10">
            <v>0</v>
          </cell>
          <cell r="FJ10">
            <v>0</v>
          </cell>
          <cell r="FK10">
            <v>0</v>
          </cell>
          <cell r="FL10">
            <v>0</v>
          </cell>
          <cell r="FM10">
            <v>0</v>
          </cell>
          <cell r="FN10">
            <v>0</v>
          </cell>
          <cell r="FO10">
            <v>0</v>
          </cell>
          <cell r="FP10">
            <v>0</v>
          </cell>
          <cell r="FQ10">
            <v>0</v>
          </cell>
          <cell r="FR10">
            <v>0</v>
          </cell>
          <cell r="FS10">
            <v>0</v>
          </cell>
          <cell r="FT10">
            <v>0</v>
          </cell>
          <cell r="FU10">
            <v>0</v>
          </cell>
          <cell r="FV10">
            <v>0</v>
          </cell>
          <cell r="FW10">
            <v>0</v>
          </cell>
          <cell r="FX10">
            <v>0</v>
          </cell>
          <cell r="FY10">
            <v>0</v>
          </cell>
          <cell r="FZ10">
            <v>0</v>
          </cell>
        </row>
        <row r="11">
          <cell r="A11" t="str">
            <v>F_CNP_NRF_EPA_EUR_FRCE_EVJ</v>
          </cell>
          <cell r="B11">
            <v>0.1</v>
          </cell>
          <cell r="C11">
            <v>0.08</v>
          </cell>
          <cell r="D11">
            <v>0.15</v>
          </cell>
          <cell r="E11">
            <v>0.08</v>
          </cell>
          <cell r="F11">
            <v>0.15</v>
          </cell>
          <cell r="G11">
            <v>0.22</v>
          </cell>
          <cell r="H11">
            <v>7.0000000000000007E-2</v>
          </cell>
          <cell r="I11">
            <v>0.05</v>
          </cell>
          <cell r="J11">
            <v>0.13</v>
          </cell>
          <cell r="K11">
            <v>0.18</v>
          </cell>
          <cell r="L11">
            <v>0.17</v>
          </cell>
          <cell r="M11">
            <v>0.16</v>
          </cell>
          <cell r="N11">
            <v>0.8</v>
          </cell>
          <cell r="O11">
            <v>1</v>
          </cell>
          <cell r="P11">
            <v>1</v>
          </cell>
          <cell r="Q11">
            <v>0.8</v>
          </cell>
          <cell r="R11">
            <v>0.8</v>
          </cell>
          <cell r="S11">
            <v>1</v>
          </cell>
          <cell r="T11">
            <v>1</v>
          </cell>
          <cell r="U11">
            <v>1</v>
          </cell>
          <cell r="V11">
            <v>1</v>
          </cell>
          <cell r="W11">
            <v>1</v>
          </cell>
          <cell r="X11">
            <v>1</v>
          </cell>
          <cell r="Y11">
            <v>1</v>
          </cell>
          <cell r="Z11">
            <v>0.1</v>
          </cell>
          <cell r="AA11">
            <v>0.1</v>
          </cell>
          <cell r="AB11">
            <v>0.14000000000000001</v>
          </cell>
          <cell r="AC11">
            <v>0.11</v>
          </cell>
          <cell r="AD11">
            <v>0.11</v>
          </cell>
          <cell r="AE11">
            <v>0.19</v>
          </cell>
          <cell r="AF11">
            <v>0.09</v>
          </cell>
          <cell r="AG11">
            <v>0.11</v>
          </cell>
          <cell r="AH11">
            <v>0.15</v>
          </cell>
          <cell r="AI11">
            <v>0.2</v>
          </cell>
          <cell r="AJ11">
            <v>0.2</v>
          </cell>
          <cell r="AK11">
            <v>0.2</v>
          </cell>
          <cell r="AL11">
            <v>0</v>
          </cell>
          <cell r="AM11">
            <v>0</v>
          </cell>
          <cell r="AN11">
            <v>0</v>
          </cell>
          <cell r="AO11">
            <v>0</v>
          </cell>
          <cell r="AP11">
            <v>0</v>
          </cell>
          <cell r="AQ11">
            <v>0</v>
          </cell>
          <cell r="AR11">
            <v>0</v>
          </cell>
          <cell r="AS11">
            <v>0</v>
          </cell>
          <cell r="AT11">
            <v>0</v>
          </cell>
          <cell r="AU11">
            <v>0</v>
          </cell>
          <cell r="AV11">
            <v>0</v>
          </cell>
          <cell r="AW11">
            <v>0</v>
          </cell>
          <cell r="AX11">
            <v>0</v>
          </cell>
          <cell r="AY11">
            <v>0</v>
          </cell>
          <cell r="AZ11">
            <v>0</v>
          </cell>
          <cell r="BA11">
            <v>0</v>
          </cell>
          <cell r="BB11">
            <v>0</v>
          </cell>
          <cell r="BC11">
            <v>0</v>
          </cell>
          <cell r="BD11">
            <v>0</v>
          </cell>
          <cell r="BE11">
            <v>0</v>
          </cell>
          <cell r="BF11">
            <v>0</v>
          </cell>
          <cell r="BG11">
            <v>0</v>
          </cell>
          <cell r="BH11">
            <v>0</v>
          </cell>
          <cell r="BI11">
            <v>0</v>
          </cell>
          <cell r="BJ11">
            <v>0</v>
          </cell>
          <cell r="BK11">
            <v>0</v>
          </cell>
          <cell r="BL11">
            <v>0</v>
          </cell>
          <cell r="BM11">
            <v>0</v>
          </cell>
          <cell r="BN11">
            <v>0</v>
          </cell>
          <cell r="BO11">
            <v>0</v>
          </cell>
          <cell r="BP11">
            <v>0</v>
          </cell>
          <cell r="BQ11">
            <v>0</v>
          </cell>
          <cell r="BR11">
            <v>0</v>
          </cell>
          <cell r="BS11">
            <v>0</v>
          </cell>
          <cell r="BT11">
            <v>0</v>
          </cell>
          <cell r="BU11">
            <v>0</v>
          </cell>
          <cell r="BV11">
            <v>0</v>
          </cell>
          <cell r="BW11">
            <v>0</v>
          </cell>
          <cell r="BX11">
            <v>0</v>
          </cell>
          <cell r="BY11">
            <v>0</v>
          </cell>
          <cell r="BZ11">
            <v>0</v>
          </cell>
          <cell r="CA11">
            <v>0</v>
          </cell>
          <cell r="CB11">
            <v>0</v>
          </cell>
          <cell r="CC11">
            <v>0</v>
          </cell>
          <cell r="CD11">
            <v>0</v>
          </cell>
          <cell r="CE11">
            <v>0</v>
          </cell>
          <cell r="CF11">
            <v>0</v>
          </cell>
          <cell r="CG11">
            <v>0</v>
          </cell>
          <cell r="CH11">
            <v>0</v>
          </cell>
          <cell r="CI11">
            <v>0</v>
          </cell>
          <cell r="CJ11">
            <v>0</v>
          </cell>
          <cell r="CK11">
            <v>0</v>
          </cell>
          <cell r="CL11">
            <v>0</v>
          </cell>
          <cell r="CM11">
            <v>0</v>
          </cell>
          <cell r="CN11">
            <v>0</v>
          </cell>
          <cell r="CO11">
            <v>0</v>
          </cell>
          <cell r="CP11">
            <v>0</v>
          </cell>
          <cell r="CQ11">
            <v>0</v>
          </cell>
          <cell r="CR11">
            <v>0</v>
          </cell>
          <cell r="CS11">
            <v>0</v>
          </cell>
          <cell r="CT11">
            <v>0</v>
          </cell>
          <cell r="CU11">
            <v>0</v>
          </cell>
          <cell r="CV11">
            <v>0</v>
          </cell>
          <cell r="CW11">
            <v>0</v>
          </cell>
          <cell r="CX11">
            <v>0</v>
          </cell>
          <cell r="CY11">
            <v>0</v>
          </cell>
          <cell r="CZ11">
            <v>0</v>
          </cell>
          <cell r="DA11">
            <v>0</v>
          </cell>
          <cell r="DB11">
            <v>0</v>
          </cell>
          <cell r="DC11">
            <v>0</v>
          </cell>
          <cell r="DD11">
            <v>0</v>
          </cell>
          <cell r="DE11">
            <v>0</v>
          </cell>
          <cell r="DF11">
            <v>0</v>
          </cell>
          <cell r="DG11">
            <v>0</v>
          </cell>
          <cell r="DH11">
            <v>0</v>
          </cell>
          <cell r="DI11">
            <v>0</v>
          </cell>
          <cell r="DJ11">
            <v>0</v>
          </cell>
          <cell r="DK11">
            <v>0</v>
          </cell>
          <cell r="DL11">
            <v>0</v>
          </cell>
          <cell r="DM11">
            <v>0</v>
          </cell>
          <cell r="DN11">
            <v>0</v>
          </cell>
          <cell r="DO11">
            <v>0</v>
          </cell>
          <cell r="DP11">
            <v>0</v>
          </cell>
          <cell r="DQ11">
            <v>0</v>
          </cell>
          <cell r="DR11">
            <v>0</v>
          </cell>
          <cell r="DS11">
            <v>0</v>
          </cell>
          <cell r="DT11">
            <v>0</v>
          </cell>
          <cell r="DU11">
            <v>0</v>
          </cell>
          <cell r="DV11">
            <v>0</v>
          </cell>
          <cell r="DW11">
            <v>0</v>
          </cell>
          <cell r="DX11">
            <v>0</v>
          </cell>
          <cell r="DY11">
            <v>0</v>
          </cell>
          <cell r="EA11">
            <v>0</v>
          </cell>
          <cell r="EB11">
            <v>0</v>
          </cell>
          <cell r="EC11">
            <v>0</v>
          </cell>
          <cell r="ED11">
            <v>0.05</v>
          </cell>
          <cell r="EE11">
            <v>0.09</v>
          </cell>
          <cell r="EF11">
            <v>0.08</v>
          </cell>
          <cell r="EG11">
            <v>0.17</v>
          </cell>
          <cell r="EH11">
            <v>1</v>
          </cell>
          <cell r="EI11">
            <v>1</v>
          </cell>
          <cell r="EJ11">
            <v>1</v>
          </cell>
          <cell r="EK11">
            <v>1</v>
          </cell>
          <cell r="EL11">
            <v>0.05</v>
          </cell>
          <cell r="EM11">
            <v>0.14000000000000001</v>
          </cell>
          <cell r="EN11">
            <v>0.11</v>
          </cell>
          <cell r="EO11">
            <v>0.2</v>
          </cell>
          <cell r="EP11">
            <v>0</v>
          </cell>
          <cell r="EQ11">
            <v>0</v>
          </cell>
          <cell r="ER11">
            <v>0</v>
          </cell>
          <cell r="ES11">
            <v>0</v>
          </cell>
          <cell r="ET11">
            <v>0</v>
          </cell>
          <cell r="EU11">
            <v>0</v>
          </cell>
          <cell r="EV11">
            <v>0</v>
          </cell>
          <cell r="EW11">
            <v>0</v>
          </cell>
          <cell r="EX11">
            <v>1</v>
          </cell>
          <cell r="EY11">
            <v>1</v>
          </cell>
          <cell r="EZ11">
            <v>1</v>
          </cell>
          <cell r="FA11">
            <v>0</v>
          </cell>
          <cell r="FB11">
            <v>0</v>
          </cell>
          <cell r="FC11">
            <v>0</v>
          </cell>
          <cell r="FD11">
            <v>0</v>
          </cell>
          <cell r="FE11">
            <v>0</v>
          </cell>
          <cell r="FF11">
            <v>0</v>
          </cell>
          <cell r="FG11">
            <v>0</v>
          </cell>
          <cell r="FH11">
            <v>0</v>
          </cell>
          <cell r="FI11">
            <v>0</v>
          </cell>
          <cell r="FJ11">
            <v>0</v>
          </cell>
          <cell r="FK11">
            <v>0</v>
          </cell>
          <cell r="FL11">
            <v>0</v>
          </cell>
          <cell r="FM11">
            <v>0</v>
          </cell>
          <cell r="FN11">
            <v>0</v>
          </cell>
          <cell r="FO11">
            <v>0</v>
          </cell>
          <cell r="FP11">
            <v>0</v>
          </cell>
          <cell r="FQ11">
            <v>0</v>
          </cell>
          <cell r="FR11">
            <v>0</v>
          </cell>
          <cell r="FS11">
            <v>0</v>
          </cell>
          <cell r="FT11">
            <v>0</v>
          </cell>
          <cell r="FU11">
            <v>0</v>
          </cell>
          <cell r="FV11">
            <v>0</v>
          </cell>
          <cell r="FW11">
            <v>0</v>
          </cell>
          <cell r="FX11">
            <v>0</v>
          </cell>
          <cell r="FY11">
            <v>0</v>
          </cell>
          <cell r="FZ11">
            <v>0</v>
          </cell>
        </row>
        <row r="12">
          <cell r="A12" t="str">
            <v>F_CNP_NRF_EPA_EUR_FRCE_120</v>
          </cell>
          <cell r="B12">
            <v>0.1</v>
          </cell>
          <cell r="C12">
            <v>0.08</v>
          </cell>
          <cell r="D12">
            <v>0.15</v>
          </cell>
          <cell r="E12">
            <v>0.08</v>
          </cell>
          <cell r="F12">
            <v>0.15</v>
          </cell>
          <cell r="G12">
            <v>0.22</v>
          </cell>
          <cell r="H12">
            <v>7.0000000000000007E-2</v>
          </cell>
          <cell r="I12">
            <v>0.05</v>
          </cell>
          <cell r="J12">
            <v>0.13</v>
          </cell>
          <cell r="K12">
            <v>0.18</v>
          </cell>
          <cell r="L12">
            <v>0.17</v>
          </cell>
          <cell r="M12">
            <v>0.16</v>
          </cell>
          <cell r="N12">
            <v>0.8</v>
          </cell>
          <cell r="O12">
            <v>1</v>
          </cell>
          <cell r="P12">
            <v>1</v>
          </cell>
          <cell r="Q12">
            <v>0.8</v>
          </cell>
          <cell r="R12">
            <v>0.8</v>
          </cell>
          <cell r="S12">
            <v>1</v>
          </cell>
          <cell r="T12">
            <v>1</v>
          </cell>
          <cell r="U12">
            <v>1</v>
          </cell>
          <cell r="V12">
            <v>1</v>
          </cell>
          <cell r="W12">
            <v>1</v>
          </cell>
          <cell r="X12">
            <v>1</v>
          </cell>
          <cell r="Y12">
            <v>1</v>
          </cell>
          <cell r="Z12">
            <v>0.1</v>
          </cell>
          <cell r="AA12">
            <v>0.1</v>
          </cell>
          <cell r="AB12">
            <v>0.14000000000000001</v>
          </cell>
          <cell r="AC12">
            <v>0.11</v>
          </cell>
          <cell r="AD12">
            <v>0.11</v>
          </cell>
          <cell r="AE12">
            <v>0.19</v>
          </cell>
          <cell r="AF12">
            <v>0.09</v>
          </cell>
          <cell r="AG12">
            <v>0.11</v>
          </cell>
          <cell r="AH12">
            <v>0.15</v>
          </cell>
          <cell r="AI12">
            <v>0.2</v>
          </cell>
          <cell r="AJ12">
            <v>0.2</v>
          </cell>
          <cell r="AK12">
            <v>0.2</v>
          </cell>
          <cell r="AL12">
            <v>0</v>
          </cell>
          <cell r="AM12">
            <v>0</v>
          </cell>
          <cell r="AN12">
            <v>0</v>
          </cell>
          <cell r="AO12">
            <v>0</v>
          </cell>
          <cell r="AP12">
            <v>0</v>
          </cell>
          <cell r="AQ12">
            <v>0</v>
          </cell>
          <cell r="AR12">
            <v>0</v>
          </cell>
          <cell r="AS12">
            <v>0</v>
          </cell>
          <cell r="AT12">
            <v>0</v>
          </cell>
          <cell r="AU12">
            <v>0</v>
          </cell>
          <cell r="AV12">
            <v>0</v>
          </cell>
          <cell r="AW12">
            <v>0</v>
          </cell>
          <cell r="AX12">
            <v>0</v>
          </cell>
          <cell r="AY12">
            <v>0</v>
          </cell>
          <cell r="AZ12">
            <v>0</v>
          </cell>
          <cell r="BA12">
            <v>0</v>
          </cell>
          <cell r="BB12">
            <v>0</v>
          </cell>
          <cell r="BC12">
            <v>0</v>
          </cell>
          <cell r="BD12">
            <v>0</v>
          </cell>
          <cell r="BE12">
            <v>0</v>
          </cell>
          <cell r="BF12">
            <v>0</v>
          </cell>
          <cell r="BG12">
            <v>0</v>
          </cell>
          <cell r="BH12">
            <v>0</v>
          </cell>
          <cell r="BI12">
            <v>0</v>
          </cell>
          <cell r="BJ12">
            <v>0</v>
          </cell>
          <cell r="BK12">
            <v>0</v>
          </cell>
          <cell r="BL12">
            <v>0</v>
          </cell>
          <cell r="BM12">
            <v>0</v>
          </cell>
          <cell r="BN12">
            <v>0</v>
          </cell>
          <cell r="BO12">
            <v>0</v>
          </cell>
          <cell r="BP12">
            <v>0</v>
          </cell>
          <cell r="BQ12">
            <v>0</v>
          </cell>
          <cell r="BR12">
            <v>0</v>
          </cell>
          <cell r="BS12">
            <v>0</v>
          </cell>
          <cell r="BT12">
            <v>0</v>
          </cell>
          <cell r="BU12">
            <v>0</v>
          </cell>
          <cell r="BV12">
            <v>0</v>
          </cell>
          <cell r="BW12">
            <v>0</v>
          </cell>
          <cell r="BX12">
            <v>0</v>
          </cell>
          <cell r="BY12">
            <v>0</v>
          </cell>
          <cell r="BZ12">
            <v>0</v>
          </cell>
          <cell r="CA12">
            <v>0</v>
          </cell>
          <cell r="CB12">
            <v>0</v>
          </cell>
          <cell r="CC12">
            <v>0</v>
          </cell>
          <cell r="CD12">
            <v>0</v>
          </cell>
          <cell r="CE12">
            <v>0</v>
          </cell>
          <cell r="CF12">
            <v>0</v>
          </cell>
          <cell r="CG12">
            <v>0</v>
          </cell>
          <cell r="CH12">
            <v>0</v>
          </cell>
          <cell r="CI12">
            <v>0</v>
          </cell>
          <cell r="CJ12">
            <v>0</v>
          </cell>
          <cell r="CK12">
            <v>0</v>
          </cell>
          <cell r="CL12">
            <v>0</v>
          </cell>
          <cell r="CM12">
            <v>0</v>
          </cell>
          <cell r="CN12">
            <v>0</v>
          </cell>
          <cell r="CO12">
            <v>0</v>
          </cell>
          <cell r="CP12">
            <v>0</v>
          </cell>
          <cell r="CQ12">
            <v>0</v>
          </cell>
          <cell r="CR12">
            <v>0</v>
          </cell>
          <cell r="CS12">
            <v>0</v>
          </cell>
          <cell r="CT12">
            <v>0</v>
          </cell>
          <cell r="CU12">
            <v>0</v>
          </cell>
          <cell r="CV12">
            <v>0</v>
          </cell>
          <cell r="CW12">
            <v>0</v>
          </cell>
          <cell r="CX12">
            <v>0</v>
          </cell>
          <cell r="CY12">
            <v>0</v>
          </cell>
          <cell r="CZ12">
            <v>0</v>
          </cell>
          <cell r="DA12">
            <v>0</v>
          </cell>
          <cell r="DB12">
            <v>0</v>
          </cell>
          <cell r="DC12">
            <v>0</v>
          </cell>
          <cell r="DD12">
            <v>0</v>
          </cell>
          <cell r="DE12">
            <v>0</v>
          </cell>
          <cell r="DF12">
            <v>0</v>
          </cell>
          <cell r="DG12">
            <v>0</v>
          </cell>
          <cell r="DH12">
            <v>0</v>
          </cell>
          <cell r="DI12">
            <v>0</v>
          </cell>
          <cell r="DJ12">
            <v>0</v>
          </cell>
          <cell r="DK12">
            <v>0</v>
          </cell>
          <cell r="DL12">
            <v>0</v>
          </cell>
          <cell r="DM12">
            <v>0</v>
          </cell>
          <cell r="DN12">
            <v>0</v>
          </cell>
          <cell r="DO12">
            <v>0</v>
          </cell>
          <cell r="DP12">
            <v>0</v>
          </cell>
          <cell r="DQ12">
            <v>0</v>
          </cell>
          <cell r="DR12">
            <v>0</v>
          </cell>
          <cell r="DS12">
            <v>0</v>
          </cell>
          <cell r="DT12">
            <v>0</v>
          </cell>
          <cell r="DU12">
            <v>0</v>
          </cell>
          <cell r="DV12">
            <v>0</v>
          </cell>
          <cell r="DW12">
            <v>0</v>
          </cell>
          <cell r="DX12">
            <v>0</v>
          </cell>
          <cell r="DY12">
            <v>0</v>
          </cell>
          <cell r="EA12">
            <v>0</v>
          </cell>
          <cell r="EB12">
            <v>0</v>
          </cell>
          <cell r="EC12">
            <v>0</v>
          </cell>
          <cell r="ED12">
            <v>0.05</v>
          </cell>
          <cell r="EE12">
            <v>0.09</v>
          </cell>
          <cell r="EF12">
            <v>0.08</v>
          </cell>
          <cell r="EG12">
            <v>0.17</v>
          </cell>
          <cell r="EH12">
            <v>1</v>
          </cell>
          <cell r="EI12">
            <v>1</v>
          </cell>
          <cell r="EJ12">
            <v>1</v>
          </cell>
          <cell r="EK12">
            <v>1</v>
          </cell>
          <cell r="EL12">
            <v>0.05</v>
          </cell>
          <cell r="EM12">
            <v>0.14000000000000001</v>
          </cell>
          <cell r="EN12">
            <v>0.11</v>
          </cell>
          <cell r="EO12">
            <v>0.2</v>
          </cell>
          <cell r="EP12">
            <v>0</v>
          </cell>
          <cell r="EQ12">
            <v>0</v>
          </cell>
          <cell r="ER12">
            <v>0</v>
          </cell>
          <cell r="ES12">
            <v>0</v>
          </cell>
          <cell r="ET12">
            <v>0</v>
          </cell>
          <cell r="EU12">
            <v>0</v>
          </cell>
          <cell r="EV12">
            <v>0</v>
          </cell>
          <cell r="EW12">
            <v>0</v>
          </cell>
          <cell r="EX12">
            <v>1</v>
          </cell>
          <cell r="EY12">
            <v>1</v>
          </cell>
          <cell r="EZ12">
            <v>1</v>
          </cell>
          <cell r="FA12">
            <v>0</v>
          </cell>
          <cell r="FB12">
            <v>0</v>
          </cell>
          <cell r="FC12">
            <v>0</v>
          </cell>
          <cell r="FD12">
            <v>0</v>
          </cell>
          <cell r="FE12">
            <v>0</v>
          </cell>
          <cell r="FF12">
            <v>0</v>
          </cell>
          <cell r="FG12">
            <v>0</v>
          </cell>
          <cell r="FH12">
            <v>0</v>
          </cell>
          <cell r="FI12">
            <v>0</v>
          </cell>
          <cell r="FJ12">
            <v>0</v>
          </cell>
          <cell r="FK12">
            <v>0</v>
          </cell>
          <cell r="FL12">
            <v>0</v>
          </cell>
          <cell r="FM12">
            <v>0</v>
          </cell>
          <cell r="FN12">
            <v>0</v>
          </cell>
          <cell r="FO12">
            <v>0</v>
          </cell>
          <cell r="FP12">
            <v>0</v>
          </cell>
          <cell r="FQ12">
            <v>0</v>
          </cell>
          <cell r="FR12">
            <v>0</v>
          </cell>
          <cell r="FS12">
            <v>0</v>
          </cell>
          <cell r="FT12">
            <v>0</v>
          </cell>
          <cell r="FU12">
            <v>0</v>
          </cell>
          <cell r="FV12">
            <v>0</v>
          </cell>
          <cell r="FW12">
            <v>0</v>
          </cell>
          <cell r="FX12">
            <v>0</v>
          </cell>
          <cell r="FY12">
            <v>0</v>
          </cell>
          <cell r="FZ12">
            <v>0</v>
          </cell>
        </row>
        <row r="13">
          <cell r="A13" t="str">
            <v>F_CNP_NRF_EPA_EUR_FRCE_EVC</v>
          </cell>
          <cell r="B13">
            <v>0.1</v>
          </cell>
          <cell r="C13">
            <v>0.08</v>
          </cell>
          <cell r="D13">
            <v>0.15</v>
          </cell>
          <cell r="E13">
            <v>0.08</v>
          </cell>
          <cell r="F13">
            <v>0.15</v>
          </cell>
          <cell r="G13">
            <v>0.22</v>
          </cell>
          <cell r="H13">
            <v>7.0000000000000007E-2</v>
          </cell>
          <cell r="I13">
            <v>0.05</v>
          </cell>
          <cell r="J13">
            <v>0.13</v>
          </cell>
          <cell r="K13">
            <v>0.18</v>
          </cell>
          <cell r="L13">
            <v>0.17</v>
          </cell>
          <cell r="M13">
            <v>0.16</v>
          </cell>
          <cell r="N13">
            <v>0.8</v>
          </cell>
          <cell r="O13">
            <v>1</v>
          </cell>
          <cell r="P13">
            <v>1</v>
          </cell>
          <cell r="Q13">
            <v>0.8</v>
          </cell>
          <cell r="R13">
            <v>0.8</v>
          </cell>
          <cell r="S13">
            <v>1</v>
          </cell>
          <cell r="T13">
            <v>1</v>
          </cell>
          <cell r="U13">
            <v>1</v>
          </cell>
          <cell r="V13">
            <v>1</v>
          </cell>
          <cell r="W13">
            <v>1</v>
          </cell>
          <cell r="X13">
            <v>1</v>
          </cell>
          <cell r="Y13">
            <v>1</v>
          </cell>
          <cell r="Z13">
            <v>0.1</v>
          </cell>
          <cell r="AA13">
            <v>0.1</v>
          </cell>
          <cell r="AB13">
            <v>0.14000000000000001</v>
          </cell>
          <cell r="AC13">
            <v>0.11</v>
          </cell>
          <cell r="AD13">
            <v>0.11</v>
          </cell>
          <cell r="AE13">
            <v>0.19</v>
          </cell>
          <cell r="AF13">
            <v>0.09</v>
          </cell>
          <cell r="AG13">
            <v>0.11</v>
          </cell>
          <cell r="AH13">
            <v>0.15</v>
          </cell>
          <cell r="AI13">
            <v>0.2</v>
          </cell>
          <cell r="AJ13">
            <v>0.2</v>
          </cell>
          <cell r="AK13">
            <v>0.2</v>
          </cell>
          <cell r="AL13">
            <v>0</v>
          </cell>
          <cell r="AM13">
            <v>0</v>
          </cell>
          <cell r="AN13">
            <v>0</v>
          </cell>
          <cell r="AO13">
            <v>0</v>
          </cell>
          <cell r="AP13">
            <v>0</v>
          </cell>
          <cell r="AQ13">
            <v>0</v>
          </cell>
          <cell r="AR13">
            <v>0</v>
          </cell>
          <cell r="AS13">
            <v>0</v>
          </cell>
          <cell r="AT13">
            <v>0</v>
          </cell>
          <cell r="AU13">
            <v>0</v>
          </cell>
          <cell r="AV13">
            <v>0</v>
          </cell>
          <cell r="AW13">
            <v>0</v>
          </cell>
          <cell r="AX13">
            <v>0</v>
          </cell>
          <cell r="AY13">
            <v>0</v>
          </cell>
          <cell r="AZ13">
            <v>0</v>
          </cell>
          <cell r="BA13">
            <v>0</v>
          </cell>
          <cell r="BB13">
            <v>0</v>
          </cell>
          <cell r="BC13">
            <v>0</v>
          </cell>
          <cell r="BD13">
            <v>0</v>
          </cell>
          <cell r="BE13">
            <v>0</v>
          </cell>
          <cell r="BF13">
            <v>0</v>
          </cell>
          <cell r="BG13">
            <v>0</v>
          </cell>
          <cell r="BH13">
            <v>0</v>
          </cell>
          <cell r="BI13">
            <v>0</v>
          </cell>
          <cell r="BJ13">
            <v>0</v>
          </cell>
          <cell r="BK13">
            <v>0</v>
          </cell>
          <cell r="BL13">
            <v>0</v>
          </cell>
          <cell r="BM13">
            <v>0</v>
          </cell>
          <cell r="BN13">
            <v>0</v>
          </cell>
          <cell r="BO13">
            <v>0</v>
          </cell>
          <cell r="BP13">
            <v>0</v>
          </cell>
          <cell r="BQ13">
            <v>0</v>
          </cell>
          <cell r="BR13">
            <v>0</v>
          </cell>
          <cell r="BS13">
            <v>0</v>
          </cell>
          <cell r="BT13">
            <v>0</v>
          </cell>
          <cell r="BU13">
            <v>0</v>
          </cell>
          <cell r="BV13">
            <v>0</v>
          </cell>
          <cell r="BW13">
            <v>0</v>
          </cell>
          <cell r="BX13">
            <v>0</v>
          </cell>
          <cell r="BY13">
            <v>0</v>
          </cell>
          <cell r="BZ13">
            <v>0</v>
          </cell>
          <cell r="CA13">
            <v>0</v>
          </cell>
          <cell r="CB13">
            <v>0</v>
          </cell>
          <cell r="CC13">
            <v>0</v>
          </cell>
          <cell r="CD13">
            <v>0</v>
          </cell>
          <cell r="CE13">
            <v>0</v>
          </cell>
          <cell r="CF13">
            <v>0</v>
          </cell>
          <cell r="CG13">
            <v>0</v>
          </cell>
          <cell r="CH13">
            <v>0</v>
          </cell>
          <cell r="CI13">
            <v>0</v>
          </cell>
          <cell r="CJ13">
            <v>0</v>
          </cell>
          <cell r="CK13">
            <v>0</v>
          </cell>
          <cell r="CL13">
            <v>0</v>
          </cell>
          <cell r="CM13">
            <v>0</v>
          </cell>
          <cell r="CN13">
            <v>0</v>
          </cell>
          <cell r="CO13">
            <v>0</v>
          </cell>
          <cell r="CP13">
            <v>0</v>
          </cell>
          <cell r="CQ13">
            <v>0</v>
          </cell>
          <cell r="CR13">
            <v>0</v>
          </cell>
          <cell r="CS13">
            <v>0</v>
          </cell>
          <cell r="CT13">
            <v>0</v>
          </cell>
          <cell r="CU13">
            <v>0</v>
          </cell>
          <cell r="CV13">
            <v>0</v>
          </cell>
          <cell r="CW13">
            <v>0</v>
          </cell>
          <cell r="CX13">
            <v>0</v>
          </cell>
          <cell r="CY13">
            <v>0</v>
          </cell>
          <cell r="CZ13">
            <v>0</v>
          </cell>
          <cell r="DA13">
            <v>0</v>
          </cell>
          <cell r="DB13">
            <v>0</v>
          </cell>
          <cell r="DC13">
            <v>0</v>
          </cell>
          <cell r="DD13">
            <v>0</v>
          </cell>
          <cell r="DE13">
            <v>0</v>
          </cell>
          <cell r="DF13">
            <v>0</v>
          </cell>
          <cell r="DG13">
            <v>0</v>
          </cell>
          <cell r="DH13">
            <v>0</v>
          </cell>
          <cell r="DI13">
            <v>0</v>
          </cell>
          <cell r="DJ13">
            <v>0</v>
          </cell>
          <cell r="DK13">
            <v>0</v>
          </cell>
          <cell r="DL13">
            <v>0</v>
          </cell>
          <cell r="DM13">
            <v>0</v>
          </cell>
          <cell r="DN13">
            <v>0</v>
          </cell>
          <cell r="DO13">
            <v>0</v>
          </cell>
          <cell r="DP13">
            <v>0</v>
          </cell>
          <cell r="DQ13">
            <v>0</v>
          </cell>
          <cell r="DR13">
            <v>0</v>
          </cell>
          <cell r="DS13">
            <v>0</v>
          </cell>
          <cell r="DT13">
            <v>0</v>
          </cell>
          <cell r="DU13">
            <v>0</v>
          </cell>
          <cell r="DV13">
            <v>0</v>
          </cell>
          <cell r="DW13">
            <v>0</v>
          </cell>
          <cell r="DX13">
            <v>0</v>
          </cell>
          <cell r="DY13">
            <v>0</v>
          </cell>
          <cell r="EA13">
            <v>0</v>
          </cell>
          <cell r="EB13">
            <v>0</v>
          </cell>
          <cell r="EC13">
            <v>0</v>
          </cell>
          <cell r="ED13">
            <v>0.05</v>
          </cell>
          <cell r="EE13">
            <v>0.09</v>
          </cell>
          <cell r="EF13">
            <v>0.08</v>
          </cell>
          <cell r="EG13">
            <v>0.17</v>
          </cell>
          <cell r="EH13">
            <v>1</v>
          </cell>
          <cell r="EI13">
            <v>1</v>
          </cell>
          <cell r="EJ13">
            <v>1</v>
          </cell>
          <cell r="EK13">
            <v>1</v>
          </cell>
          <cell r="EL13">
            <v>0.05</v>
          </cell>
          <cell r="EM13">
            <v>0.14000000000000001</v>
          </cell>
          <cell r="EN13">
            <v>0.11</v>
          </cell>
          <cell r="EO13">
            <v>0.2</v>
          </cell>
          <cell r="EP13">
            <v>0</v>
          </cell>
          <cell r="EQ13">
            <v>0</v>
          </cell>
          <cell r="ER13">
            <v>0</v>
          </cell>
          <cell r="ES13">
            <v>0</v>
          </cell>
          <cell r="ET13">
            <v>0</v>
          </cell>
          <cell r="EU13">
            <v>0</v>
          </cell>
          <cell r="EV13">
            <v>0</v>
          </cell>
          <cell r="EW13">
            <v>0</v>
          </cell>
          <cell r="EX13">
            <v>1</v>
          </cell>
          <cell r="EY13">
            <v>1</v>
          </cell>
          <cell r="EZ13">
            <v>1</v>
          </cell>
          <cell r="FA13">
            <v>0</v>
          </cell>
          <cell r="FB13">
            <v>0</v>
          </cell>
          <cell r="FC13">
            <v>0</v>
          </cell>
          <cell r="FD13">
            <v>0</v>
          </cell>
          <cell r="FE13">
            <v>0</v>
          </cell>
          <cell r="FF13">
            <v>0</v>
          </cell>
          <cell r="FG13">
            <v>0</v>
          </cell>
          <cell r="FH13">
            <v>0</v>
          </cell>
          <cell r="FI13">
            <v>0</v>
          </cell>
          <cell r="FJ13">
            <v>0</v>
          </cell>
          <cell r="FK13">
            <v>0</v>
          </cell>
          <cell r="FL13">
            <v>0</v>
          </cell>
          <cell r="FM13">
            <v>0</v>
          </cell>
          <cell r="FN13">
            <v>0</v>
          </cell>
          <cell r="FO13">
            <v>0</v>
          </cell>
          <cell r="FP13">
            <v>0</v>
          </cell>
          <cell r="FQ13">
            <v>0</v>
          </cell>
          <cell r="FR13">
            <v>0</v>
          </cell>
          <cell r="FS13">
            <v>0</v>
          </cell>
          <cell r="FT13">
            <v>0</v>
          </cell>
          <cell r="FU13">
            <v>0</v>
          </cell>
          <cell r="FV13">
            <v>0</v>
          </cell>
          <cell r="FW13">
            <v>0</v>
          </cell>
          <cell r="FX13">
            <v>0</v>
          </cell>
          <cell r="FY13">
            <v>0</v>
          </cell>
          <cell r="FZ13">
            <v>0</v>
          </cell>
        </row>
        <row r="14">
          <cell r="A14" t="str">
            <v>F_CNP_NRF_EPA_EUR_FRCE_201</v>
          </cell>
          <cell r="B14">
            <v>0.1</v>
          </cell>
          <cell r="C14">
            <v>0.08</v>
          </cell>
          <cell r="D14">
            <v>0.15</v>
          </cell>
          <cell r="E14">
            <v>0.08</v>
          </cell>
          <cell r="F14">
            <v>0.15</v>
          </cell>
          <cell r="G14">
            <v>0.22</v>
          </cell>
          <cell r="H14">
            <v>7.0000000000000007E-2</v>
          </cell>
          <cell r="I14">
            <v>0.05</v>
          </cell>
          <cell r="J14">
            <v>0.13</v>
          </cell>
          <cell r="K14">
            <v>0.18</v>
          </cell>
          <cell r="L14">
            <v>0.17</v>
          </cell>
          <cell r="M14">
            <v>0.16</v>
          </cell>
          <cell r="N14">
            <v>0.8</v>
          </cell>
          <cell r="O14">
            <v>1</v>
          </cell>
          <cell r="P14">
            <v>1</v>
          </cell>
          <cell r="Q14">
            <v>0.8</v>
          </cell>
          <cell r="R14">
            <v>0.8</v>
          </cell>
          <cell r="S14">
            <v>1</v>
          </cell>
          <cell r="T14">
            <v>1</v>
          </cell>
          <cell r="U14">
            <v>1</v>
          </cell>
          <cell r="V14">
            <v>1</v>
          </cell>
          <cell r="W14">
            <v>1</v>
          </cell>
          <cell r="X14">
            <v>1</v>
          </cell>
          <cell r="Y14">
            <v>1</v>
          </cell>
          <cell r="Z14">
            <v>0.1</v>
          </cell>
          <cell r="AA14">
            <v>0.1</v>
          </cell>
          <cell r="AB14">
            <v>0.14000000000000001</v>
          </cell>
          <cell r="AC14">
            <v>0.11</v>
          </cell>
          <cell r="AD14">
            <v>0.11</v>
          </cell>
          <cell r="AE14">
            <v>0.19</v>
          </cell>
          <cell r="AF14">
            <v>0.09</v>
          </cell>
          <cell r="AG14">
            <v>0.11</v>
          </cell>
          <cell r="AH14">
            <v>0.15</v>
          </cell>
          <cell r="AI14">
            <v>0.2</v>
          </cell>
          <cell r="AJ14">
            <v>0.2</v>
          </cell>
          <cell r="AK14">
            <v>0.2</v>
          </cell>
          <cell r="AL14">
            <v>0</v>
          </cell>
          <cell r="AM14">
            <v>0</v>
          </cell>
          <cell r="AN14">
            <v>0</v>
          </cell>
          <cell r="AO14">
            <v>0</v>
          </cell>
          <cell r="AP14">
            <v>0</v>
          </cell>
          <cell r="AQ14">
            <v>0</v>
          </cell>
          <cell r="AR14">
            <v>0</v>
          </cell>
          <cell r="AS14">
            <v>0</v>
          </cell>
          <cell r="AT14">
            <v>0</v>
          </cell>
          <cell r="AU14">
            <v>0</v>
          </cell>
          <cell r="AV14">
            <v>0</v>
          </cell>
          <cell r="AW14">
            <v>0</v>
          </cell>
          <cell r="AX14">
            <v>0</v>
          </cell>
          <cell r="AY14">
            <v>0</v>
          </cell>
          <cell r="AZ14">
            <v>0</v>
          </cell>
          <cell r="BA14">
            <v>0</v>
          </cell>
          <cell r="BB14">
            <v>0</v>
          </cell>
          <cell r="BC14">
            <v>0</v>
          </cell>
          <cell r="BD14">
            <v>0</v>
          </cell>
          <cell r="BE14">
            <v>0</v>
          </cell>
          <cell r="BF14">
            <v>0</v>
          </cell>
          <cell r="BG14">
            <v>0</v>
          </cell>
          <cell r="BH14">
            <v>0</v>
          </cell>
          <cell r="BI14">
            <v>0</v>
          </cell>
          <cell r="BJ14">
            <v>0</v>
          </cell>
          <cell r="BK14">
            <v>0</v>
          </cell>
          <cell r="BL14">
            <v>0</v>
          </cell>
          <cell r="BM14">
            <v>0</v>
          </cell>
          <cell r="BN14">
            <v>0</v>
          </cell>
          <cell r="BO14">
            <v>0</v>
          </cell>
          <cell r="BP14">
            <v>0</v>
          </cell>
          <cell r="BQ14">
            <v>0</v>
          </cell>
          <cell r="BR14">
            <v>0</v>
          </cell>
          <cell r="BS14">
            <v>0</v>
          </cell>
          <cell r="BT14">
            <v>0</v>
          </cell>
          <cell r="BU14">
            <v>0</v>
          </cell>
          <cell r="BV14">
            <v>0</v>
          </cell>
          <cell r="BW14">
            <v>0</v>
          </cell>
          <cell r="BX14">
            <v>0</v>
          </cell>
          <cell r="BY14">
            <v>0</v>
          </cell>
          <cell r="BZ14">
            <v>0</v>
          </cell>
          <cell r="CA14">
            <v>0</v>
          </cell>
          <cell r="CB14">
            <v>0</v>
          </cell>
          <cell r="CC14">
            <v>0</v>
          </cell>
          <cell r="CD14">
            <v>0</v>
          </cell>
          <cell r="CE14">
            <v>0</v>
          </cell>
          <cell r="CF14">
            <v>0</v>
          </cell>
          <cell r="CG14">
            <v>0</v>
          </cell>
          <cell r="CH14">
            <v>0</v>
          </cell>
          <cell r="CI14">
            <v>0</v>
          </cell>
          <cell r="CJ14">
            <v>0</v>
          </cell>
          <cell r="CK14">
            <v>0</v>
          </cell>
          <cell r="CL14">
            <v>0</v>
          </cell>
          <cell r="CM14">
            <v>0</v>
          </cell>
          <cell r="CN14">
            <v>0</v>
          </cell>
          <cell r="CO14">
            <v>0</v>
          </cell>
          <cell r="CP14">
            <v>0</v>
          </cell>
          <cell r="CQ14">
            <v>0</v>
          </cell>
          <cell r="CR14">
            <v>0</v>
          </cell>
          <cell r="CS14">
            <v>0</v>
          </cell>
          <cell r="CT14">
            <v>0</v>
          </cell>
          <cell r="CU14">
            <v>0</v>
          </cell>
          <cell r="CV14">
            <v>0</v>
          </cell>
          <cell r="CW14">
            <v>0</v>
          </cell>
          <cell r="CX14">
            <v>0</v>
          </cell>
          <cell r="CY14">
            <v>0</v>
          </cell>
          <cell r="CZ14">
            <v>0</v>
          </cell>
          <cell r="DA14">
            <v>0</v>
          </cell>
          <cell r="DB14">
            <v>0</v>
          </cell>
          <cell r="DC14">
            <v>0</v>
          </cell>
          <cell r="DD14">
            <v>0</v>
          </cell>
          <cell r="DE14">
            <v>0</v>
          </cell>
          <cell r="DF14">
            <v>0</v>
          </cell>
          <cell r="DG14">
            <v>0</v>
          </cell>
          <cell r="DH14">
            <v>0</v>
          </cell>
          <cell r="DI14">
            <v>0</v>
          </cell>
          <cell r="DJ14">
            <v>0</v>
          </cell>
          <cell r="DK14">
            <v>0</v>
          </cell>
          <cell r="DL14">
            <v>0</v>
          </cell>
          <cell r="DM14">
            <v>0</v>
          </cell>
          <cell r="DN14">
            <v>0</v>
          </cell>
          <cell r="DO14">
            <v>0</v>
          </cell>
          <cell r="DP14">
            <v>0</v>
          </cell>
          <cell r="DQ14">
            <v>0</v>
          </cell>
          <cell r="DR14">
            <v>0</v>
          </cell>
          <cell r="DS14">
            <v>0</v>
          </cell>
          <cell r="DT14">
            <v>0</v>
          </cell>
          <cell r="DU14">
            <v>0</v>
          </cell>
          <cell r="DV14">
            <v>0</v>
          </cell>
          <cell r="DW14">
            <v>0</v>
          </cell>
          <cell r="DX14">
            <v>0</v>
          </cell>
          <cell r="DY14">
            <v>0</v>
          </cell>
          <cell r="EA14">
            <v>0</v>
          </cell>
          <cell r="EB14">
            <v>0</v>
          </cell>
          <cell r="EC14">
            <v>0</v>
          </cell>
          <cell r="ED14">
            <v>0.05</v>
          </cell>
          <cell r="EE14">
            <v>0.09</v>
          </cell>
          <cell r="EF14">
            <v>0.08</v>
          </cell>
          <cell r="EG14">
            <v>0.17</v>
          </cell>
          <cell r="EH14">
            <v>1</v>
          </cell>
          <cell r="EI14">
            <v>1</v>
          </cell>
          <cell r="EJ14">
            <v>1</v>
          </cell>
          <cell r="EK14">
            <v>1</v>
          </cell>
          <cell r="EL14">
            <v>0.05</v>
          </cell>
          <cell r="EM14">
            <v>0.14000000000000001</v>
          </cell>
          <cell r="EN14">
            <v>0.11</v>
          </cell>
          <cell r="EO14">
            <v>0.2</v>
          </cell>
          <cell r="EP14">
            <v>0</v>
          </cell>
          <cell r="EQ14">
            <v>0</v>
          </cell>
          <cell r="ER14">
            <v>0</v>
          </cell>
          <cell r="ES14">
            <v>0</v>
          </cell>
          <cell r="ET14">
            <v>0</v>
          </cell>
          <cell r="EU14">
            <v>0</v>
          </cell>
          <cell r="EV14">
            <v>0</v>
          </cell>
          <cell r="EW14">
            <v>0</v>
          </cell>
          <cell r="EX14">
            <v>1</v>
          </cell>
          <cell r="EY14">
            <v>1</v>
          </cell>
          <cell r="EZ14">
            <v>1</v>
          </cell>
          <cell r="FA14">
            <v>0</v>
          </cell>
          <cell r="FB14">
            <v>0</v>
          </cell>
          <cell r="FC14">
            <v>0</v>
          </cell>
          <cell r="FD14">
            <v>0</v>
          </cell>
          <cell r="FE14">
            <v>0</v>
          </cell>
          <cell r="FF14">
            <v>0</v>
          </cell>
          <cell r="FG14">
            <v>0</v>
          </cell>
          <cell r="FH14">
            <v>0</v>
          </cell>
          <cell r="FI14">
            <v>0</v>
          </cell>
          <cell r="FJ14">
            <v>0</v>
          </cell>
          <cell r="FK14">
            <v>0</v>
          </cell>
          <cell r="FL14">
            <v>0</v>
          </cell>
          <cell r="FM14">
            <v>0</v>
          </cell>
          <cell r="FN14">
            <v>0</v>
          </cell>
          <cell r="FO14">
            <v>0</v>
          </cell>
          <cell r="FP14">
            <v>0</v>
          </cell>
          <cell r="FQ14">
            <v>0</v>
          </cell>
          <cell r="FR14">
            <v>0</v>
          </cell>
          <cell r="FS14">
            <v>0</v>
          </cell>
          <cell r="FT14">
            <v>0</v>
          </cell>
          <cell r="FU14">
            <v>0</v>
          </cell>
          <cell r="FV14">
            <v>0</v>
          </cell>
          <cell r="FW14">
            <v>0</v>
          </cell>
          <cell r="FX14">
            <v>0</v>
          </cell>
          <cell r="FY14">
            <v>0</v>
          </cell>
          <cell r="FZ14">
            <v>0</v>
          </cell>
        </row>
        <row r="15">
          <cell r="A15" t="str">
            <v>F_CNP_NRF_EPA_EUR_FRCE_200</v>
          </cell>
          <cell r="B15">
            <v>0.1</v>
          </cell>
          <cell r="C15">
            <v>0.08</v>
          </cell>
          <cell r="D15">
            <v>0.15</v>
          </cell>
          <cell r="E15">
            <v>0.08</v>
          </cell>
          <cell r="F15">
            <v>0.15</v>
          </cell>
          <cell r="G15">
            <v>0.22</v>
          </cell>
          <cell r="H15">
            <v>7.0000000000000007E-2</v>
          </cell>
          <cell r="I15">
            <v>0.05</v>
          </cell>
          <cell r="J15">
            <v>0.13</v>
          </cell>
          <cell r="K15">
            <v>0.18</v>
          </cell>
          <cell r="L15">
            <v>0.17</v>
          </cell>
          <cell r="M15">
            <v>0.16</v>
          </cell>
          <cell r="N15">
            <v>0.8</v>
          </cell>
          <cell r="O15">
            <v>1</v>
          </cell>
          <cell r="P15">
            <v>1</v>
          </cell>
          <cell r="Q15">
            <v>0.8</v>
          </cell>
          <cell r="R15">
            <v>0.8</v>
          </cell>
          <cell r="S15">
            <v>1</v>
          </cell>
          <cell r="T15">
            <v>1</v>
          </cell>
          <cell r="U15">
            <v>1</v>
          </cell>
          <cell r="V15">
            <v>1</v>
          </cell>
          <cell r="W15">
            <v>1</v>
          </cell>
          <cell r="X15">
            <v>1</v>
          </cell>
          <cell r="Y15">
            <v>1</v>
          </cell>
          <cell r="Z15">
            <v>0.1</v>
          </cell>
          <cell r="AA15">
            <v>0.1</v>
          </cell>
          <cell r="AB15">
            <v>0.14000000000000001</v>
          </cell>
          <cell r="AC15">
            <v>0.11</v>
          </cell>
          <cell r="AD15">
            <v>0.11</v>
          </cell>
          <cell r="AE15">
            <v>0.19</v>
          </cell>
          <cell r="AF15">
            <v>0.09</v>
          </cell>
          <cell r="AG15">
            <v>0.11</v>
          </cell>
          <cell r="AH15">
            <v>0.15</v>
          </cell>
          <cell r="AI15">
            <v>0.2</v>
          </cell>
          <cell r="AJ15">
            <v>0.2</v>
          </cell>
          <cell r="AK15">
            <v>0.2</v>
          </cell>
          <cell r="AL15">
            <v>0</v>
          </cell>
          <cell r="AM15">
            <v>0</v>
          </cell>
          <cell r="AN15">
            <v>0</v>
          </cell>
          <cell r="AO15">
            <v>0</v>
          </cell>
          <cell r="AP15">
            <v>0</v>
          </cell>
          <cell r="AQ15">
            <v>0</v>
          </cell>
          <cell r="AR15">
            <v>0</v>
          </cell>
          <cell r="AS15">
            <v>0</v>
          </cell>
          <cell r="AT15">
            <v>0</v>
          </cell>
          <cell r="AU15">
            <v>0</v>
          </cell>
          <cell r="AV15">
            <v>0</v>
          </cell>
          <cell r="AW15">
            <v>0</v>
          </cell>
          <cell r="AX15">
            <v>0</v>
          </cell>
          <cell r="AY15">
            <v>0</v>
          </cell>
          <cell r="AZ15">
            <v>0</v>
          </cell>
          <cell r="BA15">
            <v>0</v>
          </cell>
          <cell r="BB15">
            <v>0</v>
          </cell>
          <cell r="BC15">
            <v>0</v>
          </cell>
          <cell r="BD15">
            <v>0</v>
          </cell>
          <cell r="BE15">
            <v>0</v>
          </cell>
          <cell r="BF15">
            <v>0</v>
          </cell>
          <cell r="BG15">
            <v>0</v>
          </cell>
          <cell r="BH15">
            <v>0</v>
          </cell>
          <cell r="BI15">
            <v>0</v>
          </cell>
          <cell r="BJ15">
            <v>0</v>
          </cell>
          <cell r="BK15">
            <v>0</v>
          </cell>
          <cell r="BL15">
            <v>0</v>
          </cell>
          <cell r="BM15">
            <v>0</v>
          </cell>
          <cell r="BN15">
            <v>0</v>
          </cell>
          <cell r="BO15">
            <v>0</v>
          </cell>
          <cell r="BP15">
            <v>0</v>
          </cell>
          <cell r="BQ15">
            <v>0</v>
          </cell>
          <cell r="BR15">
            <v>0</v>
          </cell>
          <cell r="BS15">
            <v>0</v>
          </cell>
          <cell r="BT15">
            <v>0</v>
          </cell>
          <cell r="BU15">
            <v>0</v>
          </cell>
          <cell r="BV15">
            <v>0</v>
          </cell>
          <cell r="BW15">
            <v>0</v>
          </cell>
          <cell r="BX15">
            <v>0</v>
          </cell>
          <cell r="BY15">
            <v>0</v>
          </cell>
          <cell r="BZ15">
            <v>0</v>
          </cell>
          <cell r="CA15">
            <v>0</v>
          </cell>
          <cell r="CB15">
            <v>0</v>
          </cell>
          <cell r="CC15">
            <v>0</v>
          </cell>
          <cell r="CD15">
            <v>0</v>
          </cell>
          <cell r="CE15">
            <v>0</v>
          </cell>
          <cell r="CF15">
            <v>0</v>
          </cell>
          <cell r="CG15">
            <v>0</v>
          </cell>
          <cell r="CH15">
            <v>0</v>
          </cell>
          <cell r="CI15">
            <v>0</v>
          </cell>
          <cell r="CJ15">
            <v>0</v>
          </cell>
          <cell r="CK15">
            <v>0</v>
          </cell>
          <cell r="CL15">
            <v>0</v>
          </cell>
          <cell r="CM15">
            <v>0</v>
          </cell>
          <cell r="CN15">
            <v>0</v>
          </cell>
          <cell r="CO15">
            <v>0</v>
          </cell>
          <cell r="CP15">
            <v>0</v>
          </cell>
          <cell r="CQ15">
            <v>0</v>
          </cell>
          <cell r="CR15">
            <v>0</v>
          </cell>
          <cell r="CS15">
            <v>0</v>
          </cell>
          <cell r="CT15">
            <v>0</v>
          </cell>
          <cell r="CU15">
            <v>0</v>
          </cell>
          <cell r="CV15">
            <v>0</v>
          </cell>
          <cell r="CW15">
            <v>0</v>
          </cell>
          <cell r="CX15">
            <v>0</v>
          </cell>
          <cell r="CY15">
            <v>0</v>
          </cell>
          <cell r="CZ15">
            <v>0</v>
          </cell>
          <cell r="DA15">
            <v>0</v>
          </cell>
          <cell r="DB15">
            <v>0</v>
          </cell>
          <cell r="DC15">
            <v>0</v>
          </cell>
          <cell r="DD15">
            <v>0</v>
          </cell>
          <cell r="DE15">
            <v>0</v>
          </cell>
          <cell r="DF15">
            <v>0</v>
          </cell>
          <cell r="DG15">
            <v>0</v>
          </cell>
          <cell r="DH15">
            <v>0</v>
          </cell>
          <cell r="DI15">
            <v>0</v>
          </cell>
          <cell r="DJ15">
            <v>0</v>
          </cell>
          <cell r="DK15">
            <v>0</v>
          </cell>
          <cell r="DL15">
            <v>0</v>
          </cell>
          <cell r="DM15">
            <v>0</v>
          </cell>
          <cell r="DN15">
            <v>0</v>
          </cell>
          <cell r="DO15">
            <v>0</v>
          </cell>
          <cell r="DP15">
            <v>0</v>
          </cell>
          <cell r="DQ15">
            <v>0</v>
          </cell>
          <cell r="DR15">
            <v>0</v>
          </cell>
          <cell r="DS15">
            <v>0</v>
          </cell>
          <cell r="DT15">
            <v>0</v>
          </cell>
          <cell r="DU15">
            <v>0</v>
          </cell>
          <cell r="DV15">
            <v>0</v>
          </cell>
          <cell r="DW15">
            <v>0</v>
          </cell>
          <cell r="DX15">
            <v>0</v>
          </cell>
          <cell r="DY15">
            <v>0</v>
          </cell>
          <cell r="EA15">
            <v>0</v>
          </cell>
          <cell r="EB15">
            <v>0</v>
          </cell>
          <cell r="EC15">
            <v>0</v>
          </cell>
          <cell r="ED15">
            <v>0.05</v>
          </cell>
          <cell r="EE15">
            <v>0.09</v>
          </cell>
          <cell r="EF15">
            <v>0.08</v>
          </cell>
          <cell r="EG15">
            <v>0.17</v>
          </cell>
          <cell r="EH15">
            <v>1</v>
          </cell>
          <cell r="EI15">
            <v>1</v>
          </cell>
          <cell r="EJ15">
            <v>1</v>
          </cell>
          <cell r="EK15">
            <v>1</v>
          </cell>
          <cell r="EL15">
            <v>0.05</v>
          </cell>
          <cell r="EM15">
            <v>0.14000000000000001</v>
          </cell>
          <cell r="EN15">
            <v>0.11</v>
          </cell>
          <cell r="EO15">
            <v>0.2</v>
          </cell>
          <cell r="EP15">
            <v>0</v>
          </cell>
          <cell r="EQ15">
            <v>0</v>
          </cell>
          <cell r="ER15">
            <v>0</v>
          </cell>
          <cell r="ES15">
            <v>0</v>
          </cell>
          <cell r="ET15">
            <v>0</v>
          </cell>
          <cell r="EU15">
            <v>0</v>
          </cell>
          <cell r="EV15">
            <v>0</v>
          </cell>
          <cell r="EW15">
            <v>0</v>
          </cell>
          <cell r="EX15">
            <v>1</v>
          </cell>
          <cell r="EY15">
            <v>1</v>
          </cell>
          <cell r="EZ15">
            <v>1</v>
          </cell>
          <cell r="FA15">
            <v>0</v>
          </cell>
          <cell r="FB15">
            <v>0</v>
          </cell>
          <cell r="FC15">
            <v>0</v>
          </cell>
          <cell r="FD15">
            <v>0</v>
          </cell>
          <cell r="FE15">
            <v>0</v>
          </cell>
          <cell r="FF15">
            <v>0</v>
          </cell>
          <cell r="FG15">
            <v>0</v>
          </cell>
          <cell r="FH15">
            <v>0</v>
          </cell>
          <cell r="FI15">
            <v>0</v>
          </cell>
          <cell r="FJ15">
            <v>0</v>
          </cell>
          <cell r="FK15">
            <v>0</v>
          </cell>
          <cell r="FL15">
            <v>0</v>
          </cell>
          <cell r="FM15">
            <v>0</v>
          </cell>
          <cell r="FN15">
            <v>0</v>
          </cell>
          <cell r="FO15">
            <v>0</v>
          </cell>
          <cell r="FP15">
            <v>0</v>
          </cell>
          <cell r="FQ15">
            <v>0</v>
          </cell>
          <cell r="FR15">
            <v>0</v>
          </cell>
          <cell r="FS15">
            <v>0</v>
          </cell>
          <cell r="FT15">
            <v>0</v>
          </cell>
          <cell r="FU15">
            <v>0</v>
          </cell>
          <cell r="FV15">
            <v>0</v>
          </cell>
          <cell r="FW15">
            <v>0</v>
          </cell>
          <cell r="FX15">
            <v>0</v>
          </cell>
          <cell r="FY15">
            <v>0</v>
          </cell>
          <cell r="FZ15">
            <v>0</v>
          </cell>
        </row>
        <row r="16">
          <cell r="A16" t="str">
            <v>F_CNP_NRF_EPA_EUR_FRCE_234</v>
          </cell>
          <cell r="B16">
            <v>0.1</v>
          </cell>
          <cell r="C16">
            <v>0.08</v>
          </cell>
          <cell r="D16">
            <v>0.15</v>
          </cell>
          <cell r="E16">
            <v>0.08</v>
          </cell>
          <cell r="F16">
            <v>0.15</v>
          </cell>
          <cell r="G16">
            <v>0.22</v>
          </cell>
          <cell r="H16">
            <v>7.0000000000000007E-2</v>
          </cell>
          <cell r="I16">
            <v>0.05</v>
          </cell>
          <cell r="J16">
            <v>0.13</v>
          </cell>
          <cell r="K16">
            <v>0.18</v>
          </cell>
          <cell r="L16">
            <v>0.17</v>
          </cell>
          <cell r="M16">
            <v>0.16</v>
          </cell>
          <cell r="N16">
            <v>0.8</v>
          </cell>
          <cell r="O16">
            <v>1</v>
          </cell>
          <cell r="P16">
            <v>1</v>
          </cell>
          <cell r="Q16">
            <v>0.8</v>
          </cell>
          <cell r="R16">
            <v>0.8</v>
          </cell>
          <cell r="S16">
            <v>1</v>
          </cell>
          <cell r="T16">
            <v>1</v>
          </cell>
          <cell r="U16">
            <v>1</v>
          </cell>
          <cell r="V16">
            <v>1</v>
          </cell>
          <cell r="W16">
            <v>1</v>
          </cell>
          <cell r="X16">
            <v>1</v>
          </cell>
          <cell r="Y16">
            <v>1</v>
          </cell>
          <cell r="Z16">
            <v>0.1</v>
          </cell>
          <cell r="AA16">
            <v>0.1</v>
          </cell>
          <cell r="AB16">
            <v>0.14000000000000001</v>
          </cell>
          <cell r="AC16">
            <v>0.11</v>
          </cell>
          <cell r="AD16">
            <v>0.11</v>
          </cell>
          <cell r="AE16">
            <v>0.19</v>
          </cell>
          <cell r="AF16">
            <v>0.09</v>
          </cell>
          <cell r="AG16">
            <v>0.11</v>
          </cell>
          <cell r="AH16">
            <v>0.15</v>
          </cell>
          <cell r="AI16">
            <v>0.2</v>
          </cell>
          <cell r="AJ16">
            <v>0.2</v>
          </cell>
          <cell r="AK16">
            <v>0.2</v>
          </cell>
          <cell r="AL16">
            <v>0</v>
          </cell>
          <cell r="AM16">
            <v>0</v>
          </cell>
          <cell r="AN16">
            <v>0</v>
          </cell>
          <cell r="AO16">
            <v>0</v>
          </cell>
          <cell r="AP16">
            <v>0</v>
          </cell>
          <cell r="AQ16">
            <v>0</v>
          </cell>
          <cell r="AR16">
            <v>0</v>
          </cell>
          <cell r="AS16">
            <v>0</v>
          </cell>
          <cell r="AT16">
            <v>0</v>
          </cell>
          <cell r="AU16">
            <v>0</v>
          </cell>
          <cell r="AV16">
            <v>0</v>
          </cell>
          <cell r="AW16">
            <v>0</v>
          </cell>
          <cell r="AX16">
            <v>0</v>
          </cell>
          <cell r="AY16">
            <v>0</v>
          </cell>
          <cell r="AZ16">
            <v>0</v>
          </cell>
          <cell r="BA16">
            <v>0</v>
          </cell>
          <cell r="BB16">
            <v>0</v>
          </cell>
          <cell r="BC16">
            <v>0</v>
          </cell>
          <cell r="BD16">
            <v>0</v>
          </cell>
          <cell r="BE16">
            <v>0</v>
          </cell>
          <cell r="BF16">
            <v>0</v>
          </cell>
          <cell r="BG16">
            <v>0</v>
          </cell>
          <cell r="BH16">
            <v>0</v>
          </cell>
          <cell r="BI16">
            <v>0</v>
          </cell>
          <cell r="BJ16">
            <v>0</v>
          </cell>
          <cell r="BK16">
            <v>0</v>
          </cell>
          <cell r="BL16">
            <v>0</v>
          </cell>
          <cell r="BM16">
            <v>0</v>
          </cell>
          <cell r="BN16">
            <v>0</v>
          </cell>
          <cell r="BO16">
            <v>0</v>
          </cell>
          <cell r="BP16">
            <v>0</v>
          </cell>
          <cell r="BQ16">
            <v>0</v>
          </cell>
          <cell r="BR16">
            <v>0</v>
          </cell>
          <cell r="BS16">
            <v>0</v>
          </cell>
          <cell r="BT16">
            <v>0</v>
          </cell>
          <cell r="BU16">
            <v>0</v>
          </cell>
          <cell r="BV16">
            <v>0</v>
          </cell>
          <cell r="BW16">
            <v>0</v>
          </cell>
          <cell r="BX16">
            <v>0</v>
          </cell>
          <cell r="BY16">
            <v>0</v>
          </cell>
          <cell r="BZ16">
            <v>0</v>
          </cell>
          <cell r="CA16">
            <v>0</v>
          </cell>
          <cell r="CB16">
            <v>0</v>
          </cell>
          <cell r="CC16">
            <v>0</v>
          </cell>
          <cell r="CD16">
            <v>0</v>
          </cell>
          <cell r="CE16">
            <v>0</v>
          </cell>
          <cell r="CF16">
            <v>0</v>
          </cell>
          <cell r="CG16">
            <v>0</v>
          </cell>
          <cell r="CH16">
            <v>0</v>
          </cell>
          <cell r="CI16">
            <v>0</v>
          </cell>
          <cell r="CJ16">
            <v>0</v>
          </cell>
          <cell r="CK16">
            <v>0</v>
          </cell>
          <cell r="CL16">
            <v>0</v>
          </cell>
          <cell r="CM16">
            <v>0</v>
          </cell>
          <cell r="CN16">
            <v>0</v>
          </cell>
          <cell r="CO16">
            <v>0</v>
          </cell>
          <cell r="CP16">
            <v>0</v>
          </cell>
          <cell r="CQ16">
            <v>0</v>
          </cell>
          <cell r="CR16">
            <v>0</v>
          </cell>
          <cell r="CS16">
            <v>0</v>
          </cell>
          <cell r="CT16">
            <v>0</v>
          </cell>
          <cell r="CU16">
            <v>0</v>
          </cell>
          <cell r="CV16">
            <v>0</v>
          </cell>
          <cell r="CW16">
            <v>0</v>
          </cell>
          <cell r="CX16">
            <v>0</v>
          </cell>
          <cell r="CY16">
            <v>0</v>
          </cell>
          <cell r="CZ16">
            <v>0</v>
          </cell>
          <cell r="DA16">
            <v>0</v>
          </cell>
          <cell r="DB16">
            <v>0</v>
          </cell>
          <cell r="DC16">
            <v>0</v>
          </cell>
          <cell r="DD16">
            <v>0</v>
          </cell>
          <cell r="DE16">
            <v>0</v>
          </cell>
          <cell r="DF16">
            <v>0</v>
          </cell>
          <cell r="DG16">
            <v>0</v>
          </cell>
          <cell r="DH16">
            <v>0</v>
          </cell>
          <cell r="DI16">
            <v>0</v>
          </cell>
          <cell r="DJ16">
            <v>0</v>
          </cell>
          <cell r="DK16">
            <v>0</v>
          </cell>
          <cell r="DL16">
            <v>0</v>
          </cell>
          <cell r="DM16">
            <v>0</v>
          </cell>
          <cell r="DN16">
            <v>0</v>
          </cell>
          <cell r="DO16">
            <v>0</v>
          </cell>
          <cell r="DP16">
            <v>0</v>
          </cell>
          <cell r="DQ16">
            <v>0</v>
          </cell>
          <cell r="DR16">
            <v>0</v>
          </cell>
          <cell r="DS16">
            <v>0</v>
          </cell>
          <cell r="DT16">
            <v>0</v>
          </cell>
          <cell r="DU16">
            <v>0</v>
          </cell>
          <cell r="DV16">
            <v>0</v>
          </cell>
          <cell r="DW16">
            <v>0</v>
          </cell>
          <cell r="DX16">
            <v>0</v>
          </cell>
          <cell r="DY16">
            <v>0</v>
          </cell>
          <cell r="EA16">
            <v>0</v>
          </cell>
          <cell r="EB16">
            <v>0</v>
          </cell>
          <cell r="EC16">
            <v>0</v>
          </cell>
          <cell r="ED16">
            <v>0.05</v>
          </cell>
          <cell r="EE16">
            <v>0.09</v>
          </cell>
          <cell r="EF16">
            <v>0.08</v>
          </cell>
          <cell r="EG16">
            <v>0.17</v>
          </cell>
          <cell r="EH16">
            <v>1</v>
          </cell>
          <cell r="EI16">
            <v>1</v>
          </cell>
          <cell r="EJ16">
            <v>1</v>
          </cell>
          <cell r="EK16">
            <v>1</v>
          </cell>
          <cell r="EL16">
            <v>0.05</v>
          </cell>
          <cell r="EM16">
            <v>0.14000000000000001</v>
          </cell>
          <cell r="EN16">
            <v>0.11</v>
          </cell>
          <cell r="EO16">
            <v>0.2</v>
          </cell>
          <cell r="EP16">
            <v>0</v>
          </cell>
          <cell r="EQ16">
            <v>0</v>
          </cell>
          <cell r="ER16">
            <v>0</v>
          </cell>
          <cell r="ES16">
            <v>0</v>
          </cell>
          <cell r="ET16">
            <v>0</v>
          </cell>
          <cell r="EU16">
            <v>0</v>
          </cell>
          <cell r="EV16">
            <v>0</v>
          </cell>
          <cell r="EW16">
            <v>0</v>
          </cell>
          <cell r="EX16">
            <v>1</v>
          </cell>
          <cell r="EY16">
            <v>1</v>
          </cell>
          <cell r="EZ16">
            <v>1</v>
          </cell>
          <cell r="FA16">
            <v>0</v>
          </cell>
          <cell r="FB16">
            <v>0</v>
          </cell>
          <cell r="FC16">
            <v>0</v>
          </cell>
          <cell r="FD16">
            <v>0</v>
          </cell>
          <cell r="FE16">
            <v>0</v>
          </cell>
          <cell r="FF16">
            <v>0</v>
          </cell>
          <cell r="FG16">
            <v>0</v>
          </cell>
          <cell r="FH16">
            <v>0</v>
          </cell>
          <cell r="FI16">
            <v>0</v>
          </cell>
          <cell r="FJ16">
            <v>0</v>
          </cell>
          <cell r="FK16">
            <v>0</v>
          </cell>
          <cell r="FL16">
            <v>0</v>
          </cell>
          <cell r="FM16">
            <v>0</v>
          </cell>
          <cell r="FN16">
            <v>0</v>
          </cell>
          <cell r="FO16">
            <v>0</v>
          </cell>
          <cell r="FP16">
            <v>0</v>
          </cell>
          <cell r="FQ16">
            <v>0</v>
          </cell>
          <cell r="FR16">
            <v>0</v>
          </cell>
          <cell r="FS16">
            <v>0</v>
          </cell>
          <cell r="FT16">
            <v>0</v>
          </cell>
          <cell r="FU16">
            <v>0</v>
          </cell>
          <cell r="FV16">
            <v>0</v>
          </cell>
          <cell r="FW16">
            <v>0</v>
          </cell>
          <cell r="FX16">
            <v>0</v>
          </cell>
          <cell r="FY16">
            <v>0</v>
          </cell>
          <cell r="FZ16">
            <v>0</v>
          </cell>
        </row>
        <row r="17">
          <cell r="A17" t="str">
            <v>F_CNP_NRF_EPA_EUR_FRCE_ETR</v>
          </cell>
          <cell r="B17">
            <v>0.1</v>
          </cell>
          <cell r="C17">
            <v>0.08</v>
          </cell>
          <cell r="D17">
            <v>0.15</v>
          </cell>
          <cell r="E17">
            <v>0.08</v>
          </cell>
          <cell r="F17">
            <v>0.15</v>
          </cell>
          <cell r="G17">
            <v>0.22</v>
          </cell>
          <cell r="H17">
            <v>7.0000000000000007E-2</v>
          </cell>
          <cell r="I17">
            <v>0.05</v>
          </cell>
          <cell r="J17">
            <v>0.13</v>
          </cell>
          <cell r="K17">
            <v>0.18</v>
          </cell>
          <cell r="L17">
            <v>0.17</v>
          </cell>
          <cell r="M17">
            <v>0.16</v>
          </cell>
          <cell r="N17">
            <v>0.8</v>
          </cell>
          <cell r="O17">
            <v>1</v>
          </cell>
          <cell r="P17">
            <v>1</v>
          </cell>
          <cell r="Q17">
            <v>0.8</v>
          </cell>
          <cell r="R17">
            <v>0.8</v>
          </cell>
          <cell r="S17">
            <v>1</v>
          </cell>
          <cell r="T17">
            <v>1</v>
          </cell>
          <cell r="U17">
            <v>1</v>
          </cell>
          <cell r="V17">
            <v>1</v>
          </cell>
          <cell r="W17">
            <v>1</v>
          </cell>
          <cell r="X17">
            <v>1</v>
          </cell>
          <cell r="Y17">
            <v>1</v>
          </cell>
          <cell r="Z17">
            <v>0.1</v>
          </cell>
          <cell r="AA17">
            <v>0.1</v>
          </cell>
          <cell r="AB17">
            <v>0.14000000000000001</v>
          </cell>
          <cell r="AC17">
            <v>0.11</v>
          </cell>
          <cell r="AD17">
            <v>0.11</v>
          </cell>
          <cell r="AE17">
            <v>0.19</v>
          </cell>
          <cell r="AF17">
            <v>0.09</v>
          </cell>
          <cell r="AG17">
            <v>0.11</v>
          </cell>
          <cell r="AH17">
            <v>0.15</v>
          </cell>
          <cell r="AI17">
            <v>0.2</v>
          </cell>
          <cell r="AJ17">
            <v>0.2</v>
          </cell>
          <cell r="AK17">
            <v>0.2</v>
          </cell>
          <cell r="AL17">
            <v>0</v>
          </cell>
          <cell r="AM17">
            <v>0</v>
          </cell>
          <cell r="AN17">
            <v>0</v>
          </cell>
          <cell r="AO17">
            <v>0</v>
          </cell>
          <cell r="AP17">
            <v>0</v>
          </cell>
          <cell r="AQ17">
            <v>0</v>
          </cell>
          <cell r="AR17">
            <v>0</v>
          </cell>
          <cell r="AS17">
            <v>0</v>
          </cell>
          <cell r="AT17">
            <v>0</v>
          </cell>
          <cell r="AU17">
            <v>0</v>
          </cell>
          <cell r="AV17">
            <v>0</v>
          </cell>
          <cell r="AW17">
            <v>0</v>
          </cell>
          <cell r="AX17">
            <v>0</v>
          </cell>
          <cell r="AY17">
            <v>0</v>
          </cell>
          <cell r="AZ17">
            <v>0</v>
          </cell>
          <cell r="BA17">
            <v>0</v>
          </cell>
          <cell r="BB17">
            <v>0</v>
          </cell>
          <cell r="BC17">
            <v>0</v>
          </cell>
          <cell r="BD17">
            <v>0</v>
          </cell>
          <cell r="BE17">
            <v>0</v>
          </cell>
          <cell r="BF17">
            <v>0</v>
          </cell>
          <cell r="BG17">
            <v>0</v>
          </cell>
          <cell r="BH17">
            <v>0</v>
          </cell>
          <cell r="BI17">
            <v>0</v>
          </cell>
          <cell r="BJ17">
            <v>0</v>
          </cell>
          <cell r="BK17">
            <v>0</v>
          </cell>
          <cell r="BL17">
            <v>0</v>
          </cell>
          <cell r="BM17">
            <v>0</v>
          </cell>
          <cell r="BN17">
            <v>0</v>
          </cell>
          <cell r="BO17">
            <v>0</v>
          </cell>
          <cell r="BP17">
            <v>0</v>
          </cell>
          <cell r="BQ17">
            <v>0</v>
          </cell>
          <cell r="BR17">
            <v>0</v>
          </cell>
          <cell r="BS17">
            <v>0</v>
          </cell>
          <cell r="BT17">
            <v>0</v>
          </cell>
          <cell r="BU17">
            <v>0</v>
          </cell>
          <cell r="BV17">
            <v>0</v>
          </cell>
          <cell r="BW17">
            <v>0</v>
          </cell>
          <cell r="BX17">
            <v>0</v>
          </cell>
          <cell r="BY17">
            <v>0</v>
          </cell>
          <cell r="BZ17">
            <v>0</v>
          </cell>
          <cell r="CA17">
            <v>0</v>
          </cell>
          <cell r="CB17">
            <v>0</v>
          </cell>
          <cell r="CC17">
            <v>0</v>
          </cell>
          <cell r="CD17">
            <v>0</v>
          </cell>
          <cell r="CE17">
            <v>0</v>
          </cell>
          <cell r="CF17">
            <v>0</v>
          </cell>
          <cell r="CG17">
            <v>0</v>
          </cell>
          <cell r="CH17">
            <v>0</v>
          </cell>
          <cell r="CI17">
            <v>0</v>
          </cell>
          <cell r="CJ17">
            <v>0</v>
          </cell>
          <cell r="CK17">
            <v>0</v>
          </cell>
          <cell r="CL17">
            <v>0</v>
          </cell>
          <cell r="CM17">
            <v>0</v>
          </cell>
          <cell r="CN17">
            <v>0</v>
          </cell>
          <cell r="CO17">
            <v>0</v>
          </cell>
          <cell r="CP17">
            <v>0</v>
          </cell>
          <cell r="CQ17">
            <v>0</v>
          </cell>
          <cell r="CR17">
            <v>0</v>
          </cell>
          <cell r="CS17">
            <v>0</v>
          </cell>
          <cell r="CT17">
            <v>0</v>
          </cell>
          <cell r="CU17">
            <v>0</v>
          </cell>
          <cell r="CV17">
            <v>0</v>
          </cell>
          <cell r="CW17">
            <v>0</v>
          </cell>
          <cell r="CX17">
            <v>0</v>
          </cell>
          <cell r="CY17">
            <v>0</v>
          </cell>
          <cell r="CZ17">
            <v>0</v>
          </cell>
          <cell r="DA17">
            <v>0</v>
          </cell>
          <cell r="DB17">
            <v>0</v>
          </cell>
          <cell r="DC17">
            <v>0</v>
          </cell>
          <cell r="DD17">
            <v>0</v>
          </cell>
          <cell r="DE17">
            <v>0</v>
          </cell>
          <cell r="DF17">
            <v>0</v>
          </cell>
          <cell r="DG17">
            <v>0</v>
          </cell>
          <cell r="DH17">
            <v>0</v>
          </cell>
          <cell r="DI17">
            <v>0</v>
          </cell>
          <cell r="DJ17">
            <v>0</v>
          </cell>
          <cell r="DK17">
            <v>0</v>
          </cell>
          <cell r="DL17">
            <v>0</v>
          </cell>
          <cell r="DM17">
            <v>0</v>
          </cell>
          <cell r="DN17">
            <v>0</v>
          </cell>
          <cell r="DO17">
            <v>0</v>
          </cell>
          <cell r="DP17">
            <v>0</v>
          </cell>
          <cell r="DQ17">
            <v>0</v>
          </cell>
          <cell r="DR17">
            <v>0</v>
          </cell>
          <cell r="DS17">
            <v>0</v>
          </cell>
          <cell r="DT17">
            <v>0</v>
          </cell>
          <cell r="DU17">
            <v>0</v>
          </cell>
          <cell r="DV17">
            <v>0</v>
          </cell>
          <cell r="DW17">
            <v>0</v>
          </cell>
          <cell r="DX17">
            <v>0</v>
          </cell>
          <cell r="DY17">
            <v>0</v>
          </cell>
          <cell r="EA17">
            <v>0</v>
          </cell>
          <cell r="EB17">
            <v>0</v>
          </cell>
          <cell r="EC17">
            <v>0</v>
          </cell>
          <cell r="ED17">
            <v>0.05</v>
          </cell>
          <cell r="EE17">
            <v>0.09</v>
          </cell>
          <cell r="EF17">
            <v>0.08</v>
          </cell>
          <cell r="EG17">
            <v>0.17</v>
          </cell>
          <cell r="EH17">
            <v>1</v>
          </cell>
          <cell r="EI17">
            <v>1</v>
          </cell>
          <cell r="EJ17">
            <v>1</v>
          </cell>
          <cell r="EK17">
            <v>1</v>
          </cell>
          <cell r="EL17">
            <v>0.05</v>
          </cell>
          <cell r="EM17">
            <v>0.14000000000000001</v>
          </cell>
          <cell r="EN17">
            <v>0.11</v>
          </cell>
          <cell r="EO17">
            <v>0.2</v>
          </cell>
          <cell r="EP17">
            <v>0</v>
          </cell>
          <cell r="EQ17">
            <v>0</v>
          </cell>
          <cell r="ER17">
            <v>0</v>
          </cell>
          <cell r="ES17">
            <v>0</v>
          </cell>
          <cell r="ET17">
            <v>0</v>
          </cell>
          <cell r="EU17">
            <v>0</v>
          </cell>
          <cell r="EV17">
            <v>0</v>
          </cell>
          <cell r="EW17">
            <v>0</v>
          </cell>
          <cell r="EX17">
            <v>1</v>
          </cell>
          <cell r="EY17">
            <v>1</v>
          </cell>
          <cell r="EZ17">
            <v>1</v>
          </cell>
          <cell r="FA17">
            <v>0</v>
          </cell>
          <cell r="FB17">
            <v>0</v>
          </cell>
          <cell r="FC17">
            <v>0</v>
          </cell>
          <cell r="FD17">
            <v>0</v>
          </cell>
          <cell r="FE17">
            <v>0</v>
          </cell>
          <cell r="FF17">
            <v>0</v>
          </cell>
          <cell r="FG17">
            <v>0</v>
          </cell>
          <cell r="FH17">
            <v>0</v>
          </cell>
          <cell r="FI17">
            <v>0</v>
          </cell>
          <cell r="FJ17">
            <v>0</v>
          </cell>
          <cell r="FK17">
            <v>0</v>
          </cell>
          <cell r="FL17">
            <v>0</v>
          </cell>
          <cell r="FM17">
            <v>0</v>
          </cell>
          <cell r="FN17">
            <v>0</v>
          </cell>
          <cell r="FO17">
            <v>0</v>
          </cell>
          <cell r="FP17">
            <v>0</v>
          </cell>
          <cell r="FQ17">
            <v>0</v>
          </cell>
          <cell r="FR17">
            <v>0</v>
          </cell>
          <cell r="FS17">
            <v>0</v>
          </cell>
          <cell r="FT17">
            <v>0</v>
          </cell>
          <cell r="FU17">
            <v>0</v>
          </cell>
          <cell r="FV17">
            <v>0</v>
          </cell>
          <cell r="FW17">
            <v>0</v>
          </cell>
          <cell r="FX17">
            <v>0</v>
          </cell>
          <cell r="FY17">
            <v>0</v>
          </cell>
          <cell r="FZ17">
            <v>0</v>
          </cell>
        </row>
        <row r="18">
          <cell r="A18" t="str">
            <v>F_CNP_NRF_EPA_UCS_FRCE_EVT</v>
          </cell>
          <cell r="B18">
            <v>0.1</v>
          </cell>
          <cell r="C18">
            <v>0.08</v>
          </cell>
          <cell r="D18">
            <v>0.15</v>
          </cell>
          <cell r="E18">
            <v>0.08</v>
          </cell>
          <cell r="F18">
            <v>0.15</v>
          </cell>
          <cell r="G18">
            <v>0.22</v>
          </cell>
          <cell r="H18">
            <v>7.0000000000000007E-2</v>
          </cell>
          <cell r="I18">
            <v>0.05</v>
          </cell>
          <cell r="J18">
            <v>0.13</v>
          </cell>
          <cell r="K18">
            <v>0.18</v>
          </cell>
          <cell r="L18">
            <v>0.17</v>
          </cell>
          <cell r="M18">
            <v>0.16</v>
          </cell>
          <cell r="N18">
            <v>0.8</v>
          </cell>
          <cell r="O18">
            <v>1</v>
          </cell>
          <cell r="P18">
            <v>1</v>
          </cell>
          <cell r="Q18">
            <v>0.8</v>
          </cell>
          <cell r="R18">
            <v>0.8</v>
          </cell>
          <cell r="S18">
            <v>1</v>
          </cell>
          <cell r="T18">
            <v>1</v>
          </cell>
          <cell r="U18">
            <v>1</v>
          </cell>
          <cell r="V18">
            <v>1</v>
          </cell>
          <cell r="W18">
            <v>1</v>
          </cell>
          <cell r="X18">
            <v>1</v>
          </cell>
          <cell r="Y18">
            <v>1</v>
          </cell>
          <cell r="Z18">
            <v>0.1</v>
          </cell>
          <cell r="AA18">
            <v>0.1</v>
          </cell>
          <cell r="AB18">
            <v>0.14000000000000001</v>
          </cell>
          <cell r="AC18">
            <v>0.11</v>
          </cell>
          <cell r="AD18">
            <v>0.11</v>
          </cell>
          <cell r="AE18">
            <v>0.19</v>
          </cell>
          <cell r="AF18">
            <v>0.09</v>
          </cell>
          <cell r="AG18">
            <v>0.11</v>
          </cell>
          <cell r="AH18">
            <v>0.15</v>
          </cell>
          <cell r="AI18">
            <v>0.2</v>
          </cell>
          <cell r="AJ18">
            <v>0.2</v>
          </cell>
          <cell r="AK18">
            <v>0.2</v>
          </cell>
          <cell r="AL18">
            <v>0</v>
          </cell>
          <cell r="AM18">
            <v>0</v>
          </cell>
          <cell r="AN18">
            <v>0</v>
          </cell>
          <cell r="AO18">
            <v>0</v>
          </cell>
          <cell r="AP18">
            <v>0</v>
          </cell>
          <cell r="AQ18">
            <v>0</v>
          </cell>
          <cell r="AR18">
            <v>0</v>
          </cell>
          <cell r="AS18">
            <v>0</v>
          </cell>
          <cell r="AT18">
            <v>0</v>
          </cell>
          <cell r="AU18">
            <v>0</v>
          </cell>
          <cell r="AV18">
            <v>0</v>
          </cell>
          <cell r="AW18">
            <v>0</v>
          </cell>
          <cell r="AX18">
            <v>0</v>
          </cell>
          <cell r="AY18">
            <v>0</v>
          </cell>
          <cell r="AZ18">
            <v>0</v>
          </cell>
          <cell r="BA18">
            <v>0</v>
          </cell>
          <cell r="BB18">
            <v>0</v>
          </cell>
          <cell r="BC18">
            <v>0</v>
          </cell>
          <cell r="BD18">
            <v>0</v>
          </cell>
          <cell r="BE18">
            <v>0</v>
          </cell>
          <cell r="BF18">
            <v>0</v>
          </cell>
          <cell r="BG18">
            <v>0</v>
          </cell>
          <cell r="BH18">
            <v>0</v>
          </cell>
          <cell r="BI18">
            <v>0</v>
          </cell>
          <cell r="BJ18">
            <v>0</v>
          </cell>
          <cell r="BK18">
            <v>0</v>
          </cell>
          <cell r="BL18">
            <v>0</v>
          </cell>
          <cell r="BM18">
            <v>0</v>
          </cell>
          <cell r="BN18">
            <v>0</v>
          </cell>
          <cell r="BO18">
            <v>0</v>
          </cell>
          <cell r="BP18">
            <v>0</v>
          </cell>
          <cell r="BQ18">
            <v>0</v>
          </cell>
          <cell r="BR18">
            <v>0</v>
          </cell>
          <cell r="BS18">
            <v>0</v>
          </cell>
          <cell r="BT18">
            <v>0</v>
          </cell>
          <cell r="BU18">
            <v>0</v>
          </cell>
          <cell r="BV18">
            <v>0</v>
          </cell>
          <cell r="BW18">
            <v>0</v>
          </cell>
          <cell r="BX18">
            <v>0</v>
          </cell>
          <cell r="BY18">
            <v>0</v>
          </cell>
          <cell r="BZ18">
            <v>0</v>
          </cell>
          <cell r="CA18">
            <v>0</v>
          </cell>
          <cell r="CB18">
            <v>0</v>
          </cell>
          <cell r="CC18">
            <v>0</v>
          </cell>
          <cell r="CD18">
            <v>0</v>
          </cell>
          <cell r="CE18">
            <v>0</v>
          </cell>
          <cell r="CF18">
            <v>0</v>
          </cell>
          <cell r="CG18">
            <v>0</v>
          </cell>
          <cell r="CH18">
            <v>0</v>
          </cell>
          <cell r="CI18">
            <v>0</v>
          </cell>
          <cell r="CJ18">
            <v>0</v>
          </cell>
          <cell r="CK18">
            <v>0</v>
          </cell>
          <cell r="CL18">
            <v>0</v>
          </cell>
          <cell r="CM18">
            <v>0</v>
          </cell>
          <cell r="CN18">
            <v>0</v>
          </cell>
          <cell r="CO18">
            <v>0</v>
          </cell>
          <cell r="CP18">
            <v>0</v>
          </cell>
          <cell r="CQ18">
            <v>0</v>
          </cell>
          <cell r="CR18">
            <v>0</v>
          </cell>
          <cell r="CS18">
            <v>0</v>
          </cell>
          <cell r="CT18">
            <v>0</v>
          </cell>
          <cell r="CU18">
            <v>0</v>
          </cell>
          <cell r="CV18">
            <v>0</v>
          </cell>
          <cell r="CW18">
            <v>0</v>
          </cell>
          <cell r="CX18">
            <v>0</v>
          </cell>
          <cell r="CY18">
            <v>0</v>
          </cell>
          <cell r="CZ18">
            <v>0</v>
          </cell>
          <cell r="DA18">
            <v>0</v>
          </cell>
          <cell r="DB18">
            <v>0</v>
          </cell>
          <cell r="DC18">
            <v>0</v>
          </cell>
          <cell r="DD18">
            <v>0</v>
          </cell>
          <cell r="DE18">
            <v>0</v>
          </cell>
          <cell r="DF18">
            <v>0</v>
          </cell>
          <cell r="DG18">
            <v>0</v>
          </cell>
          <cell r="DH18">
            <v>0</v>
          </cell>
          <cell r="DI18">
            <v>0</v>
          </cell>
          <cell r="DJ18">
            <v>0</v>
          </cell>
          <cell r="DK18">
            <v>0</v>
          </cell>
          <cell r="DL18">
            <v>0</v>
          </cell>
          <cell r="DM18">
            <v>0</v>
          </cell>
          <cell r="DN18">
            <v>0</v>
          </cell>
          <cell r="DO18">
            <v>0</v>
          </cell>
          <cell r="DP18">
            <v>0</v>
          </cell>
          <cell r="DQ18">
            <v>0</v>
          </cell>
          <cell r="DR18">
            <v>0</v>
          </cell>
          <cell r="DS18">
            <v>0</v>
          </cell>
          <cell r="DT18">
            <v>0</v>
          </cell>
          <cell r="DU18">
            <v>0</v>
          </cell>
          <cell r="DV18">
            <v>0</v>
          </cell>
          <cell r="DW18">
            <v>0</v>
          </cell>
          <cell r="DX18">
            <v>0</v>
          </cell>
          <cell r="DY18">
            <v>0</v>
          </cell>
          <cell r="EA18">
            <v>0</v>
          </cell>
          <cell r="EB18">
            <v>0</v>
          </cell>
          <cell r="EC18">
            <v>0</v>
          </cell>
          <cell r="ED18">
            <v>0.05</v>
          </cell>
          <cell r="EE18">
            <v>0.09</v>
          </cell>
          <cell r="EF18">
            <v>0.08</v>
          </cell>
          <cell r="EG18">
            <v>0.17</v>
          </cell>
          <cell r="EH18">
            <v>1</v>
          </cell>
          <cell r="EI18">
            <v>1</v>
          </cell>
          <cell r="EJ18">
            <v>1</v>
          </cell>
          <cell r="EK18">
            <v>1</v>
          </cell>
          <cell r="EL18">
            <v>0.05</v>
          </cell>
          <cell r="EM18">
            <v>0.14000000000000001</v>
          </cell>
          <cell r="EN18">
            <v>0.11</v>
          </cell>
          <cell r="EO18">
            <v>0.2</v>
          </cell>
          <cell r="EP18">
            <v>0</v>
          </cell>
          <cell r="EQ18">
            <v>0</v>
          </cell>
          <cell r="ER18">
            <v>0</v>
          </cell>
          <cell r="ES18">
            <v>0</v>
          </cell>
          <cell r="ET18">
            <v>0</v>
          </cell>
          <cell r="EU18">
            <v>0</v>
          </cell>
          <cell r="EV18">
            <v>0</v>
          </cell>
          <cell r="EW18">
            <v>0</v>
          </cell>
          <cell r="EX18">
            <v>1</v>
          </cell>
          <cell r="EY18">
            <v>1</v>
          </cell>
          <cell r="EZ18">
            <v>1</v>
          </cell>
          <cell r="FA18">
            <v>0</v>
          </cell>
          <cell r="FB18">
            <v>0</v>
          </cell>
          <cell r="FC18">
            <v>0</v>
          </cell>
          <cell r="FD18">
            <v>0</v>
          </cell>
          <cell r="FE18">
            <v>0</v>
          </cell>
          <cell r="FF18">
            <v>0</v>
          </cell>
          <cell r="FG18">
            <v>0</v>
          </cell>
          <cell r="FH18">
            <v>0</v>
          </cell>
          <cell r="FI18">
            <v>0</v>
          </cell>
          <cell r="FJ18">
            <v>0</v>
          </cell>
          <cell r="FK18">
            <v>0</v>
          </cell>
          <cell r="FL18">
            <v>0</v>
          </cell>
          <cell r="FM18">
            <v>0</v>
          </cell>
          <cell r="FN18">
            <v>0</v>
          </cell>
          <cell r="FO18">
            <v>0</v>
          </cell>
          <cell r="FP18">
            <v>0</v>
          </cell>
          <cell r="FQ18">
            <v>0</v>
          </cell>
          <cell r="FR18">
            <v>0</v>
          </cell>
          <cell r="FS18">
            <v>0</v>
          </cell>
          <cell r="FT18">
            <v>0</v>
          </cell>
          <cell r="FU18">
            <v>0</v>
          </cell>
          <cell r="FV18">
            <v>0</v>
          </cell>
          <cell r="FW18">
            <v>0</v>
          </cell>
          <cell r="FX18">
            <v>0</v>
          </cell>
          <cell r="FY18">
            <v>0</v>
          </cell>
          <cell r="FZ18">
            <v>0</v>
          </cell>
        </row>
        <row r="19">
          <cell r="A19" t="str">
            <v>F_CNP_NRF_EPA_UCS_FRCE_EVH</v>
          </cell>
          <cell r="B19">
            <v>0.1</v>
          </cell>
          <cell r="C19">
            <v>0.08</v>
          </cell>
          <cell r="D19">
            <v>0.15</v>
          </cell>
          <cell r="E19">
            <v>0.08</v>
          </cell>
          <cell r="F19">
            <v>0.15</v>
          </cell>
          <cell r="G19">
            <v>0.22</v>
          </cell>
          <cell r="H19">
            <v>7.0000000000000007E-2</v>
          </cell>
          <cell r="I19">
            <v>0.05</v>
          </cell>
          <cell r="J19">
            <v>0.13</v>
          </cell>
          <cell r="K19">
            <v>0.18</v>
          </cell>
          <cell r="L19">
            <v>0.17</v>
          </cell>
          <cell r="M19">
            <v>0.16</v>
          </cell>
          <cell r="N19">
            <v>0.8</v>
          </cell>
          <cell r="O19">
            <v>1</v>
          </cell>
          <cell r="P19">
            <v>1</v>
          </cell>
          <cell r="Q19">
            <v>0.8</v>
          </cell>
          <cell r="R19">
            <v>0.8</v>
          </cell>
          <cell r="S19">
            <v>1</v>
          </cell>
          <cell r="T19">
            <v>1</v>
          </cell>
          <cell r="U19">
            <v>1</v>
          </cell>
          <cell r="V19">
            <v>1</v>
          </cell>
          <cell r="W19">
            <v>1</v>
          </cell>
          <cell r="X19">
            <v>1</v>
          </cell>
          <cell r="Y19">
            <v>1</v>
          </cell>
          <cell r="Z19">
            <v>0.1</v>
          </cell>
          <cell r="AA19">
            <v>0.1</v>
          </cell>
          <cell r="AB19">
            <v>0.14000000000000001</v>
          </cell>
          <cell r="AC19">
            <v>0.11</v>
          </cell>
          <cell r="AD19">
            <v>0.11</v>
          </cell>
          <cell r="AE19">
            <v>0.19</v>
          </cell>
          <cell r="AF19">
            <v>0.09</v>
          </cell>
          <cell r="AG19">
            <v>0.11</v>
          </cell>
          <cell r="AH19">
            <v>0.15</v>
          </cell>
          <cell r="AI19">
            <v>0.2</v>
          </cell>
          <cell r="AJ19">
            <v>0.2</v>
          </cell>
          <cell r="AK19">
            <v>0.2</v>
          </cell>
          <cell r="AL19">
            <v>0</v>
          </cell>
          <cell r="AM19">
            <v>0</v>
          </cell>
          <cell r="AN19">
            <v>0</v>
          </cell>
          <cell r="AO19">
            <v>0</v>
          </cell>
          <cell r="AP19">
            <v>0</v>
          </cell>
          <cell r="AQ19">
            <v>0</v>
          </cell>
          <cell r="AR19">
            <v>0</v>
          </cell>
          <cell r="AS19">
            <v>0</v>
          </cell>
          <cell r="AT19">
            <v>0</v>
          </cell>
          <cell r="AU19">
            <v>0</v>
          </cell>
          <cell r="AV19">
            <v>0</v>
          </cell>
          <cell r="AW19">
            <v>0</v>
          </cell>
          <cell r="AX19">
            <v>0</v>
          </cell>
          <cell r="AY19">
            <v>0</v>
          </cell>
          <cell r="AZ19">
            <v>0</v>
          </cell>
          <cell r="BA19">
            <v>0</v>
          </cell>
          <cell r="BB19">
            <v>0</v>
          </cell>
          <cell r="BC19">
            <v>0</v>
          </cell>
          <cell r="BD19">
            <v>0</v>
          </cell>
          <cell r="BE19">
            <v>0</v>
          </cell>
          <cell r="BF19">
            <v>0</v>
          </cell>
          <cell r="BG19">
            <v>0</v>
          </cell>
          <cell r="BH19">
            <v>0</v>
          </cell>
          <cell r="BI19">
            <v>0</v>
          </cell>
          <cell r="BJ19">
            <v>0</v>
          </cell>
          <cell r="BK19">
            <v>0</v>
          </cell>
          <cell r="BL19">
            <v>0</v>
          </cell>
          <cell r="BM19">
            <v>0</v>
          </cell>
          <cell r="BN19">
            <v>0</v>
          </cell>
          <cell r="BO19">
            <v>0</v>
          </cell>
          <cell r="BP19">
            <v>0</v>
          </cell>
          <cell r="BQ19">
            <v>0</v>
          </cell>
          <cell r="BR19">
            <v>0</v>
          </cell>
          <cell r="BS19">
            <v>0</v>
          </cell>
          <cell r="BT19">
            <v>0</v>
          </cell>
          <cell r="BU19">
            <v>0</v>
          </cell>
          <cell r="BV19">
            <v>0</v>
          </cell>
          <cell r="BW19">
            <v>0</v>
          </cell>
          <cell r="BX19">
            <v>0</v>
          </cell>
          <cell r="BY19">
            <v>0</v>
          </cell>
          <cell r="BZ19">
            <v>0</v>
          </cell>
          <cell r="CA19">
            <v>0</v>
          </cell>
          <cell r="CB19">
            <v>0</v>
          </cell>
          <cell r="CC19">
            <v>0</v>
          </cell>
          <cell r="CD19">
            <v>0</v>
          </cell>
          <cell r="CE19">
            <v>0</v>
          </cell>
          <cell r="CF19">
            <v>0</v>
          </cell>
          <cell r="CG19">
            <v>0</v>
          </cell>
          <cell r="CH19">
            <v>0</v>
          </cell>
          <cell r="CI19">
            <v>0</v>
          </cell>
          <cell r="CJ19">
            <v>0</v>
          </cell>
          <cell r="CK19">
            <v>0</v>
          </cell>
          <cell r="CL19">
            <v>0</v>
          </cell>
          <cell r="CM19">
            <v>0</v>
          </cell>
          <cell r="CN19">
            <v>0</v>
          </cell>
          <cell r="CO19">
            <v>0</v>
          </cell>
          <cell r="CP19">
            <v>0</v>
          </cell>
          <cell r="CQ19">
            <v>0</v>
          </cell>
          <cell r="CR19">
            <v>0</v>
          </cell>
          <cell r="CS19">
            <v>0</v>
          </cell>
          <cell r="CT19">
            <v>0</v>
          </cell>
          <cell r="CU19">
            <v>0</v>
          </cell>
          <cell r="CV19">
            <v>0</v>
          </cell>
          <cell r="CW19">
            <v>0</v>
          </cell>
          <cell r="CX19">
            <v>0</v>
          </cell>
          <cell r="CY19">
            <v>0</v>
          </cell>
          <cell r="CZ19">
            <v>0</v>
          </cell>
          <cell r="DA19">
            <v>0</v>
          </cell>
          <cell r="DB19">
            <v>0</v>
          </cell>
          <cell r="DC19">
            <v>0</v>
          </cell>
          <cell r="DD19">
            <v>0</v>
          </cell>
          <cell r="DE19">
            <v>0</v>
          </cell>
          <cell r="DF19">
            <v>0</v>
          </cell>
          <cell r="DG19">
            <v>0</v>
          </cell>
          <cell r="DH19">
            <v>0</v>
          </cell>
          <cell r="DI19">
            <v>0</v>
          </cell>
          <cell r="DJ19">
            <v>0</v>
          </cell>
          <cell r="DK19">
            <v>0</v>
          </cell>
          <cell r="DL19">
            <v>0</v>
          </cell>
          <cell r="DM19">
            <v>0</v>
          </cell>
          <cell r="DN19">
            <v>0</v>
          </cell>
          <cell r="DO19">
            <v>0</v>
          </cell>
          <cell r="DP19">
            <v>0</v>
          </cell>
          <cell r="DQ19">
            <v>0</v>
          </cell>
          <cell r="DR19">
            <v>0</v>
          </cell>
          <cell r="DS19">
            <v>0</v>
          </cell>
          <cell r="DT19">
            <v>0</v>
          </cell>
          <cell r="DU19">
            <v>0</v>
          </cell>
          <cell r="DV19">
            <v>0</v>
          </cell>
          <cell r="DW19">
            <v>0</v>
          </cell>
          <cell r="DX19">
            <v>0</v>
          </cell>
          <cell r="DY19">
            <v>0</v>
          </cell>
          <cell r="EA19">
            <v>0</v>
          </cell>
          <cell r="EB19">
            <v>0</v>
          </cell>
          <cell r="EC19">
            <v>0</v>
          </cell>
          <cell r="ED19">
            <v>0.05</v>
          </cell>
          <cell r="EE19">
            <v>0.09</v>
          </cell>
          <cell r="EF19">
            <v>0.08</v>
          </cell>
          <cell r="EG19">
            <v>0.17</v>
          </cell>
          <cell r="EH19">
            <v>1</v>
          </cell>
          <cell r="EI19">
            <v>1</v>
          </cell>
          <cell r="EJ19">
            <v>1</v>
          </cell>
          <cell r="EK19">
            <v>1</v>
          </cell>
          <cell r="EL19">
            <v>0.05</v>
          </cell>
          <cell r="EM19">
            <v>0.14000000000000001</v>
          </cell>
          <cell r="EN19">
            <v>0.11</v>
          </cell>
          <cell r="EO19">
            <v>0.2</v>
          </cell>
          <cell r="EP19">
            <v>0</v>
          </cell>
          <cell r="EQ19">
            <v>0</v>
          </cell>
          <cell r="ER19">
            <v>0</v>
          </cell>
          <cell r="ES19">
            <v>0</v>
          </cell>
          <cell r="ET19">
            <v>0</v>
          </cell>
          <cell r="EU19">
            <v>0</v>
          </cell>
          <cell r="EV19">
            <v>0</v>
          </cell>
          <cell r="EW19">
            <v>0</v>
          </cell>
          <cell r="EX19">
            <v>1</v>
          </cell>
          <cell r="EY19">
            <v>1</v>
          </cell>
          <cell r="EZ19">
            <v>1</v>
          </cell>
          <cell r="FA19">
            <v>0</v>
          </cell>
          <cell r="FB19">
            <v>0</v>
          </cell>
          <cell r="FC19">
            <v>0</v>
          </cell>
          <cell r="FD19">
            <v>0</v>
          </cell>
          <cell r="FE19">
            <v>0</v>
          </cell>
          <cell r="FF19">
            <v>0</v>
          </cell>
          <cell r="FG19">
            <v>0</v>
          </cell>
          <cell r="FH19">
            <v>0</v>
          </cell>
          <cell r="FI19">
            <v>0</v>
          </cell>
          <cell r="FJ19">
            <v>0</v>
          </cell>
          <cell r="FK19">
            <v>0</v>
          </cell>
          <cell r="FL19">
            <v>0</v>
          </cell>
          <cell r="FM19">
            <v>0</v>
          </cell>
          <cell r="FN19">
            <v>0</v>
          </cell>
          <cell r="FO19">
            <v>0</v>
          </cell>
          <cell r="FP19">
            <v>0</v>
          </cell>
          <cell r="FQ19">
            <v>0</v>
          </cell>
          <cell r="FR19">
            <v>0</v>
          </cell>
          <cell r="FS19">
            <v>0</v>
          </cell>
          <cell r="FT19">
            <v>0</v>
          </cell>
          <cell r="FU19">
            <v>0</v>
          </cell>
          <cell r="FV19">
            <v>0</v>
          </cell>
          <cell r="FW19">
            <v>0</v>
          </cell>
          <cell r="FX19">
            <v>0</v>
          </cell>
          <cell r="FY19">
            <v>0</v>
          </cell>
          <cell r="FZ19">
            <v>0</v>
          </cell>
        </row>
        <row r="20">
          <cell r="A20" t="str">
            <v>F_CNP_NRF_EPA_UCS_FRCE_EVW</v>
          </cell>
          <cell r="B20">
            <v>0.1</v>
          </cell>
          <cell r="C20">
            <v>0.08</v>
          </cell>
          <cell r="D20">
            <v>0.15</v>
          </cell>
          <cell r="E20">
            <v>0.08</v>
          </cell>
          <cell r="F20">
            <v>0.15</v>
          </cell>
          <cell r="G20">
            <v>0.22</v>
          </cell>
          <cell r="H20">
            <v>7.0000000000000007E-2</v>
          </cell>
          <cell r="I20">
            <v>0.05</v>
          </cell>
          <cell r="J20">
            <v>0.13</v>
          </cell>
          <cell r="K20">
            <v>0.18</v>
          </cell>
          <cell r="L20">
            <v>0.17</v>
          </cell>
          <cell r="M20">
            <v>0.16</v>
          </cell>
          <cell r="N20">
            <v>0.8</v>
          </cell>
          <cell r="O20">
            <v>1</v>
          </cell>
          <cell r="P20">
            <v>1</v>
          </cell>
          <cell r="Q20">
            <v>0.8</v>
          </cell>
          <cell r="R20">
            <v>0.8</v>
          </cell>
          <cell r="S20">
            <v>1</v>
          </cell>
          <cell r="T20">
            <v>1</v>
          </cell>
          <cell r="U20">
            <v>1</v>
          </cell>
          <cell r="V20">
            <v>1</v>
          </cell>
          <cell r="W20">
            <v>1</v>
          </cell>
          <cell r="X20">
            <v>1</v>
          </cell>
          <cell r="Y20">
            <v>1</v>
          </cell>
          <cell r="Z20">
            <v>0.1</v>
          </cell>
          <cell r="AA20">
            <v>0.1</v>
          </cell>
          <cell r="AB20">
            <v>0.14000000000000001</v>
          </cell>
          <cell r="AC20">
            <v>0.11</v>
          </cell>
          <cell r="AD20">
            <v>0.11</v>
          </cell>
          <cell r="AE20">
            <v>0.19</v>
          </cell>
          <cell r="AF20">
            <v>0.09</v>
          </cell>
          <cell r="AG20">
            <v>0.11</v>
          </cell>
          <cell r="AH20">
            <v>0.15</v>
          </cell>
          <cell r="AI20">
            <v>0.2</v>
          </cell>
          <cell r="AJ20">
            <v>0.2</v>
          </cell>
          <cell r="AK20">
            <v>0.2</v>
          </cell>
          <cell r="AL20">
            <v>0</v>
          </cell>
          <cell r="AM20">
            <v>0</v>
          </cell>
          <cell r="AN20">
            <v>0</v>
          </cell>
          <cell r="AO20">
            <v>0</v>
          </cell>
          <cell r="AP20">
            <v>0</v>
          </cell>
          <cell r="AQ20">
            <v>0</v>
          </cell>
          <cell r="AR20">
            <v>0</v>
          </cell>
          <cell r="AS20">
            <v>0</v>
          </cell>
          <cell r="AT20">
            <v>0</v>
          </cell>
          <cell r="AU20">
            <v>0</v>
          </cell>
          <cell r="AV20">
            <v>0</v>
          </cell>
          <cell r="AW20">
            <v>0</v>
          </cell>
          <cell r="AX20">
            <v>0</v>
          </cell>
          <cell r="AY20">
            <v>0</v>
          </cell>
          <cell r="AZ20">
            <v>0</v>
          </cell>
          <cell r="BA20">
            <v>0</v>
          </cell>
          <cell r="BB20">
            <v>0</v>
          </cell>
          <cell r="BC20">
            <v>0</v>
          </cell>
          <cell r="BD20">
            <v>0</v>
          </cell>
          <cell r="BE20">
            <v>0</v>
          </cell>
          <cell r="BF20">
            <v>0</v>
          </cell>
          <cell r="BG20">
            <v>0</v>
          </cell>
          <cell r="BH20">
            <v>0</v>
          </cell>
          <cell r="BI20">
            <v>0</v>
          </cell>
          <cell r="BJ20">
            <v>0</v>
          </cell>
          <cell r="BK20">
            <v>0</v>
          </cell>
          <cell r="BL20">
            <v>0</v>
          </cell>
          <cell r="BM20">
            <v>0</v>
          </cell>
          <cell r="BN20">
            <v>0</v>
          </cell>
          <cell r="BO20">
            <v>0</v>
          </cell>
          <cell r="BP20">
            <v>0</v>
          </cell>
          <cell r="BQ20">
            <v>0</v>
          </cell>
          <cell r="BR20">
            <v>0</v>
          </cell>
          <cell r="BS20">
            <v>0</v>
          </cell>
          <cell r="BT20">
            <v>0</v>
          </cell>
          <cell r="BU20">
            <v>0</v>
          </cell>
          <cell r="BV20">
            <v>0</v>
          </cell>
          <cell r="BW20">
            <v>0</v>
          </cell>
          <cell r="BX20">
            <v>0</v>
          </cell>
          <cell r="BY20">
            <v>0</v>
          </cell>
          <cell r="BZ20">
            <v>0</v>
          </cell>
          <cell r="CA20">
            <v>0</v>
          </cell>
          <cell r="CB20">
            <v>0</v>
          </cell>
          <cell r="CC20">
            <v>0</v>
          </cell>
          <cell r="CD20">
            <v>0</v>
          </cell>
          <cell r="CE20">
            <v>0</v>
          </cell>
          <cell r="CF20">
            <v>0</v>
          </cell>
          <cell r="CG20">
            <v>0</v>
          </cell>
          <cell r="CH20">
            <v>0</v>
          </cell>
          <cell r="CI20">
            <v>0</v>
          </cell>
          <cell r="CJ20">
            <v>0</v>
          </cell>
          <cell r="CK20">
            <v>0</v>
          </cell>
          <cell r="CL20">
            <v>0</v>
          </cell>
          <cell r="CM20">
            <v>0</v>
          </cell>
          <cell r="CN20">
            <v>0</v>
          </cell>
          <cell r="CO20">
            <v>0</v>
          </cell>
          <cell r="CP20">
            <v>0</v>
          </cell>
          <cell r="CQ20">
            <v>0</v>
          </cell>
          <cell r="CR20">
            <v>0</v>
          </cell>
          <cell r="CS20">
            <v>0</v>
          </cell>
          <cell r="CT20">
            <v>0</v>
          </cell>
          <cell r="CU20">
            <v>0</v>
          </cell>
          <cell r="CV20">
            <v>0</v>
          </cell>
          <cell r="CW20">
            <v>0</v>
          </cell>
          <cell r="CX20">
            <v>0</v>
          </cell>
          <cell r="CY20">
            <v>0</v>
          </cell>
          <cell r="CZ20">
            <v>0</v>
          </cell>
          <cell r="DA20">
            <v>0</v>
          </cell>
          <cell r="DB20">
            <v>0</v>
          </cell>
          <cell r="DC20">
            <v>0</v>
          </cell>
          <cell r="DD20">
            <v>0</v>
          </cell>
          <cell r="DE20">
            <v>0</v>
          </cell>
          <cell r="DF20">
            <v>0</v>
          </cell>
          <cell r="DG20">
            <v>0</v>
          </cell>
          <cell r="DH20">
            <v>0</v>
          </cell>
          <cell r="DI20">
            <v>0</v>
          </cell>
          <cell r="DJ20">
            <v>0</v>
          </cell>
          <cell r="DK20">
            <v>0</v>
          </cell>
          <cell r="DL20">
            <v>0</v>
          </cell>
          <cell r="DM20">
            <v>0</v>
          </cell>
          <cell r="DN20">
            <v>0</v>
          </cell>
          <cell r="DO20">
            <v>0</v>
          </cell>
          <cell r="DP20">
            <v>0</v>
          </cell>
          <cell r="DQ20">
            <v>0</v>
          </cell>
          <cell r="DR20">
            <v>0</v>
          </cell>
          <cell r="DS20">
            <v>0</v>
          </cell>
          <cell r="DT20">
            <v>0</v>
          </cell>
          <cell r="DU20">
            <v>0</v>
          </cell>
          <cell r="DV20">
            <v>0</v>
          </cell>
          <cell r="DW20">
            <v>0</v>
          </cell>
          <cell r="DX20">
            <v>0</v>
          </cell>
          <cell r="DY20">
            <v>0</v>
          </cell>
          <cell r="EA20">
            <v>0</v>
          </cell>
          <cell r="EB20">
            <v>0</v>
          </cell>
          <cell r="EC20">
            <v>0</v>
          </cell>
          <cell r="ED20">
            <v>0.05</v>
          </cell>
          <cell r="EE20">
            <v>0.09</v>
          </cell>
          <cell r="EF20">
            <v>0.08</v>
          </cell>
          <cell r="EG20">
            <v>0.17</v>
          </cell>
          <cell r="EH20">
            <v>1</v>
          </cell>
          <cell r="EI20">
            <v>1</v>
          </cell>
          <cell r="EJ20">
            <v>1</v>
          </cell>
          <cell r="EK20">
            <v>1</v>
          </cell>
          <cell r="EL20">
            <v>0.05</v>
          </cell>
          <cell r="EM20">
            <v>0.14000000000000001</v>
          </cell>
          <cell r="EN20">
            <v>0.11</v>
          </cell>
          <cell r="EO20">
            <v>0.2</v>
          </cell>
          <cell r="EP20">
            <v>0</v>
          </cell>
          <cell r="EQ20">
            <v>0</v>
          </cell>
          <cell r="ER20">
            <v>0</v>
          </cell>
          <cell r="ES20">
            <v>0</v>
          </cell>
          <cell r="ET20">
            <v>0</v>
          </cell>
          <cell r="EU20">
            <v>0</v>
          </cell>
          <cell r="EV20">
            <v>0</v>
          </cell>
          <cell r="EW20">
            <v>0</v>
          </cell>
          <cell r="EX20">
            <v>1</v>
          </cell>
          <cell r="EY20">
            <v>1</v>
          </cell>
          <cell r="EZ20">
            <v>1</v>
          </cell>
          <cell r="FA20">
            <v>0</v>
          </cell>
          <cell r="FB20">
            <v>0</v>
          </cell>
          <cell r="FC20">
            <v>0</v>
          </cell>
          <cell r="FD20">
            <v>0</v>
          </cell>
          <cell r="FE20">
            <v>0</v>
          </cell>
          <cell r="FF20">
            <v>0</v>
          </cell>
          <cell r="FG20">
            <v>0</v>
          </cell>
          <cell r="FH20">
            <v>0</v>
          </cell>
          <cell r="FI20">
            <v>0</v>
          </cell>
          <cell r="FJ20">
            <v>0</v>
          </cell>
          <cell r="FK20">
            <v>0</v>
          </cell>
          <cell r="FL20">
            <v>0</v>
          </cell>
          <cell r="FM20">
            <v>0</v>
          </cell>
          <cell r="FN20">
            <v>0</v>
          </cell>
          <cell r="FO20">
            <v>0</v>
          </cell>
          <cell r="FP20">
            <v>0</v>
          </cell>
          <cell r="FQ20">
            <v>0</v>
          </cell>
          <cell r="FR20">
            <v>0</v>
          </cell>
          <cell r="FS20">
            <v>0</v>
          </cell>
          <cell r="FT20">
            <v>0</v>
          </cell>
          <cell r="FU20">
            <v>0</v>
          </cell>
          <cell r="FV20">
            <v>0</v>
          </cell>
          <cell r="FW20">
            <v>0</v>
          </cell>
          <cell r="FX20">
            <v>0</v>
          </cell>
          <cell r="FY20">
            <v>0</v>
          </cell>
          <cell r="FZ20">
            <v>0</v>
          </cell>
        </row>
        <row r="21">
          <cell r="A21" t="str">
            <v>F_CNP_NRF_EPA_UCS_FRCE_EVX</v>
          </cell>
          <cell r="B21">
            <v>0.1</v>
          </cell>
          <cell r="C21">
            <v>0.08</v>
          </cell>
          <cell r="D21">
            <v>0.15</v>
          </cell>
          <cell r="E21">
            <v>0.08</v>
          </cell>
          <cell r="F21">
            <v>0.15</v>
          </cell>
          <cell r="G21">
            <v>0.22</v>
          </cell>
          <cell r="H21">
            <v>7.0000000000000007E-2</v>
          </cell>
          <cell r="I21">
            <v>0.05</v>
          </cell>
          <cell r="J21">
            <v>0.13</v>
          </cell>
          <cell r="K21">
            <v>0.18</v>
          </cell>
          <cell r="L21">
            <v>0.17</v>
          </cell>
          <cell r="M21">
            <v>0.16</v>
          </cell>
          <cell r="N21">
            <v>0.8</v>
          </cell>
          <cell r="O21">
            <v>1</v>
          </cell>
          <cell r="P21">
            <v>1</v>
          </cell>
          <cell r="Q21">
            <v>0.8</v>
          </cell>
          <cell r="R21">
            <v>0.8</v>
          </cell>
          <cell r="S21">
            <v>1</v>
          </cell>
          <cell r="T21">
            <v>1</v>
          </cell>
          <cell r="U21">
            <v>1</v>
          </cell>
          <cell r="V21">
            <v>1</v>
          </cell>
          <cell r="W21">
            <v>1</v>
          </cell>
          <cell r="X21">
            <v>1</v>
          </cell>
          <cell r="Y21">
            <v>1</v>
          </cell>
          <cell r="Z21">
            <v>0.1</v>
          </cell>
          <cell r="AA21">
            <v>0.1</v>
          </cell>
          <cell r="AB21">
            <v>0.14000000000000001</v>
          </cell>
          <cell r="AC21">
            <v>0.11</v>
          </cell>
          <cell r="AD21">
            <v>0.11</v>
          </cell>
          <cell r="AE21">
            <v>0.19</v>
          </cell>
          <cell r="AF21">
            <v>0.09</v>
          </cell>
          <cell r="AG21">
            <v>0.11</v>
          </cell>
          <cell r="AH21">
            <v>0.15</v>
          </cell>
          <cell r="AI21">
            <v>0.2</v>
          </cell>
          <cell r="AJ21">
            <v>0.2</v>
          </cell>
          <cell r="AK21">
            <v>0.2</v>
          </cell>
          <cell r="AL21">
            <v>0</v>
          </cell>
          <cell r="AM21">
            <v>0</v>
          </cell>
          <cell r="AN21">
            <v>0</v>
          </cell>
          <cell r="AO21">
            <v>0</v>
          </cell>
          <cell r="AP21">
            <v>0</v>
          </cell>
          <cell r="AQ21">
            <v>0</v>
          </cell>
          <cell r="AR21">
            <v>0</v>
          </cell>
          <cell r="AS21">
            <v>0</v>
          </cell>
          <cell r="AT21">
            <v>0</v>
          </cell>
          <cell r="AU21">
            <v>0</v>
          </cell>
          <cell r="AV21">
            <v>0</v>
          </cell>
          <cell r="AW21">
            <v>0</v>
          </cell>
          <cell r="AX21">
            <v>0</v>
          </cell>
          <cell r="AY21">
            <v>0</v>
          </cell>
          <cell r="AZ21">
            <v>0</v>
          </cell>
          <cell r="BA21">
            <v>0</v>
          </cell>
          <cell r="BB21">
            <v>0</v>
          </cell>
          <cell r="BC21">
            <v>0</v>
          </cell>
          <cell r="BD21">
            <v>0</v>
          </cell>
          <cell r="BE21">
            <v>0</v>
          </cell>
          <cell r="BF21">
            <v>0</v>
          </cell>
          <cell r="BG21">
            <v>0</v>
          </cell>
          <cell r="BH21">
            <v>0</v>
          </cell>
          <cell r="BI21">
            <v>0</v>
          </cell>
          <cell r="BJ21">
            <v>0</v>
          </cell>
          <cell r="BK21">
            <v>0</v>
          </cell>
          <cell r="BL21">
            <v>0</v>
          </cell>
          <cell r="BM21">
            <v>0</v>
          </cell>
          <cell r="BN21">
            <v>0</v>
          </cell>
          <cell r="BO21">
            <v>0</v>
          </cell>
          <cell r="BP21">
            <v>0</v>
          </cell>
          <cell r="BQ21">
            <v>0</v>
          </cell>
          <cell r="BR21">
            <v>0</v>
          </cell>
          <cell r="BS21">
            <v>0</v>
          </cell>
          <cell r="BT21">
            <v>0</v>
          </cell>
          <cell r="BU21">
            <v>0</v>
          </cell>
          <cell r="BV21">
            <v>0</v>
          </cell>
          <cell r="BW21">
            <v>0</v>
          </cell>
          <cell r="BX21">
            <v>0</v>
          </cell>
          <cell r="BY21">
            <v>0</v>
          </cell>
          <cell r="BZ21">
            <v>0</v>
          </cell>
          <cell r="CA21">
            <v>0</v>
          </cell>
          <cell r="CB21">
            <v>0</v>
          </cell>
          <cell r="CC21">
            <v>0</v>
          </cell>
          <cell r="CD21">
            <v>0</v>
          </cell>
          <cell r="CE21">
            <v>0</v>
          </cell>
          <cell r="CF21">
            <v>0</v>
          </cell>
          <cell r="CG21">
            <v>0</v>
          </cell>
          <cell r="CH21">
            <v>0</v>
          </cell>
          <cell r="CI21">
            <v>0</v>
          </cell>
          <cell r="CJ21">
            <v>0</v>
          </cell>
          <cell r="CK21">
            <v>0</v>
          </cell>
          <cell r="CL21">
            <v>0</v>
          </cell>
          <cell r="CM21">
            <v>0</v>
          </cell>
          <cell r="CN21">
            <v>0</v>
          </cell>
          <cell r="CO21">
            <v>0</v>
          </cell>
          <cell r="CP21">
            <v>0</v>
          </cell>
          <cell r="CQ21">
            <v>0</v>
          </cell>
          <cell r="CR21">
            <v>0</v>
          </cell>
          <cell r="CS21">
            <v>0</v>
          </cell>
          <cell r="CT21">
            <v>0</v>
          </cell>
          <cell r="CU21">
            <v>0</v>
          </cell>
          <cell r="CV21">
            <v>0</v>
          </cell>
          <cell r="CW21">
            <v>0</v>
          </cell>
          <cell r="CX21">
            <v>0</v>
          </cell>
          <cell r="CY21">
            <v>0</v>
          </cell>
          <cell r="CZ21">
            <v>0</v>
          </cell>
          <cell r="DA21">
            <v>0</v>
          </cell>
          <cell r="DB21">
            <v>0</v>
          </cell>
          <cell r="DC21">
            <v>0</v>
          </cell>
          <cell r="DD21">
            <v>0</v>
          </cell>
          <cell r="DE21">
            <v>0</v>
          </cell>
          <cell r="DF21">
            <v>0</v>
          </cell>
          <cell r="DG21">
            <v>0</v>
          </cell>
          <cell r="DH21">
            <v>0</v>
          </cell>
          <cell r="DI21">
            <v>0</v>
          </cell>
          <cell r="DJ21">
            <v>0</v>
          </cell>
          <cell r="DK21">
            <v>0</v>
          </cell>
          <cell r="DL21">
            <v>0</v>
          </cell>
          <cell r="DM21">
            <v>0</v>
          </cell>
          <cell r="DN21">
            <v>0</v>
          </cell>
          <cell r="DO21">
            <v>0</v>
          </cell>
          <cell r="DP21">
            <v>0</v>
          </cell>
          <cell r="DQ21">
            <v>0</v>
          </cell>
          <cell r="DR21">
            <v>0</v>
          </cell>
          <cell r="DS21">
            <v>0</v>
          </cell>
          <cell r="DT21">
            <v>0</v>
          </cell>
          <cell r="DU21">
            <v>0</v>
          </cell>
          <cell r="DV21">
            <v>0</v>
          </cell>
          <cell r="DW21">
            <v>0</v>
          </cell>
          <cell r="DX21">
            <v>0</v>
          </cell>
          <cell r="DY21">
            <v>0</v>
          </cell>
          <cell r="EA21">
            <v>0</v>
          </cell>
          <cell r="EB21">
            <v>0</v>
          </cell>
          <cell r="EC21">
            <v>0</v>
          </cell>
          <cell r="ED21">
            <v>0.05</v>
          </cell>
          <cell r="EE21">
            <v>0.09</v>
          </cell>
          <cell r="EF21">
            <v>0.08</v>
          </cell>
          <cell r="EG21">
            <v>0.17</v>
          </cell>
          <cell r="EH21">
            <v>1</v>
          </cell>
          <cell r="EI21">
            <v>1</v>
          </cell>
          <cell r="EJ21">
            <v>1</v>
          </cell>
          <cell r="EK21">
            <v>1</v>
          </cell>
          <cell r="EL21">
            <v>0.05</v>
          </cell>
          <cell r="EM21">
            <v>0.14000000000000001</v>
          </cell>
          <cell r="EN21">
            <v>0.11</v>
          </cell>
          <cell r="EO21">
            <v>0.2</v>
          </cell>
          <cell r="EP21">
            <v>0</v>
          </cell>
          <cell r="EQ21">
            <v>0</v>
          </cell>
          <cell r="ER21">
            <v>0</v>
          </cell>
          <cell r="ES21">
            <v>0</v>
          </cell>
          <cell r="ET21">
            <v>0</v>
          </cell>
          <cell r="EU21">
            <v>0</v>
          </cell>
          <cell r="EV21">
            <v>0</v>
          </cell>
          <cell r="EW21">
            <v>0</v>
          </cell>
          <cell r="EX21">
            <v>1</v>
          </cell>
          <cell r="EY21">
            <v>1</v>
          </cell>
          <cell r="EZ21">
            <v>1</v>
          </cell>
          <cell r="FA21">
            <v>0</v>
          </cell>
          <cell r="FB21">
            <v>0</v>
          </cell>
          <cell r="FC21">
            <v>0</v>
          </cell>
          <cell r="FD21">
            <v>0</v>
          </cell>
          <cell r="FE21">
            <v>0</v>
          </cell>
          <cell r="FF21">
            <v>0</v>
          </cell>
          <cell r="FG21">
            <v>0</v>
          </cell>
          <cell r="FH21">
            <v>0</v>
          </cell>
          <cell r="FI21">
            <v>0</v>
          </cell>
          <cell r="FJ21">
            <v>0</v>
          </cell>
          <cell r="FK21">
            <v>0</v>
          </cell>
          <cell r="FL21">
            <v>0</v>
          </cell>
          <cell r="FM21">
            <v>0</v>
          </cell>
          <cell r="FN21">
            <v>0</v>
          </cell>
          <cell r="FO21">
            <v>0</v>
          </cell>
          <cell r="FP21">
            <v>0</v>
          </cell>
          <cell r="FQ21">
            <v>0</v>
          </cell>
          <cell r="FR21">
            <v>0</v>
          </cell>
          <cell r="FS21">
            <v>0</v>
          </cell>
          <cell r="FT21">
            <v>0</v>
          </cell>
          <cell r="FU21">
            <v>0</v>
          </cell>
          <cell r="FV21">
            <v>0</v>
          </cell>
          <cell r="FW21">
            <v>0</v>
          </cell>
          <cell r="FX21">
            <v>0</v>
          </cell>
          <cell r="FY21">
            <v>0</v>
          </cell>
          <cell r="FZ21">
            <v>0</v>
          </cell>
        </row>
        <row r="22">
          <cell r="A22" t="str">
            <v>F_CNP_NRF_EPA_UCS_FRCE_EVZ</v>
          </cell>
          <cell r="B22">
            <v>0.1</v>
          </cell>
          <cell r="C22">
            <v>0.08</v>
          </cell>
          <cell r="D22">
            <v>0.15</v>
          </cell>
          <cell r="E22">
            <v>0.08</v>
          </cell>
          <cell r="F22">
            <v>0.15</v>
          </cell>
          <cell r="G22">
            <v>0.22</v>
          </cell>
          <cell r="H22">
            <v>7.0000000000000007E-2</v>
          </cell>
          <cell r="I22">
            <v>0.05</v>
          </cell>
          <cell r="J22">
            <v>0.13</v>
          </cell>
          <cell r="K22">
            <v>0.18</v>
          </cell>
          <cell r="L22">
            <v>0.17</v>
          </cell>
          <cell r="M22">
            <v>0.16</v>
          </cell>
          <cell r="N22">
            <v>0.8</v>
          </cell>
          <cell r="O22">
            <v>1</v>
          </cell>
          <cell r="P22">
            <v>1</v>
          </cell>
          <cell r="Q22">
            <v>0.8</v>
          </cell>
          <cell r="R22">
            <v>0.8</v>
          </cell>
          <cell r="S22">
            <v>1</v>
          </cell>
          <cell r="T22">
            <v>1</v>
          </cell>
          <cell r="U22">
            <v>1</v>
          </cell>
          <cell r="V22">
            <v>1</v>
          </cell>
          <cell r="W22">
            <v>1</v>
          </cell>
          <cell r="X22">
            <v>1</v>
          </cell>
          <cell r="Y22">
            <v>1</v>
          </cell>
          <cell r="Z22">
            <v>0.1</v>
          </cell>
          <cell r="AA22">
            <v>0.1</v>
          </cell>
          <cell r="AB22">
            <v>0.14000000000000001</v>
          </cell>
          <cell r="AC22">
            <v>0.11</v>
          </cell>
          <cell r="AD22">
            <v>0.11</v>
          </cell>
          <cell r="AE22">
            <v>0.19</v>
          </cell>
          <cell r="AF22">
            <v>0.09</v>
          </cell>
          <cell r="AG22">
            <v>0.11</v>
          </cell>
          <cell r="AH22">
            <v>0.15</v>
          </cell>
          <cell r="AI22">
            <v>0.2</v>
          </cell>
          <cell r="AJ22">
            <v>0.2</v>
          </cell>
          <cell r="AK22">
            <v>0.2</v>
          </cell>
          <cell r="AL22">
            <v>0</v>
          </cell>
          <cell r="AM22">
            <v>0</v>
          </cell>
          <cell r="AN22">
            <v>0</v>
          </cell>
          <cell r="AO22">
            <v>0</v>
          </cell>
          <cell r="AP22">
            <v>0</v>
          </cell>
          <cell r="AQ22">
            <v>0</v>
          </cell>
          <cell r="AR22">
            <v>0</v>
          </cell>
          <cell r="AS22">
            <v>0</v>
          </cell>
          <cell r="AT22">
            <v>0</v>
          </cell>
          <cell r="AU22">
            <v>0</v>
          </cell>
          <cell r="AV22">
            <v>0</v>
          </cell>
          <cell r="AW22">
            <v>0</v>
          </cell>
          <cell r="AX22">
            <v>0</v>
          </cell>
          <cell r="AY22">
            <v>0</v>
          </cell>
          <cell r="AZ22">
            <v>0</v>
          </cell>
          <cell r="BA22">
            <v>0</v>
          </cell>
          <cell r="BB22">
            <v>0</v>
          </cell>
          <cell r="BC22">
            <v>0</v>
          </cell>
          <cell r="BD22">
            <v>0</v>
          </cell>
          <cell r="BE22">
            <v>0</v>
          </cell>
          <cell r="BF22">
            <v>0</v>
          </cell>
          <cell r="BG22">
            <v>0</v>
          </cell>
          <cell r="BH22">
            <v>0</v>
          </cell>
          <cell r="BI22">
            <v>0</v>
          </cell>
          <cell r="BJ22">
            <v>0</v>
          </cell>
          <cell r="BK22">
            <v>0</v>
          </cell>
          <cell r="BL22">
            <v>0</v>
          </cell>
          <cell r="BM22">
            <v>0</v>
          </cell>
          <cell r="BN22">
            <v>0</v>
          </cell>
          <cell r="BO22">
            <v>0</v>
          </cell>
          <cell r="BP22">
            <v>0</v>
          </cell>
          <cell r="BQ22">
            <v>0</v>
          </cell>
          <cell r="BR22">
            <v>0</v>
          </cell>
          <cell r="BS22">
            <v>0</v>
          </cell>
          <cell r="BT22">
            <v>0</v>
          </cell>
          <cell r="BU22">
            <v>0</v>
          </cell>
          <cell r="BV22">
            <v>0</v>
          </cell>
          <cell r="BW22">
            <v>0</v>
          </cell>
          <cell r="BX22">
            <v>0</v>
          </cell>
          <cell r="BY22">
            <v>0</v>
          </cell>
          <cell r="BZ22">
            <v>0</v>
          </cell>
          <cell r="CA22">
            <v>0</v>
          </cell>
          <cell r="CB22">
            <v>0</v>
          </cell>
          <cell r="CC22">
            <v>0</v>
          </cell>
          <cell r="CD22">
            <v>0</v>
          </cell>
          <cell r="CE22">
            <v>0</v>
          </cell>
          <cell r="CF22">
            <v>0</v>
          </cell>
          <cell r="CG22">
            <v>0</v>
          </cell>
          <cell r="CH22">
            <v>0</v>
          </cell>
          <cell r="CI22">
            <v>0</v>
          </cell>
          <cell r="CJ22">
            <v>0</v>
          </cell>
          <cell r="CK22">
            <v>0</v>
          </cell>
          <cell r="CL22">
            <v>0</v>
          </cell>
          <cell r="CM22">
            <v>0</v>
          </cell>
          <cell r="CN22">
            <v>0</v>
          </cell>
          <cell r="CO22">
            <v>0</v>
          </cell>
          <cell r="CP22">
            <v>0</v>
          </cell>
          <cell r="CQ22">
            <v>0</v>
          </cell>
          <cell r="CR22">
            <v>0</v>
          </cell>
          <cell r="CS22">
            <v>0</v>
          </cell>
          <cell r="CT22">
            <v>0</v>
          </cell>
          <cell r="CU22">
            <v>0</v>
          </cell>
          <cell r="CV22">
            <v>0</v>
          </cell>
          <cell r="CW22">
            <v>0</v>
          </cell>
          <cell r="CX22">
            <v>0</v>
          </cell>
          <cell r="CY22">
            <v>0</v>
          </cell>
          <cell r="CZ22">
            <v>0</v>
          </cell>
          <cell r="DA22">
            <v>0</v>
          </cell>
          <cell r="DB22">
            <v>0</v>
          </cell>
          <cell r="DC22">
            <v>0</v>
          </cell>
          <cell r="DD22">
            <v>0</v>
          </cell>
          <cell r="DE22">
            <v>0</v>
          </cell>
          <cell r="DF22">
            <v>0</v>
          </cell>
          <cell r="DG22">
            <v>0</v>
          </cell>
          <cell r="DH22">
            <v>0</v>
          </cell>
          <cell r="DI22">
            <v>0</v>
          </cell>
          <cell r="DJ22">
            <v>0</v>
          </cell>
          <cell r="DK22">
            <v>0</v>
          </cell>
          <cell r="DL22">
            <v>0</v>
          </cell>
          <cell r="DM22">
            <v>0</v>
          </cell>
          <cell r="DN22">
            <v>0</v>
          </cell>
          <cell r="DO22">
            <v>0</v>
          </cell>
          <cell r="DP22">
            <v>0</v>
          </cell>
          <cell r="DQ22">
            <v>0</v>
          </cell>
          <cell r="DR22">
            <v>0</v>
          </cell>
          <cell r="DS22">
            <v>0</v>
          </cell>
          <cell r="DT22">
            <v>0</v>
          </cell>
          <cell r="DU22">
            <v>0</v>
          </cell>
          <cell r="DV22">
            <v>0</v>
          </cell>
          <cell r="DW22">
            <v>0</v>
          </cell>
          <cell r="DX22">
            <v>0</v>
          </cell>
          <cell r="DY22">
            <v>0</v>
          </cell>
          <cell r="EA22">
            <v>0</v>
          </cell>
          <cell r="EB22">
            <v>0</v>
          </cell>
          <cell r="EC22">
            <v>0</v>
          </cell>
          <cell r="ED22">
            <v>0.05</v>
          </cell>
          <cell r="EE22">
            <v>0.09</v>
          </cell>
          <cell r="EF22">
            <v>0.08</v>
          </cell>
          <cell r="EG22">
            <v>0.17</v>
          </cell>
          <cell r="EH22">
            <v>1</v>
          </cell>
          <cell r="EI22">
            <v>1</v>
          </cell>
          <cell r="EJ22">
            <v>1</v>
          </cell>
          <cell r="EK22">
            <v>1</v>
          </cell>
          <cell r="EL22">
            <v>0.05</v>
          </cell>
          <cell r="EM22">
            <v>0.14000000000000001</v>
          </cell>
          <cell r="EN22">
            <v>0.11</v>
          </cell>
          <cell r="EO22">
            <v>0.2</v>
          </cell>
          <cell r="EP22">
            <v>0</v>
          </cell>
          <cell r="EQ22">
            <v>0</v>
          </cell>
          <cell r="ER22">
            <v>0</v>
          </cell>
          <cell r="ES22">
            <v>0</v>
          </cell>
          <cell r="ET22">
            <v>0</v>
          </cell>
          <cell r="EU22">
            <v>0</v>
          </cell>
          <cell r="EV22">
            <v>0</v>
          </cell>
          <cell r="EW22">
            <v>0</v>
          </cell>
          <cell r="EX22">
            <v>1</v>
          </cell>
          <cell r="EY22">
            <v>1</v>
          </cell>
          <cell r="EZ22">
            <v>1</v>
          </cell>
          <cell r="FA22">
            <v>0</v>
          </cell>
          <cell r="FB22">
            <v>0</v>
          </cell>
          <cell r="FC22">
            <v>0</v>
          </cell>
          <cell r="FD22">
            <v>0</v>
          </cell>
          <cell r="FE22">
            <v>0</v>
          </cell>
          <cell r="FF22">
            <v>0</v>
          </cell>
          <cell r="FG22">
            <v>0</v>
          </cell>
          <cell r="FH22">
            <v>0</v>
          </cell>
          <cell r="FI22">
            <v>0</v>
          </cell>
          <cell r="FJ22">
            <v>0</v>
          </cell>
          <cell r="FK22">
            <v>0</v>
          </cell>
          <cell r="FL22">
            <v>0</v>
          </cell>
          <cell r="FM22">
            <v>0</v>
          </cell>
          <cell r="FN22">
            <v>0</v>
          </cell>
          <cell r="FO22">
            <v>0</v>
          </cell>
          <cell r="FP22">
            <v>0</v>
          </cell>
          <cell r="FQ22">
            <v>0</v>
          </cell>
          <cell r="FR22">
            <v>0</v>
          </cell>
          <cell r="FS22">
            <v>0</v>
          </cell>
          <cell r="FT22">
            <v>0</v>
          </cell>
          <cell r="FU22">
            <v>0</v>
          </cell>
          <cell r="FV22">
            <v>0</v>
          </cell>
          <cell r="FW22">
            <v>0</v>
          </cell>
          <cell r="FX22">
            <v>0</v>
          </cell>
          <cell r="FY22">
            <v>0</v>
          </cell>
          <cell r="FZ22">
            <v>0</v>
          </cell>
        </row>
        <row r="23">
          <cell r="A23" t="str">
            <v>F_CNP_NRF_EPA_UCS_FRCE_232</v>
          </cell>
          <cell r="B23">
            <v>0.1</v>
          </cell>
          <cell r="C23">
            <v>0.08</v>
          </cell>
          <cell r="D23">
            <v>0.15</v>
          </cell>
          <cell r="E23">
            <v>0.08</v>
          </cell>
          <cell r="F23">
            <v>0.15</v>
          </cell>
          <cell r="G23">
            <v>0.22</v>
          </cell>
          <cell r="H23">
            <v>7.0000000000000007E-2</v>
          </cell>
          <cell r="I23">
            <v>0.05</v>
          </cell>
          <cell r="J23">
            <v>0.13</v>
          </cell>
          <cell r="K23">
            <v>0.18</v>
          </cell>
          <cell r="L23">
            <v>0.17</v>
          </cell>
          <cell r="M23">
            <v>0.16</v>
          </cell>
          <cell r="N23">
            <v>0.8</v>
          </cell>
          <cell r="O23">
            <v>1</v>
          </cell>
          <cell r="P23">
            <v>1</v>
          </cell>
          <cell r="Q23">
            <v>0.8</v>
          </cell>
          <cell r="R23">
            <v>0.8</v>
          </cell>
          <cell r="S23">
            <v>1</v>
          </cell>
          <cell r="T23">
            <v>1</v>
          </cell>
          <cell r="U23">
            <v>1</v>
          </cell>
          <cell r="V23">
            <v>1</v>
          </cell>
          <cell r="W23">
            <v>1</v>
          </cell>
          <cell r="X23">
            <v>1</v>
          </cell>
          <cell r="Y23">
            <v>1</v>
          </cell>
          <cell r="Z23">
            <v>0.1</v>
          </cell>
          <cell r="AA23">
            <v>0.1</v>
          </cell>
          <cell r="AB23">
            <v>0.14000000000000001</v>
          </cell>
          <cell r="AC23">
            <v>0.11</v>
          </cell>
          <cell r="AD23">
            <v>0.11</v>
          </cell>
          <cell r="AE23">
            <v>0.19</v>
          </cell>
          <cell r="AF23">
            <v>0.09</v>
          </cell>
          <cell r="AG23">
            <v>0.11</v>
          </cell>
          <cell r="AH23">
            <v>0.15</v>
          </cell>
          <cell r="AI23">
            <v>0.2</v>
          </cell>
          <cell r="AJ23">
            <v>0.2</v>
          </cell>
          <cell r="AK23">
            <v>0.2</v>
          </cell>
          <cell r="AL23">
            <v>0</v>
          </cell>
          <cell r="AM23">
            <v>0</v>
          </cell>
          <cell r="AN23">
            <v>0</v>
          </cell>
          <cell r="AO23">
            <v>0</v>
          </cell>
          <cell r="AP23">
            <v>0</v>
          </cell>
          <cell r="AQ23">
            <v>0</v>
          </cell>
          <cell r="AR23">
            <v>0</v>
          </cell>
          <cell r="AS23">
            <v>0</v>
          </cell>
          <cell r="AT23">
            <v>0</v>
          </cell>
          <cell r="AU23">
            <v>0</v>
          </cell>
          <cell r="AV23">
            <v>0</v>
          </cell>
          <cell r="AW23">
            <v>0</v>
          </cell>
          <cell r="AX23">
            <v>0</v>
          </cell>
          <cell r="AY23">
            <v>0</v>
          </cell>
          <cell r="AZ23">
            <v>0</v>
          </cell>
          <cell r="BA23">
            <v>0</v>
          </cell>
          <cell r="BB23">
            <v>0</v>
          </cell>
          <cell r="BC23">
            <v>0</v>
          </cell>
          <cell r="BD23">
            <v>0</v>
          </cell>
          <cell r="BE23">
            <v>0</v>
          </cell>
          <cell r="BF23">
            <v>0</v>
          </cell>
          <cell r="BG23">
            <v>0</v>
          </cell>
          <cell r="BH23">
            <v>0</v>
          </cell>
          <cell r="BI23">
            <v>0</v>
          </cell>
          <cell r="BJ23">
            <v>0</v>
          </cell>
          <cell r="BK23">
            <v>0</v>
          </cell>
          <cell r="BL23">
            <v>0</v>
          </cell>
          <cell r="BM23">
            <v>0</v>
          </cell>
          <cell r="BN23">
            <v>0</v>
          </cell>
          <cell r="BO23">
            <v>0</v>
          </cell>
          <cell r="BP23">
            <v>0</v>
          </cell>
          <cell r="BQ23">
            <v>0</v>
          </cell>
          <cell r="BR23">
            <v>0</v>
          </cell>
          <cell r="BS23">
            <v>0</v>
          </cell>
          <cell r="BT23">
            <v>0</v>
          </cell>
          <cell r="BU23">
            <v>0</v>
          </cell>
          <cell r="BV23">
            <v>0</v>
          </cell>
          <cell r="BW23">
            <v>0</v>
          </cell>
          <cell r="BX23">
            <v>0</v>
          </cell>
          <cell r="BY23">
            <v>0</v>
          </cell>
          <cell r="BZ23">
            <v>0</v>
          </cell>
          <cell r="CA23">
            <v>0</v>
          </cell>
          <cell r="CB23">
            <v>0</v>
          </cell>
          <cell r="CC23">
            <v>0</v>
          </cell>
          <cell r="CD23">
            <v>0</v>
          </cell>
          <cell r="CE23">
            <v>0</v>
          </cell>
          <cell r="CF23">
            <v>0</v>
          </cell>
          <cell r="CG23">
            <v>0</v>
          </cell>
          <cell r="CH23">
            <v>0</v>
          </cell>
          <cell r="CI23">
            <v>0</v>
          </cell>
          <cell r="CJ23">
            <v>0</v>
          </cell>
          <cell r="CK23">
            <v>0</v>
          </cell>
          <cell r="CL23">
            <v>0</v>
          </cell>
          <cell r="CM23">
            <v>0</v>
          </cell>
          <cell r="CN23">
            <v>0</v>
          </cell>
          <cell r="CO23">
            <v>0</v>
          </cell>
          <cell r="CP23">
            <v>0</v>
          </cell>
          <cell r="CQ23">
            <v>0</v>
          </cell>
          <cell r="CR23">
            <v>0</v>
          </cell>
          <cell r="CS23">
            <v>0</v>
          </cell>
          <cell r="CT23">
            <v>0</v>
          </cell>
          <cell r="CU23">
            <v>0</v>
          </cell>
          <cell r="CV23">
            <v>0</v>
          </cell>
          <cell r="CW23">
            <v>0</v>
          </cell>
          <cell r="CX23">
            <v>0</v>
          </cell>
          <cell r="CY23">
            <v>0</v>
          </cell>
          <cell r="CZ23">
            <v>0</v>
          </cell>
          <cell r="DA23">
            <v>0</v>
          </cell>
          <cell r="DB23">
            <v>0</v>
          </cell>
          <cell r="DC23">
            <v>0</v>
          </cell>
          <cell r="DD23">
            <v>0</v>
          </cell>
          <cell r="DE23">
            <v>0</v>
          </cell>
          <cell r="DF23">
            <v>0</v>
          </cell>
          <cell r="DG23">
            <v>0</v>
          </cell>
          <cell r="DH23">
            <v>0</v>
          </cell>
          <cell r="DI23">
            <v>0</v>
          </cell>
          <cell r="DJ23">
            <v>0</v>
          </cell>
          <cell r="DK23">
            <v>0</v>
          </cell>
          <cell r="DL23">
            <v>0</v>
          </cell>
          <cell r="DM23">
            <v>0</v>
          </cell>
          <cell r="DN23">
            <v>0</v>
          </cell>
          <cell r="DO23">
            <v>0</v>
          </cell>
          <cell r="DP23">
            <v>0</v>
          </cell>
          <cell r="DQ23">
            <v>0</v>
          </cell>
          <cell r="DR23">
            <v>0</v>
          </cell>
          <cell r="DS23">
            <v>0</v>
          </cell>
          <cell r="DT23">
            <v>0</v>
          </cell>
          <cell r="DU23">
            <v>0</v>
          </cell>
          <cell r="DV23">
            <v>0</v>
          </cell>
          <cell r="DW23">
            <v>0</v>
          </cell>
          <cell r="DX23">
            <v>0</v>
          </cell>
          <cell r="DY23">
            <v>0</v>
          </cell>
          <cell r="EA23">
            <v>0</v>
          </cell>
          <cell r="EB23">
            <v>0</v>
          </cell>
          <cell r="EC23">
            <v>0</v>
          </cell>
          <cell r="ED23">
            <v>0.05</v>
          </cell>
          <cell r="EE23">
            <v>0.09</v>
          </cell>
          <cell r="EF23">
            <v>0.08</v>
          </cell>
          <cell r="EG23">
            <v>0.17</v>
          </cell>
          <cell r="EH23">
            <v>1</v>
          </cell>
          <cell r="EI23">
            <v>1</v>
          </cell>
          <cell r="EJ23">
            <v>1</v>
          </cell>
          <cell r="EK23">
            <v>1</v>
          </cell>
          <cell r="EL23">
            <v>0.05</v>
          </cell>
          <cell r="EM23">
            <v>0.14000000000000001</v>
          </cell>
          <cell r="EN23">
            <v>0.11</v>
          </cell>
          <cell r="EO23">
            <v>0.2</v>
          </cell>
          <cell r="EP23">
            <v>0</v>
          </cell>
          <cell r="EQ23">
            <v>0</v>
          </cell>
          <cell r="ER23">
            <v>0</v>
          </cell>
          <cell r="ES23">
            <v>0</v>
          </cell>
          <cell r="ET23">
            <v>0</v>
          </cell>
          <cell r="EU23">
            <v>0</v>
          </cell>
          <cell r="EV23">
            <v>0</v>
          </cell>
          <cell r="EW23">
            <v>0</v>
          </cell>
          <cell r="EX23">
            <v>1</v>
          </cell>
          <cell r="EY23">
            <v>1</v>
          </cell>
          <cell r="EZ23">
            <v>1</v>
          </cell>
          <cell r="FA23">
            <v>0</v>
          </cell>
          <cell r="FB23">
            <v>0</v>
          </cell>
          <cell r="FC23">
            <v>0</v>
          </cell>
          <cell r="FD23">
            <v>0</v>
          </cell>
          <cell r="FE23">
            <v>0</v>
          </cell>
          <cell r="FF23">
            <v>0</v>
          </cell>
          <cell r="FG23">
            <v>0</v>
          </cell>
          <cell r="FH23">
            <v>0</v>
          </cell>
          <cell r="FI23">
            <v>0</v>
          </cell>
          <cell r="FJ23">
            <v>0</v>
          </cell>
          <cell r="FK23">
            <v>0</v>
          </cell>
          <cell r="FL23">
            <v>0</v>
          </cell>
          <cell r="FM23">
            <v>0</v>
          </cell>
          <cell r="FN23">
            <v>0</v>
          </cell>
          <cell r="FO23">
            <v>0</v>
          </cell>
          <cell r="FP23">
            <v>0</v>
          </cell>
          <cell r="FQ23">
            <v>0</v>
          </cell>
          <cell r="FR23">
            <v>0</v>
          </cell>
          <cell r="FS23">
            <v>0</v>
          </cell>
          <cell r="FT23">
            <v>0</v>
          </cell>
          <cell r="FU23">
            <v>0</v>
          </cell>
          <cell r="FV23">
            <v>0</v>
          </cell>
          <cell r="FW23">
            <v>0</v>
          </cell>
          <cell r="FX23">
            <v>0</v>
          </cell>
          <cell r="FY23">
            <v>0</v>
          </cell>
          <cell r="FZ23">
            <v>0</v>
          </cell>
        </row>
        <row r="24">
          <cell r="A24" t="str">
            <v>F_CNP_NRF_EPA_UCS_FRCE_252</v>
          </cell>
          <cell r="B24">
            <v>0.1</v>
          </cell>
          <cell r="C24">
            <v>0.08</v>
          </cell>
          <cell r="D24">
            <v>0.15</v>
          </cell>
          <cell r="E24">
            <v>0.08</v>
          </cell>
          <cell r="F24">
            <v>0.15</v>
          </cell>
          <cell r="G24">
            <v>0.22</v>
          </cell>
          <cell r="H24">
            <v>7.0000000000000007E-2</v>
          </cell>
          <cell r="I24">
            <v>0.05</v>
          </cell>
          <cell r="J24">
            <v>0.13</v>
          </cell>
          <cell r="K24">
            <v>0.18</v>
          </cell>
          <cell r="L24">
            <v>0.17</v>
          </cell>
          <cell r="M24">
            <v>0.16</v>
          </cell>
          <cell r="N24">
            <v>0.8</v>
          </cell>
          <cell r="O24">
            <v>1</v>
          </cell>
          <cell r="P24">
            <v>1</v>
          </cell>
          <cell r="Q24">
            <v>0.8</v>
          </cell>
          <cell r="R24">
            <v>0.8</v>
          </cell>
          <cell r="S24">
            <v>1</v>
          </cell>
          <cell r="T24">
            <v>1</v>
          </cell>
          <cell r="U24">
            <v>1</v>
          </cell>
          <cell r="V24">
            <v>1</v>
          </cell>
          <cell r="W24">
            <v>1</v>
          </cell>
          <cell r="X24">
            <v>1</v>
          </cell>
          <cell r="Y24">
            <v>1</v>
          </cell>
          <cell r="Z24">
            <v>0.1</v>
          </cell>
          <cell r="AA24">
            <v>0.1</v>
          </cell>
          <cell r="AB24">
            <v>0.14000000000000001</v>
          </cell>
          <cell r="AC24">
            <v>0.11</v>
          </cell>
          <cell r="AD24">
            <v>0.11</v>
          </cell>
          <cell r="AE24">
            <v>0.19</v>
          </cell>
          <cell r="AF24">
            <v>0.09</v>
          </cell>
          <cell r="AG24">
            <v>0.11</v>
          </cell>
          <cell r="AH24">
            <v>0.15</v>
          </cell>
          <cell r="AI24">
            <v>0.2</v>
          </cell>
          <cell r="AJ24">
            <v>0.2</v>
          </cell>
          <cell r="AK24">
            <v>0.2</v>
          </cell>
          <cell r="AL24">
            <v>0</v>
          </cell>
          <cell r="AM24">
            <v>0</v>
          </cell>
          <cell r="AN24">
            <v>0</v>
          </cell>
          <cell r="AO24">
            <v>0</v>
          </cell>
          <cell r="AP24">
            <v>0</v>
          </cell>
          <cell r="AQ24">
            <v>0</v>
          </cell>
          <cell r="AR24">
            <v>0</v>
          </cell>
          <cell r="AS24">
            <v>0</v>
          </cell>
          <cell r="AT24">
            <v>0</v>
          </cell>
          <cell r="AU24">
            <v>0</v>
          </cell>
          <cell r="AV24">
            <v>0</v>
          </cell>
          <cell r="AW24">
            <v>0</v>
          </cell>
          <cell r="AX24">
            <v>0</v>
          </cell>
          <cell r="AY24">
            <v>0</v>
          </cell>
          <cell r="AZ24">
            <v>0</v>
          </cell>
          <cell r="BA24">
            <v>0</v>
          </cell>
          <cell r="BB24">
            <v>0</v>
          </cell>
          <cell r="BC24">
            <v>0</v>
          </cell>
          <cell r="BD24">
            <v>0</v>
          </cell>
          <cell r="BE24">
            <v>0</v>
          </cell>
          <cell r="BF24">
            <v>0</v>
          </cell>
          <cell r="BG24">
            <v>0</v>
          </cell>
          <cell r="BH24">
            <v>0</v>
          </cell>
          <cell r="BI24">
            <v>0</v>
          </cell>
          <cell r="BJ24">
            <v>0</v>
          </cell>
          <cell r="BK24">
            <v>0</v>
          </cell>
          <cell r="BL24">
            <v>0</v>
          </cell>
          <cell r="BM24">
            <v>0</v>
          </cell>
          <cell r="BN24">
            <v>0</v>
          </cell>
          <cell r="BO24">
            <v>0</v>
          </cell>
          <cell r="BP24">
            <v>0</v>
          </cell>
          <cell r="BQ24">
            <v>0</v>
          </cell>
          <cell r="BR24">
            <v>0</v>
          </cell>
          <cell r="BS24">
            <v>0</v>
          </cell>
          <cell r="BT24">
            <v>0</v>
          </cell>
          <cell r="BU24">
            <v>0</v>
          </cell>
          <cell r="BV24">
            <v>0</v>
          </cell>
          <cell r="BW24">
            <v>0</v>
          </cell>
          <cell r="BX24">
            <v>0</v>
          </cell>
          <cell r="BY24">
            <v>0</v>
          </cell>
          <cell r="BZ24">
            <v>0</v>
          </cell>
          <cell r="CA24">
            <v>0</v>
          </cell>
          <cell r="CB24">
            <v>0</v>
          </cell>
          <cell r="CC24">
            <v>0</v>
          </cell>
          <cell r="CD24">
            <v>0</v>
          </cell>
          <cell r="CE24">
            <v>0</v>
          </cell>
          <cell r="CF24">
            <v>0</v>
          </cell>
          <cell r="CG24">
            <v>0</v>
          </cell>
          <cell r="CH24">
            <v>0</v>
          </cell>
          <cell r="CI24">
            <v>0</v>
          </cell>
          <cell r="CJ24">
            <v>0</v>
          </cell>
          <cell r="CK24">
            <v>0</v>
          </cell>
          <cell r="CL24">
            <v>0</v>
          </cell>
          <cell r="CM24">
            <v>0</v>
          </cell>
          <cell r="CN24">
            <v>0</v>
          </cell>
          <cell r="CO24">
            <v>0</v>
          </cell>
          <cell r="CP24">
            <v>0</v>
          </cell>
          <cell r="CQ24">
            <v>0</v>
          </cell>
          <cell r="CR24">
            <v>0</v>
          </cell>
          <cell r="CS24">
            <v>0</v>
          </cell>
          <cell r="CT24">
            <v>0</v>
          </cell>
          <cell r="CU24">
            <v>0</v>
          </cell>
          <cell r="CV24">
            <v>0</v>
          </cell>
          <cell r="CW24">
            <v>0</v>
          </cell>
          <cell r="CX24">
            <v>0</v>
          </cell>
          <cell r="CY24">
            <v>0</v>
          </cell>
          <cell r="CZ24">
            <v>0</v>
          </cell>
          <cell r="DA24">
            <v>0</v>
          </cell>
          <cell r="DB24">
            <v>0</v>
          </cell>
          <cell r="DC24">
            <v>0</v>
          </cell>
          <cell r="DD24">
            <v>0</v>
          </cell>
          <cell r="DE24">
            <v>0</v>
          </cell>
          <cell r="DF24">
            <v>0</v>
          </cell>
          <cell r="DG24">
            <v>0</v>
          </cell>
          <cell r="DH24">
            <v>0</v>
          </cell>
          <cell r="DI24">
            <v>0</v>
          </cell>
          <cell r="DJ24">
            <v>0</v>
          </cell>
          <cell r="DK24">
            <v>0</v>
          </cell>
          <cell r="DL24">
            <v>0</v>
          </cell>
          <cell r="DM24">
            <v>0</v>
          </cell>
          <cell r="DN24">
            <v>0</v>
          </cell>
          <cell r="DO24">
            <v>0</v>
          </cell>
          <cell r="DP24">
            <v>0</v>
          </cell>
          <cell r="DQ24">
            <v>0</v>
          </cell>
          <cell r="DR24">
            <v>0</v>
          </cell>
          <cell r="DS24">
            <v>0</v>
          </cell>
          <cell r="DT24">
            <v>0</v>
          </cell>
          <cell r="DU24">
            <v>0</v>
          </cell>
          <cell r="DV24">
            <v>0</v>
          </cell>
          <cell r="DW24">
            <v>0</v>
          </cell>
          <cell r="DX24">
            <v>0</v>
          </cell>
          <cell r="DY24">
            <v>0</v>
          </cell>
          <cell r="EA24">
            <v>0</v>
          </cell>
          <cell r="EB24">
            <v>0</v>
          </cell>
          <cell r="EC24">
            <v>0</v>
          </cell>
          <cell r="ED24">
            <v>0.05</v>
          </cell>
          <cell r="EE24">
            <v>0.09</v>
          </cell>
          <cell r="EF24">
            <v>0.08</v>
          </cell>
          <cell r="EG24">
            <v>0.17</v>
          </cell>
          <cell r="EH24">
            <v>1</v>
          </cell>
          <cell r="EI24">
            <v>1</v>
          </cell>
          <cell r="EJ24">
            <v>1</v>
          </cell>
          <cell r="EK24">
            <v>1</v>
          </cell>
          <cell r="EL24">
            <v>0.05</v>
          </cell>
          <cell r="EM24">
            <v>0.14000000000000001</v>
          </cell>
          <cell r="EN24">
            <v>0.11</v>
          </cell>
          <cell r="EO24">
            <v>0.2</v>
          </cell>
          <cell r="EP24">
            <v>0</v>
          </cell>
          <cell r="EQ24">
            <v>0</v>
          </cell>
          <cell r="ER24">
            <v>0</v>
          </cell>
          <cell r="ES24">
            <v>0</v>
          </cell>
          <cell r="ET24">
            <v>0</v>
          </cell>
          <cell r="EU24">
            <v>0</v>
          </cell>
          <cell r="EV24">
            <v>0</v>
          </cell>
          <cell r="EW24">
            <v>0</v>
          </cell>
          <cell r="EX24">
            <v>1</v>
          </cell>
          <cell r="EY24">
            <v>1</v>
          </cell>
          <cell r="EZ24">
            <v>1</v>
          </cell>
          <cell r="FA24">
            <v>0</v>
          </cell>
          <cell r="FB24">
            <v>0</v>
          </cell>
          <cell r="FC24">
            <v>0</v>
          </cell>
          <cell r="FD24">
            <v>0</v>
          </cell>
          <cell r="FE24">
            <v>0</v>
          </cell>
          <cell r="FF24">
            <v>0</v>
          </cell>
          <cell r="FG24">
            <v>0</v>
          </cell>
          <cell r="FH24">
            <v>0</v>
          </cell>
          <cell r="FI24">
            <v>0</v>
          </cell>
          <cell r="FJ24">
            <v>0</v>
          </cell>
          <cell r="FK24">
            <v>0</v>
          </cell>
          <cell r="FL24">
            <v>0</v>
          </cell>
          <cell r="FM24">
            <v>0</v>
          </cell>
          <cell r="FN24">
            <v>0</v>
          </cell>
          <cell r="FO24">
            <v>0</v>
          </cell>
          <cell r="FP24">
            <v>0</v>
          </cell>
          <cell r="FQ24">
            <v>0</v>
          </cell>
          <cell r="FR24">
            <v>0</v>
          </cell>
          <cell r="FS24">
            <v>0</v>
          </cell>
          <cell r="FT24">
            <v>0</v>
          </cell>
          <cell r="FU24">
            <v>0</v>
          </cell>
          <cell r="FV24">
            <v>0</v>
          </cell>
          <cell r="FW24">
            <v>0</v>
          </cell>
          <cell r="FX24">
            <v>0</v>
          </cell>
          <cell r="FY24">
            <v>0</v>
          </cell>
          <cell r="FZ24">
            <v>0</v>
          </cell>
        </row>
        <row r="25">
          <cell r="A25" t="str">
            <v>F_CNP_NRF_EPA_UCS_FRCE_256</v>
          </cell>
          <cell r="B25">
            <v>0.1</v>
          </cell>
          <cell r="C25">
            <v>0.08</v>
          </cell>
          <cell r="D25">
            <v>0.15</v>
          </cell>
          <cell r="E25">
            <v>0.08</v>
          </cell>
          <cell r="F25">
            <v>0.15</v>
          </cell>
          <cell r="G25">
            <v>0.22</v>
          </cell>
          <cell r="H25">
            <v>7.0000000000000007E-2</v>
          </cell>
          <cell r="I25">
            <v>0.05</v>
          </cell>
          <cell r="J25">
            <v>0.13</v>
          </cell>
          <cell r="K25">
            <v>0.18</v>
          </cell>
          <cell r="L25">
            <v>0.17</v>
          </cell>
          <cell r="M25">
            <v>0.16</v>
          </cell>
          <cell r="N25">
            <v>0.8</v>
          </cell>
          <cell r="O25">
            <v>1</v>
          </cell>
          <cell r="P25">
            <v>1</v>
          </cell>
          <cell r="Q25">
            <v>0.8</v>
          </cell>
          <cell r="R25">
            <v>0.8</v>
          </cell>
          <cell r="S25">
            <v>1</v>
          </cell>
          <cell r="T25">
            <v>1</v>
          </cell>
          <cell r="U25">
            <v>1</v>
          </cell>
          <cell r="V25">
            <v>1</v>
          </cell>
          <cell r="W25">
            <v>1</v>
          </cell>
          <cell r="X25">
            <v>1</v>
          </cell>
          <cell r="Y25">
            <v>1</v>
          </cell>
          <cell r="Z25">
            <v>0.1</v>
          </cell>
          <cell r="AA25">
            <v>0.1</v>
          </cell>
          <cell r="AB25">
            <v>0.14000000000000001</v>
          </cell>
          <cell r="AC25">
            <v>0.11</v>
          </cell>
          <cell r="AD25">
            <v>0.11</v>
          </cell>
          <cell r="AE25">
            <v>0.19</v>
          </cell>
          <cell r="AF25">
            <v>0.09</v>
          </cell>
          <cell r="AG25">
            <v>0.11</v>
          </cell>
          <cell r="AH25">
            <v>0.15</v>
          </cell>
          <cell r="AI25">
            <v>0.2</v>
          </cell>
          <cell r="AJ25">
            <v>0.2</v>
          </cell>
          <cell r="AK25">
            <v>0.2</v>
          </cell>
          <cell r="AL25">
            <v>0</v>
          </cell>
          <cell r="AM25">
            <v>0</v>
          </cell>
          <cell r="AN25">
            <v>0</v>
          </cell>
          <cell r="AO25">
            <v>0</v>
          </cell>
          <cell r="AP25">
            <v>0</v>
          </cell>
          <cell r="AQ25">
            <v>0</v>
          </cell>
          <cell r="AR25">
            <v>0</v>
          </cell>
          <cell r="AS25">
            <v>0</v>
          </cell>
          <cell r="AT25">
            <v>0</v>
          </cell>
          <cell r="AU25">
            <v>0</v>
          </cell>
          <cell r="AV25">
            <v>0</v>
          </cell>
          <cell r="AW25">
            <v>0</v>
          </cell>
          <cell r="AX25">
            <v>0</v>
          </cell>
          <cell r="AY25">
            <v>0</v>
          </cell>
          <cell r="AZ25">
            <v>0</v>
          </cell>
          <cell r="BA25">
            <v>0</v>
          </cell>
          <cell r="BB25">
            <v>0</v>
          </cell>
          <cell r="BC25">
            <v>0</v>
          </cell>
          <cell r="BD25">
            <v>0</v>
          </cell>
          <cell r="BE25">
            <v>0</v>
          </cell>
          <cell r="BF25">
            <v>0</v>
          </cell>
          <cell r="BG25">
            <v>0</v>
          </cell>
          <cell r="BH25">
            <v>0</v>
          </cell>
          <cell r="BI25">
            <v>0</v>
          </cell>
          <cell r="BJ25">
            <v>0</v>
          </cell>
          <cell r="BK25">
            <v>0</v>
          </cell>
          <cell r="BL25">
            <v>0</v>
          </cell>
          <cell r="BM25">
            <v>0</v>
          </cell>
          <cell r="BN25">
            <v>0</v>
          </cell>
          <cell r="BO25">
            <v>0</v>
          </cell>
          <cell r="BP25">
            <v>0</v>
          </cell>
          <cell r="BQ25">
            <v>0</v>
          </cell>
          <cell r="BR25">
            <v>0</v>
          </cell>
          <cell r="BS25">
            <v>0</v>
          </cell>
          <cell r="BT25">
            <v>0</v>
          </cell>
          <cell r="BU25">
            <v>0</v>
          </cell>
          <cell r="BV25">
            <v>0</v>
          </cell>
          <cell r="BW25">
            <v>0</v>
          </cell>
          <cell r="BX25">
            <v>0</v>
          </cell>
          <cell r="BY25">
            <v>0</v>
          </cell>
          <cell r="BZ25">
            <v>0</v>
          </cell>
          <cell r="CA25">
            <v>0</v>
          </cell>
          <cell r="CB25">
            <v>0</v>
          </cell>
          <cell r="CC25">
            <v>0</v>
          </cell>
          <cell r="CD25">
            <v>0</v>
          </cell>
          <cell r="CE25">
            <v>0</v>
          </cell>
          <cell r="CF25">
            <v>0</v>
          </cell>
          <cell r="CG25">
            <v>0</v>
          </cell>
          <cell r="CH25">
            <v>0</v>
          </cell>
          <cell r="CI25">
            <v>0</v>
          </cell>
          <cell r="CJ25">
            <v>0</v>
          </cell>
          <cell r="CK25">
            <v>0</v>
          </cell>
          <cell r="CL25">
            <v>0</v>
          </cell>
          <cell r="CM25">
            <v>0</v>
          </cell>
          <cell r="CN25">
            <v>0</v>
          </cell>
          <cell r="CO25">
            <v>0</v>
          </cell>
          <cell r="CP25">
            <v>0</v>
          </cell>
          <cell r="CQ25">
            <v>0</v>
          </cell>
          <cell r="CR25">
            <v>0</v>
          </cell>
          <cell r="CS25">
            <v>0</v>
          </cell>
          <cell r="CT25">
            <v>0</v>
          </cell>
          <cell r="CU25">
            <v>0</v>
          </cell>
          <cell r="CV25">
            <v>0</v>
          </cell>
          <cell r="CW25">
            <v>0</v>
          </cell>
          <cell r="CX25">
            <v>0</v>
          </cell>
          <cell r="CY25">
            <v>0</v>
          </cell>
          <cell r="CZ25">
            <v>0</v>
          </cell>
          <cell r="DA25">
            <v>0</v>
          </cell>
          <cell r="DB25">
            <v>0</v>
          </cell>
          <cell r="DC25">
            <v>0</v>
          </cell>
          <cell r="DD25">
            <v>0</v>
          </cell>
          <cell r="DE25">
            <v>0</v>
          </cell>
          <cell r="DF25">
            <v>0</v>
          </cell>
          <cell r="DG25">
            <v>0</v>
          </cell>
          <cell r="DH25">
            <v>0</v>
          </cell>
          <cell r="DI25">
            <v>0</v>
          </cell>
          <cell r="DJ25">
            <v>0</v>
          </cell>
          <cell r="DK25">
            <v>0</v>
          </cell>
          <cell r="DL25">
            <v>0</v>
          </cell>
          <cell r="DM25">
            <v>0</v>
          </cell>
          <cell r="DN25">
            <v>0</v>
          </cell>
          <cell r="DO25">
            <v>0</v>
          </cell>
          <cell r="DP25">
            <v>0</v>
          </cell>
          <cell r="DQ25">
            <v>0</v>
          </cell>
          <cell r="DR25">
            <v>0</v>
          </cell>
          <cell r="DS25">
            <v>0</v>
          </cell>
          <cell r="DT25">
            <v>0</v>
          </cell>
          <cell r="DU25">
            <v>0</v>
          </cell>
          <cell r="DV25">
            <v>0</v>
          </cell>
          <cell r="DW25">
            <v>0</v>
          </cell>
          <cell r="DX25">
            <v>0</v>
          </cell>
          <cell r="DY25">
            <v>0</v>
          </cell>
          <cell r="EA25">
            <v>0</v>
          </cell>
          <cell r="EB25">
            <v>0</v>
          </cell>
          <cell r="EC25">
            <v>0</v>
          </cell>
          <cell r="ED25">
            <v>0.05</v>
          </cell>
          <cell r="EE25">
            <v>0.09</v>
          </cell>
          <cell r="EF25">
            <v>0.08</v>
          </cell>
          <cell r="EG25">
            <v>0.17</v>
          </cell>
          <cell r="EH25">
            <v>1</v>
          </cell>
          <cell r="EI25">
            <v>1</v>
          </cell>
          <cell r="EJ25">
            <v>1</v>
          </cell>
          <cell r="EK25">
            <v>1</v>
          </cell>
          <cell r="EL25">
            <v>0.05</v>
          </cell>
          <cell r="EM25">
            <v>0.14000000000000001</v>
          </cell>
          <cell r="EN25">
            <v>0.11</v>
          </cell>
          <cell r="EO25">
            <v>0.2</v>
          </cell>
          <cell r="EP25">
            <v>0</v>
          </cell>
          <cell r="EQ25">
            <v>0</v>
          </cell>
          <cell r="ER25">
            <v>0</v>
          </cell>
          <cell r="ES25">
            <v>0</v>
          </cell>
          <cell r="ET25">
            <v>0</v>
          </cell>
          <cell r="EU25">
            <v>0</v>
          </cell>
          <cell r="EV25">
            <v>0</v>
          </cell>
          <cell r="EW25">
            <v>0</v>
          </cell>
          <cell r="EX25">
            <v>1</v>
          </cell>
          <cell r="EY25">
            <v>1</v>
          </cell>
          <cell r="EZ25">
            <v>1</v>
          </cell>
          <cell r="FA25">
            <v>0</v>
          </cell>
          <cell r="FB25">
            <v>0</v>
          </cell>
          <cell r="FC25">
            <v>0</v>
          </cell>
          <cell r="FD25">
            <v>0</v>
          </cell>
          <cell r="FE25">
            <v>0</v>
          </cell>
          <cell r="FF25">
            <v>0</v>
          </cell>
          <cell r="FG25">
            <v>0</v>
          </cell>
          <cell r="FH25">
            <v>0</v>
          </cell>
          <cell r="FI25">
            <v>0</v>
          </cell>
          <cell r="FJ25">
            <v>0</v>
          </cell>
          <cell r="FK25">
            <v>0</v>
          </cell>
          <cell r="FL25">
            <v>0</v>
          </cell>
          <cell r="FM25">
            <v>0</v>
          </cell>
          <cell r="FN25">
            <v>0</v>
          </cell>
          <cell r="FO25">
            <v>0</v>
          </cell>
          <cell r="FP25">
            <v>0</v>
          </cell>
          <cell r="FQ25">
            <v>0</v>
          </cell>
          <cell r="FR25">
            <v>0</v>
          </cell>
          <cell r="FS25">
            <v>0</v>
          </cell>
          <cell r="FT25">
            <v>0</v>
          </cell>
          <cell r="FU25">
            <v>0</v>
          </cell>
          <cell r="FV25">
            <v>0</v>
          </cell>
          <cell r="FW25">
            <v>0</v>
          </cell>
          <cell r="FX25">
            <v>0</v>
          </cell>
          <cell r="FY25">
            <v>0</v>
          </cell>
          <cell r="FZ25">
            <v>0</v>
          </cell>
        </row>
        <row r="26">
          <cell r="A26" t="str">
            <v>F_CNP_NRF_EPA_UCS_FRCE_259</v>
          </cell>
          <cell r="B26">
            <v>0.1</v>
          </cell>
          <cell r="C26">
            <v>0.08</v>
          </cell>
          <cell r="D26">
            <v>0.15</v>
          </cell>
          <cell r="E26">
            <v>0.08</v>
          </cell>
          <cell r="F26">
            <v>0.15</v>
          </cell>
          <cell r="G26">
            <v>0.22</v>
          </cell>
          <cell r="H26">
            <v>7.0000000000000007E-2</v>
          </cell>
          <cell r="I26">
            <v>0.05</v>
          </cell>
          <cell r="J26">
            <v>0.13</v>
          </cell>
          <cell r="K26">
            <v>0.18</v>
          </cell>
          <cell r="L26">
            <v>0.17</v>
          </cell>
          <cell r="M26">
            <v>0.16</v>
          </cell>
          <cell r="N26">
            <v>0.8</v>
          </cell>
          <cell r="O26">
            <v>1</v>
          </cell>
          <cell r="P26">
            <v>1</v>
          </cell>
          <cell r="Q26">
            <v>0.8</v>
          </cell>
          <cell r="R26">
            <v>0.8</v>
          </cell>
          <cell r="S26">
            <v>1</v>
          </cell>
          <cell r="T26">
            <v>1</v>
          </cell>
          <cell r="U26">
            <v>1</v>
          </cell>
          <cell r="V26">
            <v>1</v>
          </cell>
          <cell r="W26">
            <v>1</v>
          </cell>
          <cell r="X26">
            <v>1</v>
          </cell>
          <cell r="Y26">
            <v>1</v>
          </cell>
          <cell r="Z26">
            <v>0.1</v>
          </cell>
          <cell r="AA26">
            <v>0.1</v>
          </cell>
          <cell r="AB26">
            <v>0.14000000000000001</v>
          </cell>
          <cell r="AC26">
            <v>0.11</v>
          </cell>
          <cell r="AD26">
            <v>0.11</v>
          </cell>
          <cell r="AE26">
            <v>0.19</v>
          </cell>
          <cell r="AF26">
            <v>0.09</v>
          </cell>
          <cell r="AG26">
            <v>0.11</v>
          </cell>
          <cell r="AH26">
            <v>0.15</v>
          </cell>
          <cell r="AI26">
            <v>0.2</v>
          </cell>
          <cell r="AJ26">
            <v>0.2</v>
          </cell>
          <cell r="AK26">
            <v>0.2</v>
          </cell>
          <cell r="AL26">
            <v>0</v>
          </cell>
          <cell r="AM26">
            <v>0</v>
          </cell>
          <cell r="AN26">
            <v>0</v>
          </cell>
          <cell r="AO26">
            <v>0</v>
          </cell>
          <cell r="AP26">
            <v>0</v>
          </cell>
          <cell r="AQ26">
            <v>0</v>
          </cell>
          <cell r="AR26">
            <v>0</v>
          </cell>
          <cell r="AS26">
            <v>0</v>
          </cell>
          <cell r="AT26">
            <v>0</v>
          </cell>
          <cell r="AU26">
            <v>0</v>
          </cell>
          <cell r="AV26">
            <v>0</v>
          </cell>
          <cell r="AW26">
            <v>0</v>
          </cell>
          <cell r="AX26">
            <v>0</v>
          </cell>
          <cell r="AY26">
            <v>0</v>
          </cell>
          <cell r="AZ26">
            <v>0</v>
          </cell>
          <cell r="BA26">
            <v>0</v>
          </cell>
          <cell r="BB26">
            <v>0</v>
          </cell>
          <cell r="BC26">
            <v>0</v>
          </cell>
          <cell r="BD26">
            <v>0</v>
          </cell>
          <cell r="BE26">
            <v>0</v>
          </cell>
          <cell r="BF26">
            <v>0</v>
          </cell>
          <cell r="BG26">
            <v>0</v>
          </cell>
          <cell r="BH26">
            <v>0</v>
          </cell>
          <cell r="BI26">
            <v>0</v>
          </cell>
          <cell r="BJ26">
            <v>0</v>
          </cell>
          <cell r="BK26">
            <v>0</v>
          </cell>
          <cell r="BL26">
            <v>0</v>
          </cell>
          <cell r="BM26">
            <v>0</v>
          </cell>
          <cell r="BN26">
            <v>0</v>
          </cell>
          <cell r="BO26">
            <v>0</v>
          </cell>
          <cell r="BP26">
            <v>0</v>
          </cell>
          <cell r="BQ26">
            <v>0</v>
          </cell>
          <cell r="BR26">
            <v>0</v>
          </cell>
          <cell r="BS26">
            <v>0</v>
          </cell>
          <cell r="BT26">
            <v>0</v>
          </cell>
          <cell r="BU26">
            <v>0</v>
          </cell>
          <cell r="BV26">
            <v>0</v>
          </cell>
          <cell r="BW26">
            <v>0</v>
          </cell>
          <cell r="BX26">
            <v>0</v>
          </cell>
          <cell r="BY26">
            <v>0</v>
          </cell>
          <cell r="BZ26">
            <v>0</v>
          </cell>
          <cell r="CA26">
            <v>0</v>
          </cell>
          <cell r="CB26">
            <v>0</v>
          </cell>
          <cell r="CC26">
            <v>0</v>
          </cell>
          <cell r="CD26">
            <v>0</v>
          </cell>
          <cell r="CE26">
            <v>0</v>
          </cell>
          <cell r="CF26">
            <v>0</v>
          </cell>
          <cell r="CG26">
            <v>0</v>
          </cell>
          <cell r="CH26">
            <v>0</v>
          </cell>
          <cell r="CI26">
            <v>0</v>
          </cell>
          <cell r="CJ26">
            <v>0</v>
          </cell>
          <cell r="CK26">
            <v>0</v>
          </cell>
          <cell r="CL26">
            <v>0</v>
          </cell>
          <cell r="CM26">
            <v>0</v>
          </cell>
          <cell r="CN26">
            <v>0</v>
          </cell>
          <cell r="CO26">
            <v>0</v>
          </cell>
          <cell r="CP26">
            <v>0</v>
          </cell>
          <cell r="CQ26">
            <v>0</v>
          </cell>
          <cell r="CR26">
            <v>0</v>
          </cell>
          <cell r="CS26">
            <v>0</v>
          </cell>
          <cell r="CT26">
            <v>0</v>
          </cell>
          <cell r="CU26">
            <v>0</v>
          </cell>
          <cell r="CV26">
            <v>0</v>
          </cell>
          <cell r="CW26">
            <v>0</v>
          </cell>
          <cell r="CX26">
            <v>0</v>
          </cell>
          <cell r="CY26">
            <v>0</v>
          </cell>
          <cell r="CZ26">
            <v>0</v>
          </cell>
          <cell r="DA26">
            <v>0</v>
          </cell>
          <cell r="DB26">
            <v>0</v>
          </cell>
          <cell r="DC26">
            <v>0</v>
          </cell>
          <cell r="DD26">
            <v>0</v>
          </cell>
          <cell r="DE26">
            <v>0</v>
          </cell>
          <cell r="DF26">
            <v>0</v>
          </cell>
          <cell r="DG26">
            <v>0</v>
          </cell>
          <cell r="DH26">
            <v>0</v>
          </cell>
          <cell r="DI26">
            <v>0</v>
          </cell>
          <cell r="DJ26">
            <v>0</v>
          </cell>
          <cell r="DK26">
            <v>0</v>
          </cell>
          <cell r="DL26">
            <v>0</v>
          </cell>
          <cell r="DM26">
            <v>0</v>
          </cell>
          <cell r="DN26">
            <v>0</v>
          </cell>
          <cell r="DO26">
            <v>0</v>
          </cell>
          <cell r="DP26">
            <v>0</v>
          </cell>
          <cell r="DQ26">
            <v>0</v>
          </cell>
          <cell r="DR26">
            <v>0</v>
          </cell>
          <cell r="DS26">
            <v>0</v>
          </cell>
          <cell r="DT26">
            <v>0</v>
          </cell>
          <cell r="DU26">
            <v>0</v>
          </cell>
          <cell r="DV26">
            <v>0</v>
          </cell>
          <cell r="DW26">
            <v>0</v>
          </cell>
          <cell r="DX26">
            <v>0</v>
          </cell>
          <cell r="DY26">
            <v>0</v>
          </cell>
          <cell r="EA26">
            <v>0</v>
          </cell>
          <cell r="EB26">
            <v>0</v>
          </cell>
          <cell r="EC26">
            <v>0</v>
          </cell>
          <cell r="ED26">
            <v>0.05</v>
          </cell>
          <cell r="EE26">
            <v>0.09</v>
          </cell>
          <cell r="EF26">
            <v>0.08</v>
          </cell>
          <cell r="EG26">
            <v>0.17</v>
          </cell>
          <cell r="EH26">
            <v>1</v>
          </cell>
          <cell r="EI26">
            <v>1</v>
          </cell>
          <cell r="EJ26">
            <v>1</v>
          </cell>
          <cell r="EK26">
            <v>1</v>
          </cell>
          <cell r="EL26">
            <v>0.05</v>
          </cell>
          <cell r="EM26">
            <v>0.14000000000000001</v>
          </cell>
          <cell r="EN26">
            <v>0.11</v>
          </cell>
          <cell r="EO26">
            <v>0.2</v>
          </cell>
          <cell r="EP26">
            <v>0</v>
          </cell>
          <cell r="EQ26">
            <v>0</v>
          </cell>
          <cell r="ER26">
            <v>0</v>
          </cell>
          <cell r="ES26">
            <v>0</v>
          </cell>
          <cell r="ET26">
            <v>0</v>
          </cell>
          <cell r="EU26">
            <v>0</v>
          </cell>
          <cell r="EV26">
            <v>0</v>
          </cell>
          <cell r="EW26">
            <v>0</v>
          </cell>
          <cell r="EX26">
            <v>1</v>
          </cell>
          <cell r="EY26">
            <v>1</v>
          </cell>
          <cell r="EZ26">
            <v>1</v>
          </cell>
          <cell r="FA26">
            <v>0</v>
          </cell>
          <cell r="FB26">
            <v>0</v>
          </cell>
          <cell r="FC26">
            <v>0</v>
          </cell>
          <cell r="FD26">
            <v>0</v>
          </cell>
          <cell r="FE26">
            <v>0</v>
          </cell>
          <cell r="FF26">
            <v>0</v>
          </cell>
          <cell r="FG26">
            <v>0</v>
          </cell>
          <cell r="FH26">
            <v>0</v>
          </cell>
          <cell r="FI26">
            <v>0</v>
          </cell>
          <cell r="FJ26">
            <v>0</v>
          </cell>
          <cell r="FK26">
            <v>0</v>
          </cell>
          <cell r="FL26">
            <v>0</v>
          </cell>
          <cell r="FM26">
            <v>0</v>
          </cell>
          <cell r="FN26">
            <v>0</v>
          </cell>
          <cell r="FO26">
            <v>0</v>
          </cell>
          <cell r="FP26">
            <v>0</v>
          </cell>
          <cell r="FQ26">
            <v>0</v>
          </cell>
          <cell r="FR26">
            <v>0</v>
          </cell>
          <cell r="FS26">
            <v>0</v>
          </cell>
          <cell r="FT26">
            <v>0</v>
          </cell>
          <cell r="FU26">
            <v>0</v>
          </cell>
          <cell r="FV26">
            <v>0</v>
          </cell>
          <cell r="FW26">
            <v>0</v>
          </cell>
          <cell r="FX26">
            <v>0</v>
          </cell>
          <cell r="FY26">
            <v>0</v>
          </cell>
          <cell r="FZ26">
            <v>0</v>
          </cell>
        </row>
        <row r="27">
          <cell r="A27" t="str">
            <v>F_CNP_NRF_EPA_UCS_FRCE_605</v>
          </cell>
          <cell r="B27">
            <v>0.1</v>
          </cell>
          <cell r="C27">
            <v>0.08</v>
          </cell>
          <cell r="D27">
            <v>0.15</v>
          </cell>
          <cell r="E27">
            <v>0.08</v>
          </cell>
          <cell r="F27">
            <v>0.15</v>
          </cell>
          <cell r="G27">
            <v>0.22</v>
          </cell>
          <cell r="H27">
            <v>7.0000000000000007E-2</v>
          </cell>
          <cell r="I27">
            <v>0.05</v>
          </cell>
          <cell r="J27">
            <v>0.13</v>
          </cell>
          <cell r="K27">
            <v>0.18</v>
          </cell>
          <cell r="L27">
            <v>0.17</v>
          </cell>
          <cell r="M27">
            <v>0.16</v>
          </cell>
          <cell r="N27">
            <v>0.8</v>
          </cell>
          <cell r="O27">
            <v>1</v>
          </cell>
          <cell r="P27">
            <v>1</v>
          </cell>
          <cell r="Q27">
            <v>0.8</v>
          </cell>
          <cell r="R27">
            <v>0.8</v>
          </cell>
          <cell r="S27">
            <v>1</v>
          </cell>
          <cell r="T27">
            <v>1</v>
          </cell>
          <cell r="U27">
            <v>1</v>
          </cell>
          <cell r="V27">
            <v>1</v>
          </cell>
          <cell r="W27">
            <v>1</v>
          </cell>
          <cell r="X27">
            <v>1</v>
          </cell>
          <cell r="Y27">
            <v>1</v>
          </cell>
          <cell r="Z27">
            <v>0.1</v>
          </cell>
          <cell r="AA27">
            <v>0.1</v>
          </cell>
          <cell r="AB27">
            <v>0.14000000000000001</v>
          </cell>
          <cell r="AC27">
            <v>0.11</v>
          </cell>
          <cell r="AD27">
            <v>0.11</v>
          </cell>
          <cell r="AE27">
            <v>0.19</v>
          </cell>
          <cell r="AF27">
            <v>0.09</v>
          </cell>
          <cell r="AG27">
            <v>0.11</v>
          </cell>
          <cell r="AH27">
            <v>0.15</v>
          </cell>
          <cell r="AI27">
            <v>0.2</v>
          </cell>
          <cell r="AJ27">
            <v>0.2</v>
          </cell>
          <cell r="AK27">
            <v>0.2</v>
          </cell>
          <cell r="AL27">
            <v>0</v>
          </cell>
          <cell r="AM27">
            <v>0</v>
          </cell>
          <cell r="AN27">
            <v>0</v>
          </cell>
          <cell r="AO27">
            <v>0</v>
          </cell>
          <cell r="AP27">
            <v>0</v>
          </cell>
          <cell r="AQ27">
            <v>0</v>
          </cell>
          <cell r="AR27">
            <v>0</v>
          </cell>
          <cell r="AS27">
            <v>0</v>
          </cell>
          <cell r="AT27">
            <v>0</v>
          </cell>
          <cell r="AU27">
            <v>0</v>
          </cell>
          <cell r="AV27">
            <v>0</v>
          </cell>
          <cell r="AW27">
            <v>0</v>
          </cell>
          <cell r="AX27">
            <v>0</v>
          </cell>
          <cell r="AY27">
            <v>0</v>
          </cell>
          <cell r="AZ27">
            <v>0</v>
          </cell>
          <cell r="BA27">
            <v>0</v>
          </cell>
          <cell r="BB27">
            <v>0</v>
          </cell>
          <cell r="BC27">
            <v>0</v>
          </cell>
          <cell r="BD27">
            <v>0</v>
          </cell>
          <cell r="BE27">
            <v>0</v>
          </cell>
          <cell r="BF27">
            <v>0</v>
          </cell>
          <cell r="BG27">
            <v>0</v>
          </cell>
          <cell r="BH27">
            <v>0</v>
          </cell>
          <cell r="BI27">
            <v>0</v>
          </cell>
          <cell r="BJ27">
            <v>0</v>
          </cell>
          <cell r="BK27">
            <v>0</v>
          </cell>
          <cell r="BL27">
            <v>0</v>
          </cell>
          <cell r="BM27">
            <v>0</v>
          </cell>
          <cell r="BN27">
            <v>0</v>
          </cell>
          <cell r="BO27">
            <v>0</v>
          </cell>
          <cell r="BP27">
            <v>0</v>
          </cell>
          <cell r="BQ27">
            <v>0</v>
          </cell>
          <cell r="BR27">
            <v>0</v>
          </cell>
          <cell r="BS27">
            <v>0</v>
          </cell>
          <cell r="BT27">
            <v>0</v>
          </cell>
          <cell r="BU27">
            <v>0</v>
          </cell>
          <cell r="BV27">
            <v>0</v>
          </cell>
          <cell r="BW27">
            <v>0</v>
          </cell>
          <cell r="BX27">
            <v>0</v>
          </cell>
          <cell r="BY27">
            <v>0</v>
          </cell>
          <cell r="BZ27">
            <v>0</v>
          </cell>
          <cell r="CA27">
            <v>0</v>
          </cell>
          <cell r="CB27">
            <v>0</v>
          </cell>
          <cell r="CC27">
            <v>0</v>
          </cell>
          <cell r="CD27">
            <v>0</v>
          </cell>
          <cell r="CE27">
            <v>0</v>
          </cell>
          <cell r="CF27">
            <v>0</v>
          </cell>
          <cell r="CG27">
            <v>0</v>
          </cell>
          <cell r="CH27">
            <v>0</v>
          </cell>
          <cell r="CI27">
            <v>0</v>
          </cell>
          <cell r="CJ27">
            <v>0</v>
          </cell>
          <cell r="CK27">
            <v>0</v>
          </cell>
          <cell r="CL27">
            <v>0</v>
          </cell>
          <cell r="CM27">
            <v>0</v>
          </cell>
          <cell r="CN27">
            <v>0</v>
          </cell>
          <cell r="CO27">
            <v>0</v>
          </cell>
          <cell r="CP27">
            <v>0</v>
          </cell>
          <cell r="CQ27">
            <v>0</v>
          </cell>
          <cell r="CR27">
            <v>0</v>
          </cell>
          <cell r="CS27">
            <v>0</v>
          </cell>
          <cell r="CT27">
            <v>0</v>
          </cell>
          <cell r="CU27">
            <v>0</v>
          </cell>
          <cell r="CV27">
            <v>0</v>
          </cell>
          <cell r="CW27">
            <v>0</v>
          </cell>
          <cell r="CX27">
            <v>0</v>
          </cell>
          <cell r="CY27">
            <v>0</v>
          </cell>
          <cell r="CZ27">
            <v>0</v>
          </cell>
          <cell r="DA27">
            <v>0</v>
          </cell>
          <cell r="DB27">
            <v>0</v>
          </cell>
          <cell r="DC27">
            <v>0</v>
          </cell>
          <cell r="DD27">
            <v>0</v>
          </cell>
          <cell r="DE27">
            <v>0</v>
          </cell>
          <cell r="DF27">
            <v>0</v>
          </cell>
          <cell r="DG27">
            <v>0</v>
          </cell>
          <cell r="DH27">
            <v>0</v>
          </cell>
          <cell r="DI27">
            <v>0</v>
          </cell>
          <cell r="DJ27">
            <v>0</v>
          </cell>
          <cell r="DK27">
            <v>0</v>
          </cell>
          <cell r="DL27">
            <v>0</v>
          </cell>
          <cell r="DM27">
            <v>0</v>
          </cell>
          <cell r="DN27">
            <v>0</v>
          </cell>
          <cell r="DO27">
            <v>0</v>
          </cell>
          <cell r="DP27">
            <v>0</v>
          </cell>
          <cell r="DQ27">
            <v>0</v>
          </cell>
          <cell r="DR27">
            <v>0</v>
          </cell>
          <cell r="DS27">
            <v>0</v>
          </cell>
          <cell r="DT27">
            <v>0</v>
          </cell>
          <cell r="DU27">
            <v>0</v>
          </cell>
          <cell r="DV27">
            <v>0</v>
          </cell>
          <cell r="DW27">
            <v>0</v>
          </cell>
          <cell r="DX27">
            <v>0</v>
          </cell>
          <cell r="DY27">
            <v>0</v>
          </cell>
          <cell r="EA27">
            <v>0</v>
          </cell>
          <cell r="EB27">
            <v>0</v>
          </cell>
          <cell r="EC27">
            <v>0</v>
          </cell>
          <cell r="ED27">
            <v>0.05</v>
          </cell>
          <cell r="EE27">
            <v>0.09</v>
          </cell>
          <cell r="EF27">
            <v>0.08</v>
          </cell>
          <cell r="EG27">
            <v>0.17</v>
          </cell>
          <cell r="EH27">
            <v>1</v>
          </cell>
          <cell r="EI27">
            <v>1</v>
          </cell>
          <cell r="EJ27">
            <v>1</v>
          </cell>
          <cell r="EK27">
            <v>1</v>
          </cell>
          <cell r="EL27">
            <v>0.05</v>
          </cell>
          <cell r="EM27">
            <v>0.14000000000000001</v>
          </cell>
          <cell r="EN27">
            <v>0.11</v>
          </cell>
          <cell r="EO27">
            <v>0.2</v>
          </cell>
          <cell r="EP27">
            <v>0</v>
          </cell>
          <cell r="EQ27">
            <v>0</v>
          </cell>
          <cell r="ER27">
            <v>0</v>
          </cell>
          <cell r="ES27">
            <v>0</v>
          </cell>
          <cell r="ET27">
            <v>0</v>
          </cell>
          <cell r="EU27">
            <v>0</v>
          </cell>
          <cell r="EV27">
            <v>0</v>
          </cell>
          <cell r="EW27">
            <v>0</v>
          </cell>
          <cell r="EX27">
            <v>1</v>
          </cell>
          <cell r="EY27">
            <v>1</v>
          </cell>
          <cell r="EZ27">
            <v>1</v>
          </cell>
          <cell r="FA27">
            <v>0</v>
          </cell>
          <cell r="FB27">
            <v>0</v>
          </cell>
          <cell r="FC27">
            <v>0</v>
          </cell>
          <cell r="FD27">
            <v>0</v>
          </cell>
          <cell r="FE27">
            <v>0</v>
          </cell>
          <cell r="FF27">
            <v>0</v>
          </cell>
          <cell r="FG27">
            <v>0</v>
          </cell>
          <cell r="FH27">
            <v>0</v>
          </cell>
          <cell r="FI27">
            <v>0</v>
          </cell>
          <cell r="FJ27">
            <v>0</v>
          </cell>
          <cell r="FK27">
            <v>0</v>
          </cell>
          <cell r="FL27">
            <v>0</v>
          </cell>
          <cell r="FM27">
            <v>0</v>
          </cell>
          <cell r="FN27">
            <v>0</v>
          </cell>
          <cell r="FO27">
            <v>0</v>
          </cell>
          <cell r="FP27">
            <v>0</v>
          </cell>
          <cell r="FQ27">
            <v>0</v>
          </cell>
          <cell r="FR27">
            <v>0</v>
          </cell>
          <cell r="FS27">
            <v>0</v>
          </cell>
          <cell r="FT27">
            <v>0</v>
          </cell>
          <cell r="FU27">
            <v>0</v>
          </cell>
          <cell r="FV27">
            <v>0</v>
          </cell>
          <cell r="FW27">
            <v>0</v>
          </cell>
          <cell r="FX27">
            <v>0</v>
          </cell>
          <cell r="FY27">
            <v>0</v>
          </cell>
          <cell r="FZ27">
            <v>0</v>
          </cell>
        </row>
        <row r="28">
          <cell r="A28" t="str">
            <v>F_CNP_NRF_EPA_UCS_FRCE_606</v>
          </cell>
          <cell r="B28">
            <v>0.1</v>
          </cell>
          <cell r="C28">
            <v>0.08</v>
          </cell>
          <cell r="D28">
            <v>0.15</v>
          </cell>
          <cell r="E28">
            <v>0.08</v>
          </cell>
          <cell r="F28">
            <v>0.15</v>
          </cell>
          <cell r="G28">
            <v>0.22</v>
          </cell>
          <cell r="H28">
            <v>7.0000000000000007E-2</v>
          </cell>
          <cell r="I28">
            <v>0.05</v>
          </cell>
          <cell r="J28">
            <v>0.13</v>
          </cell>
          <cell r="K28">
            <v>0.18</v>
          </cell>
          <cell r="L28">
            <v>0.17</v>
          </cell>
          <cell r="M28">
            <v>0.16</v>
          </cell>
          <cell r="N28">
            <v>0.8</v>
          </cell>
          <cell r="O28">
            <v>1</v>
          </cell>
          <cell r="P28">
            <v>1</v>
          </cell>
          <cell r="Q28">
            <v>0.8</v>
          </cell>
          <cell r="R28">
            <v>0.8</v>
          </cell>
          <cell r="S28">
            <v>1</v>
          </cell>
          <cell r="T28">
            <v>1</v>
          </cell>
          <cell r="U28">
            <v>1</v>
          </cell>
          <cell r="V28">
            <v>1</v>
          </cell>
          <cell r="W28">
            <v>1</v>
          </cell>
          <cell r="X28">
            <v>1</v>
          </cell>
          <cell r="Y28">
            <v>1</v>
          </cell>
          <cell r="Z28">
            <v>0.1</v>
          </cell>
          <cell r="AA28">
            <v>0.1</v>
          </cell>
          <cell r="AB28">
            <v>0.14000000000000001</v>
          </cell>
          <cell r="AC28">
            <v>0.11</v>
          </cell>
          <cell r="AD28">
            <v>0.11</v>
          </cell>
          <cell r="AE28">
            <v>0.19</v>
          </cell>
          <cell r="AF28">
            <v>0.09</v>
          </cell>
          <cell r="AG28">
            <v>0.11</v>
          </cell>
          <cell r="AH28">
            <v>0.15</v>
          </cell>
          <cell r="AI28">
            <v>0.2</v>
          </cell>
          <cell r="AJ28">
            <v>0.2</v>
          </cell>
          <cell r="AK28">
            <v>0.2</v>
          </cell>
          <cell r="AL28">
            <v>0</v>
          </cell>
          <cell r="AM28">
            <v>0</v>
          </cell>
          <cell r="AN28">
            <v>0</v>
          </cell>
          <cell r="AO28">
            <v>0</v>
          </cell>
          <cell r="AP28">
            <v>0</v>
          </cell>
          <cell r="AQ28">
            <v>0</v>
          </cell>
          <cell r="AR28">
            <v>0</v>
          </cell>
          <cell r="AS28">
            <v>0</v>
          </cell>
          <cell r="AT28">
            <v>0</v>
          </cell>
          <cell r="AU28">
            <v>0</v>
          </cell>
          <cell r="AV28">
            <v>0</v>
          </cell>
          <cell r="AW28">
            <v>0</v>
          </cell>
          <cell r="AX28">
            <v>0</v>
          </cell>
          <cell r="AY28">
            <v>0</v>
          </cell>
          <cell r="AZ28">
            <v>0</v>
          </cell>
          <cell r="BA28">
            <v>0</v>
          </cell>
          <cell r="BB28">
            <v>0</v>
          </cell>
          <cell r="BC28">
            <v>0</v>
          </cell>
          <cell r="BD28">
            <v>0</v>
          </cell>
          <cell r="BE28">
            <v>0</v>
          </cell>
          <cell r="BF28">
            <v>0</v>
          </cell>
          <cell r="BG28">
            <v>0</v>
          </cell>
          <cell r="BH28">
            <v>0</v>
          </cell>
          <cell r="BI28">
            <v>0</v>
          </cell>
          <cell r="BJ28">
            <v>0</v>
          </cell>
          <cell r="BK28">
            <v>0</v>
          </cell>
          <cell r="BL28">
            <v>0</v>
          </cell>
          <cell r="BM28">
            <v>0</v>
          </cell>
          <cell r="BN28">
            <v>0</v>
          </cell>
          <cell r="BO28">
            <v>0</v>
          </cell>
          <cell r="BP28">
            <v>0</v>
          </cell>
          <cell r="BQ28">
            <v>0</v>
          </cell>
          <cell r="BR28">
            <v>0</v>
          </cell>
          <cell r="BS28">
            <v>0</v>
          </cell>
          <cell r="BT28">
            <v>0</v>
          </cell>
          <cell r="BU28">
            <v>0</v>
          </cell>
          <cell r="BV28">
            <v>0</v>
          </cell>
          <cell r="BW28">
            <v>0</v>
          </cell>
          <cell r="BX28">
            <v>0</v>
          </cell>
          <cell r="BY28">
            <v>0</v>
          </cell>
          <cell r="BZ28">
            <v>0</v>
          </cell>
          <cell r="CA28">
            <v>0</v>
          </cell>
          <cell r="CB28">
            <v>0</v>
          </cell>
          <cell r="CC28">
            <v>0</v>
          </cell>
          <cell r="CD28">
            <v>0</v>
          </cell>
          <cell r="CE28">
            <v>0</v>
          </cell>
          <cell r="CF28">
            <v>0</v>
          </cell>
          <cell r="CG28">
            <v>0</v>
          </cell>
          <cell r="CH28">
            <v>0</v>
          </cell>
          <cell r="CI28">
            <v>0</v>
          </cell>
          <cell r="CJ28">
            <v>0</v>
          </cell>
          <cell r="CK28">
            <v>0</v>
          </cell>
          <cell r="CL28">
            <v>0</v>
          </cell>
          <cell r="CM28">
            <v>0</v>
          </cell>
          <cell r="CN28">
            <v>0</v>
          </cell>
          <cell r="CO28">
            <v>0</v>
          </cell>
          <cell r="CP28">
            <v>0</v>
          </cell>
          <cell r="CQ28">
            <v>0</v>
          </cell>
          <cell r="CR28">
            <v>0</v>
          </cell>
          <cell r="CS28">
            <v>0</v>
          </cell>
          <cell r="CT28">
            <v>0</v>
          </cell>
          <cell r="CU28">
            <v>0</v>
          </cell>
          <cell r="CV28">
            <v>0</v>
          </cell>
          <cell r="CW28">
            <v>0</v>
          </cell>
          <cell r="CX28">
            <v>0</v>
          </cell>
          <cell r="CY28">
            <v>0</v>
          </cell>
          <cell r="CZ28">
            <v>0</v>
          </cell>
          <cell r="DA28">
            <v>0</v>
          </cell>
          <cell r="DB28">
            <v>0</v>
          </cell>
          <cell r="DC28">
            <v>0</v>
          </cell>
          <cell r="DD28">
            <v>0</v>
          </cell>
          <cell r="DE28">
            <v>0</v>
          </cell>
          <cell r="DF28">
            <v>0</v>
          </cell>
          <cell r="DG28">
            <v>0</v>
          </cell>
          <cell r="DH28">
            <v>0</v>
          </cell>
          <cell r="DI28">
            <v>0</v>
          </cell>
          <cell r="DJ28">
            <v>0</v>
          </cell>
          <cell r="DK28">
            <v>0</v>
          </cell>
          <cell r="DL28">
            <v>0</v>
          </cell>
          <cell r="DM28">
            <v>0</v>
          </cell>
          <cell r="DN28">
            <v>0</v>
          </cell>
          <cell r="DO28">
            <v>0</v>
          </cell>
          <cell r="DP28">
            <v>0</v>
          </cell>
          <cell r="DQ28">
            <v>0</v>
          </cell>
          <cell r="DR28">
            <v>0</v>
          </cell>
          <cell r="DS28">
            <v>0</v>
          </cell>
          <cell r="DT28">
            <v>0</v>
          </cell>
          <cell r="DU28">
            <v>0</v>
          </cell>
          <cell r="DV28">
            <v>0</v>
          </cell>
          <cell r="DW28">
            <v>0</v>
          </cell>
          <cell r="DX28">
            <v>0</v>
          </cell>
          <cell r="DY28">
            <v>0</v>
          </cell>
          <cell r="EA28">
            <v>0</v>
          </cell>
          <cell r="EB28">
            <v>0</v>
          </cell>
          <cell r="EC28">
            <v>0</v>
          </cell>
          <cell r="ED28">
            <v>0.05</v>
          </cell>
          <cell r="EE28">
            <v>0.09</v>
          </cell>
          <cell r="EF28">
            <v>0.08</v>
          </cell>
          <cell r="EG28">
            <v>0.17</v>
          </cell>
          <cell r="EH28">
            <v>1</v>
          </cell>
          <cell r="EI28">
            <v>1</v>
          </cell>
          <cell r="EJ28">
            <v>1</v>
          </cell>
          <cell r="EK28">
            <v>1</v>
          </cell>
          <cell r="EL28">
            <v>0.05</v>
          </cell>
          <cell r="EM28">
            <v>0.14000000000000001</v>
          </cell>
          <cell r="EN28">
            <v>0.11</v>
          </cell>
          <cell r="EO28">
            <v>0.2</v>
          </cell>
          <cell r="EP28">
            <v>0</v>
          </cell>
          <cell r="EQ28">
            <v>0</v>
          </cell>
          <cell r="ER28">
            <v>0</v>
          </cell>
          <cell r="ES28">
            <v>0</v>
          </cell>
          <cell r="ET28">
            <v>0</v>
          </cell>
          <cell r="EU28">
            <v>0</v>
          </cell>
          <cell r="EV28">
            <v>0</v>
          </cell>
          <cell r="EW28">
            <v>0</v>
          </cell>
          <cell r="EX28">
            <v>1</v>
          </cell>
          <cell r="EY28">
            <v>1</v>
          </cell>
          <cell r="EZ28">
            <v>1</v>
          </cell>
          <cell r="FA28">
            <v>0</v>
          </cell>
          <cell r="FB28">
            <v>0</v>
          </cell>
          <cell r="FC28">
            <v>0</v>
          </cell>
          <cell r="FD28">
            <v>0</v>
          </cell>
          <cell r="FE28">
            <v>0</v>
          </cell>
          <cell r="FF28">
            <v>0</v>
          </cell>
          <cell r="FG28">
            <v>0</v>
          </cell>
          <cell r="FH28">
            <v>0</v>
          </cell>
          <cell r="FI28">
            <v>0</v>
          </cell>
          <cell r="FJ28">
            <v>0</v>
          </cell>
          <cell r="FK28">
            <v>0</v>
          </cell>
          <cell r="FL28">
            <v>0</v>
          </cell>
          <cell r="FM28">
            <v>0</v>
          </cell>
          <cell r="FN28">
            <v>0</v>
          </cell>
          <cell r="FO28">
            <v>0</v>
          </cell>
          <cell r="FP28">
            <v>0</v>
          </cell>
          <cell r="FQ28">
            <v>0</v>
          </cell>
          <cell r="FR28">
            <v>0</v>
          </cell>
          <cell r="FS28">
            <v>0</v>
          </cell>
          <cell r="FT28">
            <v>0</v>
          </cell>
          <cell r="FU28">
            <v>0</v>
          </cell>
          <cell r="FV28">
            <v>0</v>
          </cell>
          <cell r="FW28">
            <v>0</v>
          </cell>
          <cell r="FX28">
            <v>0</v>
          </cell>
          <cell r="FY28">
            <v>0</v>
          </cell>
          <cell r="FZ28">
            <v>0</v>
          </cell>
        </row>
        <row r="29">
          <cell r="A29" t="str">
            <v>F_CNP_NRF_EPA_UCS_FRCE_251</v>
          </cell>
          <cell r="B29">
            <v>0.1</v>
          </cell>
          <cell r="C29">
            <v>0.08</v>
          </cell>
          <cell r="D29">
            <v>0.15</v>
          </cell>
          <cell r="E29">
            <v>0.08</v>
          </cell>
          <cell r="F29">
            <v>0.15</v>
          </cell>
          <cell r="G29">
            <v>0.22</v>
          </cell>
          <cell r="H29">
            <v>7.0000000000000007E-2</v>
          </cell>
          <cell r="I29">
            <v>0.05</v>
          </cell>
          <cell r="J29">
            <v>0.13</v>
          </cell>
          <cell r="K29">
            <v>0.18</v>
          </cell>
          <cell r="L29">
            <v>0.17</v>
          </cell>
          <cell r="M29">
            <v>0.16</v>
          </cell>
          <cell r="N29">
            <v>0.8</v>
          </cell>
          <cell r="O29">
            <v>1</v>
          </cell>
          <cell r="P29">
            <v>1</v>
          </cell>
          <cell r="Q29">
            <v>0.8</v>
          </cell>
          <cell r="R29">
            <v>0.8</v>
          </cell>
          <cell r="S29">
            <v>1</v>
          </cell>
          <cell r="T29">
            <v>1</v>
          </cell>
          <cell r="U29">
            <v>1</v>
          </cell>
          <cell r="V29">
            <v>1</v>
          </cell>
          <cell r="W29">
            <v>1</v>
          </cell>
          <cell r="X29">
            <v>1</v>
          </cell>
          <cell r="Y29">
            <v>1</v>
          </cell>
          <cell r="Z29">
            <v>0.1</v>
          </cell>
          <cell r="AA29">
            <v>0.1</v>
          </cell>
          <cell r="AB29">
            <v>0.14000000000000001</v>
          </cell>
          <cell r="AC29">
            <v>0.11</v>
          </cell>
          <cell r="AD29">
            <v>0.11</v>
          </cell>
          <cell r="AE29">
            <v>0.19</v>
          </cell>
          <cell r="AF29">
            <v>0.09</v>
          </cell>
          <cell r="AG29">
            <v>0.11</v>
          </cell>
          <cell r="AH29">
            <v>0.15</v>
          </cell>
          <cell r="AI29">
            <v>0.2</v>
          </cell>
          <cell r="AJ29">
            <v>0.2</v>
          </cell>
          <cell r="AK29">
            <v>0.2</v>
          </cell>
          <cell r="AL29">
            <v>0</v>
          </cell>
          <cell r="AM29">
            <v>0</v>
          </cell>
          <cell r="AN29">
            <v>0</v>
          </cell>
          <cell r="AO29">
            <v>0</v>
          </cell>
          <cell r="AP29">
            <v>0</v>
          </cell>
          <cell r="AQ29">
            <v>0</v>
          </cell>
          <cell r="AR29">
            <v>0</v>
          </cell>
          <cell r="AS29">
            <v>0</v>
          </cell>
          <cell r="AT29">
            <v>0</v>
          </cell>
          <cell r="AU29">
            <v>0</v>
          </cell>
          <cell r="AV29">
            <v>0</v>
          </cell>
          <cell r="AW29">
            <v>0</v>
          </cell>
          <cell r="AX29">
            <v>0</v>
          </cell>
          <cell r="AY29">
            <v>0</v>
          </cell>
          <cell r="AZ29">
            <v>0</v>
          </cell>
          <cell r="BA29">
            <v>0</v>
          </cell>
          <cell r="BB29">
            <v>0</v>
          </cell>
          <cell r="BC29">
            <v>0</v>
          </cell>
          <cell r="BD29">
            <v>0</v>
          </cell>
          <cell r="BE29">
            <v>0</v>
          </cell>
          <cell r="BF29">
            <v>0</v>
          </cell>
          <cell r="BG29">
            <v>0</v>
          </cell>
          <cell r="BH29">
            <v>0</v>
          </cell>
          <cell r="BI29">
            <v>0</v>
          </cell>
          <cell r="BJ29">
            <v>0</v>
          </cell>
          <cell r="BK29">
            <v>0</v>
          </cell>
          <cell r="BL29">
            <v>0</v>
          </cell>
          <cell r="BM29">
            <v>0</v>
          </cell>
          <cell r="BN29">
            <v>0</v>
          </cell>
          <cell r="BO29">
            <v>0</v>
          </cell>
          <cell r="BP29">
            <v>0</v>
          </cell>
          <cell r="BQ29">
            <v>0</v>
          </cell>
          <cell r="BR29">
            <v>0</v>
          </cell>
          <cell r="BS29">
            <v>0</v>
          </cell>
          <cell r="BT29">
            <v>0</v>
          </cell>
          <cell r="BU29">
            <v>0</v>
          </cell>
          <cell r="BV29">
            <v>0</v>
          </cell>
          <cell r="BW29">
            <v>0</v>
          </cell>
          <cell r="BX29">
            <v>0</v>
          </cell>
          <cell r="BY29">
            <v>0</v>
          </cell>
          <cell r="BZ29">
            <v>0</v>
          </cell>
          <cell r="CA29">
            <v>0</v>
          </cell>
          <cell r="CB29">
            <v>0</v>
          </cell>
          <cell r="CC29">
            <v>0</v>
          </cell>
          <cell r="CD29">
            <v>0</v>
          </cell>
          <cell r="CE29">
            <v>0</v>
          </cell>
          <cell r="CF29">
            <v>0</v>
          </cell>
          <cell r="CG29">
            <v>0</v>
          </cell>
          <cell r="CH29">
            <v>0</v>
          </cell>
          <cell r="CI29">
            <v>0</v>
          </cell>
          <cell r="CJ29">
            <v>0</v>
          </cell>
          <cell r="CK29">
            <v>0</v>
          </cell>
          <cell r="CL29">
            <v>0</v>
          </cell>
          <cell r="CM29">
            <v>0</v>
          </cell>
          <cell r="CN29">
            <v>0</v>
          </cell>
          <cell r="CO29">
            <v>0</v>
          </cell>
          <cell r="CP29">
            <v>0</v>
          </cell>
          <cell r="CQ29">
            <v>0</v>
          </cell>
          <cell r="CR29">
            <v>0</v>
          </cell>
          <cell r="CS29">
            <v>0</v>
          </cell>
          <cell r="CT29">
            <v>0</v>
          </cell>
          <cell r="CU29">
            <v>0</v>
          </cell>
          <cell r="CV29">
            <v>0</v>
          </cell>
          <cell r="CW29">
            <v>0</v>
          </cell>
          <cell r="CX29">
            <v>0</v>
          </cell>
          <cell r="CY29">
            <v>0</v>
          </cell>
          <cell r="CZ29">
            <v>0</v>
          </cell>
          <cell r="DA29">
            <v>0</v>
          </cell>
          <cell r="DB29">
            <v>0</v>
          </cell>
          <cell r="DC29">
            <v>0</v>
          </cell>
          <cell r="DD29">
            <v>0</v>
          </cell>
          <cell r="DE29">
            <v>0</v>
          </cell>
          <cell r="DF29">
            <v>0</v>
          </cell>
          <cell r="DG29">
            <v>0</v>
          </cell>
          <cell r="DH29">
            <v>0</v>
          </cell>
          <cell r="DI29">
            <v>0</v>
          </cell>
          <cell r="DJ29">
            <v>0</v>
          </cell>
          <cell r="DK29">
            <v>0</v>
          </cell>
          <cell r="DL29">
            <v>0</v>
          </cell>
          <cell r="DM29">
            <v>0</v>
          </cell>
          <cell r="DN29">
            <v>0</v>
          </cell>
          <cell r="DO29">
            <v>0</v>
          </cell>
          <cell r="DP29">
            <v>0</v>
          </cell>
          <cell r="DQ29">
            <v>0</v>
          </cell>
          <cell r="DR29">
            <v>0</v>
          </cell>
          <cell r="DS29">
            <v>0</v>
          </cell>
          <cell r="DT29">
            <v>0</v>
          </cell>
          <cell r="DU29">
            <v>0</v>
          </cell>
          <cell r="DV29">
            <v>0</v>
          </cell>
          <cell r="DW29">
            <v>0</v>
          </cell>
          <cell r="DX29">
            <v>0</v>
          </cell>
          <cell r="DY29">
            <v>0</v>
          </cell>
          <cell r="EA29">
            <v>0</v>
          </cell>
          <cell r="EB29">
            <v>0</v>
          </cell>
          <cell r="EC29">
            <v>0</v>
          </cell>
          <cell r="ED29">
            <v>0.05</v>
          </cell>
          <cell r="EE29">
            <v>0.09</v>
          </cell>
          <cell r="EF29">
            <v>0.08</v>
          </cell>
          <cell r="EG29">
            <v>0.17</v>
          </cell>
          <cell r="EH29">
            <v>1</v>
          </cell>
          <cell r="EI29">
            <v>1</v>
          </cell>
          <cell r="EJ29">
            <v>1</v>
          </cell>
          <cell r="EK29">
            <v>1</v>
          </cell>
          <cell r="EL29">
            <v>0.05</v>
          </cell>
          <cell r="EM29">
            <v>0.14000000000000001</v>
          </cell>
          <cell r="EN29">
            <v>0.11</v>
          </cell>
          <cell r="EO29">
            <v>0.2</v>
          </cell>
          <cell r="EP29">
            <v>0</v>
          </cell>
          <cell r="EQ29">
            <v>0</v>
          </cell>
          <cell r="ER29">
            <v>0</v>
          </cell>
          <cell r="ES29">
            <v>0</v>
          </cell>
          <cell r="ET29">
            <v>0</v>
          </cell>
          <cell r="EU29">
            <v>0</v>
          </cell>
          <cell r="EV29">
            <v>0</v>
          </cell>
          <cell r="EW29">
            <v>0</v>
          </cell>
          <cell r="EX29">
            <v>1</v>
          </cell>
          <cell r="EY29">
            <v>1</v>
          </cell>
          <cell r="EZ29">
            <v>1</v>
          </cell>
          <cell r="FA29">
            <v>0</v>
          </cell>
          <cell r="FB29">
            <v>0</v>
          </cell>
          <cell r="FC29">
            <v>0</v>
          </cell>
          <cell r="FD29">
            <v>0</v>
          </cell>
          <cell r="FE29">
            <v>0</v>
          </cell>
          <cell r="FF29">
            <v>0</v>
          </cell>
          <cell r="FG29">
            <v>0</v>
          </cell>
          <cell r="FH29">
            <v>0</v>
          </cell>
          <cell r="FI29">
            <v>0</v>
          </cell>
          <cell r="FJ29">
            <v>0</v>
          </cell>
          <cell r="FK29">
            <v>0</v>
          </cell>
          <cell r="FL29">
            <v>0</v>
          </cell>
          <cell r="FM29">
            <v>0</v>
          </cell>
          <cell r="FN29">
            <v>0</v>
          </cell>
          <cell r="FO29">
            <v>0</v>
          </cell>
          <cell r="FP29">
            <v>0</v>
          </cell>
          <cell r="FQ29">
            <v>0</v>
          </cell>
          <cell r="FR29">
            <v>0</v>
          </cell>
          <cell r="FS29">
            <v>0</v>
          </cell>
          <cell r="FT29">
            <v>0</v>
          </cell>
          <cell r="FU29">
            <v>0</v>
          </cell>
          <cell r="FV29">
            <v>0</v>
          </cell>
          <cell r="FW29">
            <v>0</v>
          </cell>
          <cell r="FX29">
            <v>0</v>
          </cell>
          <cell r="FY29">
            <v>0</v>
          </cell>
          <cell r="FZ29">
            <v>0</v>
          </cell>
        </row>
        <row r="30">
          <cell r="A30" t="str">
            <v>F_CNP_NRF_EPA_UCS_FRCE_250</v>
          </cell>
          <cell r="B30">
            <v>0.1</v>
          </cell>
          <cell r="C30">
            <v>0.08</v>
          </cell>
          <cell r="D30">
            <v>0.15</v>
          </cell>
          <cell r="E30">
            <v>0.08</v>
          </cell>
          <cell r="F30">
            <v>0.15</v>
          </cell>
          <cell r="G30">
            <v>0.22</v>
          </cell>
          <cell r="H30">
            <v>7.0000000000000007E-2</v>
          </cell>
          <cell r="I30">
            <v>0.05</v>
          </cell>
          <cell r="J30">
            <v>0.13</v>
          </cell>
          <cell r="K30">
            <v>0.18</v>
          </cell>
          <cell r="L30">
            <v>0.17</v>
          </cell>
          <cell r="M30">
            <v>0.16</v>
          </cell>
          <cell r="N30">
            <v>0.8</v>
          </cell>
          <cell r="O30">
            <v>1</v>
          </cell>
          <cell r="P30">
            <v>1</v>
          </cell>
          <cell r="Q30">
            <v>0.8</v>
          </cell>
          <cell r="R30">
            <v>0.8</v>
          </cell>
          <cell r="S30">
            <v>1</v>
          </cell>
          <cell r="T30">
            <v>1</v>
          </cell>
          <cell r="U30">
            <v>1</v>
          </cell>
          <cell r="V30">
            <v>1</v>
          </cell>
          <cell r="W30">
            <v>1</v>
          </cell>
          <cell r="X30">
            <v>1</v>
          </cell>
          <cell r="Y30">
            <v>1</v>
          </cell>
          <cell r="Z30">
            <v>0.1</v>
          </cell>
          <cell r="AA30">
            <v>0.1</v>
          </cell>
          <cell r="AB30">
            <v>0.14000000000000001</v>
          </cell>
          <cell r="AC30">
            <v>0.11</v>
          </cell>
          <cell r="AD30">
            <v>0.11</v>
          </cell>
          <cell r="AE30">
            <v>0.19</v>
          </cell>
          <cell r="AF30">
            <v>0.09</v>
          </cell>
          <cell r="AG30">
            <v>0.11</v>
          </cell>
          <cell r="AH30">
            <v>0.15</v>
          </cell>
          <cell r="AI30">
            <v>0.2</v>
          </cell>
          <cell r="AJ30">
            <v>0.2</v>
          </cell>
          <cell r="AK30">
            <v>0.2</v>
          </cell>
          <cell r="AL30">
            <v>0</v>
          </cell>
          <cell r="AM30">
            <v>0</v>
          </cell>
          <cell r="AN30">
            <v>0</v>
          </cell>
          <cell r="AO30">
            <v>0</v>
          </cell>
          <cell r="AP30">
            <v>0</v>
          </cell>
          <cell r="AQ30">
            <v>0</v>
          </cell>
          <cell r="AR30">
            <v>0</v>
          </cell>
          <cell r="AS30">
            <v>0</v>
          </cell>
          <cell r="AT30">
            <v>0</v>
          </cell>
          <cell r="AU30">
            <v>0</v>
          </cell>
          <cell r="AV30">
            <v>0</v>
          </cell>
          <cell r="AW30">
            <v>0</v>
          </cell>
          <cell r="AX30">
            <v>0</v>
          </cell>
          <cell r="AY30">
            <v>0</v>
          </cell>
          <cell r="AZ30">
            <v>0</v>
          </cell>
          <cell r="BA30">
            <v>0</v>
          </cell>
          <cell r="BB30">
            <v>0</v>
          </cell>
          <cell r="BC30">
            <v>0</v>
          </cell>
          <cell r="BD30">
            <v>0</v>
          </cell>
          <cell r="BE30">
            <v>0</v>
          </cell>
          <cell r="BF30">
            <v>0</v>
          </cell>
          <cell r="BG30">
            <v>0</v>
          </cell>
          <cell r="BH30">
            <v>0</v>
          </cell>
          <cell r="BI30">
            <v>0</v>
          </cell>
          <cell r="BJ30">
            <v>0</v>
          </cell>
          <cell r="BK30">
            <v>0</v>
          </cell>
          <cell r="BL30">
            <v>0</v>
          </cell>
          <cell r="BM30">
            <v>0</v>
          </cell>
          <cell r="BN30">
            <v>0</v>
          </cell>
          <cell r="BO30">
            <v>0</v>
          </cell>
          <cell r="BP30">
            <v>0</v>
          </cell>
          <cell r="BQ30">
            <v>0</v>
          </cell>
          <cell r="BR30">
            <v>0</v>
          </cell>
          <cell r="BS30">
            <v>0</v>
          </cell>
          <cell r="BT30">
            <v>0</v>
          </cell>
          <cell r="BU30">
            <v>0</v>
          </cell>
          <cell r="BV30">
            <v>0</v>
          </cell>
          <cell r="BW30">
            <v>0</v>
          </cell>
          <cell r="BX30">
            <v>0</v>
          </cell>
          <cell r="BY30">
            <v>0</v>
          </cell>
          <cell r="BZ30">
            <v>0</v>
          </cell>
          <cell r="CA30">
            <v>0</v>
          </cell>
          <cell r="CB30">
            <v>0</v>
          </cell>
          <cell r="CC30">
            <v>0</v>
          </cell>
          <cell r="CD30">
            <v>0</v>
          </cell>
          <cell r="CE30">
            <v>0</v>
          </cell>
          <cell r="CF30">
            <v>0</v>
          </cell>
          <cell r="CG30">
            <v>0</v>
          </cell>
          <cell r="CH30">
            <v>0</v>
          </cell>
          <cell r="CI30">
            <v>0</v>
          </cell>
          <cell r="CJ30">
            <v>0</v>
          </cell>
          <cell r="CK30">
            <v>0</v>
          </cell>
          <cell r="CL30">
            <v>0</v>
          </cell>
          <cell r="CM30">
            <v>0</v>
          </cell>
          <cell r="CN30">
            <v>0</v>
          </cell>
          <cell r="CO30">
            <v>0</v>
          </cell>
          <cell r="CP30">
            <v>0</v>
          </cell>
          <cell r="CQ30">
            <v>0</v>
          </cell>
          <cell r="CR30">
            <v>0</v>
          </cell>
          <cell r="CS30">
            <v>0</v>
          </cell>
          <cell r="CT30">
            <v>0</v>
          </cell>
          <cell r="CU30">
            <v>0</v>
          </cell>
          <cell r="CV30">
            <v>0</v>
          </cell>
          <cell r="CW30">
            <v>0</v>
          </cell>
          <cell r="CX30">
            <v>0</v>
          </cell>
          <cell r="CY30">
            <v>0</v>
          </cell>
          <cell r="CZ30">
            <v>0</v>
          </cell>
          <cell r="DA30">
            <v>0</v>
          </cell>
          <cell r="DB30">
            <v>0</v>
          </cell>
          <cell r="DC30">
            <v>0</v>
          </cell>
          <cell r="DD30">
            <v>0</v>
          </cell>
          <cell r="DE30">
            <v>0</v>
          </cell>
          <cell r="DF30">
            <v>0</v>
          </cell>
          <cell r="DG30">
            <v>0</v>
          </cell>
          <cell r="DH30">
            <v>0</v>
          </cell>
          <cell r="DI30">
            <v>0</v>
          </cell>
          <cell r="DJ30">
            <v>0</v>
          </cell>
          <cell r="DK30">
            <v>0</v>
          </cell>
          <cell r="DL30">
            <v>0</v>
          </cell>
          <cell r="DM30">
            <v>0</v>
          </cell>
          <cell r="DN30">
            <v>0</v>
          </cell>
          <cell r="DO30">
            <v>0</v>
          </cell>
          <cell r="DP30">
            <v>0</v>
          </cell>
          <cell r="DQ30">
            <v>0</v>
          </cell>
          <cell r="DR30">
            <v>0</v>
          </cell>
          <cell r="DS30">
            <v>0</v>
          </cell>
          <cell r="DT30">
            <v>0</v>
          </cell>
          <cell r="DU30">
            <v>0</v>
          </cell>
          <cell r="DV30">
            <v>0</v>
          </cell>
          <cell r="DW30">
            <v>0</v>
          </cell>
          <cell r="DX30">
            <v>0</v>
          </cell>
          <cell r="DY30">
            <v>0</v>
          </cell>
          <cell r="EA30">
            <v>0</v>
          </cell>
          <cell r="EB30">
            <v>0</v>
          </cell>
          <cell r="EC30">
            <v>0</v>
          </cell>
          <cell r="ED30">
            <v>0.05</v>
          </cell>
          <cell r="EE30">
            <v>0.09</v>
          </cell>
          <cell r="EF30">
            <v>0.08</v>
          </cell>
          <cell r="EG30">
            <v>0.17</v>
          </cell>
          <cell r="EH30">
            <v>1</v>
          </cell>
          <cell r="EI30">
            <v>1</v>
          </cell>
          <cell r="EJ30">
            <v>1</v>
          </cell>
          <cell r="EK30">
            <v>1</v>
          </cell>
          <cell r="EL30">
            <v>0.05</v>
          </cell>
          <cell r="EM30">
            <v>0.14000000000000001</v>
          </cell>
          <cell r="EN30">
            <v>0.11</v>
          </cell>
          <cell r="EO30">
            <v>0.2</v>
          </cell>
          <cell r="EP30">
            <v>0</v>
          </cell>
          <cell r="EQ30">
            <v>0</v>
          </cell>
          <cell r="ER30">
            <v>0</v>
          </cell>
          <cell r="ES30">
            <v>0</v>
          </cell>
          <cell r="ET30">
            <v>0</v>
          </cell>
          <cell r="EU30">
            <v>0</v>
          </cell>
          <cell r="EV30">
            <v>0</v>
          </cell>
          <cell r="EW30">
            <v>0</v>
          </cell>
          <cell r="EX30">
            <v>1</v>
          </cell>
          <cell r="EY30">
            <v>1</v>
          </cell>
          <cell r="EZ30">
            <v>1</v>
          </cell>
          <cell r="FA30">
            <v>0</v>
          </cell>
          <cell r="FB30">
            <v>0</v>
          </cell>
          <cell r="FC30">
            <v>0</v>
          </cell>
          <cell r="FD30">
            <v>0</v>
          </cell>
          <cell r="FE30">
            <v>0</v>
          </cell>
          <cell r="FF30">
            <v>0</v>
          </cell>
          <cell r="FG30">
            <v>0</v>
          </cell>
          <cell r="FH30">
            <v>0</v>
          </cell>
          <cell r="FI30">
            <v>0</v>
          </cell>
          <cell r="FJ30">
            <v>0</v>
          </cell>
          <cell r="FK30">
            <v>0</v>
          </cell>
          <cell r="FL30">
            <v>0</v>
          </cell>
          <cell r="FM30">
            <v>0</v>
          </cell>
          <cell r="FN30">
            <v>0</v>
          </cell>
          <cell r="FO30">
            <v>0</v>
          </cell>
          <cell r="FP30">
            <v>0</v>
          </cell>
          <cell r="FQ30">
            <v>0</v>
          </cell>
          <cell r="FR30">
            <v>0</v>
          </cell>
          <cell r="FS30">
            <v>0</v>
          </cell>
          <cell r="FT30">
            <v>0</v>
          </cell>
          <cell r="FU30">
            <v>0</v>
          </cell>
          <cell r="FV30">
            <v>0</v>
          </cell>
          <cell r="FW30">
            <v>0</v>
          </cell>
          <cell r="FX30">
            <v>0</v>
          </cell>
          <cell r="FY30">
            <v>0</v>
          </cell>
          <cell r="FZ30">
            <v>0</v>
          </cell>
        </row>
        <row r="31">
          <cell r="A31" t="str">
            <v>F_CNP_NRF_EPA_UCS_FRCE_234</v>
          </cell>
          <cell r="B31">
            <v>0.1</v>
          </cell>
          <cell r="C31">
            <v>0.08</v>
          </cell>
          <cell r="D31">
            <v>0.15</v>
          </cell>
          <cell r="E31">
            <v>0.08</v>
          </cell>
          <cell r="F31">
            <v>0.15</v>
          </cell>
          <cell r="G31">
            <v>0.22</v>
          </cell>
          <cell r="H31">
            <v>7.0000000000000007E-2</v>
          </cell>
          <cell r="I31">
            <v>0.05</v>
          </cell>
          <cell r="J31">
            <v>0.13</v>
          </cell>
          <cell r="K31">
            <v>0.18</v>
          </cell>
          <cell r="L31">
            <v>0.17</v>
          </cell>
          <cell r="M31">
            <v>0.16</v>
          </cell>
          <cell r="N31">
            <v>0.8</v>
          </cell>
          <cell r="O31">
            <v>1</v>
          </cell>
          <cell r="P31">
            <v>1</v>
          </cell>
          <cell r="Q31">
            <v>0.8</v>
          </cell>
          <cell r="R31">
            <v>0.8</v>
          </cell>
          <cell r="S31">
            <v>1</v>
          </cell>
          <cell r="T31">
            <v>1</v>
          </cell>
          <cell r="U31">
            <v>1</v>
          </cell>
          <cell r="V31">
            <v>1</v>
          </cell>
          <cell r="W31">
            <v>1</v>
          </cell>
          <cell r="X31">
            <v>1</v>
          </cell>
          <cell r="Y31">
            <v>1</v>
          </cell>
          <cell r="Z31">
            <v>0.1</v>
          </cell>
          <cell r="AA31">
            <v>0.1</v>
          </cell>
          <cell r="AB31">
            <v>0.14000000000000001</v>
          </cell>
          <cell r="AC31">
            <v>0.11</v>
          </cell>
          <cell r="AD31">
            <v>0.11</v>
          </cell>
          <cell r="AE31">
            <v>0.19</v>
          </cell>
          <cell r="AF31">
            <v>0.09</v>
          </cell>
          <cell r="AG31">
            <v>0.11</v>
          </cell>
          <cell r="AH31">
            <v>0.15</v>
          </cell>
          <cell r="AI31">
            <v>0.2</v>
          </cell>
          <cell r="AJ31">
            <v>0.2</v>
          </cell>
          <cell r="AK31">
            <v>0.2</v>
          </cell>
          <cell r="AL31">
            <v>0</v>
          </cell>
          <cell r="AM31">
            <v>0</v>
          </cell>
          <cell r="AN31">
            <v>0</v>
          </cell>
          <cell r="AO31">
            <v>0</v>
          </cell>
          <cell r="AP31">
            <v>0</v>
          </cell>
          <cell r="AQ31">
            <v>0</v>
          </cell>
          <cell r="AR31">
            <v>0</v>
          </cell>
          <cell r="AS31">
            <v>0</v>
          </cell>
          <cell r="AT31">
            <v>0</v>
          </cell>
          <cell r="AU31">
            <v>0</v>
          </cell>
          <cell r="AV31">
            <v>0</v>
          </cell>
          <cell r="AW31">
            <v>0</v>
          </cell>
          <cell r="AX31">
            <v>0</v>
          </cell>
          <cell r="AY31">
            <v>0</v>
          </cell>
          <cell r="AZ31">
            <v>0</v>
          </cell>
          <cell r="BA31">
            <v>0</v>
          </cell>
          <cell r="BB31">
            <v>0</v>
          </cell>
          <cell r="BC31">
            <v>0</v>
          </cell>
          <cell r="BD31">
            <v>0</v>
          </cell>
          <cell r="BE31">
            <v>0</v>
          </cell>
          <cell r="BF31">
            <v>0</v>
          </cell>
          <cell r="BG31">
            <v>0</v>
          </cell>
          <cell r="BH31">
            <v>0</v>
          </cell>
          <cell r="BI31">
            <v>0</v>
          </cell>
          <cell r="BJ31">
            <v>0</v>
          </cell>
          <cell r="BK31">
            <v>0</v>
          </cell>
          <cell r="BL31">
            <v>0</v>
          </cell>
          <cell r="BM31">
            <v>0</v>
          </cell>
          <cell r="BN31">
            <v>0</v>
          </cell>
          <cell r="BO31">
            <v>0</v>
          </cell>
          <cell r="BP31">
            <v>0</v>
          </cell>
          <cell r="BQ31">
            <v>0</v>
          </cell>
          <cell r="BR31">
            <v>0</v>
          </cell>
          <cell r="BS31">
            <v>0</v>
          </cell>
          <cell r="BT31">
            <v>0</v>
          </cell>
          <cell r="BU31">
            <v>0</v>
          </cell>
          <cell r="BV31">
            <v>0</v>
          </cell>
          <cell r="BW31">
            <v>0</v>
          </cell>
          <cell r="BX31">
            <v>0</v>
          </cell>
          <cell r="BY31">
            <v>0</v>
          </cell>
          <cell r="BZ31">
            <v>0</v>
          </cell>
          <cell r="CA31">
            <v>0</v>
          </cell>
          <cell r="CB31">
            <v>0</v>
          </cell>
          <cell r="CC31">
            <v>0</v>
          </cell>
          <cell r="CD31">
            <v>0</v>
          </cell>
          <cell r="CE31">
            <v>0</v>
          </cell>
          <cell r="CF31">
            <v>0</v>
          </cell>
          <cell r="CG31">
            <v>0</v>
          </cell>
          <cell r="CH31">
            <v>0</v>
          </cell>
          <cell r="CI31">
            <v>0</v>
          </cell>
          <cell r="CJ31">
            <v>0</v>
          </cell>
          <cell r="CK31">
            <v>0</v>
          </cell>
          <cell r="CL31">
            <v>0</v>
          </cell>
          <cell r="CM31">
            <v>0</v>
          </cell>
          <cell r="CN31">
            <v>0</v>
          </cell>
          <cell r="CO31">
            <v>0</v>
          </cell>
          <cell r="CP31">
            <v>0</v>
          </cell>
          <cell r="CQ31">
            <v>0</v>
          </cell>
          <cell r="CR31">
            <v>0</v>
          </cell>
          <cell r="CS31">
            <v>0</v>
          </cell>
          <cell r="CT31">
            <v>0</v>
          </cell>
          <cell r="CU31">
            <v>0</v>
          </cell>
          <cell r="CV31">
            <v>0</v>
          </cell>
          <cell r="CW31">
            <v>0</v>
          </cell>
          <cell r="CX31">
            <v>0</v>
          </cell>
          <cell r="CY31">
            <v>0</v>
          </cell>
          <cell r="CZ31">
            <v>0</v>
          </cell>
          <cell r="DA31">
            <v>0</v>
          </cell>
          <cell r="DB31">
            <v>0</v>
          </cell>
          <cell r="DC31">
            <v>0</v>
          </cell>
          <cell r="DD31">
            <v>0</v>
          </cell>
          <cell r="DE31">
            <v>0</v>
          </cell>
          <cell r="DF31">
            <v>0</v>
          </cell>
          <cell r="DG31">
            <v>0</v>
          </cell>
          <cell r="DH31">
            <v>0</v>
          </cell>
          <cell r="DI31">
            <v>0</v>
          </cell>
          <cell r="DJ31">
            <v>0</v>
          </cell>
          <cell r="DK31">
            <v>0</v>
          </cell>
          <cell r="DL31">
            <v>0</v>
          </cell>
          <cell r="DM31">
            <v>0</v>
          </cell>
          <cell r="DN31">
            <v>0</v>
          </cell>
          <cell r="DO31">
            <v>0</v>
          </cell>
          <cell r="DP31">
            <v>0</v>
          </cell>
          <cell r="DQ31">
            <v>0</v>
          </cell>
          <cell r="DR31">
            <v>0</v>
          </cell>
          <cell r="DS31">
            <v>0</v>
          </cell>
          <cell r="DT31">
            <v>0</v>
          </cell>
          <cell r="DU31">
            <v>0</v>
          </cell>
          <cell r="DV31">
            <v>0</v>
          </cell>
          <cell r="DW31">
            <v>0</v>
          </cell>
          <cell r="DX31">
            <v>0</v>
          </cell>
          <cell r="DY31">
            <v>0</v>
          </cell>
          <cell r="EA31">
            <v>0</v>
          </cell>
          <cell r="EB31">
            <v>0</v>
          </cell>
          <cell r="EC31">
            <v>0</v>
          </cell>
          <cell r="ED31">
            <v>0.05</v>
          </cell>
          <cell r="EE31">
            <v>0.09</v>
          </cell>
          <cell r="EF31">
            <v>0.08</v>
          </cell>
          <cell r="EG31">
            <v>0.17</v>
          </cell>
          <cell r="EH31">
            <v>1</v>
          </cell>
          <cell r="EI31">
            <v>1</v>
          </cell>
          <cell r="EJ31">
            <v>1</v>
          </cell>
          <cell r="EK31">
            <v>1</v>
          </cell>
          <cell r="EL31">
            <v>0.05</v>
          </cell>
          <cell r="EM31">
            <v>0.14000000000000001</v>
          </cell>
          <cell r="EN31">
            <v>0.11</v>
          </cell>
          <cell r="EO31">
            <v>0.2</v>
          </cell>
          <cell r="EP31">
            <v>0</v>
          </cell>
          <cell r="EQ31">
            <v>0</v>
          </cell>
          <cell r="ER31">
            <v>0</v>
          </cell>
          <cell r="ES31">
            <v>0</v>
          </cell>
          <cell r="ET31">
            <v>0</v>
          </cell>
          <cell r="EU31">
            <v>0</v>
          </cell>
          <cell r="EV31">
            <v>0</v>
          </cell>
          <cell r="EW31">
            <v>0</v>
          </cell>
          <cell r="EX31">
            <v>1</v>
          </cell>
          <cell r="EY31">
            <v>1</v>
          </cell>
          <cell r="EZ31">
            <v>1</v>
          </cell>
          <cell r="FA31">
            <v>0</v>
          </cell>
          <cell r="FB31">
            <v>0</v>
          </cell>
          <cell r="FC31">
            <v>0</v>
          </cell>
          <cell r="FD31">
            <v>0</v>
          </cell>
          <cell r="FE31">
            <v>0</v>
          </cell>
          <cell r="FF31">
            <v>0</v>
          </cell>
          <cell r="FG31">
            <v>0</v>
          </cell>
          <cell r="FH31">
            <v>0</v>
          </cell>
          <cell r="FI31">
            <v>0</v>
          </cell>
          <cell r="FJ31">
            <v>0</v>
          </cell>
          <cell r="FK31">
            <v>0</v>
          </cell>
          <cell r="FL31">
            <v>0</v>
          </cell>
          <cell r="FM31">
            <v>0</v>
          </cell>
          <cell r="FN31">
            <v>0</v>
          </cell>
          <cell r="FO31">
            <v>0</v>
          </cell>
          <cell r="FP31">
            <v>0</v>
          </cell>
          <cell r="FQ31">
            <v>0</v>
          </cell>
          <cell r="FR31">
            <v>0</v>
          </cell>
          <cell r="FS31">
            <v>0</v>
          </cell>
          <cell r="FT31">
            <v>0</v>
          </cell>
          <cell r="FU31">
            <v>0</v>
          </cell>
          <cell r="FV31">
            <v>0</v>
          </cell>
          <cell r="FW31">
            <v>0</v>
          </cell>
          <cell r="FX31">
            <v>0</v>
          </cell>
          <cell r="FY31">
            <v>0</v>
          </cell>
          <cell r="FZ31">
            <v>0</v>
          </cell>
        </row>
        <row r="32">
          <cell r="A32" t="str">
            <v>F_CNP_NRF_EPA_UCS_FRCE_GCE</v>
          </cell>
          <cell r="B32">
            <v>0.1</v>
          </cell>
          <cell r="C32">
            <v>0.08</v>
          </cell>
          <cell r="D32">
            <v>0.15</v>
          </cell>
          <cell r="E32">
            <v>0.08</v>
          </cell>
          <cell r="F32">
            <v>0.15</v>
          </cell>
          <cell r="G32">
            <v>0.22</v>
          </cell>
          <cell r="H32">
            <v>7.0000000000000007E-2</v>
          </cell>
          <cell r="I32">
            <v>0.05</v>
          </cell>
          <cell r="J32">
            <v>0.13</v>
          </cell>
          <cell r="K32">
            <v>0.18</v>
          </cell>
          <cell r="L32">
            <v>0.17</v>
          </cell>
          <cell r="M32">
            <v>0.16</v>
          </cell>
          <cell r="N32">
            <v>0.8</v>
          </cell>
          <cell r="O32">
            <v>1</v>
          </cell>
          <cell r="P32">
            <v>1</v>
          </cell>
          <cell r="Q32">
            <v>0.8</v>
          </cell>
          <cell r="R32">
            <v>0.8</v>
          </cell>
          <cell r="S32">
            <v>1</v>
          </cell>
          <cell r="T32">
            <v>1</v>
          </cell>
          <cell r="U32">
            <v>1</v>
          </cell>
          <cell r="V32">
            <v>1</v>
          </cell>
          <cell r="W32">
            <v>1</v>
          </cell>
          <cell r="X32">
            <v>1</v>
          </cell>
          <cell r="Y32">
            <v>1</v>
          </cell>
          <cell r="Z32">
            <v>0.1</v>
          </cell>
          <cell r="AA32">
            <v>0.1</v>
          </cell>
          <cell r="AB32">
            <v>0.14000000000000001</v>
          </cell>
          <cell r="AC32">
            <v>0.11</v>
          </cell>
          <cell r="AD32">
            <v>0.11</v>
          </cell>
          <cell r="AE32">
            <v>0.19</v>
          </cell>
          <cell r="AF32">
            <v>0.09</v>
          </cell>
          <cell r="AG32">
            <v>0.11</v>
          </cell>
          <cell r="AH32">
            <v>0.15</v>
          </cell>
          <cell r="AI32">
            <v>0.2</v>
          </cell>
          <cell r="AJ32">
            <v>0.2</v>
          </cell>
          <cell r="AK32">
            <v>0.2</v>
          </cell>
          <cell r="AL32">
            <v>0</v>
          </cell>
          <cell r="AM32">
            <v>0</v>
          </cell>
          <cell r="AN32">
            <v>0</v>
          </cell>
          <cell r="AO32">
            <v>0</v>
          </cell>
          <cell r="AP32">
            <v>0</v>
          </cell>
          <cell r="AQ32">
            <v>0</v>
          </cell>
          <cell r="AR32">
            <v>0</v>
          </cell>
          <cell r="AS32">
            <v>0</v>
          </cell>
          <cell r="AT32">
            <v>0</v>
          </cell>
          <cell r="AU32">
            <v>0</v>
          </cell>
          <cell r="AV32">
            <v>0</v>
          </cell>
          <cell r="AW32">
            <v>0</v>
          </cell>
          <cell r="AX32">
            <v>0</v>
          </cell>
          <cell r="AY32">
            <v>0</v>
          </cell>
          <cell r="AZ32">
            <v>0</v>
          </cell>
          <cell r="BA32">
            <v>0</v>
          </cell>
          <cell r="BB32">
            <v>0</v>
          </cell>
          <cell r="BC32">
            <v>0</v>
          </cell>
          <cell r="BD32">
            <v>0</v>
          </cell>
          <cell r="BE32">
            <v>0</v>
          </cell>
          <cell r="BF32">
            <v>0</v>
          </cell>
          <cell r="BG32">
            <v>0</v>
          </cell>
          <cell r="BH32">
            <v>0</v>
          </cell>
          <cell r="BI32">
            <v>0</v>
          </cell>
          <cell r="BJ32">
            <v>0</v>
          </cell>
          <cell r="BK32">
            <v>0</v>
          </cell>
          <cell r="BL32">
            <v>0</v>
          </cell>
          <cell r="BM32">
            <v>0</v>
          </cell>
          <cell r="BN32">
            <v>0</v>
          </cell>
          <cell r="BO32">
            <v>0</v>
          </cell>
          <cell r="BP32">
            <v>0</v>
          </cell>
          <cell r="BQ32">
            <v>0</v>
          </cell>
          <cell r="BR32">
            <v>0</v>
          </cell>
          <cell r="BS32">
            <v>0</v>
          </cell>
          <cell r="BT32">
            <v>0</v>
          </cell>
          <cell r="BU32">
            <v>0</v>
          </cell>
          <cell r="BV32">
            <v>0</v>
          </cell>
          <cell r="BW32">
            <v>0</v>
          </cell>
          <cell r="BX32">
            <v>0</v>
          </cell>
          <cell r="BY32">
            <v>0</v>
          </cell>
          <cell r="BZ32">
            <v>0</v>
          </cell>
          <cell r="CA32">
            <v>0</v>
          </cell>
          <cell r="CB32">
            <v>0</v>
          </cell>
          <cell r="CC32">
            <v>0</v>
          </cell>
          <cell r="CD32">
            <v>0</v>
          </cell>
          <cell r="CE32">
            <v>0</v>
          </cell>
          <cell r="CF32">
            <v>0</v>
          </cell>
          <cell r="CG32">
            <v>0</v>
          </cell>
          <cell r="CH32">
            <v>0</v>
          </cell>
          <cell r="CI32">
            <v>0</v>
          </cell>
          <cell r="CJ32">
            <v>0</v>
          </cell>
          <cell r="CK32">
            <v>0</v>
          </cell>
          <cell r="CL32">
            <v>0</v>
          </cell>
          <cell r="CM32">
            <v>0</v>
          </cell>
          <cell r="CN32">
            <v>0</v>
          </cell>
          <cell r="CO32">
            <v>0</v>
          </cell>
          <cell r="CP32">
            <v>0</v>
          </cell>
          <cell r="CQ32">
            <v>0</v>
          </cell>
          <cell r="CR32">
            <v>0</v>
          </cell>
          <cell r="CS32">
            <v>0</v>
          </cell>
          <cell r="CT32">
            <v>0</v>
          </cell>
          <cell r="CU32">
            <v>0</v>
          </cell>
          <cell r="CV32">
            <v>0</v>
          </cell>
          <cell r="CW32">
            <v>0</v>
          </cell>
          <cell r="CX32">
            <v>0</v>
          </cell>
          <cell r="CY32">
            <v>0</v>
          </cell>
          <cell r="CZ32">
            <v>0</v>
          </cell>
          <cell r="DA32">
            <v>0</v>
          </cell>
          <cell r="DB32">
            <v>0</v>
          </cell>
          <cell r="DC32">
            <v>0</v>
          </cell>
          <cell r="DD32">
            <v>0</v>
          </cell>
          <cell r="DE32">
            <v>0</v>
          </cell>
          <cell r="DF32">
            <v>0</v>
          </cell>
          <cell r="DG32">
            <v>0</v>
          </cell>
          <cell r="DH32">
            <v>0</v>
          </cell>
          <cell r="DI32">
            <v>0</v>
          </cell>
          <cell r="DJ32">
            <v>0</v>
          </cell>
          <cell r="DK32">
            <v>0</v>
          </cell>
          <cell r="DL32">
            <v>0</v>
          </cell>
          <cell r="DM32">
            <v>0</v>
          </cell>
          <cell r="DN32">
            <v>0</v>
          </cell>
          <cell r="DO32">
            <v>0</v>
          </cell>
          <cell r="DP32">
            <v>0</v>
          </cell>
          <cell r="DQ32">
            <v>0</v>
          </cell>
          <cell r="DR32">
            <v>0</v>
          </cell>
          <cell r="DS32">
            <v>0</v>
          </cell>
          <cell r="DT32">
            <v>0</v>
          </cell>
          <cell r="DU32">
            <v>0</v>
          </cell>
          <cell r="DV32">
            <v>0</v>
          </cell>
          <cell r="DW32">
            <v>0</v>
          </cell>
          <cell r="DX32">
            <v>0</v>
          </cell>
          <cell r="DY32">
            <v>0</v>
          </cell>
          <cell r="EA32">
            <v>0</v>
          </cell>
          <cell r="EB32">
            <v>0</v>
          </cell>
          <cell r="EC32">
            <v>0</v>
          </cell>
          <cell r="ED32">
            <v>0.05</v>
          </cell>
          <cell r="EE32">
            <v>0.09</v>
          </cell>
          <cell r="EF32">
            <v>0.08</v>
          </cell>
          <cell r="EG32">
            <v>0.17</v>
          </cell>
          <cell r="EH32">
            <v>1</v>
          </cell>
          <cell r="EI32">
            <v>1</v>
          </cell>
          <cell r="EJ32">
            <v>1</v>
          </cell>
          <cell r="EK32">
            <v>1</v>
          </cell>
          <cell r="EL32">
            <v>0.05</v>
          </cell>
          <cell r="EM32">
            <v>0.14000000000000001</v>
          </cell>
          <cell r="EN32">
            <v>0.11</v>
          </cell>
          <cell r="EO32">
            <v>0.2</v>
          </cell>
          <cell r="EP32">
            <v>0</v>
          </cell>
          <cell r="EQ32">
            <v>0</v>
          </cell>
          <cell r="ER32">
            <v>0</v>
          </cell>
          <cell r="ES32">
            <v>0</v>
          </cell>
          <cell r="ET32">
            <v>0</v>
          </cell>
          <cell r="EU32">
            <v>0</v>
          </cell>
          <cell r="EV32">
            <v>0</v>
          </cell>
          <cell r="EW32">
            <v>0</v>
          </cell>
          <cell r="EX32">
            <v>1</v>
          </cell>
          <cell r="EY32">
            <v>1</v>
          </cell>
          <cell r="EZ32">
            <v>1</v>
          </cell>
          <cell r="FA32">
            <v>0</v>
          </cell>
          <cell r="FB32">
            <v>0</v>
          </cell>
          <cell r="FC32">
            <v>0</v>
          </cell>
          <cell r="FD32">
            <v>0</v>
          </cell>
          <cell r="FE32">
            <v>0</v>
          </cell>
          <cell r="FF32">
            <v>0</v>
          </cell>
          <cell r="FG32">
            <v>0</v>
          </cell>
          <cell r="FH32">
            <v>0</v>
          </cell>
          <cell r="FI32">
            <v>0</v>
          </cell>
          <cell r="FJ32">
            <v>0</v>
          </cell>
          <cell r="FK32">
            <v>0</v>
          </cell>
          <cell r="FL32">
            <v>0</v>
          </cell>
          <cell r="FM32">
            <v>0</v>
          </cell>
          <cell r="FN32">
            <v>0</v>
          </cell>
          <cell r="FO32">
            <v>0</v>
          </cell>
          <cell r="FP32">
            <v>0</v>
          </cell>
          <cell r="FQ32">
            <v>0</v>
          </cell>
          <cell r="FR32">
            <v>0</v>
          </cell>
          <cell r="FS32">
            <v>0</v>
          </cell>
          <cell r="FT32">
            <v>0</v>
          </cell>
          <cell r="FU32">
            <v>0</v>
          </cell>
          <cell r="FV32">
            <v>0</v>
          </cell>
          <cell r="FW32">
            <v>0</v>
          </cell>
          <cell r="FX32">
            <v>0</v>
          </cell>
          <cell r="FY32">
            <v>0</v>
          </cell>
          <cell r="FZ32">
            <v>0</v>
          </cell>
        </row>
        <row r="33">
          <cell r="A33" t="str">
            <v>F_CNP_NRF_EPA_UCS_FRCE_GBP</v>
          </cell>
          <cell r="B33">
            <v>0.1</v>
          </cell>
          <cell r="C33">
            <v>0.08</v>
          </cell>
          <cell r="D33">
            <v>0.15</v>
          </cell>
          <cell r="E33">
            <v>0.08</v>
          </cell>
          <cell r="F33">
            <v>0.15</v>
          </cell>
          <cell r="G33">
            <v>0.22</v>
          </cell>
          <cell r="H33">
            <v>7.0000000000000007E-2</v>
          </cell>
          <cell r="I33">
            <v>0.05</v>
          </cell>
          <cell r="J33">
            <v>0.13</v>
          </cell>
          <cell r="K33">
            <v>0.18</v>
          </cell>
          <cell r="L33">
            <v>0.17</v>
          </cell>
          <cell r="M33">
            <v>0.16</v>
          </cell>
          <cell r="N33">
            <v>0.8</v>
          </cell>
          <cell r="O33">
            <v>1</v>
          </cell>
          <cell r="P33">
            <v>1</v>
          </cell>
          <cell r="Q33">
            <v>0.8</v>
          </cell>
          <cell r="R33">
            <v>0.8</v>
          </cell>
          <cell r="S33">
            <v>1</v>
          </cell>
          <cell r="T33">
            <v>1</v>
          </cell>
          <cell r="U33">
            <v>1</v>
          </cell>
          <cell r="V33">
            <v>1</v>
          </cell>
          <cell r="W33">
            <v>1</v>
          </cell>
          <cell r="X33">
            <v>1</v>
          </cell>
          <cell r="Y33">
            <v>1</v>
          </cell>
          <cell r="Z33">
            <v>0.1</v>
          </cell>
          <cell r="AA33">
            <v>0.1</v>
          </cell>
          <cell r="AB33">
            <v>0.14000000000000001</v>
          </cell>
          <cell r="AC33">
            <v>0.11</v>
          </cell>
          <cell r="AD33">
            <v>0.11</v>
          </cell>
          <cell r="AE33">
            <v>0.19</v>
          </cell>
          <cell r="AF33">
            <v>0.09</v>
          </cell>
          <cell r="AG33">
            <v>0.11</v>
          </cell>
          <cell r="AH33">
            <v>0.15</v>
          </cell>
          <cell r="AI33">
            <v>0.2</v>
          </cell>
          <cell r="AJ33">
            <v>0.2</v>
          </cell>
          <cell r="AK33">
            <v>0.2</v>
          </cell>
          <cell r="AL33">
            <v>0</v>
          </cell>
          <cell r="AM33">
            <v>0</v>
          </cell>
          <cell r="AN33">
            <v>0</v>
          </cell>
          <cell r="AO33">
            <v>0</v>
          </cell>
          <cell r="AP33">
            <v>0</v>
          </cell>
          <cell r="AQ33">
            <v>0</v>
          </cell>
          <cell r="AR33">
            <v>0</v>
          </cell>
          <cell r="AS33">
            <v>0</v>
          </cell>
          <cell r="AT33">
            <v>0</v>
          </cell>
          <cell r="AU33">
            <v>0</v>
          </cell>
          <cell r="AV33">
            <v>0</v>
          </cell>
          <cell r="AW33">
            <v>0</v>
          </cell>
          <cell r="AX33">
            <v>0</v>
          </cell>
          <cell r="AY33">
            <v>0</v>
          </cell>
          <cell r="AZ33">
            <v>0</v>
          </cell>
          <cell r="BA33">
            <v>0</v>
          </cell>
          <cell r="BB33">
            <v>0</v>
          </cell>
          <cell r="BC33">
            <v>0</v>
          </cell>
          <cell r="BD33">
            <v>0</v>
          </cell>
          <cell r="BE33">
            <v>0</v>
          </cell>
          <cell r="BF33">
            <v>0</v>
          </cell>
          <cell r="BG33">
            <v>0</v>
          </cell>
          <cell r="BH33">
            <v>0</v>
          </cell>
          <cell r="BI33">
            <v>0</v>
          </cell>
          <cell r="BJ33">
            <v>0</v>
          </cell>
          <cell r="BK33">
            <v>0</v>
          </cell>
          <cell r="BL33">
            <v>0</v>
          </cell>
          <cell r="BM33">
            <v>0</v>
          </cell>
          <cell r="BN33">
            <v>0</v>
          </cell>
          <cell r="BO33">
            <v>0</v>
          </cell>
          <cell r="BP33">
            <v>0</v>
          </cell>
          <cell r="BQ33">
            <v>0</v>
          </cell>
          <cell r="BR33">
            <v>0</v>
          </cell>
          <cell r="BS33">
            <v>0</v>
          </cell>
          <cell r="BT33">
            <v>0</v>
          </cell>
          <cell r="BU33">
            <v>0</v>
          </cell>
          <cell r="BV33">
            <v>0</v>
          </cell>
          <cell r="BW33">
            <v>0</v>
          </cell>
          <cell r="BX33">
            <v>0</v>
          </cell>
          <cell r="BY33">
            <v>0</v>
          </cell>
          <cell r="BZ33">
            <v>0</v>
          </cell>
          <cell r="CA33">
            <v>0</v>
          </cell>
          <cell r="CB33">
            <v>0</v>
          </cell>
          <cell r="CC33">
            <v>0</v>
          </cell>
          <cell r="CD33">
            <v>0</v>
          </cell>
          <cell r="CE33">
            <v>0</v>
          </cell>
          <cell r="CF33">
            <v>0</v>
          </cell>
          <cell r="CG33">
            <v>0</v>
          </cell>
          <cell r="CH33">
            <v>0</v>
          </cell>
          <cell r="CI33">
            <v>0</v>
          </cell>
          <cell r="CJ33">
            <v>0</v>
          </cell>
          <cell r="CK33">
            <v>0</v>
          </cell>
          <cell r="CL33">
            <v>0</v>
          </cell>
          <cell r="CM33">
            <v>0</v>
          </cell>
          <cell r="CN33">
            <v>0</v>
          </cell>
          <cell r="CO33">
            <v>0</v>
          </cell>
          <cell r="CP33">
            <v>0</v>
          </cell>
          <cell r="CQ33">
            <v>0</v>
          </cell>
          <cell r="CR33">
            <v>0</v>
          </cell>
          <cell r="CS33">
            <v>0</v>
          </cell>
          <cell r="CT33">
            <v>0</v>
          </cell>
          <cell r="CU33">
            <v>0</v>
          </cell>
          <cell r="CV33">
            <v>0</v>
          </cell>
          <cell r="CW33">
            <v>0</v>
          </cell>
          <cell r="CX33">
            <v>0</v>
          </cell>
          <cell r="CY33">
            <v>0</v>
          </cell>
          <cell r="CZ33">
            <v>0</v>
          </cell>
          <cell r="DA33">
            <v>0</v>
          </cell>
          <cell r="DB33">
            <v>0</v>
          </cell>
          <cell r="DC33">
            <v>0</v>
          </cell>
          <cell r="DD33">
            <v>0</v>
          </cell>
          <cell r="DE33">
            <v>0</v>
          </cell>
          <cell r="DF33">
            <v>0</v>
          </cell>
          <cell r="DG33">
            <v>0</v>
          </cell>
          <cell r="DH33">
            <v>0</v>
          </cell>
          <cell r="DI33">
            <v>0</v>
          </cell>
          <cell r="DJ33">
            <v>0</v>
          </cell>
          <cell r="DK33">
            <v>0</v>
          </cell>
          <cell r="DL33">
            <v>0</v>
          </cell>
          <cell r="DM33">
            <v>0</v>
          </cell>
          <cell r="DN33">
            <v>0</v>
          </cell>
          <cell r="DO33">
            <v>0</v>
          </cell>
          <cell r="DP33">
            <v>0</v>
          </cell>
          <cell r="DQ33">
            <v>0</v>
          </cell>
          <cell r="DR33">
            <v>0</v>
          </cell>
          <cell r="DS33">
            <v>0</v>
          </cell>
          <cell r="DT33">
            <v>0</v>
          </cell>
          <cell r="DU33">
            <v>0</v>
          </cell>
          <cell r="DV33">
            <v>0</v>
          </cell>
          <cell r="DW33">
            <v>0</v>
          </cell>
          <cell r="DX33">
            <v>0</v>
          </cell>
          <cell r="DY33">
            <v>0</v>
          </cell>
          <cell r="EA33">
            <v>0</v>
          </cell>
          <cell r="EB33">
            <v>0</v>
          </cell>
          <cell r="EC33">
            <v>0</v>
          </cell>
          <cell r="ED33">
            <v>0.05</v>
          </cell>
          <cell r="EE33">
            <v>0.09</v>
          </cell>
          <cell r="EF33">
            <v>0.08</v>
          </cell>
          <cell r="EG33">
            <v>0.17</v>
          </cell>
          <cell r="EH33">
            <v>1</v>
          </cell>
          <cell r="EI33">
            <v>1</v>
          </cell>
          <cell r="EJ33">
            <v>1</v>
          </cell>
          <cell r="EK33">
            <v>1</v>
          </cell>
          <cell r="EL33">
            <v>0.05</v>
          </cell>
          <cell r="EM33">
            <v>0.14000000000000001</v>
          </cell>
          <cell r="EN33">
            <v>0.11</v>
          </cell>
          <cell r="EO33">
            <v>0.2</v>
          </cell>
          <cell r="EP33">
            <v>0</v>
          </cell>
          <cell r="EQ33">
            <v>0</v>
          </cell>
          <cell r="ER33">
            <v>0</v>
          </cell>
          <cell r="ES33">
            <v>0</v>
          </cell>
          <cell r="ET33">
            <v>0</v>
          </cell>
          <cell r="EU33">
            <v>0</v>
          </cell>
          <cell r="EV33">
            <v>0</v>
          </cell>
          <cell r="EW33">
            <v>0</v>
          </cell>
          <cell r="EX33">
            <v>1</v>
          </cell>
          <cell r="EY33">
            <v>1</v>
          </cell>
          <cell r="EZ33">
            <v>1</v>
          </cell>
          <cell r="FA33">
            <v>0</v>
          </cell>
          <cell r="FB33">
            <v>0</v>
          </cell>
          <cell r="FC33">
            <v>0</v>
          </cell>
          <cell r="FD33">
            <v>0</v>
          </cell>
          <cell r="FE33">
            <v>0</v>
          </cell>
          <cell r="FF33">
            <v>0</v>
          </cell>
          <cell r="FG33">
            <v>0</v>
          </cell>
          <cell r="FH33">
            <v>0</v>
          </cell>
          <cell r="FI33">
            <v>0</v>
          </cell>
          <cell r="FJ33">
            <v>0</v>
          </cell>
          <cell r="FK33">
            <v>0</v>
          </cell>
          <cell r="FL33">
            <v>0</v>
          </cell>
          <cell r="FM33">
            <v>0</v>
          </cell>
          <cell r="FN33">
            <v>0</v>
          </cell>
          <cell r="FO33">
            <v>0</v>
          </cell>
          <cell r="FP33">
            <v>0</v>
          </cell>
          <cell r="FQ33">
            <v>0</v>
          </cell>
          <cell r="FR33">
            <v>0</v>
          </cell>
          <cell r="FS33">
            <v>0</v>
          </cell>
          <cell r="FT33">
            <v>0</v>
          </cell>
          <cell r="FU33">
            <v>0</v>
          </cell>
          <cell r="FV33">
            <v>0</v>
          </cell>
          <cell r="FW33">
            <v>0</v>
          </cell>
          <cell r="FX33">
            <v>0</v>
          </cell>
          <cell r="FY33">
            <v>0</v>
          </cell>
          <cell r="FZ33">
            <v>0</v>
          </cell>
        </row>
        <row r="34">
          <cell r="A34" t="str">
            <v>F_CNP_NRF_EPA_UCS_FRCE_GTR</v>
          </cell>
          <cell r="B34">
            <v>0.1</v>
          </cell>
          <cell r="C34">
            <v>0.08</v>
          </cell>
          <cell r="D34">
            <v>0.15</v>
          </cell>
          <cell r="E34">
            <v>0.08</v>
          </cell>
          <cell r="F34">
            <v>0.15</v>
          </cell>
          <cell r="G34">
            <v>0.22</v>
          </cell>
          <cell r="H34">
            <v>7.0000000000000007E-2</v>
          </cell>
          <cell r="I34">
            <v>0.05</v>
          </cell>
          <cell r="J34">
            <v>0.13</v>
          </cell>
          <cell r="K34">
            <v>0.18</v>
          </cell>
          <cell r="L34">
            <v>0.17</v>
          </cell>
          <cell r="M34">
            <v>0.16</v>
          </cell>
          <cell r="N34">
            <v>0.8</v>
          </cell>
          <cell r="O34">
            <v>1</v>
          </cell>
          <cell r="P34">
            <v>1</v>
          </cell>
          <cell r="Q34">
            <v>0.8</v>
          </cell>
          <cell r="R34">
            <v>0.8</v>
          </cell>
          <cell r="S34">
            <v>1</v>
          </cell>
          <cell r="T34">
            <v>1</v>
          </cell>
          <cell r="U34">
            <v>1</v>
          </cell>
          <cell r="V34">
            <v>1</v>
          </cell>
          <cell r="W34">
            <v>1</v>
          </cell>
          <cell r="X34">
            <v>1</v>
          </cell>
          <cell r="Y34">
            <v>1</v>
          </cell>
          <cell r="Z34">
            <v>0.1</v>
          </cell>
          <cell r="AA34">
            <v>0.1</v>
          </cell>
          <cell r="AB34">
            <v>0.14000000000000001</v>
          </cell>
          <cell r="AC34">
            <v>0.11</v>
          </cell>
          <cell r="AD34">
            <v>0.11</v>
          </cell>
          <cell r="AE34">
            <v>0.19</v>
          </cell>
          <cell r="AF34">
            <v>0.09</v>
          </cell>
          <cell r="AG34">
            <v>0.11</v>
          </cell>
          <cell r="AH34">
            <v>0.15</v>
          </cell>
          <cell r="AI34">
            <v>0.2</v>
          </cell>
          <cell r="AJ34">
            <v>0.2</v>
          </cell>
          <cell r="AK34">
            <v>0.2</v>
          </cell>
          <cell r="AL34">
            <v>0</v>
          </cell>
          <cell r="AM34">
            <v>0</v>
          </cell>
          <cell r="AN34">
            <v>0</v>
          </cell>
          <cell r="AO34">
            <v>0</v>
          </cell>
          <cell r="AP34">
            <v>0</v>
          </cell>
          <cell r="AQ34">
            <v>0</v>
          </cell>
          <cell r="AR34">
            <v>0</v>
          </cell>
          <cell r="AS34">
            <v>0</v>
          </cell>
          <cell r="AT34">
            <v>0</v>
          </cell>
          <cell r="AU34">
            <v>0</v>
          </cell>
          <cell r="AV34">
            <v>0</v>
          </cell>
          <cell r="AW34">
            <v>0</v>
          </cell>
          <cell r="AX34">
            <v>0</v>
          </cell>
          <cell r="AY34">
            <v>0</v>
          </cell>
          <cell r="AZ34">
            <v>0</v>
          </cell>
          <cell r="BA34">
            <v>0</v>
          </cell>
          <cell r="BB34">
            <v>0</v>
          </cell>
          <cell r="BC34">
            <v>0</v>
          </cell>
          <cell r="BD34">
            <v>0</v>
          </cell>
          <cell r="BE34">
            <v>0</v>
          </cell>
          <cell r="BF34">
            <v>0</v>
          </cell>
          <cell r="BG34">
            <v>0</v>
          </cell>
          <cell r="BH34">
            <v>0</v>
          </cell>
          <cell r="BI34">
            <v>0</v>
          </cell>
          <cell r="BJ34">
            <v>0</v>
          </cell>
          <cell r="BK34">
            <v>0</v>
          </cell>
          <cell r="BL34">
            <v>0</v>
          </cell>
          <cell r="BM34">
            <v>0</v>
          </cell>
          <cell r="BN34">
            <v>0</v>
          </cell>
          <cell r="BO34">
            <v>0</v>
          </cell>
          <cell r="BP34">
            <v>0</v>
          </cell>
          <cell r="BQ34">
            <v>0</v>
          </cell>
          <cell r="BR34">
            <v>0</v>
          </cell>
          <cell r="BS34">
            <v>0</v>
          </cell>
          <cell r="BT34">
            <v>0</v>
          </cell>
          <cell r="BU34">
            <v>0</v>
          </cell>
          <cell r="BV34">
            <v>0</v>
          </cell>
          <cell r="BW34">
            <v>0</v>
          </cell>
          <cell r="BX34">
            <v>0</v>
          </cell>
          <cell r="BY34">
            <v>0</v>
          </cell>
          <cell r="BZ34">
            <v>0</v>
          </cell>
          <cell r="CA34">
            <v>0</v>
          </cell>
          <cell r="CB34">
            <v>0</v>
          </cell>
          <cell r="CC34">
            <v>0</v>
          </cell>
          <cell r="CD34">
            <v>0</v>
          </cell>
          <cell r="CE34">
            <v>0</v>
          </cell>
          <cell r="CF34">
            <v>0</v>
          </cell>
          <cell r="CG34">
            <v>0</v>
          </cell>
          <cell r="CH34">
            <v>0</v>
          </cell>
          <cell r="CI34">
            <v>0</v>
          </cell>
          <cell r="CJ34">
            <v>0</v>
          </cell>
          <cell r="CK34">
            <v>0</v>
          </cell>
          <cell r="CL34">
            <v>0</v>
          </cell>
          <cell r="CM34">
            <v>0</v>
          </cell>
          <cell r="CN34">
            <v>0</v>
          </cell>
          <cell r="CO34">
            <v>0</v>
          </cell>
          <cell r="CP34">
            <v>0</v>
          </cell>
          <cell r="CQ34">
            <v>0</v>
          </cell>
          <cell r="CR34">
            <v>0</v>
          </cell>
          <cell r="CS34">
            <v>0</v>
          </cell>
          <cell r="CT34">
            <v>0</v>
          </cell>
          <cell r="CU34">
            <v>0</v>
          </cell>
          <cell r="CV34">
            <v>0</v>
          </cell>
          <cell r="CW34">
            <v>0</v>
          </cell>
          <cell r="CX34">
            <v>0</v>
          </cell>
          <cell r="CY34">
            <v>0</v>
          </cell>
          <cell r="CZ34">
            <v>0</v>
          </cell>
          <cell r="DA34">
            <v>0</v>
          </cell>
          <cell r="DB34">
            <v>0</v>
          </cell>
          <cell r="DC34">
            <v>0</v>
          </cell>
          <cell r="DD34">
            <v>0</v>
          </cell>
          <cell r="DE34">
            <v>0</v>
          </cell>
          <cell r="DF34">
            <v>0</v>
          </cell>
          <cell r="DG34">
            <v>0</v>
          </cell>
          <cell r="DH34">
            <v>0</v>
          </cell>
          <cell r="DI34">
            <v>0</v>
          </cell>
          <cell r="DJ34">
            <v>0</v>
          </cell>
          <cell r="DK34">
            <v>0</v>
          </cell>
          <cell r="DL34">
            <v>0</v>
          </cell>
          <cell r="DM34">
            <v>0</v>
          </cell>
          <cell r="DN34">
            <v>0</v>
          </cell>
          <cell r="DO34">
            <v>0</v>
          </cell>
          <cell r="DP34">
            <v>0</v>
          </cell>
          <cell r="DQ34">
            <v>0</v>
          </cell>
          <cell r="DR34">
            <v>0</v>
          </cell>
          <cell r="DS34">
            <v>0</v>
          </cell>
          <cell r="DT34">
            <v>0</v>
          </cell>
          <cell r="DU34">
            <v>0</v>
          </cell>
          <cell r="DV34">
            <v>0</v>
          </cell>
          <cell r="DW34">
            <v>0</v>
          </cell>
          <cell r="DX34">
            <v>0</v>
          </cell>
          <cell r="DY34">
            <v>0</v>
          </cell>
          <cell r="EA34">
            <v>0</v>
          </cell>
          <cell r="EB34">
            <v>0</v>
          </cell>
          <cell r="EC34">
            <v>0</v>
          </cell>
          <cell r="ED34">
            <v>0.05</v>
          </cell>
          <cell r="EE34">
            <v>0.09</v>
          </cell>
          <cell r="EF34">
            <v>0.08</v>
          </cell>
          <cell r="EG34">
            <v>0.17</v>
          </cell>
          <cell r="EH34">
            <v>1</v>
          </cell>
          <cell r="EI34">
            <v>1</v>
          </cell>
          <cell r="EJ34">
            <v>1</v>
          </cell>
          <cell r="EK34">
            <v>1</v>
          </cell>
          <cell r="EL34">
            <v>0.05</v>
          </cell>
          <cell r="EM34">
            <v>0.14000000000000001</v>
          </cell>
          <cell r="EN34">
            <v>0.11</v>
          </cell>
          <cell r="EO34">
            <v>0.2</v>
          </cell>
          <cell r="EP34">
            <v>0</v>
          </cell>
          <cell r="EQ34">
            <v>0</v>
          </cell>
          <cell r="ER34">
            <v>0</v>
          </cell>
          <cell r="ES34">
            <v>0</v>
          </cell>
          <cell r="ET34">
            <v>0</v>
          </cell>
          <cell r="EU34">
            <v>0</v>
          </cell>
          <cell r="EV34">
            <v>0</v>
          </cell>
          <cell r="EW34">
            <v>0</v>
          </cell>
          <cell r="EX34">
            <v>1</v>
          </cell>
          <cell r="EY34">
            <v>1</v>
          </cell>
          <cell r="EZ34">
            <v>1</v>
          </cell>
          <cell r="FA34">
            <v>0</v>
          </cell>
          <cell r="FB34">
            <v>0</v>
          </cell>
          <cell r="FC34">
            <v>0</v>
          </cell>
          <cell r="FD34">
            <v>0</v>
          </cell>
          <cell r="FE34">
            <v>0</v>
          </cell>
          <cell r="FF34">
            <v>0</v>
          </cell>
          <cell r="FG34">
            <v>0</v>
          </cell>
          <cell r="FH34">
            <v>0</v>
          </cell>
          <cell r="FI34">
            <v>0</v>
          </cell>
          <cell r="FJ34">
            <v>0</v>
          </cell>
          <cell r="FK34">
            <v>0</v>
          </cell>
          <cell r="FL34">
            <v>0</v>
          </cell>
          <cell r="FM34">
            <v>0</v>
          </cell>
          <cell r="FN34">
            <v>0</v>
          </cell>
          <cell r="FO34">
            <v>0</v>
          </cell>
          <cell r="FP34">
            <v>0</v>
          </cell>
          <cell r="FQ34">
            <v>0</v>
          </cell>
          <cell r="FR34">
            <v>0</v>
          </cell>
          <cell r="FS34">
            <v>0</v>
          </cell>
          <cell r="FT34">
            <v>0</v>
          </cell>
          <cell r="FU34">
            <v>0</v>
          </cell>
          <cell r="FV34">
            <v>0</v>
          </cell>
          <cell r="FW34">
            <v>0</v>
          </cell>
          <cell r="FX34">
            <v>0</v>
          </cell>
          <cell r="FY34">
            <v>0</v>
          </cell>
          <cell r="FZ34">
            <v>0</v>
          </cell>
        </row>
        <row r="35">
          <cell r="A35" t="str">
            <v>F_CNP_NRF_EPA_UCS_FRCE_249</v>
          </cell>
          <cell r="B35">
            <v>0.1</v>
          </cell>
          <cell r="C35">
            <v>0.08</v>
          </cell>
          <cell r="D35">
            <v>0.15</v>
          </cell>
          <cell r="E35">
            <v>0.08</v>
          </cell>
          <cell r="F35">
            <v>0.15</v>
          </cell>
          <cell r="G35">
            <v>0.22</v>
          </cell>
          <cell r="H35">
            <v>7.0000000000000007E-2</v>
          </cell>
          <cell r="I35">
            <v>0.05</v>
          </cell>
          <cell r="J35">
            <v>0.13</v>
          </cell>
          <cell r="K35">
            <v>0.18</v>
          </cell>
          <cell r="L35">
            <v>0.17</v>
          </cell>
          <cell r="M35">
            <v>0.16</v>
          </cell>
          <cell r="N35">
            <v>0.8</v>
          </cell>
          <cell r="O35">
            <v>1</v>
          </cell>
          <cell r="P35">
            <v>1</v>
          </cell>
          <cell r="Q35">
            <v>0.8</v>
          </cell>
          <cell r="R35">
            <v>0.8</v>
          </cell>
          <cell r="S35">
            <v>1</v>
          </cell>
          <cell r="T35">
            <v>1</v>
          </cell>
          <cell r="U35">
            <v>1</v>
          </cell>
          <cell r="V35">
            <v>1</v>
          </cell>
          <cell r="W35">
            <v>1</v>
          </cell>
          <cell r="X35">
            <v>1</v>
          </cell>
          <cell r="Y35">
            <v>1</v>
          </cell>
          <cell r="Z35">
            <v>0.1</v>
          </cell>
          <cell r="AA35">
            <v>0.1</v>
          </cell>
          <cell r="AB35">
            <v>0.14000000000000001</v>
          </cell>
          <cell r="AC35">
            <v>0.11</v>
          </cell>
          <cell r="AD35">
            <v>0.11</v>
          </cell>
          <cell r="AE35">
            <v>0.19</v>
          </cell>
          <cell r="AF35">
            <v>0.09</v>
          </cell>
          <cell r="AG35">
            <v>0.11</v>
          </cell>
          <cell r="AH35">
            <v>0.15</v>
          </cell>
          <cell r="AI35">
            <v>0.2</v>
          </cell>
          <cell r="AJ35">
            <v>0.2</v>
          </cell>
          <cell r="AK35">
            <v>0.2</v>
          </cell>
          <cell r="AL35">
            <v>0</v>
          </cell>
          <cell r="AM35">
            <v>0</v>
          </cell>
          <cell r="AN35">
            <v>0</v>
          </cell>
          <cell r="AO35">
            <v>0</v>
          </cell>
          <cell r="AP35">
            <v>0</v>
          </cell>
          <cell r="AQ35">
            <v>0</v>
          </cell>
          <cell r="AR35">
            <v>0</v>
          </cell>
          <cell r="AS35">
            <v>0</v>
          </cell>
          <cell r="AT35">
            <v>0</v>
          </cell>
          <cell r="AU35">
            <v>0</v>
          </cell>
          <cell r="AV35">
            <v>0</v>
          </cell>
          <cell r="AW35">
            <v>0</v>
          </cell>
          <cell r="AX35">
            <v>0</v>
          </cell>
          <cell r="AY35">
            <v>0</v>
          </cell>
          <cell r="AZ35">
            <v>0</v>
          </cell>
          <cell r="BA35">
            <v>0</v>
          </cell>
          <cell r="BB35">
            <v>0</v>
          </cell>
          <cell r="BC35">
            <v>0</v>
          </cell>
          <cell r="BD35">
            <v>0</v>
          </cell>
          <cell r="BE35">
            <v>0</v>
          </cell>
          <cell r="BF35">
            <v>0</v>
          </cell>
          <cell r="BG35">
            <v>0</v>
          </cell>
          <cell r="BH35">
            <v>0</v>
          </cell>
          <cell r="BI35">
            <v>0</v>
          </cell>
          <cell r="BJ35">
            <v>0</v>
          </cell>
          <cell r="BK35">
            <v>0</v>
          </cell>
          <cell r="BL35">
            <v>0</v>
          </cell>
          <cell r="BM35">
            <v>0</v>
          </cell>
          <cell r="BN35">
            <v>0</v>
          </cell>
          <cell r="BO35">
            <v>0</v>
          </cell>
          <cell r="BP35">
            <v>0</v>
          </cell>
          <cell r="BQ35">
            <v>0</v>
          </cell>
          <cell r="BR35">
            <v>0</v>
          </cell>
          <cell r="BS35">
            <v>0</v>
          </cell>
          <cell r="BT35">
            <v>0</v>
          </cell>
          <cell r="BU35">
            <v>0</v>
          </cell>
          <cell r="BV35">
            <v>0</v>
          </cell>
          <cell r="BW35">
            <v>0</v>
          </cell>
          <cell r="BX35">
            <v>0</v>
          </cell>
          <cell r="BY35">
            <v>0</v>
          </cell>
          <cell r="BZ35">
            <v>0</v>
          </cell>
          <cell r="CA35">
            <v>0</v>
          </cell>
          <cell r="CB35">
            <v>0</v>
          </cell>
          <cell r="CC35">
            <v>0</v>
          </cell>
          <cell r="CD35">
            <v>0</v>
          </cell>
          <cell r="CE35">
            <v>0</v>
          </cell>
          <cell r="CF35">
            <v>0</v>
          </cell>
          <cell r="CG35">
            <v>0</v>
          </cell>
          <cell r="CH35">
            <v>0</v>
          </cell>
          <cell r="CI35">
            <v>0</v>
          </cell>
          <cell r="CJ35">
            <v>0</v>
          </cell>
          <cell r="CK35">
            <v>0</v>
          </cell>
          <cell r="CL35">
            <v>0</v>
          </cell>
          <cell r="CM35">
            <v>0</v>
          </cell>
          <cell r="CN35">
            <v>0</v>
          </cell>
          <cell r="CO35">
            <v>0</v>
          </cell>
          <cell r="CP35">
            <v>0</v>
          </cell>
          <cell r="CQ35">
            <v>0</v>
          </cell>
          <cell r="CR35">
            <v>0</v>
          </cell>
          <cell r="CS35">
            <v>0</v>
          </cell>
          <cell r="CT35">
            <v>0</v>
          </cell>
          <cell r="CU35">
            <v>0</v>
          </cell>
          <cell r="CV35">
            <v>0</v>
          </cell>
          <cell r="CW35">
            <v>0</v>
          </cell>
          <cell r="CX35">
            <v>0</v>
          </cell>
          <cell r="CY35">
            <v>0</v>
          </cell>
          <cell r="CZ35">
            <v>0</v>
          </cell>
          <cell r="DA35">
            <v>0</v>
          </cell>
          <cell r="DB35">
            <v>0</v>
          </cell>
          <cell r="DC35">
            <v>0</v>
          </cell>
          <cell r="DD35">
            <v>0</v>
          </cell>
          <cell r="DE35">
            <v>0</v>
          </cell>
          <cell r="DF35">
            <v>0</v>
          </cell>
          <cell r="DG35">
            <v>0</v>
          </cell>
          <cell r="DH35">
            <v>0</v>
          </cell>
          <cell r="DI35">
            <v>0</v>
          </cell>
          <cell r="DJ35">
            <v>0</v>
          </cell>
          <cell r="DK35">
            <v>0</v>
          </cell>
          <cell r="DL35">
            <v>0</v>
          </cell>
          <cell r="DM35">
            <v>0</v>
          </cell>
          <cell r="DN35">
            <v>0</v>
          </cell>
          <cell r="DO35">
            <v>0</v>
          </cell>
          <cell r="DP35">
            <v>0</v>
          </cell>
          <cell r="DQ35">
            <v>0</v>
          </cell>
          <cell r="DR35">
            <v>0</v>
          </cell>
          <cell r="DS35">
            <v>0</v>
          </cell>
          <cell r="DT35">
            <v>0</v>
          </cell>
          <cell r="DU35">
            <v>0</v>
          </cell>
          <cell r="DV35">
            <v>0</v>
          </cell>
          <cell r="DW35">
            <v>0</v>
          </cell>
          <cell r="DX35">
            <v>0</v>
          </cell>
          <cell r="DY35">
            <v>0</v>
          </cell>
          <cell r="EA35">
            <v>0</v>
          </cell>
          <cell r="EB35">
            <v>0</v>
          </cell>
          <cell r="EC35">
            <v>0</v>
          </cell>
          <cell r="ED35">
            <v>0.05</v>
          </cell>
          <cell r="EE35">
            <v>0.09</v>
          </cell>
          <cell r="EF35">
            <v>0.08</v>
          </cell>
          <cell r="EG35">
            <v>0.17</v>
          </cell>
          <cell r="EH35">
            <v>1</v>
          </cell>
          <cell r="EI35">
            <v>1</v>
          </cell>
          <cell r="EJ35">
            <v>1</v>
          </cell>
          <cell r="EK35">
            <v>1</v>
          </cell>
          <cell r="EL35">
            <v>0.05</v>
          </cell>
          <cell r="EM35">
            <v>0.14000000000000001</v>
          </cell>
          <cell r="EN35">
            <v>0.11</v>
          </cell>
          <cell r="EO35">
            <v>0.2</v>
          </cell>
          <cell r="EP35">
            <v>0</v>
          </cell>
          <cell r="EQ35">
            <v>0</v>
          </cell>
          <cell r="ER35">
            <v>0</v>
          </cell>
          <cell r="ES35">
            <v>0</v>
          </cell>
          <cell r="ET35">
            <v>0</v>
          </cell>
          <cell r="EU35">
            <v>0</v>
          </cell>
          <cell r="EV35">
            <v>0</v>
          </cell>
          <cell r="EW35">
            <v>0</v>
          </cell>
          <cell r="EX35">
            <v>1</v>
          </cell>
          <cell r="EY35">
            <v>1</v>
          </cell>
          <cell r="EZ35">
            <v>1</v>
          </cell>
          <cell r="FA35">
            <v>0</v>
          </cell>
          <cell r="FB35">
            <v>0</v>
          </cell>
          <cell r="FC35">
            <v>0</v>
          </cell>
          <cell r="FD35">
            <v>0</v>
          </cell>
          <cell r="FE35">
            <v>0</v>
          </cell>
          <cell r="FF35">
            <v>0</v>
          </cell>
          <cell r="FG35">
            <v>0</v>
          </cell>
          <cell r="FH35">
            <v>0</v>
          </cell>
          <cell r="FI35">
            <v>0</v>
          </cell>
          <cell r="FJ35">
            <v>0</v>
          </cell>
          <cell r="FK35">
            <v>0</v>
          </cell>
          <cell r="FL35">
            <v>0</v>
          </cell>
          <cell r="FM35">
            <v>0</v>
          </cell>
          <cell r="FN35">
            <v>0</v>
          </cell>
          <cell r="FO35">
            <v>0</v>
          </cell>
          <cell r="FP35">
            <v>0</v>
          </cell>
          <cell r="FQ35">
            <v>0</v>
          </cell>
          <cell r="FR35">
            <v>0</v>
          </cell>
          <cell r="FS35">
            <v>0</v>
          </cell>
          <cell r="FT35">
            <v>0</v>
          </cell>
          <cell r="FU35">
            <v>0</v>
          </cell>
          <cell r="FV35">
            <v>0</v>
          </cell>
          <cell r="FW35">
            <v>0</v>
          </cell>
          <cell r="FX35">
            <v>0</v>
          </cell>
          <cell r="FY35">
            <v>0</v>
          </cell>
          <cell r="FZ35">
            <v>0</v>
          </cell>
        </row>
        <row r="36">
          <cell r="A36" t="str">
            <v>F_CNP_NRF_RET_IND_FRCE_201</v>
          </cell>
          <cell r="B36">
            <v>0.1</v>
          </cell>
          <cell r="C36">
            <v>0.08</v>
          </cell>
          <cell r="D36">
            <v>0.15</v>
          </cell>
          <cell r="E36">
            <v>0.08</v>
          </cell>
          <cell r="F36">
            <v>0.15</v>
          </cell>
          <cell r="G36">
            <v>0.22</v>
          </cell>
          <cell r="H36">
            <v>7.0000000000000007E-2</v>
          </cell>
          <cell r="I36">
            <v>0.05</v>
          </cell>
          <cell r="J36">
            <v>0.13</v>
          </cell>
          <cell r="K36">
            <v>0.18</v>
          </cell>
          <cell r="L36">
            <v>0.17</v>
          </cell>
          <cell r="M36">
            <v>0.16</v>
          </cell>
          <cell r="N36">
            <v>0.8</v>
          </cell>
          <cell r="O36">
            <v>1</v>
          </cell>
          <cell r="P36">
            <v>1</v>
          </cell>
          <cell r="Q36">
            <v>0.8</v>
          </cell>
          <cell r="R36">
            <v>0.8</v>
          </cell>
          <cell r="S36">
            <v>1</v>
          </cell>
          <cell r="T36">
            <v>1</v>
          </cell>
          <cell r="U36">
            <v>1</v>
          </cell>
          <cell r="V36">
            <v>1</v>
          </cell>
          <cell r="W36">
            <v>1</v>
          </cell>
          <cell r="X36">
            <v>1</v>
          </cell>
          <cell r="Y36">
            <v>1</v>
          </cell>
          <cell r="Z36">
            <v>0.1</v>
          </cell>
          <cell r="AA36">
            <v>0.1</v>
          </cell>
          <cell r="AB36">
            <v>0.14000000000000001</v>
          </cell>
          <cell r="AC36">
            <v>0.11</v>
          </cell>
          <cell r="AD36">
            <v>0.11</v>
          </cell>
          <cell r="AE36">
            <v>0.19</v>
          </cell>
          <cell r="AF36">
            <v>0.09</v>
          </cell>
          <cell r="AG36">
            <v>0.11</v>
          </cell>
          <cell r="AH36">
            <v>0.15</v>
          </cell>
          <cell r="AI36">
            <v>0.2</v>
          </cell>
          <cell r="AJ36">
            <v>0.2</v>
          </cell>
          <cell r="AK36">
            <v>0.2</v>
          </cell>
          <cell r="AL36">
            <v>0</v>
          </cell>
          <cell r="AM36">
            <v>0</v>
          </cell>
          <cell r="AN36">
            <v>0</v>
          </cell>
          <cell r="AO36">
            <v>0</v>
          </cell>
          <cell r="AP36">
            <v>0</v>
          </cell>
          <cell r="AQ36">
            <v>0</v>
          </cell>
          <cell r="AR36">
            <v>0</v>
          </cell>
          <cell r="AS36">
            <v>0</v>
          </cell>
          <cell r="AT36">
            <v>0</v>
          </cell>
          <cell r="AU36">
            <v>0</v>
          </cell>
          <cell r="AV36">
            <v>0</v>
          </cell>
          <cell r="AW36">
            <v>0</v>
          </cell>
          <cell r="AX36">
            <v>0</v>
          </cell>
          <cell r="AY36">
            <v>0</v>
          </cell>
          <cell r="AZ36">
            <v>0</v>
          </cell>
          <cell r="BA36">
            <v>0</v>
          </cell>
          <cell r="BB36">
            <v>0</v>
          </cell>
          <cell r="BC36">
            <v>0</v>
          </cell>
          <cell r="BD36">
            <v>0</v>
          </cell>
          <cell r="BE36">
            <v>0</v>
          </cell>
          <cell r="BF36">
            <v>0</v>
          </cell>
          <cell r="BG36">
            <v>0</v>
          </cell>
          <cell r="BH36">
            <v>0</v>
          </cell>
          <cell r="BI36">
            <v>0</v>
          </cell>
          <cell r="BJ36">
            <v>0</v>
          </cell>
          <cell r="BK36">
            <v>0</v>
          </cell>
          <cell r="BL36">
            <v>0</v>
          </cell>
          <cell r="BM36">
            <v>0</v>
          </cell>
          <cell r="BN36">
            <v>0</v>
          </cell>
          <cell r="BO36">
            <v>0</v>
          </cell>
          <cell r="BP36">
            <v>0</v>
          </cell>
          <cell r="BQ36">
            <v>0</v>
          </cell>
          <cell r="BR36">
            <v>0</v>
          </cell>
          <cell r="BS36">
            <v>0</v>
          </cell>
          <cell r="BT36">
            <v>0</v>
          </cell>
          <cell r="BU36">
            <v>0</v>
          </cell>
          <cell r="BV36">
            <v>0</v>
          </cell>
          <cell r="BW36">
            <v>0</v>
          </cell>
          <cell r="BX36">
            <v>0</v>
          </cell>
          <cell r="BY36">
            <v>0</v>
          </cell>
          <cell r="BZ36">
            <v>0</v>
          </cell>
          <cell r="CA36">
            <v>0</v>
          </cell>
          <cell r="CB36">
            <v>0</v>
          </cell>
          <cell r="CC36">
            <v>0</v>
          </cell>
          <cell r="CD36">
            <v>0</v>
          </cell>
          <cell r="CE36">
            <v>0</v>
          </cell>
          <cell r="CF36">
            <v>0</v>
          </cell>
          <cell r="CG36">
            <v>0</v>
          </cell>
          <cell r="CH36">
            <v>0</v>
          </cell>
          <cell r="CI36">
            <v>0</v>
          </cell>
          <cell r="CJ36">
            <v>0</v>
          </cell>
          <cell r="CK36">
            <v>0</v>
          </cell>
          <cell r="CL36">
            <v>0</v>
          </cell>
          <cell r="CM36">
            <v>0</v>
          </cell>
          <cell r="CN36">
            <v>0</v>
          </cell>
          <cell r="CO36">
            <v>0</v>
          </cell>
          <cell r="CP36">
            <v>0</v>
          </cell>
          <cell r="CQ36">
            <v>0</v>
          </cell>
          <cell r="CR36">
            <v>0</v>
          </cell>
          <cell r="CS36">
            <v>0</v>
          </cell>
          <cell r="CT36">
            <v>0</v>
          </cell>
          <cell r="CU36">
            <v>0</v>
          </cell>
          <cell r="CV36">
            <v>0</v>
          </cell>
          <cell r="CW36">
            <v>0</v>
          </cell>
          <cell r="CX36">
            <v>0</v>
          </cell>
          <cell r="CY36">
            <v>0</v>
          </cell>
          <cell r="CZ36">
            <v>0</v>
          </cell>
          <cell r="DA36">
            <v>0</v>
          </cell>
          <cell r="DB36">
            <v>0</v>
          </cell>
          <cell r="DC36">
            <v>0</v>
          </cell>
          <cell r="DD36">
            <v>0</v>
          </cell>
          <cell r="DE36">
            <v>0</v>
          </cell>
          <cell r="DF36">
            <v>0</v>
          </cell>
          <cell r="DG36">
            <v>0</v>
          </cell>
          <cell r="DH36">
            <v>0</v>
          </cell>
          <cell r="DI36">
            <v>0</v>
          </cell>
          <cell r="DJ36">
            <v>0</v>
          </cell>
          <cell r="DK36">
            <v>0</v>
          </cell>
          <cell r="DL36">
            <v>0</v>
          </cell>
          <cell r="DM36">
            <v>0</v>
          </cell>
          <cell r="DN36">
            <v>0</v>
          </cell>
          <cell r="DO36">
            <v>0</v>
          </cell>
          <cell r="DP36">
            <v>0</v>
          </cell>
          <cell r="DQ36">
            <v>0</v>
          </cell>
          <cell r="DR36">
            <v>0</v>
          </cell>
          <cell r="DS36">
            <v>0</v>
          </cell>
          <cell r="DT36">
            <v>0</v>
          </cell>
          <cell r="DU36">
            <v>0</v>
          </cell>
          <cell r="DV36">
            <v>0</v>
          </cell>
          <cell r="DW36">
            <v>0</v>
          </cell>
          <cell r="DX36">
            <v>0</v>
          </cell>
          <cell r="DY36">
            <v>0</v>
          </cell>
          <cell r="EA36">
            <v>0</v>
          </cell>
          <cell r="EB36">
            <v>0</v>
          </cell>
          <cell r="EC36">
            <v>0</v>
          </cell>
          <cell r="ED36">
            <v>0.05</v>
          </cell>
          <cell r="EE36">
            <v>0.09</v>
          </cell>
          <cell r="EF36">
            <v>0.08</v>
          </cell>
          <cell r="EG36">
            <v>0.17</v>
          </cell>
          <cell r="EH36">
            <v>1</v>
          </cell>
          <cell r="EI36">
            <v>1</v>
          </cell>
          <cell r="EJ36">
            <v>1</v>
          </cell>
          <cell r="EK36">
            <v>1</v>
          </cell>
          <cell r="EL36">
            <v>0.05</v>
          </cell>
          <cell r="EM36">
            <v>0.14000000000000001</v>
          </cell>
          <cell r="EN36">
            <v>0.11</v>
          </cell>
          <cell r="EO36">
            <v>0.2</v>
          </cell>
          <cell r="EP36">
            <v>0</v>
          </cell>
          <cell r="EQ36">
            <v>0</v>
          </cell>
          <cell r="ER36">
            <v>0</v>
          </cell>
          <cell r="ES36">
            <v>0</v>
          </cell>
          <cell r="ET36">
            <v>0</v>
          </cell>
          <cell r="EU36">
            <v>0</v>
          </cell>
          <cell r="EV36">
            <v>0</v>
          </cell>
          <cell r="EW36">
            <v>0</v>
          </cell>
          <cell r="EX36">
            <v>1</v>
          </cell>
          <cell r="EY36">
            <v>1</v>
          </cell>
          <cell r="EZ36">
            <v>1</v>
          </cell>
          <cell r="FA36">
            <v>0</v>
          </cell>
          <cell r="FB36">
            <v>0</v>
          </cell>
          <cell r="FC36">
            <v>0</v>
          </cell>
          <cell r="FD36">
            <v>0</v>
          </cell>
          <cell r="FE36">
            <v>0</v>
          </cell>
          <cell r="FF36">
            <v>0</v>
          </cell>
          <cell r="FG36">
            <v>0</v>
          </cell>
          <cell r="FH36">
            <v>0</v>
          </cell>
          <cell r="FI36">
            <v>0</v>
          </cell>
          <cell r="FJ36">
            <v>0</v>
          </cell>
          <cell r="FK36">
            <v>0</v>
          </cell>
          <cell r="FL36">
            <v>0</v>
          </cell>
          <cell r="FM36">
            <v>0</v>
          </cell>
          <cell r="FN36">
            <v>0</v>
          </cell>
          <cell r="FO36">
            <v>0</v>
          </cell>
          <cell r="FP36">
            <v>0</v>
          </cell>
          <cell r="FQ36">
            <v>0</v>
          </cell>
          <cell r="FR36">
            <v>0</v>
          </cell>
          <cell r="FS36">
            <v>0</v>
          </cell>
          <cell r="FT36">
            <v>0</v>
          </cell>
          <cell r="FU36">
            <v>0</v>
          </cell>
          <cell r="FV36">
            <v>0</v>
          </cell>
          <cell r="FW36">
            <v>0</v>
          </cell>
          <cell r="FX36">
            <v>0</v>
          </cell>
          <cell r="FY36">
            <v>0</v>
          </cell>
          <cell r="FZ36">
            <v>0</v>
          </cell>
        </row>
        <row r="37">
          <cell r="A37" t="str">
            <v>F_CNP_NRF_RET_IND_FRCE_294</v>
          </cell>
          <cell r="B37">
            <v>0.1</v>
          </cell>
          <cell r="C37">
            <v>0.08</v>
          </cell>
          <cell r="D37">
            <v>0.15</v>
          </cell>
          <cell r="E37">
            <v>0.08</v>
          </cell>
          <cell r="F37">
            <v>0.15</v>
          </cell>
          <cell r="G37">
            <v>0.22</v>
          </cell>
          <cell r="H37">
            <v>7.0000000000000007E-2</v>
          </cell>
          <cell r="I37">
            <v>0.05</v>
          </cell>
          <cell r="J37">
            <v>0.13</v>
          </cell>
          <cell r="K37">
            <v>0.18</v>
          </cell>
          <cell r="L37">
            <v>0.17</v>
          </cell>
          <cell r="M37">
            <v>0.16</v>
          </cell>
          <cell r="N37">
            <v>0.8</v>
          </cell>
          <cell r="O37">
            <v>1</v>
          </cell>
          <cell r="P37">
            <v>1</v>
          </cell>
          <cell r="Q37">
            <v>0.8</v>
          </cell>
          <cell r="R37">
            <v>0.8</v>
          </cell>
          <cell r="S37">
            <v>1</v>
          </cell>
          <cell r="T37">
            <v>1</v>
          </cell>
          <cell r="U37">
            <v>1</v>
          </cell>
          <cell r="V37">
            <v>1</v>
          </cell>
          <cell r="W37">
            <v>1</v>
          </cell>
          <cell r="X37">
            <v>1</v>
          </cell>
          <cell r="Y37">
            <v>1</v>
          </cell>
          <cell r="Z37">
            <v>0.1</v>
          </cell>
          <cell r="AA37">
            <v>0.1</v>
          </cell>
          <cell r="AB37">
            <v>0.14000000000000001</v>
          </cell>
          <cell r="AC37">
            <v>0.11</v>
          </cell>
          <cell r="AD37">
            <v>0.11</v>
          </cell>
          <cell r="AE37">
            <v>0.19</v>
          </cell>
          <cell r="AF37">
            <v>0.09</v>
          </cell>
          <cell r="AG37">
            <v>0.11</v>
          </cell>
          <cell r="AH37">
            <v>0.15</v>
          </cell>
          <cell r="AI37">
            <v>0.2</v>
          </cell>
          <cell r="AJ37">
            <v>0.2</v>
          </cell>
          <cell r="AK37">
            <v>0.2</v>
          </cell>
          <cell r="AL37">
            <v>0</v>
          </cell>
          <cell r="AM37">
            <v>0</v>
          </cell>
          <cell r="AN37">
            <v>0</v>
          </cell>
          <cell r="AO37">
            <v>0</v>
          </cell>
          <cell r="AP37">
            <v>0</v>
          </cell>
          <cell r="AQ37">
            <v>0</v>
          </cell>
          <cell r="AR37">
            <v>0</v>
          </cell>
          <cell r="AS37">
            <v>0</v>
          </cell>
          <cell r="AT37">
            <v>0</v>
          </cell>
          <cell r="AU37">
            <v>0</v>
          </cell>
          <cell r="AV37">
            <v>0</v>
          </cell>
          <cell r="AW37">
            <v>0</v>
          </cell>
          <cell r="AX37">
            <v>0</v>
          </cell>
          <cell r="AY37">
            <v>0</v>
          </cell>
          <cell r="AZ37">
            <v>0</v>
          </cell>
          <cell r="BA37">
            <v>0</v>
          </cell>
          <cell r="BB37">
            <v>0</v>
          </cell>
          <cell r="BC37">
            <v>0</v>
          </cell>
          <cell r="BD37">
            <v>0</v>
          </cell>
          <cell r="BE37">
            <v>0</v>
          </cell>
          <cell r="BF37">
            <v>0</v>
          </cell>
          <cell r="BG37">
            <v>0</v>
          </cell>
          <cell r="BH37">
            <v>0</v>
          </cell>
          <cell r="BI37">
            <v>0</v>
          </cell>
          <cell r="BJ37">
            <v>0</v>
          </cell>
          <cell r="BK37">
            <v>0</v>
          </cell>
          <cell r="BL37">
            <v>0</v>
          </cell>
          <cell r="BM37">
            <v>0</v>
          </cell>
          <cell r="BN37">
            <v>0</v>
          </cell>
          <cell r="BO37">
            <v>0</v>
          </cell>
          <cell r="BP37">
            <v>0</v>
          </cell>
          <cell r="BQ37">
            <v>0</v>
          </cell>
          <cell r="BR37">
            <v>0</v>
          </cell>
          <cell r="BS37">
            <v>0</v>
          </cell>
          <cell r="BT37">
            <v>0</v>
          </cell>
          <cell r="BU37">
            <v>0</v>
          </cell>
          <cell r="BV37">
            <v>0</v>
          </cell>
          <cell r="BW37">
            <v>0</v>
          </cell>
          <cell r="BX37">
            <v>0</v>
          </cell>
          <cell r="BY37">
            <v>0</v>
          </cell>
          <cell r="BZ37">
            <v>0</v>
          </cell>
          <cell r="CA37">
            <v>0</v>
          </cell>
          <cell r="CB37">
            <v>0</v>
          </cell>
          <cell r="CC37">
            <v>0</v>
          </cell>
          <cell r="CD37">
            <v>0</v>
          </cell>
          <cell r="CE37">
            <v>0</v>
          </cell>
          <cell r="CF37">
            <v>0</v>
          </cell>
          <cell r="CG37">
            <v>0</v>
          </cell>
          <cell r="CH37">
            <v>0</v>
          </cell>
          <cell r="CI37">
            <v>0</v>
          </cell>
          <cell r="CJ37">
            <v>0</v>
          </cell>
          <cell r="CK37">
            <v>0</v>
          </cell>
          <cell r="CL37">
            <v>0</v>
          </cell>
          <cell r="CM37">
            <v>0</v>
          </cell>
          <cell r="CN37">
            <v>0</v>
          </cell>
          <cell r="CO37">
            <v>0</v>
          </cell>
          <cell r="CP37">
            <v>0</v>
          </cell>
          <cell r="CQ37">
            <v>0</v>
          </cell>
          <cell r="CR37">
            <v>0</v>
          </cell>
          <cell r="CS37">
            <v>0</v>
          </cell>
          <cell r="CT37">
            <v>0</v>
          </cell>
          <cell r="CU37">
            <v>0</v>
          </cell>
          <cell r="CV37">
            <v>0</v>
          </cell>
          <cell r="CW37">
            <v>0</v>
          </cell>
          <cell r="CX37">
            <v>0</v>
          </cell>
          <cell r="CY37">
            <v>0</v>
          </cell>
          <cell r="CZ37">
            <v>0</v>
          </cell>
          <cell r="DA37">
            <v>0</v>
          </cell>
          <cell r="DB37">
            <v>0</v>
          </cell>
          <cell r="DC37">
            <v>0</v>
          </cell>
          <cell r="DD37">
            <v>0</v>
          </cell>
          <cell r="DE37">
            <v>0</v>
          </cell>
          <cell r="DF37">
            <v>0</v>
          </cell>
          <cell r="DG37">
            <v>0</v>
          </cell>
          <cell r="DH37">
            <v>0</v>
          </cell>
          <cell r="DI37">
            <v>0</v>
          </cell>
          <cell r="DJ37">
            <v>0</v>
          </cell>
          <cell r="DK37">
            <v>0</v>
          </cell>
          <cell r="DL37">
            <v>0</v>
          </cell>
          <cell r="DM37">
            <v>0</v>
          </cell>
          <cell r="DN37">
            <v>0</v>
          </cell>
          <cell r="DO37">
            <v>0</v>
          </cell>
          <cell r="DP37">
            <v>0</v>
          </cell>
          <cell r="DQ37">
            <v>0</v>
          </cell>
          <cell r="DR37">
            <v>0</v>
          </cell>
          <cell r="DS37">
            <v>0</v>
          </cell>
          <cell r="DT37">
            <v>0</v>
          </cell>
          <cell r="DU37">
            <v>0</v>
          </cell>
          <cell r="DV37">
            <v>0</v>
          </cell>
          <cell r="DW37">
            <v>0</v>
          </cell>
          <cell r="DX37">
            <v>0</v>
          </cell>
          <cell r="DY37">
            <v>0</v>
          </cell>
          <cell r="EA37">
            <v>0</v>
          </cell>
          <cell r="EB37">
            <v>0</v>
          </cell>
          <cell r="EC37">
            <v>0</v>
          </cell>
          <cell r="ED37">
            <v>0.05</v>
          </cell>
          <cell r="EE37">
            <v>0.09</v>
          </cell>
          <cell r="EF37">
            <v>0.08</v>
          </cell>
          <cell r="EG37">
            <v>0.17</v>
          </cell>
          <cell r="EH37">
            <v>1</v>
          </cell>
          <cell r="EI37">
            <v>1</v>
          </cell>
          <cell r="EJ37">
            <v>1</v>
          </cell>
          <cell r="EK37">
            <v>1</v>
          </cell>
          <cell r="EL37">
            <v>0.05</v>
          </cell>
          <cell r="EM37">
            <v>0.14000000000000001</v>
          </cell>
          <cell r="EN37">
            <v>0.11</v>
          </cell>
          <cell r="EO37">
            <v>0.2</v>
          </cell>
          <cell r="EP37">
            <v>0</v>
          </cell>
          <cell r="EQ37">
            <v>0</v>
          </cell>
          <cell r="ER37">
            <v>0</v>
          </cell>
          <cell r="ES37">
            <v>0</v>
          </cell>
          <cell r="ET37">
            <v>0</v>
          </cell>
          <cell r="EU37">
            <v>0</v>
          </cell>
          <cell r="EV37">
            <v>0</v>
          </cell>
          <cell r="EW37">
            <v>0</v>
          </cell>
          <cell r="EX37">
            <v>1</v>
          </cell>
          <cell r="EY37">
            <v>1</v>
          </cell>
          <cell r="EZ37">
            <v>1</v>
          </cell>
          <cell r="FA37">
            <v>0</v>
          </cell>
          <cell r="FB37">
            <v>0</v>
          </cell>
          <cell r="FC37">
            <v>0</v>
          </cell>
          <cell r="FD37">
            <v>0</v>
          </cell>
          <cell r="FE37">
            <v>0</v>
          </cell>
          <cell r="FF37">
            <v>0</v>
          </cell>
          <cell r="FG37">
            <v>0</v>
          </cell>
          <cell r="FH37">
            <v>0</v>
          </cell>
          <cell r="FI37">
            <v>0</v>
          </cell>
          <cell r="FJ37">
            <v>0</v>
          </cell>
          <cell r="FK37">
            <v>0</v>
          </cell>
          <cell r="FL37">
            <v>0</v>
          </cell>
          <cell r="FM37">
            <v>0</v>
          </cell>
          <cell r="FN37">
            <v>0</v>
          </cell>
          <cell r="FO37">
            <v>0</v>
          </cell>
          <cell r="FP37">
            <v>0</v>
          </cell>
          <cell r="FQ37">
            <v>0</v>
          </cell>
          <cell r="FR37">
            <v>0</v>
          </cell>
          <cell r="FS37">
            <v>0</v>
          </cell>
          <cell r="FT37">
            <v>0</v>
          </cell>
          <cell r="FU37">
            <v>0</v>
          </cell>
          <cell r="FV37">
            <v>0</v>
          </cell>
          <cell r="FW37">
            <v>0</v>
          </cell>
          <cell r="FX37">
            <v>0</v>
          </cell>
          <cell r="FY37">
            <v>0</v>
          </cell>
          <cell r="FZ37">
            <v>0</v>
          </cell>
        </row>
        <row r="38">
          <cell r="A38" t="str">
            <v>F_CNP_NRF_RET_IND_FRCE_295</v>
          </cell>
          <cell r="B38">
            <v>0.1</v>
          </cell>
          <cell r="C38">
            <v>0.08</v>
          </cell>
          <cell r="D38">
            <v>0.15</v>
          </cell>
          <cell r="E38">
            <v>0.08</v>
          </cell>
          <cell r="F38">
            <v>0.15</v>
          </cell>
          <cell r="G38">
            <v>0.22</v>
          </cell>
          <cell r="H38">
            <v>7.0000000000000007E-2</v>
          </cell>
          <cell r="I38">
            <v>0.05</v>
          </cell>
          <cell r="J38">
            <v>0.13</v>
          </cell>
          <cell r="K38">
            <v>0.18</v>
          </cell>
          <cell r="L38">
            <v>0.17</v>
          </cell>
          <cell r="M38">
            <v>0.16</v>
          </cell>
          <cell r="N38">
            <v>0.8</v>
          </cell>
          <cell r="O38">
            <v>1</v>
          </cell>
          <cell r="P38">
            <v>1</v>
          </cell>
          <cell r="Q38">
            <v>0.8</v>
          </cell>
          <cell r="R38">
            <v>0.8</v>
          </cell>
          <cell r="S38">
            <v>1</v>
          </cell>
          <cell r="T38">
            <v>1</v>
          </cell>
          <cell r="U38">
            <v>1</v>
          </cell>
          <cell r="V38">
            <v>1</v>
          </cell>
          <cell r="W38">
            <v>1</v>
          </cell>
          <cell r="X38">
            <v>1</v>
          </cell>
          <cell r="Y38">
            <v>1</v>
          </cell>
          <cell r="Z38">
            <v>0.1</v>
          </cell>
          <cell r="AA38">
            <v>0.1</v>
          </cell>
          <cell r="AB38">
            <v>0.14000000000000001</v>
          </cell>
          <cell r="AC38">
            <v>0.11</v>
          </cell>
          <cell r="AD38">
            <v>0.11</v>
          </cell>
          <cell r="AE38">
            <v>0.19</v>
          </cell>
          <cell r="AF38">
            <v>0.09</v>
          </cell>
          <cell r="AG38">
            <v>0.11</v>
          </cell>
          <cell r="AH38">
            <v>0.15</v>
          </cell>
          <cell r="AI38">
            <v>0.2</v>
          </cell>
          <cell r="AJ38">
            <v>0.2</v>
          </cell>
          <cell r="AK38">
            <v>0.2</v>
          </cell>
          <cell r="AL38">
            <v>0</v>
          </cell>
          <cell r="AM38">
            <v>0</v>
          </cell>
          <cell r="AN38">
            <v>0</v>
          </cell>
          <cell r="AO38">
            <v>0</v>
          </cell>
          <cell r="AP38">
            <v>0</v>
          </cell>
          <cell r="AQ38">
            <v>0</v>
          </cell>
          <cell r="AR38">
            <v>0</v>
          </cell>
          <cell r="AS38">
            <v>0</v>
          </cell>
          <cell r="AT38">
            <v>0</v>
          </cell>
          <cell r="AU38">
            <v>0</v>
          </cell>
          <cell r="AV38">
            <v>0</v>
          </cell>
          <cell r="AW38">
            <v>0</v>
          </cell>
          <cell r="AX38">
            <v>0</v>
          </cell>
          <cell r="AY38">
            <v>0</v>
          </cell>
          <cell r="AZ38">
            <v>0</v>
          </cell>
          <cell r="BA38">
            <v>0</v>
          </cell>
          <cell r="BB38">
            <v>0</v>
          </cell>
          <cell r="BC38">
            <v>0</v>
          </cell>
          <cell r="BD38">
            <v>0</v>
          </cell>
          <cell r="BE38">
            <v>0</v>
          </cell>
          <cell r="BF38">
            <v>0</v>
          </cell>
          <cell r="BG38">
            <v>0</v>
          </cell>
          <cell r="BH38">
            <v>0</v>
          </cell>
          <cell r="BI38">
            <v>0</v>
          </cell>
          <cell r="BJ38">
            <v>0</v>
          </cell>
          <cell r="BK38">
            <v>0</v>
          </cell>
          <cell r="BL38">
            <v>0</v>
          </cell>
          <cell r="BM38">
            <v>0</v>
          </cell>
          <cell r="BN38">
            <v>0</v>
          </cell>
          <cell r="BO38">
            <v>0</v>
          </cell>
          <cell r="BP38">
            <v>0</v>
          </cell>
          <cell r="BQ38">
            <v>0</v>
          </cell>
          <cell r="BR38">
            <v>0</v>
          </cell>
          <cell r="BS38">
            <v>0</v>
          </cell>
          <cell r="BT38">
            <v>0</v>
          </cell>
          <cell r="BU38">
            <v>0</v>
          </cell>
          <cell r="BV38">
            <v>0</v>
          </cell>
          <cell r="BW38">
            <v>0</v>
          </cell>
          <cell r="BX38">
            <v>0</v>
          </cell>
          <cell r="BY38">
            <v>0</v>
          </cell>
          <cell r="BZ38">
            <v>0</v>
          </cell>
          <cell r="CA38">
            <v>0</v>
          </cell>
          <cell r="CB38">
            <v>0</v>
          </cell>
          <cell r="CC38">
            <v>0</v>
          </cell>
          <cell r="CD38">
            <v>0</v>
          </cell>
          <cell r="CE38">
            <v>0</v>
          </cell>
          <cell r="CF38">
            <v>0</v>
          </cell>
          <cell r="CG38">
            <v>0</v>
          </cell>
          <cell r="CH38">
            <v>0</v>
          </cell>
          <cell r="CI38">
            <v>0</v>
          </cell>
          <cell r="CJ38">
            <v>0</v>
          </cell>
          <cell r="CK38">
            <v>0</v>
          </cell>
          <cell r="CL38">
            <v>0</v>
          </cell>
          <cell r="CM38">
            <v>0</v>
          </cell>
          <cell r="CN38">
            <v>0</v>
          </cell>
          <cell r="CO38">
            <v>0</v>
          </cell>
          <cell r="CP38">
            <v>0</v>
          </cell>
          <cell r="CQ38">
            <v>0</v>
          </cell>
          <cell r="CR38">
            <v>0</v>
          </cell>
          <cell r="CS38">
            <v>0</v>
          </cell>
          <cell r="CT38">
            <v>0</v>
          </cell>
          <cell r="CU38">
            <v>0</v>
          </cell>
          <cell r="CV38">
            <v>0</v>
          </cell>
          <cell r="CW38">
            <v>0</v>
          </cell>
          <cell r="CX38">
            <v>0</v>
          </cell>
          <cell r="CY38">
            <v>0</v>
          </cell>
          <cell r="CZ38">
            <v>0</v>
          </cell>
          <cell r="DA38">
            <v>0</v>
          </cell>
          <cell r="DB38">
            <v>0</v>
          </cell>
          <cell r="DC38">
            <v>0</v>
          </cell>
          <cell r="DD38">
            <v>0</v>
          </cell>
          <cell r="DE38">
            <v>0</v>
          </cell>
          <cell r="DF38">
            <v>0</v>
          </cell>
          <cell r="DG38">
            <v>0</v>
          </cell>
          <cell r="DH38">
            <v>0</v>
          </cell>
          <cell r="DI38">
            <v>0</v>
          </cell>
          <cell r="DJ38">
            <v>0</v>
          </cell>
          <cell r="DK38">
            <v>0</v>
          </cell>
          <cell r="DL38">
            <v>0</v>
          </cell>
          <cell r="DM38">
            <v>0</v>
          </cell>
          <cell r="DN38">
            <v>0</v>
          </cell>
          <cell r="DO38">
            <v>0</v>
          </cell>
          <cell r="DP38">
            <v>0</v>
          </cell>
          <cell r="DQ38">
            <v>0</v>
          </cell>
          <cell r="DR38">
            <v>0</v>
          </cell>
          <cell r="DS38">
            <v>0</v>
          </cell>
          <cell r="DT38">
            <v>0</v>
          </cell>
          <cell r="DU38">
            <v>0</v>
          </cell>
          <cell r="DV38">
            <v>0</v>
          </cell>
          <cell r="DW38">
            <v>0</v>
          </cell>
          <cell r="DX38">
            <v>0</v>
          </cell>
          <cell r="DY38">
            <v>0</v>
          </cell>
          <cell r="EA38">
            <v>0</v>
          </cell>
          <cell r="EB38">
            <v>0</v>
          </cell>
          <cell r="EC38">
            <v>0</v>
          </cell>
          <cell r="ED38">
            <v>0.05</v>
          </cell>
          <cell r="EE38">
            <v>0.09</v>
          </cell>
          <cell r="EF38">
            <v>0.08</v>
          </cell>
          <cell r="EG38">
            <v>0.17</v>
          </cell>
          <cell r="EH38">
            <v>1</v>
          </cell>
          <cell r="EI38">
            <v>1</v>
          </cell>
          <cell r="EJ38">
            <v>1</v>
          </cell>
          <cell r="EK38">
            <v>1</v>
          </cell>
          <cell r="EL38">
            <v>0.05</v>
          </cell>
          <cell r="EM38">
            <v>0.14000000000000001</v>
          </cell>
          <cell r="EN38">
            <v>0.11</v>
          </cell>
          <cell r="EO38">
            <v>0.2</v>
          </cell>
          <cell r="EP38">
            <v>0</v>
          </cell>
          <cell r="EQ38">
            <v>0</v>
          </cell>
          <cell r="ER38">
            <v>0</v>
          </cell>
          <cell r="ES38">
            <v>0</v>
          </cell>
          <cell r="ET38">
            <v>0</v>
          </cell>
          <cell r="EU38">
            <v>0</v>
          </cell>
          <cell r="EV38">
            <v>0</v>
          </cell>
          <cell r="EW38">
            <v>0</v>
          </cell>
          <cell r="EX38">
            <v>1</v>
          </cell>
          <cell r="EY38">
            <v>1</v>
          </cell>
          <cell r="EZ38">
            <v>1</v>
          </cell>
          <cell r="FA38">
            <v>0</v>
          </cell>
          <cell r="FB38">
            <v>0</v>
          </cell>
          <cell r="FC38">
            <v>0</v>
          </cell>
          <cell r="FD38">
            <v>0</v>
          </cell>
          <cell r="FE38">
            <v>0</v>
          </cell>
          <cell r="FF38">
            <v>0</v>
          </cell>
          <cell r="FG38">
            <v>0</v>
          </cell>
          <cell r="FH38">
            <v>0</v>
          </cell>
          <cell r="FI38">
            <v>0</v>
          </cell>
          <cell r="FJ38">
            <v>0</v>
          </cell>
          <cell r="FK38">
            <v>0</v>
          </cell>
          <cell r="FL38">
            <v>0</v>
          </cell>
          <cell r="FM38">
            <v>0</v>
          </cell>
          <cell r="FN38">
            <v>0</v>
          </cell>
          <cell r="FO38">
            <v>0</v>
          </cell>
          <cell r="FP38">
            <v>0</v>
          </cell>
          <cell r="FQ38">
            <v>0</v>
          </cell>
          <cell r="FR38">
            <v>0</v>
          </cell>
          <cell r="FS38">
            <v>0</v>
          </cell>
          <cell r="FT38">
            <v>0</v>
          </cell>
          <cell r="FU38">
            <v>0</v>
          </cell>
          <cell r="FV38">
            <v>0</v>
          </cell>
          <cell r="FW38">
            <v>0</v>
          </cell>
          <cell r="FX38">
            <v>0</v>
          </cell>
          <cell r="FY38">
            <v>0</v>
          </cell>
          <cell r="FZ38">
            <v>0</v>
          </cell>
        </row>
        <row r="39">
          <cell r="A39" t="str">
            <v>F_CNP_NRF_RET_IND_FRCE_270</v>
          </cell>
          <cell r="B39">
            <v>0.1</v>
          </cell>
          <cell r="C39">
            <v>0.08</v>
          </cell>
          <cell r="D39">
            <v>0.15</v>
          </cell>
          <cell r="E39">
            <v>0.08</v>
          </cell>
          <cell r="F39">
            <v>0.15</v>
          </cell>
          <cell r="G39">
            <v>0.22</v>
          </cell>
          <cell r="H39">
            <v>7.0000000000000007E-2</v>
          </cell>
          <cell r="I39">
            <v>0.05</v>
          </cell>
          <cell r="J39">
            <v>0.13</v>
          </cell>
          <cell r="K39">
            <v>0.18</v>
          </cell>
          <cell r="L39">
            <v>0.17</v>
          </cell>
          <cell r="M39">
            <v>0.16</v>
          </cell>
          <cell r="N39">
            <v>0.8</v>
          </cell>
          <cell r="O39">
            <v>1</v>
          </cell>
          <cell r="P39">
            <v>1</v>
          </cell>
          <cell r="Q39">
            <v>0.8</v>
          </cell>
          <cell r="R39">
            <v>0.8</v>
          </cell>
          <cell r="S39">
            <v>1</v>
          </cell>
          <cell r="T39">
            <v>1</v>
          </cell>
          <cell r="U39">
            <v>1</v>
          </cell>
          <cell r="V39">
            <v>1</v>
          </cell>
          <cell r="W39">
            <v>1</v>
          </cell>
          <cell r="X39">
            <v>1</v>
          </cell>
          <cell r="Y39">
            <v>1</v>
          </cell>
          <cell r="Z39">
            <v>0.1</v>
          </cell>
          <cell r="AA39">
            <v>0.1</v>
          </cell>
          <cell r="AB39">
            <v>0.14000000000000001</v>
          </cell>
          <cell r="AC39">
            <v>0.11</v>
          </cell>
          <cell r="AD39">
            <v>0.11</v>
          </cell>
          <cell r="AE39">
            <v>0.19</v>
          </cell>
          <cell r="AF39">
            <v>0.09</v>
          </cell>
          <cell r="AG39">
            <v>0.11</v>
          </cell>
          <cell r="AH39">
            <v>0.15</v>
          </cell>
          <cell r="AI39">
            <v>0.2</v>
          </cell>
          <cell r="AJ39">
            <v>0.2</v>
          </cell>
          <cell r="AK39">
            <v>0.2</v>
          </cell>
          <cell r="AL39">
            <v>0</v>
          </cell>
          <cell r="AM39">
            <v>0</v>
          </cell>
          <cell r="AN39">
            <v>0</v>
          </cell>
          <cell r="AO39">
            <v>0</v>
          </cell>
          <cell r="AP39">
            <v>0</v>
          </cell>
          <cell r="AQ39">
            <v>0</v>
          </cell>
          <cell r="AR39">
            <v>0</v>
          </cell>
          <cell r="AS39">
            <v>0</v>
          </cell>
          <cell r="AT39">
            <v>0</v>
          </cell>
          <cell r="AU39">
            <v>0</v>
          </cell>
          <cell r="AV39">
            <v>0</v>
          </cell>
          <cell r="AW39">
            <v>0</v>
          </cell>
          <cell r="AX39">
            <v>0</v>
          </cell>
          <cell r="AY39">
            <v>0</v>
          </cell>
          <cell r="AZ39">
            <v>0</v>
          </cell>
          <cell r="BA39">
            <v>0</v>
          </cell>
          <cell r="BB39">
            <v>0</v>
          </cell>
          <cell r="BC39">
            <v>0</v>
          </cell>
          <cell r="BD39">
            <v>0</v>
          </cell>
          <cell r="BE39">
            <v>0</v>
          </cell>
          <cell r="BF39">
            <v>0</v>
          </cell>
          <cell r="BG39">
            <v>0</v>
          </cell>
          <cell r="BH39">
            <v>0</v>
          </cell>
          <cell r="BI39">
            <v>0</v>
          </cell>
          <cell r="BJ39">
            <v>0</v>
          </cell>
          <cell r="BK39">
            <v>0</v>
          </cell>
          <cell r="BL39">
            <v>0</v>
          </cell>
          <cell r="BM39">
            <v>0</v>
          </cell>
          <cell r="BN39">
            <v>0</v>
          </cell>
          <cell r="BO39">
            <v>0</v>
          </cell>
          <cell r="BP39">
            <v>0</v>
          </cell>
          <cell r="BQ39">
            <v>0</v>
          </cell>
          <cell r="BR39">
            <v>0</v>
          </cell>
          <cell r="BS39">
            <v>0</v>
          </cell>
          <cell r="BT39">
            <v>0</v>
          </cell>
          <cell r="BU39">
            <v>0</v>
          </cell>
          <cell r="BV39">
            <v>0</v>
          </cell>
          <cell r="BW39">
            <v>0</v>
          </cell>
          <cell r="BX39">
            <v>0</v>
          </cell>
          <cell r="BY39">
            <v>0</v>
          </cell>
          <cell r="BZ39">
            <v>0</v>
          </cell>
          <cell r="CA39">
            <v>0</v>
          </cell>
          <cell r="CB39">
            <v>0</v>
          </cell>
          <cell r="CC39">
            <v>0</v>
          </cell>
          <cell r="CD39">
            <v>0</v>
          </cell>
          <cell r="CE39">
            <v>0</v>
          </cell>
          <cell r="CF39">
            <v>0</v>
          </cell>
          <cell r="CG39">
            <v>0</v>
          </cell>
          <cell r="CH39">
            <v>0</v>
          </cell>
          <cell r="CI39">
            <v>0</v>
          </cell>
          <cell r="CJ39">
            <v>0</v>
          </cell>
          <cell r="CK39">
            <v>0</v>
          </cell>
          <cell r="CL39">
            <v>0</v>
          </cell>
          <cell r="CM39">
            <v>0</v>
          </cell>
          <cell r="CN39">
            <v>0</v>
          </cell>
          <cell r="CO39">
            <v>0</v>
          </cell>
          <cell r="CP39">
            <v>0</v>
          </cell>
          <cell r="CQ39">
            <v>0</v>
          </cell>
          <cell r="CR39">
            <v>0</v>
          </cell>
          <cell r="CS39">
            <v>0</v>
          </cell>
          <cell r="CT39">
            <v>0</v>
          </cell>
          <cell r="CU39">
            <v>0</v>
          </cell>
          <cell r="CV39">
            <v>0</v>
          </cell>
          <cell r="CW39">
            <v>0</v>
          </cell>
          <cell r="CX39">
            <v>0</v>
          </cell>
          <cell r="CY39">
            <v>0</v>
          </cell>
          <cell r="CZ39">
            <v>0</v>
          </cell>
          <cell r="DA39">
            <v>0</v>
          </cell>
          <cell r="DB39">
            <v>0</v>
          </cell>
          <cell r="DC39">
            <v>0</v>
          </cell>
          <cell r="DD39">
            <v>0</v>
          </cell>
          <cell r="DE39">
            <v>0</v>
          </cell>
          <cell r="DF39">
            <v>0</v>
          </cell>
          <cell r="DG39">
            <v>0</v>
          </cell>
          <cell r="DH39">
            <v>0</v>
          </cell>
          <cell r="DI39">
            <v>0</v>
          </cell>
          <cell r="DJ39">
            <v>0</v>
          </cell>
          <cell r="DK39">
            <v>0</v>
          </cell>
          <cell r="DL39">
            <v>0</v>
          </cell>
          <cell r="DM39">
            <v>0</v>
          </cell>
          <cell r="DN39">
            <v>0</v>
          </cell>
          <cell r="DO39">
            <v>0</v>
          </cell>
          <cell r="DP39">
            <v>0</v>
          </cell>
          <cell r="DQ39">
            <v>0</v>
          </cell>
          <cell r="DR39">
            <v>0</v>
          </cell>
          <cell r="DS39">
            <v>0</v>
          </cell>
          <cell r="DT39">
            <v>0</v>
          </cell>
          <cell r="DU39">
            <v>0</v>
          </cell>
          <cell r="DV39">
            <v>0</v>
          </cell>
          <cell r="DW39">
            <v>0</v>
          </cell>
          <cell r="DX39">
            <v>0</v>
          </cell>
          <cell r="DY39">
            <v>0</v>
          </cell>
          <cell r="EA39">
            <v>0</v>
          </cell>
          <cell r="EB39">
            <v>0</v>
          </cell>
          <cell r="EC39">
            <v>0</v>
          </cell>
          <cell r="ED39">
            <v>0.05</v>
          </cell>
          <cell r="EE39">
            <v>0.09</v>
          </cell>
          <cell r="EF39">
            <v>0.08</v>
          </cell>
          <cell r="EG39">
            <v>0.17</v>
          </cell>
          <cell r="EH39">
            <v>1</v>
          </cell>
          <cell r="EI39">
            <v>1</v>
          </cell>
          <cell r="EJ39">
            <v>1</v>
          </cell>
          <cell r="EK39">
            <v>1</v>
          </cell>
          <cell r="EL39">
            <v>0.05</v>
          </cell>
          <cell r="EM39">
            <v>0.14000000000000001</v>
          </cell>
          <cell r="EN39">
            <v>0.11</v>
          </cell>
          <cell r="EO39">
            <v>0.2</v>
          </cell>
          <cell r="EP39">
            <v>0</v>
          </cell>
          <cell r="EQ39">
            <v>0</v>
          </cell>
          <cell r="ER39">
            <v>0</v>
          </cell>
          <cell r="ES39">
            <v>0</v>
          </cell>
          <cell r="ET39">
            <v>0</v>
          </cell>
          <cell r="EU39">
            <v>0</v>
          </cell>
          <cell r="EV39">
            <v>0</v>
          </cell>
          <cell r="EW39">
            <v>0</v>
          </cell>
          <cell r="EX39">
            <v>1</v>
          </cell>
          <cell r="EY39">
            <v>1</v>
          </cell>
          <cell r="EZ39">
            <v>1</v>
          </cell>
          <cell r="FA39">
            <v>0</v>
          </cell>
          <cell r="FB39">
            <v>0</v>
          </cell>
          <cell r="FC39">
            <v>0</v>
          </cell>
          <cell r="FD39">
            <v>0</v>
          </cell>
          <cell r="FE39">
            <v>0</v>
          </cell>
          <cell r="FF39">
            <v>0</v>
          </cell>
          <cell r="FG39">
            <v>0</v>
          </cell>
          <cell r="FH39">
            <v>0</v>
          </cell>
          <cell r="FI39">
            <v>0</v>
          </cell>
          <cell r="FJ39">
            <v>0</v>
          </cell>
          <cell r="FK39">
            <v>0</v>
          </cell>
          <cell r="FL39">
            <v>0</v>
          </cell>
          <cell r="FM39">
            <v>0</v>
          </cell>
          <cell r="FN39">
            <v>0</v>
          </cell>
          <cell r="FO39">
            <v>0</v>
          </cell>
          <cell r="FP39">
            <v>0</v>
          </cell>
          <cell r="FQ39">
            <v>0</v>
          </cell>
          <cell r="FR39">
            <v>0</v>
          </cell>
          <cell r="FS39">
            <v>0</v>
          </cell>
          <cell r="FT39">
            <v>0</v>
          </cell>
          <cell r="FU39">
            <v>0</v>
          </cell>
          <cell r="FV39">
            <v>0</v>
          </cell>
          <cell r="FW39">
            <v>0</v>
          </cell>
          <cell r="FX39">
            <v>0</v>
          </cell>
          <cell r="FY39">
            <v>0</v>
          </cell>
          <cell r="FZ39">
            <v>0</v>
          </cell>
        </row>
        <row r="40">
          <cell r="A40" t="str">
            <v>F_CNP_NRF_RET_IND_FRCE_EVJ</v>
          </cell>
          <cell r="B40">
            <v>0.1</v>
          </cell>
          <cell r="C40">
            <v>0.08</v>
          </cell>
          <cell r="D40">
            <v>0.15</v>
          </cell>
          <cell r="E40">
            <v>0.08</v>
          </cell>
          <cell r="F40">
            <v>0.15</v>
          </cell>
          <cell r="G40">
            <v>0.22</v>
          </cell>
          <cell r="H40">
            <v>7.0000000000000007E-2</v>
          </cell>
          <cell r="I40">
            <v>0.05</v>
          </cell>
          <cell r="J40">
            <v>0.13</v>
          </cell>
          <cell r="K40">
            <v>0.18</v>
          </cell>
          <cell r="L40">
            <v>0.17</v>
          </cell>
          <cell r="M40">
            <v>0.16</v>
          </cell>
          <cell r="N40">
            <v>0.8</v>
          </cell>
          <cell r="O40">
            <v>1</v>
          </cell>
          <cell r="P40">
            <v>1</v>
          </cell>
          <cell r="Q40">
            <v>0.8</v>
          </cell>
          <cell r="R40">
            <v>0.8</v>
          </cell>
          <cell r="S40">
            <v>1</v>
          </cell>
          <cell r="T40">
            <v>1</v>
          </cell>
          <cell r="U40">
            <v>1</v>
          </cell>
          <cell r="V40">
            <v>1</v>
          </cell>
          <cell r="W40">
            <v>1</v>
          </cell>
          <cell r="X40">
            <v>1</v>
          </cell>
          <cell r="Y40">
            <v>1</v>
          </cell>
          <cell r="Z40">
            <v>0.1</v>
          </cell>
          <cell r="AA40">
            <v>0.1</v>
          </cell>
          <cell r="AB40">
            <v>0.14000000000000001</v>
          </cell>
          <cell r="AC40">
            <v>0.11</v>
          </cell>
          <cell r="AD40">
            <v>0.11</v>
          </cell>
          <cell r="AE40">
            <v>0.19</v>
          </cell>
          <cell r="AF40">
            <v>0.09</v>
          </cell>
          <cell r="AG40">
            <v>0.11</v>
          </cell>
          <cell r="AH40">
            <v>0.15</v>
          </cell>
          <cell r="AI40">
            <v>0.2</v>
          </cell>
          <cell r="AJ40">
            <v>0.2</v>
          </cell>
          <cell r="AK40">
            <v>0.2</v>
          </cell>
          <cell r="AL40">
            <v>0</v>
          </cell>
          <cell r="AM40">
            <v>0</v>
          </cell>
          <cell r="AN40">
            <v>0</v>
          </cell>
          <cell r="AO40">
            <v>0</v>
          </cell>
          <cell r="AP40">
            <v>0</v>
          </cell>
          <cell r="AQ40">
            <v>0</v>
          </cell>
          <cell r="AR40">
            <v>0</v>
          </cell>
          <cell r="AS40">
            <v>0</v>
          </cell>
          <cell r="AT40">
            <v>0</v>
          </cell>
          <cell r="AU40">
            <v>0</v>
          </cell>
          <cell r="AV40">
            <v>0</v>
          </cell>
          <cell r="AW40">
            <v>0</v>
          </cell>
          <cell r="AX40">
            <v>0</v>
          </cell>
          <cell r="AY40">
            <v>0</v>
          </cell>
          <cell r="AZ40">
            <v>0</v>
          </cell>
          <cell r="BA40">
            <v>0</v>
          </cell>
          <cell r="BB40">
            <v>0</v>
          </cell>
          <cell r="BC40">
            <v>0</v>
          </cell>
          <cell r="BD40">
            <v>0</v>
          </cell>
          <cell r="BE40">
            <v>0</v>
          </cell>
          <cell r="BF40">
            <v>0</v>
          </cell>
          <cell r="BG40">
            <v>0</v>
          </cell>
          <cell r="BH40">
            <v>0</v>
          </cell>
          <cell r="BI40">
            <v>0</v>
          </cell>
          <cell r="BJ40">
            <v>0</v>
          </cell>
          <cell r="BK40">
            <v>0</v>
          </cell>
          <cell r="BL40">
            <v>0</v>
          </cell>
          <cell r="BM40">
            <v>0</v>
          </cell>
          <cell r="BN40">
            <v>0</v>
          </cell>
          <cell r="BO40">
            <v>0</v>
          </cell>
          <cell r="BP40">
            <v>0</v>
          </cell>
          <cell r="BQ40">
            <v>0</v>
          </cell>
          <cell r="BR40">
            <v>0</v>
          </cell>
          <cell r="BS40">
            <v>0</v>
          </cell>
          <cell r="BT40">
            <v>0</v>
          </cell>
          <cell r="BU40">
            <v>0</v>
          </cell>
          <cell r="BV40">
            <v>0</v>
          </cell>
          <cell r="BW40">
            <v>0</v>
          </cell>
          <cell r="BX40">
            <v>0</v>
          </cell>
          <cell r="BY40">
            <v>0</v>
          </cell>
          <cell r="BZ40">
            <v>0</v>
          </cell>
          <cell r="CA40">
            <v>0</v>
          </cell>
          <cell r="CB40">
            <v>0</v>
          </cell>
          <cell r="CC40">
            <v>0</v>
          </cell>
          <cell r="CD40">
            <v>0</v>
          </cell>
          <cell r="CE40">
            <v>0</v>
          </cell>
          <cell r="CF40">
            <v>0</v>
          </cell>
          <cell r="CG40">
            <v>0</v>
          </cell>
          <cell r="CH40">
            <v>0</v>
          </cell>
          <cell r="CI40">
            <v>0</v>
          </cell>
          <cell r="CJ40">
            <v>0</v>
          </cell>
          <cell r="CK40">
            <v>0</v>
          </cell>
          <cell r="CL40">
            <v>0</v>
          </cell>
          <cell r="CM40">
            <v>0</v>
          </cell>
          <cell r="CN40">
            <v>0</v>
          </cell>
          <cell r="CO40">
            <v>0</v>
          </cell>
          <cell r="CP40">
            <v>0</v>
          </cell>
          <cell r="CQ40">
            <v>0</v>
          </cell>
          <cell r="CR40">
            <v>0</v>
          </cell>
          <cell r="CS40">
            <v>0</v>
          </cell>
          <cell r="CT40">
            <v>0</v>
          </cell>
          <cell r="CU40">
            <v>0</v>
          </cell>
          <cell r="CV40">
            <v>0</v>
          </cell>
          <cell r="CW40">
            <v>0</v>
          </cell>
          <cell r="CX40">
            <v>0</v>
          </cell>
          <cell r="CY40">
            <v>0</v>
          </cell>
          <cell r="CZ40">
            <v>0</v>
          </cell>
          <cell r="DA40">
            <v>0</v>
          </cell>
          <cell r="DB40">
            <v>0</v>
          </cell>
          <cell r="DC40">
            <v>0</v>
          </cell>
          <cell r="DD40">
            <v>0</v>
          </cell>
          <cell r="DE40">
            <v>0</v>
          </cell>
          <cell r="DF40">
            <v>0</v>
          </cell>
          <cell r="DG40">
            <v>0</v>
          </cell>
          <cell r="DH40">
            <v>0</v>
          </cell>
          <cell r="DI40">
            <v>0</v>
          </cell>
          <cell r="DJ40">
            <v>0</v>
          </cell>
          <cell r="DK40">
            <v>0</v>
          </cell>
          <cell r="DL40">
            <v>0</v>
          </cell>
          <cell r="DM40">
            <v>0</v>
          </cell>
          <cell r="DN40">
            <v>0</v>
          </cell>
          <cell r="DO40">
            <v>0</v>
          </cell>
          <cell r="DP40">
            <v>0</v>
          </cell>
          <cell r="DQ40">
            <v>0</v>
          </cell>
          <cell r="DR40">
            <v>0</v>
          </cell>
          <cell r="DS40">
            <v>0</v>
          </cell>
          <cell r="DT40">
            <v>0</v>
          </cell>
          <cell r="DU40">
            <v>0</v>
          </cell>
          <cell r="DV40">
            <v>0</v>
          </cell>
          <cell r="DW40">
            <v>0</v>
          </cell>
          <cell r="DX40">
            <v>0</v>
          </cell>
          <cell r="DY40">
            <v>0</v>
          </cell>
          <cell r="EA40">
            <v>0</v>
          </cell>
          <cell r="EB40">
            <v>0</v>
          </cell>
          <cell r="EC40">
            <v>0</v>
          </cell>
          <cell r="ED40">
            <v>0.05</v>
          </cell>
          <cell r="EE40">
            <v>0.09</v>
          </cell>
          <cell r="EF40">
            <v>0.08</v>
          </cell>
          <cell r="EG40">
            <v>0.17</v>
          </cell>
          <cell r="EH40">
            <v>1</v>
          </cell>
          <cell r="EI40">
            <v>1</v>
          </cell>
          <cell r="EJ40">
            <v>1</v>
          </cell>
          <cell r="EK40">
            <v>1</v>
          </cell>
          <cell r="EL40">
            <v>0.05</v>
          </cell>
          <cell r="EM40">
            <v>0.14000000000000001</v>
          </cell>
          <cell r="EN40">
            <v>0.11</v>
          </cell>
          <cell r="EO40">
            <v>0.2</v>
          </cell>
          <cell r="EP40">
            <v>0</v>
          </cell>
          <cell r="EQ40">
            <v>0</v>
          </cell>
          <cell r="ER40">
            <v>0</v>
          </cell>
          <cell r="ES40">
            <v>0</v>
          </cell>
          <cell r="ET40">
            <v>0</v>
          </cell>
          <cell r="EU40">
            <v>0</v>
          </cell>
          <cell r="EV40">
            <v>0</v>
          </cell>
          <cell r="EW40">
            <v>0</v>
          </cell>
          <cell r="EX40">
            <v>1</v>
          </cell>
          <cell r="EY40">
            <v>1</v>
          </cell>
          <cell r="EZ40">
            <v>1</v>
          </cell>
          <cell r="FA40">
            <v>0</v>
          </cell>
          <cell r="FB40">
            <v>0</v>
          </cell>
          <cell r="FC40">
            <v>0</v>
          </cell>
          <cell r="FD40">
            <v>0</v>
          </cell>
          <cell r="FE40">
            <v>0</v>
          </cell>
          <cell r="FF40">
            <v>0</v>
          </cell>
          <cell r="FG40">
            <v>0</v>
          </cell>
          <cell r="FH40">
            <v>0</v>
          </cell>
          <cell r="FI40">
            <v>0</v>
          </cell>
          <cell r="FJ40">
            <v>0</v>
          </cell>
          <cell r="FK40">
            <v>0</v>
          </cell>
          <cell r="FL40">
            <v>0</v>
          </cell>
          <cell r="FM40">
            <v>0</v>
          </cell>
          <cell r="FN40">
            <v>0</v>
          </cell>
          <cell r="FO40">
            <v>0</v>
          </cell>
          <cell r="FP40">
            <v>0</v>
          </cell>
          <cell r="FQ40">
            <v>0</v>
          </cell>
          <cell r="FR40">
            <v>0</v>
          </cell>
          <cell r="FS40">
            <v>0</v>
          </cell>
          <cell r="FT40">
            <v>0</v>
          </cell>
          <cell r="FU40">
            <v>0</v>
          </cell>
          <cell r="FV40">
            <v>0</v>
          </cell>
          <cell r="FW40">
            <v>0</v>
          </cell>
          <cell r="FX40">
            <v>0</v>
          </cell>
          <cell r="FY40">
            <v>0</v>
          </cell>
          <cell r="FZ40">
            <v>0</v>
          </cell>
        </row>
        <row r="41">
          <cell r="A41" t="str">
            <v>F_CNP_NRF_RET_IND_FRCE_208</v>
          </cell>
          <cell r="B41">
            <v>0.1</v>
          </cell>
          <cell r="C41">
            <v>0.08</v>
          </cell>
          <cell r="D41">
            <v>0.15</v>
          </cell>
          <cell r="E41">
            <v>0.08</v>
          </cell>
          <cell r="F41">
            <v>0.15</v>
          </cell>
          <cell r="G41">
            <v>0.22</v>
          </cell>
          <cell r="H41">
            <v>7.0000000000000007E-2</v>
          </cell>
          <cell r="I41">
            <v>0.05</v>
          </cell>
          <cell r="J41">
            <v>0.13</v>
          </cell>
          <cell r="K41">
            <v>0.18</v>
          </cell>
          <cell r="L41">
            <v>0.17</v>
          </cell>
          <cell r="M41">
            <v>0.16</v>
          </cell>
          <cell r="N41">
            <v>0.8</v>
          </cell>
          <cell r="O41">
            <v>1</v>
          </cell>
          <cell r="P41">
            <v>1</v>
          </cell>
          <cell r="Q41">
            <v>0.8</v>
          </cell>
          <cell r="R41">
            <v>0.8</v>
          </cell>
          <cell r="S41">
            <v>1</v>
          </cell>
          <cell r="T41">
            <v>1</v>
          </cell>
          <cell r="U41">
            <v>1</v>
          </cell>
          <cell r="V41">
            <v>1</v>
          </cell>
          <cell r="W41">
            <v>1</v>
          </cell>
          <cell r="X41">
            <v>1</v>
          </cell>
          <cell r="Y41">
            <v>1</v>
          </cell>
          <cell r="Z41">
            <v>0.1</v>
          </cell>
          <cell r="AA41">
            <v>0.1</v>
          </cell>
          <cell r="AB41">
            <v>0.14000000000000001</v>
          </cell>
          <cell r="AC41">
            <v>0.11</v>
          </cell>
          <cell r="AD41">
            <v>0.11</v>
          </cell>
          <cell r="AE41">
            <v>0.19</v>
          </cell>
          <cell r="AF41">
            <v>0.09</v>
          </cell>
          <cell r="AG41">
            <v>0.11</v>
          </cell>
          <cell r="AH41">
            <v>0.15</v>
          </cell>
          <cell r="AI41">
            <v>0.2</v>
          </cell>
          <cell r="AJ41">
            <v>0.2</v>
          </cell>
          <cell r="AK41">
            <v>0.2</v>
          </cell>
          <cell r="AL41">
            <v>0</v>
          </cell>
          <cell r="AM41">
            <v>0</v>
          </cell>
          <cell r="AN41">
            <v>0</v>
          </cell>
          <cell r="AO41">
            <v>0</v>
          </cell>
          <cell r="AP41">
            <v>0</v>
          </cell>
          <cell r="AQ41">
            <v>0</v>
          </cell>
          <cell r="AR41">
            <v>0</v>
          </cell>
          <cell r="AS41">
            <v>0</v>
          </cell>
          <cell r="AT41">
            <v>0</v>
          </cell>
          <cell r="AU41">
            <v>0</v>
          </cell>
          <cell r="AV41">
            <v>0</v>
          </cell>
          <cell r="AW41">
            <v>0</v>
          </cell>
          <cell r="AX41">
            <v>0</v>
          </cell>
          <cell r="AY41">
            <v>0</v>
          </cell>
          <cell r="AZ41">
            <v>0</v>
          </cell>
          <cell r="BA41">
            <v>0</v>
          </cell>
          <cell r="BB41">
            <v>0</v>
          </cell>
          <cell r="BC41">
            <v>0</v>
          </cell>
          <cell r="BD41">
            <v>0</v>
          </cell>
          <cell r="BE41">
            <v>0</v>
          </cell>
          <cell r="BF41">
            <v>0</v>
          </cell>
          <cell r="BG41">
            <v>0</v>
          </cell>
          <cell r="BH41">
            <v>0</v>
          </cell>
          <cell r="BI41">
            <v>0</v>
          </cell>
          <cell r="BJ41">
            <v>0</v>
          </cell>
          <cell r="BK41">
            <v>0</v>
          </cell>
          <cell r="BL41">
            <v>0</v>
          </cell>
          <cell r="BM41">
            <v>0</v>
          </cell>
          <cell r="BN41">
            <v>0</v>
          </cell>
          <cell r="BO41">
            <v>0</v>
          </cell>
          <cell r="BP41">
            <v>0</v>
          </cell>
          <cell r="BQ41">
            <v>0</v>
          </cell>
          <cell r="BR41">
            <v>0</v>
          </cell>
          <cell r="BS41">
            <v>0</v>
          </cell>
          <cell r="BT41">
            <v>0</v>
          </cell>
          <cell r="BU41">
            <v>0</v>
          </cell>
          <cell r="BV41">
            <v>0</v>
          </cell>
          <cell r="BW41">
            <v>0</v>
          </cell>
          <cell r="BX41">
            <v>0</v>
          </cell>
          <cell r="BY41">
            <v>0</v>
          </cell>
          <cell r="BZ41">
            <v>0</v>
          </cell>
          <cell r="CA41">
            <v>0</v>
          </cell>
          <cell r="CB41">
            <v>0</v>
          </cell>
          <cell r="CC41">
            <v>0</v>
          </cell>
          <cell r="CD41">
            <v>0</v>
          </cell>
          <cell r="CE41">
            <v>0</v>
          </cell>
          <cell r="CF41">
            <v>0</v>
          </cell>
          <cell r="CG41">
            <v>0</v>
          </cell>
          <cell r="CH41">
            <v>0</v>
          </cell>
          <cell r="CI41">
            <v>0</v>
          </cell>
          <cell r="CJ41">
            <v>0</v>
          </cell>
          <cell r="CK41">
            <v>0</v>
          </cell>
          <cell r="CL41">
            <v>0</v>
          </cell>
          <cell r="CM41">
            <v>0</v>
          </cell>
          <cell r="CN41">
            <v>0</v>
          </cell>
          <cell r="CO41">
            <v>0</v>
          </cell>
          <cell r="CP41">
            <v>0</v>
          </cell>
          <cell r="CQ41">
            <v>0</v>
          </cell>
          <cell r="CR41">
            <v>0</v>
          </cell>
          <cell r="CS41">
            <v>0</v>
          </cell>
          <cell r="CT41">
            <v>0</v>
          </cell>
          <cell r="CU41">
            <v>0</v>
          </cell>
          <cell r="CV41">
            <v>0</v>
          </cell>
          <cell r="CW41">
            <v>0</v>
          </cell>
          <cell r="CX41">
            <v>0</v>
          </cell>
          <cell r="CY41">
            <v>0</v>
          </cell>
          <cell r="CZ41">
            <v>0</v>
          </cell>
          <cell r="DA41">
            <v>0</v>
          </cell>
          <cell r="DB41">
            <v>0</v>
          </cell>
          <cell r="DC41">
            <v>0</v>
          </cell>
          <cell r="DD41">
            <v>0</v>
          </cell>
          <cell r="DE41">
            <v>0</v>
          </cell>
          <cell r="DF41">
            <v>0</v>
          </cell>
          <cell r="DG41">
            <v>0</v>
          </cell>
          <cell r="DH41">
            <v>0</v>
          </cell>
          <cell r="DI41">
            <v>0</v>
          </cell>
          <cell r="DJ41">
            <v>0</v>
          </cell>
          <cell r="DK41">
            <v>0</v>
          </cell>
          <cell r="DL41">
            <v>0</v>
          </cell>
          <cell r="DM41">
            <v>0</v>
          </cell>
          <cell r="DN41">
            <v>0</v>
          </cell>
          <cell r="DO41">
            <v>0</v>
          </cell>
          <cell r="DP41">
            <v>0</v>
          </cell>
          <cell r="DQ41">
            <v>0</v>
          </cell>
          <cell r="DR41">
            <v>0</v>
          </cell>
          <cell r="DS41">
            <v>0</v>
          </cell>
          <cell r="DT41">
            <v>0</v>
          </cell>
          <cell r="DU41">
            <v>0</v>
          </cell>
          <cell r="DV41">
            <v>0</v>
          </cell>
          <cell r="DW41">
            <v>0</v>
          </cell>
          <cell r="DX41">
            <v>0</v>
          </cell>
          <cell r="DY41">
            <v>0</v>
          </cell>
          <cell r="EA41">
            <v>0</v>
          </cell>
          <cell r="EB41">
            <v>0</v>
          </cell>
          <cell r="EC41">
            <v>0</v>
          </cell>
          <cell r="ED41">
            <v>0.05</v>
          </cell>
          <cell r="EE41">
            <v>0.09</v>
          </cell>
          <cell r="EF41">
            <v>0.08</v>
          </cell>
          <cell r="EG41">
            <v>0.17</v>
          </cell>
          <cell r="EH41">
            <v>1</v>
          </cell>
          <cell r="EI41">
            <v>1</v>
          </cell>
          <cell r="EJ41">
            <v>1</v>
          </cell>
          <cell r="EK41">
            <v>1</v>
          </cell>
          <cell r="EL41">
            <v>0.05</v>
          </cell>
          <cell r="EM41">
            <v>0.14000000000000001</v>
          </cell>
          <cell r="EN41">
            <v>0.11</v>
          </cell>
          <cell r="EO41">
            <v>0.2</v>
          </cell>
          <cell r="EP41">
            <v>0</v>
          </cell>
          <cell r="EQ41">
            <v>0</v>
          </cell>
          <cell r="ER41">
            <v>0</v>
          </cell>
          <cell r="ES41">
            <v>0</v>
          </cell>
          <cell r="ET41">
            <v>0</v>
          </cell>
          <cell r="EU41">
            <v>0</v>
          </cell>
          <cell r="EV41">
            <v>0</v>
          </cell>
          <cell r="EW41">
            <v>0</v>
          </cell>
          <cell r="EX41">
            <v>1</v>
          </cell>
          <cell r="EY41">
            <v>1</v>
          </cell>
          <cell r="EZ41">
            <v>1</v>
          </cell>
          <cell r="FA41">
            <v>0</v>
          </cell>
          <cell r="FB41">
            <v>0</v>
          </cell>
          <cell r="FC41">
            <v>0</v>
          </cell>
          <cell r="FD41">
            <v>0</v>
          </cell>
          <cell r="FE41">
            <v>0</v>
          </cell>
          <cell r="FF41">
            <v>0</v>
          </cell>
          <cell r="FG41">
            <v>0</v>
          </cell>
          <cell r="FH41">
            <v>0</v>
          </cell>
          <cell r="FI41">
            <v>0</v>
          </cell>
          <cell r="FJ41">
            <v>0</v>
          </cell>
          <cell r="FK41">
            <v>0</v>
          </cell>
          <cell r="FL41">
            <v>0</v>
          </cell>
          <cell r="FM41">
            <v>0</v>
          </cell>
          <cell r="FN41">
            <v>0</v>
          </cell>
          <cell r="FO41">
            <v>0</v>
          </cell>
          <cell r="FP41">
            <v>0</v>
          </cell>
          <cell r="FQ41">
            <v>0</v>
          </cell>
          <cell r="FR41">
            <v>0</v>
          </cell>
          <cell r="FS41">
            <v>0</v>
          </cell>
          <cell r="FT41">
            <v>0</v>
          </cell>
          <cell r="FU41">
            <v>0</v>
          </cell>
          <cell r="FV41">
            <v>0</v>
          </cell>
          <cell r="FW41">
            <v>0</v>
          </cell>
          <cell r="FX41">
            <v>0</v>
          </cell>
          <cell r="FY41">
            <v>0</v>
          </cell>
          <cell r="FZ41">
            <v>0</v>
          </cell>
        </row>
        <row r="42">
          <cell r="A42" t="str">
            <v>F_CNP_NRF_RET_IND_FRCE_209</v>
          </cell>
          <cell r="B42">
            <v>0.1</v>
          </cell>
          <cell r="C42">
            <v>0.08</v>
          </cell>
          <cell r="D42">
            <v>0.15</v>
          </cell>
          <cell r="E42">
            <v>0.08</v>
          </cell>
          <cell r="F42">
            <v>0.15</v>
          </cell>
          <cell r="G42">
            <v>0.22</v>
          </cell>
          <cell r="H42">
            <v>7.0000000000000007E-2</v>
          </cell>
          <cell r="I42">
            <v>0.05</v>
          </cell>
          <cell r="J42">
            <v>0.13</v>
          </cell>
          <cell r="K42">
            <v>0.18</v>
          </cell>
          <cell r="L42">
            <v>0.17</v>
          </cell>
          <cell r="M42">
            <v>0.16</v>
          </cell>
          <cell r="N42">
            <v>0.8</v>
          </cell>
          <cell r="O42">
            <v>1</v>
          </cell>
          <cell r="P42">
            <v>1</v>
          </cell>
          <cell r="Q42">
            <v>0.8</v>
          </cell>
          <cell r="R42">
            <v>0.8</v>
          </cell>
          <cell r="S42">
            <v>1</v>
          </cell>
          <cell r="T42">
            <v>1</v>
          </cell>
          <cell r="U42">
            <v>1</v>
          </cell>
          <cell r="V42">
            <v>1</v>
          </cell>
          <cell r="W42">
            <v>1</v>
          </cell>
          <cell r="X42">
            <v>1</v>
          </cell>
          <cell r="Y42">
            <v>1</v>
          </cell>
          <cell r="Z42">
            <v>0.1</v>
          </cell>
          <cell r="AA42">
            <v>0.1</v>
          </cell>
          <cell r="AB42">
            <v>0.14000000000000001</v>
          </cell>
          <cell r="AC42">
            <v>0.11</v>
          </cell>
          <cell r="AD42">
            <v>0.11</v>
          </cell>
          <cell r="AE42">
            <v>0.19</v>
          </cell>
          <cell r="AF42">
            <v>0.09</v>
          </cell>
          <cell r="AG42">
            <v>0.11</v>
          </cell>
          <cell r="AH42">
            <v>0.15</v>
          </cell>
          <cell r="AI42">
            <v>0.2</v>
          </cell>
          <cell r="AJ42">
            <v>0.2</v>
          </cell>
          <cell r="AK42">
            <v>0.2</v>
          </cell>
          <cell r="AL42">
            <v>0</v>
          </cell>
          <cell r="AM42">
            <v>0</v>
          </cell>
          <cell r="AN42">
            <v>0</v>
          </cell>
          <cell r="AO42">
            <v>0</v>
          </cell>
          <cell r="AP42">
            <v>0</v>
          </cell>
          <cell r="AQ42">
            <v>0</v>
          </cell>
          <cell r="AR42">
            <v>0</v>
          </cell>
          <cell r="AS42">
            <v>0</v>
          </cell>
          <cell r="AT42">
            <v>0</v>
          </cell>
          <cell r="AU42">
            <v>0</v>
          </cell>
          <cell r="AV42">
            <v>0</v>
          </cell>
          <cell r="AW42">
            <v>0</v>
          </cell>
          <cell r="AX42">
            <v>0</v>
          </cell>
          <cell r="AY42">
            <v>0</v>
          </cell>
          <cell r="AZ42">
            <v>0</v>
          </cell>
          <cell r="BA42">
            <v>0</v>
          </cell>
          <cell r="BB42">
            <v>0</v>
          </cell>
          <cell r="BC42">
            <v>0</v>
          </cell>
          <cell r="BD42">
            <v>0</v>
          </cell>
          <cell r="BE42">
            <v>0</v>
          </cell>
          <cell r="BF42">
            <v>0</v>
          </cell>
          <cell r="BG42">
            <v>0</v>
          </cell>
          <cell r="BH42">
            <v>0</v>
          </cell>
          <cell r="BI42">
            <v>0</v>
          </cell>
          <cell r="BJ42">
            <v>0</v>
          </cell>
          <cell r="BK42">
            <v>0</v>
          </cell>
          <cell r="BL42">
            <v>0</v>
          </cell>
          <cell r="BM42">
            <v>0</v>
          </cell>
          <cell r="BN42">
            <v>0</v>
          </cell>
          <cell r="BO42">
            <v>0</v>
          </cell>
          <cell r="BP42">
            <v>0</v>
          </cell>
          <cell r="BQ42">
            <v>0</v>
          </cell>
          <cell r="BR42">
            <v>0</v>
          </cell>
          <cell r="BS42">
            <v>0</v>
          </cell>
          <cell r="BT42">
            <v>0</v>
          </cell>
          <cell r="BU42">
            <v>0</v>
          </cell>
          <cell r="BV42">
            <v>0</v>
          </cell>
          <cell r="BW42">
            <v>0</v>
          </cell>
          <cell r="BX42">
            <v>0</v>
          </cell>
          <cell r="BY42">
            <v>0</v>
          </cell>
          <cell r="BZ42">
            <v>0</v>
          </cell>
          <cell r="CA42">
            <v>0</v>
          </cell>
          <cell r="CB42">
            <v>0</v>
          </cell>
          <cell r="CC42">
            <v>0</v>
          </cell>
          <cell r="CD42">
            <v>0</v>
          </cell>
          <cell r="CE42">
            <v>0</v>
          </cell>
          <cell r="CF42">
            <v>0</v>
          </cell>
          <cell r="CG42">
            <v>0</v>
          </cell>
          <cell r="CH42">
            <v>0</v>
          </cell>
          <cell r="CI42">
            <v>0</v>
          </cell>
          <cell r="CJ42">
            <v>0</v>
          </cell>
          <cell r="CK42">
            <v>0</v>
          </cell>
          <cell r="CL42">
            <v>0</v>
          </cell>
          <cell r="CM42">
            <v>0</v>
          </cell>
          <cell r="CN42">
            <v>0</v>
          </cell>
          <cell r="CO42">
            <v>0</v>
          </cell>
          <cell r="CP42">
            <v>0</v>
          </cell>
          <cell r="CQ42">
            <v>0</v>
          </cell>
          <cell r="CR42">
            <v>0</v>
          </cell>
          <cell r="CS42">
            <v>0</v>
          </cell>
          <cell r="CT42">
            <v>0</v>
          </cell>
          <cell r="CU42">
            <v>0</v>
          </cell>
          <cell r="CV42">
            <v>0</v>
          </cell>
          <cell r="CW42">
            <v>0</v>
          </cell>
          <cell r="CX42">
            <v>0</v>
          </cell>
          <cell r="CY42">
            <v>0</v>
          </cell>
          <cell r="CZ42">
            <v>0</v>
          </cell>
          <cell r="DA42">
            <v>0</v>
          </cell>
          <cell r="DB42">
            <v>0</v>
          </cell>
          <cell r="DC42">
            <v>0</v>
          </cell>
          <cell r="DD42">
            <v>0</v>
          </cell>
          <cell r="DE42">
            <v>0</v>
          </cell>
          <cell r="DF42">
            <v>0</v>
          </cell>
          <cell r="DG42">
            <v>0</v>
          </cell>
          <cell r="DH42">
            <v>0</v>
          </cell>
          <cell r="DI42">
            <v>0</v>
          </cell>
          <cell r="DJ42">
            <v>0</v>
          </cell>
          <cell r="DK42">
            <v>0</v>
          </cell>
          <cell r="DL42">
            <v>0</v>
          </cell>
          <cell r="DM42">
            <v>0</v>
          </cell>
          <cell r="DN42">
            <v>0</v>
          </cell>
          <cell r="DO42">
            <v>0</v>
          </cell>
          <cell r="DP42">
            <v>0</v>
          </cell>
          <cell r="DQ42">
            <v>0</v>
          </cell>
          <cell r="DR42">
            <v>0</v>
          </cell>
          <cell r="DS42">
            <v>0</v>
          </cell>
          <cell r="DT42">
            <v>0</v>
          </cell>
          <cell r="DU42">
            <v>0</v>
          </cell>
          <cell r="DV42">
            <v>0</v>
          </cell>
          <cell r="DW42">
            <v>0</v>
          </cell>
          <cell r="DX42">
            <v>0</v>
          </cell>
          <cell r="DY42">
            <v>0</v>
          </cell>
          <cell r="EA42">
            <v>0</v>
          </cell>
          <cell r="EB42">
            <v>0</v>
          </cell>
          <cell r="EC42">
            <v>0</v>
          </cell>
          <cell r="ED42">
            <v>0.05</v>
          </cell>
          <cell r="EE42">
            <v>0.09</v>
          </cell>
          <cell r="EF42">
            <v>0.08</v>
          </cell>
          <cell r="EG42">
            <v>0.17</v>
          </cell>
          <cell r="EH42">
            <v>1</v>
          </cell>
          <cell r="EI42">
            <v>1</v>
          </cell>
          <cell r="EJ42">
            <v>1</v>
          </cell>
          <cell r="EK42">
            <v>1</v>
          </cell>
          <cell r="EL42">
            <v>0.05</v>
          </cell>
          <cell r="EM42">
            <v>0.14000000000000001</v>
          </cell>
          <cell r="EN42">
            <v>0.11</v>
          </cell>
          <cell r="EO42">
            <v>0.2</v>
          </cell>
          <cell r="EP42">
            <v>0</v>
          </cell>
          <cell r="EQ42">
            <v>0</v>
          </cell>
          <cell r="ER42">
            <v>0</v>
          </cell>
          <cell r="ES42">
            <v>0</v>
          </cell>
          <cell r="ET42">
            <v>0</v>
          </cell>
          <cell r="EU42">
            <v>0</v>
          </cell>
          <cell r="EV42">
            <v>0</v>
          </cell>
          <cell r="EW42">
            <v>0</v>
          </cell>
          <cell r="EX42">
            <v>1</v>
          </cell>
          <cell r="EY42">
            <v>1</v>
          </cell>
          <cell r="EZ42">
            <v>1</v>
          </cell>
          <cell r="FA42">
            <v>0</v>
          </cell>
          <cell r="FB42">
            <v>0</v>
          </cell>
          <cell r="FC42">
            <v>0</v>
          </cell>
          <cell r="FD42">
            <v>0</v>
          </cell>
          <cell r="FE42">
            <v>0</v>
          </cell>
          <cell r="FF42">
            <v>0</v>
          </cell>
          <cell r="FG42">
            <v>0</v>
          </cell>
          <cell r="FH42">
            <v>0</v>
          </cell>
          <cell r="FI42">
            <v>0</v>
          </cell>
          <cell r="FJ42">
            <v>0</v>
          </cell>
          <cell r="FK42">
            <v>0</v>
          </cell>
          <cell r="FL42">
            <v>0</v>
          </cell>
          <cell r="FM42">
            <v>0</v>
          </cell>
          <cell r="FN42">
            <v>0</v>
          </cell>
          <cell r="FO42">
            <v>0</v>
          </cell>
          <cell r="FP42">
            <v>0</v>
          </cell>
          <cell r="FQ42">
            <v>0</v>
          </cell>
          <cell r="FR42">
            <v>0</v>
          </cell>
          <cell r="FS42">
            <v>0</v>
          </cell>
          <cell r="FT42">
            <v>0</v>
          </cell>
          <cell r="FU42">
            <v>0</v>
          </cell>
          <cell r="FV42">
            <v>0</v>
          </cell>
          <cell r="FW42">
            <v>0</v>
          </cell>
          <cell r="FX42">
            <v>0</v>
          </cell>
          <cell r="FY42">
            <v>0</v>
          </cell>
          <cell r="FZ42">
            <v>0</v>
          </cell>
        </row>
        <row r="43">
          <cell r="A43" t="str">
            <v>F_CNP_NRF_RET_IND_FRCE_234</v>
          </cell>
          <cell r="B43">
            <v>0.1</v>
          </cell>
          <cell r="C43">
            <v>0.08</v>
          </cell>
          <cell r="D43">
            <v>0.15</v>
          </cell>
          <cell r="E43">
            <v>0.08</v>
          </cell>
          <cell r="F43">
            <v>0.15</v>
          </cell>
          <cell r="G43">
            <v>0.22</v>
          </cell>
          <cell r="H43">
            <v>7.0000000000000007E-2</v>
          </cell>
          <cell r="I43">
            <v>0.05</v>
          </cell>
          <cell r="J43">
            <v>0.13</v>
          </cell>
          <cell r="K43">
            <v>0.18</v>
          </cell>
          <cell r="L43">
            <v>0.17</v>
          </cell>
          <cell r="M43">
            <v>0.16</v>
          </cell>
          <cell r="N43">
            <v>0.8</v>
          </cell>
          <cell r="O43">
            <v>1</v>
          </cell>
          <cell r="P43">
            <v>1</v>
          </cell>
          <cell r="Q43">
            <v>0.8</v>
          </cell>
          <cell r="R43">
            <v>0.8</v>
          </cell>
          <cell r="S43">
            <v>1</v>
          </cell>
          <cell r="T43">
            <v>1</v>
          </cell>
          <cell r="U43">
            <v>1</v>
          </cell>
          <cell r="V43">
            <v>1</v>
          </cell>
          <cell r="W43">
            <v>1</v>
          </cell>
          <cell r="X43">
            <v>1</v>
          </cell>
          <cell r="Y43">
            <v>1</v>
          </cell>
          <cell r="Z43">
            <v>0.1</v>
          </cell>
          <cell r="AA43">
            <v>0.1</v>
          </cell>
          <cell r="AB43">
            <v>0.14000000000000001</v>
          </cell>
          <cell r="AC43">
            <v>0.11</v>
          </cell>
          <cell r="AD43">
            <v>0.11</v>
          </cell>
          <cell r="AE43">
            <v>0.19</v>
          </cell>
          <cell r="AF43">
            <v>0.09</v>
          </cell>
          <cell r="AG43">
            <v>0.11</v>
          </cell>
          <cell r="AH43">
            <v>0.15</v>
          </cell>
          <cell r="AI43">
            <v>0.2</v>
          </cell>
          <cell r="AJ43">
            <v>0.2</v>
          </cell>
          <cell r="AK43">
            <v>0.2</v>
          </cell>
          <cell r="AL43">
            <v>0</v>
          </cell>
          <cell r="AM43">
            <v>0</v>
          </cell>
          <cell r="AN43">
            <v>0</v>
          </cell>
          <cell r="AO43">
            <v>0</v>
          </cell>
          <cell r="AP43">
            <v>0</v>
          </cell>
          <cell r="AQ43">
            <v>0</v>
          </cell>
          <cell r="AR43">
            <v>0</v>
          </cell>
          <cell r="AS43">
            <v>0</v>
          </cell>
          <cell r="AT43">
            <v>0</v>
          </cell>
          <cell r="AU43">
            <v>0</v>
          </cell>
          <cell r="AV43">
            <v>0</v>
          </cell>
          <cell r="AW43">
            <v>0</v>
          </cell>
          <cell r="AX43">
            <v>0</v>
          </cell>
          <cell r="AY43">
            <v>0</v>
          </cell>
          <cell r="AZ43">
            <v>0</v>
          </cell>
          <cell r="BA43">
            <v>0</v>
          </cell>
          <cell r="BB43">
            <v>0</v>
          </cell>
          <cell r="BC43">
            <v>0</v>
          </cell>
          <cell r="BD43">
            <v>0</v>
          </cell>
          <cell r="BE43">
            <v>0</v>
          </cell>
          <cell r="BF43">
            <v>0</v>
          </cell>
          <cell r="BG43">
            <v>0</v>
          </cell>
          <cell r="BH43">
            <v>0</v>
          </cell>
          <cell r="BI43">
            <v>0</v>
          </cell>
          <cell r="BJ43">
            <v>0</v>
          </cell>
          <cell r="BK43">
            <v>0</v>
          </cell>
          <cell r="BL43">
            <v>0</v>
          </cell>
          <cell r="BM43">
            <v>0</v>
          </cell>
          <cell r="BN43">
            <v>0</v>
          </cell>
          <cell r="BO43">
            <v>0</v>
          </cell>
          <cell r="BP43">
            <v>0</v>
          </cell>
          <cell r="BQ43">
            <v>0</v>
          </cell>
          <cell r="BR43">
            <v>0</v>
          </cell>
          <cell r="BS43">
            <v>0</v>
          </cell>
          <cell r="BT43">
            <v>0</v>
          </cell>
          <cell r="BU43">
            <v>0</v>
          </cell>
          <cell r="BV43">
            <v>0</v>
          </cell>
          <cell r="BW43">
            <v>0</v>
          </cell>
          <cell r="BX43">
            <v>0</v>
          </cell>
          <cell r="BY43">
            <v>0</v>
          </cell>
          <cell r="BZ43">
            <v>0</v>
          </cell>
          <cell r="CA43">
            <v>0</v>
          </cell>
          <cell r="CB43">
            <v>0</v>
          </cell>
          <cell r="CC43">
            <v>0</v>
          </cell>
          <cell r="CD43">
            <v>0</v>
          </cell>
          <cell r="CE43">
            <v>0</v>
          </cell>
          <cell r="CF43">
            <v>0</v>
          </cell>
          <cell r="CG43">
            <v>0</v>
          </cell>
          <cell r="CH43">
            <v>0</v>
          </cell>
          <cell r="CI43">
            <v>0</v>
          </cell>
          <cell r="CJ43">
            <v>0</v>
          </cell>
          <cell r="CK43">
            <v>0</v>
          </cell>
          <cell r="CL43">
            <v>0</v>
          </cell>
          <cell r="CM43">
            <v>0</v>
          </cell>
          <cell r="CN43">
            <v>0</v>
          </cell>
          <cell r="CO43">
            <v>0</v>
          </cell>
          <cell r="CP43">
            <v>0</v>
          </cell>
          <cell r="CQ43">
            <v>0</v>
          </cell>
          <cell r="CR43">
            <v>0</v>
          </cell>
          <cell r="CS43">
            <v>0</v>
          </cell>
          <cell r="CT43">
            <v>0</v>
          </cell>
          <cell r="CU43">
            <v>0</v>
          </cell>
          <cell r="CV43">
            <v>0</v>
          </cell>
          <cell r="CW43">
            <v>0</v>
          </cell>
          <cell r="CX43">
            <v>0</v>
          </cell>
          <cell r="CY43">
            <v>0</v>
          </cell>
          <cell r="CZ43">
            <v>0</v>
          </cell>
          <cell r="DA43">
            <v>0</v>
          </cell>
          <cell r="DB43">
            <v>0</v>
          </cell>
          <cell r="DC43">
            <v>0</v>
          </cell>
          <cell r="DD43">
            <v>0</v>
          </cell>
          <cell r="DE43">
            <v>0</v>
          </cell>
          <cell r="DF43">
            <v>0</v>
          </cell>
          <cell r="DG43">
            <v>0</v>
          </cell>
          <cell r="DH43">
            <v>0</v>
          </cell>
          <cell r="DI43">
            <v>0</v>
          </cell>
          <cell r="DJ43">
            <v>0</v>
          </cell>
          <cell r="DK43">
            <v>0</v>
          </cell>
          <cell r="DL43">
            <v>0</v>
          </cell>
          <cell r="DM43">
            <v>0</v>
          </cell>
          <cell r="DN43">
            <v>0</v>
          </cell>
          <cell r="DO43">
            <v>0</v>
          </cell>
          <cell r="DP43">
            <v>0</v>
          </cell>
          <cell r="DQ43">
            <v>0</v>
          </cell>
          <cell r="DR43">
            <v>0</v>
          </cell>
          <cell r="DS43">
            <v>0</v>
          </cell>
          <cell r="DT43">
            <v>0</v>
          </cell>
          <cell r="DU43">
            <v>0</v>
          </cell>
          <cell r="DV43">
            <v>0</v>
          </cell>
          <cell r="DW43">
            <v>0</v>
          </cell>
          <cell r="DX43">
            <v>0</v>
          </cell>
          <cell r="DY43">
            <v>0</v>
          </cell>
          <cell r="EA43">
            <v>0</v>
          </cell>
          <cell r="EB43">
            <v>0</v>
          </cell>
          <cell r="EC43">
            <v>0</v>
          </cell>
          <cell r="ED43">
            <v>0.05</v>
          </cell>
          <cell r="EE43">
            <v>0.09</v>
          </cell>
          <cell r="EF43">
            <v>0.08</v>
          </cell>
          <cell r="EG43">
            <v>0.17</v>
          </cell>
          <cell r="EH43">
            <v>1</v>
          </cell>
          <cell r="EI43">
            <v>1</v>
          </cell>
          <cell r="EJ43">
            <v>1</v>
          </cell>
          <cell r="EK43">
            <v>1</v>
          </cell>
          <cell r="EL43">
            <v>0.05</v>
          </cell>
          <cell r="EM43">
            <v>0.14000000000000001</v>
          </cell>
          <cell r="EN43">
            <v>0.11</v>
          </cell>
          <cell r="EO43">
            <v>0.2</v>
          </cell>
          <cell r="EP43">
            <v>0</v>
          </cell>
          <cell r="EQ43">
            <v>0</v>
          </cell>
          <cell r="ER43">
            <v>0</v>
          </cell>
          <cell r="ES43">
            <v>0</v>
          </cell>
          <cell r="ET43">
            <v>0</v>
          </cell>
          <cell r="EU43">
            <v>0</v>
          </cell>
          <cell r="EV43">
            <v>0</v>
          </cell>
          <cell r="EW43">
            <v>0</v>
          </cell>
          <cell r="EX43">
            <v>1</v>
          </cell>
          <cell r="EY43">
            <v>1</v>
          </cell>
          <cell r="EZ43">
            <v>1</v>
          </cell>
          <cell r="FA43">
            <v>0</v>
          </cell>
          <cell r="FB43">
            <v>0</v>
          </cell>
          <cell r="FC43">
            <v>0</v>
          </cell>
          <cell r="FD43">
            <v>0</v>
          </cell>
          <cell r="FE43">
            <v>0</v>
          </cell>
          <cell r="FF43">
            <v>0</v>
          </cell>
          <cell r="FG43">
            <v>0</v>
          </cell>
          <cell r="FH43">
            <v>0</v>
          </cell>
          <cell r="FI43">
            <v>0</v>
          </cell>
          <cell r="FJ43">
            <v>0</v>
          </cell>
          <cell r="FK43">
            <v>0</v>
          </cell>
          <cell r="FL43">
            <v>0</v>
          </cell>
          <cell r="FM43">
            <v>0</v>
          </cell>
          <cell r="FN43">
            <v>0</v>
          </cell>
          <cell r="FO43">
            <v>0</v>
          </cell>
          <cell r="FP43">
            <v>0</v>
          </cell>
          <cell r="FQ43">
            <v>0</v>
          </cell>
          <cell r="FR43">
            <v>0</v>
          </cell>
          <cell r="FS43">
            <v>0</v>
          </cell>
          <cell r="FT43">
            <v>0</v>
          </cell>
          <cell r="FU43">
            <v>0</v>
          </cell>
          <cell r="FV43">
            <v>0</v>
          </cell>
          <cell r="FW43">
            <v>0</v>
          </cell>
          <cell r="FX43">
            <v>0</v>
          </cell>
          <cell r="FY43">
            <v>0</v>
          </cell>
          <cell r="FZ43">
            <v>0</v>
          </cell>
        </row>
        <row r="44">
          <cell r="A44" t="str">
            <v>F_CNP_NRF_RET_IND_FRCE_272</v>
          </cell>
          <cell r="B44">
            <v>0.1</v>
          </cell>
          <cell r="C44">
            <v>0.08</v>
          </cell>
          <cell r="D44">
            <v>0.15</v>
          </cell>
          <cell r="E44">
            <v>0.08</v>
          </cell>
          <cell r="F44">
            <v>0.15</v>
          </cell>
          <cell r="G44">
            <v>0.22</v>
          </cell>
          <cell r="H44">
            <v>7.0000000000000007E-2</v>
          </cell>
          <cell r="I44">
            <v>0.05</v>
          </cell>
          <cell r="J44">
            <v>0.13</v>
          </cell>
          <cell r="K44">
            <v>0.18</v>
          </cell>
          <cell r="L44">
            <v>0.17</v>
          </cell>
          <cell r="M44">
            <v>0.16</v>
          </cell>
          <cell r="N44">
            <v>0.8</v>
          </cell>
          <cell r="O44">
            <v>1</v>
          </cell>
          <cell r="P44">
            <v>1</v>
          </cell>
          <cell r="Q44">
            <v>0.8</v>
          </cell>
          <cell r="R44">
            <v>0.8</v>
          </cell>
          <cell r="S44">
            <v>1</v>
          </cell>
          <cell r="T44">
            <v>1</v>
          </cell>
          <cell r="U44">
            <v>1</v>
          </cell>
          <cell r="V44">
            <v>1</v>
          </cell>
          <cell r="W44">
            <v>1</v>
          </cell>
          <cell r="X44">
            <v>1</v>
          </cell>
          <cell r="Y44">
            <v>1</v>
          </cell>
          <cell r="Z44">
            <v>0.1</v>
          </cell>
          <cell r="AA44">
            <v>0.1</v>
          </cell>
          <cell r="AB44">
            <v>0.14000000000000001</v>
          </cell>
          <cell r="AC44">
            <v>0.11</v>
          </cell>
          <cell r="AD44">
            <v>0.11</v>
          </cell>
          <cell r="AE44">
            <v>0.19</v>
          </cell>
          <cell r="AF44">
            <v>0.09</v>
          </cell>
          <cell r="AG44">
            <v>0.11</v>
          </cell>
          <cell r="AH44">
            <v>0.15</v>
          </cell>
          <cell r="AI44">
            <v>0.2</v>
          </cell>
          <cell r="AJ44">
            <v>0.2</v>
          </cell>
          <cell r="AK44">
            <v>0.2</v>
          </cell>
          <cell r="AL44">
            <v>0</v>
          </cell>
          <cell r="AM44">
            <v>0</v>
          </cell>
          <cell r="AN44">
            <v>0</v>
          </cell>
          <cell r="AO44">
            <v>0</v>
          </cell>
          <cell r="AP44">
            <v>0</v>
          </cell>
          <cell r="AQ44">
            <v>0</v>
          </cell>
          <cell r="AR44">
            <v>0</v>
          </cell>
          <cell r="AS44">
            <v>0</v>
          </cell>
          <cell r="AT44">
            <v>0</v>
          </cell>
          <cell r="AU44">
            <v>0</v>
          </cell>
          <cell r="AV44">
            <v>0</v>
          </cell>
          <cell r="AW44">
            <v>0</v>
          </cell>
          <cell r="AX44">
            <v>0</v>
          </cell>
          <cell r="AY44">
            <v>0</v>
          </cell>
          <cell r="AZ44">
            <v>0</v>
          </cell>
          <cell r="BA44">
            <v>0</v>
          </cell>
          <cell r="BB44">
            <v>0</v>
          </cell>
          <cell r="BC44">
            <v>0</v>
          </cell>
          <cell r="BD44">
            <v>0</v>
          </cell>
          <cell r="BE44">
            <v>0</v>
          </cell>
          <cell r="BF44">
            <v>0</v>
          </cell>
          <cell r="BG44">
            <v>0</v>
          </cell>
          <cell r="BH44">
            <v>0</v>
          </cell>
          <cell r="BI44">
            <v>0</v>
          </cell>
          <cell r="BJ44">
            <v>0</v>
          </cell>
          <cell r="BK44">
            <v>0</v>
          </cell>
          <cell r="BL44">
            <v>0</v>
          </cell>
          <cell r="BM44">
            <v>0</v>
          </cell>
          <cell r="BN44">
            <v>0</v>
          </cell>
          <cell r="BO44">
            <v>0</v>
          </cell>
          <cell r="BP44">
            <v>0</v>
          </cell>
          <cell r="BQ44">
            <v>0</v>
          </cell>
          <cell r="BR44">
            <v>0</v>
          </cell>
          <cell r="BS44">
            <v>0</v>
          </cell>
          <cell r="BT44">
            <v>0</v>
          </cell>
          <cell r="BU44">
            <v>0</v>
          </cell>
          <cell r="BV44">
            <v>0</v>
          </cell>
          <cell r="BW44">
            <v>0</v>
          </cell>
          <cell r="BX44">
            <v>0</v>
          </cell>
          <cell r="BY44">
            <v>0</v>
          </cell>
          <cell r="BZ44">
            <v>0</v>
          </cell>
          <cell r="CA44">
            <v>0</v>
          </cell>
          <cell r="CB44">
            <v>0</v>
          </cell>
          <cell r="CC44">
            <v>0</v>
          </cell>
          <cell r="CD44">
            <v>0</v>
          </cell>
          <cell r="CE44">
            <v>0</v>
          </cell>
          <cell r="CF44">
            <v>0</v>
          </cell>
          <cell r="CG44">
            <v>0</v>
          </cell>
          <cell r="CH44">
            <v>0</v>
          </cell>
          <cell r="CI44">
            <v>0</v>
          </cell>
          <cell r="CJ44">
            <v>0</v>
          </cell>
          <cell r="CK44">
            <v>0</v>
          </cell>
          <cell r="CL44">
            <v>0</v>
          </cell>
          <cell r="CM44">
            <v>0</v>
          </cell>
          <cell r="CN44">
            <v>0</v>
          </cell>
          <cell r="CO44">
            <v>0</v>
          </cell>
          <cell r="CP44">
            <v>0</v>
          </cell>
          <cell r="CQ44">
            <v>0</v>
          </cell>
          <cell r="CR44">
            <v>0</v>
          </cell>
          <cell r="CS44">
            <v>0</v>
          </cell>
          <cell r="CT44">
            <v>0</v>
          </cell>
          <cell r="CU44">
            <v>0</v>
          </cell>
          <cell r="CV44">
            <v>0</v>
          </cell>
          <cell r="CW44">
            <v>0</v>
          </cell>
          <cell r="CX44">
            <v>0</v>
          </cell>
          <cell r="CY44">
            <v>0</v>
          </cell>
          <cell r="CZ44">
            <v>0</v>
          </cell>
          <cell r="DA44">
            <v>0</v>
          </cell>
          <cell r="DB44">
            <v>0</v>
          </cell>
          <cell r="DC44">
            <v>0</v>
          </cell>
          <cell r="DD44">
            <v>0</v>
          </cell>
          <cell r="DE44">
            <v>0</v>
          </cell>
          <cell r="DF44">
            <v>0</v>
          </cell>
          <cell r="DG44">
            <v>0</v>
          </cell>
          <cell r="DH44">
            <v>0</v>
          </cell>
          <cell r="DI44">
            <v>0</v>
          </cell>
          <cell r="DJ44">
            <v>0</v>
          </cell>
          <cell r="DK44">
            <v>0</v>
          </cell>
          <cell r="DL44">
            <v>0</v>
          </cell>
          <cell r="DM44">
            <v>0</v>
          </cell>
          <cell r="DN44">
            <v>0</v>
          </cell>
          <cell r="DO44">
            <v>0</v>
          </cell>
          <cell r="DP44">
            <v>0</v>
          </cell>
          <cell r="DQ44">
            <v>0</v>
          </cell>
          <cell r="DR44">
            <v>0</v>
          </cell>
          <cell r="DS44">
            <v>0</v>
          </cell>
          <cell r="DT44">
            <v>0</v>
          </cell>
          <cell r="DU44">
            <v>0</v>
          </cell>
          <cell r="DV44">
            <v>0</v>
          </cell>
          <cell r="DW44">
            <v>0</v>
          </cell>
          <cell r="DX44">
            <v>0</v>
          </cell>
          <cell r="DY44">
            <v>0</v>
          </cell>
          <cell r="EA44">
            <v>0</v>
          </cell>
          <cell r="EB44">
            <v>0</v>
          </cell>
          <cell r="EC44">
            <v>0</v>
          </cell>
          <cell r="ED44">
            <v>0.05</v>
          </cell>
          <cell r="EE44">
            <v>0.09</v>
          </cell>
          <cell r="EF44">
            <v>0.08</v>
          </cell>
          <cell r="EG44">
            <v>0.17</v>
          </cell>
          <cell r="EH44">
            <v>1</v>
          </cell>
          <cell r="EI44">
            <v>1</v>
          </cell>
          <cell r="EJ44">
            <v>1</v>
          </cell>
          <cell r="EK44">
            <v>1</v>
          </cell>
          <cell r="EL44">
            <v>0.05</v>
          </cell>
          <cell r="EM44">
            <v>0.14000000000000001</v>
          </cell>
          <cell r="EN44">
            <v>0.11</v>
          </cell>
          <cell r="EO44">
            <v>0.2</v>
          </cell>
          <cell r="EP44">
            <v>0</v>
          </cell>
          <cell r="EQ44">
            <v>0</v>
          </cell>
          <cell r="ER44">
            <v>0</v>
          </cell>
          <cell r="ES44">
            <v>0</v>
          </cell>
          <cell r="ET44">
            <v>0</v>
          </cell>
          <cell r="EU44">
            <v>0</v>
          </cell>
          <cell r="EV44">
            <v>0</v>
          </cell>
          <cell r="EW44">
            <v>0</v>
          </cell>
          <cell r="EX44">
            <v>1</v>
          </cell>
          <cell r="EY44">
            <v>1</v>
          </cell>
          <cell r="EZ44">
            <v>1</v>
          </cell>
          <cell r="FA44">
            <v>0</v>
          </cell>
          <cell r="FB44">
            <v>0</v>
          </cell>
          <cell r="FC44">
            <v>0</v>
          </cell>
          <cell r="FD44">
            <v>0</v>
          </cell>
          <cell r="FE44">
            <v>0</v>
          </cell>
          <cell r="FF44">
            <v>0</v>
          </cell>
          <cell r="FG44">
            <v>0</v>
          </cell>
          <cell r="FH44">
            <v>0</v>
          </cell>
          <cell r="FI44">
            <v>0</v>
          </cell>
          <cell r="FJ44">
            <v>0</v>
          </cell>
          <cell r="FK44">
            <v>0</v>
          </cell>
          <cell r="FL44">
            <v>0</v>
          </cell>
          <cell r="FM44">
            <v>0</v>
          </cell>
          <cell r="FN44">
            <v>0</v>
          </cell>
          <cell r="FO44">
            <v>0</v>
          </cell>
          <cell r="FP44">
            <v>0</v>
          </cell>
          <cell r="FQ44">
            <v>0</v>
          </cell>
          <cell r="FR44">
            <v>0</v>
          </cell>
          <cell r="FS44">
            <v>0</v>
          </cell>
          <cell r="FT44">
            <v>0</v>
          </cell>
          <cell r="FU44">
            <v>0</v>
          </cell>
          <cell r="FV44">
            <v>0</v>
          </cell>
          <cell r="FW44">
            <v>0</v>
          </cell>
          <cell r="FX44">
            <v>0</v>
          </cell>
          <cell r="FY44">
            <v>0</v>
          </cell>
          <cell r="FZ44">
            <v>0</v>
          </cell>
        </row>
        <row r="45">
          <cell r="A45" t="str">
            <v>F_CNP_NRF_RET_IND_FRCE_250</v>
          </cell>
          <cell r="B45">
            <v>0.1</v>
          </cell>
          <cell r="C45">
            <v>0.08</v>
          </cell>
          <cell r="D45">
            <v>0.15</v>
          </cell>
          <cell r="E45">
            <v>0.08</v>
          </cell>
          <cell r="F45">
            <v>0.15</v>
          </cell>
          <cell r="G45">
            <v>0.22</v>
          </cell>
          <cell r="H45">
            <v>7.0000000000000007E-2</v>
          </cell>
          <cell r="I45">
            <v>0.05</v>
          </cell>
          <cell r="J45">
            <v>0.13</v>
          </cell>
          <cell r="K45">
            <v>0.18</v>
          </cell>
          <cell r="L45">
            <v>0.17</v>
          </cell>
          <cell r="M45">
            <v>0.16</v>
          </cell>
          <cell r="N45">
            <v>0.8</v>
          </cell>
          <cell r="O45">
            <v>1</v>
          </cell>
          <cell r="P45">
            <v>1</v>
          </cell>
          <cell r="Q45">
            <v>0.8</v>
          </cell>
          <cell r="R45">
            <v>0.8</v>
          </cell>
          <cell r="S45">
            <v>1</v>
          </cell>
          <cell r="T45">
            <v>1</v>
          </cell>
          <cell r="U45">
            <v>1</v>
          </cell>
          <cell r="V45">
            <v>1</v>
          </cell>
          <cell r="W45">
            <v>1</v>
          </cell>
          <cell r="X45">
            <v>1</v>
          </cell>
          <cell r="Y45">
            <v>1</v>
          </cell>
          <cell r="Z45">
            <v>0.1</v>
          </cell>
          <cell r="AA45">
            <v>0.1</v>
          </cell>
          <cell r="AB45">
            <v>0.14000000000000001</v>
          </cell>
          <cell r="AC45">
            <v>0.11</v>
          </cell>
          <cell r="AD45">
            <v>0.11</v>
          </cell>
          <cell r="AE45">
            <v>0.19</v>
          </cell>
          <cell r="AF45">
            <v>0.09</v>
          </cell>
          <cell r="AG45">
            <v>0.11</v>
          </cell>
          <cell r="AH45">
            <v>0.15</v>
          </cell>
          <cell r="AI45">
            <v>0.2</v>
          </cell>
          <cell r="AJ45">
            <v>0.2</v>
          </cell>
          <cell r="AK45">
            <v>0.2</v>
          </cell>
          <cell r="AL45">
            <v>0</v>
          </cell>
          <cell r="AM45">
            <v>0</v>
          </cell>
          <cell r="AN45">
            <v>0</v>
          </cell>
          <cell r="AO45">
            <v>0</v>
          </cell>
          <cell r="AP45">
            <v>0</v>
          </cell>
          <cell r="AQ45">
            <v>0</v>
          </cell>
          <cell r="AR45">
            <v>0</v>
          </cell>
          <cell r="AS45">
            <v>0</v>
          </cell>
          <cell r="AT45">
            <v>0</v>
          </cell>
          <cell r="AU45">
            <v>0</v>
          </cell>
          <cell r="AV45">
            <v>0</v>
          </cell>
          <cell r="AW45">
            <v>0</v>
          </cell>
          <cell r="AX45">
            <v>0</v>
          </cell>
          <cell r="AY45">
            <v>0</v>
          </cell>
          <cell r="AZ45">
            <v>0</v>
          </cell>
          <cell r="BA45">
            <v>0</v>
          </cell>
          <cell r="BB45">
            <v>0</v>
          </cell>
          <cell r="BC45">
            <v>0</v>
          </cell>
          <cell r="BD45">
            <v>0</v>
          </cell>
          <cell r="BE45">
            <v>0</v>
          </cell>
          <cell r="BF45">
            <v>0</v>
          </cell>
          <cell r="BG45">
            <v>0</v>
          </cell>
          <cell r="BH45">
            <v>0</v>
          </cell>
          <cell r="BI45">
            <v>0</v>
          </cell>
          <cell r="BJ45">
            <v>0</v>
          </cell>
          <cell r="BK45">
            <v>0</v>
          </cell>
          <cell r="BL45">
            <v>0</v>
          </cell>
          <cell r="BM45">
            <v>0</v>
          </cell>
          <cell r="BN45">
            <v>0</v>
          </cell>
          <cell r="BO45">
            <v>0</v>
          </cell>
          <cell r="BP45">
            <v>0</v>
          </cell>
          <cell r="BQ45">
            <v>0</v>
          </cell>
          <cell r="BR45">
            <v>0</v>
          </cell>
          <cell r="BS45">
            <v>0</v>
          </cell>
          <cell r="BT45">
            <v>0</v>
          </cell>
          <cell r="BU45">
            <v>0</v>
          </cell>
          <cell r="BV45">
            <v>0</v>
          </cell>
          <cell r="BW45">
            <v>0</v>
          </cell>
          <cell r="BX45">
            <v>0</v>
          </cell>
          <cell r="BY45">
            <v>0</v>
          </cell>
          <cell r="BZ45">
            <v>0</v>
          </cell>
          <cell r="CA45">
            <v>0</v>
          </cell>
          <cell r="CB45">
            <v>0</v>
          </cell>
          <cell r="CC45">
            <v>0</v>
          </cell>
          <cell r="CD45">
            <v>0</v>
          </cell>
          <cell r="CE45">
            <v>0</v>
          </cell>
          <cell r="CF45">
            <v>0</v>
          </cell>
          <cell r="CG45">
            <v>0</v>
          </cell>
          <cell r="CH45">
            <v>0</v>
          </cell>
          <cell r="CI45">
            <v>0</v>
          </cell>
          <cell r="CJ45">
            <v>0</v>
          </cell>
          <cell r="CK45">
            <v>0</v>
          </cell>
          <cell r="CL45">
            <v>0</v>
          </cell>
          <cell r="CM45">
            <v>0</v>
          </cell>
          <cell r="CN45">
            <v>0</v>
          </cell>
          <cell r="CO45">
            <v>0</v>
          </cell>
          <cell r="CP45">
            <v>0</v>
          </cell>
          <cell r="CQ45">
            <v>0</v>
          </cell>
          <cell r="CR45">
            <v>0</v>
          </cell>
          <cell r="CS45">
            <v>0</v>
          </cell>
          <cell r="CT45">
            <v>0</v>
          </cell>
          <cell r="CU45">
            <v>0</v>
          </cell>
          <cell r="CV45">
            <v>0</v>
          </cell>
          <cell r="CW45">
            <v>0</v>
          </cell>
          <cell r="CX45">
            <v>0</v>
          </cell>
          <cell r="CY45">
            <v>0</v>
          </cell>
          <cell r="CZ45">
            <v>0</v>
          </cell>
          <cell r="DA45">
            <v>0</v>
          </cell>
          <cell r="DB45">
            <v>0</v>
          </cell>
          <cell r="DC45">
            <v>0</v>
          </cell>
          <cell r="DD45">
            <v>0</v>
          </cell>
          <cell r="DE45">
            <v>0</v>
          </cell>
          <cell r="DF45">
            <v>0</v>
          </cell>
          <cell r="DG45">
            <v>0</v>
          </cell>
          <cell r="DH45">
            <v>0</v>
          </cell>
          <cell r="DI45">
            <v>0</v>
          </cell>
          <cell r="DJ45">
            <v>0</v>
          </cell>
          <cell r="DK45">
            <v>0</v>
          </cell>
          <cell r="DL45">
            <v>0</v>
          </cell>
          <cell r="DM45">
            <v>0</v>
          </cell>
          <cell r="DN45">
            <v>0</v>
          </cell>
          <cell r="DO45">
            <v>0</v>
          </cell>
          <cell r="DP45">
            <v>0</v>
          </cell>
          <cell r="DQ45">
            <v>0</v>
          </cell>
          <cell r="DR45">
            <v>0</v>
          </cell>
          <cell r="DS45">
            <v>0</v>
          </cell>
          <cell r="DT45">
            <v>0</v>
          </cell>
          <cell r="DU45">
            <v>0</v>
          </cell>
          <cell r="DV45">
            <v>0</v>
          </cell>
          <cell r="DW45">
            <v>0</v>
          </cell>
          <cell r="DX45">
            <v>0</v>
          </cell>
          <cell r="DY45">
            <v>0</v>
          </cell>
          <cell r="EA45">
            <v>0</v>
          </cell>
          <cell r="EB45">
            <v>0</v>
          </cell>
          <cell r="EC45">
            <v>0</v>
          </cell>
          <cell r="ED45">
            <v>0.05</v>
          </cell>
          <cell r="EE45">
            <v>0.09</v>
          </cell>
          <cell r="EF45">
            <v>0.08</v>
          </cell>
          <cell r="EG45">
            <v>0.17</v>
          </cell>
          <cell r="EH45">
            <v>1</v>
          </cell>
          <cell r="EI45">
            <v>1</v>
          </cell>
          <cell r="EJ45">
            <v>1</v>
          </cell>
          <cell r="EK45">
            <v>1</v>
          </cell>
          <cell r="EL45">
            <v>0.05</v>
          </cell>
          <cell r="EM45">
            <v>0.14000000000000001</v>
          </cell>
          <cell r="EN45">
            <v>0.11</v>
          </cell>
          <cell r="EO45">
            <v>0.2</v>
          </cell>
          <cell r="EP45">
            <v>0</v>
          </cell>
          <cell r="EQ45">
            <v>0</v>
          </cell>
          <cell r="ER45">
            <v>0</v>
          </cell>
          <cell r="ES45">
            <v>0</v>
          </cell>
          <cell r="ET45">
            <v>0</v>
          </cell>
          <cell r="EU45">
            <v>0</v>
          </cell>
          <cell r="EV45">
            <v>0</v>
          </cell>
          <cell r="EW45">
            <v>0</v>
          </cell>
          <cell r="EX45">
            <v>1</v>
          </cell>
          <cell r="EY45">
            <v>1</v>
          </cell>
          <cell r="EZ45">
            <v>1</v>
          </cell>
          <cell r="FA45">
            <v>0</v>
          </cell>
          <cell r="FB45">
            <v>0</v>
          </cell>
          <cell r="FC45">
            <v>0</v>
          </cell>
          <cell r="FD45">
            <v>0</v>
          </cell>
          <cell r="FE45">
            <v>0</v>
          </cell>
          <cell r="FF45">
            <v>0</v>
          </cell>
          <cell r="FG45">
            <v>0</v>
          </cell>
          <cell r="FH45">
            <v>0</v>
          </cell>
          <cell r="FI45">
            <v>0</v>
          </cell>
          <cell r="FJ45">
            <v>0</v>
          </cell>
          <cell r="FK45">
            <v>0</v>
          </cell>
          <cell r="FL45">
            <v>0</v>
          </cell>
          <cell r="FM45">
            <v>0</v>
          </cell>
          <cell r="FN45">
            <v>0</v>
          </cell>
          <cell r="FO45">
            <v>0</v>
          </cell>
          <cell r="FP45">
            <v>0</v>
          </cell>
          <cell r="FQ45">
            <v>0</v>
          </cell>
          <cell r="FR45">
            <v>0</v>
          </cell>
          <cell r="FS45">
            <v>0</v>
          </cell>
          <cell r="FT45">
            <v>0</v>
          </cell>
          <cell r="FU45">
            <v>0</v>
          </cell>
          <cell r="FV45">
            <v>0</v>
          </cell>
          <cell r="FW45">
            <v>0</v>
          </cell>
          <cell r="FX45">
            <v>0</v>
          </cell>
          <cell r="FY45">
            <v>0</v>
          </cell>
          <cell r="FZ45">
            <v>0</v>
          </cell>
        </row>
        <row r="46">
          <cell r="A46" t="str">
            <v>F_CNP_NRF_RET_IND_FRCE_120</v>
          </cell>
          <cell r="B46">
            <v>0.1</v>
          </cell>
          <cell r="C46">
            <v>0.08</v>
          </cell>
          <cell r="D46">
            <v>0.15</v>
          </cell>
          <cell r="E46">
            <v>0.08</v>
          </cell>
          <cell r="F46">
            <v>0.15</v>
          </cell>
          <cell r="G46">
            <v>0.22</v>
          </cell>
          <cell r="H46">
            <v>7.0000000000000007E-2</v>
          </cell>
          <cell r="I46">
            <v>0.05</v>
          </cell>
          <cell r="J46">
            <v>0.13</v>
          </cell>
          <cell r="K46">
            <v>0.18</v>
          </cell>
          <cell r="L46">
            <v>0.17</v>
          </cell>
          <cell r="M46">
            <v>0.16</v>
          </cell>
          <cell r="N46">
            <v>0.8</v>
          </cell>
          <cell r="O46">
            <v>1</v>
          </cell>
          <cell r="P46">
            <v>1</v>
          </cell>
          <cell r="Q46">
            <v>0.8</v>
          </cell>
          <cell r="R46">
            <v>0.8</v>
          </cell>
          <cell r="S46">
            <v>1</v>
          </cell>
          <cell r="T46">
            <v>1</v>
          </cell>
          <cell r="U46">
            <v>1</v>
          </cell>
          <cell r="V46">
            <v>1</v>
          </cell>
          <cell r="W46">
            <v>1</v>
          </cell>
          <cell r="X46">
            <v>1</v>
          </cell>
          <cell r="Y46">
            <v>1</v>
          </cell>
          <cell r="Z46">
            <v>0.1</v>
          </cell>
          <cell r="AA46">
            <v>0.1</v>
          </cell>
          <cell r="AB46">
            <v>0.14000000000000001</v>
          </cell>
          <cell r="AC46">
            <v>0.11</v>
          </cell>
          <cell r="AD46">
            <v>0.11</v>
          </cell>
          <cell r="AE46">
            <v>0.19</v>
          </cell>
          <cell r="AF46">
            <v>0.09</v>
          </cell>
          <cell r="AG46">
            <v>0.11</v>
          </cell>
          <cell r="AH46">
            <v>0.15</v>
          </cell>
          <cell r="AI46">
            <v>0.2</v>
          </cell>
          <cell r="AJ46">
            <v>0.2</v>
          </cell>
          <cell r="AK46">
            <v>0.2</v>
          </cell>
          <cell r="AL46">
            <v>0</v>
          </cell>
          <cell r="AM46">
            <v>0</v>
          </cell>
          <cell r="AN46">
            <v>0</v>
          </cell>
          <cell r="AO46">
            <v>0</v>
          </cell>
          <cell r="AP46">
            <v>0</v>
          </cell>
          <cell r="AQ46">
            <v>0</v>
          </cell>
          <cell r="AR46">
            <v>0</v>
          </cell>
          <cell r="AS46">
            <v>0</v>
          </cell>
          <cell r="AT46">
            <v>0</v>
          </cell>
          <cell r="AU46">
            <v>0</v>
          </cell>
          <cell r="AV46">
            <v>0</v>
          </cell>
          <cell r="AW46">
            <v>0</v>
          </cell>
          <cell r="AX46">
            <v>0</v>
          </cell>
          <cell r="AY46">
            <v>0</v>
          </cell>
          <cell r="AZ46">
            <v>0</v>
          </cell>
          <cell r="BA46">
            <v>0</v>
          </cell>
          <cell r="BB46">
            <v>0</v>
          </cell>
          <cell r="BC46">
            <v>0</v>
          </cell>
          <cell r="BD46">
            <v>0</v>
          </cell>
          <cell r="BE46">
            <v>0</v>
          </cell>
          <cell r="BF46">
            <v>0</v>
          </cell>
          <cell r="BG46">
            <v>0</v>
          </cell>
          <cell r="BH46">
            <v>0</v>
          </cell>
          <cell r="BI46">
            <v>0</v>
          </cell>
          <cell r="BJ46">
            <v>0</v>
          </cell>
          <cell r="BK46">
            <v>0</v>
          </cell>
          <cell r="BL46">
            <v>0</v>
          </cell>
          <cell r="BM46">
            <v>0</v>
          </cell>
          <cell r="BN46">
            <v>0</v>
          </cell>
          <cell r="BO46">
            <v>0</v>
          </cell>
          <cell r="BP46">
            <v>0</v>
          </cell>
          <cell r="BQ46">
            <v>0</v>
          </cell>
          <cell r="BR46">
            <v>0</v>
          </cell>
          <cell r="BS46">
            <v>0</v>
          </cell>
          <cell r="BT46">
            <v>0</v>
          </cell>
          <cell r="BU46">
            <v>0</v>
          </cell>
          <cell r="BV46">
            <v>0</v>
          </cell>
          <cell r="BW46">
            <v>0</v>
          </cell>
          <cell r="BX46">
            <v>0</v>
          </cell>
          <cell r="BY46">
            <v>0</v>
          </cell>
          <cell r="BZ46">
            <v>0</v>
          </cell>
          <cell r="CA46">
            <v>0</v>
          </cell>
          <cell r="CB46">
            <v>0</v>
          </cell>
          <cell r="CC46">
            <v>0</v>
          </cell>
          <cell r="CD46">
            <v>0</v>
          </cell>
          <cell r="CE46">
            <v>0</v>
          </cell>
          <cell r="CF46">
            <v>0</v>
          </cell>
          <cell r="CG46">
            <v>0</v>
          </cell>
          <cell r="CH46">
            <v>0</v>
          </cell>
          <cell r="CI46">
            <v>0</v>
          </cell>
          <cell r="CJ46">
            <v>0</v>
          </cell>
          <cell r="CK46">
            <v>0</v>
          </cell>
          <cell r="CL46">
            <v>0</v>
          </cell>
          <cell r="CM46">
            <v>0</v>
          </cell>
          <cell r="CN46">
            <v>0</v>
          </cell>
          <cell r="CO46">
            <v>0</v>
          </cell>
          <cell r="CP46">
            <v>0</v>
          </cell>
          <cell r="CQ46">
            <v>0</v>
          </cell>
          <cell r="CR46">
            <v>0</v>
          </cell>
          <cell r="CS46">
            <v>0</v>
          </cell>
          <cell r="CT46">
            <v>0</v>
          </cell>
          <cell r="CU46">
            <v>0</v>
          </cell>
          <cell r="CV46">
            <v>0</v>
          </cell>
          <cell r="CW46">
            <v>0</v>
          </cell>
          <cell r="CX46">
            <v>0</v>
          </cell>
          <cell r="CY46">
            <v>0</v>
          </cell>
          <cell r="CZ46">
            <v>0</v>
          </cell>
          <cell r="DA46">
            <v>0</v>
          </cell>
          <cell r="DB46">
            <v>0</v>
          </cell>
          <cell r="DC46">
            <v>0</v>
          </cell>
          <cell r="DD46">
            <v>0</v>
          </cell>
          <cell r="DE46">
            <v>0</v>
          </cell>
          <cell r="DF46">
            <v>0</v>
          </cell>
          <cell r="DG46">
            <v>0</v>
          </cell>
          <cell r="DH46">
            <v>0</v>
          </cell>
          <cell r="DI46">
            <v>0</v>
          </cell>
          <cell r="DJ46">
            <v>0</v>
          </cell>
          <cell r="DK46">
            <v>0</v>
          </cell>
          <cell r="DL46">
            <v>0</v>
          </cell>
          <cell r="DM46">
            <v>0</v>
          </cell>
          <cell r="DN46">
            <v>0</v>
          </cell>
          <cell r="DO46">
            <v>0</v>
          </cell>
          <cell r="DP46">
            <v>0</v>
          </cell>
          <cell r="DQ46">
            <v>0</v>
          </cell>
          <cell r="DR46">
            <v>0</v>
          </cell>
          <cell r="DS46">
            <v>0</v>
          </cell>
          <cell r="DT46">
            <v>0</v>
          </cell>
          <cell r="DU46">
            <v>0</v>
          </cell>
          <cell r="DV46">
            <v>0</v>
          </cell>
          <cell r="DW46">
            <v>0</v>
          </cell>
          <cell r="DX46">
            <v>0</v>
          </cell>
          <cell r="DY46">
            <v>0</v>
          </cell>
          <cell r="EA46">
            <v>0</v>
          </cell>
          <cell r="EB46">
            <v>0</v>
          </cell>
          <cell r="EC46">
            <v>0</v>
          </cell>
          <cell r="ED46">
            <v>0.05</v>
          </cell>
          <cell r="EE46">
            <v>0.09</v>
          </cell>
          <cell r="EF46">
            <v>0.08</v>
          </cell>
          <cell r="EG46">
            <v>0.17</v>
          </cell>
          <cell r="EH46">
            <v>1</v>
          </cell>
          <cell r="EI46">
            <v>1</v>
          </cell>
          <cell r="EJ46">
            <v>1</v>
          </cell>
          <cell r="EK46">
            <v>1</v>
          </cell>
          <cell r="EL46">
            <v>0.05</v>
          </cell>
          <cell r="EM46">
            <v>0.14000000000000001</v>
          </cell>
          <cell r="EN46">
            <v>0.11</v>
          </cell>
          <cell r="EO46">
            <v>0.2</v>
          </cell>
          <cell r="EP46">
            <v>0</v>
          </cell>
          <cell r="EQ46">
            <v>0</v>
          </cell>
          <cell r="ER46">
            <v>0</v>
          </cell>
          <cell r="ES46">
            <v>0</v>
          </cell>
          <cell r="ET46">
            <v>0</v>
          </cell>
          <cell r="EU46">
            <v>0</v>
          </cell>
          <cell r="EV46">
            <v>0</v>
          </cell>
          <cell r="EW46">
            <v>0</v>
          </cell>
          <cell r="EX46">
            <v>1</v>
          </cell>
          <cell r="EY46">
            <v>1</v>
          </cell>
          <cell r="EZ46">
            <v>1</v>
          </cell>
          <cell r="FA46">
            <v>0</v>
          </cell>
          <cell r="FB46">
            <v>0</v>
          </cell>
          <cell r="FC46">
            <v>0</v>
          </cell>
          <cell r="FD46">
            <v>0</v>
          </cell>
          <cell r="FE46">
            <v>0</v>
          </cell>
          <cell r="FF46">
            <v>0</v>
          </cell>
          <cell r="FG46">
            <v>0</v>
          </cell>
          <cell r="FH46">
            <v>0</v>
          </cell>
          <cell r="FI46">
            <v>0</v>
          </cell>
          <cell r="FJ46">
            <v>0</v>
          </cell>
          <cell r="FK46">
            <v>0</v>
          </cell>
          <cell r="FL46">
            <v>0</v>
          </cell>
          <cell r="FM46">
            <v>0</v>
          </cell>
          <cell r="FN46">
            <v>0</v>
          </cell>
          <cell r="FO46">
            <v>0</v>
          </cell>
          <cell r="FP46">
            <v>0</v>
          </cell>
          <cell r="FQ46">
            <v>0</v>
          </cell>
          <cell r="FR46">
            <v>0</v>
          </cell>
          <cell r="FS46">
            <v>0</v>
          </cell>
          <cell r="FT46">
            <v>0</v>
          </cell>
          <cell r="FU46">
            <v>0</v>
          </cell>
          <cell r="FV46">
            <v>0</v>
          </cell>
          <cell r="FW46">
            <v>0</v>
          </cell>
          <cell r="FX46">
            <v>0</v>
          </cell>
          <cell r="FY46">
            <v>0</v>
          </cell>
          <cell r="FZ46">
            <v>0</v>
          </cell>
        </row>
        <row r="47">
          <cell r="A47" t="str">
            <v>F_CNP_NRF_RET_IND_FRCE_ETR</v>
          </cell>
          <cell r="B47">
            <v>0.1</v>
          </cell>
          <cell r="C47">
            <v>0.08</v>
          </cell>
          <cell r="D47">
            <v>0.15</v>
          </cell>
          <cell r="E47">
            <v>0.08</v>
          </cell>
          <cell r="F47">
            <v>0.15</v>
          </cell>
          <cell r="G47">
            <v>0.22</v>
          </cell>
          <cell r="H47">
            <v>7.0000000000000007E-2</v>
          </cell>
          <cell r="I47">
            <v>0.05</v>
          </cell>
          <cell r="J47">
            <v>0.13</v>
          </cell>
          <cell r="K47">
            <v>0.18</v>
          </cell>
          <cell r="L47">
            <v>0.17</v>
          </cell>
          <cell r="M47">
            <v>0.16</v>
          </cell>
          <cell r="N47">
            <v>0.8</v>
          </cell>
          <cell r="O47">
            <v>1</v>
          </cell>
          <cell r="P47">
            <v>1</v>
          </cell>
          <cell r="Q47">
            <v>0.8</v>
          </cell>
          <cell r="R47">
            <v>0.8</v>
          </cell>
          <cell r="S47">
            <v>1</v>
          </cell>
          <cell r="T47">
            <v>1</v>
          </cell>
          <cell r="U47">
            <v>1</v>
          </cell>
          <cell r="V47">
            <v>1</v>
          </cell>
          <cell r="W47">
            <v>1</v>
          </cell>
          <cell r="X47">
            <v>1</v>
          </cell>
          <cell r="Y47">
            <v>1</v>
          </cell>
          <cell r="Z47">
            <v>0.1</v>
          </cell>
          <cell r="AA47">
            <v>0.1</v>
          </cell>
          <cell r="AB47">
            <v>0.14000000000000001</v>
          </cell>
          <cell r="AC47">
            <v>0.11</v>
          </cell>
          <cell r="AD47">
            <v>0.11</v>
          </cell>
          <cell r="AE47">
            <v>0.19</v>
          </cell>
          <cell r="AF47">
            <v>0.09</v>
          </cell>
          <cell r="AG47">
            <v>0.11</v>
          </cell>
          <cell r="AH47">
            <v>0.15</v>
          </cell>
          <cell r="AI47">
            <v>0.2</v>
          </cell>
          <cell r="AJ47">
            <v>0.2</v>
          </cell>
          <cell r="AK47">
            <v>0.2</v>
          </cell>
          <cell r="AL47">
            <v>0</v>
          </cell>
          <cell r="AM47">
            <v>0</v>
          </cell>
          <cell r="AN47">
            <v>0</v>
          </cell>
          <cell r="AO47">
            <v>0</v>
          </cell>
          <cell r="AP47">
            <v>0</v>
          </cell>
          <cell r="AQ47">
            <v>0</v>
          </cell>
          <cell r="AR47">
            <v>0</v>
          </cell>
          <cell r="AS47">
            <v>0</v>
          </cell>
          <cell r="AT47">
            <v>0</v>
          </cell>
          <cell r="AU47">
            <v>0</v>
          </cell>
          <cell r="AV47">
            <v>0</v>
          </cell>
          <cell r="AW47">
            <v>0</v>
          </cell>
          <cell r="AX47">
            <v>0</v>
          </cell>
          <cell r="AY47">
            <v>0</v>
          </cell>
          <cell r="AZ47">
            <v>0</v>
          </cell>
          <cell r="BA47">
            <v>0</v>
          </cell>
          <cell r="BB47">
            <v>0</v>
          </cell>
          <cell r="BC47">
            <v>0</v>
          </cell>
          <cell r="BD47">
            <v>0</v>
          </cell>
          <cell r="BE47">
            <v>0</v>
          </cell>
          <cell r="BF47">
            <v>0</v>
          </cell>
          <cell r="BG47">
            <v>0</v>
          </cell>
          <cell r="BH47">
            <v>0</v>
          </cell>
          <cell r="BI47">
            <v>0</v>
          </cell>
          <cell r="BJ47">
            <v>0</v>
          </cell>
          <cell r="BK47">
            <v>0</v>
          </cell>
          <cell r="BL47">
            <v>0</v>
          </cell>
          <cell r="BM47">
            <v>0</v>
          </cell>
          <cell r="BN47">
            <v>0</v>
          </cell>
          <cell r="BO47">
            <v>0</v>
          </cell>
          <cell r="BP47">
            <v>0</v>
          </cell>
          <cell r="BQ47">
            <v>0</v>
          </cell>
          <cell r="BR47">
            <v>0</v>
          </cell>
          <cell r="BS47">
            <v>0</v>
          </cell>
          <cell r="BT47">
            <v>0</v>
          </cell>
          <cell r="BU47">
            <v>0</v>
          </cell>
          <cell r="BV47">
            <v>0</v>
          </cell>
          <cell r="BW47">
            <v>0</v>
          </cell>
          <cell r="BX47">
            <v>0</v>
          </cell>
          <cell r="BY47">
            <v>0</v>
          </cell>
          <cell r="BZ47">
            <v>0</v>
          </cell>
          <cell r="CA47">
            <v>0</v>
          </cell>
          <cell r="CB47">
            <v>0</v>
          </cell>
          <cell r="CC47">
            <v>0</v>
          </cell>
          <cell r="CD47">
            <v>0</v>
          </cell>
          <cell r="CE47">
            <v>0</v>
          </cell>
          <cell r="CF47">
            <v>0</v>
          </cell>
          <cell r="CG47">
            <v>0</v>
          </cell>
          <cell r="CH47">
            <v>0</v>
          </cell>
          <cell r="CI47">
            <v>0</v>
          </cell>
          <cell r="CJ47">
            <v>0</v>
          </cell>
          <cell r="CK47">
            <v>0</v>
          </cell>
          <cell r="CL47">
            <v>0</v>
          </cell>
          <cell r="CM47">
            <v>0</v>
          </cell>
          <cell r="CN47">
            <v>0</v>
          </cell>
          <cell r="CO47">
            <v>0</v>
          </cell>
          <cell r="CP47">
            <v>0</v>
          </cell>
          <cell r="CQ47">
            <v>0</v>
          </cell>
          <cell r="CR47">
            <v>0</v>
          </cell>
          <cell r="CS47">
            <v>0</v>
          </cell>
          <cell r="CT47">
            <v>0</v>
          </cell>
          <cell r="CU47">
            <v>0</v>
          </cell>
          <cell r="CV47">
            <v>0</v>
          </cell>
          <cell r="CW47">
            <v>0</v>
          </cell>
          <cell r="CX47">
            <v>0</v>
          </cell>
          <cell r="CY47">
            <v>0</v>
          </cell>
          <cell r="CZ47">
            <v>0</v>
          </cell>
          <cell r="DA47">
            <v>0</v>
          </cell>
          <cell r="DB47">
            <v>0</v>
          </cell>
          <cell r="DC47">
            <v>0</v>
          </cell>
          <cell r="DD47">
            <v>0</v>
          </cell>
          <cell r="DE47">
            <v>0</v>
          </cell>
          <cell r="DF47">
            <v>0</v>
          </cell>
          <cell r="DG47">
            <v>0</v>
          </cell>
          <cell r="DH47">
            <v>0</v>
          </cell>
          <cell r="DI47">
            <v>0</v>
          </cell>
          <cell r="DJ47">
            <v>0</v>
          </cell>
          <cell r="DK47">
            <v>0</v>
          </cell>
          <cell r="DL47">
            <v>0</v>
          </cell>
          <cell r="DM47">
            <v>0</v>
          </cell>
          <cell r="DN47">
            <v>0</v>
          </cell>
          <cell r="DO47">
            <v>0</v>
          </cell>
          <cell r="DP47">
            <v>0</v>
          </cell>
          <cell r="DQ47">
            <v>0</v>
          </cell>
          <cell r="DR47">
            <v>0</v>
          </cell>
          <cell r="DS47">
            <v>0</v>
          </cell>
          <cell r="DT47">
            <v>0</v>
          </cell>
          <cell r="DU47">
            <v>0</v>
          </cell>
          <cell r="DV47">
            <v>0</v>
          </cell>
          <cell r="DW47">
            <v>0</v>
          </cell>
          <cell r="DX47">
            <v>0</v>
          </cell>
          <cell r="DY47">
            <v>0</v>
          </cell>
          <cell r="EA47">
            <v>0</v>
          </cell>
          <cell r="EB47">
            <v>0</v>
          </cell>
          <cell r="EC47">
            <v>0</v>
          </cell>
          <cell r="ED47">
            <v>0.05</v>
          </cell>
          <cell r="EE47">
            <v>0.09</v>
          </cell>
          <cell r="EF47">
            <v>0.08</v>
          </cell>
          <cell r="EG47">
            <v>0.17</v>
          </cell>
          <cell r="EH47">
            <v>1</v>
          </cell>
          <cell r="EI47">
            <v>1</v>
          </cell>
          <cell r="EJ47">
            <v>1</v>
          </cell>
          <cell r="EK47">
            <v>1</v>
          </cell>
          <cell r="EL47">
            <v>0.05</v>
          </cell>
          <cell r="EM47">
            <v>0.14000000000000001</v>
          </cell>
          <cell r="EN47">
            <v>0.11</v>
          </cell>
          <cell r="EO47">
            <v>0.2</v>
          </cell>
          <cell r="EP47">
            <v>0</v>
          </cell>
          <cell r="EQ47">
            <v>0</v>
          </cell>
          <cell r="ER47">
            <v>0</v>
          </cell>
          <cell r="ES47">
            <v>0</v>
          </cell>
          <cell r="ET47">
            <v>0</v>
          </cell>
          <cell r="EU47">
            <v>0</v>
          </cell>
          <cell r="EV47">
            <v>0</v>
          </cell>
          <cell r="EW47">
            <v>0</v>
          </cell>
          <cell r="EX47">
            <v>1</v>
          </cell>
          <cell r="EY47">
            <v>1</v>
          </cell>
          <cell r="EZ47">
            <v>1</v>
          </cell>
          <cell r="FA47">
            <v>0</v>
          </cell>
          <cell r="FB47">
            <v>0</v>
          </cell>
          <cell r="FC47">
            <v>0</v>
          </cell>
          <cell r="FD47">
            <v>0</v>
          </cell>
          <cell r="FE47">
            <v>0</v>
          </cell>
          <cell r="FF47">
            <v>0</v>
          </cell>
          <cell r="FG47">
            <v>0</v>
          </cell>
          <cell r="FH47">
            <v>0</v>
          </cell>
          <cell r="FI47">
            <v>0</v>
          </cell>
          <cell r="FJ47">
            <v>0</v>
          </cell>
          <cell r="FK47">
            <v>0</v>
          </cell>
          <cell r="FL47">
            <v>0</v>
          </cell>
          <cell r="FM47">
            <v>0</v>
          </cell>
          <cell r="FN47">
            <v>0</v>
          </cell>
          <cell r="FO47">
            <v>0</v>
          </cell>
          <cell r="FP47">
            <v>0</v>
          </cell>
          <cell r="FQ47">
            <v>0</v>
          </cell>
          <cell r="FR47">
            <v>0</v>
          </cell>
          <cell r="FS47">
            <v>0</v>
          </cell>
          <cell r="FT47">
            <v>0</v>
          </cell>
          <cell r="FU47">
            <v>0</v>
          </cell>
          <cell r="FV47">
            <v>0</v>
          </cell>
          <cell r="FW47">
            <v>0</v>
          </cell>
          <cell r="FX47">
            <v>0</v>
          </cell>
          <cell r="FY47">
            <v>0</v>
          </cell>
          <cell r="FZ47">
            <v>0</v>
          </cell>
        </row>
        <row r="48">
          <cell r="A48" t="str">
            <v>F_CNP_RFF_RET_IND_FRCE_EVA</v>
          </cell>
          <cell r="B48">
            <v>0.1</v>
          </cell>
          <cell r="C48">
            <v>0.08</v>
          </cell>
          <cell r="D48">
            <v>0.15</v>
          </cell>
          <cell r="E48">
            <v>0.08</v>
          </cell>
          <cell r="F48">
            <v>0.15</v>
          </cell>
          <cell r="G48">
            <v>0.22</v>
          </cell>
          <cell r="H48">
            <v>7.0000000000000007E-2</v>
          </cell>
          <cell r="I48">
            <v>0.05</v>
          </cell>
          <cell r="J48">
            <v>0.13</v>
          </cell>
          <cell r="K48">
            <v>0.18</v>
          </cell>
          <cell r="L48">
            <v>0.17</v>
          </cell>
          <cell r="M48">
            <v>0.16</v>
          </cell>
          <cell r="N48">
            <v>0.8</v>
          </cell>
          <cell r="O48">
            <v>1</v>
          </cell>
          <cell r="P48">
            <v>1</v>
          </cell>
          <cell r="Q48">
            <v>0.8</v>
          </cell>
          <cell r="R48">
            <v>0.8</v>
          </cell>
          <cell r="S48">
            <v>1</v>
          </cell>
          <cell r="T48">
            <v>1</v>
          </cell>
          <cell r="U48">
            <v>1</v>
          </cell>
          <cell r="V48">
            <v>1</v>
          </cell>
          <cell r="W48">
            <v>1</v>
          </cell>
          <cell r="X48">
            <v>1</v>
          </cell>
          <cell r="Y48">
            <v>1</v>
          </cell>
          <cell r="Z48">
            <v>0.1</v>
          </cell>
          <cell r="AA48">
            <v>0.1</v>
          </cell>
          <cell r="AB48">
            <v>0.14000000000000001</v>
          </cell>
          <cell r="AC48">
            <v>0.11</v>
          </cell>
          <cell r="AD48">
            <v>0.11</v>
          </cell>
          <cell r="AE48">
            <v>0.19</v>
          </cell>
          <cell r="AF48">
            <v>0.09</v>
          </cell>
          <cell r="AG48">
            <v>0.11</v>
          </cell>
          <cell r="AH48">
            <v>0.15</v>
          </cell>
          <cell r="AI48">
            <v>0.2</v>
          </cell>
          <cell r="AJ48">
            <v>0.2</v>
          </cell>
          <cell r="AK48">
            <v>0.2</v>
          </cell>
          <cell r="AL48">
            <v>0</v>
          </cell>
          <cell r="AM48">
            <v>0</v>
          </cell>
          <cell r="AN48">
            <v>0</v>
          </cell>
          <cell r="AO48">
            <v>0</v>
          </cell>
          <cell r="AP48">
            <v>0</v>
          </cell>
          <cell r="AQ48">
            <v>0</v>
          </cell>
          <cell r="AR48">
            <v>0</v>
          </cell>
          <cell r="AS48">
            <v>0</v>
          </cell>
          <cell r="AT48">
            <v>0</v>
          </cell>
          <cell r="AU48">
            <v>0</v>
          </cell>
          <cell r="AV48">
            <v>0</v>
          </cell>
          <cell r="AW48">
            <v>0</v>
          </cell>
          <cell r="AX48">
            <v>0</v>
          </cell>
          <cell r="AY48">
            <v>0</v>
          </cell>
          <cell r="AZ48">
            <v>0</v>
          </cell>
          <cell r="BA48">
            <v>0</v>
          </cell>
          <cell r="BB48">
            <v>0</v>
          </cell>
          <cell r="BC48">
            <v>0</v>
          </cell>
          <cell r="BD48">
            <v>0</v>
          </cell>
          <cell r="BE48">
            <v>0</v>
          </cell>
          <cell r="BF48">
            <v>0</v>
          </cell>
          <cell r="BG48">
            <v>0</v>
          </cell>
          <cell r="BH48">
            <v>0</v>
          </cell>
          <cell r="BI48">
            <v>0</v>
          </cell>
          <cell r="BJ48">
            <v>0</v>
          </cell>
          <cell r="BK48">
            <v>0</v>
          </cell>
          <cell r="BL48">
            <v>0</v>
          </cell>
          <cell r="BM48">
            <v>0</v>
          </cell>
          <cell r="BN48">
            <v>0</v>
          </cell>
          <cell r="BO48">
            <v>0</v>
          </cell>
          <cell r="BP48">
            <v>0</v>
          </cell>
          <cell r="BQ48">
            <v>0</v>
          </cell>
          <cell r="BR48">
            <v>0</v>
          </cell>
          <cell r="BS48">
            <v>0</v>
          </cell>
          <cell r="BT48">
            <v>0</v>
          </cell>
          <cell r="BU48">
            <v>0</v>
          </cell>
          <cell r="BV48">
            <v>0</v>
          </cell>
          <cell r="BW48">
            <v>0</v>
          </cell>
          <cell r="BX48">
            <v>0</v>
          </cell>
          <cell r="BY48">
            <v>0</v>
          </cell>
          <cell r="BZ48">
            <v>0</v>
          </cell>
          <cell r="CA48">
            <v>0</v>
          </cell>
          <cell r="CB48">
            <v>0</v>
          </cell>
          <cell r="CC48">
            <v>0</v>
          </cell>
          <cell r="CD48">
            <v>0</v>
          </cell>
          <cell r="CE48">
            <v>0</v>
          </cell>
          <cell r="CF48">
            <v>0</v>
          </cell>
          <cell r="CG48">
            <v>0</v>
          </cell>
          <cell r="CH48">
            <v>0</v>
          </cell>
          <cell r="CI48">
            <v>0</v>
          </cell>
          <cell r="CJ48">
            <v>0</v>
          </cell>
          <cell r="CK48">
            <v>0</v>
          </cell>
          <cell r="CL48">
            <v>0</v>
          </cell>
          <cell r="CM48">
            <v>0</v>
          </cell>
          <cell r="CN48">
            <v>0</v>
          </cell>
          <cell r="CO48">
            <v>0</v>
          </cell>
          <cell r="CP48">
            <v>0</v>
          </cell>
          <cell r="CQ48">
            <v>0</v>
          </cell>
          <cell r="CR48">
            <v>0</v>
          </cell>
          <cell r="CS48">
            <v>0</v>
          </cell>
          <cell r="CT48">
            <v>0</v>
          </cell>
          <cell r="CU48">
            <v>0</v>
          </cell>
          <cell r="CV48">
            <v>0</v>
          </cell>
          <cell r="CW48">
            <v>0</v>
          </cell>
          <cell r="CX48">
            <v>0</v>
          </cell>
          <cell r="CY48">
            <v>0</v>
          </cell>
          <cell r="CZ48">
            <v>0</v>
          </cell>
          <cell r="DA48">
            <v>0</v>
          </cell>
          <cell r="DB48">
            <v>0</v>
          </cell>
          <cell r="DC48">
            <v>0</v>
          </cell>
          <cell r="DD48">
            <v>0</v>
          </cell>
          <cell r="DE48">
            <v>0</v>
          </cell>
          <cell r="DF48">
            <v>0</v>
          </cell>
          <cell r="DG48">
            <v>0</v>
          </cell>
          <cell r="DH48">
            <v>0</v>
          </cell>
          <cell r="DI48">
            <v>0</v>
          </cell>
          <cell r="DJ48">
            <v>0</v>
          </cell>
          <cell r="DK48">
            <v>0</v>
          </cell>
          <cell r="DL48">
            <v>0</v>
          </cell>
          <cell r="DM48">
            <v>0</v>
          </cell>
          <cell r="DN48">
            <v>0</v>
          </cell>
          <cell r="DO48">
            <v>0</v>
          </cell>
          <cell r="DP48">
            <v>0</v>
          </cell>
          <cell r="DQ48">
            <v>0</v>
          </cell>
          <cell r="DR48">
            <v>0</v>
          </cell>
          <cell r="DS48">
            <v>0</v>
          </cell>
          <cell r="DT48">
            <v>0</v>
          </cell>
          <cell r="DU48">
            <v>0</v>
          </cell>
          <cell r="DV48">
            <v>0</v>
          </cell>
          <cell r="DW48">
            <v>0</v>
          </cell>
          <cell r="DX48">
            <v>0</v>
          </cell>
          <cell r="DY48">
            <v>0</v>
          </cell>
          <cell r="EA48">
            <v>0</v>
          </cell>
          <cell r="EB48">
            <v>0</v>
          </cell>
          <cell r="EC48">
            <v>0</v>
          </cell>
          <cell r="ED48">
            <v>0.05</v>
          </cell>
          <cell r="EE48">
            <v>0.09</v>
          </cell>
          <cell r="EF48">
            <v>0.08</v>
          </cell>
          <cell r="EG48">
            <v>0.17</v>
          </cell>
          <cell r="EH48">
            <v>1</v>
          </cell>
          <cell r="EI48">
            <v>1</v>
          </cell>
          <cell r="EJ48">
            <v>1</v>
          </cell>
          <cell r="EK48">
            <v>1</v>
          </cell>
          <cell r="EL48">
            <v>0.05</v>
          </cell>
          <cell r="EM48">
            <v>0.14000000000000001</v>
          </cell>
          <cell r="EN48">
            <v>0.11</v>
          </cell>
          <cell r="EO48">
            <v>0.2</v>
          </cell>
          <cell r="EP48">
            <v>0</v>
          </cell>
          <cell r="EQ48">
            <v>0</v>
          </cell>
          <cell r="ER48">
            <v>0</v>
          </cell>
          <cell r="ES48">
            <v>0</v>
          </cell>
          <cell r="ET48">
            <v>0</v>
          </cell>
          <cell r="EU48">
            <v>0</v>
          </cell>
          <cell r="EV48">
            <v>0</v>
          </cell>
          <cell r="EW48">
            <v>0</v>
          </cell>
          <cell r="EX48">
            <v>1</v>
          </cell>
          <cell r="EY48">
            <v>1</v>
          </cell>
          <cell r="EZ48">
            <v>1</v>
          </cell>
          <cell r="FA48">
            <v>0</v>
          </cell>
          <cell r="FB48">
            <v>0</v>
          </cell>
          <cell r="FC48">
            <v>0</v>
          </cell>
          <cell r="FD48">
            <v>0</v>
          </cell>
          <cell r="FE48">
            <v>0</v>
          </cell>
          <cell r="FF48">
            <v>0</v>
          </cell>
          <cell r="FG48">
            <v>0</v>
          </cell>
          <cell r="FH48">
            <v>0</v>
          </cell>
          <cell r="FI48">
            <v>0</v>
          </cell>
          <cell r="FJ48">
            <v>0</v>
          </cell>
          <cell r="FK48">
            <v>0</v>
          </cell>
          <cell r="FL48">
            <v>0</v>
          </cell>
          <cell r="FM48">
            <v>0</v>
          </cell>
          <cell r="FN48">
            <v>0</v>
          </cell>
          <cell r="FO48">
            <v>0</v>
          </cell>
          <cell r="FP48">
            <v>0</v>
          </cell>
          <cell r="FQ48">
            <v>0</v>
          </cell>
          <cell r="FR48">
            <v>0</v>
          </cell>
          <cell r="FS48">
            <v>0</v>
          </cell>
          <cell r="FT48">
            <v>0</v>
          </cell>
          <cell r="FU48">
            <v>0</v>
          </cell>
          <cell r="FV48">
            <v>0</v>
          </cell>
          <cell r="FW48">
            <v>0</v>
          </cell>
          <cell r="FX48">
            <v>0</v>
          </cell>
          <cell r="FY48">
            <v>0</v>
          </cell>
          <cell r="FZ48">
            <v>0</v>
          </cell>
        </row>
        <row r="49">
          <cell r="A49" t="str">
            <v>F_CNP_RFF_RET_IND_FRCE_EVQ</v>
          </cell>
          <cell r="B49">
            <v>0.1</v>
          </cell>
          <cell r="C49">
            <v>0.08</v>
          </cell>
          <cell r="D49">
            <v>0.15</v>
          </cell>
          <cell r="E49">
            <v>0.08</v>
          </cell>
          <cell r="F49">
            <v>0.15</v>
          </cell>
          <cell r="G49">
            <v>0.22</v>
          </cell>
          <cell r="H49">
            <v>7.0000000000000007E-2</v>
          </cell>
          <cell r="I49">
            <v>0.05</v>
          </cell>
          <cell r="J49">
            <v>0.13</v>
          </cell>
          <cell r="K49">
            <v>0.18</v>
          </cell>
          <cell r="L49">
            <v>0.17</v>
          </cell>
          <cell r="M49">
            <v>0.16</v>
          </cell>
          <cell r="N49">
            <v>0.8</v>
          </cell>
          <cell r="O49">
            <v>1</v>
          </cell>
          <cell r="P49">
            <v>1</v>
          </cell>
          <cell r="Q49">
            <v>0.8</v>
          </cell>
          <cell r="R49">
            <v>0.8</v>
          </cell>
          <cell r="S49">
            <v>1</v>
          </cell>
          <cell r="T49">
            <v>1</v>
          </cell>
          <cell r="U49">
            <v>1</v>
          </cell>
          <cell r="V49">
            <v>1</v>
          </cell>
          <cell r="W49">
            <v>1</v>
          </cell>
          <cell r="X49">
            <v>1</v>
          </cell>
          <cell r="Y49">
            <v>1</v>
          </cell>
          <cell r="Z49">
            <v>0.1</v>
          </cell>
          <cell r="AA49">
            <v>0.1</v>
          </cell>
          <cell r="AB49">
            <v>0.14000000000000001</v>
          </cell>
          <cell r="AC49">
            <v>0.11</v>
          </cell>
          <cell r="AD49">
            <v>0.11</v>
          </cell>
          <cell r="AE49">
            <v>0.19</v>
          </cell>
          <cell r="AF49">
            <v>0.09</v>
          </cell>
          <cell r="AG49">
            <v>0.11</v>
          </cell>
          <cell r="AH49">
            <v>0.15</v>
          </cell>
          <cell r="AI49">
            <v>0.2</v>
          </cell>
          <cell r="AJ49">
            <v>0.2</v>
          </cell>
          <cell r="AK49">
            <v>0.2</v>
          </cell>
          <cell r="AL49">
            <v>0</v>
          </cell>
          <cell r="AM49">
            <v>0</v>
          </cell>
          <cell r="AN49">
            <v>0</v>
          </cell>
          <cell r="AO49">
            <v>0</v>
          </cell>
          <cell r="AP49">
            <v>0</v>
          </cell>
          <cell r="AQ49">
            <v>0</v>
          </cell>
          <cell r="AR49">
            <v>0</v>
          </cell>
          <cell r="AS49">
            <v>0</v>
          </cell>
          <cell r="AT49">
            <v>0</v>
          </cell>
          <cell r="AU49">
            <v>0</v>
          </cell>
          <cell r="AV49">
            <v>0</v>
          </cell>
          <cell r="AW49">
            <v>0</v>
          </cell>
          <cell r="AX49">
            <v>0</v>
          </cell>
          <cell r="AY49">
            <v>0</v>
          </cell>
          <cell r="AZ49">
            <v>0</v>
          </cell>
          <cell r="BA49">
            <v>0</v>
          </cell>
          <cell r="BB49">
            <v>0</v>
          </cell>
          <cell r="BC49">
            <v>0</v>
          </cell>
          <cell r="BD49">
            <v>0</v>
          </cell>
          <cell r="BE49">
            <v>0</v>
          </cell>
          <cell r="BF49">
            <v>0</v>
          </cell>
          <cell r="BG49">
            <v>0</v>
          </cell>
          <cell r="BH49">
            <v>0</v>
          </cell>
          <cell r="BI49">
            <v>0</v>
          </cell>
          <cell r="BJ49">
            <v>0</v>
          </cell>
          <cell r="BK49">
            <v>0</v>
          </cell>
          <cell r="BL49">
            <v>0</v>
          </cell>
          <cell r="BM49">
            <v>0</v>
          </cell>
          <cell r="BN49">
            <v>0</v>
          </cell>
          <cell r="BO49">
            <v>0</v>
          </cell>
          <cell r="BP49">
            <v>0</v>
          </cell>
          <cell r="BQ49">
            <v>0</v>
          </cell>
          <cell r="BR49">
            <v>0</v>
          </cell>
          <cell r="BS49">
            <v>0</v>
          </cell>
          <cell r="BT49">
            <v>0</v>
          </cell>
          <cell r="BU49">
            <v>0</v>
          </cell>
          <cell r="BV49">
            <v>0</v>
          </cell>
          <cell r="BW49">
            <v>0</v>
          </cell>
          <cell r="BX49">
            <v>0</v>
          </cell>
          <cell r="BY49">
            <v>0</v>
          </cell>
          <cell r="BZ49">
            <v>0</v>
          </cell>
          <cell r="CA49">
            <v>0</v>
          </cell>
          <cell r="CB49">
            <v>0</v>
          </cell>
          <cell r="CC49">
            <v>0</v>
          </cell>
          <cell r="CD49">
            <v>0</v>
          </cell>
          <cell r="CE49">
            <v>0</v>
          </cell>
          <cell r="CF49">
            <v>0</v>
          </cell>
          <cell r="CG49">
            <v>0</v>
          </cell>
          <cell r="CH49">
            <v>0</v>
          </cell>
          <cell r="CI49">
            <v>0</v>
          </cell>
          <cell r="CJ49">
            <v>0</v>
          </cell>
          <cell r="CK49">
            <v>0</v>
          </cell>
          <cell r="CL49">
            <v>0</v>
          </cell>
          <cell r="CM49">
            <v>0</v>
          </cell>
          <cell r="CN49">
            <v>0</v>
          </cell>
          <cell r="CO49">
            <v>0</v>
          </cell>
          <cell r="CP49">
            <v>0</v>
          </cell>
          <cell r="CQ49">
            <v>0</v>
          </cell>
          <cell r="CR49">
            <v>0</v>
          </cell>
          <cell r="CS49">
            <v>0</v>
          </cell>
          <cell r="CT49">
            <v>0</v>
          </cell>
          <cell r="CU49">
            <v>0</v>
          </cell>
          <cell r="CV49">
            <v>0</v>
          </cell>
          <cell r="CW49">
            <v>0</v>
          </cell>
          <cell r="CX49">
            <v>0</v>
          </cell>
          <cell r="CY49">
            <v>0</v>
          </cell>
          <cell r="CZ49">
            <v>0</v>
          </cell>
          <cell r="DA49">
            <v>0</v>
          </cell>
          <cell r="DB49">
            <v>0</v>
          </cell>
          <cell r="DC49">
            <v>0</v>
          </cell>
          <cell r="DD49">
            <v>0</v>
          </cell>
          <cell r="DE49">
            <v>0</v>
          </cell>
          <cell r="DF49">
            <v>0</v>
          </cell>
          <cell r="DG49">
            <v>0</v>
          </cell>
          <cell r="DH49">
            <v>0</v>
          </cell>
          <cell r="DI49">
            <v>0</v>
          </cell>
          <cell r="DJ49">
            <v>0</v>
          </cell>
          <cell r="DK49">
            <v>0</v>
          </cell>
          <cell r="DL49">
            <v>0</v>
          </cell>
          <cell r="DM49">
            <v>0</v>
          </cell>
          <cell r="DN49">
            <v>0</v>
          </cell>
          <cell r="DO49">
            <v>0</v>
          </cell>
          <cell r="DP49">
            <v>0</v>
          </cell>
          <cell r="DQ49">
            <v>0</v>
          </cell>
          <cell r="DR49">
            <v>0</v>
          </cell>
          <cell r="DS49">
            <v>0</v>
          </cell>
          <cell r="DT49">
            <v>0</v>
          </cell>
          <cell r="DU49">
            <v>0</v>
          </cell>
          <cell r="DV49">
            <v>0</v>
          </cell>
          <cell r="DW49">
            <v>0</v>
          </cell>
          <cell r="DX49">
            <v>0</v>
          </cell>
          <cell r="DY49">
            <v>0</v>
          </cell>
          <cell r="EA49">
            <v>0</v>
          </cell>
          <cell r="EB49">
            <v>0</v>
          </cell>
          <cell r="EC49">
            <v>0</v>
          </cell>
          <cell r="ED49">
            <v>0.05</v>
          </cell>
          <cell r="EE49">
            <v>0.09</v>
          </cell>
          <cell r="EF49">
            <v>0.08</v>
          </cell>
          <cell r="EG49">
            <v>0.17</v>
          </cell>
          <cell r="EH49">
            <v>1</v>
          </cell>
          <cell r="EI49">
            <v>1</v>
          </cell>
          <cell r="EJ49">
            <v>1</v>
          </cell>
          <cell r="EK49">
            <v>1</v>
          </cell>
          <cell r="EL49">
            <v>0.05</v>
          </cell>
          <cell r="EM49">
            <v>0.14000000000000001</v>
          </cell>
          <cell r="EN49">
            <v>0.11</v>
          </cell>
          <cell r="EO49">
            <v>0.2</v>
          </cell>
          <cell r="EP49">
            <v>0</v>
          </cell>
          <cell r="EQ49">
            <v>0</v>
          </cell>
          <cell r="ER49">
            <v>0</v>
          </cell>
          <cell r="ES49">
            <v>0</v>
          </cell>
          <cell r="ET49">
            <v>0</v>
          </cell>
          <cell r="EU49">
            <v>0</v>
          </cell>
          <cell r="EV49">
            <v>0</v>
          </cell>
          <cell r="EW49">
            <v>0</v>
          </cell>
          <cell r="EX49">
            <v>1</v>
          </cell>
          <cell r="EY49">
            <v>1</v>
          </cell>
          <cell r="EZ49">
            <v>1</v>
          </cell>
          <cell r="FA49">
            <v>0</v>
          </cell>
          <cell r="FB49">
            <v>0</v>
          </cell>
          <cell r="FC49">
            <v>0</v>
          </cell>
          <cell r="FD49">
            <v>0</v>
          </cell>
          <cell r="FE49">
            <v>0</v>
          </cell>
          <cell r="FF49">
            <v>0</v>
          </cell>
          <cell r="FG49">
            <v>0</v>
          </cell>
          <cell r="FH49">
            <v>0</v>
          </cell>
          <cell r="FI49">
            <v>0</v>
          </cell>
          <cell r="FJ49">
            <v>0</v>
          </cell>
          <cell r="FK49">
            <v>0</v>
          </cell>
          <cell r="FL49">
            <v>0</v>
          </cell>
          <cell r="FM49">
            <v>0</v>
          </cell>
          <cell r="FN49">
            <v>0</v>
          </cell>
          <cell r="FO49">
            <v>0</v>
          </cell>
          <cell r="FP49">
            <v>0</v>
          </cell>
          <cell r="FQ49">
            <v>0</v>
          </cell>
          <cell r="FR49">
            <v>0</v>
          </cell>
          <cell r="FS49">
            <v>0</v>
          </cell>
          <cell r="FT49">
            <v>0</v>
          </cell>
          <cell r="FU49">
            <v>0</v>
          </cell>
          <cell r="FV49">
            <v>0</v>
          </cell>
          <cell r="FW49">
            <v>0</v>
          </cell>
          <cell r="FX49">
            <v>0</v>
          </cell>
          <cell r="FY49">
            <v>0</v>
          </cell>
          <cell r="FZ49">
            <v>0</v>
          </cell>
        </row>
        <row r="50">
          <cell r="A50" t="str">
            <v>F_CNP_RFF_RET_IND_FRCE_070</v>
          </cell>
          <cell r="B50">
            <v>0.1</v>
          </cell>
          <cell r="C50">
            <v>0.08</v>
          </cell>
          <cell r="D50">
            <v>0.15</v>
          </cell>
          <cell r="E50">
            <v>0.08</v>
          </cell>
          <cell r="F50">
            <v>0.15</v>
          </cell>
          <cell r="G50">
            <v>0.22</v>
          </cell>
          <cell r="H50">
            <v>7.0000000000000007E-2</v>
          </cell>
          <cell r="I50">
            <v>0.05</v>
          </cell>
          <cell r="J50">
            <v>0.13</v>
          </cell>
          <cell r="K50">
            <v>0.18</v>
          </cell>
          <cell r="L50">
            <v>0.17</v>
          </cell>
          <cell r="M50">
            <v>0.16</v>
          </cell>
          <cell r="N50">
            <v>0.8</v>
          </cell>
          <cell r="O50">
            <v>1</v>
          </cell>
          <cell r="P50">
            <v>1</v>
          </cell>
          <cell r="Q50">
            <v>0.8</v>
          </cell>
          <cell r="R50">
            <v>0.8</v>
          </cell>
          <cell r="S50">
            <v>1</v>
          </cell>
          <cell r="T50">
            <v>1</v>
          </cell>
          <cell r="U50">
            <v>1</v>
          </cell>
          <cell r="V50">
            <v>1</v>
          </cell>
          <cell r="W50">
            <v>1</v>
          </cell>
          <cell r="X50">
            <v>1</v>
          </cell>
          <cell r="Y50">
            <v>1</v>
          </cell>
          <cell r="Z50">
            <v>0.1</v>
          </cell>
          <cell r="AA50">
            <v>0.1</v>
          </cell>
          <cell r="AB50">
            <v>0.14000000000000001</v>
          </cell>
          <cell r="AC50">
            <v>0.11</v>
          </cell>
          <cell r="AD50">
            <v>0.11</v>
          </cell>
          <cell r="AE50">
            <v>0.19</v>
          </cell>
          <cell r="AF50">
            <v>0.09</v>
          </cell>
          <cell r="AG50">
            <v>0.11</v>
          </cell>
          <cell r="AH50">
            <v>0.15</v>
          </cell>
          <cell r="AI50">
            <v>0.2</v>
          </cell>
          <cell r="AJ50">
            <v>0.2</v>
          </cell>
          <cell r="AK50">
            <v>0.2</v>
          </cell>
          <cell r="AL50">
            <v>0</v>
          </cell>
          <cell r="AM50">
            <v>0</v>
          </cell>
          <cell r="AN50">
            <v>0</v>
          </cell>
          <cell r="AO50">
            <v>0</v>
          </cell>
          <cell r="AP50">
            <v>0</v>
          </cell>
          <cell r="AQ50">
            <v>0</v>
          </cell>
          <cell r="AR50">
            <v>0</v>
          </cell>
          <cell r="AS50">
            <v>0</v>
          </cell>
          <cell r="AT50">
            <v>0</v>
          </cell>
          <cell r="AU50">
            <v>0</v>
          </cell>
          <cell r="AV50">
            <v>0</v>
          </cell>
          <cell r="AW50">
            <v>0</v>
          </cell>
          <cell r="AX50">
            <v>0</v>
          </cell>
          <cell r="AY50">
            <v>0</v>
          </cell>
          <cell r="AZ50">
            <v>0</v>
          </cell>
          <cell r="BA50">
            <v>0</v>
          </cell>
          <cell r="BB50">
            <v>0</v>
          </cell>
          <cell r="BC50">
            <v>0</v>
          </cell>
          <cell r="BD50">
            <v>0</v>
          </cell>
          <cell r="BE50">
            <v>0</v>
          </cell>
          <cell r="BF50">
            <v>0</v>
          </cell>
          <cell r="BG50">
            <v>0</v>
          </cell>
          <cell r="BH50">
            <v>0</v>
          </cell>
          <cell r="BI50">
            <v>0</v>
          </cell>
          <cell r="BJ50">
            <v>0</v>
          </cell>
          <cell r="BK50">
            <v>0</v>
          </cell>
          <cell r="BL50">
            <v>0</v>
          </cell>
          <cell r="BM50">
            <v>0</v>
          </cell>
          <cell r="BN50">
            <v>0</v>
          </cell>
          <cell r="BO50">
            <v>0</v>
          </cell>
          <cell r="BP50">
            <v>0</v>
          </cell>
          <cell r="BQ50">
            <v>0</v>
          </cell>
          <cell r="BR50">
            <v>0</v>
          </cell>
          <cell r="BS50">
            <v>0</v>
          </cell>
          <cell r="BT50">
            <v>0</v>
          </cell>
          <cell r="BU50">
            <v>0</v>
          </cell>
          <cell r="BV50">
            <v>0</v>
          </cell>
          <cell r="BW50">
            <v>0</v>
          </cell>
          <cell r="BX50">
            <v>0</v>
          </cell>
          <cell r="BY50">
            <v>0</v>
          </cell>
          <cell r="BZ50">
            <v>0</v>
          </cell>
          <cell r="CA50">
            <v>0</v>
          </cell>
          <cell r="CB50">
            <v>0</v>
          </cell>
          <cell r="CC50">
            <v>0</v>
          </cell>
          <cell r="CD50">
            <v>0</v>
          </cell>
          <cell r="CE50">
            <v>0</v>
          </cell>
          <cell r="CF50">
            <v>0</v>
          </cell>
          <cell r="CG50">
            <v>0</v>
          </cell>
          <cell r="CH50">
            <v>0</v>
          </cell>
          <cell r="CI50">
            <v>0</v>
          </cell>
          <cell r="CJ50">
            <v>0</v>
          </cell>
          <cell r="CK50">
            <v>0</v>
          </cell>
          <cell r="CL50">
            <v>0</v>
          </cell>
          <cell r="CM50">
            <v>0</v>
          </cell>
          <cell r="CN50">
            <v>0</v>
          </cell>
          <cell r="CO50">
            <v>0</v>
          </cell>
          <cell r="CP50">
            <v>0</v>
          </cell>
          <cell r="CQ50">
            <v>0</v>
          </cell>
          <cell r="CR50">
            <v>0</v>
          </cell>
          <cell r="CS50">
            <v>0</v>
          </cell>
          <cell r="CT50">
            <v>0</v>
          </cell>
          <cell r="CU50">
            <v>0</v>
          </cell>
          <cell r="CV50">
            <v>0</v>
          </cell>
          <cell r="CW50">
            <v>0</v>
          </cell>
          <cell r="CX50">
            <v>0</v>
          </cell>
          <cell r="CY50">
            <v>0</v>
          </cell>
          <cell r="CZ50">
            <v>0</v>
          </cell>
          <cell r="DA50">
            <v>0</v>
          </cell>
          <cell r="DB50">
            <v>0</v>
          </cell>
          <cell r="DC50">
            <v>0</v>
          </cell>
          <cell r="DD50">
            <v>0</v>
          </cell>
          <cell r="DE50">
            <v>0</v>
          </cell>
          <cell r="DF50">
            <v>0</v>
          </cell>
          <cell r="DG50">
            <v>0</v>
          </cell>
          <cell r="DH50">
            <v>0</v>
          </cell>
          <cell r="DI50">
            <v>0</v>
          </cell>
          <cell r="DJ50">
            <v>0</v>
          </cell>
          <cell r="DK50">
            <v>0</v>
          </cell>
          <cell r="DL50">
            <v>0</v>
          </cell>
          <cell r="DM50">
            <v>0</v>
          </cell>
          <cell r="DN50">
            <v>0</v>
          </cell>
          <cell r="DO50">
            <v>0</v>
          </cell>
          <cell r="DP50">
            <v>0</v>
          </cell>
          <cell r="DQ50">
            <v>0</v>
          </cell>
          <cell r="DR50">
            <v>0</v>
          </cell>
          <cell r="DS50">
            <v>0</v>
          </cell>
          <cell r="DT50">
            <v>0</v>
          </cell>
          <cell r="DU50">
            <v>0</v>
          </cell>
          <cell r="DV50">
            <v>0</v>
          </cell>
          <cell r="DW50">
            <v>0</v>
          </cell>
          <cell r="DX50">
            <v>0</v>
          </cell>
          <cell r="DY50">
            <v>0</v>
          </cell>
          <cell r="EA50">
            <v>0</v>
          </cell>
          <cell r="EB50">
            <v>0</v>
          </cell>
          <cell r="EC50">
            <v>0</v>
          </cell>
          <cell r="ED50">
            <v>0.05</v>
          </cell>
          <cell r="EE50">
            <v>0.09</v>
          </cell>
          <cell r="EF50">
            <v>0.08</v>
          </cell>
          <cell r="EG50">
            <v>0.17</v>
          </cell>
          <cell r="EH50">
            <v>1</v>
          </cell>
          <cell r="EI50">
            <v>1</v>
          </cell>
          <cell r="EJ50">
            <v>1</v>
          </cell>
          <cell r="EK50">
            <v>1</v>
          </cell>
          <cell r="EL50">
            <v>0.05</v>
          </cell>
          <cell r="EM50">
            <v>0.14000000000000001</v>
          </cell>
          <cell r="EN50">
            <v>0.11</v>
          </cell>
          <cell r="EO50">
            <v>0.2</v>
          </cell>
          <cell r="EP50">
            <v>0</v>
          </cell>
          <cell r="EQ50">
            <v>0</v>
          </cell>
          <cell r="ER50">
            <v>0</v>
          </cell>
          <cell r="ES50">
            <v>0</v>
          </cell>
          <cell r="ET50">
            <v>0</v>
          </cell>
          <cell r="EU50">
            <v>0</v>
          </cell>
          <cell r="EV50">
            <v>0</v>
          </cell>
          <cell r="EW50">
            <v>0</v>
          </cell>
          <cell r="EX50">
            <v>1</v>
          </cell>
          <cell r="EY50">
            <v>1</v>
          </cell>
          <cell r="EZ50">
            <v>1</v>
          </cell>
          <cell r="FA50">
            <v>0</v>
          </cell>
          <cell r="FB50">
            <v>0</v>
          </cell>
          <cell r="FC50">
            <v>0</v>
          </cell>
          <cell r="FD50">
            <v>0</v>
          </cell>
          <cell r="FE50">
            <v>0</v>
          </cell>
          <cell r="FF50">
            <v>0</v>
          </cell>
          <cell r="FG50">
            <v>0</v>
          </cell>
          <cell r="FH50">
            <v>0</v>
          </cell>
          <cell r="FI50">
            <v>0</v>
          </cell>
          <cell r="FJ50">
            <v>0</v>
          </cell>
          <cell r="FK50">
            <v>0</v>
          </cell>
          <cell r="FL50">
            <v>0</v>
          </cell>
          <cell r="FM50">
            <v>0</v>
          </cell>
          <cell r="FN50">
            <v>0</v>
          </cell>
          <cell r="FO50">
            <v>0</v>
          </cell>
          <cell r="FP50">
            <v>0</v>
          </cell>
          <cell r="FQ50">
            <v>0</v>
          </cell>
          <cell r="FR50">
            <v>0</v>
          </cell>
          <cell r="FS50">
            <v>0</v>
          </cell>
          <cell r="FT50">
            <v>0</v>
          </cell>
          <cell r="FU50">
            <v>0</v>
          </cell>
          <cell r="FV50">
            <v>0</v>
          </cell>
          <cell r="FW50">
            <v>0</v>
          </cell>
          <cell r="FX50">
            <v>0</v>
          </cell>
          <cell r="FY50">
            <v>0</v>
          </cell>
          <cell r="FZ50">
            <v>0</v>
          </cell>
        </row>
        <row r="51">
          <cell r="A51" t="str">
            <v>F_CNP_RFF_RET_IND_FRCE_700</v>
          </cell>
          <cell r="B51">
            <v>0.1</v>
          </cell>
          <cell r="C51">
            <v>0.08</v>
          </cell>
          <cell r="D51">
            <v>0.15</v>
          </cell>
          <cell r="E51">
            <v>0.08</v>
          </cell>
          <cell r="F51">
            <v>0.15</v>
          </cell>
          <cell r="G51">
            <v>0.22</v>
          </cell>
          <cell r="H51">
            <v>7.0000000000000007E-2</v>
          </cell>
          <cell r="I51">
            <v>0.05</v>
          </cell>
          <cell r="J51">
            <v>0.13</v>
          </cell>
          <cell r="K51">
            <v>0.18</v>
          </cell>
          <cell r="L51">
            <v>0.17</v>
          </cell>
          <cell r="M51">
            <v>0.16</v>
          </cell>
          <cell r="N51">
            <v>0.8</v>
          </cell>
          <cell r="O51">
            <v>1</v>
          </cell>
          <cell r="P51">
            <v>1</v>
          </cell>
          <cell r="Q51">
            <v>0.8</v>
          </cell>
          <cell r="R51">
            <v>0.8</v>
          </cell>
          <cell r="S51">
            <v>1</v>
          </cell>
          <cell r="T51">
            <v>1</v>
          </cell>
          <cell r="U51">
            <v>1</v>
          </cell>
          <cell r="V51">
            <v>1</v>
          </cell>
          <cell r="W51">
            <v>1</v>
          </cell>
          <cell r="X51">
            <v>1</v>
          </cell>
          <cell r="Y51">
            <v>1</v>
          </cell>
          <cell r="Z51">
            <v>0.1</v>
          </cell>
          <cell r="AA51">
            <v>0.1</v>
          </cell>
          <cell r="AB51">
            <v>0.14000000000000001</v>
          </cell>
          <cell r="AC51">
            <v>0.11</v>
          </cell>
          <cell r="AD51">
            <v>0.11</v>
          </cell>
          <cell r="AE51">
            <v>0.19</v>
          </cell>
          <cell r="AF51">
            <v>0.09</v>
          </cell>
          <cell r="AG51">
            <v>0.11</v>
          </cell>
          <cell r="AH51">
            <v>0.15</v>
          </cell>
          <cell r="AI51">
            <v>0.2</v>
          </cell>
          <cell r="AJ51">
            <v>0.2</v>
          </cell>
          <cell r="AK51">
            <v>0.2</v>
          </cell>
          <cell r="AL51">
            <v>0</v>
          </cell>
          <cell r="AM51">
            <v>0</v>
          </cell>
          <cell r="AN51">
            <v>0</v>
          </cell>
          <cell r="AO51">
            <v>0</v>
          </cell>
          <cell r="AP51">
            <v>0</v>
          </cell>
          <cell r="AQ51">
            <v>0</v>
          </cell>
          <cell r="AR51">
            <v>0</v>
          </cell>
          <cell r="AS51">
            <v>0</v>
          </cell>
          <cell r="AT51">
            <v>0</v>
          </cell>
          <cell r="AU51">
            <v>0</v>
          </cell>
          <cell r="AV51">
            <v>0</v>
          </cell>
          <cell r="AW51">
            <v>0</v>
          </cell>
          <cell r="AX51">
            <v>0</v>
          </cell>
          <cell r="AY51">
            <v>0</v>
          </cell>
          <cell r="AZ51">
            <v>0</v>
          </cell>
          <cell r="BA51">
            <v>0</v>
          </cell>
          <cell r="BB51">
            <v>0</v>
          </cell>
          <cell r="BC51">
            <v>0</v>
          </cell>
          <cell r="BD51">
            <v>0</v>
          </cell>
          <cell r="BE51">
            <v>0</v>
          </cell>
          <cell r="BF51">
            <v>0</v>
          </cell>
          <cell r="BG51">
            <v>0</v>
          </cell>
          <cell r="BH51">
            <v>0</v>
          </cell>
          <cell r="BI51">
            <v>0</v>
          </cell>
          <cell r="BJ51">
            <v>0</v>
          </cell>
          <cell r="BK51">
            <v>0</v>
          </cell>
          <cell r="BL51">
            <v>0</v>
          </cell>
          <cell r="BM51">
            <v>0</v>
          </cell>
          <cell r="BN51">
            <v>0</v>
          </cell>
          <cell r="BO51">
            <v>0</v>
          </cell>
          <cell r="BP51">
            <v>0</v>
          </cell>
          <cell r="BQ51">
            <v>0</v>
          </cell>
          <cell r="BR51">
            <v>0</v>
          </cell>
          <cell r="BS51">
            <v>0</v>
          </cell>
          <cell r="BT51">
            <v>0</v>
          </cell>
          <cell r="BU51">
            <v>0</v>
          </cell>
          <cell r="BV51">
            <v>0</v>
          </cell>
          <cell r="BW51">
            <v>0</v>
          </cell>
          <cell r="BX51">
            <v>0</v>
          </cell>
          <cell r="BY51">
            <v>0</v>
          </cell>
          <cell r="BZ51">
            <v>0</v>
          </cell>
          <cell r="CA51">
            <v>0</v>
          </cell>
          <cell r="CB51">
            <v>0</v>
          </cell>
          <cell r="CC51">
            <v>0</v>
          </cell>
          <cell r="CD51">
            <v>0</v>
          </cell>
          <cell r="CE51">
            <v>0</v>
          </cell>
          <cell r="CF51">
            <v>0</v>
          </cell>
          <cell r="CG51">
            <v>0</v>
          </cell>
          <cell r="CH51">
            <v>0</v>
          </cell>
          <cell r="CI51">
            <v>0</v>
          </cell>
          <cell r="CJ51">
            <v>0</v>
          </cell>
          <cell r="CK51">
            <v>0</v>
          </cell>
          <cell r="CL51">
            <v>0</v>
          </cell>
          <cell r="CM51">
            <v>0</v>
          </cell>
          <cell r="CN51">
            <v>0</v>
          </cell>
          <cell r="CO51">
            <v>0</v>
          </cell>
          <cell r="CP51">
            <v>0</v>
          </cell>
          <cell r="CQ51">
            <v>0</v>
          </cell>
          <cell r="CR51">
            <v>0</v>
          </cell>
          <cell r="CS51">
            <v>0</v>
          </cell>
          <cell r="CT51">
            <v>0</v>
          </cell>
          <cell r="CU51">
            <v>0</v>
          </cell>
          <cell r="CV51">
            <v>0</v>
          </cell>
          <cell r="CW51">
            <v>0</v>
          </cell>
          <cell r="CX51">
            <v>0</v>
          </cell>
          <cell r="CY51">
            <v>0</v>
          </cell>
          <cell r="CZ51">
            <v>0</v>
          </cell>
          <cell r="DA51">
            <v>0</v>
          </cell>
          <cell r="DB51">
            <v>0</v>
          </cell>
          <cell r="DC51">
            <v>0</v>
          </cell>
          <cell r="DD51">
            <v>0</v>
          </cell>
          <cell r="DE51">
            <v>0</v>
          </cell>
          <cell r="DF51">
            <v>0</v>
          </cell>
          <cell r="DG51">
            <v>0</v>
          </cell>
          <cell r="DH51">
            <v>0</v>
          </cell>
          <cell r="DI51">
            <v>0</v>
          </cell>
          <cell r="DJ51">
            <v>0</v>
          </cell>
          <cell r="DK51">
            <v>0</v>
          </cell>
          <cell r="DL51">
            <v>0</v>
          </cell>
          <cell r="DM51">
            <v>0</v>
          </cell>
          <cell r="DN51">
            <v>0</v>
          </cell>
          <cell r="DO51">
            <v>0</v>
          </cell>
          <cell r="DP51">
            <v>0</v>
          </cell>
          <cell r="DQ51">
            <v>0</v>
          </cell>
          <cell r="DR51">
            <v>0</v>
          </cell>
          <cell r="DS51">
            <v>0</v>
          </cell>
          <cell r="DT51">
            <v>0</v>
          </cell>
          <cell r="DU51">
            <v>0</v>
          </cell>
          <cell r="DV51">
            <v>0</v>
          </cell>
          <cell r="DW51">
            <v>0</v>
          </cell>
          <cell r="DX51">
            <v>0</v>
          </cell>
          <cell r="DY51">
            <v>0</v>
          </cell>
          <cell r="EA51">
            <v>0</v>
          </cell>
          <cell r="EB51">
            <v>0</v>
          </cell>
          <cell r="EC51">
            <v>0</v>
          </cell>
          <cell r="ED51">
            <v>0.05</v>
          </cell>
          <cell r="EE51">
            <v>0.09</v>
          </cell>
          <cell r="EF51">
            <v>0.08</v>
          </cell>
          <cell r="EG51">
            <v>0.17</v>
          </cell>
          <cell r="EH51">
            <v>1</v>
          </cell>
          <cell r="EI51">
            <v>1</v>
          </cell>
          <cell r="EJ51">
            <v>1</v>
          </cell>
          <cell r="EK51">
            <v>1</v>
          </cell>
          <cell r="EL51">
            <v>0.05</v>
          </cell>
          <cell r="EM51">
            <v>0.14000000000000001</v>
          </cell>
          <cell r="EN51">
            <v>0.11</v>
          </cell>
          <cell r="EO51">
            <v>0.2</v>
          </cell>
          <cell r="EP51">
            <v>0</v>
          </cell>
          <cell r="EQ51">
            <v>0</v>
          </cell>
          <cell r="ER51">
            <v>0</v>
          </cell>
          <cell r="ES51">
            <v>0</v>
          </cell>
          <cell r="ET51">
            <v>0</v>
          </cell>
          <cell r="EU51">
            <v>0</v>
          </cell>
          <cell r="EV51">
            <v>0</v>
          </cell>
          <cell r="EW51">
            <v>0</v>
          </cell>
          <cell r="EX51">
            <v>1</v>
          </cell>
          <cell r="EY51">
            <v>1</v>
          </cell>
          <cell r="EZ51">
            <v>1</v>
          </cell>
          <cell r="FA51">
            <v>0</v>
          </cell>
          <cell r="FB51">
            <v>0</v>
          </cell>
          <cell r="FC51">
            <v>0</v>
          </cell>
          <cell r="FD51">
            <v>0</v>
          </cell>
          <cell r="FE51">
            <v>0</v>
          </cell>
          <cell r="FF51">
            <v>0</v>
          </cell>
          <cell r="FG51">
            <v>0</v>
          </cell>
          <cell r="FH51">
            <v>0</v>
          </cell>
          <cell r="FI51">
            <v>0</v>
          </cell>
          <cell r="FJ51">
            <v>0</v>
          </cell>
          <cell r="FK51">
            <v>0</v>
          </cell>
          <cell r="FL51">
            <v>0</v>
          </cell>
          <cell r="FM51">
            <v>0</v>
          </cell>
          <cell r="FN51">
            <v>0</v>
          </cell>
          <cell r="FO51">
            <v>0</v>
          </cell>
          <cell r="FP51">
            <v>0</v>
          </cell>
          <cell r="FQ51">
            <v>0</v>
          </cell>
          <cell r="FR51">
            <v>0</v>
          </cell>
          <cell r="FS51">
            <v>0</v>
          </cell>
          <cell r="FT51">
            <v>0</v>
          </cell>
          <cell r="FU51">
            <v>0</v>
          </cell>
          <cell r="FV51">
            <v>0</v>
          </cell>
          <cell r="FW51">
            <v>0</v>
          </cell>
          <cell r="FX51">
            <v>0</v>
          </cell>
          <cell r="FY51">
            <v>0</v>
          </cell>
          <cell r="FZ51">
            <v>0</v>
          </cell>
        </row>
        <row r="52">
          <cell r="A52" t="str">
            <v>F_CNP_RFF_RET_IND_FRCE_701</v>
          </cell>
          <cell r="B52">
            <v>0.1</v>
          </cell>
          <cell r="C52">
            <v>0.08</v>
          </cell>
          <cell r="D52">
            <v>0.15</v>
          </cell>
          <cell r="E52">
            <v>0.08</v>
          </cell>
          <cell r="F52">
            <v>0.15</v>
          </cell>
          <cell r="G52">
            <v>0.22</v>
          </cell>
          <cell r="H52">
            <v>7.0000000000000007E-2</v>
          </cell>
          <cell r="I52">
            <v>0.05</v>
          </cell>
          <cell r="J52">
            <v>0.13</v>
          </cell>
          <cell r="K52">
            <v>0.18</v>
          </cell>
          <cell r="L52">
            <v>0.17</v>
          </cell>
          <cell r="M52">
            <v>0.16</v>
          </cell>
          <cell r="N52">
            <v>0.8</v>
          </cell>
          <cell r="O52">
            <v>1</v>
          </cell>
          <cell r="P52">
            <v>1</v>
          </cell>
          <cell r="Q52">
            <v>0.8</v>
          </cell>
          <cell r="R52">
            <v>0.8</v>
          </cell>
          <cell r="S52">
            <v>1</v>
          </cell>
          <cell r="T52">
            <v>1</v>
          </cell>
          <cell r="U52">
            <v>1</v>
          </cell>
          <cell r="V52">
            <v>1</v>
          </cell>
          <cell r="W52">
            <v>1</v>
          </cell>
          <cell r="X52">
            <v>1</v>
          </cell>
          <cell r="Y52">
            <v>1</v>
          </cell>
          <cell r="Z52">
            <v>0.1</v>
          </cell>
          <cell r="AA52">
            <v>0.1</v>
          </cell>
          <cell r="AB52">
            <v>0.14000000000000001</v>
          </cell>
          <cell r="AC52">
            <v>0.11</v>
          </cell>
          <cell r="AD52">
            <v>0.11</v>
          </cell>
          <cell r="AE52">
            <v>0.19</v>
          </cell>
          <cell r="AF52">
            <v>0.09</v>
          </cell>
          <cell r="AG52">
            <v>0.11</v>
          </cell>
          <cell r="AH52">
            <v>0.15</v>
          </cell>
          <cell r="AI52">
            <v>0.2</v>
          </cell>
          <cell r="AJ52">
            <v>0.2</v>
          </cell>
          <cell r="AK52">
            <v>0.2</v>
          </cell>
          <cell r="AL52">
            <v>0</v>
          </cell>
          <cell r="AM52">
            <v>0</v>
          </cell>
          <cell r="AN52">
            <v>0</v>
          </cell>
          <cell r="AO52">
            <v>0</v>
          </cell>
          <cell r="AP52">
            <v>0</v>
          </cell>
          <cell r="AQ52">
            <v>0</v>
          </cell>
          <cell r="AR52">
            <v>0</v>
          </cell>
          <cell r="AS52">
            <v>0</v>
          </cell>
          <cell r="AT52">
            <v>0</v>
          </cell>
          <cell r="AU52">
            <v>0</v>
          </cell>
          <cell r="AV52">
            <v>0</v>
          </cell>
          <cell r="AW52">
            <v>0</v>
          </cell>
          <cell r="AX52">
            <v>0</v>
          </cell>
          <cell r="AY52">
            <v>0</v>
          </cell>
          <cell r="AZ52">
            <v>0</v>
          </cell>
          <cell r="BA52">
            <v>0</v>
          </cell>
          <cell r="BB52">
            <v>0</v>
          </cell>
          <cell r="BC52">
            <v>0</v>
          </cell>
          <cell r="BD52">
            <v>0</v>
          </cell>
          <cell r="BE52">
            <v>0</v>
          </cell>
          <cell r="BF52">
            <v>0</v>
          </cell>
          <cell r="BG52">
            <v>0</v>
          </cell>
          <cell r="BH52">
            <v>0</v>
          </cell>
          <cell r="BI52">
            <v>0</v>
          </cell>
          <cell r="BJ52">
            <v>0</v>
          </cell>
          <cell r="BK52">
            <v>0</v>
          </cell>
          <cell r="BL52">
            <v>0</v>
          </cell>
          <cell r="BM52">
            <v>0</v>
          </cell>
          <cell r="BN52">
            <v>0</v>
          </cell>
          <cell r="BO52">
            <v>0</v>
          </cell>
          <cell r="BP52">
            <v>0</v>
          </cell>
          <cell r="BQ52">
            <v>0</v>
          </cell>
          <cell r="BR52">
            <v>0</v>
          </cell>
          <cell r="BS52">
            <v>0</v>
          </cell>
          <cell r="BT52">
            <v>0</v>
          </cell>
          <cell r="BU52">
            <v>0</v>
          </cell>
          <cell r="BV52">
            <v>0</v>
          </cell>
          <cell r="BW52">
            <v>0</v>
          </cell>
          <cell r="BX52">
            <v>0</v>
          </cell>
          <cell r="BY52">
            <v>0</v>
          </cell>
          <cell r="BZ52">
            <v>0</v>
          </cell>
          <cell r="CA52">
            <v>0</v>
          </cell>
          <cell r="CB52">
            <v>0</v>
          </cell>
          <cell r="CC52">
            <v>0</v>
          </cell>
          <cell r="CD52">
            <v>0</v>
          </cell>
          <cell r="CE52">
            <v>0</v>
          </cell>
          <cell r="CF52">
            <v>0</v>
          </cell>
          <cell r="CG52">
            <v>0</v>
          </cell>
          <cell r="CH52">
            <v>0</v>
          </cell>
          <cell r="CI52">
            <v>0</v>
          </cell>
          <cell r="CJ52">
            <v>0</v>
          </cell>
          <cell r="CK52">
            <v>0</v>
          </cell>
          <cell r="CL52">
            <v>0</v>
          </cell>
          <cell r="CM52">
            <v>0</v>
          </cell>
          <cell r="CN52">
            <v>0</v>
          </cell>
          <cell r="CO52">
            <v>0</v>
          </cell>
          <cell r="CP52">
            <v>0</v>
          </cell>
          <cell r="CQ52">
            <v>0</v>
          </cell>
          <cell r="CR52">
            <v>0</v>
          </cell>
          <cell r="CS52">
            <v>0</v>
          </cell>
          <cell r="CT52">
            <v>0</v>
          </cell>
          <cell r="CU52">
            <v>0</v>
          </cell>
          <cell r="CV52">
            <v>0</v>
          </cell>
          <cell r="CW52">
            <v>0</v>
          </cell>
          <cell r="CX52">
            <v>0</v>
          </cell>
          <cell r="CY52">
            <v>0</v>
          </cell>
          <cell r="CZ52">
            <v>0</v>
          </cell>
          <cell r="DA52">
            <v>0</v>
          </cell>
          <cell r="DB52">
            <v>0</v>
          </cell>
          <cell r="DC52">
            <v>0</v>
          </cell>
          <cell r="DD52">
            <v>0</v>
          </cell>
          <cell r="DE52">
            <v>0</v>
          </cell>
          <cell r="DF52">
            <v>0</v>
          </cell>
          <cell r="DG52">
            <v>0</v>
          </cell>
          <cell r="DH52">
            <v>0</v>
          </cell>
          <cell r="DI52">
            <v>0</v>
          </cell>
          <cell r="DJ52">
            <v>0</v>
          </cell>
          <cell r="DK52">
            <v>0</v>
          </cell>
          <cell r="DL52">
            <v>0</v>
          </cell>
          <cell r="DM52">
            <v>0</v>
          </cell>
          <cell r="DN52">
            <v>0</v>
          </cell>
          <cell r="DO52">
            <v>0</v>
          </cell>
          <cell r="DP52">
            <v>0</v>
          </cell>
          <cell r="DQ52">
            <v>0</v>
          </cell>
          <cell r="DR52">
            <v>0</v>
          </cell>
          <cell r="DS52">
            <v>0</v>
          </cell>
          <cell r="DT52">
            <v>0</v>
          </cell>
          <cell r="DU52">
            <v>0</v>
          </cell>
          <cell r="DV52">
            <v>0</v>
          </cell>
          <cell r="DW52">
            <v>0</v>
          </cell>
          <cell r="DX52">
            <v>0</v>
          </cell>
          <cell r="DY52">
            <v>0</v>
          </cell>
          <cell r="EA52">
            <v>0</v>
          </cell>
          <cell r="EB52">
            <v>0</v>
          </cell>
          <cell r="EC52">
            <v>0</v>
          </cell>
          <cell r="ED52">
            <v>0.05</v>
          </cell>
          <cell r="EE52">
            <v>0.09</v>
          </cell>
          <cell r="EF52">
            <v>0.08</v>
          </cell>
          <cell r="EG52">
            <v>0.17</v>
          </cell>
          <cell r="EH52">
            <v>1</v>
          </cell>
          <cell r="EI52">
            <v>1</v>
          </cell>
          <cell r="EJ52">
            <v>1</v>
          </cell>
          <cell r="EK52">
            <v>1</v>
          </cell>
          <cell r="EL52">
            <v>0.05</v>
          </cell>
          <cell r="EM52">
            <v>0.14000000000000001</v>
          </cell>
          <cell r="EN52">
            <v>0.11</v>
          </cell>
          <cell r="EO52">
            <v>0.2</v>
          </cell>
          <cell r="EP52">
            <v>0</v>
          </cell>
          <cell r="EQ52">
            <v>0</v>
          </cell>
          <cell r="ER52">
            <v>0</v>
          </cell>
          <cell r="ES52">
            <v>0</v>
          </cell>
          <cell r="ET52">
            <v>0</v>
          </cell>
          <cell r="EU52">
            <v>0</v>
          </cell>
          <cell r="EV52">
            <v>0</v>
          </cell>
          <cell r="EW52">
            <v>0</v>
          </cell>
          <cell r="EX52">
            <v>1</v>
          </cell>
          <cell r="EY52">
            <v>1</v>
          </cell>
          <cell r="EZ52">
            <v>1</v>
          </cell>
          <cell r="FA52">
            <v>0</v>
          </cell>
          <cell r="FB52">
            <v>0</v>
          </cell>
          <cell r="FC52">
            <v>0</v>
          </cell>
          <cell r="FD52">
            <v>0</v>
          </cell>
          <cell r="FE52">
            <v>0</v>
          </cell>
          <cell r="FF52">
            <v>0</v>
          </cell>
          <cell r="FG52">
            <v>0</v>
          </cell>
          <cell r="FH52">
            <v>0</v>
          </cell>
          <cell r="FI52">
            <v>0</v>
          </cell>
          <cell r="FJ52">
            <v>0</v>
          </cell>
          <cell r="FK52">
            <v>0</v>
          </cell>
          <cell r="FL52">
            <v>0</v>
          </cell>
          <cell r="FM52">
            <v>0</v>
          </cell>
          <cell r="FN52">
            <v>0</v>
          </cell>
          <cell r="FO52">
            <v>0</v>
          </cell>
          <cell r="FP52">
            <v>0</v>
          </cell>
          <cell r="FQ52">
            <v>0</v>
          </cell>
          <cell r="FR52">
            <v>0</v>
          </cell>
          <cell r="FS52">
            <v>0</v>
          </cell>
          <cell r="FT52">
            <v>0</v>
          </cell>
          <cell r="FU52">
            <v>0</v>
          </cell>
          <cell r="FV52">
            <v>0</v>
          </cell>
          <cell r="FW52">
            <v>0</v>
          </cell>
          <cell r="FX52">
            <v>0</v>
          </cell>
          <cell r="FY52">
            <v>0</v>
          </cell>
          <cell r="FZ52">
            <v>0</v>
          </cell>
        </row>
        <row r="53">
          <cell r="A53" t="str">
            <v>F_CNP_RFF_RET_IND_FRCE_702</v>
          </cell>
          <cell r="B53">
            <v>0.1</v>
          </cell>
          <cell r="C53">
            <v>0.08</v>
          </cell>
          <cell r="D53">
            <v>0.15</v>
          </cell>
          <cell r="E53">
            <v>0.08</v>
          </cell>
          <cell r="F53">
            <v>0.15</v>
          </cell>
          <cell r="G53">
            <v>0.22</v>
          </cell>
          <cell r="H53">
            <v>7.0000000000000007E-2</v>
          </cell>
          <cell r="I53">
            <v>0.05</v>
          </cell>
          <cell r="J53">
            <v>0.13</v>
          </cell>
          <cell r="K53">
            <v>0.18</v>
          </cell>
          <cell r="L53">
            <v>0.17</v>
          </cell>
          <cell r="M53">
            <v>0.16</v>
          </cell>
          <cell r="N53">
            <v>0.8</v>
          </cell>
          <cell r="O53">
            <v>1</v>
          </cell>
          <cell r="P53">
            <v>1</v>
          </cell>
          <cell r="Q53">
            <v>0.8</v>
          </cell>
          <cell r="R53">
            <v>0.8</v>
          </cell>
          <cell r="S53">
            <v>1</v>
          </cell>
          <cell r="T53">
            <v>1</v>
          </cell>
          <cell r="U53">
            <v>1</v>
          </cell>
          <cell r="V53">
            <v>1</v>
          </cell>
          <cell r="W53">
            <v>1</v>
          </cell>
          <cell r="X53">
            <v>1</v>
          </cell>
          <cell r="Y53">
            <v>1</v>
          </cell>
          <cell r="Z53">
            <v>0.1</v>
          </cell>
          <cell r="AA53">
            <v>0.1</v>
          </cell>
          <cell r="AB53">
            <v>0.14000000000000001</v>
          </cell>
          <cell r="AC53">
            <v>0.11</v>
          </cell>
          <cell r="AD53">
            <v>0.11</v>
          </cell>
          <cell r="AE53">
            <v>0.19</v>
          </cell>
          <cell r="AF53">
            <v>0.09</v>
          </cell>
          <cell r="AG53">
            <v>0.11</v>
          </cell>
          <cell r="AH53">
            <v>0.15</v>
          </cell>
          <cell r="AI53">
            <v>0.2</v>
          </cell>
          <cell r="AJ53">
            <v>0.2</v>
          </cell>
          <cell r="AK53">
            <v>0.2</v>
          </cell>
          <cell r="AL53">
            <v>0</v>
          </cell>
          <cell r="AM53">
            <v>0</v>
          </cell>
          <cell r="AN53">
            <v>0</v>
          </cell>
          <cell r="AO53">
            <v>0</v>
          </cell>
          <cell r="AP53">
            <v>0</v>
          </cell>
          <cell r="AQ53">
            <v>0</v>
          </cell>
          <cell r="AR53">
            <v>0</v>
          </cell>
          <cell r="AS53">
            <v>0</v>
          </cell>
          <cell r="AT53">
            <v>0</v>
          </cell>
          <cell r="AU53">
            <v>0</v>
          </cell>
          <cell r="AV53">
            <v>0</v>
          </cell>
          <cell r="AW53">
            <v>0</v>
          </cell>
          <cell r="AX53">
            <v>0</v>
          </cell>
          <cell r="AY53">
            <v>0</v>
          </cell>
          <cell r="AZ53">
            <v>0</v>
          </cell>
          <cell r="BA53">
            <v>0</v>
          </cell>
          <cell r="BB53">
            <v>0</v>
          </cell>
          <cell r="BC53">
            <v>0</v>
          </cell>
          <cell r="BD53">
            <v>0</v>
          </cell>
          <cell r="BE53">
            <v>0</v>
          </cell>
          <cell r="BF53">
            <v>0</v>
          </cell>
          <cell r="BG53">
            <v>0</v>
          </cell>
          <cell r="BH53">
            <v>0</v>
          </cell>
          <cell r="BI53">
            <v>0</v>
          </cell>
          <cell r="BJ53">
            <v>0</v>
          </cell>
          <cell r="BK53">
            <v>0</v>
          </cell>
          <cell r="BL53">
            <v>0</v>
          </cell>
          <cell r="BM53">
            <v>0</v>
          </cell>
          <cell r="BN53">
            <v>0</v>
          </cell>
          <cell r="BO53">
            <v>0</v>
          </cell>
          <cell r="BP53">
            <v>0</v>
          </cell>
          <cell r="BQ53">
            <v>0</v>
          </cell>
          <cell r="BR53">
            <v>0</v>
          </cell>
          <cell r="BS53">
            <v>0</v>
          </cell>
          <cell r="BT53">
            <v>0</v>
          </cell>
          <cell r="BU53">
            <v>0</v>
          </cell>
          <cell r="BV53">
            <v>0</v>
          </cell>
          <cell r="BW53">
            <v>0</v>
          </cell>
          <cell r="BX53">
            <v>0</v>
          </cell>
          <cell r="BY53">
            <v>0</v>
          </cell>
          <cell r="BZ53">
            <v>0</v>
          </cell>
          <cell r="CA53">
            <v>0</v>
          </cell>
          <cell r="CB53">
            <v>0</v>
          </cell>
          <cell r="CC53">
            <v>0</v>
          </cell>
          <cell r="CD53">
            <v>0</v>
          </cell>
          <cell r="CE53">
            <v>0</v>
          </cell>
          <cell r="CF53">
            <v>0</v>
          </cell>
          <cell r="CG53">
            <v>0</v>
          </cell>
          <cell r="CH53">
            <v>0</v>
          </cell>
          <cell r="CI53">
            <v>0</v>
          </cell>
          <cell r="CJ53">
            <v>0</v>
          </cell>
          <cell r="CK53">
            <v>0</v>
          </cell>
          <cell r="CL53">
            <v>0</v>
          </cell>
          <cell r="CM53">
            <v>0</v>
          </cell>
          <cell r="CN53">
            <v>0</v>
          </cell>
          <cell r="CO53">
            <v>0</v>
          </cell>
          <cell r="CP53">
            <v>0</v>
          </cell>
          <cell r="CQ53">
            <v>0</v>
          </cell>
          <cell r="CR53">
            <v>0</v>
          </cell>
          <cell r="CS53">
            <v>0</v>
          </cell>
          <cell r="CT53">
            <v>0</v>
          </cell>
          <cell r="CU53">
            <v>0</v>
          </cell>
          <cell r="CV53">
            <v>0</v>
          </cell>
          <cell r="CW53">
            <v>0</v>
          </cell>
          <cell r="CX53">
            <v>0</v>
          </cell>
          <cell r="CY53">
            <v>0</v>
          </cell>
          <cell r="CZ53">
            <v>0</v>
          </cell>
          <cell r="DA53">
            <v>0</v>
          </cell>
          <cell r="DB53">
            <v>0</v>
          </cell>
          <cell r="DC53">
            <v>0</v>
          </cell>
          <cell r="DD53">
            <v>0</v>
          </cell>
          <cell r="DE53">
            <v>0</v>
          </cell>
          <cell r="DF53">
            <v>0</v>
          </cell>
          <cell r="DG53">
            <v>0</v>
          </cell>
          <cell r="DH53">
            <v>0</v>
          </cell>
          <cell r="DI53">
            <v>0</v>
          </cell>
          <cell r="DJ53">
            <v>0</v>
          </cell>
          <cell r="DK53">
            <v>0</v>
          </cell>
          <cell r="DL53">
            <v>0</v>
          </cell>
          <cell r="DM53">
            <v>0</v>
          </cell>
          <cell r="DN53">
            <v>0</v>
          </cell>
          <cell r="DO53">
            <v>0</v>
          </cell>
          <cell r="DP53">
            <v>0</v>
          </cell>
          <cell r="DQ53">
            <v>0</v>
          </cell>
          <cell r="DR53">
            <v>0</v>
          </cell>
          <cell r="DS53">
            <v>0</v>
          </cell>
          <cell r="DT53">
            <v>0</v>
          </cell>
          <cell r="DU53">
            <v>0</v>
          </cell>
          <cell r="DV53">
            <v>0</v>
          </cell>
          <cell r="DW53">
            <v>0</v>
          </cell>
          <cell r="DX53">
            <v>0</v>
          </cell>
          <cell r="DY53">
            <v>0</v>
          </cell>
          <cell r="EA53">
            <v>0</v>
          </cell>
          <cell r="EB53">
            <v>0</v>
          </cell>
          <cell r="EC53">
            <v>0</v>
          </cell>
          <cell r="ED53">
            <v>0.05</v>
          </cell>
          <cell r="EE53">
            <v>0.09</v>
          </cell>
          <cell r="EF53">
            <v>0.08</v>
          </cell>
          <cell r="EG53">
            <v>0.17</v>
          </cell>
          <cell r="EH53">
            <v>1</v>
          </cell>
          <cell r="EI53">
            <v>1</v>
          </cell>
          <cell r="EJ53">
            <v>1</v>
          </cell>
          <cell r="EK53">
            <v>1</v>
          </cell>
          <cell r="EL53">
            <v>0.05</v>
          </cell>
          <cell r="EM53">
            <v>0.14000000000000001</v>
          </cell>
          <cell r="EN53">
            <v>0.11</v>
          </cell>
          <cell r="EO53">
            <v>0.2</v>
          </cell>
          <cell r="EP53">
            <v>0</v>
          </cell>
          <cell r="EQ53">
            <v>0</v>
          </cell>
          <cell r="ER53">
            <v>0</v>
          </cell>
          <cell r="ES53">
            <v>0</v>
          </cell>
          <cell r="ET53">
            <v>0</v>
          </cell>
          <cell r="EU53">
            <v>0</v>
          </cell>
          <cell r="EV53">
            <v>0</v>
          </cell>
          <cell r="EW53">
            <v>0</v>
          </cell>
          <cell r="EX53">
            <v>1</v>
          </cell>
          <cell r="EY53">
            <v>1</v>
          </cell>
          <cell r="EZ53">
            <v>1</v>
          </cell>
          <cell r="FA53">
            <v>0</v>
          </cell>
          <cell r="FB53">
            <v>0</v>
          </cell>
          <cell r="FC53">
            <v>0</v>
          </cell>
          <cell r="FD53">
            <v>0</v>
          </cell>
          <cell r="FE53">
            <v>0</v>
          </cell>
          <cell r="FF53">
            <v>0</v>
          </cell>
          <cell r="FG53">
            <v>0</v>
          </cell>
          <cell r="FH53">
            <v>0</v>
          </cell>
          <cell r="FI53">
            <v>0</v>
          </cell>
          <cell r="FJ53">
            <v>0</v>
          </cell>
          <cell r="FK53">
            <v>0</v>
          </cell>
          <cell r="FL53">
            <v>0</v>
          </cell>
          <cell r="FM53">
            <v>0</v>
          </cell>
          <cell r="FN53">
            <v>0</v>
          </cell>
          <cell r="FO53">
            <v>0</v>
          </cell>
          <cell r="FP53">
            <v>0</v>
          </cell>
          <cell r="FQ53">
            <v>0</v>
          </cell>
          <cell r="FR53">
            <v>0</v>
          </cell>
          <cell r="FS53">
            <v>0</v>
          </cell>
          <cell r="FT53">
            <v>0</v>
          </cell>
          <cell r="FU53">
            <v>0</v>
          </cell>
          <cell r="FV53">
            <v>0</v>
          </cell>
          <cell r="FW53">
            <v>0</v>
          </cell>
          <cell r="FX53">
            <v>0</v>
          </cell>
          <cell r="FY53">
            <v>0</v>
          </cell>
          <cell r="FZ53">
            <v>0</v>
          </cell>
        </row>
        <row r="54">
          <cell r="A54" t="str">
            <v>F_CNP_RFF_RET_IND_FRCE_EVV</v>
          </cell>
          <cell r="B54">
            <v>0.1</v>
          </cell>
          <cell r="C54">
            <v>0.08</v>
          </cell>
          <cell r="D54">
            <v>0.15</v>
          </cell>
          <cell r="E54">
            <v>0.08</v>
          </cell>
          <cell r="F54">
            <v>0.15</v>
          </cell>
          <cell r="G54">
            <v>0.22</v>
          </cell>
          <cell r="H54">
            <v>7.0000000000000007E-2</v>
          </cell>
          <cell r="I54">
            <v>0.05</v>
          </cell>
          <cell r="J54">
            <v>0.13</v>
          </cell>
          <cell r="K54">
            <v>0.18</v>
          </cell>
          <cell r="L54">
            <v>0.17</v>
          </cell>
          <cell r="M54">
            <v>0.16</v>
          </cell>
          <cell r="N54">
            <v>0.8</v>
          </cell>
          <cell r="O54">
            <v>1</v>
          </cell>
          <cell r="P54">
            <v>1</v>
          </cell>
          <cell r="Q54">
            <v>0.8</v>
          </cell>
          <cell r="R54">
            <v>0.8</v>
          </cell>
          <cell r="S54">
            <v>1</v>
          </cell>
          <cell r="T54">
            <v>1</v>
          </cell>
          <cell r="U54">
            <v>1</v>
          </cell>
          <cell r="V54">
            <v>1</v>
          </cell>
          <cell r="W54">
            <v>1</v>
          </cell>
          <cell r="X54">
            <v>1</v>
          </cell>
          <cell r="Y54">
            <v>1</v>
          </cell>
          <cell r="Z54">
            <v>0.1</v>
          </cell>
          <cell r="AA54">
            <v>0.1</v>
          </cell>
          <cell r="AB54">
            <v>0.14000000000000001</v>
          </cell>
          <cell r="AC54">
            <v>0.11</v>
          </cell>
          <cell r="AD54">
            <v>0.11</v>
          </cell>
          <cell r="AE54">
            <v>0.19</v>
          </cell>
          <cell r="AF54">
            <v>0.09</v>
          </cell>
          <cell r="AG54">
            <v>0.11</v>
          </cell>
          <cell r="AH54">
            <v>0.15</v>
          </cell>
          <cell r="AI54">
            <v>0.2</v>
          </cell>
          <cell r="AJ54">
            <v>0.2</v>
          </cell>
          <cell r="AK54">
            <v>0.2</v>
          </cell>
          <cell r="AL54">
            <v>0</v>
          </cell>
          <cell r="AM54">
            <v>0</v>
          </cell>
          <cell r="AN54">
            <v>0</v>
          </cell>
          <cell r="AO54">
            <v>0</v>
          </cell>
          <cell r="AP54">
            <v>0</v>
          </cell>
          <cell r="AQ54">
            <v>0</v>
          </cell>
          <cell r="AR54">
            <v>0</v>
          </cell>
          <cell r="AS54">
            <v>0</v>
          </cell>
          <cell r="AT54">
            <v>0</v>
          </cell>
          <cell r="AU54">
            <v>0</v>
          </cell>
          <cell r="AV54">
            <v>0</v>
          </cell>
          <cell r="AW54">
            <v>0</v>
          </cell>
          <cell r="AX54">
            <v>0</v>
          </cell>
          <cell r="AY54">
            <v>0</v>
          </cell>
          <cell r="AZ54">
            <v>0</v>
          </cell>
          <cell r="BA54">
            <v>0</v>
          </cell>
          <cell r="BB54">
            <v>0</v>
          </cell>
          <cell r="BC54">
            <v>0</v>
          </cell>
          <cell r="BD54">
            <v>0</v>
          </cell>
          <cell r="BE54">
            <v>0</v>
          </cell>
          <cell r="BF54">
            <v>0</v>
          </cell>
          <cell r="BG54">
            <v>0</v>
          </cell>
          <cell r="BH54">
            <v>0</v>
          </cell>
          <cell r="BI54">
            <v>0</v>
          </cell>
          <cell r="BJ54">
            <v>0</v>
          </cell>
          <cell r="BK54">
            <v>0</v>
          </cell>
          <cell r="BL54">
            <v>0</v>
          </cell>
          <cell r="BM54">
            <v>0</v>
          </cell>
          <cell r="BN54">
            <v>0</v>
          </cell>
          <cell r="BO54">
            <v>0</v>
          </cell>
          <cell r="BP54">
            <v>0</v>
          </cell>
          <cell r="BQ54">
            <v>0</v>
          </cell>
          <cell r="BR54">
            <v>0</v>
          </cell>
          <cell r="BS54">
            <v>0</v>
          </cell>
          <cell r="BT54">
            <v>0</v>
          </cell>
          <cell r="BU54">
            <v>0</v>
          </cell>
          <cell r="BV54">
            <v>0</v>
          </cell>
          <cell r="BW54">
            <v>0</v>
          </cell>
          <cell r="BX54">
            <v>0</v>
          </cell>
          <cell r="BY54">
            <v>0</v>
          </cell>
          <cell r="BZ54">
            <v>0</v>
          </cell>
          <cell r="CA54">
            <v>0</v>
          </cell>
          <cell r="CB54">
            <v>0</v>
          </cell>
          <cell r="CC54">
            <v>0</v>
          </cell>
          <cell r="CD54">
            <v>0</v>
          </cell>
          <cell r="CE54">
            <v>0</v>
          </cell>
          <cell r="CF54">
            <v>0</v>
          </cell>
          <cell r="CG54">
            <v>0</v>
          </cell>
          <cell r="CH54">
            <v>0</v>
          </cell>
          <cell r="CI54">
            <v>0</v>
          </cell>
          <cell r="CJ54">
            <v>0</v>
          </cell>
          <cell r="CK54">
            <v>0</v>
          </cell>
          <cell r="CL54">
            <v>0</v>
          </cell>
          <cell r="CM54">
            <v>0</v>
          </cell>
          <cell r="CN54">
            <v>0</v>
          </cell>
          <cell r="CO54">
            <v>0</v>
          </cell>
          <cell r="CP54">
            <v>0</v>
          </cell>
          <cell r="CQ54">
            <v>0</v>
          </cell>
          <cell r="CR54">
            <v>0</v>
          </cell>
          <cell r="CS54">
            <v>0</v>
          </cell>
          <cell r="CT54">
            <v>0</v>
          </cell>
          <cell r="CU54">
            <v>0</v>
          </cell>
          <cell r="CV54">
            <v>0</v>
          </cell>
          <cell r="CW54">
            <v>0</v>
          </cell>
          <cell r="CX54">
            <v>0</v>
          </cell>
          <cell r="CY54">
            <v>0</v>
          </cell>
          <cell r="CZ54">
            <v>0</v>
          </cell>
          <cell r="DA54">
            <v>0</v>
          </cell>
          <cell r="DB54">
            <v>0</v>
          </cell>
          <cell r="DC54">
            <v>0</v>
          </cell>
          <cell r="DD54">
            <v>0</v>
          </cell>
          <cell r="DE54">
            <v>0</v>
          </cell>
          <cell r="DF54">
            <v>0</v>
          </cell>
          <cell r="DG54">
            <v>0</v>
          </cell>
          <cell r="DH54">
            <v>0</v>
          </cell>
          <cell r="DI54">
            <v>0</v>
          </cell>
          <cell r="DJ54">
            <v>0</v>
          </cell>
          <cell r="DK54">
            <v>0</v>
          </cell>
          <cell r="DL54">
            <v>0</v>
          </cell>
          <cell r="DM54">
            <v>0</v>
          </cell>
          <cell r="DN54">
            <v>0</v>
          </cell>
          <cell r="DO54">
            <v>0</v>
          </cell>
          <cell r="DP54">
            <v>0</v>
          </cell>
          <cell r="DQ54">
            <v>0</v>
          </cell>
          <cell r="DR54">
            <v>0</v>
          </cell>
          <cell r="DS54">
            <v>0</v>
          </cell>
          <cell r="DT54">
            <v>0</v>
          </cell>
          <cell r="DU54">
            <v>0</v>
          </cell>
          <cell r="DV54">
            <v>0</v>
          </cell>
          <cell r="DW54">
            <v>0</v>
          </cell>
          <cell r="DX54">
            <v>0</v>
          </cell>
          <cell r="DY54">
            <v>0</v>
          </cell>
          <cell r="EA54">
            <v>0</v>
          </cell>
          <cell r="EB54">
            <v>0</v>
          </cell>
          <cell r="EC54">
            <v>0</v>
          </cell>
          <cell r="ED54">
            <v>0.05</v>
          </cell>
          <cell r="EE54">
            <v>0.09</v>
          </cell>
          <cell r="EF54">
            <v>0.08</v>
          </cell>
          <cell r="EG54">
            <v>0.17</v>
          </cell>
          <cell r="EH54">
            <v>1</v>
          </cell>
          <cell r="EI54">
            <v>1</v>
          </cell>
          <cell r="EJ54">
            <v>1</v>
          </cell>
          <cell r="EK54">
            <v>1</v>
          </cell>
          <cell r="EL54">
            <v>0.05</v>
          </cell>
          <cell r="EM54">
            <v>0.14000000000000001</v>
          </cell>
          <cell r="EN54">
            <v>0.11</v>
          </cell>
          <cell r="EO54">
            <v>0.2</v>
          </cell>
          <cell r="EP54">
            <v>0</v>
          </cell>
          <cell r="EQ54">
            <v>0</v>
          </cell>
          <cell r="ER54">
            <v>0</v>
          </cell>
          <cell r="ES54">
            <v>0</v>
          </cell>
          <cell r="ET54">
            <v>0</v>
          </cell>
          <cell r="EU54">
            <v>0</v>
          </cell>
          <cell r="EV54">
            <v>0</v>
          </cell>
          <cell r="EW54">
            <v>0</v>
          </cell>
          <cell r="EX54">
            <v>1</v>
          </cell>
          <cell r="EY54">
            <v>1</v>
          </cell>
          <cell r="EZ54">
            <v>1</v>
          </cell>
          <cell r="FA54">
            <v>0</v>
          </cell>
          <cell r="FB54">
            <v>0</v>
          </cell>
          <cell r="FC54">
            <v>0</v>
          </cell>
          <cell r="FD54">
            <v>0</v>
          </cell>
          <cell r="FE54">
            <v>0</v>
          </cell>
          <cell r="FF54">
            <v>0</v>
          </cell>
          <cell r="FG54">
            <v>0</v>
          </cell>
          <cell r="FH54">
            <v>0</v>
          </cell>
          <cell r="FI54">
            <v>0</v>
          </cell>
          <cell r="FJ54">
            <v>0</v>
          </cell>
          <cell r="FK54">
            <v>0</v>
          </cell>
          <cell r="FL54">
            <v>0</v>
          </cell>
          <cell r="FM54">
            <v>0</v>
          </cell>
          <cell r="FN54">
            <v>0</v>
          </cell>
          <cell r="FO54">
            <v>0</v>
          </cell>
          <cell r="FP54">
            <v>0</v>
          </cell>
          <cell r="FQ54">
            <v>0</v>
          </cell>
          <cell r="FR54">
            <v>0</v>
          </cell>
          <cell r="FS54">
            <v>0</v>
          </cell>
          <cell r="FT54">
            <v>0</v>
          </cell>
          <cell r="FU54">
            <v>0</v>
          </cell>
          <cell r="FV54">
            <v>0</v>
          </cell>
          <cell r="FW54">
            <v>0</v>
          </cell>
          <cell r="FX54">
            <v>0</v>
          </cell>
          <cell r="FY54">
            <v>0</v>
          </cell>
          <cell r="FZ54">
            <v>0</v>
          </cell>
        </row>
        <row r="55">
          <cell r="A55" t="str">
            <v>F_CNP_RFF_RET_IND_FRCE_EVU</v>
          </cell>
          <cell r="B55">
            <v>0.1</v>
          </cell>
          <cell r="C55">
            <v>0.08</v>
          </cell>
          <cell r="D55">
            <v>0.15</v>
          </cell>
          <cell r="E55">
            <v>0.08</v>
          </cell>
          <cell r="F55">
            <v>0.15</v>
          </cell>
          <cell r="G55">
            <v>0.22</v>
          </cell>
          <cell r="H55">
            <v>7.0000000000000007E-2</v>
          </cell>
          <cell r="I55">
            <v>0.05</v>
          </cell>
          <cell r="J55">
            <v>0.13</v>
          </cell>
          <cell r="K55">
            <v>0.18</v>
          </cell>
          <cell r="L55">
            <v>0.17</v>
          </cell>
          <cell r="M55">
            <v>0.16</v>
          </cell>
          <cell r="N55">
            <v>0.8</v>
          </cell>
          <cell r="O55">
            <v>1</v>
          </cell>
          <cell r="P55">
            <v>1</v>
          </cell>
          <cell r="Q55">
            <v>0.8</v>
          </cell>
          <cell r="R55">
            <v>0.8</v>
          </cell>
          <cell r="S55">
            <v>1</v>
          </cell>
          <cell r="T55">
            <v>1</v>
          </cell>
          <cell r="U55">
            <v>1</v>
          </cell>
          <cell r="V55">
            <v>1</v>
          </cell>
          <cell r="W55">
            <v>1</v>
          </cell>
          <cell r="X55">
            <v>1</v>
          </cell>
          <cell r="Y55">
            <v>1</v>
          </cell>
          <cell r="Z55">
            <v>0.1</v>
          </cell>
          <cell r="AA55">
            <v>0.1</v>
          </cell>
          <cell r="AB55">
            <v>0.14000000000000001</v>
          </cell>
          <cell r="AC55">
            <v>0.11</v>
          </cell>
          <cell r="AD55">
            <v>0.11</v>
          </cell>
          <cell r="AE55">
            <v>0.19</v>
          </cell>
          <cell r="AF55">
            <v>0.09</v>
          </cell>
          <cell r="AG55">
            <v>0.11</v>
          </cell>
          <cell r="AH55">
            <v>0.15</v>
          </cell>
          <cell r="AI55">
            <v>0.2</v>
          </cell>
          <cell r="AJ55">
            <v>0.2</v>
          </cell>
          <cell r="AK55">
            <v>0.2</v>
          </cell>
          <cell r="AL55">
            <v>0</v>
          </cell>
          <cell r="AM55">
            <v>0</v>
          </cell>
          <cell r="AN55">
            <v>0</v>
          </cell>
          <cell r="AO55">
            <v>0</v>
          </cell>
          <cell r="AP55">
            <v>0</v>
          </cell>
          <cell r="AQ55">
            <v>0</v>
          </cell>
          <cell r="AR55">
            <v>0</v>
          </cell>
          <cell r="AS55">
            <v>0</v>
          </cell>
          <cell r="AT55">
            <v>0</v>
          </cell>
          <cell r="AU55">
            <v>0</v>
          </cell>
          <cell r="AV55">
            <v>0</v>
          </cell>
          <cell r="AW55">
            <v>0</v>
          </cell>
          <cell r="AX55">
            <v>0</v>
          </cell>
          <cell r="AY55">
            <v>0</v>
          </cell>
          <cell r="AZ55">
            <v>0</v>
          </cell>
          <cell r="BA55">
            <v>0</v>
          </cell>
          <cell r="BB55">
            <v>0</v>
          </cell>
          <cell r="BC55">
            <v>0</v>
          </cell>
          <cell r="BD55">
            <v>0</v>
          </cell>
          <cell r="BE55">
            <v>0</v>
          </cell>
          <cell r="BF55">
            <v>0</v>
          </cell>
          <cell r="BG55">
            <v>0</v>
          </cell>
          <cell r="BH55">
            <v>0</v>
          </cell>
          <cell r="BI55">
            <v>0</v>
          </cell>
          <cell r="BJ55">
            <v>0</v>
          </cell>
          <cell r="BK55">
            <v>0</v>
          </cell>
          <cell r="BL55">
            <v>0</v>
          </cell>
          <cell r="BM55">
            <v>0</v>
          </cell>
          <cell r="BN55">
            <v>0</v>
          </cell>
          <cell r="BO55">
            <v>0</v>
          </cell>
          <cell r="BP55">
            <v>0</v>
          </cell>
          <cell r="BQ55">
            <v>0</v>
          </cell>
          <cell r="BR55">
            <v>0</v>
          </cell>
          <cell r="BS55">
            <v>0</v>
          </cell>
          <cell r="BT55">
            <v>0</v>
          </cell>
          <cell r="BU55">
            <v>0</v>
          </cell>
          <cell r="BV55">
            <v>0</v>
          </cell>
          <cell r="BW55">
            <v>0</v>
          </cell>
          <cell r="BX55">
            <v>0</v>
          </cell>
          <cell r="BY55">
            <v>0</v>
          </cell>
          <cell r="BZ55">
            <v>0</v>
          </cell>
          <cell r="CA55">
            <v>0</v>
          </cell>
          <cell r="CB55">
            <v>0</v>
          </cell>
          <cell r="CC55">
            <v>0</v>
          </cell>
          <cell r="CD55">
            <v>0</v>
          </cell>
          <cell r="CE55">
            <v>0</v>
          </cell>
          <cell r="CF55">
            <v>0</v>
          </cell>
          <cell r="CG55">
            <v>0</v>
          </cell>
          <cell r="CH55">
            <v>0</v>
          </cell>
          <cell r="CI55">
            <v>0</v>
          </cell>
          <cell r="CJ55">
            <v>0</v>
          </cell>
          <cell r="CK55">
            <v>0</v>
          </cell>
          <cell r="CL55">
            <v>0</v>
          </cell>
          <cell r="CM55">
            <v>0</v>
          </cell>
          <cell r="CN55">
            <v>0</v>
          </cell>
          <cell r="CO55">
            <v>0</v>
          </cell>
          <cell r="CP55">
            <v>0</v>
          </cell>
          <cell r="CQ55">
            <v>0</v>
          </cell>
          <cell r="CR55">
            <v>0</v>
          </cell>
          <cell r="CS55">
            <v>0</v>
          </cell>
          <cell r="CT55">
            <v>0</v>
          </cell>
          <cell r="CU55">
            <v>0</v>
          </cell>
          <cell r="CV55">
            <v>0</v>
          </cell>
          <cell r="CW55">
            <v>0</v>
          </cell>
          <cell r="CX55">
            <v>0</v>
          </cell>
          <cell r="CY55">
            <v>0</v>
          </cell>
          <cell r="CZ55">
            <v>0</v>
          </cell>
          <cell r="DA55">
            <v>0</v>
          </cell>
          <cell r="DB55">
            <v>0</v>
          </cell>
          <cell r="DC55">
            <v>0</v>
          </cell>
          <cell r="DD55">
            <v>0</v>
          </cell>
          <cell r="DE55">
            <v>0</v>
          </cell>
          <cell r="DF55">
            <v>0</v>
          </cell>
          <cell r="DG55">
            <v>0</v>
          </cell>
          <cell r="DH55">
            <v>0</v>
          </cell>
          <cell r="DI55">
            <v>0</v>
          </cell>
          <cell r="DJ55">
            <v>0</v>
          </cell>
          <cell r="DK55">
            <v>0</v>
          </cell>
          <cell r="DL55">
            <v>0</v>
          </cell>
          <cell r="DM55">
            <v>0</v>
          </cell>
          <cell r="DN55">
            <v>0</v>
          </cell>
          <cell r="DO55">
            <v>0</v>
          </cell>
          <cell r="DP55">
            <v>0</v>
          </cell>
          <cell r="DQ55">
            <v>0</v>
          </cell>
          <cell r="DR55">
            <v>0</v>
          </cell>
          <cell r="DS55">
            <v>0</v>
          </cell>
          <cell r="DT55">
            <v>0</v>
          </cell>
          <cell r="DU55">
            <v>0</v>
          </cell>
          <cell r="DV55">
            <v>0</v>
          </cell>
          <cell r="DW55">
            <v>0</v>
          </cell>
          <cell r="DX55">
            <v>0</v>
          </cell>
          <cell r="DY55">
            <v>0</v>
          </cell>
          <cell r="EA55">
            <v>0</v>
          </cell>
          <cell r="EB55">
            <v>0</v>
          </cell>
          <cell r="EC55">
            <v>0</v>
          </cell>
          <cell r="ED55">
            <v>0.05</v>
          </cell>
          <cell r="EE55">
            <v>0.09</v>
          </cell>
          <cell r="EF55">
            <v>0.08</v>
          </cell>
          <cell r="EG55">
            <v>0.17</v>
          </cell>
          <cell r="EH55">
            <v>1</v>
          </cell>
          <cell r="EI55">
            <v>1</v>
          </cell>
          <cell r="EJ55">
            <v>1</v>
          </cell>
          <cell r="EK55">
            <v>1</v>
          </cell>
          <cell r="EL55">
            <v>0.05</v>
          </cell>
          <cell r="EM55">
            <v>0.14000000000000001</v>
          </cell>
          <cell r="EN55">
            <v>0.11</v>
          </cell>
          <cell r="EO55">
            <v>0.2</v>
          </cell>
          <cell r="EP55">
            <v>0</v>
          </cell>
          <cell r="EQ55">
            <v>0</v>
          </cell>
          <cell r="ER55">
            <v>0</v>
          </cell>
          <cell r="ES55">
            <v>0</v>
          </cell>
          <cell r="ET55">
            <v>0</v>
          </cell>
          <cell r="EU55">
            <v>0</v>
          </cell>
          <cell r="EV55">
            <v>0</v>
          </cell>
          <cell r="EW55">
            <v>0</v>
          </cell>
          <cell r="EX55">
            <v>1</v>
          </cell>
          <cell r="EY55">
            <v>1</v>
          </cell>
          <cell r="EZ55">
            <v>1</v>
          </cell>
          <cell r="FA55">
            <v>0</v>
          </cell>
          <cell r="FB55">
            <v>0</v>
          </cell>
          <cell r="FC55">
            <v>0</v>
          </cell>
          <cell r="FD55">
            <v>0</v>
          </cell>
          <cell r="FE55">
            <v>0</v>
          </cell>
          <cell r="FF55">
            <v>0</v>
          </cell>
          <cell r="FG55">
            <v>0</v>
          </cell>
          <cell r="FH55">
            <v>0</v>
          </cell>
          <cell r="FI55">
            <v>0</v>
          </cell>
          <cell r="FJ55">
            <v>0</v>
          </cell>
          <cell r="FK55">
            <v>0</v>
          </cell>
          <cell r="FL55">
            <v>0</v>
          </cell>
          <cell r="FM55">
            <v>0</v>
          </cell>
          <cell r="FN55">
            <v>0</v>
          </cell>
          <cell r="FO55">
            <v>0</v>
          </cell>
          <cell r="FP55">
            <v>0</v>
          </cell>
          <cell r="FQ55">
            <v>0</v>
          </cell>
          <cell r="FR55">
            <v>0</v>
          </cell>
          <cell r="FS55">
            <v>0</v>
          </cell>
          <cell r="FT55">
            <v>0</v>
          </cell>
          <cell r="FU55">
            <v>0</v>
          </cell>
          <cell r="FV55">
            <v>0</v>
          </cell>
          <cell r="FW55">
            <v>0</v>
          </cell>
          <cell r="FX55">
            <v>0</v>
          </cell>
          <cell r="FY55">
            <v>0</v>
          </cell>
          <cell r="FZ55">
            <v>0</v>
          </cell>
        </row>
        <row r="56">
          <cell r="A56" t="str">
            <v>F_CNP_RFF_RET_IND_FRCE_750</v>
          </cell>
          <cell r="B56">
            <v>0.1</v>
          </cell>
          <cell r="C56">
            <v>0.08</v>
          </cell>
          <cell r="D56">
            <v>0.15</v>
          </cell>
          <cell r="E56">
            <v>0.08</v>
          </cell>
          <cell r="F56">
            <v>0.15</v>
          </cell>
          <cell r="G56">
            <v>0.22</v>
          </cell>
          <cell r="H56">
            <v>7.0000000000000007E-2</v>
          </cell>
          <cell r="I56">
            <v>0.05</v>
          </cell>
          <cell r="J56">
            <v>0.13</v>
          </cell>
          <cell r="K56">
            <v>0.18</v>
          </cell>
          <cell r="L56">
            <v>0.17</v>
          </cell>
          <cell r="M56">
            <v>0.16</v>
          </cell>
          <cell r="N56">
            <v>0.8</v>
          </cell>
          <cell r="O56">
            <v>1</v>
          </cell>
          <cell r="P56">
            <v>1</v>
          </cell>
          <cell r="Q56">
            <v>0.8</v>
          </cell>
          <cell r="R56">
            <v>0.8</v>
          </cell>
          <cell r="S56">
            <v>1</v>
          </cell>
          <cell r="T56">
            <v>1</v>
          </cell>
          <cell r="U56">
            <v>1</v>
          </cell>
          <cell r="V56">
            <v>1</v>
          </cell>
          <cell r="W56">
            <v>1</v>
          </cell>
          <cell r="X56">
            <v>1</v>
          </cell>
          <cell r="Y56">
            <v>1</v>
          </cell>
          <cell r="Z56">
            <v>0.1</v>
          </cell>
          <cell r="AA56">
            <v>0.1</v>
          </cell>
          <cell r="AB56">
            <v>0.14000000000000001</v>
          </cell>
          <cell r="AC56">
            <v>0.11</v>
          </cell>
          <cell r="AD56">
            <v>0.11</v>
          </cell>
          <cell r="AE56">
            <v>0.19</v>
          </cell>
          <cell r="AF56">
            <v>0.09</v>
          </cell>
          <cell r="AG56">
            <v>0.11</v>
          </cell>
          <cell r="AH56">
            <v>0.15</v>
          </cell>
          <cell r="AI56">
            <v>0.2</v>
          </cell>
          <cell r="AJ56">
            <v>0.2</v>
          </cell>
          <cell r="AK56">
            <v>0.2</v>
          </cell>
          <cell r="AL56">
            <v>0</v>
          </cell>
          <cell r="AM56">
            <v>0</v>
          </cell>
          <cell r="AN56">
            <v>0</v>
          </cell>
          <cell r="AO56">
            <v>0</v>
          </cell>
          <cell r="AP56">
            <v>0</v>
          </cell>
          <cell r="AQ56">
            <v>0</v>
          </cell>
          <cell r="AR56">
            <v>0</v>
          </cell>
          <cell r="AS56">
            <v>0</v>
          </cell>
          <cell r="AT56">
            <v>0</v>
          </cell>
          <cell r="AU56">
            <v>0</v>
          </cell>
          <cell r="AV56">
            <v>0</v>
          </cell>
          <cell r="AW56">
            <v>0</v>
          </cell>
          <cell r="AX56">
            <v>0</v>
          </cell>
          <cell r="AY56">
            <v>0</v>
          </cell>
          <cell r="AZ56">
            <v>0</v>
          </cell>
          <cell r="BA56">
            <v>0</v>
          </cell>
          <cell r="BB56">
            <v>0</v>
          </cell>
          <cell r="BC56">
            <v>0</v>
          </cell>
          <cell r="BD56">
            <v>0</v>
          </cell>
          <cell r="BE56">
            <v>0</v>
          </cell>
          <cell r="BF56">
            <v>0</v>
          </cell>
          <cell r="BG56">
            <v>0</v>
          </cell>
          <cell r="BH56">
            <v>0</v>
          </cell>
          <cell r="BI56">
            <v>0</v>
          </cell>
          <cell r="BJ56">
            <v>0</v>
          </cell>
          <cell r="BK56">
            <v>0</v>
          </cell>
          <cell r="BL56">
            <v>0</v>
          </cell>
          <cell r="BM56">
            <v>0</v>
          </cell>
          <cell r="BN56">
            <v>0</v>
          </cell>
          <cell r="BO56">
            <v>0</v>
          </cell>
          <cell r="BP56">
            <v>0</v>
          </cell>
          <cell r="BQ56">
            <v>0</v>
          </cell>
          <cell r="BR56">
            <v>0</v>
          </cell>
          <cell r="BS56">
            <v>0</v>
          </cell>
          <cell r="BT56">
            <v>0</v>
          </cell>
          <cell r="BU56">
            <v>0</v>
          </cell>
          <cell r="BV56">
            <v>0</v>
          </cell>
          <cell r="BW56">
            <v>0</v>
          </cell>
          <cell r="BX56">
            <v>0</v>
          </cell>
          <cell r="BY56">
            <v>0</v>
          </cell>
          <cell r="BZ56">
            <v>0</v>
          </cell>
          <cell r="CA56">
            <v>0</v>
          </cell>
          <cell r="CB56">
            <v>0</v>
          </cell>
          <cell r="CC56">
            <v>0</v>
          </cell>
          <cell r="CD56">
            <v>0</v>
          </cell>
          <cell r="CE56">
            <v>0</v>
          </cell>
          <cell r="CF56">
            <v>0</v>
          </cell>
          <cell r="CG56">
            <v>0</v>
          </cell>
          <cell r="CH56">
            <v>0</v>
          </cell>
          <cell r="CI56">
            <v>0</v>
          </cell>
          <cell r="CJ56">
            <v>0</v>
          </cell>
          <cell r="CK56">
            <v>0</v>
          </cell>
          <cell r="CL56">
            <v>0</v>
          </cell>
          <cell r="CM56">
            <v>0</v>
          </cell>
          <cell r="CN56">
            <v>0</v>
          </cell>
          <cell r="CO56">
            <v>0</v>
          </cell>
          <cell r="CP56">
            <v>0</v>
          </cell>
          <cell r="CQ56">
            <v>0</v>
          </cell>
          <cell r="CR56">
            <v>0</v>
          </cell>
          <cell r="CS56">
            <v>0</v>
          </cell>
          <cell r="CT56">
            <v>0</v>
          </cell>
          <cell r="CU56">
            <v>0</v>
          </cell>
          <cell r="CV56">
            <v>0</v>
          </cell>
          <cell r="CW56">
            <v>0</v>
          </cell>
          <cell r="CX56">
            <v>0</v>
          </cell>
          <cell r="CY56">
            <v>0</v>
          </cell>
          <cell r="CZ56">
            <v>0</v>
          </cell>
          <cell r="DA56">
            <v>0</v>
          </cell>
          <cell r="DB56">
            <v>0</v>
          </cell>
          <cell r="DC56">
            <v>0</v>
          </cell>
          <cell r="DD56">
            <v>0</v>
          </cell>
          <cell r="DE56">
            <v>0</v>
          </cell>
          <cell r="DF56">
            <v>0</v>
          </cell>
          <cell r="DG56">
            <v>0</v>
          </cell>
          <cell r="DH56">
            <v>0</v>
          </cell>
          <cell r="DI56">
            <v>0</v>
          </cell>
          <cell r="DJ56">
            <v>0</v>
          </cell>
          <cell r="DK56">
            <v>0</v>
          </cell>
          <cell r="DL56">
            <v>0</v>
          </cell>
          <cell r="DM56">
            <v>0</v>
          </cell>
          <cell r="DN56">
            <v>0</v>
          </cell>
          <cell r="DO56">
            <v>0</v>
          </cell>
          <cell r="DP56">
            <v>0</v>
          </cell>
          <cell r="DQ56">
            <v>0</v>
          </cell>
          <cell r="DR56">
            <v>0</v>
          </cell>
          <cell r="DS56">
            <v>0</v>
          </cell>
          <cell r="DT56">
            <v>0</v>
          </cell>
          <cell r="DU56">
            <v>0</v>
          </cell>
          <cell r="DV56">
            <v>0</v>
          </cell>
          <cell r="DW56">
            <v>0</v>
          </cell>
          <cell r="DX56">
            <v>0</v>
          </cell>
          <cell r="DY56">
            <v>0</v>
          </cell>
          <cell r="EA56">
            <v>0</v>
          </cell>
          <cell r="EB56">
            <v>0</v>
          </cell>
          <cell r="EC56">
            <v>0</v>
          </cell>
          <cell r="ED56">
            <v>0.05</v>
          </cell>
          <cell r="EE56">
            <v>0.09</v>
          </cell>
          <cell r="EF56">
            <v>0.08</v>
          </cell>
          <cell r="EG56">
            <v>0.17</v>
          </cell>
          <cell r="EH56">
            <v>1</v>
          </cell>
          <cell r="EI56">
            <v>1</v>
          </cell>
          <cell r="EJ56">
            <v>1</v>
          </cell>
          <cell r="EK56">
            <v>1</v>
          </cell>
          <cell r="EL56">
            <v>0.05</v>
          </cell>
          <cell r="EM56">
            <v>0.14000000000000001</v>
          </cell>
          <cell r="EN56">
            <v>0.11</v>
          </cell>
          <cell r="EO56">
            <v>0.2</v>
          </cell>
          <cell r="EP56">
            <v>0</v>
          </cell>
          <cell r="EQ56">
            <v>0</v>
          </cell>
          <cell r="ER56">
            <v>0</v>
          </cell>
          <cell r="ES56">
            <v>0</v>
          </cell>
          <cell r="ET56">
            <v>0</v>
          </cell>
          <cell r="EU56">
            <v>0</v>
          </cell>
          <cell r="EV56">
            <v>0</v>
          </cell>
          <cell r="EW56">
            <v>0</v>
          </cell>
          <cell r="EX56">
            <v>1</v>
          </cell>
          <cell r="EY56">
            <v>1</v>
          </cell>
          <cell r="EZ56">
            <v>1</v>
          </cell>
          <cell r="FA56">
            <v>0</v>
          </cell>
          <cell r="FB56">
            <v>0</v>
          </cell>
          <cell r="FC56">
            <v>0</v>
          </cell>
          <cell r="FD56">
            <v>0</v>
          </cell>
          <cell r="FE56">
            <v>0</v>
          </cell>
          <cell r="FF56">
            <v>0</v>
          </cell>
          <cell r="FG56">
            <v>0</v>
          </cell>
          <cell r="FH56">
            <v>0</v>
          </cell>
          <cell r="FI56">
            <v>0</v>
          </cell>
          <cell r="FJ56">
            <v>0</v>
          </cell>
          <cell r="FK56">
            <v>0</v>
          </cell>
          <cell r="FL56">
            <v>0</v>
          </cell>
          <cell r="FM56">
            <v>0</v>
          </cell>
          <cell r="FN56">
            <v>0</v>
          </cell>
          <cell r="FO56">
            <v>0</v>
          </cell>
          <cell r="FP56">
            <v>0</v>
          </cell>
          <cell r="FQ56">
            <v>0</v>
          </cell>
          <cell r="FR56">
            <v>0</v>
          </cell>
          <cell r="FS56">
            <v>0</v>
          </cell>
          <cell r="FT56">
            <v>0</v>
          </cell>
          <cell r="FU56">
            <v>0</v>
          </cell>
          <cell r="FV56">
            <v>0</v>
          </cell>
          <cell r="FW56">
            <v>0</v>
          </cell>
          <cell r="FX56">
            <v>0</v>
          </cell>
          <cell r="FY56">
            <v>0</v>
          </cell>
          <cell r="FZ56">
            <v>0</v>
          </cell>
        </row>
        <row r="57">
          <cell r="A57" t="str">
            <v>F_CNP_RFF_RET_IND_FRCE_751</v>
          </cell>
          <cell r="B57">
            <v>0.1</v>
          </cell>
          <cell r="C57">
            <v>0.08</v>
          </cell>
          <cell r="D57">
            <v>0.15</v>
          </cell>
          <cell r="E57">
            <v>0.08</v>
          </cell>
          <cell r="F57">
            <v>0.15</v>
          </cell>
          <cell r="G57">
            <v>0.22</v>
          </cell>
          <cell r="H57">
            <v>7.0000000000000007E-2</v>
          </cell>
          <cell r="I57">
            <v>0.05</v>
          </cell>
          <cell r="J57">
            <v>0.13</v>
          </cell>
          <cell r="K57">
            <v>0.18</v>
          </cell>
          <cell r="L57">
            <v>0.17</v>
          </cell>
          <cell r="M57">
            <v>0.16</v>
          </cell>
          <cell r="N57">
            <v>0.8</v>
          </cell>
          <cell r="O57">
            <v>1</v>
          </cell>
          <cell r="P57">
            <v>1</v>
          </cell>
          <cell r="Q57">
            <v>0.8</v>
          </cell>
          <cell r="R57">
            <v>0.8</v>
          </cell>
          <cell r="S57">
            <v>1</v>
          </cell>
          <cell r="T57">
            <v>1</v>
          </cell>
          <cell r="U57">
            <v>1</v>
          </cell>
          <cell r="V57">
            <v>1</v>
          </cell>
          <cell r="W57">
            <v>1</v>
          </cell>
          <cell r="X57">
            <v>1</v>
          </cell>
          <cell r="Y57">
            <v>1</v>
          </cell>
          <cell r="Z57">
            <v>0.1</v>
          </cell>
          <cell r="AA57">
            <v>0.1</v>
          </cell>
          <cell r="AB57">
            <v>0.14000000000000001</v>
          </cell>
          <cell r="AC57">
            <v>0.11</v>
          </cell>
          <cell r="AD57">
            <v>0.11</v>
          </cell>
          <cell r="AE57">
            <v>0.19</v>
          </cell>
          <cell r="AF57">
            <v>0.09</v>
          </cell>
          <cell r="AG57">
            <v>0.11</v>
          </cell>
          <cell r="AH57">
            <v>0.15</v>
          </cell>
          <cell r="AI57">
            <v>0.2</v>
          </cell>
          <cell r="AJ57">
            <v>0.2</v>
          </cell>
          <cell r="AK57">
            <v>0.2</v>
          </cell>
          <cell r="AL57">
            <v>0</v>
          </cell>
          <cell r="AM57">
            <v>0</v>
          </cell>
          <cell r="AN57">
            <v>0</v>
          </cell>
          <cell r="AO57">
            <v>0</v>
          </cell>
          <cell r="AP57">
            <v>0</v>
          </cell>
          <cell r="AQ57">
            <v>0</v>
          </cell>
          <cell r="AR57">
            <v>0</v>
          </cell>
          <cell r="AS57">
            <v>0</v>
          </cell>
          <cell r="AT57">
            <v>0</v>
          </cell>
          <cell r="AU57">
            <v>0</v>
          </cell>
          <cell r="AV57">
            <v>0</v>
          </cell>
          <cell r="AW57">
            <v>0</v>
          </cell>
          <cell r="AX57">
            <v>0</v>
          </cell>
          <cell r="AY57">
            <v>0</v>
          </cell>
          <cell r="AZ57">
            <v>0</v>
          </cell>
          <cell r="BA57">
            <v>0</v>
          </cell>
          <cell r="BB57">
            <v>0</v>
          </cell>
          <cell r="BC57">
            <v>0</v>
          </cell>
          <cell r="BD57">
            <v>0</v>
          </cell>
          <cell r="BE57">
            <v>0</v>
          </cell>
          <cell r="BF57">
            <v>0</v>
          </cell>
          <cell r="BG57">
            <v>0</v>
          </cell>
          <cell r="BH57">
            <v>0</v>
          </cell>
          <cell r="BI57">
            <v>0</v>
          </cell>
          <cell r="BJ57">
            <v>0</v>
          </cell>
          <cell r="BK57">
            <v>0</v>
          </cell>
          <cell r="BL57">
            <v>0</v>
          </cell>
          <cell r="BM57">
            <v>0</v>
          </cell>
          <cell r="BN57">
            <v>0</v>
          </cell>
          <cell r="BO57">
            <v>0</v>
          </cell>
          <cell r="BP57">
            <v>0</v>
          </cell>
          <cell r="BQ57">
            <v>0</v>
          </cell>
          <cell r="BR57">
            <v>0</v>
          </cell>
          <cell r="BS57">
            <v>0</v>
          </cell>
          <cell r="BT57">
            <v>0</v>
          </cell>
          <cell r="BU57">
            <v>0</v>
          </cell>
          <cell r="BV57">
            <v>0</v>
          </cell>
          <cell r="BW57">
            <v>0</v>
          </cell>
          <cell r="BX57">
            <v>0</v>
          </cell>
          <cell r="BY57">
            <v>0</v>
          </cell>
          <cell r="BZ57">
            <v>0</v>
          </cell>
          <cell r="CA57">
            <v>0</v>
          </cell>
          <cell r="CB57">
            <v>0</v>
          </cell>
          <cell r="CC57">
            <v>0</v>
          </cell>
          <cell r="CD57">
            <v>0</v>
          </cell>
          <cell r="CE57">
            <v>0</v>
          </cell>
          <cell r="CF57">
            <v>0</v>
          </cell>
          <cell r="CG57">
            <v>0</v>
          </cell>
          <cell r="CH57">
            <v>0</v>
          </cell>
          <cell r="CI57">
            <v>0</v>
          </cell>
          <cell r="CJ57">
            <v>0</v>
          </cell>
          <cell r="CK57">
            <v>0</v>
          </cell>
          <cell r="CL57">
            <v>0</v>
          </cell>
          <cell r="CM57">
            <v>0</v>
          </cell>
          <cell r="CN57">
            <v>0</v>
          </cell>
          <cell r="CO57">
            <v>0</v>
          </cell>
          <cell r="CP57">
            <v>0</v>
          </cell>
          <cell r="CQ57">
            <v>0</v>
          </cell>
          <cell r="CR57">
            <v>0</v>
          </cell>
          <cell r="CS57">
            <v>0</v>
          </cell>
          <cell r="CT57">
            <v>0</v>
          </cell>
          <cell r="CU57">
            <v>0</v>
          </cell>
          <cell r="CV57">
            <v>0</v>
          </cell>
          <cell r="CW57">
            <v>0</v>
          </cell>
          <cell r="CX57">
            <v>0</v>
          </cell>
          <cell r="CY57">
            <v>0</v>
          </cell>
          <cell r="CZ57">
            <v>0</v>
          </cell>
          <cell r="DA57">
            <v>0</v>
          </cell>
          <cell r="DB57">
            <v>0</v>
          </cell>
          <cell r="DC57">
            <v>0</v>
          </cell>
          <cell r="DD57">
            <v>0</v>
          </cell>
          <cell r="DE57">
            <v>0</v>
          </cell>
          <cell r="DF57">
            <v>0</v>
          </cell>
          <cell r="DG57">
            <v>0</v>
          </cell>
          <cell r="DH57">
            <v>0</v>
          </cell>
          <cell r="DI57">
            <v>0</v>
          </cell>
          <cell r="DJ57">
            <v>0</v>
          </cell>
          <cell r="DK57">
            <v>0</v>
          </cell>
          <cell r="DL57">
            <v>0</v>
          </cell>
          <cell r="DM57">
            <v>0</v>
          </cell>
          <cell r="DN57">
            <v>0</v>
          </cell>
          <cell r="DO57">
            <v>0</v>
          </cell>
          <cell r="DP57">
            <v>0</v>
          </cell>
          <cell r="DQ57">
            <v>0</v>
          </cell>
          <cell r="DR57">
            <v>0</v>
          </cell>
          <cell r="DS57">
            <v>0</v>
          </cell>
          <cell r="DT57">
            <v>0</v>
          </cell>
          <cell r="DU57">
            <v>0</v>
          </cell>
          <cell r="DV57">
            <v>0</v>
          </cell>
          <cell r="DW57">
            <v>0</v>
          </cell>
          <cell r="DX57">
            <v>0</v>
          </cell>
          <cell r="DY57">
            <v>0</v>
          </cell>
          <cell r="EA57">
            <v>0</v>
          </cell>
          <cell r="EB57">
            <v>0</v>
          </cell>
          <cell r="EC57">
            <v>0</v>
          </cell>
          <cell r="ED57">
            <v>0.05</v>
          </cell>
          <cell r="EE57">
            <v>0.09</v>
          </cell>
          <cell r="EF57">
            <v>0.08</v>
          </cell>
          <cell r="EG57">
            <v>0.17</v>
          </cell>
          <cell r="EH57">
            <v>1</v>
          </cell>
          <cell r="EI57">
            <v>1</v>
          </cell>
          <cell r="EJ57">
            <v>1</v>
          </cell>
          <cell r="EK57">
            <v>1</v>
          </cell>
          <cell r="EL57">
            <v>0.05</v>
          </cell>
          <cell r="EM57">
            <v>0.14000000000000001</v>
          </cell>
          <cell r="EN57">
            <v>0.11</v>
          </cell>
          <cell r="EO57">
            <v>0.2</v>
          </cell>
          <cell r="EP57">
            <v>0</v>
          </cell>
          <cell r="EQ57">
            <v>0</v>
          </cell>
          <cell r="ER57">
            <v>0</v>
          </cell>
          <cell r="ES57">
            <v>0</v>
          </cell>
          <cell r="ET57">
            <v>0</v>
          </cell>
          <cell r="EU57">
            <v>0</v>
          </cell>
          <cell r="EV57">
            <v>0</v>
          </cell>
          <cell r="EW57">
            <v>0</v>
          </cell>
          <cell r="EX57">
            <v>1</v>
          </cell>
          <cell r="EY57">
            <v>1</v>
          </cell>
          <cell r="EZ57">
            <v>1</v>
          </cell>
          <cell r="FA57">
            <v>0</v>
          </cell>
          <cell r="FB57">
            <v>0</v>
          </cell>
          <cell r="FC57">
            <v>0</v>
          </cell>
          <cell r="FD57">
            <v>0</v>
          </cell>
          <cell r="FE57">
            <v>0</v>
          </cell>
          <cell r="FF57">
            <v>0</v>
          </cell>
          <cell r="FG57">
            <v>0</v>
          </cell>
          <cell r="FH57">
            <v>0</v>
          </cell>
          <cell r="FI57">
            <v>0</v>
          </cell>
          <cell r="FJ57">
            <v>0</v>
          </cell>
          <cell r="FK57">
            <v>0</v>
          </cell>
          <cell r="FL57">
            <v>0</v>
          </cell>
          <cell r="FM57">
            <v>0</v>
          </cell>
          <cell r="FN57">
            <v>0</v>
          </cell>
          <cell r="FO57">
            <v>0</v>
          </cell>
          <cell r="FP57">
            <v>0</v>
          </cell>
          <cell r="FQ57">
            <v>0</v>
          </cell>
          <cell r="FR57">
            <v>0</v>
          </cell>
          <cell r="FS57">
            <v>0</v>
          </cell>
          <cell r="FT57">
            <v>0</v>
          </cell>
          <cell r="FU57">
            <v>0</v>
          </cell>
          <cell r="FV57">
            <v>0</v>
          </cell>
          <cell r="FW57">
            <v>0</v>
          </cell>
          <cell r="FX57">
            <v>0</v>
          </cell>
          <cell r="FY57">
            <v>0</v>
          </cell>
          <cell r="FZ57">
            <v>0</v>
          </cell>
        </row>
        <row r="58">
          <cell r="A58" t="str">
            <v>F_CNP_RFF_RET_IND_FRCE_752</v>
          </cell>
          <cell r="B58">
            <v>0.1</v>
          </cell>
          <cell r="C58">
            <v>0.08</v>
          </cell>
          <cell r="D58">
            <v>0.15</v>
          </cell>
          <cell r="E58">
            <v>0.08</v>
          </cell>
          <cell r="F58">
            <v>0.15</v>
          </cell>
          <cell r="G58">
            <v>0.22</v>
          </cell>
          <cell r="H58">
            <v>7.0000000000000007E-2</v>
          </cell>
          <cell r="I58">
            <v>0.05</v>
          </cell>
          <cell r="J58">
            <v>0.13</v>
          </cell>
          <cell r="K58">
            <v>0.18</v>
          </cell>
          <cell r="L58">
            <v>0.17</v>
          </cell>
          <cell r="M58">
            <v>0.16</v>
          </cell>
          <cell r="N58">
            <v>0.8</v>
          </cell>
          <cell r="O58">
            <v>1</v>
          </cell>
          <cell r="P58">
            <v>1</v>
          </cell>
          <cell r="Q58">
            <v>0.8</v>
          </cell>
          <cell r="R58">
            <v>0.8</v>
          </cell>
          <cell r="S58">
            <v>1</v>
          </cell>
          <cell r="T58">
            <v>1</v>
          </cell>
          <cell r="U58">
            <v>1</v>
          </cell>
          <cell r="V58">
            <v>1</v>
          </cell>
          <cell r="W58">
            <v>1</v>
          </cell>
          <cell r="X58">
            <v>1</v>
          </cell>
          <cell r="Y58">
            <v>1</v>
          </cell>
          <cell r="Z58">
            <v>0.1</v>
          </cell>
          <cell r="AA58">
            <v>0.1</v>
          </cell>
          <cell r="AB58">
            <v>0.14000000000000001</v>
          </cell>
          <cell r="AC58">
            <v>0.11</v>
          </cell>
          <cell r="AD58">
            <v>0.11</v>
          </cell>
          <cell r="AE58">
            <v>0.19</v>
          </cell>
          <cell r="AF58">
            <v>0.09</v>
          </cell>
          <cell r="AG58">
            <v>0.11</v>
          </cell>
          <cell r="AH58">
            <v>0.15</v>
          </cell>
          <cell r="AI58">
            <v>0.2</v>
          </cell>
          <cell r="AJ58">
            <v>0.2</v>
          </cell>
          <cell r="AK58">
            <v>0.2</v>
          </cell>
          <cell r="AL58">
            <v>0</v>
          </cell>
          <cell r="AM58">
            <v>0</v>
          </cell>
          <cell r="AN58">
            <v>0</v>
          </cell>
          <cell r="AO58">
            <v>0</v>
          </cell>
          <cell r="AP58">
            <v>0</v>
          </cell>
          <cell r="AQ58">
            <v>0</v>
          </cell>
          <cell r="AR58">
            <v>0</v>
          </cell>
          <cell r="AS58">
            <v>0</v>
          </cell>
          <cell r="AT58">
            <v>0</v>
          </cell>
          <cell r="AU58">
            <v>0</v>
          </cell>
          <cell r="AV58">
            <v>0</v>
          </cell>
          <cell r="AW58">
            <v>0</v>
          </cell>
          <cell r="AX58">
            <v>0</v>
          </cell>
          <cell r="AY58">
            <v>0</v>
          </cell>
          <cell r="AZ58">
            <v>0</v>
          </cell>
          <cell r="BA58">
            <v>0</v>
          </cell>
          <cell r="BB58">
            <v>0</v>
          </cell>
          <cell r="BC58">
            <v>0</v>
          </cell>
          <cell r="BD58">
            <v>0</v>
          </cell>
          <cell r="BE58">
            <v>0</v>
          </cell>
          <cell r="BF58">
            <v>0</v>
          </cell>
          <cell r="BG58">
            <v>0</v>
          </cell>
          <cell r="BH58">
            <v>0</v>
          </cell>
          <cell r="BI58">
            <v>0</v>
          </cell>
          <cell r="BJ58">
            <v>0</v>
          </cell>
          <cell r="BK58">
            <v>0</v>
          </cell>
          <cell r="BL58">
            <v>0</v>
          </cell>
          <cell r="BM58">
            <v>0</v>
          </cell>
          <cell r="BN58">
            <v>0</v>
          </cell>
          <cell r="BO58">
            <v>0</v>
          </cell>
          <cell r="BP58">
            <v>0</v>
          </cell>
          <cell r="BQ58">
            <v>0</v>
          </cell>
          <cell r="BR58">
            <v>0</v>
          </cell>
          <cell r="BS58">
            <v>0</v>
          </cell>
          <cell r="BT58">
            <v>0</v>
          </cell>
          <cell r="BU58">
            <v>0</v>
          </cell>
          <cell r="BV58">
            <v>0</v>
          </cell>
          <cell r="BW58">
            <v>0</v>
          </cell>
          <cell r="BX58">
            <v>0</v>
          </cell>
          <cell r="BY58">
            <v>0</v>
          </cell>
          <cell r="BZ58">
            <v>0</v>
          </cell>
          <cell r="CA58">
            <v>0</v>
          </cell>
          <cell r="CB58">
            <v>0</v>
          </cell>
          <cell r="CC58">
            <v>0</v>
          </cell>
          <cell r="CD58">
            <v>0</v>
          </cell>
          <cell r="CE58">
            <v>0</v>
          </cell>
          <cell r="CF58">
            <v>0</v>
          </cell>
          <cell r="CG58">
            <v>0</v>
          </cell>
          <cell r="CH58">
            <v>0</v>
          </cell>
          <cell r="CI58">
            <v>0</v>
          </cell>
          <cell r="CJ58">
            <v>0</v>
          </cell>
          <cell r="CK58">
            <v>0</v>
          </cell>
          <cell r="CL58">
            <v>0</v>
          </cell>
          <cell r="CM58">
            <v>0</v>
          </cell>
          <cell r="CN58">
            <v>0</v>
          </cell>
          <cell r="CO58">
            <v>0</v>
          </cell>
          <cell r="CP58">
            <v>0</v>
          </cell>
          <cell r="CQ58">
            <v>0</v>
          </cell>
          <cell r="CR58">
            <v>0</v>
          </cell>
          <cell r="CS58">
            <v>0</v>
          </cell>
          <cell r="CT58">
            <v>0</v>
          </cell>
          <cell r="CU58">
            <v>0</v>
          </cell>
          <cell r="CV58">
            <v>0</v>
          </cell>
          <cell r="CW58">
            <v>0</v>
          </cell>
          <cell r="CX58">
            <v>0</v>
          </cell>
          <cell r="CY58">
            <v>0</v>
          </cell>
          <cell r="CZ58">
            <v>0</v>
          </cell>
          <cell r="DA58">
            <v>0</v>
          </cell>
          <cell r="DB58">
            <v>0</v>
          </cell>
          <cell r="DC58">
            <v>0</v>
          </cell>
          <cell r="DD58">
            <v>0</v>
          </cell>
          <cell r="DE58">
            <v>0</v>
          </cell>
          <cell r="DF58">
            <v>0</v>
          </cell>
          <cell r="DG58">
            <v>0</v>
          </cell>
          <cell r="DH58">
            <v>0</v>
          </cell>
          <cell r="DI58">
            <v>0</v>
          </cell>
          <cell r="DJ58">
            <v>0</v>
          </cell>
          <cell r="DK58">
            <v>0</v>
          </cell>
          <cell r="DL58">
            <v>0</v>
          </cell>
          <cell r="DM58">
            <v>0</v>
          </cell>
          <cell r="DN58">
            <v>0</v>
          </cell>
          <cell r="DO58">
            <v>0</v>
          </cell>
          <cell r="DP58">
            <v>0</v>
          </cell>
          <cell r="DQ58">
            <v>0</v>
          </cell>
          <cell r="DR58">
            <v>0</v>
          </cell>
          <cell r="DS58">
            <v>0</v>
          </cell>
          <cell r="DT58">
            <v>0</v>
          </cell>
          <cell r="DU58">
            <v>0</v>
          </cell>
          <cell r="DV58">
            <v>0</v>
          </cell>
          <cell r="DW58">
            <v>0</v>
          </cell>
          <cell r="DX58">
            <v>0</v>
          </cell>
          <cell r="DY58">
            <v>0</v>
          </cell>
          <cell r="EA58">
            <v>0</v>
          </cell>
          <cell r="EB58">
            <v>0</v>
          </cell>
          <cell r="EC58">
            <v>0</v>
          </cell>
          <cell r="ED58">
            <v>0.05</v>
          </cell>
          <cell r="EE58">
            <v>0.09</v>
          </cell>
          <cell r="EF58">
            <v>0.08</v>
          </cell>
          <cell r="EG58">
            <v>0.17</v>
          </cell>
          <cell r="EH58">
            <v>1</v>
          </cell>
          <cell r="EI58">
            <v>1</v>
          </cell>
          <cell r="EJ58">
            <v>1</v>
          </cell>
          <cell r="EK58">
            <v>1</v>
          </cell>
          <cell r="EL58">
            <v>0.05</v>
          </cell>
          <cell r="EM58">
            <v>0.14000000000000001</v>
          </cell>
          <cell r="EN58">
            <v>0.11</v>
          </cell>
          <cell r="EO58">
            <v>0.2</v>
          </cell>
          <cell r="EP58">
            <v>0</v>
          </cell>
          <cell r="EQ58">
            <v>0</v>
          </cell>
          <cell r="ER58">
            <v>0</v>
          </cell>
          <cell r="ES58">
            <v>0</v>
          </cell>
          <cell r="ET58">
            <v>0</v>
          </cell>
          <cell r="EU58">
            <v>0</v>
          </cell>
          <cell r="EV58">
            <v>0</v>
          </cell>
          <cell r="EW58">
            <v>0</v>
          </cell>
          <cell r="EX58">
            <v>1</v>
          </cell>
          <cell r="EY58">
            <v>1</v>
          </cell>
          <cell r="EZ58">
            <v>1</v>
          </cell>
          <cell r="FA58">
            <v>0</v>
          </cell>
          <cell r="FB58">
            <v>0</v>
          </cell>
          <cell r="FC58">
            <v>0</v>
          </cell>
          <cell r="FD58">
            <v>0</v>
          </cell>
          <cell r="FE58">
            <v>0</v>
          </cell>
          <cell r="FF58">
            <v>0</v>
          </cell>
          <cell r="FG58">
            <v>0</v>
          </cell>
          <cell r="FH58">
            <v>0</v>
          </cell>
          <cell r="FI58">
            <v>0</v>
          </cell>
          <cell r="FJ58">
            <v>0</v>
          </cell>
          <cell r="FK58">
            <v>0</v>
          </cell>
          <cell r="FL58">
            <v>0</v>
          </cell>
          <cell r="FM58">
            <v>0</v>
          </cell>
          <cell r="FN58">
            <v>0</v>
          </cell>
          <cell r="FO58">
            <v>0</v>
          </cell>
          <cell r="FP58">
            <v>0</v>
          </cell>
          <cell r="FQ58">
            <v>0</v>
          </cell>
          <cell r="FR58">
            <v>0</v>
          </cell>
          <cell r="FS58">
            <v>0</v>
          </cell>
          <cell r="FT58">
            <v>0</v>
          </cell>
          <cell r="FU58">
            <v>0</v>
          </cell>
          <cell r="FV58">
            <v>0</v>
          </cell>
          <cell r="FW58">
            <v>0</v>
          </cell>
          <cell r="FX58">
            <v>0</v>
          </cell>
          <cell r="FY58">
            <v>0</v>
          </cell>
          <cell r="FZ58">
            <v>0</v>
          </cell>
        </row>
        <row r="59">
          <cell r="A59" t="str">
            <v>F_CNP_NRF_RET_COL_FRCE_102</v>
          </cell>
          <cell r="B59">
            <v>0.1</v>
          </cell>
          <cell r="C59">
            <v>0.08</v>
          </cell>
          <cell r="D59">
            <v>0.15</v>
          </cell>
          <cell r="E59">
            <v>0.08</v>
          </cell>
          <cell r="F59">
            <v>0.15</v>
          </cell>
          <cell r="G59">
            <v>0.22</v>
          </cell>
          <cell r="H59">
            <v>7.0000000000000007E-2</v>
          </cell>
          <cell r="I59">
            <v>0.05</v>
          </cell>
          <cell r="J59">
            <v>0.13</v>
          </cell>
          <cell r="K59">
            <v>0.18</v>
          </cell>
          <cell r="L59">
            <v>0.17</v>
          </cell>
          <cell r="M59">
            <v>0.16</v>
          </cell>
          <cell r="N59">
            <v>0.8</v>
          </cell>
          <cell r="O59">
            <v>1</v>
          </cell>
          <cell r="P59">
            <v>1</v>
          </cell>
          <cell r="Q59">
            <v>0.8</v>
          </cell>
          <cell r="R59">
            <v>0.8</v>
          </cell>
          <cell r="S59">
            <v>1</v>
          </cell>
          <cell r="T59">
            <v>1</v>
          </cell>
          <cell r="U59">
            <v>1</v>
          </cell>
          <cell r="V59">
            <v>1</v>
          </cell>
          <cell r="W59">
            <v>1</v>
          </cell>
          <cell r="X59">
            <v>1</v>
          </cell>
          <cell r="Y59">
            <v>1</v>
          </cell>
          <cell r="Z59">
            <v>0.1</v>
          </cell>
          <cell r="AA59">
            <v>0.1</v>
          </cell>
          <cell r="AB59">
            <v>0.14000000000000001</v>
          </cell>
          <cell r="AC59">
            <v>0.11</v>
          </cell>
          <cell r="AD59">
            <v>0.11</v>
          </cell>
          <cell r="AE59">
            <v>0.19</v>
          </cell>
          <cell r="AF59">
            <v>0.09</v>
          </cell>
          <cell r="AG59">
            <v>0.11</v>
          </cell>
          <cell r="AH59">
            <v>0.15</v>
          </cell>
          <cell r="AI59">
            <v>0.2</v>
          </cell>
          <cell r="AJ59">
            <v>0.2</v>
          </cell>
          <cell r="AK59">
            <v>0.2</v>
          </cell>
          <cell r="AL59">
            <v>0</v>
          </cell>
          <cell r="AM59">
            <v>0</v>
          </cell>
          <cell r="AN59">
            <v>0</v>
          </cell>
          <cell r="AO59">
            <v>0</v>
          </cell>
          <cell r="AP59">
            <v>0</v>
          </cell>
          <cell r="AQ59">
            <v>0</v>
          </cell>
          <cell r="AR59">
            <v>0</v>
          </cell>
          <cell r="AS59">
            <v>0</v>
          </cell>
          <cell r="AT59">
            <v>0</v>
          </cell>
          <cell r="AU59">
            <v>0</v>
          </cell>
          <cell r="AV59">
            <v>0</v>
          </cell>
          <cell r="AW59">
            <v>0</v>
          </cell>
          <cell r="AX59">
            <v>0</v>
          </cell>
          <cell r="AY59">
            <v>0</v>
          </cell>
          <cell r="AZ59">
            <v>0</v>
          </cell>
          <cell r="BA59">
            <v>0</v>
          </cell>
          <cell r="BB59">
            <v>0</v>
          </cell>
          <cell r="BC59">
            <v>0</v>
          </cell>
          <cell r="BD59">
            <v>0</v>
          </cell>
          <cell r="BE59">
            <v>0</v>
          </cell>
          <cell r="BF59">
            <v>0</v>
          </cell>
          <cell r="BG59">
            <v>0</v>
          </cell>
          <cell r="BH59">
            <v>0</v>
          </cell>
          <cell r="BI59">
            <v>0</v>
          </cell>
          <cell r="BJ59">
            <v>0</v>
          </cell>
          <cell r="BK59">
            <v>0</v>
          </cell>
          <cell r="BL59">
            <v>0</v>
          </cell>
          <cell r="BM59">
            <v>0</v>
          </cell>
          <cell r="BN59">
            <v>0</v>
          </cell>
          <cell r="BO59">
            <v>0</v>
          </cell>
          <cell r="BP59">
            <v>0</v>
          </cell>
          <cell r="BQ59">
            <v>0</v>
          </cell>
          <cell r="BR59">
            <v>0</v>
          </cell>
          <cell r="BS59">
            <v>0</v>
          </cell>
          <cell r="BT59">
            <v>0</v>
          </cell>
          <cell r="BU59">
            <v>0</v>
          </cell>
          <cell r="BV59">
            <v>0</v>
          </cell>
          <cell r="BW59">
            <v>0</v>
          </cell>
          <cell r="BX59">
            <v>0</v>
          </cell>
          <cell r="BY59">
            <v>0</v>
          </cell>
          <cell r="BZ59">
            <v>0</v>
          </cell>
          <cell r="CA59">
            <v>0</v>
          </cell>
          <cell r="CB59">
            <v>0</v>
          </cell>
          <cell r="CC59">
            <v>0</v>
          </cell>
          <cell r="CD59">
            <v>0</v>
          </cell>
          <cell r="CE59">
            <v>0</v>
          </cell>
          <cell r="CF59">
            <v>0</v>
          </cell>
          <cell r="CG59">
            <v>0</v>
          </cell>
          <cell r="CH59">
            <v>0</v>
          </cell>
          <cell r="CI59">
            <v>0</v>
          </cell>
          <cell r="CJ59">
            <v>0</v>
          </cell>
          <cell r="CK59">
            <v>0</v>
          </cell>
          <cell r="CL59">
            <v>0</v>
          </cell>
          <cell r="CM59">
            <v>0</v>
          </cell>
          <cell r="CN59">
            <v>0</v>
          </cell>
          <cell r="CO59">
            <v>0</v>
          </cell>
          <cell r="CP59">
            <v>0</v>
          </cell>
          <cell r="CQ59">
            <v>0</v>
          </cell>
          <cell r="CR59">
            <v>0</v>
          </cell>
          <cell r="CS59">
            <v>0</v>
          </cell>
          <cell r="CT59">
            <v>0</v>
          </cell>
          <cell r="CU59">
            <v>0</v>
          </cell>
          <cell r="CV59">
            <v>0</v>
          </cell>
          <cell r="CW59">
            <v>0</v>
          </cell>
          <cell r="CX59">
            <v>0</v>
          </cell>
          <cell r="CY59">
            <v>0</v>
          </cell>
          <cell r="CZ59">
            <v>0</v>
          </cell>
          <cell r="DA59">
            <v>0</v>
          </cell>
          <cell r="DB59">
            <v>0</v>
          </cell>
          <cell r="DC59">
            <v>0</v>
          </cell>
          <cell r="DD59">
            <v>0</v>
          </cell>
          <cell r="DE59">
            <v>0</v>
          </cell>
          <cell r="DF59">
            <v>0</v>
          </cell>
          <cell r="DG59">
            <v>0</v>
          </cell>
          <cell r="DH59">
            <v>0</v>
          </cell>
          <cell r="DI59">
            <v>0</v>
          </cell>
          <cell r="DJ59">
            <v>0</v>
          </cell>
          <cell r="DK59">
            <v>0</v>
          </cell>
          <cell r="DL59">
            <v>0</v>
          </cell>
          <cell r="DM59">
            <v>0</v>
          </cell>
          <cell r="DN59">
            <v>0</v>
          </cell>
          <cell r="DO59">
            <v>0</v>
          </cell>
          <cell r="DP59">
            <v>0</v>
          </cell>
          <cell r="DQ59">
            <v>0</v>
          </cell>
          <cell r="DR59">
            <v>0</v>
          </cell>
          <cell r="DS59">
            <v>0</v>
          </cell>
          <cell r="DT59">
            <v>0</v>
          </cell>
          <cell r="DU59">
            <v>0</v>
          </cell>
          <cell r="DV59">
            <v>0</v>
          </cell>
          <cell r="DW59">
            <v>0</v>
          </cell>
          <cell r="DX59">
            <v>0</v>
          </cell>
          <cell r="DY59">
            <v>0</v>
          </cell>
          <cell r="EA59">
            <v>0</v>
          </cell>
          <cell r="EB59">
            <v>0</v>
          </cell>
          <cell r="EC59">
            <v>0</v>
          </cell>
          <cell r="ED59">
            <v>0.05</v>
          </cell>
          <cell r="EE59">
            <v>0.09</v>
          </cell>
          <cell r="EF59">
            <v>0.08</v>
          </cell>
          <cell r="EG59">
            <v>0.17</v>
          </cell>
          <cell r="EH59">
            <v>1</v>
          </cell>
          <cell r="EI59">
            <v>1</v>
          </cell>
          <cell r="EJ59">
            <v>1</v>
          </cell>
          <cell r="EK59">
            <v>1</v>
          </cell>
          <cell r="EL59">
            <v>0.05</v>
          </cell>
          <cell r="EM59">
            <v>0.14000000000000001</v>
          </cell>
          <cell r="EN59">
            <v>0.11</v>
          </cell>
          <cell r="EO59">
            <v>0.2</v>
          </cell>
          <cell r="EP59">
            <v>0</v>
          </cell>
          <cell r="EQ59">
            <v>0</v>
          </cell>
          <cell r="ER59">
            <v>0</v>
          </cell>
          <cell r="ES59">
            <v>0</v>
          </cell>
          <cell r="ET59">
            <v>0</v>
          </cell>
          <cell r="EU59">
            <v>0</v>
          </cell>
          <cell r="EV59">
            <v>0</v>
          </cell>
          <cell r="EW59">
            <v>0</v>
          </cell>
          <cell r="EX59">
            <v>1</v>
          </cell>
          <cell r="EY59">
            <v>1</v>
          </cell>
          <cell r="EZ59">
            <v>1</v>
          </cell>
          <cell r="FA59">
            <v>0</v>
          </cell>
          <cell r="FB59">
            <v>0</v>
          </cell>
          <cell r="FC59">
            <v>0</v>
          </cell>
          <cell r="FD59">
            <v>0</v>
          </cell>
          <cell r="FE59">
            <v>0</v>
          </cell>
          <cell r="FF59">
            <v>0</v>
          </cell>
          <cell r="FG59">
            <v>0</v>
          </cell>
          <cell r="FH59">
            <v>0</v>
          </cell>
          <cell r="FI59">
            <v>0</v>
          </cell>
          <cell r="FJ59">
            <v>0</v>
          </cell>
          <cell r="FK59">
            <v>0</v>
          </cell>
          <cell r="FL59">
            <v>0</v>
          </cell>
          <cell r="FM59">
            <v>0</v>
          </cell>
          <cell r="FN59">
            <v>0</v>
          </cell>
          <cell r="FO59">
            <v>0</v>
          </cell>
          <cell r="FP59">
            <v>0</v>
          </cell>
          <cell r="FQ59">
            <v>0</v>
          </cell>
          <cell r="FR59">
            <v>0</v>
          </cell>
          <cell r="FS59">
            <v>0</v>
          </cell>
          <cell r="FT59">
            <v>0</v>
          </cell>
          <cell r="FU59">
            <v>0</v>
          </cell>
          <cell r="FV59">
            <v>0</v>
          </cell>
          <cell r="FW59">
            <v>0</v>
          </cell>
          <cell r="FX59">
            <v>0</v>
          </cell>
          <cell r="FY59">
            <v>0</v>
          </cell>
          <cell r="FZ59">
            <v>0</v>
          </cell>
        </row>
        <row r="60">
          <cell r="A60" t="str">
            <v>F_CNP_NRF_RET_COL_FRCE_125</v>
          </cell>
          <cell r="B60">
            <v>0.1</v>
          </cell>
          <cell r="C60">
            <v>0.08</v>
          </cell>
          <cell r="D60">
            <v>0.15</v>
          </cell>
          <cell r="E60">
            <v>0.08</v>
          </cell>
          <cell r="F60">
            <v>0.15</v>
          </cell>
          <cell r="G60">
            <v>0.22</v>
          </cell>
          <cell r="H60">
            <v>7.0000000000000007E-2</v>
          </cell>
          <cell r="I60">
            <v>0.05</v>
          </cell>
          <cell r="J60">
            <v>0.13</v>
          </cell>
          <cell r="K60">
            <v>0.18</v>
          </cell>
          <cell r="L60">
            <v>0.17</v>
          </cell>
          <cell r="M60">
            <v>0.16</v>
          </cell>
          <cell r="N60">
            <v>0.8</v>
          </cell>
          <cell r="O60">
            <v>1</v>
          </cell>
          <cell r="P60">
            <v>1</v>
          </cell>
          <cell r="Q60">
            <v>0.8</v>
          </cell>
          <cell r="R60">
            <v>0.8</v>
          </cell>
          <cell r="S60">
            <v>1</v>
          </cell>
          <cell r="T60">
            <v>1</v>
          </cell>
          <cell r="U60">
            <v>1</v>
          </cell>
          <cell r="V60">
            <v>1</v>
          </cell>
          <cell r="W60">
            <v>1</v>
          </cell>
          <cell r="X60">
            <v>1</v>
          </cell>
          <cell r="Y60">
            <v>1</v>
          </cell>
          <cell r="Z60">
            <v>0.1</v>
          </cell>
          <cell r="AA60">
            <v>0.1</v>
          </cell>
          <cell r="AB60">
            <v>0.14000000000000001</v>
          </cell>
          <cell r="AC60">
            <v>0.11</v>
          </cell>
          <cell r="AD60">
            <v>0.11</v>
          </cell>
          <cell r="AE60">
            <v>0.19</v>
          </cell>
          <cell r="AF60">
            <v>0.09</v>
          </cell>
          <cell r="AG60">
            <v>0.11</v>
          </cell>
          <cell r="AH60">
            <v>0.15</v>
          </cell>
          <cell r="AI60">
            <v>0.2</v>
          </cell>
          <cell r="AJ60">
            <v>0.2</v>
          </cell>
          <cell r="AK60">
            <v>0.2</v>
          </cell>
          <cell r="AL60">
            <v>0</v>
          </cell>
          <cell r="AM60">
            <v>0</v>
          </cell>
          <cell r="AN60">
            <v>0</v>
          </cell>
          <cell r="AO60">
            <v>0</v>
          </cell>
          <cell r="AP60">
            <v>0</v>
          </cell>
          <cell r="AQ60">
            <v>0</v>
          </cell>
          <cell r="AR60">
            <v>0</v>
          </cell>
          <cell r="AS60">
            <v>0</v>
          </cell>
          <cell r="AT60">
            <v>0</v>
          </cell>
          <cell r="AU60">
            <v>0</v>
          </cell>
          <cell r="AV60">
            <v>0</v>
          </cell>
          <cell r="AW60">
            <v>0</v>
          </cell>
          <cell r="AX60">
            <v>0</v>
          </cell>
          <cell r="AY60">
            <v>0</v>
          </cell>
          <cell r="AZ60">
            <v>0</v>
          </cell>
          <cell r="BA60">
            <v>0</v>
          </cell>
          <cell r="BB60">
            <v>0</v>
          </cell>
          <cell r="BC60">
            <v>0</v>
          </cell>
          <cell r="BD60">
            <v>0</v>
          </cell>
          <cell r="BE60">
            <v>0</v>
          </cell>
          <cell r="BF60">
            <v>0</v>
          </cell>
          <cell r="BG60">
            <v>0</v>
          </cell>
          <cell r="BH60">
            <v>0</v>
          </cell>
          <cell r="BI60">
            <v>0</v>
          </cell>
          <cell r="BJ60">
            <v>0</v>
          </cell>
          <cell r="BK60">
            <v>0</v>
          </cell>
          <cell r="BL60">
            <v>0</v>
          </cell>
          <cell r="BM60">
            <v>0</v>
          </cell>
          <cell r="BN60">
            <v>0</v>
          </cell>
          <cell r="BO60">
            <v>0</v>
          </cell>
          <cell r="BP60">
            <v>0</v>
          </cell>
          <cell r="BQ60">
            <v>0</v>
          </cell>
          <cell r="BR60">
            <v>0</v>
          </cell>
          <cell r="BS60">
            <v>0</v>
          </cell>
          <cell r="BT60">
            <v>0</v>
          </cell>
          <cell r="BU60">
            <v>0</v>
          </cell>
          <cell r="BV60">
            <v>0</v>
          </cell>
          <cell r="BW60">
            <v>0</v>
          </cell>
          <cell r="BX60">
            <v>0</v>
          </cell>
          <cell r="BY60">
            <v>0</v>
          </cell>
          <cell r="BZ60">
            <v>0</v>
          </cell>
          <cell r="CA60">
            <v>0</v>
          </cell>
          <cell r="CB60">
            <v>0</v>
          </cell>
          <cell r="CC60">
            <v>0</v>
          </cell>
          <cell r="CD60">
            <v>0</v>
          </cell>
          <cell r="CE60">
            <v>0</v>
          </cell>
          <cell r="CF60">
            <v>0</v>
          </cell>
          <cell r="CG60">
            <v>0</v>
          </cell>
          <cell r="CH60">
            <v>0</v>
          </cell>
          <cell r="CI60">
            <v>0</v>
          </cell>
          <cell r="CJ60">
            <v>0</v>
          </cell>
          <cell r="CK60">
            <v>0</v>
          </cell>
          <cell r="CL60">
            <v>0</v>
          </cell>
          <cell r="CM60">
            <v>0</v>
          </cell>
          <cell r="CN60">
            <v>0</v>
          </cell>
          <cell r="CO60">
            <v>0</v>
          </cell>
          <cell r="CP60">
            <v>0</v>
          </cell>
          <cell r="CQ60">
            <v>0</v>
          </cell>
          <cell r="CR60">
            <v>0</v>
          </cell>
          <cell r="CS60">
            <v>0</v>
          </cell>
          <cell r="CT60">
            <v>0</v>
          </cell>
          <cell r="CU60">
            <v>0</v>
          </cell>
          <cell r="CV60">
            <v>0</v>
          </cell>
          <cell r="CW60">
            <v>0</v>
          </cell>
          <cell r="CX60">
            <v>0</v>
          </cell>
          <cell r="CY60">
            <v>0</v>
          </cell>
          <cell r="CZ60">
            <v>0</v>
          </cell>
          <cell r="DA60">
            <v>0</v>
          </cell>
          <cell r="DB60">
            <v>0</v>
          </cell>
          <cell r="DC60">
            <v>0</v>
          </cell>
          <cell r="DD60">
            <v>0</v>
          </cell>
          <cell r="DE60">
            <v>0</v>
          </cell>
          <cell r="DF60">
            <v>0</v>
          </cell>
          <cell r="DG60">
            <v>0</v>
          </cell>
          <cell r="DH60">
            <v>0</v>
          </cell>
          <cell r="DI60">
            <v>0</v>
          </cell>
          <cell r="DJ60">
            <v>0</v>
          </cell>
          <cell r="DK60">
            <v>0</v>
          </cell>
          <cell r="DL60">
            <v>0</v>
          </cell>
          <cell r="DM60">
            <v>0</v>
          </cell>
          <cell r="DN60">
            <v>0</v>
          </cell>
          <cell r="DO60">
            <v>0</v>
          </cell>
          <cell r="DP60">
            <v>0</v>
          </cell>
          <cell r="DQ60">
            <v>0</v>
          </cell>
          <cell r="DR60">
            <v>0</v>
          </cell>
          <cell r="DS60">
            <v>0</v>
          </cell>
          <cell r="DT60">
            <v>0</v>
          </cell>
          <cell r="DU60">
            <v>0</v>
          </cell>
          <cell r="DV60">
            <v>0</v>
          </cell>
          <cell r="DW60">
            <v>0</v>
          </cell>
          <cell r="DX60">
            <v>0</v>
          </cell>
          <cell r="DY60">
            <v>0</v>
          </cell>
          <cell r="EA60">
            <v>0</v>
          </cell>
          <cell r="EB60">
            <v>0</v>
          </cell>
          <cell r="EC60">
            <v>0</v>
          </cell>
          <cell r="ED60">
            <v>0.05</v>
          </cell>
          <cell r="EE60">
            <v>0.09</v>
          </cell>
          <cell r="EF60">
            <v>0.08</v>
          </cell>
          <cell r="EG60">
            <v>0.17</v>
          </cell>
          <cell r="EH60">
            <v>1</v>
          </cell>
          <cell r="EI60">
            <v>1</v>
          </cell>
          <cell r="EJ60">
            <v>1</v>
          </cell>
          <cell r="EK60">
            <v>1</v>
          </cell>
          <cell r="EL60">
            <v>0.05</v>
          </cell>
          <cell r="EM60">
            <v>0.14000000000000001</v>
          </cell>
          <cell r="EN60">
            <v>0.11</v>
          </cell>
          <cell r="EO60">
            <v>0.2</v>
          </cell>
          <cell r="EP60">
            <v>0</v>
          </cell>
          <cell r="EQ60">
            <v>0</v>
          </cell>
          <cell r="ER60">
            <v>0</v>
          </cell>
          <cell r="ES60">
            <v>0</v>
          </cell>
          <cell r="ET60">
            <v>0</v>
          </cell>
          <cell r="EU60">
            <v>0</v>
          </cell>
          <cell r="EV60">
            <v>0</v>
          </cell>
          <cell r="EW60">
            <v>0</v>
          </cell>
          <cell r="EX60">
            <v>1</v>
          </cell>
          <cell r="EY60">
            <v>1</v>
          </cell>
          <cell r="EZ60">
            <v>1</v>
          </cell>
          <cell r="FA60">
            <v>0</v>
          </cell>
          <cell r="FB60">
            <v>0</v>
          </cell>
          <cell r="FC60">
            <v>0</v>
          </cell>
          <cell r="FD60">
            <v>0</v>
          </cell>
          <cell r="FE60">
            <v>0</v>
          </cell>
          <cell r="FF60">
            <v>0</v>
          </cell>
          <cell r="FG60">
            <v>0</v>
          </cell>
          <cell r="FH60">
            <v>0</v>
          </cell>
          <cell r="FI60">
            <v>0</v>
          </cell>
          <cell r="FJ60">
            <v>0</v>
          </cell>
          <cell r="FK60">
            <v>0</v>
          </cell>
          <cell r="FL60">
            <v>0</v>
          </cell>
          <cell r="FM60">
            <v>0</v>
          </cell>
          <cell r="FN60">
            <v>0</v>
          </cell>
          <cell r="FO60">
            <v>0</v>
          </cell>
          <cell r="FP60">
            <v>0</v>
          </cell>
          <cell r="FQ60">
            <v>0</v>
          </cell>
          <cell r="FR60">
            <v>0</v>
          </cell>
          <cell r="FS60">
            <v>0</v>
          </cell>
          <cell r="FT60">
            <v>0</v>
          </cell>
          <cell r="FU60">
            <v>0</v>
          </cell>
          <cell r="FV60">
            <v>0</v>
          </cell>
          <cell r="FW60">
            <v>0</v>
          </cell>
          <cell r="FX60">
            <v>0</v>
          </cell>
          <cell r="FY60">
            <v>0</v>
          </cell>
          <cell r="FZ60">
            <v>0</v>
          </cell>
        </row>
        <row r="61">
          <cell r="A61" t="str">
            <v>F_CNP_NRF_RET_COL_FRCE_127</v>
          </cell>
          <cell r="B61">
            <v>0.1</v>
          </cell>
          <cell r="C61">
            <v>0.08</v>
          </cell>
          <cell r="D61">
            <v>0.15</v>
          </cell>
          <cell r="E61">
            <v>0.08</v>
          </cell>
          <cell r="F61">
            <v>0.15</v>
          </cell>
          <cell r="G61">
            <v>0.22</v>
          </cell>
          <cell r="H61">
            <v>7.0000000000000007E-2</v>
          </cell>
          <cell r="I61">
            <v>0.05</v>
          </cell>
          <cell r="J61">
            <v>0.13</v>
          </cell>
          <cell r="K61">
            <v>0.18</v>
          </cell>
          <cell r="L61">
            <v>0.17</v>
          </cell>
          <cell r="M61">
            <v>0.16</v>
          </cell>
          <cell r="N61">
            <v>0.8</v>
          </cell>
          <cell r="O61">
            <v>1</v>
          </cell>
          <cell r="P61">
            <v>1</v>
          </cell>
          <cell r="Q61">
            <v>0.8</v>
          </cell>
          <cell r="R61">
            <v>0.8</v>
          </cell>
          <cell r="S61">
            <v>1</v>
          </cell>
          <cell r="T61">
            <v>1</v>
          </cell>
          <cell r="U61">
            <v>1</v>
          </cell>
          <cell r="V61">
            <v>1</v>
          </cell>
          <cell r="W61">
            <v>1</v>
          </cell>
          <cell r="X61">
            <v>1</v>
          </cell>
          <cell r="Y61">
            <v>1</v>
          </cell>
          <cell r="Z61">
            <v>0.1</v>
          </cell>
          <cell r="AA61">
            <v>0.1</v>
          </cell>
          <cell r="AB61">
            <v>0.14000000000000001</v>
          </cell>
          <cell r="AC61">
            <v>0.11</v>
          </cell>
          <cell r="AD61">
            <v>0.11</v>
          </cell>
          <cell r="AE61">
            <v>0.19</v>
          </cell>
          <cell r="AF61">
            <v>0.09</v>
          </cell>
          <cell r="AG61">
            <v>0.11</v>
          </cell>
          <cell r="AH61">
            <v>0.15</v>
          </cell>
          <cell r="AI61">
            <v>0.2</v>
          </cell>
          <cell r="AJ61">
            <v>0.2</v>
          </cell>
          <cell r="AK61">
            <v>0.2</v>
          </cell>
          <cell r="AL61">
            <v>0</v>
          </cell>
          <cell r="AM61">
            <v>0</v>
          </cell>
          <cell r="AN61">
            <v>0</v>
          </cell>
          <cell r="AO61">
            <v>0</v>
          </cell>
          <cell r="AP61">
            <v>0</v>
          </cell>
          <cell r="AQ61">
            <v>0</v>
          </cell>
          <cell r="AR61">
            <v>0</v>
          </cell>
          <cell r="AS61">
            <v>0</v>
          </cell>
          <cell r="AT61">
            <v>0</v>
          </cell>
          <cell r="AU61">
            <v>0</v>
          </cell>
          <cell r="AV61">
            <v>0</v>
          </cell>
          <cell r="AW61">
            <v>0</v>
          </cell>
          <cell r="AX61">
            <v>0</v>
          </cell>
          <cell r="AY61">
            <v>0</v>
          </cell>
          <cell r="AZ61">
            <v>0</v>
          </cell>
          <cell r="BA61">
            <v>0</v>
          </cell>
          <cell r="BB61">
            <v>0</v>
          </cell>
          <cell r="BC61">
            <v>0</v>
          </cell>
          <cell r="BD61">
            <v>0</v>
          </cell>
          <cell r="BE61">
            <v>0</v>
          </cell>
          <cell r="BF61">
            <v>0</v>
          </cell>
          <cell r="BG61">
            <v>0</v>
          </cell>
          <cell r="BH61">
            <v>0</v>
          </cell>
          <cell r="BI61">
            <v>0</v>
          </cell>
          <cell r="BJ61">
            <v>0</v>
          </cell>
          <cell r="BK61">
            <v>0</v>
          </cell>
          <cell r="BL61">
            <v>0</v>
          </cell>
          <cell r="BM61">
            <v>0</v>
          </cell>
          <cell r="BN61">
            <v>0</v>
          </cell>
          <cell r="BO61">
            <v>0</v>
          </cell>
          <cell r="BP61">
            <v>0</v>
          </cell>
          <cell r="BQ61">
            <v>0</v>
          </cell>
          <cell r="BR61">
            <v>0</v>
          </cell>
          <cell r="BS61">
            <v>0</v>
          </cell>
          <cell r="BT61">
            <v>0</v>
          </cell>
          <cell r="BU61">
            <v>0</v>
          </cell>
          <cell r="BV61">
            <v>0</v>
          </cell>
          <cell r="BW61">
            <v>0</v>
          </cell>
          <cell r="BX61">
            <v>0</v>
          </cell>
          <cell r="BY61">
            <v>0</v>
          </cell>
          <cell r="BZ61">
            <v>0</v>
          </cell>
          <cell r="CA61">
            <v>0</v>
          </cell>
          <cell r="CB61">
            <v>0</v>
          </cell>
          <cell r="CC61">
            <v>0</v>
          </cell>
          <cell r="CD61">
            <v>0</v>
          </cell>
          <cell r="CE61">
            <v>0</v>
          </cell>
          <cell r="CF61">
            <v>0</v>
          </cell>
          <cell r="CG61">
            <v>0</v>
          </cell>
          <cell r="CH61">
            <v>0</v>
          </cell>
          <cell r="CI61">
            <v>0</v>
          </cell>
          <cell r="CJ61">
            <v>0</v>
          </cell>
          <cell r="CK61">
            <v>0</v>
          </cell>
          <cell r="CL61">
            <v>0</v>
          </cell>
          <cell r="CM61">
            <v>0</v>
          </cell>
          <cell r="CN61">
            <v>0</v>
          </cell>
          <cell r="CO61">
            <v>0</v>
          </cell>
          <cell r="CP61">
            <v>0</v>
          </cell>
          <cell r="CQ61">
            <v>0</v>
          </cell>
          <cell r="CR61">
            <v>0</v>
          </cell>
          <cell r="CS61">
            <v>0</v>
          </cell>
          <cell r="CT61">
            <v>0</v>
          </cell>
          <cell r="CU61">
            <v>0</v>
          </cell>
          <cell r="CV61">
            <v>0</v>
          </cell>
          <cell r="CW61">
            <v>0</v>
          </cell>
          <cell r="CX61">
            <v>0</v>
          </cell>
          <cell r="CY61">
            <v>0</v>
          </cell>
          <cell r="CZ61">
            <v>0</v>
          </cell>
          <cell r="DA61">
            <v>0</v>
          </cell>
          <cell r="DB61">
            <v>0</v>
          </cell>
          <cell r="DC61">
            <v>0</v>
          </cell>
          <cell r="DD61">
            <v>0</v>
          </cell>
          <cell r="DE61">
            <v>0</v>
          </cell>
          <cell r="DF61">
            <v>0</v>
          </cell>
          <cell r="DG61">
            <v>0</v>
          </cell>
          <cell r="DH61">
            <v>0</v>
          </cell>
          <cell r="DI61">
            <v>0</v>
          </cell>
          <cell r="DJ61">
            <v>0</v>
          </cell>
          <cell r="DK61">
            <v>0</v>
          </cell>
          <cell r="DL61">
            <v>0</v>
          </cell>
          <cell r="DM61">
            <v>0</v>
          </cell>
          <cell r="DN61">
            <v>0</v>
          </cell>
          <cell r="DO61">
            <v>0</v>
          </cell>
          <cell r="DP61">
            <v>0</v>
          </cell>
          <cell r="DQ61">
            <v>0</v>
          </cell>
          <cell r="DR61">
            <v>0</v>
          </cell>
          <cell r="DS61">
            <v>0</v>
          </cell>
          <cell r="DT61">
            <v>0</v>
          </cell>
          <cell r="DU61">
            <v>0</v>
          </cell>
          <cell r="DV61">
            <v>0</v>
          </cell>
          <cell r="DW61">
            <v>0</v>
          </cell>
          <cell r="DX61">
            <v>0</v>
          </cell>
          <cell r="DY61">
            <v>0</v>
          </cell>
          <cell r="EA61">
            <v>0</v>
          </cell>
          <cell r="EB61">
            <v>0</v>
          </cell>
          <cell r="EC61">
            <v>0</v>
          </cell>
          <cell r="ED61">
            <v>0.05</v>
          </cell>
          <cell r="EE61">
            <v>0.09</v>
          </cell>
          <cell r="EF61">
            <v>0.08</v>
          </cell>
          <cell r="EG61">
            <v>0.17</v>
          </cell>
          <cell r="EH61">
            <v>1</v>
          </cell>
          <cell r="EI61">
            <v>1</v>
          </cell>
          <cell r="EJ61">
            <v>1</v>
          </cell>
          <cell r="EK61">
            <v>1</v>
          </cell>
          <cell r="EL61">
            <v>0.05</v>
          </cell>
          <cell r="EM61">
            <v>0.14000000000000001</v>
          </cell>
          <cell r="EN61">
            <v>0.11</v>
          </cell>
          <cell r="EO61">
            <v>0.2</v>
          </cell>
          <cell r="EP61">
            <v>0</v>
          </cell>
          <cell r="EQ61">
            <v>0</v>
          </cell>
          <cell r="ER61">
            <v>0</v>
          </cell>
          <cell r="ES61">
            <v>0</v>
          </cell>
          <cell r="ET61">
            <v>0</v>
          </cell>
          <cell r="EU61">
            <v>0</v>
          </cell>
          <cell r="EV61">
            <v>0</v>
          </cell>
          <cell r="EW61">
            <v>0</v>
          </cell>
          <cell r="EX61">
            <v>1</v>
          </cell>
          <cell r="EY61">
            <v>1</v>
          </cell>
          <cell r="EZ61">
            <v>1</v>
          </cell>
          <cell r="FA61">
            <v>0</v>
          </cell>
          <cell r="FB61">
            <v>0</v>
          </cell>
          <cell r="FC61">
            <v>0</v>
          </cell>
          <cell r="FD61">
            <v>0</v>
          </cell>
          <cell r="FE61">
            <v>0</v>
          </cell>
          <cell r="FF61">
            <v>0</v>
          </cell>
          <cell r="FG61">
            <v>0</v>
          </cell>
          <cell r="FH61">
            <v>0</v>
          </cell>
          <cell r="FI61">
            <v>0</v>
          </cell>
          <cell r="FJ61">
            <v>0</v>
          </cell>
          <cell r="FK61">
            <v>0</v>
          </cell>
          <cell r="FL61">
            <v>0</v>
          </cell>
          <cell r="FM61">
            <v>0</v>
          </cell>
          <cell r="FN61">
            <v>0</v>
          </cell>
          <cell r="FO61">
            <v>0</v>
          </cell>
          <cell r="FP61">
            <v>0</v>
          </cell>
          <cell r="FQ61">
            <v>0</v>
          </cell>
          <cell r="FR61">
            <v>0</v>
          </cell>
          <cell r="FS61">
            <v>0</v>
          </cell>
          <cell r="FT61">
            <v>0</v>
          </cell>
          <cell r="FU61">
            <v>0</v>
          </cell>
          <cell r="FV61">
            <v>0</v>
          </cell>
          <cell r="FW61">
            <v>0</v>
          </cell>
          <cell r="FX61">
            <v>0</v>
          </cell>
          <cell r="FY61">
            <v>0</v>
          </cell>
          <cell r="FZ61">
            <v>0</v>
          </cell>
        </row>
        <row r="62">
          <cell r="A62" t="str">
            <v>F_CNP_NRF_RET_COL_FRCE_129</v>
          </cell>
          <cell r="B62">
            <v>0.1</v>
          </cell>
          <cell r="C62">
            <v>0.08</v>
          </cell>
          <cell r="D62">
            <v>0.15</v>
          </cell>
          <cell r="E62">
            <v>0.08</v>
          </cell>
          <cell r="F62">
            <v>0.15</v>
          </cell>
          <cell r="G62">
            <v>0.22</v>
          </cell>
          <cell r="H62">
            <v>7.0000000000000007E-2</v>
          </cell>
          <cell r="I62">
            <v>0.05</v>
          </cell>
          <cell r="J62">
            <v>0.13</v>
          </cell>
          <cell r="K62">
            <v>0.18</v>
          </cell>
          <cell r="L62">
            <v>0.17</v>
          </cell>
          <cell r="M62">
            <v>0.16</v>
          </cell>
          <cell r="N62">
            <v>0.8</v>
          </cell>
          <cell r="O62">
            <v>1</v>
          </cell>
          <cell r="P62">
            <v>1</v>
          </cell>
          <cell r="Q62">
            <v>0.8</v>
          </cell>
          <cell r="R62">
            <v>0.8</v>
          </cell>
          <cell r="S62">
            <v>1</v>
          </cell>
          <cell r="T62">
            <v>1</v>
          </cell>
          <cell r="U62">
            <v>1</v>
          </cell>
          <cell r="V62">
            <v>1</v>
          </cell>
          <cell r="W62">
            <v>1</v>
          </cell>
          <cell r="X62">
            <v>1</v>
          </cell>
          <cell r="Y62">
            <v>1</v>
          </cell>
          <cell r="Z62">
            <v>0.1</v>
          </cell>
          <cell r="AA62">
            <v>0.1</v>
          </cell>
          <cell r="AB62">
            <v>0.14000000000000001</v>
          </cell>
          <cell r="AC62">
            <v>0.11</v>
          </cell>
          <cell r="AD62">
            <v>0.11</v>
          </cell>
          <cell r="AE62">
            <v>0.19</v>
          </cell>
          <cell r="AF62">
            <v>0.09</v>
          </cell>
          <cell r="AG62">
            <v>0.11</v>
          </cell>
          <cell r="AH62">
            <v>0.15</v>
          </cell>
          <cell r="AI62">
            <v>0.2</v>
          </cell>
          <cell r="AJ62">
            <v>0.2</v>
          </cell>
          <cell r="AK62">
            <v>0.2</v>
          </cell>
          <cell r="AL62">
            <v>0</v>
          </cell>
          <cell r="AM62">
            <v>0</v>
          </cell>
          <cell r="AN62">
            <v>0</v>
          </cell>
          <cell r="AO62">
            <v>0</v>
          </cell>
          <cell r="AP62">
            <v>0</v>
          </cell>
          <cell r="AQ62">
            <v>0</v>
          </cell>
          <cell r="AR62">
            <v>0</v>
          </cell>
          <cell r="AS62">
            <v>0</v>
          </cell>
          <cell r="AT62">
            <v>0</v>
          </cell>
          <cell r="AU62">
            <v>0</v>
          </cell>
          <cell r="AV62">
            <v>0</v>
          </cell>
          <cell r="AW62">
            <v>0</v>
          </cell>
          <cell r="AX62">
            <v>0</v>
          </cell>
          <cell r="AY62">
            <v>0</v>
          </cell>
          <cell r="AZ62">
            <v>0</v>
          </cell>
          <cell r="BA62">
            <v>0</v>
          </cell>
          <cell r="BB62">
            <v>0</v>
          </cell>
          <cell r="BC62">
            <v>0</v>
          </cell>
          <cell r="BD62">
            <v>0</v>
          </cell>
          <cell r="BE62">
            <v>0</v>
          </cell>
          <cell r="BF62">
            <v>0</v>
          </cell>
          <cell r="BG62">
            <v>0</v>
          </cell>
          <cell r="BH62">
            <v>0</v>
          </cell>
          <cell r="BI62">
            <v>0</v>
          </cell>
          <cell r="BJ62">
            <v>0</v>
          </cell>
          <cell r="BK62">
            <v>0</v>
          </cell>
          <cell r="BL62">
            <v>0</v>
          </cell>
          <cell r="BM62">
            <v>0</v>
          </cell>
          <cell r="BN62">
            <v>0</v>
          </cell>
          <cell r="BO62">
            <v>0</v>
          </cell>
          <cell r="BP62">
            <v>0</v>
          </cell>
          <cell r="BQ62">
            <v>0</v>
          </cell>
          <cell r="BR62">
            <v>0</v>
          </cell>
          <cell r="BS62">
            <v>0</v>
          </cell>
          <cell r="BT62">
            <v>0</v>
          </cell>
          <cell r="BU62">
            <v>0</v>
          </cell>
          <cell r="BV62">
            <v>0</v>
          </cell>
          <cell r="BW62">
            <v>0</v>
          </cell>
          <cell r="BX62">
            <v>0</v>
          </cell>
          <cell r="BY62">
            <v>0</v>
          </cell>
          <cell r="BZ62">
            <v>0</v>
          </cell>
          <cell r="CA62">
            <v>0</v>
          </cell>
          <cell r="CB62">
            <v>0</v>
          </cell>
          <cell r="CC62">
            <v>0</v>
          </cell>
          <cell r="CD62">
            <v>0</v>
          </cell>
          <cell r="CE62">
            <v>0</v>
          </cell>
          <cell r="CF62">
            <v>0</v>
          </cell>
          <cell r="CG62">
            <v>0</v>
          </cell>
          <cell r="CH62">
            <v>0</v>
          </cell>
          <cell r="CI62">
            <v>0</v>
          </cell>
          <cell r="CJ62">
            <v>0</v>
          </cell>
          <cell r="CK62">
            <v>0</v>
          </cell>
          <cell r="CL62">
            <v>0</v>
          </cell>
          <cell r="CM62">
            <v>0</v>
          </cell>
          <cell r="CN62">
            <v>0</v>
          </cell>
          <cell r="CO62">
            <v>0</v>
          </cell>
          <cell r="CP62">
            <v>0</v>
          </cell>
          <cell r="CQ62">
            <v>0</v>
          </cell>
          <cell r="CR62">
            <v>0</v>
          </cell>
          <cell r="CS62">
            <v>0</v>
          </cell>
          <cell r="CT62">
            <v>0</v>
          </cell>
          <cell r="CU62">
            <v>0</v>
          </cell>
          <cell r="CV62">
            <v>0</v>
          </cell>
          <cell r="CW62">
            <v>0</v>
          </cell>
          <cell r="CX62">
            <v>0</v>
          </cell>
          <cell r="CY62">
            <v>0</v>
          </cell>
          <cell r="CZ62">
            <v>0</v>
          </cell>
          <cell r="DA62">
            <v>0</v>
          </cell>
          <cell r="DB62">
            <v>0</v>
          </cell>
          <cell r="DC62">
            <v>0</v>
          </cell>
          <cell r="DD62">
            <v>0</v>
          </cell>
          <cell r="DE62">
            <v>0</v>
          </cell>
          <cell r="DF62">
            <v>0</v>
          </cell>
          <cell r="DG62">
            <v>0</v>
          </cell>
          <cell r="DH62">
            <v>0</v>
          </cell>
          <cell r="DI62">
            <v>0</v>
          </cell>
          <cell r="DJ62">
            <v>0</v>
          </cell>
          <cell r="DK62">
            <v>0</v>
          </cell>
          <cell r="DL62">
            <v>0</v>
          </cell>
          <cell r="DM62">
            <v>0</v>
          </cell>
          <cell r="DN62">
            <v>0</v>
          </cell>
          <cell r="DO62">
            <v>0</v>
          </cell>
          <cell r="DP62">
            <v>0</v>
          </cell>
          <cell r="DQ62">
            <v>0</v>
          </cell>
          <cell r="DR62">
            <v>0</v>
          </cell>
          <cell r="DS62">
            <v>0</v>
          </cell>
          <cell r="DT62">
            <v>0</v>
          </cell>
          <cell r="DU62">
            <v>0</v>
          </cell>
          <cell r="DV62">
            <v>0</v>
          </cell>
          <cell r="DW62">
            <v>0</v>
          </cell>
          <cell r="DX62">
            <v>0</v>
          </cell>
          <cell r="DY62">
            <v>0</v>
          </cell>
          <cell r="EA62">
            <v>0</v>
          </cell>
          <cell r="EB62">
            <v>0</v>
          </cell>
          <cell r="EC62">
            <v>0</v>
          </cell>
          <cell r="ED62">
            <v>0.05</v>
          </cell>
          <cell r="EE62">
            <v>0.09</v>
          </cell>
          <cell r="EF62">
            <v>0.08</v>
          </cell>
          <cell r="EG62">
            <v>0.17</v>
          </cell>
          <cell r="EH62">
            <v>1</v>
          </cell>
          <cell r="EI62">
            <v>1</v>
          </cell>
          <cell r="EJ62">
            <v>1</v>
          </cell>
          <cell r="EK62">
            <v>1</v>
          </cell>
          <cell r="EL62">
            <v>0.05</v>
          </cell>
          <cell r="EM62">
            <v>0.14000000000000001</v>
          </cell>
          <cell r="EN62">
            <v>0.11</v>
          </cell>
          <cell r="EO62">
            <v>0.2</v>
          </cell>
          <cell r="EP62">
            <v>0</v>
          </cell>
          <cell r="EQ62">
            <v>0</v>
          </cell>
          <cell r="ER62">
            <v>0</v>
          </cell>
          <cell r="ES62">
            <v>0</v>
          </cell>
          <cell r="ET62">
            <v>0</v>
          </cell>
          <cell r="EU62">
            <v>0</v>
          </cell>
          <cell r="EV62">
            <v>0</v>
          </cell>
          <cell r="EW62">
            <v>0</v>
          </cell>
          <cell r="EX62">
            <v>1</v>
          </cell>
          <cell r="EY62">
            <v>1</v>
          </cell>
          <cell r="EZ62">
            <v>1</v>
          </cell>
          <cell r="FA62">
            <v>0</v>
          </cell>
          <cell r="FB62">
            <v>0</v>
          </cell>
          <cell r="FC62">
            <v>0</v>
          </cell>
          <cell r="FD62">
            <v>0</v>
          </cell>
          <cell r="FE62">
            <v>0</v>
          </cell>
          <cell r="FF62">
            <v>0</v>
          </cell>
          <cell r="FG62">
            <v>0</v>
          </cell>
          <cell r="FH62">
            <v>0</v>
          </cell>
          <cell r="FI62">
            <v>0</v>
          </cell>
          <cell r="FJ62">
            <v>0</v>
          </cell>
          <cell r="FK62">
            <v>0</v>
          </cell>
          <cell r="FL62">
            <v>0</v>
          </cell>
          <cell r="FM62">
            <v>0</v>
          </cell>
          <cell r="FN62">
            <v>0</v>
          </cell>
          <cell r="FO62">
            <v>0</v>
          </cell>
          <cell r="FP62">
            <v>0</v>
          </cell>
          <cell r="FQ62">
            <v>0</v>
          </cell>
          <cell r="FR62">
            <v>0</v>
          </cell>
          <cell r="FS62">
            <v>0</v>
          </cell>
          <cell r="FT62">
            <v>0</v>
          </cell>
          <cell r="FU62">
            <v>0</v>
          </cell>
          <cell r="FV62">
            <v>0</v>
          </cell>
          <cell r="FW62">
            <v>0</v>
          </cell>
          <cell r="FX62">
            <v>0</v>
          </cell>
          <cell r="FY62">
            <v>0</v>
          </cell>
          <cell r="FZ62">
            <v>0</v>
          </cell>
        </row>
        <row r="63">
          <cell r="A63" t="str">
            <v>F_CNP_NRF_RET_COL_FRCE_131</v>
          </cell>
          <cell r="B63">
            <v>0.1</v>
          </cell>
          <cell r="C63">
            <v>0.08</v>
          </cell>
          <cell r="D63">
            <v>0.15</v>
          </cell>
          <cell r="E63">
            <v>0.08</v>
          </cell>
          <cell r="F63">
            <v>0.15</v>
          </cell>
          <cell r="G63">
            <v>0.22</v>
          </cell>
          <cell r="H63">
            <v>7.0000000000000007E-2</v>
          </cell>
          <cell r="I63">
            <v>0.05</v>
          </cell>
          <cell r="J63">
            <v>0.13</v>
          </cell>
          <cell r="K63">
            <v>0.18</v>
          </cell>
          <cell r="L63">
            <v>0.17</v>
          </cell>
          <cell r="M63">
            <v>0.16</v>
          </cell>
          <cell r="N63">
            <v>0.8</v>
          </cell>
          <cell r="O63">
            <v>1</v>
          </cell>
          <cell r="P63">
            <v>1</v>
          </cell>
          <cell r="Q63">
            <v>0.8</v>
          </cell>
          <cell r="R63">
            <v>0.8</v>
          </cell>
          <cell r="S63">
            <v>1</v>
          </cell>
          <cell r="T63">
            <v>1</v>
          </cell>
          <cell r="U63">
            <v>1</v>
          </cell>
          <cell r="V63">
            <v>1</v>
          </cell>
          <cell r="W63">
            <v>1</v>
          </cell>
          <cell r="X63">
            <v>1</v>
          </cell>
          <cell r="Y63">
            <v>1</v>
          </cell>
          <cell r="Z63">
            <v>0.1</v>
          </cell>
          <cell r="AA63">
            <v>0.1</v>
          </cell>
          <cell r="AB63">
            <v>0.14000000000000001</v>
          </cell>
          <cell r="AC63">
            <v>0.11</v>
          </cell>
          <cell r="AD63">
            <v>0.11</v>
          </cell>
          <cell r="AE63">
            <v>0.19</v>
          </cell>
          <cell r="AF63">
            <v>0.09</v>
          </cell>
          <cell r="AG63">
            <v>0.11</v>
          </cell>
          <cell r="AH63">
            <v>0.15</v>
          </cell>
          <cell r="AI63">
            <v>0.2</v>
          </cell>
          <cell r="AJ63">
            <v>0.2</v>
          </cell>
          <cell r="AK63">
            <v>0.2</v>
          </cell>
          <cell r="AL63">
            <v>0</v>
          </cell>
          <cell r="AM63">
            <v>0</v>
          </cell>
          <cell r="AN63">
            <v>0</v>
          </cell>
          <cell r="AO63">
            <v>0</v>
          </cell>
          <cell r="AP63">
            <v>0</v>
          </cell>
          <cell r="AQ63">
            <v>0</v>
          </cell>
          <cell r="AR63">
            <v>0</v>
          </cell>
          <cell r="AS63">
            <v>0</v>
          </cell>
          <cell r="AT63">
            <v>0</v>
          </cell>
          <cell r="AU63">
            <v>0</v>
          </cell>
          <cell r="AV63">
            <v>0</v>
          </cell>
          <cell r="AW63">
            <v>0</v>
          </cell>
          <cell r="AX63">
            <v>0</v>
          </cell>
          <cell r="AY63">
            <v>0</v>
          </cell>
          <cell r="AZ63">
            <v>0</v>
          </cell>
          <cell r="BA63">
            <v>0</v>
          </cell>
          <cell r="BB63">
            <v>0</v>
          </cell>
          <cell r="BC63">
            <v>0</v>
          </cell>
          <cell r="BD63">
            <v>0</v>
          </cell>
          <cell r="BE63">
            <v>0</v>
          </cell>
          <cell r="BF63">
            <v>0</v>
          </cell>
          <cell r="BG63">
            <v>0</v>
          </cell>
          <cell r="BH63">
            <v>0</v>
          </cell>
          <cell r="BI63">
            <v>0</v>
          </cell>
          <cell r="BJ63">
            <v>0</v>
          </cell>
          <cell r="BK63">
            <v>0</v>
          </cell>
          <cell r="BL63">
            <v>0</v>
          </cell>
          <cell r="BM63">
            <v>0</v>
          </cell>
          <cell r="BN63">
            <v>0</v>
          </cell>
          <cell r="BO63">
            <v>0</v>
          </cell>
          <cell r="BP63">
            <v>0</v>
          </cell>
          <cell r="BQ63">
            <v>0</v>
          </cell>
          <cell r="BR63">
            <v>0</v>
          </cell>
          <cell r="BS63">
            <v>0</v>
          </cell>
          <cell r="BT63">
            <v>0</v>
          </cell>
          <cell r="BU63">
            <v>0</v>
          </cell>
          <cell r="BV63">
            <v>0</v>
          </cell>
          <cell r="BW63">
            <v>0</v>
          </cell>
          <cell r="BX63">
            <v>0</v>
          </cell>
          <cell r="BY63">
            <v>0</v>
          </cell>
          <cell r="BZ63">
            <v>0</v>
          </cell>
          <cell r="CA63">
            <v>0</v>
          </cell>
          <cell r="CB63">
            <v>0</v>
          </cell>
          <cell r="CC63">
            <v>0</v>
          </cell>
          <cell r="CD63">
            <v>0</v>
          </cell>
          <cell r="CE63">
            <v>0</v>
          </cell>
          <cell r="CF63">
            <v>0</v>
          </cell>
          <cell r="CG63">
            <v>0</v>
          </cell>
          <cell r="CH63">
            <v>0</v>
          </cell>
          <cell r="CI63">
            <v>0</v>
          </cell>
          <cell r="CJ63">
            <v>0</v>
          </cell>
          <cell r="CK63">
            <v>0</v>
          </cell>
          <cell r="CL63">
            <v>0</v>
          </cell>
          <cell r="CM63">
            <v>0</v>
          </cell>
          <cell r="CN63">
            <v>0</v>
          </cell>
          <cell r="CO63">
            <v>0</v>
          </cell>
          <cell r="CP63">
            <v>0</v>
          </cell>
          <cell r="CQ63">
            <v>0</v>
          </cell>
          <cell r="CR63">
            <v>0</v>
          </cell>
          <cell r="CS63">
            <v>0</v>
          </cell>
          <cell r="CT63">
            <v>0</v>
          </cell>
          <cell r="CU63">
            <v>0</v>
          </cell>
          <cell r="CV63">
            <v>0</v>
          </cell>
          <cell r="CW63">
            <v>0</v>
          </cell>
          <cell r="CX63">
            <v>0</v>
          </cell>
          <cell r="CY63">
            <v>0</v>
          </cell>
          <cell r="CZ63">
            <v>0</v>
          </cell>
          <cell r="DA63">
            <v>0</v>
          </cell>
          <cell r="DB63">
            <v>0</v>
          </cell>
          <cell r="DC63">
            <v>0</v>
          </cell>
          <cell r="DD63">
            <v>0</v>
          </cell>
          <cell r="DE63">
            <v>0</v>
          </cell>
          <cell r="DF63">
            <v>0</v>
          </cell>
          <cell r="DG63">
            <v>0</v>
          </cell>
          <cell r="DH63">
            <v>0</v>
          </cell>
          <cell r="DI63">
            <v>0</v>
          </cell>
          <cell r="DJ63">
            <v>0</v>
          </cell>
          <cell r="DK63">
            <v>0</v>
          </cell>
          <cell r="DL63">
            <v>0</v>
          </cell>
          <cell r="DM63">
            <v>0</v>
          </cell>
          <cell r="DN63">
            <v>0</v>
          </cell>
          <cell r="DO63">
            <v>0</v>
          </cell>
          <cell r="DP63">
            <v>0</v>
          </cell>
          <cell r="DQ63">
            <v>0</v>
          </cell>
          <cell r="DR63">
            <v>0</v>
          </cell>
          <cell r="DS63">
            <v>0</v>
          </cell>
          <cell r="DT63">
            <v>0</v>
          </cell>
          <cell r="DU63">
            <v>0</v>
          </cell>
          <cell r="DV63">
            <v>0</v>
          </cell>
          <cell r="DW63">
            <v>0</v>
          </cell>
          <cell r="DX63">
            <v>0</v>
          </cell>
          <cell r="DY63">
            <v>0</v>
          </cell>
          <cell r="EA63">
            <v>0</v>
          </cell>
          <cell r="EB63">
            <v>0</v>
          </cell>
          <cell r="EC63">
            <v>0</v>
          </cell>
          <cell r="ED63">
            <v>0.05</v>
          </cell>
          <cell r="EE63">
            <v>0.09</v>
          </cell>
          <cell r="EF63">
            <v>0.08</v>
          </cell>
          <cell r="EG63">
            <v>0.17</v>
          </cell>
          <cell r="EH63">
            <v>1</v>
          </cell>
          <cell r="EI63">
            <v>1</v>
          </cell>
          <cell r="EJ63">
            <v>1</v>
          </cell>
          <cell r="EK63">
            <v>1</v>
          </cell>
          <cell r="EL63">
            <v>0.05</v>
          </cell>
          <cell r="EM63">
            <v>0.14000000000000001</v>
          </cell>
          <cell r="EN63">
            <v>0.11</v>
          </cell>
          <cell r="EO63">
            <v>0.2</v>
          </cell>
          <cell r="EP63">
            <v>0</v>
          </cell>
          <cell r="EQ63">
            <v>0</v>
          </cell>
          <cell r="ER63">
            <v>0</v>
          </cell>
          <cell r="ES63">
            <v>0</v>
          </cell>
          <cell r="ET63">
            <v>0</v>
          </cell>
          <cell r="EU63">
            <v>0</v>
          </cell>
          <cell r="EV63">
            <v>0</v>
          </cell>
          <cell r="EW63">
            <v>0</v>
          </cell>
          <cell r="EX63">
            <v>1</v>
          </cell>
          <cell r="EY63">
            <v>1</v>
          </cell>
          <cell r="EZ63">
            <v>1</v>
          </cell>
          <cell r="FA63">
            <v>0</v>
          </cell>
          <cell r="FB63">
            <v>0</v>
          </cell>
          <cell r="FC63">
            <v>0</v>
          </cell>
          <cell r="FD63">
            <v>0</v>
          </cell>
          <cell r="FE63">
            <v>0</v>
          </cell>
          <cell r="FF63">
            <v>0</v>
          </cell>
          <cell r="FG63">
            <v>0</v>
          </cell>
          <cell r="FH63">
            <v>0</v>
          </cell>
          <cell r="FI63">
            <v>0</v>
          </cell>
          <cell r="FJ63">
            <v>0</v>
          </cell>
          <cell r="FK63">
            <v>0</v>
          </cell>
          <cell r="FL63">
            <v>0</v>
          </cell>
          <cell r="FM63">
            <v>0</v>
          </cell>
          <cell r="FN63">
            <v>0</v>
          </cell>
          <cell r="FO63">
            <v>0</v>
          </cell>
          <cell r="FP63">
            <v>0</v>
          </cell>
          <cell r="FQ63">
            <v>0</v>
          </cell>
          <cell r="FR63">
            <v>0</v>
          </cell>
          <cell r="FS63">
            <v>0</v>
          </cell>
          <cell r="FT63">
            <v>0</v>
          </cell>
          <cell r="FU63">
            <v>0</v>
          </cell>
          <cell r="FV63">
            <v>0</v>
          </cell>
          <cell r="FW63">
            <v>0</v>
          </cell>
          <cell r="FX63">
            <v>0</v>
          </cell>
          <cell r="FY63">
            <v>0</v>
          </cell>
          <cell r="FZ63">
            <v>0</v>
          </cell>
        </row>
        <row r="64">
          <cell r="A64" t="str">
            <v>F_CNP_NRF_RET_COL_FRCE_132</v>
          </cell>
          <cell r="B64">
            <v>0.1</v>
          </cell>
          <cell r="C64">
            <v>0.08</v>
          </cell>
          <cell r="D64">
            <v>0.15</v>
          </cell>
          <cell r="E64">
            <v>0.08</v>
          </cell>
          <cell r="F64">
            <v>0.15</v>
          </cell>
          <cell r="G64">
            <v>0.22</v>
          </cell>
          <cell r="H64">
            <v>7.0000000000000007E-2</v>
          </cell>
          <cell r="I64">
            <v>0.05</v>
          </cell>
          <cell r="J64">
            <v>0.13</v>
          </cell>
          <cell r="K64">
            <v>0.18</v>
          </cell>
          <cell r="L64">
            <v>0.17</v>
          </cell>
          <cell r="M64">
            <v>0.16</v>
          </cell>
          <cell r="N64">
            <v>0.8</v>
          </cell>
          <cell r="O64">
            <v>1</v>
          </cell>
          <cell r="P64">
            <v>1</v>
          </cell>
          <cell r="Q64">
            <v>0.8</v>
          </cell>
          <cell r="R64">
            <v>0.8</v>
          </cell>
          <cell r="S64">
            <v>1</v>
          </cell>
          <cell r="T64">
            <v>1</v>
          </cell>
          <cell r="U64">
            <v>1</v>
          </cell>
          <cell r="V64">
            <v>1</v>
          </cell>
          <cell r="W64">
            <v>1</v>
          </cell>
          <cell r="X64">
            <v>1</v>
          </cell>
          <cell r="Y64">
            <v>1</v>
          </cell>
          <cell r="Z64">
            <v>0.1</v>
          </cell>
          <cell r="AA64">
            <v>0.1</v>
          </cell>
          <cell r="AB64">
            <v>0.14000000000000001</v>
          </cell>
          <cell r="AC64">
            <v>0.11</v>
          </cell>
          <cell r="AD64">
            <v>0.11</v>
          </cell>
          <cell r="AE64">
            <v>0.19</v>
          </cell>
          <cell r="AF64">
            <v>0.09</v>
          </cell>
          <cell r="AG64">
            <v>0.11</v>
          </cell>
          <cell r="AH64">
            <v>0.15</v>
          </cell>
          <cell r="AI64">
            <v>0.2</v>
          </cell>
          <cell r="AJ64">
            <v>0.2</v>
          </cell>
          <cell r="AK64">
            <v>0.2</v>
          </cell>
          <cell r="AL64">
            <v>0</v>
          </cell>
          <cell r="AM64">
            <v>0</v>
          </cell>
          <cell r="AN64">
            <v>0</v>
          </cell>
          <cell r="AO64">
            <v>0</v>
          </cell>
          <cell r="AP64">
            <v>0</v>
          </cell>
          <cell r="AQ64">
            <v>0</v>
          </cell>
          <cell r="AR64">
            <v>0</v>
          </cell>
          <cell r="AS64">
            <v>0</v>
          </cell>
          <cell r="AT64">
            <v>0</v>
          </cell>
          <cell r="AU64">
            <v>0</v>
          </cell>
          <cell r="AV64">
            <v>0</v>
          </cell>
          <cell r="AW64">
            <v>0</v>
          </cell>
          <cell r="AX64">
            <v>0</v>
          </cell>
          <cell r="AY64">
            <v>0</v>
          </cell>
          <cell r="AZ64">
            <v>0</v>
          </cell>
          <cell r="BA64">
            <v>0</v>
          </cell>
          <cell r="BB64">
            <v>0</v>
          </cell>
          <cell r="BC64">
            <v>0</v>
          </cell>
          <cell r="BD64">
            <v>0</v>
          </cell>
          <cell r="BE64">
            <v>0</v>
          </cell>
          <cell r="BF64">
            <v>0</v>
          </cell>
          <cell r="BG64">
            <v>0</v>
          </cell>
          <cell r="BH64">
            <v>0</v>
          </cell>
          <cell r="BI64">
            <v>0</v>
          </cell>
          <cell r="BJ64">
            <v>0</v>
          </cell>
          <cell r="BK64">
            <v>0</v>
          </cell>
          <cell r="BL64">
            <v>0</v>
          </cell>
          <cell r="BM64">
            <v>0</v>
          </cell>
          <cell r="BN64">
            <v>0</v>
          </cell>
          <cell r="BO64">
            <v>0</v>
          </cell>
          <cell r="BP64">
            <v>0</v>
          </cell>
          <cell r="BQ64">
            <v>0</v>
          </cell>
          <cell r="BR64">
            <v>0</v>
          </cell>
          <cell r="BS64">
            <v>0</v>
          </cell>
          <cell r="BT64">
            <v>0</v>
          </cell>
          <cell r="BU64">
            <v>0</v>
          </cell>
          <cell r="BV64">
            <v>0</v>
          </cell>
          <cell r="BW64">
            <v>0</v>
          </cell>
          <cell r="BX64">
            <v>0</v>
          </cell>
          <cell r="BY64">
            <v>0</v>
          </cell>
          <cell r="BZ64">
            <v>0</v>
          </cell>
          <cell r="CA64">
            <v>0</v>
          </cell>
          <cell r="CB64">
            <v>0</v>
          </cell>
          <cell r="CC64">
            <v>0</v>
          </cell>
          <cell r="CD64">
            <v>0</v>
          </cell>
          <cell r="CE64">
            <v>0</v>
          </cell>
          <cell r="CF64">
            <v>0</v>
          </cell>
          <cell r="CG64">
            <v>0</v>
          </cell>
          <cell r="CH64">
            <v>0</v>
          </cell>
          <cell r="CI64">
            <v>0</v>
          </cell>
          <cell r="CJ64">
            <v>0</v>
          </cell>
          <cell r="CK64">
            <v>0</v>
          </cell>
          <cell r="CL64">
            <v>0</v>
          </cell>
          <cell r="CM64">
            <v>0</v>
          </cell>
          <cell r="CN64">
            <v>0</v>
          </cell>
          <cell r="CO64">
            <v>0</v>
          </cell>
          <cell r="CP64">
            <v>0</v>
          </cell>
          <cell r="CQ64">
            <v>0</v>
          </cell>
          <cell r="CR64">
            <v>0</v>
          </cell>
          <cell r="CS64">
            <v>0</v>
          </cell>
          <cell r="CT64">
            <v>0</v>
          </cell>
          <cell r="CU64">
            <v>0</v>
          </cell>
          <cell r="CV64">
            <v>0</v>
          </cell>
          <cell r="CW64">
            <v>0</v>
          </cell>
          <cell r="CX64">
            <v>0</v>
          </cell>
          <cell r="CY64">
            <v>0</v>
          </cell>
          <cell r="CZ64">
            <v>0</v>
          </cell>
          <cell r="DA64">
            <v>0</v>
          </cell>
          <cell r="DB64">
            <v>0</v>
          </cell>
          <cell r="DC64">
            <v>0</v>
          </cell>
          <cell r="DD64">
            <v>0</v>
          </cell>
          <cell r="DE64">
            <v>0</v>
          </cell>
          <cell r="DF64">
            <v>0</v>
          </cell>
          <cell r="DG64">
            <v>0</v>
          </cell>
          <cell r="DH64">
            <v>0</v>
          </cell>
          <cell r="DI64">
            <v>0</v>
          </cell>
          <cell r="DJ64">
            <v>0</v>
          </cell>
          <cell r="DK64">
            <v>0</v>
          </cell>
          <cell r="DL64">
            <v>0</v>
          </cell>
          <cell r="DM64">
            <v>0</v>
          </cell>
          <cell r="DN64">
            <v>0</v>
          </cell>
          <cell r="DO64">
            <v>0</v>
          </cell>
          <cell r="DP64">
            <v>0</v>
          </cell>
          <cell r="DQ64">
            <v>0</v>
          </cell>
          <cell r="DR64">
            <v>0</v>
          </cell>
          <cell r="DS64">
            <v>0</v>
          </cell>
          <cell r="DT64">
            <v>0</v>
          </cell>
          <cell r="DU64">
            <v>0</v>
          </cell>
          <cell r="DV64">
            <v>0</v>
          </cell>
          <cell r="DW64">
            <v>0</v>
          </cell>
          <cell r="DX64">
            <v>0</v>
          </cell>
          <cell r="DY64">
            <v>0</v>
          </cell>
          <cell r="EA64">
            <v>0</v>
          </cell>
          <cell r="EB64">
            <v>0</v>
          </cell>
          <cell r="EC64">
            <v>0</v>
          </cell>
          <cell r="ED64">
            <v>0.05</v>
          </cell>
          <cell r="EE64">
            <v>0.09</v>
          </cell>
          <cell r="EF64">
            <v>0.08</v>
          </cell>
          <cell r="EG64">
            <v>0.17</v>
          </cell>
          <cell r="EH64">
            <v>1</v>
          </cell>
          <cell r="EI64">
            <v>1</v>
          </cell>
          <cell r="EJ64">
            <v>1</v>
          </cell>
          <cell r="EK64">
            <v>1</v>
          </cell>
          <cell r="EL64">
            <v>0.05</v>
          </cell>
          <cell r="EM64">
            <v>0.14000000000000001</v>
          </cell>
          <cell r="EN64">
            <v>0.11</v>
          </cell>
          <cell r="EO64">
            <v>0.2</v>
          </cell>
          <cell r="EP64">
            <v>0</v>
          </cell>
          <cell r="EQ64">
            <v>0</v>
          </cell>
          <cell r="ER64">
            <v>0</v>
          </cell>
          <cell r="ES64">
            <v>0</v>
          </cell>
          <cell r="ET64">
            <v>0</v>
          </cell>
          <cell r="EU64">
            <v>0</v>
          </cell>
          <cell r="EV64">
            <v>0</v>
          </cell>
          <cell r="EW64">
            <v>0</v>
          </cell>
          <cell r="EX64">
            <v>1</v>
          </cell>
          <cell r="EY64">
            <v>1</v>
          </cell>
          <cell r="EZ64">
            <v>1</v>
          </cell>
          <cell r="FA64">
            <v>0</v>
          </cell>
          <cell r="FB64">
            <v>0</v>
          </cell>
          <cell r="FC64">
            <v>0</v>
          </cell>
          <cell r="FD64">
            <v>0</v>
          </cell>
          <cell r="FE64">
            <v>0</v>
          </cell>
          <cell r="FF64">
            <v>0</v>
          </cell>
          <cell r="FG64">
            <v>0</v>
          </cell>
          <cell r="FH64">
            <v>0</v>
          </cell>
          <cell r="FI64">
            <v>0</v>
          </cell>
          <cell r="FJ64">
            <v>0</v>
          </cell>
          <cell r="FK64">
            <v>0</v>
          </cell>
          <cell r="FL64">
            <v>0</v>
          </cell>
          <cell r="FM64">
            <v>0</v>
          </cell>
          <cell r="FN64">
            <v>0</v>
          </cell>
          <cell r="FO64">
            <v>0</v>
          </cell>
          <cell r="FP64">
            <v>0</v>
          </cell>
          <cell r="FQ64">
            <v>0</v>
          </cell>
          <cell r="FR64">
            <v>0</v>
          </cell>
          <cell r="FS64">
            <v>0</v>
          </cell>
          <cell r="FT64">
            <v>0</v>
          </cell>
          <cell r="FU64">
            <v>0</v>
          </cell>
          <cell r="FV64">
            <v>0</v>
          </cell>
          <cell r="FW64">
            <v>0</v>
          </cell>
          <cell r="FX64">
            <v>0</v>
          </cell>
          <cell r="FY64">
            <v>0</v>
          </cell>
          <cell r="FZ64">
            <v>0</v>
          </cell>
        </row>
        <row r="65">
          <cell r="A65" t="str">
            <v>F_CNP_NRF_RET_COL_FRCE_155</v>
          </cell>
          <cell r="B65">
            <v>0.1</v>
          </cell>
          <cell r="C65">
            <v>0.08</v>
          </cell>
          <cell r="D65">
            <v>0.15</v>
          </cell>
          <cell r="E65">
            <v>0.08</v>
          </cell>
          <cell r="F65">
            <v>0.15</v>
          </cell>
          <cell r="G65">
            <v>0.22</v>
          </cell>
          <cell r="H65">
            <v>7.0000000000000007E-2</v>
          </cell>
          <cell r="I65">
            <v>0.05</v>
          </cell>
          <cell r="J65">
            <v>0.13</v>
          </cell>
          <cell r="K65">
            <v>0.18</v>
          </cell>
          <cell r="L65">
            <v>0.17</v>
          </cell>
          <cell r="M65">
            <v>0.16</v>
          </cell>
          <cell r="N65">
            <v>0.8</v>
          </cell>
          <cell r="O65">
            <v>1</v>
          </cell>
          <cell r="P65">
            <v>1</v>
          </cell>
          <cell r="Q65">
            <v>0.8</v>
          </cell>
          <cell r="R65">
            <v>0.8</v>
          </cell>
          <cell r="S65">
            <v>1</v>
          </cell>
          <cell r="T65">
            <v>1</v>
          </cell>
          <cell r="U65">
            <v>1</v>
          </cell>
          <cell r="V65">
            <v>1</v>
          </cell>
          <cell r="W65">
            <v>1</v>
          </cell>
          <cell r="X65">
            <v>1</v>
          </cell>
          <cell r="Y65">
            <v>1</v>
          </cell>
          <cell r="Z65">
            <v>0.1</v>
          </cell>
          <cell r="AA65">
            <v>0.1</v>
          </cell>
          <cell r="AB65">
            <v>0.14000000000000001</v>
          </cell>
          <cell r="AC65">
            <v>0.11</v>
          </cell>
          <cell r="AD65">
            <v>0.11</v>
          </cell>
          <cell r="AE65">
            <v>0.19</v>
          </cell>
          <cell r="AF65">
            <v>0.09</v>
          </cell>
          <cell r="AG65">
            <v>0.11</v>
          </cell>
          <cell r="AH65">
            <v>0.15</v>
          </cell>
          <cell r="AI65">
            <v>0.2</v>
          </cell>
          <cell r="AJ65">
            <v>0.2</v>
          </cell>
          <cell r="AK65">
            <v>0.2</v>
          </cell>
          <cell r="AL65">
            <v>0</v>
          </cell>
          <cell r="AM65">
            <v>0</v>
          </cell>
          <cell r="AN65">
            <v>0</v>
          </cell>
          <cell r="AO65">
            <v>0</v>
          </cell>
          <cell r="AP65">
            <v>0</v>
          </cell>
          <cell r="AQ65">
            <v>0</v>
          </cell>
          <cell r="AR65">
            <v>0</v>
          </cell>
          <cell r="AS65">
            <v>0</v>
          </cell>
          <cell r="AT65">
            <v>0</v>
          </cell>
          <cell r="AU65">
            <v>0</v>
          </cell>
          <cell r="AV65">
            <v>0</v>
          </cell>
          <cell r="AW65">
            <v>0</v>
          </cell>
          <cell r="AX65">
            <v>0</v>
          </cell>
          <cell r="AY65">
            <v>0</v>
          </cell>
          <cell r="AZ65">
            <v>0</v>
          </cell>
          <cell r="BA65">
            <v>0</v>
          </cell>
          <cell r="BB65">
            <v>0</v>
          </cell>
          <cell r="BC65">
            <v>0</v>
          </cell>
          <cell r="BD65">
            <v>0</v>
          </cell>
          <cell r="BE65">
            <v>0</v>
          </cell>
          <cell r="BF65">
            <v>0</v>
          </cell>
          <cell r="BG65">
            <v>0</v>
          </cell>
          <cell r="BH65">
            <v>0</v>
          </cell>
          <cell r="BI65">
            <v>0</v>
          </cell>
          <cell r="BJ65">
            <v>0</v>
          </cell>
          <cell r="BK65">
            <v>0</v>
          </cell>
          <cell r="BL65">
            <v>0</v>
          </cell>
          <cell r="BM65">
            <v>0</v>
          </cell>
          <cell r="BN65">
            <v>0</v>
          </cell>
          <cell r="BO65">
            <v>0</v>
          </cell>
          <cell r="BP65">
            <v>0</v>
          </cell>
          <cell r="BQ65">
            <v>0</v>
          </cell>
          <cell r="BR65">
            <v>0</v>
          </cell>
          <cell r="BS65">
            <v>0</v>
          </cell>
          <cell r="BT65">
            <v>0</v>
          </cell>
          <cell r="BU65">
            <v>0</v>
          </cell>
          <cell r="BV65">
            <v>0</v>
          </cell>
          <cell r="BW65">
            <v>0</v>
          </cell>
          <cell r="BX65">
            <v>0</v>
          </cell>
          <cell r="BY65">
            <v>0</v>
          </cell>
          <cell r="BZ65">
            <v>0</v>
          </cell>
          <cell r="CA65">
            <v>0</v>
          </cell>
          <cell r="CB65">
            <v>0</v>
          </cell>
          <cell r="CC65">
            <v>0</v>
          </cell>
          <cell r="CD65">
            <v>0</v>
          </cell>
          <cell r="CE65">
            <v>0</v>
          </cell>
          <cell r="CF65">
            <v>0</v>
          </cell>
          <cell r="CG65">
            <v>0</v>
          </cell>
          <cell r="CH65">
            <v>0</v>
          </cell>
          <cell r="CI65">
            <v>0</v>
          </cell>
          <cell r="CJ65">
            <v>0</v>
          </cell>
          <cell r="CK65">
            <v>0</v>
          </cell>
          <cell r="CL65">
            <v>0</v>
          </cell>
          <cell r="CM65">
            <v>0</v>
          </cell>
          <cell r="CN65">
            <v>0</v>
          </cell>
          <cell r="CO65">
            <v>0</v>
          </cell>
          <cell r="CP65">
            <v>0</v>
          </cell>
          <cell r="CQ65">
            <v>0</v>
          </cell>
          <cell r="CR65">
            <v>0</v>
          </cell>
          <cell r="CS65">
            <v>0</v>
          </cell>
          <cell r="CT65">
            <v>0</v>
          </cell>
          <cell r="CU65">
            <v>0</v>
          </cell>
          <cell r="CV65">
            <v>0</v>
          </cell>
          <cell r="CW65">
            <v>0</v>
          </cell>
          <cell r="CX65">
            <v>0</v>
          </cell>
          <cell r="CY65">
            <v>0</v>
          </cell>
          <cell r="CZ65">
            <v>0</v>
          </cell>
          <cell r="DA65">
            <v>0</v>
          </cell>
          <cell r="DB65">
            <v>0</v>
          </cell>
          <cell r="DC65">
            <v>0</v>
          </cell>
          <cell r="DD65">
            <v>0</v>
          </cell>
          <cell r="DE65">
            <v>0</v>
          </cell>
          <cell r="DF65">
            <v>0</v>
          </cell>
          <cell r="DG65">
            <v>0</v>
          </cell>
          <cell r="DH65">
            <v>0</v>
          </cell>
          <cell r="DI65">
            <v>0</v>
          </cell>
          <cell r="DJ65">
            <v>0</v>
          </cell>
          <cell r="DK65">
            <v>0</v>
          </cell>
          <cell r="DL65">
            <v>0</v>
          </cell>
          <cell r="DM65">
            <v>0</v>
          </cell>
          <cell r="DN65">
            <v>0</v>
          </cell>
          <cell r="DO65">
            <v>0</v>
          </cell>
          <cell r="DP65">
            <v>0</v>
          </cell>
          <cell r="DQ65">
            <v>0</v>
          </cell>
          <cell r="DR65">
            <v>0</v>
          </cell>
          <cell r="DS65">
            <v>0</v>
          </cell>
          <cell r="DT65">
            <v>0</v>
          </cell>
          <cell r="DU65">
            <v>0</v>
          </cell>
          <cell r="DV65">
            <v>0</v>
          </cell>
          <cell r="DW65">
            <v>0</v>
          </cell>
          <cell r="DX65">
            <v>0</v>
          </cell>
          <cell r="DY65">
            <v>0</v>
          </cell>
          <cell r="EA65">
            <v>0</v>
          </cell>
          <cell r="EB65">
            <v>0</v>
          </cell>
          <cell r="EC65">
            <v>0</v>
          </cell>
          <cell r="ED65">
            <v>0.05</v>
          </cell>
          <cell r="EE65">
            <v>0.09</v>
          </cell>
          <cell r="EF65">
            <v>0.08</v>
          </cell>
          <cell r="EG65">
            <v>0.17</v>
          </cell>
          <cell r="EH65">
            <v>1</v>
          </cell>
          <cell r="EI65">
            <v>1</v>
          </cell>
          <cell r="EJ65">
            <v>1</v>
          </cell>
          <cell r="EK65">
            <v>1</v>
          </cell>
          <cell r="EL65">
            <v>0.05</v>
          </cell>
          <cell r="EM65">
            <v>0.14000000000000001</v>
          </cell>
          <cell r="EN65">
            <v>0.11</v>
          </cell>
          <cell r="EO65">
            <v>0.2</v>
          </cell>
          <cell r="EP65">
            <v>0</v>
          </cell>
          <cell r="EQ65">
            <v>0</v>
          </cell>
          <cell r="ER65">
            <v>0</v>
          </cell>
          <cell r="ES65">
            <v>0</v>
          </cell>
          <cell r="ET65">
            <v>0</v>
          </cell>
          <cell r="EU65">
            <v>0</v>
          </cell>
          <cell r="EV65">
            <v>0</v>
          </cell>
          <cell r="EW65">
            <v>0</v>
          </cell>
          <cell r="EX65">
            <v>1</v>
          </cell>
          <cell r="EY65">
            <v>1</v>
          </cell>
          <cell r="EZ65">
            <v>1</v>
          </cell>
          <cell r="FA65">
            <v>0</v>
          </cell>
          <cell r="FB65">
            <v>0</v>
          </cell>
          <cell r="FC65">
            <v>0</v>
          </cell>
          <cell r="FD65">
            <v>0</v>
          </cell>
          <cell r="FE65">
            <v>0</v>
          </cell>
          <cell r="FF65">
            <v>0</v>
          </cell>
          <cell r="FG65">
            <v>0</v>
          </cell>
          <cell r="FH65">
            <v>0</v>
          </cell>
          <cell r="FI65">
            <v>0</v>
          </cell>
          <cell r="FJ65">
            <v>0</v>
          </cell>
          <cell r="FK65">
            <v>0</v>
          </cell>
          <cell r="FL65">
            <v>0</v>
          </cell>
          <cell r="FM65">
            <v>0</v>
          </cell>
          <cell r="FN65">
            <v>0</v>
          </cell>
          <cell r="FO65">
            <v>0</v>
          </cell>
          <cell r="FP65">
            <v>0</v>
          </cell>
          <cell r="FQ65">
            <v>0</v>
          </cell>
          <cell r="FR65">
            <v>0</v>
          </cell>
          <cell r="FS65">
            <v>0</v>
          </cell>
          <cell r="FT65">
            <v>0</v>
          </cell>
          <cell r="FU65">
            <v>0</v>
          </cell>
          <cell r="FV65">
            <v>0</v>
          </cell>
          <cell r="FW65">
            <v>0</v>
          </cell>
          <cell r="FX65">
            <v>0</v>
          </cell>
          <cell r="FY65">
            <v>0</v>
          </cell>
          <cell r="FZ65">
            <v>0</v>
          </cell>
        </row>
        <row r="66">
          <cell r="A66" t="str">
            <v>F_CNP_NRF_RET_COL_FRCE_201</v>
          </cell>
          <cell r="B66">
            <v>0.1</v>
          </cell>
          <cell r="C66">
            <v>0.08</v>
          </cell>
          <cell r="D66">
            <v>0.15</v>
          </cell>
          <cell r="E66">
            <v>0.08</v>
          </cell>
          <cell r="F66">
            <v>0.15</v>
          </cell>
          <cell r="G66">
            <v>0.22</v>
          </cell>
          <cell r="H66">
            <v>7.0000000000000007E-2</v>
          </cell>
          <cell r="I66">
            <v>0.05</v>
          </cell>
          <cell r="J66">
            <v>0.13</v>
          </cell>
          <cell r="K66">
            <v>0.18</v>
          </cell>
          <cell r="L66">
            <v>0.17</v>
          </cell>
          <cell r="M66">
            <v>0.16</v>
          </cell>
          <cell r="N66">
            <v>0.8</v>
          </cell>
          <cell r="O66">
            <v>1</v>
          </cell>
          <cell r="P66">
            <v>1</v>
          </cell>
          <cell r="Q66">
            <v>0.8</v>
          </cell>
          <cell r="R66">
            <v>0.8</v>
          </cell>
          <cell r="S66">
            <v>1</v>
          </cell>
          <cell r="T66">
            <v>1</v>
          </cell>
          <cell r="U66">
            <v>1</v>
          </cell>
          <cell r="V66">
            <v>1</v>
          </cell>
          <cell r="W66">
            <v>1</v>
          </cell>
          <cell r="X66">
            <v>1</v>
          </cell>
          <cell r="Y66">
            <v>1</v>
          </cell>
          <cell r="Z66">
            <v>0.1</v>
          </cell>
          <cell r="AA66">
            <v>0.1</v>
          </cell>
          <cell r="AB66">
            <v>0.14000000000000001</v>
          </cell>
          <cell r="AC66">
            <v>0.11</v>
          </cell>
          <cell r="AD66">
            <v>0.11</v>
          </cell>
          <cell r="AE66">
            <v>0.19</v>
          </cell>
          <cell r="AF66">
            <v>0.09</v>
          </cell>
          <cell r="AG66">
            <v>0.11</v>
          </cell>
          <cell r="AH66">
            <v>0.15</v>
          </cell>
          <cell r="AI66">
            <v>0.2</v>
          </cell>
          <cell r="AJ66">
            <v>0.2</v>
          </cell>
          <cell r="AK66">
            <v>0.2</v>
          </cell>
          <cell r="AL66">
            <v>0</v>
          </cell>
          <cell r="AM66">
            <v>0</v>
          </cell>
          <cell r="AN66">
            <v>0</v>
          </cell>
          <cell r="AO66">
            <v>0</v>
          </cell>
          <cell r="AP66">
            <v>0</v>
          </cell>
          <cell r="AQ66">
            <v>0</v>
          </cell>
          <cell r="AR66">
            <v>0</v>
          </cell>
          <cell r="AS66">
            <v>0</v>
          </cell>
          <cell r="AT66">
            <v>0</v>
          </cell>
          <cell r="AU66">
            <v>0</v>
          </cell>
          <cell r="AV66">
            <v>0</v>
          </cell>
          <cell r="AW66">
            <v>0</v>
          </cell>
          <cell r="AX66">
            <v>0</v>
          </cell>
          <cell r="AY66">
            <v>0</v>
          </cell>
          <cell r="AZ66">
            <v>0</v>
          </cell>
          <cell r="BA66">
            <v>0</v>
          </cell>
          <cell r="BB66">
            <v>0</v>
          </cell>
          <cell r="BC66">
            <v>0</v>
          </cell>
          <cell r="BD66">
            <v>0</v>
          </cell>
          <cell r="BE66">
            <v>0</v>
          </cell>
          <cell r="BF66">
            <v>0</v>
          </cell>
          <cell r="BG66">
            <v>0</v>
          </cell>
          <cell r="BH66">
            <v>0</v>
          </cell>
          <cell r="BI66">
            <v>0</v>
          </cell>
          <cell r="BJ66">
            <v>0</v>
          </cell>
          <cell r="BK66">
            <v>0</v>
          </cell>
          <cell r="BL66">
            <v>0</v>
          </cell>
          <cell r="BM66">
            <v>0</v>
          </cell>
          <cell r="BN66">
            <v>0</v>
          </cell>
          <cell r="BO66">
            <v>0</v>
          </cell>
          <cell r="BP66">
            <v>0</v>
          </cell>
          <cell r="BQ66">
            <v>0</v>
          </cell>
          <cell r="BR66">
            <v>0</v>
          </cell>
          <cell r="BS66">
            <v>0</v>
          </cell>
          <cell r="BT66">
            <v>0</v>
          </cell>
          <cell r="BU66">
            <v>0</v>
          </cell>
          <cell r="BV66">
            <v>0</v>
          </cell>
          <cell r="BW66">
            <v>0</v>
          </cell>
          <cell r="BX66">
            <v>0</v>
          </cell>
          <cell r="BY66">
            <v>0</v>
          </cell>
          <cell r="BZ66">
            <v>0</v>
          </cell>
          <cell r="CA66">
            <v>0</v>
          </cell>
          <cell r="CB66">
            <v>0</v>
          </cell>
          <cell r="CC66">
            <v>0</v>
          </cell>
          <cell r="CD66">
            <v>0</v>
          </cell>
          <cell r="CE66">
            <v>0</v>
          </cell>
          <cell r="CF66">
            <v>0</v>
          </cell>
          <cell r="CG66">
            <v>0</v>
          </cell>
          <cell r="CH66">
            <v>0</v>
          </cell>
          <cell r="CI66">
            <v>0</v>
          </cell>
          <cell r="CJ66">
            <v>0</v>
          </cell>
          <cell r="CK66">
            <v>0</v>
          </cell>
          <cell r="CL66">
            <v>0</v>
          </cell>
          <cell r="CM66">
            <v>0</v>
          </cell>
          <cell r="CN66">
            <v>0</v>
          </cell>
          <cell r="CO66">
            <v>0</v>
          </cell>
          <cell r="CP66">
            <v>0</v>
          </cell>
          <cell r="CQ66">
            <v>0</v>
          </cell>
          <cell r="CR66">
            <v>0</v>
          </cell>
          <cell r="CS66">
            <v>0</v>
          </cell>
          <cell r="CT66">
            <v>0</v>
          </cell>
          <cell r="CU66">
            <v>0</v>
          </cell>
          <cell r="CV66">
            <v>0</v>
          </cell>
          <cell r="CW66">
            <v>0</v>
          </cell>
          <cell r="CX66">
            <v>0</v>
          </cell>
          <cell r="CY66">
            <v>0</v>
          </cell>
          <cell r="CZ66">
            <v>0</v>
          </cell>
          <cell r="DA66">
            <v>0</v>
          </cell>
          <cell r="DB66">
            <v>0</v>
          </cell>
          <cell r="DC66">
            <v>0</v>
          </cell>
          <cell r="DD66">
            <v>0</v>
          </cell>
          <cell r="DE66">
            <v>0</v>
          </cell>
          <cell r="DF66">
            <v>0</v>
          </cell>
          <cell r="DG66">
            <v>0</v>
          </cell>
          <cell r="DH66">
            <v>0</v>
          </cell>
          <cell r="DI66">
            <v>0</v>
          </cell>
          <cell r="DJ66">
            <v>0</v>
          </cell>
          <cell r="DK66">
            <v>0</v>
          </cell>
          <cell r="DL66">
            <v>0</v>
          </cell>
          <cell r="DM66">
            <v>0</v>
          </cell>
          <cell r="DN66">
            <v>0</v>
          </cell>
          <cell r="DO66">
            <v>0</v>
          </cell>
          <cell r="DP66">
            <v>0</v>
          </cell>
          <cell r="DQ66">
            <v>0</v>
          </cell>
          <cell r="DR66">
            <v>0</v>
          </cell>
          <cell r="DS66">
            <v>0</v>
          </cell>
          <cell r="DT66">
            <v>0</v>
          </cell>
          <cell r="DU66">
            <v>0</v>
          </cell>
          <cell r="DV66">
            <v>0</v>
          </cell>
          <cell r="DW66">
            <v>0</v>
          </cell>
          <cell r="DX66">
            <v>0</v>
          </cell>
          <cell r="DY66">
            <v>0</v>
          </cell>
          <cell r="EA66">
            <v>0</v>
          </cell>
          <cell r="EB66">
            <v>0</v>
          </cell>
          <cell r="EC66">
            <v>0</v>
          </cell>
          <cell r="ED66">
            <v>0.05</v>
          </cell>
          <cell r="EE66">
            <v>0.09</v>
          </cell>
          <cell r="EF66">
            <v>0.08</v>
          </cell>
          <cell r="EG66">
            <v>0.17</v>
          </cell>
          <cell r="EH66">
            <v>1</v>
          </cell>
          <cell r="EI66">
            <v>1</v>
          </cell>
          <cell r="EJ66">
            <v>1</v>
          </cell>
          <cell r="EK66">
            <v>1</v>
          </cell>
          <cell r="EL66">
            <v>0.05</v>
          </cell>
          <cell r="EM66">
            <v>0.14000000000000001</v>
          </cell>
          <cell r="EN66">
            <v>0.11</v>
          </cell>
          <cell r="EO66">
            <v>0.2</v>
          </cell>
          <cell r="EP66">
            <v>0</v>
          </cell>
          <cell r="EQ66">
            <v>0</v>
          </cell>
          <cell r="ER66">
            <v>0</v>
          </cell>
          <cell r="ES66">
            <v>0</v>
          </cell>
          <cell r="ET66">
            <v>0</v>
          </cell>
          <cell r="EU66">
            <v>0</v>
          </cell>
          <cell r="EV66">
            <v>0</v>
          </cell>
          <cell r="EW66">
            <v>0</v>
          </cell>
          <cell r="EX66">
            <v>1</v>
          </cell>
          <cell r="EY66">
            <v>1</v>
          </cell>
          <cell r="EZ66">
            <v>1</v>
          </cell>
          <cell r="FA66">
            <v>0</v>
          </cell>
          <cell r="FB66">
            <v>0</v>
          </cell>
          <cell r="FC66">
            <v>0</v>
          </cell>
          <cell r="FD66">
            <v>0</v>
          </cell>
          <cell r="FE66">
            <v>0</v>
          </cell>
          <cell r="FF66">
            <v>0</v>
          </cell>
          <cell r="FG66">
            <v>0</v>
          </cell>
          <cell r="FH66">
            <v>0</v>
          </cell>
          <cell r="FI66">
            <v>0</v>
          </cell>
          <cell r="FJ66">
            <v>0</v>
          </cell>
          <cell r="FK66">
            <v>0</v>
          </cell>
          <cell r="FL66">
            <v>0</v>
          </cell>
          <cell r="FM66">
            <v>0</v>
          </cell>
          <cell r="FN66">
            <v>0</v>
          </cell>
          <cell r="FO66">
            <v>0</v>
          </cell>
          <cell r="FP66">
            <v>0</v>
          </cell>
          <cell r="FQ66">
            <v>0</v>
          </cell>
          <cell r="FR66">
            <v>0</v>
          </cell>
          <cell r="FS66">
            <v>0</v>
          </cell>
          <cell r="FT66">
            <v>0</v>
          </cell>
          <cell r="FU66">
            <v>0</v>
          </cell>
          <cell r="FV66">
            <v>0</v>
          </cell>
          <cell r="FW66">
            <v>0</v>
          </cell>
          <cell r="FX66">
            <v>0</v>
          </cell>
          <cell r="FY66">
            <v>0</v>
          </cell>
          <cell r="FZ66">
            <v>0</v>
          </cell>
        </row>
        <row r="67">
          <cell r="A67" t="str">
            <v>F_CNP_NRF_RET_COL_FRCE_202</v>
          </cell>
          <cell r="B67">
            <v>0.1</v>
          </cell>
          <cell r="C67">
            <v>0.08</v>
          </cell>
          <cell r="D67">
            <v>0.15</v>
          </cell>
          <cell r="E67">
            <v>0.08</v>
          </cell>
          <cell r="F67">
            <v>0.15</v>
          </cell>
          <cell r="G67">
            <v>0.22</v>
          </cell>
          <cell r="H67">
            <v>7.0000000000000007E-2</v>
          </cell>
          <cell r="I67">
            <v>0.05</v>
          </cell>
          <cell r="J67">
            <v>0.13</v>
          </cell>
          <cell r="K67">
            <v>0.18</v>
          </cell>
          <cell r="L67">
            <v>0.17</v>
          </cell>
          <cell r="M67">
            <v>0.16</v>
          </cell>
          <cell r="N67">
            <v>0.8</v>
          </cell>
          <cell r="O67">
            <v>1</v>
          </cell>
          <cell r="P67">
            <v>1</v>
          </cell>
          <cell r="Q67">
            <v>0.8</v>
          </cell>
          <cell r="R67">
            <v>0.8</v>
          </cell>
          <cell r="S67">
            <v>1</v>
          </cell>
          <cell r="T67">
            <v>1</v>
          </cell>
          <cell r="U67">
            <v>1</v>
          </cell>
          <cell r="V67">
            <v>1</v>
          </cell>
          <cell r="W67">
            <v>1</v>
          </cell>
          <cell r="X67">
            <v>1</v>
          </cell>
          <cell r="Y67">
            <v>1</v>
          </cell>
          <cell r="Z67">
            <v>0.1</v>
          </cell>
          <cell r="AA67">
            <v>0.1</v>
          </cell>
          <cell r="AB67">
            <v>0.14000000000000001</v>
          </cell>
          <cell r="AC67">
            <v>0.11</v>
          </cell>
          <cell r="AD67">
            <v>0.11</v>
          </cell>
          <cell r="AE67">
            <v>0.19</v>
          </cell>
          <cell r="AF67">
            <v>0.09</v>
          </cell>
          <cell r="AG67">
            <v>0.11</v>
          </cell>
          <cell r="AH67">
            <v>0.15</v>
          </cell>
          <cell r="AI67">
            <v>0.2</v>
          </cell>
          <cell r="AJ67">
            <v>0.2</v>
          </cell>
          <cell r="AK67">
            <v>0.2</v>
          </cell>
          <cell r="AL67">
            <v>0</v>
          </cell>
          <cell r="AM67">
            <v>0</v>
          </cell>
          <cell r="AN67">
            <v>0</v>
          </cell>
          <cell r="AO67">
            <v>0</v>
          </cell>
          <cell r="AP67">
            <v>0</v>
          </cell>
          <cell r="AQ67">
            <v>0</v>
          </cell>
          <cell r="AR67">
            <v>0</v>
          </cell>
          <cell r="AS67">
            <v>0</v>
          </cell>
          <cell r="AT67">
            <v>0</v>
          </cell>
          <cell r="AU67">
            <v>0</v>
          </cell>
          <cell r="AV67">
            <v>0</v>
          </cell>
          <cell r="AW67">
            <v>0</v>
          </cell>
          <cell r="AX67">
            <v>0</v>
          </cell>
          <cell r="AY67">
            <v>0</v>
          </cell>
          <cell r="AZ67">
            <v>0</v>
          </cell>
          <cell r="BA67">
            <v>0</v>
          </cell>
          <cell r="BB67">
            <v>0</v>
          </cell>
          <cell r="BC67">
            <v>0</v>
          </cell>
          <cell r="BD67">
            <v>0</v>
          </cell>
          <cell r="BE67">
            <v>0</v>
          </cell>
          <cell r="BF67">
            <v>0</v>
          </cell>
          <cell r="BG67">
            <v>0</v>
          </cell>
          <cell r="BH67">
            <v>0</v>
          </cell>
          <cell r="BI67">
            <v>0</v>
          </cell>
          <cell r="BJ67">
            <v>0</v>
          </cell>
          <cell r="BK67">
            <v>0</v>
          </cell>
          <cell r="BL67">
            <v>0</v>
          </cell>
          <cell r="BM67">
            <v>0</v>
          </cell>
          <cell r="BN67">
            <v>0</v>
          </cell>
          <cell r="BO67">
            <v>0</v>
          </cell>
          <cell r="BP67">
            <v>0</v>
          </cell>
          <cell r="BQ67">
            <v>0</v>
          </cell>
          <cell r="BR67">
            <v>0</v>
          </cell>
          <cell r="BS67">
            <v>0</v>
          </cell>
          <cell r="BT67">
            <v>0</v>
          </cell>
          <cell r="BU67">
            <v>0</v>
          </cell>
          <cell r="BV67">
            <v>0</v>
          </cell>
          <cell r="BW67">
            <v>0</v>
          </cell>
          <cell r="BX67">
            <v>0</v>
          </cell>
          <cell r="BY67">
            <v>0</v>
          </cell>
          <cell r="BZ67">
            <v>0</v>
          </cell>
          <cell r="CA67">
            <v>0</v>
          </cell>
          <cell r="CB67">
            <v>0</v>
          </cell>
          <cell r="CC67">
            <v>0</v>
          </cell>
          <cell r="CD67">
            <v>0</v>
          </cell>
          <cell r="CE67">
            <v>0</v>
          </cell>
          <cell r="CF67">
            <v>0</v>
          </cell>
          <cell r="CG67">
            <v>0</v>
          </cell>
          <cell r="CH67">
            <v>0</v>
          </cell>
          <cell r="CI67">
            <v>0</v>
          </cell>
          <cell r="CJ67">
            <v>0</v>
          </cell>
          <cell r="CK67">
            <v>0</v>
          </cell>
          <cell r="CL67">
            <v>0</v>
          </cell>
          <cell r="CM67">
            <v>0</v>
          </cell>
          <cell r="CN67">
            <v>0</v>
          </cell>
          <cell r="CO67">
            <v>0</v>
          </cell>
          <cell r="CP67">
            <v>0</v>
          </cell>
          <cell r="CQ67">
            <v>0</v>
          </cell>
          <cell r="CR67">
            <v>0</v>
          </cell>
          <cell r="CS67">
            <v>0</v>
          </cell>
          <cell r="CT67">
            <v>0</v>
          </cell>
          <cell r="CU67">
            <v>0</v>
          </cell>
          <cell r="CV67">
            <v>0</v>
          </cell>
          <cell r="CW67">
            <v>0</v>
          </cell>
          <cell r="CX67">
            <v>0</v>
          </cell>
          <cell r="CY67">
            <v>0</v>
          </cell>
          <cell r="CZ67">
            <v>0</v>
          </cell>
          <cell r="DA67">
            <v>0</v>
          </cell>
          <cell r="DB67">
            <v>0</v>
          </cell>
          <cell r="DC67">
            <v>0</v>
          </cell>
          <cell r="DD67">
            <v>0</v>
          </cell>
          <cell r="DE67">
            <v>0</v>
          </cell>
          <cell r="DF67">
            <v>0</v>
          </cell>
          <cell r="DG67">
            <v>0</v>
          </cell>
          <cell r="DH67">
            <v>0</v>
          </cell>
          <cell r="DI67">
            <v>0</v>
          </cell>
          <cell r="DJ67">
            <v>0</v>
          </cell>
          <cell r="DK67">
            <v>0</v>
          </cell>
          <cell r="DL67">
            <v>0</v>
          </cell>
          <cell r="DM67">
            <v>0</v>
          </cell>
          <cell r="DN67">
            <v>0</v>
          </cell>
          <cell r="DO67">
            <v>0</v>
          </cell>
          <cell r="DP67">
            <v>0</v>
          </cell>
          <cell r="DQ67">
            <v>0</v>
          </cell>
          <cell r="DR67">
            <v>0</v>
          </cell>
          <cell r="DS67">
            <v>0</v>
          </cell>
          <cell r="DT67">
            <v>0</v>
          </cell>
          <cell r="DU67">
            <v>0</v>
          </cell>
          <cell r="DV67">
            <v>0</v>
          </cell>
          <cell r="DW67">
            <v>0</v>
          </cell>
          <cell r="DX67">
            <v>0</v>
          </cell>
          <cell r="DY67">
            <v>0</v>
          </cell>
          <cell r="EA67">
            <v>0</v>
          </cell>
          <cell r="EB67">
            <v>0</v>
          </cell>
          <cell r="EC67">
            <v>0</v>
          </cell>
          <cell r="ED67">
            <v>0.05</v>
          </cell>
          <cell r="EE67">
            <v>0.09</v>
          </cell>
          <cell r="EF67">
            <v>0.08</v>
          </cell>
          <cell r="EG67">
            <v>0.17</v>
          </cell>
          <cell r="EH67">
            <v>1</v>
          </cell>
          <cell r="EI67">
            <v>1</v>
          </cell>
          <cell r="EJ67">
            <v>1</v>
          </cell>
          <cell r="EK67">
            <v>1</v>
          </cell>
          <cell r="EL67">
            <v>0.05</v>
          </cell>
          <cell r="EM67">
            <v>0.14000000000000001</v>
          </cell>
          <cell r="EN67">
            <v>0.11</v>
          </cell>
          <cell r="EO67">
            <v>0.2</v>
          </cell>
          <cell r="EP67">
            <v>0</v>
          </cell>
          <cell r="EQ67">
            <v>0</v>
          </cell>
          <cell r="ER67">
            <v>0</v>
          </cell>
          <cell r="ES67">
            <v>0</v>
          </cell>
          <cell r="ET67">
            <v>0</v>
          </cell>
          <cell r="EU67">
            <v>0</v>
          </cell>
          <cell r="EV67">
            <v>0</v>
          </cell>
          <cell r="EW67">
            <v>0</v>
          </cell>
          <cell r="EX67">
            <v>1</v>
          </cell>
          <cell r="EY67">
            <v>1</v>
          </cell>
          <cell r="EZ67">
            <v>1</v>
          </cell>
          <cell r="FA67">
            <v>0</v>
          </cell>
          <cell r="FB67">
            <v>0</v>
          </cell>
          <cell r="FC67">
            <v>0</v>
          </cell>
          <cell r="FD67">
            <v>0</v>
          </cell>
          <cell r="FE67">
            <v>0</v>
          </cell>
          <cell r="FF67">
            <v>0</v>
          </cell>
          <cell r="FG67">
            <v>0</v>
          </cell>
          <cell r="FH67">
            <v>0</v>
          </cell>
          <cell r="FI67">
            <v>0</v>
          </cell>
          <cell r="FJ67">
            <v>0</v>
          </cell>
          <cell r="FK67">
            <v>0</v>
          </cell>
          <cell r="FL67">
            <v>0</v>
          </cell>
          <cell r="FM67">
            <v>0</v>
          </cell>
          <cell r="FN67">
            <v>0</v>
          </cell>
          <cell r="FO67">
            <v>0</v>
          </cell>
          <cell r="FP67">
            <v>0</v>
          </cell>
          <cell r="FQ67">
            <v>0</v>
          </cell>
          <cell r="FR67">
            <v>0</v>
          </cell>
          <cell r="FS67">
            <v>0</v>
          </cell>
          <cell r="FT67">
            <v>0</v>
          </cell>
          <cell r="FU67">
            <v>0</v>
          </cell>
          <cell r="FV67">
            <v>0</v>
          </cell>
          <cell r="FW67">
            <v>0</v>
          </cell>
          <cell r="FX67">
            <v>0</v>
          </cell>
          <cell r="FY67">
            <v>0</v>
          </cell>
          <cell r="FZ67">
            <v>0</v>
          </cell>
        </row>
        <row r="68">
          <cell r="A68" t="str">
            <v>F_CNP_NRF_RET_COL_FRCE_211</v>
          </cell>
          <cell r="B68">
            <v>0.1</v>
          </cell>
          <cell r="C68">
            <v>0.08</v>
          </cell>
          <cell r="D68">
            <v>0.15</v>
          </cell>
          <cell r="E68">
            <v>0.08</v>
          </cell>
          <cell r="F68">
            <v>0.15</v>
          </cell>
          <cell r="G68">
            <v>0.22</v>
          </cell>
          <cell r="H68">
            <v>7.0000000000000007E-2</v>
          </cell>
          <cell r="I68">
            <v>0.05</v>
          </cell>
          <cell r="J68">
            <v>0.13</v>
          </cell>
          <cell r="K68">
            <v>0.18</v>
          </cell>
          <cell r="L68">
            <v>0.17</v>
          </cell>
          <cell r="M68">
            <v>0.16</v>
          </cell>
          <cell r="N68">
            <v>0.8</v>
          </cell>
          <cell r="O68">
            <v>1</v>
          </cell>
          <cell r="P68">
            <v>1</v>
          </cell>
          <cell r="Q68">
            <v>0.8</v>
          </cell>
          <cell r="R68">
            <v>0.8</v>
          </cell>
          <cell r="S68">
            <v>1</v>
          </cell>
          <cell r="T68">
            <v>1</v>
          </cell>
          <cell r="U68">
            <v>1</v>
          </cell>
          <cell r="V68">
            <v>1</v>
          </cell>
          <cell r="W68">
            <v>1</v>
          </cell>
          <cell r="X68">
            <v>1</v>
          </cell>
          <cell r="Y68">
            <v>1</v>
          </cell>
          <cell r="Z68">
            <v>0.1</v>
          </cell>
          <cell r="AA68">
            <v>0.1</v>
          </cell>
          <cell r="AB68">
            <v>0.14000000000000001</v>
          </cell>
          <cell r="AC68">
            <v>0.11</v>
          </cell>
          <cell r="AD68">
            <v>0.11</v>
          </cell>
          <cell r="AE68">
            <v>0.19</v>
          </cell>
          <cell r="AF68">
            <v>0.09</v>
          </cell>
          <cell r="AG68">
            <v>0.11</v>
          </cell>
          <cell r="AH68">
            <v>0.15</v>
          </cell>
          <cell r="AI68">
            <v>0.2</v>
          </cell>
          <cell r="AJ68">
            <v>0.2</v>
          </cell>
          <cell r="AK68">
            <v>0.2</v>
          </cell>
          <cell r="AL68">
            <v>0</v>
          </cell>
          <cell r="AM68">
            <v>0</v>
          </cell>
          <cell r="AN68">
            <v>0</v>
          </cell>
          <cell r="AO68">
            <v>0</v>
          </cell>
          <cell r="AP68">
            <v>0</v>
          </cell>
          <cell r="AQ68">
            <v>0</v>
          </cell>
          <cell r="AR68">
            <v>0</v>
          </cell>
          <cell r="AS68">
            <v>0</v>
          </cell>
          <cell r="AT68">
            <v>0</v>
          </cell>
          <cell r="AU68">
            <v>0</v>
          </cell>
          <cell r="AV68">
            <v>0</v>
          </cell>
          <cell r="AW68">
            <v>0</v>
          </cell>
          <cell r="AX68">
            <v>0</v>
          </cell>
          <cell r="AY68">
            <v>0</v>
          </cell>
          <cell r="AZ68">
            <v>0</v>
          </cell>
          <cell r="BA68">
            <v>0</v>
          </cell>
          <cell r="BB68">
            <v>0</v>
          </cell>
          <cell r="BC68">
            <v>0</v>
          </cell>
          <cell r="BD68">
            <v>0</v>
          </cell>
          <cell r="BE68">
            <v>0</v>
          </cell>
          <cell r="BF68">
            <v>0</v>
          </cell>
          <cell r="BG68">
            <v>0</v>
          </cell>
          <cell r="BH68">
            <v>0</v>
          </cell>
          <cell r="BI68">
            <v>0</v>
          </cell>
          <cell r="BJ68">
            <v>0</v>
          </cell>
          <cell r="BK68">
            <v>0</v>
          </cell>
          <cell r="BL68">
            <v>0</v>
          </cell>
          <cell r="BM68">
            <v>0</v>
          </cell>
          <cell r="BN68">
            <v>0</v>
          </cell>
          <cell r="BO68">
            <v>0</v>
          </cell>
          <cell r="BP68">
            <v>0</v>
          </cell>
          <cell r="BQ68">
            <v>0</v>
          </cell>
          <cell r="BR68">
            <v>0</v>
          </cell>
          <cell r="BS68">
            <v>0</v>
          </cell>
          <cell r="BT68">
            <v>0</v>
          </cell>
          <cell r="BU68">
            <v>0</v>
          </cell>
          <cell r="BV68">
            <v>0</v>
          </cell>
          <cell r="BW68">
            <v>0</v>
          </cell>
          <cell r="BX68">
            <v>0</v>
          </cell>
          <cell r="BY68">
            <v>0</v>
          </cell>
          <cell r="BZ68">
            <v>0</v>
          </cell>
          <cell r="CA68">
            <v>0</v>
          </cell>
          <cell r="CB68">
            <v>0</v>
          </cell>
          <cell r="CC68">
            <v>0</v>
          </cell>
          <cell r="CD68">
            <v>0</v>
          </cell>
          <cell r="CE68">
            <v>0</v>
          </cell>
          <cell r="CF68">
            <v>0</v>
          </cell>
          <cell r="CG68">
            <v>0</v>
          </cell>
          <cell r="CH68">
            <v>0</v>
          </cell>
          <cell r="CI68">
            <v>0</v>
          </cell>
          <cell r="CJ68">
            <v>0</v>
          </cell>
          <cell r="CK68">
            <v>0</v>
          </cell>
          <cell r="CL68">
            <v>0</v>
          </cell>
          <cell r="CM68">
            <v>0</v>
          </cell>
          <cell r="CN68">
            <v>0</v>
          </cell>
          <cell r="CO68">
            <v>0</v>
          </cell>
          <cell r="CP68">
            <v>0</v>
          </cell>
          <cell r="CQ68">
            <v>0</v>
          </cell>
          <cell r="CR68">
            <v>0</v>
          </cell>
          <cell r="CS68">
            <v>0</v>
          </cell>
          <cell r="CT68">
            <v>0</v>
          </cell>
          <cell r="CU68">
            <v>0</v>
          </cell>
          <cell r="CV68">
            <v>0</v>
          </cell>
          <cell r="CW68">
            <v>0</v>
          </cell>
          <cell r="CX68">
            <v>0</v>
          </cell>
          <cell r="CY68">
            <v>0</v>
          </cell>
          <cell r="CZ68">
            <v>0</v>
          </cell>
          <cell r="DA68">
            <v>0</v>
          </cell>
          <cell r="DB68">
            <v>0</v>
          </cell>
          <cell r="DC68">
            <v>0</v>
          </cell>
          <cell r="DD68">
            <v>0</v>
          </cell>
          <cell r="DE68">
            <v>0</v>
          </cell>
          <cell r="DF68">
            <v>0</v>
          </cell>
          <cell r="DG68">
            <v>0</v>
          </cell>
          <cell r="DH68">
            <v>0</v>
          </cell>
          <cell r="DI68">
            <v>0</v>
          </cell>
          <cell r="DJ68">
            <v>0</v>
          </cell>
          <cell r="DK68">
            <v>0</v>
          </cell>
          <cell r="DL68">
            <v>0</v>
          </cell>
          <cell r="DM68">
            <v>0</v>
          </cell>
          <cell r="DN68">
            <v>0</v>
          </cell>
          <cell r="DO68">
            <v>0</v>
          </cell>
          <cell r="DP68">
            <v>0</v>
          </cell>
          <cell r="DQ68">
            <v>0</v>
          </cell>
          <cell r="DR68">
            <v>0</v>
          </cell>
          <cell r="DS68">
            <v>0</v>
          </cell>
          <cell r="DT68">
            <v>0</v>
          </cell>
          <cell r="DU68">
            <v>0</v>
          </cell>
          <cell r="DV68">
            <v>0</v>
          </cell>
          <cell r="DW68">
            <v>0</v>
          </cell>
          <cell r="DX68">
            <v>0</v>
          </cell>
          <cell r="DY68">
            <v>0</v>
          </cell>
          <cell r="EA68">
            <v>0</v>
          </cell>
          <cell r="EB68">
            <v>0</v>
          </cell>
          <cell r="EC68">
            <v>0</v>
          </cell>
          <cell r="ED68">
            <v>0.05</v>
          </cell>
          <cell r="EE68">
            <v>0.09</v>
          </cell>
          <cell r="EF68">
            <v>0.08</v>
          </cell>
          <cell r="EG68">
            <v>0.17</v>
          </cell>
          <cell r="EH68">
            <v>1</v>
          </cell>
          <cell r="EI68">
            <v>1</v>
          </cell>
          <cell r="EJ68">
            <v>1</v>
          </cell>
          <cell r="EK68">
            <v>1</v>
          </cell>
          <cell r="EL68">
            <v>0.05</v>
          </cell>
          <cell r="EM68">
            <v>0.14000000000000001</v>
          </cell>
          <cell r="EN68">
            <v>0.11</v>
          </cell>
          <cell r="EO68">
            <v>0.2</v>
          </cell>
          <cell r="EP68">
            <v>0</v>
          </cell>
          <cell r="EQ68">
            <v>0</v>
          </cell>
          <cell r="ER68">
            <v>0</v>
          </cell>
          <cell r="ES68">
            <v>0</v>
          </cell>
          <cell r="ET68">
            <v>0</v>
          </cell>
          <cell r="EU68">
            <v>0</v>
          </cell>
          <cell r="EV68">
            <v>0</v>
          </cell>
          <cell r="EW68">
            <v>0</v>
          </cell>
          <cell r="EX68">
            <v>1</v>
          </cell>
          <cell r="EY68">
            <v>1</v>
          </cell>
          <cell r="EZ68">
            <v>1</v>
          </cell>
          <cell r="FA68">
            <v>0</v>
          </cell>
          <cell r="FB68">
            <v>0</v>
          </cell>
          <cell r="FC68">
            <v>0</v>
          </cell>
          <cell r="FD68">
            <v>0</v>
          </cell>
          <cell r="FE68">
            <v>0</v>
          </cell>
          <cell r="FF68">
            <v>0</v>
          </cell>
          <cell r="FG68">
            <v>0</v>
          </cell>
          <cell r="FH68">
            <v>0</v>
          </cell>
          <cell r="FI68">
            <v>0</v>
          </cell>
          <cell r="FJ68">
            <v>0</v>
          </cell>
          <cell r="FK68">
            <v>0</v>
          </cell>
          <cell r="FL68">
            <v>0</v>
          </cell>
          <cell r="FM68">
            <v>0</v>
          </cell>
          <cell r="FN68">
            <v>0</v>
          </cell>
          <cell r="FO68">
            <v>0</v>
          </cell>
          <cell r="FP68">
            <v>0</v>
          </cell>
          <cell r="FQ68">
            <v>0</v>
          </cell>
          <cell r="FR68">
            <v>0</v>
          </cell>
          <cell r="FS68">
            <v>0</v>
          </cell>
          <cell r="FT68">
            <v>0</v>
          </cell>
          <cell r="FU68">
            <v>0</v>
          </cell>
          <cell r="FV68">
            <v>0</v>
          </cell>
          <cell r="FW68">
            <v>0</v>
          </cell>
          <cell r="FX68">
            <v>0</v>
          </cell>
          <cell r="FY68">
            <v>0</v>
          </cell>
          <cell r="FZ68">
            <v>0</v>
          </cell>
        </row>
        <row r="69">
          <cell r="A69" t="str">
            <v>F_CNP_NRF_RET_COL_FRCE_217</v>
          </cell>
          <cell r="B69">
            <v>0.1</v>
          </cell>
          <cell r="C69">
            <v>0.08</v>
          </cell>
          <cell r="D69">
            <v>0.15</v>
          </cell>
          <cell r="E69">
            <v>0.08</v>
          </cell>
          <cell r="F69">
            <v>0.15</v>
          </cell>
          <cell r="G69">
            <v>0.22</v>
          </cell>
          <cell r="H69">
            <v>7.0000000000000007E-2</v>
          </cell>
          <cell r="I69">
            <v>0.05</v>
          </cell>
          <cell r="J69">
            <v>0.13</v>
          </cell>
          <cell r="K69">
            <v>0.18</v>
          </cell>
          <cell r="L69">
            <v>0.17</v>
          </cell>
          <cell r="M69">
            <v>0.16</v>
          </cell>
          <cell r="N69">
            <v>0.8</v>
          </cell>
          <cell r="O69">
            <v>1</v>
          </cell>
          <cell r="P69">
            <v>1</v>
          </cell>
          <cell r="Q69">
            <v>0.8</v>
          </cell>
          <cell r="R69">
            <v>0.8</v>
          </cell>
          <cell r="S69">
            <v>1</v>
          </cell>
          <cell r="T69">
            <v>1</v>
          </cell>
          <cell r="U69">
            <v>1</v>
          </cell>
          <cell r="V69">
            <v>1</v>
          </cell>
          <cell r="W69">
            <v>1</v>
          </cell>
          <cell r="X69">
            <v>1</v>
          </cell>
          <cell r="Y69">
            <v>1</v>
          </cell>
          <cell r="Z69">
            <v>0.1</v>
          </cell>
          <cell r="AA69">
            <v>0.1</v>
          </cell>
          <cell r="AB69">
            <v>0.14000000000000001</v>
          </cell>
          <cell r="AC69">
            <v>0.11</v>
          </cell>
          <cell r="AD69">
            <v>0.11</v>
          </cell>
          <cell r="AE69">
            <v>0.19</v>
          </cell>
          <cell r="AF69">
            <v>0.09</v>
          </cell>
          <cell r="AG69">
            <v>0.11</v>
          </cell>
          <cell r="AH69">
            <v>0.15</v>
          </cell>
          <cell r="AI69">
            <v>0.2</v>
          </cell>
          <cell r="AJ69">
            <v>0.2</v>
          </cell>
          <cell r="AK69">
            <v>0.2</v>
          </cell>
          <cell r="AL69">
            <v>0</v>
          </cell>
          <cell r="AM69">
            <v>0</v>
          </cell>
          <cell r="AN69">
            <v>0</v>
          </cell>
          <cell r="AO69">
            <v>0</v>
          </cell>
          <cell r="AP69">
            <v>0</v>
          </cell>
          <cell r="AQ69">
            <v>0</v>
          </cell>
          <cell r="AR69">
            <v>0</v>
          </cell>
          <cell r="AS69">
            <v>0</v>
          </cell>
          <cell r="AT69">
            <v>0</v>
          </cell>
          <cell r="AU69">
            <v>0</v>
          </cell>
          <cell r="AV69">
            <v>0</v>
          </cell>
          <cell r="AW69">
            <v>0</v>
          </cell>
          <cell r="AX69">
            <v>0</v>
          </cell>
          <cell r="AY69">
            <v>0</v>
          </cell>
          <cell r="AZ69">
            <v>0</v>
          </cell>
          <cell r="BA69">
            <v>0</v>
          </cell>
          <cell r="BB69">
            <v>0</v>
          </cell>
          <cell r="BC69">
            <v>0</v>
          </cell>
          <cell r="BD69">
            <v>0</v>
          </cell>
          <cell r="BE69">
            <v>0</v>
          </cell>
          <cell r="BF69">
            <v>0</v>
          </cell>
          <cell r="BG69">
            <v>0</v>
          </cell>
          <cell r="BH69">
            <v>0</v>
          </cell>
          <cell r="BI69">
            <v>0</v>
          </cell>
          <cell r="BJ69">
            <v>0</v>
          </cell>
          <cell r="BK69">
            <v>0</v>
          </cell>
          <cell r="BL69">
            <v>0</v>
          </cell>
          <cell r="BM69">
            <v>0</v>
          </cell>
          <cell r="BN69">
            <v>0</v>
          </cell>
          <cell r="BO69">
            <v>0</v>
          </cell>
          <cell r="BP69">
            <v>0</v>
          </cell>
          <cell r="BQ69">
            <v>0</v>
          </cell>
          <cell r="BR69">
            <v>0</v>
          </cell>
          <cell r="BS69">
            <v>0</v>
          </cell>
          <cell r="BT69">
            <v>0</v>
          </cell>
          <cell r="BU69">
            <v>0</v>
          </cell>
          <cell r="BV69">
            <v>0</v>
          </cell>
          <cell r="BW69">
            <v>0</v>
          </cell>
          <cell r="BX69">
            <v>0</v>
          </cell>
          <cell r="BY69">
            <v>0</v>
          </cell>
          <cell r="BZ69">
            <v>0</v>
          </cell>
          <cell r="CA69">
            <v>0</v>
          </cell>
          <cell r="CB69">
            <v>0</v>
          </cell>
          <cell r="CC69">
            <v>0</v>
          </cell>
          <cell r="CD69">
            <v>0</v>
          </cell>
          <cell r="CE69">
            <v>0</v>
          </cell>
          <cell r="CF69">
            <v>0</v>
          </cell>
          <cell r="CG69">
            <v>0</v>
          </cell>
          <cell r="CH69">
            <v>0</v>
          </cell>
          <cell r="CI69">
            <v>0</v>
          </cell>
          <cell r="CJ69">
            <v>0</v>
          </cell>
          <cell r="CK69">
            <v>0</v>
          </cell>
          <cell r="CL69">
            <v>0</v>
          </cell>
          <cell r="CM69">
            <v>0</v>
          </cell>
          <cell r="CN69">
            <v>0</v>
          </cell>
          <cell r="CO69">
            <v>0</v>
          </cell>
          <cell r="CP69">
            <v>0</v>
          </cell>
          <cell r="CQ69">
            <v>0</v>
          </cell>
          <cell r="CR69">
            <v>0</v>
          </cell>
          <cell r="CS69">
            <v>0</v>
          </cell>
          <cell r="CT69">
            <v>0</v>
          </cell>
          <cell r="CU69">
            <v>0</v>
          </cell>
          <cell r="CV69">
            <v>0</v>
          </cell>
          <cell r="CW69">
            <v>0</v>
          </cell>
          <cell r="CX69">
            <v>0</v>
          </cell>
          <cell r="CY69">
            <v>0</v>
          </cell>
          <cell r="CZ69">
            <v>0</v>
          </cell>
          <cell r="DA69">
            <v>0</v>
          </cell>
          <cell r="DB69">
            <v>0</v>
          </cell>
          <cell r="DC69">
            <v>0</v>
          </cell>
          <cell r="DD69">
            <v>0</v>
          </cell>
          <cell r="DE69">
            <v>0</v>
          </cell>
          <cell r="DF69">
            <v>0</v>
          </cell>
          <cell r="DG69">
            <v>0</v>
          </cell>
          <cell r="DH69">
            <v>0</v>
          </cell>
          <cell r="DI69">
            <v>0</v>
          </cell>
          <cell r="DJ69">
            <v>0</v>
          </cell>
          <cell r="DK69">
            <v>0</v>
          </cell>
          <cell r="DL69">
            <v>0</v>
          </cell>
          <cell r="DM69">
            <v>0</v>
          </cell>
          <cell r="DN69">
            <v>0</v>
          </cell>
          <cell r="DO69">
            <v>0</v>
          </cell>
          <cell r="DP69">
            <v>0</v>
          </cell>
          <cell r="DQ69">
            <v>0</v>
          </cell>
          <cell r="DR69">
            <v>0</v>
          </cell>
          <cell r="DS69">
            <v>0</v>
          </cell>
          <cell r="DT69">
            <v>0</v>
          </cell>
          <cell r="DU69">
            <v>0</v>
          </cell>
          <cell r="DV69">
            <v>0</v>
          </cell>
          <cell r="DW69">
            <v>0</v>
          </cell>
          <cell r="DX69">
            <v>0</v>
          </cell>
          <cell r="DY69">
            <v>0</v>
          </cell>
          <cell r="EA69">
            <v>0</v>
          </cell>
          <cell r="EB69">
            <v>0</v>
          </cell>
          <cell r="EC69">
            <v>0</v>
          </cell>
          <cell r="ED69">
            <v>0.05</v>
          </cell>
          <cell r="EE69">
            <v>0.09</v>
          </cell>
          <cell r="EF69">
            <v>0.08</v>
          </cell>
          <cell r="EG69">
            <v>0.17</v>
          </cell>
          <cell r="EH69">
            <v>1</v>
          </cell>
          <cell r="EI69">
            <v>1</v>
          </cell>
          <cell r="EJ69">
            <v>1</v>
          </cell>
          <cell r="EK69">
            <v>1</v>
          </cell>
          <cell r="EL69">
            <v>0.05</v>
          </cell>
          <cell r="EM69">
            <v>0.14000000000000001</v>
          </cell>
          <cell r="EN69">
            <v>0.11</v>
          </cell>
          <cell r="EO69">
            <v>0.2</v>
          </cell>
          <cell r="EP69">
            <v>0</v>
          </cell>
          <cell r="EQ69">
            <v>0</v>
          </cell>
          <cell r="ER69">
            <v>0</v>
          </cell>
          <cell r="ES69">
            <v>0</v>
          </cell>
          <cell r="ET69">
            <v>0</v>
          </cell>
          <cell r="EU69">
            <v>0</v>
          </cell>
          <cell r="EV69">
            <v>0</v>
          </cell>
          <cell r="EW69">
            <v>0</v>
          </cell>
          <cell r="EX69">
            <v>1</v>
          </cell>
          <cell r="EY69">
            <v>1</v>
          </cell>
          <cell r="EZ69">
            <v>1</v>
          </cell>
          <cell r="FA69">
            <v>0</v>
          </cell>
          <cell r="FB69">
            <v>0</v>
          </cell>
          <cell r="FC69">
            <v>0</v>
          </cell>
          <cell r="FD69">
            <v>0</v>
          </cell>
          <cell r="FE69">
            <v>0</v>
          </cell>
          <cell r="FF69">
            <v>0</v>
          </cell>
          <cell r="FG69">
            <v>0</v>
          </cell>
          <cell r="FH69">
            <v>0</v>
          </cell>
          <cell r="FI69">
            <v>0</v>
          </cell>
          <cell r="FJ69">
            <v>0</v>
          </cell>
          <cell r="FK69">
            <v>0</v>
          </cell>
          <cell r="FL69">
            <v>0</v>
          </cell>
          <cell r="FM69">
            <v>0</v>
          </cell>
          <cell r="FN69">
            <v>0</v>
          </cell>
          <cell r="FO69">
            <v>0</v>
          </cell>
          <cell r="FP69">
            <v>0</v>
          </cell>
          <cell r="FQ69">
            <v>0</v>
          </cell>
          <cell r="FR69">
            <v>0</v>
          </cell>
          <cell r="FS69">
            <v>0</v>
          </cell>
          <cell r="FT69">
            <v>0</v>
          </cell>
          <cell r="FU69">
            <v>0</v>
          </cell>
          <cell r="FV69">
            <v>0</v>
          </cell>
          <cell r="FW69">
            <v>0</v>
          </cell>
          <cell r="FX69">
            <v>0</v>
          </cell>
          <cell r="FY69">
            <v>0</v>
          </cell>
          <cell r="FZ69">
            <v>0</v>
          </cell>
        </row>
        <row r="70">
          <cell r="A70" t="str">
            <v>F_CNP_NRF_RET_COL_FRCE_235</v>
          </cell>
          <cell r="B70">
            <v>0.1</v>
          </cell>
          <cell r="C70">
            <v>0.08</v>
          </cell>
          <cell r="D70">
            <v>0.15</v>
          </cell>
          <cell r="E70">
            <v>0.08</v>
          </cell>
          <cell r="F70">
            <v>0.15</v>
          </cell>
          <cell r="G70">
            <v>0.22</v>
          </cell>
          <cell r="H70">
            <v>7.0000000000000007E-2</v>
          </cell>
          <cell r="I70">
            <v>0.05</v>
          </cell>
          <cell r="J70">
            <v>0.13</v>
          </cell>
          <cell r="K70">
            <v>0.18</v>
          </cell>
          <cell r="L70">
            <v>0.17</v>
          </cell>
          <cell r="M70">
            <v>0.16</v>
          </cell>
          <cell r="N70">
            <v>0.8</v>
          </cell>
          <cell r="O70">
            <v>1</v>
          </cell>
          <cell r="P70">
            <v>1</v>
          </cell>
          <cell r="Q70">
            <v>0.8</v>
          </cell>
          <cell r="R70">
            <v>0.8</v>
          </cell>
          <cell r="S70">
            <v>1</v>
          </cell>
          <cell r="T70">
            <v>1</v>
          </cell>
          <cell r="U70">
            <v>1</v>
          </cell>
          <cell r="V70">
            <v>1</v>
          </cell>
          <cell r="W70">
            <v>1</v>
          </cell>
          <cell r="X70">
            <v>1</v>
          </cell>
          <cell r="Y70">
            <v>1</v>
          </cell>
          <cell r="Z70">
            <v>0.1</v>
          </cell>
          <cell r="AA70">
            <v>0.1</v>
          </cell>
          <cell r="AB70">
            <v>0.14000000000000001</v>
          </cell>
          <cell r="AC70">
            <v>0.11</v>
          </cell>
          <cell r="AD70">
            <v>0.11</v>
          </cell>
          <cell r="AE70">
            <v>0.19</v>
          </cell>
          <cell r="AF70">
            <v>0.09</v>
          </cell>
          <cell r="AG70">
            <v>0.11</v>
          </cell>
          <cell r="AH70">
            <v>0.15</v>
          </cell>
          <cell r="AI70">
            <v>0.2</v>
          </cell>
          <cell r="AJ70">
            <v>0.2</v>
          </cell>
          <cell r="AK70">
            <v>0.2</v>
          </cell>
          <cell r="AL70">
            <v>0</v>
          </cell>
          <cell r="AM70">
            <v>0</v>
          </cell>
          <cell r="AN70">
            <v>0</v>
          </cell>
          <cell r="AO70">
            <v>0</v>
          </cell>
          <cell r="AP70">
            <v>0</v>
          </cell>
          <cell r="AQ70">
            <v>0</v>
          </cell>
          <cell r="AR70">
            <v>0</v>
          </cell>
          <cell r="AS70">
            <v>0</v>
          </cell>
          <cell r="AT70">
            <v>0</v>
          </cell>
          <cell r="AU70">
            <v>0</v>
          </cell>
          <cell r="AV70">
            <v>0</v>
          </cell>
          <cell r="AW70">
            <v>0</v>
          </cell>
          <cell r="AX70">
            <v>0</v>
          </cell>
          <cell r="AY70">
            <v>0</v>
          </cell>
          <cell r="AZ70">
            <v>0</v>
          </cell>
          <cell r="BA70">
            <v>0</v>
          </cell>
          <cell r="BB70">
            <v>0</v>
          </cell>
          <cell r="BC70">
            <v>0</v>
          </cell>
          <cell r="BD70">
            <v>0</v>
          </cell>
          <cell r="BE70">
            <v>0</v>
          </cell>
          <cell r="BF70">
            <v>0</v>
          </cell>
          <cell r="BG70">
            <v>0</v>
          </cell>
          <cell r="BH70">
            <v>0</v>
          </cell>
          <cell r="BI70">
            <v>0</v>
          </cell>
          <cell r="BJ70">
            <v>0</v>
          </cell>
          <cell r="BK70">
            <v>0</v>
          </cell>
          <cell r="BL70">
            <v>0</v>
          </cell>
          <cell r="BM70">
            <v>0</v>
          </cell>
          <cell r="BN70">
            <v>0</v>
          </cell>
          <cell r="BO70">
            <v>0</v>
          </cell>
          <cell r="BP70">
            <v>0</v>
          </cell>
          <cell r="BQ70">
            <v>0</v>
          </cell>
          <cell r="BR70">
            <v>0</v>
          </cell>
          <cell r="BS70">
            <v>0</v>
          </cell>
          <cell r="BT70">
            <v>0</v>
          </cell>
          <cell r="BU70">
            <v>0</v>
          </cell>
          <cell r="BV70">
            <v>0</v>
          </cell>
          <cell r="BW70">
            <v>0</v>
          </cell>
          <cell r="BX70">
            <v>0</v>
          </cell>
          <cell r="BY70">
            <v>0</v>
          </cell>
          <cell r="BZ70">
            <v>0</v>
          </cell>
          <cell r="CA70">
            <v>0</v>
          </cell>
          <cell r="CB70">
            <v>0</v>
          </cell>
          <cell r="CC70">
            <v>0</v>
          </cell>
          <cell r="CD70">
            <v>0</v>
          </cell>
          <cell r="CE70">
            <v>0</v>
          </cell>
          <cell r="CF70">
            <v>0</v>
          </cell>
          <cell r="CG70">
            <v>0</v>
          </cell>
          <cell r="CH70">
            <v>0</v>
          </cell>
          <cell r="CI70">
            <v>0</v>
          </cell>
          <cell r="CJ70">
            <v>0</v>
          </cell>
          <cell r="CK70">
            <v>0</v>
          </cell>
          <cell r="CL70">
            <v>0</v>
          </cell>
          <cell r="CM70">
            <v>0</v>
          </cell>
          <cell r="CN70">
            <v>0</v>
          </cell>
          <cell r="CO70">
            <v>0</v>
          </cell>
          <cell r="CP70">
            <v>0</v>
          </cell>
          <cell r="CQ70">
            <v>0</v>
          </cell>
          <cell r="CR70">
            <v>0</v>
          </cell>
          <cell r="CS70">
            <v>0</v>
          </cell>
          <cell r="CT70">
            <v>0</v>
          </cell>
          <cell r="CU70">
            <v>0</v>
          </cell>
          <cell r="CV70">
            <v>0</v>
          </cell>
          <cell r="CW70">
            <v>0</v>
          </cell>
          <cell r="CX70">
            <v>0</v>
          </cell>
          <cell r="CY70">
            <v>0</v>
          </cell>
          <cell r="CZ70">
            <v>0</v>
          </cell>
          <cell r="DA70">
            <v>0</v>
          </cell>
          <cell r="DB70">
            <v>0</v>
          </cell>
          <cell r="DC70">
            <v>0</v>
          </cell>
          <cell r="DD70">
            <v>0</v>
          </cell>
          <cell r="DE70">
            <v>0</v>
          </cell>
          <cell r="DF70">
            <v>0</v>
          </cell>
          <cell r="DG70">
            <v>0</v>
          </cell>
          <cell r="DH70">
            <v>0</v>
          </cell>
          <cell r="DI70">
            <v>0</v>
          </cell>
          <cell r="DJ70">
            <v>0</v>
          </cell>
          <cell r="DK70">
            <v>0</v>
          </cell>
          <cell r="DL70">
            <v>0</v>
          </cell>
          <cell r="DM70">
            <v>0</v>
          </cell>
          <cell r="DN70">
            <v>0</v>
          </cell>
          <cell r="DO70">
            <v>0</v>
          </cell>
          <cell r="DP70">
            <v>0</v>
          </cell>
          <cell r="DQ70">
            <v>0</v>
          </cell>
          <cell r="DR70">
            <v>0</v>
          </cell>
          <cell r="DS70">
            <v>0</v>
          </cell>
          <cell r="DT70">
            <v>0</v>
          </cell>
          <cell r="DU70">
            <v>0</v>
          </cell>
          <cell r="DV70">
            <v>0</v>
          </cell>
          <cell r="DW70">
            <v>0</v>
          </cell>
          <cell r="DX70">
            <v>0</v>
          </cell>
          <cell r="DY70">
            <v>0</v>
          </cell>
          <cell r="EA70">
            <v>0</v>
          </cell>
          <cell r="EB70">
            <v>0</v>
          </cell>
          <cell r="EC70">
            <v>0</v>
          </cell>
          <cell r="ED70">
            <v>0.05</v>
          </cell>
          <cell r="EE70">
            <v>0.09</v>
          </cell>
          <cell r="EF70">
            <v>0.08</v>
          </cell>
          <cell r="EG70">
            <v>0.17</v>
          </cell>
          <cell r="EH70">
            <v>1</v>
          </cell>
          <cell r="EI70">
            <v>1</v>
          </cell>
          <cell r="EJ70">
            <v>1</v>
          </cell>
          <cell r="EK70">
            <v>1</v>
          </cell>
          <cell r="EL70">
            <v>0.05</v>
          </cell>
          <cell r="EM70">
            <v>0.14000000000000001</v>
          </cell>
          <cell r="EN70">
            <v>0.11</v>
          </cell>
          <cell r="EO70">
            <v>0.2</v>
          </cell>
          <cell r="EP70">
            <v>0</v>
          </cell>
          <cell r="EQ70">
            <v>0</v>
          </cell>
          <cell r="ER70">
            <v>0</v>
          </cell>
          <cell r="ES70">
            <v>0</v>
          </cell>
          <cell r="ET70">
            <v>0</v>
          </cell>
          <cell r="EU70">
            <v>0</v>
          </cell>
          <cell r="EV70">
            <v>0</v>
          </cell>
          <cell r="EW70">
            <v>0</v>
          </cell>
          <cell r="EX70">
            <v>1</v>
          </cell>
          <cell r="EY70">
            <v>1</v>
          </cell>
          <cell r="EZ70">
            <v>1</v>
          </cell>
          <cell r="FA70">
            <v>0</v>
          </cell>
          <cell r="FB70">
            <v>0</v>
          </cell>
          <cell r="FC70">
            <v>0</v>
          </cell>
          <cell r="FD70">
            <v>0</v>
          </cell>
          <cell r="FE70">
            <v>0</v>
          </cell>
          <cell r="FF70">
            <v>0</v>
          </cell>
          <cell r="FG70">
            <v>0</v>
          </cell>
          <cell r="FH70">
            <v>0</v>
          </cell>
          <cell r="FI70">
            <v>0</v>
          </cell>
          <cell r="FJ70">
            <v>0</v>
          </cell>
          <cell r="FK70">
            <v>0</v>
          </cell>
          <cell r="FL70">
            <v>0</v>
          </cell>
          <cell r="FM70">
            <v>0</v>
          </cell>
          <cell r="FN70">
            <v>0</v>
          </cell>
          <cell r="FO70">
            <v>0</v>
          </cell>
          <cell r="FP70">
            <v>0</v>
          </cell>
          <cell r="FQ70">
            <v>0</v>
          </cell>
          <cell r="FR70">
            <v>0</v>
          </cell>
          <cell r="FS70">
            <v>0</v>
          </cell>
          <cell r="FT70">
            <v>0</v>
          </cell>
          <cell r="FU70">
            <v>0</v>
          </cell>
          <cell r="FV70">
            <v>0</v>
          </cell>
          <cell r="FW70">
            <v>0</v>
          </cell>
          <cell r="FX70">
            <v>0</v>
          </cell>
          <cell r="FY70">
            <v>0</v>
          </cell>
          <cell r="FZ70">
            <v>0</v>
          </cell>
        </row>
        <row r="71">
          <cell r="A71" t="str">
            <v>F_CNP_NRF_RET_COL_FRCE_237</v>
          </cell>
          <cell r="B71">
            <v>0.1</v>
          </cell>
          <cell r="C71">
            <v>0.08</v>
          </cell>
          <cell r="D71">
            <v>0.15</v>
          </cell>
          <cell r="E71">
            <v>0.08</v>
          </cell>
          <cell r="F71">
            <v>0.15</v>
          </cell>
          <cell r="G71">
            <v>0.22</v>
          </cell>
          <cell r="H71">
            <v>7.0000000000000007E-2</v>
          </cell>
          <cell r="I71">
            <v>0.05</v>
          </cell>
          <cell r="J71">
            <v>0.13</v>
          </cell>
          <cell r="K71">
            <v>0.18</v>
          </cell>
          <cell r="L71">
            <v>0.17</v>
          </cell>
          <cell r="M71">
            <v>0.16</v>
          </cell>
          <cell r="N71">
            <v>0.8</v>
          </cell>
          <cell r="O71">
            <v>1</v>
          </cell>
          <cell r="P71">
            <v>1</v>
          </cell>
          <cell r="Q71">
            <v>0.8</v>
          </cell>
          <cell r="R71">
            <v>0.8</v>
          </cell>
          <cell r="S71">
            <v>1</v>
          </cell>
          <cell r="T71">
            <v>1</v>
          </cell>
          <cell r="U71">
            <v>1</v>
          </cell>
          <cell r="V71">
            <v>1</v>
          </cell>
          <cell r="W71">
            <v>1</v>
          </cell>
          <cell r="X71">
            <v>1</v>
          </cell>
          <cell r="Y71">
            <v>1</v>
          </cell>
          <cell r="Z71">
            <v>0.1</v>
          </cell>
          <cell r="AA71">
            <v>0.1</v>
          </cell>
          <cell r="AB71">
            <v>0.14000000000000001</v>
          </cell>
          <cell r="AC71">
            <v>0.11</v>
          </cell>
          <cell r="AD71">
            <v>0.11</v>
          </cell>
          <cell r="AE71">
            <v>0.19</v>
          </cell>
          <cell r="AF71">
            <v>0.09</v>
          </cell>
          <cell r="AG71">
            <v>0.11</v>
          </cell>
          <cell r="AH71">
            <v>0.15</v>
          </cell>
          <cell r="AI71">
            <v>0.2</v>
          </cell>
          <cell r="AJ71">
            <v>0.2</v>
          </cell>
          <cell r="AK71">
            <v>0.2</v>
          </cell>
          <cell r="AL71">
            <v>0</v>
          </cell>
          <cell r="AM71">
            <v>0</v>
          </cell>
          <cell r="AN71">
            <v>0</v>
          </cell>
          <cell r="AO71">
            <v>0</v>
          </cell>
          <cell r="AP71">
            <v>0</v>
          </cell>
          <cell r="AQ71">
            <v>0</v>
          </cell>
          <cell r="AR71">
            <v>0</v>
          </cell>
          <cell r="AS71">
            <v>0</v>
          </cell>
          <cell r="AT71">
            <v>0</v>
          </cell>
          <cell r="AU71">
            <v>0</v>
          </cell>
          <cell r="AV71">
            <v>0</v>
          </cell>
          <cell r="AW71">
            <v>0</v>
          </cell>
          <cell r="AX71">
            <v>0</v>
          </cell>
          <cell r="AY71">
            <v>0</v>
          </cell>
          <cell r="AZ71">
            <v>0</v>
          </cell>
          <cell r="BA71">
            <v>0</v>
          </cell>
          <cell r="BB71">
            <v>0</v>
          </cell>
          <cell r="BC71">
            <v>0</v>
          </cell>
          <cell r="BD71">
            <v>0</v>
          </cell>
          <cell r="BE71">
            <v>0</v>
          </cell>
          <cell r="BF71">
            <v>0</v>
          </cell>
          <cell r="BG71">
            <v>0</v>
          </cell>
          <cell r="BH71">
            <v>0</v>
          </cell>
          <cell r="BI71">
            <v>0</v>
          </cell>
          <cell r="BJ71">
            <v>0</v>
          </cell>
          <cell r="BK71">
            <v>0</v>
          </cell>
          <cell r="BL71">
            <v>0</v>
          </cell>
          <cell r="BM71">
            <v>0</v>
          </cell>
          <cell r="BN71">
            <v>0</v>
          </cell>
          <cell r="BO71">
            <v>0</v>
          </cell>
          <cell r="BP71">
            <v>0</v>
          </cell>
          <cell r="BQ71">
            <v>0</v>
          </cell>
          <cell r="BR71">
            <v>0</v>
          </cell>
          <cell r="BS71">
            <v>0</v>
          </cell>
          <cell r="BT71">
            <v>0</v>
          </cell>
          <cell r="BU71">
            <v>0</v>
          </cell>
          <cell r="BV71">
            <v>0</v>
          </cell>
          <cell r="BW71">
            <v>0</v>
          </cell>
          <cell r="BX71">
            <v>0</v>
          </cell>
          <cell r="BY71">
            <v>0</v>
          </cell>
          <cell r="BZ71">
            <v>0</v>
          </cell>
          <cell r="CA71">
            <v>0</v>
          </cell>
          <cell r="CB71">
            <v>0</v>
          </cell>
          <cell r="CC71">
            <v>0</v>
          </cell>
          <cell r="CD71">
            <v>0</v>
          </cell>
          <cell r="CE71">
            <v>0</v>
          </cell>
          <cell r="CF71">
            <v>0</v>
          </cell>
          <cell r="CG71">
            <v>0</v>
          </cell>
          <cell r="CH71">
            <v>0</v>
          </cell>
          <cell r="CI71">
            <v>0</v>
          </cell>
          <cell r="CJ71">
            <v>0</v>
          </cell>
          <cell r="CK71">
            <v>0</v>
          </cell>
          <cell r="CL71">
            <v>0</v>
          </cell>
          <cell r="CM71">
            <v>0</v>
          </cell>
          <cell r="CN71">
            <v>0</v>
          </cell>
          <cell r="CO71">
            <v>0</v>
          </cell>
          <cell r="CP71">
            <v>0</v>
          </cell>
          <cell r="CQ71">
            <v>0</v>
          </cell>
          <cell r="CR71">
            <v>0</v>
          </cell>
          <cell r="CS71">
            <v>0</v>
          </cell>
          <cell r="CT71">
            <v>0</v>
          </cell>
          <cell r="CU71">
            <v>0</v>
          </cell>
          <cell r="CV71">
            <v>0</v>
          </cell>
          <cell r="CW71">
            <v>0</v>
          </cell>
          <cell r="CX71">
            <v>0</v>
          </cell>
          <cell r="CY71">
            <v>0</v>
          </cell>
          <cell r="CZ71">
            <v>0</v>
          </cell>
          <cell r="DA71">
            <v>0</v>
          </cell>
          <cell r="DB71">
            <v>0</v>
          </cell>
          <cell r="DC71">
            <v>0</v>
          </cell>
          <cell r="DD71">
            <v>0</v>
          </cell>
          <cell r="DE71">
            <v>0</v>
          </cell>
          <cell r="DF71">
            <v>0</v>
          </cell>
          <cell r="DG71">
            <v>0</v>
          </cell>
          <cell r="DH71">
            <v>0</v>
          </cell>
          <cell r="DI71">
            <v>0</v>
          </cell>
          <cell r="DJ71">
            <v>0</v>
          </cell>
          <cell r="DK71">
            <v>0</v>
          </cell>
          <cell r="DL71">
            <v>0</v>
          </cell>
          <cell r="DM71">
            <v>0</v>
          </cell>
          <cell r="DN71">
            <v>0</v>
          </cell>
          <cell r="DO71">
            <v>0</v>
          </cell>
          <cell r="DP71">
            <v>0</v>
          </cell>
          <cell r="DQ71">
            <v>0</v>
          </cell>
          <cell r="DR71">
            <v>0</v>
          </cell>
          <cell r="DS71">
            <v>0</v>
          </cell>
          <cell r="DT71">
            <v>0</v>
          </cell>
          <cell r="DU71">
            <v>0</v>
          </cell>
          <cell r="DV71">
            <v>0</v>
          </cell>
          <cell r="DW71">
            <v>0</v>
          </cell>
          <cell r="DX71">
            <v>0</v>
          </cell>
          <cell r="DY71">
            <v>0</v>
          </cell>
          <cell r="EA71">
            <v>0</v>
          </cell>
          <cell r="EB71">
            <v>0</v>
          </cell>
          <cell r="EC71">
            <v>0</v>
          </cell>
          <cell r="ED71">
            <v>0.05</v>
          </cell>
          <cell r="EE71">
            <v>0.09</v>
          </cell>
          <cell r="EF71">
            <v>0.08</v>
          </cell>
          <cell r="EG71">
            <v>0.17</v>
          </cell>
          <cell r="EH71">
            <v>1</v>
          </cell>
          <cell r="EI71">
            <v>1</v>
          </cell>
          <cell r="EJ71">
            <v>1</v>
          </cell>
          <cell r="EK71">
            <v>1</v>
          </cell>
          <cell r="EL71">
            <v>0.05</v>
          </cell>
          <cell r="EM71">
            <v>0.14000000000000001</v>
          </cell>
          <cell r="EN71">
            <v>0.11</v>
          </cell>
          <cell r="EO71">
            <v>0.2</v>
          </cell>
          <cell r="EP71">
            <v>0</v>
          </cell>
          <cell r="EQ71">
            <v>0</v>
          </cell>
          <cell r="ER71">
            <v>0</v>
          </cell>
          <cell r="ES71">
            <v>0</v>
          </cell>
          <cell r="ET71">
            <v>0</v>
          </cell>
          <cell r="EU71">
            <v>0</v>
          </cell>
          <cell r="EV71">
            <v>0</v>
          </cell>
          <cell r="EW71">
            <v>0</v>
          </cell>
          <cell r="EX71">
            <v>1</v>
          </cell>
          <cell r="EY71">
            <v>1</v>
          </cell>
          <cell r="EZ71">
            <v>1</v>
          </cell>
          <cell r="FA71">
            <v>0</v>
          </cell>
          <cell r="FB71">
            <v>0</v>
          </cell>
          <cell r="FC71">
            <v>0</v>
          </cell>
          <cell r="FD71">
            <v>0</v>
          </cell>
          <cell r="FE71">
            <v>0</v>
          </cell>
          <cell r="FF71">
            <v>0</v>
          </cell>
          <cell r="FG71">
            <v>0</v>
          </cell>
          <cell r="FH71">
            <v>0</v>
          </cell>
          <cell r="FI71">
            <v>0</v>
          </cell>
          <cell r="FJ71">
            <v>0</v>
          </cell>
          <cell r="FK71">
            <v>0</v>
          </cell>
          <cell r="FL71">
            <v>0</v>
          </cell>
          <cell r="FM71">
            <v>0</v>
          </cell>
          <cell r="FN71">
            <v>0</v>
          </cell>
          <cell r="FO71">
            <v>0</v>
          </cell>
          <cell r="FP71">
            <v>0</v>
          </cell>
          <cell r="FQ71">
            <v>0</v>
          </cell>
          <cell r="FR71">
            <v>0</v>
          </cell>
          <cell r="FS71">
            <v>0</v>
          </cell>
          <cell r="FT71">
            <v>0</v>
          </cell>
          <cell r="FU71">
            <v>0</v>
          </cell>
          <cell r="FV71">
            <v>0</v>
          </cell>
          <cell r="FW71">
            <v>0</v>
          </cell>
          <cell r="FX71">
            <v>0</v>
          </cell>
          <cell r="FY71">
            <v>0</v>
          </cell>
          <cell r="FZ71">
            <v>0</v>
          </cell>
        </row>
        <row r="72">
          <cell r="A72" t="str">
            <v>F_CNP_NRF_RET_COL_FRCE_242</v>
          </cell>
          <cell r="B72">
            <v>0.1</v>
          </cell>
          <cell r="C72">
            <v>0.08</v>
          </cell>
          <cell r="D72">
            <v>0.15</v>
          </cell>
          <cell r="E72">
            <v>0.08</v>
          </cell>
          <cell r="F72">
            <v>0.15</v>
          </cell>
          <cell r="G72">
            <v>0.22</v>
          </cell>
          <cell r="H72">
            <v>7.0000000000000007E-2</v>
          </cell>
          <cell r="I72">
            <v>0.05</v>
          </cell>
          <cell r="J72">
            <v>0.13</v>
          </cell>
          <cell r="K72">
            <v>0.18</v>
          </cell>
          <cell r="L72">
            <v>0.17</v>
          </cell>
          <cell r="M72">
            <v>0.16</v>
          </cell>
          <cell r="N72">
            <v>0.8</v>
          </cell>
          <cell r="O72">
            <v>1</v>
          </cell>
          <cell r="P72">
            <v>1</v>
          </cell>
          <cell r="Q72">
            <v>0.8</v>
          </cell>
          <cell r="R72">
            <v>0.8</v>
          </cell>
          <cell r="S72">
            <v>1</v>
          </cell>
          <cell r="T72">
            <v>1</v>
          </cell>
          <cell r="U72">
            <v>1</v>
          </cell>
          <cell r="V72">
            <v>1</v>
          </cell>
          <cell r="W72">
            <v>1</v>
          </cell>
          <cell r="X72">
            <v>1</v>
          </cell>
          <cell r="Y72">
            <v>1</v>
          </cell>
          <cell r="Z72">
            <v>0.1</v>
          </cell>
          <cell r="AA72">
            <v>0.1</v>
          </cell>
          <cell r="AB72">
            <v>0.14000000000000001</v>
          </cell>
          <cell r="AC72">
            <v>0.11</v>
          </cell>
          <cell r="AD72">
            <v>0.11</v>
          </cell>
          <cell r="AE72">
            <v>0.19</v>
          </cell>
          <cell r="AF72">
            <v>0.09</v>
          </cell>
          <cell r="AG72">
            <v>0.11</v>
          </cell>
          <cell r="AH72">
            <v>0.15</v>
          </cell>
          <cell r="AI72">
            <v>0.2</v>
          </cell>
          <cell r="AJ72">
            <v>0.2</v>
          </cell>
          <cell r="AK72">
            <v>0.2</v>
          </cell>
          <cell r="AL72">
            <v>0</v>
          </cell>
          <cell r="AM72">
            <v>0</v>
          </cell>
          <cell r="AN72">
            <v>0</v>
          </cell>
          <cell r="AO72">
            <v>0</v>
          </cell>
          <cell r="AP72">
            <v>0</v>
          </cell>
          <cell r="AQ72">
            <v>0</v>
          </cell>
          <cell r="AR72">
            <v>0</v>
          </cell>
          <cell r="AS72">
            <v>0</v>
          </cell>
          <cell r="AT72">
            <v>0</v>
          </cell>
          <cell r="AU72">
            <v>0</v>
          </cell>
          <cell r="AV72">
            <v>0</v>
          </cell>
          <cell r="AW72">
            <v>0</v>
          </cell>
          <cell r="AX72">
            <v>0</v>
          </cell>
          <cell r="AY72">
            <v>0</v>
          </cell>
          <cell r="AZ72">
            <v>0</v>
          </cell>
          <cell r="BA72">
            <v>0</v>
          </cell>
          <cell r="BB72">
            <v>0</v>
          </cell>
          <cell r="BC72">
            <v>0</v>
          </cell>
          <cell r="BD72">
            <v>0</v>
          </cell>
          <cell r="BE72">
            <v>0</v>
          </cell>
          <cell r="BF72">
            <v>0</v>
          </cell>
          <cell r="BG72">
            <v>0</v>
          </cell>
          <cell r="BH72">
            <v>0</v>
          </cell>
          <cell r="BI72">
            <v>0</v>
          </cell>
          <cell r="BJ72">
            <v>0</v>
          </cell>
          <cell r="BK72">
            <v>0</v>
          </cell>
          <cell r="BL72">
            <v>0</v>
          </cell>
          <cell r="BM72">
            <v>0</v>
          </cell>
          <cell r="BN72">
            <v>0</v>
          </cell>
          <cell r="BO72">
            <v>0</v>
          </cell>
          <cell r="BP72">
            <v>0</v>
          </cell>
          <cell r="BQ72">
            <v>0</v>
          </cell>
          <cell r="BR72">
            <v>0</v>
          </cell>
          <cell r="BS72">
            <v>0</v>
          </cell>
          <cell r="BT72">
            <v>0</v>
          </cell>
          <cell r="BU72">
            <v>0</v>
          </cell>
          <cell r="BV72">
            <v>0</v>
          </cell>
          <cell r="BW72">
            <v>0</v>
          </cell>
          <cell r="BX72">
            <v>0</v>
          </cell>
          <cell r="BY72">
            <v>0</v>
          </cell>
          <cell r="BZ72">
            <v>0</v>
          </cell>
          <cell r="CA72">
            <v>0</v>
          </cell>
          <cell r="CB72">
            <v>0</v>
          </cell>
          <cell r="CC72">
            <v>0</v>
          </cell>
          <cell r="CD72">
            <v>0</v>
          </cell>
          <cell r="CE72">
            <v>0</v>
          </cell>
          <cell r="CF72">
            <v>0</v>
          </cell>
          <cell r="CG72">
            <v>0</v>
          </cell>
          <cell r="CH72">
            <v>0</v>
          </cell>
          <cell r="CI72">
            <v>0</v>
          </cell>
          <cell r="CJ72">
            <v>0</v>
          </cell>
          <cell r="CK72">
            <v>0</v>
          </cell>
          <cell r="CL72">
            <v>0</v>
          </cell>
          <cell r="CM72">
            <v>0</v>
          </cell>
          <cell r="CN72">
            <v>0</v>
          </cell>
          <cell r="CO72">
            <v>0</v>
          </cell>
          <cell r="CP72">
            <v>0</v>
          </cell>
          <cell r="CQ72">
            <v>0</v>
          </cell>
          <cell r="CR72">
            <v>0</v>
          </cell>
          <cell r="CS72">
            <v>0</v>
          </cell>
          <cell r="CT72">
            <v>0</v>
          </cell>
          <cell r="CU72">
            <v>0</v>
          </cell>
          <cell r="CV72">
            <v>0</v>
          </cell>
          <cell r="CW72">
            <v>0</v>
          </cell>
          <cell r="CX72">
            <v>0</v>
          </cell>
          <cell r="CY72">
            <v>0</v>
          </cell>
          <cell r="CZ72">
            <v>0</v>
          </cell>
          <cell r="DA72">
            <v>0</v>
          </cell>
          <cell r="DB72">
            <v>0</v>
          </cell>
          <cell r="DC72">
            <v>0</v>
          </cell>
          <cell r="DD72">
            <v>0</v>
          </cell>
          <cell r="DE72">
            <v>0</v>
          </cell>
          <cell r="DF72">
            <v>0</v>
          </cell>
          <cell r="DG72">
            <v>0</v>
          </cell>
          <cell r="DH72">
            <v>0</v>
          </cell>
          <cell r="DI72">
            <v>0</v>
          </cell>
          <cell r="DJ72">
            <v>0</v>
          </cell>
          <cell r="DK72">
            <v>0</v>
          </cell>
          <cell r="DL72">
            <v>0</v>
          </cell>
          <cell r="DM72">
            <v>0</v>
          </cell>
          <cell r="DN72">
            <v>0</v>
          </cell>
          <cell r="DO72">
            <v>0</v>
          </cell>
          <cell r="DP72">
            <v>0</v>
          </cell>
          <cell r="DQ72">
            <v>0</v>
          </cell>
          <cell r="DR72">
            <v>0</v>
          </cell>
          <cell r="DS72">
            <v>0</v>
          </cell>
          <cell r="DT72">
            <v>0</v>
          </cell>
          <cell r="DU72">
            <v>0</v>
          </cell>
          <cell r="DV72">
            <v>0</v>
          </cell>
          <cell r="DW72">
            <v>0</v>
          </cell>
          <cell r="DX72">
            <v>0</v>
          </cell>
          <cell r="DY72">
            <v>0</v>
          </cell>
          <cell r="EA72">
            <v>0</v>
          </cell>
          <cell r="EB72">
            <v>0</v>
          </cell>
          <cell r="EC72">
            <v>0</v>
          </cell>
          <cell r="ED72">
            <v>0.05</v>
          </cell>
          <cell r="EE72">
            <v>0.09</v>
          </cell>
          <cell r="EF72">
            <v>0.08</v>
          </cell>
          <cell r="EG72">
            <v>0.17</v>
          </cell>
          <cell r="EH72">
            <v>1</v>
          </cell>
          <cell r="EI72">
            <v>1</v>
          </cell>
          <cell r="EJ72">
            <v>1</v>
          </cell>
          <cell r="EK72">
            <v>1</v>
          </cell>
          <cell r="EL72">
            <v>0.05</v>
          </cell>
          <cell r="EM72">
            <v>0.14000000000000001</v>
          </cell>
          <cell r="EN72">
            <v>0.11</v>
          </cell>
          <cell r="EO72">
            <v>0.2</v>
          </cell>
          <cell r="EP72">
            <v>0</v>
          </cell>
          <cell r="EQ72">
            <v>0</v>
          </cell>
          <cell r="ER72">
            <v>0</v>
          </cell>
          <cell r="ES72">
            <v>0</v>
          </cell>
          <cell r="ET72">
            <v>0</v>
          </cell>
          <cell r="EU72">
            <v>0</v>
          </cell>
          <cell r="EV72">
            <v>0</v>
          </cell>
          <cell r="EW72">
            <v>0</v>
          </cell>
          <cell r="EX72">
            <v>1</v>
          </cell>
          <cell r="EY72">
            <v>1</v>
          </cell>
          <cell r="EZ72">
            <v>1</v>
          </cell>
          <cell r="FA72">
            <v>0</v>
          </cell>
          <cell r="FB72">
            <v>0</v>
          </cell>
          <cell r="FC72">
            <v>0</v>
          </cell>
          <cell r="FD72">
            <v>0</v>
          </cell>
          <cell r="FE72">
            <v>0</v>
          </cell>
          <cell r="FF72">
            <v>0</v>
          </cell>
          <cell r="FG72">
            <v>0</v>
          </cell>
          <cell r="FH72">
            <v>0</v>
          </cell>
          <cell r="FI72">
            <v>0</v>
          </cell>
          <cell r="FJ72">
            <v>0</v>
          </cell>
          <cell r="FK72">
            <v>0</v>
          </cell>
          <cell r="FL72">
            <v>0</v>
          </cell>
          <cell r="FM72">
            <v>0</v>
          </cell>
          <cell r="FN72">
            <v>0</v>
          </cell>
          <cell r="FO72">
            <v>0</v>
          </cell>
          <cell r="FP72">
            <v>0</v>
          </cell>
          <cell r="FQ72">
            <v>0</v>
          </cell>
          <cell r="FR72">
            <v>0</v>
          </cell>
          <cell r="FS72">
            <v>0</v>
          </cell>
          <cell r="FT72">
            <v>0</v>
          </cell>
          <cell r="FU72">
            <v>0</v>
          </cell>
          <cell r="FV72">
            <v>0</v>
          </cell>
          <cell r="FW72">
            <v>0</v>
          </cell>
          <cell r="FX72">
            <v>0</v>
          </cell>
          <cell r="FY72">
            <v>0</v>
          </cell>
          <cell r="FZ72">
            <v>0</v>
          </cell>
        </row>
        <row r="73">
          <cell r="A73" t="str">
            <v>F_CNP_NRF_RET_COL_FRCE_277</v>
          </cell>
          <cell r="B73">
            <v>0.1</v>
          </cell>
          <cell r="C73">
            <v>0.08</v>
          </cell>
          <cell r="D73">
            <v>0.15</v>
          </cell>
          <cell r="E73">
            <v>0.08</v>
          </cell>
          <cell r="F73">
            <v>0.15</v>
          </cell>
          <cell r="G73">
            <v>0.22</v>
          </cell>
          <cell r="H73">
            <v>7.0000000000000007E-2</v>
          </cell>
          <cell r="I73">
            <v>0.05</v>
          </cell>
          <cell r="J73">
            <v>0.13</v>
          </cell>
          <cell r="K73">
            <v>0.18</v>
          </cell>
          <cell r="L73">
            <v>0.17</v>
          </cell>
          <cell r="M73">
            <v>0.16</v>
          </cell>
          <cell r="N73">
            <v>0.8</v>
          </cell>
          <cell r="O73">
            <v>1</v>
          </cell>
          <cell r="P73">
            <v>1</v>
          </cell>
          <cell r="Q73">
            <v>0.8</v>
          </cell>
          <cell r="R73">
            <v>0.8</v>
          </cell>
          <cell r="S73">
            <v>1</v>
          </cell>
          <cell r="T73">
            <v>1</v>
          </cell>
          <cell r="U73">
            <v>1</v>
          </cell>
          <cell r="V73">
            <v>1</v>
          </cell>
          <cell r="W73">
            <v>1</v>
          </cell>
          <cell r="X73">
            <v>1</v>
          </cell>
          <cell r="Y73">
            <v>1</v>
          </cell>
          <cell r="Z73">
            <v>0.1</v>
          </cell>
          <cell r="AA73">
            <v>0.1</v>
          </cell>
          <cell r="AB73">
            <v>0.14000000000000001</v>
          </cell>
          <cell r="AC73">
            <v>0.11</v>
          </cell>
          <cell r="AD73">
            <v>0.11</v>
          </cell>
          <cell r="AE73">
            <v>0.19</v>
          </cell>
          <cell r="AF73">
            <v>0.09</v>
          </cell>
          <cell r="AG73">
            <v>0.11</v>
          </cell>
          <cell r="AH73">
            <v>0.15</v>
          </cell>
          <cell r="AI73">
            <v>0.2</v>
          </cell>
          <cell r="AJ73">
            <v>0.2</v>
          </cell>
          <cell r="AK73">
            <v>0.2</v>
          </cell>
          <cell r="AL73">
            <v>0</v>
          </cell>
          <cell r="AM73">
            <v>0</v>
          </cell>
          <cell r="AN73">
            <v>0</v>
          </cell>
          <cell r="AO73">
            <v>0</v>
          </cell>
          <cell r="AP73">
            <v>0</v>
          </cell>
          <cell r="AQ73">
            <v>0</v>
          </cell>
          <cell r="AR73">
            <v>0</v>
          </cell>
          <cell r="AS73">
            <v>0</v>
          </cell>
          <cell r="AT73">
            <v>0</v>
          </cell>
          <cell r="AU73">
            <v>0</v>
          </cell>
          <cell r="AV73">
            <v>0</v>
          </cell>
          <cell r="AW73">
            <v>0</v>
          </cell>
          <cell r="AX73">
            <v>0</v>
          </cell>
          <cell r="AY73">
            <v>0</v>
          </cell>
          <cell r="AZ73">
            <v>0</v>
          </cell>
          <cell r="BA73">
            <v>0</v>
          </cell>
          <cell r="BB73">
            <v>0</v>
          </cell>
          <cell r="BC73">
            <v>0</v>
          </cell>
          <cell r="BD73">
            <v>0</v>
          </cell>
          <cell r="BE73">
            <v>0</v>
          </cell>
          <cell r="BF73">
            <v>0</v>
          </cell>
          <cell r="BG73">
            <v>0</v>
          </cell>
          <cell r="BH73">
            <v>0</v>
          </cell>
          <cell r="BI73">
            <v>0</v>
          </cell>
          <cell r="BJ73">
            <v>0</v>
          </cell>
          <cell r="BK73">
            <v>0</v>
          </cell>
          <cell r="BL73">
            <v>0</v>
          </cell>
          <cell r="BM73">
            <v>0</v>
          </cell>
          <cell r="BN73">
            <v>0</v>
          </cell>
          <cell r="BO73">
            <v>0</v>
          </cell>
          <cell r="BP73">
            <v>0</v>
          </cell>
          <cell r="BQ73">
            <v>0</v>
          </cell>
          <cell r="BR73">
            <v>0</v>
          </cell>
          <cell r="BS73">
            <v>0</v>
          </cell>
          <cell r="BT73">
            <v>0</v>
          </cell>
          <cell r="BU73">
            <v>0</v>
          </cell>
          <cell r="BV73">
            <v>0</v>
          </cell>
          <cell r="BW73">
            <v>0</v>
          </cell>
          <cell r="BX73">
            <v>0</v>
          </cell>
          <cell r="BY73">
            <v>0</v>
          </cell>
          <cell r="BZ73">
            <v>0</v>
          </cell>
          <cell r="CA73">
            <v>0</v>
          </cell>
          <cell r="CB73">
            <v>0</v>
          </cell>
          <cell r="CC73">
            <v>0</v>
          </cell>
          <cell r="CD73">
            <v>0</v>
          </cell>
          <cell r="CE73">
            <v>0</v>
          </cell>
          <cell r="CF73">
            <v>0</v>
          </cell>
          <cell r="CG73">
            <v>0</v>
          </cell>
          <cell r="CH73">
            <v>0</v>
          </cell>
          <cell r="CI73">
            <v>0</v>
          </cell>
          <cell r="CJ73">
            <v>0</v>
          </cell>
          <cell r="CK73">
            <v>0</v>
          </cell>
          <cell r="CL73">
            <v>0</v>
          </cell>
          <cell r="CM73">
            <v>0</v>
          </cell>
          <cell r="CN73">
            <v>0</v>
          </cell>
          <cell r="CO73">
            <v>0</v>
          </cell>
          <cell r="CP73">
            <v>0</v>
          </cell>
          <cell r="CQ73">
            <v>0</v>
          </cell>
          <cell r="CR73">
            <v>0</v>
          </cell>
          <cell r="CS73">
            <v>0</v>
          </cell>
          <cell r="CT73">
            <v>0</v>
          </cell>
          <cell r="CU73">
            <v>0</v>
          </cell>
          <cell r="CV73">
            <v>0</v>
          </cell>
          <cell r="CW73">
            <v>0</v>
          </cell>
          <cell r="CX73">
            <v>0</v>
          </cell>
          <cell r="CY73">
            <v>0</v>
          </cell>
          <cell r="CZ73">
            <v>0</v>
          </cell>
          <cell r="DA73">
            <v>0</v>
          </cell>
          <cell r="DB73">
            <v>0</v>
          </cell>
          <cell r="DC73">
            <v>0</v>
          </cell>
          <cell r="DD73">
            <v>0</v>
          </cell>
          <cell r="DE73">
            <v>0</v>
          </cell>
          <cell r="DF73">
            <v>0</v>
          </cell>
          <cell r="DG73">
            <v>0</v>
          </cell>
          <cell r="DH73">
            <v>0</v>
          </cell>
          <cell r="DI73">
            <v>0</v>
          </cell>
          <cell r="DJ73">
            <v>0</v>
          </cell>
          <cell r="DK73">
            <v>0</v>
          </cell>
          <cell r="DL73">
            <v>0</v>
          </cell>
          <cell r="DM73">
            <v>0</v>
          </cell>
          <cell r="DN73">
            <v>0</v>
          </cell>
          <cell r="DO73">
            <v>0</v>
          </cell>
          <cell r="DP73">
            <v>0</v>
          </cell>
          <cell r="DQ73">
            <v>0</v>
          </cell>
          <cell r="DR73">
            <v>0</v>
          </cell>
          <cell r="DS73">
            <v>0</v>
          </cell>
          <cell r="DT73">
            <v>0</v>
          </cell>
          <cell r="DU73">
            <v>0</v>
          </cell>
          <cell r="DV73">
            <v>0</v>
          </cell>
          <cell r="DW73">
            <v>0</v>
          </cell>
          <cell r="DX73">
            <v>0</v>
          </cell>
          <cell r="DY73">
            <v>0</v>
          </cell>
          <cell r="EA73">
            <v>0</v>
          </cell>
          <cell r="EB73">
            <v>0</v>
          </cell>
          <cell r="EC73">
            <v>0</v>
          </cell>
          <cell r="ED73">
            <v>0.05</v>
          </cell>
          <cell r="EE73">
            <v>0.09</v>
          </cell>
          <cell r="EF73">
            <v>0.08</v>
          </cell>
          <cell r="EG73">
            <v>0.17</v>
          </cell>
          <cell r="EH73">
            <v>1</v>
          </cell>
          <cell r="EI73">
            <v>1</v>
          </cell>
          <cell r="EJ73">
            <v>1</v>
          </cell>
          <cell r="EK73">
            <v>1</v>
          </cell>
          <cell r="EL73">
            <v>0.05</v>
          </cell>
          <cell r="EM73">
            <v>0.14000000000000001</v>
          </cell>
          <cell r="EN73">
            <v>0.11</v>
          </cell>
          <cell r="EO73">
            <v>0.2</v>
          </cell>
          <cell r="EP73">
            <v>0</v>
          </cell>
          <cell r="EQ73">
            <v>0</v>
          </cell>
          <cell r="ER73">
            <v>0</v>
          </cell>
          <cell r="ES73">
            <v>0</v>
          </cell>
          <cell r="ET73">
            <v>0</v>
          </cell>
          <cell r="EU73">
            <v>0</v>
          </cell>
          <cell r="EV73">
            <v>0</v>
          </cell>
          <cell r="EW73">
            <v>0</v>
          </cell>
          <cell r="EX73">
            <v>1</v>
          </cell>
          <cell r="EY73">
            <v>1</v>
          </cell>
          <cell r="EZ73">
            <v>1</v>
          </cell>
          <cell r="FA73">
            <v>0</v>
          </cell>
          <cell r="FB73">
            <v>0</v>
          </cell>
          <cell r="FC73">
            <v>0</v>
          </cell>
          <cell r="FD73">
            <v>0</v>
          </cell>
          <cell r="FE73">
            <v>0</v>
          </cell>
          <cell r="FF73">
            <v>0</v>
          </cell>
          <cell r="FG73">
            <v>0</v>
          </cell>
          <cell r="FH73">
            <v>0</v>
          </cell>
          <cell r="FI73">
            <v>0</v>
          </cell>
          <cell r="FJ73">
            <v>0</v>
          </cell>
          <cell r="FK73">
            <v>0</v>
          </cell>
          <cell r="FL73">
            <v>0</v>
          </cell>
          <cell r="FM73">
            <v>0</v>
          </cell>
          <cell r="FN73">
            <v>0</v>
          </cell>
          <cell r="FO73">
            <v>0</v>
          </cell>
          <cell r="FP73">
            <v>0</v>
          </cell>
          <cell r="FQ73">
            <v>0</v>
          </cell>
          <cell r="FR73">
            <v>0</v>
          </cell>
          <cell r="FS73">
            <v>0</v>
          </cell>
          <cell r="FT73">
            <v>0</v>
          </cell>
          <cell r="FU73">
            <v>0</v>
          </cell>
          <cell r="FV73">
            <v>0</v>
          </cell>
          <cell r="FW73">
            <v>0</v>
          </cell>
          <cell r="FX73">
            <v>0</v>
          </cell>
          <cell r="FY73">
            <v>0</v>
          </cell>
          <cell r="FZ73">
            <v>0</v>
          </cell>
        </row>
        <row r="74">
          <cell r="A74" t="str">
            <v>F_CNP_NRF_RET_COL_FRCE_272</v>
          </cell>
          <cell r="B74">
            <v>0.1</v>
          </cell>
          <cell r="C74">
            <v>0.08</v>
          </cell>
          <cell r="D74">
            <v>0.15</v>
          </cell>
          <cell r="E74">
            <v>0.08</v>
          </cell>
          <cell r="F74">
            <v>0.15</v>
          </cell>
          <cell r="G74">
            <v>0.22</v>
          </cell>
          <cell r="H74">
            <v>7.0000000000000007E-2</v>
          </cell>
          <cell r="I74">
            <v>0.05</v>
          </cell>
          <cell r="J74">
            <v>0.13</v>
          </cell>
          <cell r="K74">
            <v>0.18</v>
          </cell>
          <cell r="L74">
            <v>0.17</v>
          </cell>
          <cell r="M74">
            <v>0.16</v>
          </cell>
          <cell r="N74">
            <v>0.8</v>
          </cell>
          <cell r="O74">
            <v>1</v>
          </cell>
          <cell r="P74">
            <v>1</v>
          </cell>
          <cell r="Q74">
            <v>0.8</v>
          </cell>
          <cell r="R74">
            <v>0.8</v>
          </cell>
          <cell r="S74">
            <v>1</v>
          </cell>
          <cell r="T74">
            <v>1</v>
          </cell>
          <cell r="U74">
            <v>1</v>
          </cell>
          <cell r="V74">
            <v>1</v>
          </cell>
          <cell r="W74">
            <v>1</v>
          </cell>
          <cell r="X74">
            <v>1</v>
          </cell>
          <cell r="Y74">
            <v>1</v>
          </cell>
          <cell r="Z74">
            <v>0.1</v>
          </cell>
          <cell r="AA74">
            <v>0.1</v>
          </cell>
          <cell r="AB74">
            <v>0.14000000000000001</v>
          </cell>
          <cell r="AC74">
            <v>0.11</v>
          </cell>
          <cell r="AD74">
            <v>0.11</v>
          </cell>
          <cell r="AE74">
            <v>0.19</v>
          </cell>
          <cell r="AF74">
            <v>0.09</v>
          </cell>
          <cell r="AG74">
            <v>0.11</v>
          </cell>
          <cell r="AH74">
            <v>0.15</v>
          </cell>
          <cell r="AI74">
            <v>0.2</v>
          </cell>
          <cell r="AJ74">
            <v>0.2</v>
          </cell>
          <cell r="AK74">
            <v>0.2</v>
          </cell>
          <cell r="AL74">
            <v>0</v>
          </cell>
          <cell r="AM74">
            <v>0</v>
          </cell>
          <cell r="AN74">
            <v>0</v>
          </cell>
          <cell r="AO74">
            <v>0</v>
          </cell>
          <cell r="AP74">
            <v>0</v>
          </cell>
          <cell r="AQ74">
            <v>0</v>
          </cell>
          <cell r="AR74">
            <v>0</v>
          </cell>
          <cell r="AS74">
            <v>0</v>
          </cell>
          <cell r="AT74">
            <v>0</v>
          </cell>
          <cell r="AU74">
            <v>0</v>
          </cell>
          <cell r="AV74">
            <v>0</v>
          </cell>
          <cell r="AW74">
            <v>0</v>
          </cell>
          <cell r="AX74">
            <v>0</v>
          </cell>
          <cell r="AY74">
            <v>0</v>
          </cell>
          <cell r="AZ74">
            <v>0</v>
          </cell>
          <cell r="BA74">
            <v>0</v>
          </cell>
          <cell r="BB74">
            <v>0</v>
          </cell>
          <cell r="BC74">
            <v>0</v>
          </cell>
          <cell r="BD74">
            <v>0</v>
          </cell>
          <cell r="BE74">
            <v>0</v>
          </cell>
          <cell r="BF74">
            <v>0</v>
          </cell>
          <cell r="BG74">
            <v>0</v>
          </cell>
          <cell r="BH74">
            <v>0</v>
          </cell>
          <cell r="BI74">
            <v>0</v>
          </cell>
          <cell r="BJ74">
            <v>0</v>
          </cell>
          <cell r="BK74">
            <v>0</v>
          </cell>
          <cell r="BL74">
            <v>0</v>
          </cell>
          <cell r="BM74">
            <v>0</v>
          </cell>
          <cell r="BN74">
            <v>0</v>
          </cell>
          <cell r="BO74">
            <v>0</v>
          </cell>
          <cell r="BP74">
            <v>0</v>
          </cell>
          <cell r="BQ74">
            <v>0</v>
          </cell>
          <cell r="BR74">
            <v>0</v>
          </cell>
          <cell r="BS74">
            <v>0</v>
          </cell>
          <cell r="BT74">
            <v>0</v>
          </cell>
          <cell r="BU74">
            <v>0</v>
          </cell>
          <cell r="BV74">
            <v>0</v>
          </cell>
          <cell r="BW74">
            <v>0</v>
          </cell>
          <cell r="BX74">
            <v>0</v>
          </cell>
          <cell r="BY74">
            <v>0</v>
          </cell>
          <cell r="BZ74">
            <v>0</v>
          </cell>
          <cell r="CA74">
            <v>0</v>
          </cell>
          <cell r="CB74">
            <v>0</v>
          </cell>
          <cell r="CC74">
            <v>0</v>
          </cell>
          <cell r="CD74">
            <v>0</v>
          </cell>
          <cell r="CE74">
            <v>0</v>
          </cell>
          <cell r="CF74">
            <v>0</v>
          </cell>
          <cell r="CG74">
            <v>0</v>
          </cell>
          <cell r="CH74">
            <v>0</v>
          </cell>
          <cell r="CI74">
            <v>0</v>
          </cell>
          <cell r="CJ74">
            <v>0</v>
          </cell>
          <cell r="CK74">
            <v>0</v>
          </cell>
          <cell r="CL74">
            <v>0</v>
          </cell>
          <cell r="CM74">
            <v>0</v>
          </cell>
          <cell r="CN74">
            <v>0</v>
          </cell>
          <cell r="CO74">
            <v>0</v>
          </cell>
          <cell r="CP74">
            <v>0</v>
          </cell>
          <cell r="CQ74">
            <v>0</v>
          </cell>
          <cell r="CR74">
            <v>0</v>
          </cell>
          <cell r="CS74">
            <v>0</v>
          </cell>
          <cell r="CT74">
            <v>0</v>
          </cell>
          <cell r="CU74">
            <v>0</v>
          </cell>
          <cell r="CV74">
            <v>0</v>
          </cell>
          <cell r="CW74">
            <v>0</v>
          </cell>
          <cell r="CX74">
            <v>0</v>
          </cell>
          <cell r="CY74">
            <v>0</v>
          </cell>
          <cell r="CZ74">
            <v>0</v>
          </cell>
          <cell r="DA74">
            <v>0</v>
          </cell>
          <cell r="DB74">
            <v>0</v>
          </cell>
          <cell r="DC74">
            <v>0</v>
          </cell>
          <cell r="DD74">
            <v>0</v>
          </cell>
          <cell r="DE74">
            <v>0</v>
          </cell>
          <cell r="DF74">
            <v>0</v>
          </cell>
          <cell r="DG74">
            <v>0</v>
          </cell>
          <cell r="DH74">
            <v>0</v>
          </cell>
          <cell r="DI74">
            <v>0</v>
          </cell>
          <cell r="DJ74">
            <v>0</v>
          </cell>
          <cell r="DK74">
            <v>0</v>
          </cell>
          <cell r="DL74">
            <v>0</v>
          </cell>
          <cell r="DM74">
            <v>0</v>
          </cell>
          <cell r="DN74">
            <v>0</v>
          </cell>
          <cell r="DO74">
            <v>0</v>
          </cell>
          <cell r="DP74">
            <v>0</v>
          </cell>
          <cell r="DQ74">
            <v>0</v>
          </cell>
          <cell r="DR74">
            <v>0</v>
          </cell>
          <cell r="DS74">
            <v>0</v>
          </cell>
          <cell r="DT74">
            <v>0</v>
          </cell>
          <cell r="DU74">
            <v>0</v>
          </cell>
          <cell r="DV74">
            <v>0</v>
          </cell>
          <cell r="DW74">
            <v>0</v>
          </cell>
          <cell r="DX74">
            <v>0</v>
          </cell>
          <cell r="DY74">
            <v>0</v>
          </cell>
          <cell r="EA74">
            <v>0</v>
          </cell>
          <cell r="EB74">
            <v>0</v>
          </cell>
          <cell r="EC74">
            <v>0</v>
          </cell>
          <cell r="ED74">
            <v>0.05</v>
          </cell>
          <cell r="EE74">
            <v>0.09</v>
          </cell>
          <cell r="EF74">
            <v>0.08</v>
          </cell>
          <cell r="EG74">
            <v>0.17</v>
          </cell>
          <cell r="EH74">
            <v>1</v>
          </cell>
          <cell r="EI74">
            <v>1</v>
          </cell>
          <cell r="EJ74">
            <v>1</v>
          </cell>
          <cell r="EK74">
            <v>1</v>
          </cell>
          <cell r="EL74">
            <v>0.05</v>
          </cell>
          <cell r="EM74">
            <v>0.14000000000000001</v>
          </cell>
          <cell r="EN74">
            <v>0.11</v>
          </cell>
          <cell r="EO74">
            <v>0.2</v>
          </cell>
          <cell r="EP74">
            <v>0</v>
          </cell>
          <cell r="EQ74">
            <v>0</v>
          </cell>
          <cell r="ER74">
            <v>0</v>
          </cell>
          <cell r="ES74">
            <v>0</v>
          </cell>
          <cell r="ET74">
            <v>0</v>
          </cell>
          <cell r="EU74">
            <v>0</v>
          </cell>
          <cell r="EV74">
            <v>0</v>
          </cell>
          <cell r="EW74">
            <v>0</v>
          </cell>
          <cell r="EX74">
            <v>1</v>
          </cell>
          <cell r="EY74">
            <v>1</v>
          </cell>
          <cell r="EZ74">
            <v>1</v>
          </cell>
          <cell r="FA74">
            <v>0</v>
          </cell>
          <cell r="FB74">
            <v>0</v>
          </cell>
          <cell r="FC74">
            <v>0</v>
          </cell>
          <cell r="FD74">
            <v>0</v>
          </cell>
          <cell r="FE74">
            <v>0</v>
          </cell>
          <cell r="FF74">
            <v>0</v>
          </cell>
          <cell r="FG74">
            <v>0</v>
          </cell>
          <cell r="FH74">
            <v>0</v>
          </cell>
          <cell r="FI74">
            <v>0</v>
          </cell>
          <cell r="FJ74">
            <v>0</v>
          </cell>
          <cell r="FK74">
            <v>0</v>
          </cell>
          <cell r="FL74">
            <v>0</v>
          </cell>
          <cell r="FM74">
            <v>0</v>
          </cell>
          <cell r="FN74">
            <v>0</v>
          </cell>
          <cell r="FO74">
            <v>0</v>
          </cell>
          <cell r="FP74">
            <v>0</v>
          </cell>
          <cell r="FQ74">
            <v>0</v>
          </cell>
          <cell r="FR74">
            <v>0</v>
          </cell>
          <cell r="FS74">
            <v>0</v>
          </cell>
          <cell r="FT74">
            <v>0</v>
          </cell>
          <cell r="FU74">
            <v>0</v>
          </cell>
          <cell r="FV74">
            <v>0</v>
          </cell>
          <cell r="FW74">
            <v>0</v>
          </cell>
          <cell r="FX74">
            <v>0</v>
          </cell>
          <cell r="FY74">
            <v>0</v>
          </cell>
          <cell r="FZ74">
            <v>0</v>
          </cell>
        </row>
        <row r="75">
          <cell r="A75" t="str">
            <v>F_CNP_NRF_RET_COL_FRCE_702</v>
          </cell>
          <cell r="B75">
            <v>0.1</v>
          </cell>
          <cell r="C75">
            <v>0.08</v>
          </cell>
          <cell r="D75">
            <v>0.15</v>
          </cell>
          <cell r="E75">
            <v>0.08</v>
          </cell>
          <cell r="F75">
            <v>0.15</v>
          </cell>
          <cell r="G75">
            <v>0.22</v>
          </cell>
          <cell r="H75">
            <v>7.0000000000000007E-2</v>
          </cell>
          <cell r="I75">
            <v>0.05</v>
          </cell>
          <cell r="J75">
            <v>0.13</v>
          </cell>
          <cell r="K75">
            <v>0.18</v>
          </cell>
          <cell r="L75">
            <v>0.17</v>
          </cell>
          <cell r="M75">
            <v>0.16</v>
          </cell>
          <cell r="N75">
            <v>0.8</v>
          </cell>
          <cell r="O75">
            <v>1</v>
          </cell>
          <cell r="P75">
            <v>1</v>
          </cell>
          <cell r="Q75">
            <v>0.8</v>
          </cell>
          <cell r="R75">
            <v>0.8</v>
          </cell>
          <cell r="S75">
            <v>1</v>
          </cell>
          <cell r="T75">
            <v>1</v>
          </cell>
          <cell r="U75">
            <v>1</v>
          </cell>
          <cell r="V75">
            <v>1</v>
          </cell>
          <cell r="W75">
            <v>1</v>
          </cell>
          <cell r="X75">
            <v>1</v>
          </cell>
          <cell r="Y75">
            <v>1</v>
          </cell>
          <cell r="Z75">
            <v>0.1</v>
          </cell>
          <cell r="AA75">
            <v>0.1</v>
          </cell>
          <cell r="AB75">
            <v>0.14000000000000001</v>
          </cell>
          <cell r="AC75">
            <v>0.11</v>
          </cell>
          <cell r="AD75">
            <v>0.11</v>
          </cell>
          <cell r="AE75">
            <v>0.19</v>
          </cell>
          <cell r="AF75">
            <v>0.09</v>
          </cell>
          <cell r="AG75">
            <v>0.11</v>
          </cell>
          <cell r="AH75">
            <v>0.15</v>
          </cell>
          <cell r="AI75">
            <v>0.2</v>
          </cell>
          <cell r="AJ75">
            <v>0.2</v>
          </cell>
          <cell r="AK75">
            <v>0.2</v>
          </cell>
          <cell r="AL75">
            <v>0</v>
          </cell>
          <cell r="AM75">
            <v>0</v>
          </cell>
          <cell r="AN75">
            <v>0</v>
          </cell>
          <cell r="AO75">
            <v>0</v>
          </cell>
          <cell r="AP75">
            <v>0</v>
          </cell>
          <cell r="AQ75">
            <v>0</v>
          </cell>
          <cell r="AR75">
            <v>0</v>
          </cell>
          <cell r="AS75">
            <v>0</v>
          </cell>
          <cell r="AT75">
            <v>0</v>
          </cell>
          <cell r="AU75">
            <v>0</v>
          </cell>
          <cell r="AV75">
            <v>0</v>
          </cell>
          <cell r="AW75">
            <v>0</v>
          </cell>
          <cell r="AX75">
            <v>0</v>
          </cell>
          <cell r="AY75">
            <v>0</v>
          </cell>
          <cell r="AZ75">
            <v>0</v>
          </cell>
          <cell r="BA75">
            <v>0</v>
          </cell>
          <cell r="BB75">
            <v>0</v>
          </cell>
          <cell r="BC75">
            <v>0</v>
          </cell>
          <cell r="BD75">
            <v>0</v>
          </cell>
          <cell r="BE75">
            <v>0</v>
          </cell>
          <cell r="BF75">
            <v>0</v>
          </cell>
          <cell r="BG75">
            <v>0</v>
          </cell>
          <cell r="BH75">
            <v>0</v>
          </cell>
          <cell r="BI75">
            <v>0</v>
          </cell>
          <cell r="BJ75">
            <v>0</v>
          </cell>
          <cell r="BK75">
            <v>0</v>
          </cell>
          <cell r="BL75">
            <v>0</v>
          </cell>
          <cell r="BM75">
            <v>0</v>
          </cell>
          <cell r="BN75">
            <v>0</v>
          </cell>
          <cell r="BO75">
            <v>0</v>
          </cell>
          <cell r="BP75">
            <v>0</v>
          </cell>
          <cell r="BQ75">
            <v>0</v>
          </cell>
          <cell r="BR75">
            <v>0</v>
          </cell>
          <cell r="BS75">
            <v>0</v>
          </cell>
          <cell r="BT75">
            <v>0</v>
          </cell>
          <cell r="BU75">
            <v>0</v>
          </cell>
          <cell r="BV75">
            <v>0</v>
          </cell>
          <cell r="BW75">
            <v>0</v>
          </cell>
          <cell r="BX75">
            <v>0</v>
          </cell>
          <cell r="BY75">
            <v>0</v>
          </cell>
          <cell r="BZ75">
            <v>0</v>
          </cell>
          <cell r="CA75">
            <v>0</v>
          </cell>
          <cell r="CB75">
            <v>0</v>
          </cell>
          <cell r="CC75">
            <v>0</v>
          </cell>
          <cell r="CD75">
            <v>0</v>
          </cell>
          <cell r="CE75">
            <v>0</v>
          </cell>
          <cell r="CF75">
            <v>0</v>
          </cell>
          <cell r="CG75">
            <v>0</v>
          </cell>
          <cell r="CH75">
            <v>0</v>
          </cell>
          <cell r="CI75">
            <v>0</v>
          </cell>
          <cell r="CJ75">
            <v>0</v>
          </cell>
          <cell r="CK75">
            <v>0</v>
          </cell>
          <cell r="CL75">
            <v>0</v>
          </cell>
          <cell r="CM75">
            <v>0</v>
          </cell>
          <cell r="CN75">
            <v>0</v>
          </cell>
          <cell r="CO75">
            <v>0</v>
          </cell>
          <cell r="CP75">
            <v>0</v>
          </cell>
          <cell r="CQ75">
            <v>0</v>
          </cell>
          <cell r="CR75">
            <v>0</v>
          </cell>
          <cell r="CS75">
            <v>0</v>
          </cell>
          <cell r="CT75">
            <v>0</v>
          </cell>
          <cell r="CU75">
            <v>0</v>
          </cell>
          <cell r="CV75">
            <v>0</v>
          </cell>
          <cell r="CW75">
            <v>0</v>
          </cell>
          <cell r="CX75">
            <v>0</v>
          </cell>
          <cell r="CY75">
            <v>0</v>
          </cell>
          <cell r="CZ75">
            <v>0</v>
          </cell>
          <cell r="DA75">
            <v>0</v>
          </cell>
          <cell r="DB75">
            <v>0</v>
          </cell>
          <cell r="DC75">
            <v>0</v>
          </cell>
          <cell r="DD75">
            <v>0</v>
          </cell>
          <cell r="DE75">
            <v>0</v>
          </cell>
          <cell r="DF75">
            <v>0</v>
          </cell>
          <cell r="DG75">
            <v>0</v>
          </cell>
          <cell r="DH75">
            <v>0</v>
          </cell>
          <cell r="DI75">
            <v>0</v>
          </cell>
          <cell r="DJ75">
            <v>0</v>
          </cell>
          <cell r="DK75">
            <v>0</v>
          </cell>
          <cell r="DL75">
            <v>0</v>
          </cell>
          <cell r="DM75">
            <v>0</v>
          </cell>
          <cell r="DN75">
            <v>0</v>
          </cell>
          <cell r="DO75">
            <v>0</v>
          </cell>
          <cell r="DP75">
            <v>0</v>
          </cell>
          <cell r="DQ75">
            <v>0</v>
          </cell>
          <cell r="DR75">
            <v>0</v>
          </cell>
          <cell r="DS75">
            <v>0</v>
          </cell>
          <cell r="DT75">
            <v>0</v>
          </cell>
          <cell r="DU75">
            <v>0</v>
          </cell>
          <cell r="DV75">
            <v>0</v>
          </cell>
          <cell r="DW75">
            <v>0</v>
          </cell>
          <cell r="DX75">
            <v>0</v>
          </cell>
          <cell r="DY75">
            <v>0</v>
          </cell>
          <cell r="EA75">
            <v>0</v>
          </cell>
          <cell r="EB75">
            <v>0</v>
          </cell>
          <cell r="EC75">
            <v>0</v>
          </cell>
          <cell r="ED75">
            <v>0.05</v>
          </cell>
          <cell r="EE75">
            <v>0.09</v>
          </cell>
          <cell r="EF75">
            <v>0.08</v>
          </cell>
          <cell r="EG75">
            <v>0.17</v>
          </cell>
          <cell r="EH75">
            <v>1</v>
          </cell>
          <cell r="EI75">
            <v>1</v>
          </cell>
          <cell r="EJ75">
            <v>1</v>
          </cell>
          <cell r="EK75">
            <v>1</v>
          </cell>
          <cell r="EL75">
            <v>0.05</v>
          </cell>
          <cell r="EM75">
            <v>0.14000000000000001</v>
          </cell>
          <cell r="EN75">
            <v>0.11</v>
          </cell>
          <cell r="EO75">
            <v>0.2</v>
          </cell>
          <cell r="EP75">
            <v>0</v>
          </cell>
          <cell r="EQ75">
            <v>0</v>
          </cell>
          <cell r="ER75">
            <v>0</v>
          </cell>
          <cell r="ES75">
            <v>0</v>
          </cell>
          <cell r="ET75">
            <v>0</v>
          </cell>
          <cell r="EU75">
            <v>0</v>
          </cell>
          <cell r="EV75">
            <v>0</v>
          </cell>
          <cell r="EW75">
            <v>0</v>
          </cell>
          <cell r="EX75">
            <v>1</v>
          </cell>
          <cell r="EY75">
            <v>1</v>
          </cell>
          <cell r="EZ75">
            <v>1</v>
          </cell>
          <cell r="FA75">
            <v>0</v>
          </cell>
          <cell r="FB75">
            <v>0</v>
          </cell>
          <cell r="FC75">
            <v>0</v>
          </cell>
          <cell r="FD75">
            <v>0</v>
          </cell>
          <cell r="FE75">
            <v>0</v>
          </cell>
          <cell r="FF75">
            <v>0</v>
          </cell>
          <cell r="FG75">
            <v>0</v>
          </cell>
          <cell r="FH75">
            <v>0</v>
          </cell>
          <cell r="FI75">
            <v>0</v>
          </cell>
          <cell r="FJ75">
            <v>0</v>
          </cell>
          <cell r="FK75">
            <v>0</v>
          </cell>
          <cell r="FL75">
            <v>0</v>
          </cell>
          <cell r="FM75">
            <v>0</v>
          </cell>
          <cell r="FN75">
            <v>0</v>
          </cell>
          <cell r="FO75">
            <v>0</v>
          </cell>
          <cell r="FP75">
            <v>0</v>
          </cell>
          <cell r="FQ75">
            <v>0</v>
          </cell>
          <cell r="FR75">
            <v>0</v>
          </cell>
          <cell r="FS75">
            <v>0</v>
          </cell>
          <cell r="FT75">
            <v>0</v>
          </cell>
          <cell r="FU75">
            <v>0</v>
          </cell>
          <cell r="FV75">
            <v>0</v>
          </cell>
          <cell r="FW75">
            <v>0</v>
          </cell>
          <cell r="FX75">
            <v>0</v>
          </cell>
          <cell r="FY75">
            <v>0</v>
          </cell>
          <cell r="FZ75">
            <v>0</v>
          </cell>
        </row>
        <row r="76">
          <cell r="A76" t="str">
            <v>F_CNP_NRF_RET_COL_FRCE_210</v>
          </cell>
          <cell r="B76">
            <v>0.1</v>
          </cell>
          <cell r="C76">
            <v>0.08</v>
          </cell>
          <cell r="D76">
            <v>0.15</v>
          </cell>
          <cell r="E76">
            <v>0.08</v>
          </cell>
          <cell r="F76">
            <v>0.15</v>
          </cell>
          <cell r="G76">
            <v>0.22</v>
          </cell>
          <cell r="H76">
            <v>7.0000000000000007E-2</v>
          </cell>
          <cell r="I76">
            <v>0.05</v>
          </cell>
          <cell r="J76">
            <v>0.13</v>
          </cell>
          <cell r="K76">
            <v>0.18</v>
          </cell>
          <cell r="L76">
            <v>0.17</v>
          </cell>
          <cell r="M76">
            <v>0.16</v>
          </cell>
          <cell r="N76">
            <v>0.8</v>
          </cell>
          <cell r="O76">
            <v>1</v>
          </cell>
          <cell r="P76">
            <v>1</v>
          </cell>
          <cell r="Q76">
            <v>0.8</v>
          </cell>
          <cell r="R76">
            <v>0.8</v>
          </cell>
          <cell r="S76">
            <v>1</v>
          </cell>
          <cell r="T76">
            <v>1</v>
          </cell>
          <cell r="U76">
            <v>1</v>
          </cell>
          <cell r="V76">
            <v>1</v>
          </cell>
          <cell r="W76">
            <v>1</v>
          </cell>
          <cell r="X76">
            <v>1</v>
          </cell>
          <cell r="Y76">
            <v>1</v>
          </cell>
          <cell r="Z76">
            <v>0.1</v>
          </cell>
          <cell r="AA76">
            <v>0.1</v>
          </cell>
          <cell r="AB76">
            <v>0.14000000000000001</v>
          </cell>
          <cell r="AC76">
            <v>0.11</v>
          </cell>
          <cell r="AD76">
            <v>0.11</v>
          </cell>
          <cell r="AE76">
            <v>0.19</v>
          </cell>
          <cell r="AF76">
            <v>0.09</v>
          </cell>
          <cell r="AG76">
            <v>0.11</v>
          </cell>
          <cell r="AH76">
            <v>0.15</v>
          </cell>
          <cell r="AI76">
            <v>0.2</v>
          </cell>
          <cell r="AJ76">
            <v>0.2</v>
          </cell>
          <cell r="AK76">
            <v>0.2</v>
          </cell>
          <cell r="AL76">
            <v>0</v>
          </cell>
          <cell r="AM76">
            <v>0</v>
          </cell>
          <cell r="AN76">
            <v>0</v>
          </cell>
          <cell r="AO76">
            <v>0</v>
          </cell>
          <cell r="AP76">
            <v>0</v>
          </cell>
          <cell r="AQ76">
            <v>0</v>
          </cell>
          <cell r="AR76">
            <v>0</v>
          </cell>
          <cell r="AS76">
            <v>0</v>
          </cell>
          <cell r="AT76">
            <v>0</v>
          </cell>
          <cell r="AU76">
            <v>0</v>
          </cell>
          <cell r="AV76">
            <v>0</v>
          </cell>
          <cell r="AW76">
            <v>0</v>
          </cell>
          <cell r="AX76">
            <v>0</v>
          </cell>
          <cell r="AY76">
            <v>0</v>
          </cell>
          <cell r="AZ76">
            <v>0</v>
          </cell>
          <cell r="BA76">
            <v>0</v>
          </cell>
          <cell r="BB76">
            <v>0</v>
          </cell>
          <cell r="BC76">
            <v>0</v>
          </cell>
          <cell r="BD76">
            <v>0</v>
          </cell>
          <cell r="BE76">
            <v>0</v>
          </cell>
          <cell r="BF76">
            <v>0</v>
          </cell>
          <cell r="BG76">
            <v>0</v>
          </cell>
          <cell r="BH76">
            <v>0</v>
          </cell>
          <cell r="BI76">
            <v>0</v>
          </cell>
          <cell r="BJ76">
            <v>0</v>
          </cell>
          <cell r="BK76">
            <v>0</v>
          </cell>
          <cell r="BL76">
            <v>0</v>
          </cell>
          <cell r="BM76">
            <v>0</v>
          </cell>
          <cell r="BN76">
            <v>0</v>
          </cell>
          <cell r="BO76">
            <v>0</v>
          </cell>
          <cell r="BP76">
            <v>0</v>
          </cell>
          <cell r="BQ76">
            <v>0</v>
          </cell>
          <cell r="BR76">
            <v>0</v>
          </cell>
          <cell r="BS76">
            <v>0</v>
          </cell>
          <cell r="BT76">
            <v>0</v>
          </cell>
          <cell r="BU76">
            <v>0</v>
          </cell>
          <cell r="BV76">
            <v>0</v>
          </cell>
          <cell r="BW76">
            <v>0</v>
          </cell>
          <cell r="BX76">
            <v>0</v>
          </cell>
          <cell r="BY76">
            <v>0</v>
          </cell>
          <cell r="BZ76">
            <v>0</v>
          </cell>
          <cell r="CA76">
            <v>0</v>
          </cell>
          <cell r="CB76">
            <v>0</v>
          </cell>
          <cell r="CC76">
            <v>0</v>
          </cell>
          <cell r="CD76">
            <v>0</v>
          </cell>
          <cell r="CE76">
            <v>0</v>
          </cell>
          <cell r="CF76">
            <v>0</v>
          </cell>
          <cell r="CG76">
            <v>0</v>
          </cell>
          <cell r="CH76">
            <v>0</v>
          </cell>
          <cell r="CI76">
            <v>0</v>
          </cell>
          <cell r="CJ76">
            <v>0</v>
          </cell>
          <cell r="CK76">
            <v>0</v>
          </cell>
          <cell r="CL76">
            <v>0</v>
          </cell>
          <cell r="CM76">
            <v>0</v>
          </cell>
          <cell r="CN76">
            <v>0</v>
          </cell>
          <cell r="CO76">
            <v>0</v>
          </cell>
          <cell r="CP76">
            <v>0</v>
          </cell>
          <cell r="CQ76">
            <v>0</v>
          </cell>
          <cell r="CR76">
            <v>0</v>
          </cell>
          <cell r="CS76">
            <v>0</v>
          </cell>
          <cell r="CT76">
            <v>0</v>
          </cell>
          <cell r="CU76">
            <v>0</v>
          </cell>
          <cell r="CV76">
            <v>0</v>
          </cell>
          <cell r="CW76">
            <v>0</v>
          </cell>
          <cell r="CX76">
            <v>0</v>
          </cell>
          <cell r="CY76">
            <v>0</v>
          </cell>
          <cell r="CZ76">
            <v>0</v>
          </cell>
          <cell r="DA76">
            <v>0</v>
          </cell>
          <cell r="DB76">
            <v>0</v>
          </cell>
          <cell r="DC76">
            <v>0</v>
          </cell>
          <cell r="DD76">
            <v>0</v>
          </cell>
          <cell r="DE76">
            <v>0</v>
          </cell>
          <cell r="DF76">
            <v>0</v>
          </cell>
          <cell r="DG76">
            <v>0</v>
          </cell>
          <cell r="DH76">
            <v>0</v>
          </cell>
          <cell r="DI76">
            <v>0</v>
          </cell>
          <cell r="DJ76">
            <v>0</v>
          </cell>
          <cell r="DK76">
            <v>0</v>
          </cell>
          <cell r="DL76">
            <v>0</v>
          </cell>
          <cell r="DM76">
            <v>0</v>
          </cell>
          <cell r="DN76">
            <v>0</v>
          </cell>
          <cell r="DO76">
            <v>0</v>
          </cell>
          <cell r="DP76">
            <v>0</v>
          </cell>
          <cell r="DQ76">
            <v>0</v>
          </cell>
          <cell r="DR76">
            <v>0</v>
          </cell>
          <cell r="DS76">
            <v>0</v>
          </cell>
          <cell r="DT76">
            <v>0</v>
          </cell>
          <cell r="DU76">
            <v>0</v>
          </cell>
          <cell r="DV76">
            <v>0</v>
          </cell>
          <cell r="DW76">
            <v>0</v>
          </cell>
          <cell r="DX76">
            <v>0</v>
          </cell>
          <cell r="DY76">
            <v>0</v>
          </cell>
          <cell r="EA76">
            <v>0</v>
          </cell>
          <cell r="EB76">
            <v>0</v>
          </cell>
          <cell r="EC76">
            <v>0</v>
          </cell>
          <cell r="ED76">
            <v>0.05</v>
          </cell>
          <cell r="EE76">
            <v>0.09</v>
          </cell>
          <cell r="EF76">
            <v>0.08</v>
          </cell>
          <cell r="EG76">
            <v>0.17</v>
          </cell>
          <cell r="EH76">
            <v>1</v>
          </cell>
          <cell r="EI76">
            <v>1</v>
          </cell>
          <cell r="EJ76">
            <v>1</v>
          </cell>
          <cell r="EK76">
            <v>1</v>
          </cell>
          <cell r="EL76">
            <v>0.05</v>
          </cell>
          <cell r="EM76">
            <v>0.14000000000000001</v>
          </cell>
          <cell r="EN76">
            <v>0.11</v>
          </cell>
          <cell r="EO76">
            <v>0.2</v>
          </cell>
          <cell r="EP76">
            <v>0</v>
          </cell>
          <cell r="EQ76">
            <v>0</v>
          </cell>
          <cell r="ER76">
            <v>0</v>
          </cell>
          <cell r="ES76">
            <v>0</v>
          </cell>
          <cell r="ET76">
            <v>0</v>
          </cell>
          <cell r="EU76">
            <v>0</v>
          </cell>
          <cell r="EV76">
            <v>0</v>
          </cell>
          <cell r="EW76">
            <v>0</v>
          </cell>
          <cell r="EX76">
            <v>1</v>
          </cell>
          <cell r="EY76">
            <v>1</v>
          </cell>
          <cell r="EZ76">
            <v>1</v>
          </cell>
          <cell r="FA76">
            <v>0</v>
          </cell>
          <cell r="FB76">
            <v>0</v>
          </cell>
          <cell r="FC76">
            <v>0</v>
          </cell>
          <cell r="FD76">
            <v>0</v>
          </cell>
          <cell r="FE76">
            <v>0</v>
          </cell>
          <cell r="FF76">
            <v>0</v>
          </cell>
          <cell r="FG76">
            <v>0</v>
          </cell>
          <cell r="FH76">
            <v>0</v>
          </cell>
          <cell r="FI76">
            <v>0</v>
          </cell>
          <cell r="FJ76">
            <v>0</v>
          </cell>
          <cell r="FK76">
            <v>0</v>
          </cell>
          <cell r="FL76">
            <v>0</v>
          </cell>
          <cell r="FM76">
            <v>0</v>
          </cell>
          <cell r="FN76">
            <v>0</v>
          </cell>
          <cell r="FO76">
            <v>0</v>
          </cell>
          <cell r="FP76">
            <v>0</v>
          </cell>
          <cell r="FQ76">
            <v>0</v>
          </cell>
          <cell r="FR76">
            <v>0</v>
          </cell>
          <cell r="FS76">
            <v>0</v>
          </cell>
          <cell r="FT76">
            <v>0</v>
          </cell>
          <cell r="FU76">
            <v>0</v>
          </cell>
          <cell r="FV76">
            <v>0</v>
          </cell>
          <cell r="FW76">
            <v>0</v>
          </cell>
          <cell r="FX76">
            <v>0</v>
          </cell>
          <cell r="FY76">
            <v>0</v>
          </cell>
          <cell r="FZ76">
            <v>0</v>
          </cell>
        </row>
        <row r="77">
          <cell r="A77" t="str">
            <v>F_CNP_NRF_RET_COL_FRCE_120</v>
          </cell>
          <cell r="B77">
            <v>0.1</v>
          </cell>
          <cell r="C77">
            <v>0.08</v>
          </cell>
          <cell r="D77">
            <v>0.15</v>
          </cell>
          <cell r="E77">
            <v>0.08</v>
          </cell>
          <cell r="F77">
            <v>0.15</v>
          </cell>
          <cell r="G77">
            <v>0.22</v>
          </cell>
          <cell r="H77">
            <v>7.0000000000000007E-2</v>
          </cell>
          <cell r="I77">
            <v>0.05</v>
          </cell>
          <cell r="J77">
            <v>0.13</v>
          </cell>
          <cell r="K77">
            <v>0.18</v>
          </cell>
          <cell r="L77">
            <v>0.17</v>
          </cell>
          <cell r="M77">
            <v>0.16</v>
          </cell>
          <cell r="N77">
            <v>0.8</v>
          </cell>
          <cell r="O77">
            <v>1</v>
          </cell>
          <cell r="P77">
            <v>1</v>
          </cell>
          <cell r="Q77">
            <v>0.8</v>
          </cell>
          <cell r="R77">
            <v>0.8</v>
          </cell>
          <cell r="S77">
            <v>1</v>
          </cell>
          <cell r="T77">
            <v>1</v>
          </cell>
          <cell r="U77">
            <v>1</v>
          </cell>
          <cell r="V77">
            <v>1</v>
          </cell>
          <cell r="W77">
            <v>1</v>
          </cell>
          <cell r="X77">
            <v>1</v>
          </cell>
          <cell r="Y77">
            <v>1</v>
          </cell>
          <cell r="Z77">
            <v>0.1</v>
          </cell>
          <cell r="AA77">
            <v>0.1</v>
          </cell>
          <cell r="AB77">
            <v>0.14000000000000001</v>
          </cell>
          <cell r="AC77">
            <v>0.11</v>
          </cell>
          <cell r="AD77">
            <v>0.11</v>
          </cell>
          <cell r="AE77">
            <v>0.19</v>
          </cell>
          <cell r="AF77">
            <v>0.09</v>
          </cell>
          <cell r="AG77">
            <v>0.11</v>
          </cell>
          <cell r="AH77">
            <v>0.15</v>
          </cell>
          <cell r="AI77">
            <v>0.2</v>
          </cell>
          <cell r="AJ77">
            <v>0.2</v>
          </cell>
          <cell r="AK77">
            <v>0.2</v>
          </cell>
          <cell r="AL77">
            <v>0</v>
          </cell>
          <cell r="AM77">
            <v>0</v>
          </cell>
          <cell r="AN77">
            <v>0</v>
          </cell>
          <cell r="AO77">
            <v>0</v>
          </cell>
          <cell r="AP77">
            <v>0</v>
          </cell>
          <cell r="AQ77">
            <v>0</v>
          </cell>
          <cell r="AR77">
            <v>0</v>
          </cell>
          <cell r="AS77">
            <v>0</v>
          </cell>
          <cell r="AT77">
            <v>0</v>
          </cell>
          <cell r="AU77">
            <v>0</v>
          </cell>
          <cell r="AV77">
            <v>0</v>
          </cell>
          <cell r="AW77">
            <v>0</v>
          </cell>
          <cell r="AX77">
            <v>0</v>
          </cell>
          <cell r="AY77">
            <v>0</v>
          </cell>
          <cell r="AZ77">
            <v>0</v>
          </cell>
          <cell r="BA77">
            <v>0</v>
          </cell>
          <cell r="BB77">
            <v>0</v>
          </cell>
          <cell r="BC77">
            <v>0</v>
          </cell>
          <cell r="BD77">
            <v>0</v>
          </cell>
          <cell r="BE77">
            <v>0</v>
          </cell>
          <cell r="BF77">
            <v>0</v>
          </cell>
          <cell r="BG77">
            <v>0</v>
          </cell>
          <cell r="BH77">
            <v>0</v>
          </cell>
          <cell r="BI77">
            <v>0</v>
          </cell>
          <cell r="BJ77">
            <v>0</v>
          </cell>
          <cell r="BK77">
            <v>0</v>
          </cell>
          <cell r="BL77">
            <v>0</v>
          </cell>
          <cell r="BM77">
            <v>0</v>
          </cell>
          <cell r="BN77">
            <v>0</v>
          </cell>
          <cell r="BO77">
            <v>0</v>
          </cell>
          <cell r="BP77">
            <v>0</v>
          </cell>
          <cell r="BQ77">
            <v>0</v>
          </cell>
          <cell r="BR77">
            <v>0</v>
          </cell>
          <cell r="BS77">
            <v>0</v>
          </cell>
          <cell r="BT77">
            <v>0</v>
          </cell>
          <cell r="BU77">
            <v>0</v>
          </cell>
          <cell r="BV77">
            <v>0</v>
          </cell>
          <cell r="BW77">
            <v>0</v>
          </cell>
          <cell r="BX77">
            <v>0</v>
          </cell>
          <cell r="BY77">
            <v>0</v>
          </cell>
          <cell r="BZ77">
            <v>0</v>
          </cell>
          <cell r="CA77">
            <v>0</v>
          </cell>
          <cell r="CB77">
            <v>0</v>
          </cell>
          <cell r="CC77">
            <v>0</v>
          </cell>
          <cell r="CD77">
            <v>0</v>
          </cell>
          <cell r="CE77">
            <v>0</v>
          </cell>
          <cell r="CF77">
            <v>0</v>
          </cell>
          <cell r="CG77">
            <v>0</v>
          </cell>
          <cell r="CH77">
            <v>0</v>
          </cell>
          <cell r="CI77">
            <v>0</v>
          </cell>
          <cell r="CJ77">
            <v>0</v>
          </cell>
          <cell r="CK77">
            <v>0</v>
          </cell>
          <cell r="CL77">
            <v>0</v>
          </cell>
          <cell r="CM77">
            <v>0</v>
          </cell>
          <cell r="CN77">
            <v>0</v>
          </cell>
          <cell r="CO77">
            <v>0</v>
          </cell>
          <cell r="CP77">
            <v>0</v>
          </cell>
          <cell r="CQ77">
            <v>0</v>
          </cell>
          <cell r="CR77">
            <v>0</v>
          </cell>
          <cell r="CS77">
            <v>0</v>
          </cell>
          <cell r="CT77">
            <v>0</v>
          </cell>
          <cell r="CU77">
            <v>0</v>
          </cell>
          <cell r="CV77">
            <v>0</v>
          </cell>
          <cell r="CW77">
            <v>0</v>
          </cell>
          <cell r="CX77">
            <v>0</v>
          </cell>
          <cell r="CY77">
            <v>0</v>
          </cell>
          <cell r="CZ77">
            <v>0</v>
          </cell>
          <cell r="DA77">
            <v>0</v>
          </cell>
          <cell r="DB77">
            <v>0</v>
          </cell>
          <cell r="DC77">
            <v>0</v>
          </cell>
          <cell r="DD77">
            <v>0</v>
          </cell>
          <cell r="DE77">
            <v>0</v>
          </cell>
          <cell r="DF77">
            <v>0</v>
          </cell>
          <cell r="DG77">
            <v>0</v>
          </cell>
          <cell r="DH77">
            <v>0</v>
          </cell>
          <cell r="DI77">
            <v>0</v>
          </cell>
          <cell r="DJ77">
            <v>0</v>
          </cell>
          <cell r="DK77">
            <v>0</v>
          </cell>
          <cell r="DL77">
            <v>0</v>
          </cell>
          <cell r="DM77">
            <v>0</v>
          </cell>
          <cell r="DN77">
            <v>0</v>
          </cell>
          <cell r="DO77">
            <v>0</v>
          </cell>
          <cell r="DP77">
            <v>0</v>
          </cell>
          <cell r="DQ77">
            <v>0</v>
          </cell>
          <cell r="DR77">
            <v>0</v>
          </cell>
          <cell r="DS77">
            <v>0</v>
          </cell>
          <cell r="DT77">
            <v>0</v>
          </cell>
          <cell r="DU77">
            <v>0</v>
          </cell>
          <cell r="DV77">
            <v>0</v>
          </cell>
          <cell r="DW77">
            <v>0</v>
          </cell>
          <cell r="DX77">
            <v>0</v>
          </cell>
          <cell r="DY77">
            <v>0</v>
          </cell>
          <cell r="EA77">
            <v>0</v>
          </cell>
          <cell r="EB77">
            <v>0</v>
          </cell>
          <cell r="EC77">
            <v>0</v>
          </cell>
          <cell r="ED77">
            <v>0.05</v>
          </cell>
          <cell r="EE77">
            <v>0.09</v>
          </cell>
          <cell r="EF77">
            <v>0.08</v>
          </cell>
          <cell r="EG77">
            <v>0.17</v>
          </cell>
          <cell r="EH77">
            <v>1</v>
          </cell>
          <cell r="EI77">
            <v>1</v>
          </cell>
          <cell r="EJ77">
            <v>1</v>
          </cell>
          <cell r="EK77">
            <v>1</v>
          </cell>
          <cell r="EL77">
            <v>0.05</v>
          </cell>
          <cell r="EM77">
            <v>0.14000000000000001</v>
          </cell>
          <cell r="EN77">
            <v>0.11</v>
          </cell>
          <cell r="EO77">
            <v>0.2</v>
          </cell>
          <cell r="EP77">
            <v>0</v>
          </cell>
          <cell r="EQ77">
            <v>0</v>
          </cell>
          <cell r="ER77">
            <v>0</v>
          </cell>
          <cell r="ES77">
            <v>0</v>
          </cell>
          <cell r="ET77">
            <v>0</v>
          </cell>
          <cell r="EU77">
            <v>0</v>
          </cell>
          <cell r="EV77">
            <v>0</v>
          </cell>
          <cell r="EW77">
            <v>0</v>
          </cell>
          <cell r="EX77">
            <v>1</v>
          </cell>
          <cell r="EY77">
            <v>1</v>
          </cell>
          <cell r="EZ77">
            <v>1</v>
          </cell>
          <cell r="FA77">
            <v>0</v>
          </cell>
          <cell r="FB77">
            <v>0</v>
          </cell>
          <cell r="FC77">
            <v>0</v>
          </cell>
          <cell r="FD77">
            <v>0</v>
          </cell>
          <cell r="FE77">
            <v>0</v>
          </cell>
          <cell r="FF77">
            <v>0</v>
          </cell>
          <cell r="FG77">
            <v>0</v>
          </cell>
          <cell r="FH77">
            <v>0</v>
          </cell>
          <cell r="FI77">
            <v>0</v>
          </cell>
          <cell r="FJ77">
            <v>0</v>
          </cell>
          <cell r="FK77">
            <v>0</v>
          </cell>
          <cell r="FL77">
            <v>0</v>
          </cell>
          <cell r="FM77">
            <v>0</v>
          </cell>
          <cell r="FN77">
            <v>0</v>
          </cell>
          <cell r="FO77">
            <v>0</v>
          </cell>
          <cell r="FP77">
            <v>0</v>
          </cell>
          <cell r="FQ77">
            <v>0</v>
          </cell>
          <cell r="FR77">
            <v>0</v>
          </cell>
          <cell r="FS77">
            <v>0</v>
          </cell>
          <cell r="FT77">
            <v>0</v>
          </cell>
          <cell r="FU77">
            <v>0</v>
          </cell>
          <cell r="FV77">
            <v>0</v>
          </cell>
          <cell r="FW77">
            <v>0</v>
          </cell>
          <cell r="FX77">
            <v>0</v>
          </cell>
          <cell r="FY77">
            <v>0</v>
          </cell>
          <cell r="FZ77">
            <v>0</v>
          </cell>
        </row>
        <row r="78">
          <cell r="A78" t="str">
            <v>F_CNP_NRF_RET_COL_FRCE_233</v>
          </cell>
          <cell r="B78">
            <v>0.1</v>
          </cell>
          <cell r="C78">
            <v>0.08</v>
          </cell>
          <cell r="D78">
            <v>0.15</v>
          </cell>
          <cell r="E78">
            <v>0.08</v>
          </cell>
          <cell r="F78">
            <v>0.15</v>
          </cell>
          <cell r="G78">
            <v>0.22</v>
          </cell>
          <cell r="H78">
            <v>7.0000000000000007E-2</v>
          </cell>
          <cell r="I78">
            <v>0.05</v>
          </cell>
          <cell r="J78">
            <v>0.13</v>
          </cell>
          <cell r="K78">
            <v>0.18</v>
          </cell>
          <cell r="L78">
            <v>0.17</v>
          </cell>
          <cell r="M78">
            <v>0.16</v>
          </cell>
          <cell r="N78">
            <v>0.8</v>
          </cell>
          <cell r="O78">
            <v>1</v>
          </cell>
          <cell r="P78">
            <v>1</v>
          </cell>
          <cell r="Q78">
            <v>0.8</v>
          </cell>
          <cell r="R78">
            <v>0.8</v>
          </cell>
          <cell r="S78">
            <v>1</v>
          </cell>
          <cell r="T78">
            <v>1</v>
          </cell>
          <cell r="U78">
            <v>1</v>
          </cell>
          <cell r="V78">
            <v>1</v>
          </cell>
          <cell r="W78">
            <v>1</v>
          </cell>
          <cell r="X78">
            <v>1</v>
          </cell>
          <cell r="Y78">
            <v>1</v>
          </cell>
          <cell r="Z78">
            <v>0.1</v>
          </cell>
          <cell r="AA78">
            <v>0.1</v>
          </cell>
          <cell r="AB78">
            <v>0.14000000000000001</v>
          </cell>
          <cell r="AC78">
            <v>0.11</v>
          </cell>
          <cell r="AD78">
            <v>0.11</v>
          </cell>
          <cell r="AE78">
            <v>0.19</v>
          </cell>
          <cell r="AF78">
            <v>0.09</v>
          </cell>
          <cell r="AG78">
            <v>0.11</v>
          </cell>
          <cell r="AH78">
            <v>0.15</v>
          </cell>
          <cell r="AI78">
            <v>0.2</v>
          </cell>
          <cell r="AJ78">
            <v>0.2</v>
          </cell>
          <cell r="AK78">
            <v>0.2</v>
          </cell>
          <cell r="AL78">
            <v>0</v>
          </cell>
          <cell r="AM78">
            <v>0</v>
          </cell>
          <cell r="AN78">
            <v>0</v>
          </cell>
          <cell r="AO78">
            <v>0</v>
          </cell>
          <cell r="AP78">
            <v>0</v>
          </cell>
          <cell r="AQ78">
            <v>0</v>
          </cell>
          <cell r="AR78">
            <v>0</v>
          </cell>
          <cell r="AS78">
            <v>0</v>
          </cell>
          <cell r="AT78">
            <v>0</v>
          </cell>
          <cell r="AU78">
            <v>0</v>
          </cell>
          <cell r="AV78">
            <v>0</v>
          </cell>
          <cell r="AW78">
            <v>0</v>
          </cell>
          <cell r="AX78">
            <v>0</v>
          </cell>
          <cell r="AY78">
            <v>0</v>
          </cell>
          <cell r="AZ78">
            <v>0</v>
          </cell>
          <cell r="BA78">
            <v>0</v>
          </cell>
          <cell r="BB78">
            <v>0</v>
          </cell>
          <cell r="BC78">
            <v>0</v>
          </cell>
          <cell r="BD78">
            <v>0</v>
          </cell>
          <cell r="BE78">
            <v>0</v>
          </cell>
          <cell r="BF78">
            <v>0</v>
          </cell>
          <cell r="BG78">
            <v>0</v>
          </cell>
          <cell r="BH78">
            <v>0</v>
          </cell>
          <cell r="BI78">
            <v>0</v>
          </cell>
          <cell r="BJ78">
            <v>0</v>
          </cell>
          <cell r="BK78">
            <v>0</v>
          </cell>
          <cell r="BL78">
            <v>0</v>
          </cell>
          <cell r="BM78">
            <v>0</v>
          </cell>
          <cell r="BN78">
            <v>0</v>
          </cell>
          <cell r="BO78">
            <v>0</v>
          </cell>
          <cell r="BP78">
            <v>0</v>
          </cell>
          <cell r="BQ78">
            <v>0</v>
          </cell>
          <cell r="BR78">
            <v>0</v>
          </cell>
          <cell r="BS78">
            <v>0</v>
          </cell>
          <cell r="BT78">
            <v>0</v>
          </cell>
          <cell r="BU78">
            <v>0</v>
          </cell>
          <cell r="BV78">
            <v>0</v>
          </cell>
          <cell r="BW78">
            <v>0</v>
          </cell>
          <cell r="BX78">
            <v>0</v>
          </cell>
          <cell r="BY78">
            <v>0</v>
          </cell>
          <cell r="BZ78">
            <v>0</v>
          </cell>
          <cell r="CA78">
            <v>0</v>
          </cell>
          <cell r="CB78">
            <v>0</v>
          </cell>
          <cell r="CC78">
            <v>0</v>
          </cell>
          <cell r="CD78">
            <v>0</v>
          </cell>
          <cell r="CE78">
            <v>0</v>
          </cell>
          <cell r="CF78">
            <v>0</v>
          </cell>
          <cell r="CG78">
            <v>0</v>
          </cell>
          <cell r="CH78">
            <v>0</v>
          </cell>
          <cell r="CI78">
            <v>0</v>
          </cell>
          <cell r="CJ78">
            <v>0</v>
          </cell>
          <cell r="CK78">
            <v>0</v>
          </cell>
          <cell r="CL78">
            <v>0</v>
          </cell>
          <cell r="CM78">
            <v>0</v>
          </cell>
          <cell r="CN78">
            <v>0</v>
          </cell>
          <cell r="CO78">
            <v>0</v>
          </cell>
          <cell r="CP78">
            <v>0</v>
          </cell>
          <cell r="CQ78">
            <v>0</v>
          </cell>
          <cell r="CR78">
            <v>0</v>
          </cell>
          <cell r="CS78">
            <v>0</v>
          </cell>
          <cell r="CT78">
            <v>0</v>
          </cell>
          <cell r="CU78">
            <v>0</v>
          </cell>
          <cell r="CV78">
            <v>0</v>
          </cell>
          <cell r="CW78">
            <v>0</v>
          </cell>
          <cell r="CX78">
            <v>0</v>
          </cell>
          <cell r="CY78">
            <v>0</v>
          </cell>
          <cell r="CZ78">
            <v>0</v>
          </cell>
          <cell r="DA78">
            <v>0</v>
          </cell>
          <cell r="DB78">
            <v>0</v>
          </cell>
          <cell r="DC78">
            <v>0</v>
          </cell>
          <cell r="DD78">
            <v>0</v>
          </cell>
          <cell r="DE78">
            <v>0</v>
          </cell>
          <cell r="DF78">
            <v>0</v>
          </cell>
          <cell r="DG78">
            <v>0</v>
          </cell>
          <cell r="DH78">
            <v>0</v>
          </cell>
          <cell r="DI78">
            <v>0</v>
          </cell>
          <cell r="DJ78">
            <v>0</v>
          </cell>
          <cell r="DK78">
            <v>0</v>
          </cell>
          <cell r="DL78">
            <v>0</v>
          </cell>
          <cell r="DM78">
            <v>0</v>
          </cell>
          <cell r="DN78">
            <v>0</v>
          </cell>
          <cell r="DO78">
            <v>0</v>
          </cell>
          <cell r="DP78">
            <v>0</v>
          </cell>
          <cell r="DQ78">
            <v>0</v>
          </cell>
          <cell r="DR78">
            <v>0</v>
          </cell>
          <cell r="DS78">
            <v>0</v>
          </cell>
          <cell r="DT78">
            <v>0</v>
          </cell>
          <cell r="DU78">
            <v>0</v>
          </cell>
          <cell r="DV78">
            <v>0</v>
          </cell>
          <cell r="DW78">
            <v>0</v>
          </cell>
          <cell r="DX78">
            <v>0</v>
          </cell>
          <cell r="DY78">
            <v>0</v>
          </cell>
          <cell r="EA78">
            <v>0</v>
          </cell>
          <cell r="EB78">
            <v>0</v>
          </cell>
          <cell r="EC78">
            <v>0</v>
          </cell>
          <cell r="ED78">
            <v>0.05</v>
          </cell>
          <cell r="EE78">
            <v>0.09</v>
          </cell>
          <cell r="EF78">
            <v>0.08</v>
          </cell>
          <cell r="EG78">
            <v>0.17</v>
          </cell>
          <cell r="EH78">
            <v>1</v>
          </cell>
          <cell r="EI78">
            <v>1</v>
          </cell>
          <cell r="EJ78">
            <v>1</v>
          </cell>
          <cell r="EK78">
            <v>1</v>
          </cell>
          <cell r="EL78">
            <v>0.05</v>
          </cell>
          <cell r="EM78">
            <v>0.14000000000000001</v>
          </cell>
          <cell r="EN78">
            <v>0.11</v>
          </cell>
          <cell r="EO78">
            <v>0.2</v>
          </cell>
          <cell r="EP78">
            <v>0</v>
          </cell>
          <cell r="EQ78">
            <v>0</v>
          </cell>
          <cell r="ER78">
            <v>0</v>
          </cell>
          <cell r="ES78">
            <v>0</v>
          </cell>
          <cell r="ET78">
            <v>0</v>
          </cell>
          <cell r="EU78">
            <v>0</v>
          </cell>
          <cell r="EV78">
            <v>0</v>
          </cell>
          <cell r="EW78">
            <v>0</v>
          </cell>
          <cell r="EX78">
            <v>1</v>
          </cell>
          <cell r="EY78">
            <v>1</v>
          </cell>
          <cell r="EZ78">
            <v>1</v>
          </cell>
          <cell r="FA78">
            <v>0</v>
          </cell>
          <cell r="FB78">
            <v>0</v>
          </cell>
          <cell r="FC78">
            <v>0</v>
          </cell>
          <cell r="FD78">
            <v>0</v>
          </cell>
          <cell r="FE78">
            <v>0</v>
          </cell>
          <cell r="FF78">
            <v>0</v>
          </cell>
          <cell r="FG78">
            <v>0</v>
          </cell>
          <cell r="FH78">
            <v>0</v>
          </cell>
          <cell r="FI78">
            <v>0</v>
          </cell>
          <cell r="FJ78">
            <v>0</v>
          </cell>
          <cell r="FK78">
            <v>0</v>
          </cell>
          <cell r="FL78">
            <v>0</v>
          </cell>
          <cell r="FM78">
            <v>0</v>
          </cell>
          <cell r="FN78">
            <v>0</v>
          </cell>
          <cell r="FO78">
            <v>0</v>
          </cell>
          <cell r="FP78">
            <v>0</v>
          </cell>
          <cell r="FQ78">
            <v>0</v>
          </cell>
          <cell r="FR78">
            <v>0</v>
          </cell>
          <cell r="FS78">
            <v>0</v>
          </cell>
          <cell r="FT78">
            <v>0</v>
          </cell>
          <cell r="FU78">
            <v>0</v>
          </cell>
          <cell r="FV78">
            <v>0</v>
          </cell>
          <cell r="FW78">
            <v>0</v>
          </cell>
          <cell r="FX78">
            <v>0</v>
          </cell>
          <cell r="FY78">
            <v>0</v>
          </cell>
          <cell r="FZ78">
            <v>0</v>
          </cell>
        </row>
        <row r="79">
          <cell r="A79" t="str">
            <v>F_CNP_NRF_RET_COL_FRCE_234</v>
          </cell>
          <cell r="B79">
            <v>0.1</v>
          </cell>
          <cell r="C79">
            <v>0.08</v>
          </cell>
          <cell r="D79">
            <v>0.15</v>
          </cell>
          <cell r="E79">
            <v>0.08</v>
          </cell>
          <cell r="F79">
            <v>0.15</v>
          </cell>
          <cell r="G79">
            <v>0.22</v>
          </cell>
          <cell r="H79">
            <v>7.0000000000000007E-2</v>
          </cell>
          <cell r="I79">
            <v>0.05</v>
          </cell>
          <cell r="J79">
            <v>0.13</v>
          </cell>
          <cell r="K79">
            <v>0.18</v>
          </cell>
          <cell r="L79">
            <v>0.17</v>
          </cell>
          <cell r="M79">
            <v>0.16</v>
          </cell>
          <cell r="N79">
            <v>0.8</v>
          </cell>
          <cell r="O79">
            <v>1</v>
          </cell>
          <cell r="P79">
            <v>1</v>
          </cell>
          <cell r="Q79">
            <v>0.8</v>
          </cell>
          <cell r="R79">
            <v>0.8</v>
          </cell>
          <cell r="S79">
            <v>1</v>
          </cell>
          <cell r="T79">
            <v>1</v>
          </cell>
          <cell r="U79">
            <v>1</v>
          </cell>
          <cell r="V79">
            <v>1</v>
          </cell>
          <cell r="W79">
            <v>1</v>
          </cell>
          <cell r="X79">
            <v>1</v>
          </cell>
          <cell r="Y79">
            <v>1</v>
          </cell>
          <cell r="Z79">
            <v>0.1</v>
          </cell>
          <cell r="AA79">
            <v>0.1</v>
          </cell>
          <cell r="AB79">
            <v>0.14000000000000001</v>
          </cell>
          <cell r="AC79">
            <v>0.11</v>
          </cell>
          <cell r="AD79">
            <v>0.11</v>
          </cell>
          <cell r="AE79">
            <v>0.19</v>
          </cell>
          <cell r="AF79">
            <v>0.09</v>
          </cell>
          <cell r="AG79">
            <v>0.11</v>
          </cell>
          <cell r="AH79">
            <v>0.15</v>
          </cell>
          <cell r="AI79">
            <v>0.2</v>
          </cell>
          <cell r="AJ79">
            <v>0.2</v>
          </cell>
          <cell r="AK79">
            <v>0.2</v>
          </cell>
          <cell r="AL79">
            <v>0</v>
          </cell>
          <cell r="AM79">
            <v>0</v>
          </cell>
          <cell r="AN79">
            <v>0</v>
          </cell>
          <cell r="AO79">
            <v>0</v>
          </cell>
          <cell r="AP79">
            <v>0</v>
          </cell>
          <cell r="AQ79">
            <v>0</v>
          </cell>
          <cell r="AR79">
            <v>0</v>
          </cell>
          <cell r="AS79">
            <v>0</v>
          </cell>
          <cell r="AT79">
            <v>0</v>
          </cell>
          <cell r="AU79">
            <v>0</v>
          </cell>
          <cell r="AV79">
            <v>0</v>
          </cell>
          <cell r="AW79">
            <v>0</v>
          </cell>
          <cell r="AX79">
            <v>0</v>
          </cell>
          <cell r="AY79">
            <v>0</v>
          </cell>
          <cell r="AZ79">
            <v>0</v>
          </cell>
          <cell r="BA79">
            <v>0</v>
          </cell>
          <cell r="BB79">
            <v>0</v>
          </cell>
          <cell r="BC79">
            <v>0</v>
          </cell>
          <cell r="BD79">
            <v>0</v>
          </cell>
          <cell r="BE79">
            <v>0</v>
          </cell>
          <cell r="BF79">
            <v>0</v>
          </cell>
          <cell r="BG79">
            <v>0</v>
          </cell>
          <cell r="BH79">
            <v>0</v>
          </cell>
          <cell r="BI79">
            <v>0</v>
          </cell>
          <cell r="BJ79">
            <v>0</v>
          </cell>
          <cell r="BK79">
            <v>0</v>
          </cell>
          <cell r="BL79">
            <v>0</v>
          </cell>
          <cell r="BM79">
            <v>0</v>
          </cell>
          <cell r="BN79">
            <v>0</v>
          </cell>
          <cell r="BO79">
            <v>0</v>
          </cell>
          <cell r="BP79">
            <v>0</v>
          </cell>
          <cell r="BQ79">
            <v>0</v>
          </cell>
          <cell r="BR79">
            <v>0</v>
          </cell>
          <cell r="BS79">
            <v>0</v>
          </cell>
          <cell r="BT79">
            <v>0</v>
          </cell>
          <cell r="BU79">
            <v>0</v>
          </cell>
          <cell r="BV79">
            <v>0</v>
          </cell>
          <cell r="BW79">
            <v>0</v>
          </cell>
          <cell r="BX79">
            <v>0</v>
          </cell>
          <cell r="BY79">
            <v>0</v>
          </cell>
          <cell r="BZ79">
            <v>0</v>
          </cell>
          <cell r="CA79">
            <v>0</v>
          </cell>
          <cell r="CB79">
            <v>0</v>
          </cell>
          <cell r="CC79">
            <v>0</v>
          </cell>
          <cell r="CD79">
            <v>0</v>
          </cell>
          <cell r="CE79">
            <v>0</v>
          </cell>
          <cell r="CF79">
            <v>0</v>
          </cell>
          <cell r="CG79">
            <v>0</v>
          </cell>
          <cell r="CH79">
            <v>0</v>
          </cell>
          <cell r="CI79">
            <v>0</v>
          </cell>
          <cell r="CJ79">
            <v>0</v>
          </cell>
          <cell r="CK79">
            <v>0</v>
          </cell>
          <cell r="CL79">
            <v>0</v>
          </cell>
          <cell r="CM79">
            <v>0</v>
          </cell>
          <cell r="CN79">
            <v>0</v>
          </cell>
          <cell r="CO79">
            <v>0</v>
          </cell>
          <cell r="CP79">
            <v>0</v>
          </cell>
          <cell r="CQ79">
            <v>0</v>
          </cell>
          <cell r="CR79">
            <v>0</v>
          </cell>
          <cell r="CS79">
            <v>0</v>
          </cell>
          <cell r="CT79">
            <v>0</v>
          </cell>
          <cell r="CU79">
            <v>0</v>
          </cell>
          <cell r="CV79">
            <v>0</v>
          </cell>
          <cell r="CW79">
            <v>0</v>
          </cell>
          <cell r="CX79">
            <v>0</v>
          </cell>
          <cell r="CY79">
            <v>0</v>
          </cell>
          <cell r="CZ79">
            <v>0</v>
          </cell>
          <cell r="DA79">
            <v>0</v>
          </cell>
          <cell r="DB79">
            <v>0</v>
          </cell>
          <cell r="DC79">
            <v>0</v>
          </cell>
          <cell r="DD79">
            <v>0</v>
          </cell>
          <cell r="DE79">
            <v>0</v>
          </cell>
          <cell r="DF79">
            <v>0</v>
          </cell>
          <cell r="DG79">
            <v>0</v>
          </cell>
          <cell r="DH79">
            <v>0</v>
          </cell>
          <cell r="DI79">
            <v>0</v>
          </cell>
          <cell r="DJ79">
            <v>0</v>
          </cell>
          <cell r="DK79">
            <v>0</v>
          </cell>
          <cell r="DL79">
            <v>0</v>
          </cell>
          <cell r="DM79">
            <v>0</v>
          </cell>
          <cell r="DN79">
            <v>0</v>
          </cell>
          <cell r="DO79">
            <v>0</v>
          </cell>
          <cell r="DP79">
            <v>0</v>
          </cell>
          <cell r="DQ79">
            <v>0</v>
          </cell>
          <cell r="DR79">
            <v>0</v>
          </cell>
          <cell r="DS79">
            <v>0</v>
          </cell>
          <cell r="DT79">
            <v>0</v>
          </cell>
          <cell r="DU79">
            <v>0</v>
          </cell>
          <cell r="DV79">
            <v>0</v>
          </cell>
          <cell r="DW79">
            <v>0</v>
          </cell>
          <cell r="DX79">
            <v>0</v>
          </cell>
          <cell r="DY79">
            <v>0</v>
          </cell>
          <cell r="EA79">
            <v>0</v>
          </cell>
          <cell r="EB79">
            <v>0</v>
          </cell>
          <cell r="EC79">
            <v>0</v>
          </cell>
          <cell r="ED79">
            <v>0.05</v>
          </cell>
          <cell r="EE79">
            <v>0.09</v>
          </cell>
          <cell r="EF79">
            <v>0.08</v>
          </cell>
          <cell r="EG79">
            <v>0.17</v>
          </cell>
          <cell r="EH79">
            <v>1</v>
          </cell>
          <cell r="EI79">
            <v>1</v>
          </cell>
          <cell r="EJ79">
            <v>1</v>
          </cell>
          <cell r="EK79">
            <v>1</v>
          </cell>
          <cell r="EL79">
            <v>0.05</v>
          </cell>
          <cell r="EM79">
            <v>0.14000000000000001</v>
          </cell>
          <cell r="EN79">
            <v>0.11</v>
          </cell>
          <cell r="EO79">
            <v>0.2</v>
          </cell>
          <cell r="EP79">
            <v>0</v>
          </cell>
          <cell r="EQ79">
            <v>0</v>
          </cell>
          <cell r="ER79">
            <v>0</v>
          </cell>
          <cell r="ES79">
            <v>0</v>
          </cell>
          <cell r="ET79">
            <v>0</v>
          </cell>
          <cell r="EU79">
            <v>0</v>
          </cell>
          <cell r="EV79">
            <v>0</v>
          </cell>
          <cell r="EW79">
            <v>0</v>
          </cell>
          <cell r="EX79">
            <v>1</v>
          </cell>
          <cell r="EY79">
            <v>1</v>
          </cell>
          <cell r="EZ79">
            <v>1</v>
          </cell>
          <cell r="FA79">
            <v>0</v>
          </cell>
          <cell r="FB79">
            <v>0</v>
          </cell>
          <cell r="FC79">
            <v>0</v>
          </cell>
          <cell r="FD79">
            <v>0</v>
          </cell>
          <cell r="FE79">
            <v>0</v>
          </cell>
          <cell r="FF79">
            <v>0</v>
          </cell>
          <cell r="FG79">
            <v>0</v>
          </cell>
          <cell r="FH79">
            <v>0</v>
          </cell>
          <cell r="FI79">
            <v>0</v>
          </cell>
          <cell r="FJ79">
            <v>0</v>
          </cell>
          <cell r="FK79">
            <v>0</v>
          </cell>
          <cell r="FL79">
            <v>0</v>
          </cell>
          <cell r="FM79">
            <v>0</v>
          </cell>
          <cell r="FN79">
            <v>0</v>
          </cell>
          <cell r="FO79">
            <v>0</v>
          </cell>
          <cell r="FP79">
            <v>0</v>
          </cell>
          <cell r="FQ79">
            <v>0</v>
          </cell>
          <cell r="FR79">
            <v>0</v>
          </cell>
          <cell r="FS79">
            <v>0</v>
          </cell>
          <cell r="FT79">
            <v>0</v>
          </cell>
          <cell r="FU79">
            <v>0</v>
          </cell>
          <cell r="FV79">
            <v>0</v>
          </cell>
          <cell r="FW79">
            <v>0</v>
          </cell>
          <cell r="FX79">
            <v>0</v>
          </cell>
          <cell r="FY79">
            <v>0</v>
          </cell>
          <cell r="FZ79">
            <v>0</v>
          </cell>
        </row>
        <row r="80">
          <cell r="A80" t="str">
            <v>F_CNP_NRF_RET_COL_FRCE_239</v>
          </cell>
          <cell r="B80">
            <v>0.1</v>
          </cell>
          <cell r="C80">
            <v>0.08</v>
          </cell>
          <cell r="D80">
            <v>0.15</v>
          </cell>
          <cell r="E80">
            <v>0.08</v>
          </cell>
          <cell r="F80">
            <v>0.15</v>
          </cell>
          <cell r="G80">
            <v>0.22</v>
          </cell>
          <cell r="H80">
            <v>7.0000000000000007E-2</v>
          </cell>
          <cell r="I80">
            <v>0.05</v>
          </cell>
          <cell r="J80">
            <v>0.13</v>
          </cell>
          <cell r="K80">
            <v>0.18</v>
          </cell>
          <cell r="L80">
            <v>0.17</v>
          </cell>
          <cell r="M80">
            <v>0.16</v>
          </cell>
          <cell r="N80">
            <v>0.8</v>
          </cell>
          <cell r="O80">
            <v>1</v>
          </cell>
          <cell r="P80">
            <v>1</v>
          </cell>
          <cell r="Q80">
            <v>0.8</v>
          </cell>
          <cell r="R80">
            <v>0.8</v>
          </cell>
          <cell r="S80">
            <v>1</v>
          </cell>
          <cell r="T80">
            <v>1</v>
          </cell>
          <cell r="U80">
            <v>1</v>
          </cell>
          <cell r="V80">
            <v>1</v>
          </cell>
          <cell r="W80">
            <v>1</v>
          </cell>
          <cell r="X80">
            <v>1</v>
          </cell>
          <cell r="Y80">
            <v>1</v>
          </cell>
          <cell r="Z80">
            <v>0.1</v>
          </cell>
          <cell r="AA80">
            <v>0.1</v>
          </cell>
          <cell r="AB80">
            <v>0.14000000000000001</v>
          </cell>
          <cell r="AC80">
            <v>0.11</v>
          </cell>
          <cell r="AD80">
            <v>0.11</v>
          </cell>
          <cell r="AE80">
            <v>0.19</v>
          </cell>
          <cell r="AF80">
            <v>0.09</v>
          </cell>
          <cell r="AG80">
            <v>0.11</v>
          </cell>
          <cell r="AH80">
            <v>0.15</v>
          </cell>
          <cell r="AI80">
            <v>0.2</v>
          </cell>
          <cell r="AJ80">
            <v>0.2</v>
          </cell>
          <cell r="AK80">
            <v>0.2</v>
          </cell>
          <cell r="AL80">
            <v>0</v>
          </cell>
          <cell r="AM80">
            <v>0</v>
          </cell>
          <cell r="AN80">
            <v>0</v>
          </cell>
          <cell r="AO80">
            <v>0</v>
          </cell>
          <cell r="AP80">
            <v>0</v>
          </cell>
          <cell r="AQ80">
            <v>0</v>
          </cell>
          <cell r="AR80">
            <v>0</v>
          </cell>
          <cell r="AS80">
            <v>0</v>
          </cell>
          <cell r="AT80">
            <v>0</v>
          </cell>
          <cell r="AU80">
            <v>0</v>
          </cell>
          <cell r="AV80">
            <v>0</v>
          </cell>
          <cell r="AW80">
            <v>0</v>
          </cell>
          <cell r="AX80">
            <v>0</v>
          </cell>
          <cell r="AY80">
            <v>0</v>
          </cell>
          <cell r="AZ80">
            <v>0</v>
          </cell>
          <cell r="BA80">
            <v>0</v>
          </cell>
          <cell r="BB80">
            <v>0</v>
          </cell>
          <cell r="BC80">
            <v>0</v>
          </cell>
          <cell r="BD80">
            <v>0</v>
          </cell>
          <cell r="BE80">
            <v>0</v>
          </cell>
          <cell r="BF80">
            <v>0</v>
          </cell>
          <cell r="BG80">
            <v>0</v>
          </cell>
          <cell r="BH80">
            <v>0</v>
          </cell>
          <cell r="BI80">
            <v>0</v>
          </cell>
          <cell r="BJ80">
            <v>0</v>
          </cell>
          <cell r="BK80">
            <v>0</v>
          </cell>
          <cell r="BL80">
            <v>0</v>
          </cell>
          <cell r="BM80">
            <v>0</v>
          </cell>
          <cell r="BN80">
            <v>0</v>
          </cell>
          <cell r="BO80">
            <v>0</v>
          </cell>
          <cell r="BP80">
            <v>0</v>
          </cell>
          <cell r="BQ80">
            <v>0</v>
          </cell>
          <cell r="BR80">
            <v>0</v>
          </cell>
          <cell r="BS80">
            <v>0</v>
          </cell>
          <cell r="BT80">
            <v>0</v>
          </cell>
          <cell r="BU80">
            <v>0</v>
          </cell>
          <cell r="BV80">
            <v>0</v>
          </cell>
          <cell r="BW80">
            <v>0</v>
          </cell>
          <cell r="BX80">
            <v>0</v>
          </cell>
          <cell r="BY80">
            <v>0</v>
          </cell>
          <cell r="BZ80">
            <v>0</v>
          </cell>
          <cell r="CA80">
            <v>0</v>
          </cell>
          <cell r="CB80">
            <v>0</v>
          </cell>
          <cell r="CC80">
            <v>0</v>
          </cell>
          <cell r="CD80">
            <v>0</v>
          </cell>
          <cell r="CE80">
            <v>0</v>
          </cell>
          <cell r="CF80">
            <v>0</v>
          </cell>
          <cell r="CG80">
            <v>0</v>
          </cell>
          <cell r="CH80">
            <v>0</v>
          </cell>
          <cell r="CI80">
            <v>0</v>
          </cell>
          <cell r="CJ80">
            <v>0</v>
          </cell>
          <cell r="CK80">
            <v>0</v>
          </cell>
          <cell r="CL80">
            <v>0</v>
          </cell>
          <cell r="CM80">
            <v>0</v>
          </cell>
          <cell r="CN80">
            <v>0</v>
          </cell>
          <cell r="CO80">
            <v>0</v>
          </cell>
          <cell r="CP80">
            <v>0</v>
          </cell>
          <cell r="CQ80">
            <v>0</v>
          </cell>
          <cell r="CR80">
            <v>0</v>
          </cell>
          <cell r="CS80">
            <v>0</v>
          </cell>
          <cell r="CT80">
            <v>0</v>
          </cell>
          <cell r="CU80">
            <v>0</v>
          </cell>
          <cell r="CV80">
            <v>0</v>
          </cell>
          <cell r="CW80">
            <v>0</v>
          </cell>
          <cell r="CX80">
            <v>0</v>
          </cell>
          <cell r="CY80">
            <v>0</v>
          </cell>
          <cell r="CZ80">
            <v>0</v>
          </cell>
          <cell r="DA80">
            <v>0</v>
          </cell>
          <cell r="DB80">
            <v>0</v>
          </cell>
          <cell r="DC80">
            <v>0</v>
          </cell>
          <cell r="DD80">
            <v>0</v>
          </cell>
          <cell r="DE80">
            <v>0</v>
          </cell>
          <cell r="DF80">
            <v>0</v>
          </cell>
          <cell r="DG80">
            <v>0</v>
          </cell>
          <cell r="DH80">
            <v>0</v>
          </cell>
          <cell r="DI80">
            <v>0</v>
          </cell>
          <cell r="DJ80">
            <v>0</v>
          </cell>
          <cell r="DK80">
            <v>0</v>
          </cell>
          <cell r="DL80">
            <v>0</v>
          </cell>
          <cell r="DM80">
            <v>0</v>
          </cell>
          <cell r="DN80">
            <v>0</v>
          </cell>
          <cell r="DO80">
            <v>0</v>
          </cell>
          <cell r="DP80">
            <v>0</v>
          </cell>
          <cell r="DQ80">
            <v>0</v>
          </cell>
          <cell r="DR80">
            <v>0</v>
          </cell>
          <cell r="DS80">
            <v>0</v>
          </cell>
          <cell r="DT80">
            <v>0</v>
          </cell>
          <cell r="DU80">
            <v>0</v>
          </cell>
          <cell r="DV80">
            <v>0</v>
          </cell>
          <cell r="DW80">
            <v>0</v>
          </cell>
          <cell r="DX80">
            <v>0</v>
          </cell>
          <cell r="DY80">
            <v>0</v>
          </cell>
          <cell r="EA80">
            <v>0</v>
          </cell>
          <cell r="EB80">
            <v>0</v>
          </cell>
          <cell r="EC80">
            <v>0</v>
          </cell>
          <cell r="ED80">
            <v>0.05</v>
          </cell>
          <cell r="EE80">
            <v>0.09</v>
          </cell>
          <cell r="EF80">
            <v>0.08</v>
          </cell>
          <cell r="EG80">
            <v>0.17</v>
          </cell>
          <cell r="EH80">
            <v>1</v>
          </cell>
          <cell r="EI80">
            <v>1</v>
          </cell>
          <cell r="EJ80">
            <v>1</v>
          </cell>
          <cell r="EK80">
            <v>1</v>
          </cell>
          <cell r="EL80">
            <v>0.05</v>
          </cell>
          <cell r="EM80">
            <v>0.14000000000000001</v>
          </cell>
          <cell r="EN80">
            <v>0.11</v>
          </cell>
          <cell r="EO80">
            <v>0.2</v>
          </cell>
          <cell r="EP80">
            <v>0</v>
          </cell>
          <cell r="EQ80">
            <v>0</v>
          </cell>
          <cell r="ER80">
            <v>0</v>
          </cell>
          <cell r="ES80">
            <v>0</v>
          </cell>
          <cell r="ET80">
            <v>0</v>
          </cell>
          <cell r="EU80">
            <v>0</v>
          </cell>
          <cell r="EV80">
            <v>0</v>
          </cell>
          <cell r="EW80">
            <v>0</v>
          </cell>
          <cell r="EX80">
            <v>1</v>
          </cell>
          <cell r="EY80">
            <v>1</v>
          </cell>
          <cell r="EZ80">
            <v>1</v>
          </cell>
          <cell r="FA80">
            <v>0</v>
          </cell>
          <cell r="FB80">
            <v>0</v>
          </cell>
          <cell r="FC80">
            <v>0</v>
          </cell>
          <cell r="FD80">
            <v>0</v>
          </cell>
          <cell r="FE80">
            <v>0</v>
          </cell>
          <cell r="FF80">
            <v>0</v>
          </cell>
          <cell r="FG80">
            <v>0</v>
          </cell>
          <cell r="FH80">
            <v>0</v>
          </cell>
          <cell r="FI80">
            <v>0</v>
          </cell>
          <cell r="FJ80">
            <v>0</v>
          </cell>
          <cell r="FK80">
            <v>0</v>
          </cell>
          <cell r="FL80">
            <v>0</v>
          </cell>
          <cell r="FM80">
            <v>0</v>
          </cell>
          <cell r="FN80">
            <v>0</v>
          </cell>
          <cell r="FO80">
            <v>0</v>
          </cell>
          <cell r="FP80">
            <v>0</v>
          </cell>
          <cell r="FQ80">
            <v>0</v>
          </cell>
          <cell r="FR80">
            <v>0</v>
          </cell>
          <cell r="FS80">
            <v>0</v>
          </cell>
          <cell r="FT80">
            <v>0</v>
          </cell>
          <cell r="FU80">
            <v>0</v>
          </cell>
          <cell r="FV80">
            <v>0</v>
          </cell>
          <cell r="FW80">
            <v>0</v>
          </cell>
          <cell r="FX80">
            <v>0</v>
          </cell>
          <cell r="FY80">
            <v>0</v>
          </cell>
          <cell r="FZ80">
            <v>0</v>
          </cell>
        </row>
        <row r="81">
          <cell r="A81" t="str">
            <v>F_CNP_NRF_RET_COL_FRCE_128</v>
          </cell>
          <cell r="B81">
            <v>0.1</v>
          </cell>
          <cell r="C81">
            <v>0.08</v>
          </cell>
          <cell r="D81">
            <v>0.15</v>
          </cell>
          <cell r="E81">
            <v>0.08</v>
          </cell>
          <cell r="F81">
            <v>0.15</v>
          </cell>
          <cell r="G81">
            <v>0.22</v>
          </cell>
          <cell r="H81">
            <v>7.0000000000000007E-2</v>
          </cell>
          <cell r="I81">
            <v>0.05</v>
          </cell>
          <cell r="J81">
            <v>0.13</v>
          </cell>
          <cell r="K81">
            <v>0.18</v>
          </cell>
          <cell r="L81">
            <v>0.17</v>
          </cell>
          <cell r="M81">
            <v>0.16</v>
          </cell>
          <cell r="N81">
            <v>0.8</v>
          </cell>
          <cell r="O81">
            <v>1</v>
          </cell>
          <cell r="P81">
            <v>1</v>
          </cell>
          <cell r="Q81">
            <v>0.8</v>
          </cell>
          <cell r="R81">
            <v>0.8</v>
          </cell>
          <cell r="S81">
            <v>1</v>
          </cell>
          <cell r="T81">
            <v>1</v>
          </cell>
          <cell r="U81">
            <v>1</v>
          </cell>
          <cell r="V81">
            <v>1</v>
          </cell>
          <cell r="W81">
            <v>1</v>
          </cell>
          <cell r="X81">
            <v>1</v>
          </cell>
          <cell r="Y81">
            <v>1</v>
          </cell>
          <cell r="Z81">
            <v>0.1</v>
          </cell>
          <cell r="AA81">
            <v>0.1</v>
          </cell>
          <cell r="AB81">
            <v>0.14000000000000001</v>
          </cell>
          <cell r="AC81">
            <v>0.11</v>
          </cell>
          <cell r="AD81">
            <v>0.11</v>
          </cell>
          <cell r="AE81">
            <v>0.19</v>
          </cell>
          <cell r="AF81">
            <v>0.09</v>
          </cell>
          <cell r="AG81">
            <v>0.11</v>
          </cell>
          <cell r="AH81">
            <v>0.15</v>
          </cell>
          <cell r="AI81">
            <v>0.2</v>
          </cell>
          <cell r="AJ81">
            <v>0.2</v>
          </cell>
          <cell r="AK81">
            <v>0.2</v>
          </cell>
          <cell r="AL81">
            <v>0</v>
          </cell>
          <cell r="AM81">
            <v>0</v>
          </cell>
          <cell r="AN81">
            <v>0</v>
          </cell>
          <cell r="AO81">
            <v>0</v>
          </cell>
          <cell r="AP81">
            <v>0</v>
          </cell>
          <cell r="AQ81">
            <v>0</v>
          </cell>
          <cell r="AR81">
            <v>0</v>
          </cell>
          <cell r="AS81">
            <v>0</v>
          </cell>
          <cell r="AT81">
            <v>0</v>
          </cell>
          <cell r="AU81">
            <v>0</v>
          </cell>
          <cell r="AV81">
            <v>0</v>
          </cell>
          <cell r="AW81">
            <v>0</v>
          </cell>
          <cell r="AX81">
            <v>0</v>
          </cell>
          <cell r="AY81">
            <v>0</v>
          </cell>
          <cell r="AZ81">
            <v>0</v>
          </cell>
          <cell r="BA81">
            <v>0</v>
          </cell>
          <cell r="BB81">
            <v>0</v>
          </cell>
          <cell r="BC81">
            <v>0</v>
          </cell>
          <cell r="BD81">
            <v>0</v>
          </cell>
          <cell r="BE81">
            <v>0</v>
          </cell>
          <cell r="BF81">
            <v>0</v>
          </cell>
          <cell r="BG81">
            <v>0</v>
          </cell>
          <cell r="BH81">
            <v>0</v>
          </cell>
          <cell r="BI81">
            <v>0</v>
          </cell>
          <cell r="BJ81">
            <v>0</v>
          </cell>
          <cell r="BK81">
            <v>0</v>
          </cell>
          <cell r="BL81">
            <v>0</v>
          </cell>
          <cell r="BM81">
            <v>0</v>
          </cell>
          <cell r="BN81">
            <v>0</v>
          </cell>
          <cell r="BO81">
            <v>0</v>
          </cell>
          <cell r="BP81">
            <v>0</v>
          </cell>
          <cell r="BQ81">
            <v>0</v>
          </cell>
          <cell r="BR81">
            <v>0</v>
          </cell>
          <cell r="BS81">
            <v>0</v>
          </cell>
          <cell r="BT81">
            <v>0</v>
          </cell>
          <cell r="BU81">
            <v>0</v>
          </cell>
          <cell r="BV81">
            <v>0</v>
          </cell>
          <cell r="BW81">
            <v>0</v>
          </cell>
          <cell r="BX81">
            <v>0</v>
          </cell>
          <cell r="BY81">
            <v>0</v>
          </cell>
          <cell r="BZ81">
            <v>0</v>
          </cell>
          <cell r="CA81">
            <v>0</v>
          </cell>
          <cell r="CB81">
            <v>0</v>
          </cell>
          <cell r="CC81">
            <v>0</v>
          </cell>
          <cell r="CD81">
            <v>0</v>
          </cell>
          <cell r="CE81">
            <v>0</v>
          </cell>
          <cell r="CF81">
            <v>0</v>
          </cell>
          <cell r="CG81">
            <v>0</v>
          </cell>
          <cell r="CH81">
            <v>0</v>
          </cell>
          <cell r="CI81">
            <v>0</v>
          </cell>
          <cell r="CJ81">
            <v>0</v>
          </cell>
          <cell r="CK81">
            <v>0</v>
          </cell>
          <cell r="CL81">
            <v>0</v>
          </cell>
          <cell r="CM81">
            <v>0</v>
          </cell>
          <cell r="CN81">
            <v>0</v>
          </cell>
          <cell r="CO81">
            <v>0</v>
          </cell>
          <cell r="CP81">
            <v>0</v>
          </cell>
          <cell r="CQ81">
            <v>0</v>
          </cell>
          <cell r="CR81">
            <v>0</v>
          </cell>
          <cell r="CS81">
            <v>0</v>
          </cell>
          <cell r="CT81">
            <v>0</v>
          </cell>
          <cell r="CU81">
            <v>0</v>
          </cell>
          <cell r="CV81">
            <v>0</v>
          </cell>
          <cell r="CW81">
            <v>0</v>
          </cell>
          <cell r="CX81">
            <v>0</v>
          </cell>
          <cell r="CY81">
            <v>0</v>
          </cell>
          <cell r="CZ81">
            <v>0</v>
          </cell>
          <cell r="DA81">
            <v>0</v>
          </cell>
          <cell r="DB81">
            <v>0</v>
          </cell>
          <cell r="DC81">
            <v>0</v>
          </cell>
          <cell r="DD81">
            <v>0</v>
          </cell>
          <cell r="DE81">
            <v>0</v>
          </cell>
          <cell r="DF81">
            <v>0</v>
          </cell>
          <cell r="DG81">
            <v>0</v>
          </cell>
          <cell r="DH81">
            <v>0</v>
          </cell>
          <cell r="DI81">
            <v>0</v>
          </cell>
          <cell r="DJ81">
            <v>0</v>
          </cell>
          <cell r="DK81">
            <v>0</v>
          </cell>
          <cell r="DL81">
            <v>0</v>
          </cell>
          <cell r="DM81">
            <v>0</v>
          </cell>
          <cell r="DN81">
            <v>0</v>
          </cell>
          <cell r="DO81">
            <v>0</v>
          </cell>
          <cell r="DP81">
            <v>0</v>
          </cell>
          <cell r="DQ81">
            <v>0</v>
          </cell>
          <cell r="DR81">
            <v>0</v>
          </cell>
          <cell r="DS81">
            <v>0</v>
          </cell>
          <cell r="DT81">
            <v>0</v>
          </cell>
          <cell r="DU81">
            <v>0</v>
          </cell>
          <cell r="DV81">
            <v>0</v>
          </cell>
          <cell r="DW81">
            <v>0</v>
          </cell>
          <cell r="DX81">
            <v>0</v>
          </cell>
          <cell r="DY81">
            <v>0</v>
          </cell>
          <cell r="EA81">
            <v>0</v>
          </cell>
          <cell r="EB81">
            <v>0</v>
          </cell>
          <cell r="EC81">
            <v>0</v>
          </cell>
          <cell r="ED81">
            <v>0.05</v>
          </cell>
          <cell r="EE81">
            <v>0.09</v>
          </cell>
          <cell r="EF81">
            <v>0.08</v>
          </cell>
          <cell r="EG81">
            <v>0.17</v>
          </cell>
          <cell r="EH81">
            <v>1</v>
          </cell>
          <cell r="EI81">
            <v>1</v>
          </cell>
          <cell r="EJ81">
            <v>1</v>
          </cell>
          <cell r="EK81">
            <v>1</v>
          </cell>
          <cell r="EL81">
            <v>0.05</v>
          </cell>
          <cell r="EM81">
            <v>0.14000000000000001</v>
          </cell>
          <cell r="EN81">
            <v>0.11</v>
          </cell>
          <cell r="EO81">
            <v>0.2</v>
          </cell>
          <cell r="EP81">
            <v>0</v>
          </cell>
          <cell r="EQ81">
            <v>0</v>
          </cell>
          <cell r="ER81">
            <v>0</v>
          </cell>
          <cell r="ES81">
            <v>0</v>
          </cell>
          <cell r="ET81">
            <v>0</v>
          </cell>
          <cell r="EU81">
            <v>0</v>
          </cell>
          <cell r="EV81">
            <v>0</v>
          </cell>
          <cell r="EW81">
            <v>0</v>
          </cell>
          <cell r="EX81">
            <v>1</v>
          </cell>
          <cell r="EY81">
            <v>1</v>
          </cell>
          <cell r="EZ81">
            <v>1</v>
          </cell>
          <cell r="FA81">
            <v>0</v>
          </cell>
          <cell r="FB81">
            <v>0</v>
          </cell>
          <cell r="FC81">
            <v>0</v>
          </cell>
          <cell r="FD81">
            <v>0</v>
          </cell>
          <cell r="FE81">
            <v>0</v>
          </cell>
          <cell r="FF81">
            <v>0</v>
          </cell>
          <cell r="FG81">
            <v>0</v>
          </cell>
          <cell r="FH81">
            <v>0</v>
          </cell>
          <cell r="FI81">
            <v>0</v>
          </cell>
          <cell r="FJ81">
            <v>0</v>
          </cell>
          <cell r="FK81">
            <v>0</v>
          </cell>
          <cell r="FL81">
            <v>0</v>
          </cell>
          <cell r="FM81">
            <v>0</v>
          </cell>
          <cell r="FN81">
            <v>0</v>
          </cell>
          <cell r="FO81">
            <v>0</v>
          </cell>
          <cell r="FP81">
            <v>0</v>
          </cell>
          <cell r="FQ81">
            <v>0</v>
          </cell>
          <cell r="FR81">
            <v>0</v>
          </cell>
          <cell r="FS81">
            <v>0</v>
          </cell>
          <cell r="FT81">
            <v>0</v>
          </cell>
          <cell r="FU81">
            <v>0</v>
          </cell>
          <cell r="FV81">
            <v>0</v>
          </cell>
          <cell r="FW81">
            <v>0</v>
          </cell>
          <cell r="FX81">
            <v>0</v>
          </cell>
          <cell r="FY81">
            <v>0</v>
          </cell>
          <cell r="FZ81">
            <v>0</v>
          </cell>
        </row>
        <row r="82">
          <cell r="A82" t="str">
            <v>F_CNP_NRF_RET_COL_FRCE_300</v>
          </cell>
          <cell r="B82">
            <v>0.1</v>
          </cell>
          <cell r="C82">
            <v>0.08</v>
          </cell>
          <cell r="D82">
            <v>0.15</v>
          </cell>
          <cell r="E82">
            <v>0.08</v>
          </cell>
          <cell r="F82">
            <v>0.15</v>
          </cell>
          <cell r="G82">
            <v>0.22</v>
          </cell>
          <cell r="H82">
            <v>7.0000000000000007E-2</v>
          </cell>
          <cell r="I82">
            <v>0.05</v>
          </cell>
          <cell r="J82">
            <v>0.13</v>
          </cell>
          <cell r="K82">
            <v>0.18</v>
          </cell>
          <cell r="L82">
            <v>0.17</v>
          </cell>
          <cell r="M82">
            <v>0.16</v>
          </cell>
          <cell r="N82">
            <v>0.8</v>
          </cell>
          <cell r="O82">
            <v>1</v>
          </cell>
          <cell r="P82">
            <v>1</v>
          </cell>
          <cell r="Q82">
            <v>0.8</v>
          </cell>
          <cell r="R82">
            <v>0.8</v>
          </cell>
          <cell r="S82">
            <v>1</v>
          </cell>
          <cell r="T82">
            <v>1</v>
          </cell>
          <cell r="U82">
            <v>1</v>
          </cell>
          <cell r="V82">
            <v>1</v>
          </cell>
          <cell r="W82">
            <v>1</v>
          </cell>
          <cell r="X82">
            <v>1</v>
          </cell>
          <cell r="Y82">
            <v>1</v>
          </cell>
          <cell r="Z82">
            <v>0.1</v>
          </cell>
          <cell r="AA82">
            <v>0.1</v>
          </cell>
          <cell r="AB82">
            <v>0.14000000000000001</v>
          </cell>
          <cell r="AC82">
            <v>0.11</v>
          </cell>
          <cell r="AD82">
            <v>0.11</v>
          </cell>
          <cell r="AE82">
            <v>0.19</v>
          </cell>
          <cell r="AF82">
            <v>0.09</v>
          </cell>
          <cell r="AG82">
            <v>0.11</v>
          </cell>
          <cell r="AH82">
            <v>0.15</v>
          </cell>
          <cell r="AI82">
            <v>0.2</v>
          </cell>
          <cell r="AJ82">
            <v>0.2</v>
          </cell>
          <cell r="AK82">
            <v>0.2</v>
          </cell>
          <cell r="AL82">
            <v>0</v>
          </cell>
          <cell r="AM82">
            <v>0</v>
          </cell>
          <cell r="AN82">
            <v>0</v>
          </cell>
          <cell r="AO82">
            <v>0</v>
          </cell>
          <cell r="AP82">
            <v>0</v>
          </cell>
          <cell r="AQ82">
            <v>0</v>
          </cell>
          <cell r="AR82">
            <v>0</v>
          </cell>
          <cell r="AS82">
            <v>0</v>
          </cell>
          <cell r="AT82">
            <v>0</v>
          </cell>
          <cell r="AU82">
            <v>0</v>
          </cell>
          <cell r="AV82">
            <v>0</v>
          </cell>
          <cell r="AW82">
            <v>0</v>
          </cell>
          <cell r="AX82">
            <v>0</v>
          </cell>
          <cell r="AY82">
            <v>0</v>
          </cell>
          <cell r="AZ82">
            <v>0</v>
          </cell>
          <cell r="BA82">
            <v>0</v>
          </cell>
          <cell r="BB82">
            <v>0</v>
          </cell>
          <cell r="BC82">
            <v>0</v>
          </cell>
          <cell r="BD82">
            <v>0</v>
          </cell>
          <cell r="BE82">
            <v>0</v>
          </cell>
          <cell r="BF82">
            <v>0</v>
          </cell>
          <cell r="BG82">
            <v>0</v>
          </cell>
          <cell r="BH82">
            <v>0</v>
          </cell>
          <cell r="BI82">
            <v>0</v>
          </cell>
          <cell r="BJ82">
            <v>0</v>
          </cell>
          <cell r="BK82">
            <v>0</v>
          </cell>
          <cell r="BL82">
            <v>0</v>
          </cell>
          <cell r="BM82">
            <v>0</v>
          </cell>
          <cell r="BN82">
            <v>0</v>
          </cell>
          <cell r="BO82">
            <v>0</v>
          </cell>
          <cell r="BP82">
            <v>0</v>
          </cell>
          <cell r="BQ82">
            <v>0</v>
          </cell>
          <cell r="BR82">
            <v>0</v>
          </cell>
          <cell r="BS82">
            <v>0</v>
          </cell>
          <cell r="BT82">
            <v>0</v>
          </cell>
          <cell r="BU82">
            <v>0</v>
          </cell>
          <cell r="BV82">
            <v>0</v>
          </cell>
          <cell r="BW82">
            <v>0</v>
          </cell>
          <cell r="BX82">
            <v>0</v>
          </cell>
          <cell r="BY82">
            <v>0</v>
          </cell>
          <cell r="BZ82">
            <v>0</v>
          </cell>
          <cell r="CA82">
            <v>0</v>
          </cell>
          <cell r="CB82">
            <v>0</v>
          </cell>
          <cell r="CC82">
            <v>0</v>
          </cell>
          <cell r="CD82">
            <v>0</v>
          </cell>
          <cell r="CE82">
            <v>0</v>
          </cell>
          <cell r="CF82">
            <v>0</v>
          </cell>
          <cell r="CG82">
            <v>0</v>
          </cell>
          <cell r="CH82">
            <v>0</v>
          </cell>
          <cell r="CI82">
            <v>0</v>
          </cell>
          <cell r="CJ82">
            <v>0</v>
          </cell>
          <cell r="CK82">
            <v>0</v>
          </cell>
          <cell r="CL82">
            <v>0</v>
          </cell>
          <cell r="CM82">
            <v>0</v>
          </cell>
          <cell r="CN82">
            <v>0</v>
          </cell>
          <cell r="CO82">
            <v>0</v>
          </cell>
          <cell r="CP82">
            <v>0</v>
          </cell>
          <cell r="CQ82">
            <v>0</v>
          </cell>
          <cell r="CR82">
            <v>0</v>
          </cell>
          <cell r="CS82">
            <v>0</v>
          </cell>
          <cell r="CT82">
            <v>0</v>
          </cell>
          <cell r="CU82">
            <v>0</v>
          </cell>
          <cell r="CV82">
            <v>0</v>
          </cell>
          <cell r="CW82">
            <v>0</v>
          </cell>
          <cell r="CX82">
            <v>0</v>
          </cell>
          <cell r="CY82">
            <v>0</v>
          </cell>
          <cell r="CZ82">
            <v>0</v>
          </cell>
          <cell r="DA82">
            <v>0</v>
          </cell>
          <cell r="DB82">
            <v>0</v>
          </cell>
          <cell r="DC82">
            <v>0</v>
          </cell>
          <cell r="DD82">
            <v>0</v>
          </cell>
          <cell r="DE82">
            <v>0</v>
          </cell>
          <cell r="DF82">
            <v>0</v>
          </cell>
          <cell r="DG82">
            <v>0</v>
          </cell>
          <cell r="DH82">
            <v>0</v>
          </cell>
          <cell r="DI82">
            <v>0</v>
          </cell>
          <cell r="DJ82">
            <v>0</v>
          </cell>
          <cell r="DK82">
            <v>0</v>
          </cell>
          <cell r="DL82">
            <v>0</v>
          </cell>
          <cell r="DM82">
            <v>0</v>
          </cell>
          <cell r="DN82">
            <v>0</v>
          </cell>
          <cell r="DO82">
            <v>0</v>
          </cell>
          <cell r="DP82">
            <v>0</v>
          </cell>
          <cell r="DQ82">
            <v>0</v>
          </cell>
          <cell r="DR82">
            <v>0</v>
          </cell>
          <cell r="DS82">
            <v>0</v>
          </cell>
          <cell r="DT82">
            <v>0</v>
          </cell>
          <cell r="DU82">
            <v>0</v>
          </cell>
          <cell r="DV82">
            <v>0</v>
          </cell>
          <cell r="DW82">
            <v>0</v>
          </cell>
          <cell r="DX82">
            <v>0</v>
          </cell>
          <cell r="DY82">
            <v>0</v>
          </cell>
          <cell r="EA82">
            <v>0</v>
          </cell>
          <cell r="EB82">
            <v>0</v>
          </cell>
          <cell r="EC82">
            <v>0</v>
          </cell>
          <cell r="ED82">
            <v>0.05</v>
          </cell>
          <cell r="EE82">
            <v>0.09</v>
          </cell>
          <cell r="EF82">
            <v>0.08</v>
          </cell>
          <cell r="EG82">
            <v>0.17</v>
          </cell>
          <cell r="EH82">
            <v>1</v>
          </cell>
          <cell r="EI82">
            <v>1</v>
          </cell>
          <cell r="EJ82">
            <v>1</v>
          </cell>
          <cell r="EK82">
            <v>1</v>
          </cell>
          <cell r="EL82">
            <v>0.05</v>
          </cell>
          <cell r="EM82">
            <v>0.14000000000000001</v>
          </cell>
          <cell r="EN82">
            <v>0.11</v>
          </cell>
          <cell r="EO82">
            <v>0.2</v>
          </cell>
          <cell r="EP82">
            <v>0</v>
          </cell>
          <cell r="EQ82">
            <v>0</v>
          </cell>
          <cell r="ER82">
            <v>0</v>
          </cell>
          <cell r="ES82">
            <v>0</v>
          </cell>
          <cell r="ET82">
            <v>0</v>
          </cell>
          <cell r="EU82">
            <v>0</v>
          </cell>
          <cell r="EV82">
            <v>0</v>
          </cell>
          <cell r="EW82">
            <v>0</v>
          </cell>
          <cell r="EX82">
            <v>1</v>
          </cell>
          <cell r="EY82">
            <v>1</v>
          </cell>
          <cell r="EZ82">
            <v>1</v>
          </cell>
          <cell r="FA82">
            <v>0</v>
          </cell>
          <cell r="FB82">
            <v>0</v>
          </cell>
          <cell r="FC82">
            <v>0</v>
          </cell>
          <cell r="FD82">
            <v>0</v>
          </cell>
          <cell r="FE82">
            <v>0</v>
          </cell>
          <cell r="FF82">
            <v>0</v>
          </cell>
          <cell r="FG82">
            <v>0</v>
          </cell>
          <cell r="FH82">
            <v>0</v>
          </cell>
          <cell r="FI82">
            <v>0</v>
          </cell>
          <cell r="FJ82">
            <v>0</v>
          </cell>
          <cell r="FK82">
            <v>0</v>
          </cell>
          <cell r="FL82">
            <v>0</v>
          </cell>
          <cell r="FM82">
            <v>0</v>
          </cell>
          <cell r="FN82">
            <v>0</v>
          </cell>
          <cell r="FO82">
            <v>0</v>
          </cell>
          <cell r="FP82">
            <v>0</v>
          </cell>
          <cell r="FQ82">
            <v>0</v>
          </cell>
          <cell r="FR82">
            <v>0</v>
          </cell>
          <cell r="FS82">
            <v>0</v>
          </cell>
          <cell r="FT82">
            <v>0</v>
          </cell>
          <cell r="FU82">
            <v>0</v>
          </cell>
          <cell r="FV82">
            <v>0</v>
          </cell>
          <cell r="FW82">
            <v>0</v>
          </cell>
          <cell r="FX82">
            <v>0</v>
          </cell>
          <cell r="FY82">
            <v>0</v>
          </cell>
          <cell r="FZ82">
            <v>0</v>
          </cell>
        </row>
        <row r="83">
          <cell r="A83" t="str">
            <v>F_CNP_NRF_RET_COL_FRCE_752</v>
          </cell>
          <cell r="B83">
            <v>0.1</v>
          </cell>
          <cell r="C83">
            <v>0.08</v>
          </cell>
          <cell r="D83">
            <v>0.15</v>
          </cell>
          <cell r="E83">
            <v>0.08</v>
          </cell>
          <cell r="F83">
            <v>0.15</v>
          </cell>
          <cell r="G83">
            <v>0.22</v>
          </cell>
          <cell r="H83">
            <v>7.0000000000000007E-2</v>
          </cell>
          <cell r="I83">
            <v>0.05</v>
          </cell>
          <cell r="J83">
            <v>0.13</v>
          </cell>
          <cell r="K83">
            <v>0.18</v>
          </cell>
          <cell r="L83">
            <v>0.17</v>
          </cell>
          <cell r="M83">
            <v>0.16</v>
          </cell>
          <cell r="N83">
            <v>0.8</v>
          </cell>
          <cell r="O83">
            <v>1</v>
          </cell>
          <cell r="P83">
            <v>1</v>
          </cell>
          <cell r="Q83">
            <v>0.8</v>
          </cell>
          <cell r="R83">
            <v>0.8</v>
          </cell>
          <cell r="S83">
            <v>1</v>
          </cell>
          <cell r="T83">
            <v>1</v>
          </cell>
          <cell r="U83">
            <v>1</v>
          </cell>
          <cell r="V83">
            <v>1</v>
          </cell>
          <cell r="W83">
            <v>1</v>
          </cell>
          <cell r="X83">
            <v>1</v>
          </cell>
          <cell r="Y83">
            <v>1</v>
          </cell>
          <cell r="Z83">
            <v>0.1</v>
          </cell>
          <cell r="AA83">
            <v>0.1</v>
          </cell>
          <cell r="AB83">
            <v>0.14000000000000001</v>
          </cell>
          <cell r="AC83">
            <v>0.11</v>
          </cell>
          <cell r="AD83">
            <v>0.11</v>
          </cell>
          <cell r="AE83">
            <v>0.19</v>
          </cell>
          <cell r="AF83">
            <v>0.09</v>
          </cell>
          <cell r="AG83">
            <v>0.11</v>
          </cell>
          <cell r="AH83">
            <v>0.15</v>
          </cell>
          <cell r="AI83">
            <v>0.2</v>
          </cell>
          <cell r="AJ83">
            <v>0.2</v>
          </cell>
          <cell r="AK83">
            <v>0.2</v>
          </cell>
          <cell r="AL83">
            <v>0</v>
          </cell>
          <cell r="AM83">
            <v>0</v>
          </cell>
          <cell r="AN83">
            <v>0</v>
          </cell>
          <cell r="AO83">
            <v>0</v>
          </cell>
          <cell r="AP83">
            <v>0</v>
          </cell>
          <cell r="AQ83">
            <v>0</v>
          </cell>
          <cell r="AR83">
            <v>0</v>
          </cell>
          <cell r="AS83">
            <v>0</v>
          </cell>
          <cell r="AT83">
            <v>0</v>
          </cell>
          <cell r="AU83">
            <v>0</v>
          </cell>
          <cell r="AV83">
            <v>0</v>
          </cell>
          <cell r="AW83">
            <v>0</v>
          </cell>
          <cell r="AX83">
            <v>0</v>
          </cell>
          <cell r="AY83">
            <v>0</v>
          </cell>
          <cell r="AZ83">
            <v>0</v>
          </cell>
          <cell r="BA83">
            <v>0</v>
          </cell>
          <cell r="BB83">
            <v>0</v>
          </cell>
          <cell r="BC83">
            <v>0</v>
          </cell>
          <cell r="BD83">
            <v>0</v>
          </cell>
          <cell r="BE83">
            <v>0</v>
          </cell>
          <cell r="BF83">
            <v>0</v>
          </cell>
          <cell r="BG83">
            <v>0</v>
          </cell>
          <cell r="BH83">
            <v>0</v>
          </cell>
          <cell r="BI83">
            <v>0</v>
          </cell>
          <cell r="BJ83">
            <v>0</v>
          </cell>
          <cell r="BK83">
            <v>0</v>
          </cell>
          <cell r="BL83">
            <v>0</v>
          </cell>
          <cell r="BM83">
            <v>0</v>
          </cell>
          <cell r="BN83">
            <v>0</v>
          </cell>
          <cell r="BO83">
            <v>0</v>
          </cell>
          <cell r="BP83">
            <v>0</v>
          </cell>
          <cell r="BQ83">
            <v>0</v>
          </cell>
          <cell r="BR83">
            <v>0</v>
          </cell>
          <cell r="BS83">
            <v>0</v>
          </cell>
          <cell r="BT83">
            <v>0</v>
          </cell>
          <cell r="BU83">
            <v>0</v>
          </cell>
          <cell r="BV83">
            <v>0</v>
          </cell>
          <cell r="BW83">
            <v>0</v>
          </cell>
          <cell r="BX83">
            <v>0</v>
          </cell>
          <cell r="BY83">
            <v>0</v>
          </cell>
          <cell r="BZ83">
            <v>0</v>
          </cell>
          <cell r="CA83">
            <v>0</v>
          </cell>
          <cell r="CB83">
            <v>0</v>
          </cell>
          <cell r="CC83">
            <v>0</v>
          </cell>
          <cell r="CD83">
            <v>0</v>
          </cell>
          <cell r="CE83">
            <v>0</v>
          </cell>
          <cell r="CF83">
            <v>0</v>
          </cell>
          <cell r="CG83">
            <v>0</v>
          </cell>
          <cell r="CH83">
            <v>0</v>
          </cell>
          <cell r="CI83">
            <v>0</v>
          </cell>
          <cell r="CJ83">
            <v>0</v>
          </cell>
          <cell r="CK83">
            <v>0</v>
          </cell>
          <cell r="CL83">
            <v>0</v>
          </cell>
          <cell r="CM83">
            <v>0</v>
          </cell>
          <cell r="CN83">
            <v>0</v>
          </cell>
          <cell r="CO83">
            <v>0</v>
          </cell>
          <cell r="CP83">
            <v>0</v>
          </cell>
          <cell r="CQ83">
            <v>0</v>
          </cell>
          <cell r="CR83">
            <v>0</v>
          </cell>
          <cell r="CS83">
            <v>0</v>
          </cell>
          <cell r="CT83">
            <v>0</v>
          </cell>
          <cell r="CU83">
            <v>0</v>
          </cell>
          <cell r="CV83">
            <v>0</v>
          </cell>
          <cell r="CW83">
            <v>0</v>
          </cell>
          <cell r="CX83">
            <v>0</v>
          </cell>
          <cell r="CY83">
            <v>0</v>
          </cell>
          <cell r="CZ83">
            <v>0</v>
          </cell>
          <cell r="DA83">
            <v>0</v>
          </cell>
          <cell r="DB83">
            <v>0</v>
          </cell>
          <cell r="DC83">
            <v>0</v>
          </cell>
          <cell r="DD83">
            <v>0</v>
          </cell>
          <cell r="DE83">
            <v>0</v>
          </cell>
          <cell r="DF83">
            <v>0</v>
          </cell>
          <cell r="DG83">
            <v>0</v>
          </cell>
          <cell r="DH83">
            <v>0</v>
          </cell>
          <cell r="DI83">
            <v>0</v>
          </cell>
          <cell r="DJ83">
            <v>0</v>
          </cell>
          <cell r="DK83">
            <v>0</v>
          </cell>
          <cell r="DL83">
            <v>0</v>
          </cell>
          <cell r="DM83">
            <v>0</v>
          </cell>
          <cell r="DN83">
            <v>0</v>
          </cell>
          <cell r="DO83">
            <v>0</v>
          </cell>
          <cell r="DP83">
            <v>0</v>
          </cell>
          <cell r="DQ83">
            <v>0</v>
          </cell>
          <cell r="DR83">
            <v>0</v>
          </cell>
          <cell r="DS83">
            <v>0</v>
          </cell>
          <cell r="DT83">
            <v>0</v>
          </cell>
          <cell r="DU83">
            <v>0</v>
          </cell>
          <cell r="DV83">
            <v>0</v>
          </cell>
          <cell r="DW83">
            <v>0</v>
          </cell>
          <cell r="DX83">
            <v>0</v>
          </cell>
          <cell r="DY83">
            <v>0</v>
          </cell>
          <cell r="EA83">
            <v>0</v>
          </cell>
          <cell r="EB83">
            <v>0</v>
          </cell>
          <cell r="EC83">
            <v>0</v>
          </cell>
          <cell r="ED83">
            <v>0.05</v>
          </cell>
          <cell r="EE83">
            <v>0.09</v>
          </cell>
          <cell r="EF83">
            <v>0.08</v>
          </cell>
          <cell r="EG83">
            <v>0.17</v>
          </cell>
          <cell r="EH83">
            <v>1</v>
          </cell>
          <cell r="EI83">
            <v>1</v>
          </cell>
          <cell r="EJ83">
            <v>1</v>
          </cell>
          <cell r="EK83">
            <v>1</v>
          </cell>
          <cell r="EL83">
            <v>0.05</v>
          </cell>
          <cell r="EM83">
            <v>0.14000000000000001</v>
          </cell>
          <cell r="EN83">
            <v>0.11</v>
          </cell>
          <cell r="EO83">
            <v>0.2</v>
          </cell>
          <cell r="EP83">
            <v>0</v>
          </cell>
          <cell r="EQ83">
            <v>0</v>
          </cell>
          <cell r="ER83">
            <v>0</v>
          </cell>
          <cell r="ES83">
            <v>0</v>
          </cell>
          <cell r="ET83">
            <v>0</v>
          </cell>
          <cell r="EU83">
            <v>0</v>
          </cell>
          <cell r="EV83">
            <v>0</v>
          </cell>
          <cell r="EW83">
            <v>0</v>
          </cell>
          <cell r="EX83">
            <v>1</v>
          </cell>
          <cell r="EY83">
            <v>1</v>
          </cell>
          <cell r="EZ83">
            <v>1</v>
          </cell>
          <cell r="FA83">
            <v>0</v>
          </cell>
          <cell r="FB83">
            <v>0</v>
          </cell>
          <cell r="FC83">
            <v>0</v>
          </cell>
          <cell r="FD83">
            <v>0</v>
          </cell>
          <cell r="FE83">
            <v>0</v>
          </cell>
          <cell r="FF83">
            <v>0</v>
          </cell>
          <cell r="FG83">
            <v>0</v>
          </cell>
          <cell r="FH83">
            <v>0</v>
          </cell>
          <cell r="FI83">
            <v>0</v>
          </cell>
          <cell r="FJ83">
            <v>0</v>
          </cell>
          <cell r="FK83">
            <v>0</v>
          </cell>
          <cell r="FL83">
            <v>0</v>
          </cell>
          <cell r="FM83">
            <v>0</v>
          </cell>
          <cell r="FN83">
            <v>0</v>
          </cell>
          <cell r="FO83">
            <v>0</v>
          </cell>
          <cell r="FP83">
            <v>0</v>
          </cell>
          <cell r="FQ83">
            <v>0</v>
          </cell>
          <cell r="FR83">
            <v>0</v>
          </cell>
          <cell r="FS83">
            <v>0</v>
          </cell>
          <cell r="FT83">
            <v>0</v>
          </cell>
          <cell r="FU83">
            <v>0</v>
          </cell>
          <cell r="FV83">
            <v>0</v>
          </cell>
          <cell r="FW83">
            <v>0</v>
          </cell>
          <cell r="FX83">
            <v>0</v>
          </cell>
          <cell r="FY83">
            <v>0</v>
          </cell>
          <cell r="FZ83">
            <v>0</v>
          </cell>
        </row>
        <row r="84">
          <cell r="A84" t="str">
            <v>F_CNP_NRF_RET_COL_FRCE_CIP</v>
          </cell>
          <cell r="B84">
            <v>0.1</v>
          </cell>
          <cell r="C84">
            <v>0.08</v>
          </cell>
          <cell r="D84">
            <v>0.15</v>
          </cell>
          <cell r="E84">
            <v>0.08</v>
          </cell>
          <cell r="F84">
            <v>0.15</v>
          </cell>
          <cell r="G84">
            <v>0.22</v>
          </cell>
          <cell r="H84">
            <v>7.0000000000000007E-2</v>
          </cell>
          <cell r="I84">
            <v>0.05</v>
          </cell>
          <cell r="J84">
            <v>0.13</v>
          </cell>
          <cell r="K84">
            <v>0.18</v>
          </cell>
          <cell r="L84">
            <v>0.17</v>
          </cell>
          <cell r="M84">
            <v>0.16</v>
          </cell>
          <cell r="N84">
            <v>0.8</v>
          </cell>
          <cell r="O84">
            <v>1</v>
          </cell>
          <cell r="P84">
            <v>1</v>
          </cell>
          <cell r="Q84">
            <v>0.8</v>
          </cell>
          <cell r="R84">
            <v>0.8</v>
          </cell>
          <cell r="S84">
            <v>1</v>
          </cell>
          <cell r="T84">
            <v>1</v>
          </cell>
          <cell r="U84">
            <v>1</v>
          </cell>
          <cell r="V84">
            <v>1</v>
          </cell>
          <cell r="W84">
            <v>1</v>
          </cell>
          <cell r="X84">
            <v>1</v>
          </cell>
          <cell r="Y84">
            <v>1</v>
          </cell>
          <cell r="Z84">
            <v>0.1</v>
          </cell>
          <cell r="AA84">
            <v>0.1</v>
          </cell>
          <cell r="AB84">
            <v>0.14000000000000001</v>
          </cell>
          <cell r="AC84">
            <v>0.11</v>
          </cell>
          <cell r="AD84">
            <v>0.11</v>
          </cell>
          <cell r="AE84">
            <v>0.19</v>
          </cell>
          <cell r="AF84">
            <v>0.09</v>
          </cell>
          <cell r="AG84">
            <v>0.11</v>
          </cell>
          <cell r="AH84">
            <v>0.15</v>
          </cell>
          <cell r="AI84">
            <v>0.2</v>
          </cell>
          <cell r="AJ84">
            <v>0.2</v>
          </cell>
          <cell r="AK84">
            <v>0.2</v>
          </cell>
          <cell r="AL84">
            <v>0</v>
          </cell>
          <cell r="AM84">
            <v>0</v>
          </cell>
          <cell r="AN84">
            <v>0</v>
          </cell>
          <cell r="AO84">
            <v>0</v>
          </cell>
          <cell r="AP84">
            <v>0</v>
          </cell>
          <cell r="AQ84">
            <v>0</v>
          </cell>
          <cell r="AR84">
            <v>0</v>
          </cell>
          <cell r="AS84">
            <v>0</v>
          </cell>
          <cell r="AT84">
            <v>0</v>
          </cell>
          <cell r="AU84">
            <v>0</v>
          </cell>
          <cell r="AV84">
            <v>0</v>
          </cell>
          <cell r="AW84">
            <v>0</v>
          </cell>
          <cell r="AX84">
            <v>0</v>
          </cell>
          <cell r="AY84">
            <v>0</v>
          </cell>
          <cell r="AZ84">
            <v>0</v>
          </cell>
          <cell r="BA84">
            <v>0</v>
          </cell>
          <cell r="BB84">
            <v>0</v>
          </cell>
          <cell r="BC84">
            <v>0</v>
          </cell>
          <cell r="BD84">
            <v>0</v>
          </cell>
          <cell r="BE84">
            <v>0</v>
          </cell>
          <cell r="BF84">
            <v>0</v>
          </cell>
          <cell r="BG84">
            <v>0</v>
          </cell>
          <cell r="BH84">
            <v>0</v>
          </cell>
          <cell r="BI84">
            <v>0</v>
          </cell>
          <cell r="BJ84">
            <v>0</v>
          </cell>
          <cell r="BK84">
            <v>0</v>
          </cell>
          <cell r="BL84">
            <v>0</v>
          </cell>
          <cell r="BM84">
            <v>0</v>
          </cell>
          <cell r="BN84">
            <v>0</v>
          </cell>
          <cell r="BO84">
            <v>0</v>
          </cell>
          <cell r="BP84">
            <v>0</v>
          </cell>
          <cell r="BQ84">
            <v>0</v>
          </cell>
          <cell r="BR84">
            <v>0</v>
          </cell>
          <cell r="BS84">
            <v>0</v>
          </cell>
          <cell r="BT84">
            <v>0</v>
          </cell>
          <cell r="BU84">
            <v>0</v>
          </cell>
          <cell r="BV84">
            <v>0</v>
          </cell>
          <cell r="BW84">
            <v>0</v>
          </cell>
          <cell r="BX84">
            <v>0</v>
          </cell>
          <cell r="BY84">
            <v>0</v>
          </cell>
          <cell r="BZ84">
            <v>0</v>
          </cell>
          <cell r="CA84">
            <v>0</v>
          </cell>
          <cell r="CB84">
            <v>0</v>
          </cell>
          <cell r="CC84">
            <v>0</v>
          </cell>
          <cell r="CD84">
            <v>0</v>
          </cell>
          <cell r="CE84">
            <v>0</v>
          </cell>
          <cell r="CF84">
            <v>0</v>
          </cell>
          <cell r="CG84">
            <v>0</v>
          </cell>
          <cell r="CH84">
            <v>0</v>
          </cell>
          <cell r="CI84">
            <v>0</v>
          </cell>
          <cell r="CJ84">
            <v>0</v>
          </cell>
          <cell r="CK84">
            <v>0</v>
          </cell>
          <cell r="CL84">
            <v>0</v>
          </cell>
          <cell r="CM84">
            <v>0</v>
          </cell>
          <cell r="CN84">
            <v>0</v>
          </cell>
          <cell r="CO84">
            <v>0</v>
          </cell>
          <cell r="CP84">
            <v>0</v>
          </cell>
          <cell r="CQ84">
            <v>0</v>
          </cell>
          <cell r="CR84">
            <v>0</v>
          </cell>
          <cell r="CS84">
            <v>0</v>
          </cell>
          <cell r="CT84">
            <v>0</v>
          </cell>
          <cell r="CU84">
            <v>0</v>
          </cell>
          <cell r="CV84">
            <v>0</v>
          </cell>
          <cell r="CW84">
            <v>0</v>
          </cell>
          <cell r="CX84">
            <v>0</v>
          </cell>
          <cell r="CY84">
            <v>0</v>
          </cell>
          <cell r="CZ84">
            <v>0</v>
          </cell>
          <cell r="DA84">
            <v>0</v>
          </cell>
          <cell r="DB84">
            <v>0</v>
          </cell>
          <cell r="DC84">
            <v>0</v>
          </cell>
          <cell r="DD84">
            <v>0</v>
          </cell>
          <cell r="DE84">
            <v>0</v>
          </cell>
          <cell r="DF84">
            <v>0</v>
          </cell>
          <cell r="DG84">
            <v>0</v>
          </cell>
          <cell r="DH84">
            <v>0</v>
          </cell>
          <cell r="DI84">
            <v>0</v>
          </cell>
          <cell r="DJ84">
            <v>0</v>
          </cell>
          <cell r="DK84">
            <v>0</v>
          </cell>
          <cell r="DL84">
            <v>0</v>
          </cell>
          <cell r="DM84">
            <v>0</v>
          </cell>
          <cell r="DN84">
            <v>0</v>
          </cell>
          <cell r="DO84">
            <v>0</v>
          </cell>
          <cell r="DP84">
            <v>0</v>
          </cell>
          <cell r="DQ84">
            <v>0</v>
          </cell>
          <cell r="DR84">
            <v>0</v>
          </cell>
          <cell r="DS84">
            <v>0</v>
          </cell>
          <cell r="DT84">
            <v>0</v>
          </cell>
          <cell r="DU84">
            <v>0</v>
          </cell>
          <cell r="DV84">
            <v>0</v>
          </cell>
          <cell r="DW84">
            <v>0</v>
          </cell>
          <cell r="DX84">
            <v>0</v>
          </cell>
          <cell r="DY84">
            <v>0</v>
          </cell>
          <cell r="EA84">
            <v>0</v>
          </cell>
          <cell r="EB84">
            <v>0</v>
          </cell>
          <cell r="EC84">
            <v>0</v>
          </cell>
          <cell r="ED84">
            <v>0.05</v>
          </cell>
          <cell r="EE84">
            <v>0.09</v>
          </cell>
          <cell r="EF84">
            <v>0.08</v>
          </cell>
          <cell r="EG84">
            <v>0.17</v>
          </cell>
          <cell r="EH84">
            <v>1</v>
          </cell>
          <cell r="EI84">
            <v>1</v>
          </cell>
          <cell r="EJ84">
            <v>1</v>
          </cell>
          <cell r="EK84">
            <v>1</v>
          </cell>
          <cell r="EL84">
            <v>0.05</v>
          </cell>
          <cell r="EM84">
            <v>0.14000000000000001</v>
          </cell>
          <cell r="EN84">
            <v>0.11</v>
          </cell>
          <cell r="EO84">
            <v>0.2</v>
          </cell>
          <cell r="EP84">
            <v>0</v>
          </cell>
          <cell r="EQ84">
            <v>0</v>
          </cell>
          <cell r="ER84">
            <v>0</v>
          </cell>
          <cell r="ES84">
            <v>0</v>
          </cell>
          <cell r="ET84">
            <v>0</v>
          </cell>
          <cell r="EU84">
            <v>0</v>
          </cell>
          <cell r="EV84">
            <v>0</v>
          </cell>
          <cell r="EW84">
            <v>0</v>
          </cell>
          <cell r="EX84">
            <v>1</v>
          </cell>
          <cell r="EY84">
            <v>1</v>
          </cell>
          <cell r="EZ84">
            <v>1</v>
          </cell>
          <cell r="FA84">
            <v>0</v>
          </cell>
          <cell r="FB84">
            <v>0</v>
          </cell>
          <cell r="FC84">
            <v>0</v>
          </cell>
          <cell r="FD84">
            <v>0</v>
          </cell>
          <cell r="FE84">
            <v>0</v>
          </cell>
          <cell r="FF84">
            <v>0</v>
          </cell>
          <cell r="FG84">
            <v>0</v>
          </cell>
          <cell r="FH84">
            <v>0</v>
          </cell>
          <cell r="FI84">
            <v>0</v>
          </cell>
          <cell r="FJ84">
            <v>0</v>
          </cell>
          <cell r="FK84">
            <v>0</v>
          </cell>
          <cell r="FL84">
            <v>0</v>
          </cell>
          <cell r="FM84">
            <v>0</v>
          </cell>
          <cell r="FN84">
            <v>0</v>
          </cell>
          <cell r="FO84">
            <v>0</v>
          </cell>
          <cell r="FP84">
            <v>0</v>
          </cell>
          <cell r="FQ84">
            <v>0</v>
          </cell>
          <cell r="FR84">
            <v>0</v>
          </cell>
          <cell r="FS84">
            <v>0</v>
          </cell>
          <cell r="FT84">
            <v>0</v>
          </cell>
          <cell r="FU84">
            <v>0</v>
          </cell>
          <cell r="FV84">
            <v>0</v>
          </cell>
          <cell r="FW84">
            <v>0</v>
          </cell>
          <cell r="FX84">
            <v>0</v>
          </cell>
          <cell r="FY84">
            <v>0</v>
          </cell>
          <cell r="FZ84">
            <v>0</v>
          </cell>
        </row>
        <row r="85">
          <cell r="A85" t="str">
            <v>F_CNP_RFF_RET_COL_FRCE_035</v>
          </cell>
          <cell r="B85">
            <v>0.1</v>
          </cell>
          <cell r="C85">
            <v>0.08</v>
          </cell>
          <cell r="D85">
            <v>0.15</v>
          </cell>
          <cell r="E85">
            <v>0.08</v>
          </cell>
          <cell r="F85">
            <v>0.15</v>
          </cell>
          <cell r="G85">
            <v>0.22</v>
          </cell>
          <cell r="H85">
            <v>7.0000000000000007E-2</v>
          </cell>
          <cell r="I85">
            <v>0.05</v>
          </cell>
          <cell r="J85">
            <v>0.13</v>
          </cell>
          <cell r="K85">
            <v>0.18</v>
          </cell>
          <cell r="L85">
            <v>0.17</v>
          </cell>
          <cell r="M85">
            <v>0.16</v>
          </cell>
          <cell r="N85">
            <v>0.8</v>
          </cell>
          <cell r="O85">
            <v>1</v>
          </cell>
          <cell r="P85">
            <v>1</v>
          </cell>
          <cell r="Q85">
            <v>0.8</v>
          </cell>
          <cell r="R85">
            <v>0.8</v>
          </cell>
          <cell r="S85">
            <v>1</v>
          </cell>
          <cell r="T85">
            <v>1</v>
          </cell>
          <cell r="U85">
            <v>1</v>
          </cell>
          <cell r="V85">
            <v>1</v>
          </cell>
          <cell r="W85">
            <v>1</v>
          </cell>
          <cell r="X85">
            <v>1</v>
          </cell>
          <cell r="Y85">
            <v>1</v>
          </cell>
          <cell r="Z85">
            <v>0.1</v>
          </cell>
          <cell r="AA85">
            <v>0.1</v>
          </cell>
          <cell r="AB85">
            <v>0.14000000000000001</v>
          </cell>
          <cell r="AC85">
            <v>0.11</v>
          </cell>
          <cell r="AD85">
            <v>0.11</v>
          </cell>
          <cell r="AE85">
            <v>0.19</v>
          </cell>
          <cell r="AF85">
            <v>0.09</v>
          </cell>
          <cell r="AG85">
            <v>0.11</v>
          </cell>
          <cell r="AH85">
            <v>0.15</v>
          </cell>
          <cell r="AI85">
            <v>0.2</v>
          </cell>
          <cell r="AJ85">
            <v>0.2</v>
          </cell>
          <cell r="AK85">
            <v>0.2</v>
          </cell>
          <cell r="AL85">
            <v>0</v>
          </cell>
          <cell r="AM85">
            <v>0</v>
          </cell>
          <cell r="AN85">
            <v>0</v>
          </cell>
          <cell r="AO85">
            <v>0</v>
          </cell>
          <cell r="AP85">
            <v>0</v>
          </cell>
          <cell r="AQ85">
            <v>0</v>
          </cell>
          <cell r="AR85">
            <v>0</v>
          </cell>
          <cell r="AS85">
            <v>0</v>
          </cell>
          <cell r="AT85">
            <v>0</v>
          </cell>
          <cell r="AU85">
            <v>0</v>
          </cell>
          <cell r="AV85">
            <v>0</v>
          </cell>
          <cell r="AW85">
            <v>0</v>
          </cell>
          <cell r="AX85">
            <v>0</v>
          </cell>
          <cell r="AY85">
            <v>0</v>
          </cell>
          <cell r="AZ85">
            <v>0</v>
          </cell>
          <cell r="BA85">
            <v>0</v>
          </cell>
          <cell r="BB85">
            <v>0</v>
          </cell>
          <cell r="BC85">
            <v>0</v>
          </cell>
          <cell r="BD85">
            <v>0</v>
          </cell>
          <cell r="BE85">
            <v>0</v>
          </cell>
          <cell r="BF85">
            <v>0</v>
          </cell>
          <cell r="BG85">
            <v>0</v>
          </cell>
          <cell r="BH85">
            <v>0</v>
          </cell>
          <cell r="BI85">
            <v>0</v>
          </cell>
          <cell r="BJ85">
            <v>0</v>
          </cell>
          <cell r="BK85">
            <v>0</v>
          </cell>
          <cell r="BL85">
            <v>0</v>
          </cell>
          <cell r="BM85">
            <v>0</v>
          </cell>
          <cell r="BN85">
            <v>0</v>
          </cell>
          <cell r="BO85">
            <v>0</v>
          </cell>
          <cell r="BP85">
            <v>0</v>
          </cell>
          <cell r="BQ85">
            <v>0</v>
          </cell>
          <cell r="BR85">
            <v>0</v>
          </cell>
          <cell r="BS85">
            <v>0</v>
          </cell>
          <cell r="BT85">
            <v>0</v>
          </cell>
          <cell r="BU85">
            <v>0</v>
          </cell>
          <cell r="BV85">
            <v>0</v>
          </cell>
          <cell r="BW85">
            <v>0</v>
          </cell>
          <cell r="BX85">
            <v>0</v>
          </cell>
          <cell r="BY85">
            <v>0</v>
          </cell>
          <cell r="BZ85">
            <v>0</v>
          </cell>
          <cell r="CA85">
            <v>0</v>
          </cell>
          <cell r="CB85">
            <v>0</v>
          </cell>
          <cell r="CC85">
            <v>0</v>
          </cell>
          <cell r="CD85">
            <v>0</v>
          </cell>
          <cell r="CE85">
            <v>0</v>
          </cell>
          <cell r="CF85">
            <v>0</v>
          </cell>
          <cell r="CG85">
            <v>0</v>
          </cell>
          <cell r="CH85">
            <v>0</v>
          </cell>
          <cell r="CI85">
            <v>0</v>
          </cell>
          <cell r="CJ85">
            <v>0</v>
          </cell>
          <cell r="CK85">
            <v>0</v>
          </cell>
          <cell r="CL85">
            <v>0</v>
          </cell>
          <cell r="CM85">
            <v>0</v>
          </cell>
          <cell r="CN85">
            <v>0</v>
          </cell>
          <cell r="CO85">
            <v>0</v>
          </cell>
          <cell r="CP85">
            <v>0</v>
          </cell>
          <cell r="CQ85">
            <v>0</v>
          </cell>
          <cell r="CR85">
            <v>0</v>
          </cell>
          <cell r="CS85">
            <v>0</v>
          </cell>
          <cell r="CT85">
            <v>0</v>
          </cell>
          <cell r="CU85">
            <v>0</v>
          </cell>
          <cell r="CV85">
            <v>0</v>
          </cell>
          <cell r="CW85">
            <v>0</v>
          </cell>
          <cell r="CX85">
            <v>0</v>
          </cell>
          <cell r="CY85">
            <v>0</v>
          </cell>
          <cell r="CZ85">
            <v>0</v>
          </cell>
          <cell r="DA85">
            <v>0</v>
          </cell>
          <cell r="DB85">
            <v>0</v>
          </cell>
          <cell r="DC85">
            <v>0</v>
          </cell>
          <cell r="DD85">
            <v>0</v>
          </cell>
          <cell r="DE85">
            <v>0</v>
          </cell>
          <cell r="DF85">
            <v>0</v>
          </cell>
          <cell r="DG85">
            <v>0</v>
          </cell>
          <cell r="DH85">
            <v>0</v>
          </cell>
          <cell r="DI85">
            <v>0</v>
          </cell>
          <cell r="DJ85">
            <v>0</v>
          </cell>
          <cell r="DK85">
            <v>0</v>
          </cell>
          <cell r="DL85">
            <v>0</v>
          </cell>
          <cell r="DM85">
            <v>0</v>
          </cell>
          <cell r="DN85">
            <v>0</v>
          </cell>
          <cell r="DO85">
            <v>0</v>
          </cell>
          <cell r="DP85">
            <v>0</v>
          </cell>
          <cell r="DQ85">
            <v>0</v>
          </cell>
          <cell r="DR85">
            <v>0</v>
          </cell>
          <cell r="DS85">
            <v>0</v>
          </cell>
          <cell r="DT85">
            <v>0</v>
          </cell>
          <cell r="DU85">
            <v>0</v>
          </cell>
          <cell r="DV85">
            <v>0</v>
          </cell>
          <cell r="DW85">
            <v>0</v>
          </cell>
          <cell r="DX85">
            <v>0</v>
          </cell>
          <cell r="DY85">
            <v>0</v>
          </cell>
          <cell r="EA85">
            <v>0</v>
          </cell>
          <cell r="EB85">
            <v>0</v>
          </cell>
          <cell r="EC85">
            <v>0</v>
          </cell>
          <cell r="ED85">
            <v>0.05</v>
          </cell>
          <cell r="EE85">
            <v>0.09</v>
          </cell>
          <cell r="EF85">
            <v>0.08</v>
          </cell>
          <cell r="EG85">
            <v>0.17</v>
          </cell>
          <cell r="EH85">
            <v>1</v>
          </cell>
          <cell r="EI85">
            <v>1</v>
          </cell>
          <cell r="EJ85">
            <v>1</v>
          </cell>
          <cell r="EK85">
            <v>1</v>
          </cell>
          <cell r="EL85">
            <v>0.05</v>
          </cell>
          <cell r="EM85">
            <v>0.14000000000000001</v>
          </cell>
          <cell r="EN85">
            <v>0.11</v>
          </cell>
          <cell r="EO85">
            <v>0.2</v>
          </cell>
          <cell r="EP85">
            <v>0</v>
          </cell>
          <cell r="EQ85">
            <v>0</v>
          </cell>
          <cell r="ER85">
            <v>0</v>
          </cell>
          <cell r="ES85">
            <v>0</v>
          </cell>
          <cell r="ET85">
            <v>0</v>
          </cell>
          <cell r="EU85">
            <v>0</v>
          </cell>
          <cell r="EV85">
            <v>0</v>
          </cell>
          <cell r="EW85">
            <v>0</v>
          </cell>
          <cell r="EX85">
            <v>1</v>
          </cell>
          <cell r="EY85">
            <v>1</v>
          </cell>
          <cell r="EZ85">
            <v>1</v>
          </cell>
          <cell r="FA85">
            <v>0</v>
          </cell>
          <cell r="FB85">
            <v>0</v>
          </cell>
          <cell r="FC85">
            <v>0</v>
          </cell>
          <cell r="FD85">
            <v>0</v>
          </cell>
          <cell r="FE85">
            <v>0</v>
          </cell>
          <cell r="FF85">
            <v>0</v>
          </cell>
          <cell r="FG85">
            <v>0</v>
          </cell>
          <cell r="FH85">
            <v>0</v>
          </cell>
          <cell r="FI85">
            <v>0</v>
          </cell>
          <cell r="FJ85">
            <v>0</v>
          </cell>
          <cell r="FK85">
            <v>0</v>
          </cell>
          <cell r="FL85">
            <v>0</v>
          </cell>
          <cell r="FM85">
            <v>0</v>
          </cell>
          <cell r="FN85">
            <v>0</v>
          </cell>
          <cell r="FO85">
            <v>0</v>
          </cell>
          <cell r="FP85">
            <v>0</v>
          </cell>
          <cell r="FQ85">
            <v>0</v>
          </cell>
          <cell r="FR85">
            <v>0</v>
          </cell>
          <cell r="FS85">
            <v>0</v>
          </cell>
          <cell r="FT85">
            <v>0</v>
          </cell>
          <cell r="FU85">
            <v>0</v>
          </cell>
          <cell r="FV85">
            <v>0</v>
          </cell>
          <cell r="FW85">
            <v>0</v>
          </cell>
          <cell r="FX85">
            <v>0</v>
          </cell>
          <cell r="FY85">
            <v>0</v>
          </cell>
          <cell r="FZ85">
            <v>0</v>
          </cell>
        </row>
        <row r="86">
          <cell r="A86" t="str">
            <v>F_CNP_RFF_RET_COL_FRCE_031</v>
          </cell>
          <cell r="B86">
            <v>0.1</v>
          </cell>
          <cell r="C86">
            <v>0.08</v>
          </cell>
          <cell r="D86">
            <v>0.15</v>
          </cell>
          <cell r="E86">
            <v>0.08</v>
          </cell>
          <cell r="F86">
            <v>0.15</v>
          </cell>
          <cell r="G86">
            <v>0.22</v>
          </cell>
          <cell r="H86">
            <v>7.0000000000000007E-2</v>
          </cell>
          <cell r="I86">
            <v>0.05</v>
          </cell>
          <cell r="J86">
            <v>0.13</v>
          </cell>
          <cell r="K86">
            <v>0.18</v>
          </cell>
          <cell r="L86">
            <v>0.17</v>
          </cell>
          <cell r="M86">
            <v>0.16</v>
          </cell>
          <cell r="N86">
            <v>0.8</v>
          </cell>
          <cell r="O86">
            <v>1</v>
          </cell>
          <cell r="P86">
            <v>1</v>
          </cell>
          <cell r="Q86">
            <v>0.8</v>
          </cell>
          <cell r="R86">
            <v>0.8</v>
          </cell>
          <cell r="S86">
            <v>1</v>
          </cell>
          <cell r="T86">
            <v>1</v>
          </cell>
          <cell r="U86">
            <v>1</v>
          </cell>
          <cell r="V86">
            <v>1</v>
          </cell>
          <cell r="W86">
            <v>1</v>
          </cell>
          <cell r="X86">
            <v>1</v>
          </cell>
          <cell r="Y86">
            <v>1</v>
          </cell>
          <cell r="Z86">
            <v>0.1</v>
          </cell>
          <cell r="AA86">
            <v>0.1</v>
          </cell>
          <cell r="AB86">
            <v>0.14000000000000001</v>
          </cell>
          <cell r="AC86">
            <v>0.11</v>
          </cell>
          <cell r="AD86">
            <v>0.11</v>
          </cell>
          <cell r="AE86">
            <v>0.19</v>
          </cell>
          <cell r="AF86">
            <v>0.09</v>
          </cell>
          <cell r="AG86">
            <v>0.11</v>
          </cell>
          <cell r="AH86">
            <v>0.15</v>
          </cell>
          <cell r="AI86">
            <v>0.2</v>
          </cell>
          <cell r="AJ86">
            <v>0.2</v>
          </cell>
          <cell r="AK86">
            <v>0.2</v>
          </cell>
          <cell r="AL86">
            <v>0</v>
          </cell>
          <cell r="AM86">
            <v>0</v>
          </cell>
          <cell r="AN86">
            <v>0</v>
          </cell>
          <cell r="AO86">
            <v>0</v>
          </cell>
          <cell r="AP86">
            <v>0</v>
          </cell>
          <cell r="AQ86">
            <v>0</v>
          </cell>
          <cell r="AR86">
            <v>0</v>
          </cell>
          <cell r="AS86">
            <v>0</v>
          </cell>
          <cell r="AT86">
            <v>0</v>
          </cell>
          <cell r="AU86">
            <v>0</v>
          </cell>
          <cell r="AV86">
            <v>0</v>
          </cell>
          <cell r="AW86">
            <v>0</v>
          </cell>
          <cell r="AX86">
            <v>0</v>
          </cell>
          <cell r="AY86">
            <v>0</v>
          </cell>
          <cell r="AZ86">
            <v>0</v>
          </cell>
          <cell r="BA86">
            <v>0</v>
          </cell>
          <cell r="BB86">
            <v>0</v>
          </cell>
          <cell r="BC86">
            <v>0</v>
          </cell>
          <cell r="BD86">
            <v>0</v>
          </cell>
          <cell r="BE86">
            <v>0</v>
          </cell>
          <cell r="BF86">
            <v>0</v>
          </cell>
          <cell r="BG86">
            <v>0</v>
          </cell>
          <cell r="BH86">
            <v>0</v>
          </cell>
          <cell r="BI86">
            <v>0</v>
          </cell>
          <cell r="BJ86">
            <v>0</v>
          </cell>
          <cell r="BK86">
            <v>0</v>
          </cell>
          <cell r="BL86">
            <v>0</v>
          </cell>
          <cell r="BM86">
            <v>0</v>
          </cell>
          <cell r="BN86">
            <v>0</v>
          </cell>
          <cell r="BO86">
            <v>0</v>
          </cell>
          <cell r="BP86">
            <v>0</v>
          </cell>
          <cell r="BQ86">
            <v>0</v>
          </cell>
          <cell r="BR86">
            <v>0</v>
          </cell>
          <cell r="BS86">
            <v>0</v>
          </cell>
          <cell r="BT86">
            <v>0</v>
          </cell>
          <cell r="BU86">
            <v>0</v>
          </cell>
          <cell r="BV86">
            <v>0</v>
          </cell>
          <cell r="BW86">
            <v>0</v>
          </cell>
          <cell r="BX86">
            <v>0</v>
          </cell>
          <cell r="BY86">
            <v>0</v>
          </cell>
          <cell r="BZ86">
            <v>0</v>
          </cell>
          <cell r="CA86">
            <v>0</v>
          </cell>
          <cell r="CB86">
            <v>0</v>
          </cell>
          <cell r="CC86">
            <v>0</v>
          </cell>
          <cell r="CD86">
            <v>0</v>
          </cell>
          <cell r="CE86">
            <v>0</v>
          </cell>
          <cell r="CF86">
            <v>0</v>
          </cell>
          <cell r="CG86">
            <v>0</v>
          </cell>
          <cell r="CH86">
            <v>0</v>
          </cell>
          <cell r="CI86">
            <v>0</v>
          </cell>
          <cell r="CJ86">
            <v>0</v>
          </cell>
          <cell r="CK86">
            <v>0</v>
          </cell>
          <cell r="CL86">
            <v>0</v>
          </cell>
          <cell r="CM86">
            <v>0</v>
          </cell>
          <cell r="CN86">
            <v>0</v>
          </cell>
          <cell r="CO86">
            <v>0</v>
          </cell>
          <cell r="CP86">
            <v>0</v>
          </cell>
          <cell r="CQ86">
            <v>0</v>
          </cell>
          <cell r="CR86">
            <v>0</v>
          </cell>
          <cell r="CS86">
            <v>0</v>
          </cell>
          <cell r="CT86">
            <v>0</v>
          </cell>
          <cell r="CU86">
            <v>0</v>
          </cell>
          <cell r="CV86">
            <v>0</v>
          </cell>
          <cell r="CW86">
            <v>0</v>
          </cell>
          <cell r="CX86">
            <v>0</v>
          </cell>
          <cell r="CY86">
            <v>0</v>
          </cell>
          <cell r="CZ86">
            <v>0</v>
          </cell>
          <cell r="DA86">
            <v>0</v>
          </cell>
          <cell r="DB86">
            <v>0</v>
          </cell>
          <cell r="DC86">
            <v>0</v>
          </cell>
          <cell r="DD86">
            <v>0</v>
          </cell>
          <cell r="DE86">
            <v>0</v>
          </cell>
          <cell r="DF86">
            <v>0</v>
          </cell>
          <cell r="DG86">
            <v>0</v>
          </cell>
          <cell r="DH86">
            <v>0</v>
          </cell>
          <cell r="DI86">
            <v>0</v>
          </cell>
          <cell r="DJ86">
            <v>0</v>
          </cell>
          <cell r="DK86">
            <v>0</v>
          </cell>
          <cell r="DL86">
            <v>0</v>
          </cell>
          <cell r="DM86">
            <v>0</v>
          </cell>
          <cell r="DN86">
            <v>0</v>
          </cell>
          <cell r="DO86">
            <v>0</v>
          </cell>
          <cell r="DP86">
            <v>0</v>
          </cell>
          <cell r="DQ86">
            <v>0</v>
          </cell>
          <cell r="DR86">
            <v>0</v>
          </cell>
          <cell r="DS86">
            <v>0</v>
          </cell>
          <cell r="DT86">
            <v>0</v>
          </cell>
          <cell r="DU86">
            <v>0</v>
          </cell>
          <cell r="DV86">
            <v>0</v>
          </cell>
          <cell r="DW86">
            <v>0</v>
          </cell>
          <cell r="DX86">
            <v>0</v>
          </cell>
          <cell r="DY86">
            <v>0</v>
          </cell>
          <cell r="EA86">
            <v>0</v>
          </cell>
          <cell r="EB86">
            <v>0</v>
          </cell>
          <cell r="EC86">
            <v>0</v>
          </cell>
          <cell r="ED86">
            <v>0.05</v>
          </cell>
          <cell r="EE86">
            <v>0.09</v>
          </cell>
          <cell r="EF86">
            <v>0.08</v>
          </cell>
          <cell r="EG86">
            <v>0.17</v>
          </cell>
          <cell r="EH86">
            <v>1</v>
          </cell>
          <cell r="EI86">
            <v>1</v>
          </cell>
          <cell r="EJ86">
            <v>1</v>
          </cell>
          <cell r="EK86">
            <v>1</v>
          </cell>
          <cell r="EL86">
            <v>0.05</v>
          </cell>
          <cell r="EM86">
            <v>0.14000000000000001</v>
          </cell>
          <cell r="EN86">
            <v>0.11</v>
          </cell>
          <cell r="EO86">
            <v>0.2</v>
          </cell>
          <cell r="EP86">
            <v>0</v>
          </cell>
          <cell r="EQ86">
            <v>0</v>
          </cell>
          <cell r="ER86">
            <v>0</v>
          </cell>
          <cell r="ES86">
            <v>0</v>
          </cell>
          <cell r="ET86">
            <v>0</v>
          </cell>
          <cell r="EU86">
            <v>0</v>
          </cell>
          <cell r="EV86">
            <v>0</v>
          </cell>
          <cell r="EW86">
            <v>0</v>
          </cell>
          <cell r="EX86">
            <v>1</v>
          </cell>
          <cell r="EY86">
            <v>1</v>
          </cell>
          <cell r="EZ86">
            <v>1</v>
          </cell>
          <cell r="FA86">
            <v>0</v>
          </cell>
          <cell r="FB86">
            <v>0</v>
          </cell>
          <cell r="FC86">
            <v>0</v>
          </cell>
          <cell r="FD86">
            <v>0</v>
          </cell>
          <cell r="FE86">
            <v>0</v>
          </cell>
          <cell r="FF86">
            <v>0</v>
          </cell>
          <cell r="FG86">
            <v>0</v>
          </cell>
          <cell r="FH86">
            <v>0</v>
          </cell>
          <cell r="FI86">
            <v>0</v>
          </cell>
          <cell r="FJ86">
            <v>0</v>
          </cell>
          <cell r="FK86">
            <v>0</v>
          </cell>
          <cell r="FL86">
            <v>0</v>
          </cell>
          <cell r="FM86">
            <v>0</v>
          </cell>
          <cell r="FN86">
            <v>0</v>
          </cell>
          <cell r="FO86">
            <v>0</v>
          </cell>
          <cell r="FP86">
            <v>0</v>
          </cell>
          <cell r="FQ86">
            <v>0</v>
          </cell>
          <cell r="FR86">
            <v>0</v>
          </cell>
          <cell r="FS86">
            <v>0</v>
          </cell>
          <cell r="FT86">
            <v>0</v>
          </cell>
          <cell r="FU86">
            <v>0</v>
          </cell>
          <cell r="FV86">
            <v>0</v>
          </cell>
          <cell r="FW86">
            <v>0</v>
          </cell>
          <cell r="FX86">
            <v>0</v>
          </cell>
          <cell r="FY86">
            <v>0</v>
          </cell>
          <cell r="FZ86">
            <v>0</v>
          </cell>
        </row>
        <row r="87">
          <cell r="A87" t="str">
            <v>F_CNP_RFF_RET_COL_FRCE_201</v>
          </cell>
          <cell r="B87">
            <v>0.1</v>
          </cell>
          <cell r="C87">
            <v>0.08</v>
          </cell>
          <cell r="D87">
            <v>0.15</v>
          </cell>
          <cell r="E87">
            <v>0.08</v>
          </cell>
          <cell r="F87">
            <v>0.15</v>
          </cell>
          <cell r="G87">
            <v>0.22</v>
          </cell>
          <cell r="H87">
            <v>7.0000000000000007E-2</v>
          </cell>
          <cell r="I87">
            <v>0.05</v>
          </cell>
          <cell r="J87">
            <v>0.13</v>
          </cell>
          <cell r="K87">
            <v>0.18</v>
          </cell>
          <cell r="L87">
            <v>0.17</v>
          </cell>
          <cell r="M87">
            <v>0.16</v>
          </cell>
          <cell r="N87">
            <v>0.8</v>
          </cell>
          <cell r="O87">
            <v>1</v>
          </cell>
          <cell r="P87">
            <v>1</v>
          </cell>
          <cell r="Q87">
            <v>0.8</v>
          </cell>
          <cell r="R87">
            <v>0.8</v>
          </cell>
          <cell r="S87">
            <v>1</v>
          </cell>
          <cell r="T87">
            <v>1</v>
          </cell>
          <cell r="U87">
            <v>1</v>
          </cell>
          <cell r="V87">
            <v>1</v>
          </cell>
          <cell r="W87">
            <v>1</v>
          </cell>
          <cell r="X87">
            <v>1</v>
          </cell>
          <cell r="Y87">
            <v>1</v>
          </cell>
          <cell r="Z87">
            <v>0.1</v>
          </cell>
          <cell r="AA87">
            <v>0.1</v>
          </cell>
          <cell r="AB87">
            <v>0.14000000000000001</v>
          </cell>
          <cell r="AC87">
            <v>0.11</v>
          </cell>
          <cell r="AD87">
            <v>0.11</v>
          </cell>
          <cell r="AE87">
            <v>0.19</v>
          </cell>
          <cell r="AF87">
            <v>0.09</v>
          </cell>
          <cell r="AG87">
            <v>0.11</v>
          </cell>
          <cell r="AH87">
            <v>0.15</v>
          </cell>
          <cell r="AI87">
            <v>0.2</v>
          </cell>
          <cell r="AJ87">
            <v>0.2</v>
          </cell>
          <cell r="AK87">
            <v>0.2</v>
          </cell>
          <cell r="AL87">
            <v>0</v>
          </cell>
          <cell r="AM87">
            <v>0</v>
          </cell>
          <cell r="AN87">
            <v>0</v>
          </cell>
          <cell r="AO87">
            <v>0</v>
          </cell>
          <cell r="AP87">
            <v>0</v>
          </cell>
          <cell r="AQ87">
            <v>0</v>
          </cell>
          <cell r="AR87">
            <v>0</v>
          </cell>
          <cell r="AS87">
            <v>0</v>
          </cell>
          <cell r="AT87">
            <v>0</v>
          </cell>
          <cell r="AU87">
            <v>0</v>
          </cell>
          <cell r="AV87">
            <v>0</v>
          </cell>
          <cell r="AW87">
            <v>0</v>
          </cell>
          <cell r="AX87">
            <v>0</v>
          </cell>
          <cell r="AY87">
            <v>0</v>
          </cell>
          <cell r="AZ87">
            <v>0</v>
          </cell>
          <cell r="BA87">
            <v>0</v>
          </cell>
          <cell r="BB87">
            <v>0</v>
          </cell>
          <cell r="BC87">
            <v>0</v>
          </cell>
          <cell r="BD87">
            <v>0</v>
          </cell>
          <cell r="BE87">
            <v>0</v>
          </cell>
          <cell r="BF87">
            <v>0</v>
          </cell>
          <cell r="BG87">
            <v>0</v>
          </cell>
          <cell r="BH87">
            <v>0</v>
          </cell>
          <cell r="BI87">
            <v>0</v>
          </cell>
          <cell r="BJ87">
            <v>0</v>
          </cell>
          <cell r="BK87">
            <v>0</v>
          </cell>
          <cell r="BL87">
            <v>0</v>
          </cell>
          <cell r="BM87">
            <v>0</v>
          </cell>
          <cell r="BN87">
            <v>0</v>
          </cell>
          <cell r="BO87">
            <v>0</v>
          </cell>
          <cell r="BP87">
            <v>0</v>
          </cell>
          <cell r="BQ87">
            <v>0</v>
          </cell>
          <cell r="BR87">
            <v>0</v>
          </cell>
          <cell r="BS87">
            <v>0</v>
          </cell>
          <cell r="BT87">
            <v>0</v>
          </cell>
          <cell r="BU87">
            <v>0</v>
          </cell>
          <cell r="BV87">
            <v>0</v>
          </cell>
          <cell r="BW87">
            <v>0</v>
          </cell>
          <cell r="BX87">
            <v>0</v>
          </cell>
          <cell r="BY87">
            <v>0</v>
          </cell>
          <cell r="BZ87">
            <v>0</v>
          </cell>
          <cell r="CA87">
            <v>0</v>
          </cell>
          <cell r="CB87">
            <v>0</v>
          </cell>
          <cell r="CC87">
            <v>0</v>
          </cell>
          <cell r="CD87">
            <v>0</v>
          </cell>
          <cell r="CE87">
            <v>0</v>
          </cell>
          <cell r="CF87">
            <v>0</v>
          </cell>
          <cell r="CG87">
            <v>0</v>
          </cell>
          <cell r="CH87">
            <v>0</v>
          </cell>
          <cell r="CI87">
            <v>0</v>
          </cell>
          <cell r="CJ87">
            <v>0</v>
          </cell>
          <cell r="CK87">
            <v>0</v>
          </cell>
          <cell r="CL87">
            <v>0</v>
          </cell>
          <cell r="CM87">
            <v>0</v>
          </cell>
          <cell r="CN87">
            <v>0</v>
          </cell>
          <cell r="CO87">
            <v>0</v>
          </cell>
          <cell r="CP87">
            <v>0</v>
          </cell>
          <cell r="CQ87">
            <v>0</v>
          </cell>
          <cell r="CR87">
            <v>0</v>
          </cell>
          <cell r="CS87">
            <v>0</v>
          </cell>
          <cell r="CT87">
            <v>0</v>
          </cell>
          <cell r="CU87">
            <v>0</v>
          </cell>
          <cell r="CV87">
            <v>0</v>
          </cell>
          <cell r="CW87">
            <v>0</v>
          </cell>
          <cell r="CX87">
            <v>0</v>
          </cell>
          <cell r="CY87">
            <v>0</v>
          </cell>
          <cell r="CZ87">
            <v>0</v>
          </cell>
          <cell r="DA87">
            <v>0</v>
          </cell>
          <cell r="DB87">
            <v>0</v>
          </cell>
          <cell r="DC87">
            <v>0</v>
          </cell>
          <cell r="DD87">
            <v>0</v>
          </cell>
          <cell r="DE87">
            <v>0</v>
          </cell>
          <cell r="DF87">
            <v>0</v>
          </cell>
          <cell r="DG87">
            <v>0</v>
          </cell>
          <cell r="DH87">
            <v>0</v>
          </cell>
          <cell r="DI87">
            <v>0</v>
          </cell>
          <cell r="DJ87">
            <v>0</v>
          </cell>
          <cell r="DK87">
            <v>0</v>
          </cell>
          <cell r="DL87">
            <v>0</v>
          </cell>
          <cell r="DM87">
            <v>0</v>
          </cell>
          <cell r="DN87">
            <v>0</v>
          </cell>
          <cell r="DO87">
            <v>0</v>
          </cell>
          <cell r="DP87">
            <v>0</v>
          </cell>
          <cell r="DQ87">
            <v>0</v>
          </cell>
          <cell r="DR87">
            <v>0</v>
          </cell>
          <cell r="DS87">
            <v>0</v>
          </cell>
          <cell r="DT87">
            <v>0</v>
          </cell>
          <cell r="DU87">
            <v>0</v>
          </cell>
          <cell r="DV87">
            <v>0</v>
          </cell>
          <cell r="DW87">
            <v>0</v>
          </cell>
          <cell r="DX87">
            <v>0</v>
          </cell>
          <cell r="DY87">
            <v>0</v>
          </cell>
          <cell r="EA87">
            <v>0</v>
          </cell>
          <cell r="EB87">
            <v>0</v>
          </cell>
          <cell r="EC87">
            <v>0</v>
          </cell>
          <cell r="ED87">
            <v>0.05</v>
          </cell>
          <cell r="EE87">
            <v>0.09</v>
          </cell>
          <cell r="EF87">
            <v>0.08</v>
          </cell>
          <cell r="EG87">
            <v>0.17</v>
          </cell>
          <cell r="EH87">
            <v>1</v>
          </cell>
          <cell r="EI87">
            <v>1</v>
          </cell>
          <cell r="EJ87">
            <v>1</v>
          </cell>
          <cell r="EK87">
            <v>1</v>
          </cell>
          <cell r="EL87">
            <v>0.05</v>
          </cell>
          <cell r="EM87">
            <v>0.14000000000000001</v>
          </cell>
          <cell r="EN87">
            <v>0.11</v>
          </cell>
          <cell r="EO87">
            <v>0.2</v>
          </cell>
          <cell r="EP87">
            <v>0</v>
          </cell>
          <cell r="EQ87">
            <v>0</v>
          </cell>
          <cell r="ER87">
            <v>0</v>
          </cell>
          <cell r="ES87">
            <v>0</v>
          </cell>
          <cell r="ET87">
            <v>0</v>
          </cell>
          <cell r="EU87">
            <v>0</v>
          </cell>
          <cell r="EV87">
            <v>0</v>
          </cell>
          <cell r="EW87">
            <v>0</v>
          </cell>
          <cell r="EX87">
            <v>1</v>
          </cell>
          <cell r="EY87">
            <v>1</v>
          </cell>
          <cell r="EZ87">
            <v>1</v>
          </cell>
          <cell r="FA87">
            <v>0</v>
          </cell>
          <cell r="FB87">
            <v>0</v>
          </cell>
          <cell r="FC87">
            <v>0</v>
          </cell>
          <cell r="FD87">
            <v>0</v>
          </cell>
          <cell r="FE87">
            <v>0</v>
          </cell>
          <cell r="FF87">
            <v>0</v>
          </cell>
          <cell r="FG87">
            <v>0</v>
          </cell>
          <cell r="FH87">
            <v>0</v>
          </cell>
          <cell r="FI87">
            <v>0</v>
          </cell>
          <cell r="FJ87">
            <v>0</v>
          </cell>
          <cell r="FK87">
            <v>0</v>
          </cell>
          <cell r="FL87">
            <v>0</v>
          </cell>
          <cell r="FM87">
            <v>0</v>
          </cell>
          <cell r="FN87">
            <v>0</v>
          </cell>
          <cell r="FO87">
            <v>0</v>
          </cell>
          <cell r="FP87">
            <v>0</v>
          </cell>
          <cell r="FQ87">
            <v>0</v>
          </cell>
          <cell r="FR87">
            <v>0</v>
          </cell>
          <cell r="FS87">
            <v>0</v>
          </cell>
          <cell r="FT87">
            <v>0</v>
          </cell>
          <cell r="FU87">
            <v>0</v>
          </cell>
          <cell r="FV87">
            <v>0</v>
          </cell>
          <cell r="FW87">
            <v>0</v>
          </cell>
          <cell r="FX87">
            <v>0</v>
          </cell>
          <cell r="FY87">
            <v>0</v>
          </cell>
          <cell r="FZ87">
            <v>0</v>
          </cell>
        </row>
        <row r="88">
          <cell r="A88" t="str">
            <v>F_CNP_RFF_RET_COL_FRCE_034</v>
          </cell>
          <cell r="B88">
            <v>0.1</v>
          </cell>
          <cell r="C88">
            <v>0.08</v>
          </cell>
          <cell r="D88">
            <v>0.15</v>
          </cell>
          <cell r="E88">
            <v>0.08</v>
          </cell>
          <cell r="F88">
            <v>0.15</v>
          </cell>
          <cell r="G88">
            <v>0.22</v>
          </cell>
          <cell r="H88">
            <v>7.0000000000000007E-2</v>
          </cell>
          <cell r="I88">
            <v>0.05</v>
          </cell>
          <cell r="J88">
            <v>0.13</v>
          </cell>
          <cell r="K88">
            <v>0.18</v>
          </cell>
          <cell r="L88">
            <v>0.17</v>
          </cell>
          <cell r="M88">
            <v>0.16</v>
          </cell>
          <cell r="N88">
            <v>0.8</v>
          </cell>
          <cell r="O88">
            <v>1</v>
          </cell>
          <cell r="P88">
            <v>1</v>
          </cell>
          <cell r="Q88">
            <v>0.8</v>
          </cell>
          <cell r="R88">
            <v>0.8</v>
          </cell>
          <cell r="S88">
            <v>1</v>
          </cell>
          <cell r="T88">
            <v>1</v>
          </cell>
          <cell r="U88">
            <v>1</v>
          </cell>
          <cell r="V88">
            <v>1</v>
          </cell>
          <cell r="W88">
            <v>1</v>
          </cell>
          <cell r="X88">
            <v>1</v>
          </cell>
          <cell r="Y88">
            <v>1</v>
          </cell>
          <cell r="Z88">
            <v>0.1</v>
          </cell>
          <cell r="AA88">
            <v>0.1</v>
          </cell>
          <cell r="AB88">
            <v>0.14000000000000001</v>
          </cell>
          <cell r="AC88">
            <v>0.11</v>
          </cell>
          <cell r="AD88">
            <v>0.11</v>
          </cell>
          <cell r="AE88">
            <v>0.19</v>
          </cell>
          <cell r="AF88">
            <v>0.09</v>
          </cell>
          <cell r="AG88">
            <v>0.11</v>
          </cell>
          <cell r="AH88">
            <v>0.15</v>
          </cell>
          <cell r="AI88">
            <v>0.2</v>
          </cell>
          <cell r="AJ88">
            <v>0.2</v>
          </cell>
          <cell r="AK88">
            <v>0.2</v>
          </cell>
          <cell r="AL88">
            <v>0</v>
          </cell>
          <cell r="AM88">
            <v>0</v>
          </cell>
          <cell r="AN88">
            <v>0</v>
          </cell>
          <cell r="AO88">
            <v>0</v>
          </cell>
          <cell r="AP88">
            <v>0</v>
          </cell>
          <cell r="AQ88">
            <v>0</v>
          </cell>
          <cell r="AR88">
            <v>0</v>
          </cell>
          <cell r="AS88">
            <v>0</v>
          </cell>
          <cell r="AT88">
            <v>0</v>
          </cell>
          <cell r="AU88">
            <v>0</v>
          </cell>
          <cell r="AV88">
            <v>0</v>
          </cell>
          <cell r="AW88">
            <v>0</v>
          </cell>
          <cell r="AX88">
            <v>0</v>
          </cell>
          <cell r="AY88">
            <v>0</v>
          </cell>
          <cell r="AZ88">
            <v>0</v>
          </cell>
          <cell r="BA88">
            <v>0</v>
          </cell>
          <cell r="BB88">
            <v>0</v>
          </cell>
          <cell r="BC88">
            <v>0</v>
          </cell>
          <cell r="BD88">
            <v>0</v>
          </cell>
          <cell r="BE88">
            <v>0</v>
          </cell>
          <cell r="BF88">
            <v>0</v>
          </cell>
          <cell r="BG88">
            <v>0</v>
          </cell>
          <cell r="BH88">
            <v>0</v>
          </cell>
          <cell r="BI88">
            <v>0</v>
          </cell>
          <cell r="BJ88">
            <v>0</v>
          </cell>
          <cell r="BK88">
            <v>0</v>
          </cell>
          <cell r="BL88">
            <v>0</v>
          </cell>
          <cell r="BM88">
            <v>0</v>
          </cell>
          <cell r="BN88">
            <v>0</v>
          </cell>
          <cell r="BO88">
            <v>0</v>
          </cell>
          <cell r="BP88">
            <v>0</v>
          </cell>
          <cell r="BQ88">
            <v>0</v>
          </cell>
          <cell r="BR88">
            <v>0</v>
          </cell>
          <cell r="BS88">
            <v>0</v>
          </cell>
          <cell r="BT88">
            <v>0</v>
          </cell>
          <cell r="BU88">
            <v>0</v>
          </cell>
          <cell r="BV88">
            <v>0</v>
          </cell>
          <cell r="BW88">
            <v>0</v>
          </cell>
          <cell r="BX88">
            <v>0</v>
          </cell>
          <cell r="BY88">
            <v>0</v>
          </cell>
          <cell r="BZ88">
            <v>0</v>
          </cell>
          <cell r="CA88">
            <v>0</v>
          </cell>
          <cell r="CB88">
            <v>0</v>
          </cell>
          <cell r="CC88">
            <v>0</v>
          </cell>
          <cell r="CD88">
            <v>0</v>
          </cell>
          <cell r="CE88">
            <v>0</v>
          </cell>
          <cell r="CF88">
            <v>0</v>
          </cell>
          <cell r="CG88">
            <v>0</v>
          </cell>
          <cell r="CH88">
            <v>0</v>
          </cell>
          <cell r="CI88">
            <v>0</v>
          </cell>
          <cell r="CJ88">
            <v>0</v>
          </cell>
          <cell r="CK88">
            <v>0</v>
          </cell>
          <cell r="CL88">
            <v>0</v>
          </cell>
          <cell r="CM88">
            <v>0</v>
          </cell>
          <cell r="CN88">
            <v>0</v>
          </cell>
          <cell r="CO88">
            <v>0</v>
          </cell>
          <cell r="CP88">
            <v>0</v>
          </cell>
          <cell r="CQ88">
            <v>0</v>
          </cell>
          <cell r="CR88">
            <v>0</v>
          </cell>
          <cell r="CS88">
            <v>0</v>
          </cell>
          <cell r="CT88">
            <v>0</v>
          </cell>
          <cell r="CU88">
            <v>0</v>
          </cell>
          <cell r="CV88">
            <v>0</v>
          </cell>
          <cell r="CW88">
            <v>0</v>
          </cell>
          <cell r="CX88">
            <v>0</v>
          </cell>
          <cell r="CY88">
            <v>0</v>
          </cell>
          <cell r="CZ88">
            <v>0</v>
          </cell>
          <cell r="DA88">
            <v>0</v>
          </cell>
          <cell r="DB88">
            <v>0</v>
          </cell>
          <cell r="DC88">
            <v>0</v>
          </cell>
          <cell r="DD88">
            <v>0</v>
          </cell>
          <cell r="DE88">
            <v>0</v>
          </cell>
          <cell r="DF88">
            <v>0</v>
          </cell>
          <cell r="DG88">
            <v>0</v>
          </cell>
          <cell r="DH88">
            <v>0</v>
          </cell>
          <cell r="DI88">
            <v>0</v>
          </cell>
          <cell r="DJ88">
            <v>0</v>
          </cell>
          <cell r="DK88">
            <v>0</v>
          </cell>
          <cell r="DL88">
            <v>0</v>
          </cell>
          <cell r="DM88">
            <v>0</v>
          </cell>
          <cell r="DN88">
            <v>0</v>
          </cell>
          <cell r="DO88">
            <v>0</v>
          </cell>
          <cell r="DP88">
            <v>0</v>
          </cell>
          <cell r="DQ88">
            <v>0</v>
          </cell>
          <cell r="DR88">
            <v>0</v>
          </cell>
          <cell r="DS88">
            <v>0</v>
          </cell>
          <cell r="DT88">
            <v>0</v>
          </cell>
          <cell r="DU88">
            <v>0</v>
          </cell>
          <cell r="DV88">
            <v>0</v>
          </cell>
          <cell r="DW88">
            <v>0</v>
          </cell>
          <cell r="DX88">
            <v>0</v>
          </cell>
          <cell r="DY88">
            <v>0</v>
          </cell>
          <cell r="EA88">
            <v>0</v>
          </cell>
          <cell r="EB88">
            <v>0</v>
          </cell>
          <cell r="EC88">
            <v>0</v>
          </cell>
          <cell r="ED88">
            <v>0.05</v>
          </cell>
          <cell r="EE88">
            <v>0.09</v>
          </cell>
          <cell r="EF88">
            <v>0.08</v>
          </cell>
          <cell r="EG88">
            <v>0.17</v>
          </cell>
          <cell r="EH88">
            <v>1</v>
          </cell>
          <cell r="EI88">
            <v>1</v>
          </cell>
          <cell r="EJ88">
            <v>1</v>
          </cell>
          <cell r="EK88">
            <v>1</v>
          </cell>
          <cell r="EL88">
            <v>0.05</v>
          </cell>
          <cell r="EM88">
            <v>0.14000000000000001</v>
          </cell>
          <cell r="EN88">
            <v>0.11</v>
          </cell>
          <cell r="EO88">
            <v>0.2</v>
          </cell>
          <cell r="EP88">
            <v>0</v>
          </cell>
          <cell r="EQ88">
            <v>0</v>
          </cell>
          <cell r="ER88">
            <v>0</v>
          </cell>
          <cell r="ES88">
            <v>0</v>
          </cell>
          <cell r="ET88">
            <v>0</v>
          </cell>
          <cell r="EU88">
            <v>0</v>
          </cell>
          <cell r="EV88">
            <v>0</v>
          </cell>
          <cell r="EW88">
            <v>0</v>
          </cell>
          <cell r="EX88">
            <v>1</v>
          </cell>
          <cell r="EY88">
            <v>1</v>
          </cell>
          <cell r="EZ88">
            <v>1</v>
          </cell>
          <cell r="FA88">
            <v>0</v>
          </cell>
          <cell r="FB88">
            <v>0</v>
          </cell>
          <cell r="FC88">
            <v>0</v>
          </cell>
          <cell r="FD88">
            <v>0</v>
          </cell>
          <cell r="FE88">
            <v>0</v>
          </cell>
          <cell r="FF88">
            <v>0</v>
          </cell>
          <cell r="FG88">
            <v>0</v>
          </cell>
          <cell r="FH88">
            <v>0</v>
          </cell>
          <cell r="FI88">
            <v>0</v>
          </cell>
          <cell r="FJ88">
            <v>0</v>
          </cell>
          <cell r="FK88">
            <v>0</v>
          </cell>
          <cell r="FL88">
            <v>0</v>
          </cell>
          <cell r="FM88">
            <v>0</v>
          </cell>
          <cell r="FN88">
            <v>0</v>
          </cell>
          <cell r="FO88">
            <v>0</v>
          </cell>
          <cell r="FP88">
            <v>0</v>
          </cell>
          <cell r="FQ88">
            <v>0</v>
          </cell>
          <cell r="FR88">
            <v>0</v>
          </cell>
          <cell r="FS88">
            <v>0</v>
          </cell>
          <cell r="FT88">
            <v>0</v>
          </cell>
          <cell r="FU88">
            <v>0</v>
          </cell>
          <cell r="FV88">
            <v>0</v>
          </cell>
          <cell r="FW88">
            <v>0</v>
          </cell>
          <cell r="FX88">
            <v>0</v>
          </cell>
          <cell r="FY88">
            <v>0</v>
          </cell>
          <cell r="FZ88">
            <v>0</v>
          </cell>
        </row>
        <row r="89">
          <cell r="A89" t="str">
            <v>F_CNP_RFF_RET_COL_FRCE_211</v>
          </cell>
          <cell r="B89">
            <v>0.1</v>
          </cell>
          <cell r="C89">
            <v>0.08</v>
          </cell>
          <cell r="D89">
            <v>0.15</v>
          </cell>
          <cell r="E89">
            <v>0.08</v>
          </cell>
          <cell r="F89">
            <v>0.15</v>
          </cell>
          <cell r="G89">
            <v>0.22</v>
          </cell>
          <cell r="H89">
            <v>7.0000000000000007E-2</v>
          </cell>
          <cell r="I89">
            <v>0.05</v>
          </cell>
          <cell r="J89">
            <v>0.13</v>
          </cell>
          <cell r="K89">
            <v>0.18</v>
          </cell>
          <cell r="L89">
            <v>0.17</v>
          </cell>
          <cell r="M89">
            <v>0.16</v>
          </cell>
          <cell r="N89">
            <v>0.8</v>
          </cell>
          <cell r="O89">
            <v>1</v>
          </cell>
          <cell r="P89">
            <v>1</v>
          </cell>
          <cell r="Q89">
            <v>0.8</v>
          </cell>
          <cell r="R89">
            <v>0.8</v>
          </cell>
          <cell r="S89">
            <v>1</v>
          </cell>
          <cell r="T89">
            <v>1</v>
          </cell>
          <cell r="U89">
            <v>1</v>
          </cell>
          <cell r="V89">
            <v>1</v>
          </cell>
          <cell r="W89">
            <v>1</v>
          </cell>
          <cell r="X89">
            <v>1</v>
          </cell>
          <cell r="Y89">
            <v>1</v>
          </cell>
          <cell r="Z89">
            <v>0.1</v>
          </cell>
          <cell r="AA89">
            <v>0.1</v>
          </cell>
          <cell r="AB89">
            <v>0.14000000000000001</v>
          </cell>
          <cell r="AC89">
            <v>0.11</v>
          </cell>
          <cell r="AD89">
            <v>0.11</v>
          </cell>
          <cell r="AE89">
            <v>0.19</v>
          </cell>
          <cell r="AF89">
            <v>0.09</v>
          </cell>
          <cell r="AG89">
            <v>0.11</v>
          </cell>
          <cell r="AH89">
            <v>0.15</v>
          </cell>
          <cell r="AI89">
            <v>0.2</v>
          </cell>
          <cell r="AJ89">
            <v>0.2</v>
          </cell>
          <cell r="AK89">
            <v>0.2</v>
          </cell>
          <cell r="AL89">
            <v>0</v>
          </cell>
          <cell r="AM89">
            <v>0</v>
          </cell>
          <cell r="AN89">
            <v>0</v>
          </cell>
          <cell r="AO89">
            <v>0</v>
          </cell>
          <cell r="AP89">
            <v>0</v>
          </cell>
          <cell r="AQ89">
            <v>0</v>
          </cell>
          <cell r="AR89">
            <v>0</v>
          </cell>
          <cell r="AS89">
            <v>0</v>
          </cell>
          <cell r="AT89">
            <v>0</v>
          </cell>
          <cell r="AU89">
            <v>0</v>
          </cell>
          <cell r="AV89">
            <v>0</v>
          </cell>
          <cell r="AW89">
            <v>0</v>
          </cell>
          <cell r="AX89">
            <v>0</v>
          </cell>
          <cell r="AY89">
            <v>0</v>
          </cell>
          <cell r="AZ89">
            <v>0</v>
          </cell>
          <cell r="BA89">
            <v>0</v>
          </cell>
          <cell r="BB89">
            <v>0</v>
          </cell>
          <cell r="BC89">
            <v>0</v>
          </cell>
          <cell r="BD89">
            <v>0</v>
          </cell>
          <cell r="BE89">
            <v>0</v>
          </cell>
          <cell r="BF89">
            <v>0</v>
          </cell>
          <cell r="BG89">
            <v>0</v>
          </cell>
          <cell r="BH89">
            <v>0</v>
          </cell>
          <cell r="BI89">
            <v>0</v>
          </cell>
          <cell r="BJ89">
            <v>0</v>
          </cell>
          <cell r="BK89">
            <v>0</v>
          </cell>
          <cell r="BL89">
            <v>0</v>
          </cell>
          <cell r="BM89">
            <v>0</v>
          </cell>
          <cell r="BN89">
            <v>0</v>
          </cell>
          <cell r="BO89">
            <v>0</v>
          </cell>
          <cell r="BP89">
            <v>0</v>
          </cell>
          <cell r="BQ89">
            <v>0</v>
          </cell>
          <cell r="BR89">
            <v>0</v>
          </cell>
          <cell r="BS89">
            <v>0</v>
          </cell>
          <cell r="BT89">
            <v>0</v>
          </cell>
          <cell r="BU89">
            <v>0</v>
          </cell>
          <cell r="BV89">
            <v>0</v>
          </cell>
          <cell r="BW89">
            <v>0</v>
          </cell>
          <cell r="BX89">
            <v>0</v>
          </cell>
          <cell r="BY89">
            <v>0</v>
          </cell>
          <cell r="BZ89">
            <v>0</v>
          </cell>
          <cell r="CA89">
            <v>0</v>
          </cell>
          <cell r="CB89">
            <v>0</v>
          </cell>
          <cell r="CC89">
            <v>0</v>
          </cell>
          <cell r="CD89">
            <v>0</v>
          </cell>
          <cell r="CE89">
            <v>0</v>
          </cell>
          <cell r="CF89">
            <v>0</v>
          </cell>
          <cell r="CG89">
            <v>0</v>
          </cell>
          <cell r="CH89">
            <v>0</v>
          </cell>
          <cell r="CI89">
            <v>0</v>
          </cell>
          <cell r="CJ89">
            <v>0</v>
          </cell>
          <cell r="CK89">
            <v>0</v>
          </cell>
          <cell r="CL89">
            <v>0</v>
          </cell>
          <cell r="CM89">
            <v>0</v>
          </cell>
          <cell r="CN89">
            <v>0</v>
          </cell>
          <cell r="CO89">
            <v>0</v>
          </cell>
          <cell r="CP89">
            <v>0</v>
          </cell>
          <cell r="CQ89">
            <v>0</v>
          </cell>
          <cell r="CR89">
            <v>0</v>
          </cell>
          <cell r="CS89">
            <v>0</v>
          </cell>
          <cell r="CT89">
            <v>0</v>
          </cell>
          <cell r="CU89">
            <v>0</v>
          </cell>
          <cell r="CV89">
            <v>0</v>
          </cell>
          <cell r="CW89">
            <v>0</v>
          </cell>
          <cell r="CX89">
            <v>0</v>
          </cell>
          <cell r="CY89">
            <v>0</v>
          </cell>
          <cell r="CZ89">
            <v>0</v>
          </cell>
          <cell r="DA89">
            <v>0</v>
          </cell>
          <cell r="DB89">
            <v>0</v>
          </cell>
          <cell r="DC89">
            <v>0</v>
          </cell>
          <cell r="DD89">
            <v>0</v>
          </cell>
          <cell r="DE89">
            <v>0</v>
          </cell>
          <cell r="DF89">
            <v>0</v>
          </cell>
          <cell r="DG89">
            <v>0</v>
          </cell>
          <cell r="DH89">
            <v>0</v>
          </cell>
          <cell r="DI89">
            <v>0</v>
          </cell>
          <cell r="DJ89">
            <v>0</v>
          </cell>
          <cell r="DK89">
            <v>0</v>
          </cell>
          <cell r="DL89">
            <v>0</v>
          </cell>
          <cell r="DM89">
            <v>0</v>
          </cell>
          <cell r="DN89">
            <v>0</v>
          </cell>
          <cell r="DO89">
            <v>0</v>
          </cell>
          <cell r="DP89">
            <v>0</v>
          </cell>
          <cell r="DQ89">
            <v>0</v>
          </cell>
          <cell r="DR89">
            <v>0</v>
          </cell>
          <cell r="DS89">
            <v>0</v>
          </cell>
          <cell r="DT89">
            <v>0</v>
          </cell>
          <cell r="DU89">
            <v>0</v>
          </cell>
          <cell r="DV89">
            <v>0</v>
          </cell>
          <cell r="DW89">
            <v>0</v>
          </cell>
          <cell r="DX89">
            <v>0</v>
          </cell>
          <cell r="DY89">
            <v>0</v>
          </cell>
          <cell r="EA89">
            <v>0</v>
          </cell>
          <cell r="EB89">
            <v>0</v>
          </cell>
          <cell r="EC89">
            <v>0</v>
          </cell>
          <cell r="ED89">
            <v>0.05</v>
          </cell>
          <cell r="EE89">
            <v>0.09</v>
          </cell>
          <cell r="EF89">
            <v>0.08</v>
          </cell>
          <cell r="EG89">
            <v>0.17</v>
          </cell>
          <cell r="EH89">
            <v>1</v>
          </cell>
          <cell r="EI89">
            <v>1</v>
          </cell>
          <cell r="EJ89">
            <v>1</v>
          </cell>
          <cell r="EK89">
            <v>1</v>
          </cell>
          <cell r="EL89">
            <v>0.05</v>
          </cell>
          <cell r="EM89">
            <v>0.14000000000000001</v>
          </cell>
          <cell r="EN89">
            <v>0.11</v>
          </cell>
          <cell r="EO89">
            <v>0.2</v>
          </cell>
          <cell r="EP89">
            <v>0</v>
          </cell>
          <cell r="EQ89">
            <v>0</v>
          </cell>
          <cell r="ER89">
            <v>0</v>
          </cell>
          <cell r="ES89">
            <v>0</v>
          </cell>
          <cell r="ET89">
            <v>0</v>
          </cell>
          <cell r="EU89">
            <v>0</v>
          </cell>
          <cell r="EV89">
            <v>0</v>
          </cell>
          <cell r="EW89">
            <v>0</v>
          </cell>
          <cell r="EX89">
            <v>1</v>
          </cell>
          <cell r="EY89">
            <v>1</v>
          </cell>
          <cell r="EZ89">
            <v>1</v>
          </cell>
          <cell r="FA89">
            <v>0</v>
          </cell>
          <cell r="FB89">
            <v>0</v>
          </cell>
          <cell r="FC89">
            <v>0</v>
          </cell>
          <cell r="FD89">
            <v>0</v>
          </cell>
          <cell r="FE89">
            <v>0</v>
          </cell>
          <cell r="FF89">
            <v>0</v>
          </cell>
          <cell r="FG89">
            <v>0</v>
          </cell>
          <cell r="FH89">
            <v>0</v>
          </cell>
          <cell r="FI89">
            <v>0</v>
          </cell>
          <cell r="FJ89">
            <v>0</v>
          </cell>
          <cell r="FK89">
            <v>0</v>
          </cell>
          <cell r="FL89">
            <v>0</v>
          </cell>
          <cell r="FM89">
            <v>0</v>
          </cell>
          <cell r="FN89">
            <v>0</v>
          </cell>
          <cell r="FO89">
            <v>0</v>
          </cell>
          <cell r="FP89">
            <v>0</v>
          </cell>
          <cell r="FQ89">
            <v>0</v>
          </cell>
          <cell r="FR89">
            <v>0</v>
          </cell>
          <cell r="FS89">
            <v>0</v>
          </cell>
          <cell r="FT89">
            <v>0</v>
          </cell>
          <cell r="FU89">
            <v>0</v>
          </cell>
          <cell r="FV89">
            <v>0</v>
          </cell>
          <cell r="FW89">
            <v>0</v>
          </cell>
          <cell r="FX89">
            <v>0</v>
          </cell>
          <cell r="FY89">
            <v>0</v>
          </cell>
          <cell r="FZ89">
            <v>0</v>
          </cell>
        </row>
        <row r="90">
          <cell r="A90" t="str">
            <v>F_CNP_RFF_RET_COL_FRCE_040</v>
          </cell>
          <cell r="B90">
            <v>0.1</v>
          </cell>
          <cell r="C90">
            <v>0.08</v>
          </cell>
          <cell r="D90">
            <v>0.15</v>
          </cell>
          <cell r="E90">
            <v>0.08</v>
          </cell>
          <cell r="F90">
            <v>0.15</v>
          </cell>
          <cell r="G90">
            <v>0.22</v>
          </cell>
          <cell r="H90">
            <v>7.0000000000000007E-2</v>
          </cell>
          <cell r="I90">
            <v>0.05</v>
          </cell>
          <cell r="J90">
            <v>0.13</v>
          </cell>
          <cell r="K90">
            <v>0.18</v>
          </cell>
          <cell r="L90">
            <v>0.17</v>
          </cell>
          <cell r="M90">
            <v>0.16</v>
          </cell>
          <cell r="N90">
            <v>0.8</v>
          </cell>
          <cell r="O90">
            <v>1</v>
          </cell>
          <cell r="P90">
            <v>1</v>
          </cell>
          <cell r="Q90">
            <v>0.8</v>
          </cell>
          <cell r="R90">
            <v>0.8</v>
          </cell>
          <cell r="S90">
            <v>1</v>
          </cell>
          <cell r="T90">
            <v>1</v>
          </cell>
          <cell r="U90">
            <v>1</v>
          </cell>
          <cell r="V90">
            <v>1</v>
          </cell>
          <cell r="W90">
            <v>1</v>
          </cell>
          <cell r="X90">
            <v>1</v>
          </cell>
          <cell r="Y90">
            <v>1</v>
          </cell>
          <cell r="Z90">
            <v>0.1</v>
          </cell>
          <cell r="AA90">
            <v>0.1</v>
          </cell>
          <cell r="AB90">
            <v>0.14000000000000001</v>
          </cell>
          <cell r="AC90">
            <v>0.11</v>
          </cell>
          <cell r="AD90">
            <v>0.11</v>
          </cell>
          <cell r="AE90">
            <v>0.19</v>
          </cell>
          <cell r="AF90">
            <v>0.09</v>
          </cell>
          <cell r="AG90">
            <v>0.11</v>
          </cell>
          <cell r="AH90">
            <v>0.15</v>
          </cell>
          <cell r="AI90">
            <v>0.2</v>
          </cell>
          <cell r="AJ90">
            <v>0.2</v>
          </cell>
          <cell r="AK90">
            <v>0.2</v>
          </cell>
          <cell r="AL90">
            <v>0</v>
          </cell>
          <cell r="AM90">
            <v>0</v>
          </cell>
          <cell r="AN90">
            <v>0</v>
          </cell>
          <cell r="AO90">
            <v>0</v>
          </cell>
          <cell r="AP90">
            <v>0</v>
          </cell>
          <cell r="AQ90">
            <v>0</v>
          </cell>
          <cell r="AR90">
            <v>0</v>
          </cell>
          <cell r="AS90">
            <v>0</v>
          </cell>
          <cell r="AT90">
            <v>0</v>
          </cell>
          <cell r="AU90">
            <v>0</v>
          </cell>
          <cell r="AV90">
            <v>0</v>
          </cell>
          <cell r="AW90">
            <v>0</v>
          </cell>
          <cell r="AX90">
            <v>0</v>
          </cell>
          <cell r="AY90">
            <v>0</v>
          </cell>
          <cell r="AZ90">
            <v>0</v>
          </cell>
          <cell r="BA90">
            <v>0</v>
          </cell>
          <cell r="BB90">
            <v>0</v>
          </cell>
          <cell r="BC90">
            <v>0</v>
          </cell>
          <cell r="BD90">
            <v>0</v>
          </cell>
          <cell r="BE90">
            <v>0</v>
          </cell>
          <cell r="BF90">
            <v>0</v>
          </cell>
          <cell r="BG90">
            <v>0</v>
          </cell>
          <cell r="BH90">
            <v>0</v>
          </cell>
          <cell r="BI90">
            <v>0</v>
          </cell>
          <cell r="BJ90">
            <v>0</v>
          </cell>
          <cell r="BK90">
            <v>0</v>
          </cell>
          <cell r="BL90">
            <v>0</v>
          </cell>
          <cell r="BM90">
            <v>0</v>
          </cell>
          <cell r="BN90">
            <v>0</v>
          </cell>
          <cell r="BO90">
            <v>0</v>
          </cell>
          <cell r="BP90">
            <v>0</v>
          </cell>
          <cell r="BQ90">
            <v>0</v>
          </cell>
          <cell r="BR90">
            <v>0</v>
          </cell>
          <cell r="BS90">
            <v>0</v>
          </cell>
          <cell r="BT90">
            <v>0</v>
          </cell>
          <cell r="BU90">
            <v>0</v>
          </cell>
          <cell r="BV90">
            <v>0</v>
          </cell>
          <cell r="BW90">
            <v>0</v>
          </cell>
          <cell r="BX90">
            <v>0</v>
          </cell>
          <cell r="BY90">
            <v>0</v>
          </cell>
          <cell r="BZ90">
            <v>0</v>
          </cell>
          <cell r="CA90">
            <v>0</v>
          </cell>
          <cell r="CB90">
            <v>0</v>
          </cell>
          <cell r="CC90">
            <v>0</v>
          </cell>
          <cell r="CD90">
            <v>0</v>
          </cell>
          <cell r="CE90">
            <v>0</v>
          </cell>
          <cell r="CF90">
            <v>0</v>
          </cell>
          <cell r="CG90">
            <v>0</v>
          </cell>
          <cell r="CH90">
            <v>0</v>
          </cell>
          <cell r="CI90">
            <v>0</v>
          </cell>
          <cell r="CJ90">
            <v>0</v>
          </cell>
          <cell r="CK90">
            <v>0</v>
          </cell>
          <cell r="CL90">
            <v>0</v>
          </cell>
          <cell r="CM90">
            <v>0</v>
          </cell>
          <cell r="CN90">
            <v>0</v>
          </cell>
          <cell r="CO90">
            <v>0</v>
          </cell>
          <cell r="CP90">
            <v>0</v>
          </cell>
          <cell r="CQ90">
            <v>0</v>
          </cell>
          <cell r="CR90">
            <v>0</v>
          </cell>
          <cell r="CS90">
            <v>0</v>
          </cell>
          <cell r="CT90">
            <v>0</v>
          </cell>
          <cell r="CU90">
            <v>0</v>
          </cell>
          <cell r="CV90">
            <v>0</v>
          </cell>
          <cell r="CW90">
            <v>0</v>
          </cell>
          <cell r="CX90">
            <v>0</v>
          </cell>
          <cell r="CY90">
            <v>0</v>
          </cell>
          <cell r="CZ90">
            <v>0</v>
          </cell>
          <cell r="DA90">
            <v>0</v>
          </cell>
          <cell r="DB90">
            <v>0</v>
          </cell>
          <cell r="DC90">
            <v>0</v>
          </cell>
          <cell r="DD90">
            <v>0</v>
          </cell>
          <cell r="DE90">
            <v>0</v>
          </cell>
          <cell r="DF90">
            <v>0</v>
          </cell>
          <cell r="DG90">
            <v>0</v>
          </cell>
          <cell r="DH90">
            <v>0</v>
          </cell>
          <cell r="DI90">
            <v>0</v>
          </cell>
          <cell r="DJ90">
            <v>0</v>
          </cell>
          <cell r="DK90">
            <v>0</v>
          </cell>
          <cell r="DL90">
            <v>0</v>
          </cell>
          <cell r="DM90">
            <v>0</v>
          </cell>
          <cell r="DN90">
            <v>0</v>
          </cell>
          <cell r="DO90">
            <v>0</v>
          </cell>
          <cell r="DP90">
            <v>0</v>
          </cell>
          <cell r="DQ90">
            <v>0</v>
          </cell>
          <cell r="DR90">
            <v>0</v>
          </cell>
          <cell r="DS90">
            <v>0</v>
          </cell>
          <cell r="DT90">
            <v>0</v>
          </cell>
          <cell r="DU90">
            <v>0</v>
          </cell>
          <cell r="DV90">
            <v>0</v>
          </cell>
          <cell r="DW90">
            <v>0</v>
          </cell>
          <cell r="DX90">
            <v>0</v>
          </cell>
          <cell r="DY90">
            <v>0</v>
          </cell>
          <cell r="EA90">
            <v>0</v>
          </cell>
          <cell r="EB90">
            <v>0</v>
          </cell>
          <cell r="EC90">
            <v>0</v>
          </cell>
          <cell r="ED90">
            <v>0.05</v>
          </cell>
          <cell r="EE90">
            <v>0.09</v>
          </cell>
          <cell r="EF90">
            <v>0.08</v>
          </cell>
          <cell r="EG90">
            <v>0.17</v>
          </cell>
          <cell r="EH90">
            <v>1</v>
          </cell>
          <cell r="EI90">
            <v>1</v>
          </cell>
          <cell r="EJ90">
            <v>1</v>
          </cell>
          <cell r="EK90">
            <v>1</v>
          </cell>
          <cell r="EL90">
            <v>0.05</v>
          </cell>
          <cell r="EM90">
            <v>0.14000000000000001</v>
          </cell>
          <cell r="EN90">
            <v>0.11</v>
          </cell>
          <cell r="EO90">
            <v>0.2</v>
          </cell>
          <cell r="EP90">
            <v>0</v>
          </cell>
          <cell r="EQ90">
            <v>0</v>
          </cell>
          <cell r="ER90">
            <v>0</v>
          </cell>
          <cell r="ES90">
            <v>0</v>
          </cell>
          <cell r="ET90">
            <v>0</v>
          </cell>
          <cell r="EU90">
            <v>0</v>
          </cell>
          <cell r="EV90">
            <v>0</v>
          </cell>
          <cell r="EW90">
            <v>0</v>
          </cell>
          <cell r="EX90">
            <v>1</v>
          </cell>
          <cell r="EY90">
            <v>1</v>
          </cell>
          <cell r="EZ90">
            <v>1</v>
          </cell>
          <cell r="FA90">
            <v>0</v>
          </cell>
          <cell r="FB90">
            <v>0</v>
          </cell>
          <cell r="FC90">
            <v>0</v>
          </cell>
          <cell r="FD90">
            <v>0</v>
          </cell>
          <cell r="FE90">
            <v>0</v>
          </cell>
          <cell r="FF90">
            <v>0</v>
          </cell>
          <cell r="FG90">
            <v>0</v>
          </cell>
          <cell r="FH90">
            <v>0</v>
          </cell>
          <cell r="FI90">
            <v>0</v>
          </cell>
          <cell r="FJ90">
            <v>0</v>
          </cell>
          <cell r="FK90">
            <v>0</v>
          </cell>
          <cell r="FL90">
            <v>0</v>
          </cell>
          <cell r="FM90">
            <v>0</v>
          </cell>
          <cell r="FN90">
            <v>0</v>
          </cell>
          <cell r="FO90">
            <v>0</v>
          </cell>
          <cell r="FP90">
            <v>0</v>
          </cell>
          <cell r="FQ90">
            <v>0</v>
          </cell>
          <cell r="FR90">
            <v>0</v>
          </cell>
          <cell r="FS90">
            <v>0</v>
          </cell>
          <cell r="FT90">
            <v>0</v>
          </cell>
          <cell r="FU90">
            <v>0</v>
          </cell>
          <cell r="FV90">
            <v>0</v>
          </cell>
          <cell r="FW90">
            <v>0</v>
          </cell>
          <cell r="FX90">
            <v>0</v>
          </cell>
          <cell r="FY90">
            <v>0</v>
          </cell>
          <cell r="FZ90">
            <v>0</v>
          </cell>
        </row>
        <row r="91">
          <cell r="A91" t="str">
            <v>F_CNP_RFF_RET_COL_FRCE_048</v>
          </cell>
          <cell r="B91">
            <v>0.1</v>
          </cell>
          <cell r="C91">
            <v>0.08</v>
          </cell>
          <cell r="D91">
            <v>0.15</v>
          </cell>
          <cell r="E91">
            <v>0.08</v>
          </cell>
          <cell r="F91">
            <v>0.15</v>
          </cell>
          <cell r="G91">
            <v>0.22</v>
          </cell>
          <cell r="H91">
            <v>7.0000000000000007E-2</v>
          </cell>
          <cell r="I91">
            <v>0.05</v>
          </cell>
          <cell r="J91">
            <v>0.13</v>
          </cell>
          <cell r="K91">
            <v>0.18</v>
          </cell>
          <cell r="L91">
            <v>0.17</v>
          </cell>
          <cell r="M91">
            <v>0.16</v>
          </cell>
          <cell r="N91">
            <v>0.8</v>
          </cell>
          <cell r="O91">
            <v>1</v>
          </cell>
          <cell r="P91">
            <v>1</v>
          </cell>
          <cell r="Q91">
            <v>0.8</v>
          </cell>
          <cell r="R91">
            <v>0.8</v>
          </cell>
          <cell r="S91">
            <v>1</v>
          </cell>
          <cell r="T91">
            <v>1</v>
          </cell>
          <cell r="U91">
            <v>1</v>
          </cell>
          <cell r="V91">
            <v>1</v>
          </cell>
          <cell r="W91">
            <v>1</v>
          </cell>
          <cell r="X91">
            <v>1</v>
          </cell>
          <cell r="Y91">
            <v>1</v>
          </cell>
          <cell r="Z91">
            <v>0.1</v>
          </cell>
          <cell r="AA91">
            <v>0.1</v>
          </cell>
          <cell r="AB91">
            <v>0.14000000000000001</v>
          </cell>
          <cell r="AC91">
            <v>0.11</v>
          </cell>
          <cell r="AD91">
            <v>0.11</v>
          </cell>
          <cell r="AE91">
            <v>0.19</v>
          </cell>
          <cell r="AF91">
            <v>0.09</v>
          </cell>
          <cell r="AG91">
            <v>0.11</v>
          </cell>
          <cell r="AH91">
            <v>0.15</v>
          </cell>
          <cell r="AI91">
            <v>0.2</v>
          </cell>
          <cell r="AJ91">
            <v>0.2</v>
          </cell>
          <cell r="AK91">
            <v>0.2</v>
          </cell>
          <cell r="AL91">
            <v>0</v>
          </cell>
          <cell r="AM91">
            <v>0</v>
          </cell>
          <cell r="AN91">
            <v>0</v>
          </cell>
          <cell r="AO91">
            <v>0</v>
          </cell>
          <cell r="AP91">
            <v>0</v>
          </cell>
          <cell r="AQ91">
            <v>0</v>
          </cell>
          <cell r="AR91">
            <v>0</v>
          </cell>
          <cell r="AS91">
            <v>0</v>
          </cell>
          <cell r="AT91">
            <v>0</v>
          </cell>
          <cell r="AU91">
            <v>0</v>
          </cell>
          <cell r="AV91">
            <v>0</v>
          </cell>
          <cell r="AW91">
            <v>0</v>
          </cell>
          <cell r="AX91">
            <v>0</v>
          </cell>
          <cell r="AY91">
            <v>0</v>
          </cell>
          <cell r="AZ91">
            <v>0</v>
          </cell>
          <cell r="BA91">
            <v>0</v>
          </cell>
          <cell r="BB91">
            <v>0</v>
          </cell>
          <cell r="BC91">
            <v>0</v>
          </cell>
          <cell r="BD91">
            <v>0</v>
          </cell>
          <cell r="BE91">
            <v>0</v>
          </cell>
          <cell r="BF91">
            <v>0</v>
          </cell>
          <cell r="BG91">
            <v>0</v>
          </cell>
          <cell r="BH91">
            <v>0</v>
          </cell>
          <cell r="BI91">
            <v>0</v>
          </cell>
          <cell r="BJ91">
            <v>0</v>
          </cell>
          <cell r="BK91">
            <v>0</v>
          </cell>
          <cell r="BL91">
            <v>0</v>
          </cell>
          <cell r="BM91">
            <v>0</v>
          </cell>
          <cell r="BN91">
            <v>0</v>
          </cell>
          <cell r="BO91">
            <v>0</v>
          </cell>
          <cell r="BP91">
            <v>0</v>
          </cell>
          <cell r="BQ91">
            <v>0</v>
          </cell>
          <cell r="BR91">
            <v>0</v>
          </cell>
          <cell r="BS91">
            <v>0</v>
          </cell>
          <cell r="BT91">
            <v>0</v>
          </cell>
          <cell r="BU91">
            <v>0</v>
          </cell>
          <cell r="BV91">
            <v>0</v>
          </cell>
          <cell r="BW91">
            <v>0</v>
          </cell>
          <cell r="BX91">
            <v>0</v>
          </cell>
          <cell r="BY91">
            <v>0</v>
          </cell>
          <cell r="BZ91">
            <v>0</v>
          </cell>
          <cell r="CA91">
            <v>0</v>
          </cell>
          <cell r="CB91">
            <v>0</v>
          </cell>
          <cell r="CC91">
            <v>0</v>
          </cell>
          <cell r="CD91">
            <v>0</v>
          </cell>
          <cell r="CE91">
            <v>0</v>
          </cell>
          <cell r="CF91">
            <v>0</v>
          </cell>
          <cell r="CG91">
            <v>0</v>
          </cell>
          <cell r="CH91">
            <v>0</v>
          </cell>
          <cell r="CI91">
            <v>0</v>
          </cell>
          <cell r="CJ91">
            <v>0</v>
          </cell>
          <cell r="CK91">
            <v>0</v>
          </cell>
          <cell r="CL91">
            <v>0</v>
          </cell>
          <cell r="CM91">
            <v>0</v>
          </cell>
          <cell r="CN91">
            <v>0</v>
          </cell>
          <cell r="CO91">
            <v>0</v>
          </cell>
          <cell r="CP91">
            <v>0</v>
          </cell>
          <cell r="CQ91">
            <v>0</v>
          </cell>
          <cell r="CR91">
            <v>0</v>
          </cell>
          <cell r="CS91">
            <v>0</v>
          </cell>
          <cell r="CT91">
            <v>0</v>
          </cell>
          <cell r="CU91">
            <v>0</v>
          </cell>
          <cell r="CV91">
            <v>0</v>
          </cell>
          <cell r="CW91">
            <v>0</v>
          </cell>
          <cell r="CX91">
            <v>0</v>
          </cell>
          <cell r="CY91">
            <v>0</v>
          </cell>
          <cell r="CZ91">
            <v>0</v>
          </cell>
          <cell r="DA91">
            <v>0</v>
          </cell>
          <cell r="DB91">
            <v>0</v>
          </cell>
          <cell r="DC91">
            <v>0</v>
          </cell>
          <cell r="DD91">
            <v>0</v>
          </cell>
          <cell r="DE91">
            <v>0</v>
          </cell>
          <cell r="DF91">
            <v>0</v>
          </cell>
          <cell r="DG91">
            <v>0</v>
          </cell>
          <cell r="DH91">
            <v>0</v>
          </cell>
          <cell r="DI91">
            <v>0</v>
          </cell>
          <cell r="DJ91">
            <v>0</v>
          </cell>
          <cell r="DK91">
            <v>0</v>
          </cell>
          <cell r="DL91">
            <v>0</v>
          </cell>
          <cell r="DM91">
            <v>0</v>
          </cell>
          <cell r="DN91">
            <v>0</v>
          </cell>
          <cell r="DO91">
            <v>0</v>
          </cell>
          <cell r="DP91">
            <v>0</v>
          </cell>
          <cell r="DQ91">
            <v>0</v>
          </cell>
          <cell r="DR91">
            <v>0</v>
          </cell>
          <cell r="DS91">
            <v>0</v>
          </cell>
          <cell r="DT91">
            <v>0</v>
          </cell>
          <cell r="DU91">
            <v>0</v>
          </cell>
          <cell r="DV91">
            <v>0</v>
          </cell>
          <cell r="DW91">
            <v>0</v>
          </cell>
          <cell r="DX91">
            <v>0</v>
          </cell>
          <cell r="DY91">
            <v>0</v>
          </cell>
          <cell r="EA91">
            <v>0</v>
          </cell>
          <cell r="EB91">
            <v>0</v>
          </cell>
          <cell r="EC91">
            <v>0</v>
          </cell>
          <cell r="ED91">
            <v>0.05</v>
          </cell>
          <cell r="EE91">
            <v>0.09</v>
          </cell>
          <cell r="EF91">
            <v>0.08</v>
          </cell>
          <cell r="EG91">
            <v>0.17</v>
          </cell>
          <cell r="EH91">
            <v>1</v>
          </cell>
          <cell r="EI91">
            <v>1</v>
          </cell>
          <cell r="EJ91">
            <v>1</v>
          </cell>
          <cell r="EK91">
            <v>1</v>
          </cell>
          <cell r="EL91">
            <v>0.05</v>
          </cell>
          <cell r="EM91">
            <v>0.14000000000000001</v>
          </cell>
          <cell r="EN91">
            <v>0.11</v>
          </cell>
          <cell r="EO91">
            <v>0.2</v>
          </cell>
          <cell r="EP91">
            <v>0</v>
          </cell>
          <cell r="EQ91">
            <v>0</v>
          </cell>
          <cell r="ER91">
            <v>0</v>
          </cell>
          <cell r="ES91">
            <v>0</v>
          </cell>
          <cell r="ET91">
            <v>0</v>
          </cell>
          <cell r="EU91">
            <v>0</v>
          </cell>
          <cell r="EV91">
            <v>0</v>
          </cell>
          <cell r="EW91">
            <v>0</v>
          </cell>
          <cell r="EX91">
            <v>1</v>
          </cell>
          <cell r="EY91">
            <v>1</v>
          </cell>
          <cell r="EZ91">
            <v>1</v>
          </cell>
          <cell r="FA91">
            <v>0</v>
          </cell>
          <cell r="FB91">
            <v>0</v>
          </cell>
          <cell r="FC91">
            <v>0</v>
          </cell>
          <cell r="FD91">
            <v>0</v>
          </cell>
          <cell r="FE91">
            <v>0</v>
          </cell>
          <cell r="FF91">
            <v>0</v>
          </cell>
          <cell r="FG91">
            <v>0</v>
          </cell>
          <cell r="FH91">
            <v>0</v>
          </cell>
          <cell r="FI91">
            <v>0</v>
          </cell>
          <cell r="FJ91">
            <v>0</v>
          </cell>
          <cell r="FK91">
            <v>0</v>
          </cell>
          <cell r="FL91">
            <v>0</v>
          </cell>
          <cell r="FM91">
            <v>0</v>
          </cell>
          <cell r="FN91">
            <v>0</v>
          </cell>
          <cell r="FO91">
            <v>0</v>
          </cell>
          <cell r="FP91">
            <v>0</v>
          </cell>
          <cell r="FQ91">
            <v>0</v>
          </cell>
          <cell r="FR91">
            <v>0</v>
          </cell>
          <cell r="FS91">
            <v>0</v>
          </cell>
          <cell r="FT91">
            <v>0</v>
          </cell>
          <cell r="FU91">
            <v>0</v>
          </cell>
          <cell r="FV91">
            <v>0</v>
          </cell>
          <cell r="FW91">
            <v>0</v>
          </cell>
          <cell r="FX91">
            <v>0</v>
          </cell>
          <cell r="FY91">
            <v>0</v>
          </cell>
          <cell r="FZ91">
            <v>0</v>
          </cell>
        </row>
        <row r="92">
          <cell r="A92" t="str">
            <v>F_CNP_RFF_RET_COL_FRCE_049</v>
          </cell>
          <cell r="B92">
            <v>0.1</v>
          </cell>
          <cell r="C92">
            <v>0.08</v>
          </cell>
          <cell r="D92">
            <v>0.15</v>
          </cell>
          <cell r="E92">
            <v>0.08</v>
          </cell>
          <cell r="F92">
            <v>0.15</v>
          </cell>
          <cell r="G92">
            <v>0.22</v>
          </cell>
          <cell r="H92">
            <v>7.0000000000000007E-2</v>
          </cell>
          <cell r="I92">
            <v>0.05</v>
          </cell>
          <cell r="J92">
            <v>0.13</v>
          </cell>
          <cell r="K92">
            <v>0.18</v>
          </cell>
          <cell r="L92">
            <v>0.17</v>
          </cell>
          <cell r="M92">
            <v>0.16</v>
          </cell>
          <cell r="N92">
            <v>0.8</v>
          </cell>
          <cell r="O92">
            <v>1</v>
          </cell>
          <cell r="P92">
            <v>1</v>
          </cell>
          <cell r="Q92">
            <v>0.8</v>
          </cell>
          <cell r="R92">
            <v>0.8</v>
          </cell>
          <cell r="S92">
            <v>1</v>
          </cell>
          <cell r="T92">
            <v>1</v>
          </cell>
          <cell r="U92">
            <v>1</v>
          </cell>
          <cell r="V92">
            <v>1</v>
          </cell>
          <cell r="W92">
            <v>1</v>
          </cell>
          <cell r="X92">
            <v>1</v>
          </cell>
          <cell r="Y92">
            <v>1</v>
          </cell>
          <cell r="Z92">
            <v>0.1</v>
          </cell>
          <cell r="AA92">
            <v>0.1</v>
          </cell>
          <cell r="AB92">
            <v>0.14000000000000001</v>
          </cell>
          <cell r="AC92">
            <v>0.11</v>
          </cell>
          <cell r="AD92">
            <v>0.11</v>
          </cell>
          <cell r="AE92">
            <v>0.19</v>
          </cell>
          <cell r="AF92">
            <v>0.09</v>
          </cell>
          <cell r="AG92">
            <v>0.11</v>
          </cell>
          <cell r="AH92">
            <v>0.15</v>
          </cell>
          <cell r="AI92">
            <v>0.2</v>
          </cell>
          <cell r="AJ92">
            <v>0.2</v>
          </cell>
          <cell r="AK92">
            <v>0.2</v>
          </cell>
          <cell r="AL92">
            <v>0</v>
          </cell>
          <cell r="AM92">
            <v>0</v>
          </cell>
          <cell r="AN92">
            <v>0</v>
          </cell>
          <cell r="AO92">
            <v>0</v>
          </cell>
          <cell r="AP92">
            <v>0</v>
          </cell>
          <cell r="AQ92">
            <v>0</v>
          </cell>
          <cell r="AR92">
            <v>0</v>
          </cell>
          <cell r="AS92">
            <v>0</v>
          </cell>
          <cell r="AT92">
            <v>0</v>
          </cell>
          <cell r="AU92">
            <v>0</v>
          </cell>
          <cell r="AV92">
            <v>0</v>
          </cell>
          <cell r="AW92">
            <v>0</v>
          </cell>
          <cell r="AX92">
            <v>0</v>
          </cell>
          <cell r="AY92">
            <v>0</v>
          </cell>
          <cell r="AZ92">
            <v>0</v>
          </cell>
          <cell r="BA92">
            <v>0</v>
          </cell>
          <cell r="BB92">
            <v>0</v>
          </cell>
          <cell r="BC92">
            <v>0</v>
          </cell>
          <cell r="BD92">
            <v>0</v>
          </cell>
          <cell r="BE92">
            <v>0</v>
          </cell>
          <cell r="BF92">
            <v>0</v>
          </cell>
          <cell r="BG92">
            <v>0</v>
          </cell>
          <cell r="BH92">
            <v>0</v>
          </cell>
          <cell r="BI92">
            <v>0</v>
          </cell>
          <cell r="BJ92">
            <v>0</v>
          </cell>
          <cell r="BK92">
            <v>0</v>
          </cell>
          <cell r="BL92">
            <v>0</v>
          </cell>
          <cell r="BM92">
            <v>0</v>
          </cell>
          <cell r="BN92">
            <v>0</v>
          </cell>
          <cell r="BO92">
            <v>0</v>
          </cell>
          <cell r="BP92">
            <v>0</v>
          </cell>
          <cell r="BQ92">
            <v>0</v>
          </cell>
          <cell r="BR92">
            <v>0</v>
          </cell>
          <cell r="BS92">
            <v>0</v>
          </cell>
          <cell r="BT92">
            <v>0</v>
          </cell>
          <cell r="BU92">
            <v>0</v>
          </cell>
          <cell r="BV92">
            <v>0</v>
          </cell>
          <cell r="BW92">
            <v>0</v>
          </cell>
          <cell r="BX92">
            <v>0</v>
          </cell>
          <cell r="BY92">
            <v>0</v>
          </cell>
          <cell r="BZ92">
            <v>0</v>
          </cell>
          <cell r="CA92">
            <v>0</v>
          </cell>
          <cell r="CB92">
            <v>0</v>
          </cell>
          <cell r="CC92">
            <v>0</v>
          </cell>
          <cell r="CD92">
            <v>0</v>
          </cell>
          <cell r="CE92">
            <v>0</v>
          </cell>
          <cell r="CF92">
            <v>0</v>
          </cell>
          <cell r="CG92">
            <v>0</v>
          </cell>
          <cell r="CH92">
            <v>0</v>
          </cell>
          <cell r="CI92">
            <v>0</v>
          </cell>
          <cell r="CJ92">
            <v>0</v>
          </cell>
          <cell r="CK92">
            <v>0</v>
          </cell>
          <cell r="CL92">
            <v>0</v>
          </cell>
          <cell r="CM92">
            <v>0</v>
          </cell>
          <cell r="CN92">
            <v>0</v>
          </cell>
          <cell r="CO92">
            <v>0</v>
          </cell>
          <cell r="CP92">
            <v>0</v>
          </cell>
          <cell r="CQ92">
            <v>0</v>
          </cell>
          <cell r="CR92">
            <v>0</v>
          </cell>
          <cell r="CS92">
            <v>0</v>
          </cell>
          <cell r="CT92">
            <v>0</v>
          </cell>
          <cell r="CU92">
            <v>0</v>
          </cell>
          <cell r="CV92">
            <v>0</v>
          </cell>
          <cell r="CW92">
            <v>0</v>
          </cell>
          <cell r="CX92">
            <v>0</v>
          </cell>
          <cell r="CY92">
            <v>0</v>
          </cell>
          <cell r="CZ92">
            <v>0</v>
          </cell>
          <cell r="DA92">
            <v>0</v>
          </cell>
          <cell r="DB92">
            <v>0</v>
          </cell>
          <cell r="DC92">
            <v>0</v>
          </cell>
          <cell r="DD92">
            <v>0</v>
          </cell>
          <cell r="DE92">
            <v>0</v>
          </cell>
          <cell r="DF92">
            <v>0</v>
          </cell>
          <cell r="DG92">
            <v>0</v>
          </cell>
          <cell r="DH92">
            <v>0</v>
          </cell>
          <cell r="DI92">
            <v>0</v>
          </cell>
          <cell r="DJ92">
            <v>0</v>
          </cell>
          <cell r="DK92">
            <v>0</v>
          </cell>
          <cell r="DL92">
            <v>0</v>
          </cell>
          <cell r="DM92">
            <v>0</v>
          </cell>
          <cell r="DN92">
            <v>0</v>
          </cell>
          <cell r="DO92">
            <v>0</v>
          </cell>
          <cell r="DP92">
            <v>0</v>
          </cell>
          <cell r="DQ92">
            <v>0</v>
          </cell>
          <cell r="DR92">
            <v>0</v>
          </cell>
          <cell r="DS92">
            <v>0</v>
          </cell>
          <cell r="DT92">
            <v>0</v>
          </cell>
          <cell r="DU92">
            <v>0</v>
          </cell>
          <cell r="DV92">
            <v>0</v>
          </cell>
          <cell r="DW92">
            <v>0</v>
          </cell>
          <cell r="DX92">
            <v>0</v>
          </cell>
          <cell r="DY92">
            <v>0</v>
          </cell>
          <cell r="EA92">
            <v>0</v>
          </cell>
          <cell r="EB92">
            <v>0</v>
          </cell>
          <cell r="EC92">
            <v>0</v>
          </cell>
          <cell r="ED92">
            <v>0.05</v>
          </cell>
          <cell r="EE92">
            <v>0.09</v>
          </cell>
          <cell r="EF92">
            <v>0.08</v>
          </cell>
          <cell r="EG92">
            <v>0.17</v>
          </cell>
          <cell r="EH92">
            <v>1</v>
          </cell>
          <cell r="EI92">
            <v>1</v>
          </cell>
          <cell r="EJ92">
            <v>1</v>
          </cell>
          <cell r="EK92">
            <v>1</v>
          </cell>
          <cell r="EL92">
            <v>0.05</v>
          </cell>
          <cell r="EM92">
            <v>0.14000000000000001</v>
          </cell>
          <cell r="EN92">
            <v>0.11</v>
          </cell>
          <cell r="EO92">
            <v>0.2</v>
          </cell>
          <cell r="EP92">
            <v>0</v>
          </cell>
          <cell r="EQ92">
            <v>0</v>
          </cell>
          <cell r="ER92">
            <v>0</v>
          </cell>
          <cell r="ES92">
            <v>0</v>
          </cell>
          <cell r="ET92">
            <v>0</v>
          </cell>
          <cell r="EU92">
            <v>0</v>
          </cell>
          <cell r="EV92">
            <v>0</v>
          </cell>
          <cell r="EW92">
            <v>0</v>
          </cell>
          <cell r="EX92">
            <v>1</v>
          </cell>
          <cell r="EY92">
            <v>1</v>
          </cell>
          <cell r="EZ92">
            <v>1</v>
          </cell>
          <cell r="FA92">
            <v>0</v>
          </cell>
          <cell r="FB92">
            <v>0</v>
          </cell>
          <cell r="FC92">
            <v>0</v>
          </cell>
          <cell r="FD92">
            <v>0</v>
          </cell>
          <cell r="FE92">
            <v>0</v>
          </cell>
          <cell r="FF92">
            <v>0</v>
          </cell>
          <cell r="FG92">
            <v>0</v>
          </cell>
          <cell r="FH92">
            <v>0</v>
          </cell>
          <cell r="FI92">
            <v>0</v>
          </cell>
          <cell r="FJ92">
            <v>0</v>
          </cell>
          <cell r="FK92">
            <v>0</v>
          </cell>
          <cell r="FL92">
            <v>0</v>
          </cell>
          <cell r="FM92">
            <v>0</v>
          </cell>
          <cell r="FN92">
            <v>0</v>
          </cell>
          <cell r="FO92">
            <v>0</v>
          </cell>
          <cell r="FP92">
            <v>0</v>
          </cell>
          <cell r="FQ92">
            <v>0</v>
          </cell>
          <cell r="FR92">
            <v>0</v>
          </cell>
          <cell r="FS92">
            <v>0</v>
          </cell>
          <cell r="FT92">
            <v>0</v>
          </cell>
          <cell r="FU92">
            <v>0</v>
          </cell>
          <cell r="FV92">
            <v>0</v>
          </cell>
          <cell r="FW92">
            <v>0</v>
          </cell>
          <cell r="FX92">
            <v>0</v>
          </cell>
          <cell r="FY92">
            <v>0</v>
          </cell>
          <cell r="FZ92">
            <v>0</v>
          </cell>
        </row>
        <row r="93">
          <cell r="A93" t="str">
            <v>F_CNP_RFF_RET_COL_FRCE_050</v>
          </cell>
          <cell r="B93">
            <v>0.1</v>
          </cell>
          <cell r="C93">
            <v>0.08</v>
          </cell>
          <cell r="D93">
            <v>0.15</v>
          </cell>
          <cell r="E93">
            <v>0.08</v>
          </cell>
          <cell r="F93">
            <v>0.15</v>
          </cell>
          <cell r="G93">
            <v>0.22</v>
          </cell>
          <cell r="H93">
            <v>7.0000000000000007E-2</v>
          </cell>
          <cell r="I93">
            <v>0.05</v>
          </cell>
          <cell r="J93">
            <v>0.13</v>
          </cell>
          <cell r="K93">
            <v>0.18</v>
          </cell>
          <cell r="L93">
            <v>0.17</v>
          </cell>
          <cell r="M93">
            <v>0.16</v>
          </cell>
          <cell r="N93">
            <v>0.8</v>
          </cell>
          <cell r="O93">
            <v>1</v>
          </cell>
          <cell r="P93">
            <v>1</v>
          </cell>
          <cell r="Q93">
            <v>0.8</v>
          </cell>
          <cell r="R93">
            <v>0.8</v>
          </cell>
          <cell r="S93">
            <v>1</v>
          </cell>
          <cell r="T93">
            <v>1</v>
          </cell>
          <cell r="U93">
            <v>1</v>
          </cell>
          <cell r="V93">
            <v>1</v>
          </cell>
          <cell r="W93">
            <v>1</v>
          </cell>
          <cell r="X93">
            <v>1</v>
          </cell>
          <cell r="Y93">
            <v>1</v>
          </cell>
          <cell r="Z93">
            <v>0.1</v>
          </cell>
          <cell r="AA93">
            <v>0.1</v>
          </cell>
          <cell r="AB93">
            <v>0.14000000000000001</v>
          </cell>
          <cell r="AC93">
            <v>0.11</v>
          </cell>
          <cell r="AD93">
            <v>0.11</v>
          </cell>
          <cell r="AE93">
            <v>0.19</v>
          </cell>
          <cell r="AF93">
            <v>0.09</v>
          </cell>
          <cell r="AG93">
            <v>0.11</v>
          </cell>
          <cell r="AH93">
            <v>0.15</v>
          </cell>
          <cell r="AI93">
            <v>0.2</v>
          </cell>
          <cell r="AJ93">
            <v>0.2</v>
          </cell>
          <cell r="AK93">
            <v>0.2</v>
          </cell>
          <cell r="AL93">
            <v>0</v>
          </cell>
          <cell r="AM93">
            <v>0</v>
          </cell>
          <cell r="AN93">
            <v>0</v>
          </cell>
          <cell r="AO93">
            <v>0</v>
          </cell>
          <cell r="AP93">
            <v>0</v>
          </cell>
          <cell r="AQ93">
            <v>0</v>
          </cell>
          <cell r="AR93">
            <v>0</v>
          </cell>
          <cell r="AS93">
            <v>0</v>
          </cell>
          <cell r="AT93">
            <v>0</v>
          </cell>
          <cell r="AU93">
            <v>0</v>
          </cell>
          <cell r="AV93">
            <v>0</v>
          </cell>
          <cell r="AW93">
            <v>0</v>
          </cell>
          <cell r="AX93">
            <v>0</v>
          </cell>
          <cell r="AY93">
            <v>0</v>
          </cell>
          <cell r="AZ93">
            <v>0</v>
          </cell>
          <cell r="BA93">
            <v>0</v>
          </cell>
          <cell r="BB93">
            <v>0</v>
          </cell>
          <cell r="BC93">
            <v>0</v>
          </cell>
          <cell r="BD93">
            <v>0</v>
          </cell>
          <cell r="BE93">
            <v>0</v>
          </cell>
          <cell r="BF93">
            <v>0</v>
          </cell>
          <cell r="BG93">
            <v>0</v>
          </cell>
          <cell r="BH93">
            <v>0</v>
          </cell>
          <cell r="BI93">
            <v>0</v>
          </cell>
          <cell r="BJ93">
            <v>0</v>
          </cell>
          <cell r="BK93">
            <v>0</v>
          </cell>
          <cell r="BL93">
            <v>0</v>
          </cell>
          <cell r="BM93">
            <v>0</v>
          </cell>
          <cell r="BN93">
            <v>0</v>
          </cell>
          <cell r="BO93">
            <v>0</v>
          </cell>
          <cell r="BP93">
            <v>0</v>
          </cell>
          <cell r="BQ93">
            <v>0</v>
          </cell>
          <cell r="BR93">
            <v>0</v>
          </cell>
          <cell r="BS93">
            <v>0</v>
          </cell>
          <cell r="BT93">
            <v>0</v>
          </cell>
          <cell r="BU93">
            <v>0</v>
          </cell>
          <cell r="BV93">
            <v>0</v>
          </cell>
          <cell r="BW93">
            <v>0</v>
          </cell>
          <cell r="BX93">
            <v>0</v>
          </cell>
          <cell r="BY93">
            <v>0</v>
          </cell>
          <cell r="BZ93">
            <v>0</v>
          </cell>
          <cell r="CA93">
            <v>0</v>
          </cell>
          <cell r="CB93">
            <v>0</v>
          </cell>
          <cell r="CC93">
            <v>0</v>
          </cell>
          <cell r="CD93">
            <v>0</v>
          </cell>
          <cell r="CE93">
            <v>0</v>
          </cell>
          <cell r="CF93">
            <v>0</v>
          </cell>
          <cell r="CG93">
            <v>0</v>
          </cell>
          <cell r="CH93">
            <v>0</v>
          </cell>
          <cell r="CI93">
            <v>0</v>
          </cell>
          <cell r="CJ93">
            <v>0</v>
          </cell>
          <cell r="CK93">
            <v>0</v>
          </cell>
          <cell r="CL93">
            <v>0</v>
          </cell>
          <cell r="CM93">
            <v>0</v>
          </cell>
          <cell r="CN93">
            <v>0</v>
          </cell>
          <cell r="CO93">
            <v>0</v>
          </cell>
          <cell r="CP93">
            <v>0</v>
          </cell>
          <cell r="CQ93">
            <v>0</v>
          </cell>
          <cell r="CR93">
            <v>0</v>
          </cell>
          <cell r="CS93">
            <v>0</v>
          </cell>
          <cell r="CT93">
            <v>0</v>
          </cell>
          <cell r="CU93">
            <v>0</v>
          </cell>
          <cell r="CV93">
            <v>0</v>
          </cell>
          <cell r="CW93">
            <v>0</v>
          </cell>
          <cell r="CX93">
            <v>0</v>
          </cell>
          <cell r="CY93">
            <v>0</v>
          </cell>
          <cell r="CZ93">
            <v>0</v>
          </cell>
          <cell r="DA93">
            <v>0</v>
          </cell>
          <cell r="DB93">
            <v>0</v>
          </cell>
          <cell r="DC93">
            <v>0</v>
          </cell>
          <cell r="DD93">
            <v>0</v>
          </cell>
          <cell r="DE93">
            <v>0</v>
          </cell>
          <cell r="DF93">
            <v>0</v>
          </cell>
          <cell r="DG93">
            <v>0</v>
          </cell>
          <cell r="DH93">
            <v>0</v>
          </cell>
          <cell r="DI93">
            <v>0</v>
          </cell>
          <cell r="DJ93">
            <v>0</v>
          </cell>
          <cell r="DK93">
            <v>0</v>
          </cell>
          <cell r="DL93">
            <v>0</v>
          </cell>
          <cell r="DM93">
            <v>0</v>
          </cell>
          <cell r="DN93">
            <v>0</v>
          </cell>
          <cell r="DO93">
            <v>0</v>
          </cell>
          <cell r="DP93">
            <v>0</v>
          </cell>
          <cell r="DQ93">
            <v>0</v>
          </cell>
          <cell r="DR93">
            <v>0</v>
          </cell>
          <cell r="DS93">
            <v>0</v>
          </cell>
          <cell r="DT93">
            <v>0</v>
          </cell>
          <cell r="DU93">
            <v>0</v>
          </cell>
          <cell r="DV93">
            <v>0</v>
          </cell>
          <cell r="DW93">
            <v>0</v>
          </cell>
          <cell r="DX93">
            <v>0</v>
          </cell>
          <cell r="DY93">
            <v>0</v>
          </cell>
          <cell r="EA93">
            <v>0</v>
          </cell>
          <cell r="EB93">
            <v>0</v>
          </cell>
          <cell r="EC93">
            <v>0</v>
          </cell>
          <cell r="ED93">
            <v>0.05</v>
          </cell>
          <cell r="EE93">
            <v>0.09</v>
          </cell>
          <cell r="EF93">
            <v>0.08</v>
          </cell>
          <cell r="EG93">
            <v>0.17</v>
          </cell>
          <cell r="EH93">
            <v>1</v>
          </cell>
          <cell r="EI93">
            <v>1</v>
          </cell>
          <cell r="EJ93">
            <v>1</v>
          </cell>
          <cell r="EK93">
            <v>1</v>
          </cell>
          <cell r="EL93">
            <v>0.05</v>
          </cell>
          <cell r="EM93">
            <v>0.14000000000000001</v>
          </cell>
          <cell r="EN93">
            <v>0.11</v>
          </cell>
          <cell r="EO93">
            <v>0.2</v>
          </cell>
          <cell r="EP93">
            <v>0</v>
          </cell>
          <cell r="EQ93">
            <v>0</v>
          </cell>
          <cell r="ER93">
            <v>0</v>
          </cell>
          <cell r="ES93">
            <v>0</v>
          </cell>
          <cell r="ET93">
            <v>0</v>
          </cell>
          <cell r="EU93">
            <v>0</v>
          </cell>
          <cell r="EV93">
            <v>0</v>
          </cell>
          <cell r="EW93">
            <v>0</v>
          </cell>
          <cell r="EX93">
            <v>1</v>
          </cell>
          <cell r="EY93">
            <v>1</v>
          </cell>
          <cell r="EZ93">
            <v>1</v>
          </cell>
          <cell r="FA93">
            <v>0</v>
          </cell>
          <cell r="FB93">
            <v>0</v>
          </cell>
          <cell r="FC93">
            <v>0</v>
          </cell>
          <cell r="FD93">
            <v>0</v>
          </cell>
          <cell r="FE93">
            <v>0</v>
          </cell>
          <cell r="FF93">
            <v>0</v>
          </cell>
          <cell r="FG93">
            <v>0</v>
          </cell>
          <cell r="FH93">
            <v>0</v>
          </cell>
          <cell r="FI93">
            <v>0</v>
          </cell>
          <cell r="FJ93">
            <v>0</v>
          </cell>
          <cell r="FK93">
            <v>0</v>
          </cell>
          <cell r="FL93">
            <v>0</v>
          </cell>
          <cell r="FM93">
            <v>0</v>
          </cell>
          <cell r="FN93">
            <v>0</v>
          </cell>
          <cell r="FO93">
            <v>0</v>
          </cell>
          <cell r="FP93">
            <v>0</v>
          </cell>
          <cell r="FQ93">
            <v>0</v>
          </cell>
          <cell r="FR93">
            <v>0</v>
          </cell>
          <cell r="FS93">
            <v>0</v>
          </cell>
          <cell r="FT93">
            <v>0</v>
          </cell>
          <cell r="FU93">
            <v>0</v>
          </cell>
          <cell r="FV93">
            <v>0</v>
          </cell>
          <cell r="FW93">
            <v>0</v>
          </cell>
          <cell r="FX93">
            <v>0</v>
          </cell>
          <cell r="FY93">
            <v>0</v>
          </cell>
          <cell r="FZ93">
            <v>0</v>
          </cell>
        </row>
        <row r="94">
          <cell r="A94" t="str">
            <v>F_CNP_RFF_RET_COL_FRCE_051</v>
          </cell>
          <cell r="B94">
            <v>0.1</v>
          </cell>
          <cell r="C94">
            <v>0.08</v>
          </cell>
          <cell r="D94">
            <v>0.15</v>
          </cell>
          <cell r="E94">
            <v>0.08</v>
          </cell>
          <cell r="F94">
            <v>0.15</v>
          </cell>
          <cell r="G94">
            <v>0.22</v>
          </cell>
          <cell r="H94">
            <v>7.0000000000000007E-2</v>
          </cell>
          <cell r="I94">
            <v>0.05</v>
          </cell>
          <cell r="J94">
            <v>0.13</v>
          </cell>
          <cell r="K94">
            <v>0.18</v>
          </cell>
          <cell r="L94">
            <v>0.17</v>
          </cell>
          <cell r="M94">
            <v>0.16</v>
          </cell>
          <cell r="N94">
            <v>0.8</v>
          </cell>
          <cell r="O94">
            <v>1</v>
          </cell>
          <cell r="P94">
            <v>1</v>
          </cell>
          <cell r="Q94">
            <v>0.8</v>
          </cell>
          <cell r="R94">
            <v>0.8</v>
          </cell>
          <cell r="S94">
            <v>1</v>
          </cell>
          <cell r="T94">
            <v>1</v>
          </cell>
          <cell r="U94">
            <v>1</v>
          </cell>
          <cell r="V94">
            <v>1</v>
          </cell>
          <cell r="W94">
            <v>1</v>
          </cell>
          <cell r="X94">
            <v>1</v>
          </cell>
          <cell r="Y94">
            <v>1</v>
          </cell>
          <cell r="Z94">
            <v>0.1</v>
          </cell>
          <cell r="AA94">
            <v>0.1</v>
          </cell>
          <cell r="AB94">
            <v>0.14000000000000001</v>
          </cell>
          <cell r="AC94">
            <v>0.11</v>
          </cell>
          <cell r="AD94">
            <v>0.11</v>
          </cell>
          <cell r="AE94">
            <v>0.19</v>
          </cell>
          <cell r="AF94">
            <v>0.09</v>
          </cell>
          <cell r="AG94">
            <v>0.11</v>
          </cell>
          <cell r="AH94">
            <v>0.15</v>
          </cell>
          <cell r="AI94">
            <v>0.2</v>
          </cell>
          <cell r="AJ94">
            <v>0.2</v>
          </cell>
          <cell r="AK94">
            <v>0.2</v>
          </cell>
          <cell r="AL94">
            <v>0</v>
          </cell>
          <cell r="AM94">
            <v>0</v>
          </cell>
          <cell r="AN94">
            <v>0</v>
          </cell>
          <cell r="AO94">
            <v>0</v>
          </cell>
          <cell r="AP94">
            <v>0</v>
          </cell>
          <cell r="AQ94">
            <v>0</v>
          </cell>
          <cell r="AR94">
            <v>0</v>
          </cell>
          <cell r="AS94">
            <v>0</v>
          </cell>
          <cell r="AT94">
            <v>0</v>
          </cell>
          <cell r="AU94">
            <v>0</v>
          </cell>
          <cell r="AV94">
            <v>0</v>
          </cell>
          <cell r="AW94">
            <v>0</v>
          </cell>
          <cell r="AX94">
            <v>0</v>
          </cell>
          <cell r="AY94">
            <v>0</v>
          </cell>
          <cell r="AZ94">
            <v>0</v>
          </cell>
          <cell r="BA94">
            <v>0</v>
          </cell>
          <cell r="BB94">
            <v>0</v>
          </cell>
          <cell r="BC94">
            <v>0</v>
          </cell>
          <cell r="BD94">
            <v>0</v>
          </cell>
          <cell r="BE94">
            <v>0</v>
          </cell>
          <cell r="BF94">
            <v>0</v>
          </cell>
          <cell r="BG94">
            <v>0</v>
          </cell>
          <cell r="BH94">
            <v>0</v>
          </cell>
          <cell r="BI94">
            <v>0</v>
          </cell>
          <cell r="BJ94">
            <v>0</v>
          </cell>
          <cell r="BK94">
            <v>0</v>
          </cell>
          <cell r="BL94">
            <v>0</v>
          </cell>
          <cell r="BM94">
            <v>0</v>
          </cell>
          <cell r="BN94">
            <v>0</v>
          </cell>
          <cell r="BO94">
            <v>0</v>
          </cell>
          <cell r="BP94">
            <v>0</v>
          </cell>
          <cell r="BQ94">
            <v>0</v>
          </cell>
          <cell r="BR94">
            <v>0</v>
          </cell>
          <cell r="BS94">
            <v>0</v>
          </cell>
          <cell r="BT94">
            <v>0</v>
          </cell>
          <cell r="BU94">
            <v>0</v>
          </cell>
          <cell r="BV94">
            <v>0</v>
          </cell>
          <cell r="BW94">
            <v>0</v>
          </cell>
          <cell r="BX94">
            <v>0</v>
          </cell>
          <cell r="BY94">
            <v>0</v>
          </cell>
          <cell r="BZ94">
            <v>0</v>
          </cell>
          <cell r="CA94">
            <v>0</v>
          </cell>
          <cell r="CB94">
            <v>0</v>
          </cell>
          <cell r="CC94">
            <v>0</v>
          </cell>
          <cell r="CD94">
            <v>0</v>
          </cell>
          <cell r="CE94">
            <v>0</v>
          </cell>
          <cell r="CF94">
            <v>0</v>
          </cell>
          <cell r="CG94">
            <v>0</v>
          </cell>
          <cell r="CH94">
            <v>0</v>
          </cell>
          <cell r="CI94">
            <v>0</v>
          </cell>
          <cell r="CJ94">
            <v>0</v>
          </cell>
          <cell r="CK94">
            <v>0</v>
          </cell>
          <cell r="CL94">
            <v>0</v>
          </cell>
          <cell r="CM94">
            <v>0</v>
          </cell>
          <cell r="CN94">
            <v>0</v>
          </cell>
          <cell r="CO94">
            <v>0</v>
          </cell>
          <cell r="CP94">
            <v>0</v>
          </cell>
          <cell r="CQ94">
            <v>0</v>
          </cell>
          <cell r="CR94">
            <v>0</v>
          </cell>
          <cell r="CS94">
            <v>0</v>
          </cell>
          <cell r="CT94">
            <v>0</v>
          </cell>
          <cell r="CU94">
            <v>0</v>
          </cell>
          <cell r="CV94">
            <v>0</v>
          </cell>
          <cell r="CW94">
            <v>0</v>
          </cell>
          <cell r="CX94">
            <v>0</v>
          </cell>
          <cell r="CY94">
            <v>0</v>
          </cell>
          <cell r="CZ94">
            <v>0</v>
          </cell>
          <cell r="DA94">
            <v>0</v>
          </cell>
          <cell r="DB94">
            <v>0</v>
          </cell>
          <cell r="DC94">
            <v>0</v>
          </cell>
          <cell r="DD94">
            <v>0</v>
          </cell>
          <cell r="DE94">
            <v>0</v>
          </cell>
          <cell r="DF94">
            <v>0</v>
          </cell>
          <cell r="DG94">
            <v>0</v>
          </cell>
          <cell r="DH94">
            <v>0</v>
          </cell>
          <cell r="DI94">
            <v>0</v>
          </cell>
          <cell r="DJ94">
            <v>0</v>
          </cell>
          <cell r="DK94">
            <v>0</v>
          </cell>
          <cell r="DL94">
            <v>0</v>
          </cell>
          <cell r="DM94">
            <v>0</v>
          </cell>
          <cell r="DN94">
            <v>0</v>
          </cell>
          <cell r="DO94">
            <v>0</v>
          </cell>
          <cell r="DP94">
            <v>0</v>
          </cell>
          <cell r="DQ94">
            <v>0</v>
          </cell>
          <cell r="DR94">
            <v>0</v>
          </cell>
          <cell r="DS94">
            <v>0</v>
          </cell>
          <cell r="DT94">
            <v>0</v>
          </cell>
          <cell r="DU94">
            <v>0</v>
          </cell>
          <cell r="DV94">
            <v>0</v>
          </cell>
          <cell r="DW94">
            <v>0</v>
          </cell>
          <cell r="DX94">
            <v>0</v>
          </cell>
          <cell r="DY94">
            <v>0</v>
          </cell>
          <cell r="EA94">
            <v>0</v>
          </cell>
          <cell r="EB94">
            <v>0</v>
          </cell>
          <cell r="EC94">
            <v>0</v>
          </cell>
          <cell r="ED94">
            <v>0.05</v>
          </cell>
          <cell r="EE94">
            <v>0.09</v>
          </cell>
          <cell r="EF94">
            <v>0.08</v>
          </cell>
          <cell r="EG94">
            <v>0.17</v>
          </cell>
          <cell r="EH94">
            <v>1</v>
          </cell>
          <cell r="EI94">
            <v>1</v>
          </cell>
          <cell r="EJ94">
            <v>1</v>
          </cell>
          <cell r="EK94">
            <v>1</v>
          </cell>
          <cell r="EL94">
            <v>0.05</v>
          </cell>
          <cell r="EM94">
            <v>0.14000000000000001</v>
          </cell>
          <cell r="EN94">
            <v>0.11</v>
          </cell>
          <cell r="EO94">
            <v>0.2</v>
          </cell>
          <cell r="EP94">
            <v>0</v>
          </cell>
          <cell r="EQ94">
            <v>0</v>
          </cell>
          <cell r="ER94">
            <v>0</v>
          </cell>
          <cell r="ES94">
            <v>0</v>
          </cell>
          <cell r="ET94">
            <v>0</v>
          </cell>
          <cell r="EU94">
            <v>0</v>
          </cell>
          <cell r="EV94">
            <v>0</v>
          </cell>
          <cell r="EW94">
            <v>0</v>
          </cell>
          <cell r="EX94">
            <v>1</v>
          </cell>
          <cell r="EY94">
            <v>1</v>
          </cell>
          <cell r="EZ94">
            <v>1</v>
          </cell>
          <cell r="FA94">
            <v>0</v>
          </cell>
          <cell r="FB94">
            <v>0</v>
          </cell>
          <cell r="FC94">
            <v>0</v>
          </cell>
          <cell r="FD94">
            <v>0</v>
          </cell>
          <cell r="FE94">
            <v>0</v>
          </cell>
          <cell r="FF94">
            <v>0</v>
          </cell>
          <cell r="FG94">
            <v>0</v>
          </cell>
          <cell r="FH94">
            <v>0</v>
          </cell>
          <cell r="FI94">
            <v>0</v>
          </cell>
          <cell r="FJ94">
            <v>0</v>
          </cell>
          <cell r="FK94">
            <v>0</v>
          </cell>
          <cell r="FL94">
            <v>0</v>
          </cell>
          <cell r="FM94">
            <v>0</v>
          </cell>
          <cell r="FN94">
            <v>0</v>
          </cell>
          <cell r="FO94">
            <v>0</v>
          </cell>
          <cell r="FP94">
            <v>0</v>
          </cell>
          <cell r="FQ94">
            <v>0</v>
          </cell>
          <cell r="FR94">
            <v>0</v>
          </cell>
          <cell r="FS94">
            <v>0</v>
          </cell>
          <cell r="FT94">
            <v>0</v>
          </cell>
          <cell r="FU94">
            <v>0</v>
          </cell>
          <cell r="FV94">
            <v>0</v>
          </cell>
          <cell r="FW94">
            <v>0</v>
          </cell>
          <cell r="FX94">
            <v>0</v>
          </cell>
          <cell r="FY94">
            <v>0</v>
          </cell>
          <cell r="FZ94">
            <v>0</v>
          </cell>
        </row>
        <row r="95">
          <cell r="A95" t="str">
            <v>F_CNP_RFF_RET_COL_FRCE_052</v>
          </cell>
          <cell r="B95">
            <v>0.1</v>
          </cell>
          <cell r="C95">
            <v>0.08</v>
          </cell>
          <cell r="D95">
            <v>0.15</v>
          </cell>
          <cell r="E95">
            <v>0.08</v>
          </cell>
          <cell r="F95">
            <v>0.15</v>
          </cell>
          <cell r="G95">
            <v>0.22</v>
          </cell>
          <cell r="H95">
            <v>7.0000000000000007E-2</v>
          </cell>
          <cell r="I95">
            <v>0.05</v>
          </cell>
          <cell r="J95">
            <v>0.13</v>
          </cell>
          <cell r="K95">
            <v>0.18</v>
          </cell>
          <cell r="L95">
            <v>0.17</v>
          </cell>
          <cell r="M95">
            <v>0.16</v>
          </cell>
          <cell r="N95">
            <v>0.8</v>
          </cell>
          <cell r="O95">
            <v>1</v>
          </cell>
          <cell r="P95">
            <v>1</v>
          </cell>
          <cell r="Q95">
            <v>0.8</v>
          </cell>
          <cell r="R95">
            <v>0.8</v>
          </cell>
          <cell r="S95">
            <v>1</v>
          </cell>
          <cell r="T95">
            <v>1</v>
          </cell>
          <cell r="U95">
            <v>1</v>
          </cell>
          <cell r="V95">
            <v>1</v>
          </cell>
          <cell r="W95">
            <v>1</v>
          </cell>
          <cell r="X95">
            <v>1</v>
          </cell>
          <cell r="Y95">
            <v>1</v>
          </cell>
          <cell r="Z95">
            <v>0.1</v>
          </cell>
          <cell r="AA95">
            <v>0.1</v>
          </cell>
          <cell r="AB95">
            <v>0.14000000000000001</v>
          </cell>
          <cell r="AC95">
            <v>0.11</v>
          </cell>
          <cell r="AD95">
            <v>0.11</v>
          </cell>
          <cell r="AE95">
            <v>0.19</v>
          </cell>
          <cell r="AF95">
            <v>0.09</v>
          </cell>
          <cell r="AG95">
            <v>0.11</v>
          </cell>
          <cell r="AH95">
            <v>0.15</v>
          </cell>
          <cell r="AI95">
            <v>0.2</v>
          </cell>
          <cell r="AJ95">
            <v>0.2</v>
          </cell>
          <cell r="AK95">
            <v>0.2</v>
          </cell>
          <cell r="AL95">
            <v>0</v>
          </cell>
          <cell r="AM95">
            <v>0</v>
          </cell>
          <cell r="AN95">
            <v>0</v>
          </cell>
          <cell r="AO95">
            <v>0</v>
          </cell>
          <cell r="AP95">
            <v>0</v>
          </cell>
          <cell r="AQ95">
            <v>0</v>
          </cell>
          <cell r="AR95">
            <v>0</v>
          </cell>
          <cell r="AS95">
            <v>0</v>
          </cell>
          <cell r="AT95">
            <v>0</v>
          </cell>
          <cell r="AU95">
            <v>0</v>
          </cell>
          <cell r="AV95">
            <v>0</v>
          </cell>
          <cell r="AW95">
            <v>0</v>
          </cell>
          <cell r="AX95">
            <v>0</v>
          </cell>
          <cell r="AY95">
            <v>0</v>
          </cell>
          <cell r="AZ95">
            <v>0</v>
          </cell>
          <cell r="BA95">
            <v>0</v>
          </cell>
          <cell r="BB95">
            <v>0</v>
          </cell>
          <cell r="BC95">
            <v>0</v>
          </cell>
          <cell r="BD95">
            <v>0</v>
          </cell>
          <cell r="BE95">
            <v>0</v>
          </cell>
          <cell r="BF95">
            <v>0</v>
          </cell>
          <cell r="BG95">
            <v>0</v>
          </cell>
          <cell r="BH95">
            <v>0</v>
          </cell>
          <cell r="BI95">
            <v>0</v>
          </cell>
          <cell r="BJ95">
            <v>0</v>
          </cell>
          <cell r="BK95">
            <v>0</v>
          </cell>
          <cell r="BL95">
            <v>0</v>
          </cell>
          <cell r="BM95">
            <v>0</v>
          </cell>
          <cell r="BN95">
            <v>0</v>
          </cell>
          <cell r="BO95">
            <v>0</v>
          </cell>
          <cell r="BP95">
            <v>0</v>
          </cell>
          <cell r="BQ95">
            <v>0</v>
          </cell>
          <cell r="BR95">
            <v>0</v>
          </cell>
          <cell r="BS95">
            <v>0</v>
          </cell>
          <cell r="BT95">
            <v>0</v>
          </cell>
          <cell r="BU95">
            <v>0</v>
          </cell>
          <cell r="BV95">
            <v>0</v>
          </cell>
          <cell r="BW95">
            <v>0</v>
          </cell>
          <cell r="BX95">
            <v>0</v>
          </cell>
          <cell r="BY95">
            <v>0</v>
          </cell>
          <cell r="BZ95">
            <v>0</v>
          </cell>
          <cell r="CA95">
            <v>0</v>
          </cell>
          <cell r="CB95">
            <v>0</v>
          </cell>
          <cell r="CC95">
            <v>0</v>
          </cell>
          <cell r="CD95">
            <v>0</v>
          </cell>
          <cell r="CE95">
            <v>0</v>
          </cell>
          <cell r="CF95">
            <v>0</v>
          </cell>
          <cell r="CG95">
            <v>0</v>
          </cell>
          <cell r="CH95">
            <v>0</v>
          </cell>
          <cell r="CI95">
            <v>0</v>
          </cell>
          <cell r="CJ95">
            <v>0</v>
          </cell>
          <cell r="CK95">
            <v>0</v>
          </cell>
          <cell r="CL95">
            <v>0</v>
          </cell>
          <cell r="CM95">
            <v>0</v>
          </cell>
          <cell r="CN95">
            <v>0</v>
          </cell>
          <cell r="CO95">
            <v>0</v>
          </cell>
          <cell r="CP95">
            <v>0</v>
          </cell>
          <cell r="CQ95">
            <v>0</v>
          </cell>
          <cell r="CR95">
            <v>0</v>
          </cell>
          <cell r="CS95">
            <v>0</v>
          </cell>
          <cell r="CT95">
            <v>0</v>
          </cell>
          <cell r="CU95">
            <v>0</v>
          </cell>
          <cell r="CV95">
            <v>0</v>
          </cell>
          <cell r="CW95">
            <v>0</v>
          </cell>
          <cell r="CX95">
            <v>0</v>
          </cell>
          <cell r="CY95">
            <v>0</v>
          </cell>
          <cell r="CZ95">
            <v>0</v>
          </cell>
          <cell r="DA95">
            <v>0</v>
          </cell>
          <cell r="DB95">
            <v>0</v>
          </cell>
          <cell r="DC95">
            <v>0</v>
          </cell>
          <cell r="DD95">
            <v>0</v>
          </cell>
          <cell r="DE95">
            <v>0</v>
          </cell>
          <cell r="DF95">
            <v>0</v>
          </cell>
          <cell r="DG95">
            <v>0</v>
          </cell>
          <cell r="DH95">
            <v>0</v>
          </cell>
          <cell r="DI95">
            <v>0</v>
          </cell>
          <cell r="DJ95">
            <v>0</v>
          </cell>
          <cell r="DK95">
            <v>0</v>
          </cell>
          <cell r="DL95">
            <v>0</v>
          </cell>
          <cell r="DM95">
            <v>0</v>
          </cell>
          <cell r="DN95">
            <v>0</v>
          </cell>
          <cell r="DO95">
            <v>0</v>
          </cell>
          <cell r="DP95">
            <v>0</v>
          </cell>
          <cell r="DQ95">
            <v>0</v>
          </cell>
          <cell r="DR95">
            <v>0</v>
          </cell>
          <cell r="DS95">
            <v>0</v>
          </cell>
          <cell r="DT95">
            <v>0</v>
          </cell>
          <cell r="DU95">
            <v>0</v>
          </cell>
          <cell r="DV95">
            <v>0</v>
          </cell>
          <cell r="DW95">
            <v>0</v>
          </cell>
          <cell r="DX95">
            <v>0</v>
          </cell>
          <cell r="DY95">
            <v>0</v>
          </cell>
          <cell r="EA95">
            <v>0</v>
          </cell>
          <cell r="EB95">
            <v>0</v>
          </cell>
          <cell r="EC95">
            <v>0</v>
          </cell>
          <cell r="ED95">
            <v>0.05</v>
          </cell>
          <cell r="EE95">
            <v>0.09</v>
          </cell>
          <cell r="EF95">
            <v>0.08</v>
          </cell>
          <cell r="EG95">
            <v>0.17</v>
          </cell>
          <cell r="EH95">
            <v>1</v>
          </cell>
          <cell r="EI95">
            <v>1</v>
          </cell>
          <cell r="EJ95">
            <v>1</v>
          </cell>
          <cell r="EK95">
            <v>1</v>
          </cell>
          <cell r="EL95">
            <v>0.05</v>
          </cell>
          <cell r="EM95">
            <v>0.14000000000000001</v>
          </cell>
          <cell r="EN95">
            <v>0.11</v>
          </cell>
          <cell r="EO95">
            <v>0.2</v>
          </cell>
          <cell r="EP95">
            <v>0</v>
          </cell>
          <cell r="EQ95">
            <v>0</v>
          </cell>
          <cell r="ER95">
            <v>0</v>
          </cell>
          <cell r="ES95">
            <v>0</v>
          </cell>
          <cell r="ET95">
            <v>0</v>
          </cell>
          <cell r="EU95">
            <v>0</v>
          </cell>
          <cell r="EV95">
            <v>0</v>
          </cell>
          <cell r="EW95">
            <v>0</v>
          </cell>
          <cell r="EX95">
            <v>1</v>
          </cell>
          <cell r="EY95">
            <v>1</v>
          </cell>
          <cell r="EZ95">
            <v>1</v>
          </cell>
          <cell r="FA95">
            <v>0</v>
          </cell>
          <cell r="FB95">
            <v>0</v>
          </cell>
          <cell r="FC95">
            <v>0</v>
          </cell>
          <cell r="FD95">
            <v>0</v>
          </cell>
          <cell r="FE95">
            <v>0</v>
          </cell>
          <cell r="FF95">
            <v>0</v>
          </cell>
          <cell r="FG95">
            <v>0</v>
          </cell>
          <cell r="FH95">
            <v>0</v>
          </cell>
          <cell r="FI95">
            <v>0</v>
          </cell>
          <cell r="FJ95">
            <v>0</v>
          </cell>
          <cell r="FK95">
            <v>0</v>
          </cell>
          <cell r="FL95">
            <v>0</v>
          </cell>
          <cell r="FM95">
            <v>0</v>
          </cell>
          <cell r="FN95">
            <v>0</v>
          </cell>
          <cell r="FO95">
            <v>0</v>
          </cell>
          <cell r="FP95">
            <v>0</v>
          </cell>
          <cell r="FQ95">
            <v>0</v>
          </cell>
          <cell r="FR95">
            <v>0</v>
          </cell>
          <cell r="FS95">
            <v>0</v>
          </cell>
          <cell r="FT95">
            <v>0</v>
          </cell>
          <cell r="FU95">
            <v>0</v>
          </cell>
          <cell r="FV95">
            <v>0</v>
          </cell>
          <cell r="FW95">
            <v>0</v>
          </cell>
          <cell r="FX95">
            <v>0</v>
          </cell>
          <cell r="FY95">
            <v>0</v>
          </cell>
          <cell r="FZ95">
            <v>0</v>
          </cell>
        </row>
        <row r="96">
          <cell r="A96" t="str">
            <v>F_CNP_NRF_RIS_IND_FRCE_201</v>
          </cell>
          <cell r="B96">
            <v>0.1</v>
          </cell>
          <cell r="C96">
            <v>0.08</v>
          </cell>
          <cell r="D96">
            <v>0.15</v>
          </cell>
          <cell r="E96">
            <v>0.08</v>
          </cell>
          <cell r="F96">
            <v>0.15</v>
          </cell>
          <cell r="G96">
            <v>0.22</v>
          </cell>
          <cell r="H96">
            <v>7.0000000000000007E-2</v>
          </cell>
          <cell r="I96">
            <v>0.05</v>
          </cell>
          <cell r="J96">
            <v>0.13</v>
          </cell>
          <cell r="K96">
            <v>0.18</v>
          </cell>
          <cell r="L96">
            <v>0.17</v>
          </cell>
          <cell r="M96">
            <v>0.16</v>
          </cell>
          <cell r="N96">
            <v>0.8</v>
          </cell>
          <cell r="O96">
            <v>1</v>
          </cell>
          <cell r="P96">
            <v>1</v>
          </cell>
          <cell r="Q96">
            <v>0.8</v>
          </cell>
          <cell r="R96">
            <v>0.8</v>
          </cell>
          <cell r="S96">
            <v>1</v>
          </cell>
          <cell r="T96">
            <v>1</v>
          </cell>
          <cell r="U96">
            <v>1</v>
          </cell>
          <cell r="V96">
            <v>1</v>
          </cell>
          <cell r="W96">
            <v>1</v>
          </cell>
          <cell r="X96">
            <v>1</v>
          </cell>
          <cell r="Y96">
            <v>1</v>
          </cell>
          <cell r="Z96">
            <v>0.1</v>
          </cell>
          <cell r="AA96">
            <v>0.1</v>
          </cell>
          <cell r="AB96">
            <v>0.14000000000000001</v>
          </cell>
          <cell r="AC96">
            <v>0.11</v>
          </cell>
          <cell r="AD96">
            <v>0.11</v>
          </cell>
          <cell r="AE96">
            <v>0.19</v>
          </cell>
          <cell r="AF96">
            <v>0.09</v>
          </cell>
          <cell r="AG96">
            <v>0.11</v>
          </cell>
          <cell r="AH96">
            <v>0.15</v>
          </cell>
          <cell r="AI96">
            <v>0.2</v>
          </cell>
          <cell r="AJ96">
            <v>0.2</v>
          </cell>
          <cell r="AK96">
            <v>0.2</v>
          </cell>
          <cell r="AL96">
            <v>0</v>
          </cell>
          <cell r="AM96">
            <v>0</v>
          </cell>
          <cell r="AN96">
            <v>0</v>
          </cell>
          <cell r="AO96">
            <v>0</v>
          </cell>
          <cell r="AP96">
            <v>0</v>
          </cell>
          <cell r="AQ96">
            <v>0</v>
          </cell>
          <cell r="AR96">
            <v>0</v>
          </cell>
          <cell r="AS96">
            <v>0</v>
          </cell>
          <cell r="AT96">
            <v>0</v>
          </cell>
          <cell r="AU96">
            <v>0</v>
          </cell>
          <cell r="AV96">
            <v>0</v>
          </cell>
          <cell r="AW96">
            <v>0</v>
          </cell>
          <cell r="AX96">
            <v>0</v>
          </cell>
          <cell r="AY96">
            <v>0</v>
          </cell>
          <cell r="AZ96">
            <v>0</v>
          </cell>
          <cell r="BA96">
            <v>0</v>
          </cell>
          <cell r="BB96">
            <v>0</v>
          </cell>
          <cell r="BC96">
            <v>0</v>
          </cell>
          <cell r="BD96">
            <v>0</v>
          </cell>
          <cell r="BE96">
            <v>0</v>
          </cell>
          <cell r="BF96">
            <v>0</v>
          </cell>
          <cell r="BG96">
            <v>0</v>
          </cell>
          <cell r="BH96">
            <v>0</v>
          </cell>
          <cell r="BI96">
            <v>0</v>
          </cell>
          <cell r="BJ96">
            <v>0</v>
          </cell>
          <cell r="BK96">
            <v>0</v>
          </cell>
          <cell r="BL96">
            <v>0</v>
          </cell>
          <cell r="BM96">
            <v>0</v>
          </cell>
          <cell r="BN96">
            <v>0</v>
          </cell>
          <cell r="BO96">
            <v>0</v>
          </cell>
          <cell r="BP96">
            <v>0</v>
          </cell>
          <cell r="BQ96">
            <v>0</v>
          </cell>
          <cell r="BR96">
            <v>0</v>
          </cell>
          <cell r="BS96">
            <v>0</v>
          </cell>
          <cell r="BT96">
            <v>0</v>
          </cell>
          <cell r="BU96">
            <v>0</v>
          </cell>
          <cell r="BV96">
            <v>0</v>
          </cell>
          <cell r="BW96">
            <v>0</v>
          </cell>
          <cell r="BX96">
            <v>0</v>
          </cell>
          <cell r="BY96">
            <v>0</v>
          </cell>
          <cell r="BZ96">
            <v>0</v>
          </cell>
          <cell r="CA96">
            <v>0</v>
          </cell>
          <cell r="CB96">
            <v>0</v>
          </cell>
          <cell r="CC96">
            <v>0</v>
          </cell>
          <cell r="CD96">
            <v>0</v>
          </cell>
          <cell r="CE96">
            <v>0</v>
          </cell>
          <cell r="CF96">
            <v>0</v>
          </cell>
          <cell r="CG96">
            <v>0</v>
          </cell>
          <cell r="CH96">
            <v>0</v>
          </cell>
          <cell r="CI96">
            <v>0</v>
          </cell>
          <cell r="CJ96">
            <v>0</v>
          </cell>
          <cell r="CK96">
            <v>0</v>
          </cell>
          <cell r="CL96">
            <v>0</v>
          </cell>
          <cell r="CM96">
            <v>0</v>
          </cell>
          <cell r="CN96">
            <v>0</v>
          </cell>
          <cell r="CO96">
            <v>0</v>
          </cell>
          <cell r="CP96">
            <v>0</v>
          </cell>
          <cell r="CQ96">
            <v>0</v>
          </cell>
          <cell r="CR96">
            <v>0</v>
          </cell>
          <cell r="CS96">
            <v>0</v>
          </cell>
          <cell r="CT96">
            <v>0</v>
          </cell>
          <cell r="CU96">
            <v>0</v>
          </cell>
          <cell r="CV96">
            <v>0</v>
          </cell>
          <cell r="CW96">
            <v>0</v>
          </cell>
          <cell r="CX96">
            <v>0</v>
          </cell>
          <cell r="CY96">
            <v>0</v>
          </cell>
          <cell r="CZ96">
            <v>0</v>
          </cell>
          <cell r="DA96">
            <v>0</v>
          </cell>
          <cell r="DB96">
            <v>0</v>
          </cell>
          <cell r="DC96">
            <v>0</v>
          </cell>
          <cell r="DD96">
            <v>0</v>
          </cell>
          <cell r="DE96">
            <v>0</v>
          </cell>
          <cell r="DF96">
            <v>0</v>
          </cell>
          <cell r="DG96">
            <v>0</v>
          </cell>
          <cell r="DH96">
            <v>0</v>
          </cell>
          <cell r="DI96">
            <v>0</v>
          </cell>
          <cell r="DJ96">
            <v>0</v>
          </cell>
          <cell r="DK96">
            <v>0</v>
          </cell>
          <cell r="DL96">
            <v>0</v>
          </cell>
          <cell r="DM96">
            <v>0</v>
          </cell>
          <cell r="DN96">
            <v>0</v>
          </cell>
          <cell r="DO96">
            <v>0</v>
          </cell>
          <cell r="DP96">
            <v>0</v>
          </cell>
          <cell r="DQ96">
            <v>0</v>
          </cell>
          <cell r="DR96">
            <v>0</v>
          </cell>
          <cell r="DS96">
            <v>0</v>
          </cell>
          <cell r="DT96">
            <v>0</v>
          </cell>
          <cell r="DU96">
            <v>0</v>
          </cell>
          <cell r="DV96">
            <v>0</v>
          </cell>
          <cell r="DW96">
            <v>0</v>
          </cell>
          <cell r="DX96">
            <v>0</v>
          </cell>
          <cell r="DY96">
            <v>0</v>
          </cell>
          <cell r="EA96">
            <v>0</v>
          </cell>
          <cell r="EB96">
            <v>0</v>
          </cell>
          <cell r="EC96">
            <v>0</v>
          </cell>
          <cell r="ED96">
            <v>0.05</v>
          </cell>
          <cell r="EE96">
            <v>0.09</v>
          </cell>
          <cell r="EF96">
            <v>0.08</v>
          </cell>
          <cell r="EG96">
            <v>0.17</v>
          </cell>
          <cell r="EH96">
            <v>1</v>
          </cell>
          <cell r="EI96">
            <v>1</v>
          </cell>
          <cell r="EJ96">
            <v>1</v>
          </cell>
          <cell r="EK96">
            <v>1</v>
          </cell>
          <cell r="EL96">
            <v>0.05</v>
          </cell>
          <cell r="EM96">
            <v>0.14000000000000001</v>
          </cell>
          <cell r="EN96">
            <v>0.11</v>
          </cell>
          <cell r="EO96">
            <v>0.2</v>
          </cell>
          <cell r="EP96">
            <v>0</v>
          </cell>
          <cell r="EQ96">
            <v>0</v>
          </cell>
          <cell r="ER96">
            <v>0</v>
          </cell>
          <cell r="ES96">
            <v>0</v>
          </cell>
          <cell r="ET96">
            <v>0</v>
          </cell>
          <cell r="EU96">
            <v>0</v>
          </cell>
          <cell r="EV96">
            <v>0</v>
          </cell>
          <cell r="EW96">
            <v>0</v>
          </cell>
          <cell r="EX96">
            <v>1</v>
          </cell>
          <cell r="EY96">
            <v>1</v>
          </cell>
          <cell r="EZ96">
            <v>1</v>
          </cell>
          <cell r="FA96">
            <v>0</v>
          </cell>
          <cell r="FB96">
            <v>0</v>
          </cell>
          <cell r="FC96">
            <v>0</v>
          </cell>
          <cell r="FD96">
            <v>0</v>
          </cell>
          <cell r="FE96">
            <v>0</v>
          </cell>
          <cell r="FF96">
            <v>0</v>
          </cell>
          <cell r="FG96">
            <v>0</v>
          </cell>
          <cell r="FH96">
            <v>0</v>
          </cell>
          <cell r="FI96">
            <v>0</v>
          </cell>
          <cell r="FJ96">
            <v>0</v>
          </cell>
          <cell r="FK96">
            <v>0</v>
          </cell>
          <cell r="FL96">
            <v>0</v>
          </cell>
          <cell r="FM96">
            <v>0</v>
          </cell>
          <cell r="FN96">
            <v>0</v>
          </cell>
          <cell r="FO96">
            <v>0</v>
          </cell>
          <cell r="FP96">
            <v>0</v>
          </cell>
          <cell r="FQ96">
            <v>0</v>
          </cell>
          <cell r="FR96">
            <v>0</v>
          </cell>
          <cell r="FS96">
            <v>0</v>
          </cell>
          <cell r="FT96">
            <v>0</v>
          </cell>
          <cell r="FU96">
            <v>0</v>
          </cell>
          <cell r="FV96">
            <v>0</v>
          </cell>
          <cell r="FW96">
            <v>0</v>
          </cell>
          <cell r="FX96">
            <v>0</v>
          </cell>
          <cell r="FY96">
            <v>0</v>
          </cell>
          <cell r="FZ96">
            <v>0</v>
          </cell>
        </row>
        <row r="97">
          <cell r="A97" t="str">
            <v>F_CNP_NRF_RIS_IND_FRCE_272</v>
          </cell>
          <cell r="B97">
            <v>0.1</v>
          </cell>
          <cell r="C97">
            <v>0.08</v>
          </cell>
          <cell r="D97">
            <v>0.15</v>
          </cell>
          <cell r="E97">
            <v>0.08</v>
          </cell>
          <cell r="F97">
            <v>0.15</v>
          </cell>
          <cell r="G97">
            <v>0.22</v>
          </cell>
          <cell r="H97">
            <v>7.0000000000000007E-2</v>
          </cell>
          <cell r="I97">
            <v>0.05</v>
          </cell>
          <cell r="J97">
            <v>0.13</v>
          </cell>
          <cell r="K97">
            <v>0.18</v>
          </cell>
          <cell r="L97">
            <v>0.17</v>
          </cell>
          <cell r="M97">
            <v>0.16</v>
          </cell>
          <cell r="N97">
            <v>0.8</v>
          </cell>
          <cell r="O97">
            <v>1</v>
          </cell>
          <cell r="P97">
            <v>1</v>
          </cell>
          <cell r="Q97">
            <v>0.8</v>
          </cell>
          <cell r="R97">
            <v>0.8</v>
          </cell>
          <cell r="S97">
            <v>1</v>
          </cell>
          <cell r="T97">
            <v>1</v>
          </cell>
          <cell r="U97">
            <v>1</v>
          </cell>
          <cell r="V97">
            <v>1</v>
          </cell>
          <cell r="W97">
            <v>1</v>
          </cell>
          <cell r="X97">
            <v>1</v>
          </cell>
          <cell r="Y97">
            <v>1</v>
          </cell>
          <cell r="Z97">
            <v>0.1</v>
          </cell>
          <cell r="AA97">
            <v>0.1</v>
          </cell>
          <cell r="AB97">
            <v>0.14000000000000001</v>
          </cell>
          <cell r="AC97">
            <v>0.11</v>
          </cell>
          <cell r="AD97">
            <v>0.11</v>
          </cell>
          <cell r="AE97">
            <v>0.19</v>
          </cell>
          <cell r="AF97">
            <v>0.09</v>
          </cell>
          <cell r="AG97">
            <v>0.11</v>
          </cell>
          <cell r="AH97">
            <v>0.15</v>
          </cell>
          <cell r="AI97">
            <v>0.2</v>
          </cell>
          <cell r="AJ97">
            <v>0.2</v>
          </cell>
          <cell r="AK97">
            <v>0.2</v>
          </cell>
          <cell r="AL97">
            <v>0</v>
          </cell>
          <cell r="AM97">
            <v>0</v>
          </cell>
          <cell r="AN97">
            <v>0</v>
          </cell>
          <cell r="AO97">
            <v>0</v>
          </cell>
          <cell r="AP97">
            <v>0</v>
          </cell>
          <cell r="AQ97">
            <v>0</v>
          </cell>
          <cell r="AR97">
            <v>0</v>
          </cell>
          <cell r="AS97">
            <v>0</v>
          </cell>
          <cell r="AT97">
            <v>0</v>
          </cell>
          <cell r="AU97">
            <v>0</v>
          </cell>
          <cell r="AV97">
            <v>0</v>
          </cell>
          <cell r="AW97">
            <v>0</v>
          </cell>
          <cell r="AX97">
            <v>0</v>
          </cell>
          <cell r="AY97">
            <v>0</v>
          </cell>
          <cell r="AZ97">
            <v>0</v>
          </cell>
          <cell r="BA97">
            <v>0</v>
          </cell>
          <cell r="BB97">
            <v>0</v>
          </cell>
          <cell r="BC97">
            <v>0</v>
          </cell>
          <cell r="BD97">
            <v>0</v>
          </cell>
          <cell r="BE97">
            <v>0</v>
          </cell>
          <cell r="BF97">
            <v>0</v>
          </cell>
          <cell r="BG97">
            <v>0</v>
          </cell>
          <cell r="BH97">
            <v>0</v>
          </cell>
          <cell r="BI97">
            <v>0</v>
          </cell>
          <cell r="BJ97">
            <v>0</v>
          </cell>
          <cell r="BK97">
            <v>0</v>
          </cell>
          <cell r="BL97">
            <v>0</v>
          </cell>
          <cell r="BM97">
            <v>0</v>
          </cell>
          <cell r="BN97">
            <v>0</v>
          </cell>
          <cell r="BO97">
            <v>0</v>
          </cell>
          <cell r="BP97">
            <v>0</v>
          </cell>
          <cell r="BQ97">
            <v>0</v>
          </cell>
          <cell r="BR97">
            <v>0</v>
          </cell>
          <cell r="BS97">
            <v>0</v>
          </cell>
          <cell r="BT97">
            <v>0</v>
          </cell>
          <cell r="BU97">
            <v>0</v>
          </cell>
          <cell r="BV97">
            <v>0</v>
          </cell>
          <cell r="BW97">
            <v>0</v>
          </cell>
          <cell r="BX97">
            <v>0</v>
          </cell>
          <cell r="BY97">
            <v>0</v>
          </cell>
          <cell r="BZ97">
            <v>0</v>
          </cell>
          <cell r="CA97">
            <v>0</v>
          </cell>
          <cell r="CB97">
            <v>0</v>
          </cell>
          <cell r="CC97">
            <v>0</v>
          </cell>
          <cell r="CD97">
            <v>0</v>
          </cell>
          <cell r="CE97">
            <v>0</v>
          </cell>
          <cell r="CF97">
            <v>0</v>
          </cell>
          <cell r="CG97">
            <v>0</v>
          </cell>
          <cell r="CH97">
            <v>0</v>
          </cell>
          <cell r="CI97">
            <v>0</v>
          </cell>
          <cell r="CJ97">
            <v>0</v>
          </cell>
          <cell r="CK97">
            <v>0</v>
          </cell>
          <cell r="CL97">
            <v>0</v>
          </cell>
          <cell r="CM97">
            <v>0</v>
          </cell>
          <cell r="CN97">
            <v>0</v>
          </cell>
          <cell r="CO97">
            <v>0</v>
          </cell>
          <cell r="CP97">
            <v>0</v>
          </cell>
          <cell r="CQ97">
            <v>0</v>
          </cell>
          <cell r="CR97">
            <v>0</v>
          </cell>
          <cell r="CS97">
            <v>0</v>
          </cell>
          <cell r="CT97">
            <v>0</v>
          </cell>
          <cell r="CU97">
            <v>0</v>
          </cell>
          <cell r="CV97">
            <v>0</v>
          </cell>
          <cell r="CW97">
            <v>0</v>
          </cell>
          <cell r="CX97">
            <v>0</v>
          </cell>
          <cell r="CY97">
            <v>0</v>
          </cell>
          <cell r="CZ97">
            <v>0</v>
          </cell>
          <cell r="DA97">
            <v>0</v>
          </cell>
          <cell r="DB97">
            <v>0</v>
          </cell>
          <cell r="DC97">
            <v>0</v>
          </cell>
          <cell r="DD97">
            <v>0</v>
          </cell>
          <cell r="DE97">
            <v>0</v>
          </cell>
          <cell r="DF97">
            <v>0</v>
          </cell>
          <cell r="DG97">
            <v>0</v>
          </cell>
          <cell r="DH97">
            <v>0</v>
          </cell>
          <cell r="DI97">
            <v>0</v>
          </cell>
          <cell r="DJ97">
            <v>0</v>
          </cell>
          <cell r="DK97">
            <v>0</v>
          </cell>
          <cell r="DL97">
            <v>0</v>
          </cell>
          <cell r="DM97">
            <v>0</v>
          </cell>
          <cell r="DN97">
            <v>0</v>
          </cell>
          <cell r="DO97">
            <v>0</v>
          </cell>
          <cell r="DP97">
            <v>0</v>
          </cell>
          <cell r="DQ97">
            <v>0</v>
          </cell>
          <cell r="DR97">
            <v>0</v>
          </cell>
          <cell r="DS97">
            <v>0</v>
          </cell>
          <cell r="DT97">
            <v>0</v>
          </cell>
          <cell r="DU97">
            <v>0</v>
          </cell>
          <cell r="DV97">
            <v>0</v>
          </cell>
          <cell r="DW97">
            <v>0</v>
          </cell>
          <cell r="DX97">
            <v>0</v>
          </cell>
          <cell r="DY97">
            <v>0</v>
          </cell>
          <cell r="EA97">
            <v>0</v>
          </cell>
          <cell r="EB97">
            <v>0</v>
          </cell>
          <cell r="EC97">
            <v>0</v>
          </cell>
          <cell r="ED97">
            <v>0.05</v>
          </cell>
          <cell r="EE97">
            <v>0.09</v>
          </cell>
          <cell r="EF97">
            <v>0.08</v>
          </cell>
          <cell r="EG97">
            <v>0.17</v>
          </cell>
          <cell r="EH97">
            <v>1</v>
          </cell>
          <cell r="EI97">
            <v>1</v>
          </cell>
          <cell r="EJ97">
            <v>1</v>
          </cell>
          <cell r="EK97">
            <v>1</v>
          </cell>
          <cell r="EL97">
            <v>0.05</v>
          </cell>
          <cell r="EM97">
            <v>0.14000000000000001</v>
          </cell>
          <cell r="EN97">
            <v>0.11</v>
          </cell>
          <cell r="EO97">
            <v>0.2</v>
          </cell>
          <cell r="EP97">
            <v>0</v>
          </cell>
          <cell r="EQ97">
            <v>0</v>
          </cell>
          <cell r="ER97">
            <v>0</v>
          </cell>
          <cell r="ES97">
            <v>0</v>
          </cell>
          <cell r="ET97">
            <v>0</v>
          </cell>
          <cell r="EU97">
            <v>0</v>
          </cell>
          <cell r="EV97">
            <v>0</v>
          </cell>
          <cell r="EW97">
            <v>0</v>
          </cell>
          <cell r="EX97">
            <v>1</v>
          </cell>
          <cell r="EY97">
            <v>1</v>
          </cell>
          <cell r="EZ97">
            <v>1</v>
          </cell>
          <cell r="FA97">
            <v>0</v>
          </cell>
          <cell r="FB97">
            <v>0</v>
          </cell>
          <cell r="FC97">
            <v>0</v>
          </cell>
          <cell r="FD97">
            <v>0</v>
          </cell>
          <cell r="FE97">
            <v>0</v>
          </cell>
          <cell r="FF97">
            <v>0</v>
          </cell>
          <cell r="FG97">
            <v>0</v>
          </cell>
          <cell r="FH97">
            <v>0</v>
          </cell>
          <cell r="FI97">
            <v>0</v>
          </cell>
          <cell r="FJ97">
            <v>0</v>
          </cell>
          <cell r="FK97">
            <v>0</v>
          </cell>
          <cell r="FL97">
            <v>0</v>
          </cell>
          <cell r="FM97">
            <v>0</v>
          </cell>
          <cell r="FN97">
            <v>0</v>
          </cell>
          <cell r="FO97">
            <v>0</v>
          </cell>
          <cell r="FP97">
            <v>0</v>
          </cell>
          <cell r="FQ97">
            <v>0</v>
          </cell>
          <cell r="FR97">
            <v>0</v>
          </cell>
          <cell r="FS97">
            <v>0</v>
          </cell>
          <cell r="FT97">
            <v>0</v>
          </cell>
          <cell r="FU97">
            <v>0</v>
          </cell>
          <cell r="FV97">
            <v>0</v>
          </cell>
          <cell r="FW97">
            <v>0</v>
          </cell>
          <cell r="FX97">
            <v>0</v>
          </cell>
          <cell r="FY97">
            <v>0</v>
          </cell>
          <cell r="FZ97">
            <v>0</v>
          </cell>
        </row>
        <row r="98">
          <cell r="A98" t="str">
            <v>F_CNP_NRF_RIS_IND_FRCE_EVJ</v>
          </cell>
          <cell r="B98">
            <v>0.1</v>
          </cell>
          <cell r="C98">
            <v>0.08</v>
          </cell>
          <cell r="D98">
            <v>0.15</v>
          </cell>
          <cell r="E98">
            <v>0.08</v>
          </cell>
          <cell r="F98">
            <v>0.15</v>
          </cell>
          <cell r="G98">
            <v>0.22</v>
          </cell>
          <cell r="H98">
            <v>7.0000000000000007E-2</v>
          </cell>
          <cell r="I98">
            <v>0.05</v>
          </cell>
          <cell r="J98">
            <v>0.13</v>
          </cell>
          <cell r="K98">
            <v>0.18</v>
          </cell>
          <cell r="L98">
            <v>0.17</v>
          </cell>
          <cell r="M98">
            <v>0.16</v>
          </cell>
          <cell r="N98">
            <v>0.8</v>
          </cell>
          <cell r="O98">
            <v>1</v>
          </cell>
          <cell r="P98">
            <v>1</v>
          </cell>
          <cell r="Q98">
            <v>0.8</v>
          </cell>
          <cell r="R98">
            <v>0.8</v>
          </cell>
          <cell r="S98">
            <v>1</v>
          </cell>
          <cell r="T98">
            <v>1</v>
          </cell>
          <cell r="U98">
            <v>1</v>
          </cell>
          <cell r="V98">
            <v>1</v>
          </cell>
          <cell r="W98">
            <v>1</v>
          </cell>
          <cell r="X98">
            <v>1</v>
          </cell>
          <cell r="Y98">
            <v>1</v>
          </cell>
          <cell r="Z98">
            <v>0.1</v>
          </cell>
          <cell r="AA98">
            <v>0.1</v>
          </cell>
          <cell r="AB98">
            <v>0.14000000000000001</v>
          </cell>
          <cell r="AC98">
            <v>0.11</v>
          </cell>
          <cell r="AD98">
            <v>0.11</v>
          </cell>
          <cell r="AE98">
            <v>0.19</v>
          </cell>
          <cell r="AF98">
            <v>0.09</v>
          </cell>
          <cell r="AG98">
            <v>0.11</v>
          </cell>
          <cell r="AH98">
            <v>0.15</v>
          </cell>
          <cell r="AI98">
            <v>0.2</v>
          </cell>
          <cell r="AJ98">
            <v>0.2</v>
          </cell>
          <cell r="AK98">
            <v>0.2</v>
          </cell>
          <cell r="AL98">
            <v>0</v>
          </cell>
          <cell r="AM98">
            <v>0</v>
          </cell>
          <cell r="AN98">
            <v>0</v>
          </cell>
          <cell r="AO98">
            <v>0</v>
          </cell>
          <cell r="AP98">
            <v>0</v>
          </cell>
          <cell r="AQ98">
            <v>0</v>
          </cell>
          <cell r="AR98">
            <v>0</v>
          </cell>
          <cell r="AS98">
            <v>0</v>
          </cell>
          <cell r="AT98">
            <v>0</v>
          </cell>
          <cell r="AU98">
            <v>0</v>
          </cell>
          <cell r="AV98">
            <v>0</v>
          </cell>
          <cell r="AW98">
            <v>0</v>
          </cell>
          <cell r="AX98">
            <v>0</v>
          </cell>
          <cell r="AY98">
            <v>0</v>
          </cell>
          <cell r="AZ98">
            <v>0</v>
          </cell>
          <cell r="BA98">
            <v>0</v>
          </cell>
          <cell r="BB98">
            <v>0</v>
          </cell>
          <cell r="BC98">
            <v>0</v>
          </cell>
          <cell r="BD98">
            <v>0</v>
          </cell>
          <cell r="BE98">
            <v>0</v>
          </cell>
          <cell r="BF98">
            <v>0</v>
          </cell>
          <cell r="BG98">
            <v>0</v>
          </cell>
          <cell r="BH98">
            <v>0</v>
          </cell>
          <cell r="BI98">
            <v>0</v>
          </cell>
          <cell r="BJ98">
            <v>0</v>
          </cell>
          <cell r="BK98">
            <v>0</v>
          </cell>
          <cell r="BL98">
            <v>0</v>
          </cell>
          <cell r="BM98">
            <v>0</v>
          </cell>
          <cell r="BN98">
            <v>0</v>
          </cell>
          <cell r="BO98">
            <v>0</v>
          </cell>
          <cell r="BP98">
            <v>0</v>
          </cell>
          <cell r="BQ98">
            <v>0</v>
          </cell>
          <cell r="BR98">
            <v>0</v>
          </cell>
          <cell r="BS98">
            <v>0</v>
          </cell>
          <cell r="BT98">
            <v>0</v>
          </cell>
          <cell r="BU98">
            <v>0</v>
          </cell>
          <cell r="BV98">
            <v>0</v>
          </cell>
          <cell r="BW98">
            <v>0</v>
          </cell>
          <cell r="BX98">
            <v>0</v>
          </cell>
          <cell r="BY98">
            <v>0</v>
          </cell>
          <cell r="BZ98">
            <v>0</v>
          </cell>
          <cell r="CA98">
            <v>0</v>
          </cell>
          <cell r="CB98">
            <v>0</v>
          </cell>
          <cell r="CC98">
            <v>0</v>
          </cell>
          <cell r="CD98">
            <v>0</v>
          </cell>
          <cell r="CE98">
            <v>0</v>
          </cell>
          <cell r="CF98">
            <v>0</v>
          </cell>
          <cell r="CG98">
            <v>0</v>
          </cell>
          <cell r="CH98">
            <v>0</v>
          </cell>
          <cell r="CI98">
            <v>0</v>
          </cell>
          <cell r="CJ98">
            <v>0</v>
          </cell>
          <cell r="CK98">
            <v>0</v>
          </cell>
          <cell r="CL98">
            <v>0</v>
          </cell>
          <cell r="CM98">
            <v>0</v>
          </cell>
          <cell r="CN98">
            <v>0</v>
          </cell>
          <cell r="CO98">
            <v>0</v>
          </cell>
          <cell r="CP98">
            <v>0</v>
          </cell>
          <cell r="CQ98">
            <v>0</v>
          </cell>
          <cell r="CR98">
            <v>0</v>
          </cell>
          <cell r="CS98">
            <v>0</v>
          </cell>
          <cell r="CT98">
            <v>0</v>
          </cell>
          <cell r="CU98">
            <v>0</v>
          </cell>
          <cell r="CV98">
            <v>0</v>
          </cell>
          <cell r="CW98">
            <v>0</v>
          </cell>
          <cell r="CX98">
            <v>0</v>
          </cell>
          <cell r="CY98">
            <v>0</v>
          </cell>
          <cell r="CZ98">
            <v>0</v>
          </cell>
          <cell r="DA98">
            <v>0</v>
          </cell>
          <cell r="DB98">
            <v>0</v>
          </cell>
          <cell r="DC98">
            <v>0</v>
          </cell>
          <cell r="DD98">
            <v>0</v>
          </cell>
          <cell r="DE98">
            <v>0</v>
          </cell>
          <cell r="DF98">
            <v>0</v>
          </cell>
          <cell r="DG98">
            <v>0</v>
          </cell>
          <cell r="DH98">
            <v>0</v>
          </cell>
          <cell r="DI98">
            <v>0</v>
          </cell>
          <cell r="DJ98">
            <v>0</v>
          </cell>
          <cell r="DK98">
            <v>0</v>
          </cell>
          <cell r="DL98">
            <v>0</v>
          </cell>
          <cell r="DM98">
            <v>0</v>
          </cell>
          <cell r="DN98">
            <v>0</v>
          </cell>
          <cell r="DO98">
            <v>0</v>
          </cell>
          <cell r="DP98">
            <v>0</v>
          </cell>
          <cell r="DQ98">
            <v>0</v>
          </cell>
          <cell r="DR98">
            <v>0</v>
          </cell>
          <cell r="DS98">
            <v>0</v>
          </cell>
          <cell r="DT98">
            <v>0</v>
          </cell>
          <cell r="DU98">
            <v>0</v>
          </cell>
          <cell r="DV98">
            <v>0</v>
          </cell>
          <cell r="DW98">
            <v>0</v>
          </cell>
          <cell r="DX98">
            <v>0</v>
          </cell>
          <cell r="DY98">
            <v>0</v>
          </cell>
          <cell r="EA98">
            <v>0</v>
          </cell>
          <cell r="EB98">
            <v>0</v>
          </cell>
          <cell r="EC98">
            <v>0</v>
          </cell>
          <cell r="ED98">
            <v>0.05</v>
          </cell>
          <cell r="EE98">
            <v>0.09</v>
          </cell>
          <cell r="EF98">
            <v>0.08</v>
          </cell>
          <cell r="EG98">
            <v>0.17</v>
          </cell>
          <cell r="EH98">
            <v>1</v>
          </cell>
          <cell r="EI98">
            <v>1</v>
          </cell>
          <cell r="EJ98">
            <v>1</v>
          </cell>
          <cell r="EK98">
            <v>1</v>
          </cell>
          <cell r="EL98">
            <v>0.05</v>
          </cell>
          <cell r="EM98">
            <v>0.14000000000000001</v>
          </cell>
          <cell r="EN98">
            <v>0.11</v>
          </cell>
          <cell r="EO98">
            <v>0.2</v>
          </cell>
          <cell r="EP98">
            <v>0</v>
          </cell>
          <cell r="EQ98">
            <v>0</v>
          </cell>
          <cell r="ER98">
            <v>0</v>
          </cell>
          <cell r="ES98">
            <v>0</v>
          </cell>
          <cell r="ET98">
            <v>0</v>
          </cell>
          <cell r="EU98">
            <v>0</v>
          </cell>
          <cell r="EV98">
            <v>0</v>
          </cell>
          <cell r="EW98">
            <v>0</v>
          </cell>
          <cell r="EX98">
            <v>1</v>
          </cell>
          <cell r="EY98">
            <v>1</v>
          </cell>
          <cell r="EZ98">
            <v>1</v>
          </cell>
          <cell r="FA98">
            <v>0</v>
          </cell>
          <cell r="FB98">
            <v>0</v>
          </cell>
          <cell r="FC98">
            <v>0</v>
          </cell>
          <cell r="FD98">
            <v>0</v>
          </cell>
          <cell r="FE98">
            <v>0</v>
          </cell>
          <cell r="FF98">
            <v>0</v>
          </cell>
          <cell r="FG98">
            <v>0</v>
          </cell>
          <cell r="FH98">
            <v>0</v>
          </cell>
          <cell r="FI98">
            <v>0</v>
          </cell>
          <cell r="FJ98">
            <v>0</v>
          </cell>
          <cell r="FK98">
            <v>0</v>
          </cell>
          <cell r="FL98">
            <v>0</v>
          </cell>
          <cell r="FM98">
            <v>0</v>
          </cell>
          <cell r="FN98">
            <v>0</v>
          </cell>
          <cell r="FO98">
            <v>0</v>
          </cell>
          <cell r="FP98">
            <v>0</v>
          </cell>
          <cell r="FQ98">
            <v>0</v>
          </cell>
          <cell r="FR98">
            <v>0</v>
          </cell>
          <cell r="FS98">
            <v>0</v>
          </cell>
          <cell r="FT98">
            <v>0</v>
          </cell>
          <cell r="FU98">
            <v>0</v>
          </cell>
          <cell r="FV98">
            <v>0</v>
          </cell>
          <cell r="FW98">
            <v>0</v>
          </cell>
          <cell r="FX98">
            <v>0</v>
          </cell>
          <cell r="FY98">
            <v>0</v>
          </cell>
          <cell r="FZ98">
            <v>0</v>
          </cell>
        </row>
        <row r="99">
          <cell r="A99" t="str">
            <v>F_CNP_NRF_RIS_IND_FRCE_ECF</v>
          </cell>
          <cell r="B99">
            <v>0.1</v>
          </cell>
          <cell r="C99">
            <v>0.08</v>
          </cell>
          <cell r="D99">
            <v>0.15</v>
          </cell>
          <cell r="E99">
            <v>0.08</v>
          </cell>
          <cell r="F99">
            <v>0.15</v>
          </cell>
          <cell r="G99">
            <v>0.22</v>
          </cell>
          <cell r="H99">
            <v>7.0000000000000007E-2</v>
          </cell>
          <cell r="I99">
            <v>0.05</v>
          </cell>
          <cell r="J99">
            <v>0.13</v>
          </cell>
          <cell r="K99">
            <v>0.18</v>
          </cell>
          <cell r="L99">
            <v>0.17</v>
          </cell>
          <cell r="M99">
            <v>0.16</v>
          </cell>
          <cell r="N99">
            <v>0.8</v>
          </cell>
          <cell r="O99">
            <v>1</v>
          </cell>
          <cell r="P99">
            <v>1</v>
          </cell>
          <cell r="Q99">
            <v>0.8</v>
          </cell>
          <cell r="R99">
            <v>0.8</v>
          </cell>
          <cell r="S99">
            <v>1</v>
          </cell>
          <cell r="T99">
            <v>1</v>
          </cell>
          <cell r="U99">
            <v>1</v>
          </cell>
          <cell r="V99">
            <v>1</v>
          </cell>
          <cell r="W99">
            <v>1</v>
          </cell>
          <cell r="X99">
            <v>1</v>
          </cell>
          <cell r="Y99">
            <v>1</v>
          </cell>
          <cell r="Z99">
            <v>0.1</v>
          </cell>
          <cell r="AA99">
            <v>0.1</v>
          </cell>
          <cell r="AB99">
            <v>0.14000000000000001</v>
          </cell>
          <cell r="AC99">
            <v>0.11</v>
          </cell>
          <cell r="AD99">
            <v>0.11</v>
          </cell>
          <cell r="AE99">
            <v>0.19</v>
          </cell>
          <cell r="AF99">
            <v>0.09</v>
          </cell>
          <cell r="AG99">
            <v>0.11</v>
          </cell>
          <cell r="AH99">
            <v>0.15</v>
          </cell>
          <cell r="AI99">
            <v>0.2</v>
          </cell>
          <cell r="AJ99">
            <v>0.2</v>
          </cell>
          <cell r="AK99">
            <v>0.2</v>
          </cell>
          <cell r="AL99">
            <v>0</v>
          </cell>
          <cell r="AM99">
            <v>0</v>
          </cell>
          <cell r="AN99">
            <v>0</v>
          </cell>
          <cell r="AO99">
            <v>0</v>
          </cell>
          <cell r="AP99">
            <v>0</v>
          </cell>
          <cell r="AQ99">
            <v>0</v>
          </cell>
          <cell r="AR99">
            <v>0</v>
          </cell>
          <cell r="AS99">
            <v>0</v>
          </cell>
          <cell r="AT99">
            <v>0</v>
          </cell>
          <cell r="AU99">
            <v>0</v>
          </cell>
          <cell r="AV99">
            <v>0</v>
          </cell>
          <cell r="AW99">
            <v>0</v>
          </cell>
          <cell r="AX99">
            <v>0</v>
          </cell>
          <cell r="AY99">
            <v>0</v>
          </cell>
          <cell r="AZ99">
            <v>0</v>
          </cell>
          <cell r="BA99">
            <v>0</v>
          </cell>
          <cell r="BB99">
            <v>0</v>
          </cell>
          <cell r="BC99">
            <v>0</v>
          </cell>
          <cell r="BD99">
            <v>0</v>
          </cell>
          <cell r="BE99">
            <v>0</v>
          </cell>
          <cell r="BF99">
            <v>0</v>
          </cell>
          <cell r="BG99">
            <v>0</v>
          </cell>
          <cell r="BH99">
            <v>0</v>
          </cell>
          <cell r="BI99">
            <v>0</v>
          </cell>
          <cell r="BJ99">
            <v>0</v>
          </cell>
          <cell r="BK99">
            <v>0</v>
          </cell>
          <cell r="BL99">
            <v>0</v>
          </cell>
          <cell r="BM99">
            <v>0</v>
          </cell>
          <cell r="BN99">
            <v>0</v>
          </cell>
          <cell r="BO99">
            <v>0</v>
          </cell>
          <cell r="BP99">
            <v>0</v>
          </cell>
          <cell r="BQ99">
            <v>0</v>
          </cell>
          <cell r="BR99">
            <v>0</v>
          </cell>
          <cell r="BS99">
            <v>0</v>
          </cell>
          <cell r="BT99">
            <v>0</v>
          </cell>
          <cell r="BU99">
            <v>0</v>
          </cell>
          <cell r="BV99">
            <v>0</v>
          </cell>
          <cell r="BW99">
            <v>0</v>
          </cell>
          <cell r="BX99">
            <v>0</v>
          </cell>
          <cell r="BY99">
            <v>0</v>
          </cell>
          <cell r="BZ99">
            <v>0</v>
          </cell>
          <cell r="CA99">
            <v>0</v>
          </cell>
          <cell r="CB99">
            <v>0</v>
          </cell>
          <cell r="CC99">
            <v>0</v>
          </cell>
          <cell r="CD99">
            <v>0</v>
          </cell>
          <cell r="CE99">
            <v>0</v>
          </cell>
          <cell r="CF99">
            <v>0</v>
          </cell>
          <cell r="CG99">
            <v>0</v>
          </cell>
          <cell r="CH99">
            <v>0</v>
          </cell>
          <cell r="CI99">
            <v>0</v>
          </cell>
          <cell r="CJ99">
            <v>0</v>
          </cell>
          <cell r="CK99">
            <v>0</v>
          </cell>
          <cell r="CL99">
            <v>0</v>
          </cell>
          <cell r="CM99">
            <v>0</v>
          </cell>
          <cell r="CN99">
            <v>0</v>
          </cell>
          <cell r="CO99">
            <v>0</v>
          </cell>
          <cell r="CP99">
            <v>0</v>
          </cell>
          <cell r="CQ99">
            <v>0</v>
          </cell>
          <cell r="CR99">
            <v>0</v>
          </cell>
          <cell r="CS99">
            <v>0</v>
          </cell>
          <cell r="CT99">
            <v>0</v>
          </cell>
          <cell r="CU99">
            <v>0</v>
          </cell>
          <cell r="CV99">
            <v>0</v>
          </cell>
          <cell r="CW99">
            <v>0</v>
          </cell>
          <cell r="CX99">
            <v>0</v>
          </cell>
          <cell r="CY99">
            <v>0</v>
          </cell>
          <cell r="CZ99">
            <v>0</v>
          </cell>
          <cell r="DA99">
            <v>0</v>
          </cell>
          <cell r="DB99">
            <v>0</v>
          </cell>
          <cell r="DC99">
            <v>0</v>
          </cell>
          <cell r="DD99">
            <v>0</v>
          </cell>
          <cell r="DE99">
            <v>0</v>
          </cell>
          <cell r="DF99">
            <v>0</v>
          </cell>
          <cell r="DG99">
            <v>0</v>
          </cell>
          <cell r="DH99">
            <v>0</v>
          </cell>
          <cell r="DI99">
            <v>0</v>
          </cell>
          <cell r="DJ99">
            <v>0</v>
          </cell>
          <cell r="DK99">
            <v>0</v>
          </cell>
          <cell r="DL99">
            <v>0</v>
          </cell>
          <cell r="DM99">
            <v>0</v>
          </cell>
          <cell r="DN99">
            <v>0</v>
          </cell>
          <cell r="DO99">
            <v>0</v>
          </cell>
          <cell r="DP99">
            <v>0</v>
          </cell>
          <cell r="DQ99">
            <v>0</v>
          </cell>
          <cell r="DR99">
            <v>0</v>
          </cell>
          <cell r="DS99">
            <v>0</v>
          </cell>
          <cell r="DT99">
            <v>0</v>
          </cell>
          <cell r="DU99">
            <v>0</v>
          </cell>
          <cell r="DV99">
            <v>0</v>
          </cell>
          <cell r="DW99">
            <v>0</v>
          </cell>
          <cell r="DX99">
            <v>0</v>
          </cell>
          <cell r="DY99">
            <v>0</v>
          </cell>
          <cell r="EA99">
            <v>0</v>
          </cell>
          <cell r="EB99">
            <v>0</v>
          </cell>
          <cell r="EC99">
            <v>0</v>
          </cell>
          <cell r="ED99">
            <v>0.05</v>
          </cell>
          <cell r="EE99">
            <v>0.09</v>
          </cell>
          <cell r="EF99">
            <v>0.08</v>
          </cell>
          <cell r="EG99">
            <v>0.17</v>
          </cell>
          <cell r="EH99">
            <v>1</v>
          </cell>
          <cell r="EI99">
            <v>1</v>
          </cell>
          <cell r="EJ99">
            <v>1</v>
          </cell>
          <cell r="EK99">
            <v>1</v>
          </cell>
          <cell r="EL99">
            <v>0.05</v>
          </cell>
          <cell r="EM99">
            <v>0.14000000000000001</v>
          </cell>
          <cell r="EN99">
            <v>0.11</v>
          </cell>
          <cell r="EO99">
            <v>0.2</v>
          </cell>
          <cell r="EP99">
            <v>0</v>
          </cell>
          <cell r="EQ99">
            <v>0</v>
          </cell>
          <cell r="ER99">
            <v>0</v>
          </cell>
          <cell r="ES99">
            <v>0</v>
          </cell>
          <cell r="ET99">
            <v>0</v>
          </cell>
          <cell r="EU99">
            <v>0</v>
          </cell>
          <cell r="EV99">
            <v>0</v>
          </cell>
          <cell r="EW99">
            <v>0</v>
          </cell>
          <cell r="EX99">
            <v>1</v>
          </cell>
          <cell r="EY99">
            <v>1</v>
          </cell>
          <cell r="EZ99">
            <v>1</v>
          </cell>
          <cell r="FA99">
            <v>0</v>
          </cell>
          <cell r="FB99">
            <v>0</v>
          </cell>
          <cell r="FC99">
            <v>0</v>
          </cell>
          <cell r="FD99">
            <v>0</v>
          </cell>
          <cell r="FE99">
            <v>0</v>
          </cell>
          <cell r="FF99">
            <v>0</v>
          </cell>
          <cell r="FG99">
            <v>0</v>
          </cell>
          <cell r="FH99">
            <v>0</v>
          </cell>
          <cell r="FI99">
            <v>0</v>
          </cell>
          <cell r="FJ99">
            <v>0</v>
          </cell>
          <cell r="FK99">
            <v>0</v>
          </cell>
          <cell r="FL99">
            <v>0</v>
          </cell>
          <cell r="FM99">
            <v>0</v>
          </cell>
          <cell r="FN99">
            <v>0</v>
          </cell>
          <cell r="FO99">
            <v>0</v>
          </cell>
          <cell r="FP99">
            <v>0</v>
          </cell>
          <cell r="FQ99">
            <v>0</v>
          </cell>
          <cell r="FR99">
            <v>0</v>
          </cell>
          <cell r="FS99">
            <v>0</v>
          </cell>
          <cell r="FT99">
            <v>0</v>
          </cell>
          <cell r="FU99">
            <v>0</v>
          </cell>
          <cell r="FV99">
            <v>0</v>
          </cell>
          <cell r="FW99">
            <v>0</v>
          </cell>
          <cell r="FX99">
            <v>0</v>
          </cell>
          <cell r="FY99">
            <v>0</v>
          </cell>
          <cell r="FZ99">
            <v>0</v>
          </cell>
        </row>
        <row r="100">
          <cell r="A100" t="str">
            <v>F_CNP_NRF_RIS_COL_FRCE_101</v>
          </cell>
          <cell r="B100">
            <v>0.1</v>
          </cell>
          <cell r="C100">
            <v>0.08</v>
          </cell>
          <cell r="D100">
            <v>0.15</v>
          </cell>
          <cell r="E100">
            <v>0.08</v>
          </cell>
          <cell r="F100">
            <v>0.15</v>
          </cell>
          <cell r="G100">
            <v>0.22</v>
          </cell>
          <cell r="H100">
            <v>7.0000000000000007E-2</v>
          </cell>
          <cell r="I100">
            <v>0.05</v>
          </cell>
          <cell r="J100">
            <v>0.13</v>
          </cell>
          <cell r="K100">
            <v>0.18</v>
          </cell>
          <cell r="L100">
            <v>0.17</v>
          </cell>
          <cell r="M100">
            <v>0.16</v>
          </cell>
          <cell r="N100">
            <v>0.8</v>
          </cell>
          <cell r="O100">
            <v>1</v>
          </cell>
          <cell r="P100">
            <v>1</v>
          </cell>
          <cell r="Q100">
            <v>0.8</v>
          </cell>
          <cell r="R100">
            <v>0.8</v>
          </cell>
          <cell r="S100">
            <v>1</v>
          </cell>
          <cell r="T100">
            <v>1</v>
          </cell>
          <cell r="U100">
            <v>1</v>
          </cell>
          <cell r="V100">
            <v>1</v>
          </cell>
          <cell r="W100">
            <v>1</v>
          </cell>
          <cell r="X100">
            <v>1</v>
          </cell>
          <cell r="Y100">
            <v>1</v>
          </cell>
          <cell r="Z100">
            <v>0.1</v>
          </cell>
          <cell r="AA100">
            <v>0.1</v>
          </cell>
          <cell r="AB100">
            <v>0.14000000000000001</v>
          </cell>
          <cell r="AC100">
            <v>0.11</v>
          </cell>
          <cell r="AD100">
            <v>0.11</v>
          </cell>
          <cell r="AE100">
            <v>0.19</v>
          </cell>
          <cell r="AF100">
            <v>0.09</v>
          </cell>
          <cell r="AG100">
            <v>0.11</v>
          </cell>
          <cell r="AH100">
            <v>0.15</v>
          </cell>
          <cell r="AI100">
            <v>0.2</v>
          </cell>
          <cell r="AJ100">
            <v>0.2</v>
          </cell>
          <cell r="AK100">
            <v>0.2</v>
          </cell>
          <cell r="AL100">
            <v>0</v>
          </cell>
          <cell r="AM100">
            <v>0</v>
          </cell>
          <cell r="AN100">
            <v>0</v>
          </cell>
          <cell r="AO100">
            <v>0</v>
          </cell>
          <cell r="AP100">
            <v>0</v>
          </cell>
          <cell r="AQ100">
            <v>0</v>
          </cell>
          <cell r="AR100">
            <v>0</v>
          </cell>
          <cell r="AS100">
            <v>0</v>
          </cell>
          <cell r="AT100">
            <v>0</v>
          </cell>
          <cell r="AU100">
            <v>0</v>
          </cell>
          <cell r="AV100">
            <v>0</v>
          </cell>
          <cell r="AW100">
            <v>0</v>
          </cell>
          <cell r="AX100">
            <v>0</v>
          </cell>
          <cell r="AY100">
            <v>0</v>
          </cell>
          <cell r="AZ100">
            <v>0</v>
          </cell>
          <cell r="BA100">
            <v>0</v>
          </cell>
          <cell r="BB100">
            <v>0</v>
          </cell>
          <cell r="BC100">
            <v>0</v>
          </cell>
          <cell r="BD100">
            <v>0</v>
          </cell>
          <cell r="BE100">
            <v>0</v>
          </cell>
          <cell r="BF100">
            <v>0</v>
          </cell>
          <cell r="BG100">
            <v>0</v>
          </cell>
          <cell r="BH100">
            <v>0</v>
          </cell>
          <cell r="BI100">
            <v>0</v>
          </cell>
          <cell r="BJ100">
            <v>0</v>
          </cell>
          <cell r="BK100">
            <v>0</v>
          </cell>
          <cell r="BL100">
            <v>0</v>
          </cell>
          <cell r="BM100">
            <v>0</v>
          </cell>
          <cell r="BN100">
            <v>0</v>
          </cell>
          <cell r="BO100">
            <v>0</v>
          </cell>
          <cell r="BP100">
            <v>0</v>
          </cell>
          <cell r="BQ100">
            <v>0</v>
          </cell>
          <cell r="BR100">
            <v>0</v>
          </cell>
          <cell r="BS100">
            <v>0</v>
          </cell>
          <cell r="BT100">
            <v>0</v>
          </cell>
          <cell r="BU100">
            <v>0</v>
          </cell>
          <cell r="BV100">
            <v>0</v>
          </cell>
          <cell r="BW100">
            <v>0</v>
          </cell>
          <cell r="BX100">
            <v>0</v>
          </cell>
          <cell r="BY100">
            <v>0</v>
          </cell>
          <cell r="BZ100">
            <v>0</v>
          </cell>
          <cell r="CA100">
            <v>0</v>
          </cell>
          <cell r="CB100">
            <v>0</v>
          </cell>
          <cell r="CC100">
            <v>0</v>
          </cell>
          <cell r="CD100">
            <v>0</v>
          </cell>
          <cell r="CE100">
            <v>0</v>
          </cell>
          <cell r="CF100">
            <v>0</v>
          </cell>
          <cell r="CG100">
            <v>0</v>
          </cell>
          <cell r="CH100">
            <v>0</v>
          </cell>
          <cell r="CI100">
            <v>0</v>
          </cell>
          <cell r="CJ100">
            <v>0</v>
          </cell>
          <cell r="CK100">
            <v>0</v>
          </cell>
          <cell r="CL100">
            <v>0</v>
          </cell>
          <cell r="CM100">
            <v>0</v>
          </cell>
          <cell r="CN100">
            <v>0</v>
          </cell>
          <cell r="CO100">
            <v>0</v>
          </cell>
          <cell r="CP100">
            <v>0</v>
          </cell>
          <cell r="CQ100">
            <v>0</v>
          </cell>
          <cell r="CR100">
            <v>0</v>
          </cell>
          <cell r="CS100">
            <v>0</v>
          </cell>
          <cell r="CT100">
            <v>0</v>
          </cell>
          <cell r="CU100">
            <v>0</v>
          </cell>
          <cell r="CV100">
            <v>0</v>
          </cell>
          <cell r="CW100">
            <v>0</v>
          </cell>
          <cell r="CX100">
            <v>0</v>
          </cell>
          <cell r="CY100">
            <v>0</v>
          </cell>
          <cell r="CZ100">
            <v>0</v>
          </cell>
          <cell r="DA100">
            <v>0</v>
          </cell>
          <cell r="DB100">
            <v>0</v>
          </cell>
          <cell r="DC100">
            <v>0</v>
          </cell>
          <cell r="DD100">
            <v>0</v>
          </cell>
          <cell r="DE100">
            <v>0</v>
          </cell>
          <cell r="DF100">
            <v>0</v>
          </cell>
          <cell r="DG100">
            <v>0</v>
          </cell>
          <cell r="DH100">
            <v>0</v>
          </cell>
          <cell r="DI100">
            <v>0</v>
          </cell>
          <cell r="DJ100">
            <v>0</v>
          </cell>
          <cell r="DK100">
            <v>0</v>
          </cell>
          <cell r="DL100">
            <v>0</v>
          </cell>
          <cell r="DM100">
            <v>0</v>
          </cell>
          <cell r="DN100">
            <v>0</v>
          </cell>
          <cell r="DO100">
            <v>0</v>
          </cell>
          <cell r="DP100">
            <v>0</v>
          </cell>
          <cell r="DQ100">
            <v>0</v>
          </cell>
          <cell r="DR100">
            <v>0</v>
          </cell>
          <cell r="DS100">
            <v>0</v>
          </cell>
          <cell r="DT100">
            <v>0</v>
          </cell>
          <cell r="DU100">
            <v>0</v>
          </cell>
          <cell r="DV100">
            <v>0</v>
          </cell>
          <cell r="DW100">
            <v>0</v>
          </cell>
          <cell r="DX100">
            <v>0</v>
          </cell>
          <cell r="DY100">
            <v>0</v>
          </cell>
          <cell r="EA100">
            <v>0</v>
          </cell>
          <cell r="EB100">
            <v>0</v>
          </cell>
          <cell r="EC100">
            <v>0</v>
          </cell>
          <cell r="ED100">
            <v>0.05</v>
          </cell>
          <cell r="EE100">
            <v>0.09</v>
          </cell>
          <cell r="EF100">
            <v>0.08</v>
          </cell>
          <cell r="EG100">
            <v>0.17</v>
          </cell>
          <cell r="EH100">
            <v>1</v>
          </cell>
          <cell r="EI100">
            <v>1</v>
          </cell>
          <cell r="EJ100">
            <v>1</v>
          </cell>
          <cell r="EK100">
            <v>1</v>
          </cell>
          <cell r="EL100">
            <v>0.05</v>
          </cell>
          <cell r="EM100">
            <v>0.14000000000000001</v>
          </cell>
          <cell r="EN100">
            <v>0.11</v>
          </cell>
          <cell r="EO100">
            <v>0.2</v>
          </cell>
          <cell r="EP100">
            <v>84330097.900058046</v>
          </cell>
          <cell r="EQ100">
            <v>15300972.17138798</v>
          </cell>
          <cell r="ER100">
            <v>0</v>
          </cell>
          <cell r="ES100">
            <v>0</v>
          </cell>
          <cell r="ET100">
            <v>52185509.025611773</v>
          </cell>
          <cell r="EU100">
            <v>35100642.831356794</v>
          </cell>
          <cell r="EV100">
            <v>0</v>
          </cell>
          <cell r="EW100">
            <v>0</v>
          </cell>
          <cell r="EX100">
            <v>1</v>
          </cell>
          <cell r="EY100">
            <v>1</v>
          </cell>
          <cell r="EZ100">
            <v>1</v>
          </cell>
          <cell r="FA100">
            <v>0</v>
          </cell>
          <cell r="FB100">
            <v>79907171.193178713</v>
          </cell>
          <cell r="FC100">
            <v>79907171.193178713</v>
          </cell>
          <cell r="FD100">
            <v>79907171.193178713</v>
          </cell>
          <cell r="FE100">
            <v>79907171.193178713</v>
          </cell>
          <cell r="FF100">
            <v>79907171.193178713</v>
          </cell>
          <cell r="FG100">
            <v>79907171.193178713</v>
          </cell>
          <cell r="FH100">
            <v>102491.08482442789</v>
          </cell>
          <cell r="FI100">
            <v>114722.19446925896</v>
          </cell>
          <cell r="FJ100">
            <v>485644.55524041428</v>
          </cell>
          <cell r="FK100">
            <v>0</v>
          </cell>
          <cell r="FL100">
            <v>0</v>
          </cell>
          <cell r="FM100">
            <v>0</v>
          </cell>
          <cell r="FN100">
            <v>0</v>
          </cell>
          <cell r="FO100">
            <v>0</v>
          </cell>
          <cell r="FP100">
            <v>0</v>
          </cell>
          <cell r="FQ100">
            <v>0</v>
          </cell>
          <cell r="FR100">
            <v>0</v>
          </cell>
          <cell r="FS100">
            <v>0</v>
          </cell>
          <cell r="FT100">
            <v>0</v>
          </cell>
          <cell r="FU100">
            <v>0</v>
          </cell>
          <cell r="FV100">
            <v>0</v>
          </cell>
          <cell r="FW100">
            <v>0</v>
          </cell>
          <cell r="FX100">
            <v>0</v>
          </cell>
          <cell r="FY100">
            <v>0</v>
          </cell>
          <cell r="FZ100">
            <v>0</v>
          </cell>
        </row>
        <row r="101">
          <cell r="A101" t="str">
            <v>F_CNP_NRF_RIS_COL_FRCE_102</v>
          </cell>
          <cell r="B101">
            <v>0.1</v>
          </cell>
          <cell r="C101">
            <v>0.08</v>
          </cell>
          <cell r="D101">
            <v>0.15</v>
          </cell>
          <cell r="E101">
            <v>0.08</v>
          </cell>
          <cell r="F101">
            <v>0.15</v>
          </cell>
          <cell r="G101">
            <v>0.22</v>
          </cell>
          <cell r="H101">
            <v>7.0000000000000007E-2</v>
          </cell>
          <cell r="I101">
            <v>0.05</v>
          </cell>
          <cell r="J101">
            <v>0.13</v>
          </cell>
          <cell r="K101">
            <v>0.18</v>
          </cell>
          <cell r="L101">
            <v>0.17</v>
          </cell>
          <cell r="M101">
            <v>0.16</v>
          </cell>
          <cell r="N101">
            <v>0.8</v>
          </cell>
          <cell r="O101">
            <v>1</v>
          </cell>
          <cell r="P101">
            <v>1</v>
          </cell>
          <cell r="Q101">
            <v>0.8</v>
          </cell>
          <cell r="R101">
            <v>0.8</v>
          </cell>
          <cell r="S101">
            <v>1</v>
          </cell>
          <cell r="T101">
            <v>1</v>
          </cell>
          <cell r="U101">
            <v>1</v>
          </cell>
          <cell r="V101">
            <v>1</v>
          </cell>
          <cell r="W101">
            <v>1</v>
          </cell>
          <cell r="X101">
            <v>1</v>
          </cell>
          <cell r="Y101">
            <v>1</v>
          </cell>
          <cell r="Z101">
            <v>0.1</v>
          </cell>
          <cell r="AA101">
            <v>0.1</v>
          </cell>
          <cell r="AB101">
            <v>0.14000000000000001</v>
          </cell>
          <cell r="AC101">
            <v>0.11</v>
          </cell>
          <cell r="AD101">
            <v>0.11</v>
          </cell>
          <cell r="AE101">
            <v>0.19</v>
          </cell>
          <cell r="AF101">
            <v>0.09</v>
          </cell>
          <cell r="AG101">
            <v>0.11</v>
          </cell>
          <cell r="AH101">
            <v>0.15</v>
          </cell>
          <cell r="AI101">
            <v>0.2</v>
          </cell>
          <cell r="AJ101">
            <v>0.2</v>
          </cell>
          <cell r="AK101">
            <v>0.2</v>
          </cell>
          <cell r="AL101">
            <v>0</v>
          </cell>
          <cell r="AM101">
            <v>0</v>
          </cell>
          <cell r="AN101">
            <v>0</v>
          </cell>
          <cell r="AO101">
            <v>0</v>
          </cell>
          <cell r="AP101">
            <v>0</v>
          </cell>
          <cell r="AQ101">
            <v>0</v>
          </cell>
          <cell r="AR101">
            <v>0</v>
          </cell>
          <cell r="AS101">
            <v>0</v>
          </cell>
          <cell r="AT101">
            <v>0</v>
          </cell>
          <cell r="AU101">
            <v>0</v>
          </cell>
          <cell r="AV101">
            <v>0</v>
          </cell>
          <cell r="AW101">
            <v>0</v>
          </cell>
          <cell r="AX101">
            <v>0</v>
          </cell>
          <cell r="AY101">
            <v>0</v>
          </cell>
          <cell r="AZ101">
            <v>0</v>
          </cell>
          <cell r="BA101">
            <v>0</v>
          </cell>
          <cell r="BB101">
            <v>0</v>
          </cell>
          <cell r="BC101">
            <v>0</v>
          </cell>
          <cell r="BD101">
            <v>0</v>
          </cell>
          <cell r="BE101">
            <v>0</v>
          </cell>
          <cell r="BF101">
            <v>0</v>
          </cell>
          <cell r="BG101">
            <v>0</v>
          </cell>
          <cell r="BH101">
            <v>0</v>
          </cell>
          <cell r="BI101">
            <v>0</v>
          </cell>
          <cell r="BJ101">
            <v>0</v>
          </cell>
          <cell r="BK101">
            <v>0</v>
          </cell>
          <cell r="BL101">
            <v>0</v>
          </cell>
          <cell r="BM101">
            <v>0</v>
          </cell>
          <cell r="BN101">
            <v>0</v>
          </cell>
          <cell r="BO101">
            <v>0</v>
          </cell>
          <cell r="BP101">
            <v>0</v>
          </cell>
          <cell r="BQ101">
            <v>0</v>
          </cell>
          <cell r="BR101">
            <v>0</v>
          </cell>
          <cell r="BS101">
            <v>0</v>
          </cell>
          <cell r="BT101">
            <v>0</v>
          </cell>
          <cell r="BU101">
            <v>0</v>
          </cell>
          <cell r="BV101">
            <v>0</v>
          </cell>
          <cell r="BW101">
            <v>0</v>
          </cell>
          <cell r="BX101">
            <v>0</v>
          </cell>
          <cell r="BY101">
            <v>0</v>
          </cell>
          <cell r="BZ101">
            <v>0</v>
          </cell>
          <cell r="CA101">
            <v>0</v>
          </cell>
          <cell r="CB101">
            <v>0</v>
          </cell>
          <cell r="CC101">
            <v>0</v>
          </cell>
          <cell r="CD101">
            <v>0</v>
          </cell>
          <cell r="CE101">
            <v>0</v>
          </cell>
          <cell r="CF101">
            <v>0</v>
          </cell>
          <cell r="CG101">
            <v>0</v>
          </cell>
          <cell r="CH101">
            <v>0</v>
          </cell>
          <cell r="CI101">
            <v>0</v>
          </cell>
          <cell r="CJ101">
            <v>0</v>
          </cell>
          <cell r="CK101">
            <v>0</v>
          </cell>
          <cell r="CL101">
            <v>0</v>
          </cell>
          <cell r="CM101">
            <v>0</v>
          </cell>
          <cell r="CN101">
            <v>0</v>
          </cell>
          <cell r="CO101">
            <v>0</v>
          </cell>
          <cell r="CP101">
            <v>0</v>
          </cell>
          <cell r="CQ101">
            <v>0</v>
          </cell>
          <cell r="CR101">
            <v>0</v>
          </cell>
          <cell r="CS101">
            <v>0</v>
          </cell>
          <cell r="CT101">
            <v>0</v>
          </cell>
          <cell r="CU101">
            <v>0</v>
          </cell>
          <cell r="CV101">
            <v>0</v>
          </cell>
          <cell r="CW101">
            <v>0</v>
          </cell>
          <cell r="CX101">
            <v>0</v>
          </cell>
          <cell r="CY101">
            <v>0</v>
          </cell>
          <cell r="CZ101">
            <v>0</v>
          </cell>
          <cell r="DA101">
            <v>0</v>
          </cell>
          <cell r="DB101">
            <v>0</v>
          </cell>
          <cell r="DC101">
            <v>0</v>
          </cell>
          <cell r="DD101">
            <v>0</v>
          </cell>
          <cell r="DE101">
            <v>0</v>
          </cell>
          <cell r="DF101">
            <v>0</v>
          </cell>
          <cell r="DG101">
            <v>0</v>
          </cell>
          <cell r="DH101">
            <v>0</v>
          </cell>
          <cell r="DI101">
            <v>0</v>
          </cell>
          <cell r="DJ101">
            <v>0</v>
          </cell>
          <cell r="DK101">
            <v>0</v>
          </cell>
          <cell r="DL101">
            <v>0</v>
          </cell>
          <cell r="DM101">
            <v>0</v>
          </cell>
          <cell r="DN101">
            <v>0</v>
          </cell>
          <cell r="DO101">
            <v>0</v>
          </cell>
          <cell r="DP101">
            <v>0</v>
          </cell>
          <cell r="DQ101">
            <v>0</v>
          </cell>
          <cell r="DR101">
            <v>0</v>
          </cell>
          <cell r="DS101">
            <v>0</v>
          </cell>
          <cell r="DT101">
            <v>0</v>
          </cell>
          <cell r="DU101">
            <v>0</v>
          </cell>
          <cell r="DV101">
            <v>0</v>
          </cell>
          <cell r="DW101">
            <v>0</v>
          </cell>
          <cell r="DX101">
            <v>0</v>
          </cell>
          <cell r="DY101">
            <v>0</v>
          </cell>
          <cell r="EA101">
            <v>0</v>
          </cell>
          <cell r="EB101">
            <v>0</v>
          </cell>
          <cell r="EC101">
            <v>0</v>
          </cell>
          <cell r="ED101">
            <v>0.05</v>
          </cell>
          <cell r="EE101">
            <v>0.09</v>
          </cell>
          <cell r="EF101">
            <v>0.08</v>
          </cell>
          <cell r="EG101">
            <v>0.17</v>
          </cell>
          <cell r="EH101">
            <v>1</v>
          </cell>
          <cell r="EI101">
            <v>1</v>
          </cell>
          <cell r="EJ101">
            <v>1</v>
          </cell>
          <cell r="EK101">
            <v>1</v>
          </cell>
          <cell r="EL101">
            <v>0.05</v>
          </cell>
          <cell r="EM101">
            <v>0.14000000000000001</v>
          </cell>
          <cell r="EN101">
            <v>0.11</v>
          </cell>
          <cell r="EO101">
            <v>0.2</v>
          </cell>
          <cell r="EP101">
            <v>39019856.292812891</v>
          </cell>
          <cell r="EQ101">
            <v>7250722.9078780543</v>
          </cell>
          <cell r="ER101">
            <v>0</v>
          </cell>
          <cell r="ES101">
            <v>0</v>
          </cell>
          <cell r="ET101">
            <v>24146433.046477705</v>
          </cell>
          <cell r="EU101">
            <v>16633259.129408488</v>
          </cell>
          <cell r="EV101">
            <v>0</v>
          </cell>
          <cell r="EW101">
            <v>0</v>
          </cell>
          <cell r="EX101">
            <v>1</v>
          </cell>
          <cell r="EY101">
            <v>1</v>
          </cell>
          <cell r="EZ101">
            <v>1</v>
          </cell>
          <cell r="FA101">
            <v>0</v>
          </cell>
          <cell r="FB101">
            <v>71578809.054455727</v>
          </cell>
          <cell r="FC101">
            <v>71578809.054455727</v>
          </cell>
          <cell r="FD101">
            <v>71578809.054455727</v>
          </cell>
          <cell r="FE101">
            <v>71578809.054455727</v>
          </cell>
          <cell r="FF101">
            <v>71578809.054455727</v>
          </cell>
          <cell r="FG101">
            <v>71578809.054455727</v>
          </cell>
          <cell r="FH101">
            <v>1601.1909179751187</v>
          </cell>
          <cell r="FI101">
            <v>1792.2742859930324</v>
          </cell>
          <cell r="FJ101">
            <v>7587.0955268655762</v>
          </cell>
          <cell r="FK101">
            <v>0</v>
          </cell>
          <cell r="FL101">
            <v>0</v>
          </cell>
          <cell r="FM101">
            <v>0</v>
          </cell>
          <cell r="FN101">
            <v>0</v>
          </cell>
          <cell r="FO101">
            <v>0</v>
          </cell>
          <cell r="FP101">
            <v>0</v>
          </cell>
          <cell r="FQ101">
            <v>0</v>
          </cell>
          <cell r="FR101">
            <v>0</v>
          </cell>
          <cell r="FS101">
            <v>0</v>
          </cell>
          <cell r="FT101">
            <v>0</v>
          </cell>
          <cell r="FU101">
            <v>0</v>
          </cell>
          <cell r="FV101">
            <v>0</v>
          </cell>
          <cell r="FW101">
            <v>0</v>
          </cell>
          <cell r="FX101">
            <v>0</v>
          </cell>
          <cell r="FY101">
            <v>0</v>
          </cell>
          <cell r="FZ101">
            <v>0</v>
          </cell>
        </row>
        <row r="102">
          <cell r="A102" t="str">
            <v>F_CNP_NRF_RIS_COL_FRCE_152</v>
          </cell>
          <cell r="B102">
            <v>0.1</v>
          </cell>
          <cell r="C102">
            <v>0.08</v>
          </cell>
          <cell r="D102">
            <v>0.15</v>
          </cell>
          <cell r="E102">
            <v>0.08</v>
          </cell>
          <cell r="F102">
            <v>0.15</v>
          </cell>
          <cell r="G102">
            <v>0.22</v>
          </cell>
          <cell r="H102">
            <v>7.0000000000000007E-2</v>
          </cell>
          <cell r="I102">
            <v>0.05</v>
          </cell>
          <cell r="J102">
            <v>0.13</v>
          </cell>
          <cell r="K102">
            <v>0.18</v>
          </cell>
          <cell r="L102">
            <v>0.17</v>
          </cell>
          <cell r="M102">
            <v>0.16</v>
          </cell>
          <cell r="N102">
            <v>0.8</v>
          </cell>
          <cell r="O102">
            <v>1</v>
          </cell>
          <cell r="P102">
            <v>1</v>
          </cell>
          <cell r="Q102">
            <v>0.8</v>
          </cell>
          <cell r="R102">
            <v>0.8</v>
          </cell>
          <cell r="S102">
            <v>1</v>
          </cell>
          <cell r="T102">
            <v>1</v>
          </cell>
          <cell r="U102">
            <v>1</v>
          </cell>
          <cell r="V102">
            <v>1</v>
          </cell>
          <cell r="W102">
            <v>1</v>
          </cell>
          <cell r="X102">
            <v>1</v>
          </cell>
          <cell r="Y102">
            <v>1</v>
          </cell>
          <cell r="Z102">
            <v>0.1</v>
          </cell>
          <cell r="AA102">
            <v>0.1</v>
          </cell>
          <cell r="AB102">
            <v>0.14000000000000001</v>
          </cell>
          <cell r="AC102">
            <v>0.11</v>
          </cell>
          <cell r="AD102">
            <v>0.11</v>
          </cell>
          <cell r="AE102">
            <v>0.19</v>
          </cell>
          <cell r="AF102">
            <v>0.09</v>
          </cell>
          <cell r="AG102">
            <v>0.11</v>
          </cell>
          <cell r="AH102">
            <v>0.15</v>
          </cell>
          <cell r="AI102">
            <v>0.2</v>
          </cell>
          <cell r="AJ102">
            <v>0.2</v>
          </cell>
          <cell r="AK102">
            <v>0.2</v>
          </cell>
          <cell r="AL102">
            <v>0</v>
          </cell>
          <cell r="AM102">
            <v>0</v>
          </cell>
          <cell r="AN102">
            <v>0</v>
          </cell>
          <cell r="AO102">
            <v>0</v>
          </cell>
          <cell r="AP102">
            <v>0</v>
          </cell>
          <cell r="AQ102">
            <v>0</v>
          </cell>
          <cell r="AR102">
            <v>0</v>
          </cell>
          <cell r="AS102">
            <v>0</v>
          </cell>
          <cell r="AT102">
            <v>0</v>
          </cell>
          <cell r="AU102">
            <v>0</v>
          </cell>
          <cell r="AV102">
            <v>0</v>
          </cell>
          <cell r="AW102">
            <v>0</v>
          </cell>
          <cell r="AX102">
            <v>0</v>
          </cell>
          <cell r="AY102">
            <v>0</v>
          </cell>
          <cell r="AZ102">
            <v>0</v>
          </cell>
          <cell r="BA102">
            <v>0</v>
          </cell>
          <cell r="BB102">
            <v>0</v>
          </cell>
          <cell r="BC102">
            <v>0</v>
          </cell>
          <cell r="BD102">
            <v>0</v>
          </cell>
          <cell r="BE102">
            <v>0</v>
          </cell>
          <cell r="BF102">
            <v>0</v>
          </cell>
          <cell r="BG102">
            <v>0</v>
          </cell>
          <cell r="BH102">
            <v>0</v>
          </cell>
          <cell r="BI102">
            <v>0</v>
          </cell>
          <cell r="BJ102">
            <v>0</v>
          </cell>
          <cell r="BK102">
            <v>0</v>
          </cell>
          <cell r="BL102">
            <v>0</v>
          </cell>
          <cell r="BM102">
            <v>0</v>
          </cell>
          <cell r="BN102">
            <v>0</v>
          </cell>
          <cell r="BO102">
            <v>0</v>
          </cell>
          <cell r="BP102">
            <v>0</v>
          </cell>
          <cell r="BQ102">
            <v>0</v>
          </cell>
          <cell r="BR102">
            <v>0</v>
          </cell>
          <cell r="BS102">
            <v>0</v>
          </cell>
          <cell r="BT102">
            <v>0</v>
          </cell>
          <cell r="BU102">
            <v>0</v>
          </cell>
          <cell r="BV102">
            <v>0</v>
          </cell>
          <cell r="BW102">
            <v>0</v>
          </cell>
          <cell r="BX102">
            <v>0</v>
          </cell>
          <cell r="BY102">
            <v>0</v>
          </cell>
          <cell r="BZ102">
            <v>0</v>
          </cell>
          <cell r="CA102">
            <v>0</v>
          </cell>
          <cell r="CB102">
            <v>0</v>
          </cell>
          <cell r="CC102">
            <v>0</v>
          </cell>
          <cell r="CD102">
            <v>0</v>
          </cell>
          <cell r="CE102">
            <v>0</v>
          </cell>
          <cell r="CF102">
            <v>0</v>
          </cell>
          <cell r="CG102">
            <v>0</v>
          </cell>
          <cell r="CH102">
            <v>0</v>
          </cell>
          <cell r="CI102">
            <v>0</v>
          </cell>
          <cell r="CJ102">
            <v>0</v>
          </cell>
          <cell r="CK102">
            <v>0</v>
          </cell>
          <cell r="CL102">
            <v>0</v>
          </cell>
          <cell r="CM102">
            <v>0</v>
          </cell>
          <cell r="CN102">
            <v>0</v>
          </cell>
          <cell r="CO102">
            <v>0</v>
          </cell>
          <cell r="CP102">
            <v>0</v>
          </cell>
          <cell r="CQ102">
            <v>0</v>
          </cell>
          <cell r="CR102">
            <v>0</v>
          </cell>
          <cell r="CS102">
            <v>0</v>
          </cell>
          <cell r="CT102">
            <v>0</v>
          </cell>
          <cell r="CU102">
            <v>0</v>
          </cell>
          <cell r="CV102">
            <v>0</v>
          </cell>
          <cell r="CW102">
            <v>0</v>
          </cell>
          <cell r="CX102">
            <v>0</v>
          </cell>
          <cell r="CY102">
            <v>0</v>
          </cell>
          <cell r="CZ102">
            <v>0</v>
          </cell>
          <cell r="DA102">
            <v>0</v>
          </cell>
          <cell r="DB102">
            <v>0</v>
          </cell>
          <cell r="DC102">
            <v>0</v>
          </cell>
          <cell r="DD102">
            <v>0</v>
          </cell>
          <cell r="DE102">
            <v>0</v>
          </cell>
          <cell r="DF102">
            <v>0</v>
          </cell>
          <cell r="DG102">
            <v>0</v>
          </cell>
          <cell r="DH102">
            <v>0</v>
          </cell>
          <cell r="DI102">
            <v>0</v>
          </cell>
          <cell r="DJ102">
            <v>0</v>
          </cell>
          <cell r="DK102">
            <v>0</v>
          </cell>
          <cell r="DL102">
            <v>0</v>
          </cell>
          <cell r="DM102">
            <v>0</v>
          </cell>
          <cell r="DN102">
            <v>0</v>
          </cell>
          <cell r="DO102">
            <v>0</v>
          </cell>
          <cell r="DP102">
            <v>0</v>
          </cell>
          <cell r="DQ102">
            <v>0</v>
          </cell>
          <cell r="DR102">
            <v>0</v>
          </cell>
          <cell r="DS102">
            <v>0</v>
          </cell>
          <cell r="DT102">
            <v>0</v>
          </cell>
          <cell r="DU102">
            <v>0</v>
          </cell>
          <cell r="DV102">
            <v>0</v>
          </cell>
          <cell r="DW102">
            <v>0</v>
          </cell>
          <cell r="DX102">
            <v>0</v>
          </cell>
          <cell r="DY102">
            <v>0</v>
          </cell>
          <cell r="EA102">
            <v>0</v>
          </cell>
          <cell r="EB102">
            <v>0</v>
          </cell>
          <cell r="EC102">
            <v>0</v>
          </cell>
          <cell r="ED102">
            <v>0.05</v>
          </cell>
          <cell r="EE102">
            <v>0.09</v>
          </cell>
          <cell r="EF102">
            <v>0.08</v>
          </cell>
          <cell r="EG102">
            <v>0.17</v>
          </cell>
          <cell r="EH102">
            <v>1</v>
          </cell>
          <cell r="EI102">
            <v>1</v>
          </cell>
          <cell r="EJ102">
            <v>1</v>
          </cell>
          <cell r="EK102">
            <v>1</v>
          </cell>
          <cell r="EL102">
            <v>0.05</v>
          </cell>
          <cell r="EM102">
            <v>0.14000000000000001</v>
          </cell>
          <cell r="EN102">
            <v>0.11</v>
          </cell>
          <cell r="EO102">
            <v>0.2</v>
          </cell>
          <cell r="EP102">
            <v>0</v>
          </cell>
          <cell r="EQ102">
            <v>0</v>
          </cell>
          <cell r="ER102">
            <v>0</v>
          </cell>
          <cell r="ES102">
            <v>0</v>
          </cell>
          <cell r="ET102">
            <v>0</v>
          </cell>
          <cell r="EU102">
            <v>0</v>
          </cell>
          <cell r="EV102">
            <v>0</v>
          </cell>
          <cell r="EW102">
            <v>0</v>
          </cell>
          <cell r="EX102">
            <v>1</v>
          </cell>
          <cell r="EY102">
            <v>1</v>
          </cell>
          <cell r="EZ102">
            <v>1</v>
          </cell>
          <cell r="FA102">
            <v>0</v>
          </cell>
          <cell r="FB102">
            <v>0</v>
          </cell>
          <cell r="FC102">
            <v>0</v>
          </cell>
          <cell r="FD102">
            <v>0</v>
          </cell>
          <cell r="FE102">
            <v>0</v>
          </cell>
          <cell r="FF102">
            <v>0</v>
          </cell>
          <cell r="FG102">
            <v>0</v>
          </cell>
          <cell r="FH102">
            <v>0</v>
          </cell>
          <cell r="FI102">
            <v>0</v>
          </cell>
          <cell r="FJ102">
            <v>0</v>
          </cell>
          <cell r="FK102">
            <v>0</v>
          </cell>
          <cell r="FL102">
            <v>0</v>
          </cell>
          <cell r="FM102">
            <v>0</v>
          </cell>
          <cell r="FN102">
            <v>0</v>
          </cell>
          <cell r="FO102">
            <v>0</v>
          </cell>
          <cell r="FP102">
            <v>0</v>
          </cell>
          <cell r="FQ102">
            <v>0</v>
          </cell>
          <cell r="FR102">
            <v>0</v>
          </cell>
          <cell r="FS102">
            <v>0</v>
          </cell>
          <cell r="FT102">
            <v>0</v>
          </cell>
          <cell r="FU102">
            <v>0</v>
          </cell>
          <cell r="FV102">
            <v>0</v>
          </cell>
          <cell r="FW102">
            <v>0</v>
          </cell>
          <cell r="FX102">
            <v>0</v>
          </cell>
          <cell r="FY102">
            <v>0</v>
          </cell>
          <cell r="FZ102">
            <v>0</v>
          </cell>
        </row>
        <row r="103">
          <cell r="A103" t="str">
            <v>F_CNP_NRF_RIS_COL_FRCE_153</v>
          </cell>
          <cell r="B103">
            <v>0.1</v>
          </cell>
          <cell r="C103">
            <v>0.08</v>
          </cell>
          <cell r="D103">
            <v>0.15</v>
          </cell>
          <cell r="E103">
            <v>0.08</v>
          </cell>
          <cell r="F103">
            <v>0.15</v>
          </cell>
          <cell r="G103">
            <v>0.22</v>
          </cell>
          <cell r="H103">
            <v>7.0000000000000007E-2</v>
          </cell>
          <cell r="I103">
            <v>0.05</v>
          </cell>
          <cell r="J103">
            <v>0.13</v>
          </cell>
          <cell r="K103">
            <v>0.18</v>
          </cell>
          <cell r="L103">
            <v>0.17</v>
          </cell>
          <cell r="M103">
            <v>0.16</v>
          </cell>
          <cell r="N103">
            <v>0.8</v>
          </cell>
          <cell r="O103">
            <v>1</v>
          </cell>
          <cell r="P103">
            <v>1</v>
          </cell>
          <cell r="Q103">
            <v>0.8</v>
          </cell>
          <cell r="R103">
            <v>0.8</v>
          </cell>
          <cell r="S103">
            <v>1</v>
          </cell>
          <cell r="T103">
            <v>1</v>
          </cell>
          <cell r="U103">
            <v>1</v>
          </cell>
          <cell r="V103">
            <v>1</v>
          </cell>
          <cell r="W103">
            <v>1</v>
          </cell>
          <cell r="X103">
            <v>1</v>
          </cell>
          <cell r="Y103">
            <v>1</v>
          </cell>
          <cell r="Z103">
            <v>0.1</v>
          </cell>
          <cell r="AA103">
            <v>0.1</v>
          </cell>
          <cell r="AB103">
            <v>0.14000000000000001</v>
          </cell>
          <cell r="AC103">
            <v>0.11</v>
          </cell>
          <cell r="AD103">
            <v>0.11</v>
          </cell>
          <cell r="AE103">
            <v>0.19</v>
          </cell>
          <cell r="AF103">
            <v>0.09</v>
          </cell>
          <cell r="AG103">
            <v>0.11</v>
          </cell>
          <cell r="AH103">
            <v>0.15</v>
          </cell>
          <cell r="AI103">
            <v>0.2</v>
          </cell>
          <cell r="AJ103">
            <v>0.2</v>
          </cell>
          <cell r="AK103">
            <v>0.2</v>
          </cell>
          <cell r="AL103">
            <v>0</v>
          </cell>
          <cell r="AM103">
            <v>0</v>
          </cell>
          <cell r="AN103">
            <v>0</v>
          </cell>
          <cell r="AO103">
            <v>0</v>
          </cell>
          <cell r="AP103">
            <v>0</v>
          </cell>
          <cell r="AQ103">
            <v>0</v>
          </cell>
          <cell r="AR103">
            <v>0</v>
          </cell>
          <cell r="AS103">
            <v>0</v>
          </cell>
          <cell r="AT103">
            <v>0</v>
          </cell>
          <cell r="AU103">
            <v>0</v>
          </cell>
          <cell r="AV103">
            <v>0</v>
          </cell>
          <cell r="AW103">
            <v>0</v>
          </cell>
          <cell r="AX103">
            <v>0</v>
          </cell>
          <cell r="AY103">
            <v>0</v>
          </cell>
          <cell r="AZ103">
            <v>0</v>
          </cell>
          <cell r="BA103">
            <v>0</v>
          </cell>
          <cell r="BB103">
            <v>0</v>
          </cell>
          <cell r="BC103">
            <v>0</v>
          </cell>
          <cell r="BD103">
            <v>0</v>
          </cell>
          <cell r="BE103">
            <v>0</v>
          </cell>
          <cell r="BF103">
            <v>0</v>
          </cell>
          <cell r="BG103">
            <v>0</v>
          </cell>
          <cell r="BH103">
            <v>0</v>
          </cell>
          <cell r="BI103">
            <v>0</v>
          </cell>
          <cell r="BJ103">
            <v>0</v>
          </cell>
          <cell r="BK103">
            <v>0</v>
          </cell>
          <cell r="BL103">
            <v>0</v>
          </cell>
          <cell r="BM103">
            <v>0</v>
          </cell>
          <cell r="BN103">
            <v>0</v>
          </cell>
          <cell r="BO103">
            <v>0</v>
          </cell>
          <cell r="BP103">
            <v>0</v>
          </cell>
          <cell r="BQ103">
            <v>0</v>
          </cell>
          <cell r="BR103">
            <v>0</v>
          </cell>
          <cell r="BS103">
            <v>0</v>
          </cell>
          <cell r="BT103">
            <v>0</v>
          </cell>
          <cell r="BU103">
            <v>0</v>
          </cell>
          <cell r="BV103">
            <v>0</v>
          </cell>
          <cell r="BW103">
            <v>0</v>
          </cell>
          <cell r="BX103">
            <v>0</v>
          </cell>
          <cell r="BY103">
            <v>0</v>
          </cell>
          <cell r="BZ103">
            <v>0</v>
          </cell>
          <cell r="CA103">
            <v>0</v>
          </cell>
          <cell r="CB103">
            <v>0</v>
          </cell>
          <cell r="CC103">
            <v>0</v>
          </cell>
          <cell r="CD103">
            <v>0</v>
          </cell>
          <cell r="CE103">
            <v>0</v>
          </cell>
          <cell r="CF103">
            <v>0</v>
          </cell>
          <cell r="CG103">
            <v>0</v>
          </cell>
          <cell r="CH103">
            <v>0</v>
          </cell>
          <cell r="CI103">
            <v>0</v>
          </cell>
          <cell r="CJ103">
            <v>0</v>
          </cell>
          <cell r="CK103">
            <v>0</v>
          </cell>
          <cell r="CL103">
            <v>0</v>
          </cell>
          <cell r="CM103">
            <v>0</v>
          </cell>
          <cell r="CN103">
            <v>0</v>
          </cell>
          <cell r="CO103">
            <v>0</v>
          </cell>
          <cell r="CP103">
            <v>0</v>
          </cell>
          <cell r="CQ103">
            <v>0</v>
          </cell>
          <cell r="CR103">
            <v>0</v>
          </cell>
          <cell r="CS103">
            <v>0</v>
          </cell>
          <cell r="CT103">
            <v>0</v>
          </cell>
          <cell r="CU103">
            <v>0</v>
          </cell>
          <cell r="CV103">
            <v>0</v>
          </cell>
          <cell r="CW103">
            <v>0</v>
          </cell>
          <cell r="CX103">
            <v>0</v>
          </cell>
          <cell r="CY103">
            <v>0</v>
          </cell>
          <cell r="CZ103">
            <v>0</v>
          </cell>
          <cell r="DA103">
            <v>0</v>
          </cell>
          <cell r="DB103">
            <v>0</v>
          </cell>
          <cell r="DC103">
            <v>0</v>
          </cell>
          <cell r="DD103">
            <v>0</v>
          </cell>
          <cell r="DE103">
            <v>0</v>
          </cell>
          <cell r="DF103">
            <v>0</v>
          </cell>
          <cell r="DG103">
            <v>0</v>
          </cell>
          <cell r="DH103">
            <v>0</v>
          </cell>
          <cell r="DI103">
            <v>0</v>
          </cell>
          <cell r="DJ103">
            <v>0</v>
          </cell>
          <cell r="DK103">
            <v>0</v>
          </cell>
          <cell r="DL103">
            <v>0</v>
          </cell>
          <cell r="DM103">
            <v>0</v>
          </cell>
          <cell r="DN103">
            <v>0</v>
          </cell>
          <cell r="DO103">
            <v>0</v>
          </cell>
          <cell r="DP103">
            <v>0</v>
          </cell>
          <cell r="DQ103">
            <v>0</v>
          </cell>
          <cell r="DR103">
            <v>0</v>
          </cell>
          <cell r="DS103">
            <v>0</v>
          </cell>
          <cell r="DT103">
            <v>0</v>
          </cell>
          <cell r="DU103">
            <v>0</v>
          </cell>
          <cell r="DV103">
            <v>0</v>
          </cell>
          <cell r="DW103">
            <v>0</v>
          </cell>
          <cell r="DX103">
            <v>0</v>
          </cell>
          <cell r="DY103">
            <v>0</v>
          </cell>
          <cell r="EA103">
            <v>0</v>
          </cell>
          <cell r="EB103">
            <v>0</v>
          </cell>
          <cell r="EC103">
            <v>0</v>
          </cell>
          <cell r="ED103">
            <v>0.05</v>
          </cell>
          <cell r="EE103">
            <v>0.09</v>
          </cell>
          <cell r="EF103">
            <v>0.08</v>
          </cell>
          <cell r="EG103">
            <v>0.17</v>
          </cell>
          <cell r="EH103">
            <v>1</v>
          </cell>
          <cell r="EI103">
            <v>1</v>
          </cell>
          <cell r="EJ103">
            <v>1</v>
          </cell>
          <cell r="EK103">
            <v>1</v>
          </cell>
          <cell r="EL103">
            <v>0.05</v>
          </cell>
          <cell r="EM103">
            <v>0.14000000000000001</v>
          </cell>
          <cell r="EN103">
            <v>0.11</v>
          </cell>
          <cell r="EO103">
            <v>0.2</v>
          </cell>
          <cell r="EP103">
            <v>15282.327260967986</v>
          </cell>
          <cell r="EQ103">
            <v>0</v>
          </cell>
          <cell r="ER103">
            <v>0</v>
          </cell>
          <cell r="ES103">
            <v>0</v>
          </cell>
          <cell r="ET103">
            <v>17058.057738400446</v>
          </cell>
          <cell r="EU103">
            <v>0</v>
          </cell>
          <cell r="EV103">
            <v>0</v>
          </cell>
          <cell r="EW103">
            <v>0</v>
          </cell>
          <cell r="EX103">
            <v>1</v>
          </cell>
          <cell r="EY103">
            <v>1</v>
          </cell>
          <cell r="EZ103">
            <v>1</v>
          </cell>
          <cell r="FA103">
            <v>0</v>
          </cell>
          <cell r="FB103">
            <v>27265.208828485793</v>
          </cell>
          <cell r="FC103">
            <v>27265.208828485793</v>
          </cell>
          <cell r="FD103">
            <v>27265.208828485793</v>
          </cell>
          <cell r="FE103">
            <v>27265.208828485793</v>
          </cell>
          <cell r="FF103">
            <v>27265.208828485793</v>
          </cell>
          <cell r="FG103">
            <v>27265.208828485793</v>
          </cell>
          <cell r="FH103">
            <v>1892.160020273823</v>
          </cell>
          <cell r="FI103">
            <v>2117.9671401143469</v>
          </cell>
          <cell r="FJ103">
            <v>8965.8257892744823</v>
          </cell>
          <cell r="FK103">
            <v>0</v>
          </cell>
          <cell r="FL103">
            <v>0</v>
          </cell>
          <cell r="FM103">
            <v>0</v>
          </cell>
          <cell r="FN103">
            <v>0</v>
          </cell>
          <cell r="FO103">
            <v>0</v>
          </cell>
          <cell r="FP103">
            <v>0</v>
          </cell>
          <cell r="FQ103">
            <v>0</v>
          </cell>
          <cell r="FR103">
            <v>0</v>
          </cell>
          <cell r="FS103">
            <v>0</v>
          </cell>
          <cell r="FT103">
            <v>0</v>
          </cell>
          <cell r="FU103">
            <v>0</v>
          </cell>
          <cell r="FV103">
            <v>0</v>
          </cell>
          <cell r="FW103">
            <v>0</v>
          </cell>
          <cell r="FX103">
            <v>0</v>
          </cell>
          <cell r="FY103">
            <v>0</v>
          </cell>
          <cell r="FZ103">
            <v>0</v>
          </cell>
        </row>
        <row r="104">
          <cell r="A104" t="str">
            <v>F_CNP_NRF_RIS_COL_FRCE_201</v>
          </cell>
          <cell r="B104">
            <v>0.1</v>
          </cell>
          <cell r="C104">
            <v>0.08</v>
          </cell>
          <cell r="D104">
            <v>0.15</v>
          </cell>
          <cell r="E104">
            <v>0.08</v>
          </cell>
          <cell r="F104">
            <v>0.15</v>
          </cell>
          <cell r="G104">
            <v>0.22</v>
          </cell>
          <cell r="H104">
            <v>7.0000000000000007E-2</v>
          </cell>
          <cell r="I104">
            <v>0.05</v>
          </cell>
          <cell r="J104">
            <v>0.13</v>
          </cell>
          <cell r="K104">
            <v>0.18</v>
          </cell>
          <cell r="L104">
            <v>0.17</v>
          </cell>
          <cell r="M104">
            <v>0.16</v>
          </cell>
          <cell r="N104">
            <v>0.8</v>
          </cell>
          <cell r="O104">
            <v>1</v>
          </cell>
          <cell r="P104">
            <v>1</v>
          </cell>
          <cell r="Q104">
            <v>0.8</v>
          </cell>
          <cell r="R104">
            <v>0.8</v>
          </cell>
          <cell r="S104">
            <v>1</v>
          </cell>
          <cell r="T104">
            <v>1</v>
          </cell>
          <cell r="U104">
            <v>1</v>
          </cell>
          <cell r="V104">
            <v>1</v>
          </cell>
          <cell r="W104">
            <v>1</v>
          </cell>
          <cell r="X104">
            <v>1</v>
          </cell>
          <cell r="Y104">
            <v>1</v>
          </cell>
          <cell r="Z104">
            <v>0.1</v>
          </cell>
          <cell r="AA104">
            <v>0.1</v>
          </cell>
          <cell r="AB104">
            <v>0.14000000000000001</v>
          </cell>
          <cell r="AC104">
            <v>0.11</v>
          </cell>
          <cell r="AD104">
            <v>0.11</v>
          </cell>
          <cell r="AE104">
            <v>0.19</v>
          </cell>
          <cell r="AF104">
            <v>0.09</v>
          </cell>
          <cell r="AG104">
            <v>0.11</v>
          </cell>
          <cell r="AH104">
            <v>0.15</v>
          </cell>
          <cell r="AI104">
            <v>0.2</v>
          </cell>
          <cell r="AJ104">
            <v>0.2</v>
          </cell>
          <cell r="AK104">
            <v>0.2</v>
          </cell>
          <cell r="AL104">
            <v>0</v>
          </cell>
          <cell r="AM104">
            <v>0</v>
          </cell>
          <cell r="AN104">
            <v>0</v>
          </cell>
          <cell r="AO104">
            <v>0</v>
          </cell>
          <cell r="AP104">
            <v>0</v>
          </cell>
          <cell r="AQ104">
            <v>0</v>
          </cell>
          <cell r="AR104">
            <v>0</v>
          </cell>
          <cell r="AS104">
            <v>0</v>
          </cell>
          <cell r="AT104">
            <v>0</v>
          </cell>
          <cell r="AU104">
            <v>0</v>
          </cell>
          <cell r="AV104">
            <v>0</v>
          </cell>
          <cell r="AW104">
            <v>0</v>
          </cell>
          <cell r="AX104">
            <v>0</v>
          </cell>
          <cell r="AY104">
            <v>0</v>
          </cell>
          <cell r="AZ104">
            <v>0</v>
          </cell>
          <cell r="BA104">
            <v>0</v>
          </cell>
          <cell r="BB104">
            <v>0</v>
          </cell>
          <cell r="BC104">
            <v>0</v>
          </cell>
          <cell r="BD104">
            <v>0</v>
          </cell>
          <cell r="BE104">
            <v>0</v>
          </cell>
          <cell r="BF104">
            <v>0</v>
          </cell>
          <cell r="BG104">
            <v>0</v>
          </cell>
          <cell r="BH104">
            <v>0</v>
          </cell>
          <cell r="BI104">
            <v>0</v>
          </cell>
          <cell r="BJ104">
            <v>0</v>
          </cell>
          <cell r="BK104">
            <v>0</v>
          </cell>
          <cell r="BL104">
            <v>0</v>
          </cell>
          <cell r="BM104">
            <v>0</v>
          </cell>
          <cell r="BN104">
            <v>0</v>
          </cell>
          <cell r="BO104">
            <v>0</v>
          </cell>
          <cell r="BP104">
            <v>0</v>
          </cell>
          <cell r="BQ104">
            <v>0</v>
          </cell>
          <cell r="BR104">
            <v>0</v>
          </cell>
          <cell r="BS104">
            <v>0</v>
          </cell>
          <cell r="BT104">
            <v>0</v>
          </cell>
          <cell r="BU104">
            <v>0</v>
          </cell>
          <cell r="BV104">
            <v>0</v>
          </cell>
          <cell r="BW104">
            <v>0</v>
          </cell>
          <cell r="BX104">
            <v>0</v>
          </cell>
          <cell r="BY104">
            <v>0</v>
          </cell>
          <cell r="BZ104">
            <v>0</v>
          </cell>
          <cell r="CA104">
            <v>0</v>
          </cell>
          <cell r="CB104">
            <v>0</v>
          </cell>
          <cell r="CC104">
            <v>0</v>
          </cell>
          <cell r="CD104">
            <v>0</v>
          </cell>
          <cell r="CE104">
            <v>0</v>
          </cell>
          <cell r="CF104">
            <v>0</v>
          </cell>
          <cell r="CG104">
            <v>0</v>
          </cell>
          <cell r="CH104">
            <v>0</v>
          </cell>
          <cell r="CI104">
            <v>0</v>
          </cell>
          <cell r="CJ104">
            <v>0</v>
          </cell>
          <cell r="CK104">
            <v>0</v>
          </cell>
          <cell r="CL104">
            <v>0</v>
          </cell>
          <cell r="CM104">
            <v>0</v>
          </cell>
          <cell r="CN104">
            <v>0</v>
          </cell>
          <cell r="CO104">
            <v>0</v>
          </cell>
          <cell r="CP104">
            <v>0</v>
          </cell>
          <cell r="CQ104">
            <v>0</v>
          </cell>
          <cell r="CR104">
            <v>0</v>
          </cell>
          <cell r="CS104">
            <v>0</v>
          </cell>
          <cell r="CT104">
            <v>0</v>
          </cell>
          <cell r="CU104">
            <v>0</v>
          </cell>
          <cell r="CV104">
            <v>0</v>
          </cell>
          <cell r="CW104">
            <v>0</v>
          </cell>
          <cell r="CX104">
            <v>0</v>
          </cell>
          <cell r="CY104">
            <v>0</v>
          </cell>
          <cell r="CZ104">
            <v>0</v>
          </cell>
          <cell r="DA104">
            <v>0</v>
          </cell>
          <cell r="DB104">
            <v>0</v>
          </cell>
          <cell r="DC104">
            <v>0</v>
          </cell>
          <cell r="DD104">
            <v>0</v>
          </cell>
          <cell r="DE104">
            <v>0</v>
          </cell>
          <cell r="DF104">
            <v>0</v>
          </cell>
          <cell r="DG104">
            <v>0</v>
          </cell>
          <cell r="DH104">
            <v>0</v>
          </cell>
          <cell r="DI104">
            <v>0</v>
          </cell>
          <cell r="DJ104">
            <v>0</v>
          </cell>
          <cell r="DK104">
            <v>0</v>
          </cell>
          <cell r="DL104">
            <v>0</v>
          </cell>
          <cell r="DM104">
            <v>0</v>
          </cell>
          <cell r="DN104">
            <v>0</v>
          </cell>
          <cell r="DO104">
            <v>0</v>
          </cell>
          <cell r="DP104">
            <v>0</v>
          </cell>
          <cell r="DQ104">
            <v>0</v>
          </cell>
          <cell r="DR104">
            <v>0</v>
          </cell>
          <cell r="DS104">
            <v>0</v>
          </cell>
          <cell r="DT104">
            <v>0</v>
          </cell>
          <cell r="DU104">
            <v>0</v>
          </cell>
          <cell r="DV104">
            <v>0</v>
          </cell>
          <cell r="DW104">
            <v>0</v>
          </cell>
          <cell r="DX104">
            <v>0</v>
          </cell>
          <cell r="DY104">
            <v>0</v>
          </cell>
          <cell r="EA104">
            <v>0</v>
          </cell>
          <cell r="EB104">
            <v>0</v>
          </cell>
          <cell r="EC104">
            <v>0</v>
          </cell>
          <cell r="ED104">
            <v>0.05</v>
          </cell>
          <cell r="EE104">
            <v>0.09</v>
          </cell>
          <cell r="EF104">
            <v>0.08</v>
          </cell>
          <cell r="EG104">
            <v>0.17</v>
          </cell>
          <cell r="EH104">
            <v>1</v>
          </cell>
          <cell r="EI104">
            <v>1</v>
          </cell>
          <cell r="EJ104">
            <v>1</v>
          </cell>
          <cell r="EK104">
            <v>1</v>
          </cell>
          <cell r="EL104">
            <v>0.05</v>
          </cell>
          <cell r="EM104">
            <v>0.14000000000000001</v>
          </cell>
          <cell r="EN104">
            <v>0.11</v>
          </cell>
          <cell r="EO104">
            <v>0.2</v>
          </cell>
          <cell r="EP104">
            <v>0</v>
          </cell>
          <cell r="EQ104">
            <v>7994865.0166565031</v>
          </cell>
          <cell r="ER104">
            <v>0</v>
          </cell>
          <cell r="ES104">
            <v>0</v>
          </cell>
          <cell r="ET104">
            <v>0</v>
          </cell>
          <cell r="EU104">
            <v>33479918.172607061</v>
          </cell>
          <cell r="EV104">
            <v>0</v>
          </cell>
          <cell r="EW104">
            <v>0</v>
          </cell>
          <cell r="EX104">
            <v>1</v>
          </cell>
          <cell r="EY104">
            <v>1</v>
          </cell>
          <cell r="EZ104">
            <v>1</v>
          </cell>
          <cell r="FA104">
            <v>0</v>
          </cell>
          <cell r="FB104">
            <v>195795828.45758224</v>
          </cell>
          <cell r="FC104">
            <v>195795828.45758224</v>
          </cell>
          <cell r="FD104">
            <v>195795828.45758224</v>
          </cell>
          <cell r="FE104">
            <v>195795828.45758224</v>
          </cell>
          <cell r="FF104">
            <v>195795828.45758224</v>
          </cell>
          <cell r="FG104">
            <v>195795828.45758224</v>
          </cell>
          <cell r="FH104">
            <v>6878.2341046350521</v>
          </cell>
          <cell r="FI104">
            <v>7699.0707231636179</v>
          </cell>
          <cell r="FJ104">
            <v>32591.878096589218</v>
          </cell>
          <cell r="FK104">
            <v>0</v>
          </cell>
          <cell r="FL104">
            <v>576590.65290078172</v>
          </cell>
          <cell r="FM104">
            <v>0</v>
          </cell>
          <cell r="FN104">
            <v>0</v>
          </cell>
          <cell r="FO104">
            <v>0</v>
          </cell>
          <cell r="FP104">
            <v>576590.65290078172</v>
          </cell>
          <cell r="FQ104">
            <v>0</v>
          </cell>
          <cell r="FR104">
            <v>0</v>
          </cell>
          <cell r="FS104">
            <v>0</v>
          </cell>
          <cell r="FT104">
            <v>0</v>
          </cell>
          <cell r="FU104">
            <v>0</v>
          </cell>
          <cell r="FV104">
            <v>0</v>
          </cell>
          <cell r="FW104">
            <v>0</v>
          </cell>
          <cell r="FX104">
            <v>0</v>
          </cell>
          <cell r="FY104">
            <v>0</v>
          </cell>
          <cell r="FZ104">
            <v>0</v>
          </cell>
        </row>
        <row r="105">
          <cell r="A105" t="str">
            <v>F_CNP_NRF_RIS_COL_FRCE_211</v>
          </cell>
          <cell r="B105">
            <v>0.1</v>
          </cell>
          <cell r="C105">
            <v>0.08</v>
          </cell>
          <cell r="D105">
            <v>0.15</v>
          </cell>
          <cell r="E105">
            <v>0.08</v>
          </cell>
          <cell r="F105">
            <v>0.15</v>
          </cell>
          <cell r="G105">
            <v>0.22</v>
          </cell>
          <cell r="H105">
            <v>7.0000000000000007E-2</v>
          </cell>
          <cell r="I105">
            <v>0.05</v>
          </cell>
          <cell r="J105">
            <v>0.13</v>
          </cell>
          <cell r="K105">
            <v>0.18</v>
          </cell>
          <cell r="L105">
            <v>0.17</v>
          </cell>
          <cell r="M105">
            <v>0.16</v>
          </cell>
          <cell r="N105">
            <v>0.8</v>
          </cell>
          <cell r="O105">
            <v>1</v>
          </cell>
          <cell r="P105">
            <v>1</v>
          </cell>
          <cell r="Q105">
            <v>0.8</v>
          </cell>
          <cell r="R105">
            <v>0.8</v>
          </cell>
          <cell r="S105">
            <v>1</v>
          </cell>
          <cell r="T105">
            <v>1</v>
          </cell>
          <cell r="U105">
            <v>1</v>
          </cell>
          <cell r="V105">
            <v>1</v>
          </cell>
          <cell r="W105">
            <v>1</v>
          </cell>
          <cell r="X105">
            <v>1</v>
          </cell>
          <cell r="Y105">
            <v>1</v>
          </cell>
          <cell r="Z105">
            <v>0.1</v>
          </cell>
          <cell r="AA105">
            <v>0.1</v>
          </cell>
          <cell r="AB105">
            <v>0.14000000000000001</v>
          </cell>
          <cell r="AC105">
            <v>0.11</v>
          </cell>
          <cell r="AD105">
            <v>0.11</v>
          </cell>
          <cell r="AE105">
            <v>0.19</v>
          </cell>
          <cell r="AF105">
            <v>0.09</v>
          </cell>
          <cell r="AG105">
            <v>0.11</v>
          </cell>
          <cell r="AH105">
            <v>0.15</v>
          </cell>
          <cell r="AI105">
            <v>0.2</v>
          </cell>
          <cell r="AJ105">
            <v>0.2</v>
          </cell>
          <cell r="AK105">
            <v>0.2</v>
          </cell>
          <cell r="AL105">
            <v>0</v>
          </cell>
          <cell r="AM105">
            <v>0</v>
          </cell>
          <cell r="AN105">
            <v>0</v>
          </cell>
          <cell r="AO105">
            <v>0</v>
          </cell>
          <cell r="AP105">
            <v>0</v>
          </cell>
          <cell r="AQ105">
            <v>0</v>
          </cell>
          <cell r="AR105">
            <v>0</v>
          </cell>
          <cell r="AS105">
            <v>0</v>
          </cell>
          <cell r="AT105">
            <v>0</v>
          </cell>
          <cell r="AU105">
            <v>0</v>
          </cell>
          <cell r="AV105">
            <v>0</v>
          </cell>
          <cell r="AW105">
            <v>0</v>
          </cell>
          <cell r="AX105">
            <v>0</v>
          </cell>
          <cell r="AY105">
            <v>0</v>
          </cell>
          <cell r="AZ105">
            <v>0</v>
          </cell>
          <cell r="BA105">
            <v>0</v>
          </cell>
          <cell r="BB105">
            <v>0</v>
          </cell>
          <cell r="BC105">
            <v>0</v>
          </cell>
          <cell r="BD105">
            <v>0</v>
          </cell>
          <cell r="BE105">
            <v>0</v>
          </cell>
          <cell r="BF105">
            <v>0</v>
          </cell>
          <cell r="BG105">
            <v>0</v>
          </cell>
          <cell r="BH105">
            <v>0</v>
          </cell>
          <cell r="BI105">
            <v>0</v>
          </cell>
          <cell r="BJ105">
            <v>0</v>
          </cell>
          <cell r="BK105">
            <v>0</v>
          </cell>
          <cell r="BL105">
            <v>0</v>
          </cell>
          <cell r="BM105">
            <v>0</v>
          </cell>
          <cell r="BN105">
            <v>0</v>
          </cell>
          <cell r="BO105">
            <v>0</v>
          </cell>
          <cell r="BP105">
            <v>0</v>
          </cell>
          <cell r="BQ105">
            <v>0</v>
          </cell>
          <cell r="BR105">
            <v>0</v>
          </cell>
          <cell r="BS105">
            <v>0</v>
          </cell>
          <cell r="BT105">
            <v>0</v>
          </cell>
          <cell r="BU105">
            <v>0</v>
          </cell>
          <cell r="BV105">
            <v>0</v>
          </cell>
          <cell r="BW105">
            <v>0</v>
          </cell>
          <cell r="BX105">
            <v>0</v>
          </cell>
          <cell r="BY105">
            <v>0</v>
          </cell>
          <cell r="BZ105">
            <v>0</v>
          </cell>
          <cell r="CA105">
            <v>0</v>
          </cell>
          <cell r="CB105">
            <v>0</v>
          </cell>
          <cell r="CC105">
            <v>0</v>
          </cell>
          <cell r="CD105">
            <v>0</v>
          </cell>
          <cell r="CE105">
            <v>0</v>
          </cell>
          <cell r="CF105">
            <v>0</v>
          </cell>
          <cell r="CG105">
            <v>0</v>
          </cell>
          <cell r="CH105">
            <v>0</v>
          </cell>
          <cell r="CI105">
            <v>0</v>
          </cell>
          <cell r="CJ105">
            <v>0</v>
          </cell>
          <cell r="CK105">
            <v>0</v>
          </cell>
          <cell r="CL105">
            <v>0</v>
          </cell>
          <cell r="CM105">
            <v>0</v>
          </cell>
          <cell r="CN105">
            <v>0</v>
          </cell>
          <cell r="CO105">
            <v>0</v>
          </cell>
          <cell r="CP105">
            <v>0</v>
          </cell>
          <cell r="CQ105">
            <v>0</v>
          </cell>
          <cell r="CR105">
            <v>0</v>
          </cell>
          <cell r="CS105">
            <v>0</v>
          </cell>
          <cell r="CT105">
            <v>0</v>
          </cell>
          <cell r="CU105">
            <v>0</v>
          </cell>
          <cell r="CV105">
            <v>0</v>
          </cell>
          <cell r="CW105">
            <v>0</v>
          </cell>
          <cell r="CX105">
            <v>0</v>
          </cell>
          <cell r="CY105">
            <v>0</v>
          </cell>
          <cell r="CZ105">
            <v>0</v>
          </cell>
          <cell r="DA105">
            <v>0</v>
          </cell>
          <cell r="DB105">
            <v>0</v>
          </cell>
          <cell r="DC105">
            <v>0</v>
          </cell>
          <cell r="DD105">
            <v>0</v>
          </cell>
          <cell r="DE105">
            <v>0</v>
          </cell>
          <cell r="DF105">
            <v>0</v>
          </cell>
          <cell r="DG105">
            <v>0</v>
          </cell>
          <cell r="DH105">
            <v>0</v>
          </cell>
          <cell r="DI105">
            <v>0</v>
          </cell>
          <cell r="DJ105">
            <v>0</v>
          </cell>
          <cell r="DK105">
            <v>0</v>
          </cell>
          <cell r="DL105">
            <v>0</v>
          </cell>
          <cell r="DM105">
            <v>0</v>
          </cell>
          <cell r="DN105">
            <v>0</v>
          </cell>
          <cell r="DO105">
            <v>0</v>
          </cell>
          <cell r="DP105">
            <v>0</v>
          </cell>
          <cell r="DQ105">
            <v>0</v>
          </cell>
          <cell r="DR105">
            <v>0</v>
          </cell>
          <cell r="DS105">
            <v>0</v>
          </cell>
          <cell r="DT105">
            <v>0</v>
          </cell>
          <cell r="DU105">
            <v>0</v>
          </cell>
          <cell r="DV105">
            <v>0</v>
          </cell>
          <cell r="DW105">
            <v>0</v>
          </cell>
          <cell r="DX105">
            <v>0</v>
          </cell>
          <cell r="DY105">
            <v>0</v>
          </cell>
          <cell r="EA105">
            <v>0</v>
          </cell>
          <cell r="EB105">
            <v>0</v>
          </cell>
          <cell r="EC105">
            <v>0</v>
          </cell>
          <cell r="ED105">
            <v>0.05</v>
          </cell>
          <cell r="EE105">
            <v>0.09</v>
          </cell>
          <cell r="EF105">
            <v>0.08</v>
          </cell>
          <cell r="EG105">
            <v>0.17</v>
          </cell>
          <cell r="EH105">
            <v>1</v>
          </cell>
          <cell r="EI105">
            <v>1</v>
          </cell>
          <cell r="EJ105">
            <v>1</v>
          </cell>
          <cell r="EK105">
            <v>1</v>
          </cell>
          <cell r="EL105">
            <v>0.05</v>
          </cell>
          <cell r="EM105">
            <v>0.14000000000000001</v>
          </cell>
          <cell r="EN105">
            <v>0.11</v>
          </cell>
          <cell r="EO105">
            <v>0.2</v>
          </cell>
          <cell r="EP105">
            <v>0</v>
          </cell>
          <cell r="EQ105">
            <v>0</v>
          </cell>
          <cell r="ER105">
            <v>0</v>
          </cell>
          <cell r="ES105">
            <v>0</v>
          </cell>
          <cell r="ET105">
            <v>0</v>
          </cell>
          <cell r="EU105">
            <v>0</v>
          </cell>
          <cell r="EV105">
            <v>0</v>
          </cell>
          <cell r="EW105">
            <v>0</v>
          </cell>
          <cell r="EX105">
            <v>1</v>
          </cell>
          <cell r="EY105">
            <v>1</v>
          </cell>
          <cell r="EZ105">
            <v>1</v>
          </cell>
          <cell r="FA105">
            <v>0</v>
          </cell>
          <cell r="FB105">
            <v>0</v>
          </cell>
          <cell r="FC105">
            <v>0</v>
          </cell>
          <cell r="FD105">
            <v>0</v>
          </cell>
          <cell r="FE105">
            <v>0</v>
          </cell>
          <cell r="FF105">
            <v>0</v>
          </cell>
          <cell r="FG105">
            <v>0</v>
          </cell>
          <cell r="FH105">
            <v>0</v>
          </cell>
          <cell r="FI105">
            <v>0</v>
          </cell>
          <cell r="FJ105">
            <v>0</v>
          </cell>
          <cell r="FK105">
            <v>0</v>
          </cell>
          <cell r="FL105">
            <v>0</v>
          </cell>
          <cell r="FM105">
            <v>0</v>
          </cell>
          <cell r="FN105">
            <v>0</v>
          </cell>
          <cell r="FO105">
            <v>0</v>
          </cell>
          <cell r="FP105">
            <v>0</v>
          </cell>
          <cell r="FQ105">
            <v>0</v>
          </cell>
          <cell r="FR105">
            <v>0</v>
          </cell>
          <cell r="FS105">
            <v>0</v>
          </cell>
          <cell r="FT105">
            <v>0</v>
          </cell>
          <cell r="FU105">
            <v>0</v>
          </cell>
          <cell r="FV105">
            <v>0</v>
          </cell>
          <cell r="FW105">
            <v>0</v>
          </cell>
          <cell r="FX105">
            <v>0</v>
          </cell>
          <cell r="FY105">
            <v>0</v>
          </cell>
          <cell r="FZ105">
            <v>0</v>
          </cell>
        </row>
        <row r="106">
          <cell r="A106" t="str">
            <v>F_CNP_NRF_ASS_EMP_FRCE_152</v>
          </cell>
          <cell r="B106">
            <v>0.1</v>
          </cell>
          <cell r="C106">
            <v>0.08</v>
          </cell>
          <cell r="D106">
            <v>0.15</v>
          </cell>
          <cell r="E106">
            <v>0.08</v>
          </cell>
          <cell r="F106">
            <v>0.15</v>
          </cell>
          <cell r="G106">
            <v>0.22</v>
          </cell>
          <cell r="H106">
            <v>7.0000000000000007E-2</v>
          </cell>
          <cell r="I106">
            <v>0.05</v>
          </cell>
          <cell r="J106">
            <v>0.13</v>
          </cell>
          <cell r="K106">
            <v>0.18</v>
          </cell>
          <cell r="L106">
            <v>0.17</v>
          </cell>
          <cell r="M106">
            <v>0.16</v>
          </cell>
          <cell r="N106">
            <v>0.8</v>
          </cell>
          <cell r="O106">
            <v>1</v>
          </cell>
          <cell r="P106">
            <v>1</v>
          </cell>
          <cell r="Q106">
            <v>0.8</v>
          </cell>
          <cell r="R106">
            <v>0.8</v>
          </cell>
          <cell r="S106">
            <v>1</v>
          </cell>
          <cell r="T106">
            <v>1</v>
          </cell>
          <cell r="U106">
            <v>1</v>
          </cell>
          <cell r="V106">
            <v>1</v>
          </cell>
          <cell r="W106">
            <v>1</v>
          </cell>
          <cell r="X106">
            <v>1</v>
          </cell>
          <cell r="Y106">
            <v>1</v>
          </cell>
          <cell r="Z106">
            <v>0.1</v>
          </cell>
          <cell r="AA106">
            <v>0.1</v>
          </cell>
          <cell r="AB106">
            <v>0.14000000000000001</v>
          </cell>
          <cell r="AC106">
            <v>0.11</v>
          </cell>
          <cell r="AD106">
            <v>0.11</v>
          </cell>
          <cell r="AE106">
            <v>0.19</v>
          </cell>
          <cell r="AF106">
            <v>0.09</v>
          </cell>
          <cell r="AG106">
            <v>0.11</v>
          </cell>
          <cell r="AH106">
            <v>0.15</v>
          </cell>
          <cell r="AI106">
            <v>0.2</v>
          </cell>
          <cell r="AJ106">
            <v>0.2</v>
          </cell>
          <cell r="AK106">
            <v>0.2</v>
          </cell>
          <cell r="AL106">
            <v>0</v>
          </cell>
          <cell r="AM106">
            <v>0</v>
          </cell>
          <cell r="AN106">
            <v>0</v>
          </cell>
          <cell r="AO106">
            <v>0</v>
          </cell>
          <cell r="AP106">
            <v>0</v>
          </cell>
          <cell r="AQ106">
            <v>0</v>
          </cell>
          <cell r="AR106">
            <v>0</v>
          </cell>
          <cell r="AS106">
            <v>0</v>
          </cell>
          <cell r="AT106">
            <v>0</v>
          </cell>
          <cell r="AU106">
            <v>0</v>
          </cell>
          <cell r="AV106">
            <v>0</v>
          </cell>
          <cell r="AW106">
            <v>0</v>
          </cell>
          <cell r="AX106">
            <v>0</v>
          </cell>
          <cell r="AY106">
            <v>0</v>
          </cell>
          <cell r="AZ106">
            <v>0</v>
          </cell>
          <cell r="BA106">
            <v>0</v>
          </cell>
          <cell r="BB106">
            <v>0</v>
          </cell>
          <cell r="BC106">
            <v>0</v>
          </cell>
          <cell r="BD106">
            <v>0</v>
          </cell>
          <cell r="BE106">
            <v>0</v>
          </cell>
          <cell r="BF106">
            <v>1990160.3529436174</v>
          </cell>
          <cell r="BG106">
            <v>0</v>
          </cell>
          <cell r="BH106">
            <v>0</v>
          </cell>
          <cell r="BI106">
            <v>0</v>
          </cell>
          <cell r="BJ106">
            <v>0</v>
          </cell>
          <cell r="BK106">
            <v>0</v>
          </cell>
          <cell r="BL106">
            <v>0</v>
          </cell>
          <cell r="BM106">
            <v>0</v>
          </cell>
          <cell r="BN106">
            <v>0</v>
          </cell>
          <cell r="BO106">
            <v>0</v>
          </cell>
          <cell r="BP106">
            <v>0</v>
          </cell>
          <cell r="BQ106">
            <v>0</v>
          </cell>
          <cell r="BR106">
            <v>0</v>
          </cell>
          <cell r="BS106">
            <v>0</v>
          </cell>
          <cell r="BT106">
            <v>0</v>
          </cell>
          <cell r="BU106">
            <v>0</v>
          </cell>
          <cell r="BV106">
            <v>-8255013.8104518605</v>
          </cell>
          <cell r="BW106">
            <v>-8255013.8104518605</v>
          </cell>
          <cell r="BX106">
            <v>-8255013.8104518605</v>
          </cell>
          <cell r="BY106">
            <v>-5655810.888937681</v>
          </cell>
          <cell r="BZ106">
            <v>-11541496.541462673</v>
          </cell>
          <cell r="CA106">
            <v>-4599381.0725360885</v>
          </cell>
          <cell r="CB106">
            <v>0</v>
          </cell>
          <cell r="CC106">
            <v>1099649.2725540965</v>
          </cell>
          <cell r="CD106">
            <v>0</v>
          </cell>
          <cell r="CE106">
            <v>0</v>
          </cell>
          <cell r="CF106">
            <v>0</v>
          </cell>
          <cell r="CG106">
            <v>0</v>
          </cell>
          <cell r="CH106">
            <v>0</v>
          </cell>
          <cell r="CI106">
            <v>0</v>
          </cell>
          <cell r="CJ106">
            <v>0</v>
          </cell>
          <cell r="CK106">
            <v>0</v>
          </cell>
          <cell r="CL106">
            <v>0</v>
          </cell>
          <cell r="CM106">
            <v>0</v>
          </cell>
          <cell r="CN106">
            <v>0</v>
          </cell>
          <cell r="CO106">
            <v>0</v>
          </cell>
          <cell r="CP106">
            <v>0</v>
          </cell>
          <cell r="CQ106">
            <v>0</v>
          </cell>
          <cell r="CR106">
            <v>0</v>
          </cell>
          <cell r="CS106">
            <v>0</v>
          </cell>
          <cell r="CT106">
            <v>0</v>
          </cell>
          <cell r="CU106">
            <v>0</v>
          </cell>
          <cell r="CV106">
            <v>0</v>
          </cell>
          <cell r="CW106">
            <v>0</v>
          </cell>
          <cell r="CX106">
            <v>0</v>
          </cell>
          <cell r="CY106">
            <v>0</v>
          </cell>
          <cell r="CZ106">
            <v>0</v>
          </cell>
          <cell r="DA106">
            <v>0</v>
          </cell>
          <cell r="DB106">
            <v>0</v>
          </cell>
          <cell r="DC106">
            <v>0</v>
          </cell>
          <cell r="DD106">
            <v>0</v>
          </cell>
          <cell r="DE106">
            <v>0</v>
          </cell>
          <cell r="DF106">
            <v>0</v>
          </cell>
          <cell r="DG106">
            <v>0</v>
          </cell>
          <cell r="DH106">
            <v>0</v>
          </cell>
          <cell r="DI106">
            <v>0</v>
          </cell>
          <cell r="DJ106">
            <v>0</v>
          </cell>
          <cell r="DK106">
            <v>0</v>
          </cell>
          <cell r="DL106">
            <v>0</v>
          </cell>
          <cell r="DM106">
            <v>0</v>
          </cell>
          <cell r="DN106">
            <v>0</v>
          </cell>
          <cell r="DO106">
            <v>0</v>
          </cell>
          <cell r="DP106">
            <v>0</v>
          </cell>
          <cell r="DQ106">
            <v>0</v>
          </cell>
          <cell r="DR106">
            <v>0</v>
          </cell>
          <cell r="DS106">
            <v>0</v>
          </cell>
          <cell r="DT106">
            <v>0</v>
          </cell>
          <cell r="DU106">
            <v>0</v>
          </cell>
          <cell r="DV106">
            <v>0</v>
          </cell>
          <cell r="DW106">
            <v>0</v>
          </cell>
          <cell r="DX106">
            <v>0</v>
          </cell>
          <cell r="DY106">
            <v>0</v>
          </cell>
          <cell r="EA106">
            <v>0</v>
          </cell>
          <cell r="EB106">
            <v>0</v>
          </cell>
          <cell r="EC106">
            <v>0</v>
          </cell>
          <cell r="ED106">
            <v>0.05</v>
          </cell>
          <cell r="EE106">
            <v>0.09</v>
          </cell>
          <cell r="EF106">
            <v>0.08</v>
          </cell>
          <cell r="EG106">
            <v>0.17</v>
          </cell>
          <cell r="EH106">
            <v>1</v>
          </cell>
          <cell r="EI106">
            <v>1</v>
          </cell>
          <cell r="EJ106">
            <v>1</v>
          </cell>
          <cell r="EK106">
            <v>1</v>
          </cell>
          <cell r="EL106">
            <v>0.05</v>
          </cell>
          <cell r="EM106">
            <v>0.14000000000000001</v>
          </cell>
          <cell r="EN106">
            <v>0.11</v>
          </cell>
          <cell r="EO106">
            <v>0.2</v>
          </cell>
          <cell r="EP106">
            <v>0</v>
          </cell>
          <cell r="EQ106">
            <v>0</v>
          </cell>
          <cell r="ER106">
            <v>0</v>
          </cell>
          <cell r="ES106">
            <v>0</v>
          </cell>
          <cell r="ET106">
            <v>0</v>
          </cell>
          <cell r="EU106">
            <v>0</v>
          </cell>
          <cell r="EV106">
            <v>0</v>
          </cell>
          <cell r="EW106">
            <v>0</v>
          </cell>
          <cell r="EX106">
            <v>1</v>
          </cell>
          <cell r="EY106">
            <v>1</v>
          </cell>
          <cell r="EZ106">
            <v>1</v>
          </cell>
          <cell r="FA106">
            <v>0</v>
          </cell>
          <cell r="FB106">
            <v>0</v>
          </cell>
          <cell r="FC106">
            <v>0</v>
          </cell>
          <cell r="FD106">
            <v>0</v>
          </cell>
          <cell r="FE106">
            <v>0</v>
          </cell>
          <cell r="FF106">
            <v>0</v>
          </cell>
          <cell r="FG106">
            <v>0</v>
          </cell>
          <cell r="FH106">
            <v>1516450.382814582</v>
          </cell>
          <cell r="FI106">
            <v>594156.79659658333</v>
          </cell>
          <cell r="FJ106">
            <v>3048705.0911690844</v>
          </cell>
          <cell r="FK106">
            <v>0</v>
          </cell>
          <cell r="FL106">
            <v>0</v>
          </cell>
          <cell r="FM106">
            <v>0</v>
          </cell>
          <cell r="FN106">
            <v>0</v>
          </cell>
          <cell r="FO106">
            <v>0</v>
          </cell>
          <cell r="FP106">
            <v>0</v>
          </cell>
          <cell r="FQ106">
            <v>0</v>
          </cell>
          <cell r="FR106">
            <v>0</v>
          </cell>
          <cell r="FS106">
            <v>0</v>
          </cell>
          <cell r="FT106">
            <v>0</v>
          </cell>
          <cell r="FU106">
            <v>0</v>
          </cell>
          <cell r="FV106">
            <v>0</v>
          </cell>
          <cell r="FW106">
            <v>0</v>
          </cell>
          <cell r="FX106">
            <v>0</v>
          </cell>
          <cell r="FY106">
            <v>0</v>
          </cell>
          <cell r="FZ106">
            <v>0</v>
          </cell>
        </row>
        <row r="107">
          <cell r="A107" t="str">
            <v>F_CNP_NRF_ASS_EMP_FRCE_201</v>
          </cell>
          <cell r="B107">
            <v>0.1</v>
          </cell>
          <cell r="C107">
            <v>0.08</v>
          </cell>
          <cell r="D107">
            <v>0.15</v>
          </cell>
          <cell r="E107">
            <v>0.08</v>
          </cell>
          <cell r="F107">
            <v>0.15</v>
          </cell>
          <cell r="G107">
            <v>0.22</v>
          </cell>
          <cell r="H107">
            <v>7.0000000000000007E-2</v>
          </cell>
          <cell r="I107">
            <v>0.05</v>
          </cell>
          <cell r="J107">
            <v>0.13</v>
          </cell>
          <cell r="K107">
            <v>0.18</v>
          </cell>
          <cell r="L107">
            <v>0.17</v>
          </cell>
          <cell r="M107">
            <v>0.16</v>
          </cell>
          <cell r="N107">
            <v>0.8</v>
          </cell>
          <cell r="O107">
            <v>1</v>
          </cell>
          <cell r="P107">
            <v>1</v>
          </cell>
          <cell r="Q107">
            <v>0.8</v>
          </cell>
          <cell r="R107">
            <v>0.8</v>
          </cell>
          <cell r="S107">
            <v>1</v>
          </cell>
          <cell r="T107">
            <v>1</v>
          </cell>
          <cell r="U107">
            <v>1</v>
          </cell>
          <cell r="V107">
            <v>1</v>
          </cell>
          <cell r="W107">
            <v>1</v>
          </cell>
          <cell r="X107">
            <v>1</v>
          </cell>
          <cell r="Y107">
            <v>1</v>
          </cell>
          <cell r="Z107">
            <v>0.1</v>
          </cell>
          <cell r="AA107">
            <v>0.1</v>
          </cell>
          <cell r="AB107">
            <v>0.14000000000000001</v>
          </cell>
          <cell r="AC107">
            <v>0.11</v>
          </cell>
          <cell r="AD107">
            <v>0.11</v>
          </cell>
          <cell r="AE107">
            <v>0.19</v>
          </cell>
          <cell r="AF107">
            <v>0.09</v>
          </cell>
          <cell r="AG107">
            <v>0.11</v>
          </cell>
          <cell r="AH107">
            <v>0.15</v>
          </cell>
          <cell r="AI107">
            <v>0.2</v>
          </cell>
          <cell r="AJ107">
            <v>0.2</v>
          </cell>
          <cell r="AK107">
            <v>0.2</v>
          </cell>
          <cell r="AL107">
            <v>0</v>
          </cell>
          <cell r="AM107">
            <v>0</v>
          </cell>
          <cell r="AN107">
            <v>0</v>
          </cell>
          <cell r="AO107">
            <v>0</v>
          </cell>
          <cell r="AP107">
            <v>0</v>
          </cell>
          <cell r="AQ107">
            <v>0</v>
          </cell>
          <cell r="AR107">
            <v>0</v>
          </cell>
          <cell r="AS107">
            <v>0</v>
          </cell>
          <cell r="AT107">
            <v>0</v>
          </cell>
          <cell r="AU107">
            <v>0</v>
          </cell>
          <cell r="AV107">
            <v>0</v>
          </cell>
          <cell r="AW107">
            <v>0</v>
          </cell>
          <cell r="AX107">
            <v>0</v>
          </cell>
          <cell r="AY107">
            <v>0</v>
          </cell>
          <cell r="AZ107">
            <v>0</v>
          </cell>
          <cell r="BA107">
            <v>0</v>
          </cell>
          <cell r="BB107">
            <v>0</v>
          </cell>
          <cell r="BC107">
            <v>0</v>
          </cell>
          <cell r="BD107">
            <v>0</v>
          </cell>
          <cell r="BE107">
            <v>0</v>
          </cell>
          <cell r="BF107">
            <v>0</v>
          </cell>
          <cell r="BG107">
            <v>0</v>
          </cell>
          <cell r="BH107">
            <v>0</v>
          </cell>
          <cell r="BI107">
            <v>0</v>
          </cell>
          <cell r="BJ107">
            <v>0</v>
          </cell>
          <cell r="BK107">
            <v>0</v>
          </cell>
          <cell r="BL107">
            <v>0</v>
          </cell>
          <cell r="BM107">
            <v>0</v>
          </cell>
          <cell r="BN107">
            <v>0</v>
          </cell>
          <cell r="BO107">
            <v>0</v>
          </cell>
          <cell r="BP107">
            <v>0</v>
          </cell>
          <cell r="BQ107">
            <v>0</v>
          </cell>
          <cell r="BR107">
            <v>0</v>
          </cell>
          <cell r="BS107">
            <v>0</v>
          </cell>
          <cell r="BT107">
            <v>0</v>
          </cell>
          <cell r="BU107">
            <v>0</v>
          </cell>
          <cell r="BV107">
            <v>0</v>
          </cell>
          <cell r="BW107">
            <v>0</v>
          </cell>
          <cell r="BX107">
            <v>0</v>
          </cell>
          <cell r="BY107">
            <v>0</v>
          </cell>
          <cell r="BZ107">
            <v>0</v>
          </cell>
          <cell r="CA107">
            <v>0</v>
          </cell>
          <cell r="CB107">
            <v>0</v>
          </cell>
          <cell r="CC107">
            <v>0</v>
          </cell>
          <cell r="CD107">
            <v>0</v>
          </cell>
          <cell r="CE107">
            <v>0</v>
          </cell>
          <cell r="CF107">
            <v>0</v>
          </cell>
          <cell r="CG107">
            <v>0</v>
          </cell>
          <cell r="CH107">
            <v>0</v>
          </cell>
          <cell r="CI107">
            <v>0</v>
          </cell>
          <cell r="CJ107">
            <v>0</v>
          </cell>
          <cell r="CK107">
            <v>0</v>
          </cell>
          <cell r="CL107">
            <v>0</v>
          </cell>
          <cell r="CM107">
            <v>0</v>
          </cell>
          <cell r="CN107">
            <v>0</v>
          </cell>
          <cell r="CO107">
            <v>0</v>
          </cell>
          <cell r="CP107">
            <v>0</v>
          </cell>
          <cell r="CQ107">
            <v>0</v>
          </cell>
          <cell r="CR107">
            <v>0</v>
          </cell>
          <cell r="CS107">
            <v>0</v>
          </cell>
          <cell r="CT107">
            <v>0</v>
          </cell>
          <cell r="CU107">
            <v>0</v>
          </cell>
          <cell r="CV107">
            <v>0</v>
          </cell>
          <cell r="CW107">
            <v>0</v>
          </cell>
          <cell r="CX107">
            <v>0</v>
          </cell>
          <cell r="CY107">
            <v>0</v>
          </cell>
          <cell r="CZ107">
            <v>0</v>
          </cell>
          <cell r="DA107">
            <v>0</v>
          </cell>
          <cell r="DB107">
            <v>0</v>
          </cell>
          <cell r="DC107">
            <v>0</v>
          </cell>
          <cell r="DD107">
            <v>0</v>
          </cell>
          <cell r="DE107">
            <v>0</v>
          </cell>
          <cell r="DF107">
            <v>0</v>
          </cell>
          <cell r="DG107">
            <v>0</v>
          </cell>
          <cell r="DH107">
            <v>0</v>
          </cell>
          <cell r="DI107">
            <v>0</v>
          </cell>
          <cell r="DJ107">
            <v>0</v>
          </cell>
          <cell r="DK107">
            <v>0</v>
          </cell>
          <cell r="DL107">
            <v>0</v>
          </cell>
          <cell r="DM107">
            <v>0</v>
          </cell>
          <cell r="DN107">
            <v>0</v>
          </cell>
          <cell r="DO107">
            <v>0</v>
          </cell>
          <cell r="DP107">
            <v>0</v>
          </cell>
          <cell r="DQ107">
            <v>0</v>
          </cell>
          <cell r="DR107">
            <v>0</v>
          </cell>
          <cell r="DS107">
            <v>0</v>
          </cell>
          <cell r="DT107">
            <v>0</v>
          </cell>
          <cell r="DU107">
            <v>0</v>
          </cell>
          <cell r="DV107">
            <v>0</v>
          </cell>
          <cell r="DW107">
            <v>0</v>
          </cell>
          <cell r="DX107">
            <v>0</v>
          </cell>
          <cell r="DY107">
            <v>0</v>
          </cell>
          <cell r="EA107">
            <v>0</v>
          </cell>
          <cell r="EB107">
            <v>0</v>
          </cell>
          <cell r="EC107">
            <v>0</v>
          </cell>
          <cell r="ED107">
            <v>0.05</v>
          </cell>
          <cell r="EE107">
            <v>0.09</v>
          </cell>
          <cell r="EF107">
            <v>0.08</v>
          </cell>
          <cell r="EG107">
            <v>0.17</v>
          </cell>
          <cell r="EH107">
            <v>1</v>
          </cell>
          <cell r="EI107">
            <v>1</v>
          </cell>
          <cell r="EJ107">
            <v>1</v>
          </cell>
          <cell r="EK107">
            <v>1</v>
          </cell>
          <cell r="EL107">
            <v>0.05</v>
          </cell>
          <cell r="EM107">
            <v>0.14000000000000001</v>
          </cell>
          <cell r="EN107">
            <v>0.11</v>
          </cell>
          <cell r="EO107">
            <v>0.2</v>
          </cell>
          <cell r="EP107">
            <v>0</v>
          </cell>
          <cell r="EQ107">
            <v>0</v>
          </cell>
          <cell r="ER107">
            <v>0</v>
          </cell>
          <cell r="ES107">
            <v>0</v>
          </cell>
          <cell r="ET107">
            <v>0</v>
          </cell>
          <cell r="EU107">
            <v>0</v>
          </cell>
          <cell r="EV107">
            <v>0</v>
          </cell>
          <cell r="EW107">
            <v>0</v>
          </cell>
          <cell r="EX107">
            <v>1</v>
          </cell>
          <cell r="EY107">
            <v>1</v>
          </cell>
          <cell r="EZ107">
            <v>1</v>
          </cell>
          <cell r="FA107">
            <v>0</v>
          </cell>
          <cell r="FB107">
            <v>0</v>
          </cell>
          <cell r="FC107">
            <v>0</v>
          </cell>
          <cell r="FD107">
            <v>0</v>
          </cell>
          <cell r="FE107">
            <v>0</v>
          </cell>
          <cell r="FF107">
            <v>0</v>
          </cell>
          <cell r="FG107">
            <v>0</v>
          </cell>
          <cell r="FH107">
            <v>0</v>
          </cell>
          <cell r="FI107">
            <v>0</v>
          </cell>
          <cell r="FJ107">
            <v>0</v>
          </cell>
          <cell r="FK107">
            <v>0</v>
          </cell>
          <cell r="FL107">
            <v>0</v>
          </cell>
          <cell r="FM107">
            <v>0</v>
          </cell>
          <cell r="FN107">
            <v>0</v>
          </cell>
          <cell r="FO107">
            <v>0</v>
          </cell>
          <cell r="FP107">
            <v>0</v>
          </cell>
          <cell r="FQ107">
            <v>0</v>
          </cell>
          <cell r="FR107">
            <v>0</v>
          </cell>
          <cell r="FS107">
            <v>0</v>
          </cell>
          <cell r="FT107">
            <v>0</v>
          </cell>
          <cell r="FU107">
            <v>0</v>
          </cell>
          <cell r="FV107">
            <v>0</v>
          </cell>
          <cell r="FW107">
            <v>0</v>
          </cell>
          <cell r="FX107">
            <v>0</v>
          </cell>
          <cell r="FY107">
            <v>0</v>
          </cell>
          <cell r="FZ107">
            <v>0</v>
          </cell>
        </row>
        <row r="108">
          <cell r="A108" t="str">
            <v>F_CNP_NRF_ASS_EMP_FRCE_235</v>
          </cell>
          <cell r="B108">
            <v>0.1</v>
          </cell>
          <cell r="C108">
            <v>0.08</v>
          </cell>
          <cell r="D108">
            <v>0.15</v>
          </cell>
          <cell r="E108">
            <v>0.08</v>
          </cell>
          <cell r="F108">
            <v>0.15</v>
          </cell>
          <cell r="G108">
            <v>0.22</v>
          </cell>
          <cell r="H108">
            <v>7.0000000000000007E-2</v>
          </cell>
          <cell r="I108">
            <v>0.05</v>
          </cell>
          <cell r="J108">
            <v>0.13</v>
          </cell>
          <cell r="K108">
            <v>0.18</v>
          </cell>
          <cell r="L108">
            <v>0.17</v>
          </cell>
          <cell r="M108">
            <v>0.16</v>
          </cell>
          <cell r="N108">
            <v>0.8</v>
          </cell>
          <cell r="O108">
            <v>1</v>
          </cell>
          <cell r="P108">
            <v>1</v>
          </cell>
          <cell r="Q108">
            <v>0.8</v>
          </cell>
          <cell r="R108">
            <v>0.8</v>
          </cell>
          <cell r="S108">
            <v>1</v>
          </cell>
          <cell r="T108">
            <v>1</v>
          </cell>
          <cell r="U108">
            <v>1</v>
          </cell>
          <cell r="V108">
            <v>1</v>
          </cell>
          <cell r="W108">
            <v>1</v>
          </cell>
          <cell r="X108">
            <v>1</v>
          </cell>
          <cell r="Y108">
            <v>1</v>
          </cell>
          <cell r="Z108">
            <v>0.1</v>
          </cell>
          <cell r="AA108">
            <v>0.1</v>
          </cell>
          <cell r="AB108">
            <v>0.14000000000000001</v>
          </cell>
          <cell r="AC108">
            <v>0.11</v>
          </cell>
          <cell r="AD108">
            <v>0.11</v>
          </cell>
          <cell r="AE108">
            <v>0.19</v>
          </cell>
          <cell r="AF108">
            <v>0.09</v>
          </cell>
          <cell r="AG108">
            <v>0.11</v>
          </cell>
          <cell r="AH108">
            <v>0.15</v>
          </cell>
          <cell r="AI108">
            <v>0.2</v>
          </cell>
          <cell r="AJ108">
            <v>0.2</v>
          </cell>
          <cell r="AK108">
            <v>0.2</v>
          </cell>
          <cell r="AL108">
            <v>0</v>
          </cell>
          <cell r="AM108">
            <v>0</v>
          </cell>
          <cell r="AN108">
            <v>0</v>
          </cell>
          <cell r="AO108">
            <v>0</v>
          </cell>
          <cell r="AP108">
            <v>0</v>
          </cell>
          <cell r="AQ108">
            <v>0</v>
          </cell>
          <cell r="AR108">
            <v>0</v>
          </cell>
          <cell r="AS108">
            <v>0</v>
          </cell>
          <cell r="AT108">
            <v>0</v>
          </cell>
          <cell r="AU108">
            <v>0</v>
          </cell>
          <cell r="AV108">
            <v>0</v>
          </cell>
          <cell r="AW108">
            <v>0</v>
          </cell>
          <cell r="AX108">
            <v>0</v>
          </cell>
          <cell r="AY108">
            <v>0</v>
          </cell>
          <cell r="AZ108">
            <v>0</v>
          </cell>
          <cell r="BA108">
            <v>0</v>
          </cell>
          <cell r="BB108">
            <v>0</v>
          </cell>
          <cell r="BC108">
            <v>0</v>
          </cell>
          <cell r="BD108">
            <v>0</v>
          </cell>
          <cell r="BE108">
            <v>0</v>
          </cell>
          <cell r="BF108">
            <v>0</v>
          </cell>
          <cell r="BG108">
            <v>0</v>
          </cell>
          <cell r="BH108">
            <v>0</v>
          </cell>
          <cell r="BI108">
            <v>0</v>
          </cell>
          <cell r="BJ108">
            <v>0</v>
          </cell>
          <cell r="BK108">
            <v>0</v>
          </cell>
          <cell r="BL108">
            <v>0</v>
          </cell>
          <cell r="BM108">
            <v>0</v>
          </cell>
          <cell r="BN108">
            <v>0</v>
          </cell>
          <cell r="BO108">
            <v>0</v>
          </cell>
          <cell r="BP108">
            <v>0</v>
          </cell>
          <cell r="BQ108">
            <v>0</v>
          </cell>
          <cell r="BR108">
            <v>0</v>
          </cell>
          <cell r="BS108">
            <v>0</v>
          </cell>
          <cell r="BT108">
            <v>0</v>
          </cell>
          <cell r="BU108">
            <v>0</v>
          </cell>
          <cell r="BV108">
            <v>0</v>
          </cell>
          <cell r="BW108">
            <v>0</v>
          </cell>
          <cell r="BX108">
            <v>0</v>
          </cell>
          <cell r="BY108">
            <v>0</v>
          </cell>
          <cell r="BZ108">
            <v>0</v>
          </cell>
          <cell r="CA108">
            <v>0</v>
          </cell>
          <cell r="CB108">
            <v>0</v>
          </cell>
          <cell r="CC108">
            <v>0</v>
          </cell>
          <cell r="CD108">
            <v>0</v>
          </cell>
          <cell r="CE108">
            <v>0</v>
          </cell>
          <cell r="CF108">
            <v>0</v>
          </cell>
          <cell r="CG108">
            <v>0</v>
          </cell>
          <cell r="CH108">
            <v>0</v>
          </cell>
          <cell r="CI108">
            <v>0</v>
          </cell>
          <cell r="CJ108">
            <v>0</v>
          </cell>
          <cell r="CK108">
            <v>0</v>
          </cell>
          <cell r="CL108">
            <v>0</v>
          </cell>
          <cell r="CM108">
            <v>0</v>
          </cell>
          <cell r="CN108">
            <v>0</v>
          </cell>
          <cell r="CO108">
            <v>0</v>
          </cell>
          <cell r="CP108">
            <v>0</v>
          </cell>
          <cell r="CQ108">
            <v>0</v>
          </cell>
          <cell r="CR108">
            <v>0</v>
          </cell>
          <cell r="CS108">
            <v>0</v>
          </cell>
          <cell r="CT108">
            <v>0</v>
          </cell>
          <cell r="CU108">
            <v>0</v>
          </cell>
          <cell r="CV108">
            <v>0</v>
          </cell>
          <cell r="CW108">
            <v>0</v>
          </cell>
          <cell r="CX108">
            <v>0</v>
          </cell>
          <cell r="CY108">
            <v>0</v>
          </cell>
          <cell r="CZ108">
            <v>0</v>
          </cell>
          <cell r="DA108">
            <v>0</v>
          </cell>
          <cell r="DB108">
            <v>0</v>
          </cell>
          <cell r="DC108">
            <v>0</v>
          </cell>
          <cell r="DD108">
            <v>0</v>
          </cell>
          <cell r="DE108">
            <v>0</v>
          </cell>
          <cell r="DF108">
            <v>0</v>
          </cell>
          <cell r="DG108">
            <v>0</v>
          </cell>
          <cell r="DH108">
            <v>0</v>
          </cell>
          <cell r="DI108">
            <v>0</v>
          </cell>
          <cell r="DJ108">
            <v>0</v>
          </cell>
          <cell r="DK108">
            <v>0</v>
          </cell>
          <cell r="DL108">
            <v>0</v>
          </cell>
          <cell r="DM108">
            <v>0</v>
          </cell>
          <cell r="DN108">
            <v>0</v>
          </cell>
          <cell r="DO108">
            <v>0</v>
          </cell>
          <cell r="DP108">
            <v>0</v>
          </cell>
          <cell r="DQ108">
            <v>0</v>
          </cell>
          <cell r="DR108">
            <v>0</v>
          </cell>
          <cell r="DS108">
            <v>0</v>
          </cell>
          <cell r="DT108">
            <v>0</v>
          </cell>
          <cell r="DU108">
            <v>0</v>
          </cell>
          <cell r="DV108">
            <v>0</v>
          </cell>
          <cell r="DW108">
            <v>0</v>
          </cell>
          <cell r="DX108">
            <v>0</v>
          </cell>
          <cell r="DY108">
            <v>0</v>
          </cell>
          <cell r="EA108">
            <v>0</v>
          </cell>
          <cell r="EB108">
            <v>0</v>
          </cell>
          <cell r="EC108">
            <v>0</v>
          </cell>
          <cell r="ED108">
            <v>0.05</v>
          </cell>
          <cell r="EE108">
            <v>0.09</v>
          </cell>
          <cell r="EF108">
            <v>0.08</v>
          </cell>
          <cell r="EG108">
            <v>0.17</v>
          </cell>
          <cell r="EH108">
            <v>1</v>
          </cell>
          <cell r="EI108">
            <v>1</v>
          </cell>
          <cell r="EJ108">
            <v>1</v>
          </cell>
          <cell r="EK108">
            <v>1</v>
          </cell>
          <cell r="EL108">
            <v>0.05</v>
          </cell>
          <cell r="EM108">
            <v>0.14000000000000001</v>
          </cell>
          <cell r="EN108">
            <v>0.11</v>
          </cell>
          <cell r="EO108">
            <v>0.2</v>
          </cell>
          <cell r="EP108">
            <v>0</v>
          </cell>
          <cell r="EQ108">
            <v>0</v>
          </cell>
          <cell r="ER108">
            <v>0</v>
          </cell>
          <cell r="ES108">
            <v>0</v>
          </cell>
          <cell r="ET108">
            <v>0</v>
          </cell>
          <cell r="EU108">
            <v>0</v>
          </cell>
          <cell r="EV108">
            <v>0</v>
          </cell>
          <cell r="EW108">
            <v>0</v>
          </cell>
          <cell r="EX108">
            <v>1</v>
          </cell>
          <cell r="EY108">
            <v>1</v>
          </cell>
          <cell r="EZ108">
            <v>1</v>
          </cell>
          <cell r="FA108">
            <v>0</v>
          </cell>
          <cell r="FB108">
            <v>0</v>
          </cell>
          <cell r="FC108">
            <v>0</v>
          </cell>
          <cell r="FD108">
            <v>0</v>
          </cell>
          <cell r="FE108">
            <v>0</v>
          </cell>
          <cell r="FF108">
            <v>0</v>
          </cell>
          <cell r="FG108">
            <v>0</v>
          </cell>
          <cell r="FH108">
            <v>0</v>
          </cell>
          <cell r="FI108">
            <v>0</v>
          </cell>
          <cell r="FJ108">
            <v>0</v>
          </cell>
          <cell r="FK108">
            <v>0</v>
          </cell>
          <cell r="FL108">
            <v>0</v>
          </cell>
          <cell r="FM108">
            <v>0</v>
          </cell>
          <cell r="FN108">
            <v>0</v>
          </cell>
          <cell r="FO108">
            <v>0</v>
          </cell>
          <cell r="FP108">
            <v>0</v>
          </cell>
          <cell r="FQ108">
            <v>0</v>
          </cell>
          <cell r="FR108">
            <v>0</v>
          </cell>
          <cell r="FS108">
            <v>0</v>
          </cell>
          <cell r="FT108">
            <v>0</v>
          </cell>
          <cell r="FU108">
            <v>0</v>
          </cell>
          <cell r="FV108">
            <v>0</v>
          </cell>
          <cell r="FW108">
            <v>0</v>
          </cell>
          <cell r="FX108">
            <v>0</v>
          </cell>
          <cell r="FY108">
            <v>0</v>
          </cell>
          <cell r="FZ108">
            <v>0</v>
          </cell>
        </row>
        <row r="109">
          <cell r="A109" t="str">
            <v>F_CNP_NRF_ASS_EMP_FRCE_253</v>
          </cell>
          <cell r="B109">
            <v>0.1</v>
          </cell>
          <cell r="C109">
            <v>0.08</v>
          </cell>
          <cell r="D109">
            <v>0.15</v>
          </cell>
          <cell r="E109">
            <v>0.08</v>
          </cell>
          <cell r="F109">
            <v>0.15</v>
          </cell>
          <cell r="G109">
            <v>0.22</v>
          </cell>
          <cell r="H109">
            <v>7.0000000000000007E-2</v>
          </cell>
          <cell r="I109">
            <v>0.05</v>
          </cell>
          <cell r="J109">
            <v>0.13</v>
          </cell>
          <cell r="K109">
            <v>0.18</v>
          </cell>
          <cell r="L109">
            <v>0.17</v>
          </cell>
          <cell r="M109">
            <v>0.16</v>
          </cell>
          <cell r="N109">
            <v>0.8</v>
          </cell>
          <cell r="O109">
            <v>1</v>
          </cell>
          <cell r="P109">
            <v>1</v>
          </cell>
          <cell r="Q109">
            <v>0.8</v>
          </cell>
          <cell r="R109">
            <v>0.8</v>
          </cell>
          <cell r="S109">
            <v>1</v>
          </cell>
          <cell r="T109">
            <v>1</v>
          </cell>
          <cell r="U109">
            <v>1</v>
          </cell>
          <cell r="V109">
            <v>1</v>
          </cell>
          <cell r="W109">
            <v>1</v>
          </cell>
          <cell r="X109">
            <v>1</v>
          </cell>
          <cell r="Y109">
            <v>1</v>
          </cell>
          <cell r="Z109">
            <v>0.1</v>
          </cell>
          <cell r="AA109">
            <v>0.1</v>
          </cell>
          <cell r="AB109">
            <v>0.14000000000000001</v>
          </cell>
          <cell r="AC109">
            <v>0.11</v>
          </cell>
          <cell r="AD109">
            <v>0.11</v>
          </cell>
          <cell r="AE109">
            <v>0.19</v>
          </cell>
          <cell r="AF109">
            <v>0.09</v>
          </cell>
          <cell r="AG109">
            <v>0.11</v>
          </cell>
          <cell r="AH109">
            <v>0.15</v>
          </cell>
          <cell r="AI109">
            <v>0.2</v>
          </cell>
          <cell r="AJ109">
            <v>0.2</v>
          </cell>
          <cell r="AK109">
            <v>0.2</v>
          </cell>
          <cell r="AL109">
            <v>0</v>
          </cell>
          <cell r="AM109">
            <v>0</v>
          </cell>
          <cell r="AN109">
            <v>0</v>
          </cell>
          <cell r="AO109">
            <v>0</v>
          </cell>
          <cell r="AP109">
            <v>0</v>
          </cell>
          <cell r="AQ109">
            <v>0</v>
          </cell>
          <cell r="AR109">
            <v>0</v>
          </cell>
          <cell r="AS109">
            <v>0</v>
          </cell>
          <cell r="AT109">
            <v>0</v>
          </cell>
          <cell r="AU109">
            <v>0</v>
          </cell>
          <cell r="AV109">
            <v>0</v>
          </cell>
          <cell r="AW109">
            <v>0</v>
          </cell>
          <cell r="AX109">
            <v>0</v>
          </cell>
          <cell r="AY109">
            <v>0</v>
          </cell>
          <cell r="AZ109">
            <v>0</v>
          </cell>
          <cell r="BA109">
            <v>0</v>
          </cell>
          <cell r="BB109">
            <v>0</v>
          </cell>
          <cell r="BC109">
            <v>0</v>
          </cell>
          <cell r="BD109">
            <v>0</v>
          </cell>
          <cell r="BE109">
            <v>0</v>
          </cell>
          <cell r="BF109">
            <v>0</v>
          </cell>
          <cell r="BG109">
            <v>0</v>
          </cell>
          <cell r="BH109">
            <v>0</v>
          </cell>
          <cell r="BI109">
            <v>0</v>
          </cell>
          <cell r="BJ109">
            <v>0</v>
          </cell>
          <cell r="BK109">
            <v>0</v>
          </cell>
          <cell r="BL109">
            <v>0</v>
          </cell>
          <cell r="BM109">
            <v>0</v>
          </cell>
          <cell r="BN109">
            <v>0</v>
          </cell>
          <cell r="BO109">
            <v>0</v>
          </cell>
          <cell r="BP109">
            <v>0</v>
          </cell>
          <cell r="BQ109">
            <v>0</v>
          </cell>
          <cell r="BR109">
            <v>0</v>
          </cell>
          <cell r="BS109">
            <v>0</v>
          </cell>
          <cell r="BT109">
            <v>0</v>
          </cell>
          <cell r="BU109">
            <v>0</v>
          </cell>
          <cell r="BV109">
            <v>0</v>
          </cell>
          <cell r="BW109">
            <v>0</v>
          </cell>
          <cell r="BX109">
            <v>0</v>
          </cell>
          <cell r="BY109">
            <v>0</v>
          </cell>
          <cell r="BZ109">
            <v>0</v>
          </cell>
          <cell r="CA109">
            <v>0</v>
          </cell>
          <cell r="CB109">
            <v>0</v>
          </cell>
          <cell r="CC109">
            <v>0</v>
          </cell>
          <cell r="CD109">
            <v>0</v>
          </cell>
          <cell r="CE109">
            <v>0</v>
          </cell>
          <cell r="CF109">
            <v>0</v>
          </cell>
          <cell r="CG109">
            <v>0</v>
          </cell>
          <cell r="CH109">
            <v>0</v>
          </cell>
          <cell r="CI109">
            <v>0</v>
          </cell>
          <cell r="CJ109">
            <v>0</v>
          </cell>
          <cell r="CK109">
            <v>0</v>
          </cell>
          <cell r="CL109">
            <v>0</v>
          </cell>
          <cell r="CM109">
            <v>0</v>
          </cell>
          <cell r="CN109">
            <v>0</v>
          </cell>
          <cell r="CO109">
            <v>0</v>
          </cell>
          <cell r="CP109">
            <v>0</v>
          </cell>
          <cell r="CQ109">
            <v>0</v>
          </cell>
          <cell r="CR109">
            <v>0</v>
          </cell>
          <cell r="CS109">
            <v>0</v>
          </cell>
          <cell r="CT109">
            <v>0</v>
          </cell>
          <cell r="CU109">
            <v>0</v>
          </cell>
          <cell r="CV109">
            <v>0</v>
          </cell>
          <cell r="CW109">
            <v>0</v>
          </cell>
          <cell r="CX109">
            <v>0</v>
          </cell>
          <cell r="CY109">
            <v>0</v>
          </cell>
          <cell r="CZ109">
            <v>0</v>
          </cell>
          <cell r="DA109">
            <v>0</v>
          </cell>
          <cell r="DB109">
            <v>0</v>
          </cell>
          <cell r="DC109">
            <v>0</v>
          </cell>
          <cell r="DD109">
            <v>0</v>
          </cell>
          <cell r="DE109">
            <v>0</v>
          </cell>
          <cell r="DF109">
            <v>0</v>
          </cell>
          <cell r="DG109">
            <v>0</v>
          </cell>
          <cell r="DH109">
            <v>0</v>
          </cell>
          <cell r="DI109">
            <v>0</v>
          </cell>
          <cell r="DJ109">
            <v>0</v>
          </cell>
          <cell r="DK109">
            <v>0</v>
          </cell>
          <cell r="DL109">
            <v>0</v>
          </cell>
          <cell r="DM109">
            <v>0</v>
          </cell>
          <cell r="DN109">
            <v>0</v>
          </cell>
          <cell r="DO109">
            <v>0</v>
          </cell>
          <cell r="DP109">
            <v>0</v>
          </cell>
          <cell r="DQ109">
            <v>0</v>
          </cell>
          <cell r="DR109">
            <v>0</v>
          </cell>
          <cell r="DS109">
            <v>0</v>
          </cell>
          <cell r="DT109">
            <v>0</v>
          </cell>
          <cell r="DU109">
            <v>0</v>
          </cell>
          <cell r="DV109">
            <v>0</v>
          </cell>
          <cell r="DW109">
            <v>0</v>
          </cell>
          <cell r="DX109">
            <v>0</v>
          </cell>
          <cell r="DY109">
            <v>0</v>
          </cell>
          <cell r="EA109">
            <v>0</v>
          </cell>
          <cell r="EB109">
            <v>0</v>
          </cell>
          <cell r="EC109">
            <v>0</v>
          </cell>
          <cell r="ED109">
            <v>0.05</v>
          </cell>
          <cell r="EE109">
            <v>0.09</v>
          </cell>
          <cell r="EF109">
            <v>0.08</v>
          </cell>
          <cell r="EG109">
            <v>0.17</v>
          </cell>
          <cell r="EH109">
            <v>1</v>
          </cell>
          <cell r="EI109">
            <v>1</v>
          </cell>
          <cell r="EJ109">
            <v>1</v>
          </cell>
          <cell r="EK109">
            <v>1</v>
          </cell>
          <cell r="EL109">
            <v>0.05</v>
          </cell>
          <cell r="EM109">
            <v>0.14000000000000001</v>
          </cell>
          <cell r="EN109">
            <v>0.11</v>
          </cell>
          <cell r="EO109">
            <v>0.2</v>
          </cell>
          <cell r="EP109">
            <v>0</v>
          </cell>
          <cell r="EQ109">
            <v>0</v>
          </cell>
          <cell r="ER109">
            <v>0</v>
          </cell>
          <cell r="ES109">
            <v>0</v>
          </cell>
          <cell r="ET109">
            <v>0</v>
          </cell>
          <cell r="EU109">
            <v>0</v>
          </cell>
          <cell r="EV109">
            <v>0</v>
          </cell>
          <cell r="EW109">
            <v>0</v>
          </cell>
          <cell r="EX109">
            <v>0</v>
          </cell>
          <cell r="EY109">
            <v>0</v>
          </cell>
          <cell r="EZ109">
            <v>0</v>
          </cell>
          <cell r="FA109">
            <v>0</v>
          </cell>
          <cell r="FB109">
            <v>0</v>
          </cell>
          <cell r="FC109">
            <v>0</v>
          </cell>
          <cell r="FD109">
            <v>0</v>
          </cell>
          <cell r="FE109">
            <v>0</v>
          </cell>
          <cell r="FF109">
            <v>0</v>
          </cell>
          <cell r="FG109">
            <v>0</v>
          </cell>
          <cell r="FH109">
            <v>2250.5191080177669</v>
          </cell>
          <cell r="FI109">
            <v>881.77050766238813</v>
          </cell>
          <cell r="FJ109">
            <v>4524.4929475717618</v>
          </cell>
          <cell r="FK109">
            <v>0</v>
          </cell>
          <cell r="FL109">
            <v>0</v>
          </cell>
          <cell r="FM109">
            <v>0</v>
          </cell>
          <cell r="FN109">
            <v>0</v>
          </cell>
          <cell r="FO109">
            <v>0</v>
          </cell>
          <cell r="FP109">
            <v>0</v>
          </cell>
          <cell r="FQ109">
            <v>0</v>
          </cell>
          <cell r="FR109">
            <v>0</v>
          </cell>
          <cell r="FS109">
            <v>0</v>
          </cell>
          <cell r="FT109">
            <v>0</v>
          </cell>
          <cell r="FU109">
            <v>0</v>
          </cell>
          <cell r="FV109">
            <v>0</v>
          </cell>
          <cell r="FW109">
            <v>0</v>
          </cell>
          <cell r="FX109">
            <v>0</v>
          </cell>
          <cell r="FY109">
            <v>0</v>
          </cell>
          <cell r="FZ109">
            <v>0</v>
          </cell>
        </row>
        <row r="110">
          <cell r="A110" t="str">
            <v>F_CNP_NRF_ASS_EMP_FRCE_254</v>
          </cell>
          <cell r="B110">
            <v>0.1</v>
          </cell>
          <cell r="C110">
            <v>0.08</v>
          </cell>
          <cell r="D110">
            <v>0.15</v>
          </cell>
          <cell r="E110">
            <v>0.08</v>
          </cell>
          <cell r="F110">
            <v>0.15</v>
          </cell>
          <cell r="G110">
            <v>0.22</v>
          </cell>
          <cell r="H110">
            <v>7.0000000000000007E-2</v>
          </cell>
          <cell r="I110">
            <v>0.05</v>
          </cell>
          <cell r="J110">
            <v>0.13</v>
          </cell>
          <cell r="K110">
            <v>0.18</v>
          </cell>
          <cell r="L110">
            <v>0.17</v>
          </cell>
          <cell r="M110">
            <v>0.16</v>
          </cell>
          <cell r="N110">
            <v>0.8</v>
          </cell>
          <cell r="O110">
            <v>1</v>
          </cell>
          <cell r="P110">
            <v>1</v>
          </cell>
          <cell r="Q110">
            <v>0.8</v>
          </cell>
          <cell r="R110">
            <v>0.8</v>
          </cell>
          <cell r="S110">
            <v>1</v>
          </cell>
          <cell r="T110">
            <v>1</v>
          </cell>
          <cell r="U110">
            <v>1</v>
          </cell>
          <cell r="V110">
            <v>1</v>
          </cell>
          <cell r="W110">
            <v>1</v>
          </cell>
          <cell r="X110">
            <v>1</v>
          </cell>
          <cell r="Y110">
            <v>1</v>
          </cell>
          <cell r="Z110">
            <v>0.1</v>
          </cell>
          <cell r="AA110">
            <v>0.1</v>
          </cell>
          <cell r="AB110">
            <v>0.14000000000000001</v>
          </cell>
          <cell r="AC110">
            <v>0.11</v>
          </cell>
          <cell r="AD110">
            <v>0.11</v>
          </cell>
          <cell r="AE110">
            <v>0.19</v>
          </cell>
          <cell r="AF110">
            <v>0.09</v>
          </cell>
          <cell r="AG110">
            <v>0.11</v>
          </cell>
          <cell r="AH110">
            <v>0.15</v>
          </cell>
          <cell r="AI110">
            <v>0.2</v>
          </cell>
          <cell r="AJ110">
            <v>0.2</v>
          </cell>
          <cell r="AK110">
            <v>0.2</v>
          </cell>
          <cell r="AL110">
            <v>0</v>
          </cell>
          <cell r="AM110">
            <v>0</v>
          </cell>
          <cell r="AN110">
            <v>0</v>
          </cell>
          <cell r="AO110">
            <v>0</v>
          </cell>
          <cell r="AP110">
            <v>0</v>
          </cell>
          <cell r="AQ110">
            <v>0</v>
          </cell>
          <cell r="AR110">
            <v>0</v>
          </cell>
          <cell r="AS110">
            <v>0</v>
          </cell>
          <cell r="AT110">
            <v>0</v>
          </cell>
          <cell r="AU110">
            <v>0</v>
          </cell>
          <cell r="AV110">
            <v>0</v>
          </cell>
          <cell r="AW110">
            <v>0</v>
          </cell>
          <cell r="AX110">
            <v>0</v>
          </cell>
          <cell r="AY110">
            <v>0</v>
          </cell>
          <cell r="AZ110">
            <v>0</v>
          </cell>
          <cell r="BA110">
            <v>0</v>
          </cell>
          <cell r="BB110">
            <v>0</v>
          </cell>
          <cell r="BC110">
            <v>0</v>
          </cell>
          <cell r="BD110">
            <v>0</v>
          </cell>
          <cell r="BE110">
            <v>0</v>
          </cell>
          <cell r="BF110">
            <v>0</v>
          </cell>
          <cell r="BG110">
            <v>0</v>
          </cell>
          <cell r="BH110">
            <v>0</v>
          </cell>
          <cell r="BI110">
            <v>0</v>
          </cell>
          <cell r="BJ110">
            <v>0</v>
          </cell>
          <cell r="BK110">
            <v>0</v>
          </cell>
          <cell r="BL110">
            <v>0</v>
          </cell>
          <cell r="BM110">
            <v>0</v>
          </cell>
          <cell r="BN110">
            <v>0</v>
          </cell>
          <cell r="BO110">
            <v>0</v>
          </cell>
          <cell r="BP110">
            <v>0</v>
          </cell>
          <cell r="BQ110">
            <v>0</v>
          </cell>
          <cell r="BR110">
            <v>0</v>
          </cell>
          <cell r="BS110">
            <v>0</v>
          </cell>
          <cell r="BT110">
            <v>0</v>
          </cell>
          <cell r="BU110">
            <v>0</v>
          </cell>
          <cell r="BV110">
            <v>0</v>
          </cell>
          <cell r="BW110">
            <v>0</v>
          </cell>
          <cell r="BX110">
            <v>0</v>
          </cell>
          <cell r="BY110">
            <v>0</v>
          </cell>
          <cell r="BZ110">
            <v>0</v>
          </cell>
          <cell r="CA110">
            <v>0</v>
          </cell>
          <cell r="CB110">
            <v>0</v>
          </cell>
          <cell r="CC110">
            <v>0</v>
          </cell>
          <cell r="CD110">
            <v>0</v>
          </cell>
          <cell r="CE110">
            <v>0</v>
          </cell>
          <cell r="CF110">
            <v>0</v>
          </cell>
          <cell r="CG110">
            <v>0</v>
          </cell>
          <cell r="CH110">
            <v>0</v>
          </cell>
          <cell r="CI110">
            <v>0</v>
          </cell>
          <cell r="CJ110">
            <v>0</v>
          </cell>
          <cell r="CK110">
            <v>0</v>
          </cell>
          <cell r="CL110">
            <v>0</v>
          </cell>
          <cell r="CM110">
            <v>0</v>
          </cell>
          <cell r="CN110">
            <v>0</v>
          </cell>
          <cell r="CO110">
            <v>0</v>
          </cell>
          <cell r="CP110">
            <v>0</v>
          </cell>
          <cell r="CQ110">
            <v>0</v>
          </cell>
          <cell r="CR110">
            <v>0</v>
          </cell>
          <cell r="CS110">
            <v>0</v>
          </cell>
          <cell r="CT110">
            <v>0</v>
          </cell>
          <cell r="CU110">
            <v>0</v>
          </cell>
          <cell r="CV110">
            <v>0</v>
          </cell>
          <cell r="CW110">
            <v>0</v>
          </cell>
          <cell r="CX110">
            <v>0</v>
          </cell>
          <cell r="CY110">
            <v>0</v>
          </cell>
          <cell r="CZ110">
            <v>0</v>
          </cell>
          <cell r="DA110">
            <v>0</v>
          </cell>
          <cell r="DB110">
            <v>0</v>
          </cell>
          <cell r="DC110">
            <v>0</v>
          </cell>
          <cell r="DD110">
            <v>0</v>
          </cell>
          <cell r="DE110">
            <v>0</v>
          </cell>
          <cell r="DF110">
            <v>0</v>
          </cell>
          <cell r="DG110">
            <v>0</v>
          </cell>
          <cell r="DH110">
            <v>0</v>
          </cell>
          <cell r="DI110">
            <v>0</v>
          </cell>
          <cell r="DJ110">
            <v>0</v>
          </cell>
          <cell r="DK110">
            <v>0</v>
          </cell>
          <cell r="DL110">
            <v>0</v>
          </cell>
          <cell r="DM110">
            <v>0</v>
          </cell>
          <cell r="DN110">
            <v>0</v>
          </cell>
          <cell r="DO110">
            <v>0</v>
          </cell>
          <cell r="DP110">
            <v>0</v>
          </cell>
          <cell r="DQ110">
            <v>0</v>
          </cell>
          <cell r="DR110">
            <v>0</v>
          </cell>
          <cell r="DS110">
            <v>0</v>
          </cell>
          <cell r="DT110">
            <v>0</v>
          </cell>
          <cell r="DU110">
            <v>0</v>
          </cell>
          <cell r="DV110">
            <v>0</v>
          </cell>
          <cell r="DW110">
            <v>0</v>
          </cell>
          <cell r="DX110">
            <v>0</v>
          </cell>
          <cell r="DY110">
            <v>0</v>
          </cell>
          <cell r="EA110">
            <v>0</v>
          </cell>
          <cell r="EB110">
            <v>0</v>
          </cell>
          <cell r="EC110">
            <v>0</v>
          </cell>
          <cell r="ED110">
            <v>0.05</v>
          </cell>
          <cell r="EE110">
            <v>0.09</v>
          </cell>
          <cell r="EF110">
            <v>0.08</v>
          </cell>
          <cell r="EG110">
            <v>0.17</v>
          </cell>
          <cell r="EH110">
            <v>1</v>
          </cell>
          <cell r="EI110">
            <v>1</v>
          </cell>
          <cell r="EJ110">
            <v>1</v>
          </cell>
          <cell r="EK110">
            <v>1</v>
          </cell>
          <cell r="EL110">
            <v>0.05</v>
          </cell>
          <cell r="EM110">
            <v>0.14000000000000001</v>
          </cell>
          <cell r="EN110">
            <v>0.11</v>
          </cell>
          <cell r="EO110">
            <v>0.2</v>
          </cell>
          <cell r="EP110">
            <v>0</v>
          </cell>
          <cell r="EQ110">
            <v>0</v>
          </cell>
          <cell r="ER110">
            <v>0</v>
          </cell>
          <cell r="ES110">
            <v>0</v>
          </cell>
          <cell r="ET110">
            <v>0</v>
          </cell>
          <cell r="EU110">
            <v>0</v>
          </cell>
          <cell r="EV110">
            <v>0</v>
          </cell>
          <cell r="EW110">
            <v>0</v>
          </cell>
          <cell r="EX110">
            <v>1</v>
          </cell>
          <cell r="EY110">
            <v>1</v>
          </cell>
          <cell r="EZ110">
            <v>1</v>
          </cell>
          <cell r="FA110">
            <v>0</v>
          </cell>
          <cell r="FB110">
            <v>0</v>
          </cell>
          <cell r="FC110">
            <v>0</v>
          </cell>
          <cell r="FD110">
            <v>0</v>
          </cell>
          <cell r="FE110">
            <v>0</v>
          </cell>
          <cell r="FF110">
            <v>0</v>
          </cell>
          <cell r="FG110">
            <v>0</v>
          </cell>
          <cell r="FH110">
            <v>0</v>
          </cell>
          <cell r="FI110">
            <v>0</v>
          </cell>
          <cell r="FJ110">
            <v>0</v>
          </cell>
          <cell r="FK110">
            <v>0</v>
          </cell>
          <cell r="FL110">
            <v>0</v>
          </cell>
          <cell r="FM110">
            <v>0</v>
          </cell>
          <cell r="FN110">
            <v>0</v>
          </cell>
          <cell r="FO110">
            <v>0</v>
          </cell>
          <cell r="FP110">
            <v>0</v>
          </cell>
          <cell r="FQ110">
            <v>0</v>
          </cell>
          <cell r="FR110">
            <v>0</v>
          </cell>
          <cell r="FS110">
            <v>0</v>
          </cell>
          <cell r="FT110">
            <v>0</v>
          </cell>
          <cell r="FU110">
            <v>0</v>
          </cell>
          <cell r="FV110">
            <v>0</v>
          </cell>
          <cell r="FW110">
            <v>0</v>
          </cell>
          <cell r="FX110">
            <v>0</v>
          </cell>
          <cell r="FY110">
            <v>0</v>
          </cell>
          <cell r="FZ110">
            <v>0</v>
          </cell>
        </row>
        <row r="111">
          <cell r="A111" t="str">
            <v>F_CNP_NRF_ASS_EMP_INTR_201</v>
          </cell>
          <cell r="B111">
            <v>0.1</v>
          </cell>
          <cell r="C111">
            <v>0.08</v>
          </cell>
          <cell r="D111">
            <v>0.15</v>
          </cell>
          <cell r="E111">
            <v>0.08</v>
          </cell>
          <cell r="F111">
            <v>0.15</v>
          </cell>
          <cell r="G111">
            <v>0.22</v>
          </cell>
          <cell r="H111">
            <v>7.0000000000000007E-2</v>
          </cell>
          <cell r="I111">
            <v>0.05</v>
          </cell>
          <cell r="J111">
            <v>0.13</v>
          </cell>
          <cell r="K111">
            <v>0.18</v>
          </cell>
          <cell r="L111">
            <v>0.17</v>
          </cell>
          <cell r="M111">
            <v>0.16</v>
          </cell>
          <cell r="N111">
            <v>0.8</v>
          </cell>
          <cell r="O111">
            <v>1</v>
          </cell>
          <cell r="P111">
            <v>1</v>
          </cell>
          <cell r="Q111">
            <v>0.8</v>
          </cell>
          <cell r="R111">
            <v>0.8</v>
          </cell>
          <cell r="S111">
            <v>1</v>
          </cell>
          <cell r="T111">
            <v>1</v>
          </cell>
          <cell r="U111">
            <v>1</v>
          </cell>
          <cell r="V111">
            <v>1</v>
          </cell>
          <cell r="W111">
            <v>1</v>
          </cell>
          <cell r="X111">
            <v>1</v>
          </cell>
          <cell r="Y111">
            <v>1</v>
          </cell>
          <cell r="Z111">
            <v>0.1</v>
          </cell>
          <cell r="AA111">
            <v>0.1</v>
          </cell>
          <cell r="AB111">
            <v>0.14000000000000001</v>
          </cell>
          <cell r="AC111">
            <v>0.11</v>
          </cell>
          <cell r="AD111">
            <v>0.11</v>
          </cell>
          <cell r="AE111">
            <v>0.19</v>
          </cell>
          <cell r="AF111">
            <v>0.09</v>
          </cell>
          <cell r="AG111">
            <v>0.11</v>
          </cell>
          <cell r="AH111">
            <v>0.15</v>
          </cell>
          <cell r="AI111">
            <v>0.2</v>
          </cell>
          <cell r="AJ111">
            <v>0.2</v>
          </cell>
          <cell r="AK111">
            <v>0.2</v>
          </cell>
          <cell r="AL111">
            <v>0</v>
          </cell>
          <cell r="AM111">
            <v>0</v>
          </cell>
          <cell r="AN111">
            <v>0</v>
          </cell>
          <cell r="AO111">
            <v>0</v>
          </cell>
          <cell r="AP111">
            <v>0</v>
          </cell>
          <cell r="AQ111">
            <v>0</v>
          </cell>
          <cell r="AR111">
            <v>0</v>
          </cell>
          <cell r="AS111">
            <v>0</v>
          </cell>
          <cell r="AT111">
            <v>0</v>
          </cell>
          <cell r="AU111">
            <v>0</v>
          </cell>
          <cell r="AV111">
            <v>0</v>
          </cell>
          <cell r="AW111">
            <v>0</v>
          </cell>
          <cell r="AX111">
            <v>0</v>
          </cell>
          <cell r="AY111">
            <v>0</v>
          </cell>
          <cell r="AZ111">
            <v>0</v>
          </cell>
          <cell r="BA111">
            <v>0</v>
          </cell>
          <cell r="BB111">
            <v>0</v>
          </cell>
          <cell r="BC111">
            <v>0</v>
          </cell>
          <cell r="BD111">
            <v>0</v>
          </cell>
          <cell r="BE111">
            <v>0</v>
          </cell>
          <cell r="BF111">
            <v>0</v>
          </cell>
          <cell r="BG111">
            <v>0</v>
          </cell>
          <cell r="BH111">
            <v>0</v>
          </cell>
          <cell r="BI111">
            <v>0</v>
          </cell>
          <cell r="BJ111">
            <v>0</v>
          </cell>
          <cell r="BK111">
            <v>0</v>
          </cell>
          <cell r="BL111">
            <v>0</v>
          </cell>
          <cell r="BM111">
            <v>0</v>
          </cell>
          <cell r="BN111">
            <v>0</v>
          </cell>
          <cell r="BO111">
            <v>0</v>
          </cell>
          <cell r="BP111">
            <v>0</v>
          </cell>
          <cell r="BQ111">
            <v>0</v>
          </cell>
          <cell r="BR111">
            <v>0</v>
          </cell>
          <cell r="BS111">
            <v>0</v>
          </cell>
          <cell r="BT111">
            <v>0</v>
          </cell>
          <cell r="BU111">
            <v>0</v>
          </cell>
          <cell r="BV111">
            <v>0</v>
          </cell>
          <cell r="BW111">
            <v>0</v>
          </cell>
          <cell r="BX111">
            <v>0</v>
          </cell>
          <cell r="BY111">
            <v>0</v>
          </cell>
          <cell r="BZ111">
            <v>0</v>
          </cell>
          <cell r="CA111">
            <v>0</v>
          </cell>
          <cell r="CB111">
            <v>0</v>
          </cell>
          <cell r="CC111">
            <v>0</v>
          </cell>
          <cell r="CD111">
            <v>0</v>
          </cell>
          <cell r="CE111">
            <v>0</v>
          </cell>
          <cell r="CF111">
            <v>0</v>
          </cell>
          <cell r="CG111">
            <v>0</v>
          </cell>
          <cell r="CH111">
            <v>0</v>
          </cell>
          <cell r="CI111">
            <v>0</v>
          </cell>
          <cell r="CJ111">
            <v>0</v>
          </cell>
          <cell r="CK111">
            <v>0</v>
          </cell>
          <cell r="CL111">
            <v>0</v>
          </cell>
          <cell r="CM111">
            <v>0</v>
          </cell>
          <cell r="CN111">
            <v>0</v>
          </cell>
          <cell r="CO111">
            <v>0</v>
          </cell>
          <cell r="CP111">
            <v>0</v>
          </cell>
          <cell r="CQ111">
            <v>0</v>
          </cell>
          <cell r="CR111">
            <v>0</v>
          </cell>
          <cell r="CS111">
            <v>0</v>
          </cell>
          <cell r="CT111">
            <v>0</v>
          </cell>
          <cell r="CU111">
            <v>0</v>
          </cell>
          <cell r="CV111">
            <v>0</v>
          </cell>
          <cell r="CW111">
            <v>0</v>
          </cell>
          <cell r="CX111">
            <v>0</v>
          </cell>
          <cell r="CY111">
            <v>0</v>
          </cell>
          <cell r="CZ111">
            <v>0</v>
          </cell>
          <cell r="DA111">
            <v>0</v>
          </cell>
          <cell r="DB111">
            <v>0</v>
          </cell>
          <cell r="DC111">
            <v>0</v>
          </cell>
          <cell r="DD111">
            <v>0</v>
          </cell>
          <cell r="DE111">
            <v>0</v>
          </cell>
          <cell r="DF111">
            <v>0</v>
          </cell>
          <cell r="DG111">
            <v>0</v>
          </cell>
          <cell r="DH111">
            <v>0</v>
          </cell>
          <cell r="DI111">
            <v>0</v>
          </cell>
          <cell r="DJ111">
            <v>0</v>
          </cell>
          <cell r="DK111">
            <v>0</v>
          </cell>
          <cell r="DL111">
            <v>0</v>
          </cell>
          <cell r="DM111">
            <v>0</v>
          </cell>
          <cell r="DN111">
            <v>0</v>
          </cell>
          <cell r="DO111">
            <v>0</v>
          </cell>
          <cell r="DP111">
            <v>0</v>
          </cell>
          <cell r="DQ111">
            <v>0</v>
          </cell>
          <cell r="DR111">
            <v>0</v>
          </cell>
          <cell r="DS111">
            <v>0</v>
          </cell>
          <cell r="DT111">
            <v>0</v>
          </cell>
          <cell r="DU111">
            <v>0</v>
          </cell>
          <cell r="DV111">
            <v>0</v>
          </cell>
          <cell r="DW111">
            <v>0</v>
          </cell>
          <cell r="DX111">
            <v>0</v>
          </cell>
          <cell r="DY111">
            <v>0</v>
          </cell>
          <cell r="EA111">
            <v>0</v>
          </cell>
          <cell r="EB111">
            <v>0</v>
          </cell>
          <cell r="EC111">
            <v>0</v>
          </cell>
          <cell r="ED111">
            <v>0.05</v>
          </cell>
          <cell r="EE111">
            <v>0.09</v>
          </cell>
          <cell r="EF111">
            <v>0.08</v>
          </cell>
          <cell r="EG111">
            <v>0.17</v>
          </cell>
          <cell r="EH111">
            <v>1</v>
          </cell>
          <cell r="EI111">
            <v>1</v>
          </cell>
          <cell r="EJ111">
            <v>1</v>
          </cell>
          <cell r="EK111">
            <v>1</v>
          </cell>
          <cell r="EL111">
            <v>0.05</v>
          </cell>
          <cell r="EM111">
            <v>0.14000000000000001</v>
          </cell>
          <cell r="EN111">
            <v>0.11</v>
          </cell>
          <cell r="EO111">
            <v>0.2</v>
          </cell>
          <cell r="EP111">
            <v>0</v>
          </cell>
          <cell r="EQ111">
            <v>0</v>
          </cell>
          <cell r="ER111">
            <v>0</v>
          </cell>
          <cell r="ES111">
            <v>0</v>
          </cell>
          <cell r="ET111">
            <v>0</v>
          </cell>
          <cell r="EU111">
            <v>0</v>
          </cell>
          <cell r="EV111">
            <v>0</v>
          </cell>
          <cell r="EW111">
            <v>0</v>
          </cell>
          <cell r="EX111">
            <v>1</v>
          </cell>
          <cell r="EY111">
            <v>1</v>
          </cell>
          <cell r="EZ111">
            <v>1</v>
          </cell>
          <cell r="FA111">
            <v>0</v>
          </cell>
          <cell r="FB111">
            <v>0</v>
          </cell>
          <cell r="FC111">
            <v>0</v>
          </cell>
          <cell r="FD111">
            <v>0</v>
          </cell>
          <cell r="FE111">
            <v>0</v>
          </cell>
          <cell r="FF111">
            <v>0</v>
          </cell>
          <cell r="FG111">
            <v>0</v>
          </cell>
          <cell r="FH111">
            <v>0</v>
          </cell>
          <cell r="FI111">
            <v>0</v>
          </cell>
          <cell r="FJ111">
            <v>0</v>
          </cell>
          <cell r="FK111">
            <v>0</v>
          </cell>
          <cell r="FL111">
            <v>0</v>
          </cell>
          <cell r="FM111">
            <v>0</v>
          </cell>
          <cell r="FN111">
            <v>0</v>
          </cell>
          <cell r="FO111">
            <v>0</v>
          </cell>
          <cell r="FP111">
            <v>0</v>
          </cell>
          <cell r="FQ111">
            <v>0</v>
          </cell>
          <cell r="FR111">
            <v>0</v>
          </cell>
          <cell r="FS111">
            <v>0</v>
          </cell>
          <cell r="FT111">
            <v>0</v>
          </cell>
          <cell r="FU111">
            <v>0</v>
          </cell>
          <cell r="FV111">
            <v>0</v>
          </cell>
          <cell r="FW111">
            <v>0</v>
          </cell>
          <cell r="FX111">
            <v>0</v>
          </cell>
          <cell r="FY111">
            <v>0</v>
          </cell>
          <cell r="FZ111">
            <v>0</v>
          </cell>
        </row>
        <row r="112">
          <cell r="A112" t="str">
            <v>F_CNP_NRF_CPT_PRP_FRCE_198</v>
          </cell>
          <cell r="B112">
            <v>0.1</v>
          </cell>
          <cell r="C112">
            <v>0.08</v>
          </cell>
          <cell r="D112">
            <v>0.15</v>
          </cell>
          <cell r="E112">
            <v>0.08</v>
          </cell>
          <cell r="F112">
            <v>0.15</v>
          </cell>
          <cell r="G112">
            <v>0.22</v>
          </cell>
          <cell r="H112">
            <v>7.0000000000000007E-2</v>
          </cell>
          <cell r="I112">
            <v>0.05</v>
          </cell>
          <cell r="J112">
            <v>0.13</v>
          </cell>
          <cell r="K112">
            <v>0.18</v>
          </cell>
          <cell r="L112">
            <v>0.17</v>
          </cell>
          <cell r="M112">
            <v>0.16</v>
          </cell>
          <cell r="N112">
            <v>0.8</v>
          </cell>
          <cell r="O112">
            <v>1</v>
          </cell>
          <cell r="P112">
            <v>1</v>
          </cell>
          <cell r="Q112">
            <v>0.8</v>
          </cell>
          <cell r="R112">
            <v>0.8</v>
          </cell>
          <cell r="S112">
            <v>1</v>
          </cell>
          <cell r="T112">
            <v>1</v>
          </cell>
          <cell r="U112">
            <v>1</v>
          </cell>
          <cell r="V112">
            <v>1</v>
          </cell>
          <cell r="W112">
            <v>1</v>
          </cell>
          <cell r="X112">
            <v>1</v>
          </cell>
          <cell r="Y112">
            <v>1</v>
          </cell>
          <cell r="Z112">
            <v>0.1</v>
          </cell>
          <cell r="AA112">
            <v>0.1</v>
          </cell>
          <cell r="AB112">
            <v>0.14000000000000001</v>
          </cell>
          <cell r="AC112">
            <v>0.11</v>
          </cell>
          <cell r="AD112">
            <v>0.11</v>
          </cell>
          <cell r="AE112">
            <v>0.19</v>
          </cell>
          <cell r="AF112">
            <v>0.09</v>
          </cell>
          <cell r="AG112">
            <v>0.11</v>
          </cell>
          <cell r="AH112">
            <v>0.15</v>
          </cell>
          <cell r="AI112">
            <v>0.2</v>
          </cell>
          <cell r="AJ112">
            <v>0.2</v>
          </cell>
          <cell r="AK112">
            <v>0.2</v>
          </cell>
          <cell r="AL112">
            <v>0</v>
          </cell>
          <cell r="AM112">
            <v>0</v>
          </cell>
          <cell r="AN112">
            <v>0</v>
          </cell>
          <cell r="AO112">
            <v>0</v>
          </cell>
          <cell r="AP112">
            <v>0</v>
          </cell>
          <cell r="AQ112">
            <v>0</v>
          </cell>
          <cell r="AR112">
            <v>0</v>
          </cell>
          <cell r="AS112">
            <v>0</v>
          </cell>
          <cell r="AT112">
            <v>0</v>
          </cell>
          <cell r="AU112">
            <v>0</v>
          </cell>
          <cell r="AV112">
            <v>0</v>
          </cell>
          <cell r="AW112">
            <v>0</v>
          </cell>
          <cell r="AX112">
            <v>0</v>
          </cell>
          <cell r="AY112">
            <v>0</v>
          </cell>
          <cell r="AZ112">
            <v>0</v>
          </cell>
          <cell r="BA112">
            <v>0</v>
          </cell>
          <cell r="BB112">
            <v>0</v>
          </cell>
          <cell r="BC112">
            <v>0</v>
          </cell>
          <cell r="BD112">
            <v>0</v>
          </cell>
          <cell r="BE112">
            <v>0</v>
          </cell>
          <cell r="BF112">
            <v>0</v>
          </cell>
          <cell r="BG112">
            <v>0</v>
          </cell>
          <cell r="BH112">
            <v>0</v>
          </cell>
          <cell r="BI112">
            <v>0</v>
          </cell>
          <cell r="BJ112">
            <v>0</v>
          </cell>
          <cell r="BK112">
            <v>0</v>
          </cell>
          <cell r="BL112">
            <v>0</v>
          </cell>
          <cell r="BM112">
            <v>0</v>
          </cell>
          <cell r="BN112">
            <v>0</v>
          </cell>
          <cell r="BO112">
            <v>0</v>
          </cell>
          <cell r="BP112">
            <v>0</v>
          </cell>
          <cell r="BQ112">
            <v>0</v>
          </cell>
          <cell r="BR112">
            <v>0</v>
          </cell>
          <cell r="BS112">
            <v>0</v>
          </cell>
          <cell r="BT112">
            <v>0</v>
          </cell>
          <cell r="BU112">
            <v>0</v>
          </cell>
          <cell r="BV112">
            <v>0</v>
          </cell>
          <cell r="BW112">
            <v>0</v>
          </cell>
          <cell r="BX112">
            <v>0</v>
          </cell>
          <cell r="BY112">
            <v>0</v>
          </cell>
          <cell r="BZ112">
            <v>0</v>
          </cell>
          <cell r="CA112">
            <v>0</v>
          </cell>
          <cell r="CB112">
            <v>0</v>
          </cell>
          <cell r="CC112">
            <v>0</v>
          </cell>
          <cell r="CD112">
            <v>0</v>
          </cell>
          <cell r="CE112">
            <v>0</v>
          </cell>
          <cell r="CF112">
            <v>0</v>
          </cell>
          <cell r="CG112">
            <v>0</v>
          </cell>
          <cell r="CH112">
            <v>0</v>
          </cell>
          <cell r="CI112">
            <v>0</v>
          </cell>
          <cell r="CJ112">
            <v>0</v>
          </cell>
          <cell r="CK112">
            <v>0</v>
          </cell>
          <cell r="CL112">
            <v>0</v>
          </cell>
          <cell r="CM112">
            <v>0</v>
          </cell>
          <cell r="CN112">
            <v>0</v>
          </cell>
          <cell r="CO112">
            <v>0</v>
          </cell>
          <cell r="CP112">
            <v>0</v>
          </cell>
          <cell r="CQ112">
            <v>0</v>
          </cell>
          <cell r="CR112">
            <v>0</v>
          </cell>
          <cell r="CS112">
            <v>0</v>
          </cell>
          <cell r="CT112">
            <v>0</v>
          </cell>
          <cell r="CU112">
            <v>0</v>
          </cell>
          <cell r="CV112">
            <v>0</v>
          </cell>
          <cell r="CW112">
            <v>0</v>
          </cell>
          <cell r="CX112">
            <v>0</v>
          </cell>
          <cell r="CY112">
            <v>0</v>
          </cell>
          <cell r="CZ112">
            <v>0</v>
          </cell>
          <cell r="DA112">
            <v>0</v>
          </cell>
          <cell r="DB112">
            <v>0</v>
          </cell>
          <cell r="DC112">
            <v>0</v>
          </cell>
          <cell r="DD112">
            <v>0</v>
          </cell>
          <cell r="DE112">
            <v>0</v>
          </cell>
          <cell r="DF112">
            <v>0</v>
          </cell>
          <cell r="DG112">
            <v>0</v>
          </cell>
          <cell r="DH112">
            <v>0</v>
          </cell>
          <cell r="DI112">
            <v>0</v>
          </cell>
          <cell r="DJ112">
            <v>0</v>
          </cell>
          <cell r="DK112">
            <v>0</v>
          </cell>
          <cell r="DL112">
            <v>0</v>
          </cell>
          <cell r="DM112">
            <v>0</v>
          </cell>
          <cell r="DN112">
            <v>0</v>
          </cell>
          <cell r="DO112">
            <v>0</v>
          </cell>
          <cell r="DP112">
            <v>0</v>
          </cell>
          <cell r="DQ112">
            <v>0</v>
          </cell>
          <cell r="DR112">
            <v>0</v>
          </cell>
          <cell r="DS112">
            <v>0</v>
          </cell>
          <cell r="DT112">
            <v>0</v>
          </cell>
          <cell r="DU112">
            <v>0</v>
          </cell>
          <cell r="DV112">
            <v>0</v>
          </cell>
          <cell r="DW112">
            <v>0</v>
          </cell>
          <cell r="DX112">
            <v>0</v>
          </cell>
          <cell r="DY112">
            <v>0</v>
          </cell>
          <cell r="EA112">
            <v>0</v>
          </cell>
          <cell r="EB112">
            <v>0</v>
          </cell>
          <cell r="EC112">
            <v>0</v>
          </cell>
          <cell r="ED112">
            <v>0.05</v>
          </cell>
          <cell r="EE112">
            <v>0.09</v>
          </cell>
          <cell r="EF112">
            <v>0.08</v>
          </cell>
          <cell r="EG112">
            <v>0.17</v>
          </cell>
          <cell r="EH112">
            <v>1</v>
          </cell>
          <cell r="EI112">
            <v>1</v>
          </cell>
          <cell r="EJ112">
            <v>1</v>
          </cell>
          <cell r="EK112">
            <v>1</v>
          </cell>
          <cell r="EL112">
            <v>0.05</v>
          </cell>
          <cell r="EM112">
            <v>0.14000000000000001</v>
          </cell>
          <cell r="EN112">
            <v>0.11</v>
          </cell>
          <cell r="EO112">
            <v>0.2</v>
          </cell>
          <cell r="EP112">
            <v>0</v>
          </cell>
          <cell r="EQ112">
            <v>0</v>
          </cell>
          <cell r="ER112">
            <v>0</v>
          </cell>
          <cell r="ES112">
            <v>0</v>
          </cell>
          <cell r="ET112">
            <v>0</v>
          </cell>
          <cell r="EU112">
            <v>0</v>
          </cell>
          <cell r="EV112">
            <v>0</v>
          </cell>
          <cell r="EW112">
            <v>0</v>
          </cell>
          <cell r="EX112">
            <v>1</v>
          </cell>
          <cell r="EY112">
            <v>1</v>
          </cell>
          <cell r="EZ112">
            <v>1</v>
          </cell>
          <cell r="FA112">
            <v>0</v>
          </cell>
          <cell r="FB112">
            <v>0</v>
          </cell>
          <cell r="FC112">
            <v>0</v>
          </cell>
          <cell r="FD112">
            <v>0</v>
          </cell>
          <cell r="FE112">
            <v>0</v>
          </cell>
          <cell r="FF112">
            <v>0</v>
          </cell>
          <cell r="FG112">
            <v>0</v>
          </cell>
          <cell r="FH112">
            <v>0</v>
          </cell>
          <cell r="FI112">
            <v>0</v>
          </cell>
          <cell r="FJ112">
            <v>0</v>
          </cell>
          <cell r="FK112">
            <v>0</v>
          </cell>
          <cell r="FL112">
            <v>0</v>
          </cell>
          <cell r="FM112">
            <v>0</v>
          </cell>
          <cell r="FN112">
            <v>0</v>
          </cell>
          <cell r="FO112">
            <v>0</v>
          </cell>
          <cell r="FP112">
            <v>0</v>
          </cell>
          <cell r="FQ112">
            <v>0</v>
          </cell>
          <cell r="FR112">
            <v>0</v>
          </cell>
          <cell r="FS112">
            <v>0</v>
          </cell>
          <cell r="FT112">
            <v>0</v>
          </cell>
          <cell r="FU112">
            <v>0</v>
          </cell>
          <cell r="FV112">
            <v>0</v>
          </cell>
          <cell r="FW112">
            <v>0</v>
          </cell>
          <cell r="FX112">
            <v>0</v>
          </cell>
          <cell r="FY112">
            <v>0</v>
          </cell>
          <cell r="FZ112">
            <v>0</v>
          </cell>
        </row>
        <row r="113">
          <cell r="A113" t="str">
            <v>F_CNP_NRF_CPT_PRP_FRCE_199</v>
          </cell>
          <cell r="B113">
            <v>0.1</v>
          </cell>
          <cell r="C113">
            <v>0.08</v>
          </cell>
          <cell r="D113">
            <v>0.15</v>
          </cell>
          <cell r="E113">
            <v>0.08</v>
          </cell>
          <cell r="F113">
            <v>0.15</v>
          </cell>
          <cell r="G113">
            <v>0.22</v>
          </cell>
          <cell r="H113">
            <v>7.0000000000000007E-2</v>
          </cell>
          <cell r="I113">
            <v>0.05</v>
          </cell>
          <cell r="J113">
            <v>0.13</v>
          </cell>
          <cell r="K113">
            <v>0.18</v>
          </cell>
          <cell r="L113">
            <v>0.17</v>
          </cell>
          <cell r="M113">
            <v>0.16</v>
          </cell>
          <cell r="N113">
            <v>0.8</v>
          </cell>
          <cell r="O113">
            <v>1</v>
          </cell>
          <cell r="P113">
            <v>1</v>
          </cell>
          <cell r="Q113">
            <v>0.8</v>
          </cell>
          <cell r="R113">
            <v>0.8</v>
          </cell>
          <cell r="S113">
            <v>1</v>
          </cell>
          <cell r="T113">
            <v>1</v>
          </cell>
          <cell r="U113">
            <v>1</v>
          </cell>
          <cell r="V113">
            <v>1</v>
          </cell>
          <cell r="W113">
            <v>1</v>
          </cell>
          <cell r="X113">
            <v>1</v>
          </cell>
          <cell r="Y113">
            <v>1</v>
          </cell>
          <cell r="Z113">
            <v>0.1</v>
          </cell>
          <cell r="AA113">
            <v>0.1</v>
          </cell>
          <cell r="AB113">
            <v>0.14000000000000001</v>
          </cell>
          <cell r="AC113">
            <v>0.11</v>
          </cell>
          <cell r="AD113">
            <v>0.11</v>
          </cell>
          <cell r="AE113">
            <v>0.19</v>
          </cell>
          <cell r="AF113">
            <v>0.09</v>
          </cell>
          <cell r="AG113">
            <v>0.11</v>
          </cell>
          <cell r="AH113">
            <v>0.15</v>
          </cell>
          <cell r="AI113">
            <v>0.2</v>
          </cell>
          <cell r="AJ113">
            <v>0.2</v>
          </cell>
          <cell r="AK113">
            <v>0.2</v>
          </cell>
          <cell r="AL113">
            <v>0</v>
          </cell>
          <cell r="AM113">
            <v>0</v>
          </cell>
          <cell r="AN113">
            <v>0</v>
          </cell>
          <cell r="AO113">
            <v>0</v>
          </cell>
          <cell r="AP113">
            <v>0</v>
          </cell>
          <cell r="AQ113">
            <v>0</v>
          </cell>
          <cell r="AR113">
            <v>0</v>
          </cell>
          <cell r="AS113">
            <v>0</v>
          </cell>
          <cell r="AT113">
            <v>0</v>
          </cell>
          <cell r="AU113">
            <v>0</v>
          </cell>
          <cell r="AV113">
            <v>0</v>
          </cell>
          <cell r="AW113">
            <v>0</v>
          </cell>
          <cell r="AX113">
            <v>0</v>
          </cell>
          <cell r="AY113">
            <v>0</v>
          </cell>
          <cell r="AZ113">
            <v>0</v>
          </cell>
          <cell r="BA113">
            <v>0</v>
          </cell>
          <cell r="BB113">
            <v>0</v>
          </cell>
          <cell r="BC113">
            <v>0</v>
          </cell>
          <cell r="BD113">
            <v>0</v>
          </cell>
          <cell r="BE113">
            <v>0</v>
          </cell>
          <cell r="BF113">
            <v>0</v>
          </cell>
          <cell r="BG113">
            <v>0</v>
          </cell>
          <cell r="BH113">
            <v>0</v>
          </cell>
          <cell r="BI113">
            <v>0</v>
          </cell>
          <cell r="BJ113">
            <v>0</v>
          </cell>
          <cell r="BK113">
            <v>0</v>
          </cell>
          <cell r="BL113">
            <v>0</v>
          </cell>
          <cell r="BM113">
            <v>0</v>
          </cell>
          <cell r="BN113">
            <v>0</v>
          </cell>
          <cell r="BO113">
            <v>0</v>
          </cell>
          <cell r="BP113">
            <v>0</v>
          </cell>
          <cell r="BQ113">
            <v>0</v>
          </cell>
          <cell r="BR113">
            <v>0</v>
          </cell>
          <cell r="BS113">
            <v>0</v>
          </cell>
          <cell r="BT113">
            <v>0</v>
          </cell>
          <cell r="BU113">
            <v>0</v>
          </cell>
          <cell r="BV113">
            <v>0</v>
          </cell>
          <cell r="BW113">
            <v>0</v>
          </cell>
          <cell r="BX113">
            <v>0</v>
          </cell>
          <cell r="BY113">
            <v>0</v>
          </cell>
          <cell r="BZ113">
            <v>0</v>
          </cell>
          <cell r="CA113">
            <v>0</v>
          </cell>
          <cell r="CB113">
            <v>0</v>
          </cell>
          <cell r="CC113">
            <v>0</v>
          </cell>
          <cell r="CD113">
            <v>0</v>
          </cell>
          <cell r="CE113">
            <v>0</v>
          </cell>
          <cell r="CF113">
            <v>0</v>
          </cell>
          <cell r="CG113">
            <v>0</v>
          </cell>
          <cell r="CH113">
            <v>0</v>
          </cell>
          <cell r="CI113">
            <v>0</v>
          </cell>
          <cell r="CJ113">
            <v>0</v>
          </cell>
          <cell r="CK113">
            <v>0</v>
          </cell>
          <cell r="CL113">
            <v>0</v>
          </cell>
          <cell r="CM113">
            <v>0</v>
          </cell>
          <cell r="CN113">
            <v>0</v>
          </cell>
          <cell r="CO113">
            <v>0</v>
          </cell>
          <cell r="CP113">
            <v>0</v>
          </cell>
          <cell r="CQ113">
            <v>0</v>
          </cell>
          <cell r="CR113">
            <v>0</v>
          </cell>
          <cell r="CS113">
            <v>0</v>
          </cell>
          <cell r="CT113">
            <v>0</v>
          </cell>
          <cell r="CU113">
            <v>0</v>
          </cell>
          <cell r="CV113">
            <v>0</v>
          </cell>
          <cell r="CW113">
            <v>0</v>
          </cell>
          <cell r="CX113">
            <v>0</v>
          </cell>
          <cell r="CY113">
            <v>0</v>
          </cell>
          <cell r="CZ113">
            <v>0</v>
          </cell>
          <cell r="DA113">
            <v>0</v>
          </cell>
          <cell r="DB113">
            <v>0</v>
          </cell>
          <cell r="DC113">
            <v>0</v>
          </cell>
          <cell r="DD113">
            <v>0</v>
          </cell>
          <cell r="DE113">
            <v>0</v>
          </cell>
          <cell r="DF113">
            <v>0</v>
          </cell>
          <cell r="DG113">
            <v>0</v>
          </cell>
          <cell r="DH113">
            <v>0</v>
          </cell>
          <cell r="DI113">
            <v>0</v>
          </cell>
          <cell r="DJ113">
            <v>0</v>
          </cell>
          <cell r="DK113">
            <v>0</v>
          </cell>
          <cell r="DL113">
            <v>0</v>
          </cell>
          <cell r="DM113">
            <v>0</v>
          </cell>
          <cell r="DN113">
            <v>0</v>
          </cell>
          <cell r="DO113">
            <v>0</v>
          </cell>
          <cell r="DP113">
            <v>0</v>
          </cell>
          <cell r="DQ113">
            <v>0</v>
          </cell>
          <cell r="DR113">
            <v>0</v>
          </cell>
          <cell r="DS113">
            <v>0</v>
          </cell>
          <cell r="DT113">
            <v>0</v>
          </cell>
          <cell r="DU113">
            <v>0</v>
          </cell>
          <cell r="DV113">
            <v>0</v>
          </cell>
          <cell r="DW113">
            <v>0</v>
          </cell>
          <cell r="DX113">
            <v>0</v>
          </cell>
          <cell r="DY113">
            <v>0</v>
          </cell>
          <cell r="EA113">
            <v>0</v>
          </cell>
          <cell r="EB113">
            <v>0</v>
          </cell>
          <cell r="EC113">
            <v>0</v>
          </cell>
          <cell r="ED113">
            <v>0.05</v>
          </cell>
          <cell r="EE113">
            <v>0.09</v>
          </cell>
          <cell r="EF113">
            <v>0.08</v>
          </cell>
          <cell r="EG113">
            <v>0.17</v>
          </cell>
          <cell r="EH113">
            <v>1</v>
          </cell>
          <cell r="EI113">
            <v>1</v>
          </cell>
          <cell r="EJ113">
            <v>1</v>
          </cell>
          <cell r="EK113">
            <v>1</v>
          </cell>
          <cell r="EL113">
            <v>0.05</v>
          </cell>
          <cell r="EM113">
            <v>0.14000000000000001</v>
          </cell>
          <cell r="EN113">
            <v>0.11</v>
          </cell>
          <cell r="EO113">
            <v>0.2</v>
          </cell>
          <cell r="EP113">
            <v>0</v>
          </cell>
          <cell r="EQ113">
            <v>0</v>
          </cell>
          <cell r="ER113">
            <v>0</v>
          </cell>
          <cell r="ES113">
            <v>0</v>
          </cell>
          <cell r="ET113">
            <v>0</v>
          </cell>
          <cell r="EU113">
            <v>0</v>
          </cell>
          <cell r="EV113">
            <v>0</v>
          </cell>
          <cell r="EW113">
            <v>0</v>
          </cell>
          <cell r="EX113">
            <v>1</v>
          </cell>
          <cell r="EY113">
            <v>1</v>
          </cell>
          <cell r="EZ113">
            <v>1</v>
          </cell>
          <cell r="FA113">
            <v>0</v>
          </cell>
          <cell r="FB113">
            <v>0</v>
          </cell>
          <cell r="FC113">
            <v>0</v>
          </cell>
          <cell r="FD113">
            <v>0</v>
          </cell>
          <cell r="FE113">
            <v>0</v>
          </cell>
          <cell r="FF113">
            <v>0</v>
          </cell>
          <cell r="FG113">
            <v>0</v>
          </cell>
          <cell r="FH113">
            <v>0</v>
          </cell>
          <cell r="FI113">
            <v>0</v>
          </cell>
          <cell r="FJ113">
            <v>0</v>
          </cell>
          <cell r="FK113">
            <v>0</v>
          </cell>
          <cell r="FL113">
            <v>0</v>
          </cell>
          <cell r="FM113">
            <v>0</v>
          </cell>
          <cell r="FN113">
            <v>0</v>
          </cell>
          <cell r="FO113">
            <v>0</v>
          </cell>
          <cell r="FP113">
            <v>0</v>
          </cell>
          <cell r="FQ113">
            <v>0</v>
          </cell>
          <cell r="FR113">
            <v>0</v>
          </cell>
          <cell r="FS113">
            <v>0</v>
          </cell>
          <cell r="FT113">
            <v>0</v>
          </cell>
          <cell r="FU113">
            <v>0</v>
          </cell>
          <cell r="FV113">
            <v>0</v>
          </cell>
          <cell r="FW113">
            <v>0</v>
          </cell>
          <cell r="FX113">
            <v>0</v>
          </cell>
          <cell r="FY113">
            <v>0</v>
          </cell>
          <cell r="FZ113">
            <v>0</v>
          </cell>
        </row>
        <row r="114">
          <cell r="A114" t="str">
            <v>F_CNP_NRF_CPT_PRP_FRCE_200</v>
          </cell>
          <cell r="B114">
            <v>0.1</v>
          </cell>
          <cell r="C114">
            <v>0.08</v>
          </cell>
          <cell r="D114">
            <v>0.15</v>
          </cell>
          <cell r="E114">
            <v>0.08</v>
          </cell>
          <cell r="F114">
            <v>0.15</v>
          </cell>
          <cell r="G114">
            <v>0.22</v>
          </cell>
          <cell r="H114">
            <v>7.0000000000000007E-2</v>
          </cell>
          <cell r="I114">
            <v>0.05</v>
          </cell>
          <cell r="J114">
            <v>0.13</v>
          </cell>
          <cell r="K114">
            <v>0.18</v>
          </cell>
          <cell r="L114">
            <v>0.17</v>
          </cell>
          <cell r="M114">
            <v>0.16</v>
          </cell>
          <cell r="N114">
            <v>0.8</v>
          </cell>
          <cell r="O114">
            <v>1</v>
          </cell>
          <cell r="P114">
            <v>1</v>
          </cell>
          <cell r="Q114">
            <v>0.8</v>
          </cell>
          <cell r="R114">
            <v>0.8</v>
          </cell>
          <cell r="S114">
            <v>1</v>
          </cell>
          <cell r="T114">
            <v>1</v>
          </cell>
          <cell r="U114">
            <v>1</v>
          </cell>
          <cell r="V114">
            <v>1</v>
          </cell>
          <cell r="W114">
            <v>1</v>
          </cell>
          <cell r="X114">
            <v>1</v>
          </cell>
          <cell r="Y114">
            <v>1</v>
          </cell>
          <cell r="Z114">
            <v>0.1</v>
          </cell>
          <cell r="AA114">
            <v>0.1</v>
          </cell>
          <cell r="AB114">
            <v>0.14000000000000001</v>
          </cell>
          <cell r="AC114">
            <v>0.11</v>
          </cell>
          <cell r="AD114">
            <v>0.11</v>
          </cell>
          <cell r="AE114">
            <v>0.19</v>
          </cell>
          <cell r="AF114">
            <v>0.09</v>
          </cell>
          <cell r="AG114">
            <v>0.11</v>
          </cell>
          <cell r="AH114">
            <v>0.15</v>
          </cell>
          <cell r="AI114">
            <v>0.2</v>
          </cell>
          <cell r="AJ114">
            <v>0.2</v>
          </cell>
          <cell r="AK114">
            <v>0.2</v>
          </cell>
          <cell r="AL114">
            <v>0</v>
          </cell>
          <cell r="AM114">
            <v>0</v>
          </cell>
          <cell r="AN114">
            <v>0</v>
          </cell>
          <cell r="AO114">
            <v>0</v>
          </cell>
          <cell r="AP114">
            <v>0</v>
          </cell>
          <cell r="AQ114">
            <v>0</v>
          </cell>
          <cell r="AR114">
            <v>0</v>
          </cell>
          <cell r="AS114">
            <v>0</v>
          </cell>
          <cell r="AT114">
            <v>0</v>
          </cell>
          <cell r="AU114">
            <v>0</v>
          </cell>
          <cell r="AV114">
            <v>0</v>
          </cell>
          <cell r="AW114">
            <v>0</v>
          </cell>
          <cell r="AX114">
            <v>0</v>
          </cell>
          <cell r="AY114">
            <v>0</v>
          </cell>
          <cell r="AZ114">
            <v>0</v>
          </cell>
          <cell r="BA114">
            <v>0</v>
          </cell>
          <cell r="BB114">
            <v>0</v>
          </cell>
          <cell r="BC114">
            <v>0</v>
          </cell>
          <cell r="BD114">
            <v>0</v>
          </cell>
          <cell r="BE114">
            <v>0</v>
          </cell>
          <cell r="BF114">
            <v>0</v>
          </cell>
          <cell r="BG114">
            <v>0</v>
          </cell>
          <cell r="BH114">
            <v>0</v>
          </cell>
          <cell r="BI114">
            <v>0</v>
          </cell>
          <cell r="BJ114">
            <v>0</v>
          </cell>
          <cell r="BK114">
            <v>0</v>
          </cell>
          <cell r="BL114">
            <v>0</v>
          </cell>
          <cell r="BM114">
            <v>0</v>
          </cell>
          <cell r="BN114">
            <v>0</v>
          </cell>
          <cell r="BO114">
            <v>0</v>
          </cell>
          <cell r="BP114">
            <v>0</v>
          </cell>
          <cell r="BQ114">
            <v>0</v>
          </cell>
          <cell r="BR114">
            <v>0</v>
          </cell>
          <cell r="BS114">
            <v>0</v>
          </cell>
          <cell r="BT114">
            <v>0</v>
          </cell>
          <cell r="BU114">
            <v>0</v>
          </cell>
          <cell r="BV114">
            <v>0</v>
          </cell>
          <cell r="BW114">
            <v>0</v>
          </cell>
          <cell r="BX114">
            <v>0</v>
          </cell>
          <cell r="BY114">
            <v>0</v>
          </cell>
          <cell r="BZ114">
            <v>0</v>
          </cell>
          <cell r="CA114">
            <v>0</v>
          </cell>
          <cell r="CB114">
            <v>0</v>
          </cell>
          <cell r="CC114">
            <v>0</v>
          </cell>
          <cell r="CD114">
            <v>0</v>
          </cell>
          <cell r="CE114">
            <v>0</v>
          </cell>
          <cell r="CF114">
            <v>0</v>
          </cell>
          <cell r="CG114">
            <v>0</v>
          </cell>
          <cell r="CH114">
            <v>0</v>
          </cell>
          <cell r="CI114">
            <v>0</v>
          </cell>
          <cell r="CJ114">
            <v>0</v>
          </cell>
          <cell r="CK114">
            <v>0</v>
          </cell>
          <cell r="CL114">
            <v>0</v>
          </cell>
          <cell r="CM114">
            <v>0</v>
          </cell>
          <cell r="CN114">
            <v>0</v>
          </cell>
          <cell r="CO114">
            <v>0</v>
          </cell>
          <cell r="CP114">
            <v>0</v>
          </cell>
          <cell r="CQ114">
            <v>0</v>
          </cell>
          <cell r="CR114">
            <v>0</v>
          </cell>
          <cell r="CS114">
            <v>0</v>
          </cell>
          <cell r="CT114">
            <v>0</v>
          </cell>
          <cell r="CU114">
            <v>0</v>
          </cell>
          <cell r="CV114">
            <v>0</v>
          </cell>
          <cell r="CW114">
            <v>0</v>
          </cell>
          <cell r="CX114">
            <v>0</v>
          </cell>
          <cell r="CY114">
            <v>0</v>
          </cell>
          <cell r="CZ114">
            <v>0</v>
          </cell>
          <cell r="DA114">
            <v>0</v>
          </cell>
          <cell r="DB114">
            <v>0</v>
          </cell>
          <cell r="DC114">
            <v>0</v>
          </cell>
          <cell r="DD114">
            <v>0</v>
          </cell>
          <cell r="DE114">
            <v>0</v>
          </cell>
          <cell r="DF114">
            <v>0</v>
          </cell>
          <cell r="DG114">
            <v>0</v>
          </cell>
          <cell r="DH114">
            <v>0</v>
          </cell>
          <cell r="DI114">
            <v>0</v>
          </cell>
          <cell r="DJ114">
            <v>0</v>
          </cell>
          <cell r="DK114">
            <v>0</v>
          </cell>
          <cell r="DL114">
            <v>0</v>
          </cell>
          <cell r="DM114">
            <v>0</v>
          </cell>
          <cell r="DN114">
            <v>0</v>
          </cell>
          <cell r="DO114">
            <v>0</v>
          </cell>
          <cell r="DP114">
            <v>0</v>
          </cell>
          <cell r="DQ114">
            <v>0</v>
          </cell>
          <cell r="DR114">
            <v>0</v>
          </cell>
          <cell r="DS114">
            <v>0</v>
          </cell>
          <cell r="DT114">
            <v>0</v>
          </cell>
          <cell r="DU114">
            <v>0</v>
          </cell>
          <cell r="DV114">
            <v>0</v>
          </cell>
          <cell r="DW114">
            <v>0</v>
          </cell>
          <cell r="DX114">
            <v>0</v>
          </cell>
          <cell r="DY114">
            <v>0</v>
          </cell>
          <cell r="EA114">
            <v>0</v>
          </cell>
          <cell r="EB114">
            <v>0</v>
          </cell>
          <cell r="EC114">
            <v>0</v>
          </cell>
          <cell r="ED114">
            <v>0.05</v>
          </cell>
          <cell r="EE114">
            <v>0.09</v>
          </cell>
          <cell r="EF114">
            <v>0.08</v>
          </cell>
          <cell r="EG114">
            <v>0.17</v>
          </cell>
          <cell r="EH114">
            <v>1</v>
          </cell>
          <cell r="EI114">
            <v>1</v>
          </cell>
          <cell r="EJ114">
            <v>1</v>
          </cell>
          <cell r="EK114">
            <v>1</v>
          </cell>
          <cell r="EL114">
            <v>0.05</v>
          </cell>
          <cell r="EM114">
            <v>0.14000000000000001</v>
          </cell>
          <cell r="EN114">
            <v>0.11</v>
          </cell>
          <cell r="EO114">
            <v>0.2</v>
          </cell>
          <cell r="EP114">
            <v>0</v>
          </cell>
          <cell r="EQ114">
            <v>0</v>
          </cell>
          <cell r="ER114">
            <v>0</v>
          </cell>
          <cell r="ES114">
            <v>0</v>
          </cell>
          <cell r="ET114">
            <v>0</v>
          </cell>
          <cell r="EU114">
            <v>0</v>
          </cell>
          <cell r="EV114">
            <v>0</v>
          </cell>
          <cell r="EW114">
            <v>0</v>
          </cell>
          <cell r="EX114">
            <v>1</v>
          </cell>
          <cell r="EY114">
            <v>1</v>
          </cell>
          <cell r="EZ114">
            <v>1</v>
          </cell>
          <cell r="FA114">
            <v>0</v>
          </cell>
          <cell r="FB114">
            <v>0</v>
          </cell>
          <cell r="FC114">
            <v>0</v>
          </cell>
          <cell r="FD114">
            <v>0</v>
          </cell>
          <cell r="FE114">
            <v>0</v>
          </cell>
          <cell r="FF114">
            <v>0</v>
          </cell>
          <cell r="FG114">
            <v>0</v>
          </cell>
          <cell r="FH114">
            <v>0</v>
          </cell>
          <cell r="FI114">
            <v>0</v>
          </cell>
          <cell r="FJ114">
            <v>0</v>
          </cell>
          <cell r="FK114">
            <v>0</v>
          </cell>
          <cell r="FL114">
            <v>0</v>
          </cell>
          <cell r="FM114">
            <v>0</v>
          </cell>
          <cell r="FN114">
            <v>0</v>
          </cell>
          <cell r="FO114">
            <v>0</v>
          </cell>
          <cell r="FP114">
            <v>0</v>
          </cell>
          <cell r="FQ114">
            <v>0</v>
          </cell>
          <cell r="FR114">
            <v>0</v>
          </cell>
          <cell r="FS114">
            <v>0</v>
          </cell>
          <cell r="FT114">
            <v>0</v>
          </cell>
          <cell r="FU114">
            <v>0</v>
          </cell>
          <cell r="FV114">
            <v>0</v>
          </cell>
          <cell r="FW114">
            <v>0</v>
          </cell>
          <cell r="FX114">
            <v>0</v>
          </cell>
          <cell r="FY114">
            <v>0</v>
          </cell>
          <cell r="FZ114">
            <v>0</v>
          </cell>
        </row>
        <row r="115">
          <cell r="A115" t="str">
            <v>F_CNP_NRF_CPT_PRP_FRCE_201</v>
          </cell>
          <cell r="B115">
            <v>0.1</v>
          </cell>
          <cell r="C115">
            <v>0.08</v>
          </cell>
          <cell r="D115">
            <v>0.15</v>
          </cell>
          <cell r="E115">
            <v>0.08</v>
          </cell>
          <cell r="F115">
            <v>0.15</v>
          </cell>
          <cell r="G115">
            <v>0.22</v>
          </cell>
          <cell r="H115">
            <v>7.0000000000000007E-2</v>
          </cell>
          <cell r="I115">
            <v>0.05</v>
          </cell>
          <cell r="J115">
            <v>0.13</v>
          </cell>
          <cell r="K115">
            <v>0.18</v>
          </cell>
          <cell r="L115">
            <v>0.17</v>
          </cell>
          <cell r="M115">
            <v>0.16</v>
          </cell>
          <cell r="N115">
            <v>0.8</v>
          </cell>
          <cell r="O115">
            <v>1</v>
          </cell>
          <cell r="P115">
            <v>1</v>
          </cell>
          <cell r="Q115">
            <v>0.8</v>
          </cell>
          <cell r="R115">
            <v>0.8</v>
          </cell>
          <cell r="S115">
            <v>1</v>
          </cell>
          <cell r="T115">
            <v>1</v>
          </cell>
          <cell r="U115">
            <v>1</v>
          </cell>
          <cell r="V115">
            <v>1</v>
          </cell>
          <cell r="W115">
            <v>1</v>
          </cell>
          <cell r="X115">
            <v>1</v>
          </cell>
          <cell r="Y115">
            <v>1</v>
          </cell>
          <cell r="Z115">
            <v>0.1</v>
          </cell>
          <cell r="AA115">
            <v>0.1</v>
          </cell>
          <cell r="AB115">
            <v>0.14000000000000001</v>
          </cell>
          <cell r="AC115">
            <v>0.11</v>
          </cell>
          <cell r="AD115">
            <v>0.11</v>
          </cell>
          <cell r="AE115">
            <v>0.19</v>
          </cell>
          <cell r="AF115">
            <v>0.09</v>
          </cell>
          <cell r="AG115">
            <v>0.11</v>
          </cell>
          <cell r="AH115">
            <v>0.15</v>
          </cell>
          <cell r="AI115">
            <v>0.2</v>
          </cell>
          <cell r="AJ115">
            <v>0.2</v>
          </cell>
          <cell r="AK115">
            <v>0.2</v>
          </cell>
          <cell r="AL115">
            <v>0</v>
          </cell>
          <cell r="AM115">
            <v>0</v>
          </cell>
          <cell r="AN115">
            <v>0</v>
          </cell>
          <cell r="AO115">
            <v>0</v>
          </cell>
          <cell r="AP115">
            <v>0</v>
          </cell>
          <cell r="AQ115">
            <v>0</v>
          </cell>
          <cell r="AR115">
            <v>0</v>
          </cell>
          <cell r="AS115">
            <v>0</v>
          </cell>
          <cell r="AT115">
            <v>0</v>
          </cell>
          <cell r="AU115">
            <v>0</v>
          </cell>
          <cell r="AV115">
            <v>0</v>
          </cell>
          <cell r="AW115">
            <v>0</v>
          </cell>
          <cell r="AX115">
            <v>0</v>
          </cell>
          <cell r="AY115">
            <v>0</v>
          </cell>
          <cell r="AZ115">
            <v>0</v>
          </cell>
          <cell r="BA115">
            <v>0</v>
          </cell>
          <cell r="BB115">
            <v>0</v>
          </cell>
          <cell r="BC115">
            <v>0</v>
          </cell>
          <cell r="BD115">
            <v>0</v>
          </cell>
          <cell r="BE115">
            <v>0</v>
          </cell>
          <cell r="BF115">
            <v>0</v>
          </cell>
          <cell r="BG115">
            <v>0</v>
          </cell>
          <cell r="BH115">
            <v>0</v>
          </cell>
          <cell r="BI115">
            <v>0</v>
          </cell>
          <cell r="BJ115">
            <v>0</v>
          </cell>
          <cell r="BK115">
            <v>0</v>
          </cell>
          <cell r="BL115">
            <v>0</v>
          </cell>
          <cell r="BM115">
            <v>0</v>
          </cell>
          <cell r="BN115">
            <v>0</v>
          </cell>
          <cell r="BO115">
            <v>0</v>
          </cell>
          <cell r="BP115">
            <v>0</v>
          </cell>
          <cell r="BQ115">
            <v>0</v>
          </cell>
          <cell r="BR115">
            <v>0</v>
          </cell>
          <cell r="BS115">
            <v>0</v>
          </cell>
          <cell r="BT115">
            <v>0</v>
          </cell>
          <cell r="BU115">
            <v>0</v>
          </cell>
          <cell r="BV115">
            <v>0</v>
          </cell>
          <cell r="BW115">
            <v>0</v>
          </cell>
          <cell r="BX115">
            <v>0</v>
          </cell>
          <cell r="BY115">
            <v>0</v>
          </cell>
          <cell r="BZ115">
            <v>0</v>
          </cell>
          <cell r="CA115">
            <v>0</v>
          </cell>
          <cell r="CB115">
            <v>0</v>
          </cell>
          <cell r="CC115">
            <v>0</v>
          </cell>
          <cell r="CD115">
            <v>0</v>
          </cell>
          <cell r="CE115">
            <v>0</v>
          </cell>
          <cell r="CF115">
            <v>0</v>
          </cell>
          <cell r="CG115">
            <v>0</v>
          </cell>
          <cell r="CH115">
            <v>0</v>
          </cell>
          <cell r="CI115">
            <v>0</v>
          </cell>
          <cell r="CJ115">
            <v>0</v>
          </cell>
          <cell r="CK115">
            <v>0</v>
          </cell>
          <cell r="CL115">
            <v>0</v>
          </cell>
          <cell r="CM115">
            <v>0</v>
          </cell>
          <cell r="CN115">
            <v>0</v>
          </cell>
          <cell r="CO115">
            <v>0</v>
          </cell>
          <cell r="CP115">
            <v>0</v>
          </cell>
          <cell r="CQ115">
            <v>0</v>
          </cell>
          <cell r="CR115">
            <v>0</v>
          </cell>
          <cell r="CS115">
            <v>0</v>
          </cell>
          <cell r="CT115">
            <v>0</v>
          </cell>
          <cell r="CU115">
            <v>0</v>
          </cell>
          <cell r="CV115">
            <v>0</v>
          </cell>
          <cell r="CW115">
            <v>0</v>
          </cell>
          <cell r="CX115">
            <v>0</v>
          </cell>
          <cell r="CY115">
            <v>0</v>
          </cell>
          <cell r="CZ115">
            <v>0</v>
          </cell>
          <cell r="DA115">
            <v>0</v>
          </cell>
          <cell r="DB115">
            <v>0</v>
          </cell>
          <cell r="DC115">
            <v>0</v>
          </cell>
          <cell r="DD115">
            <v>0</v>
          </cell>
          <cell r="DE115">
            <v>0</v>
          </cell>
          <cell r="DF115">
            <v>0</v>
          </cell>
          <cell r="DG115">
            <v>0</v>
          </cell>
          <cell r="DH115">
            <v>0</v>
          </cell>
          <cell r="DI115">
            <v>0</v>
          </cell>
          <cell r="DJ115">
            <v>0</v>
          </cell>
          <cell r="DK115">
            <v>0</v>
          </cell>
          <cell r="DL115">
            <v>0</v>
          </cell>
          <cell r="DM115">
            <v>0</v>
          </cell>
          <cell r="DN115">
            <v>0</v>
          </cell>
          <cell r="DO115">
            <v>0</v>
          </cell>
          <cell r="DP115">
            <v>0</v>
          </cell>
          <cell r="DQ115">
            <v>0</v>
          </cell>
          <cell r="DR115">
            <v>0</v>
          </cell>
          <cell r="DS115">
            <v>0</v>
          </cell>
          <cell r="DT115">
            <v>0</v>
          </cell>
          <cell r="DU115">
            <v>0</v>
          </cell>
          <cell r="DV115">
            <v>0</v>
          </cell>
          <cell r="DW115">
            <v>0</v>
          </cell>
          <cell r="DX115">
            <v>0</v>
          </cell>
          <cell r="DY115">
            <v>0</v>
          </cell>
          <cell r="EA115">
            <v>0</v>
          </cell>
          <cell r="EB115">
            <v>0</v>
          </cell>
          <cell r="EC115">
            <v>0</v>
          </cell>
          <cell r="ED115">
            <v>0.05</v>
          </cell>
          <cell r="EE115">
            <v>0.09</v>
          </cell>
          <cell r="EF115">
            <v>0.08</v>
          </cell>
          <cell r="EG115">
            <v>0.17</v>
          </cell>
          <cell r="EH115">
            <v>1</v>
          </cell>
          <cell r="EI115">
            <v>1</v>
          </cell>
          <cell r="EJ115">
            <v>1</v>
          </cell>
          <cell r="EK115">
            <v>1</v>
          </cell>
          <cell r="EL115">
            <v>0.05</v>
          </cell>
          <cell r="EM115">
            <v>0.14000000000000001</v>
          </cell>
          <cell r="EN115">
            <v>0.11</v>
          </cell>
          <cell r="EO115">
            <v>0.2</v>
          </cell>
          <cell r="EP115">
            <v>0</v>
          </cell>
          <cell r="EQ115">
            <v>0</v>
          </cell>
          <cell r="ER115">
            <v>0</v>
          </cell>
          <cell r="ES115">
            <v>0</v>
          </cell>
          <cell r="ET115">
            <v>0</v>
          </cell>
          <cell r="EU115">
            <v>0</v>
          </cell>
          <cell r="EV115">
            <v>0</v>
          </cell>
          <cell r="EW115">
            <v>0</v>
          </cell>
          <cell r="EX115">
            <v>1</v>
          </cell>
          <cell r="EY115">
            <v>1</v>
          </cell>
          <cell r="EZ115">
            <v>1</v>
          </cell>
          <cell r="FA115">
            <v>0</v>
          </cell>
          <cell r="FB115">
            <v>0</v>
          </cell>
          <cell r="FC115">
            <v>0</v>
          </cell>
          <cell r="FD115">
            <v>0</v>
          </cell>
          <cell r="FE115">
            <v>0</v>
          </cell>
          <cell r="FF115">
            <v>0</v>
          </cell>
          <cell r="FG115">
            <v>0</v>
          </cell>
          <cell r="FH115">
            <v>0</v>
          </cell>
          <cell r="FI115">
            <v>0</v>
          </cell>
          <cell r="FJ115">
            <v>0</v>
          </cell>
          <cell r="FK115">
            <v>0</v>
          </cell>
          <cell r="FL115">
            <v>0</v>
          </cell>
          <cell r="FM115">
            <v>0</v>
          </cell>
          <cell r="FN115">
            <v>0</v>
          </cell>
          <cell r="FO115">
            <v>0</v>
          </cell>
          <cell r="FP115">
            <v>0</v>
          </cell>
          <cell r="FQ115">
            <v>0</v>
          </cell>
          <cell r="FR115">
            <v>0</v>
          </cell>
          <cell r="FS115">
            <v>0</v>
          </cell>
          <cell r="FT115">
            <v>0</v>
          </cell>
          <cell r="FU115">
            <v>0</v>
          </cell>
          <cell r="FV115">
            <v>0</v>
          </cell>
          <cell r="FW115">
            <v>0</v>
          </cell>
          <cell r="FX115">
            <v>0</v>
          </cell>
          <cell r="FY115">
            <v>0</v>
          </cell>
          <cell r="FZ115">
            <v>0</v>
          </cell>
        </row>
        <row r="116">
          <cell r="A116" t="str">
            <v>F_CNP_NRF_CPT_PRP_FRCE_TS_</v>
          </cell>
          <cell r="B116">
            <v>0.1</v>
          </cell>
          <cell r="C116">
            <v>0.08</v>
          </cell>
          <cell r="D116">
            <v>0.15</v>
          </cell>
          <cell r="E116">
            <v>0.08</v>
          </cell>
          <cell r="F116">
            <v>0.15</v>
          </cell>
          <cell r="G116">
            <v>0.22</v>
          </cell>
          <cell r="H116">
            <v>7.0000000000000007E-2</v>
          </cell>
          <cell r="I116">
            <v>0.05</v>
          </cell>
          <cell r="J116">
            <v>0.13</v>
          </cell>
          <cell r="K116">
            <v>0.18</v>
          </cell>
          <cell r="L116">
            <v>0.17</v>
          </cell>
          <cell r="M116">
            <v>0.16</v>
          </cell>
          <cell r="N116">
            <v>0.8</v>
          </cell>
          <cell r="O116">
            <v>1</v>
          </cell>
          <cell r="P116">
            <v>1</v>
          </cell>
          <cell r="Q116">
            <v>0.8</v>
          </cell>
          <cell r="R116">
            <v>0.8</v>
          </cell>
          <cell r="S116">
            <v>1</v>
          </cell>
          <cell r="T116">
            <v>1</v>
          </cell>
          <cell r="U116">
            <v>1</v>
          </cell>
          <cell r="V116">
            <v>1</v>
          </cell>
          <cell r="W116">
            <v>1</v>
          </cell>
          <cell r="X116">
            <v>1</v>
          </cell>
          <cell r="Y116">
            <v>1</v>
          </cell>
          <cell r="Z116">
            <v>0.1</v>
          </cell>
          <cell r="AA116">
            <v>0.1</v>
          </cell>
          <cell r="AB116">
            <v>0.14000000000000001</v>
          </cell>
          <cell r="AC116">
            <v>0.11</v>
          </cell>
          <cell r="AD116">
            <v>0.11</v>
          </cell>
          <cell r="AE116">
            <v>0.19</v>
          </cell>
          <cell r="AF116">
            <v>0.09</v>
          </cell>
          <cell r="AG116">
            <v>0.11</v>
          </cell>
          <cell r="AH116">
            <v>0.15</v>
          </cell>
          <cell r="AI116">
            <v>0.2</v>
          </cell>
          <cell r="AJ116">
            <v>0.2</v>
          </cell>
          <cell r="AK116">
            <v>0.2</v>
          </cell>
          <cell r="AL116">
            <v>0</v>
          </cell>
          <cell r="AM116">
            <v>0</v>
          </cell>
          <cell r="AN116">
            <v>0</v>
          </cell>
          <cell r="AO116">
            <v>0</v>
          </cell>
          <cell r="AP116">
            <v>0</v>
          </cell>
          <cell r="AQ116">
            <v>0</v>
          </cell>
          <cell r="AR116">
            <v>0</v>
          </cell>
          <cell r="AS116">
            <v>0</v>
          </cell>
          <cell r="AT116">
            <v>0</v>
          </cell>
          <cell r="AU116">
            <v>0</v>
          </cell>
          <cell r="AV116">
            <v>0</v>
          </cell>
          <cell r="AW116">
            <v>0</v>
          </cell>
          <cell r="AX116">
            <v>0</v>
          </cell>
          <cell r="AY116">
            <v>0</v>
          </cell>
          <cell r="AZ116">
            <v>0</v>
          </cell>
          <cell r="BA116">
            <v>0</v>
          </cell>
          <cell r="BB116">
            <v>0</v>
          </cell>
          <cell r="BC116">
            <v>0</v>
          </cell>
          <cell r="BD116">
            <v>0</v>
          </cell>
          <cell r="BE116">
            <v>0</v>
          </cell>
          <cell r="BF116">
            <v>0</v>
          </cell>
          <cell r="BG116">
            <v>0</v>
          </cell>
          <cell r="BH116">
            <v>0</v>
          </cell>
          <cell r="BI116">
            <v>0</v>
          </cell>
          <cell r="BJ116">
            <v>0</v>
          </cell>
          <cell r="BK116">
            <v>0</v>
          </cell>
          <cell r="BL116">
            <v>0</v>
          </cell>
          <cell r="BM116">
            <v>0</v>
          </cell>
          <cell r="BN116">
            <v>0</v>
          </cell>
          <cell r="BO116">
            <v>0</v>
          </cell>
          <cell r="BP116">
            <v>0</v>
          </cell>
          <cell r="BQ116">
            <v>0</v>
          </cell>
          <cell r="BR116">
            <v>0</v>
          </cell>
          <cell r="BS116">
            <v>0</v>
          </cell>
          <cell r="BT116">
            <v>0</v>
          </cell>
          <cell r="BU116">
            <v>0</v>
          </cell>
          <cell r="BV116">
            <v>0</v>
          </cell>
          <cell r="BW116">
            <v>0</v>
          </cell>
          <cell r="BX116">
            <v>0</v>
          </cell>
          <cell r="BY116">
            <v>0</v>
          </cell>
          <cell r="BZ116">
            <v>0</v>
          </cell>
          <cell r="CA116">
            <v>0</v>
          </cell>
          <cell r="CB116">
            <v>0</v>
          </cell>
          <cell r="CC116">
            <v>0</v>
          </cell>
          <cell r="CD116">
            <v>0</v>
          </cell>
          <cell r="CE116">
            <v>0</v>
          </cell>
          <cell r="CF116">
            <v>0</v>
          </cell>
          <cell r="CG116">
            <v>0</v>
          </cell>
          <cell r="CH116">
            <v>0</v>
          </cell>
          <cell r="CI116">
            <v>0</v>
          </cell>
          <cell r="CJ116">
            <v>0</v>
          </cell>
          <cell r="CK116">
            <v>0</v>
          </cell>
          <cell r="CL116">
            <v>0</v>
          </cell>
          <cell r="CM116">
            <v>0</v>
          </cell>
          <cell r="CN116">
            <v>0</v>
          </cell>
          <cell r="CO116">
            <v>0</v>
          </cell>
          <cell r="CP116">
            <v>0</v>
          </cell>
          <cell r="CQ116">
            <v>0</v>
          </cell>
          <cell r="CR116">
            <v>0</v>
          </cell>
          <cell r="CS116">
            <v>0</v>
          </cell>
          <cell r="CT116">
            <v>0</v>
          </cell>
          <cell r="CU116">
            <v>0</v>
          </cell>
          <cell r="CV116">
            <v>0</v>
          </cell>
          <cell r="CW116">
            <v>0</v>
          </cell>
          <cell r="CX116">
            <v>0</v>
          </cell>
          <cell r="CY116">
            <v>0</v>
          </cell>
          <cell r="CZ116">
            <v>0</v>
          </cell>
          <cell r="DA116">
            <v>0</v>
          </cell>
          <cell r="DB116">
            <v>0</v>
          </cell>
          <cell r="DC116">
            <v>0</v>
          </cell>
          <cell r="DD116">
            <v>0</v>
          </cell>
          <cell r="DE116">
            <v>0</v>
          </cell>
          <cell r="DF116">
            <v>0</v>
          </cell>
          <cell r="DG116">
            <v>0</v>
          </cell>
          <cell r="DH116">
            <v>0</v>
          </cell>
          <cell r="DI116">
            <v>0</v>
          </cell>
          <cell r="DJ116">
            <v>0</v>
          </cell>
          <cell r="DK116">
            <v>0</v>
          </cell>
          <cell r="DL116">
            <v>0</v>
          </cell>
          <cell r="DM116">
            <v>0</v>
          </cell>
          <cell r="DN116">
            <v>0</v>
          </cell>
          <cell r="DO116">
            <v>0</v>
          </cell>
          <cell r="DP116">
            <v>0</v>
          </cell>
          <cell r="DQ116">
            <v>0</v>
          </cell>
          <cell r="DR116">
            <v>0</v>
          </cell>
          <cell r="DS116">
            <v>0</v>
          </cell>
          <cell r="DT116">
            <v>0</v>
          </cell>
          <cell r="DU116">
            <v>0</v>
          </cell>
          <cell r="DV116">
            <v>0</v>
          </cell>
          <cell r="DW116">
            <v>0</v>
          </cell>
          <cell r="DX116">
            <v>0</v>
          </cell>
          <cell r="DY116">
            <v>0</v>
          </cell>
          <cell r="EA116">
            <v>0</v>
          </cell>
          <cell r="EB116">
            <v>0</v>
          </cell>
          <cell r="EC116">
            <v>0</v>
          </cell>
          <cell r="ED116">
            <v>0.05</v>
          </cell>
          <cell r="EE116">
            <v>0.09</v>
          </cell>
          <cell r="EF116">
            <v>0.08</v>
          </cell>
          <cell r="EG116">
            <v>0.17</v>
          </cell>
          <cell r="EH116">
            <v>1</v>
          </cell>
          <cell r="EI116">
            <v>1</v>
          </cell>
          <cell r="EJ116">
            <v>1</v>
          </cell>
          <cell r="EK116">
            <v>1</v>
          </cell>
          <cell r="EL116">
            <v>0.05</v>
          </cell>
          <cell r="EM116">
            <v>0.14000000000000001</v>
          </cell>
          <cell r="EN116">
            <v>0.11</v>
          </cell>
          <cell r="EO116">
            <v>0.2</v>
          </cell>
          <cell r="EP116">
            <v>0</v>
          </cell>
          <cell r="EQ116">
            <v>0</v>
          </cell>
          <cell r="ER116">
            <v>0</v>
          </cell>
          <cell r="ES116">
            <v>0</v>
          </cell>
          <cell r="ET116">
            <v>0</v>
          </cell>
          <cell r="EU116">
            <v>0</v>
          </cell>
          <cell r="EV116">
            <v>0</v>
          </cell>
          <cell r="EW116">
            <v>0</v>
          </cell>
          <cell r="EX116">
            <v>1</v>
          </cell>
          <cell r="EY116">
            <v>1</v>
          </cell>
          <cell r="EZ116">
            <v>1</v>
          </cell>
          <cell r="FA116">
            <v>0</v>
          </cell>
          <cell r="FB116">
            <v>0</v>
          </cell>
          <cell r="FC116">
            <v>0</v>
          </cell>
          <cell r="FD116">
            <v>0</v>
          </cell>
          <cell r="FE116">
            <v>0</v>
          </cell>
          <cell r="FF116">
            <v>0</v>
          </cell>
          <cell r="FG116">
            <v>0</v>
          </cell>
          <cell r="FH116">
            <v>0</v>
          </cell>
          <cell r="FI116">
            <v>0</v>
          </cell>
          <cell r="FJ116">
            <v>0</v>
          </cell>
          <cell r="FK116">
            <v>0</v>
          </cell>
          <cell r="FL116">
            <v>0</v>
          </cell>
          <cell r="FM116">
            <v>0</v>
          </cell>
          <cell r="FN116">
            <v>0</v>
          </cell>
          <cell r="FO116">
            <v>0</v>
          </cell>
          <cell r="FP116">
            <v>0</v>
          </cell>
          <cell r="FQ116">
            <v>0</v>
          </cell>
          <cell r="FR116">
            <v>0</v>
          </cell>
          <cell r="FS116">
            <v>0</v>
          </cell>
          <cell r="FT116">
            <v>0</v>
          </cell>
          <cell r="FU116">
            <v>0</v>
          </cell>
          <cell r="FV116">
            <v>0</v>
          </cell>
          <cell r="FW116">
            <v>0</v>
          </cell>
          <cell r="FX116">
            <v>0</v>
          </cell>
          <cell r="FY116">
            <v>0</v>
          </cell>
          <cell r="FZ116">
            <v>0</v>
          </cell>
        </row>
        <row r="117">
          <cell r="A117" t="str">
            <v>F_CNP_NRF_CPT_PRP_FRCE_AUE</v>
          </cell>
          <cell r="B117">
            <v>0.1</v>
          </cell>
          <cell r="C117">
            <v>0.08</v>
          </cell>
          <cell r="D117">
            <v>0.15</v>
          </cell>
          <cell r="E117">
            <v>0.08</v>
          </cell>
          <cell r="F117">
            <v>0.15</v>
          </cell>
          <cell r="G117">
            <v>0.22</v>
          </cell>
          <cell r="H117">
            <v>7.0000000000000007E-2</v>
          </cell>
          <cell r="I117">
            <v>0.05</v>
          </cell>
          <cell r="J117">
            <v>0.13</v>
          </cell>
          <cell r="K117">
            <v>0.18</v>
          </cell>
          <cell r="L117">
            <v>0.17</v>
          </cell>
          <cell r="M117">
            <v>0.16</v>
          </cell>
          <cell r="N117">
            <v>0.8</v>
          </cell>
          <cell r="O117">
            <v>1</v>
          </cell>
          <cell r="P117">
            <v>1</v>
          </cell>
          <cell r="Q117">
            <v>0.8</v>
          </cell>
          <cell r="R117">
            <v>0.8</v>
          </cell>
          <cell r="S117">
            <v>1</v>
          </cell>
          <cell r="T117">
            <v>1</v>
          </cell>
          <cell r="U117">
            <v>1</v>
          </cell>
          <cell r="V117">
            <v>1</v>
          </cell>
          <cell r="W117">
            <v>1</v>
          </cell>
          <cell r="X117">
            <v>1</v>
          </cell>
          <cell r="Y117">
            <v>1</v>
          </cell>
          <cell r="Z117">
            <v>0.1</v>
          </cell>
          <cell r="AA117">
            <v>0.1</v>
          </cell>
          <cell r="AB117">
            <v>0.14000000000000001</v>
          </cell>
          <cell r="AC117">
            <v>0.11</v>
          </cell>
          <cell r="AD117">
            <v>0.11</v>
          </cell>
          <cell r="AE117">
            <v>0.19</v>
          </cell>
          <cell r="AF117">
            <v>0.09</v>
          </cell>
          <cell r="AG117">
            <v>0.11</v>
          </cell>
          <cell r="AH117">
            <v>0.15</v>
          </cell>
          <cell r="AI117">
            <v>0.2</v>
          </cell>
          <cell r="AJ117">
            <v>0.2</v>
          </cell>
          <cell r="AK117">
            <v>0.2</v>
          </cell>
          <cell r="AL117">
            <v>0</v>
          </cell>
          <cell r="AM117">
            <v>0</v>
          </cell>
          <cell r="AN117">
            <v>0</v>
          </cell>
          <cell r="AO117">
            <v>0</v>
          </cell>
          <cell r="AP117">
            <v>0</v>
          </cell>
          <cell r="AQ117">
            <v>0</v>
          </cell>
          <cell r="AR117">
            <v>0</v>
          </cell>
          <cell r="AS117">
            <v>0</v>
          </cell>
          <cell r="AT117">
            <v>0</v>
          </cell>
          <cell r="AU117">
            <v>0</v>
          </cell>
          <cell r="AV117">
            <v>0</v>
          </cell>
          <cell r="AW117">
            <v>0</v>
          </cell>
          <cell r="AX117">
            <v>0</v>
          </cell>
          <cell r="AY117">
            <v>0</v>
          </cell>
          <cell r="AZ117">
            <v>0</v>
          </cell>
          <cell r="BA117">
            <v>0</v>
          </cell>
          <cell r="BB117">
            <v>0</v>
          </cell>
          <cell r="BC117">
            <v>0</v>
          </cell>
          <cell r="BD117">
            <v>0</v>
          </cell>
          <cell r="BE117">
            <v>0</v>
          </cell>
          <cell r="BF117">
            <v>0</v>
          </cell>
          <cell r="BG117">
            <v>0</v>
          </cell>
          <cell r="BH117">
            <v>0</v>
          </cell>
          <cell r="BI117">
            <v>0</v>
          </cell>
          <cell r="BJ117">
            <v>0</v>
          </cell>
          <cell r="BK117">
            <v>0</v>
          </cell>
          <cell r="BL117">
            <v>0</v>
          </cell>
          <cell r="BM117">
            <v>0</v>
          </cell>
          <cell r="BN117">
            <v>0</v>
          </cell>
          <cell r="BO117">
            <v>0</v>
          </cell>
          <cell r="BP117">
            <v>0</v>
          </cell>
          <cell r="BQ117">
            <v>0</v>
          </cell>
          <cell r="BR117">
            <v>0</v>
          </cell>
          <cell r="BS117">
            <v>0</v>
          </cell>
          <cell r="BT117">
            <v>0</v>
          </cell>
          <cell r="BU117">
            <v>0</v>
          </cell>
          <cell r="BV117">
            <v>0</v>
          </cell>
          <cell r="BW117">
            <v>0</v>
          </cell>
          <cell r="BX117">
            <v>0</v>
          </cell>
          <cell r="BY117">
            <v>0</v>
          </cell>
          <cell r="BZ117">
            <v>0</v>
          </cell>
          <cell r="CA117">
            <v>0</v>
          </cell>
          <cell r="CB117">
            <v>0</v>
          </cell>
          <cell r="CC117">
            <v>0</v>
          </cell>
          <cell r="CD117">
            <v>0</v>
          </cell>
          <cell r="CE117">
            <v>0</v>
          </cell>
          <cell r="CF117">
            <v>0</v>
          </cell>
          <cell r="CG117">
            <v>0</v>
          </cell>
          <cell r="CH117">
            <v>0</v>
          </cell>
          <cell r="CI117">
            <v>0</v>
          </cell>
          <cell r="CJ117">
            <v>0</v>
          </cell>
          <cell r="CK117">
            <v>0</v>
          </cell>
          <cell r="CL117">
            <v>0</v>
          </cell>
          <cell r="CM117">
            <v>0</v>
          </cell>
          <cell r="CN117">
            <v>0</v>
          </cell>
          <cell r="CO117">
            <v>0</v>
          </cell>
          <cell r="CP117">
            <v>0</v>
          </cell>
          <cell r="CQ117">
            <v>0</v>
          </cell>
          <cell r="CR117">
            <v>0</v>
          </cell>
          <cell r="CS117">
            <v>0</v>
          </cell>
          <cell r="CT117">
            <v>0</v>
          </cell>
          <cell r="CU117">
            <v>0</v>
          </cell>
          <cell r="CV117">
            <v>0</v>
          </cell>
          <cell r="CW117">
            <v>0</v>
          </cell>
          <cell r="CX117">
            <v>0</v>
          </cell>
          <cell r="CY117">
            <v>0</v>
          </cell>
          <cell r="CZ117">
            <v>0</v>
          </cell>
          <cell r="DA117">
            <v>0</v>
          </cell>
          <cell r="DB117">
            <v>0</v>
          </cell>
          <cell r="DC117">
            <v>0</v>
          </cell>
          <cell r="DD117">
            <v>0</v>
          </cell>
          <cell r="DE117">
            <v>0</v>
          </cell>
          <cell r="DF117">
            <v>0</v>
          </cell>
          <cell r="DG117">
            <v>0</v>
          </cell>
          <cell r="DH117">
            <v>0</v>
          </cell>
          <cell r="DI117">
            <v>0</v>
          </cell>
          <cell r="DJ117">
            <v>0</v>
          </cell>
          <cell r="DK117">
            <v>0</v>
          </cell>
          <cell r="DL117">
            <v>0</v>
          </cell>
          <cell r="DM117">
            <v>0</v>
          </cell>
          <cell r="DN117">
            <v>0</v>
          </cell>
          <cell r="DO117">
            <v>0</v>
          </cell>
          <cell r="DP117">
            <v>0</v>
          </cell>
          <cell r="DQ117">
            <v>0</v>
          </cell>
          <cell r="DR117">
            <v>0</v>
          </cell>
          <cell r="DS117">
            <v>0</v>
          </cell>
          <cell r="DT117">
            <v>0</v>
          </cell>
          <cell r="DU117">
            <v>0</v>
          </cell>
          <cell r="DV117">
            <v>0</v>
          </cell>
          <cell r="DW117">
            <v>0</v>
          </cell>
          <cell r="DX117">
            <v>0</v>
          </cell>
          <cell r="DY117">
            <v>0</v>
          </cell>
          <cell r="EA117">
            <v>0</v>
          </cell>
          <cell r="EB117">
            <v>0</v>
          </cell>
          <cell r="EC117">
            <v>0</v>
          </cell>
          <cell r="ED117">
            <v>0.05</v>
          </cell>
          <cell r="EE117">
            <v>0.09</v>
          </cell>
          <cell r="EF117">
            <v>0.08</v>
          </cell>
          <cell r="EG117">
            <v>0.17</v>
          </cell>
          <cell r="EH117">
            <v>1</v>
          </cell>
          <cell r="EI117">
            <v>1</v>
          </cell>
          <cell r="EJ117">
            <v>1</v>
          </cell>
          <cell r="EK117">
            <v>1</v>
          </cell>
          <cell r="EL117">
            <v>0.05</v>
          </cell>
          <cell r="EM117">
            <v>0.14000000000000001</v>
          </cell>
          <cell r="EN117">
            <v>0.11</v>
          </cell>
          <cell r="EO117">
            <v>0.2</v>
          </cell>
          <cell r="EP117">
            <v>0</v>
          </cell>
          <cell r="EQ117">
            <v>0</v>
          </cell>
          <cell r="ER117">
            <v>0</v>
          </cell>
          <cell r="ES117">
            <v>0</v>
          </cell>
          <cell r="ET117">
            <v>0</v>
          </cell>
          <cell r="EU117">
            <v>0</v>
          </cell>
          <cell r="EV117">
            <v>0</v>
          </cell>
          <cell r="EW117">
            <v>0</v>
          </cell>
          <cell r="EX117">
            <v>1</v>
          </cell>
          <cell r="EY117">
            <v>1</v>
          </cell>
          <cell r="EZ117">
            <v>1</v>
          </cell>
          <cell r="FA117">
            <v>0</v>
          </cell>
          <cell r="FB117">
            <v>0</v>
          </cell>
          <cell r="FC117">
            <v>0</v>
          </cell>
          <cell r="FD117">
            <v>0</v>
          </cell>
          <cell r="FE117">
            <v>0</v>
          </cell>
          <cell r="FF117">
            <v>0</v>
          </cell>
          <cell r="FG117">
            <v>0</v>
          </cell>
          <cell r="FH117">
            <v>0</v>
          </cell>
          <cell r="FI117">
            <v>0</v>
          </cell>
          <cell r="FJ117">
            <v>0</v>
          </cell>
          <cell r="FK117">
            <v>0</v>
          </cell>
          <cell r="FL117">
            <v>0</v>
          </cell>
          <cell r="FM117">
            <v>0</v>
          </cell>
          <cell r="FN117">
            <v>0</v>
          </cell>
          <cell r="FO117">
            <v>0</v>
          </cell>
          <cell r="FP117">
            <v>0</v>
          </cell>
          <cell r="FQ117">
            <v>0</v>
          </cell>
          <cell r="FR117">
            <v>0</v>
          </cell>
          <cell r="FS117">
            <v>0</v>
          </cell>
          <cell r="FT117">
            <v>0</v>
          </cell>
          <cell r="FU117">
            <v>0</v>
          </cell>
          <cell r="FV117">
            <v>0</v>
          </cell>
          <cell r="FW117">
            <v>0</v>
          </cell>
          <cell r="FX117">
            <v>0</v>
          </cell>
          <cell r="FY117">
            <v>0</v>
          </cell>
          <cell r="FZ117">
            <v>0</v>
          </cell>
        </row>
        <row r="118">
          <cell r="A118" t="str">
            <v>F_CNP_NRF_CPT_PRP_FRCE_PPE</v>
          </cell>
          <cell r="B118">
            <v>0.1</v>
          </cell>
          <cell r="C118">
            <v>0.08</v>
          </cell>
          <cell r="D118">
            <v>0.15</v>
          </cell>
          <cell r="E118">
            <v>0.08</v>
          </cell>
          <cell r="F118">
            <v>0.15</v>
          </cell>
          <cell r="G118">
            <v>0.22</v>
          </cell>
          <cell r="H118">
            <v>7.0000000000000007E-2</v>
          </cell>
          <cell r="I118">
            <v>0.05</v>
          </cell>
          <cell r="J118">
            <v>0.13</v>
          </cell>
          <cell r="K118">
            <v>0.18</v>
          </cell>
          <cell r="L118">
            <v>0.17</v>
          </cell>
          <cell r="M118">
            <v>0.16</v>
          </cell>
          <cell r="N118">
            <v>0.8</v>
          </cell>
          <cell r="O118">
            <v>1</v>
          </cell>
          <cell r="P118">
            <v>1</v>
          </cell>
          <cell r="Q118">
            <v>0.8</v>
          </cell>
          <cell r="R118">
            <v>0.8</v>
          </cell>
          <cell r="S118">
            <v>1</v>
          </cell>
          <cell r="T118">
            <v>1</v>
          </cell>
          <cell r="U118">
            <v>1</v>
          </cell>
          <cell r="V118">
            <v>1</v>
          </cell>
          <cell r="W118">
            <v>1</v>
          </cell>
          <cell r="X118">
            <v>1</v>
          </cell>
          <cell r="Y118">
            <v>1</v>
          </cell>
          <cell r="Z118">
            <v>0.1</v>
          </cell>
          <cell r="AA118">
            <v>0.1</v>
          </cell>
          <cell r="AB118">
            <v>0.14000000000000001</v>
          </cell>
          <cell r="AC118">
            <v>0.11</v>
          </cell>
          <cell r="AD118">
            <v>0.11</v>
          </cell>
          <cell r="AE118">
            <v>0.19</v>
          </cell>
          <cell r="AF118">
            <v>0.09</v>
          </cell>
          <cell r="AG118">
            <v>0.11</v>
          </cell>
          <cell r="AH118">
            <v>0.15</v>
          </cell>
          <cell r="AI118">
            <v>0.2</v>
          </cell>
          <cell r="AJ118">
            <v>0.2</v>
          </cell>
          <cell r="AK118">
            <v>0.2</v>
          </cell>
          <cell r="AL118">
            <v>0</v>
          </cell>
          <cell r="AM118">
            <v>0</v>
          </cell>
          <cell r="AN118">
            <v>0</v>
          </cell>
          <cell r="AO118">
            <v>0</v>
          </cell>
          <cell r="AP118">
            <v>0</v>
          </cell>
          <cell r="AQ118">
            <v>0</v>
          </cell>
          <cell r="AR118">
            <v>0</v>
          </cell>
          <cell r="AS118">
            <v>0</v>
          </cell>
          <cell r="AT118">
            <v>0</v>
          </cell>
          <cell r="AU118">
            <v>0</v>
          </cell>
          <cell r="AV118">
            <v>0</v>
          </cell>
          <cell r="AW118">
            <v>0</v>
          </cell>
          <cell r="AX118">
            <v>0</v>
          </cell>
          <cell r="AY118">
            <v>0</v>
          </cell>
          <cell r="AZ118">
            <v>0</v>
          </cell>
          <cell r="BA118">
            <v>0</v>
          </cell>
          <cell r="BB118">
            <v>0</v>
          </cell>
          <cell r="BC118">
            <v>0</v>
          </cell>
          <cell r="BD118">
            <v>0</v>
          </cell>
          <cell r="BE118">
            <v>0</v>
          </cell>
          <cell r="BF118">
            <v>0</v>
          </cell>
          <cell r="BG118">
            <v>0</v>
          </cell>
          <cell r="BH118">
            <v>0</v>
          </cell>
          <cell r="BI118">
            <v>0</v>
          </cell>
          <cell r="BJ118">
            <v>0</v>
          </cell>
          <cell r="BK118">
            <v>0</v>
          </cell>
          <cell r="BL118">
            <v>0</v>
          </cell>
          <cell r="BM118">
            <v>0</v>
          </cell>
          <cell r="BN118">
            <v>0</v>
          </cell>
          <cell r="BO118">
            <v>0</v>
          </cell>
          <cell r="BP118">
            <v>0</v>
          </cell>
          <cell r="BQ118">
            <v>0</v>
          </cell>
          <cell r="BR118">
            <v>0</v>
          </cell>
          <cell r="BS118">
            <v>0</v>
          </cell>
          <cell r="BT118">
            <v>0</v>
          </cell>
          <cell r="BU118">
            <v>0</v>
          </cell>
          <cell r="BV118">
            <v>0</v>
          </cell>
          <cell r="BW118">
            <v>0</v>
          </cell>
          <cell r="BX118">
            <v>0</v>
          </cell>
          <cell r="BY118">
            <v>0</v>
          </cell>
          <cell r="BZ118">
            <v>0</v>
          </cell>
          <cell r="CA118">
            <v>0</v>
          </cell>
          <cell r="CB118">
            <v>0</v>
          </cell>
          <cell r="CC118">
            <v>0</v>
          </cell>
          <cell r="CD118">
            <v>0</v>
          </cell>
          <cell r="CE118">
            <v>0</v>
          </cell>
          <cell r="CF118">
            <v>0</v>
          </cell>
          <cell r="CG118">
            <v>0</v>
          </cell>
          <cell r="CH118">
            <v>0</v>
          </cell>
          <cell r="CI118">
            <v>0</v>
          </cell>
          <cell r="CJ118">
            <v>0</v>
          </cell>
          <cell r="CK118">
            <v>0</v>
          </cell>
          <cell r="CL118">
            <v>0</v>
          </cell>
          <cell r="CM118">
            <v>0</v>
          </cell>
          <cell r="CN118">
            <v>0</v>
          </cell>
          <cell r="CO118">
            <v>0</v>
          </cell>
          <cell r="CP118">
            <v>0</v>
          </cell>
          <cell r="CQ118">
            <v>0</v>
          </cell>
          <cell r="CR118">
            <v>0</v>
          </cell>
          <cell r="CS118">
            <v>0</v>
          </cell>
          <cell r="CT118">
            <v>0</v>
          </cell>
          <cell r="CU118">
            <v>0</v>
          </cell>
          <cell r="CV118">
            <v>0</v>
          </cell>
          <cell r="CW118">
            <v>0</v>
          </cell>
          <cell r="CX118">
            <v>0</v>
          </cell>
          <cell r="CY118">
            <v>0</v>
          </cell>
          <cell r="CZ118">
            <v>0</v>
          </cell>
          <cell r="DA118">
            <v>0</v>
          </cell>
          <cell r="DB118">
            <v>0</v>
          </cell>
          <cell r="DC118">
            <v>0</v>
          </cell>
          <cell r="DD118">
            <v>0</v>
          </cell>
          <cell r="DE118">
            <v>0</v>
          </cell>
          <cell r="DF118">
            <v>0</v>
          </cell>
          <cell r="DG118">
            <v>0</v>
          </cell>
          <cell r="DH118">
            <v>0</v>
          </cell>
          <cell r="DI118">
            <v>0</v>
          </cell>
          <cell r="DJ118">
            <v>0</v>
          </cell>
          <cell r="DK118">
            <v>0</v>
          </cell>
          <cell r="DL118">
            <v>0</v>
          </cell>
          <cell r="DM118">
            <v>0</v>
          </cell>
          <cell r="DN118">
            <v>0</v>
          </cell>
          <cell r="DO118">
            <v>0</v>
          </cell>
          <cell r="DP118">
            <v>0</v>
          </cell>
          <cell r="DQ118">
            <v>0</v>
          </cell>
          <cell r="DR118">
            <v>0</v>
          </cell>
          <cell r="DS118">
            <v>0</v>
          </cell>
          <cell r="DT118">
            <v>0</v>
          </cell>
          <cell r="DU118">
            <v>0</v>
          </cell>
          <cell r="DV118">
            <v>0</v>
          </cell>
          <cell r="DW118">
            <v>0</v>
          </cell>
          <cell r="DX118">
            <v>0</v>
          </cell>
          <cell r="DY118">
            <v>0</v>
          </cell>
          <cell r="EA118">
            <v>0</v>
          </cell>
          <cell r="EB118">
            <v>0</v>
          </cell>
          <cell r="EC118">
            <v>0</v>
          </cell>
          <cell r="ED118">
            <v>0.05</v>
          </cell>
          <cell r="EE118">
            <v>0.09</v>
          </cell>
          <cell r="EF118">
            <v>0.08</v>
          </cell>
          <cell r="EG118">
            <v>0.17</v>
          </cell>
          <cell r="EH118">
            <v>1</v>
          </cell>
          <cell r="EI118">
            <v>1</v>
          </cell>
          <cell r="EJ118">
            <v>1</v>
          </cell>
          <cell r="EK118">
            <v>1</v>
          </cell>
          <cell r="EL118">
            <v>0.05</v>
          </cell>
          <cell r="EM118">
            <v>0.14000000000000001</v>
          </cell>
          <cell r="EN118">
            <v>0.11</v>
          </cell>
          <cell r="EO118">
            <v>0.2</v>
          </cell>
          <cell r="EP118">
            <v>0</v>
          </cell>
          <cell r="EQ118">
            <v>0</v>
          </cell>
          <cell r="ER118">
            <v>0</v>
          </cell>
          <cell r="ES118">
            <v>0</v>
          </cell>
          <cell r="ET118">
            <v>0</v>
          </cell>
          <cell r="EU118">
            <v>0</v>
          </cell>
          <cell r="EV118">
            <v>0</v>
          </cell>
          <cell r="EW118">
            <v>0</v>
          </cell>
          <cell r="EX118">
            <v>1</v>
          </cell>
          <cell r="EY118">
            <v>1</v>
          </cell>
          <cell r="EZ118">
            <v>1</v>
          </cell>
          <cell r="FA118">
            <v>0</v>
          </cell>
          <cell r="FB118">
            <v>0</v>
          </cell>
          <cell r="FC118">
            <v>0</v>
          </cell>
          <cell r="FD118">
            <v>0</v>
          </cell>
          <cell r="FE118">
            <v>0</v>
          </cell>
          <cell r="FF118">
            <v>0</v>
          </cell>
          <cell r="FG118">
            <v>0</v>
          </cell>
          <cell r="FH118">
            <v>0</v>
          </cell>
          <cell r="FI118">
            <v>0</v>
          </cell>
          <cell r="FJ118">
            <v>0</v>
          </cell>
          <cell r="FK118">
            <v>0</v>
          </cell>
          <cell r="FL118">
            <v>0</v>
          </cell>
          <cell r="FM118">
            <v>0</v>
          </cell>
          <cell r="FN118">
            <v>0</v>
          </cell>
          <cell r="FO118">
            <v>0</v>
          </cell>
          <cell r="FP118">
            <v>0</v>
          </cell>
          <cell r="FQ118">
            <v>0</v>
          </cell>
          <cell r="FR118">
            <v>0</v>
          </cell>
          <cell r="FS118">
            <v>0</v>
          </cell>
          <cell r="FT118">
            <v>0</v>
          </cell>
          <cell r="FU118">
            <v>0</v>
          </cell>
          <cell r="FV118">
            <v>0</v>
          </cell>
          <cell r="FW118">
            <v>0</v>
          </cell>
          <cell r="FX118">
            <v>0</v>
          </cell>
          <cell r="FY118">
            <v>0</v>
          </cell>
          <cell r="FZ118">
            <v>0</v>
          </cell>
        </row>
        <row r="119">
          <cell r="A119" t="str">
            <v>F_CNP_NRF_CPT_PRP_FRCE_IPS</v>
          </cell>
          <cell r="B119">
            <v>0.1</v>
          </cell>
          <cell r="C119">
            <v>0.08</v>
          </cell>
          <cell r="D119">
            <v>0.15</v>
          </cell>
          <cell r="E119">
            <v>0.08</v>
          </cell>
          <cell r="F119">
            <v>0.15</v>
          </cell>
          <cell r="G119">
            <v>0.22</v>
          </cell>
          <cell r="H119">
            <v>7.0000000000000007E-2</v>
          </cell>
          <cell r="I119">
            <v>0.05</v>
          </cell>
          <cell r="J119">
            <v>0.13</v>
          </cell>
          <cell r="K119">
            <v>0.18</v>
          </cell>
          <cell r="L119">
            <v>0.17</v>
          </cell>
          <cell r="M119">
            <v>0.16</v>
          </cell>
          <cell r="N119">
            <v>0.8</v>
          </cell>
          <cell r="O119">
            <v>1</v>
          </cell>
          <cell r="P119">
            <v>1</v>
          </cell>
          <cell r="Q119">
            <v>0.8</v>
          </cell>
          <cell r="R119">
            <v>0.8</v>
          </cell>
          <cell r="S119">
            <v>1</v>
          </cell>
          <cell r="T119">
            <v>1</v>
          </cell>
          <cell r="U119">
            <v>1</v>
          </cell>
          <cell r="V119">
            <v>1</v>
          </cell>
          <cell r="W119">
            <v>1</v>
          </cell>
          <cell r="X119">
            <v>1</v>
          </cell>
          <cell r="Y119">
            <v>1</v>
          </cell>
          <cell r="Z119">
            <v>0.1</v>
          </cell>
          <cell r="AA119">
            <v>0.1</v>
          </cell>
          <cell r="AB119">
            <v>0.14000000000000001</v>
          </cell>
          <cell r="AC119">
            <v>0.11</v>
          </cell>
          <cell r="AD119">
            <v>0.11</v>
          </cell>
          <cell r="AE119">
            <v>0.19</v>
          </cell>
          <cell r="AF119">
            <v>0.09</v>
          </cell>
          <cell r="AG119">
            <v>0.11</v>
          </cell>
          <cell r="AH119">
            <v>0.15</v>
          </cell>
          <cell r="AI119">
            <v>0.2</v>
          </cell>
          <cell r="AJ119">
            <v>0.2</v>
          </cell>
          <cell r="AK119">
            <v>0.2</v>
          </cell>
          <cell r="AL119">
            <v>0</v>
          </cell>
          <cell r="AM119">
            <v>0</v>
          </cell>
          <cell r="AN119">
            <v>0</v>
          </cell>
          <cell r="AO119">
            <v>0</v>
          </cell>
          <cell r="AP119">
            <v>0</v>
          </cell>
          <cell r="AQ119">
            <v>0</v>
          </cell>
          <cell r="AR119">
            <v>0</v>
          </cell>
          <cell r="AS119">
            <v>0</v>
          </cell>
          <cell r="AT119">
            <v>0</v>
          </cell>
          <cell r="AU119">
            <v>0</v>
          </cell>
          <cell r="AV119">
            <v>0</v>
          </cell>
          <cell r="AW119">
            <v>0</v>
          </cell>
          <cell r="AX119">
            <v>0</v>
          </cell>
          <cell r="AY119">
            <v>0</v>
          </cell>
          <cell r="AZ119">
            <v>0</v>
          </cell>
          <cell r="BA119">
            <v>0</v>
          </cell>
          <cell r="BB119">
            <v>0</v>
          </cell>
          <cell r="BC119">
            <v>0</v>
          </cell>
          <cell r="BD119">
            <v>0</v>
          </cell>
          <cell r="BE119">
            <v>0</v>
          </cell>
          <cell r="BF119">
            <v>0</v>
          </cell>
          <cell r="BG119">
            <v>0</v>
          </cell>
          <cell r="BH119">
            <v>0</v>
          </cell>
          <cell r="BI119">
            <v>0</v>
          </cell>
          <cell r="BJ119">
            <v>0</v>
          </cell>
          <cell r="BK119">
            <v>0</v>
          </cell>
          <cell r="BL119">
            <v>0</v>
          </cell>
          <cell r="BM119">
            <v>0</v>
          </cell>
          <cell r="BN119">
            <v>0</v>
          </cell>
          <cell r="BO119">
            <v>0</v>
          </cell>
          <cell r="BP119">
            <v>0</v>
          </cell>
          <cell r="BQ119">
            <v>0</v>
          </cell>
          <cell r="BR119">
            <v>0</v>
          </cell>
          <cell r="BS119">
            <v>0</v>
          </cell>
          <cell r="BT119">
            <v>0</v>
          </cell>
          <cell r="BU119">
            <v>0</v>
          </cell>
          <cell r="BV119">
            <v>0</v>
          </cell>
          <cell r="BW119">
            <v>0</v>
          </cell>
          <cell r="BX119">
            <v>0</v>
          </cell>
          <cell r="BY119">
            <v>0</v>
          </cell>
          <cell r="BZ119">
            <v>0</v>
          </cell>
          <cell r="CA119">
            <v>0</v>
          </cell>
          <cell r="CB119">
            <v>0</v>
          </cell>
          <cell r="CC119">
            <v>0</v>
          </cell>
          <cell r="CD119">
            <v>0</v>
          </cell>
          <cell r="CE119">
            <v>0</v>
          </cell>
          <cell r="CF119">
            <v>0</v>
          </cell>
          <cell r="CG119">
            <v>0</v>
          </cell>
          <cell r="CH119">
            <v>0</v>
          </cell>
          <cell r="CI119">
            <v>0</v>
          </cell>
          <cell r="CJ119">
            <v>0</v>
          </cell>
          <cell r="CK119">
            <v>0</v>
          </cell>
          <cell r="CL119">
            <v>0</v>
          </cell>
          <cell r="CM119">
            <v>0</v>
          </cell>
          <cell r="CN119">
            <v>0</v>
          </cell>
          <cell r="CO119">
            <v>0</v>
          </cell>
          <cell r="CP119">
            <v>0</v>
          </cell>
          <cell r="CQ119">
            <v>0</v>
          </cell>
          <cell r="CR119">
            <v>0</v>
          </cell>
          <cell r="CS119">
            <v>0</v>
          </cell>
          <cell r="CT119">
            <v>0</v>
          </cell>
          <cell r="CU119">
            <v>0</v>
          </cell>
          <cell r="CV119">
            <v>0</v>
          </cell>
          <cell r="CW119">
            <v>0</v>
          </cell>
          <cell r="CX119">
            <v>0</v>
          </cell>
          <cell r="CY119">
            <v>0</v>
          </cell>
          <cell r="CZ119">
            <v>0</v>
          </cell>
          <cell r="DA119">
            <v>0</v>
          </cell>
          <cell r="DB119">
            <v>0</v>
          </cell>
          <cell r="DC119">
            <v>0</v>
          </cell>
          <cell r="DD119">
            <v>0</v>
          </cell>
          <cell r="DE119">
            <v>0</v>
          </cell>
          <cell r="DF119">
            <v>0</v>
          </cell>
          <cell r="DG119">
            <v>0</v>
          </cell>
          <cell r="DH119">
            <v>0</v>
          </cell>
          <cell r="DI119">
            <v>0</v>
          </cell>
          <cell r="DJ119">
            <v>0</v>
          </cell>
          <cell r="DK119">
            <v>0</v>
          </cell>
          <cell r="DL119">
            <v>0</v>
          </cell>
          <cell r="DM119">
            <v>0</v>
          </cell>
          <cell r="DN119">
            <v>0</v>
          </cell>
          <cell r="DO119">
            <v>0</v>
          </cell>
          <cell r="DP119">
            <v>0</v>
          </cell>
          <cell r="DQ119">
            <v>0</v>
          </cell>
          <cell r="DR119">
            <v>0</v>
          </cell>
          <cell r="DS119">
            <v>0</v>
          </cell>
          <cell r="DT119">
            <v>0</v>
          </cell>
          <cell r="DU119">
            <v>0</v>
          </cell>
          <cell r="DV119">
            <v>0</v>
          </cell>
          <cell r="DW119">
            <v>0</v>
          </cell>
          <cell r="DX119">
            <v>0</v>
          </cell>
          <cell r="DY119">
            <v>0</v>
          </cell>
          <cell r="EA119">
            <v>0</v>
          </cell>
          <cell r="EB119">
            <v>0</v>
          </cell>
          <cell r="EC119">
            <v>0</v>
          </cell>
          <cell r="ED119">
            <v>0.05</v>
          </cell>
          <cell r="EE119">
            <v>0.09</v>
          </cell>
          <cell r="EF119">
            <v>0.08</v>
          </cell>
          <cell r="EG119">
            <v>0.17</v>
          </cell>
          <cell r="EH119">
            <v>1</v>
          </cell>
          <cell r="EI119">
            <v>1</v>
          </cell>
          <cell r="EJ119">
            <v>1</v>
          </cell>
          <cell r="EK119">
            <v>1</v>
          </cell>
          <cell r="EL119">
            <v>0.05</v>
          </cell>
          <cell r="EM119">
            <v>0.14000000000000001</v>
          </cell>
          <cell r="EN119">
            <v>0.11</v>
          </cell>
          <cell r="EO119">
            <v>0.2</v>
          </cell>
          <cell r="EP119">
            <v>0</v>
          </cell>
          <cell r="EQ119">
            <v>0</v>
          </cell>
          <cell r="ER119">
            <v>0</v>
          </cell>
          <cell r="ES119">
            <v>0</v>
          </cell>
          <cell r="ET119">
            <v>0</v>
          </cell>
          <cell r="EU119">
            <v>0</v>
          </cell>
          <cell r="EV119">
            <v>0</v>
          </cell>
          <cell r="EW119">
            <v>0</v>
          </cell>
          <cell r="EX119">
            <v>1</v>
          </cell>
          <cell r="EY119">
            <v>1</v>
          </cell>
          <cell r="EZ119">
            <v>1</v>
          </cell>
          <cell r="FA119">
            <v>0</v>
          </cell>
          <cell r="FB119">
            <v>0</v>
          </cell>
          <cell r="FC119">
            <v>0</v>
          </cell>
          <cell r="FD119">
            <v>0</v>
          </cell>
          <cell r="FE119">
            <v>0</v>
          </cell>
          <cell r="FF119">
            <v>0</v>
          </cell>
          <cell r="FG119">
            <v>0</v>
          </cell>
          <cell r="FH119">
            <v>0</v>
          </cell>
          <cell r="FI119">
            <v>0</v>
          </cell>
          <cell r="FJ119">
            <v>0</v>
          </cell>
          <cell r="FK119">
            <v>0</v>
          </cell>
          <cell r="FL119">
            <v>0</v>
          </cell>
          <cell r="FM119">
            <v>0</v>
          </cell>
          <cell r="FN119">
            <v>0</v>
          </cell>
          <cell r="FO119">
            <v>0</v>
          </cell>
          <cell r="FP119">
            <v>0</v>
          </cell>
          <cell r="FQ119">
            <v>0</v>
          </cell>
          <cell r="FR119">
            <v>0</v>
          </cell>
          <cell r="FS119">
            <v>0</v>
          </cell>
          <cell r="FT119">
            <v>0</v>
          </cell>
          <cell r="FU119">
            <v>0</v>
          </cell>
          <cell r="FV119">
            <v>0</v>
          </cell>
          <cell r="FW119">
            <v>0</v>
          </cell>
          <cell r="FX119">
            <v>0</v>
          </cell>
          <cell r="FY119">
            <v>0</v>
          </cell>
          <cell r="FZ119">
            <v>0</v>
          </cell>
        </row>
        <row r="120">
          <cell r="A120" t="str">
            <v>F_CNP_NRF_CPT_PRP_FRCE_IPF</v>
          </cell>
          <cell r="B120">
            <v>0.1</v>
          </cell>
          <cell r="C120">
            <v>0.08</v>
          </cell>
          <cell r="D120">
            <v>0.15</v>
          </cell>
          <cell r="E120">
            <v>0.08</v>
          </cell>
          <cell r="F120">
            <v>0.15</v>
          </cell>
          <cell r="G120">
            <v>0.22</v>
          </cell>
          <cell r="H120">
            <v>7.0000000000000007E-2</v>
          </cell>
          <cell r="I120">
            <v>0.05</v>
          </cell>
          <cell r="J120">
            <v>0.13</v>
          </cell>
          <cell r="K120">
            <v>0.18</v>
          </cell>
          <cell r="L120">
            <v>0.17</v>
          </cell>
          <cell r="M120">
            <v>0.16</v>
          </cell>
          <cell r="N120">
            <v>0.8</v>
          </cell>
          <cell r="O120">
            <v>1</v>
          </cell>
          <cell r="P120">
            <v>1</v>
          </cell>
          <cell r="Q120">
            <v>0.8</v>
          </cell>
          <cell r="R120">
            <v>0.8</v>
          </cell>
          <cell r="S120">
            <v>1</v>
          </cell>
          <cell r="T120">
            <v>1</v>
          </cell>
          <cell r="U120">
            <v>1</v>
          </cell>
          <cell r="V120">
            <v>1</v>
          </cell>
          <cell r="W120">
            <v>1</v>
          </cell>
          <cell r="X120">
            <v>1</v>
          </cell>
          <cell r="Y120">
            <v>1</v>
          </cell>
          <cell r="Z120">
            <v>0.1</v>
          </cell>
          <cell r="AA120">
            <v>0.1</v>
          </cell>
          <cell r="AB120">
            <v>0.14000000000000001</v>
          </cell>
          <cell r="AC120">
            <v>0.11</v>
          </cell>
          <cell r="AD120">
            <v>0.11</v>
          </cell>
          <cell r="AE120">
            <v>0.19</v>
          </cell>
          <cell r="AF120">
            <v>0.09</v>
          </cell>
          <cell r="AG120">
            <v>0.11</v>
          </cell>
          <cell r="AH120">
            <v>0.15</v>
          </cell>
          <cell r="AI120">
            <v>0.2</v>
          </cell>
          <cell r="AJ120">
            <v>0.2</v>
          </cell>
          <cell r="AK120">
            <v>0.2</v>
          </cell>
          <cell r="AL120">
            <v>0</v>
          </cell>
          <cell r="AM120">
            <v>0</v>
          </cell>
          <cell r="AN120">
            <v>0</v>
          </cell>
          <cell r="AO120">
            <v>0</v>
          </cell>
          <cell r="AP120">
            <v>0</v>
          </cell>
          <cell r="AQ120">
            <v>0</v>
          </cell>
          <cell r="AR120">
            <v>0</v>
          </cell>
          <cell r="AS120">
            <v>0</v>
          </cell>
          <cell r="AT120">
            <v>0</v>
          </cell>
          <cell r="AU120">
            <v>0</v>
          </cell>
          <cell r="AV120">
            <v>0</v>
          </cell>
          <cell r="AW120">
            <v>0</v>
          </cell>
          <cell r="AX120">
            <v>0</v>
          </cell>
          <cell r="AY120">
            <v>0</v>
          </cell>
          <cell r="AZ120">
            <v>0</v>
          </cell>
          <cell r="BA120">
            <v>0</v>
          </cell>
          <cell r="BB120">
            <v>0</v>
          </cell>
          <cell r="BC120">
            <v>0</v>
          </cell>
          <cell r="BD120">
            <v>0</v>
          </cell>
          <cell r="BE120">
            <v>0</v>
          </cell>
          <cell r="BF120">
            <v>0</v>
          </cell>
          <cell r="BG120">
            <v>0</v>
          </cell>
          <cell r="BH120">
            <v>0</v>
          </cell>
          <cell r="BI120">
            <v>0</v>
          </cell>
          <cell r="BJ120">
            <v>0</v>
          </cell>
          <cell r="BK120">
            <v>0</v>
          </cell>
          <cell r="BL120">
            <v>0</v>
          </cell>
          <cell r="BM120">
            <v>0</v>
          </cell>
          <cell r="BN120">
            <v>0</v>
          </cell>
          <cell r="BO120">
            <v>0</v>
          </cell>
          <cell r="BP120">
            <v>0</v>
          </cell>
          <cell r="BQ120">
            <v>0</v>
          </cell>
          <cell r="BR120">
            <v>0</v>
          </cell>
          <cell r="BS120">
            <v>0</v>
          </cell>
          <cell r="BT120">
            <v>0</v>
          </cell>
          <cell r="BU120">
            <v>0</v>
          </cell>
          <cell r="BV120">
            <v>0</v>
          </cell>
          <cell r="BW120">
            <v>0</v>
          </cell>
          <cell r="BX120">
            <v>0</v>
          </cell>
          <cell r="BY120">
            <v>0</v>
          </cell>
          <cell r="BZ120">
            <v>0</v>
          </cell>
          <cell r="CA120">
            <v>0</v>
          </cell>
          <cell r="CB120">
            <v>0</v>
          </cell>
          <cell r="CC120">
            <v>0</v>
          </cell>
          <cell r="CD120">
            <v>0</v>
          </cell>
          <cell r="CE120">
            <v>0</v>
          </cell>
          <cell r="CF120">
            <v>0</v>
          </cell>
          <cell r="CG120">
            <v>0</v>
          </cell>
          <cell r="CH120">
            <v>0</v>
          </cell>
          <cell r="CI120">
            <v>0</v>
          </cell>
          <cell r="CJ120">
            <v>0</v>
          </cell>
          <cell r="CK120">
            <v>0</v>
          </cell>
          <cell r="CL120">
            <v>0</v>
          </cell>
          <cell r="CM120">
            <v>0</v>
          </cell>
          <cell r="CN120">
            <v>0</v>
          </cell>
          <cell r="CO120">
            <v>0</v>
          </cell>
          <cell r="CP120">
            <v>0</v>
          </cell>
          <cell r="CQ120">
            <v>0</v>
          </cell>
          <cell r="CR120">
            <v>0</v>
          </cell>
          <cell r="CS120">
            <v>0</v>
          </cell>
          <cell r="CT120">
            <v>0</v>
          </cell>
          <cell r="CU120">
            <v>0</v>
          </cell>
          <cell r="CV120">
            <v>0</v>
          </cell>
          <cell r="CW120">
            <v>0</v>
          </cell>
          <cell r="CX120">
            <v>0</v>
          </cell>
          <cell r="CY120">
            <v>0</v>
          </cell>
          <cell r="CZ120">
            <v>0</v>
          </cell>
          <cell r="DA120">
            <v>0</v>
          </cell>
          <cell r="DB120">
            <v>0</v>
          </cell>
          <cell r="DC120">
            <v>0</v>
          </cell>
          <cell r="DD120">
            <v>0</v>
          </cell>
          <cell r="DE120">
            <v>0</v>
          </cell>
          <cell r="DF120">
            <v>0</v>
          </cell>
          <cell r="DG120">
            <v>0</v>
          </cell>
          <cell r="DH120">
            <v>0</v>
          </cell>
          <cell r="DI120">
            <v>0</v>
          </cell>
          <cell r="DJ120">
            <v>0</v>
          </cell>
          <cell r="DK120">
            <v>0</v>
          </cell>
          <cell r="DL120">
            <v>0</v>
          </cell>
          <cell r="DM120">
            <v>0</v>
          </cell>
          <cell r="DN120">
            <v>0</v>
          </cell>
          <cell r="DO120">
            <v>0</v>
          </cell>
          <cell r="DP120">
            <v>0</v>
          </cell>
          <cell r="DQ120">
            <v>0</v>
          </cell>
          <cell r="DR120">
            <v>0</v>
          </cell>
          <cell r="DS120">
            <v>0</v>
          </cell>
          <cell r="DT120">
            <v>0</v>
          </cell>
          <cell r="DU120">
            <v>0</v>
          </cell>
          <cell r="DV120">
            <v>0</v>
          </cell>
          <cell r="DW120">
            <v>0</v>
          </cell>
          <cell r="DX120">
            <v>0</v>
          </cell>
          <cell r="DY120">
            <v>0</v>
          </cell>
          <cell r="EA120">
            <v>0</v>
          </cell>
          <cell r="EB120">
            <v>0</v>
          </cell>
          <cell r="EC120">
            <v>0</v>
          </cell>
          <cell r="ED120">
            <v>0.05</v>
          </cell>
          <cell r="EE120">
            <v>0.09</v>
          </cell>
          <cell r="EF120">
            <v>0.08</v>
          </cell>
          <cell r="EG120">
            <v>0.17</v>
          </cell>
          <cell r="EH120">
            <v>1</v>
          </cell>
          <cell r="EI120">
            <v>1</v>
          </cell>
          <cell r="EJ120">
            <v>1</v>
          </cell>
          <cell r="EK120">
            <v>1</v>
          </cell>
          <cell r="EL120">
            <v>0.05</v>
          </cell>
          <cell r="EM120">
            <v>0.14000000000000001</v>
          </cell>
          <cell r="EN120">
            <v>0.11</v>
          </cell>
          <cell r="EO120">
            <v>0.2</v>
          </cell>
          <cell r="EP120">
            <v>0</v>
          </cell>
          <cell r="EQ120">
            <v>0</v>
          </cell>
          <cell r="ER120">
            <v>0</v>
          </cell>
          <cell r="ES120">
            <v>0</v>
          </cell>
          <cell r="ET120">
            <v>0</v>
          </cell>
          <cell r="EU120">
            <v>0</v>
          </cell>
          <cell r="EV120">
            <v>0</v>
          </cell>
          <cell r="EW120">
            <v>0</v>
          </cell>
          <cell r="EX120">
            <v>1</v>
          </cell>
          <cell r="EY120">
            <v>1</v>
          </cell>
          <cell r="EZ120">
            <v>1</v>
          </cell>
          <cell r="FA120">
            <v>0</v>
          </cell>
          <cell r="FB120">
            <v>0</v>
          </cell>
          <cell r="FC120">
            <v>0</v>
          </cell>
          <cell r="FD120">
            <v>0</v>
          </cell>
          <cell r="FE120">
            <v>0</v>
          </cell>
          <cell r="FF120">
            <v>0</v>
          </cell>
          <cell r="FG120">
            <v>0</v>
          </cell>
          <cell r="FH120">
            <v>0</v>
          </cell>
          <cell r="FI120">
            <v>0</v>
          </cell>
          <cell r="FJ120">
            <v>0</v>
          </cell>
          <cell r="FK120">
            <v>0</v>
          </cell>
          <cell r="FL120">
            <v>0</v>
          </cell>
          <cell r="FM120">
            <v>0</v>
          </cell>
          <cell r="FN120">
            <v>0</v>
          </cell>
          <cell r="FO120">
            <v>0</v>
          </cell>
          <cell r="FP120">
            <v>0</v>
          </cell>
          <cell r="FQ120">
            <v>0</v>
          </cell>
          <cell r="FR120">
            <v>0</v>
          </cell>
          <cell r="FS120">
            <v>0</v>
          </cell>
          <cell r="FT120">
            <v>0</v>
          </cell>
          <cell r="FU120">
            <v>0</v>
          </cell>
          <cell r="FV120">
            <v>0</v>
          </cell>
          <cell r="FW120">
            <v>0</v>
          </cell>
          <cell r="FX120">
            <v>0</v>
          </cell>
          <cell r="FY120">
            <v>0</v>
          </cell>
          <cell r="FZ120">
            <v>0</v>
          </cell>
        </row>
        <row r="121">
          <cell r="A121" t="str">
            <v>F_CNP_NRF_CPT_PRP_FRCE_IPG</v>
          </cell>
          <cell r="B121">
            <v>0.1</v>
          </cell>
          <cell r="C121">
            <v>0.08</v>
          </cell>
          <cell r="D121">
            <v>0.15</v>
          </cell>
          <cell r="E121">
            <v>0.08</v>
          </cell>
          <cell r="F121">
            <v>0.15</v>
          </cell>
          <cell r="G121">
            <v>0.22</v>
          </cell>
          <cell r="H121">
            <v>7.0000000000000007E-2</v>
          </cell>
          <cell r="I121">
            <v>0.05</v>
          </cell>
          <cell r="J121">
            <v>0.13</v>
          </cell>
          <cell r="K121">
            <v>0.18</v>
          </cell>
          <cell r="L121">
            <v>0.17</v>
          </cell>
          <cell r="M121">
            <v>0.16</v>
          </cell>
          <cell r="N121">
            <v>0.8</v>
          </cell>
          <cell r="O121">
            <v>1</v>
          </cell>
          <cell r="P121">
            <v>1</v>
          </cell>
          <cell r="Q121">
            <v>0.8</v>
          </cell>
          <cell r="R121">
            <v>0.8</v>
          </cell>
          <cell r="S121">
            <v>1</v>
          </cell>
          <cell r="T121">
            <v>1</v>
          </cell>
          <cell r="U121">
            <v>1</v>
          </cell>
          <cell r="V121">
            <v>1</v>
          </cell>
          <cell r="W121">
            <v>1</v>
          </cell>
          <cell r="X121">
            <v>1</v>
          </cell>
          <cell r="Y121">
            <v>1</v>
          </cell>
          <cell r="Z121">
            <v>0.1</v>
          </cell>
          <cell r="AA121">
            <v>0.1</v>
          </cell>
          <cell r="AB121">
            <v>0.14000000000000001</v>
          </cell>
          <cell r="AC121">
            <v>0.11</v>
          </cell>
          <cell r="AD121">
            <v>0.11</v>
          </cell>
          <cell r="AE121">
            <v>0.19</v>
          </cell>
          <cell r="AF121">
            <v>0.09</v>
          </cell>
          <cell r="AG121">
            <v>0.11</v>
          </cell>
          <cell r="AH121">
            <v>0.15</v>
          </cell>
          <cell r="AI121">
            <v>0.2</v>
          </cell>
          <cell r="AJ121">
            <v>0.2</v>
          </cell>
          <cell r="AK121">
            <v>0.2</v>
          </cell>
          <cell r="AL121">
            <v>0</v>
          </cell>
          <cell r="AM121">
            <v>0</v>
          </cell>
          <cell r="AN121">
            <v>0</v>
          </cell>
          <cell r="AO121">
            <v>0</v>
          </cell>
          <cell r="AP121">
            <v>0</v>
          </cell>
          <cell r="AQ121">
            <v>0</v>
          </cell>
          <cell r="AR121">
            <v>0</v>
          </cell>
          <cell r="AS121">
            <v>0</v>
          </cell>
          <cell r="AT121">
            <v>0</v>
          </cell>
          <cell r="AU121">
            <v>0</v>
          </cell>
          <cell r="AV121">
            <v>0</v>
          </cell>
          <cell r="AW121">
            <v>0</v>
          </cell>
          <cell r="AX121">
            <v>0</v>
          </cell>
          <cell r="AY121">
            <v>0</v>
          </cell>
          <cell r="AZ121">
            <v>0</v>
          </cell>
          <cell r="BA121">
            <v>0</v>
          </cell>
          <cell r="BB121">
            <v>0</v>
          </cell>
          <cell r="BC121">
            <v>0</v>
          </cell>
          <cell r="BD121">
            <v>0</v>
          </cell>
          <cell r="BE121">
            <v>0</v>
          </cell>
          <cell r="BF121">
            <v>0</v>
          </cell>
          <cell r="BG121">
            <v>0</v>
          </cell>
          <cell r="BH121">
            <v>0</v>
          </cell>
          <cell r="BI121">
            <v>0</v>
          </cell>
          <cell r="BJ121">
            <v>0</v>
          </cell>
          <cell r="BK121">
            <v>0</v>
          </cell>
          <cell r="BL121">
            <v>0</v>
          </cell>
          <cell r="BM121">
            <v>0</v>
          </cell>
          <cell r="BN121">
            <v>0</v>
          </cell>
          <cell r="BO121">
            <v>0</v>
          </cell>
          <cell r="BP121">
            <v>0</v>
          </cell>
          <cell r="BQ121">
            <v>0</v>
          </cell>
          <cell r="BR121">
            <v>0</v>
          </cell>
          <cell r="BS121">
            <v>0</v>
          </cell>
          <cell r="BT121">
            <v>0</v>
          </cell>
          <cell r="BU121">
            <v>0</v>
          </cell>
          <cell r="BV121">
            <v>0</v>
          </cell>
          <cell r="BW121">
            <v>0</v>
          </cell>
          <cell r="BX121">
            <v>0</v>
          </cell>
          <cell r="BY121">
            <v>0</v>
          </cell>
          <cell r="BZ121">
            <v>0</v>
          </cell>
          <cell r="CA121">
            <v>0</v>
          </cell>
          <cell r="CB121">
            <v>0</v>
          </cell>
          <cell r="CC121">
            <v>0</v>
          </cell>
          <cell r="CD121">
            <v>0</v>
          </cell>
          <cell r="CE121">
            <v>0</v>
          </cell>
          <cell r="CF121">
            <v>0</v>
          </cell>
          <cell r="CG121">
            <v>0</v>
          </cell>
          <cell r="CH121">
            <v>0</v>
          </cell>
          <cell r="CI121">
            <v>0</v>
          </cell>
          <cell r="CJ121">
            <v>0</v>
          </cell>
          <cell r="CK121">
            <v>0</v>
          </cell>
          <cell r="CL121">
            <v>0</v>
          </cell>
          <cell r="CM121">
            <v>0</v>
          </cell>
          <cell r="CN121">
            <v>0</v>
          </cell>
          <cell r="CO121">
            <v>0</v>
          </cell>
          <cell r="CP121">
            <v>0</v>
          </cell>
          <cell r="CQ121">
            <v>0</v>
          </cell>
          <cell r="CR121">
            <v>0</v>
          </cell>
          <cell r="CS121">
            <v>0</v>
          </cell>
          <cell r="CT121">
            <v>0</v>
          </cell>
          <cell r="CU121">
            <v>0</v>
          </cell>
          <cell r="CV121">
            <v>0</v>
          </cell>
          <cell r="CW121">
            <v>0</v>
          </cell>
          <cell r="CX121">
            <v>0</v>
          </cell>
          <cell r="CY121">
            <v>0</v>
          </cell>
          <cell r="CZ121">
            <v>0</v>
          </cell>
          <cell r="DA121">
            <v>0</v>
          </cell>
          <cell r="DB121">
            <v>0</v>
          </cell>
          <cell r="DC121">
            <v>0</v>
          </cell>
          <cell r="DD121">
            <v>0</v>
          </cell>
          <cell r="DE121">
            <v>0</v>
          </cell>
          <cell r="DF121">
            <v>0</v>
          </cell>
          <cell r="DG121">
            <v>0</v>
          </cell>
          <cell r="DH121">
            <v>0</v>
          </cell>
          <cell r="DI121">
            <v>0</v>
          </cell>
          <cell r="DJ121">
            <v>0</v>
          </cell>
          <cell r="DK121">
            <v>0</v>
          </cell>
          <cell r="DL121">
            <v>0</v>
          </cell>
          <cell r="DM121">
            <v>0</v>
          </cell>
          <cell r="DN121">
            <v>0</v>
          </cell>
          <cell r="DO121">
            <v>0</v>
          </cell>
          <cell r="DP121">
            <v>0</v>
          </cell>
          <cell r="DQ121">
            <v>0</v>
          </cell>
          <cell r="DR121">
            <v>0</v>
          </cell>
          <cell r="DS121">
            <v>0</v>
          </cell>
          <cell r="DT121">
            <v>0</v>
          </cell>
          <cell r="DU121">
            <v>0</v>
          </cell>
          <cell r="DV121">
            <v>0</v>
          </cell>
          <cell r="DW121">
            <v>0</v>
          </cell>
          <cell r="DX121">
            <v>0</v>
          </cell>
          <cell r="DY121">
            <v>0</v>
          </cell>
          <cell r="EA121">
            <v>0</v>
          </cell>
          <cell r="EB121">
            <v>0</v>
          </cell>
          <cell r="EC121">
            <v>0</v>
          </cell>
          <cell r="ED121">
            <v>0.05</v>
          </cell>
          <cell r="EE121">
            <v>0.09</v>
          </cell>
          <cell r="EF121">
            <v>0.08</v>
          </cell>
          <cell r="EG121">
            <v>0.17</v>
          </cell>
          <cell r="EH121">
            <v>1</v>
          </cell>
          <cell r="EI121">
            <v>1</v>
          </cell>
          <cell r="EJ121">
            <v>1</v>
          </cell>
          <cell r="EK121">
            <v>1</v>
          </cell>
          <cell r="EL121">
            <v>0.05</v>
          </cell>
          <cell r="EM121">
            <v>0.14000000000000001</v>
          </cell>
          <cell r="EN121">
            <v>0.11</v>
          </cell>
          <cell r="EO121">
            <v>0.2</v>
          </cell>
          <cell r="EP121">
            <v>0</v>
          </cell>
          <cell r="EQ121">
            <v>0</v>
          </cell>
          <cell r="ER121">
            <v>0</v>
          </cell>
          <cell r="ES121">
            <v>0</v>
          </cell>
          <cell r="ET121">
            <v>0</v>
          </cell>
          <cell r="EU121">
            <v>0</v>
          </cell>
          <cell r="EV121">
            <v>0</v>
          </cell>
          <cell r="EW121">
            <v>0</v>
          </cell>
          <cell r="EX121">
            <v>1</v>
          </cell>
          <cell r="EY121">
            <v>1</v>
          </cell>
          <cell r="EZ121">
            <v>1</v>
          </cell>
          <cell r="FA121">
            <v>0</v>
          </cell>
          <cell r="FB121">
            <v>0</v>
          </cell>
          <cell r="FC121">
            <v>0</v>
          </cell>
          <cell r="FD121">
            <v>0</v>
          </cell>
          <cell r="FE121">
            <v>0</v>
          </cell>
          <cell r="FF121">
            <v>0</v>
          </cell>
          <cell r="FG121">
            <v>0</v>
          </cell>
          <cell r="FH121">
            <v>0</v>
          </cell>
          <cell r="FI121">
            <v>0</v>
          </cell>
          <cell r="FJ121">
            <v>0</v>
          </cell>
          <cell r="FK121">
            <v>0</v>
          </cell>
          <cell r="FL121">
            <v>0</v>
          </cell>
          <cell r="FM121">
            <v>0</v>
          </cell>
          <cell r="FN121">
            <v>0</v>
          </cell>
          <cell r="FO121">
            <v>0</v>
          </cell>
          <cell r="FP121">
            <v>0</v>
          </cell>
          <cell r="FQ121">
            <v>0</v>
          </cell>
          <cell r="FR121">
            <v>0</v>
          </cell>
          <cell r="FS121">
            <v>0</v>
          </cell>
          <cell r="FT121">
            <v>0</v>
          </cell>
          <cell r="FU121">
            <v>0</v>
          </cell>
          <cell r="FV121">
            <v>0</v>
          </cell>
          <cell r="FW121">
            <v>0</v>
          </cell>
          <cell r="FX121">
            <v>0</v>
          </cell>
          <cell r="FY121">
            <v>0</v>
          </cell>
          <cell r="FZ121">
            <v>0</v>
          </cell>
        </row>
        <row r="122">
          <cell r="A122" t="str">
            <v>F_CNP_NRF_CPT_PRP_FRCE_SUC</v>
          </cell>
          <cell r="B122">
            <v>0.1</v>
          </cell>
          <cell r="C122">
            <v>0.08</v>
          </cell>
          <cell r="D122">
            <v>0.15</v>
          </cell>
          <cell r="E122">
            <v>0.08</v>
          </cell>
          <cell r="F122">
            <v>0.15</v>
          </cell>
          <cell r="G122">
            <v>0.22</v>
          </cell>
          <cell r="H122">
            <v>7.0000000000000007E-2</v>
          </cell>
          <cell r="I122">
            <v>0.05</v>
          </cell>
          <cell r="J122">
            <v>0.13</v>
          </cell>
          <cell r="K122">
            <v>0.18</v>
          </cell>
          <cell r="L122">
            <v>0.17</v>
          </cell>
          <cell r="M122">
            <v>0.16</v>
          </cell>
          <cell r="N122">
            <v>0.8</v>
          </cell>
          <cell r="O122">
            <v>1</v>
          </cell>
          <cell r="P122">
            <v>1</v>
          </cell>
          <cell r="Q122">
            <v>0.8</v>
          </cell>
          <cell r="R122">
            <v>0.8</v>
          </cell>
          <cell r="S122">
            <v>1</v>
          </cell>
          <cell r="T122">
            <v>1</v>
          </cell>
          <cell r="U122">
            <v>1</v>
          </cell>
          <cell r="V122">
            <v>1</v>
          </cell>
          <cell r="W122">
            <v>1</v>
          </cell>
          <cell r="X122">
            <v>1</v>
          </cell>
          <cell r="Y122">
            <v>1</v>
          </cell>
          <cell r="Z122">
            <v>0.1</v>
          </cell>
          <cell r="AA122">
            <v>0.1</v>
          </cell>
          <cell r="AB122">
            <v>0.14000000000000001</v>
          </cell>
          <cell r="AC122">
            <v>0.11</v>
          </cell>
          <cell r="AD122">
            <v>0.11</v>
          </cell>
          <cell r="AE122">
            <v>0.19</v>
          </cell>
          <cell r="AF122">
            <v>0.09</v>
          </cell>
          <cell r="AG122">
            <v>0.11</v>
          </cell>
          <cell r="AH122">
            <v>0.15</v>
          </cell>
          <cell r="AI122">
            <v>0.2</v>
          </cell>
          <cell r="AJ122">
            <v>0.2</v>
          </cell>
          <cell r="AK122">
            <v>0.2</v>
          </cell>
          <cell r="AL122">
            <v>0</v>
          </cell>
          <cell r="AM122">
            <v>0</v>
          </cell>
          <cell r="AN122">
            <v>0</v>
          </cell>
          <cell r="AO122">
            <v>0</v>
          </cell>
          <cell r="AP122">
            <v>0</v>
          </cell>
          <cell r="AQ122">
            <v>0</v>
          </cell>
          <cell r="AR122">
            <v>0</v>
          </cell>
          <cell r="AS122">
            <v>0</v>
          </cell>
          <cell r="AT122">
            <v>0</v>
          </cell>
          <cell r="AU122">
            <v>0</v>
          </cell>
          <cell r="AV122">
            <v>0</v>
          </cell>
          <cell r="AW122">
            <v>0</v>
          </cell>
          <cell r="AX122">
            <v>0</v>
          </cell>
          <cell r="AY122">
            <v>0</v>
          </cell>
          <cell r="AZ122">
            <v>0</v>
          </cell>
          <cell r="BA122">
            <v>0</v>
          </cell>
          <cell r="BB122">
            <v>0</v>
          </cell>
          <cell r="BC122">
            <v>0</v>
          </cell>
          <cell r="BD122">
            <v>0</v>
          </cell>
          <cell r="BE122">
            <v>0</v>
          </cell>
          <cell r="BF122">
            <v>0</v>
          </cell>
          <cell r="BG122">
            <v>0</v>
          </cell>
          <cell r="BH122">
            <v>0</v>
          </cell>
          <cell r="BI122">
            <v>0</v>
          </cell>
          <cell r="BJ122">
            <v>0</v>
          </cell>
          <cell r="BK122">
            <v>0</v>
          </cell>
          <cell r="BL122">
            <v>0</v>
          </cell>
          <cell r="BM122">
            <v>0</v>
          </cell>
          <cell r="BN122">
            <v>0</v>
          </cell>
          <cell r="BO122">
            <v>0</v>
          </cell>
          <cell r="BP122">
            <v>0</v>
          </cell>
          <cell r="BQ122">
            <v>0</v>
          </cell>
          <cell r="BR122">
            <v>0</v>
          </cell>
          <cell r="BS122">
            <v>0</v>
          </cell>
          <cell r="BT122">
            <v>0</v>
          </cell>
          <cell r="BU122">
            <v>0</v>
          </cell>
          <cell r="BV122">
            <v>0</v>
          </cell>
          <cell r="BW122">
            <v>0</v>
          </cell>
          <cell r="BX122">
            <v>0</v>
          </cell>
          <cell r="BY122">
            <v>0</v>
          </cell>
          <cell r="BZ122">
            <v>0</v>
          </cell>
          <cell r="CA122">
            <v>0</v>
          </cell>
          <cell r="CB122">
            <v>0</v>
          </cell>
          <cell r="CC122">
            <v>0</v>
          </cell>
          <cell r="CD122">
            <v>0</v>
          </cell>
          <cell r="CE122">
            <v>0</v>
          </cell>
          <cell r="CF122">
            <v>0</v>
          </cell>
          <cell r="CG122">
            <v>0</v>
          </cell>
          <cell r="CH122">
            <v>0</v>
          </cell>
          <cell r="CI122">
            <v>0</v>
          </cell>
          <cell r="CJ122">
            <v>0</v>
          </cell>
          <cell r="CK122">
            <v>0</v>
          </cell>
          <cell r="CL122">
            <v>0</v>
          </cell>
          <cell r="CM122">
            <v>0</v>
          </cell>
          <cell r="CN122">
            <v>0</v>
          </cell>
          <cell r="CO122">
            <v>0</v>
          </cell>
          <cell r="CP122">
            <v>0</v>
          </cell>
          <cell r="CQ122">
            <v>0</v>
          </cell>
          <cell r="CR122">
            <v>0</v>
          </cell>
          <cell r="CS122">
            <v>0</v>
          </cell>
          <cell r="CT122">
            <v>0</v>
          </cell>
          <cell r="CU122">
            <v>0</v>
          </cell>
          <cell r="CV122">
            <v>0</v>
          </cell>
          <cell r="CW122">
            <v>0</v>
          </cell>
          <cell r="CX122">
            <v>0</v>
          </cell>
          <cell r="CY122">
            <v>0</v>
          </cell>
          <cell r="CZ122">
            <v>0</v>
          </cell>
          <cell r="DA122">
            <v>0</v>
          </cell>
          <cell r="DB122">
            <v>0</v>
          </cell>
          <cell r="DC122">
            <v>0</v>
          </cell>
          <cell r="DD122">
            <v>0</v>
          </cell>
          <cell r="DE122">
            <v>0</v>
          </cell>
          <cell r="DF122">
            <v>0</v>
          </cell>
          <cell r="DG122">
            <v>0</v>
          </cell>
          <cell r="DH122">
            <v>0</v>
          </cell>
          <cell r="DI122">
            <v>0</v>
          </cell>
          <cell r="DJ122">
            <v>0</v>
          </cell>
          <cell r="DK122">
            <v>0</v>
          </cell>
          <cell r="DL122">
            <v>0</v>
          </cell>
          <cell r="DM122">
            <v>0</v>
          </cell>
          <cell r="DN122">
            <v>0</v>
          </cell>
          <cell r="DO122">
            <v>0</v>
          </cell>
          <cell r="DP122">
            <v>0</v>
          </cell>
          <cell r="DQ122">
            <v>0</v>
          </cell>
          <cell r="DR122">
            <v>0</v>
          </cell>
          <cell r="DS122">
            <v>0</v>
          </cell>
          <cell r="DT122">
            <v>0</v>
          </cell>
          <cell r="DU122">
            <v>0</v>
          </cell>
          <cell r="DV122">
            <v>0</v>
          </cell>
          <cell r="DW122">
            <v>0</v>
          </cell>
          <cell r="DX122">
            <v>0</v>
          </cell>
          <cell r="DY122">
            <v>0</v>
          </cell>
          <cell r="EA122">
            <v>0</v>
          </cell>
          <cell r="EB122">
            <v>0</v>
          </cell>
          <cell r="EC122">
            <v>0</v>
          </cell>
          <cell r="ED122">
            <v>0.05</v>
          </cell>
          <cell r="EE122">
            <v>0.09</v>
          </cell>
          <cell r="EF122">
            <v>0.08</v>
          </cell>
          <cell r="EG122">
            <v>0.17</v>
          </cell>
          <cell r="EH122">
            <v>1</v>
          </cell>
          <cell r="EI122">
            <v>1</v>
          </cell>
          <cell r="EJ122">
            <v>1</v>
          </cell>
          <cell r="EK122">
            <v>1</v>
          </cell>
          <cell r="EL122">
            <v>0.05</v>
          </cell>
          <cell r="EM122">
            <v>0.14000000000000001</v>
          </cell>
          <cell r="EN122">
            <v>0.11</v>
          </cell>
          <cell r="EO122">
            <v>0.2</v>
          </cell>
          <cell r="EP122">
            <v>0</v>
          </cell>
          <cell r="EQ122">
            <v>0</v>
          </cell>
          <cell r="ER122">
            <v>0</v>
          </cell>
          <cell r="ES122">
            <v>0</v>
          </cell>
          <cell r="ET122">
            <v>0</v>
          </cell>
          <cell r="EU122">
            <v>0</v>
          </cell>
          <cell r="EV122">
            <v>0</v>
          </cell>
          <cell r="EW122">
            <v>0</v>
          </cell>
          <cell r="EX122">
            <v>1</v>
          </cell>
          <cell r="EY122">
            <v>1</v>
          </cell>
          <cell r="EZ122">
            <v>1</v>
          </cell>
          <cell r="FA122">
            <v>0</v>
          </cell>
          <cell r="FB122">
            <v>0</v>
          </cell>
          <cell r="FC122">
            <v>0</v>
          </cell>
          <cell r="FD122">
            <v>0</v>
          </cell>
          <cell r="FE122">
            <v>0</v>
          </cell>
          <cell r="FF122">
            <v>0</v>
          </cell>
          <cell r="FG122">
            <v>0</v>
          </cell>
          <cell r="FH122">
            <v>0</v>
          </cell>
          <cell r="FI122">
            <v>0</v>
          </cell>
          <cell r="FJ122">
            <v>0</v>
          </cell>
          <cell r="FK122">
            <v>0</v>
          </cell>
          <cell r="FL122">
            <v>0</v>
          </cell>
          <cell r="FM122">
            <v>0</v>
          </cell>
          <cell r="FN122">
            <v>0</v>
          </cell>
          <cell r="FO122">
            <v>0</v>
          </cell>
          <cell r="FP122">
            <v>0</v>
          </cell>
          <cell r="FQ122">
            <v>0</v>
          </cell>
          <cell r="FR122">
            <v>0</v>
          </cell>
          <cell r="FS122">
            <v>0</v>
          </cell>
          <cell r="FT122">
            <v>0</v>
          </cell>
          <cell r="FU122">
            <v>0</v>
          </cell>
          <cell r="FV122">
            <v>0</v>
          </cell>
          <cell r="FW122">
            <v>0</v>
          </cell>
          <cell r="FX122">
            <v>0</v>
          </cell>
          <cell r="FY122">
            <v>0</v>
          </cell>
          <cell r="FZ122">
            <v>0</v>
          </cell>
        </row>
        <row r="123">
          <cell r="A123" t="str">
            <v>F_IAM_NRF_RET_IND_FRCE_401</v>
          </cell>
          <cell r="B123">
            <v>0.1</v>
          </cell>
          <cell r="C123">
            <v>0.08</v>
          </cell>
          <cell r="D123">
            <v>0.15</v>
          </cell>
          <cell r="E123">
            <v>0.08</v>
          </cell>
          <cell r="F123">
            <v>0.15</v>
          </cell>
          <cell r="G123">
            <v>0.22</v>
          </cell>
          <cell r="H123">
            <v>7.0000000000000007E-2</v>
          </cell>
          <cell r="I123">
            <v>0.05</v>
          </cell>
          <cell r="J123">
            <v>0.13</v>
          </cell>
          <cell r="K123">
            <v>0.18</v>
          </cell>
          <cell r="L123">
            <v>0.17</v>
          </cell>
          <cell r="M123">
            <v>0.16</v>
          </cell>
          <cell r="N123">
            <v>0.8</v>
          </cell>
          <cell r="O123">
            <v>1</v>
          </cell>
          <cell r="P123">
            <v>1</v>
          </cell>
          <cell r="Q123">
            <v>0.8</v>
          </cell>
          <cell r="R123">
            <v>0.8</v>
          </cell>
          <cell r="S123">
            <v>1</v>
          </cell>
          <cell r="T123">
            <v>1</v>
          </cell>
          <cell r="U123">
            <v>1</v>
          </cell>
          <cell r="V123">
            <v>1</v>
          </cell>
          <cell r="W123">
            <v>1</v>
          </cell>
          <cell r="X123">
            <v>1</v>
          </cell>
          <cell r="Y123">
            <v>1</v>
          </cell>
          <cell r="Z123">
            <v>0.1</v>
          </cell>
          <cell r="AA123">
            <v>0.1</v>
          </cell>
          <cell r="AB123">
            <v>0.14000000000000001</v>
          </cell>
          <cell r="AC123">
            <v>0.11</v>
          </cell>
          <cell r="AD123">
            <v>0.11</v>
          </cell>
          <cell r="AE123">
            <v>0.19</v>
          </cell>
          <cell r="AF123">
            <v>0.09</v>
          </cell>
          <cell r="AG123">
            <v>0.11</v>
          </cell>
          <cell r="AH123">
            <v>0.15</v>
          </cell>
          <cell r="AI123">
            <v>0.2</v>
          </cell>
          <cell r="AJ123">
            <v>0.2</v>
          </cell>
          <cell r="AK123">
            <v>0.2</v>
          </cell>
          <cell r="AL123">
            <v>0</v>
          </cell>
          <cell r="AM123">
            <v>0</v>
          </cell>
          <cell r="AN123">
            <v>0</v>
          </cell>
          <cell r="AO123">
            <v>0</v>
          </cell>
          <cell r="AP123">
            <v>0</v>
          </cell>
          <cell r="AQ123">
            <v>0</v>
          </cell>
          <cell r="AR123">
            <v>0</v>
          </cell>
          <cell r="AS123">
            <v>0</v>
          </cell>
          <cell r="AT123">
            <v>0</v>
          </cell>
          <cell r="AU123">
            <v>0</v>
          </cell>
          <cell r="AV123">
            <v>0</v>
          </cell>
          <cell r="AW123">
            <v>0</v>
          </cell>
          <cell r="AX123">
            <v>0</v>
          </cell>
          <cell r="AY123">
            <v>0</v>
          </cell>
          <cell r="AZ123">
            <v>0</v>
          </cell>
          <cell r="BA123">
            <v>0</v>
          </cell>
          <cell r="BB123">
            <v>0</v>
          </cell>
          <cell r="BC123">
            <v>0</v>
          </cell>
          <cell r="BD123">
            <v>0</v>
          </cell>
          <cell r="BE123">
            <v>0</v>
          </cell>
          <cell r="BF123">
            <v>0</v>
          </cell>
          <cell r="BG123">
            <v>0</v>
          </cell>
          <cell r="BH123">
            <v>0</v>
          </cell>
          <cell r="BI123">
            <v>0</v>
          </cell>
          <cell r="BJ123">
            <v>0</v>
          </cell>
          <cell r="BK123">
            <v>0</v>
          </cell>
          <cell r="BL123">
            <v>0</v>
          </cell>
          <cell r="BM123">
            <v>0</v>
          </cell>
          <cell r="BN123">
            <v>0</v>
          </cell>
          <cell r="BO123">
            <v>0</v>
          </cell>
          <cell r="BP123">
            <v>0</v>
          </cell>
          <cell r="BQ123">
            <v>0</v>
          </cell>
          <cell r="BR123">
            <v>0</v>
          </cell>
          <cell r="BS123">
            <v>0</v>
          </cell>
          <cell r="BT123">
            <v>0</v>
          </cell>
          <cell r="BU123">
            <v>0</v>
          </cell>
          <cell r="BV123">
            <v>0</v>
          </cell>
          <cell r="BW123">
            <v>0</v>
          </cell>
          <cell r="BX123">
            <v>0</v>
          </cell>
          <cell r="BY123">
            <v>0</v>
          </cell>
          <cell r="BZ123">
            <v>0</v>
          </cell>
          <cell r="CA123">
            <v>0</v>
          </cell>
          <cell r="CB123">
            <v>0</v>
          </cell>
          <cell r="CC123">
            <v>0</v>
          </cell>
          <cell r="CD123">
            <v>0</v>
          </cell>
          <cell r="CE123">
            <v>0</v>
          </cell>
          <cell r="CF123">
            <v>0</v>
          </cell>
          <cell r="CG123">
            <v>0</v>
          </cell>
          <cell r="CH123">
            <v>0</v>
          </cell>
          <cell r="CI123">
            <v>0</v>
          </cell>
          <cell r="CJ123">
            <v>0</v>
          </cell>
          <cell r="CK123">
            <v>0</v>
          </cell>
          <cell r="CL123">
            <v>0</v>
          </cell>
          <cell r="CM123">
            <v>0</v>
          </cell>
          <cell r="CN123">
            <v>0</v>
          </cell>
          <cell r="CO123">
            <v>0</v>
          </cell>
          <cell r="CP123">
            <v>0</v>
          </cell>
          <cell r="CQ123">
            <v>0</v>
          </cell>
          <cell r="CR123">
            <v>0</v>
          </cell>
          <cell r="CS123">
            <v>0</v>
          </cell>
          <cell r="CT123">
            <v>0</v>
          </cell>
          <cell r="CU123">
            <v>0</v>
          </cell>
          <cell r="CV123">
            <v>0</v>
          </cell>
          <cell r="CW123">
            <v>0</v>
          </cell>
          <cell r="CX123">
            <v>0</v>
          </cell>
          <cell r="CY123">
            <v>0</v>
          </cell>
          <cell r="CZ123">
            <v>0</v>
          </cell>
          <cell r="DA123">
            <v>0</v>
          </cell>
          <cell r="DB123">
            <v>0</v>
          </cell>
          <cell r="DC123">
            <v>0</v>
          </cell>
          <cell r="DD123">
            <v>0</v>
          </cell>
          <cell r="DE123">
            <v>0</v>
          </cell>
          <cell r="DF123">
            <v>0</v>
          </cell>
          <cell r="DG123">
            <v>0</v>
          </cell>
          <cell r="DH123">
            <v>0</v>
          </cell>
          <cell r="DI123">
            <v>0</v>
          </cell>
          <cell r="DJ123">
            <v>0</v>
          </cell>
          <cell r="DK123">
            <v>0</v>
          </cell>
          <cell r="DL123">
            <v>0</v>
          </cell>
          <cell r="DM123">
            <v>0</v>
          </cell>
          <cell r="DN123">
            <v>0</v>
          </cell>
          <cell r="DO123">
            <v>0</v>
          </cell>
          <cell r="DP123">
            <v>0</v>
          </cell>
          <cell r="DQ123">
            <v>0</v>
          </cell>
          <cell r="DR123">
            <v>0</v>
          </cell>
          <cell r="DS123">
            <v>0</v>
          </cell>
          <cell r="DT123">
            <v>0</v>
          </cell>
          <cell r="DU123">
            <v>0</v>
          </cell>
          <cell r="DV123">
            <v>0</v>
          </cell>
          <cell r="DW123">
            <v>0</v>
          </cell>
          <cell r="DX123">
            <v>0</v>
          </cell>
          <cell r="DY123">
            <v>0</v>
          </cell>
          <cell r="EA123">
            <v>0</v>
          </cell>
          <cell r="EB123">
            <v>0</v>
          </cell>
          <cell r="EC123">
            <v>0</v>
          </cell>
          <cell r="ED123">
            <v>0.05</v>
          </cell>
          <cell r="EE123">
            <v>0.09</v>
          </cell>
          <cell r="EF123">
            <v>0.08</v>
          </cell>
          <cell r="EG123">
            <v>0.17</v>
          </cell>
          <cell r="EH123">
            <v>1</v>
          </cell>
          <cell r="EI123">
            <v>1</v>
          </cell>
          <cell r="EJ123">
            <v>1</v>
          </cell>
          <cell r="EK123">
            <v>1</v>
          </cell>
          <cell r="EL123">
            <v>0.05</v>
          </cell>
          <cell r="EM123">
            <v>0.14000000000000001</v>
          </cell>
          <cell r="EN123">
            <v>0.11</v>
          </cell>
          <cell r="EO123">
            <v>0.2</v>
          </cell>
          <cell r="EP123">
            <v>0</v>
          </cell>
          <cell r="EQ123">
            <v>0</v>
          </cell>
          <cell r="ER123">
            <v>0</v>
          </cell>
          <cell r="ES123">
            <v>0</v>
          </cell>
          <cell r="ET123">
            <v>0</v>
          </cell>
          <cell r="EU123">
            <v>0</v>
          </cell>
          <cell r="EV123">
            <v>0</v>
          </cell>
          <cell r="EW123">
            <v>0</v>
          </cell>
          <cell r="EX123">
            <v>1</v>
          </cell>
          <cell r="EY123">
            <v>1</v>
          </cell>
          <cell r="EZ123">
            <v>1</v>
          </cell>
          <cell r="FA123">
            <v>0</v>
          </cell>
          <cell r="FB123">
            <v>0</v>
          </cell>
          <cell r="FC123">
            <v>0</v>
          </cell>
          <cell r="FD123">
            <v>0</v>
          </cell>
          <cell r="FE123">
            <v>0</v>
          </cell>
          <cell r="FF123">
            <v>0</v>
          </cell>
          <cell r="FG123">
            <v>0</v>
          </cell>
          <cell r="FH123">
            <v>0</v>
          </cell>
          <cell r="FI123">
            <v>0</v>
          </cell>
          <cell r="FJ123">
            <v>0</v>
          </cell>
          <cell r="FK123">
            <v>0</v>
          </cell>
          <cell r="FL123">
            <v>0</v>
          </cell>
          <cell r="FM123">
            <v>0</v>
          </cell>
          <cell r="FN123">
            <v>0</v>
          </cell>
          <cell r="FO123">
            <v>0</v>
          </cell>
          <cell r="FP123">
            <v>0</v>
          </cell>
          <cell r="FQ123">
            <v>0</v>
          </cell>
          <cell r="FR123">
            <v>0</v>
          </cell>
          <cell r="FS123">
            <v>0</v>
          </cell>
          <cell r="FT123">
            <v>0</v>
          </cell>
          <cell r="FU123">
            <v>0</v>
          </cell>
          <cell r="FV123">
            <v>0</v>
          </cell>
          <cell r="FW123">
            <v>0</v>
          </cell>
          <cell r="FX123">
            <v>0</v>
          </cell>
          <cell r="FY123">
            <v>0</v>
          </cell>
          <cell r="FZ123">
            <v>0</v>
          </cell>
        </row>
        <row r="124">
          <cell r="A124" t="str">
            <v>F_IAM_NRF_RIS_COL_FRCE_401</v>
          </cell>
          <cell r="B124">
            <v>0.1</v>
          </cell>
          <cell r="C124">
            <v>0.08</v>
          </cell>
          <cell r="D124">
            <v>0.15</v>
          </cell>
          <cell r="E124">
            <v>0.08</v>
          </cell>
          <cell r="F124">
            <v>0.15</v>
          </cell>
          <cell r="G124">
            <v>0.22</v>
          </cell>
          <cell r="H124">
            <v>7.0000000000000007E-2</v>
          </cell>
          <cell r="I124">
            <v>0.05</v>
          </cell>
          <cell r="J124">
            <v>0.13</v>
          </cell>
          <cell r="K124">
            <v>0.18</v>
          </cell>
          <cell r="L124">
            <v>0.17</v>
          </cell>
          <cell r="M124">
            <v>0.16</v>
          </cell>
          <cell r="N124">
            <v>0.8</v>
          </cell>
          <cell r="O124">
            <v>1</v>
          </cell>
          <cell r="P124">
            <v>1</v>
          </cell>
          <cell r="Q124">
            <v>0.8</v>
          </cell>
          <cell r="R124">
            <v>0.8</v>
          </cell>
          <cell r="S124">
            <v>1</v>
          </cell>
          <cell r="T124">
            <v>1</v>
          </cell>
          <cell r="U124">
            <v>1</v>
          </cell>
          <cell r="V124">
            <v>1</v>
          </cell>
          <cell r="W124">
            <v>1</v>
          </cell>
          <cell r="X124">
            <v>1</v>
          </cell>
          <cell r="Y124">
            <v>1</v>
          </cell>
          <cell r="Z124">
            <v>0.1</v>
          </cell>
          <cell r="AA124">
            <v>0.1</v>
          </cell>
          <cell r="AB124">
            <v>0.14000000000000001</v>
          </cell>
          <cell r="AC124">
            <v>0.11</v>
          </cell>
          <cell r="AD124">
            <v>0.11</v>
          </cell>
          <cell r="AE124">
            <v>0.19</v>
          </cell>
          <cell r="AF124">
            <v>0.09</v>
          </cell>
          <cell r="AG124">
            <v>0.11</v>
          </cell>
          <cell r="AH124">
            <v>0.15</v>
          </cell>
          <cell r="AI124">
            <v>0.2</v>
          </cell>
          <cell r="AJ124">
            <v>0.2</v>
          </cell>
          <cell r="AK124">
            <v>0.2</v>
          </cell>
          <cell r="AL124">
            <v>0</v>
          </cell>
          <cell r="AM124">
            <v>0</v>
          </cell>
          <cell r="AN124">
            <v>0</v>
          </cell>
          <cell r="AO124">
            <v>0</v>
          </cell>
          <cell r="AP124">
            <v>0</v>
          </cell>
          <cell r="AQ124">
            <v>0</v>
          </cell>
          <cell r="AR124">
            <v>0</v>
          </cell>
          <cell r="AS124">
            <v>0</v>
          </cell>
          <cell r="AT124">
            <v>0</v>
          </cell>
          <cell r="AU124">
            <v>0</v>
          </cell>
          <cell r="AV124">
            <v>0</v>
          </cell>
          <cell r="AW124">
            <v>0</v>
          </cell>
          <cell r="AX124">
            <v>0</v>
          </cell>
          <cell r="AY124">
            <v>0</v>
          </cell>
          <cell r="AZ124">
            <v>0</v>
          </cell>
          <cell r="BA124">
            <v>0</v>
          </cell>
          <cell r="BB124">
            <v>0</v>
          </cell>
          <cell r="BC124">
            <v>0</v>
          </cell>
          <cell r="BD124">
            <v>0</v>
          </cell>
          <cell r="BE124">
            <v>0</v>
          </cell>
          <cell r="BF124">
            <v>0</v>
          </cell>
          <cell r="BG124">
            <v>0</v>
          </cell>
          <cell r="BH124">
            <v>0</v>
          </cell>
          <cell r="BI124">
            <v>0</v>
          </cell>
          <cell r="BJ124">
            <v>0</v>
          </cell>
          <cell r="BK124">
            <v>0</v>
          </cell>
          <cell r="BL124">
            <v>0</v>
          </cell>
          <cell r="BM124">
            <v>0</v>
          </cell>
          <cell r="BN124">
            <v>0</v>
          </cell>
          <cell r="BO124">
            <v>0</v>
          </cell>
          <cell r="BP124">
            <v>0</v>
          </cell>
          <cell r="BQ124">
            <v>0</v>
          </cell>
          <cell r="BR124">
            <v>0</v>
          </cell>
          <cell r="BS124">
            <v>0</v>
          </cell>
          <cell r="BT124">
            <v>0</v>
          </cell>
          <cell r="BU124">
            <v>0</v>
          </cell>
          <cell r="BV124">
            <v>0</v>
          </cell>
          <cell r="BW124">
            <v>0</v>
          </cell>
          <cell r="BX124">
            <v>0</v>
          </cell>
          <cell r="BY124">
            <v>0</v>
          </cell>
          <cell r="BZ124">
            <v>0</v>
          </cell>
          <cell r="CA124">
            <v>0</v>
          </cell>
          <cell r="CB124">
            <v>0</v>
          </cell>
          <cell r="CC124">
            <v>0</v>
          </cell>
          <cell r="CD124">
            <v>0</v>
          </cell>
          <cell r="CE124">
            <v>0</v>
          </cell>
          <cell r="CF124">
            <v>0</v>
          </cell>
          <cell r="CG124">
            <v>0</v>
          </cell>
          <cell r="CH124">
            <v>0</v>
          </cell>
          <cell r="CI124">
            <v>0</v>
          </cell>
          <cell r="CJ124">
            <v>0</v>
          </cell>
          <cell r="CK124">
            <v>0</v>
          </cell>
          <cell r="CL124">
            <v>0</v>
          </cell>
          <cell r="CM124">
            <v>0</v>
          </cell>
          <cell r="CN124">
            <v>0</v>
          </cell>
          <cell r="CO124">
            <v>0</v>
          </cell>
          <cell r="CP124">
            <v>0</v>
          </cell>
          <cell r="CQ124">
            <v>0</v>
          </cell>
          <cell r="CR124">
            <v>0</v>
          </cell>
          <cell r="CS124">
            <v>0</v>
          </cell>
          <cell r="CT124">
            <v>0</v>
          </cell>
          <cell r="CU124">
            <v>0</v>
          </cell>
          <cell r="CV124">
            <v>0</v>
          </cell>
          <cell r="CW124">
            <v>0</v>
          </cell>
          <cell r="CX124">
            <v>0</v>
          </cell>
          <cell r="CY124">
            <v>0</v>
          </cell>
          <cell r="CZ124">
            <v>0</v>
          </cell>
          <cell r="DA124">
            <v>0</v>
          </cell>
          <cell r="DB124">
            <v>0</v>
          </cell>
          <cell r="DC124">
            <v>0</v>
          </cell>
          <cell r="DD124">
            <v>0</v>
          </cell>
          <cell r="DE124">
            <v>0</v>
          </cell>
          <cell r="DF124">
            <v>0</v>
          </cell>
          <cell r="DG124">
            <v>0</v>
          </cell>
          <cell r="DH124">
            <v>0</v>
          </cell>
          <cell r="DI124">
            <v>0</v>
          </cell>
          <cell r="DJ124">
            <v>0</v>
          </cell>
          <cell r="DK124">
            <v>0</v>
          </cell>
          <cell r="DL124">
            <v>0</v>
          </cell>
          <cell r="DM124">
            <v>0</v>
          </cell>
          <cell r="DN124">
            <v>0</v>
          </cell>
          <cell r="DO124">
            <v>0</v>
          </cell>
          <cell r="DP124">
            <v>0</v>
          </cell>
          <cell r="DQ124">
            <v>0</v>
          </cell>
          <cell r="DR124">
            <v>0</v>
          </cell>
          <cell r="DS124">
            <v>0</v>
          </cell>
          <cell r="DT124">
            <v>0</v>
          </cell>
          <cell r="DU124">
            <v>0</v>
          </cell>
          <cell r="DV124">
            <v>0</v>
          </cell>
          <cell r="DW124">
            <v>0</v>
          </cell>
          <cell r="DX124">
            <v>0</v>
          </cell>
          <cell r="DY124">
            <v>0</v>
          </cell>
          <cell r="EA124">
            <v>0</v>
          </cell>
          <cell r="EB124">
            <v>0</v>
          </cell>
          <cell r="EC124">
            <v>0</v>
          </cell>
          <cell r="ED124">
            <v>0.05</v>
          </cell>
          <cell r="EE124">
            <v>0.09</v>
          </cell>
          <cell r="EF124">
            <v>0.08</v>
          </cell>
          <cell r="EG124">
            <v>0.17</v>
          </cell>
          <cell r="EH124">
            <v>1</v>
          </cell>
          <cell r="EI124">
            <v>1</v>
          </cell>
          <cell r="EJ124">
            <v>1</v>
          </cell>
          <cell r="EK124">
            <v>1</v>
          </cell>
          <cell r="EL124">
            <v>0.05</v>
          </cell>
          <cell r="EM124">
            <v>0.14000000000000001</v>
          </cell>
          <cell r="EN124">
            <v>0.11</v>
          </cell>
          <cell r="EO124">
            <v>0.2</v>
          </cell>
          <cell r="EP124">
            <v>242533497.33809698</v>
          </cell>
          <cell r="EQ124">
            <v>551191158.90407753</v>
          </cell>
          <cell r="ER124">
            <v>79244289</v>
          </cell>
          <cell r="ES124">
            <v>0</v>
          </cell>
          <cell r="ET124">
            <v>193384795.80824322</v>
          </cell>
          <cell r="EU124">
            <v>1132067501.9386058</v>
          </cell>
          <cell r="EV124">
            <v>196287061.72912273</v>
          </cell>
          <cell r="EW124">
            <v>0</v>
          </cell>
          <cell r="EX124">
            <v>1</v>
          </cell>
          <cell r="EY124">
            <v>1</v>
          </cell>
          <cell r="EZ124">
            <v>1</v>
          </cell>
          <cell r="FA124">
            <v>0</v>
          </cell>
          <cell r="FB124">
            <v>604291108.35405612</v>
          </cell>
          <cell r="FC124">
            <v>604291108.35405612</v>
          </cell>
          <cell r="FD124">
            <v>604291108.35405612</v>
          </cell>
          <cell r="FE124">
            <v>604291108.35405612</v>
          </cell>
          <cell r="FF124">
            <v>604291108.35405612</v>
          </cell>
          <cell r="FG124">
            <v>604291108.35405612</v>
          </cell>
          <cell r="FH124">
            <v>3844162.7301326883</v>
          </cell>
          <cell r="FI124">
            <v>4302918.4933814695</v>
          </cell>
          <cell r="FJ124">
            <v>18215210.64534685</v>
          </cell>
          <cell r="FK124">
            <v>349106676.99283355</v>
          </cell>
          <cell r="FL124">
            <v>594105915.3470993</v>
          </cell>
          <cell r="FM124">
            <v>84248013</v>
          </cell>
          <cell r="FN124">
            <v>0</v>
          </cell>
          <cell r="FO124">
            <v>349106676.99283355</v>
          </cell>
          <cell r="FP124">
            <v>594105915.3470993</v>
          </cell>
          <cell r="FQ124">
            <v>84248013</v>
          </cell>
          <cell r="FR124">
            <v>0</v>
          </cell>
          <cell r="FS124">
            <v>0</v>
          </cell>
          <cell r="FT124">
            <v>0</v>
          </cell>
          <cell r="FU124">
            <v>0</v>
          </cell>
          <cell r="FV124">
            <v>0</v>
          </cell>
          <cell r="FW124">
            <v>0</v>
          </cell>
          <cell r="FX124">
            <v>0</v>
          </cell>
          <cell r="FY124">
            <v>0</v>
          </cell>
          <cell r="FZ124">
            <v>0</v>
          </cell>
        </row>
        <row r="125">
          <cell r="A125" t="str">
            <v>F_IAM_NRF_RIS_IND_FRCE_401</v>
          </cell>
          <cell r="B125">
            <v>0.1</v>
          </cell>
          <cell r="C125">
            <v>0.08</v>
          </cell>
          <cell r="D125">
            <v>0.15</v>
          </cell>
          <cell r="E125">
            <v>0.08</v>
          </cell>
          <cell r="F125">
            <v>0.15</v>
          </cell>
          <cell r="G125">
            <v>0.22</v>
          </cell>
          <cell r="H125">
            <v>7.0000000000000007E-2</v>
          </cell>
          <cell r="I125">
            <v>0.05</v>
          </cell>
          <cell r="J125">
            <v>0.13</v>
          </cell>
          <cell r="K125">
            <v>0.18</v>
          </cell>
          <cell r="L125">
            <v>0.17</v>
          </cell>
          <cell r="M125">
            <v>0.16</v>
          </cell>
          <cell r="N125">
            <v>0.8</v>
          </cell>
          <cell r="O125">
            <v>1</v>
          </cell>
          <cell r="P125">
            <v>1</v>
          </cell>
          <cell r="Q125">
            <v>0.8</v>
          </cell>
          <cell r="R125">
            <v>0.8</v>
          </cell>
          <cell r="S125">
            <v>1</v>
          </cell>
          <cell r="T125">
            <v>1</v>
          </cell>
          <cell r="U125">
            <v>1</v>
          </cell>
          <cell r="V125">
            <v>1</v>
          </cell>
          <cell r="W125">
            <v>1</v>
          </cell>
          <cell r="X125">
            <v>1</v>
          </cell>
          <cell r="Y125">
            <v>1</v>
          </cell>
          <cell r="Z125">
            <v>0.1</v>
          </cell>
          <cell r="AA125">
            <v>0.1</v>
          </cell>
          <cell r="AB125">
            <v>0.14000000000000001</v>
          </cell>
          <cell r="AC125">
            <v>0.11</v>
          </cell>
          <cell r="AD125">
            <v>0.11</v>
          </cell>
          <cell r="AE125">
            <v>0.19</v>
          </cell>
          <cell r="AF125">
            <v>0.09</v>
          </cell>
          <cell r="AG125">
            <v>0.11</v>
          </cell>
          <cell r="AH125">
            <v>0.15</v>
          </cell>
          <cell r="AI125">
            <v>0.2</v>
          </cell>
          <cell r="AJ125">
            <v>0.2</v>
          </cell>
          <cell r="AK125">
            <v>0.2</v>
          </cell>
          <cell r="AL125">
            <v>0</v>
          </cell>
          <cell r="AM125">
            <v>0</v>
          </cell>
          <cell r="AN125">
            <v>0</v>
          </cell>
          <cell r="AO125">
            <v>0</v>
          </cell>
          <cell r="AP125">
            <v>0</v>
          </cell>
          <cell r="AQ125">
            <v>0</v>
          </cell>
          <cell r="AR125">
            <v>0</v>
          </cell>
          <cell r="AS125">
            <v>0</v>
          </cell>
          <cell r="AT125">
            <v>0</v>
          </cell>
          <cell r="AU125">
            <v>0</v>
          </cell>
          <cell r="AV125">
            <v>0</v>
          </cell>
          <cell r="AW125">
            <v>0</v>
          </cell>
          <cell r="AX125">
            <v>0</v>
          </cell>
          <cell r="AY125">
            <v>0</v>
          </cell>
          <cell r="AZ125">
            <v>0</v>
          </cell>
          <cell r="BA125">
            <v>0</v>
          </cell>
          <cell r="BB125">
            <v>0</v>
          </cell>
          <cell r="BC125">
            <v>0</v>
          </cell>
          <cell r="BD125">
            <v>0</v>
          </cell>
          <cell r="BE125">
            <v>0</v>
          </cell>
          <cell r="BF125">
            <v>0</v>
          </cell>
          <cell r="BG125">
            <v>0</v>
          </cell>
          <cell r="BH125">
            <v>0</v>
          </cell>
          <cell r="BI125">
            <v>0</v>
          </cell>
          <cell r="BJ125">
            <v>0</v>
          </cell>
          <cell r="BK125">
            <v>0</v>
          </cell>
          <cell r="BL125">
            <v>0</v>
          </cell>
          <cell r="BM125">
            <v>0</v>
          </cell>
          <cell r="BN125">
            <v>0</v>
          </cell>
          <cell r="BO125">
            <v>0</v>
          </cell>
          <cell r="BP125">
            <v>0</v>
          </cell>
          <cell r="BQ125">
            <v>0</v>
          </cell>
          <cell r="BR125">
            <v>0</v>
          </cell>
          <cell r="BS125">
            <v>0</v>
          </cell>
          <cell r="BT125">
            <v>0</v>
          </cell>
          <cell r="BU125">
            <v>0</v>
          </cell>
          <cell r="BV125">
            <v>0</v>
          </cell>
          <cell r="BW125">
            <v>0</v>
          </cell>
          <cell r="BX125">
            <v>0</v>
          </cell>
          <cell r="BY125">
            <v>0</v>
          </cell>
          <cell r="BZ125">
            <v>0</v>
          </cell>
          <cell r="CA125">
            <v>0</v>
          </cell>
          <cell r="CB125">
            <v>0</v>
          </cell>
          <cell r="CC125">
            <v>0</v>
          </cell>
          <cell r="CD125">
            <v>0</v>
          </cell>
          <cell r="CE125">
            <v>0</v>
          </cell>
          <cell r="CF125">
            <v>0</v>
          </cell>
          <cell r="CG125">
            <v>0</v>
          </cell>
          <cell r="CH125">
            <v>0</v>
          </cell>
          <cell r="CI125">
            <v>0</v>
          </cell>
          <cell r="CJ125">
            <v>0</v>
          </cell>
          <cell r="CK125">
            <v>0</v>
          </cell>
          <cell r="CL125">
            <v>0</v>
          </cell>
          <cell r="CM125">
            <v>0</v>
          </cell>
          <cell r="CN125">
            <v>0</v>
          </cell>
          <cell r="CO125">
            <v>0</v>
          </cell>
          <cell r="CP125">
            <v>0</v>
          </cell>
          <cell r="CQ125">
            <v>0</v>
          </cell>
          <cell r="CR125">
            <v>0</v>
          </cell>
          <cell r="CS125">
            <v>0</v>
          </cell>
          <cell r="CT125">
            <v>0</v>
          </cell>
          <cell r="CU125">
            <v>0</v>
          </cell>
          <cell r="CV125">
            <v>0</v>
          </cell>
          <cell r="CW125">
            <v>0</v>
          </cell>
          <cell r="CX125">
            <v>0</v>
          </cell>
          <cell r="CY125">
            <v>0</v>
          </cell>
          <cell r="CZ125">
            <v>0</v>
          </cell>
          <cell r="DA125">
            <v>0</v>
          </cell>
          <cell r="DB125">
            <v>0</v>
          </cell>
          <cell r="DC125">
            <v>0</v>
          </cell>
          <cell r="DD125">
            <v>0</v>
          </cell>
          <cell r="DE125">
            <v>0</v>
          </cell>
          <cell r="DF125">
            <v>0</v>
          </cell>
          <cell r="DG125">
            <v>0</v>
          </cell>
          <cell r="DH125">
            <v>0</v>
          </cell>
          <cell r="DI125">
            <v>0</v>
          </cell>
          <cell r="DJ125">
            <v>0</v>
          </cell>
          <cell r="DK125">
            <v>0</v>
          </cell>
          <cell r="DL125">
            <v>0</v>
          </cell>
          <cell r="DM125">
            <v>0</v>
          </cell>
          <cell r="DN125">
            <v>0</v>
          </cell>
          <cell r="DO125">
            <v>0</v>
          </cell>
          <cell r="DP125">
            <v>0</v>
          </cell>
          <cell r="DQ125">
            <v>0</v>
          </cell>
          <cell r="DR125">
            <v>0</v>
          </cell>
          <cell r="DS125">
            <v>0</v>
          </cell>
          <cell r="DT125">
            <v>0</v>
          </cell>
          <cell r="DU125">
            <v>0</v>
          </cell>
          <cell r="DV125">
            <v>0</v>
          </cell>
          <cell r="DW125">
            <v>0</v>
          </cell>
          <cell r="DX125">
            <v>0</v>
          </cell>
          <cell r="DY125">
            <v>0</v>
          </cell>
          <cell r="EA125">
            <v>0</v>
          </cell>
          <cell r="EB125">
            <v>0</v>
          </cell>
          <cell r="EC125">
            <v>0</v>
          </cell>
          <cell r="ED125">
            <v>0.05</v>
          </cell>
          <cell r="EE125">
            <v>0.09</v>
          </cell>
          <cell r="EF125">
            <v>0.08</v>
          </cell>
          <cell r="EG125">
            <v>0.17</v>
          </cell>
          <cell r="EH125">
            <v>1</v>
          </cell>
          <cell r="EI125">
            <v>1</v>
          </cell>
          <cell r="EJ125">
            <v>1</v>
          </cell>
          <cell r="EK125">
            <v>1</v>
          </cell>
          <cell r="EL125">
            <v>0.05</v>
          </cell>
          <cell r="EM125">
            <v>0.14000000000000001</v>
          </cell>
          <cell r="EN125">
            <v>0.11</v>
          </cell>
          <cell r="EO125">
            <v>0.2</v>
          </cell>
          <cell r="EP125">
            <v>0</v>
          </cell>
          <cell r="EQ125">
            <v>0</v>
          </cell>
          <cell r="ER125">
            <v>0</v>
          </cell>
          <cell r="ES125">
            <v>0</v>
          </cell>
          <cell r="ET125">
            <v>0</v>
          </cell>
          <cell r="EU125">
            <v>0</v>
          </cell>
          <cell r="EV125">
            <v>0</v>
          </cell>
          <cell r="EW125">
            <v>0</v>
          </cell>
          <cell r="EX125">
            <v>1</v>
          </cell>
          <cell r="EY125">
            <v>1</v>
          </cell>
          <cell r="EZ125">
            <v>1</v>
          </cell>
          <cell r="FA125">
            <v>0</v>
          </cell>
          <cell r="FB125">
            <v>0</v>
          </cell>
          <cell r="FC125">
            <v>0</v>
          </cell>
          <cell r="FD125">
            <v>0</v>
          </cell>
          <cell r="FE125">
            <v>0</v>
          </cell>
          <cell r="FF125">
            <v>0</v>
          </cell>
          <cell r="FG125">
            <v>0</v>
          </cell>
          <cell r="FH125">
            <v>0</v>
          </cell>
          <cell r="FI125">
            <v>0</v>
          </cell>
          <cell r="FJ125">
            <v>0</v>
          </cell>
          <cell r="FK125">
            <v>0</v>
          </cell>
          <cell r="FL125">
            <v>0</v>
          </cell>
          <cell r="FM125">
            <v>0</v>
          </cell>
          <cell r="FN125">
            <v>0</v>
          </cell>
          <cell r="FO125">
            <v>0</v>
          </cell>
          <cell r="FP125">
            <v>0</v>
          </cell>
          <cell r="FQ125">
            <v>0</v>
          </cell>
          <cell r="FR125">
            <v>0</v>
          </cell>
          <cell r="FS125">
            <v>0</v>
          </cell>
          <cell r="FT125">
            <v>0</v>
          </cell>
          <cell r="FU125">
            <v>0</v>
          </cell>
          <cell r="FV125">
            <v>0</v>
          </cell>
          <cell r="FW125">
            <v>0</v>
          </cell>
          <cell r="FX125">
            <v>0</v>
          </cell>
          <cell r="FY125">
            <v>0</v>
          </cell>
          <cell r="FZ125">
            <v>0</v>
          </cell>
        </row>
        <row r="126">
          <cell r="A126" t="str">
            <v>F_IAM_NRF_ASS_EMP_FRCE_401</v>
          </cell>
          <cell r="B126">
            <v>0.1</v>
          </cell>
          <cell r="C126">
            <v>0.08</v>
          </cell>
          <cell r="D126">
            <v>0.15</v>
          </cell>
          <cell r="E126">
            <v>0.08</v>
          </cell>
          <cell r="F126">
            <v>0.15</v>
          </cell>
          <cell r="G126">
            <v>0.22</v>
          </cell>
          <cell r="H126">
            <v>7.0000000000000007E-2</v>
          </cell>
          <cell r="I126">
            <v>0.05</v>
          </cell>
          <cell r="J126">
            <v>0.13</v>
          </cell>
          <cell r="K126">
            <v>0.18</v>
          </cell>
          <cell r="L126">
            <v>0.17</v>
          </cell>
          <cell r="M126">
            <v>0.16</v>
          </cell>
          <cell r="N126">
            <v>0.8</v>
          </cell>
          <cell r="O126">
            <v>1</v>
          </cell>
          <cell r="P126">
            <v>1</v>
          </cell>
          <cell r="Q126">
            <v>0.8</v>
          </cell>
          <cell r="R126">
            <v>0.8</v>
          </cell>
          <cell r="S126">
            <v>1</v>
          </cell>
          <cell r="T126">
            <v>1</v>
          </cell>
          <cell r="U126">
            <v>1</v>
          </cell>
          <cell r="V126">
            <v>1</v>
          </cell>
          <cell r="W126">
            <v>1</v>
          </cell>
          <cell r="X126">
            <v>1</v>
          </cell>
          <cell r="Y126">
            <v>1</v>
          </cell>
          <cell r="Z126">
            <v>0.1</v>
          </cell>
          <cell r="AA126">
            <v>0.1</v>
          </cell>
          <cell r="AB126">
            <v>0.14000000000000001</v>
          </cell>
          <cell r="AC126">
            <v>0.11</v>
          </cell>
          <cell r="AD126">
            <v>0.11</v>
          </cell>
          <cell r="AE126">
            <v>0.19</v>
          </cell>
          <cell r="AF126">
            <v>0.09</v>
          </cell>
          <cell r="AG126">
            <v>0.11</v>
          </cell>
          <cell r="AH126">
            <v>0.15</v>
          </cell>
          <cell r="AI126">
            <v>0.2</v>
          </cell>
          <cell r="AJ126">
            <v>0.2</v>
          </cell>
          <cell r="AK126">
            <v>0.2</v>
          </cell>
          <cell r="AL126">
            <v>0</v>
          </cell>
          <cell r="AM126">
            <v>0</v>
          </cell>
          <cell r="AN126">
            <v>0</v>
          </cell>
          <cell r="AO126">
            <v>0</v>
          </cell>
          <cell r="AP126">
            <v>0</v>
          </cell>
          <cell r="AQ126">
            <v>0</v>
          </cell>
          <cell r="AR126">
            <v>0</v>
          </cell>
          <cell r="AS126">
            <v>0</v>
          </cell>
          <cell r="AT126">
            <v>251355550.85754707</v>
          </cell>
          <cell r="AU126">
            <v>0</v>
          </cell>
          <cell r="AV126">
            <v>0</v>
          </cell>
          <cell r="AW126">
            <v>0</v>
          </cell>
          <cell r="AX126">
            <v>0</v>
          </cell>
          <cell r="AY126">
            <v>0</v>
          </cell>
          <cell r="AZ126">
            <v>0</v>
          </cell>
          <cell r="BA126">
            <v>0</v>
          </cell>
          <cell r="BB126">
            <v>0</v>
          </cell>
          <cell r="BC126">
            <v>0</v>
          </cell>
          <cell r="BD126">
            <v>0</v>
          </cell>
          <cell r="BE126">
            <v>0</v>
          </cell>
          <cell r="BF126">
            <v>18825009.358817805</v>
          </cell>
          <cell r="BG126">
            <v>0</v>
          </cell>
          <cell r="BH126">
            <v>0</v>
          </cell>
          <cell r="BI126">
            <v>0</v>
          </cell>
          <cell r="BJ126">
            <v>0</v>
          </cell>
          <cell r="BK126">
            <v>0</v>
          </cell>
          <cell r="BL126">
            <v>0</v>
          </cell>
          <cell r="BM126">
            <v>0</v>
          </cell>
          <cell r="BN126">
            <v>0</v>
          </cell>
          <cell r="BO126">
            <v>0</v>
          </cell>
          <cell r="BP126">
            <v>0</v>
          </cell>
          <cell r="BQ126">
            <v>0</v>
          </cell>
          <cell r="BR126">
            <v>0</v>
          </cell>
          <cell r="BS126">
            <v>0</v>
          </cell>
          <cell r="BT126">
            <v>0</v>
          </cell>
          <cell r="BU126">
            <v>0</v>
          </cell>
          <cell r="BV126">
            <v>-28238583.120304827</v>
          </cell>
          <cell r="BW126">
            <v>-28238583.120304827</v>
          </cell>
          <cell r="BX126">
            <v>-28238583.120304827</v>
          </cell>
          <cell r="BY126">
            <v>-15356450.859720219</v>
          </cell>
          <cell r="BZ126">
            <v>-48340049.468760967</v>
          </cell>
          <cell r="CA126">
            <v>-11222587.05994745</v>
          </cell>
          <cell r="CB126">
            <v>0</v>
          </cell>
          <cell r="CC126">
            <v>15126362.426094724</v>
          </cell>
          <cell r="CD126">
            <v>0</v>
          </cell>
          <cell r="CE126">
            <v>0</v>
          </cell>
          <cell r="CF126">
            <v>0</v>
          </cell>
          <cell r="CG126">
            <v>0</v>
          </cell>
          <cell r="CH126">
            <v>0</v>
          </cell>
          <cell r="CI126">
            <v>0</v>
          </cell>
          <cell r="CJ126">
            <v>0</v>
          </cell>
          <cell r="CK126">
            <v>0</v>
          </cell>
          <cell r="CL126">
            <v>40472754.164337225</v>
          </cell>
          <cell r="CM126">
            <v>0</v>
          </cell>
          <cell r="CN126">
            <v>0</v>
          </cell>
          <cell r="CO126">
            <v>0</v>
          </cell>
          <cell r="CP126">
            <v>0</v>
          </cell>
          <cell r="CQ126">
            <v>0</v>
          </cell>
          <cell r="CR126">
            <v>0</v>
          </cell>
          <cell r="CS126">
            <v>0</v>
          </cell>
          <cell r="CT126">
            <v>0</v>
          </cell>
          <cell r="CU126">
            <v>0</v>
          </cell>
          <cell r="CV126">
            <v>0</v>
          </cell>
          <cell r="CW126">
            <v>0</v>
          </cell>
          <cell r="CX126">
            <v>40472754.164337225</v>
          </cell>
          <cell r="CY126">
            <v>0</v>
          </cell>
          <cell r="CZ126">
            <v>0</v>
          </cell>
          <cell r="DA126">
            <v>0</v>
          </cell>
          <cell r="DB126">
            <v>0</v>
          </cell>
          <cell r="DC126">
            <v>0</v>
          </cell>
          <cell r="DD126">
            <v>0</v>
          </cell>
          <cell r="DE126">
            <v>0</v>
          </cell>
          <cell r="DF126">
            <v>0</v>
          </cell>
          <cell r="DG126">
            <v>0</v>
          </cell>
          <cell r="DH126">
            <v>0</v>
          </cell>
          <cell r="DI126">
            <v>0</v>
          </cell>
          <cell r="DJ126">
            <v>210882796.69320986</v>
          </cell>
          <cell r="DK126">
            <v>0</v>
          </cell>
          <cell r="DL126">
            <v>0</v>
          </cell>
          <cell r="DM126">
            <v>0</v>
          </cell>
          <cell r="DN126">
            <v>0</v>
          </cell>
          <cell r="DO126">
            <v>0</v>
          </cell>
          <cell r="DP126">
            <v>0</v>
          </cell>
          <cell r="DQ126">
            <v>0</v>
          </cell>
          <cell r="DR126">
            <v>0</v>
          </cell>
          <cell r="DS126">
            <v>0</v>
          </cell>
          <cell r="DT126">
            <v>0</v>
          </cell>
          <cell r="DU126">
            <v>0</v>
          </cell>
          <cell r="DV126">
            <v>0</v>
          </cell>
          <cell r="DW126">
            <v>0</v>
          </cell>
          <cell r="DX126">
            <v>0</v>
          </cell>
          <cell r="DY126">
            <v>0</v>
          </cell>
          <cell r="EA126">
            <v>0</v>
          </cell>
          <cell r="EB126">
            <v>0</v>
          </cell>
          <cell r="EC126">
            <v>0</v>
          </cell>
          <cell r="ED126">
            <v>0.05</v>
          </cell>
          <cell r="EE126">
            <v>0.09</v>
          </cell>
          <cell r="EF126">
            <v>0.08</v>
          </cell>
          <cell r="EG126">
            <v>0.17</v>
          </cell>
          <cell r="EH126">
            <v>1</v>
          </cell>
          <cell r="EI126">
            <v>1</v>
          </cell>
          <cell r="EJ126">
            <v>1</v>
          </cell>
          <cell r="EK126">
            <v>1</v>
          </cell>
          <cell r="EL126">
            <v>0.05</v>
          </cell>
          <cell r="EM126">
            <v>0.14000000000000001</v>
          </cell>
          <cell r="EN126">
            <v>0.11</v>
          </cell>
          <cell r="EO126">
            <v>0.2</v>
          </cell>
          <cell r="EP126">
            <v>0</v>
          </cell>
          <cell r="EQ126">
            <v>0</v>
          </cell>
          <cell r="ER126">
            <v>0</v>
          </cell>
          <cell r="ES126">
            <v>0</v>
          </cell>
          <cell r="ET126">
            <v>0</v>
          </cell>
          <cell r="EU126">
            <v>0</v>
          </cell>
          <cell r="EV126">
            <v>0</v>
          </cell>
          <cell r="EW126">
            <v>0</v>
          </cell>
          <cell r="EX126">
            <v>1</v>
          </cell>
          <cell r="EY126">
            <v>1</v>
          </cell>
          <cell r="EZ126">
            <v>1</v>
          </cell>
          <cell r="FA126">
            <v>0</v>
          </cell>
          <cell r="FB126">
            <v>0</v>
          </cell>
          <cell r="FC126">
            <v>0</v>
          </cell>
          <cell r="FD126">
            <v>0</v>
          </cell>
          <cell r="FE126">
            <v>0</v>
          </cell>
          <cell r="FF126">
            <v>0</v>
          </cell>
          <cell r="FG126">
            <v>0</v>
          </cell>
          <cell r="FH126">
            <v>9117273.0397811141</v>
          </cell>
          <cell r="FI126">
            <v>3572216.9379247632</v>
          </cell>
          <cell r="FJ126">
            <v>18329565.575610366</v>
          </cell>
          <cell r="FK126">
            <v>0</v>
          </cell>
          <cell r="FL126">
            <v>0</v>
          </cell>
          <cell r="FM126">
            <v>0</v>
          </cell>
          <cell r="FN126">
            <v>0</v>
          </cell>
          <cell r="FO126">
            <v>0</v>
          </cell>
          <cell r="FP126">
            <v>0</v>
          </cell>
          <cell r="FQ126">
            <v>0</v>
          </cell>
          <cell r="FR126">
            <v>0</v>
          </cell>
          <cell r="FS126">
            <v>0</v>
          </cell>
          <cell r="FT126">
            <v>0</v>
          </cell>
          <cell r="FU126">
            <v>0</v>
          </cell>
          <cell r="FV126">
            <v>0</v>
          </cell>
          <cell r="FW126">
            <v>0</v>
          </cell>
          <cell r="FX126">
            <v>0</v>
          </cell>
          <cell r="FY126">
            <v>0</v>
          </cell>
          <cell r="FZ126">
            <v>0</v>
          </cell>
        </row>
        <row r="127">
          <cell r="A127" t="str">
            <v>F_IAM_NRF_ASS_EMP_FRCE_434</v>
          </cell>
          <cell r="B127">
            <v>0.1</v>
          </cell>
          <cell r="C127">
            <v>0.08</v>
          </cell>
          <cell r="D127">
            <v>0.15</v>
          </cell>
          <cell r="E127">
            <v>0.08</v>
          </cell>
          <cell r="F127">
            <v>0.15</v>
          </cell>
          <cell r="G127">
            <v>0.22</v>
          </cell>
          <cell r="H127">
            <v>7.0000000000000007E-2</v>
          </cell>
          <cell r="I127">
            <v>0.05</v>
          </cell>
          <cell r="J127">
            <v>0.13</v>
          </cell>
          <cell r="K127">
            <v>0.18</v>
          </cell>
          <cell r="L127">
            <v>0.17</v>
          </cell>
          <cell r="M127">
            <v>0.16</v>
          </cell>
          <cell r="N127">
            <v>0.8</v>
          </cell>
          <cell r="O127">
            <v>1</v>
          </cell>
          <cell r="P127">
            <v>1</v>
          </cell>
          <cell r="Q127">
            <v>0.8</v>
          </cell>
          <cell r="R127">
            <v>0.8</v>
          </cell>
          <cell r="S127">
            <v>1</v>
          </cell>
          <cell r="T127">
            <v>1</v>
          </cell>
          <cell r="U127">
            <v>1</v>
          </cell>
          <cell r="V127">
            <v>1</v>
          </cell>
          <cell r="W127">
            <v>1</v>
          </cell>
          <cell r="X127">
            <v>1</v>
          </cell>
          <cell r="Y127">
            <v>1</v>
          </cell>
          <cell r="Z127">
            <v>0.1</v>
          </cell>
          <cell r="AA127">
            <v>0.1</v>
          </cell>
          <cell r="AB127">
            <v>0.14000000000000001</v>
          </cell>
          <cell r="AC127">
            <v>0.11</v>
          </cell>
          <cell r="AD127">
            <v>0.11</v>
          </cell>
          <cell r="AE127">
            <v>0.19</v>
          </cell>
          <cell r="AF127">
            <v>0.09</v>
          </cell>
          <cell r="AG127">
            <v>0.11</v>
          </cell>
          <cell r="AH127">
            <v>0.15</v>
          </cell>
          <cell r="AI127">
            <v>0.2</v>
          </cell>
          <cell r="AJ127">
            <v>0.2</v>
          </cell>
          <cell r="AK127">
            <v>0.2</v>
          </cell>
          <cell r="AL127">
            <v>0</v>
          </cell>
          <cell r="AM127">
            <v>0</v>
          </cell>
          <cell r="AN127">
            <v>0</v>
          </cell>
          <cell r="AO127">
            <v>0</v>
          </cell>
          <cell r="AP127">
            <v>0</v>
          </cell>
          <cell r="AQ127">
            <v>0</v>
          </cell>
          <cell r="AR127">
            <v>0</v>
          </cell>
          <cell r="AS127">
            <v>0</v>
          </cell>
          <cell r="AT127">
            <v>59402298.899999999</v>
          </cell>
          <cell r="AU127">
            <v>0</v>
          </cell>
          <cell r="AV127">
            <v>0</v>
          </cell>
          <cell r="AW127">
            <v>0</v>
          </cell>
          <cell r="AX127">
            <v>0</v>
          </cell>
          <cell r="AY127">
            <v>0</v>
          </cell>
          <cell r="AZ127">
            <v>0</v>
          </cell>
          <cell r="BA127">
            <v>0</v>
          </cell>
          <cell r="BB127">
            <v>0</v>
          </cell>
          <cell r="BC127">
            <v>0</v>
          </cell>
          <cell r="BD127">
            <v>0</v>
          </cell>
          <cell r="BE127">
            <v>0</v>
          </cell>
          <cell r="BF127">
            <v>11641324.28310488</v>
          </cell>
          <cell r="BG127">
            <v>0</v>
          </cell>
          <cell r="BH127">
            <v>0</v>
          </cell>
          <cell r="BI127">
            <v>0</v>
          </cell>
          <cell r="BJ127">
            <v>0</v>
          </cell>
          <cell r="BK127">
            <v>0</v>
          </cell>
          <cell r="BL127">
            <v>0</v>
          </cell>
          <cell r="BM127">
            <v>0</v>
          </cell>
          <cell r="BN127">
            <v>0</v>
          </cell>
          <cell r="BO127">
            <v>0</v>
          </cell>
          <cell r="BP127">
            <v>0</v>
          </cell>
          <cell r="BQ127">
            <v>0</v>
          </cell>
          <cell r="BR127">
            <v>0</v>
          </cell>
          <cell r="BS127">
            <v>0</v>
          </cell>
          <cell r="BT127">
            <v>0</v>
          </cell>
          <cell r="BU127">
            <v>0</v>
          </cell>
          <cell r="BV127">
            <v>5789083.7220648816</v>
          </cell>
          <cell r="BW127">
            <v>5789083.7220648816</v>
          </cell>
          <cell r="BX127">
            <v>5789083.7220648816</v>
          </cell>
          <cell r="BY127">
            <v>6867050.0719253309</v>
          </cell>
          <cell r="BZ127">
            <v>4433572.2221830832</v>
          </cell>
          <cell r="CA127">
            <v>8419892.4995951634</v>
          </cell>
          <cell r="CB127">
            <v>0</v>
          </cell>
          <cell r="CC127">
            <v>5166818.4000000004</v>
          </cell>
          <cell r="CD127">
            <v>0</v>
          </cell>
          <cell r="CE127">
            <v>0</v>
          </cell>
          <cell r="CF127">
            <v>0</v>
          </cell>
          <cell r="CG127">
            <v>0</v>
          </cell>
          <cell r="CH127">
            <v>0</v>
          </cell>
          <cell r="CI127">
            <v>0</v>
          </cell>
          <cell r="CJ127">
            <v>0</v>
          </cell>
          <cell r="CK127">
            <v>0</v>
          </cell>
          <cell r="CL127">
            <v>6523086</v>
          </cell>
          <cell r="CM127">
            <v>0</v>
          </cell>
          <cell r="CN127">
            <v>0</v>
          </cell>
          <cell r="CO127">
            <v>0</v>
          </cell>
          <cell r="CP127">
            <v>0</v>
          </cell>
          <cell r="CQ127">
            <v>0</v>
          </cell>
          <cell r="CR127">
            <v>0</v>
          </cell>
          <cell r="CS127">
            <v>0</v>
          </cell>
          <cell r="CT127">
            <v>0</v>
          </cell>
          <cell r="CU127">
            <v>0</v>
          </cell>
          <cell r="CV127">
            <v>0</v>
          </cell>
          <cell r="CW127">
            <v>0</v>
          </cell>
          <cell r="CX127">
            <v>6523086</v>
          </cell>
          <cell r="CY127">
            <v>0</v>
          </cell>
          <cell r="CZ127">
            <v>0</v>
          </cell>
          <cell r="DA127">
            <v>0</v>
          </cell>
          <cell r="DB127">
            <v>0</v>
          </cell>
          <cell r="DC127">
            <v>0</v>
          </cell>
          <cell r="DD127">
            <v>0</v>
          </cell>
          <cell r="DE127">
            <v>0</v>
          </cell>
          <cell r="DF127">
            <v>0</v>
          </cell>
          <cell r="DG127">
            <v>0</v>
          </cell>
          <cell r="DH127">
            <v>0</v>
          </cell>
          <cell r="DI127">
            <v>0</v>
          </cell>
          <cell r="DJ127">
            <v>52879212.899999999</v>
          </cell>
          <cell r="DK127">
            <v>0</v>
          </cell>
          <cell r="DL127">
            <v>0</v>
          </cell>
          <cell r="DM127">
            <v>0</v>
          </cell>
          <cell r="DN127">
            <v>0</v>
          </cell>
          <cell r="DO127">
            <v>0</v>
          </cell>
          <cell r="DP127">
            <v>0</v>
          </cell>
          <cell r="DQ127">
            <v>0</v>
          </cell>
          <cell r="DR127">
            <v>0</v>
          </cell>
          <cell r="DS127">
            <v>0</v>
          </cell>
          <cell r="DT127">
            <v>0</v>
          </cell>
          <cell r="DU127">
            <v>0</v>
          </cell>
          <cell r="DV127">
            <v>0</v>
          </cell>
          <cell r="DW127">
            <v>0</v>
          </cell>
          <cell r="DX127">
            <v>0</v>
          </cell>
          <cell r="DY127">
            <v>0</v>
          </cell>
          <cell r="EA127">
            <v>0</v>
          </cell>
          <cell r="EB127">
            <v>0</v>
          </cell>
          <cell r="EC127">
            <v>0</v>
          </cell>
          <cell r="ED127">
            <v>0.05</v>
          </cell>
          <cell r="EE127">
            <v>0.09</v>
          </cell>
          <cell r="EF127">
            <v>0.08</v>
          </cell>
          <cell r="EG127">
            <v>0.17</v>
          </cell>
          <cell r="EH127">
            <v>1</v>
          </cell>
          <cell r="EI127">
            <v>1</v>
          </cell>
          <cell r="EJ127">
            <v>1</v>
          </cell>
          <cell r="EK127">
            <v>1</v>
          </cell>
          <cell r="EL127">
            <v>0.05</v>
          </cell>
          <cell r="EM127">
            <v>0.14000000000000001</v>
          </cell>
          <cell r="EN127">
            <v>0.11</v>
          </cell>
          <cell r="EO127">
            <v>0.2</v>
          </cell>
          <cell r="EP127">
            <v>0</v>
          </cell>
          <cell r="EQ127">
            <v>0</v>
          </cell>
          <cell r="ER127">
            <v>0</v>
          </cell>
          <cell r="ES127">
            <v>0</v>
          </cell>
          <cell r="ET127">
            <v>0</v>
          </cell>
          <cell r="EU127">
            <v>0</v>
          </cell>
          <cell r="EV127">
            <v>0</v>
          </cell>
          <cell r="EW127">
            <v>0</v>
          </cell>
          <cell r="EX127">
            <v>1</v>
          </cell>
          <cell r="EY127">
            <v>1</v>
          </cell>
          <cell r="EZ127">
            <v>1</v>
          </cell>
          <cell r="FA127">
            <v>0</v>
          </cell>
          <cell r="FB127">
            <v>0</v>
          </cell>
          <cell r="FC127">
            <v>0</v>
          </cell>
          <cell r="FD127">
            <v>0</v>
          </cell>
          <cell r="FE127">
            <v>0</v>
          </cell>
          <cell r="FF127">
            <v>0</v>
          </cell>
          <cell r="FG127">
            <v>0</v>
          </cell>
          <cell r="FH127">
            <v>10348427.176758563</v>
          </cell>
          <cell r="FI127">
            <v>4054592.4949709931</v>
          </cell>
          <cell r="FJ127">
            <v>20804704.840272982</v>
          </cell>
          <cell r="FK127">
            <v>0</v>
          </cell>
          <cell r="FL127">
            <v>0</v>
          </cell>
          <cell r="FM127">
            <v>0</v>
          </cell>
          <cell r="FN127">
            <v>0</v>
          </cell>
          <cell r="FO127">
            <v>0</v>
          </cell>
          <cell r="FP127">
            <v>0</v>
          </cell>
          <cell r="FQ127">
            <v>0</v>
          </cell>
          <cell r="FR127">
            <v>0</v>
          </cell>
          <cell r="FS127">
            <v>0</v>
          </cell>
          <cell r="FT127">
            <v>0</v>
          </cell>
          <cell r="FU127">
            <v>0</v>
          </cell>
          <cell r="FV127">
            <v>0</v>
          </cell>
          <cell r="FW127">
            <v>0</v>
          </cell>
          <cell r="FX127">
            <v>0</v>
          </cell>
          <cell r="FY127">
            <v>0</v>
          </cell>
          <cell r="FZ127">
            <v>0</v>
          </cell>
        </row>
        <row r="128">
          <cell r="A128" t="str">
            <v>F_IAM_NRF_ASS_EMP_INTR_401</v>
          </cell>
          <cell r="B128">
            <v>0.1</v>
          </cell>
          <cell r="C128">
            <v>0.08</v>
          </cell>
          <cell r="D128">
            <v>0.15</v>
          </cell>
          <cell r="E128">
            <v>0.08</v>
          </cell>
          <cell r="F128">
            <v>0.15</v>
          </cell>
          <cell r="G128">
            <v>0.22</v>
          </cell>
          <cell r="H128">
            <v>7.0000000000000007E-2</v>
          </cell>
          <cell r="I128">
            <v>0.05</v>
          </cell>
          <cell r="J128">
            <v>0.13</v>
          </cell>
          <cell r="K128">
            <v>0.18</v>
          </cell>
          <cell r="L128">
            <v>0.17</v>
          </cell>
          <cell r="M128">
            <v>0.16</v>
          </cell>
          <cell r="N128">
            <v>0.8</v>
          </cell>
          <cell r="O128">
            <v>1</v>
          </cell>
          <cell r="P128">
            <v>1</v>
          </cell>
          <cell r="Q128">
            <v>0.8</v>
          </cell>
          <cell r="R128">
            <v>0.8</v>
          </cell>
          <cell r="S128">
            <v>1</v>
          </cell>
          <cell r="T128">
            <v>1</v>
          </cell>
          <cell r="U128">
            <v>1</v>
          </cell>
          <cell r="V128">
            <v>1</v>
          </cell>
          <cell r="W128">
            <v>1</v>
          </cell>
          <cell r="X128">
            <v>1</v>
          </cell>
          <cell r="Y128">
            <v>1</v>
          </cell>
          <cell r="Z128">
            <v>0.1</v>
          </cell>
          <cell r="AA128">
            <v>0.1</v>
          </cell>
          <cell r="AB128">
            <v>0.14000000000000001</v>
          </cell>
          <cell r="AC128">
            <v>0.11</v>
          </cell>
          <cell r="AD128">
            <v>0.11</v>
          </cell>
          <cell r="AE128">
            <v>0.19</v>
          </cell>
          <cell r="AF128">
            <v>0.09</v>
          </cell>
          <cell r="AG128">
            <v>0.11</v>
          </cell>
          <cell r="AH128">
            <v>0.15</v>
          </cell>
          <cell r="AI128">
            <v>0.2</v>
          </cell>
          <cell r="AJ128">
            <v>0.2</v>
          </cell>
          <cell r="AK128">
            <v>0.2</v>
          </cell>
          <cell r="AL128">
            <v>0</v>
          </cell>
          <cell r="AM128">
            <v>0</v>
          </cell>
          <cell r="AN128">
            <v>0</v>
          </cell>
          <cell r="AO128">
            <v>0</v>
          </cell>
          <cell r="AP128">
            <v>0</v>
          </cell>
          <cell r="AQ128">
            <v>0</v>
          </cell>
          <cell r="AR128">
            <v>0</v>
          </cell>
          <cell r="AS128">
            <v>0</v>
          </cell>
          <cell r="AT128">
            <v>0</v>
          </cell>
          <cell r="AU128">
            <v>0</v>
          </cell>
          <cell r="AV128">
            <v>0</v>
          </cell>
          <cell r="AW128">
            <v>0</v>
          </cell>
          <cell r="AX128">
            <v>0</v>
          </cell>
          <cell r="AY128">
            <v>0</v>
          </cell>
          <cell r="AZ128">
            <v>0</v>
          </cell>
          <cell r="BA128">
            <v>0</v>
          </cell>
          <cell r="BB128">
            <v>0</v>
          </cell>
          <cell r="BC128">
            <v>0</v>
          </cell>
          <cell r="BD128">
            <v>0</v>
          </cell>
          <cell r="BE128">
            <v>0</v>
          </cell>
          <cell r="BF128">
            <v>0</v>
          </cell>
          <cell r="BG128">
            <v>0</v>
          </cell>
          <cell r="BH128">
            <v>0</v>
          </cell>
          <cell r="BI128">
            <v>0</v>
          </cell>
          <cell r="BJ128">
            <v>0</v>
          </cell>
          <cell r="BK128">
            <v>0</v>
          </cell>
          <cell r="BL128">
            <v>0</v>
          </cell>
          <cell r="BM128">
            <v>0</v>
          </cell>
          <cell r="BN128">
            <v>0</v>
          </cell>
          <cell r="BO128">
            <v>0</v>
          </cell>
          <cell r="BP128">
            <v>0</v>
          </cell>
          <cell r="BQ128">
            <v>0</v>
          </cell>
          <cell r="BR128">
            <v>0</v>
          </cell>
          <cell r="BS128">
            <v>0</v>
          </cell>
          <cell r="BT128">
            <v>0</v>
          </cell>
          <cell r="BU128">
            <v>0</v>
          </cell>
          <cell r="BV128">
            <v>-486042.86</v>
          </cell>
          <cell r="BW128">
            <v>-486042.86</v>
          </cell>
          <cell r="BX128">
            <v>-486042.86</v>
          </cell>
          <cell r="BY128">
            <v>-486042.86</v>
          </cell>
          <cell r="BZ128">
            <v>-486042.86</v>
          </cell>
          <cell r="CA128">
            <v>-486042.86</v>
          </cell>
          <cell r="CB128">
            <v>0</v>
          </cell>
          <cell r="CC128">
            <v>0</v>
          </cell>
          <cell r="CD128">
            <v>0</v>
          </cell>
          <cell r="CE128">
            <v>0</v>
          </cell>
          <cell r="CF128">
            <v>0</v>
          </cell>
          <cell r="CG128">
            <v>0</v>
          </cell>
          <cell r="CH128">
            <v>0</v>
          </cell>
          <cell r="CI128">
            <v>0</v>
          </cell>
          <cell r="CJ128">
            <v>0</v>
          </cell>
          <cell r="CK128">
            <v>0</v>
          </cell>
          <cell r="CL128">
            <v>0</v>
          </cell>
          <cell r="CM128">
            <v>0</v>
          </cell>
          <cell r="CN128">
            <v>0</v>
          </cell>
          <cell r="CO128">
            <v>0</v>
          </cell>
          <cell r="CP128">
            <v>0</v>
          </cell>
          <cell r="CQ128">
            <v>0</v>
          </cell>
          <cell r="CR128">
            <v>0</v>
          </cell>
          <cell r="CS128">
            <v>0</v>
          </cell>
          <cell r="CT128">
            <v>0</v>
          </cell>
          <cell r="CU128">
            <v>0</v>
          </cell>
          <cell r="CV128">
            <v>0</v>
          </cell>
          <cell r="CW128">
            <v>0</v>
          </cell>
          <cell r="CX128">
            <v>0</v>
          </cell>
          <cell r="CY128">
            <v>0</v>
          </cell>
          <cell r="CZ128">
            <v>0</v>
          </cell>
          <cell r="DA128">
            <v>0</v>
          </cell>
          <cell r="DB128">
            <v>0</v>
          </cell>
          <cell r="DC128">
            <v>0</v>
          </cell>
          <cell r="DD128">
            <v>0</v>
          </cell>
          <cell r="DE128">
            <v>0</v>
          </cell>
          <cell r="DF128">
            <v>0</v>
          </cell>
          <cell r="DG128">
            <v>0</v>
          </cell>
          <cell r="DH128">
            <v>0</v>
          </cell>
          <cell r="DI128">
            <v>0</v>
          </cell>
          <cell r="DJ128">
            <v>0</v>
          </cell>
          <cell r="DK128">
            <v>0</v>
          </cell>
          <cell r="DL128">
            <v>0</v>
          </cell>
          <cell r="DM128">
            <v>0</v>
          </cell>
          <cell r="DN128">
            <v>0</v>
          </cell>
          <cell r="DO128">
            <v>0</v>
          </cell>
          <cell r="DP128">
            <v>0</v>
          </cell>
          <cell r="DQ128">
            <v>0</v>
          </cell>
          <cell r="DR128">
            <v>0</v>
          </cell>
          <cell r="DS128">
            <v>0</v>
          </cell>
          <cell r="DT128">
            <v>0</v>
          </cell>
          <cell r="DU128">
            <v>0</v>
          </cell>
          <cell r="DV128">
            <v>0</v>
          </cell>
          <cell r="DW128">
            <v>0</v>
          </cell>
          <cell r="DX128">
            <v>0</v>
          </cell>
          <cell r="DY128">
            <v>0</v>
          </cell>
          <cell r="EA128">
            <v>0</v>
          </cell>
          <cell r="EB128">
            <v>0</v>
          </cell>
          <cell r="EC128">
            <v>0</v>
          </cell>
          <cell r="ED128">
            <v>0.05</v>
          </cell>
          <cell r="EE128">
            <v>0.09</v>
          </cell>
          <cell r="EF128">
            <v>0.08</v>
          </cell>
          <cell r="EG128">
            <v>0.17</v>
          </cell>
          <cell r="EH128">
            <v>1</v>
          </cell>
          <cell r="EI128">
            <v>1</v>
          </cell>
          <cell r="EJ128">
            <v>1</v>
          </cell>
          <cell r="EK128">
            <v>1</v>
          </cell>
          <cell r="EL128">
            <v>0.05</v>
          </cell>
          <cell r="EM128">
            <v>0.14000000000000001</v>
          </cell>
          <cell r="EN128">
            <v>0.11</v>
          </cell>
          <cell r="EO128">
            <v>0.2</v>
          </cell>
          <cell r="EP128">
            <v>0</v>
          </cell>
          <cell r="EQ128">
            <v>0</v>
          </cell>
          <cell r="ER128">
            <v>0</v>
          </cell>
          <cell r="ES128">
            <v>0</v>
          </cell>
          <cell r="ET128">
            <v>0</v>
          </cell>
          <cell r="EU128">
            <v>0</v>
          </cell>
          <cell r="EV128">
            <v>0</v>
          </cell>
          <cell r="EW128">
            <v>0</v>
          </cell>
          <cell r="EX128">
            <v>1</v>
          </cell>
          <cell r="EY128">
            <v>1</v>
          </cell>
          <cell r="EZ128">
            <v>1</v>
          </cell>
          <cell r="FA128">
            <v>0</v>
          </cell>
          <cell r="FB128">
            <v>0</v>
          </cell>
          <cell r="FC128">
            <v>0</v>
          </cell>
          <cell r="FD128">
            <v>0</v>
          </cell>
          <cell r="FE128">
            <v>0</v>
          </cell>
          <cell r="FF128">
            <v>0</v>
          </cell>
          <cell r="FG128">
            <v>0</v>
          </cell>
          <cell r="FH128">
            <v>0</v>
          </cell>
          <cell r="FI128">
            <v>0</v>
          </cell>
          <cell r="FJ128">
            <v>0</v>
          </cell>
          <cell r="FK128">
            <v>0</v>
          </cell>
          <cell r="FL128">
            <v>0</v>
          </cell>
          <cell r="FM128">
            <v>0</v>
          </cell>
          <cell r="FN128">
            <v>0</v>
          </cell>
          <cell r="FO128">
            <v>0</v>
          </cell>
          <cell r="FP128">
            <v>0</v>
          </cell>
          <cell r="FQ128">
            <v>0</v>
          </cell>
          <cell r="FR128">
            <v>0</v>
          </cell>
          <cell r="FS128">
            <v>0</v>
          </cell>
          <cell r="FT128">
            <v>0</v>
          </cell>
          <cell r="FU128">
            <v>0</v>
          </cell>
          <cell r="FV128">
            <v>0</v>
          </cell>
          <cell r="FW128">
            <v>0</v>
          </cell>
          <cell r="FX128">
            <v>0</v>
          </cell>
          <cell r="FY128">
            <v>0</v>
          </cell>
          <cell r="FZ128">
            <v>0</v>
          </cell>
        </row>
        <row r="129">
          <cell r="A129" t="str">
            <v>F_IAM_NRF_CPT_PRP_FRCE_401</v>
          </cell>
          <cell r="B129">
            <v>0.1</v>
          </cell>
          <cell r="C129">
            <v>0.08</v>
          </cell>
          <cell r="D129">
            <v>0.15</v>
          </cell>
          <cell r="E129">
            <v>0.08</v>
          </cell>
          <cell r="F129">
            <v>0.15</v>
          </cell>
          <cell r="G129">
            <v>0.22</v>
          </cell>
          <cell r="H129">
            <v>7.0000000000000007E-2</v>
          </cell>
          <cell r="I129">
            <v>0.05</v>
          </cell>
          <cell r="J129">
            <v>0.13</v>
          </cell>
          <cell r="K129">
            <v>0.18</v>
          </cell>
          <cell r="L129">
            <v>0.17</v>
          </cell>
          <cell r="M129">
            <v>0.16</v>
          </cell>
          <cell r="N129">
            <v>0.8</v>
          </cell>
          <cell r="O129">
            <v>1</v>
          </cell>
          <cell r="P129">
            <v>1</v>
          </cell>
          <cell r="Q129">
            <v>0.8</v>
          </cell>
          <cell r="R129">
            <v>0.8</v>
          </cell>
          <cell r="S129">
            <v>1</v>
          </cell>
          <cell r="T129">
            <v>1</v>
          </cell>
          <cell r="U129">
            <v>1</v>
          </cell>
          <cell r="V129">
            <v>1</v>
          </cell>
          <cell r="W129">
            <v>1</v>
          </cell>
          <cell r="X129">
            <v>1</v>
          </cell>
          <cell r="Y129">
            <v>1</v>
          </cell>
          <cell r="Z129">
            <v>0.1</v>
          </cell>
          <cell r="AA129">
            <v>0.1</v>
          </cell>
          <cell r="AB129">
            <v>0.14000000000000001</v>
          </cell>
          <cell r="AC129">
            <v>0.11</v>
          </cell>
          <cell r="AD129">
            <v>0.11</v>
          </cell>
          <cell r="AE129">
            <v>0.19</v>
          </cell>
          <cell r="AF129">
            <v>0.09</v>
          </cell>
          <cell r="AG129">
            <v>0.11</v>
          </cell>
          <cell r="AH129">
            <v>0.15</v>
          </cell>
          <cell r="AI129">
            <v>0.2</v>
          </cell>
          <cell r="AJ129">
            <v>0.2</v>
          </cell>
          <cell r="AK129">
            <v>0.2</v>
          </cell>
          <cell r="AL129">
            <v>0</v>
          </cell>
          <cell r="AM129">
            <v>0</v>
          </cell>
          <cell r="AN129">
            <v>0</v>
          </cell>
          <cell r="AO129">
            <v>0</v>
          </cell>
          <cell r="AP129">
            <v>0</v>
          </cell>
          <cell r="AQ129">
            <v>0</v>
          </cell>
          <cell r="AR129">
            <v>0</v>
          </cell>
          <cell r="AS129">
            <v>0</v>
          </cell>
          <cell r="AT129">
            <v>0</v>
          </cell>
          <cell r="AU129">
            <v>0</v>
          </cell>
          <cell r="AV129">
            <v>0</v>
          </cell>
          <cell r="AW129">
            <v>0</v>
          </cell>
          <cell r="AX129">
            <v>0</v>
          </cell>
          <cell r="AY129">
            <v>0</v>
          </cell>
          <cell r="AZ129">
            <v>0</v>
          </cell>
          <cell r="BA129">
            <v>0</v>
          </cell>
          <cell r="BB129">
            <v>0</v>
          </cell>
          <cell r="BC129">
            <v>0</v>
          </cell>
          <cell r="BD129">
            <v>0</v>
          </cell>
          <cell r="BE129">
            <v>0</v>
          </cell>
          <cell r="BF129">
            <v>0</v>
          </cell>
          <cell r="BG129">
            <v>0</v>
          </cell>
          <cell r="BH129">
            <v>0</v>
          </cell>
          <cell r="BI129">
            <v>0</v>
          </cell>
          <cell r="BJ129">
            <v>0</v>
          </cell>
          <cell r="BK129">
            <v>0</v>
          </cell>
          <cell r="BL129">
            <v>0</v>
          </cell>
          <cell r="BM129">
            <v>0</v>
          </cell>
          <cell r="BN129">
            <v>0</v>
          </cell>
          <cell r="BO129">
            <v>0</v>
          </cell>
          <cell r="BP129">
            <v>0</v>
          </cell>
          <cell r="BQ129">
            <v>0</v>
          </cell>
          <cell r="BR129">
            <v>0</v>
          </cell>
          <cell r="BS129">
            <v>0</v>
          </cell>
          <cell r="BT129">
            <v>0</v>
          </cell>
          <cell r="BU129">
            <v>0</v>
          </cell>
          <cell r="BV129">
            <v>0</v>
          </cell>
          <cell r="BW129">
            <v>0</v>
          </cell>
          <cell r="BX129">
            <v>0</v>
          </cell>
          <cell r="BY129">
            <v>0</v>
          </cell>
          <cell r="BZ129">
            <v>0</v>
          </cell>
          <cell r="CA129">
            <v>0</v>
          </cell>
          <cell r="CB129">
            <v>0</v>
          </cell>
          <cell r="CC129">
            <v>0</v>
          </cell>
          <cell r="CD129">
            <v>0</v>
          </cell>
          <cell r="CE129">
            <v>0</v>
          </cell>
          <cell r="CF129">
            <v>0</v>
          </cell>
          <cell r="CG129">
            <v>0</v>
          </cell>
          <cell r="CH129">
            <v>0</v>
          </cell>
          <cell r="CI129">
            <v>0</v>
          </cell>
          <cell r="CJ129">
            <v>0</v>
          </cell>
          <cell r="CK129">
            <v>0</v>
          </cell>
          <cell r="CL129">
            <v>0</v>
          </cell>
          <cell r="CM129">
            <v>0</v>
          </cell>
          <cell r="CN129">
            <v>0</v>
          </cell>
          <cell r="CO129">
            <v>0</v>
          </cell>
          <cell r="CP129">
            <v>0</v>
          </cell>
          <cell r="CQ129">
            <v>0</v>
          </cell>
          <cell r="CR129">
            <v>0</v>
          </cell>
          <cell r="CS129">
            <v>0</v>
          </cell>
          <cell r="CT129">
            <v>0</v>
          </cell>
          <cell r="CU129">
            <v>0</v>
          </cell>
          <cell r="CV129">
            <v>0</v>
          </cell>
          <cell r="CW129">
            <v>0</v>
          </cell>
          <cell r="CX129">
            <v>0</v>
          </cell>
          <cell r="CY129">
            <v>0</v>
          </cell>
          <cell r="CZ129">
            <v>0</v>
          </cell>
          <cell r="DA129">
            <v>0</v>
          </cell>
          <cell r="DB129">
            <v>0</v>
          </cell>
          <cell r="DC129">
            <v>0</v>
          </cell>
          <cell r="DD129">
            <v>0</v>
          </cell>
          <cell r="DE129">
            <v>0</v>
          </cell>
          <cell r="DF129">
            <v>0</v>
          </cell>
          <cell r="DG129">
            <v>0</v>
          </cell>
          <cell r="DH129">
            <v>0</v>
          </cell>
          <cell r="DI129">
            <v>0</v>
          </cell>
          <cell r="DJ129">
            <v>0</v>
          </cell>
          <cell r="DK129">
            <v>0</v>
          </cell>
          <cell r="DL129">
            <v>0</v>
          </cell>
          <cell r="DM129">
            <v>0</v>
          </cell>
          <cell r="DN129">
            <v>0</v>
          </cell>
          <cell r="DO129">
            <v>0</v>
          </cell>
          <cell r="DP129">
            <v>0</v>
          </cell>
          <cell r="DQ129">
            <v>0</v>
          </cell>
          <cell r="DR129">
            <v>0</v>
          </cell>
          <cell r="DS129">
            <v>0</v>
          </cell>
          <cell r="DT129">
            <v>0</v>
          </cell>
          <cell r="DU129">
            <v>0</v>
          </cell>
          <cell r="DV129">
            <v>0</v>
          </cell>
          <cell r="DW129">
            <v>0</v>
          </cell>
          <cell r="DX129">
            <v>0</v>
          </cell>
          <cell r="DY129">
            <v>0</v>
          </cell>
          <cell r="EA129">
            <v>0</v>
          </cell>
          <cell r="EB129">
            <v>0</v>
          </cell>
          <cell r="EC129">
            <v>0</v>
          </cell>
          <cell r="ED129">
            <v>0.05</v>
          </cell>
          <cell r="EE129">
            <v>0.09</v>
          </cell>
          <cell r="EF129">
            <v>0.08</v>
          </cell>
          <cell r="EG129">
            <v>0.17</v>
          </cell>
          <cell r="EH129">
            <v>1</v>
          </cell>
          <cell r="EI129">
            <v>1</v>
          </cell>
          <cell r="EJ129">
            <v>1</v>
          </cell>
          <cell r="EK129">
            <v>1</v>
          </cell>
          <cell r="EL129">
            <v>0.05</v>
          </cell>
          <cell r="EM129">
            <v>0.14000000000000001</v>
          </cell>
          <cell r="EN129">
            <v>0.11</v>
          </cell>
          <cell r="EO129">
            <v>0.2</v>
          </cell>
          <cell r="EP129">
            <v>0</v>
          </cell>
          <cell r="EQ129">
            <v>0</v>
          </cell>
          <cell r="ER129">
            <v>0</v>
          </cell>
          <cell r="ES129">
            <v>0</v>
          </cell>
          <cell r="ET129">
            <v>0</v>
          </cell>
          <cell r="EU129">
            <v>0</v>
          </cell>
          <cell r="EV129">
            <v>0</v>
          </cell>
          <cell r="EW129">
            <v>0</v>
          </cell>
          <cell r="EX129">
            <v>1</v>
          </cell>
          <cell r="EY129">
            <v>1</v>
          </cell>
          <cell r="EZ129">
            <v>1</v>
          </cell>
          <cell r="FA129">
            <v>0</v>
          </cell>
          <cell r="FB129">
            <v>0</v>
          </cell>
          <cell r="FC129">
            <v>0</v>
          </cell>
          <cell r="FD129">
            <v>0</v>
          </cell>
          <cell r="FE129">
            <v>0</v>
          </cell>
          <cell r="FF129">
            <v>0</v>
          </cell>
          <cell r="FG129">
            <v>0</v>
          </cell>
          <cell r="FH129">
            <v>0</v>
          </cell>
          <cell r="FI129">
            <v>0</v>
          </cell>
          <cell r="FJ129">
            <v>0</v>
          </cell>
          <cell r="FK129">
            <v>0</v>
          </cell>
          <cell r="FL129">
            <v>0</v>
          </cell>
          <cell r="FM129">
            <v>0</v>
          </cell>
          <cell r="FN129">
            <v>0</v>
          </cell>
          <cell r="FO129">
            <v>0</v>
          </cell>
          <cell r="FP129">
            <v>0</v>
          </cell>
          <cell r="FQ129">
            <v>0</v>
          </cell>
          <cell r="FR129">
            <v>0</v>
          </cell>
          <cell r="FS129">
            <v>0</v>
          </cell>
          <cell r="FT129">
            <v>0</v>
          </cell>
          <cell r="FU129">
            <v>0</v>
          </cell>
          <cell r="FV129">
            <v>0</v>
          </cell>
          <cell r="FW129">
            <v>0</v>
          </cell>
          <cell r="FX129">
            <v>0</v>
          </cell>
          <cell r="FY129">
            <v>0</v>
          </cell>
          <cell r="FZ129">
            <v>0</v>
          </cell>
        </row>
        <row r="130">
          <cell r="A130" t="str">
            <v>F_IAM_NRF_xxxxxxx_FRCE_434</v>
          </cell>
          <cell r="B130">
            <v>0.1</v>
          </cell>
          <cell r="C130">
            <v>0.08</v>
          </cell>
          <cell r="D130">
            <v>0.15</v>
          </cell>
          <cell r="E130">
            <v>0.08</v>
          </cell>
          <cell r="F130">
            <v>0.15</v>
          </cell>
          <cell r="G130">
            <v>0.22</v>
          </cell>
          <cell r="H130">
            <v>7.0000000000000007E-2</v>
          </cell>
          <cell r="I130">
            <v>0.05</v>
          </cell>
          <cell r="J130">
            <v>0.13</v>
          </cell>
          <cell r="K130">
            <v>0.18</v>
          </cell>
          <cell r="L130">
            <v>0.17</v>
          </cell>
          <cell r="M130">
            <v>0.16</v>
          </cell>
          <cell r="N130">
            <v>0.8</v>
          </cell>
          <cell r="O130">
            <v>1</v>
          </cell>
          <cell r="P130">
            <v>1</v>
          </cell>
          <cell r="Q130">
            <v>0.8</v>
          </cell>
          <cell r="R130">
            <v>0.8</v>
          </cell>
          <cell r="S130">
            <v>1</v>
          </cell>
          <cell r="T130">
            <v>1</v>
          </cell>
          <cell r="U130">
            <v>1</v>
          </cell>
          <cell r="V130">
            <v>1</v>
          </cell>
          <cell r="W130">
            <v>1</v>
          </cell>
          <cell r="X130">
            <v>1</v>
          </cell>
          <cell r="Y130">
            <v>1</v>
          </cell>
          <cell r="Z130">
            <v>0.1</v>
          </cell>
          <cell r="AA130">
            <v>0.1</v>
          </cell>
          <cell r="AB130">
            <v>0.14000000000000001</v>
          </cell>
          <cell r="AC130">
            <v>0.11</v>
          </cell>
          <cell r="AD130">
            <v>0.11</v>
          </cell>
          <cell r="AE130">
            <v>0.19</v>
          </cell>
          <cell r="AF130">
            <v>0.09</v>
          </cell>
          <cell r="AG130">
            <v>0.11</v>
          </cell>
          <cell r="AH130">
            <v>0.15</v>
          </cell>
          <cell r="AI130">
            <v>0.2</v>
          </cell>
          <cell r="AJ130">
            <v>0.2</v>
          </cell>
          <cell r="AK130">
            <v>0.2</v>
          </cell>
          <cell r="AL130">
            <v>0</v>
          </cell>
          <cell r="AM130">
            <v>0</v>
          </cell>
          <cell r="AN130">
            <v>0</v>
          </cell>
          <cell r="AO130">
            <v>0</v>
          </cell>
          <cell r="AP130">
            <v>0</v>
          </cell>
          <cell r="AQ130">
            <v>0</v>
          </cell>
          <cell r="AR130">
            <v>0</v>
          </cell>
          <cell r="AS130">
            <v>0</v>
          </cell>
          <cell r="AT130">
            <v>0</v>
          </cell>
          <cell r="AU130">
            <v>0</v>
          </cell>
          <cell r="AV130">
            <v>0</v>
          </cell>
          <cell r="AW130">
            <v>0</v>
          </cell>
          <cell r="AX130">
            <v>0</v>
          </cell>
          <cell r="AY130">
            <v>0</v>
          </cell>
          <cell r="AZ130">
            <v>0</v>
          </cell>
          <cell r="BA130">
            <v>0</v>
          </cell>
          <cell r="BB130">
            <v>0</v>
          </cell>
          <cell r="BC130">
            <v>0</v>
          </cell>
          <cell r="BD130">
            <v>0</v>
          </cell>
          <cell r="BE130">
            <v>0</v>
          </cell>
          <cell r="BF130">
            <v>0</v>
          </cell>
          <cell r="BG130">
            <v>0</v>
          </cell>
          <cell r="BH130">
            <v>0</v>
          </cell>
          <cell r="BI130">
            <v>0</v>
          </cell>
          <cell r="BJ130">
            <v>0</v>
          </cell>
          <cell r="BK130">
            <v>0</v>
          </cell>
          <cell r="BL130">
            <v>0</v>
          </cell>
          <cell r="BM130">
            <v>0</v>
          </cell>
          <cell r="BN130">
            <v>0</v>
          </cell>
          <cell r="BO130">
            <v>0</v>
          </cell>
          <cell r="BP130">
            <v>0</v>
          </cell>
          <cell r="BQ130">
            <v>0</v>
          </cell>
          <cell r="BR130">
            <v>0</v>
          </cell>
          <cell r="BS130">
            <v>0</v>
          </cell>
          <cell r="BT130">
            <v>0</v>
          </cell>
          <cell r="BU130">
            <v>0</v>
          </cell>
          <cell r="BV130">
            <v>0</v>
          </cell>
          <cell r="BW130">
            <v>0</v>
          </cell>
          <cell r="BX130">
            <v>0</v>
          </cell>
          <cell r="BY130">
            <v>0</v>
          </cell>
          <cell r="BZ130">
            <v>0</v>
          </cell>
          <cell r="CA130">
            <v>0</v>
          </cell>
          <cell r="CB130">
            <v>0</v>
          </cell>
          <cell r="CC130">
            <v>0</v>
          </cell>
          <cell r="CD130">
            <v>0</v>
          </cell>
          <cell r="CE130">
            <v>0</v>
          </cell>
          <cell r="CF130">
            <v>0</v>
          </cell>
          <cell r="CG130">
            <v>0</v>
          </cell>
          <cell r="CH130">
            <v>0</v>
          </cell>
          <cell r="CI130">
            <v>0</v>
          </cell>
          <cell r="CJ130">
            <v>0</v>
          </cell>
          <cell r="CK130">
            <v>0</v>
          </cell>
          <cell r="CL130">
            <v>0</v>
          </cell>
          <cell r="CM130">
            <v>0</v>
          </cell>
          <cell r="CN130">
            <v>0</v>
          </cell>
          <cell r="CO130">
            <v>0</v>
          </cell>
          <cell r="CP130">
            <v>0</v>
          </cell>
          <cell r="CQ130">
            <v>0</v>
          </cell>
          <cell r="CR130">
            <v>0</v>
          </cell>
          <cell r="CS130">
            <v>0</v>
          </cell>
          <cell r="CT130">
            <v>0</v>
          </cell>
          <cell r="CU130">
            <v>0</v>
          </cell>
          <cell r="CV130">
            <v>0</v>
          </cell>
          <cell r="CW130">
            <v>0</v>
          </cell>
          <cell r="CX130">
            <v>0</v>
          </cell>
          <cell r="CY130">
            <v>0</v>
          </cell>
          <cell r="CZ130">
            <v>0</v>
          </cell>
          <cell r="DA130">
            <v>0</v>
          </cell>
          <cell r="DB130">
            <v>0</v>
          </cell>
          <cell r="DC130">
            <v>0</v>
          </cell>
          <cell r="DD130">
            <v>0</v>
          </cell>
          <cell r="DE130">
            <v>0</v>
          </cell>
          <cell r="DF130">
            <v>0</v>
          </cell>
          <cell r="DG130">
            <v>0</v>
          </cell>
          <cell r="DH130">
            <v>0</v>
          </cell>
          <cell r="DI130">
            <v>0</v>
          </cell>
          <cell r="DJ130">
            <v>0</v>
          </cell>
          <cell r="DK130">
            <v>0</v>
          </cell>
          <cell r="DL130">
            <v>0</v>
          </cell>
          <cell r="DM130">
            <v>0</v>
          </cell>
          <cell r="DN130">
            <v>0</v>
          </cell>
          <cell r="DO130">
            <v>0</v>
          </cell>
          <cell r="DP130">
            <v>0</v>
          </cell>
          <cell r="DQ130">
            <v>0</v>
          </cell>
          <cell r="DR130">
            <v>0</v>
          </cell>
          <cell r="DS130">
            <v>0</v>
          </cell>
          <cell r="DT130">
            <v>0</v>
          </cell>
          <cell r="DU130">
            <v>0</v>
          </cell>
          <cell r="DV130">
            <v>0</v>
          </cell>
          <cell r="DW130">
            <v>0</v>
          </cell>
          <cell r="DX130">
            <v>0</v>
          </cell>
          <cell r="DY130">
            <v>0</v>
          </cell>
          <cell r="EA130">
            <v>0</v>
          </cell>
          <cell r="EB130">
            <v>0</v>
          </cell>
          <cell r="EC130">
            <v>0</v>
          </cell>
          <cell r="ED130">
            <v>0.05</v>
          </cell>
          <cell r="EE130">
            <v>0.09</v>
          </cell>
          <cell r="EF130">
            <v>0.08</v>
          </cell>
          <cell r="EG130">
            <v>0.17</v>
          </cell>
          <cell r="EH130">
            <v>1</v>
          </cell>
          <cell r="EI130">
            <v>1</v>
          </cell>
          <cell r="EJ130">
            <v>1</v>
          </cell>
          <cell r="EK130">
            <v>1</v>
          </cell>
          <cell r="EL130">
            <v>0.05</v>
          </cell>
          <cell r="EM130">
            <v>0.14000000000000001</v>
          </cell>
          <cell r="EN130">
            <v>0.11</v>
          </cell>
          <cell r="EO130">
            <v>0.2</v>
          </cell>
          <cell r="EP130">
            <v>0</v>
          </cell>
          <cell r="EQ130">
            <v>0</v>
          </cell>
          <cell r="ER130">
            <v>0</v>
          </cell>
          <cell r="ES130">
            <v>0</v>
          </cell>
          <cell r="ET130">
            <v>0</v>
          </cell>
          <cell r="EU130">
            <v>0</v>
          </cell>
          <cell r="EV130">
            <v>0</v>
          </cell>
          <cell r="EW130">
            <v>0</v>
          </cell>
          <cell r="EX130">
            <v>1</v>
          </cell>
          <cell r="EY130">
            <v>1</v>
          </cell>
          <cell r="EZ130">
            <v>1</v>
          </cell>
          <cell r="FA130">
            <v>0</v>
          </cell>
          <cell r="FB130">
            <v>0</v>
          </cell>
          <cell r="FC130">
            <v>0</v>
          </cell>
          <cell r="FD130">
            <v>0</v>
          </cell>
          <cell r="FE130">
            <v>0</v>
          </cell>
          <cell r="FF130">
            <v>0</v>
          </cell>
          <cell r="FG130">
            <v>0</v>
          </cell>
          <cell r="FH130">
            <v>0</v>
          </cell>
          <cell r="FI130">
            <v>0</v>
          </cell>
          <cell r="FJ130">
            <v>0</v>
          </cell>
          <cell r="FK130">
            <v>0</v>
          </cell>
          <cell r="FL130">
            <v>0</v>
          </cell>
          <cell r="FM130">
            <v>0</v>
          </cell>
          <cell r="FN130">
            <v>0</v>
          </cell>
          <cell r="FO130">
            <v>0</v>
          </cell>
          <cell r="FP130">
            <v>0</v>
          </cell>
          <cell r="FQ130">
            <v>0</v>
          </cell>
          <cell r="FR130">
            <v>0</v>
          </cell>
          <cell r="FS130">
            <v>0</v>
          </cell>
          <cell r="FT130">
            <v>0</v>
          </cell>
          <cell r="FU130">
            <v>0</v>
          </cell>
          <cell r="FV130">
            <v>0</v>
          </cell>
          <cell r="FW130">
            <v>0</v>
          </cell>
          <cell r="FX130">
            <v>0</v>
          </cell>
          <cell r="FY130">
            <v>0</v>
          </cell>
          <cell r="FZ130">
            <v>0</v>
          </cell>
        </row>
        <row r="131">
          <cell r="A131" t="str">
            <v>F_CAU_NRF_ASS_EMP_FRCE_AUF</v>
          </cell>
          <cell r="B131">
            <v>0</v>
          </cell>
          <cell r="C131">
            <v>0</v>
          </cell>
          <cell r="D131">
            <v>0</v>
          </cell>
          <cell r="E131">
            <v>0</v>
          </cell>
          <cell r="F131">
            <v>0</v>
          </cell>
          <cell r="G131">
            <v>0.12</v>
          </cell>
          <cell r="H131">
            <v>0</v>
          </cell>
          <cell r="I131">
            <v>0</v>
          </cell>
          <cell r="J131">
            <v>0</v>
          </cell>
          <cell r="K131">
            <v>0</v>
          </cell>
          <cell r="L131">
            <v>0</v>
          </cell>
          <cell r="M131">
            <v>0</v>
          </cell>
          <cell r="N131">
            <v>0</v>
          </cell>
          <cell r="O131">
            <v>0</v>
          </cell>
          <cell r="P131">
            <v>0</v>
          </cell>
          <cell r="Q131">
            <v>0</v>
          </cell>
          <cell r="R131">
            <v>0</v>
          </cell>
          <cell r="S131">
            <v>0</v>
          </cell>
          <cell r="T131">
            <v>0</v>
          </cell>
          <cell r="U131">
            <v>0</v>
          </cell>
          <cell r="V131">
            <v>0</v>
          </cell>
          <cell r="W131">
            <v>0</v>
          </cell>
          <cell r="X131">
            <v>0</v>
          </cell>
          <cell r="Y131">
            <v>0</v>
          </cell>
          <cell r="Z131">
            <v>0</v>
          </cell>
          <cell r="AA131">
            <v>0</v>
          </cell>
          <cell r="AB131">
            <v>0</v>
          </cell>
          <cell r="AC131">
            <v>0</v>
          </cell>
          <cell r="AD131">
            <v>0</v>
          </cell>
          <cell r="AE131">
            <v>0.19</v>
          </cell>
          <cell r="AF131">
            <v>0</v>
          </cell>
          <cell r="AG131">
            <v>0</v>
          </cell>
          <cell r="AH131">
            <v>0</v>
          </cell>
          <cell r="AI131">
            <v>0</v>
          </cell>
          <cell r="AJ131">
            <v>0</v>
          </cell>
          <cell r="AK131">
            <v>0</v>
          </cell>
          <cell r="AL131">
            <v>0</v>
          </cell>
          <cell r="AM131">
            <v>0</v>
          </cell>
          <cell r="AN131">
            <v>0</v>
          </cell>
          <cell r="AO131">
            <v>0</v>
          </cell>
          <cell r="AP131">
            <v>0</v>
          </cell>
          <cell r="AQ131">
            <v>85317725.750795916</v>
          </cell>
          <cell r="AR131">
            <v>0</v>
          </cell>
          <cell r="AS131">
            <v>0</v>
          </cell>
          <cell r="AT131">
            <v>0</v>
          </cell>
          <cell r="AU131">
            <v>0</v>
          </cell>
          <cell r="AV131">
            <v>0</v>
          </cell>
          <cell r="AW131">
            <v>0</v>
          </cell>
          <cell r="AX131">
            <v>0</v>
          </cell>
          <cell r="AY131">
            <v>0</v>
          </cell>
          <cell r="AZ131">
            <v>0</v>
          </cell>
          <cell r="BA131">
            <v>0</v>
          </cell>
          <cell r="BB131">
            <v>0</v>
          </cell>
          <cell r="BC131">
            <v>-11038234.088775882</v>
          </cell>
          <cell r="BD131">
            <v>0</v>
          </cell>
          <cell r="BE131">
            <v>0</v>
          </cell>
          <cell r="BF131">
            <v>0</v>
          </cell>
          <cell r="BG131">
            <v>0</v>
          </cell>
          <cell r="BH131">
            <v>0</v>
          </cell>
          <cell r="BI131">
            <v>0</v>
          </cell>
          <cell r="BJ131">
            <v>0</v>
          </cell>
          <cell r="BK131">
            <v>0</v>
          </cell>
          <cell r="BL131">
            <v>0</v>
          </cell>
          <cell r="BM131">
            <v>0</v>
          </cell>
          <cell r="BN131">
            <v>0</v>
          </cell>
          <cell r="BO131">
            <v>1</v>
          </cell>
          <cell r="BP131">
            <v>0</v>
          </cell>
          <cell r="BQ131">
            <v>0</v>
          </cell>
          <cell r="BR131">
            <v>0</v>
          </cell>
          <cell r="BS131">
            <v>0</v>
          </cell>
          <cell r="BT131">
            <v>0</v>
          </cell>
          <cell r="BU131">
            <v>0</v>
          </cell>
          <cell r="BV131">
            <v>0</v>
          </cell>
          <cell r="BW131">
            <v>0</v>
          </cell>
          <cell r="BX131">
            <v>0</v>
          </cell>
          <cell r="BY131">
            <v>0</v>
          </cell>
          <cell r="BZ131">
            <v>0</v>
          </cell>
          <cell r="CA131">
            <v>0</v>
          </cell>
          <cell r="CB131">
            <v>16915682.944527864</v>
          </cell>
          <cell r="CC131">
            <v>0</v>
          </cell>
          <cell r="CD131">
            <v>0</v>
          </cell>
          <cell r="CE131">
            <v>0</v>
          </cell>
          <cell r="CF131">
            <v>0</v>
          </cell>
          <cell r="CG131">
            <v>0</v>
          </cell>
          <cell r="CH131">
            <v>0</v>
          </cell>
          <cell r="CI131">
            <v>15062480.57</v>
          </cell>
          <cell r="CJ131">
            <v>0</v>
          </cell>
          <cell r="CK131">
            <v>0</v>
          </cell>
          <cell r="CL131">
            <v>0</v>
          </cell>
          <cell r="CM131">
            <v>0</v>
          </cell>
          <cell r="CN131">
            <v>0</v>
          </cell>
          <cell r="CO131">
            <v>0</v>
          </cell>
          <cell r="CP131">
            <v>0</v>
          </cell>
          <cell r="CQ131">
            <v>0</v>
          </cell>
          <cell r="CR131">
            <v>0</v>
          </cell>
          <cell r="CS131">
            <v>0</v>
          </cell>
          <cell r="CT131">
            <v>0</v>
          </cell>
          <cell r="CU131">
            <v>16914189.819999993</v>
          </cell>
          <cell r="CV131">
            <v>0</v>
          </cell>
          <cell r="CW131">
            <v>0</v>
          </cell>
          <cell r="CX131">
            <v>0</v>
          </cell>
          <cell r="CY131">
            <v>0</v>
          </cell>
          <cell r="CZ131">
            <v>0</v>
          </cell>
          <cell r="DA131">
            <v>0</v>
          </cell>
          <cell r="DB131">
            <v>0</v>
          </cell>
          <cell r="DC131">
            <v>0</v>
          </cell>
          <cell r="DD131">
            <v>0</v>
          </cell>
          <cell r="DE131">
            <v>0</v>
          </cell>
          <cell r="DF131">
            <v>0</v>
          </cell>
          <cell r="DG131">
            <v>10903084.600000005</v>
          </cell>
          <cell r="DH131">
            <v>0</v>
          </cell>
          <cell r="DI131">
            <v>0</v>
          </cell>
          <cell r="DJ131">
            <v>0</v>
          </cell>
          <cell r="DK131">
            <v>0</v>
          </cell>
          <cell r="DL131">
            <v>0</v>
          </cell>
          <cell r="DM131">
            <v>0</v>
          </cell>
          <cell r="DN131">
            <v>0</v>
          </cell>
          <cell r="DO131">
            <v>0</v>
          </cell>
          <cell r="DP131">
            <v>0</v>
          </cell>
          <cell r="DQ131">
            <v>0</v>
          </cell>
          <cell r="DR131">
            <v>0</v>
          </cell>
          <cell r="DS131">
            <v>68403535.930795923</v>
          </cell>
          <cell r="DT131">
            <v>0</v>
          </cell>
          <cell r="DU131">
            <v>0</v>
          </cell>
          <cell r="DV131">
            <v>0</v>
          </cell>
          <cell r="DW131">
            <v>0</v>
          </cell>
          <cell r="DX131">
            <v>0</v>
          </cell>
          <cell r="DY131">
            <v>0</v>
          </cell>
          <cell r="EA131">
            <v>0</v>
          </cell>
          <cell r="EB131">
            <v>0</v>
          </cell>
          <cell r="EC131">
            <v>0</v>
          </cell>
          <cell r="ED131">
            <v>0</v>
          </cell>
          <cell r="EE131">
            <v>0</v>
          </cell>
          <cell r="EF131">
            <v>0</v>
          </cell>
          <cell r="EG131">
            <v>0</v>
          </cell>
          <cell r="EH131">
            <v>0</v>
          </cell>
          <cell r="EI131">
            <v>0</v>
          </cell>
          <cell r="EJ131">
            <v>0</v>
          </cell>
          <cell r="EK131">
            <v>0</v>
          </cell>
          <cell r="EL131">
            <v>0</v>
          </cell>
          <cell r="EM131">
            <v>0</v>
          </cell>
          <cell r="EN131">
            <v>0</v>
          </cell>
          <cell r="EO131">
            <v>0</v>
          </cell>
          <cell r="EP131">
            <v>0</v>
          </cell>
          <cell r="EQ131">
            <v>0</v>
          </cell>
          <cell r="ER131">
            <v>0</v>
          </cell>
          <cell r="ES131">
            <v>0</v>
          </cell>
          <cell r="ET131">
            <v>0</v>
          </cell>
          <cell r="EU131">
            <v>0</v>
          </cell>
          <cell r="EV131">
            <v>0</v>
          </cell>
          <cell r="EW131">
            <v>0</v>
          </cell>
          <cell r="EX131">
            <v>0</v>
          </cell>
          <cell r="EY131">
            <v>0</v>
          </cell>
          <cell r="EZ131">
            <v>0</v>
          </cell>
          <cell r="FA131">
            <v>0</v>
          </cell>
          <cell r="FB131">
            <v>0</v>
          </cell>
          <cell r="FC131">
            <v>0</v>
          </cell>
          <cell r="FD131">
            <v>0</v>
          </cell>
          <cell r="FE131">
            <v>0</v>
          </cell>
          <cell r="FF131">
            <v>0</v>
          </cell>
          <cell r="FG131">
            <v>0</v>
          </cell>
          <cell r="FH131">
            <v>0</v>
          </cell>
          <cell r="FI131">
            <v>0</v>
          </cell>
          <cell r="FJ131">
            <v>0</v>
          </cell>
          <cell r="FK131">
            <v>0</v>
          </cell>
          <cell r="FL131">
            <v>0</v>
          </cell>
          <cell r="FM131">
            <v>0</v>
          </cell>
          <cell r="FN131">
            <v>0</v>
          </cell>
          <cell r="FO131">
            <v>0</v>
          </cell>
          <cell r="FP131">
            <v>0</v>
          </cell>
          <cell r="FQ131">
            <v>0</v>
          </cell>
          <cell r="FR131">
            <v>0</v>
          </cell>
          <cell r="FS131">
            <v>0</v>
          </cell>
          <cell r="FT131">
            <v>0</v>
          </cell>
          <cell r="FU131">
            <v>0</v>
          </cell>
          <cell r="FV131">
            <v>0</v>
          </cell>
          <cell r="FW131">
            <v>0</v>
          </cell>
          <cell r="FX131">
            <v>0</v>
          </cell>
          <cell r="FY131">
            <v>0</v>
          </cell>
          <cell r="FZ131">
            <v>0</v>
          </cell>
        </row>
        <row r="132">
          <cell r="A132" t="str">
            <v>F_CAU_NRF_CPT_PRP_FRCE_AUF</v>
          </cell>
          <cell r="B132">
            <v>0</v>
          </cell>
          <cell r="C132">
            <v>0</v>
          </cell>
          <cell r="D132">
            <v>0</v>
          </cell>
          <cell r="E132">
            <v>0</v>
          </cell>
          <cell r="F132">
            <v>0</v>
          </cell>
          <cell r="G132">
            <v>0</v>
          </cell>
          <cell r="H132">
            <v>0</v>
          </cell>
          <cell r="I132">
            <v>0</v>
          </cell>
          <cell r="J132">
            <v>0</v>
          </cell>
          <cell r="K132">
            <v>0</v>
          </cell>
          <cell r="L132">
            <v>0</v>
          </cell>
          <cell r="M132">
            <v>0</v>
          </cell>
          <cell r="N132">
            <v>0</v>
          </cell>
          <cell r="O132">
            <v>0</v>
          </cell>
          <cell r="P132">
            <v>0</v>
          </cell>
          <cell r="Q132">
            <v>0</v>
          </cell>
          <cell r="R132">
            <v>0</v>
          </cell>
          <cell r="S132">
            <v>0</v>
          </cell>
          <cell r="T132">
            <v>0</v>
          </cell>
          <cell r="U132">
            <v>0</v>
          </cell>
          <cell r="V132">
            <v>0</v>
          </cell>
          <cell r="W132">
            <v>0</v>
          </cell>
          <cell r="X132">
            <v>0</v>
          </cell>
          <cell r="Y132">
            <v>0</v>
          </cell>
          <cell r="Z132">
            <v>0</v>
          </cell>
          <cell r="AA132">
            <v>0</v>
          </cell>
          <cell r="AB132">
            <v>0</v>
          </cell>
          <cell r="AC132">
            <v>0</v>
          </cell>
          <cell r="AD132">
            <v>0</v>
          </cell>
          <cell r="AE132">
            <v>0</v>
          </cell>
          <cell r="AF132">
            <v>0</v>
          </cell>
          <cell r="AG132">
            <v>0</v>
          </cell>
          <cell r="AH132">
            <v>0</v>
          </cell>
          <cell r="AI132">
            <v>0</v>
          </cell>
          <cell r="AJ132">
            <v>0</v>
          </cell>
          <cell r="AK132">
            <v>0</v>
          </cell>
          <cell r="AL132">
            <v>0</v>
          </cell>
          <cell r="AM132">
            <v>0</v>
          </cell>
          <cell r="AN132">
            <v>0</v>
          </cell>
          <cell r="AO132">
            <v>0</v>
          </cell>
          <cell r="AP132">
            <v>0</v>
          </cell>
          <cell r="AQ132">
            <v>0</v>
          </cell>
          <cell r="AR132">
            <v>0</v>
          </cell>
          <cell r="AS132">
            <v>0</v>
          </cell>
          <cell r="AT132">
            <v>0</v>
          </cell>
          <cell r="AU132">
            <v>0</v>
          </cell>
          <cell r="AV132">
            <v>0</v>
          </cell>
          <cell r="AW132">
            <v>0</v>
          </cell>
          <cell r="AX132">
            <v>0</v>
          </cell>
          <cell r="AY132">
            <v>0</v>
          </cell>
          <cell r="AZ132">
            <v>0</v>
          </cell>
          <cell r="BA132">
            <v>0</v>
          </cell>
          <cell r="BB132">
            <v>0</v>
          </cell>
          <cell r="BC132">
            <v>0</v>
          </cell>
          <cell r="BD132">
            <v>0</v>
          </cell>
          <cell r="BE132">
            <v>0</v>
          </cell>
          <cell r="BF132">
            <v>0</v>
          </cell>
          <cell r="BG132">
            <v>0</v>
          </cell>
          <cell r="BH132">
            <v>0</v>
          </cell>
          <cell r="BI132">
            <v>0</v>
          </cell>
          <cell r="BJ132">
            <v>0</v>
          </cell>
          <cell r="BK132">
            <v>0</v>
          </cell>
          <cell r="BL132">
            <v>0</v>
          </cell>
          <cell r="BM132">
            <v>0</v>
          </cell>
          <cell r="BN132">
            <v>0</v>
          </cell>
          <cell r="BO132">
            <v>0</v>
          </cell>
          <cell r="BP132">
            <v>0</v>
          </cell>
          <cell r="BQ132">
            <v>0</v>
          </cell>
          <cell r="BR132">
            <v>0</v>
          </cell>
          <cell r="BS132">
            <v>0</v>
          </cell>
          <cell r="BT132">
            <v>0</v>
          </cell>
          <cell r="BU132">
            <v>0</v>
          </cell>
          <cell r="BV132">
            <v>0</v>
          </cell>
          <cell r="BW132">
            <v>0</v>
          </cell>
          <cell r="BX132">
            <v>0</v>
          </cell>
          <cell r="BY132">
            <v>0</v>
          </cell>
          <cell r="BZ132">
            <v>0</v>
          </cell>
          <cell r="CA132">
            <v>0</v>
          </cell>
          <cell r="CB132">
            <v>0</v>
          </cell>
          <cell r="CC132">
            <v>0</v>
          </cell>
          <cell r="CD132">
            <v>0</v>
          </cell>
          <cell r="CE132">
            <v>0</v>
          </cell>
          <cell r="CF132">
            <v>0</v>
          </cell>
          <cell r="CG132">
            <v>0</v>
          </cell>
          <cell r="CH132">
            <v>0</v>
          </cell>
          <cell r="CI132">
            <v>0</v>
          </cell>
          <cell r="CJ132">
            <v>0</v>
          </cell>
          <cell r="CK132">
            <v>0</v>
          </cell>
          <cell r="CL132">
            <v>0</v>
          </cell>
          <cell r="CM132">
            <v>0</v>
          </cell>
          <cell r="CN132">
            <v>0</v>
          </cell>
          <cell r="CO132">
            <v>0</v>
          </cell>
          <cell r="CP132">
            <v>0</v>
          </cell>
          <cell r="CQ132">
            <v>0</v>
          </cell>
          <cell r="CR132">
            <v>0</v>
          </cell>
          <cell r="CS132">
            <v>0</v>
          </cell>
          <cell r="CT132">
            <v>0</v>
          </cell>
          <cell r="CU132">
            <v>0</v>
          </cell>
          <cell r="CV132">
            <v>0</v>
          </cell>
          <cell r="CW132">
            <v>0</v>
          </cell>
          <cell r="CX132">
            <v>0</v>
          </cell>
          <cell r="CY132">
            <v>0</v>
          </cell>
          <cell r="CZ132">
            <v>0</v>
          </cell>
          <cell r="DA132">
            <v>0</v>
          </cell>
          <cell r="DB132">
            <v>0</v>
          </cell>
          <cell r="DC132">
            <v>0</v>
          </cell>
          <cell r="DD132">
            <v>0</v>
          </cell>
          <cell r="DE132">
            <v>0</v>
          </cell>
          <cell r="DF132">
            <v>0</v>
          </cell>
          <cell r="DG132">
            <v>0</v>
          </cell>
          <cell r="DH132">
            <v>0</v>
          </cell>
          <cell r="DI132">
            <v>0</v>
          </cell>
          <cell r="DJ132">
            <v>0</v>
          </cell>
          <cell r="DK132">
            <v>0</v>
          </cell>
          <cell r="DL132">
            <v>0</v>
          </cell>
          <cell r="DM132">
            <v>0</v>
          </cell>
          <cell r="DN132">
            <v>0</v>
          </cell>
          <cell r="DO132">
            <v>0</v>
          </cell>
          <cell r="DP132">
            <v>0</v>
          </cell>
          <cell r="DQ132">
            <v>0</v>
          </cell>
          <cell r="DR132">
            <v>0</v>
          </cell>
          <cell r="DS132">
            <v>0</v>
          </cell>
          <cell r="DT132">
            <v>0</v>
          </cell>
          <cell r="DU132">
            <v>0</v>
          </cell>
          <cell r="DV132">
            <v>0</v>
          </cell>
          <cell r="DW132">
            <v>0</v>
          </cell>
          <cell r="DX132">
            <v>0</v>
          </cell>
          <cell r="DY132">
            <v>0</v>
          </cell>
          <cell r="EA132">
            <v>0</v>
          </cell>
          <cell r="EB132">
            <v>0</v>
          </cell>
          <cell r="EC132">
            <v>0</v>
          </cell>
          <cell r="ED132">
            <v>0</v>
          </cell>
          <cell r="EE132">
            <v>0</v>
          </cell>
          <cell r="EF132">
            <v>0</v>
          </cell>
          <cell r="EG132">
            <v>0</v>
          </cell>
          <cell r="EH132">
            <v>0</v>
          </cell>
          <cell r="EI132">
            <v>0</v>
          </cell>
          <cell r="EJ132">
            <v>0</v>
          </cell>
          <cell r="EK132">
            <v>0</v>
          </cell>
          <cell r="EL132">
            <v>0</v>
          </cell>
          <cell r="EM132">
            <v>0</v>
          </cell>
          <cell r="EN132">
            <v>0</v>
          </cell>
          <cell r="EO132">
            <v>0</v>
          </cell>
          <cell r="EP132">
            <v>0</v>
          </cell>
          <cell r="EQ132">
            <v>0</v>
          </cell>
          <cell r="ER132">
            <v>0</v>
          </cell>
          <cell r="ES132">
            <v>0</v>
          </cell>
          <cell r="ET132">
            <v>0</v>
          </cell>
          <cell r="EU132">
            <v>0</v>
          </cell>
          <cell r="EV132">
            <v>0</v>
          </cell>
          <cell r="EW132">
            <v>0</v>
          </cell>
          <cell r="EX132">
            <v>0</v>
          </cell>
          <cell r="EY132">
            <v>0</v>
          </cell>
          <cell r="EZ132">
            <v>0</v>
          </cell>
          <cell r="FA132">
            <v>0</v>
          </cell>
          <cell r="FB132">
            <v>0</v>
          </cell>
          <cell r="FC132">
            <v>0</v>
          </cell>
          <cell r="FD132">
            <v>0</v>
          </cell>
          <cell r="FE132">
            <v>0</v>
          </cell>
          <cell r="FF132">
            <v>0</v>
          </cell>
          <cell r="FG132">
            <v>0</v>
          </cell>
          <cell r="FH132">
            <v>0</v>
          </cell>
          <cell r="FI132">
            <v>0</v>
          </cell>
          <cell r="FJ132">
            <v>0</v>
          </cell>
          <cell r="FK132">
            <v>0</v>
          </cell>
          <cell r="FL132">
            <v>0</v>
          </cell>
          <cell r="FM132">
            <v>0</v>
          </cell>
          <cell r="FN132">
            <v>0</v>
          </cell>
          <cell r="FO132">
            <v>0</v>
          </cell>
          <cell r="FP132">
            <v>0</v>
          </cell>
          <cell r="FQ132">
            <v>0</v>
          </cell>
          <cell r="FR132">
            <v>0</v>
          </cell>
          <cell r="FS132">
            <v>0</v>
          </cell>
          <cell r="FT132">
            <v>0</v>
          </cell>
          <cell r="FU132">
            <v>0</v>
          </cell>
          <cell r="FV132">
            <v>0</v>
          </cell>
          <cell r="FW132">
            <v>0</v>
          </cell>
          <cell r="FX132">
            <v>0</v>
          </cell>
          <cell r="FY132">
            <v>0</v>
          </cell>
          <cell r="FZ132">
            <v>0</v>
          </cell>
        </row>
        <row r="133">
          <cell r="A133" t="str">
            <v>F_BPP_NRF_RIS_IND_FRCE_AFP</v>
          </cell>
          <cell r="B133">
            <v>0.08</v>
          </cell>
          <cell r="C133">
            <v>0.08</v>
          </cell>
          <cell r="D133">
            <v>0.15</v>
          </cell>
          <cell r="E133">
            <v>6.4000000000000001E-2</v>
          </cell>
          <cell r="F133">
            <v>0.112</v>
          </cell>
          <cell r="G133">
            <v>0.12</v>
          </cell>
          <cell r="H133">
            <v>7.0000000000000007E-2</v>
          </cell>
          <cell r="I133">
            <v>0.09</v>
          </cell>
          <cell r="J133">
            <v>0.13</v>
          </cell>
          <cell r="K133">
            <v>0.17</v>
          </cell>
          <cell r="L133">
            <v>0.17</v>
          </cell>
          <cell r="M133">
            <v>0.17</v>
          </cell>
          <cell r="N133">
            <v>1</v>
          </cell>
          <cell r="O133">
            <v>1</v>
          </cell>
          <cell r="P133">
            <v>1</v>
          </cell>
          <cell r="Q133">
            <v>1</v>
          </cell>
          <cell r="R133">
            <v>1</v>
          </cell>
          <cell r="S133">
            <v>1</v>
          </cell>
          <cell r="T133">
            <v>1</v>
          </cell>
          <cell r="U133">
            <v>1</v>
          </cell>
          <cell r="V133">
            <v>1</v>
          </cell>
          <cell r="W133">
            <v>1</v>
          </cell>
          <cell r="X133">
            <v>1</v>
          </cell>
          <cell r="Y133">
            <v>1</v>
          </cell>
          <cell r="Z133">
            <v>0.09</v>
          </cell>
          <cell r="AA133">
            <v>0.08</v>
          </cell>
          <cell r="AB133">
            <v>0.11</v>
          </cell>
          <cell r="AC133">
            <v>0.1</v>
          </cell>
          <cell r="AD133">
            <v>0.11</v>
          </cell>
          <cell r="AE133">
            <v>0.19</v>
          </cell>
          <cell r="AF133">
            <v>0.12</v>
          </cell>
          <cell r="AG133">
            <v>0.2</v>
          </cell>
          <cell r="AH133">
            <v>0.2</v>
          </cell>
          <cell r="AI133">
            <v>0.2</v>
          </cell>
          <cell r="AJ133">
            <v>0.2</v>
          </cell>
          <cell r="AK133">
            <v>0.2</v>
          </cell>
          <cell r="AL133">
            <v>0</v>
          </cell>
          <cell r="AM133">
            <v>0</v>
          </cell>
          <cell r="AN133">
            <v>0</v>
          </cell>
          <cell r="AO133">
            <v>0</v>
          </cell>
          <cell r="AP133">
            <v>0</v>
          </cell>
          <cell r="AQ133">
            <v>0</v>
          </cell>
          <cell r="AR133">
            <v>0</v>
          </cell>
          <cell r="AS133">
            <v>0</v>
          </cell>
          <cell r="AT133">
            <v>0</v>
          </cell>
          <cell r="AU133">
            <v>0</v>
          </cell>
          <cell r="AV133">
            <v>0</v>
          </cell>
          <cell r="AW133">
            <v>0</v>
          </cell>
          <cell r="AX133">
            <v>0</v>
          </cell>
          <cell r="AY133">
            <v>0</v>
          </cell>
          <cell r="AZ133">
            <v>0</v>
          </cell>
          <cell r="BA133">
            <v>0</v>
          </cell>
          <cell r="BB133">
            <v>0</v>
          </cell>
          <cell r="BC133">
            <v>0</v>
          </cell>
          <cell r="BD133">
            <v>0</v>
          </cell>
          <cell r="BE133">
            <v>0</v>
          </cell>
          <cell r="BF133">
            <v>0</v>
          </cell>
          <cell r="BG133">
            <v>0</v>
          </cell>
          <cell r="BH133">
            <v>0</v>
          </cell>
          <cell r="BI133">
            <v>0</v>
          </cell>
          <cell r="BJ133">
            <v>1</v>
          </cell>
          <cell r="BK133">
            <v>1</v>
          </cell>
          <cell r="BL133">
            <v>1</v>
          </cell>
          <cell r="BM133">
            <v>1</v>
          </cell>
          <cell r="BN133">
            <v>1</v>
          </cell>
          <cell r="BO133">
            <v>1</v>
          </cell>
          <cell r="BP133">
            <v>1</v>
          </cell>
          <cell r="BQ133">
            <v>1</v>
          </cell>
          <cell r="BR133">
            <v>1</v>
          </cell>
          <cell r="BS133">
            <v>1</v>
          </cell>
          <cell r="BT133">
            <v>1</v>
          </cell>
          <cell r="BU133">
            <v>1</v>
          </cell>
          <cell r="BV133">
            <v>0</v>
          </cell>
          <cell r="BW133">
            <v>0</v>
          </cell>
          <cell r="BX133">
            <v>0</v>
          </cell>
          <cell r="BY133">
            <v>0</v>
          </cell>
          <cell r="BZ133">
            <v>0</v>
          </cell>
          <cell r="CA133">
            <v>0</v>
          </cell>
          <cell r="CB133">
            <v>0</v>
          </cell>
          <cell r="CC133">
            <v>0</v>
          </cell>
          <cell r="CD133">
            <v>0</v>
          </cell>
          <cell r="CE133">
            <v>0</v>
          </cell>
          <cell r="CF133">
            <v>0</v>
          </cell>
          <cell r="CG133">
            <v>0</v>
          </cell>
          <cell r="CH133">
            <v>0</v>
          </cell>
          <cell r="CI133">
            <v>0</v>
          </cell>
          <cell r="CJ133">
            <v>0</v>
          </cell>
          <cell r="CK133">
            <v>0</v>
          </cell>
          <cell r="CL133">
            <v>0</v>
          </cell>
          <cell r="CM133">
            <v>0</v>
          </cell>
          <cell r="CN133">
            <v>0</v>
          </cell>
          <cell r="CO133">
            <v>0</v>
          </cell>
          <cell r="CP133">
            <v>0</v>
          </cell>
          <cell r="CQ133">
            <v>0</v>
          </cell>
          <cell r="CR133">
            <v>0</v>
          </cell>
          <cell r="CS133">
            <v>0</v>
          </cell>
          <cell r="CT133">
            <v>0</v>
          </cell>
          <cell r="CU133">
            <v>0</v>
          </cell>
          <cell r="CV133">
            <v>0</v>
          </cell>
          <cell r="CW133">
            <v>0</v>
          </cell>
          <cell r="CX133">
            <v>0</v>
          </cell>
          <cell r="CY133">
            <v>0</v>
          </cell>
          <cell r="CZ133">
            <v>0</v>
          </cell>
          <cell r="DA133">
            <v>0</v>
          </cell>
          <cell r="DB133">
            <v>0</v>
          </cell>
          <cell r="DC133">
            <v>0</v>
          </cell>
          <cell r="DD133">
            <v>0</v>
          </cell>
          <cell r="DE133">
            <v>0</v>
          </cell>
          <cell r="DF133">
            <v>0</v>
          </cell>
          <cell r="DG133">
            <v>0</v>
          </cell>
          <cell r="DH133">
            <v>0</v>
          </cell>
          <cell r="DI133">
            <v>0</v>
          </cell>
          <cell r="DJ133">
            <v>0</v>
          </cell>
          <cell r="DK133">
            <v>0</v>
          </cell>
          <cell r="DL133">
            <v>0</v>
          </cell>
          <cell r="DM133">
            <v>0</v>
          </cell>
          <cell r="DN133">
            <v>0</v>
          </cell>
          <cell r="DO133">
            <v>0</v>
          </cell>
          <cell r="DP133">
            <v>0</v>
          </cell>
          <cell r="DQ133">
            <v>0</v>
          </cell>
          <cell r="DR133">
            <v>0</v>
          </cell>
          <cell r="DS133">
            <v>0</v>
          </cell>
          <cell r="DT133">
            <v>0</v>
          </cell>
          <cell r="DU133">
            <v>0</v>
          </cell>
          <cell r="DV133">
            <v>0</v>
          </cell>
          <cell r="DW133">
            <v>0</v>
          </cell>
          <cell r="DX133">
            <v>0</v>
          </cell>
          <cell r="DY133">
            <v>0</v>
          </cell>
          <cell r="EA133">
            <v>0</v>
          </cell>
          <cell r="EB133">
            <v>0</v>
          </cell>
          <cell r="EC133">
            <v>0</v>
          </cell>
          <cell r="ED133">
            <v>0.05</v>
          </cell>
          <cell r="EE133">
            <v>0.09</v>
          </cell>
          <cell r="EF133">
            <v>0.08</v>
          </cell>
          <cell r="EG133">
            <v>0.17</v>
          </cell>
          <cell r="EH133">
            <v>0</v>
          </cell>
          <cell r="EI133">
            <v>0</v>
          </cell>
          <cell r="EJ133">
            <v>0</v>
          </cell>
          <cell r="EK133">
            <v>0</v>
          </cell>
          <cell r="EL133">
            <v>0.05</v>
          </cell>
          <cell r="EM133">
            <v>0.14000000000000001</v>
          </cell>
          <cell r="EN133">
            <v>0.11</v>
          </cell>
          <cell r="EO133">
            <v>0.2</v>
          </cell>
          <cell r="EP133">
            <v>3114464.9950000001</v>
          </cell>
          <cell r="EQ133">
            <v>12528032.810000004</v>
          </cell>
          <cell r="ER133">
            <v>0</v>
          </cell>
          <cell r="ES133">
            <v>0</v>
          </cell>
          <cell r="ET133">
            <v>221997.89493587567</v>
          </cell>
          <cell r="EU133">
            <v>27459941.047453165</v>
          </cell>
          <cell r="EV133">
            <v>0</v>
          </cell>
          <cell r="EW133">
            <v>0</v>
          </cell>
          <cell r="EX133">
            <v>1</v>
          </cell>
          <cell r="EY133">
            <v>1</v>
          </cell>
          <cell r="EZ133">
            <v>0</v>
          </cell>
          <cell r="FA133">
            <v>0</v>
          </cell>
          <cell r="FB133">
            <v>0</v>
          </cell>
          <cell r="FC133">
            <v>0</v>
          </cell>
          <cell r="FD133">
            <v>0</v>
          </cell>
          <cell r="FE133">
            <v>0</v>
          </cell>
          <cell r="FF133">
            <v>0</v>
          </cell>
          <cell r="FG133">
            <v>0</v>
          </cell>
          <cell r="FH133">
            <v>1437879.0821537406</v>
          </cell>
          <cell r="FI133">
            <v>0</v>
          </cell>
          <cell r="FJ133">
            <v>372206.86549586814</v>
          </cell>
          <cell r="FK133">
            <v>0</v>
          </cell>
          <cell r="FL133">
            <v>0</v>
          </cell>
          <cell r="FM133">
            <v>0</v>
          </cell>
          <cell r="FN133">
            <v>0</v>
          </cell>
          <cell r="FO133">
            <v>0</v>
          </cell>
          <cell r="FP133">
            <v>0</v>
          </cell>
          <cell r="FQ133">
            <v>0</v>
          </cell>
          <cell r="FR133">
            <v>0</v>
          </cell>
          <cell r="FS133">
            <v>3114464.9950000001</v>
          </cell>
          <cell r="FT133">
            <v>12528032.810000004</v>
          </cell>
          <cell r="FU133">
            <v>0</v>
          </cell>
          <cell r="FV133">
            <v>0</v>
          </cell>
          <cell r="FW133">
            <v>0</v>
          </cell>
          <cell r="FX133">
            <v>0</v>
          </cell>
          <cell r="FY133">
            <v>0</v>
          </cell>
          <cell r="FZ133">
            <v>0</v>
          </cell>
        </row>
        <row r="134">
          <cell r="A134" t="str">
            <v>F_BPP_NRF_RIS_COL_FRCE_AFP</v>
          </cell>
          <cell r="B134">
            <v>0.08</v>
          </cell>
          <cell r="C134">
            <v>0.08</v>
          </cell>
          <cell r="D134">
            <v>0.15</v>
          </cell>
          <cell r="E134">
            <v>6.4000000000000001E-2</v>
          </cell>
          <cell r="F134">
            <v>0.112</v>
          </cell>
          <cell r="G134">
            <v>0.12</v>
          </cell>
          <cell r="H134">
            <v>7.0000000000000007E-2</v>
          </cell>
          <cell r="I134">
            <v>0.09</v>
          </cell>
          <cell r="J134">
            <v>0.13</v>
          </cell>
          <cell r="K134">
            <v>0.17</v>
          </cell>
          <cell r="L134">
            <v>0.17</v>
          </cell>
          <cell r="M134">
            <v>0.17</v>
          </cell>
          <cell r="N134">
            <v>1</v>
          </cell>
          <cell r="O134">
            <v>1</v>
          </cell>
          <cell r="P134">
            <v>1</v>
          </cell>
          <cell r="Q134">
            <v>1</v>
          </cell>
          <cell r="R134">
            <v>1</v>
          </cell>
          <cell r="S134">
            <v>1</v>
          </cell>
          <cell r="T134">
            <v>1</v>
          </cell>
          <cell r="U134">
            <v>1</v>
          </cell>
          <cell r="V134">
            <v>1</v>
          </cell>
          <cell r="W134">
            <v>1</v>
          </cell>
          <cell r="X134">
            <v>1</v>
          </cell>
          <cell r="Y134">
            <v>1</v>
          </cell>
          <cell r="Z134">
            <v>0.09</v>
          </cell>
          <cell r="AA134">
            <v>0.08</v>
          </cell>
          <cell r="AB134">
            <v>0.11</v>
          </cell>
          <cell r="AC134">
            <v>0.1</v>
          </cell>
          <cell r="AD134">
            <v>0.11</v>
          </cell>
          <cell r="AE134">
            <v>0.19</v>
          </cell>
          <cell r="AF134">
            <v>0.12</v>
          </cell>
          <cell r="AG134">
            <v>0.2</v>
          </cell>
          <cell r="AH134">
            <v>0.2</v>
          </cell>
          <cell r="AI134">
            <v>0.2</v>
          </cell>
          <cell r="AJ134">
            <v>0.2</v>
          </cell>
          <cell r="AK134">
            <v>0.2</v>
          </cell>
          <cell r="AL134">
            <v>0</v>
          </cell>
          <cell r="AM134">
            <v>0</v>
          </cell>
          <cell r="AN134">
            <v>0</v>
          </cell>
          <cell r="AO134">
            <v>0</v>
          </cell>
          <cell r="AP134">
            <v>0</v>
          </cell>
          <cell r="AQ134">
            <v>0</v>
          </cell>
          <cell r="AR134">
            <v>0</v>
          </cell>
          <cell r="AS134">
            <v>0</v>
          </cell>
          <cell r="AT134">
            <v>0</v>
          </cell>
          <cell r="AU134">
            <v>0</v>
          </cell>
          <cell r="AV134">
            <v>0</v>
          </cell>
          <cell r="AW134">
            <v>0</v>
          </cell>
          <cell r="AX134">
            <v>0</v>
          </cell>
          <cell r="AY134">
            <v>0</v>
          </cell>
          <cell r="AZ134">
            <v>0</v>
          </cell>
          <cell r="BA134">
            <v>0</v>
          </cell>
          <cell r="BB134">
            <v>0</v>
          </cell>
          <cell r="BC134">
            <v>0</v>
          </cell>
          <cell r="BD134">
            <v>0</v>
          </cell>
          <cell r="BE134">
            <v>0</v>
          </cell>
          <cell r="BF134">
            <v>0</v>
          </cell>
          <cell r="BG134">
            <v>0</v>
          </cell>
          <cell r="BH134">
            <v>0</v>
          </cell>
          <cell r="BI134">
            <v>0</v>
          </cell>
          <cell r="BJ134">
            <v>1</v>
          </cell>
          <cell r="BK134">
            <v>1</v>
          </cell>
          <cell r="BL134">
            <v>1</v>
          </cell>
          <cell r="BM134">
            <v>1</v>
          </cell>
          <cell r="BN134">
            <v>1</v>
          </cell>
          <cell r="BO134">
            <v>1</v>
          </cell>
          <cell r="BP134">
            <v>1</v>
          </cell>
          <cell r="BQ134">
            <v>1</v>
          </cell>
          <cell r="BR134">
            <v>1</v>
          </cell>
          <cell r="BS134">
            <v>1</v>
          </cell>
          <cell r="BT134">
            <v>1</v>
          </cell>
          <cell r="BU134">
            <v>1</v>
          </cell>
          <cell r="BV134">
            <v>0</v>
          </cell>
          <cell r="BW134">
            <v>0</v>
          </cell>
          <cell r="BX134">
            <v>0</v>
          </cell>
          <cell r="BY134">
            <v>0</v>
          </cell>
          <cell r="BZ134">
            <v>0</v>
          </cell>
          <cell r="CA134">
            <v>0</v>
          </cell>
          <cell r="CB134">
            <v>0</v>
          </cell>
          <cell r="CC134">
            <v>0</v>
          </cell>
          <cell r="CD134">
            <v>0</v>
          </cell>
          <cell r="CE134">
            <v>0</v>
          </cell>
          <cell r="CF134">
            <v>0</v>
          </cell>
          <cell r="CG134">
            <v>0</v>
          </cell>
          <cell r="CH134">
            <v>0</v>
          </cell>
          <cell r="CI134">
            <v>0</v>
          </cell>
          <cell r="CJ134">
            <v>0</v>
          </cell>
          <cell r="CK134">
            <v>0</v>
          </cell>
          <cell r="CL134">
            <v>0</v>
          </cell>
          <cell r="CM134">
            <v>0</v>
          </cell>
          <cell r="CN134">
            <v>0</v>
          </cell>
          <cell r="CO134">
            <v>0</v>
          </cell>
          <cell r="CP134">
            <v>0</v>
          </cell>
          <cell r="CQ134">
            <v>0</v>
          </cell>
          <cell r="CR134">
            <v>0</v>
          </cell>
          <cell r="CS134">
            <v>0</v>
          </cell>
          <cell r="CT134">
            <v>0</v>
          </cell>
          <cell r="CU134">
            <v>0</v>
          </cell>
          <cell r="CV134">
            <v>0</v>
          </cell>
          <cell r="CW134">
            <v>0</v>
          </cell>
          <cell r="CX134">
            <v>0</v>
          </cell>
          <cell r="CY134">
            <v>0</v>
          </cell>
          <cell r="CZ134">
            <v>0</v>
          </cell>
          <cell r="DA134">
            <v>0</v>
          </cell>
          <cell r="DB134">
            <v>0</v>
          </cell>
          <cell r="DC134">
            <v>0</v>
          </cell>
          <cell r="DD134">
            <v>0</v>
          </cell>
          <cell r="DE134">
            <v>0</v>
          </cell>
          <cell r="DF134">
            <v>0</v>
          </cell>
          <cell r="DG134">
            <v>0</v>
          </cell>
          <cell r="DH134">
            <v>0</v>
          </cell>
          <cell r="DI134">
            <v>0</v>
          </cell>
          <cell r="DJ134">
            <v>0</v>
          </cell>
          <cell r="DK134">
            <v>0</v>
          </cell>
          <cell r="DL134">
            <v>0</v>
          </cell>
          <cell r="DM134">
            <v>0</v>
          </cell>
          <cell r="DN134">
            <v>0</v>
          </cell>
          <cell r="DO134">
            <v>0</v>
          </cell>
          <cell r="DP134">
            <v>0</v>
          </cell>
          <cell r="DQ134">
            <v>0</v>
          </cell>
          <cell r="DR134">
            <v>0</v>
          </cell>
          <cell r="DS134">
            <v>0</v>
          </cell>
          <cell r="DT134">
            <v>0</v>
          </cell>
          <cell r="DU134">
            <v>0</v>
          </cell>
          <cell r="DV134">
            <v>0</v>
          </cell>
          <cell r="DW134">
            <v>0</v>
          </cell>
          <cell r="DX134">
            <v>0</v>
          </cell>
          <cell r="DY134">
            <v>0</v>
          </cell>
          <cell r="EA134">
            <v>0</v>
          </cell>
          <cell r="EB134">
            <v>0</v>
          </cell>
          <cell r="EC134">
            <v>0</v>
          </cell>
          <cell r="ED134">
            <v>0.05</v>
          </cell>
          <cell r="EE134">
            <v>0.09</v>
          </cell>
          <cell r="EF134">
            <v>0.08</v>
          </cell>
          <cell r="EG134">
            <v>0.17</v>
          </cell>
          <cell r="EH134">
            <v>0</v>
          </cell>
          <cell r="EI134">
            <v>0</v>
          </cell>
          <cell r="EJ134">
            <v>0</v>
          </cell>
          <cell r="EK134">
            <v>0</v>
          </cell>
          <cell r="EL134">
            <v>0.05</v>
          </cell>
          <cell r="EM134">
            <v>0.14000000000000001</v>
          </cell>
          <cell r="EN134">
            <v>0.11</v>
          </cell>
          <cell r="EO134">
            <v>0.2</v>
          </cell>
          <cell r="EP134">
            <v>16309434.575000003</v>
          </cell>
          <cell r="EQ134">
            <v>1963222.23</v>
          </cell>
          <cell r="ER134">
            <v>0</v>
          </cell>
          <cell r="ES134">
            <v>0</v>
          </cell>
          <cell r="ET134">
            <v>4294269.7167192372</v>
          </cell>
          <cell r="EU134">
            <v>3645571.9486776069</v>
          </cell>
          <cell r="EV134">
            <v>0</v>
          </cell>
          <cell r="EW134">
            <v>0</v>
          </cell>
          <cell r="EX134">
            <v>1</v>
          </cell>
          <cell r="EY134">
            <v>1</v>
          </cell>
          <cell r="EZ134">
            <v>0</v>
          </cell>
          <cell r="FA134">
            <v>0</v>
          </cell>
          <cell r="FB134">
            <v>0</v>
          </cell>
          <cell r="FC134">
            <v>0</v>
          </cell>
          <cell r="FD134">
            <v>0</v>
          </cell>
          <cell r="FE134">
            <v>0</v>
          </cell>
          <cell r="FF134">
            <v>0</v>
          </cell>
          <cell r="FG134">
            <v>0</v>
          </cell>
          <cell r="FH134">
            <v>0</v>
          </cell>
          <cell r="FI134">
            <v>0</v>
          </cell>
          <cell r="FJ134">
            <v>0</v>
          </cell>
          <cell r="FK134">
            <v>0</v>
          </cell>
          <cell r="FL134">
            <v>0</v>
          </cell>
          <cell r="FM134">
            <v>0</v>
          </cell>
          <cell r="FN134">
            <v>0</v>
          </cell>
          <cell r="FO134">
            <v>0</v>
          </cell>
          <cell r="FP134">
            <v>0</v>
          </cell>
          <cell r="FQ134">
            <v>0</v>
          </cell>
          <cell r="FR134">
            <v>0</v>
          </cell>
          <cell r="FS134">
            <v>16309434.575000003</v>
          </cell>
          <cell r="FT134">
            <v>1963222.23</v>
          </cell>
          <cell r="FU134">
            <v>0</v>
          </cell>
          <cell r="FV134">
            <v>0</v>
          </cell>
          <cell r="FW134">
            <v>0</v>
          </cell>
          <cell r="FX134">
            <v>0</v>
          </cell>
          <cell r="FY134">
            <v>0</v>
          </cell>
          <cell r="FZ134">
            <v>0</v>
          </cell>
        </row>
        <row r="135">
          <cell r="A135" t="str">
            <v>F_BPP_NRF_ASS_EMP_FRCE_AFP</v>
          </cell>
          <cell r="B135">
            <v>0.08</v>
          </cell>
          <cell r="C135">
            <v>0.08</v>
          </cell>
          <cell r="D135">
            <v>0.15</v>
          </cell>
          <cell r="E135">
            <v>6.4000000000000001E-2</v>
          </cell>
          <cell r="F135">
            <v>0.112</v>
          </cell>
          <cell r="G135">
            <v>0.12</v>
          </cell>
          <cell r="H135">
            <v>7.0000000000000007E-2</v>
          </cell>
          <cell r="I135">
            <v>0.09</v>
          </cell>
          <cell r="J135">
            <v>0.13</v>
          </cell>
          <cell r="K135">
            <v>0.17</v>
          </cell>
          <cell r="L135">
            <v>0.17</v>
          </cell>
          <cell r="M135">
            <v>0.17</v>
          </cell>
          <cell r="N135">
            <v>1</v>
          </cell>
          <cell r="O135">
            <v>1</v>
          </cell>
          <cell r="P135">
            <v>1</v>
          </cell>
          <cell r="Q135">
            <v>1</v>
          </cell>
          <cell r="R135">
            <v>1</v>
          </cell>
          <cell r="S135">
            <v>1</v>
          </cell>
          <cell r="T135">
            <v>1</v>
          </cell>
          <cell r="U135">
            <v>1</v>
          </cell>
          <cell r="V135">
            <v>1</v>
          </cell>
          <cell r="W135">
            <v>1</v>
          </cell>
          <cell r="X135">
            <v>1</v>
          </cell>
          <cell r="Y135">
            <v>1</v>
          </cell>
          <cell r="Z135">
            <v>0.09</v>
          </cell>
          <cell r="AA135">
            <v>0.08</v>
          </cell>
          <cell r="AB135">
            <v>0.11</v>
          </cell>
          <cell r="AC135">
            <v>0.1</v>
          </cell>
          <cell r="AD135">
            <v>0.11</v>
          </cell>
          <cell r="AE135">
            <v>0.19</v>
          </cell>
          <cell r="AF135">
            <v>0.12</v>
          </cell>
          <cell r="AG135">
            <v>0.2</v>
          </cell>
          <cell r="AH135">
            <v>0.2</v>
          </cell>
          <cell r="AI135">
            <v>0.2</v>
          </cell>
          <cell r="AJ135">
            <v>0.2</v>
          </cell>
          <cell r="AK135">
            <v>0.2</v>
          </cell>
          <cell r="AL135">
            <v>0</v>
          </cell>
          <cell r="AM135">
            <v>0</v>
          </cell>
          <cell r="AN135">
            <v>0</v>
          </cell>
          <cell r="AO135">
            <v>0</v>
          </cell>
          <cell r="AP135">
            <v>0</v>
          </cell>
          <cell r="AQ135">
            <v>0</v>
          </cell>
          <cell r="AR135">
            <v>0</v>
          </cell>
          <cell r="AS135">
            <v>0</v>
          </cell>
          <cell r="AT135">
            <v>0</v>
          </cell>
          <cell r="AU135">
            <v>0</v>
          </cell>
          <cell r="AV135">
            <v>0</v>
          </cell>
          <cell r="AW135">
            <v>0</v>
          </cell>
          <cell r="AX135">
            <v>0</v>
          </cell>
          <cell r="AY135">
            <v>0</v>
          </cell>
          <cell r="AZ135">
            <v>0</v>
          </cell>
          <cell r="BA135">
            <v>0</v>
          </cell>
          <cell r="BB135">
            <v>0</v>
          </cell>
          <cell r="BC135">
            <v>0</v>
          </cell>
          <cell r="BD135">
            <v>0</v>
          </cell>
          <cell r="BE135">
            <v>0</v>
          </cell>
          <cell r="BF135">
            <v>0</v>
          </cell>
          <cell r="BG135">
            <v>0</v>
          </cell>
          <cell r="BH135">
            <v>0</v>
          </cell>
          <cell r="BI135">
            <v>0</v>
          </cell>
          <cell r="BJ135">
            <v>1</v>
          </cell>
          <cell r="BK135">
            <v>1</v>
          </cell>
          <cell r="BL135">
            <v>1</v>
          </cell>
          <cell r="BM135">
            <v>1</v>
          </cell>
          <cell r="BN135">
            <v>1</v>
          </cell>
          <cell r="BO135">
            <v>1</v>
          </cell>
          <cell r="BP135">
            <v>1</v>
          </cell>
          <cell r="BQ135">
            <v>1</v>
          </cell>
          <cell r="BR135">
            <v>1</v>
          </cell>
          <cell r="BS135">
            <v>1</v>
          </cell>
          <cell r="BT135">
            <v>1</v>
          </cell>
          <cell r="BU135">
            <v>1</v>
          </cell>
          <cell r="BV135">
            <v>0</v>
          </cell>
          <cell r="BW135">
            <v>0</v>
          </cell>
          <cell r="BX135">
            <v>0</v>
          </cell>
          <cell r="BY135">
            <v>0</v>
          </cell>
          <cell r="BZ135">
            <v>0</v>
          </cell>
          <cell r="CA135">
            <v>0</v>
          </cell>
          <cell r="CB135">
            <v>0</v>
          </cell>
          <cell r="CC135">
            <v>0</v>
          </cell>
          <cell r="CD135">
            <v>0</v>
          </cell>
          <cell r="CE135">
            <v>0</v>
          </cell>
          <cell r="CF135">
            <v>0</v>
          </cell>
          <cell r="CG135">
            <v>0</v>
          </cell>
          <cell r="CH135">
            <v>0</v>
          </cell>
          <cell r="CI135">
            <v>0</v>
          </cell>
          <cell r="CJ135">
            <v>0</v>
          </cell>
          <cell r="CK135">
            <v>0</v>
          </cell>
          <cell r="CL135">
            <v>0</v>
          </cell>
          <cell r="CM135">
            <v>0</v>
          </cell>
          <cell r="CN135">
            <v>0</v>
          </cell>
          <cell r="CO135">
            <v>0</v>
          </cell>
          <cell r="CP135">
            <v>0</v>
          </cell>
          <cell r="CQ135">
            <v>0</v>
          </cell>
          <cell r="CR135">
            <v>0</v>
          </cell>
          <cell r="CS135">
            <v>0</v>
          </cell>
          <cell r="CT135">
            <v>0</v>
          </cell>
          <cell r="CU135">
            <v>0</v>
          </cell>
          <cell r="CV135">
            <v>0</v>
          </cell>
          <cell r="CW135">
            <v>0</v>
          </cell>
          <cell r="CX135">
            <v>0</v>
          </cell>
          <cell r="CY135">
            <v>0</v>
          </cell>
          <cell r="CZ135">
            <v>0</v>
          </cell>
          <cell r="DA135">
            <v>0</v>
          </cell>
          <cell r="DB135">
            <v>0</v>
          </cell>
          <cell r="DC135">
            <v>0</v>
          </cell>
          <cell r="DD135">
            <v>0</v>
          </cell>
          <cell r="DE135">
            <v>0</v>
          </cell>
          <cell r="DF135">
            <v>0</v>
          </cell>
          <cell r="DG135">
            <v>0</v>
          </cell>
          <cell r="DH135">
            <v>0</v>
          </cell>
          <cell r="DI135">
            <v>0</v>
          </cell>
          <cell r="DJ135">
            <v>0</v>
          </cell>
          <cell r="DK135">
            <v>0</v>
          </cell>
          <cell r="DL135">
            <v>0</v>
          </cell>
          <cell r="DM135">
            <v>0</v>
          </cell>
          <cell r="DN135">
            <v>0</v>
          </cell>
          <cell r="DO135">
            <v>0</v>
          </cell>
          <cell r="DP135">
            <v>0</v>
          </cell>
          <cell r="DQ135">
            <v>0</v>
          </cell>
          <cell r="DR135">
            <v>0</v>
          </cell>
          <cell r="DS135">
            <v>0</v>
          </cell>
          <cell r="DT135">
            <v>0</v>
          </cell>
          <cell r="DU135">
            <v>0</v>
          </cell>
          <cell r="DV135">
            <v>0</v>
          </cell>
          <cell r="DW135">
            <v>0</v>
          </cell>
          <cell r="DX135">
            <v>0</v>
          </cell>
          <cell r="DY135">
            <v>0</v>
          </cell>
          <cell r="EA135">
            <v>0</v>
          </cell>
          <cell r="EB135">
            <v>0</v>
          </cell>
          <cell r="EC135">
            <v>0</v>
          </cell>
          <cell r="ED135">
            <v>0.05</v>
          </cell>
          <cell r="EE135">
            <v>0.09</v>
          </cell>
          <cell r="EF135">
            <v>0.08</v>
          </cell>
          <cell r="EG135">
            <v>0.17</v>
          </cell>
          <cell r="EH135">
            <v>0</v>
          </cell>
          <cell r="EI135">
            <v>0</v>
          </cell>
          <cell r="EJ135">
            <v>0</v>
          </cell>
          <cell r="EK135">
            <v>0</v>
          </cell>
          <cell r="EL135">
            <v>0.05</v>
          </cell>
          <cell r="EM135">
            <v>0.14000000000000001</v>
          </cell>
          <cell r="EN135">
            <v>0.11</v>
          </cell>
          <cell r="EO135">
            <v>0.2</v>
          </cell>
          <cell r="EP135">
            <v>0</v>
          </cell>
          <cell r="EQ135">
            <v>2329698.1995826364</v>
          </cell>
          <cell r="ER135">
            <v>0</v>
          </cell>
          <cell r="ES135">
            <v>0</v>
          </cell>
          <cell r="ET135">
            <v>0</v>
          </cell>
          <cell r="EU135">
            <v>1036645.2721565102</v>
          </cell>
          <cell r="EV135">
            <v>0</v>
          </cell>
          <cell r="EW135">
            <v>0</v>
          </cell>
          <cell r="EX135">
            <v>1</v>
          </cell>
          <cell r="EY135">
            <v>1</v>
          </cell>
          <cell r="EZ135">
            <v>0</v>
          </cell>
          <cell r="FA135">
            <v>0</v>
          </cell>
          <cell r="FB135">
            <v>0</v>
          </cell>
          <cell r="FC135">
            <v>0</v>
          </cell>
          <cell r="FD135">
            <v>0</v>
          </cell>
          <cell r="FE135">
            <v>0</v>
          </cell>
          <cell r="FF135">
            <v>0</v>
          </cell>
          <cell r="FG135">
            <v>0</v>
          </cell>
          <cell r="FH135">
            <v>2464109.3304347824</v>
          </cell>
          <cell r="FI135">
            <v>0</v>
          </cell>
          <cell r="FJ135">
            <v>2568654.6695652176</v>
          </cell>
          <cell r="FK135">
            <v>0</v>
          </cell>
          <cell r="FL135">
            <v>0</v>
          </cell>
          <cell r="FM135">
            <v>0</v>
          </cell>
          <cell r="FN135">
            <v>0</v>
          </cell>
          <cell r="FO135">
            <v>0</v>
          </cell>
          <cell r="FP135">
            <v>0</v>
          </cell>
          <cell r="FQ135">
            <v>0</v>
          </cell>
          <cell r="FR135">
            <v>0</v>
          </cell>
          <cell r="FS135">
            <v>0</v>
          </cell>
          <cell r="FT135">
            <v>2329698.1995826364</v>
          </cell>
          <cell r="FU135">
            <v>0</v>
          </cell>
          <cell r="FV135">
            <v>0</v>
          </cell>
          <cell r="FW135">
            <v>0</v>
          </cell>
          <cell r="FX135">
            <v>0</v>
          </cell>
          <cell r="FY135">
            <v>0</v>
          </cell>
          <cell r="FZ135">
            <v>0</v>
          </cell>
        </row>
        <row r="136">
          <cell r="A136" t="str">
            <v>F_BPP_NRF_CPT_PRP_FRCE_AFP</v>
          </cell>
          <cell r="B136">
            <v>0.08</v>
          </cell>
          <cell r="C136">
            <v>0.08</v>
          </cell>
          <cell r="D136">
            <v>0.15</v>
          </cell>
          <cell r="E136">
            <v>6.4000000000000001E-2</v>
          </cell>
          <cell r="F136">
            <v>0.112</v>
          </cell>
          <cell r="G136">
            <v>0.12</v>
          </cell>
          <cell r="H136">
            <v>7.0000000000000007E-2</v>
          </cell>
          <cell r="I136">
            <v>0.09</v>
          </cell>
          <cell r="J136">
            <v>0.13</v>
          </cell>
          <cell r="K136">
            <v>0.17</v>
          </cell>
          <cell r="L136">
            <v>0.17</v>
          </cell>
          <cell r="M136">
            <v>0.17</v>
          </cell>
          <cell r="N136">
            <v>1</v>
          </cell>
          <cell r="O136">
            <v>1</v>
          </cell>
          <cell r="P136">
            <v>1</v>
          </cell>
          <cell r="Q136">
            <v>1</v>
          </cell>
          <cell r="R136">
            <v>1</v>
          </cell>
          <cell r="S136">
            <v>1</v>
          </cell>
          <cell r="T136">
            <v>1</v>
          </cell>
          <cell r="U136">
            <v>1</v>
          </cell>
          <cell r="V136">
            <v>1</v>
          </cell>
          <cell r="W136">
            <v>1</v>
          </cell>
          <cell r="X136">
            <v>1</v>
          </cell>
          <cell r="Y136">
            <v>1</v>
          </cell>
          <cell r="Z136">
            <v>0.09</v>
          </cell>
          <cell r="AA136">
            <v>0.08</v>
          </cell>
          <cell r="AB136">
            <v>0.11</v>
          </cell>
          <cell r="AC136">
            <v>0.1</v>
          </cell>
          <cell r="AD136">
            <v>0.11</v>
          </cell>
          <cell r="AE136">
            <v>0.19</v>
          </cell>
          <cell r="AF136">
            <v>0.12</v>
          </cell>
          <cell r="AG136">
            <v>0.2</v>
          </cell>
          <cell r="AH136">
            <v>0.2</v>
          </cell>
          <cell r="AI136">
            <v>0.2</v>
          </cell>
          <cell r="AJ136">
            <v>0.2</v>
          </cell>
          <cell r="AK136">
            <v>0.2</v>
          </cell>
          <cell r="AL136">
            <v>0</v>
          </cell>
          <cell r="AM136">
            <v>0</v>
          </cell>
          <cell r="AN136">
            <v>0</v>
          </cell>
          <cell r="AO136">
            <v>0</v>
          </cell>
          <cell r="AP136">
            <v>0</v>
          </cell>
          <cell r="AQ136">
            <v>0</v>
          </cell>
          <cell r="AR136">
            <v>0</v>
          </cell>
          <cell r="AS136">
            <v>0</v>
          </cell>
          <cell r="AT136">
            <v>0</v>
          </cell>
          <cell r="AU136">
            <v>0</v>
          </cell>
          <cell r="AV136">
            <v>0</v>
          </cell>
          <cell r="AW136">
            <v>0</v>
          </cell>
          <cell r="AX136">
            <v>0</v>
          </cell>
          <cell r="AY136">
            <v>0</v>
          </cell>
          <cell r="AZ136">
            <v>0</v>
          </cell>
          <cell r="BA136">
            <v>0</v>
          </cell>
          <cell r="BB136">
            <v>0</v>
          </cell>
          <cell r="BC136">
            <v>0</v>
          </cell>
          <cell r="BD136">
            <v>0</v>
          </cell>
          <cell r="BE136">
            <v>0</v>
          </cell>
          <cell r="BF136">
            <v>0</v>
          </cell>
          <cell r="BG136">
            <v>0</v>
          </cell>
          <cell r="BH136">
            <v>0</v>
          </cell>
          <cell r="BI136">
            <v>0</v>
          </cell>
          <cell r="BJ136">
            <v>1</v>
          </cell>
          <cell r="BK136">
            <v>1</v>
          </cell>
          <cell r="BL136">
            <v>1</v>
          </cell>
          <cell r="BM136">
            <v>1</v>
          </cell>
          <cell r="BN136">
            <v>1</v>
          </cell>
          <cell r="BO136">
            <v>1</v>
          </cell>
          <cell r="BP136">
            <v>1</v>
          </cell>
          <cell r="BQ136">
            <v>1</v>
          </cell>
          <cell r="BR136">
            <v>1</v>
          </cell>
          <cell r="BS136">
            <v>1</v>
          </cell>
          <cell r="BT136">
            <v>1</v>
          </cell>
          <cell r="BU136">
            <v>1</v>
          </cell>
          <cell r="BV136">
            <v>0</v>
          </cell>
          <cell r="BW136">
            <v>0</v>
          </cell>
          <cell r="BX136">
            <v>0</v>
          </cell>
          <cell r="BY136">
            <v>0</v>
          </cell>
          <cell r="BZ136">
            <v>0</v>
          </cell>
          <cell r="CA136">
            <v>0</v>
          </cell>
          <cell r="CB136">
            <v>0</v>
          </cell>
          <cell r="CC136">
            <v>0</v>
          </cell>
          <cell r="CD136">
            <v>0</v>
          </cell>
          <cell r="CE136">
            <v>0</v>
          </cell>
          <cell r="CF136">
            <v>0</v>
          </cell>
          <cell r="CG136">
            <v>0</v>
          </cell>
          <cell r="CH136">
            <v>0</v>
          </cell>
          <cell r="CI136">
            <v>0</v>
          </cell>
          <cell r="CJ136">
            <v>0</v>
          </cell>
          <cell r="CK136">
            <v>0</v>
          </cell>
          <cell r="CL136">
            <v>0</v>
          </cell>
          <cell r="CM136">
            <v>0</v>
          </cell>
          <cell r="CN136">
            <v>0</v>
          </cell>
          <cell r="CO136">
            <v>0</v>
          </cell>
          <cell r="CP136">
            <v>0</v>
          </cell>
          <cell r="CQ136">
            <v>0</v>
          </cell>
          <cell r="CR136">
            <v>0</v>
          </cell>
          <cell r="CS136">
            <v>0</v>
          </cell>
          <cell r="CT136">
            <v>0</v>
          </cell>
          <cell r="CU136">
            <v>0</v>
          </cell>
          <cell r="CV136">
            <v>0</v>
          </cell>
          <cell r="CW136">
            <v>0</v>
          </cell>
          <cell r="CX136">
            <v>0</v>
          </cell>
          <cell r="CY136">
            <v>0</v>
          </cell>
          <cell r="CZ136">
            <v>0</v>
          </cell>
          <cell r="DA136">
            <v>0</v>
          </cell>
          <cell r="DB136">
            <v>0</v>
          </cell>
          <cell r="DC136">
            <v>0</v>
          </cell>
          <cell r="DD136">
            <v>0</v>
          </cell>
          <cell r="DE136">
            <v>0</v>
          </cell>
          <cell r="DF136">
            <v>0</v>
          </cell>
          <cell r="DG136">
            <v>0</v>
          </cell>
          <cell r="DH136">
            <v>0</v>
          </cell>
          <cell r="DI136">
            <v>0</v>
          </cell>
          <cell r="DJ136">
            <v>0</v>
          </cell>
          <cell r="DK136">
            <v>0</v>
          </cell>
          <cell r="DL136">
            <v>0</v>
          </cell>
          <cell r="DM136">
            <v>0</v>
          </cell>
          <cell r="DN136">
            <v>0</v>
          </cell>
          <cell r="DO136">
            <v>0</v>
          </cell>
          <cell r="DP136">
            <v>0</v>
          </cell>
          <cell r="DQ136">
            <v>0</v>
          </cell>
          <cell r="DR136">
            <v>0</v>
          </cell>
          <cell r="DS136">
            <v>0</v>
          </cell>
          <cell r="DT136">
            <v>0</v>
          </cell>
          <cell r="DU136">
            <v>0</v>
          </cell>
          <cell r="DV136">
            <v>0</v>
          </cell>
          <cell r="DW136">
            <v>0</v>
          </cell>
          <cell r="DX136">
            <v>0</v>
          </cell>
          <cell r="DY136">
            <v>0</v>
          </cell>
          <cell r="EA136">
            <v>0</v>
          </cell>
          <cell r="EB136">
            <v>0</v>
          </cell>
          <cell r="EC136">
            <v>0</v>
          </cell>
          <cell r="ED136">
            <v>0.05</v>
          </cell>
          <cell r="EE136">
            <v>0.09</v>
          </cell>
          <cell r="EF136">
            <v>0.08</v>
          </cell>
          <cell r="EG136">
            <v>0.17</v>
          </cell>
          <cell r="EH136">
            <v>0</v>
          </cell>
          <cell r="EI136">
            <v>0</v>
          </cell>
          <cell r="EJ136">
            <v>0</v>
          </cell>
          <cell r="EK136">
            <v>0</v>
          </cell>
          <cell r="EL136">
            <v>0.05</v>
          </cell>
          <cell r="EM136">
            <v>0.14000000000000001</v>
          </cell>
          <cell r="EN136">
            <v>0.11</v>
          </cell>
          <cell r="EO136">
            <v>0.2</v>
          </cell>
          <cell r="EP136">
            <v>0</v>
          </cell>
          <cell r="EQ136">
            <v>0</v>
          </cell>
          <cell r="ER136">
            <v>0</v>
          </cell>
          <cell r="ES136">
            <v>0</v>
          </cell>
          <cell r="ET136">
            <v>0</v>
          </cell>
          <cell r="EU136">
            <v>0</v>
          </cell>
          <cell r="EV136">
            <v>0</v>
          </cell>
          <cell r="EW136">
            <v>0</v>
          </cell>
          <cell r="EX136">
            <v>1</v>
          </cell>
          <cell r="EY136">
            <v>1</v>
          </cell>
          <cell r="EZ136">
            <v>0</v>
          </cell>
          <cell r="FA136">
            <v>0</v>
          </cell>
          <cell r="FB136">
            <v>0</v>
          </cell>
          <cell r="FC136">
            <v>0</v>
          </cell>
          <cell r="FD136">
            <v>0</v>
          </cell>
          <cell r="FE136">
            <v>0</v>
          </cell>
          <cell r="FF136">
            <v>0</v>
          </cell>
          <cell r="FG136">
            <v>0</v>
          </cell>
          <cell r="FH136">
            <v>0</v>
          </cell>
          <cell r="FI136">
            <v>0</v>
          </cell>
          <cell r="FJ136">
            <v>0</v>
          </cell>
          <cell r="FK136">
            <v>0</v>
          </cell>
          <cell r="FL136">
            <v>0</v>
          </cell>
          <cell r="FM136">
            <v>0</v>
          </cell>
          <cell r="FN136">
            <v>0</v>
          </cell>
          <cell r="FO136">
            <v>0</v>
          </cell>
          <cell r="FP136">
            <v>0</v>
          </cell>
          <cell r="FQ136">
            <v>0</v>
          </cell>
          <cell r="FR136">
            <v>0</v>
          </cell>
          <cell r="FS136">
            <v>0</v>
          </cell>
          <cell r="FT136">
            <v>0</v>
          </cell>
          <cell r="FU136">
            <v>0</v>
          </cell>
          <cell r="FV136">
            <v>0</v>
          </cell>
          <cell r="FW136">
            <v>0</v>
          </cell>
          <cell r="FX136">
            <v>0</v>
          </cell>
          <cell r="FY136">
            <v>0</v>
          </cell>
          <cell r="FZ136">
            <v>0</v>
          </cell>
        </row>
        <row r="137">
          <cell r="A137" t="str">
            <v>F_ITV_NRF_EPA_EUR_FRCE_ITA</v>
          </cell>
          <cell r="B137">
            <v>0.1</v>
          </cell>
          <cell r="C137">
            <v>0.08</v>
          </cell>
          <cell r="D137">
            <v>0.15</v>
          </cell>
          <cell r="E137">
            <v>0.08</v>
          </cell>
          <cell r="F137">
            <v>0.15</v>
          </cell>
          <cell r="G137">
            <v>0.22</v>
          </cell>
          <cell r="H137">
            <v>7.0000000000000007E-2</v>
          </cell>
          <cell r="I137">
            <v>0.05</v>
          </cell>
          <cell r="J137">
            <v>0.13</v>
          </cell>
          <cell r="K137">
            <v>0.18</v>
          </cell>
          <cell r="L137">
            <v>0.17</v>
          </cell>
          <cell r="M137">
            <v>0.16</v>
          </cell>
          <cell r="N137">
            <v>0.8</v>
          </cell>
          <cell r="O137">
            <v>1</v>
          </cell>
          <cell r="P137">
            <v>1</v>
          </cell>
          <cell r="Q137">
            <v>0.8</v>
          </cell>
          <cell r="R137">
            <v>0.8</v>
          </cell>
          <cell r="S137">
            <v>1</v>
          </cell>
          <cell r="T137">
            <v>1</v>
          </cell>
          <cell r="U137">
            <v>1</v>
          </cell>
          <cell r="V137">
            <v>1</v>
          </cell>
          <cell r="W137">
            <v>1</v>
          </cell>
          <cell r="X137">
            <v>1</v>
          </cell>
          <cell r="Y137">
            <v>1</v>
          </cell>
          <cell r="Z137">
            <v>0.1</v>
          </cell>
          <cell r="AA137">
            <v>0.1</v>
          </cell>
          <cell r="AB137">
            <v>0.14000000000000001</v>
          </cell>
          <cell r="AC137">
            <v>0.11</v>
          </cell>
          <cell r="AD137">
            <v>0.11</v>
          </cell>
          <cell r="AE137">
            <v>0.19</v>
          </cell>
          <cell r="AF137">
            <v>0.09</v>
          </cell>
          <cell r="AG137">
            <v>0.11</v>
          </cell>
          <cell r="AH137">
            <v>0.15</v>
          </cell>
          <cell r="AI137">
            <v>0.2</v>
          </cell>
          <cell r="AJ137">
            <v>0.2</v>
          </cell>
          <cell r="AK137">
            <v>0.2</v>
          </cell>
          <cell r="AL137">
            <v>0</v>
          </cell>
          <cell r="AM137">
            <v>0</v>
          </cell>
          <cell r="AN137">
            <v>0</v>
          </cell>
          <cell r="AO137">
            <v>0</v>
          </cell>
          <cell r="AP137">
            <v>0</v>
          </cell>
          <cell r="AQ137">
            <v>0</v>
          </cell>
          <cell r="AR137">
            <v>0</v>
          </cell>
          <cell r="AS137">
            <v>0</v>
          </cell>
          <cell r="AT137">
            <v>0</v>
          </cell>
          <cell r="AU137">
            <v>0</v>
          </cell>
          <cell r="AV137">
            <v>0</v>
          </cell>
          <cell r="AW137">
            <v>0</v>
          </cell>
          <cell r="AX137">
            <v>0</v>
          </cell>
          <cell r="AY137">
            <v>0</v>
          </cell>
          <cell r="AZ137">
            <v>0</v>
          </cell>
          <cell r="BA137">
            <v>0</v>
          </cell>
          <cell r="BB137">
            <v>0</v>
          </cell>
          <cell r="BC137">
            <v>0</v>
          </cell>
          <cell r="BD137">
            <v>0</v>
          </cell>
          <cell r="BE137">
            <v>0</v>
          </cell>
          <cell r="BF137">
            <v>0</v>
          </cell>
          <cell r="BG137">
            <v>0</v>
          </cell>
          <cell r="BH137">
            <v>0</v>
          </cell>
          <cell r="BI137">
            <v>0</v>
          </cell>
          <cell r="BJ137">
            <v>0</v>
          </cell>
          <cell r="BK137">
            <v>0</v>
          </cell>
          <cell r="BL137">
            <v>0</v>
          </cell>
          <cell r="BM137">
            <v>0</v>
          </cell>
          <cell r="BN137">
            <v>0</v>
          </cell>
          <cell r="BO137">
            <v>0</v>
          </cell>
          <cell r="BP137">
            <v>0</v>
          </cell>
          <cell r="BQ137">
            <v>0</v>
          </cell>
          <cell r="BR137">
            <v>0</v>
          </cell>
          <cell r="BS137">
            <v>0</v>
          </cell>
          <cell r="BT137">
            <v>0</v>
          </cell>
          <cell r="BU137">
            <v>0</v>
          </cell>
          <cell r="BV137">
            <v>0</v>
          </cell>
          <cell r="BW137">
            <v>0</v>
          </cell>
          <cell r="BX137">
            <v>0</v>
          </cell>
          <cell r="BY137">
            <v>0</v>
          </cell>
          <cell r="BZ137">
            <v>0</v>
          </cell>
          <cell r="CA137">
            <v>0</v>
          </cell>
          <cell r="CB137">
            <v>0</v>
          </cell>
          <cell r="CC137">
            <v>0</v>
          </cell>
          <cell r="CD137">
            <v>0</v>
          </cell>
          <cell r="CE137">
            <v>0</v>
          </cell>
          <cell r="CF137">
            <v>0</v>
          </cell>
          <cell r="CG137">
            <v>0</v>
          </cell>
          <cell r="CH137">
            <v>0</v>
          </cell>
          <cell r="CI137">
            <v>0</v>
          </cell>
          <cell r="CJ137">
            <v>0</v>
          </cell>
          <cell r="CK137">
            <v>0</v>
          </cell>
          <cell r="CL137">
            <v>0</v>
          </cell>
          <cell r="CM137">
            <v>0</v>
          </cell>
          <cell r="CN137">
            <v>0</v>
          </cell>
          <cell r="CO137">
            <v>0</v>
          </cell>
          <cell r="CP137">
            <v>0</v>
          </cell>
          <cell r="CQ137">
            <v>0</v>
          </cell>
          <cell r="CR137">
            <v>0</v>
          </cell>
          <cell r="CS137">
            <v>0</v>
          </cell>
          <cell r="CT137">
            <v>0</v>
          </cell>
          <cell r="CU137">
            <v>0</v>
          </cell>
          <cell r="CV137">
            <v>0</v>
          </cell>
          <cell r="CW137">
            <v>0</v>
          </cell>
          <cell r="CX137">
            <v>0</v>
          </cell>
          <cell r="CY137">
            <v>0</v>
          </cell>
          <cell r="CZ137">
            <v>0</v>
          </cell>
          <cell r="DA137">
            <v>0</v>
          </cell>
          <cell r="DB137">
            <v>0</v>
          </cell>
          <cell r="DC137">
            <v>0</v>
          </cell>
          <cell r="DD137">
            <v>0</v>
          </cell>
          <cell r="DE137">
            <v>0</v>
          </cell>
          <cell r="DF137">
            <v>0</v>
          </cell>
          <cell r="DG137">
            <v>0</v>
          </cell>
          <cell r="DH137">
            <v>0</v>
          </cell>
          <cell r="DI137">
            <v>0</v>
          </cell>
          <cell r="DJ137">
            <v>0</v>
          </cell>
          <cell r="DK137">
            <v>0</v>
          </cell>
          <cell r="DL137">
            <v>0</v>
          </cell>
          <cell r="DM137">
            <v>0</v>
          </cell>
          <cell r="DN137">
            <v>0</v>
          </cell>
          <cell r="DO137">
            <v>0</v>
          </cell>
          <cell r="DP137">
            <v>0</v>
          </cell>
          <cell r="DQ137">
            <v>0</v>
          </cell>
          <cell r="DR137">
            <v>0</v>
          </cell>
          <cell r="DS137">
            <v>0</v>
          </cell>
          <cell r="DT137">
            <v>0</v>
          </cell>
          <cell r="DU137">
            <v>0</v>
          </cell>
          <cell r="DV137">
            <v>0</v>
          </cell>
          <cell r="DW137">
            <v>0</v>
          </cell>
          <cell r="DX137">
            <v>0</v>
          </cell>
          <cell r="DY137">
            <v>0</v>
          </cell>
          <cell r="EA137">
            <v>0</v>
          </cell>
          <cell r="EB137">
            <v>0</v>
          </cell>
          <cell r="EC137">
            <v>0</v>
          </cell>
          <cell r="ED137">
            <v>0.05</v>
          </cell>
          <cell r="EE137">
            <v>0.09</v>
          </cell>
          <cell r="EF137">
            <v>0.08</v>
          </cell>
          <cell r="EG137">
            <v>0.17</v>
          </cell>
          <cell r="EH137">
            <v>1</v>
          </cell>
          <cell r="EI137">
            <v>1</v>
          </cell>
          <cell r="EJ137">
            <v>1</v>
          </cell>
          <cell r="EK137">
            <v>1</v>
          </cell>
          <cell r="EL137">
            <v>0.05</v>
          </cell>
          <cell r="EM137">
            <v>0.14000000000000001</v>
          </cell>
          <cell r="EN137">
            <v>0.11</v>
          </cell>
          <cell r="EO137">
            <v>0.2</v>
          </cell>
          <cell r="EP137">
            <v>0</v>
          </cell>
          <cell r="EQ137">
            <v>0</v>
          </cell>
          <cell r="ER137">
            <v>0</v>
          </cell>
          <cell r="ES137">
            <v>0</v>
          </cell>
          <cell r="ET137">
            <v>0</v>
          </cell>
          <cell r="EU137">
            <v>0</v>
          </cell>
          <cell r="EV137">
            <v>0</v>
          </cell>
          <cell r="EW137">
            <v>0</v>
          </cell>
          <cell r="EX137">
            <v>1</v>
          </cell>
          <cell r="EY137">
            <v>1</v>
          </cell>
          <cell r="EZ137">
            <v>1</v>
          </cell>
          <cell r="FA137">
            <v>0</v>
          </cell>
          <cell r="FB137">
            <v>0</v>
          </cell>
          <cell r="FC137">
            <v>0</v>
          </cell>
          <cell r="FD137">
            <v>0</v>
          </cell>
          <cell r="FE137">
            <v>0</v>
          </cell>
          <cell r="FF137">
            <v>0</v>
          </cell>
          <cell r="FG137">
            <v>0</v>
          </cell>
          <cell r="FH137">
            <v>0</v>
          </cell>
          <cell r="FI137">
            <v>0</v>
          </cell>
          <cell r="FJ137">
            <v>0</v>
          </cell>
          <cell r="FK137">
            <v>0</v>
          </cell>
          <cell r="FL137">
            <v>0</v>
          </cell>
          <cell r="FM137">
            <v>0</v>
          </cell>
          <cell r="FN137">
            <v>0</v>
          </cell>
          <cell r="FO137">
            <v>0</v>
          </cell>
          <cell r="FP137">
            <v>0</v>
          </cell>
          <cell r="FQ137">
            <v>0</v>
          </cell>
          <cell r="FR137">
            <v>0</v>
          </cell>
          <cell r="FS137">
            <v>0</v>
          </cell>
          <cell r="FT137">
            <v>0</v>
          </cell>
          <cell r="FU137">
            <v>0</v>
          </cell>
          <cell r="FV137">
            <v>0</v>
          </cell>
          <cell r="FW137">
            <v>0</v>
          </cell>
          <cell r="FX137">
            <v>0</v>
          </cell>
          <cell r="FY137">
            <v>0</v>
          </cell>
          <cell r="FZ137">
            <v>0</v>
          </cell>
        </row>
        <row r="138">
          <cell r="A138" t="str">
            <v>F_ITV_NRF_CPT_PRP_FRCE_ITF</v>
          </cell>
          <cell r="B138">
            <v>0.1</v>
          </cell>
          <cell r="C138">
            <v>0.08</v>
          </cell>
          <cell r="D138">
            <v>0.15</v>
          </cell>
          <cell r="E138">
            <v>0.08</v>
          </cell>
          <cell r="F138">
            <v>0.15</v>
          </cell>
          <cell r="G138">
            <v>0.22</v>
          </cell>
          <cell r="H138">
            <v>7.0000000000000007E-2</v>
          </cell>
          <cell r="I138">
            <v>0.05</v>
          </cell>
          <cell r="J138">
            <v>0.13</v>
          </cell>
          <cell r="K138">
            <v>0.18</v>
          </cell>
          <cell r="L138">
            <v>0.17</v>
          </cell>
          <cell r="M138">
            <v>0.16</v>
          </cell>
          <cell r="N138">
            <v>0.8</v>
          </cell>
          <cell r="O138">
            <v>1</v>
          </cell>
          <cell r="P138">
            <v>1</v>
          </cell>
          <cell r="Q138">
            <v>0.8</v>
          </cell>
          <cell r="R138">
            <v>0.8</v>
          </cell>
          <cell r="S138">
            <v>1</v>
          </cell>
          <cell r="T138">
            <v>1</v>
          </cell>
          <cell r="U138">
            <v>1</v>
          </cell>
          <cell r="V138">
            <v>1</v>
          </cell>
          <cell r="W138">
            <v>1</v>
          </cell>
          <cell r="X138">
            <v>1</v>
          </cell>
          <cell r="Y138">
            <v>1</v>
          </cell>
          <cell r="Z138">
            <v>0.1</v>
          </cell>
          <cell r="AA138">
            <v>0.1</v>
          </cell>
          <cell r="AB138">
            <v>0.14000000000000001</v>
          </cell>
          <cell r="AC138">
            <v>0.11</v>
          </cell>
          <cell r="AD138">
            <v>0.11</v>
          </cell>
          <cell r="AE138">
            <v>0.19</v>
          </cell>
          <cell r="AF138">
            <v>0.09</v>
          </cell>
          <cell r="AG138">
            <v>0.11</v>
          </cell>
          <cell r="AH138">
            <v>0.15</v>
          </cell>
          <cell r="AI138">
            <v>0.2</v>
          </cell>
          <cell r="AJ138">
            <v>0.2</v>
          </cell>
          <cell r="AK138">
            <v>0.2</v>
          </cell>
          <cell r="AL138">
            <v>0</v>
          </cell>
          <cell r="AM138">
            <v>0</v>
          </cell>
          <cell r="AN138">
            <v>0</v>
          </cell>
          <cell r="AO138">
            <v>0</v>
          </cell>
          <cell r="AP138">
            <v>0</v>
          </cell>
          <cell r="AQ138">
            <v>0</v>
          </cell>
          <cell r="AR138">
            <v>0</v>
          </cell>
          <cell r="AS138">
            <v>0</v>
          </cell>
          <cell r="AT138">
            <v>0</v>
          </cell>
          <cell r="AU138">
            <v>0</v>
          </cell>
          <cell r="AV138">
            <v>0</v>
          </cell>
          <cell r="AW138">
            <v>0</v>
          </cell>
          <cell r="AX138">
            <v>0</v>
          </cell>
          <cell r="AY138">
            <v>0</v>
          </cell>
          <cell r="AZ138">
            <v>0</v>
          </cell>
          <cell r="BA138">
            <v>0</v>
          </cell>
          <cell r="BB138">
            <v>0</v>
          </cell>
          <cell r="BC138">
            <v>0</v>
          </cell>
          <cell r="BD138">
            <v>0</v>
          </cell>
          <cell r="BE138">
            <v>0</v>
          </cell>
          <cell r="BF138">
            <v>0</v>
          </cell>
          <cell r="BG138">
            <v>0</v>
          </cell>
          <cell r="BH138">
            <v>0</v>
          </cell>
          <cell r="BI138">
            <v>0</v>
          </cell>
          <cell r="BJ138">
            <v>0</v>
          </cell>
          <cell r="BK138">
            <v>0</v>
          </cell>
          <cell r="BL138">
            <v>0</v>
          </cell>
          <cell r="BM138">
            <v>0</v>
          </cell>
          <cell r="BN138">
            <v>0</v>
          </cell>
          <cell r="BO138">
            <v>0</v>
          </cell>
          <cell r="BP138">
            <v>0</v>
          </cell>
          <cell r="BQ138">
            <v>0</v>
          </cell>
          <cell r="BR138">
            <v>0</v>
          </cell>
          <cell r="BS138">
            <v>0</v>
          </cell>
          <cell r="BT138">
            <v>0</v>
          </cell>
          <cell r="BU138">
            <v>0</v>
          </cell>
          <cell r="BV138">
            <v>0</v>
          </cell>
          <cell r="BW138">
            <v>0</v>
          </cell>
          <cell r="BX138">
            <v>0</v>
          </cell>
          <cell r="BY138">
            <v>0</v>
          </cell>
          <cell r="BZ138">
            <v>0</v>
          </cell>
          <cell r="CA138">
            <v>0</v>
          </cell>
          <cell r="CB138">
            <v>0</v>
          </cell>
          <cell r="CC138">
            <v>0</v>
          </cell>
          <cell r="CD138">
            <v>0</v>
          </cell>
          <cell r="CE138">
            <v>0</v>
          </cell>
          <cell r="CF138">
            <v>0</v>
          </cell>
          <cell r="CG138">
            <v>0</v>
          </cell>
          <cell r="CH138">
            <v>0</v>
          </cell>
          <cell r="CI138">
            <v>0</v>
          </cell>
          <cell r="CJ138">
            <v>0</v>
          </cell>
          <cell r="CK138">
            <v>0</v>
          </cell>
          <cell r="CL138">
            <v>0</v>
          </cell>
          <cell r="CM138">
            <v>0</v>
          </cell>
          <cell r="CN138">
            <v>0</v>
          </cell>
          <cell r="CO138">
            <v>0</v>
          </cell>
          <cell r="CP138">
            <v>0</v>
          </cell>
          <cell r="CQ138">
            <v>0</v>
          </cell>
          <cell r="CR138">
            <v>0</v>
          </cell>
          <cell r="CS138">
            <v>0</v>
          </cell>
          <cell r="CT138">
            <v>0</v>
          </cell>
          <cell r="CU138">
            <v>0</v>
          </cell>
          <cell r="CV138">
            <v>0</v>
          </cell>
          <cell r="CW138">
            <v>0</v>
          </cell>
          <cell r="CX138">
            <v>0</v>
          </cell>
          <cell r="CY138">
            <v>0</v>
          </cell>
          <cell r="CZ138">
            <v>0</v>
          </cell>
          <cell r="DA138">
            <v>0</v>
          </cell>
          <cell r="DB138">
            <v>0</v>
          </cell>
          <cell r="DC138">
            <v>0</v>
          </cell>
          <cell r="DD138">
            <v>0</v>
          </cell>
          <cell r="DE138">
            <v>0</v>
          </cell>
          <cell r="DF138">
            <v>0</v>
          </cell>
          <cell r="DG138">
            <v>0</v>
          </cell>
          <cell r="DH138">
            <v>0</v>
          </cell>
          <cell r="DI138">
            <v>0</v>
          </cell>
          <cell r="DJ138">
            <v>0</v>
          </cell>
          <cell r="DK138">
            <v>0</v>
          </cell>
          <cell r="DL138">
            <v>0</v>
          </cell>
          <cell r="DM138">
            <v>0</v>
          </cell>
          <cell r="DN138">
            <v>0</v>
          </cell>
          <cell r="DO138">
            <v>0</v>
          </cell>
          <cell r="DP138">
            <v>0</v>
          </cell>
          <cell r="DQ138">
            <v>0</v>
          </cell>
          <cell r="DR138">
            <v>0</v>
          </cell>
          <cell r="DS138">
            <v>0</v>
          </cell>
          <cell r="DT138">
            <v>0</v>
          </cell>
          <cell r="DU138">
            <v>0</v>
          </cell>
          <cell r="DV138">
            <v>0</v>
          </cell>
          <cell r="DW138">
            <v>0</v>
          </cell>
          <cell r="DX138">
            <v>0</v>
          </cell>
          <cell r="DY138">
            <v>0</v>
          </cell>
          <cell r="EA138">
            <v>0</v>
          </cell>
          <cell r="EB138">
            <v>0</v>
          </cell>
          <cell r="EC138">
            <v>0</v>
          </cell>
          <cell r="ED138">
            <v>0.05</v>
          </cell>
          <cell r="EE138">
            <v>0.09</v>
          </cell>
          <cell r="EF138">
            <v>0.08</v>
          </cell>
          <cell r="EG138">
            <v>0.17</v>
          </cell>
          <cell r="EH138">
            <v>1</v>
          </cell>
          <cell r="EI138">
            <v>1</v>
          </cell>
          <cell r="EJ138">
            <v>1</v>
          </cell>
          <cell r="EK138">
            <v>1</v>
          </cell>
          <cell r="EL138">
            <v>0.05</v>
          </cell>
          <cell r="EM138">
            <v>0.14000000000000001</v>
          </cell>
          <cell r="EN138">
            <v>0.11</v>
          </cell>
          <cell r="EO138">
            <v>0.2</v>
          </cell>
          <cell r="EP138">
            <v>0</v>
          </cell>
          <cell r="EQ138">
            <v>0</v>
          </cell>
          <cell r="ER138">
            <v>0</v>
          </cell>
          <cell r="ES138">
            <v>0</v>
          </cell>
          <cell r="ET138">
            <v>0</v>
          </cell>
          <cell r="EU138">
            <v>0</v>
          </cell>
          <cell r="EV138">
            <v>0</v>
          </cell>
          <cell r="EW138">
            <v>0</v>
          </cell>
          <cell r="EX138">
            <v>1</v>
          </cell>
          <cell r="EY138">
            <v>1</v>
          </cell>
          <cell r="EZ138">
            <v>1</v>
          </cell>
          <cell r="FA138">
            <v>0</v>
          </cell>
          <cell r="FB138">
            <v>0</v>
          </cell>
          <cell r="FC138">
            <v>0</v>
          </cell>
          <cell r="FD138">
            <v>0</v>
          </cell>
          <cell r="FE138">
            <v>0</v>
          </cell>
          <cell r="FF138">
            <v>0</v>
          </cell>
          <cell r="FG138">
            <v>0</v>
          </cell>
          <cell r="FH138">
            <v>0</v>
          </cell>
          <cell r="FI138">
            <v>0</v>
          </cell>
          <cell r="FJ138">
            <v>0</v>
          </cell>
          <cell r="FK138">
            <v>0</v>
          </cell>
          <cell r="FL138">
            <v>0</v>
          </cell>
          <cell r="FM138">
            <v>0</v>
          </cell>
          <cell r="FN138">
            <v>0</v>
          </cell>
          <cell r="FO138">
            <v>0</v>
          </cell>
          <cell r="FP138">
            <v>0</v>
          </cell>
          <cell r="FQ138">
            <v>0</v>
          </cell>
          <cell r="FR138">
            <v>0</v>
          </cell>
          <cell r="FS138">
            <v>0</v>
          </cell>
          <cell r="FT138">
            <v>0</v>
          </cell>
          <cell r="FU138">
            <v>0</v>
          </cell>
          <cell r="FV138">
            <v>0</v>
          </cell>
          <cell r="FW138">
            <v>0</v>
          </cell>
          <cell r="FX138">
            <v>0</v>
          </cell>
          <cell r="FY138">
            <v>0</v>
          </cell>
          <cell r="FZ138">
            <v>0</v>
          </cell>
        </row>
        <row r="139">
          <cell r="A139" t="str">
            <v>F_PVP_NRF_EPA_EUR_FRCE_PVA</v>
          </cell>
          <cell r="B139">
            <v>0.1</v>
          </cell>
          <cell r="C139">
            <v>0.08</v>
          </cell>
          <cell r="D139">
            <v>0.15</v>
          </cell>
          <cell r="E139">
            <v>0.08</v>
          </cell>
          <cell r="F139">
            <v>0.15</v>
          </cell>
          <cell r="G139">
            <v>0.22</v>
          </cell>
          <cell r="H139">
            <v>7.0000000000000007E-2</v>
          </cell>
          <cell r="I139">
            <v>0.05</v>
          </cell>
          <cell r="J139">
            <v>0.13</v>
          </cell>
          <cell r="K139">
            <v>0.18</v>
          </cell>
          <cell r="L139">
            <v>0.17</v>
          </cell>
          <cell r="M139">
            <v>0.16</v>
          </cell>
          <cell r="N139">
            <v>0.8</v>
          </cell>
          <cell r="O139">
            <v>1</v>
          </cell>
          <cell r="P139">
            <v>1</v>
          </cell>
          <cell r="Q139">
            <v>0.8</v>
          </cell>
          <cell r="R139">
            <v>0.8</v>
          </cell>
          <cell r="S139">
            <v>1</v>
          </cell>
          <cell r="T139">
            <v>1</v>
          </cell>
          <cell r="U139">
            <v>1</v>
          </cell>
          <cell r="V139">
            <v>1</v>
          </cell>
          <cell r="W139">
            <v>1</v>
          </cell>
          <cell r="X139">
            <v>1</v>
          </cell>
          <cell r="Y139">
            <v>1</v>
          </cell>
          <cell r="Z139">
            <v>0.1</v>
          </cell>
          <cell r="AA139">
            <v>0.1</v>
          </cell>
          <cell r="AB139">
            <v>0.14000000000000001</v>
          </cell>
          <cell r="AC139">
            <v>0.11</v>
          </cell>
          <cell r="AD139">
            <v>0.11</v>
          </cell>
          <cell r="AE139">
            <v>0.19</v>
          </cell>
          <cell r="AF139">
            <v>0.09</v>
          </cell>
          <cell r="AG139">
            <v>0.11</v>
          </cell>
          <cell r="AH139">
            <v>0.15</v>
          </cell>
          <cell r="AI139">
            <v>0.2</v>
          </cell>
          <cell r="AJ139">
            <v>0.2</v>
          </cell>
          <cell r="AK139">
            <v>0.2</v>
          </cell>
          <cell r="AL139">
            <v>0</v>
          </cell>
          <cell r="AM139">
            <v>0</v>
          </cell>
          <cell r="AN139">
            <v>0</v>
          </cell>
          <cell r="AO139">
            <v>0</v>
          </cell>
          <cell r="AP139">
            <v>0</v>
          </cell>
          <cell r="AQ139">
            <v>0</v>
          </cell>
          <cell r="AR139">
            <v>0</v>
          </cell>
          <cell r="AS139">
            <v>0</v>
          </cell>
          <cell r="AT139">
            <v>0</v>
          </cell>
          <cell r="AU139">
            <v>0</v>
          </cell>
          <cell r="AV139">
            <v>0</v>
          </cell>
          <cell r="AW139">
            <v>0</v>
          </cell>
          <cell r="AX139">
            <v>0</v>
          </cell>
          <cell r="AY139">
            <v>0</v>
          </cell>
          <cell r="AZ139">
            <v>0</v>
          </cell>
          <cell r="BA139">
            <v>0</v>
          </cell>
          <cell r="BB139">
            <v>0</v>
          </cell>
          <cell r="BC139">
            <v>0</v>
          </cell>
          <cell r="BD139">
            <v>0</v>
          </cell>
          <cell r="BE139">
            <v>0</v>
          </cell>
          <cell r="BF139">
            <v>0</v>
          </cell>
          <cell r="BG139">
            <v>0</v>
          </cell>
          <cell r="BH139">
            <v>0</v>
          </cell>
          <cell r="BI139">
            <v>0</v>
          </cell>
          <cell r="BJ139">
            <v>0</v>
          </cell>
          <cell r="BK139">
            <v>0</v>
          </cell>
          <cell r="BL139">
            <v>0</v>
          </cell>
          <cell r="BM139">
            <v>0</v>
          </cell>
          <cell r="BN139">
            <v>0</v>
          </cell>
          <cell r="BO139">
            <v>0</v>
          </cell>
          <cell r="BP139">
            <v>0</v>
          </cell>
          <cell r="BQ139">
            <v>0</v>
          </cell>
          <cell r="BR139">
            <v>0</v>
          </cell>
          <cell r="BS139">
            <v>0</v>
          </cell>
          <cell r="BT139">
            <v>0</v>
          </cell>
          <cell r="BU139">
            <v>0</v>
          </cell>
          <cell r="BV139">
            <v>0</v>
          </cell>
          <cell r="BW139">
            <v>0</v>
          </cell>
          <cell r="BX139">
            <v>0</v>
          </cell>
          <cell r="BY139">
            <v>0</v>
          </cell>
          <cell r="BZ139">
            <v>0</v>
          </cell>
          <cell r="CA139">
            <v>0</v>
          </cell>
          <cell r="CB139">
            <v>0</v>
          </cell>
          <cell r="CC139">
            <v>0</v>
          </cell>
          <cell r="CD139">
            <v>0</v>
          </cell>
          <cell r="CE139">
            <v>0</v>
          </cell>
          <cell r="CF139">
            <v>0</v>
          </cell>
          <cell r="CG139">
            <v>0</v>
          </cell>
          <cell r="CH139">
            <v>0</v>
          </cell>
          <cell r="CI139">
            <v>0</v>
          </cell>
          <cell r="CJ139">
            <v>0</v>
          </cell>
          <cell r="CK139">
            <v>0</v>
          </cell>
          <cell r="CL139">
            <v>0</v>
          </cell>
          <cell r="CM139">
            <v>0</v>
          </cell>
          <cell r="CN139">
            <v>0</v>
          </cell>
          <cell r="CO139">
            <v>0</v>
          </cell>
          <cell r="CP139">
            <v>0</v>
          </cell>
          <cell r="CQ139">
            <v>0</v>
          </cell>
          <cell r="CR139">
            <v>0</v>
          </cell>
          <cell r="CS139">
            <v>0</v>
          </cell>
          <cell r="CT139">
            <v>0</v>
          </cell>
          <cell r="CU139">
            <v>0</v>
          </cell>
          <cell r="CV139">
            <v>0</v>
          </cell>
          <cell r="CW139">
            <v>0</v>
          </cell>
          <cell r="CX139">
            <v>0</v>
          </cell>
          <cell r="CY139">
            <v>0</v>
          </cell>
          <cell r="CZ139">
            <v>0</v>
          </cell>
          <cell r="DA139">
            <v>0</v>
          </cell>
          <cell r="DB139">
            <v>0</v>
          </cell>
          <cell r="DC139">
            <v>0</v>
          </cell>
          <cell r="DD139">
            <v>0</v>
          </cell>
          <cell r="DE139">
            <v>0</v>
          </cell>
          <cell r="DF139">
            <v>0</v>
          </cell>
          <cell r="DG139">
            <v>0</v>
          </cell>
          <cell r="DH139">
            <v>0</v>
          </cell>
          <cell r="DI139">
            <v>0</v>
          </cell>
          <cell r="DJ139">
            <v>0</v>
          </cell>
          <cell r="DK139">
            <v>0</v>
          </cell>
          <cell r="DL139">
            <v>0</v>
          </cell>
          <cell r="DM139">
            <v>0</v>
          </cell>
          <cell r="DN139">
            <v>0</v>
          </cell>
          <cell r="DO139">
            <v>0</v>
          </cell>
          <cell r="DP139">
            <v>0</v>
          </cell>
          <cell r="DQ139">
            <v>0</v>
          </cell>
          <cell r="DR139">
            <v>0</v>
          </cell>
          <cell r="DS139">
            <v>0</v>
          </cell>
          <cell r="DT139">
            <v>0</v>
          </cell>
          <cell r="DU139">
            <v>0</v>
          </cell>
          <cell r="DV139">
            <v>0</v>
          </cell>
          <cell r="DW139">
            <v>0</v>
          </cell>
          <cell r="DX139">
            <v>0</v>
          </cell>
          <cell r="DY139">
            <v>0</v>
          </cell>
          <cell r="EA139">
            <v>0</v>
          </cell>
          <cell r="EB139">
            <v>0</v>
          </cell>
          <cell r="EC139">
            <v>0</v>
          </cell>
          <cell r="ED139">
            <v>0.05</v>
          </cell>
          <cell r="EE139">
            <v>0.09</v>
          </cell>
          <cell r="EF139">
            <v>0.08</v>
          </cell>
          <cell r="EG139">
            <v>0.17</v>
          </cell>
          <cell r="EH139">
            <v>1</v>
          </cell>
          <cell r="EI139">
            <v>1</v>
          </cell>
          <cell r="EJ139">
            <v>1</v>
          </cell>
          <cell r="EK139">
            <v>1</v>
          </cell>
          <cell r="EL139">
            <v>0.05</v>
          </cell>
          <cell r="EM139">
            <v>0.14000000000000001</v>
          </cell>
          <cell r="EN139">
            <v>0.11</v>
          </cell>
          <cell r="EO139">
            <v>0.2</v>
          </cell>
          <cell r="EP139">
            <v>0</v>
          </cell>
          <cell r="EQ139">
            <v>0</v>
          </cell>
          <cell r="ER139">
            <v>0</v>
          </cell>
          <cell r="ES139">
            <v>0</v>
          </cell>
          <cell r="ET139">
            <v>0</v>
          </cell>
          <cell r="EU139">
            <v>0</v>
          </cell>
          <cell r="EV139">
            <v>0</v>
          </cell>
          <cell r="EW139">
            <v>0</v>
          </cell>
          <cell r="EX139">
            <v>1</v>
          </cell>
          <cell r="EY139">
            <v>1</v>
          </cell>
          <cell r="EZ139">
            <v>1</v>
          </cell>
          <cell r="FA139">
            <v>0</v>
          </cell>
          <cell r="FB139">
            <v>0</v>
          </cell>
          <cell r="FC139">
            <v>0</v>
          </cell>
          <cell r="FD139">
            <v>0</v>
          </cell>
          <cell r="FE139">
            <v>0</v>
          </cell>
          <cell r="FF139">
            <v>0</v>
          </cell>
          <cell r="FG139">
            <v>0</v>
          </cell>
          <cell r="FH139">
            <v>0</v>
          </cell>
          <cell r="FI139">
            <v>0</v>
          </cell>
          <cell r="FJ139">
            <v>0</v>
          </cell>
          <cell r="FK139">
            <v>0</v>
          </cell>
          <cell r="FL139">
            <v>0</v>
          </cell>
          <cell r="FM139">
            <v>0</v>
          </cell>
          <cell r="FN139">
            <v>0</v>
          </cell>
          <cell r="FO139">
            <v>0</v>
          </cell>
          <cell r="FP139">
            <v>0</v>
          </cell>
          <cell r="FQ139">
            <v>0</v>
          </cell>
          <cell r="FR139">
            <v>0</v>
          </cell>
          <cell r="FS139">
            <v>0</v>
          </cell>
          <cell r="FT139">
            <v>0</v>
          </cell>
          <cell r="FU139">
            <v>0</v>
          </cell>
          <cell r="FV139">
            <v>0</v>
          </cell>
          <cell r="FW139">
            <v>0</v>
          </cell>
          <cell r="FX139">
            <v>0</v>
          </cell>
          <cell r="FY139">
            <v>0</v>
          </cell>
          <cell r="FZ139">
            <v>0</v>
          </cell>
        </row>
        <row r="140">
          <cell r="A140" t="str">
            <v>F_PVP_NRF_EPA_EUR_FRCE_PVI</v>
          </cell>
          <cell r="B140">
            <v>0.1</v>
          </cell>
          <cell r="C140">
            <v>0.08</v>
          </cell>
          <cell r="D140">
            <v>0.15</v>
          </cell>
          <cell r="E140">
            <v>0.08</v>
          </cell>
          <cell r="F140">
            <v>0.15</v>
          </cell>
          <cell r="G140">
            <v>0.22</v>
          </cell>
          <cell r="H140">
            <v>7.0000000000000007E-2</v>
          </cell>
          <cell r="I140">
            <v>0.05</v>
          </cell>
          <cell r="J140">
            <v>0.13</v>
          </cell>
          <cell r="K140">
            <v>0.18</v>
          </cell>
          <cell r="L140">
            <v>0.17</v>
          </cell>
          <cell r="M140">
            <v>0.16</v>
          </cell>
          <cell r="N140">
            <v>0.8</v>
          </cell>
          <cell r="O140">
            <v>1</v>
          </cell>
          <cell r="P140">
            <v>1</v>
          </cell>
          <cell r="Q140">
            <v>0.8</v>
          </cell>
          <cell r="R140">
            <v>0.8</v>
          </cell>
          <cell r="S140">
            <v>1</v>
          </cell>
          <cell r="T140">
            <v>1</v>
          </cell>
          <cell r="U140">
            <v>1</v>
          </cell>
          <cell r="V140">
            <v>1</v>
          </cell>
          <cell r="W140">
            <v>1</v>
          </cell>
          <cell r="X140">
            <v>1</v>
          </cell>
          <cell r="Y140">
            <v>1</v>
          </cell>
          <cell r="Z140">
            <v>0.1</v>
          </cell>
          <cell r="AA140">
            <v>0.1</v>
          </cell>
          <cell r="AB140">
            <v>0.14000000000000001</v>
          </cell>
          <cell r="AC140">
            <v>0.11</v>
          </cell>
          <cell r="AD140">
            <v>0.11</v>
          </cell>
          <cell r="AE140">
            <v>0.19</v>
          </cell>
          <cell r="AF140">
            <v>0.09</v>
          </cell>
          <cell r="AG140">
            <v>0.11</v>
          </cell>
          <cell r="AH140">
            <v>0.15</v>
          </cell>
          <cell r="AI140">
            <v>0.2</v>
          </cell>
          <cell r="AJ140">
            <v>0.2</v>
          </cell>
          <cell r="AK140">
            <v>0.2</v>
          </cell>
          <cell r="AL140">
            <v>0</v>
          </cell>
          <cell r="AM140">
            <v>0</v>
          </cell>
          <cell r="AN140">
            <v>0</v>
          </cell>
          <cell r="AO140">
            <v>0</v>
          </cell>
          <cell r="AP140">
            <v>0</v>
          </cell>
          <cell r="AQ140">
            <v>0</v>
          </cell>
          <cell r="AR140">
            <v>0</v>
          </cell>
          <cell r="AS140">
            <v>0</v>
          </cell>
          <cell r="AT140">
            <v>0</v>
          </cell>
          <cell r="AU140">
            <v>0</v>
          </cell>
          <cell r="AV140">
            <v>0</v>
          </cell>
          <cell r="AW140">
            <v>0</v>
          </cell>
          <cell r="AX140">
            <v>0</v>
          </cell>
          <cell r="AY140">
            <v>0</v>
          </cell>
          <cell r="AZ140">
            <v>0</v>
          </cell>
          <cell r="BA140">
            <v>0</v>
          </cell>
          <cell r="BB140">
            <v>0</v>
          </cell>
          <cell r="BC140">
            <v>0</v>
          </cell>
          <cell r="BD140">
            <v>0</v>
          </cell>
          <cell r="BE140">
            <v>0</v>
          </cell>
          <cell r="BF140">
            <v>0</v>
          </cell>
          <cell r="BG140">
            <v>0</v>
          </cell>
          <cell r="BH140">
            <v>0</v>
          </cell>
          <cell r="BI140">
            <v>0</v>
          </cell>
          <cell r="BJ140">
            <v>0</v>
          </cell>
          <cell r="BK140">
            <v>0</v>
          </cell>
          <cell r="BL140">
            <v>0</v>
          </cell>
          <cell r="BM140">
            <v>0</v>
          </cell>
          <cell r="BN140">
            <v>0</v>
          </cell>
          <cell r="BO140">
            <v>0</v>
          </cell>
          <cell r="BP140">
            <v>0</v>
          </cell>
          <cell r="BQ140">
            <v>0</v>
          </cell>
          <cell r="BR140">
            <v>0</v>
          </cell>
          <cell r="BS140">
            <v>0</v>
          </cell>
          <cell r="BT140">
            <v>0</v>
          </cell>
          <cell r="BU140">
            <v>0</v>
          </cell>
          <cell r="BV140">
            <v>0</v>
          </cell>
          <cell r="BW140">
            <v>0</v>
          </cell>
          <cell r="BX140">
            <v>0</v>
          </cell>
          <cell r="BY140">
            <v>0</v>
          </cell>
          <cell r="BZ140">
            <v>0</v>
          </cell>
          <cell r="CA140">
            <v>0</v>
          </cell>
          <cell r="CB140">
            <v>0</v>
          </cell>
          <cell r="CC140">
            <v>0</v>
          </cell>
          <cell r="CD140">
            <v>0</v>
          </cell>
          <cell r="CE140">
            <v>0</v>
          </cell>
          <cell r="CF140">
            <v>0</v>
          </cell>
          <cell r="CG140">
            <v>0</v>
          </cell>
          <cell r="CH140">
            <v>0</v>
          </cell>
          <cell r="CI140">
            <v>0</v>
          </cell>
          <cell r="CJ140">
            <v>0</v>
          </cell>
          <cell r="CK140">
            <v>0</v>
          </cell>
          <cell r="CL140">
            <v>0</v>
          </cell>
          <cell r="CM140">
            <v>0</v>
          </cell>
          <cell r="CN140">
            <v>0</v>
          </cell>
          <cell r="CO140">
            <v>0</v>
          </cell>
          <cell r="CP140">
            <v>0</v>
          </cell>
          <cell r="CQ140">
            <v>0</v>
          </cell>
          <cell r="CR140">
            <v>0</v>
          </cell>
          <cell r="CS140">
            <v>0</v>
          </cell>
          <cell r="CT140">
            <v>0</v>
          </cell>
          <cell r="CU140">
            <v>0</v>
          </cell>
          <cell r="CV140">
            <v>0</v>
          </cell>
          <cell r="CW140">
            <v>0</v>
          </cell>
          <cell r="CX140">
            <v>0</v>
          </cell>
          <cell r="CY140">
            <v>0</v>
          </cell>
          <cell r="CZ140">
            <v>0</v>
          </cell>
          <cell r="DA140">
            <v>0</v>
          </cell>
          <cell r="DB140">
            <v>0</v>
          </cell>
          <cell r="DC140">
            <v>0</v>
          </cell>
          <cell r="DD140">
            <v>0</v>
          </cell>
          <cell r="DE140">
            <v>0</v>
          </cell>
          <cell r="DF140">
            <v>0</v>
          </cell>
          <cell r="DG140">
            <v>0</v>
          </cell>
          <cell r="DH140">
            <v>0</v>
          </cell>
          <cell r="DI140">
            <v>0</v>
          </cell>
          <cell r="DJ140">
            <v>0</v>
          </cell>
          <cell r="DK140">
            <v>0</v>
          </cell>
          <cell r="DL140">
            <v>0</v>
          </cell>
          <cell r="DM140">
            <v>0</v>
          </cell>
          <cell r="DN140">
            <v>0</v>
          </cell>
          <cell r="DO140">
            <v>0</v>
          </cell>
          <cell r="DP140">
            <v>0</v>
          </cell>
          <cell r="DQ140">
            <v>0</v>
          </cell>
          <cell r="DR140">
            <v>0</v>
          </cell>
          <cell r="DS140">
            <v>0</v>
          </cell>
          <cell r="DT140">
            <v>0</v>
          </cell>
          <cell r="DU140">
            <v>0</v>
          </cell>
          <cell r="DV140">
            <v>0</v>
          </cell>
          <cell r="DW140">
            <v>0</v>
          </cell>
          <cell r="DX140">
            <v>0</v>
          </cell>
          <cell r="DY140">
            <v>0</v>
          </cell>
          <cell r="EA140">
            <v>0</v>
          </cell>
          <cell r="EB140">
            <v>0</v>
          </cell>
          <cell r="EC140">
            <v>0</v>
          </cell>
          <cell r="ED140">
            <v>0.05</v>
          </cell>
          <cell r="EE140">
            <v>0.09</v>
          </cell>
          <cell r="EF140">
            <v>0.08</v>
          </cell>
          <cell r="EG140">
            <v>0.17</v>
          </cell>
          <cell r="EH140">
            <v>1</v>
          </cell>
          <cell r="EI140">
            <v>1</v>
          </cell>
          <cell r="EJ140">
            <v>1</v>
          </cell>
          <cell r="EK140">
            <v>1</v>
          </cell>
          <cell r="EL140">
            <v>0.05</v>
          </cell>
          <cell r="EM140">
            <v>0.14000000000000001</v>
          </cell>
          <cell r="EN140">
            <v>0.11</v>
          </cell>
          <cell r="EO140">
            <v>0.2</v>
          </cell>
          <cell r="EP140">
            <v>0</v>
          </cell>
          <cell r="EQ140">
            <v>0</v>
          </cell>
          <cell r="ER140">
            <v>0</v>
          </cell>
          <cell r="ES140">
            <v>0</v>
          </cell>
          <cell r="ET140">
            <v>0</v>
          </cell>
          <cell r="EU140">
            <v>0</v>
          </cell>
          <cell r="EV140">
            <v>0</v>
          </cell>
          <cell r="EW140">
            <v>0</v>
          </cell>
          <cell r="EX140">
            <v>1</v>
          </cell>
          <cell r="EY140">
            <v>1</v>
          </cell>
          <cell r="EZ140">
            <v>1</v>
          </cell>
          <cell r="FA140">
            <v>0</v>
          </cell>
          <cell r="FB140">
            <v>0</v>
          </cell>
          <cell r="FC140">
            <v>0</v>
          </cell>
          <cell r="FD140">
            <v>0</v>
          </cell>
          <cell r="FE140">
            <v>0</v>
          </cell>
          <cell r="FF140">
            <v>0</v>
          </cell>
          <cell r="FG140">
            <v>0</v>
          </cell>
          <cell r="FH140">
            <v>0</v>
          </cell>
          <cell r="FI140">
            <v>0</v>
          </cell>
          <cell r="FJ140">
            <v>0</v>
          </cell>
          <cell r="FK140">
            <v>0</v>
          </cell>
          <cell r="FL140">
            <v>0</v>
          </cell>
          <cell r="FM140">
            <v>0</v>
          </cell>
          <cell r="FN140">
            <v>0</v>
          </cell>
          <cell r="FO140">
            <v>0</v>
          </cell>
          <cell r="FP140">
            <v>0</v>
          </cell>
          <cell r="FQ140">
            <v>0</v>
          </cell>
          <cell r="FR140">
            <v>0</v>
          </cell>
          <cell r="FS140">
            <v>0</v>
          </cell>
          <cell r="FT140">
            <v>0</v>
          </cell>
          <cell r="FU140">
            <v>0</v>
          </cell>
          <cell r="FV140">
            <v>0</v>
          </cell>
          <cell r="FW140">
            <v>0</v>
          </cell>
          <cell r="FX140">
            <v>0</v>
          </cell>
          <cell r="FY140">
            <v>0</v>
          </cell>
          <cell r="FZ140">
            <v>0</v>
          </cell>
        </row>
        <row r="141">
          <cell r="A141" t="str">
            <v>F_PVP_NRF_CPT_PRP_FRCE_PVF</v>
          </cell>
          <cell r="B141">
            <v>0.1</v>
          </cell>
          <cell r="C141">
            <v>0.08</v>
          </cell>
          <cell r="D141">
            <v>0.15</v>
          </cell>
          <cell r="E141">
            <v>0.08</v>
          </cell>
          <cell r="F141">
            <v>0.15</v>
          </cell>
          <cell r="G141">
            <v>0.22</v>
          </cell>
          <cell r="H141">
            <v>7.0000000000000007E-2</v>
          </cell>
          <cell r="I141">
            <v>0.05</v>
          </cell>
          <cell r="J141">
            <v>0.13</v>
          </cell>
          <cell r="K141">
            <v>0.18</v>
          </cell>
          <cell r="L141">
            <v>0.17</v>
          </cell>
          <cell r="M141">
            <v>0.16</v>
          </cell>
          <cell r="N141">
            <v>0.8</v>
          </cell>
          <cell r="O141">
            <v>1</v>
          </cell>
          <cell r="P141">
            <v>1</v>
          </cell>
          <cell r="Q141">
            <v>0.8</v>
          </cell>
          <cell r="R141">
            <v>0.8</v>
          </cell>
          <cell r="S141">
            <v>1</v>
          </cell>
          <cell r="T141">
            <v>1</v>
          </cell>
          <cell r="U141">
            <v>1</v>
          </cell>
          <cell r="V141">
            <v>1</v>
          </cell>
          <cell r="W141">
            <v>1</v>
          </cell>
          <cell r="X141">
            <v>1</v>
          </cell>
          <cell r="Y141">
            <v>1</v>
          </cell>
          <cell r="Z141">
            <v>0.1</v>
          </cell>
          <cell r="AA141">
            <v>0.1</v>
          </cell>
          <cell r="AB141">
            <v>0.14000000000000001</v>
          </cell>
          <cell r="AC141">
            <v>0.11</v>
          </cell>
          <cell r="AD141">
            <v>0.11</v>
          </cell>
          <cell r="AE141">
            <v>0.19</v>
          </cell>
          <cell r="AF141">
            <v>0.09</v>
          </cell>
          <cell r="AG141">
            <v>0.11</v>
          </cell>
          <cell r="AH141">
            <v>0.15</v>
          </cell>
          <cell r="AI141">
            <v>0.2</v>
          </cell>
          <cell r="AJ141">
            <v>0.2</v>
          </cell>
          <cell r="AK141">
            <v>0.2</v>
          </cell>
          <cell r="AL141">
            <v>0</v>
          </cell>
          <cell r="AM141">
            <v>0</v>
          </cell>
          <cell r="AN141">
            <v>0</v>
          </cell>
          <cell r="AO141">
            <v>0</v>
          </cell>
          <cell r="AP141">
            <v>0</v>
          </cell>
          <cell r="AQ141">
            <v>0</v>
          </cell>
          <cell r="AR141">
            <v>0</v>
          </cell>
          <cell r="AS141">
            <v>0</v>
          </cell>
          <cell r="AT141">
            <v>0</v>
          </cell>
          <cell r="AU141">
            <v>0</v>
          </cell>
          <cell r="AV141">
            <v>0</v>
          </cell>
          <cell r="AW141">
            <v>0</v>
          </cell>
          <cell r="AX141">
            <v>0</v>
          </cell>
          <cell r="AY141">
            <v>0</v>
          </cell>
          <cell r="AZ141">
            <v>0</v>
          </cell>
          <cell r="BA141">
            <v>0</v>
          </cell>
          <cell r="BB141">
            <v>0</v>
          </cell>
          <cell r="BC141">
            <v>0</v>
          </cell>
          <cell r="BD141">
            <v>0</v>
          </cell>
          <cell r="BE141">
            <v>0</v>
          </cell>
          <cell r="BF141">
            <v>0</v>
          </cell>
          <cell r="BG141">
            <v>0</v>
          </cell>
          <cell r="BH141">
            <v>0</v>
          </cell>
          <cell r="BI141">
            <v>0</v>
          </cell>
          <cell r="BJ141">
            <v>0</v>
          </cell>
          <cell r="BK141">
            <v>0</v>
          </cell>
          <cell r="BL141">
            <v>0</v>
          </cell>
          <cell r="BM141">
            <v>0</v>
          </cell>
          <cell r="BN141">
            <v>0</v>
          </cell>
          <cell r="BO141">
            <v>0</v>
          </cell>
          <cell r="BP141">
            <v>0</v>
          </cell>
          <cell r="BQ141">
            <v>0</v>
          </cell>
          <cell r="BR141">
            <v>0</v>
          </cell>
          <cell r="BS141">
            <v>0</v>
          </cell>
          <cell r="BT141">
            <v>0</v>
          </cell>
          <cell r="BU141">
            <v>0</v>
          </cell>
          <cell r="BV141">
            <v>0</v>
          </cell>
          <cell r="BW141">
            <v>0</v>
          </cell>
          <cell r="BX141">
            <v>0</v>
          </cell>
          <cell r="BY141">
            <v>0</v>
          </cell>
          <cell r="BZ141">
            <v>0</v>
          </cell>
          <cell r="CA141">
            <v>0</v>
          </cell>
          <cell r="CB141">
            <v>0</v>
          </cell>
          <cell r="CC141">
            <v>0</v>
          </cell>
          <cell r="CD141">
            <v>0</v>
          </cell>
          <cell r="CE141">
            <v>0</v>
          </cell>
          <cell r="CF141">
            <v>0</v>
          </cell>
          <cell r="CG141">
            <v>0</v>
          </cell>
          <cell r="CH141">
            <v>0</v>
          </cell>
          <cell r="CI141">
            <v>0</v>
          </cell>
          <cell r="CJ141">
            <v>0</v>
          </cell>
          <cell r="CK141">
            <v>0</v>
          </cell>
          <cell r="CL141">
            <v>0</v>
          </cell>
          <cell r="CM141">
            <v>0</v>
          </cell>
          <cell r="CN141">
            <v>0</v>
          </cell>
          <cell r="CO141">
            <v>0</v>
          </cell>
          <cell r="CP141">
            <v>0</v>
          </cell>
          <cell r="CQ141">
            <v>0</v>
          </cell>
          <cell r="CR141">
            <v>0</v>
          </cell>
          <cell r="CS141">
            <v>0</v>
          </cell>
          <cell r="CT141">
            <v>0</v>
          </cell>
          <cell r="CU141">
            <v>0</v>
          </cell>
          <cell r="CV141">
            <v>0</v>
          </cell>
          <cell r="CW141">
            <v>0</v>
          </cell>
          <cell r="CX141">
            <v>0</v>
          </cell>
          <cell r="CY141">
            <v>0</v>
          </cell>
          <cell r="CZ141">
            <v>0</v>
          </cell>
          <cell r="DA141">
            <v>0</v>
          </cell>
          <cell r="DB141">
            <v>0</v>
          </cell>
          <cell r="DC141">
            <v>0</v>
          </cell>
          <cell r="DD141">
            <v>0</v>
          </cell>
          <cell r="DE141">
            <v>0</v>
          </cell>
          <cell r="DF141">
            <v>0</v>
          </cell>
          <cell r="DG141">
            <v>0</v>
          </cell>
          <cell r="DH141">
            <v>0</v>
          </cell>
          <cell r="DI141">
            <v>0</v>
          </cell>
          <cell r="DJ141">
            <v>0</v>
          </cell>
          <cell r="DK141">
            <v>0</v>
          </cell>
          <cell r="DL141">
            <v>0</v>
          </cell>
          <cell r="DM141">
            <v>0</v>
          </cell>
          <cell r="DN141">
            <v>0</v>
          </cell>
          <cell r="DO141">
            <v>0</v>
          </cell>
          <cell r="DP141">
            <v>0</v>
          </cell>
          <cell r="DQ141">
            <v>0</v>
          </cell>
          <cell r="DR141">
            <v>0</v>
          </cell>
          <cell r="DS141">
            <v>0</v>
          </cell>
          <cell r="DT141">
            <v>0</v>
          </cell>
          <cell r="DU141">
            <v>0</v>
          </cell>
          <cell r="DV141">
            <v>0</v>
          </cell>
          <cell r="DW141">
            <v>0</v>
          </cell>
          <cell r="DX141">
            <v>0</v>
          </cell>
          <cell r="DY141">
            <v>0</v>
          </cell>
          <cell r="EA141">
            <v>0</v>
          </cell>
          <cell r="EB141">
            <v>0</v>
          </cell>
          <cell r="EC141">
            <v>0</v>
          </cell>
          <cell r="ED141">
            <v>0.05</v>
          </cell>
          <cell r="EE141">
            <v>0.09</v>
          </cell>
          <cell r="EF141">
            <v>0.08</v>
          </cell>
          <cell r="EG141">
            <v>0.17</v>
          </cell>
          <cell r="EH141">
            <v>1</v>
          </cell>
          <cell r="EI141">
            <v>1</v>
          </cell>
          <cell r="EJ141">
            <v>1</v>
          </cell>
          <cell r="EK141">
            <v>1</v>
          </cell>
          <cell r="EL141">
            <v>0.05</v>
          </cell>
          <cell r="EM141">
            <v>0.14000000000000001</v>
          </cell>
          <cell r="EN141">
            <v>0.11</v>
          </cell>
          <cell r="EO141">
            <v>0.2</v>
          </cell>
          <cell r="EP141">
            <v>0</v>
          </cell>
          <cell r="EQ141">
            <v>0</v>
          </cell>
          <cell r="ER141">
            <v>0</v>
          </cell>
          <cell r="ES141">
            <v>0</v>
          </cell>
          <cell r="ET141">
            <v>0</v>
          </cell>
          <cell r="EU141">
            <v>0</v>
          </cell>
          <cell r="EV141">
            <v>0</v>
          </cell>
          <cell r="EW141">
            <v>0</v>
          </cell>
          <cell r="EX141">
            <v>1</v>
          </cell>
          <cell r="EY141">
            <v>1</v>
          </cell>
          <cell r="EZ141">
            <v>1</v>
          </cell>
          <cell r="FA141">
            <v>0</v>
          </cell>
          <cell r="FB141">
            <v>0</v>
          </cell>
          <cell r="FC141">
            <v>0</v>
          </cell>
          <cell r="FD141">
            <v>0</v>
          </cell>
          <cell r="FE141">
            <v>0</v>
          </cell>
          <cell r="FF141">
            <v>0</v>
          </cell>
          <cell r="FG141">
            <v>0</v>
          </cell>
          <cell r="FH141">
            <v>0</v>
          </cell>
          <cell r="FI141">
            <v>0</v>
          </cell>
          <cell r="FJ141">
            <v>0</v>
          </cell>
          <cell r="FK141">
            <v>0</v>
          </cell>
          <cell r="FL141">
            <v>0</v>
          </cell>
          <cell r="FM141">
            <v>0</v>
          </cell>
          <cell r="FN141">
            <v>0</v>
          </cell>
          <cell r="FO141">
            <v>0</v>
          </cell>
          <cell r="FP141">
            <v>0</v>
          </cell>
          <cell r="FQ141">
            <v>0</v>
          </cell>
          <cell r="FR141">
            <v>0</v>
          </cell>
          <cell r="FS141">
            <v>0</v>
          </cell>
          <cell r="FT141">
            <v>0</v>
          </cell>
          <cell r="FU141">
            <v>0</v>
          </cell>
          <cell r="FV141">
            <v>0</v>
          </cell>
          <cell r="FW141">
            <v>0</v>
          </cell>
          <cell r="FX141">
            <v>0</v>
          </cell>
          <cell r="FY141">
            <v>0</v>
          </cell>
          <cell r="FZ141">
            <v>0</v>
          </cell>
        </row>
        <row r="142">
          <cell r="A142" t="str">
            <v>F_MFP_NRF_RIS_COL_FRCE_MFP</v>
          </cell>
          <cell r="B142">
            <v>0.1</v>
          </cell>
          <cell r="C142">
            <v>7.0000000000000007E-2</v>
          </cell>
          <cell r="D142">
            <v>0.17</v>
          </cell>
          <cell r="E142">
            <v>0.1</v>
          </cell>
          <cell r="F142">
            <v>0.15</v>
          </cell>
          <cell r="G142">
            <v>0.215</v>
          </cell>
          <cell r="H142">
            <v>6.5000000000000002E-2</v>
          </cell>
          <cell r="I142">
            <v>0.05</v>
          </cell>
          <cell r="J142">
            <v>0.13</v>
          </cell>
          <cell r="K142">
            <v>0.17499999999999999</v>
          </cell>
          <cell r="L142">
            <v>0.17</v>
          </cell>
          <cell r="M142">
            <v>0.16</v>
          </cell>
          <cell r="N142">
            <v>0</v>
          </cell>
          <cell r="O142">
            <v>1</v>
          </cell>
          <cell r="P142">
            <v>1</v>
          </cell>
          <cell r="Q142">
            <v>1</v>
          </cell>
          <cell r="R142">
            <v>1</v>
          </cell>
          <cell r="S142">
            <v>1</v>
          </cell>
          <cell r="T142">
            <v>1</v>
          </cell>
          <cell r="U142">
            <v>1</v>
          </cell>
          <cell r="V142">
            <v>1</v>
          </cell>
          <cell r="W142">
            <v>1</v>
          </cell>
          <cell r="X142">
            <v>1</v>
          </cell>
          <cell r="Y142">
            <v>1</v>
          </cell>
          <cell r="Z142">
            <v>1</v>
          </cell>
          <cell r="AA142">
            <v>9.5000000000000001E-2</v>
          </cell>
          <cell r="AB142">
            <v>0.1</v>
          </cell>
          <cell r="AC142">
            <v>0.14000000000000001</v>
          </cell>
          <cell r="AD142">
            <v>0.11</v>
          </cell>
          <cell r="AE142">
            <v>0.11</v>
          </cell>
          <cell r="AF142">
            <v>0.19</v>
          </cell>
          <cell r="AG142">
            <v>0.09</v>
          </cell>
          <cell r="AH142">
            <v>0.11</v>
          </cell>
          <cell r="AI142">
            <v>0.15</v>
          </cell>
          <cell r="AJ142">
            <v>0.2</v>
          </cell>
          <cell r="AK142">
            <v>0.2</v>
          </cell>
          <cell r="AL142">
            <v>0</v>
          </cell>
          <cell r="AM142">
            <v>0</v>
          </cell>
          <cell r="AN142">
            <v>0</v>
          </cell>
          <cell r="AO142">
            <v>0</v>
          </cell>
          <cell r="AP142">
            <v>0</v>
          </cell>
          <cell r="AQ142">
            <v>0</v>
          </cell>
          <cell r="AR142">
            <v>0</v>
          </cell>
          <cell r="AS142">
            <v>0</v>
          </cell>
          <cell r="AT142">
            <v>0</v>
          </cell>
          <cell r="AU142">
            <v>0</v>
          </cell>
          <cell r="AV142">
            <v>0</v>
          </cell>
          <cell r="AW142">
            <v>0</v>
          </cell>
          <cell r="AX142">
            <v>0</v>
          </cell>
          <cell r="AY142">
            <v>0</v>
          </cell>
          <cell r="AZ142">
            <v>0</v>
          </cell>
          <cell r="BA142">
            <v>0</v>
          </cell>
          <cell r="BB142">
            <v>0</v>
          </cell>
          <cell r="BC142">
            <v>0</v>
          </cell>
          <cell r="BD142">
            <v>0</v>
          </cell>
          <cell r="BE142">
            <v>0</v>
          </cell>
          <cell r="BF142">
            <v>0</v>
          </cell>
          <cell r="BG142">
            <v>0</v>
          </cell>
          <cell r="BH142">
            <v>0</v>
          </cell>
          <cell r="BI142">
            <v>0</v>
          </cell>
          <cell r="BJ142">
            <v>0</v>
          </cell>
          <cell r="BK142">
            <v>0</v>
          </cell>
          <cell r="BL142">
            <v>0</v>
          </cell>
          <cell r="BM142">
            <v>0</v>
          </cell>
          <cell r="BN142">
            <v>0</v>
          </cell>
          <cell r="BO142">
            <v>0</v>
          </cell>
          <cell r="BP142">
            <v>0</v>
          </cell>
          <cell r="BQ142">
            <v>0</v>
          </cell>
          <cell r="BR142">
            <v>0</v>
          </cell>
          <cell r="BS142">
            <v>0</v>
          </cell>
          <cell r="BT142">
            <v>0</v>
          </cell>
          <cell r="BU142">
            <v>0</v>
          </cell>
          <cell r="BV142">
            <v>0</v>
          </cell>
          <cell r="BW142">
            <v>0</v>
          </cell>
          <cell r="BX142">
            <v>0</v>
          </cell>
          <cell r="BY142">
            <v>0</v>
          </cell>
          <cell r="BZ142">
            <v>0</v>
          </cell>
          <cell r="CA142">
            <v>0</v>
          </cell>
          <cell r="CB142">
            <v>0</v>
          </cell>
          <cell r="CC142">
            <v>0</v>
          </cell>
          <cell r="CD142">
            <v>0</v>
          </cell>
          <cell r="CE142">
            <v>0</v>
          </cell>
          <cell r="CF142">
            <v>0</v>
          </cell>
          <cell r="CG142">
            <v>0</v>
          </cell>
          <cell r="CH142">
            <v>0</v>
          </cell>
          <cell r="CI142">
            <v>0</v>
          </cell>
          <cell r="CJ142">
            <v>0</v>
          </cell>
          <cell r="CK142">
            <v>0</v>
          </cell>
          <cell r="CL142">
            <v>0</v>
          </cell>
          <cell r="CM142">
            <v>0</v>
          </cell>
          <cell r="CN142">
            <v>0</v>
          </cell>
          <cell r="CO142">
            <v>0</v>
          </cell>
          <cell r="CP142">
            <v>0</v>
          </cell>
          <cell r="CQ142">
            <v>0</v>
          </cell>
          <cell r="CR142">
            <v>0</v>
          </cell>
          <cell r="CS142">
            <v>0</v>
          </cell>
          <cell r="CT142">
            <v>0</v>
          </cell>
          <cell r="CU142">
            <v>0</v>
          </cell>
          <cell r="CV142">
            <v>0</v>
          </cell>
          <cell r="CW142">
            <v>0</v>
          </cell>
          <cell r="CX142">
            <v>0</v>
          </cell>
          <cell r="CY142">
            <v>0</v>
          </cell>
          <cell r="CZ142">
            <v>0</v>
          </cell>
          <cell r="DA142">
            <v>0</v>
          </cell>
          <cell r="DB142">
            <v>0</v>
          </cell>
          <cell r="DC142">
            <v>0</v>
          </cell>
          <cell r="DD142">
            <v>0</v>
          </cell>
          <cell r="DE142">
            <v>0</v>
          </cell>
          <cell r="DF142">
            <v>0</v>
          </cell>
          <cell r="DG142">
            <v>0</v>
          </cell>
          <cell r="DH142">
            <v>0</v>
          </cell>
          <cell r="DI142">
            <v>0</v>
          </cell>
          <cell r="DJ142">
            <v>0</v>
          </cell>
          <cell r="DK142">
            <v>0</v>
          </cell>
          <cell r="DL142">
            <v>0</v>
          </cell>
          <cell r="DM142">
            <v>0</v>
          </cell>
          <cell r="DN142">
            <v>0</v>
          </cell>
          <cell r="DO142">
            <v>0</v>
          </cell>
          <cell r="DP142">
            <v>0</v>
          </cell>
          <cell r="DQ142">
            <v>0</v>
          </cell>
          <cell r="DR142">
            <v>0</v>
          </cell>
          <cell r="DS142">
            <v>0</v>
          </cell>
          <cell r="DT142">
            <v>0</v>
          </cell>
          <cell r="DU142">
            <v>0</v>
          </cell>
          <cell r="DV142">
            <v>0</v>
          </cell>
          <cell r="DW142">
            <v>0</v>
          </cell>
          <cell r="DX142">
            <v>0</v>
          </cell>
          <cell r="DY142">
            <v>0</v>
          </cell>
          <cell r="EA142">
            <v>0</v>
          </cell>
          <cell r="EB142">
            <v>0</v>
          </cell>
          <cell r="EC142">
            <v>0</v>
          </cell>
          <cell r="ED142">
            <v>0.05</v>
          </cell>
          <cell r="EE142">
            <v>0.09</v>
          </cell>
          <cell r="EF142">
            <v>0.08</v>
          </cell>
          <cell r="EG142">
            <v>0.17</v>
          </cell>
          <cell r="EH142">
            <v>1</v>
          </cell>
          <cell r="EI142">
            <v>1</v>
          </cell>
          <cell r="EJ142">
            <v>1</v>
          </cell>
          <cell r="EK142">
            <v>1</v>
          </cell>
          <cell r="EL142">
            <v>0.05</v>
          </cell>
          <cell r="EM142">
            <v>0.14000000000000001</v>
          </cell>
          <cell r="EN142">
            <v>0.11</v>
          </cell>
          <cell r="EO142">
            <v>0.2</v>
          </cell>
          <cell r="EP142">
            <v>0</v>
          </cell>
          <cell r="EQ142">
            <v>0</v>
          </cell>
          <cell r="ER142">
            <v>0</v>
          </cell>
          <cell r="ES142">
            <v>0</v>
          </cell>
          <cell r="ET142">
            <v>0</v>
          </cell>
          <cell r="EU142">
            <v>0</v>
          </cell>
          <cell r="EV142">
            <v>49662113.024218783</v>
          </cell>
          <cell r="EW142">
            <v>0</v>
          </cell>
          <cell r="EX142">
            <v>0</v>
          </cell>
          <cell r="EY142">
            <v>0</v>
          </cell>
          <cell r="EZ142">
            <v>0</v>
          </cell>
          <cell r="FA142">
            <v>0</v>
          </cell>
          <cell r="FB142">
            <v>0</v>
          </cell>
          <cell r="FC142">
            <v>0</v>
          </cell>
          <cell r="FD142">
            <v>0</v>
          </cell>
          <cell r="FE142">
            <v>0</v>
          </cell>
          <cell r="FF142">
            <v>0</v>
          </cell>
          <cell r="FG142">
            <v>0</v>
          </cell>
          <cell r="FH142">
            <v>679243.63427697029</v>
          </cell>
          <cell r="FI142">
            <v>12009375</v>
          </cell>
          <cell r="FJ142">
            <v>259886.24999999997</v>
          </cell>
          <cell r="FK142">
            <v>5952510.1281857435</v>
          </cell>
          <cell r="FL142">
            <v>43536572</v>
          </cell>
          <cell r="FM142">
            <v>0</v>
          </cell>
          <cell r="FN142">
            <v>0</v>
          </cell>
          <cell r="FO142">
            <v>5952510.1281857435</v>
          </cell>
          <cell r="FP142">
            <v>43536572</v>
          </cell>
          <cell r="FQ142">
            <v>0</v>
          </cell>
          <cell r="FR142">
            <v>0</v>
          </cell>
          <cell r="FS142">
            <v>5952510.1281857435</v>
          </cell>
          <cell r="FT142">
            <v>43536572</v>
          </cell>
          <cell r="FU142">
            <v>0</v>
          </cell>
          <cell r="FV142">
            <v>0</v>
          </cell>
          <cell r="FW142">
            <v>0</v>
          </cell>
          <cell r="FX142">
            <v>0</v>
          </cell>
          <cell r="FY142">
            <v>0</v>
          </cell>
          <cell r="FZ142">
            <v>0</v>
          </cell>
        </row>
        <row r="143">
          <cell r="A143" t="str">
            <v>F_MFP_NRF_ASS_EMP_FRCE_MFP</v>
          </cell>
          <cell r="B143">
            <v>0.1</v>
          </cell>
          <cell r="C143">
            <v>7.0000000000000007E-2</v>
          </cell>
          <cell r="D143">
            <v>0.17</v>
          </cell>
          <cell r="E143">
            <v>0.1</v>
          </cell>
          <cell r="F143">
            <v>0.15</v>
          </cell>
          <cell r="G143">
            <v>0.215</v>
          </cell>
          <cell r="H143">
            <v>6.5000000000000002E-2</v>
          </cell>
          <cell r="I143">
            <v>0.05</v>
          </cell>
          <cell r="J143">
            <v>0.13</v>
          </cell>
          <cell r="K143">
            <v>0.17499999999999999</v>
          </cell>
          <cell r="L143">
            <v>0.17</v>
          </cell>
          <cell r="M143">
            <v>0.16</v>
          </cell>
          <cell r="N143">
            <v>0</v>
          </cell>
          <cell r="O143">
            <v>1</v>
          </cell>
          <cell r="P143">
            <v>1</v>
          </cell>
          <cell r="Q143">
            <v>1</v>
          </cell>
          <cell r="R143">
            <v>1</v>
          </cell>
          <cell r="S143">
            <v>1</v>
          </cell>
          <cell r="T143">
            <v>1</v>
          </cell>
          <cell r="U143">
            <v>1</v>
          </cell>
          <cell r="V143">
            <v>1</v>
          </cell>
          <cell r="W143">
            <v>1</v>
          </cell>
          <cell r="X143">
            <v>1</v>
          </cell>
          <cell r="Y143">
            <v>1</v>
          </cell>
          <cell r="Z143">
            <v>1</v>
          </cell>
          <cell r="AA143">
            <v>9.5000000000000001E-2</v>
          </cell>
          <cell r="AB143">
            <v>0.1</v>
          </cell>
          <cell r="AC143">
            <v>0.14000000000000001</v>
          </cell>
          <cell r="AD143">
            <v>0.11</v>
          </cell>
          <cell r="AE143">
            <v>0.11</v>
          </cell>
          <cell r="AF143">
            <v>0.19</v>
          </cell>
          <cell r="AG143">
            <v>0.09</v>
          </cell>
          <cell r="AH143">
            <v>0.11</v>
          </cell>
          <cell r="AI143">
            <v>0.15</v>
          </cell>
          <cell r="AJ143">
            <v>0.2</v>
          </cell>
          <cell r="AK143">
            <v>0.2</v>
          </cell>
          <cell r="AL143">
            <v>0</v>
          </cell>
          <cell r="AM143">
            <v>0</v>
          </cell>
          <cell r="AN143">
            <v>0</v>
          </cell>
          <cell r="AO143">
            <v>0</v>
          </cell>
          <cell r="AP143">
            <v>0</v>
          </cell>
          <cell r="AQ143">
            <v>0</v>
          </cell>
          <cell r="AR143">
            <v>0</v>
          </cell>
          <cell r="AS143">
            <v>0</v>
          </cell>
          <cell r="AT143">
            <v>0</v>
          </cell>
          <cell r="AU143">
            <v>0</v>
          </cell>
          <cell r="AV143">
            <v>0</v>
          </cell>
          <cell r="AW143">
            <v>0</v>
          </cell>
          <cell r="AX143">
            <v>0</v>
          </cell>
          <cell r="AY143">
            <v>0</v>
          </cell>
          <cell r="AZ143">
            <v>0</v>
          </cell>
          <cell r="BA143">
            <v>0</v>
          </cell>
          <cell r="BB143">
            <v>0</v>
          </cell>
          <cell r="BC143">
            <v>0</v>
          </cell>
          <cell r="BD143">
            <v>0</v>
          </cell>
          <cell r="BE143">
            <v>0</v>
          </cell>
          <cell r="BF143">
            <v>0</v>
          </cell>
          <cell r="BG143">
            <v>0</v>
          </cell>
          <cell r="BH143">
            <v>0</v>
          </cell>
          <cell r="BI143">
            <v>0</v>
          </cell>
          <cell r="BJ143">
            <v>0</v>
          </cell>
          <cell r="BK143">
            <v>0</v>
          </cell>
          <cell r="BL143">
            <v>0</v>
          </cell>
          <cell r="BM143">
            <v>0</v>
          </cell>
          <cell r="BN143">
            <v>0</v>
          </cell>
          <cell r="BO143">
            <v>0</v>
          </cell>
          <cell r="BP143">
            <v>0</v>
          </cell>
          <cell r="BQ143">
            <v>0</v>
          </cell>
          <cell r="BR143">
            <v>0</v>
          </cell>
          <cell r="BS143">
            <v>0</v>
          </cell>
          <cell r="BT143">
            <v>0</v>
          </cell>
          <cell r="BU143">
            <v>0</v>
          </cell>
          <cell r="BV143">
            <v>0</v>
          </cell>
          <cell r="BW143">
            <v>0</v>
          </cell>
          <cell r="BX143">
            <v>0</v>
          </cell>
          <cell r="BY143">
            <v>0</v>
          </cell>
          <cell r="BZ143">
            <v>0</v>
          </cell>
          <cell r="CA143">
            <v>0</v>
          </cell>
          <cell r="CB143">
            <v>0</v>
          </cell>
          <cell r="CC143">
            <v>0</v>
          </cell>
          <cell r="CD143">
            <v>0</v>
          </cell>
          <cell r="CE143">
            <v>0</v>
          </cell>
          <cell r="CF143">
            <v>0</v>
          </cell>
          <cell r="CG143">
            <v>0</v>
          </cell>
          <cell r="CH143">
            <v>0</v>
          </cell>
          <cell r="CI143">
            <v>0</v>
          </cell>
          <cell r="CJ143">
            <v>0</v>
          </cell>
          <cell r="CK143">
            <v>0</v>
          </cell>
          <cell r="CL143">
            <v>0</v>
          </cell>
          <cell r="CM143">
            <v>0</v>
          </cell>
          <cell r="CN143">
            <v>0</v>
          </cell>
          <cell r="CO143">
            <v>0</v>
          </cell>
          <cell r="CP143">
            <v>0</v>
          </cell>
          <cell r="CQ143">
            <v>0</v>
          </cell>
          <cell r="CR143">
            <v>0</v>
          </cell>
          <cell r="CS143">
            <v>0</v>
          </cell>
          <cell r="CT143">
            <v>0</v>
          </cell>
          <cell r="CU143">
            <v>0</v>
          </cell>
          <cell r="CV143">
            <v>0</v>
          </cell>
          <cell r="CW143">
            <v>0</v>
          </cell>
          <cell r="CX143">
            <v>0</v>
          </cell>
          <cell r="CY143">
            <v>0</v>
          </cell>
          <cell r="CZ143">
            <v>0</v>
          </cell>
          <cell r="DA143">
            <v>0</v>
          </cell>
          <cell r="DB143">
            <v>0</v>
          </cell>
          <cell r="DC143">
            <v>0</v>
          </cell>
          <cell r="DD143">
            <v>0</v>
          </cell>
          <cell r="DE143">
            <v>0</v>
          </cell>
          <cell r="DF143">
            <v>0</v>
          </cell>
          <cell r="DG143">
            <v>0</v>
          </cell>
          <cell r="DH143">
            <v>0</v>
          </cell>
          <cell r="DI143">
            <v>0</v>
          </cell>
          <cell r="DJ143">
            <v>0</v>
          </cell>
          <cell r="DK143">
            <v>0</v>
          </cell>
          <cell r="DL143">
            <v>0</v>
          </cell>
          <cell r="DM143">
            <v>0</v>
          </cell>
          <cell r="DN143">
            <v>0</v>
          </cell>
          <cell r="DO143">
            <v>0</v>
          </cell>
          <cell r="DP143">
            <v>0</v>
          </cell>
          <cell r="DQ143">
            <v>0</v>
          </cell>
          <cell r="DR143">
            <v>0</v>
          </cell>
          <cell r="DS143">
            <v>0</v>
          </cell>
          <cell r="DT143">
            <v>0</v>
          </cell>
          <cell r="DU143">
            <v>0</v>
          </cell>
          <cell r="DV143">
            <v>0</v>
          </cell>
          <cell r="DW143">
            <v>0</v>
          </cell>
          <cell r="DX143">
            <v>0</v>
          </cell>
          <cell r="DY143">
            <v>0</v>
          </cell>
          <cell r="EA143">
            <v>0</v>
          </cell>
          <cell r="EB143">
            <v>0</v>
          </cell>
          <cell r="EC143">
            <v>0</v>
          </cell>
          <cell r="ED143">
            <v>0.05</v>
          </cell>
          <cell r="EE143">
            <v>0.09</v>
          </cell>
          <cell r="EF143">
            <v>0.08</v>
          </cell>
          <cell r="EG143">
            <v>0.17</v>
          </cell>
          <cell r="EH143">
            <v>1</v>
          </cell>
          <cell r="EI143">
            <v>1</v>
          </cell>
          <cell r="EJ143">
            <v>1</v>
          </cell>
          <cell r="EK143">
            <v>1</v>
          </cell>
          <cell r="EL143">
            <v>0.05</v>
          </cell>
          <cell r="EM143">
            <v>0.14000000000000001</v>
          </cell>
          <cell r="EN143">
            <v>0.11</v>
          </cell>
          <cell r="EO143">
            <v>0.2</v>
          </cell>
          <cell r="EP143">
            <v>0</v>
          </cell>
          <cell r="EQ143">
            <v>0</v>
          </cell>
          <cell r="ER143">
            <v>0</v>
          </cell>
          <cell r="ES143">
            <v>0</v>
          </cell>
          <cell r="ET143">
            <v>0</v>
          </cell>
          <cell r="EU143">
            <v>0</v>
          </cell>
          <cell r="EV143">
            <v>0</v>
          </cell>
          <cell r="EW143">
            <v>0</v>
          </cell>
          <cell r="EX143">
            <v>0</v>
          </cell>
          <cell r="EY143">
            <v>0</v>
          </cell>
          <cell r="EZ143">
            <v>0</v>
          </cell>
          <cell r="FA143">
            <v>0</v>
          </cell>
          <cell r="FB143">
            <v>0</v>
          </cell>
          <cell r="FC143">
            <v>0</v>
          </cell>
          <cell r="FD143">
            <v>0</v>
          </cell>
          <cell r="FE143">
            <v>0</v>
          </cell>
          <cell r="FF143">
            <v>0</v>
          </cell>
          <cell r="FG143">
            <v>0</v>
          </cell>
          <cell r="FH143">
            <v>0</v>
          </cell>
          <cell r="FI143">
            <v>0</v>
          </cell>
          <cell r="FJ143">
            <v>0</v>
          </cell>
          <cell r="FK143">
            <v>0</v>
          </cell>
          <cell r="FL143">
            <v>0</v>
          </cell>
          <cell r="FM143">
            <v>0</v>
          </cell>
          <cell r="FN143">
            <v>0</v>
          </cell>
          <cell r="FO143">
            <v>0</v>
          </cell>
          <cell r="FP143">
            <v>0</v>
          </cell>
          <cell r="FQ143">
            <v>0</v>
          </cell>
          <cell r="FR143">
            <v>0</v>
          </cell>
          <cell r="FS143">
            <v>0</v>
          </cell>
          <cell r="FT143">
            <v>0</v>
          </cell>
          <cell r="FU143">
            <v>0</v>
          </cell>
          <cell r="FV143">
            <v>0</v>
          </cell>
          <cell r="FW143">
            <v>0</v>
          </cell>
          <cell r="FX143">
            <v>0</v>
          </cell>
          <cell r="FY143">
            <v>0</v>
          </cell>
          <cell r="FZ143">
            <v>0</v>
          </cell>
        </row>
        <row r="144">
          <cell r="A144" t="str">
            <v>F_MFP_NRF_CPT_PRP_FRCE_MFP</v>
          </cell>
          <cell r="B144">
            <v>0.1</v>
          </cell>
          <cell r="C144">
            <v>7.0000000000000007E-2</v>
          </cell>
          <cell r="D144">
            <v>0.17</v>
          </cell>
          <cell r="E144">
            <v>0.1</v>
          </cell>
          <cell r="F144">
            <v>0.15</v>
          </cell>
          <cell r="G144">
            <v>0.215</v>
          </cell>
          <cell r="H144">
            <v>6.5000000000000002E-2</v>
          </cell>
          <cell r="I144">
            <v>0.05</v>
          </cell>
          <cell r="J144">
            <v>0.13</v>
          </cell>
          <cell r="K144">
            <v>0.17499999999999999</v>
          </cell>
          <cell r="L144">
            <v>0.17</v>
          </cell>
          <cell r="M144">
            <v>0.16</v>
          </cell>
          <cell r="N144">
            <v>0</v>
          </cell>
          <cell r="O144">
            <v>1</v>
          </cell>
          <cell r="P144">
            <v>1</v>
          </cell>
          <cell r="Q144">
            <v>1</v>
          </cell>
          <cell r="R144">
            <v>1</v>
          </cell>
          <cell r="S144">
            <v>1</v>
          </cell>
          <cell r="T144">
            <v>1</v>
          </cell>
          <cell r="U144">
            <v>1</v>
          </cell>
          <cell r="V144">
            <v>1</v>
          </cell>
          <cell r="W144">
            <v>1</v>
          </cell>
          <cell r="X144">
            <v>1</v>
          </cell>
          <cell r="Y144">
            <v>1</v>
          </cell>
          <cell r="Z144">
            <v>1</v>
          </cell>
          <cell r="AA144">
            <v>9.5000000000000001E-2</v>
          </cell>
          <cell r="AB144">
            <v>0.1</v>
          </cell>
          <cell r="AC144">
            <v>0.14000000000000001</v>
          </cell>
          <cell r="AD144">
            <v>0.11</v>
          </cell>
          <cell r="AE144">
            <v>0.11</v>
          </cell>
          <cell r="AF144">
            <v>0.19</v>
          </cell>
          <cell r="AG144">
            <v>0.09</v>
          </cell>
          <cell r="AH144">
            <v>0.11</v>
          </cell>
          <cell r="AI144">
            <v>0.15</v>
          </cell>
          <cell r="AJ144">
            <v>0.2</v>
          </cell>
          <cell r="AK144">
            <v>0.2</v>
          </cell>
          <cell r="AL144">
            <v>0</v>
          </cell>
          <cell r="AM144">
            <v>0</v>
          </cell>
          <cell r="AN144">
            <v>0</v>
          </cell>
          <cell r="AO144">
            <v>0</v>
          </cell>
          <cell r="AP144">
            <v>0</v>
          </cell>
          <cell r="AQ144">
            <v>0</v>
          </cell>
          <cell r="AR144">
            <v>0</v>
          </cell>
          <cell r="AS144">
            <v>0</v>
          </cell>
          <cell r="AT144">
            <v>0</v>
          </cell>
          <cell r="AU144">
            <v>0</v>
          </cell>
          <cell r="AV144">
            <v>0</v>
          </cell>
          <cell r="AW144">
            <v>0</v>
          </cell>
          <cell r="AX144">
            <v>0</v>
          </cell>
          <cell r="AY144">
            <v>0</v>
          </cell>
          <cell r="AZ144">
            <v>0</v>
          </cell>
          <cell r="BA144">
            <v>0</v>
          </cell>
          <cell r="BB144">
            <v>0</v>
          </cell>
          <cell r="BC144">
            <v>0</v>
          </cell>
          <cell r="BD144">
            <v>0</v>
          </cell>
          <cell r="BE144">
            <v>0</v>
          </cell>
          <cell r="BF144">
            <v>0</v>
          </cell>
          <cell r="BG144">
            <v>0</v>
          </cell>
          <cell r="BH144">
            <v>0</v>
          </cell>
          <cell r="BI144">
            <v>0</v>
          </cell>
          <cell r="BJ144">
            <v>0</v>
          </cell>
          <cell r="BK144">
            <v>0</v>
          </cell>
          <cell r="BL144">
            <v>0</v>
          </cell>
          <cell r="BM144">
            <v>0</v>
          </cell>
          <cell r="BN144">
            <v>0</v>
          </cell>
          <cell r="BO144">
            <v>0</v>
          </cell>
          <cell r="BP144">
            <v>0</v>
          </cell>
          <cell r="BQ144">
            <v>0</v>
          </cell>
          <cell r="BR144">
            <v>0</v>
          </cell>
          <cell r="BS144">
            <v>0</v>
          </cell>
          <cell r="BT144">
            <v>0</v>
          </cell>
          <cell r="BU144">
            <v>0</v>
          </cell>
          <cell r="BV144">
            <v>0</v>
          </cell>
          <cell r="BW144">
            <v>0</v>
          </cell>
          <cell r="BX144">
            <v>0</v>
          </cell>
          <cell r="BY144">
            <v>0</v>
          </cell>
          <cell r="BZ144">
            <v>0</v>
          </cell>
          <cell r="CA144">
            <v>0</v>
          </cell>
          <cell r="CB144">
            <v>0</v>
          </cell>
          <cell r="CC144">
            <v>0</v>
          </cell>
          <cell r="CD144">
            <v>0</v>
          </cell>
          <cell r="CE144">
            <v>0</v>
          </cell>
          <cell r="CF144">
            <v>0</v>
          </cell>
          <cell r="CG144">
            <v>0</v>
          </cell>
          <cell r="CH144">
            <v>0</v>
          </cell>
          <cell r="CI144">
            <v>0</v>
          </cell>
          <cell r="CJ144">
            <v>0</v>
          </cell>
          <cell r="CK144">
            <v>0</v>
          </cell>
          <cell r="CL144">
            <v>0</v>
          </cell>
          <cell r="CM144">
            <v>0</v>
          </cell>
          <cell r="CN144">
            <v>0</v>
          </cell>
          <cell r="CO144">
            <v>0</v>
          </cell>
          <cell r="CP144">
            <v>0</v>
          </cell>
          <cell r="CQ144">
            <v>0</v>
          </cell>
          <cell r="CR144">
            <v>0</v>
          </cell>
          <cell r="CS144">
            <v>0</v>
          </cell>
          <cell r="CT144">
            <v>0</v>
          </cell>
          <cell r="CU144">
            <v>0</v>
          </cell>
          <cell r="CV144">
            <v>0</v>
          </cell>
          <cell r="CW144">
            <v>0</v>
          </cell>
          <cell r="CX144">
            <v>0</v>
          </cell>
          <cell r="CY144">
            <v>0</v>
          </cell>
          <cell r="CZ144">
            <v>0</v>
          </cell>
          <cell r="DA144">
            <v>0</v>
          </cell>
          <cell r="DB144">
            <v>0</v>
          </cell>
          <cell r="DC144">
            <v>0</v>
          </cell>
          <cell r="DD144">
            <v>0</v>
          </cell>
          <cell r="DE144">
            <v>0</v>
          </cell>
          <cell r="DF144">
            <v>0</v>
          </cell>
          <cell r="DG144">
            <v>0</v>
          </cell>
          <cell r="DH144">
            <v>0</v>
          </cell>
          <cell r="DI144">
            <v>0</v>
          </cell>
          <cell r="DJ144">
            <v>0</v>
          </cell>
          <cell r="DK144">
            <v>0</v>
          </cell>
          <cell r="DL144">
            <v>0</v>
          </cell>
          <cell r="DM144">
            <v>0</v>
          </cell>
          <cell r="DN144">
            <v>0</v>
          </cell>
          <cell r="DO144">
            <v>0</v>
          </cell>
          <cell r="DP144">
            <v>0</v>
          </cell>
          <cell r="DQ144">
            <v>0</v>
          </cell>
          <cell r="DR144">
            <v>0</v>
          </cell>
          <cell r="DS144">
            <v>0</v>
          </cell>
          <cell r="DT144">
            <v>0</v>
          </cell>
          <cell r="DU144">
            <v>0</v>
          </cell>
          <cell r="DV144">
            <v>0</v>
          </cell>
          <cell r="DW144">
            <v>0</v>
          </cell>
          <cell r="DX144">
            <v>0</v>
          </cell>
          <cell r="DY144">
            <v>0</v>
          </cell>
          <cell r="EA144">
            <v>0</v>
          </cell>
          <cell r="EB144">
            <v>0</v>
          </cell>
          <cell r="EC144">
            <v>0</v>
          </cell>
          <cell r="ED144">
            <v>0.05</v>
          </cell>
          <cell r="EE144">
            <v>0.09</v>
          </cell>
          <cell r="EF144">
            <v>0.08</v>
          </cell>
          <cell r="EG144">
            <v>0.17</v>
          </cell>
          <cell r="EH144">
            <v>1</v>
          </cell>
          <cell r="EI144">
            <v>1</v>
          </cell>
          <cell r="EJ144">
            <v>1</v>
          </cell>
          <cell r="EK144">
            <v>1</v>
          </cell>
          <cell r="EL144">
            <v>0.05</v>
          </cell>
          <cell r="EM144">
            <v>0.14000000000000001</v>
          </cell>
          <cell r="EN144">
            <v>0.11</v>
          </cell>
          <cell r="EO144">
            <v>0.2</v>
          </cell>
          <cell r="EP144">
            <v>0</v>
          </cell>
          <cell r="EQ144">
            <v>0</v>
          </cell>
          <cell r="ER144">
            <v>0</v>
          </cell>
          <cell r="ES144">
            <v>0</v>
          </cell>
          <cell r="ET144">
            <v>0</v>
          </cell>
          <cell r="EU144">
            <v>0</v>
          </cell>
          <cell r="EV144">
            <v>0</v>
          </cell>
          <cell r="EW144">
            <v>0</v>
          </cell>
          <cell r="EX144">
            <v>0</v>
          </cell>
          <cell r="EY144">
            <v>0</v>
          </cell>
          <cell r="EZ144">
            <v>0</v>
          </cell>
          <cell r="FA144">
            <v>0</v>
          </cell>
          <cell r="FB144">
            <v>0</v>
          </cell>
          <cell r="FC144">
            <v>0</v>
          </cell>
          <cell r="FD144">
            <v>0</v>
          </cell>
          <cell r="FE144">
            <v>0</v>
          </cell>
          <cell r="FF144">
            <v>0</v>
          </cell>
          <cell r="FG144">
            <v>0</v>
          </cell>
          <cell r="FH144">
            <v>0</v>
          </cell>
          <cell r="FI144">
            <v>0</v>
          </cell>
          <cell r="FJ144">
            <v>0</v>
          </cell>
          <cell r="FK144">
            <v>0</v>
          </cell>
          <cell r="FL144">
            <v>0</v>
          </cell>
          <cell r="FM144">
            <v>0</v>
          </cell>
          <cell r="FN144">
            <v>0</v>
          </cell>
          <cell r="FO144">
            <v>0</v>
          </cell>
          <cell r="FP144">
            <v>0</v>
          </cell>
          <cell r="FQ144">
            <v>0</v>
          </cell>
          <cell r="FR144">
            <v>0</v>
          </cell>
          <cell r="FS144">
            <v>0</v>
          </cell>
          <cell r="FT144">
            <v>0</v>
          </cell>
          <cell r="FU144">
            <v>0</v>
          </cell>
          <cell r="FV144">
            <v>0</v>
          </cell>
          <cell r="FW144">
            <v>0</v>
          </cell>
          <cell r="FX144">
            <v>0</v>
          </cell>
          <cell r="FY144">
            <v>0</v>
          </cell>
          <cell r="FZ144">
            <v>0</v>
          </cell>
        </row>
        <row r="145">
          <cell r="A145" t="str">
            <v>F_IAM_NRF_CPT_PRP_FRCE_IPS</v>
          </cell>
          <cell r="B145">
            <v>0.1</v>
          </cell>
          <cell r="C145">
            <v>0.08</v>
          </cell>
          <cell r="D145">
            <v>0.15</v>
          </cell>
          <cell r="E145">
            <v>0.08</v>
          </cell>
          <cell r="F145">
            <v>0.15</v>
          </cell>
          <cell r="G145">
            <v>0.22</v>
          </cell>
          <cell r="H145">
            <v>7.0000000000000007E-2</v>
          </cell>
          <cell r="I145">
            <v>0.05</v>
          </cell>
          <cell r="J145">
            <v>0.13</v>
          </cell>
          <cell r="K145">
            <v>0.18</v>
          </cell>
          <cell r="L145">
            <v>0.17</v>
          </cell>
          <cell r="M145">
            <v>0.16</v>
          </cell>
          <cell r="N145">
            <v>0.8</v>
          </cell>
          <cell r="O145">
            <v>1</v>
          </cell>
          <cell r="P145">
            <v>1</v>
          </cell>
          <cell r="Q145">
            <v>0.8</v>
          </cell>
          <cell r="R145">
            <v>0.8</v>
          </cell>
          <cell r="S145">
            <v>1</v>
          </cell>
          <cell r="T145">
            <v>1</v>
          </cell>
          <cell r="U145">
            <v>1</v>
          </cell>
          <cell r="V145">
            <v>1</v>
          </cell>
          <cell r="W145">
            <v>1</v>
          </cell>
          <cell r="X145">
            <v>1</v>
          </cell>
          <cell r="Y145">
            <v>1</v>
          </cell>
          <cell r="Z145">
            <v>0.1</v>
          </cell>
          <cell r="AA145">
            <v>0.1</v>
          </cell>
          <cell r="AB145">
            <v>0.14000000000000001</v>
          </cell>
          <cell r="AC145">
            <v>0.11</v>
          </cell>
          <cell r="AD145">
            <v>0.11</v>
          </cell>
          <cell r="AE145">
            <v>0.19</v>
          </cell>
          <cell r="AF145">
            <v>0.09</v>
          </cell>
          <cell r="AG145">
            <v>0.11</v>
          </cell>
          <cell r="AH145">
            <v>0.15</v>
          </cell>
          <cell r="AI145">
            <v>0.2</v>
          </cell>
          <cell r="AJ145">
            <v>0.2</v>
          </cell>
          <cell r="AK145">
            <v>0.2</v>
          </cell>
          <cell r="AL145">
            <v>0</v>
          </cell>
          <cell r="AM145">
            <v>0</v>
          </cell>
          <cell r="AN145">
            <v>0</v>
          </cell>
          <cell r="AO145">
            <v>0</v>
          </cell>
          <cell r="AP145">
            <v>0</v>
          </cell>
          <cell r="AQ145">
            <v>0</v>
          </cell>
          <cell r="AR145">
            <v>0</v>
          </cell>
          <cell r="AS145">
            <v>0</v>
          </cell>
          <cell r="AT145">
            <v>0</v>
          </cell>
          <cell r="AU145">
            <v>0</v>
          </cell>
          <cell r="AV145">
            <v>0</v>
          </cell>
          <cell r="AW145">
            <v>0</v>
          </cell>
          <cell r="AX145">
            <v>0</v>
          </cell>
          <cell r="AY145">
            <v>0</v>
          </cell>
          <cell r="AZ145">
            <v>0</v>
          </cell>
          <cell r="BA145">
            <v>0</v>
          </cell>
          <cell r="BB145">
            <v>0</v>
          </cell>
          <cell r="BC145">
            <v>0</v>
          </cell>
          <cell r="BD145">
            <v>0</v>
          </cell>
          <cell r="BE145">
            <v>0</v>
          </cell>
          <cell r="BF145">
            <v>0</v>
          </cell>
          <cell r="BG145">
            <v>0</v>
          </cell>
          <cell r="BH145">
            <v>0</v>
          </cell>
          <cell r="BI145">
            <v>0</v>
          </cell>
          <cell r="BJ145">
            <v>0</v>
          </cell>
          <cell r="BK145">
            <v>0</v>
          </cell>
          <cell r="BL145">
            <v>0</v>
          </cell>
          <cell r="BM145">
            <v>0</v>
          </cell>
          <cell r="BN145">
            <v>0</v>
          </cell>
          <cell r="BO145">
            <v>0</v>
          </cell>
          <cell r="BP145">
            <v>0</v>
          </cell>
          <cell r="BQ145">
            <v>0</v>
          </cell>
          <cell r="BR145">
            <v>0</v>
          </cell>
          <cell r="BS145">
            <v>0</v>
          </cell>
          <cell r="BT145">
            <v>0</v>
          </cell>
          <cell r="BU145">
            <v>0</v>
          </cell>
          <cell r="BV145">
            <v>0</v>
          </cell>
          <cell r="BW145">
            <v>0</v>
          </cell>
          <cell r="BX145">
            <v>0</v>
          </cell>
          <cell r="BY145">
            <v>0</v>
          </cell>
          <cell r="BZ145">
            <v>0</v>
          </cell>
          <cell r="CA145">
            <v>0</v>
          </cell>
          <cell r="CB145">
            <v>0</v>
          </cell>
          <cell r="CC145">
            <v>0</v>
          </cell>
          <cell r="CD145">
            <v>0</v>
          </cell>
          <cell r="CE145">
            <v>0</v>
          </cell>
          <cell r="CF145">
            <v>0</v>
          </cell>
          <cell r="CG145">
            <v>0</v>
          </cell>
          <cell r="CH145">
            <v>0</v>
          </cell>
          <cell r="CI145">
            <v>0</v>
          </cell>
          <cell r="CJ145">
            <v>0</v>
          </cell>
          <cell r="CK145">
            <v>0</v>
          </cell>
          <cell r="CL145">
            <v>0</v>
          </cell>
          <cell r="CM145">
            <v>0</v>
          </cell>
          <cell r="CN145">
            <v>0</v>
          </cell>
          <cell r="CO145">
            <v>0</v>
          </cell>
          <cell r="CP145">
            <v>0</v>
          </cell>
          <cell r="CQ145">
            <v>0</v>
          </cell>
          <cell r="CR145">
            <v>0</v>
          </cell>
          <cell r="CS145">
            <v>0</v>
          </cell>
          <cell r="CT145">
            <v>0</v>
          </cell>
          <cell r="CU145">
            <v>0</v>
          </cell>
          <cell r="CV145">
            <v>0</v>
          </cell>
          <cell r="CW145">
            <v>0</v>
          </cell>
          <cell r="CX145">
            <v>0</v>
          </cell>
          <cell r="CY145">
            <v>0</v>
          </cell>
          <cell r="CZ145">
            <v>0</v>
          </cell>
          <cell r="DA145">
            <v>0</v>
          </cell>
          <cell r="DB145">
            <v>0</v>
          </cell>
          <cell r="DC145">
            <v>0</v>
          </cell>
          <cell r="DD145">
            <v>0</v>
          </cell>
          <cell r="DE145">
            <v>0</v>
          </cell>
          <cell r="DF145">
            <v>0</v>
          </cell>
          <cell r="DG145">
            <v>0</v>
          </cell>
          <cell r="DH145">
            <v>0</v>
          </cell>
          <cell r="DI145">
            <v>0</v>
          </cell>
          <cell r="DJ145">
            <v>0</v>
          </cell>
          <cell r="DK145">
            <v>0</v>
          </cell>
          <cell r="DL145">
            <v>0</v>
          </cell>
          <cell r="DM145">
            <v>0</v>
          </cell>
          <cell r="DN145">
            <v>0</v>
          </cell>
          <cell r="DO145">
            <v>0</v>
          </cell>
          <cell r="DP145">
            <v>0</v>
          </cell>
          <cell r="DQ145">
            <v>0</v>
          </cell>
          <cell r="DR145">
            <v>0</v>
          </cell>
          <cell r="DS145">
            <v>0</v>
          </cell>
          <cell r="DT145">
            <v>0</v>
          </cell>
          <cell r="DU145">
            <v>0</v>
          </cell>
          <cell r="DV145">
            <v>0</v>
          </cell>
          <cell r="DW145">
            <v>0</v>
          </cell>
          <cell r="DX145">
            <v>0</v>
          </cell>
          <cell r="DY145">
            <v>0</v>
          </cell>
          <cell r="EA145">
            <v>0</v>
          </cell>
          <cell r="EB145">
            <v>0</v>
          </cell>
          <cell r="EC145">
            <v>0</v>
          </cell>
          <cell r="ED145">
            <v>0.05</v>
          </cell>
          <cell r="EE145">
            <v>0.09</v>
          </cell>
          <cell r="EF145">
            <v>0.08</v>
          </cell>
          <cell r="EG145">
            <v>0.17</v>
          </cell>
          <cell r="EH145">
            <v>1</v>
          </cell>
          <cell r="EI145">
            <v>1</v>
          </cell>
          <cell r="EJ145">
            <v>1</v>
          </cell>
          <cell r="EK145">
            <v>1</v>
          </cell>
          <cell r="EL145">
            <v>0.05</v>
          </cell>
          <cell r="EM145">
            <v>0.14000000000000001</v>
          </cell>
          <cell r="EN145">
            <v>0.11</v>
          </cell>
          <cell r="EO145">
            <v>0.2</v>
          </cell>
          <cell r="EP145">
            <v>0</v>
          </cell>
          <cell r="EQ145">
            <v>0</v>
          </cell>
          <cell r="ER145">
            <v>0</v>
          </cell>
          <cell r="ES145">
            <v>0</v>
          </cell>
          <cell r="ET145">
            <v>0</v>
          </cell>
          <cell r="EU145">
            <v>0</v>
          </cell>
          <cell r="EV145">
            <v>0</v>
          </cell>
          <cell r="EW145">
            <v>0</v>
          </cell>
          <cell r="EX145">
            <v>1</v>
          </cell>
          <cell r="EY145">
            <v>1</v>
          </cell>
          <cell r="EZ145">
            <v>1</v>
          </cell>
          <cell r="FA145">
            <v>0</v>
          </cell>
          <cell r="FB145">
            <v>0</v>
          </cell>
          <cell r="FC145">
            <v>0</v>
          </cell>
          <cell r="FD145">
            <v>0</v>
          </cell>
          <cell r="FE145">
            <v>0</v>
          </cell>
          <cell r="FF145">
            <v>0</v>
          </cell>
          <cell r="FG145">
            <v>0</v>
          </cell>
          <cell r="FH145">
            <v>0</v>
          </cell>
          <cell r="FI145">
            <v>0</v>
          </cell>
          <cell r="FJ145">
            <v>0</v>
          </cell>
          <cell r="FK145">
            <v>0</v>
          </cell>
          <cell r="FL145">
            <v>0</v>
          </cell>
          <cell r="FM145">
            <v>0</v>
          </cell>
          <cell r="FN145">
            <v>0</v>
          </cell>
          <cell r="FO145">
            <v>0</v>
          </cell>
          <cell r="FP145">
            <v>0</v>
          </cell>
          <cell r="FQ145">
            <v>0</v>
          </cell>
          <cell r="FR145">
            <v>0</v>
          </cell>
          <cell r="FS145">
            <v>0</v>
          </cell>
          <cell r="FT145">
            <v>0</v>
          </cell>
          <cell r="FU145">
            <v>0</v>
          </cell>
          <cell r="FV145">
            <v>0</v>
          </cell>
          <cell r="FW145">
            <v>0</v>
          </cell>
          <cell r="FX145">
            <v>0</v>
          </cell>
          <cell r="FY145">
            <v>0</v>
          </cell>
          <cell r="FZ145">
            <v>0</v>
          </cell>
        </row>
        <row r="146">
          <cell r="A146" t="str">
            <v>F_CNP_NRF_ASS_EMP_FRCE_ECS</v>
          </cell>
          <cell r="B146">
            <v>0.1</v>
          </cell>
          <cell r="C146">
            <v>0.08</v>
          </cell>
          <cell r="D146">
            <v>0.15</v>
          </cell>
          <cell r="E146">
            <v>0.08</v>
          </cell>
          <cell r="F146">
            <v>0.15</v>
          </cell>
          <cell r="G146">
            <v>0.22</v>
          </cell>
          <cell r="H146">
            <v>7.0000000000000007E-2</v>
          </cell>
          <cell r="I146">
            <v>0.05</v>
          </cell>
          <cell r="J146">
            <v>0.13</v>
          </cell>
          <cell r="K146">
            <v>0.18</v>
          </cell>
          <cell r="L146">
            <v>0.17</v>
          </cell>
          <cell r="M146">
            <v>0.16</v>
          </cell>
          <cell r="N146">
            <v>0.8</v>
          </cell>
          <cell r="O146">
            <v>1</v>
          </cell>
          <cell r="P146">
            <v>1</v>
          </cell>
          <cell r="Q146">
            <v>0.8</v>
          </cell>
          <cell r="R146">
            <v>0.8</v>
          </cell>
          <cell r="S146">
            <v>1</v>
          </cell>
          <cell r="T146">
            <v>1</v>
          </cell>
          <cell r="U146">
            <v>1</v>
          </cell>
          <cell r="V146">
            <v>1</v>
          </cell>
          <cell r="W146">
            <v>1</v>
          </cell>
          <cell r="X146">
            <v>1</v>
          </cell>
          <cell r="Y146">
            <v>1</v>
          </cell>
          <cell r="Z146">
            <v>0.1</v>
          </cell>
          <cell r="AA146">
            <v>0.1</v>
          </cell>
          <cell r="AB146">
            <v>0.14000000000000001</v>
          </cell>
          <cell r="AC146">
            <v>0.11</v>
          </cell>
          <cell r="AD146">
            <v>0.11</v>
          </cell>
          <cell r="AE146">
            <v>0.19</v>
          </cell>
          <cell r="AF146">
            <v>0.09</v>
          </cell>
          <cell r="AG146">
            <v>0.11</v>
          </cell>
          <cell r="AH146">
            <v>0.15</v>
          </cell>
          <cell r="AI146">
            <v>0.2</v>
          </cell>
          <cell r="AJ146">
            <v>0.2</v>
          </cell>
          <cell r="AK146">
            <v>0.2</v>
          </cell>
          <cell r="AL146">
            <v>0</v>
          </cell>
          <cell r="AM146">
            <v>0</v>
          </cell>
          <cell r="AN146">
            <v>0</v>
          </cell>
          <cell r="AO146">
            <v>0</v>
          </cell>
          <cell r="AP146">
            <v>0</v>
          </cell>
          <cell r="AQ146">
            <v>0</v>
          </cell>
          <cell r="AR146">
            <v>0</v>
          </cell>
          <cell r="AS146">
            <v>0</v>
          </cell>
          <cell r="AT146">
            <v>0</v>
          </cell>
          <cell r="AU146">
            <v>0</v>
          </cell>
          <cell r="AV146">
            <v>0</v>
          </cell>
          <cell r="AW146">
            <v>0</v>
          </cell>
          <cell r="AX146">
            <v>0</v>
          </cell>
          <cell r="AY146">
            <v>0</v>
          </cell>
          <cell r="AZ146">
            <v>0</v>
          </cell>
          <cell r="BA146">
            <v>0</v>
          </cell>
          <cell r="BB146">
            <v>0</v>
          </cell>
          <cell r="BC146">
            <v>0</v>
          </cell>
          <cell r="BD146">
            <v>0</v>
          </cell>
          <cell r="BE146">
            <v>0</v>
          </cell>
          <cell r="BF146">
            <v>0</v>
          </cell>
          <cell r="BG146">
            <v>0</v>
          </cell>
          <cell r="BH146">
            <v>0</v>
          </cell>
          <cell r="BI146">
            <v>0</v>
          </cell>
          <cell r="BJ146">
            <v>0</v>
          </cell>
          <cell r="BK146">
            <v>0</v>
          </cell>
          <cell r="BL146">
            <v>0</v>
          </cell>
          <cell r="BM146">
            <v>0</v>
          </cell>
          <cell r="BN146">
            <v>0</v>
          </cell>
          <cell r="BO146">
            <v>0</v>
          </cell>
          <cell r="BP146">
            <v>0</v>
          </cell>
          <cell r="BQ146">
            <v>0</v>
          </cell>
          <cell r="BR146">
            <v>0</v>
          </cell>
          <cell r="BS146">
            <v>0</v>
          </cell>
          <cell r="BT146">
            <v>0</v>
          </cell>
          <cell r="BU146">
            <v>0</v>
          </cell>
          <cell r="BV146">
            <v>0</v>
          </cell>
          <cell r="BW146">
            <v>0</v>
          </cell>
          <cell r="BX146">
            <v>0</v>
          </cell>
          <cell r="BY146">
            <v>0</v>
          </cell>
          <cell r="BZ146">
            <v>0</v>
          </cell>
          <cell r="CA146">
            <v>0</v>
          </cell>
          <cell r="CB146">
            <v>0</v>
          </cell>
          <cell r="CC146">
            <v>0</v>
          </cell>
          <cell r="CD146">
            <v>0</v>
          </cell>
          <cell r="CE146">
            <v>0</v>
          </cell>
          <cell r="CF146">
            <v>0</v>
          </cell>
          <cell r="CG146">
            <v>0</v>
          </cell>
          <cell r="CH146">
            <v>0</v>
          </cell>
          <cell r="CI146">
            <v>0</v>
          </cell>
          <cell r="CJ146">
            <v>0</v>
          </cell>
          <cell r="CK146">
            <v>0</v>
          </cell>
          <cell r="CL146">
            <v>0</v>
          </cell>
          <cell r="CM146">
            <v>0</v>
          </cell>
          <cell r="CN146">
            <v>0</v>
          </cell>
          <cell r="CO146">
            <v>0</v>
          </cell>
          <cell r="CP146">
            <v>0</v>
          </cell>
          <cell r="CQ146">
            <v>0</v>
          </cell>
          <cell r="CR146">
            <v>0</v>
          </cell>
          <cell r="CS146">
            <v>0</v>
          </cell>
          <cell r="CT146">
            <v>0</v>
          </cell>
          <cell r="CU146">
            <v>0</v>
          </cell>
          <cell r="CV146">
            <v>0</v>
          </cell>
          <cell r="CW146">
            <v>0</v>
          </cell>
          <cell r="CX146">
            <v>0</v>
          </cell>
          <cell r="CY146">
            <v>0</v>
          </cell>
          <cell r="CZ146">
            <v>0</v>
          </cell>
          <cell r="DA146">
            <v>0</v>
          </cell>
          <cell r="DB146">
            <v>0</v>
          </cell>
          <cell r="DC146">
            <v>0</v>
          </cell>
          <cell r="DD146">
            <v>0</v>
          </cell>
          <cell r="DE146">
            <v>0</v>
          </cell>
          <cell r="DF146">
            <v>0</v>
          </cell>
          <cell r="DG146">
            <v>0</v>
          </cell>
          <cell r="DH146">
            <v>0</v>
          </cell>
          <cell r="DI146">
            <v>0</v>
          </cell>
          <cell r="DJ146">
            <v>0</v>
          </cell>
          <cell r="DK146">
            <v>0</v>
          </cell>
          <cell r="DL146">
            <v>0</v>
          </cell>
          <cell r="DM146">
            <v>0</v>
          </cell>
          <cell r="DN146">
            <v>0</v>
          </cell>
          <cell r="DO146">
            <v>0</v>
          </cell>
          <cell r="DP146">
            <v>0</v>
          </cell>
          <cell r="DQ146">
            <v>0</v>
          </cell>
          <cell r="DR146">
            <v>0</v>
          </cell>
          <cell r="DS146">
            <v>0</v>
          </cell>
          <cell r="DT146">
            <v>0</v>
          </cell>
          <cell r="DU146">
            <v>0</v>
          </cell>
          <cell r="DV146">
            <v>0</v>
          </cell>
          <cell r="DW146">
            <v>0</v>
          </cell>
          <cell r="DX146">
            <v>0</v>
          </cell>
          <cell r="DY146">
            <v>0</v>
          </cell>
          <cell r="EA146">
            <v>0</v>
          </cell>
          <cell r="EB146">
            <v>0</v>
          </cell>
          <cell r="EC146">
            <v>0</v>
          </cell>
          <cell r="ED146">
            <v>0.05</v>
          </cell>
          <cell r="EE146">
            <v>0.09</v>
          </cell>
          <cell r="EF146">
            <v>0.08</v>
          </cell>
          <cell r="EG146">
            <v>0.17</v>
          </cell>
          <cell r="EH146">
            <v>1</v>
          </cell>
          <cell r="EI146">
            <v>1</v>
          </cell>
          <cell r="EJ146">
            <v>1</v>
          </cell>
          <cell r="EK146">
            <v>1</v>
          </cell>
          <cell r="EL146">
            <v>0.05</v>
          </cell>
          <cell r="EM146">
            <v>0.14000000000000001</v>
          </cell>
          <cell r="EN146">
            <v>0.11</v>
          </cell>
          <cell r="EO146">
            <v>0.2</v>
          </cell>
          <cell r="EP146">
            <v>0</v>
          </cell>
          <cell r="EQ146">
            <v>0</v>
          </cell>
          <cell r="ER146">
            <v>0</v>
          </cell>
          <cell r="ES146">
            <v>0</v>
          </cell>
          <cell r="ET146">
            <v>0</v>
          </cell>
          <cell r="EU146">
            <v>0</v>
          </cell>
          <cell r="EV146">
            <v>0</v>
          </cell>
          <cell r="EW146">
            <v>0</v>
          </cell>
          <cell r="EX146">
            <v>0</v>
          </cell>
          <cell r="EY146">
            <v>0</v>
          </cell>
          <cell r="EZ146">
            <v>0</v>
          </cell>
          <cell r="FA146">
            <v>0</v>
          </cell>
          <cell r="FB146">
            <v>0</v>
          </cell>
          <cell r="FC146">
            <v>0</v>
          </cell>
          <cell r="FD146">
            <v>0</v>
          </cell>
          <cell r="FE146">
            <v>0</v>
          </cell>
          <cell r="FF146">
            <v>0</v>
          </cell>
          <cell r="FG146">
            <v>0</v>
          </cell>
          <cell r="FH146">
            <v>0</v>
          </cell>
          <cell r="FI146">
            <v>0</v>
          </cell>
          <cell r="FJ146">
            <v>0</v>
          </cell>
          <cell r="FK146">
            <v>0</v>
          </cell>
          <cell r="FL146">
            <v>0</v>
          </cell>
          <cell r="FM146">
            <v>0</v>
          </cell>
          <cell r="FN146">
            <v>0</v>
          </cell>
          <cell r="FO146">
            <v>0</v>
          </cell>
          <cell r="FP146">
            <v>0</v>
          </cell>
          <cell r="FQ146">
            <v>0</v>
          </cell>
          <cell r="FR146">
            <v>0</v>
          </cell>
          <cell r="FS146">
            <v>0</v>
          </cell>
          <cell r="FT146">
            <v>0</v>
          </cell>
          <cell r="FU146">
            <v>0</v>
          </cell>
          <cell r="FV146">
            <v>0</v>
          </cell>
          <cell r="FW146">
            <v>0</v>
          </cell>
          <cell r="FX146">
            <v>0</v>
          </cell>
          <cell r="FY146">
            <v>0</v>
          </cell>
          <cell r="FZ146">
            <v>0</v>
          </cell>
        </row>
        <row r="147">
          <cell r="A147" t="str">
            <v>F_CNP_NRF_ASS_EMP_ITAS_301</v>
          </cell>
          <cell r="B147">
            <v>0</v>
          </cell>
          <cell r="C147">
            <v>0</v>
          </cell>
          <cell r="D147">
            <v>0</v>
          </cell>
          <cell r="E147">
            <v>0</v>
          </cell>
          <cell r="F147">
            <v>0</v>
          </cell>
          <cell r="G147">
            <v>0</v>
          </cell>
          <cell r="H147">
            <v>0</v>
          </cell>
          <cell r="I147">
            <v>0</v>
          </cell>
          <cell r="J147">
            <v>0</v>
          </cell>
          <cell r="K147">
            <v>0</v>
          </cell>
          <cell r="L147">
            <v>0</v>
          </cell>
          <cell r="M147">
            <v>0</v>
          </cell>
          <cell r="N147">
            <v>0</v>
          </cell>
          <cell r="O147">
            <v>0</v>
          </cell>
          <cell r="P147">
            <v>0</v>
          </cell>
          <cell r="Q147">
            <v>0</v>
          </cell>
          <cell r="R147">
            <v>0</v>
          </cell>
          <cell r="S147">
            <v>0</v>
          </cell>
          <cell r="T147">
            <v>0</v>
          </cell>
          <cell r="U147">
            <v>0</v>
          </cell>
          <cell r="V147">
            <v>0</v>
          </cell>
          <cell r="W147">
            <v>0</v>
          </cell>
          <cell r="X147">
            <v>0</v>
          </cell>
          <cell r="Y147">
            <v>0</v>
          </cell>
          <cell r="Z147">
            <v>0</v>
          </cell>
          <cell r="AA147">
            <v>0</v>
          </cell>
          <cell r="AB147">
            <v>0</v>
          </cell>
          <cell r="AC147">
            <v>0</v>
          </cell>
          <cell r="AD147">
            <v>0</v>
          </cell>
          <cell r="AE147">
            <v>0</v>
          </cell>
          <cell r="AF147">
            <v>0</v>
          </cell>
          <cell r="AG147">
            <v>0</v>
          </cell>
          <cell r="AH147">
            <v>0</v>
          </cell>
          <cell r="AI147">
            <v>0</v>
          </cell>
          <cell r="AJ147">
            <v>0</v>
          </cell>
          <cell r="AK147">
            <v>0</v>
          </cell>
          <cell r="AL147">
            <v>0</v>
          </cell>
          <cell r="AM147">
            <v>0</v>
          </cell>
          <cell r="AN147">
            <v>0</v>
          </cell>
          <cell r="AO147">
            <v>0</v>
          </cell>
          <cell r="AP147">
            <v>0</v>
          </cell>
          <cell r="AQ147">
            <v>0</v>
          </cell>
          <cell r="AR147">
            <v>0</v>
          </cell>
          <cell r="AS147">
            <v>0</v>
          </cell>
          <cell r="AT147">
            <v>0</v>
          </cell>
          <cell r="AU147">
            <v>0</v>
          </cell>
          <cell r="AV147">
            <v>0</v>
          </cell>
          <cell r="AW147">
            <v>0</v>
          </cell>
          <cell r="AX147">
            <v>0</v>
          </cell>
          <cell r="AY147">
            <v>0</v>
          </cell>
          <cell r="AZ147">
            <v>0</v>
          </cell>
          <cell r="BA147">
            <v>0</v>
          </cell>
          <cell r="BB147">
            <v>0</v>
          </cell>
          <cell r="BC147">
            <v>0</v>
          </cell>
          <cell r="BD147">
            <v>0</v>
          </cell>
          <cell r="BE147">
            <v>0</v>
          </cell>
          <cell r="BF147">
            <v>0</v>
          </cell>
          <cell r="BG147">
            <v>0</v>
          </cell>
          <cell r="BH147">
            <v>0</v>
          </cell>
          <cell r="BI147">
            <v>0</v>
          </cell>
          <cell r="BJ147">
            <v>0</v>
          </cell>
          <cell r="BK147">
            <v>0</v>
          </cell>
          <cell r="BL147">
            <v>0</v>
          </cell>
          <cell r="BM147">
            <v>0</v>
          </cell>
          <cell r="BN147">
            <v>0</v>
          </cell>
          <cell r="BO147">
            <v>0</v>
          </cell>
          <cell r="BP147">
            <v>0</v>
          </cell>
          <cell r="BQ147">
            <v>0</v>
          </cell>
          <cell r="BR147">
            <v>0</v>
          </cell>
          <cell r="BS147">
            <v>0</v>
          </cell>
          <cell r="BT147">
            <v>0</v>
          </cell>
          <cell r="BU147">
            <v>0</v>
          </cell>
          <cell r="BV147">
            <v>0</v>
          </cell>
          <cell r="BW147">
            <v>0</v>
          </cell>
          <cell r="BX147">
            <v>0</v>
          </cell>
          <cell r="BY147">
            <v>0</v>
          </cell>
          <cell r="BZ147">
            <v>0</v>
          </cell>
          <cell r="CA147">
            <v>0</v>
          </cell>
          <cell r="CB147">
            <v>0</v>
          </cell>
          <cell r="CC147">
            <v>0</v>
          </cell>
          <cell r="CD147">
            <v>0</v>
          </cell>
          <cell r="CE147">
            <v>0</v>
          </cell>
          <cell r="CF147">
            <v>0</v>
          </cell>
          <cell r="CG147">
            <v>0</v>
          </cell>
          <cell r="CH147">
            <v>0</v>
          </cell>
          <cell r="CI147">
            <v>0</v>
          </cell>
          <cell r="CJ147">
            <v>0</v>
          </cell>
          <cell r="CK147">
            <v>0</v>
          </cell>
          <cell r="CL147">
            <v>0</v>
          </cell>
          <cell r="CM147">
            <v>0</v>
          </cell>
          <cell r="CN147">
            <v>0</v>
          </cell>
          <cell r="CO147">
            <v>0</v>
          </cell>
          <cell r="CP147">
            <v>0</v>
          </cell>
          <cell r="CQ147">
            <v>0</v>
          </cell>
          <cell r="CR147">
            <v>0</v>
          </cell>
          <cell r="CS147">
            <v>0</v>
          </cell>
          <cell r="CT147">
            <v>0</v>
          </cell>
          <cell r="CU147">
            <v>0</v>
          </cell>
          <cell r="CV147">
            <v>0</v>
          </cell>
          <cell r="CW147">
            <v>0</v>
          </cell>
          <cell r="CX147">
            <v>0</v>
          </cell>
          <cell r="CY147">
            <v>0</v>
          </cell>
          <cell r="CZ147">
            <v>0</v>
          </cell>
          <cell r="DA147">
            <v>0</v>
          </cell>
          <cell r="DB147">
            <v>0</v>
          </cell>
          <cell r="DC147">
            <v>0</v>
          </cell>
          <cell r="DD147">
            <v>0</v>
          </cell>
          <cell r="DE147">
            <v>0</v>
          </cell>
          <cell r="DF147">
            <v>0</v>
          </cell>
          <cell r="DG147">
            <v>0</v>
          </cell>
          <cell r="DH147">
            <v>0</v>
          </cell>
          <cell r="DI147">
            <v>0</v>
          </cell>
          <cell r="DJ147">
            <v>0</v>
          </cell>
          <cell r="DK147">
            <v>0</v>
          </cell>
          <cell r="DL147">
            <v>0</v>
          </cell>
          <cell r="DM147">
            <v>0</v>
          </cell>
          <cell r="DN147">
            <v>0</v>
          </cell>
          <cell r="DO147">
            <v>0</v>
          </cell>
          <cell r="DP147">
            <v>0</v>
          </cell>
          <cell r="DQ147">
            <v>0</v>
          </cell>
          <cell r="DR147">
            <v>0</v>
          </cell>
          <cell r="DS147">
            <v>0</v>
          </cell>
          <cell r="DT147">
            <v>0</v>
          </cell>
          <cell r="DU147">
            <v>0</v>
          </cell>
          <cell r="DV147">
            <v>0</v>
          </cell>
          <cell r="DW147">
            <v>0</v>
          </cell>
          <cell r="DX147">
            <v>0</v>
          </cell>
          <cell r="DY147">
            <v>0</v>
          </cell>
          <cell r="EA147">
            <v>0</v>
          </cell>
          <cell r="EB147">
            <v>0</v>
          </cell>
          <cell r="EC147">
            <v>0</v>
          </cell>
          <cell r="ED147">
            <v>0</v>
          </cell>
          <cell r="EE147">
            <v>0</v>
          </cell>
          <cell r="EF147">
            <v>0</v>
          </cell>
          <cell r="EG147">
            <v>0</v>
          </cell>
          <cell r="EH147">
            <v>0</v>
          </cell>
          <cell r="EI147">
            <v>0</v>
          </cell>
          <cell r="EJ147">
            <v>0</v>
          </cell>
          <cell r="EK147">
            <v>0</v>
          </cell>
          <cell r="EL147">
            <v>0</v>
          </cell>
          <cell r="EM147">
            <v>0</v>
          </cell>
          <cell r="EN147">
            <v>0</v>
          </cell>
          <cell r="EO147">
            <v>0</v>
          </cell>
          <cell r="EP147">
            <v>0</v>
          </cell>
          <cell r="EQ147">
            <v>0</v>
          </cell>
          <cell r="ER147">
            <v>0</v>
          </cell>
          <cell r="ES147">
            <v>0</v>
          </cell>
          <cell r="ET147">
            <v>0</v>
          </cell>
          <cell r="EU147">
            <v>0</v>
          </cell>
          <cell r="EV147">
            <v>0</v>
          </cell>
          <cell r="EW147">
            <v>0</v>
          </cell>
          <cell r="EX147">
            <v>0</v>
          </cell>
          <cell r="EY147">
            <v>0</v>
          </cell>
          <cell r="EZ147">
            <v>0</v>
          </cell>
          <cell r="FA147">
            <v>0</v>
          </cell>
          <cell r="FB147">
            <v>0</v>
          </cell>
          <cell r="FC147">
            <v>0</v>
          </cell>
          <cell r="FD147">
            <v>0</v>
          </cell>
          <cell r="FE147">
            <v>0</v>
          </cell>
          <cell r="FF147">
            <v>0</v>
          </cell>
          <cell r="FG147">
            <v>0</v>
          </cell>
          <cell r="FH147">
            <v>0</v>
          </cell>
          <cell r="FI147">
            <v>0</v>
          </cell>
          <cell r="FJ147">
            <v>0</v>
          </cell>
          <cell r="FK147">
            <v>0</v>
          </cell>
          <cell r="FL147">
            <v>0</v>
          </cell>
          <cell r="FM147">
            <v>0</v>
          </cell>
          <cell r="FN147">
            <v>0</v>
          </cell>
          <cell r="FO147">
            <v>0</v>
          </cell>
          <cell r="FP147">
            <v>0</v>
          </cell>
          <cell r="FQ147">
            <v>0</v>
          </cell>
          <cell r="FR147">
            <v>0</v>
          </cell>
          <cell r="FS147">
            <v>0</v>
          </cell>
          <cell r="FT147">
            <v>0</v>
          </cell>
          <cell r="FU147">
            <v>0</v>
          </cell>
          <cell r="FV147">
            <v>0</v>
          </cell>
          <cell r="FW147">
            <v>0</v>
          </cell>
          <cell r="FX147">
            <v>0</v>
          </cell>
          <cell r="FY147">
            <v>0</v>
          </cell>
          <cell r="FZ147">
            <v>0</v>
          </cell>
        </row>
        <row r="148">
          <cell r="A148" t="str">
            <v>F_FIL_NRF_IRD_IRD_FRCE_AUT</v>
          </cell>
          <cell r="B148">
            <v>0</v>
          </cell>
          <cell r="C148">
            <v>0</v>
          </cell>
          <cell r="D148">
            <v>0</v>
          </cell>
          <cell r="E148">
            <v>0</v>
          </cell>
          <cell r="F148">
            <v>0</v>
          </cell>
          <cell r="G148">
            <v>0</v>
          </cell>
          <cell r="H148">
            <v>0</v>
          </cell>
          <cell r="I148">
            <v>0</v>
          </cell>
          <cell r="J148">
            <v>0</v>
          </cell>
          <cell r="K148">
            <v>0</v>
          </cell>
          <cell r="L148">
            <v>0</v>
          </cell>
          <cell r="M148">
            <v>0</v>
          </cell>
          <cell r="N148">
            <v>0</v>
          </cell>
          <cell r="O148">
            <v>0</v>
          </cell>
          <cell r="P148">
            <v>0</v>
          </cell>
          <cell r="Q148">
            <v>0</v>
          </cell>
          <cell r="R148">
            <v>0</v>
          </cell>
          <cell r="S148">
            <v>0</v>
          </cell>
          <cell r="T148">
            <v>0</v>
          </cell>
          <cell r="U148">
            <v>0</v>
          </cell>
          <cell r="V148">
            <v>0</v>
          </cell>
          <cell r="W148">
            <v>0</v>
          </cell>
          <cell r="X148">
            <v>0</v>
          </cell>
          <cell r="Y148">
            <v>0</v>
          </cell>
          <cell r="Z148">
            <v>0</v>
          </cell>
          <cell r="AA148">
            <v>0</v>
          </cell>
          <cell r="AB148">
            <v>0</v>
          </cell>
          <cell r="AC148">
            <v>0</v>
          </cell>
          <cell r="AD148">
            <v>0</v>
          </cell>
          <cell r="AE148">
            <v>0</v>
          </cell>
          <cell r="AF148">
            <v>0</v>
          </cell>
          <cell r="AG148">
            <v>0</v>
          </cell>
          <cell r="AH148">
            <v>0</v>
          </cell>
          <cell r="AI148">
            <v>0</v>
          </cell>
          <cell r="AJ148">
            <v>0</v>
          </cell>
          <cell r="AK148">
            <v>0</v>
          </cell>
          <cell r="AL148">
            <v>0</v>
          </cell>
          <cell r="AM148">
            <v>0</v>
          </cell>
          <cell r="AN148">
            <v>0</v>
          </cell>
          <cell r="AO148">
            <v>0</v>
          </cell>
          <cell r="AP148">
            <v>0</v>
          </cell>
          <cell r="AQ148">
            <v>0</v>
          </cell>
          <cell r="AR148">
            <v>0</v>
          </cell>
          <cell r="AS148">
            <v>22788998.834187038</v>
          </cell>
          <cell r="AT148">
            <v>0</v>
          </cell>
          <cell r="AU148">
            <v>0</v>
          </cell>
          <cell r="AV148">
            <v>0</v>
          </cell>
          <cell r="AW148">
            <v>0</v>
          </cell>
          <cell r="AX148">
            <v>0</v>
          </cell>
          <cell r="AY148">
            <v>0</v>
          </cell>
          <cell r="AZ148">
            <v>0</v>
          </cell>
          <cell r="BA148">
            <v>0</v>
          </cell>
          <cell r="BB148">
            <v>0</v>
          </cell>
          <cell r="BC148">
            <v>0</v>
          </cell>
          <cell r="BD148">
            <v>0</v>
          </cell>
          <cell r="BE148">
            <v>1201193.3237229479</v>
          </cell>
          <cell r="BF148">
            <v>0</v>
          </cell>
          <cell r="BG148">
            <v>0</v>
          </cell>
          <cell r="BH148">
            <v>0</v>
          </cell>
          <cell r="BI148">
            <v>0</v>
          </cell>
          <cell r="BJ148">
            <v>0</v>
          </cell>
          <cell r="BK148">
            <v>0</v>
          </cell>
          <cell r="BL148">
            <v>0</v>
          </cell>
          <cell r="BM148">
            <v>0</v>
          </cell>
          <cell r="BN148">
            <v>0</v>
          </cell>
          <cell r="BO148">
            <v>0</v>
          </cell>
          <cell r="BP148">
            <v>0</v>
          </cell>
          <cell r="BQ148">
            <v>0</v>
          </cell>
          <cell r="BR148">
            <v>0</v>
          </cell>
          <cell r="BS148">
            <v>0</v>
          </cell>
          <cell r="BT148">
            <v>0</v>
          </cell>
          <cell r="BU148">
            <v>0</v>
          </cell>
          <cell r="BV148">
            <v>0</v>
          </cell>
          <cell r="BW148">
            <v>0</v>
          </cell>
          <cell r="BX148">
            <v>0</v>
          </cell>
          <cell r="BY148">
            <v>0</v>
          </cell>
          <cell r="BZ148">
            <v>0</v>
          </cell>
          <cell r="CA148">
            <v>0</v>
          </cell>
          <cell r="CB148">
            <v>0</v>
          </cell>
          <cell r="CC148">
            <v>0</v>
          </cell>
          <cell r="CD148">
            <v>0</v>
          </cell>
          <cell r="CE148">
            <v>0</v>
          </cell>
          <cell r="CF148">
            <v>0</v>
          </cell>
          <cell r="CG148">
            <v>0</v>
          </cell>
          <cell r="CH148">
            <v>0</v>
          </cell>
          <cell r="CI148">
            <v>0</v>
          </cell>
          <cell r="CJ148">
            <v>0</v>
          </cell>
          <cell r="CK148">
            <v>17022172.488000002</v>
          </cell>
          <cell r="CL148">
            <v>0</v>
          </cell>
          <cell r="CM148">
            <v>0</v>
          </cell>
          <cell r="CN148">
            <v>0</v>
          </cell>
          <cell r="CO148">
            <v>0</v>
          </cell>
          <cell r="CP148">
            <v>0</v>
          </cell>
          <cell r="CQ148">
            <v>0</v>
          </cell>
          <cell r="CR148">
            <v>0</v>
          </cell>
          <cell r="CS148">
            <v>0</v>
          </cell>
          <cell r="CT148">
            <v>0</v>
          </cell>
          <cell r="CU148">
            <v>0</v>
          </cell>
          <cell r="CV148">
            <v>0</v>
          </cell>
          <cell r="CW148">
            <v>17022172.488000002</v>
          </cell>
          <cell r="CX148">
            <v>0</v>
          </cell>
          <cell r="CY148">
            <v>0</v>
          </cell>
          <cell r="CZ148">
            <v>0</v>
          </cell>
          <cell r="DA148">
            <v>0</v>
          </cell>
          <cell r="DB148">
            <v>0</v>
          </cell>
          <cell r="DC148">
            <v>0</v>
          </cell>
          <cell r="DD148">
            <v>0</v>
          </cell>
          <cell r="DE148">
            <v>0</v>
          </cell>
          <cell r="DF148">
            <v>0</v>
          </cell>
          <cell r="DG148">
            <v>0</v>
          </cell>
          <cell r="DH148">
            <v>0</v>
          </cell>
          <cell r="DI148">
            <v>17630079.565664425</v>
          </cell>
          <cell r="DJ148">
            <v>0</v>
          </cell>
          <cell r="DK148">
            <v>0</v>
          </cell>
          <cell r="DL148">
            <v>0</v>
          </cell>
          <cell r="DM148">
            <v>0</v>
          </cell>
          <cell r="DN148">
            <v>0</v>
          </cell>
          <cell r="DO148">
            <v>0</v>
          </cell>
          <cell r="DP148">
            <v>0</v>
          </cell>
          <cell r="DQ148">
            <v>0</v>
          </cell>
          <cell r="DR148">
            <v>0</v>
          </cell>
          <cell r="DS148">
            <v>0</v>
          </cell>
          <cell r="DT148">
            <v>0</v>
          </cell>
          <cell r="DU148">
            <v>5158919.2685226137</v>
          </cell>
          <cell r="DV148">
            <v>0</v>
          </cell>
          <cell r="DW148">
            <v>0</v>
          </cell>
          <cell r="DX148">
            <v>0</v>
          </cell>
          <cell r="DY148">
            <v>0</v>
          </cell>
          <cell r="EA148">
            <v>0</v>
          </cell>
          <cell r="EB148">
            <v>0</v>
          </cell>
          <cell r="EC148">
            <v>0</v>
          </cell>
          <cell r="ED148">
            <v>0</v>
          </cell>
          <cell r="EE148">
            <v>0</v>
          </cell>
          <cell r="EF148">
            <v>0</v>
          </cell>
          <cell r="EG148">
            <v>0</v>
          </cell>
          <cell r="EH148">
            <v>0</v>
          </cell>
          <cell r="EI148">
            <v>0</v>
          </cell>
          <cell r="EJ148">
            <v>0</v>
          </cell>
          <cell r="EK148">
            <v>0</v>
          </cell>
          <cell r="EL148">
            <v>0</v>
          </cell>
          <cell r="EM148">
            <v>0</v>
          </cell>
          <cell r="EN148">
            <v>0</v>
          </cell>
          <cell r="EO148">
            <v>0</v>
          </cell>
          <cell r="EP148">
            <v>0</v>
          </cell>
          <cell r="EQ148">
            <v>0</v>
          </cell>
          <cell r="ER148">
            <v>0</v>
          </cell>
          <cell r="ES148">
            <v>0</v>
          </cell>
          <cell r="ET148">
            <v>0</v>
          </cell>
          <cell r="EU148">
            <v>0</v>
          </cell>
          <cell r="EV148">
            <v>0</v>
          </cell>
          <cell r="EW148">
            <v>0</v>
          </cell>
          <cell r="EX148">
            <v>0</v>
          </cell>
          <cell r="EY148">
            <v>0</v>
          </cell>
          <cell r="EZ148">
            <v>0</v>
          </cell>
          <cell r="FA148">
            <v>0</v>
          </cell>
          <cell r="FB148">
            <v>0</v>
          </cell>
          <cell r="FC148">
            <v>0</v>
          </cell>
          <cell r="FD148">
            <v>0</v>
          </cell>
          <cell r="FE148">
            <v>0</v>
          </cell>
          <cell r="FF148">
            <v>0</v>
          </cell>
          <cell r="FG148">
            <v>0</v>
          </cell>
          <cell r="FH148">
            <v>0</v>
          </cell>
          <cell r="FI148">
            <v>0</v>
          </cell>
          <cell r="FJ148">
            <v>0</v>
          </cell>
          <cell r="FK148">
            <v>0</v>
          </cell>
          <cell r="FL148">
            <v>0</v>
          </cell>
          <cell r="FM148">
            <v>0</v>
          </cell>
          <cell r="FN148">
            <v>0</v>
          </cell>
          <cell r="FO148">
            <v>0</v>
          </cell>
          <cell r="FP148">
            <v>0</v>
          </cell>
          <cell r="FQ148">
            <v>0</v>
          </cell>
          <cell r="FR148">
            <v>0</v>
          </cell>
          <cell r="FS148">
            <v>0</v>
          </cell>
          <cell r="FT148">
            <v>0</v>
          </cell>
          <cell r="FU148">
            <v>0</v>
          </cell>
          <cell r="FV148">
            <v>0</v>
          </cell>
          <cell r="FW148">
            <v>0</v>
          </cell>
          <cell r="FX148">
            <v>0</v>
          </cell>
          <cell r="FY148">
            <v>0</v>
          </cell>
          <cell r="FZ148">
            <v>0</v>
          </cell>
        </row>
        <row r="149">
          <cell r="A149" t="str">
            <v>F_GAR_NRF_IRD_IRD_FRCE_SWL</v>
          </cell>
          <cell r="B149">
            <v>0</v>
          </cell>
          <cell r="C149">
            <v>0</v>
          </cell>
          <cell r="D149">
            <v>0</v>
          </cell>
          <cell r="E149">
            <v>0</v>
          </cell>
          <cell r="F149">
            <v>0</v>
          </cell>
          <cell r="G149">
            <v>0</v>
          </cell>
          <cell r="H149">
            <v>0</v>
          </cell>
          <cell r="I149">
            <v>0</v>
          </cell>
          <cell r="J149">
            <v>0</v>
          </cell>
          <cell r="K149">
            <v>0</v>
          </cell>
          <cell r="L149">
            <v>0</v>
          </cell>
          <cell r="M149">
            <v>0</v>
          </cell>
          <cell r="N149">
            <v>0</v>
          </cell>
          <cell r="O149">
            <v>0</v>
          </cell>
          <cell r="P149">
            <v>0</v>
          </cell>
          <cell r="Q149">
            <v>0</v>
          </cell>
          <cell r="R149">
            <v>0</v>
          </cell>
          <cell r="S149">
            <v>0</v>
          </cell>
          <cell r="T149">
            <v>0</v>
          </cell>
          <cell r="U149">
            <v>0</v>
          </cell>
          <cell r="V149">
            <v>0</v>
          </cell>
          <cell r="W149">
            <v>0</v>
          </cell>
          <cell r="X149">
            <v>0</v>
          </cell>
          <cell r="Y149">
            <v>0</v>
          </cell>
          <cell r="Z149">
            <v>0</v>
          </cell>
          <cell r="AA149">
            <v>0</v>
          </cell>
          <cell r="AB149">
            <v>0</v>
          </cell>
          <cell r="AC149">
            <v>0</v>
          </cell>
          <cell r="AD149">
            <v>0</v>
          </cell>
          <cell r="AE149">
            <v>0</v>
          </cell>
          <cell r="AF149">
            <v>0</v>
          </cell>
          <cell r="AG149">
            <v>0</v>
          </cell>
          <cell r="AH149">
            <v>0</v>
          </cell>
          <cell r="AI149">
            <v>0</v>
          </cell>
          <cell r="AJ149">
            <v>0</v>
          </cell>
          <cell r="AK149">
            <v>0</v>
          </cell>
          <cell r="AL149">
            <v>0</v>
          </cell>
          <cell r="AM149">
            <v>0</v>
          </cell>
          <cell r="AN149">
            <v>0</v>
          </cell>
          <cell r="AO149">
            <v>0</v>
          </cell>
          <cell r="AP149">
            <v>0</v>
          </cell>
          <cell r="AQ149">
            <v>0</v>
          </cell>
          <cell r="AR149">
            <v>0</v>
          </cell>
          <cell r="AS149">
            <v>25809827.269127961</v>
          </cell>
          <cell r="AT149">
            <v>0</v>
          </cell>
          <cell r="AU149">
            <v>0</v>
          </cell>
          <cell r="AV149">
            <v>0</v>
          </cell>
          <cell r="AW149">
            <v>0</v>
          </cell>
          <cell r="AX149">
            <v>0</v>
          </cell>
          <cell r="AY149">
            <v>0</v>
          </cell>
          <cell r="AZ149">
            <v>0</v>
          </cell>
          <cell r="BA149">
            <v>0</v>
          </cell>
          <cell r="BB149">
            <v>0</v>
          </cell>
          <cell r="BC149">
            <v>0</v>
          </cell>
          <cell r="BD149">
            <v>0</v>
          </cell>
          <cell r="BE149">
            <v>3784564.2081730962</v>
          </cell>
          <cell r="BF149">
            <v>0</v>
          </cell>
          <cell r="BG149">
            <v>0</v>
          </cell>
          <cell r="BH149">
            <v>0</v>
          </cell>
          <cell r="BI149">
            <v>0</v>
          </cell>
          <cell r="BJ149">
            <v>0</v>
          </cell>
          <cell r="BK149">
            <v>0</v>
          </cell>
          <cell r="BL149">
            <v>0</v>
          </cell>
          <cell r="BM149">
            <v>0</v>
          </cell>
          <cell r="BN149">
            <v>0</v>
          </cell>
          <cell r="BO149">
            <v>0</v>
          </cell>
          <cell r="BP149">
            <v>0</v>
          </cell>
          <cell r="BQ149">
            <v>0</v>
          </cell>
          <cell r="BR149">
            <v>0</v>
          </cell>
          <cell r="BS149">
            <v>0</v>
          </cell>
          <cell r="BT149">
            <v>0</v>
          </cell>
          <cell r="BU149">
            <v>0</v>
          </cell>
          <cell r="BV149">
            <v>0</v>
          </cell>
          <cell r="BW149">
            <v>0</v>
          </cell>
          <cell r="BX149">
            <v>0</v>
          </cell>
          <cell r="BY149">
            <v>0</v>
          </cell>
          <cell r="BZ149">
            <v>0</v>
          </cell>
          <cell r="CA149">
            <v>0</v>
          </cell>
          <cell r="CB149">
            <v>0</v>
          </cell>
          <cell r="CC149">
            <v>0</v>
          </cell>
          <cell r="CD149">
            <v>0</v>
          </cell>
          <cell r="CE149">
            <v>0</v>
          </cell>
          <cell r="CF149">
            <v>0</v>
          </cell>
          <cell r="CG149">
            <v>0</v>
          </cell>
          <cell r="CH149">
            <v>0</v>
          </cell>
          <cell r="CI149">
            <v>0</v>
          </cell>
          <cell r="CJ149">
            <v>0</v>
          </cell>
          <cell r="CK149">
            <v>22428106.205285549</v>
          </cell>
          <cell r="CL149">
            <v>0</v>
          </cell>
          <cell r="CM149">
            <v>0</v>
          </cell>
          <cell r="CN149">
            <v>0</v>
          </cell>
          <cell r="CO149">
            <v>0</v>
          </cell>
          <cell r="CP149">
            <v>0</v>
          </cell>
          <cell r="CQ149">
            <v>0</v>
          </cell>
          <cell r="CR149">
            <v>0</v>
          </cell>
          <cell r="CS149">
            <v>0</v>
          </cell>
          <cell r="CT149">
            <v>0</v>
          </cell>
          <cell r="CU149">
            <v>0</v>
          </cell>
          <cell r="CV149">
            <v>0</v>
          </cell>
          <cell r="CW149">
            <v>22428106.205285549</v>
          </cell>
          <cell r="CX149">
            <v>0</v>
          </cell>
          <cell r="CY149">
            <v>0</v>
          </cell>
          <cell r="CZ149">
            <v>0</v>
          </cell>
          <cell r="DA149">
            <v>0</v>
          </cell>
          <cell r="DB149">
            <v>0</v>
          </cell>
          <cell r="DC149">
            <v>0</v>
          </cell>
          <cell r="DD149">
            <v>0</v>
          </cell>
          <cell r="DE149">
            <v>0</v>
          </cell>
          <cell r="DF149">
            <v>0</v>
          </cell>
          <cell r="DG149">
            <v>0</v>
          </cell>
          <cell r="DH149">
            <v>0</v>
          </cell>
          <cell r="DI149">
            <v>23992404.472377237</v>
          </cell>
          <cell r="DJ149">
            <v>0</v>
          </cell>
          <cell r="DK149">
            <v>0</v>
          </cell>
          <cell r="DL149">
            <v>0</v>
          </cell>
          <cell r="DM149">
            <v>0</v>
          </cell>
          <cell r="DN149">
            <v>0</v>
          </cell>
          <cell r="DO149">
            <v>0</v>
          </cell>
          <cell r="DP149">
            <v>0</v>
          </cell>
          <cell r="DQ149">
            <v>0</v>
          </cell>
          <cell r="DR149">
            <v>0</v>
          </cell>
          <cell r="DS149">
            <v>0</v>
          </cell>
          <cell r="DT149">
            <v>0</v>
          </cell>
          <cell r="DU149">
            <v>1817422.796750725</v>
          </cell>
          <cell r="DV149">
            <v>0</v>
          </cell>
          <cell r="DW149">
            <v>0</v>
          </cell>
          <cell r="DX149">
            <v>0</v>
          </cell>
          <cell r="DY149">
            <v>0</v>
          </cell>
          <cell r="EA149">
            <v>0</v>
          </cell>
          <cell r="EB149">
            <v>0</v>
          </cell>
          <cell r="EC149">
            <v>0</v>
          </cell>
          <cell r="ED149">
            <v>0</v>
          </cell>
          <cell r="EE149">
            <v>0</v>
          </cell>
          <cell r="EF149">
            <v>0</v>
          </cell>
          <cell r="EG149">
            <v>0</v>
          </cell>
          <cell r="EH149">
            <v>0</v>
          </cell>
          <cell r="EI149">
            <v>0</v>
          </cell>
          <cell r="EJ149">
            <v>0</v>
          </cell>
          <cell r="EK149">
            <v>0</v>
          </cell>
          <cell r="EL149">
            <v>0</v>
          </cell>
          <cell r="EM149">
            <v>0</v>
          </cell>
          <cell r="EN149">
            <v>0</v>
          </cell>
          <cell r="EO149">
            <v>0</v>
          </cell>
          <cell r="EP149">
            <v>0</v>
          </cell>
          <cell r="EQ149">
            <v>0</v>
          </cell>
          <cell r="ER149">
            <v>0</v>
          </cell>
          <cell r="ES149">
            <v>0</v>
          </cell>
          <cell r="ET149">
            <v>0</v>
          </cell>
          <cell r="EU149">
            <v>0</v>
          </cell>
          <cell r="EV149">
            <v>0</v>
          </cell>
          <cell r="EW149">
            <v>0</v>
          </cell>
          <cell r="EX149">
            <v>0</v>
          </cell>
          <cell r="EY149">
            <v>0</v>
          </cell>
          <cell r="EZ149">
            <v>0</v>
          </cell>
          <cell r="FA149">
            <v>0</v>
          </cell>
          <cell r="FB149">
            <v>0</v>
          </cell>
          <cell r="FC149">
            <v>0</v>
          </cell>
          <cell r="FD149">
            <v>0</v>
          </cell>
          <cell r="FE149">
            <v>0</v>
          </cell>
          <cell r="FF149">
            <v>0</v>
          </cell>
          <cell r="FG149">
            <v>0</v>
          </cell>
          <cell r="FH149">
            <v>0</v>
          </cell>
          <cell r="FI149">
            <v>0</v>
          </cell>
          <cell r="FJ149">
            <v>0</v>
          </cell>
          <cell r="FK149">
            <v>0</v>
          </cell>
          <cell r="FL149">
            <v>0</v>
          </cell>
          <cell r="FM149">
            <v>0</v>
          </cell>
          <cell r="FN149">
            <v>0</v>
          </cell>
          <cell r="FO149">
            <v>0</v>
          </cell>
          <cell r="FP149">
            <v>0</v>
          </cell>
          <cell r="FQ149">
            <v>0</v>
          </cell>
          <cell r="FR149">
            <v>0</v>
          </cell>
          <cell r="FS149">
            <v>0</v>
          </cell>
          <cell r="FT149">
            <v>0</v>
          </cell>
          <cell r="FU149">
            <v>0</v>
          </cell>
          <cell r="FV149">
            <v>0</v>
          </cell>
          <cell r="FW149">
            <v>0</v>
          </cell>
          <cell r="FX149">
            <v>0</v>
          </cell>
          <cell r="FY149">
            <v>0</v>
          </cell>
          <cell r="FZ149">
            <v>0</v>
          </cell>
        </row>
        <row r="150">
          <cell r="A150">
            <v>0</v>
          </cell>
          <cell r="B150">
            <v>0</v>
          </cell>
          <cell r="C150">
            <v>0</v>
          </cell>
          <cell r="D150">
            <v>0</v>
          </cell>
          <cell r="E150">
            <v>0</v>
          </cell>
          <cell r="F150">
            <v>0</v>
          </cell>
          <cell r="G150">
            <v>0</v>
          </cell>
          <cell r="H150">
            <v>0</v>
          </cell>
          <cell r="I150">
            <v>0</v>
          </cell>
          <cell r="J150">
            <v>0</v>
          </cell>
          <cell r="K150">
            <v>0</v>
          </cell>
          <cell r="L150">
            <v>0</v>
          </cell>
          <cell r="M150">
            <v>0</v>
          </cell>
          <cell r="N150">
            <v>0</v>
          </cell>
          <cell r="O150">
            <v>0</v>
          </cell>
          <cell r="P150">
            <v>0</v>
          </cell>
          <cell r="Q150">
            <v>0</v>
          </cell>
          <cell r="R150">
            <v>0</v>
          </cell>
          <cell r="S150">
            <v>0</v>
          </cell>
          <cell r="T150">
            <v>0</v>
          </cell>
          <cell r="U150">
            <v>0</v>
          </cell>
          <cell r="V150">
            <v>0</v>
          </cell>
          <cell r="W150">
            <v>0</v>
          </cell>
          <cell r="X150">
            <v>0</v>
          </cell>
          <cell r="Y150">
            <v>0</v>
          </cell>
          <cell r="Z150">
            <v>0</v>
          </cell>
          <cell r="AA150">
            <v>0</v>
          </cell>
          <cell r="AB150">
            <v>0</v>
          </cell>
          <cell r="AC150">
            <v>0</v>
          </cell>
          <cell r="AD150">
            <v>0</v>
          </cell>
          <cell r="AE150">
            <v>0</v>
          </cell>
          <cell r="AF150">
            <v>0</v>
          </cell>
          <cell r="AG150">
            <v>0</v>
          </cell>
          <cell r="AH150">
            <v>0</v>
          </cell>
          <cell r="AI150">
            <v>0</v>
          </cell>
          <cell r="AJ150">
            <v>0</v>
          </cell>
          <cell r="AK150">
            <v>0</v>
          </cell>
          <cell r="AL150">
            <v>0</v>
          </cell>
          <cell r="AM150">
            <v>0</v>
          </cell>
          <cell r="AN150">
            <v>0</v>
          </cell>
          <cell r="AO150">
            <v>0</v>
          </cell>
          <cell r="AP150">
            <v>0</v>
          </cell>
          <cell r="AQ150">
            <v>0</v>
          </cell>
          <cell r="AR150">
            <v>0</v>
          </cell>
          <cell r="AS150">
            <v>0</v>
          </cell>
          <cell r="AT150">
            <v>0</v>
          </cell>
          <cell r="AU150">
            <v>0</v>
          </cell>
          <cell r="AV150">
            <v>0</v>
          </cell>
          <cell r="AW150">
            <v>0</v>
          </cell>
          <cell r="AX150">
            <v>0</v>
          </cell>
          <cell r="AY150">
            <v>0</v>
          </cell>
          <cell r="AZ150">
            <v>0</v>
          </cell>
          <cell r="BA150">
            <v>0</v>
          </cell>
          <cell r="BB150">
            <v>0</v>
          </cell>
          <cell r="BC150">
            <v>0</v>
          </cell>
          <cell r="BD150">
            <v>0</v>
          </cell>
          <cell r="BE150">
            <v>0</v>
          </cell>
          <cell r="BF150">
            <v>0</v>
          </cell>
          <cell r="BG150">
            <v>0</v>
          </cell>
          <cell r="BH150">
            <v>0</v>
          </cell>
          <cell r="BI150">
            <v>0</v>
          </cell>
          <cell r="BJ150">
            <v>0</v>
          </cell>
          <cell r="BK150">
            <v>0</v>
          </cell>
          <cell r="BL150">
            <v>0</v>
          </cell>
          <cell r="BM150">
            <v>0</v>
          </cell>
          <cell r="BN150">
            <v>0</v>
          </cell>
          <cell r="BO150">
            <v>0</v>
          </cell>
          <cell r="BP150">
            <v>0</v>
          </cell>
          <cell r="BQ150">
            <v>0</v>
          </cell>
          <cell r="BR150">
            <v>0</v>
          </cell>
          <cell r="BS150">
            <v>0</v>
          </cell>
          <cell r="BT150">
            <v>0</v>
          </cell>
          <cell r="BU150">
            <v>0</v>
          </cell>
          <cell r="BV150">
            <v>0</v>
          </cell>
          <cell r="BW150">
            <v>0</v>
          </cell>
          <cell r="BX150">
            <v>0</v>
          </cell>
          <cell r="BY150">
            <v>0</v>
          </cell>
          <cell r="BZ150">
            <v>0</v>
          </cell>
          <cell r="CA150">
            <v>0</v>
          </cell>
          <cell r="CB150">
            <v>0</v>
          </cell>
          <cell r="CC150">
            <v>0</v>
          </cell>
          <cell r="CD150">
            <v>0</v>
          </cell>
          <cell r="CE150">
            <v>0</v>
          </cell>
          <cell r="CF150">
            <v>0</v>
          </cell>
          <cell r="CG150">
            <v>0</v>
          </cell>
          <cell r="CH150">
            <v>0</v>
          </cell>
          <cell r="CI150">
            <v>0</v>
          </cell>
          <cell r="CJ150">
            <v>0</v>
          </cell>
          <cell r="CK150">
            <v>0</v>
          </cell>
          <cell r="CL150">
            <v>0</v>
          </cell>
          <cell r="CM150">
            <v>0</v>
          </cell>
          <cell r="CN150">
            <v>0</v>
          </cell>
          <cell r="CO150">
            <v>0</v>
          </cell>
          <cell r="CP150">
            <v>0</v>
          </cell>
          <cell r="CQ150">
            <v>0</v>
          </cell>
          <cell r="CR150">
            <v>0</v>
          </cell>
          <cell r="CS150">
            <v>0</v>
          </cell>
          <cell r="CT150">
            <v>0</v>
          </cell>
          <cell r="CU150">
            <v>0</v>
          </cell>
          <cell r="CV150">
            <v>0</v>
          </cell>
          <cell r="CW150">
            <v>0</v>
          </cell>
          <cell r="CX150">
            <v>0</v>
          </cell>
          <cell r="CY150">
            <v>0</v>
          </cell>
          <cell r="CZ150">
            <v>0</v>
          </cell>
          <cell r="DA150">
            <v>0</v>
          </cell>
          <cell r="DB150">
            <v>0</v>
          </cell>
          <cell r="DC150">
            <v>0</v>
          </cell>
          <cell r="DD150">
            <v>0</v>
          </cell>
          <cell r="DE150">
            <v>0</v>
          </cell>
          <cell r="DF150">
            <v>0</v>
          </cell>
          <cell r="DG150">
            <v>0</v>
          </cell>
          <cell r="DH150">
            <v>0</v>
          </cell>
          <cell r="DI150">
            <v>0</v>
          </cell>
          <cell r="DJ150">
            <v>0</v>
          </cell>
          <cell r="DK150">
            <v>0</v>
          </cell>
          <cell r="DL150">
            <v>0</v>
          </cell>
          <cell r="DM150">
            <v>0</v>
          </cell>
          <cell r="DN150">
            <v>0</v>
          </cell>
          <cell r="DO150">
            <v>0</v>
          </cell>
          <cell r="DP150">
            <v>0</v>
          </cell>
          <cell r="DQ150">
            <v>0</v>
          </cell>
          <cell r="DR150">
            <v>0</v>
          </cell>
          <cell r="DS150">
            <v>0</v>
          </cell>
          <cell r="DT150">
            <v>0</v>
          </cell>
          <cell r="DU150">
            <v>0</v>
          </cell>
          <cell r="DV150">
            <v>0</v>
          </cell>
          <cell r="DW150">
            <v>0</v>
          </cell>
          <cell r="DX150">
            <v>0</v>
          </cell>
          <cell r="DY150">
            <v>0</v>
          </cell>
          <cell r="EA150">
            <v>0</v>
          </cell>
          <cell r="EB150">
            <v>0</v>
          </cell>
          <cell r="EC150">
            <v>0</v>
          </cell>
          <cell r="ED150">
            <v>0</v>
          </cell>
          <cell r="EE150">
            <v>0</v>
          </cell>
          <cell r="EF150">
            <v>0</v>
          </cell>
          <cell r="EG150">
            <v>0</v>
          </cell>
          <cell r="EH150">
            <v>0</v>
          </cell>
          <cell r="EI150">
            <v>0</v>
          </cell>
          <cell r="EJ150">
            <v>0</v>
          </cell>
          <cell r="EK150">
            <v>0</v>
          </cell>
          <cell r="EL150">
            <v>0</v>
          </cell>
          <cell r="EM150">
            <v>0</v>
          </cell>
          <cell r="EN150">
            <v>0</v>
          </cell>
          <cell r="EO150">
            <v>0</v>
          </cell>
          <cell r="EP150">
            <v>0</v>
          </cell>
          <cell r="EQ150">
            <v>0</v>
          </cell>
          <cell r="ER150">
            <v>0</v>
          </cell>
          <cell r="ES150">
            <v>0</v>
          </cell>
          <cell r="ET150">
            <v>0</v>
          </cell>
          <cell r="EU150">
            <v>0</v>
          </cell>
          <cell r="EV150">
            <v>0</v>
          </cell>
          <cell r="EW150">
            <v>0</v>
          </cell>
          <cell r="EX150">
            <v>0</v>
          </cell>
          <cell r="EY150">
            <v>0</v>
          </cell>
          <cell r="EZ150">
            <v>0</v>
          </cell>
          <cell r="FA150">
            <v>0</v>
          </cell>
          <cell r="FB150">
            <v>0</v>
          </cell>
          <cell r="FC150">
            <v>0</v>
          </cell>
          <cell r="FD150">
            <v>0</v>
          </cell>
          <cell r="FE150">
            <v>0</v>
          </cell>
          <cell r="FF150">
            <v>0</v>
          </cell>
          <cell r="FG150">
            <v>0</v>
          </cell>
          <cell r="FH150">
            <v>0</v>
          </cell>
          <cell r="FI150">
            <v>0</v>
          </cell>
          <cell r="FJ150">
            <v>0</v>
          </cell>
          <cell r="FK150">
            <v>0</v>
          </cell>
          <cell r="FL150">
            <v>0</v>
          </cell>
          <cell r="FM150">
            <v>0</v>
          </cell>
          <cell r="FN150">
            <v>0</v>
          </cell>
          <cell r="FO150">
            <v>0</v>
          </cell>
          <cell r="FP150">
            <v>0</v>
          </cell>
          <cell r="FQ150">
            <v>0</v>
          </cell>
          <cell r="FR150">
            <v>0</v>
          </cell>
          <cell r="FS150">
            <v>0</v>
          </cell>
          <cell r="FT150">
            <v>0</v>
          </cell>
          <cell r="FU150">
            <v>0</v>
          </cell>
          <cell r="FV150">
            <v>0</v>
          </cell>
          <cell r="FW150">
            <v>0</v>
          </cell>
          <cell r="FX150">
            <v>0</v>
          </cell>
          <cell r="FY150">
            <v>0</v>
          </cell>
          <cell r="FZ150">
            <v>0</v>
          </cell>
        </row>
        <row r="151">
          <cell r="A151">
            <v>0</v>
          </cell>
          <cell r="B151">
            <v>0</v>
          </cell>
          <cell r="C151">
            <v>0</v>
          </cell>
          <cell r="D151">
            <v>0</v>
          </cell>
          <cell r="E151">
            <v>0</v>
          </cell>
          <cell r="F151">
            <v>0</v>
          </cell>
          <cell r="G151">
            <v>0</v>
          </cell>
          <cell r="H151">
            <v>0</v>
          </cell>
          <cell r="I151">
            <v>0</v>
          </cell>
          <cell r="J151">
            <v>0</v>
          </cell>
          <cell r="K151">
            <v>0</v>
          </cell>
          <cell r="L151">
            <v>0</v>
          </cell>
          <cell r="M151">
            <v>0</v>
          </cell>
          <cell r="N151">
            <v>0</v>
          </cell>
          <cell r="O151">
            <v>0</v>
          </cell>
          <cell r="P151">
            <v>0</v>
          </cell>
          <cell r="Q151">
            <v>0</v>
          </cell>
          <cell r="R151">
            <v>0</v>
          </cell>
          <cell r="S151">
            <v>0</v>
          </cell>
          <cell r="T151">
            <v>0</v>
          </cell>
          <cell r="U151">
            <v>0</v>
          </cell>
          <cell r="V151">
            <v>0</v>
          </cell>
          <cell r="W151">
            <v>0</v>
          </cell>
          <cell r="X151">
            <v>0</v>
          </cell>
          <cell r="Y151">
            <v>0</v>
          </cell>
          <cell r="Z151">
            <v>0</v>
          </cell>
          <cell r="AA151">
            <v>0</v>
          </cell>
          <cell r="AB151">
            <v>0</v>
          </cell>
          <cell r="AC151">
            <v>0</v>
          </cell>
          <cell r="AD151">
            <v>0</v>
          </cell>
          <cell r="AE151">
            <v>0</v>
          </cell>
          <cell r="AF151">
            <v>0</v>
          </cell>
          <cell r="AG151">
            <v>0</v>
          </cell>
          <cell r="AH151">
            <v>0</v>
          </cell>
          <cell r="AI151">
            <v>0</v>
          </cell>
          <cell r="AJ151">
            <v>0</v>
          </cell>
          <cell r="AK151">
            <v>0</v>
          </cell>
          <cell r="AL151">
            <v>0</v>
          </cell>
          <cell r="AM151">
            <v>0</v>
          </cell>
          <cell r="AN151">
            <v>0</v>
          </cell>
          <cell r="AO151">
            <v>0</v>
          </cell>
          <cell r="AP151">
            <v>0</v>
          </cell>
          <cell r="AQ151">
            <v>0</v>
          </cell>
          <cell r="AR151">
            <v>0</v>
          </cell>
          <cell r="AS151">
            <v>0</v>
          </cell>
          <cell r="AT151">
            <v>0</v>
          </cell>
          <cell r="AU151">
            <v>0</v>
          </cell>
          <cell r="AV151">
            <v>0</v>
          </cell>
          <cell r="AW151">
            <v>0</v>
          </cell>
          <cell r="AX151">
            <v>0</v>
          </cell>
          <cell r="AY151">
            <v>0</v>
          </cell>
          <cell r="AZ151">
            <v>0</v>
          </cell>
          <cell r="BA151">
            <v>0</v>
          </cell>
          <cell r="BB151">
            <v>0</v>
          </cell>
          <cell r="BC151">
            <v>0</v>
          </cell>
          <cell r="BD151">
            <v>0</v>
          </cell>
          <cell r="BE151">
            <v>0</v>
          </cell>
          <cell r="BF151">
            <v>0</v>
          </cell>
          <cell r="BG151">
            <v>0</v>
          </cell>
          <cell r="BH151">
            <v>0</v>
          </cell>
          <cell r="BI151">
            <v>0</v>
          </cell>
          <cell r="BJ151">
            <v>0</v>
          </cell>
          <cell r="BK151">
            <v>0</v>
          </cell>
          <cell r="BL151">
            <v>0</v>
          </cell>
          <cell r="BM151">
            <v>0</v>
          </cell>
          <cell r="BN151">
            <v>0</v>
          </cell>
          <cell r="BO151">
            <v>0</v>
          </cell>
          <cell r="BP151">
            <v>0</v>
          </cell>
          <cell r="BQ151">
            <v>0</v>
          </cell>
          <cell r="BR151">
            <v>0</v>
          </cell>
          <cell r="BS151">
            <v>0</v>
          </cell>
          <cell r="BT151">
            <v>0</v>
          </cell>
          <cell r="BU151">
            <v>0</v>
          </cell>
          <cell r="BV151">
            <v>0</v>
          </cell>
          <cell r="BW151">
            <v>0</v>
          </cell>
          <cell r="BX151">
            <v>0</v>
          </cell>
          <cell r="BY151">
            <v>0</v>
          </cell>
          <cell r="BZ151">
            <v>0</v>
          </cell>
          <cell r="CA151">
            <v>0</v>
          </cell>
          <cell r="CB151">
            <v>0</v>
          </cell>
          <cell r="CC151">
            <v>0</v>
          </cell>
          <cell r="CD151">
            <v>0</v>
          </cell>
          <cell r="CE151">
            <v>0</v>
          </cell>
          <cell r="CF151">
            <v>0</v>
          </cell>
          <cell r="CG151">
            <v>0</v>
          </cell>
          <cell r="CH151">
            <v>0</v>
          </cell>
          <cell r="CI151">
            <v>0</v>
          </cell>
          <cell r="CJ151">
            <v>0</v>
          </cell>
          <cell r="CK151">
            <v>0</v>
          </cell>
          <cell r="CL151">
            <v>0</v>
          </cell>
          <cell r="CM151">
            <v>0</v>
          </cell>
          <cell r="CN151">
            <v>0</v>
          </cell>
          <cell r="CO151">
            <v>0</v>
          </cell>
          <cell r="CP151">
            <v>0</v>
          </cell>
          <cell r="CQ151">
            <v>0</v>
          </cell>
          <cell r="CR151">
            <v>0</v>
          </cell>
          <cell r="CS151">
            <v>0</v>
          </cell>
          <cell r="CT151">
            <v>0</v>
          </cell>
          <cell r="CU151">
            <v>0</v>
          </cell>
          <cell r="CV151">
            <v>0</v>
          </cell>
          <cell r="CW151">
            <v>0</v>
          </cell>
          <cell r="CX151">
            <v>0</v>
          </cell>
          <cell r="CY151">
            <v>0</v>
          </cell>
          <cell r="CZ151">
            <v>0</v>
          </cell>
          <cell r="DA151">
            <v>0</v>
          </cell>
          <cell r="DB151">
            <v>0</v>
          </cell>
          <cell r="DC151">
            <v>0</v>
          </cell>
          <cell r="DD151">
            <v>0</v>
          </cell>
          <cell r="DE151">
            <v>0</v>
          </cell>
          <cell r="DF151">
            <v>0</v>
          </cell>
          <cell r="DG151">
            <v>0</v>
          </cell>
          <cell r="DH151">
            <v>0</v>
          </cell>
          <cell r="DI151">
            <v>0</v>
          </cell>
          <cell r="DJ151">
            <v>0</v>
          </cell>
          <cell r="DK151">
            <v>0</v>
          </cell>
          <cell r="DL151">
            <v>0</v>
          </cell>
          <cell r="DM151">
            <v>0</v>
          </cell>
          <cell r="DN151">
            <v>0</v>
          </cell>
          <cell r="DO151">
            <v>0</v>
          </cell>
          <cell r="DP151">
            <v>0</v>
          </cell>
          <cell r="DQ151">
            <v>0</v>
          </cell>
          <cell r="DR151">
            <v>0</v>
          </cell>
          <cell r="DS151">
            <v>0</v>
          </cell>
          <cell r="DT151">
            <v>0</v>
          </cell>
          <cell r="DU151">
            <v>0</v>
          </cell>
          <cell r="DV151">
            <v>0</v>
          </cell>
          <cell r="DW151">
            <v>0</v>
          </cell>
          <cell r="DX151">
            <v>0</v>
          </cell>
          <cell r="DY151">
            <v>0</v>
          </cell>
          <cell r="EA151">
            <v>0</v>
          </cell>
          <cell r="EB151">
            <v>0</v>
          </cell>
          <cell r="EC151">
            <v>0</v>
          </cell>
          <cell r="ED151">
            <v>0</v>
          </cell>
          <cell r="EE151">
            <v>0</v>
          </cell>
          <cell r="EF151">
            <v>0</v>
          </cell>
          <cell r="EG151">
            <v>0</v>
          </cell>
          <cell r="EH151">
            <v>0</v>
          </cell>
          <cell r="EI151">
            <v>0</v>
          </cell>
          <cell r="EJ151">
            <v>0</v>
          </cell>
          <cell r="EK151">
            <v>0</v>
          </cell>
          <cell r="EL151">
            <v>0</v>
          </cell>
          <cell r="EM151">
            <v>0</v>
          </cell>
          <cell r="EN151">
            <v>0</v>
          </cell>
          <cell r="EO151">
            <v>0</v>
          </cell>
          <cell r="EP151">
            <v>0</v>
          </cell>
          <cell r="EQ151">
            <v>0</v>
          </cell>
          <cell r="ER151">
            <v>0</v>
          </cell>
          <cell r="ES151">
            <v>0</v>
          </cell>
          <cell r="ET151">
            <v>0</v>
          </cell>
          <cell r="EU151">
            <v>0</v>
          </cell>
          <cell r="EV151">
            <v>0</v>
          </cell>
          <cell r="EW151">
            <v>0</v>
          </cell>
          <cell r="EX151">
            <v>0</v>
          </cell>
          <cell r="EY151">
            <v>0</v>
          </cell>
          <cell r="EZ151">
            <v>0</v>
          </cell>
          <cell r="FA151">
            <v>0</v>
          </cell>
          <cell r="FB151">
            <v>0</v>
          </cell>
          <cell r="FC151">
            <v>0</v>
          </cell>
          <cell r="FD151">
            <v>0</v>
          </cell>
          <cell r="FE151">
            <v>0</v>
          </cell>
          <cell r="FF151">
            <v>0</v>
          </cell>
          <cell r="FG151">
            <v>0</v>
          </cell>
          <cell r="FH151">
            <v>0</v>
          </cell>
          <cell r="FI151">
            <v>0</v>
          </cell>
          <cell r="FJ151">
            <v>0</v>
          </cell>
          <cell r="FK151">
            <v>0</v>
          </cell>
          <cell r="FL151">
            <v>0</v>
          </cell>
          <cell r="FM151">
            <v>0</v>
          </cell>
          <cell r="FN151">
            <v>0</v>
          </cell>
          <cell r="FO151">
            <v>0</v>
          </cell>
          <cell r="FP151">
            <v>0</v>
          </cell>
          <cell r="FQ151">
            <v>0</v>
          </cell>
          <cell r="FR151">
            <v>0</v>
          </cell>
          <cell r="FS151">
            <v>0</v>
          </cell>
          <cell r="FT151">
            <v>0</v>
          </cell>
          <cell r="FU151">
            <v>0</v>
          </cell>
          <cell r="FV151">
            <v>0</v>
          </cell>
          <cell r="FW151">
            <v>0</v>
          </cell>
          <cell r="FX151">
            <v>0</v>
          </cell>
          <cell r="FY151">
            <v>0</v>
          </cell>
          <cell r="FZ151">
            <v>0</v>
          </cell>
        </row>
        <row r="152">
          <cell r="A152">
            <v>0</v>
          </cell>
          <cell r="B152">
            <v>0</v>
          </cell>
          <cell r="C152">
            <v>0</v>
          </cell>
          <cell r="D152">
            <v>0</v>
          </cell>
          <cell r="E152">
            <v>0</v>
          </cell>
          <cell r="F152">
            <v>0</v>
          </cell>
          <cell r="G152">
            <v>0</v>
          </cell>
          <cell r="H152">
            <v>0</v>
          </cell>
          <cell r="I152">
            <v>0</v>
          </cell>
          <cell r="J152">
            <v>0</v>
          </cell>
          <cell r="K152">
            <v>0</v>
          </cell>
          <cell r="L152">
            <v>0</v>
          </cell>
          <cell r="M152">
            <v>0</v>
          </cell>
          <cell r="N152">
            <v>0</v>
          </cell>
          <cell r="O152">
            <v>0</v>
          </cell>
          <cell r="P152">
            <v>0</v>
          </cell>
          <cell r="Q152">
            <v>0</v>
          </cell>
          <cell r="R152">
            <v>0</v>
          </cell>
          <cell r="S152">
            <v>0</v>
          </cell>
          <cell r="T152">
            <v>0</v>
          </cell>
          <cell r="U152">
            <v>0</v>
          </cell>
          <cell r="V152">
            <v>0</v>
          </cell>
          <cell r="W152">
            <v>0</v>
          </cell>
          <cell r="X152">
            <v>0</v>
          </cell>
          <cell r="Y152">
            <v>0</v>
          </cell>
          <cell r="Z152">
            <v>0</v>
          </cell>
          <cell r="AA152">
            <v>0</v>
          </cell>
          <cell r="AB152">
            <v>0</v>
          </cell>
          <cell r="AC152">
            <v>0</v>
          </cell>
          <cell r="AD152">
            <v>0</v>
          </cell>
          <cell r="AE152">
            <v>0</v>
          </cell>
          <cell r="AF152">
            <v>0</v>
          </cell>
          <cell r="AG152">
            <v>0</v>
          </cell>
          <cell r="AH152">
            <v>0</v>
          </cell>
          <cell r="AI152">
            <v>0</v>
          </cell>
          <cell r="AJ152">
            <v>0</v>
          </cell>
          <cell r="AK152">
            <v>0</v>
          </cell>
          <cell r="AL152">
            <v>0</v>
          </cell>
          <cell r="AM152">
            <v>0</v>
          </cell>
          <cell r="AN152">
            <v>0</v>
          </cell>
          <cell r="AO152">
            <v>0</v>
          </cell>
          <cell r="AP152">
            <v>0</v>
          </cell>
          <cell r="AQ152">
            <v>0</v>
          </cell>
          <cell r="AR152">
            <v>0</v>
          </cell>
          <cell r="AS152">
            <v>0</v>
          </cell>
          <cell r="AT152">
            <v>0</v>
          </cell>
          <cell r="AU152">
            <v>0</v>
          </cell>
          <cell r="AV152">
            <v>0</v>
          </cell>
          <cell r="AW152">
            <v>0</v>
          </cell>
          <cell r="AX152">
            <v>0</v>
          </cell>
          <cell r="AY152">
            <v>0</v>
          </cell>
          <cell r="AZ152">
            <v>0</v>
          </cell>
          <cell r="BA152">
            <v>0</v>
          </cell>
          <cell r="BB152">
            <v>0</v>
          </cell>
          <cell r="BC152">
            <v>0</v>
          </cell>
          <cell r="BD152">
            <v>0</v>
          </cell>
          <cell r="BE152">
            <v>0</v>
          </cell>
          <cell r="BF152">
            <v>0</v>
          </cell>
          <cell r="BG152">
            <v>0</v>
          </cell>
          <cell r="BH152">
            <v>0</v>
          </cell>
          <cell r="BI152">
            <v>0</v>
          </cell>
          <cell r="BJ152">
            <v>0</v>
          </cell>
          <cell r="BK152">
            <v>0</v>
          </cell>
          <cell r="BL152">
            <v>0</v>
          </cell>
          <cell r="BM152">
            <v>0</v>
          </cell>
          <cell r="BN152">
            <v>0</v>
          </cell>
          <cell r="BO152">
            <v>0</v>
          </cell>
          <cell r="BP152">
            <v>0</v>
          </cell>
          <cell r="BQ152">
            <v>0</v>
          </cell>
          <cell r="BR152">
            <v>0</v>
          </cell>
          <cell r="BS152">
            <v>0</v>
          </cell>
          <cell r="BT152">
            <v>0</v>
          </cell>
          <cell r="BU152">
            <v>0</v>
          </cell>
          <cell r="BV152">
            <v>0</v>
          </cell>
          <cell r="BW152">
            <v>0</v>
          </cell>
          <cell r="BX152">
            <v>0</v>
          </cell>
          <cell r="BY152">
            <v>0</v>
          </cell>
          <cell r="BZ152">
            <v>0</v>
          </cell>
          <cell r="CA152">
            <v>0</v>
          </cell>
          <cell r="CB152">
            <v>0</v>
          </cell>
          <cell r="CC152">
            <v>0</v>
          </cell>
          <cell r="CD152">
            <v>0</v>
          </cell>
          <cell r="CE152">
            <v>0</v>
          </cell>
          <cell r="CF152">
            <v>0</v>
          </cell>
          <cell r="CG152">
            <v>0</v>
          </cell>
          <cell r="CH152">
            <v>0</v>
          </cell>
          <cell r="CI152">
            <v>0</v>
          </cell>
          <cell r="CJ152">
            <v>0</v>
          </cell>
          <cell r="CK152">
            <v>0</v>
          </cell>
          <cell r="CL152">
            <v>0</v>
          </cell>
          <cell r="CM152">
            <v>0</v>
          </cell>
          <cell r="CN152">
            <v>0</v>
          </cell>
          <cell r="CO152">
            <v>0</v>
          </cell>
          <cell r="CP152">
            <v>0</v>
          </cell>
          <cell r="CQ152">
            <v>0</v>
          </cell>
          <cell r="CR152">
            <v>0</v>
          </cell>
          <cell r="CS152">
            <v>0</v>
          </cell>
          <cell r="CT152">
            <v>0</v>
          </cell>
          <cell r="CU152">
            <v>0</v>
          </cell>
          <cell r="CV152">
            <v>0</v>
          </cell>
          <cell r="CW152">
            <v>0</v>
          </cell>
          <cell r="CX152">
            <v>0</v>
          </cell>
          <cell r="CY152">
            <v>0</v>
          </cell>
          <cell r="CZ152">
            <v>0</v>
          </cell>
          <cell r="DA152">
            <v>0</v>
          </cell>
          <cell r="DB152">
            <v>0</v>
          </cell>
          <cell r="DC152">
            <v>0</v>
          </cell>
          <cell r="DD152">
            <v>0</v>
          </cell>
          <cell r="DE152">
            <v>0</v>
          </cell>
          <cell r="DF152">
            <v>0</v>
          </cell>
          <cell r="DG152">
            <v>0</v>
          </cell>
          <cell r="DH152">
            <v>0</v>
          </cell>
          <cell r="DI152">
            <v>0</v>
          </cell>
          <cell r="DJ152">
            <v>0</v>
          </cell>
          <cell r="DK152">
            <v>0</v>
          </cell>
          <cell r="DL152">
            <v>0</v>
          </cell>
          <cell r="DM152">
            <v>0</v>
          </cell>
          <cell r="DN152">
            <v>0</v>
          </cell>
          <cell r="DO152">
            <v>0</v>
          </cell>
          <cell r="DP152">
            <v>0</v>
          </cell>
          <cell r="DQ152">
            <v>0</v>
          </cell>
          <cell r="DR152">
            <v>0</v>
          </cell>
          <cell r="DS152">
            <v>0</v>
          </cell>
          <cell r="DT152">
            <v>0</v>
          </cell>
          <cell r="DU152">
            <v>0</v>
          </cell>
          <cell r="DV152">
            <v>0</v>
          </cell>
          <cell r="DW152">
            <v>0</v>
          </cell>
          <cell r="DX152">
            <v>0</v>
          </cell>
          <cell r="DY152">
            <v>0</v>
          </cell>
          <cell r="EA152">
            <v>0</v>
          </cell>
          <cell r="EB152">
            <v>0</v>
          </cell>
          <cell r="EC152">
            <v>0</v>
          </cell>
          <cell r="ED152">
            <v>0</v>
          </cell>
          <cell r="EE152">
            <v>0</v>
          </cell>
          <cell r="EF152">
            <v>0</v>
          </cell>
          <cell r="EG152">
            <v>0</v>
          </cell>
          <cell r="EH152">
            <v>0</v>
          </cell>
          <cell r="EI152">
            <v>0</v>
          </cell>
          <cell r="EJ152">
            <v>0</v>
          </cell>
          <cell r="EK152">
            <v>0</v>
          </cell>
          <cell r="EL152">
            <v>0</v>
          </cell>
          <cell r="EM152">
            <v>0</v>
          </cell>
          <cell r="EN152">
            <v>0</v>
          </cell>
          <cell r="EO152">
            <v>0</v>
          </cell>
          <cell r="EP152">
            <v>0</v>
          </cell>
          <cell r="EQ152">
            <v>0</v>
          </cell>
          <cell r="ER152">
            <v>0</v>
          </cell>
          <cell r="ES152">
            <v>0</v>
          </cell>
          <cell r="ET152">
            <v>0</v>
          </cell>
          <cell r="EU152">
            <v>0</v>
          </cell>
          <cell r="EV152">
            <v>0</v>
          </cell>
          <cell r="EW152">
            <v>0</v>
          </cell>
          <cell r="EX152">
            <v>0</v>
          </cell>
          <cell r="EY152">
            <v>0</v>
          </cell>
          <cell r="EZ152">
            <v>0</v>
          </cell>
          <cell r="FA152">
            <v>0</v>
          </cell>
          <cell r="FB152">
            <v>0</v>
          </cell>
          <cell r="FC152">
            <v>0</v>
          </cell>
          <cell r="FD152">
            <v>0</v>
          </cell>
          <cell r="FE152">
            <v>0</v>
          </cell>
          <cell r="FF152">
            <v>0</v>
          </cell>
          <cell r="FG152">
            <v>0</v>
          </cell>
          <cell r="FH152">
            <v>0</v>
          </cell>
          <cell r="FI152">
            <v>0</v>
          </cell>
          <cell r="FJ152">
            <v>0</v>
          </cell>
          <cell r="FK152">
            <v>0</v>
          </cell>
          <cell r="FL152">
            <v>0</v>
          </cell>
          <cell r="FM152">
            <v>0</v>
          </cell>
          <cell r="FN152">
            <v>0</v>
          </cell>
          <cell r="FO152">
            <v>0</v>
          </cell>
          <cell r="FP152">
            <v>0</v>
          </cell>
          <cell r="FQ152">
            <v>0</v>
          </cell>
          <cell r="FR152">
            <v>0</v>
          </cell>
          <cell r="FS152">
            <v>0</v>
          </cell>
          <cell r="FT152">
            <v>0</v>
          </cell>
          <cell r="FU152">
            <v>0</v>
          </cell>
          <cell r="FV152">
            <v>0</v>
          </cell>
          <cell r="FW152">
            <v>0</v>
          </cell>
          <cell r="FX152">
            <v>0</v>
          </cell>
          <cell r="FY152">
            <v>0</v>
          </cell>
          <cell r="FZ152">
            <v>0</v>
          </cell>
        </row>
        <row r="153">
          <cell r="A153">
            <v>0</v>
          </cell>
          <cell r="B153">
            <v>0</v>
          </cell>
          <cell r="C153">
            <v>0</v>
          </cell>
          <cell r="D153">
            <v>0</v>
          </cell>
          <cell r="E153">
            <v>0</v>
          </cell>
          <cell r="F153">
            <v>0</v>
          </cell>
          <cell r="G153">
            <v>0</v>
          </cell>
          <cell r="H153">
            <v>0</v>
          </cell>
          <cell r="I153">
            <v>0</v>
          </cell>
          <cell r="J153">
            <v>0</v>
          </cell>
          <cell r="K153">
            <v>0</v>
          </cell>
          <cell r="L153">
            <v>0</v>
          </cell>
          <cell r="M153">
            <v>0</v>
          </cell>
          <cell r="N153">
            <v>0</v>
          </cell>
          <cell r="O153">
            <v>0</v>
          </cell>
          <cell r="P153">
            <v>0</v>
          </cell>
          <cell r="Q153">
            <v>0</v>
          </cell>
          <cell r="R153">
            <v>0</v>
          </cell>
          <cell r="S153">
            <v>0</v>
          </cell>
          <cell r="T153">
            <v>0</v>
          </cell>
          <cell r="U153">
            <v>0</v>
          </cell>
          <cell r="V153">
            <v>0</v>
          </cell>
          <cell r="W153">
            <v>0</v>
          </cell>
          <cell r="X153">
            <v>0</v>
          </cell>
          <cell r="Y153">
            <v>0</v>
          </cell>
          <cell r="Z153">
            <v>0</v>
          </cell>
          <cell r="AA153">
            <v>0</v>
          </cell>
          <cell r="AB153">
            <v>0</v>
          </cell>
          <cell r="AC153">
            <v>0</v>
          </cell>
          <cell r="AD153">
            <v>0</v>
          </cell>
          <cell r="AE153">
            <v>0</v>
          </cell>
          <cell r="AF153">
            <v>0</v>
          </cell>
          <cell r="AG153">
            <v>0</v>
          </cell>
          <cell r="AH153">
            <v>0</v>
          </cell>
          <cell r="AI153">
            <v>0</v>
          </cell>
          <cell r="AJ153">
            <v>0</v>
          </cell>
          <cell r="AK153">
            <v>0</v>
          </cell>
          <cell r="AL153">
            <v>0</v>
          </cell>
          <cell r="AM153">
            <v>0</v>
          </cell>
          <cell r="AN153">
            <v>0</v>
          </cell>
          <cell r="AO153">
            <v>0</v>
          </cell>
          <cell r="AP153">
            <v>0</v>
          </cell>
          <cell r="AQ153">
            <v>0</v>
          </cell>
          <cell r="AR153">
            <v>0</v>
          </cell>
          <cell r="AS153">
            <v>0</v>
          </cell>
          <cell r="AT153">
            <v>0</v>
          </cell>
          <cell r="AU153">
            <v>0</v>
          </cell>
          <cell r="AV153">
            <v>0</v>
          </cell>
          <cell r="AW153">
            <v>0</v>
          </cell>
          <cell r="AX153">
            <v>0</v>
          </cell>
          <cell r="AY153">
            <v>0</v>
          </cell>
          <cell r="AZ153">
            <v>0</v>
          </cell>
          <cell r="BA153">
            <v>0</v>
          </cell>
          <cell r="BB153">
            <v>0</v>
          </cell>
          <cell r="BC153">
            <v>0</v>
          </cell>
          <cell r="BD153">
            <v>0</v>
          </cell>
          <cell r="BE153">
            <v>0</v>
          </cell>
          <cell r="BF153">
            <v>0</v>
          </cell>
          <cell r="BG153">
            <v>0</v>
          </cell>
          <cell r="BH153">
            <v>0</v>
          </cell>
          <cell r="BI153">
            <v>0</v>
          </cell>
          <cell r="BJ153">
            <v>0</v>
          </cell>
          <cell r="BK153">
            <v>0</v>
          </cell>
          <cell r="BL153">
            <v>0</v>
          </cell>
          <cell r="BM153">
            <v>0</v>
          </cell>
          <cell r="BN153">
            <v>0</v>
          </cell>
          <cell r="BO153">
            <v>0</v>
          </cell>
          <cell r="BP153">
            <v>0</v>
          </cell>
          <cell r="BQ153">
            <v>0</v>
          </cell>
          <cell r="BR153">
            <v>0</v>
          </cell>
          <cell r="BS153">
            <v>0</v>
          </cell>
          <cell r="BT153">
            <v>0</v>
          </cell>
          <cell r="BU153">
            <v>0</v>
          </cell>
          <cell r="BV153">
            <v>0</v>
          </cell>
          <cell r="BW153">
            <v>0</v>
          </cell>
          <cell r="BX153">
            <v>0</v>
          </cell>
          <cell r="BY153">
            <v>0</v>
          </cell>
          <cell r="BZ153">
            <v>0</v>
          </cell>
          <cell r="CA153">
            <v>0</v>
          </cell>
          <cell r="CB153">
            <v>0</v>
          </cell>
          <cell r="CC153">
            <v>0</v>
          </cell>
          <cell r="CD153">
            <v>0</v>
          </cell>
          <cell r="CE153">
            <v>0</v>
          </cell>
          <cell r="CF153">
            <v>0</v>
          </cell>
          <cell r="CG153">
            <v>0</v>
          </cell>
          <cell r="CH153">
            <v>0</v>
          </cell>
          <cell r="CI153">
            <v>0</v>
          </cell>
          <cell r="CJ153">
            <v>0</v>
          </cell>
          <cell r="CK153">
            <v>0</v>
          </cell>
          <cell r="CL153">
            <v>0</v>
          </cell>
          <cell r="CM153">
            <v>0</v>
          </cell>
          <cell r="CN153">
            <v>0</v>
          </cell>
          <cell r="CO153">
            <v>0</v>
          </cell>
          <cell r="CP153">
            <v>0</v>
          </cell>
          <cell r="CQ153">
            <v>0</v>
          </cell>
          <cell r="CR153">
            <v>0</v>
          </cell>
          <cell r="CS153">
            <v>0</v>
          </cell>
          <cell r="CT153">
            <v>0</v>
          </cell>
          <cell r="CU153">
            <v>0</v>
          </cell>
          <cell r="CV153">
            <v>0</v>
          </cell>
          <cell r="CW153">
            <v>0</v>
          </cell>
          <cell r="CX153">
            <v>0</v>
          </cell>
          <cell r="CY153">
            <v>0</v>
          </cell>
          <cell r="CZ153">
            <v>0</v>
          </cell>
          <cell r="DA153">
            <v>0</v>
          </cell>
          <cell r="DB153">
            <v>0</v>
          </cell>
          <cell r="DC153">
            <v>0</v>
          </cell>
          <cell r="DD153">
            <v>0</v>
          </cell>
          <cell r="DE153">
            <v>0</v>
          </cell>
          <cell r="DF153">
            <v>0</v>
          </cell>
          <cell r="DG153">
            <v>0</v>
          </cell>
          <cell r="DH153">
            <v>0</v>
          </cell>
          <cell r="DI153">
            <v>0</v>
          </cell>
          <cell r="DJ153">
            <v>0</v>
          </cell>
          <cell r="DK153">
            <v>0</v>
          </cell>
          <cell r="DL153">
            <v>0</v>
          </cell>
          <cell r="DM153">
            <v>0</v>
          </cell>
          <cell r="DN153">
            <v>0</v>
          </cell>
          <cell r="DO153">
            <v>0</v>
          </cell>
          <cell r="DP153">
            <v>0</v>
          </cell>
          <cell r="DQ153">
            <v>0</v>
          </cell>
          <cell r="DR153">
            <v>0</v>
          </cell>
          <cell r="DS153">
            <v>0</v>
          </cell>
          <cell r="DT153">
            <v>0</v>
          </cell>
          <cell r="DU153">
            <v>0</v>
          </cell>
          <cell r="DV153">
            <v>0</v>
          </cell>
          <cell r="DW153">
            <v>0</v>
          </cell>
          <cell r="DX153">
            <v>0</v>
          </cell>
          <cell r="DY153">
            <v>0</v>
          </cell>
          <cell r="EA153">
            <v>0</v>
          </cell>
          <cell r="EB153">
            <v>0</v>
          </cell>
          <cell r="EC153">
            <v>0</v>
          </cell>
          <cell r="ED153">
            <v>0</v>
          </cell>
          <cell r="EE153">
            <v>0</v>
          </cell>
          <cell r="EF153">
            <v>0</v>
          </cell>
          <cell r="EG153">
            <v>0</v>
          </cell>
          <cell r="EH153">
            <v>0</v>
          </cell>
          <cell r="EI153">
            <v>0</v>
          </cell>
          <cell r="EJ153">
            <v>0</v>
          </cell>
          <cell r="EK153">
            <v>0</v>
          </cell>
          <cell r="EL153">
            <v>0</v>
          </cell>
          <cell r="EM153">
            <v>0</v>
          </cell>
          <cell r="EN153">
            <v>0</v>
          </cell>
          <cell r="EO153">
            <v>0</v>
          </cell>
          <cell r="EP153">
            <v>0</v>
          </cell>
          <cell r="EQ153">
            <v>0</v>
          </cell>
          <cell r="ER153">
            <v>0</v>
          </cell>
          <cell r="ES153">
            <v>0</v>
          </cell>
          <cell r="ET153">
            <v>0</v>
          </cell>
          <cell r="EU153">
            <v>0</v>
          </cell>
          <cell r="EV153">
            <v>0</v>
          </cell>
          <cell r="EW153">
            <v>0</v>
          </cell>
          <cell r="EX153">
            <v>0</v>
          </cell>
          <cell r="EY153">
            <v>0</v>
          </cell>
          <cell r="EZ153">
            <v>0</v>
          </cell>
          <cell r="FA153">
            <v>0</v>
          </cell>
          <cell r="FB153">
            <v>0</v>
          </cell>
          <cell r="FC153">
            <v>0</v>
          </cell>
          <cell r="FD153">
            <v>0</v>
          </cell>
          <cell r="FE153">
            <v>0</v>
          </cell>
          <cell r="FF153">
            <v>0</v>
          </cell>
          <cell r="FG153">
            <v>0</v>
          </cell>
          <cell r="FH153">
            <v>0</v>
          </cell>
          <cell r="FI153">
            <v>0</v>
          </cell>
          <cell r="FJ153">
            <v>0</v>
          </cell>
          <cell r="FK153">
            <v>0</v>
          </cell>
          <cell r="FL153">
            <v>0</v>
          </cell>
          <cell r="FM153">
            <v>0</v>
          </cell>
          <cell r="FN153">
            <v>0</v>
          </cell>
          <cell r="FO153">
            <v>0</v>
          </cell>
          <cell r="FP153">
            <v>0</v>
          </cell>
          <cell r="FQ153">
            <v>0</v>
          </cell>
          <cell r="FR153">
            <v>0</v>
          </cell>
          <cell r="FS153">
            <v>0</v>
          </cell>
          <cell r="FT153">
            <v>0</v>
          </cell>
          <cell r="FU153">
            <v>0</v>
          </cell>
          <cell r="FV153">
            <v>0</v>
          </cell>
          <cell r="FW153">
            <v>0</v>
          </cell>
          <cell r="FX153">
            <v>0</v>
          </cell>
          <cell r="FY153">
            <v>0</v>
          </cell>
          <cell r="FZ153">
            <v>0</v>
          </cell>
        </row>
        <row r="154">
          <cell r="A154">
            <v>0</v>
          </cell>
          <cell r="B154">
            <v>0</v>
          </cell>
          <cell r="C154">
            <v>0</v>
          </cell>
          <cell r="D154">
            <v>0</v>
          </cell>
          <cell r="E154">
            <v>0</v>
          </cell>
          <cell r="F154">
            <v>0</v>
          </cell>
          <cell r="G154">
            <v>0</v>
          </cell>
          <cell r="H154">
            <v>0</v>
          </cell>
          <cell r="I154">
            <v>0</v>
          </cell>
          <cell r="J154">
            <v>0</v>
          </cell>
          <cell r="K154">
            <v>0</v>
          </cell>
          <cell r="L154">
            <v>0</v>
          </cell>
          <cell r="M154">
            <v>0</v>
          </cell>
          <cell r="N154">
            <v>0</v>
          </cell>
          <cell r="O154">
            <v>0</v>
          </cell>
          <cell r="P154">
            <v>0</v>
          </cell>
          <cell r="Q154">
            <v>0</v>
          </cell>
          <cell r="R154">
            <v>0</v>
          </cell>
          <cell r="S154">
            <v>0</v>
          </cell>
          <cell r="T154">
            <v>0</v>
          </cell>
          <cell r="U154">
            <v>0</v>
          </cell>
          <cell r="V154">
            <v>0</v>
          </cell>
          <cell r="W154">
            <v>0</v>
          </cell>
          <cell r="X154">
            <v>0</v>
          </cell>
          <cell r="Y154">
            <v>0</v>
          </cell>
          <cell r="Z154">
            <v>0</v>
          </cell>
          <cell r="AA154">
            <v>0</v>
          </cell>
          <cell r="AB154">
            <v>0</v>
          </cell>
          <cell r="AC154">
            <v>0</v>
          </cell>
          <cell r="AD154">
            <v>0</v>
          </cell>
          <cell r="AE154">
            <v>0</v>
          </cell>
          <cell r="AF154">
            <v>0</v>
          </cell>
          <cell r="AG154">
            <v>0</v>
          </cell>
          <cell r="AH154">
            <v>0</v>
          </cell>
          <cell r="AI154">
            <v>0</v>
          </cell>
          <cell r="AJ154">
            <v>0</v>
          </cell>
          <cell r="AK154">
            <v>0</v>
          </cell>
          <cell r="AL154">
            <v>0</v>
          </cell>
          <cell r="AM154">
            <v>0</v>
          </cell>
          <cell r="AN154">
            <v>0</v>
          </cell>
          <cell r="AO154">
            <v>0</v>
          </cell>
          <cell r="AP154">
            <v>0</v>
          </cell>
          <cell r="AQ154">
            <v>0</v>
          </cell>
          <cell r="AR154">
            <v>0</v>
          </cell>
          <cell r="AS154">
            <v>0</v>
          </cell>
          <cell r="AT154">
            <v>0</v>
          </cell>
          <cell r="AU154">
            <v>0</v>
          </cell>
          <cell r="AV154">
            <v>0</v>
          </cell>
          <cell r="AW154">
            <v>0</v>
          </cell>
          <cell r="AX154">
            <v>0</v>
          </cell>
          <cell r="AY154">
            <v>0</v>
          </cell>
          <cell r="AZ154">
            <v>0</v>
          </cell>
          <cell r="BA154">
            <v>0</v>
          </cell>
          <cell r="BB154">
            <v>0</v>
          </cell>
          <cell r="BC154">
            <v>0</v>
          </cell>
          <cell r="BD154">
            <v>0</v>
          </cell>
          <cell r="BE154">
            <v>0</v>
          </cell>
          <cell r="BF154">
            <v>0</v>
          </cell>
          <cell r="BG154">
            <v>0</v>
          </cell>
          <cell r="BH154">
            <v>0</v>
          </cell>
          <cell r="BI154">
            <v>0</v>
          </cell>
          <cell r="BJ154">
            <v>0</v>
          </cell>
          <cell r="BK154">
            <v>0</v>
          </cell>
          <cell r="BL154">
            <v>0</v>
          </cell>
          <cell r="BM154">
            <v>0</v>
          </cell>
          <cell r="BN154">
            <v>0</v>
          </cell>
          <cell r="BO154">
            <v>0</v>
          </cell>
          <cell r="BP154">
            <v>0</v>
          </cell>
          <cell r="BQ154">
            <v>0</v>
          </cell>
          <cell r="BR154">
            <v>0</v>
          </cell>
          <cell r="BS154">
            <v>0</v>
          </cell>
          <cell r="BT154">
            <v>0</v>
          </cell>
          <cell r="BU154">
            <v>0</v>
          </cell>
          <cell r="BV154">
            <v>0</v>
          </cell>
          <cell r="BW154">
            <v>0</v>
          </cell>
          <cell r="BX154">
            <v>0</v>
          </cell>
          <cell r="BY154">
            <v>0</v>
          </cell>
          <cell r="BZ154">
            <v>0</v>
          </cell>
          <cell r="CA154">
            <v>0</v>
          </cell>
          <cell r="CB154">
            <v>0</v>
          </cell>
          <cell r="CC154">
            <v>0</v>
          </cell>
          <cell r="CD154">
            <v>0</v>
          </cell>
          <cell r="CE154">
            <v>0</v>
          </cell>
          <cell r="CF154">
            <v>0</v>
          </cell>
          <cell r="CG154">
            <v>0</v>
          </cell>
          <cell r="CH154">
            <v>0</v>
          </cell>
          <cell r="CI154">
            <v>0</v>
          </cell>
          <cell r="CJ154">
            <v>0</v>
          </cell>
          <cell r="CK154">
            <v>0</v>
          </cell>
          <cell r="CL154">
            <v>0</v>
          </cell>
          <cell r="CM154">
            <v>0</v>
          </cell>
          <cell r="CN154">
            <v>0</v>
          </cell>
          <cell r="CO154">
            <v>0</v>
          </cell>
          <cell r="CP154">
            <v>0</v>
          </cell>
          <cell r="CQ154">
            <v>0</v>
          </cell>
          <cell r="CR154">
            <v>0</v>
          </cell>
          <cell r="CS154">
            <v>0</v>
          </cell>
          <cell r="CT154">
            <v>0</v>
          </cell>
          <cell r="CU154">
            <v>0</v>
          </cell>
          <cell r="CV154">
            <v>0</v>
          </cell>
          <cell r="CW154">
            <v>0</v>
          </cell>
          <cell r="CX154">
            <v>0</v>
          </cell>
          <cell r="CY154">
            <v>0</v>
          </cell>
          <cell r="CZ154">
            <v>0</v>
          </cell>
          <cell r="DA154">
            <v>0</v>
          </cell>
          <cell r="DB154">
            <v>0</v>
          </cell>
          <cell r="DC154">
            <v>0</v>
          </cell>
          <cell r="DD154">
            <v>0</v>
          </cell>
          <cell r="DE154">
            <v>0</v>
          </cell>
          <cell r="DF154">
            <v>0</v>
          </cell>
          <cell r="DG154">
            <v>0</v>
          </cell>
          <cell r="DH154">
            <v>0</v>
          </cell>
          <cell r="DI154">
            <v>0</v>
          </cell>
          <cell r="DJ154">
            <v>0</v>
          </cell>
          <cell r="DK154">
            <v>0</v>
          </cell>
          <cell r="DL154">
            <v>0</v>
          </cell>
          <cell r="DM154">
            <v>0</v>
          </cell>
          <cell r="DN154">
            <v>0</v>
          </cell>
          <cell r="DO154">
            <v>0</v>
          </cell>
          <cell r="DP154">
            <v>0</v>
          </cell>
          <cell r="DQ154">
            <v>0</v>
          </cell>
          <cell r="DR154">
            <v>0</v>
          </cell>
          <cell r="DS154">
            <v>0</v>
          </cell>
          <cell r="DT154">
            <v>0</v>
          </cell>
          <cell r="DU154">
            <v>0</v>
          </cell>
          <cell r="DV154">
            <v>0</v>
          </cell>
          <cell r="DW154">
            <v>0</v>
          </cell>
          <cell r="DX154">
            <v>0</v>
          </cell>
          <cell r="DY154">
            <v>0</v>
          </cell>
          <cell r="EA154">
            <v>0</v>
          </cell>
          <cell r="EB154">
            <v>0</v>
          </cell>
          <cell r="EC154">
            <v>0</v>
          </cell>
          <cell r="ED154">
            <v>0</v>
          </cell>
          <cell r="EE154">
            <v>0</v>
          </cell>
          <cell r="EF154">
            <v>0</v>
          </cell>
          <cell r="EG154">
            <v>0</v>
          </cell>
          <cell r="EH154">
            <v>0</v>
          </cell>
          <cell r="EI154">
            <v>0</v>
          </cell>
          <cell r="EJ154">
            <v>0</v>
          </cell>
          <cell r="EK154">
            <v>0</v>
          </cell>
          <cell r="EL154">
            <v>0</v>
          </cell>
          <cell r="EM154">
            <v>0</v>
          </cell>
          <cell r="EN154">
            <v>0</v>
          </cell>
          <cell r="EO154">
            <v>0</v>
          </cell>
          <cell r="EP154">
            <v>0</v>
          </cell>
          <cell r="EQ154">
            <v>0</v>
          </cell>
          <cell r="ER154">
            <v>0</v>
          </cell>
          <cell r="ES154">
            <v>0</v>
          </cell>
          <cell r="ET154">
            <v>0</v>
          </cell>
          <cell r="EU154">
            <v>0</v>
          </cell>
          <cell r="EV154">
            <v>0</v>
          </cell>
          <cell r="EW154">
            <v>0</v>
          </cell>
          <cell r="EX154">
            <v>0</v>
          </cell>
          <cell r="EY154">
            <v>0</v>
          </cell>
          <cell r="EZ154">
            <v>0</v>
          </cell>
          <cell r="FA154">
            <v>0</v>
          </cell>
          <cell r="FB154">
            <v>0</v>
          </cell>
          <cell r="FC154">
            <v>0</v>
          </cell>
          <cell r="FD154">
            <v>0</v>
          </cell>
          <cell r="FE154">
            <v>0</v>
          </cell>
          <cell r="FF154">
            <v>0</v>
          </cell>
          <cell r="FG154">
            <v>0</v>
          </cell>
          <cell r="FH154">
            <v>0</v>
          </cell>
          <cell r="FI154">
            <v>0</v>
          </cell>
          <cell r="FJ154">
            <v>0</v>
          </cell>
          <cell r="FK154">
            <v>0</v>
          </cell>
          <cell r="FL154">
            <v>0</v>
          </cell>
          <cell r="FM154">
            <v>0</v>
          </cell>
          <cell r="FN154">
            <v>0</v>
          </cell>
          <cell r="FO154">
            <v>0</v>
          </cell>
          <cell r="FP154">
            <v>0</v>
          </cell>
          <cell r="FQ154">
            <v>0</v>
          </cell>
          <cell r="FR154">
            <v>0</v>
          </cell>
          <cell r="FS154">
            <v>0</v>
          </cell>
          <cell r="FT154">
            <v>0</v>
          </cell>
          <cell r="FU154">
            <v>0</v>
          </cell>
          <cell r="FV154">
            <v>0</v>
          </cell>
          <cell r="FW154">
            <v>0</v>
          </cell>
          <cell r="FX154">
            <v>0</v>
          </cell>
          <cell r="FY154">
            <v>0</v>
          </cell>
          <cell r="FZ154">
            <v>0</v>
          </cell>
        </row>
        <row r="155">
          <cell r="A155">
            <v>0</v>
          </cell>
          <cell r="B155">
            <v>0</v>
          </cell>
          <cell r="C155">
            <v>0</v>
          </cell>
          <cell r="D155">
            <v>0</v>
          </cell>
          <cell r="E155">
            <v>0</v>
          </cell>
          <cell r="F155">
            <v>0</v>
          </cell>
          <cell r="G155">
            <v>0</v>
          </cell>
          <cell r="H155">
            <v>0</v>
          </cell>
          <cell r="I155">
            <v>0</v>
          </cell>
          <cell r="J155">
            <v>0</v>
          </cell>
          <cell r="K155">
            <v>0</v>
          </cell>
          <cell r="L155">
            <v>0</v>
          </cell>
          <cell r="M155">
            <v>0</v>
          </cell>
          <cell r="N155">
            <v>0</v>
          </cell>
          <cell r="O155">
            <v>0</v>
          </cell>
          <cell r="P155">
            <v>0</v>
          </cell>
          <cell r="Q155">
            <v>0</v>
          </cell>
          <cell r="R155">
            <v>0</v>
          </cell>
          <cell r="S155">
            <v>0</v>
          </cell>
          <cell r="T155">
            <v>0</v>
          </cell>
          <cell r="U155">
            <v>0</v>
          </cell>
          <cell r="V155">
            <v>0</v>
          </cell>
          <cell r="W155">
            <v>0</v>
          </cell>
          <cell r="X155">
            <v>0</v>
          </cell>
          <cell r="Y155">
            <v>0</v>
          </cell>
          <cell r="Z155">
            <v>0</v>
          </cell>
          <cell r="AA155">
            <v>0</v>
          </cell>
          <cell r="AB155">
            <v>0</v>
          </cell>
          <cell r="AC155">
            <v>0</v>
          </cell>
          <cell r="AD155">
            <v>0</v>
          </cell>
          <cell r="AE155">
            <v>0</v>
          </cell>
          <cell r="AF155">
            <v>0</v>
          </cell>
          <cell r="AG155">
            <v>0</v>
          </cell>
          <cell r="AH155">
            <v>0</v>
          </cell>
          <cell r="AI155">
            <v>0</v>
          </cell>
          <cell r="AJ155">
            <v>0</v>
          </cell>
          <cell r="AK155">
            <v>0</v>
          </cell>
          <cell r="AL155">
            <v>0</v>
          </cell>
          <cell r="AM155">
            <v>0</v>
          </cell>
          <cell r="AN155">
            <v>0</v>
          </cell>
          <cell r="AO155">
            <v>0</v>
          </cell>
          <cell r="AP155">
            <v>0</v>
          </cell>
          <cell r="AQ155">
            <v>0</v>
          </cell>
          <cell r="AR155">
            <v>0</v>
          </cell>
          <cell r="AS155">
            <v>0</v>
          </cell>
          <cell r="AT155">
            <v>0</v>
          </cell>
          <cell r="AU155">
            <v>0</v>
          </cell>
          <cell r="AV155">
            <v>0</v>
          </cell>
          <cell r="AW155">
            <v>0</v>
          </cell>
          <cell r="AX155">
            <v>0</v>
          </cell>
          <cell r="AY155">
            <v>0</v>
          </cell>
          <cell r="AZ155">
            <v>0</v>
          </cell>
          <cell r="BA155">
            <v>0</v>
          </cell>
          <cell r="BB155">
            <v>0</v>
          </cell>
          <cell r="BC155">
            <v>0</v>
          </cell>
          <cell r="BD155">
            <v>0</v>
          </cell>
          <cell r="BE155">
            <v>0</v>
          </cell>
          <cell r="BF155">
            <v>0</v>
          </cell>
          <cell r="BG155">
            <v>0</v>
          </cell>
          <cell r="BH155">
            <v>0</v>
          </cell>
          <cell r="BI155">
            <v>0</v>
          </cell>
          <cell r="BJ155">
            <v>0</v>
          </cell>
          <cell r="BK155">
            <v>0</v>
          </cell>
          <cell r="BL155">
            <v>0</v>
          </cell>
          <cell r="BM155">
            <v>0</v>
          </cell>
          <cell r="BN155">
            <v>0</v>
          </cell>
          <cell r="BO155">
            <v>0</v>
          </cell>
          <cell r="BP155">
            <v>0</v>
          </cell>
          <cell r="BQ155">
            <v>0</v>
          </cell>
          <cell r="BR155">
            <v>0</v>
          </cell>
          <cell r="BS155">
            <v>0</v>
          </cell>
          <cell r="BT155">
            <v>0</v>
          </cell>
          <cell r="BU155">
            <v>0</v>
          </cell>
          <cell r="BV155">
            <v>0</v>
          </cell>
          <cell r="BW155">
            <v>0</v>
          </cell>
          <cell r="BX155">
            <v>0</v>
          </cell>
          <cell r="BY155">
            <v>0</v>
          </cell>
          <cell r="BZ155">
            <v>0</v>
          </cell>
          <cell r="CA155">
            <v>0</v>
          </cell>
          <cell r="CB155">
            <v>0</v>
          </cell>
          <cell r="CC155">
            <v>0</v>
          </cell>
          <cell r="CD155">
            <v>0</v>
          </cell>
          <cell r="CE155">
            <v>0</v>
          </cell>
          <cell r="CF155">
            <v>0</v>
          </cell>
          <cell r="CG155">
            <v>0</v>
          </cell>
          <cell r="CH155">
            <v>0</v>
          </cell>
          <cell r="CI155">
            <v>0</v>
          </cell>
          <cell r="CJ155">
            <v>0</v>
          </cell>
          <cell r="CK155">
            <v>0</v>
          </cell>
          <cell r="CL155">
            <v>0</v>
          </cell>
          <cell r="CM155">
            <v>0</v>
          </cell>
          <cell r="CN155">
            <v>0</v>
          </cell>
          <cell r="CO155">
            <v>0</v>
          </cell>
          <cell r="CP155">
            <v>0</v>
          </cell>
          <cell r="CQ155">
            <v>0</v>
          </cell>
          <cell r="CR155">
            <v>0</v>
          </cell>
          <cell r="CS155">
            <v>0</v>
          </cell>
          <cell r="CT155">
            <v>0</v>
          </cell>
          <cell r="CU155">
            <v>0</v>
          </cell>
          <cell r="CV155">
            <v>0</v>
          </cell>
          <cell r="CW155">
            <v>0</v>
          </cell>
          <cell r="CX155">
            <v>0</v>
          </cell>
          <cell r="CY155">
            <v>0</v>
          </cell>
          <cell r="CZ155">
            <v>0</v>
          </cell>
          <cell r="DA155">
            <v>0</v>
          </cell>
          <cell r="DB155">
            <v>0</v>
          </cell>
          <cell r="DC155">
            <v>0</v>
          </cell>
          <cell r="DD155">
            <v>0</v>
          </cell>
          <cell r="DE155">
            <v>0</v>
          </cell>
          <cell r="DF155">
            <v>0</v>
          </cell>
          <cell r="DG155">
            <v>0</v>
          </cell>
          <cell r="DH155">
            <v>0</v>
          </cell>
          <cell r="DI155">
            <v>0</v>
          </cell>
          <cell r="DJ155">
            <v>0</v>
          </cell>
          <cell r="DK155">
            <v>0</v>
          </cell>
          <cell r="DL155">
            <v>0</v>
          </cell>
          <cell r="DM155">
            <v>0</v>
          </cell>
          <cell r="DN155">
            <v>0</v>
          </cell>
          <cell r="DO155">
            <v>0</v>
          </cell>
          <cell r="DP155">
            <v>0</v>
          </cell>
          <cell r="DQ155">
            <v>0</v>
          </cell>
          <cell r="DR155">
            <v>0</v>
          </cell>
          <cell r="DS155">
            <v>0</v>
          </cell>
          <cell r="DT155">
            <v>0</v>
          </cell>
          <cell r="DU155">
            <v>0</v>
          </cell>
          <cell r="DV155">
            <v>0</v>
          </cell>
          <cell r="DW155">
            <v>0</v>
          </cell>
          <cell r="DX155">
            <v>0</v>
          </cell>
          <cell r="DY155">
            <v>0</v>
          </cell>
          <cell r="EA155">
            <v>0</v>
          </cell>
          <cell r="EB155">
            <v>0</v>
          </cell>
          <cell r="EC155">
            <v>0</v>
          </cell>
          <cell r="ED155">
            <v>0</v>
          </cell>
          <cell r="EE155">
            <v>0</v>
          </cell>
          <cell r="EF155">
            <v>0</v>
          </cell>
          <cell r="EG155">
            <v>0</v>
          </cell>
          <cell r="EH155">
            <v>0</v>
          </cell>
          <cell r="EI155">
            <v>0</v>
          </cell>
          <cell r="EJ155">
            <v>0</v>
          </cell>
          <cell r="EK155">
            <v>0</v>
          </cell>
          <cell r="EL155">
            <v>0</v>
          </cell>
          <cell r="EM155">
            <v>0</v>
          </cell>
          <cell r="EN155">
            <v>0</v>
          </cell>
          <cell r="EO155">
            <v>0</v>
          </cell>
          <cell r="EP155">
            <v>0</v>
          </cell>
          <cell r="EQ155">
            <v>0</v>
          </cell>
          <cell r="ER155">
            <v>0</v>
          </cell>
          <cell r="ES155">
            <v>0</v>
          </cell>
          <cell r="ET155">
            <v>0</v>
          </cell>
          <cell r="EU155">
            <v>0</v>
          </cell>
          <cell r="EV155">
            <v>0</v>
          </cell>
          <cell r="EW155">
            <v>0</v>
          </cell>
          <cell r="EX155">
            <v>0</v>
          </cell>
          <cell r="EY155">
            <v>0</v>
          </cell>
          <cell r="EZ155">
            <v>0</v>
          </cell>
          <cell r="FA155">
            <v>0</v>
          </cell>
          <cell r="FB155">
            <v>0</v>
          </cell>
          <cell r="FC155">
            <v>0</v>
          </cell>
          <cell r="FD155">
            <v>0</v>
          </cell>
          <cell r="FE155">
            <v>0</v>
          </cell>
          <cell r="FF155">
            <v>0</v>
          </cell>
          <cell r="FG155">
            <v>0</v>
          </cell>
          <cell r="FH155">
            <v>0</v>
          </cell>
          <cell r="FI155">
            <v>0</v>
          </cell>
          <cell r="FJ155">
            <v>0</v>
          </cell>
          <cell r="FK155">
            <v>0</v>
          </cell>
          <cell r="FL155">
            <v>0</v>
          </cell>
          <cell r="FM155">
            <v>0</v>
          </cell>
          <cell r="FN155">
            <v>0</v>
          </cell>
          <cell r="FO155">
            <v>0</v>
          </cell>
          <cell r="FP155">
            <v>0</v>
          </cell>
          <cell r="FQ155">
            <v>0</v>
          </cell>
          <cell r="FR155">
            <v>0</v>
          </cell>
          <cell r="FS155">
            <v>0</v>
          </cell>
          <cell r="FT155">
            <v>0</v>
          </cell>
          <cell r="FU155">
            <v>0</v>
          </cell>
          <cell r="FV155">
            <v>0</v>
          </cell>
          <cell r="FW155">
            <v>0</v>
          </cell>
          <cell r="FX155">
            <v>0</v>
          </cell>
          <cell r="FY155">
            <v>0</v>
          </cell>
          <cell r="FZ155">
            <v>0</v>
          </cell>
        </row>
        <row r="156">
          <cell r="A156">
            <v>0</v>
          </cell>
          <cell r="B156">
            <v>0</v>
          </cell>
          <cell r="C156">
            <v>0</v>
          </cell>
          <cell r="D156">
            <v>0</v>
          </cell>
          <cell r="E156">
            <v>0</v>
          </cell>
          <cell r="F156">
            <v>0</v>
          </cell>
          <cell r="G156">
            <v>0</v>
          </cell>
          <cell r="H156">
            <v>0</v>
          </cell>
          <cell r="I156">
            <v>0</v>
          </cell>
          <cell r="J156">
            <v>0</v>
          </cell>
          <cell r="K156">
            <v>0</v>
          </cell>
          <cell r="L156">
            <v>0</v>
          </cell>
          <cell r="M156">
            <v>0</v>
          </cell>
          <cell r="N156">
            <v>0</v>
          </cell>
          <cell r="O156">
            <v>0</v>
          </cell>
          <cell r="P156">
            <v>0</v>
          </cell>
          <cell r="Q156">
            <v>0</v>
          </cell>
          <cell r="R156">
            <v>0</v>
          </cell>
          <cell r="S156">
            <v>0</v>
          </cell>
          <cell r="T156">
            <v>0</v>
          </cell>
          <cell r="U156">
            <v>0</v>
          </cell>
          <cell r="V156">
            <v>0</v>
          </cell>
          <cell r="W156">
            <v>0</v>
          </cell>
          <cell r="X156">
            <v>0</v>
          </cell>
          <cell r="Y156">
            <v>0</v>
          </cell>
          <cell r="Z156">
            <v>0</v>
          </cell>
          <cell r="AA156">
            <v>0</v>
          </cell>
          <cell r="AB156">
            <v>0</v>
          </cell>
          <cell r="AC156">
            <v>0</v>
          </cell>
          <cell r="AD156">
            <v>0</v>
          </cell>
          <cell r="AE156">
            <v>0</v>
          </cell>
          <cell r="AF156">
            <v>0</v>
          </cell>
          <cell r="AG156">
            <v>0</v>
          </cell>
          <cell r="AH156">
            <v>0</v>
          </cell>
          <cell r="AI156">
            <v>0</v>
          </cell>
          <cell r="AJ156">
            <v>0</v>
          </cell>
          <cell r="AK156">
            <v>0</v>
          </cell>
          <cell r="AL156">
            <v>0</v>
          </cell>
          <cell r="AM156">
            <v>0</v>
          </cell>
          <cell r="AN156">
            <v>0</v>
          </cell>
          <cell r="AO156">
            <v>0</v>
          </cell>
          <cell r="AP156">
            <v>0</v>
          </cell>
          <cell r="AQ156">
            <v>0</v>
          </cell>
          <cell r="AR156">
            <v>0</v>
          </cell>
          <cell r="AS156">
            <v>0</v>
          </cell>
          <cell r="AT156">
            <v>0</v>
          </cell>
          <cell r="AU156">
            <v>0</v>
          </cell>
          <cell r="AV156">
            <v>0</v>
          </cell>
          <cell r="AW156">
            <v>0</v>
          </cell>
          <cell r="AX156">
            <v>0</v>
          </cell>
          <cell r="AY156">
            <v>0</v>
          </cell>
          <cell r="AZ156">
            <v>0</v>
          </cell>
          <cell r="BA156">
            <v>0</v>
          </cell>
          <cell r="BB156">
            <v>0</v>
          </cell>
          <cell r="BC156">
            <v>0</v>
          </cell>
          <cell r="BD156">
            <v>0</v>
          </cell>
          <cell r="BE156">
            <v>0</v>
          </cell>
          <cell r="BF156">
            <v>0</v>
          </cell>
          <cell r="BG156">
            <v>0</v>
          </cell>
          <cell r="BH156">
            <v>0</v>
          </cell>
          <cell r="BI156">
            <v>0</v>
          </cell>
          <cell r="BJ156">
            <v>0</v>
          </cell>
          <cell r="BK156">
            <v>0</v>
          </cell>
          <cell r="BL156">
            <v>0</v>
          </cell>
          <cell r="BM156">
            <v>0</v>
          </cell>
          <cell r="BN156">
            <v>0</v>
          </cell>
          <cell r="BO156">
            <v>0</v>
          </cell>
          <cell r="BP156">
            <v>0</v>
          </cell>
          <cell r="BQ156">
            <v>0</v>
          </cell>
          <cell r="BR156">
            <v>0</v>
          </cell>
          <cell r="BS156">
            <v>0</v>
          </cell>
          <cell r="BT156">
            <v>0</v>
          </cell>
          <cell r="BU156">
            <v>0</v>
          </cell>
          <cell r="BV156">
            <v>0</v>
          </cell>
          <cell r="BW156">
            <v>0</v>
          </cell>
          <cell r="BX156">
            <v>0</v>
          </cell>
          <cell r="BY156">
            <v>0</v>
          </cell>
          <cell r="BZ156">
            <v>0</v>
          </cell>
          <cell r="CA156">
            <v>0</v>
          </cell>
          <cell r="CB156">
            <v>0</v>
          </cell>
          <cell r="CC156">
            <v>0</v>
          </cell>
          <cell r="CD156">
            <v>0</v>
          </cell>
          <cell r="CE156">
            <v>0</v>
          </cell>
          <cell r="CF156">
            <v>0</v>
          </cell>
          <cell r="CG156">
            <v>0</v>
          </cell>
          <cell r="CH156">
            <v>0</v>
          </cell>
          <cell r="CI156">
            <v>0</v>
          </cell>
          <cell r="CJ156">
            <v>0</v>
          </cell>
          <cell r="CK156">
            <v>0</v>
          </cell>
          <cell r="CL156">
            <v>0</v>
          </cell>
          <cell r="CM156">
            <v>0</v>
          </cell>
          <cell r="CN156">
            <v>0</v>
          </cell>
          <cell r="CO156">
            <v>0</v>
          </cell>
          <cell r="CP156">
            <v>0</v>
          </cell>
          <cell r="CQ156">
            <v>0</v>
          </cell>
          <cell r="CR156">
            <v>0</v>
          </cell>
          <cell r="CS156">
            <v>0</v>
          </cell>
          <cell r="CT156">
            <v>0</v>
          </cell>
          <cell r="CU156">
            <v>0</v>
          </cell>
          <cell r="CV156">
            <v>0</v>
          </cell>
          <cell r="CW156">
            <v>0</v>
          </cell>
          <cell r="CX156">
            <v>0</v>
          </cell>
          <cell r="CY156">
            <v>0</v>
          </cell>
          <cell r="CZ156">
            <v>0</v>
          </cell>
          <cell r="DA156">
            <v>0</v>
          </cell>
          <cell r="DB156">
            <v>0</v>
          </cell>
          <cell r="DC156">
            <v>0</v>
          </cell>
          <cell r="DD156">
            <v>0</v>
          </cell>
          <cell r="DE156">
            <v>0</v>
          </cell>
          <cell r="DF156">
            <v>0</v>
          </cell>
          <cell r="DG156">
            <v>0</v>
          </cell>
          <cell r="DH156">
            <v>0</v>
          </cell>
          <cell r="DI156">
            <v>0</v>
          </cell>
          <cell r="DJ156">
            <v>0</v>
          </cell>
          <cell r="DK156">
            <v>0</v>
          </cell>
          <cell r="DL156">
            <v>0</v>
          </cell>
          <cell r="DM156">
            <v>0</v>
          </cell>
          <cell r="DN156">
            <v>0</v>
          </cell>
          <cell r="DO156">
            <v>0</v>
          </cell>
          <cell r="DP156">
            <v>0</v>
          </cell>
          <cell r="DQ156">
            <v>0</v>
          </cell>
          <cell r="DR156">
            <v>0</v>
          </cell>
          <cell r="DS156">
            <v>0</v>
          </cell>
          <cell r="DT156">
            <v>0</v>
          </cell>
          <cell r="DU156">
            <v>0</v>
          </cell>
          <cell r="DV156">
            <v>0</v>
          </cell>
          <cell r="DW156">
            <v>0</v>
          </cell>
          <cell r="DX156">
            <v>0</v>
          </cell>
          <cell r="DY156">
            <v>0</v>
          </cell>
          <cell r="EA156">
            <v>0</v>
          </cell>
          <cell r="EB156">
            <v>0</v>
          </cell>
          <cell r="EC156">
            <v>0</v>
          </cell>
          <cell r="ED156">
            <v>0</v>
          </cell>
          <cell r="EE156">
            <v>0</v>
          </cell>
          <cell r="EF156">
            <v>0</v>
          </cell>
          <cell r="EG156">
            <v>0</v>
          </cell>
          <cell r="EH156">
            <v>0</v>
          </cell>
          <cell r="EI156">
            <v>0</v>
          </cell>
          <cell r="EJ156">
            <v>0</v>
          </cell>
          <cell r="EK156">
            <v>0</v>
          </cell>
          <cell r="EL156">
            <v>0</v>
          </cell>
          <cell r="EM156">
            <v>0</v>
          </cell>
          <cell r="EN156">
            <v>0</v>
          </cell>
          <cell r="EO156">
            <v>0</v>
          </cell>
          <cell r="EP156">
            <v>0</v>
          </cell>
          <cell r="EQ156">
            <v>0</v>
          </cell>
          <cell r="ER156">
            <v>0</v>
          </cell>
          <cell r="ES156">
            <v>0</v>
          </cell>
          <cell r="ET156">
            <v>0</v>
          </cell>
          <cell r="EU156">
            <v>0</v>
          </cell>
          <cell r="EV156">
            <v>0</v>
          </cell>
          <cell r="EW156">
            <v>0</v>
          </cell>
          <cell r="EX156">
            <v>0</v>
          </cell>
          <cell r="EY156">
            <v>0</v>
          </cell>
          <cell r="EZ156">
            <v>0</v>
          </cell>
          <cell r="FA156">
            <v>0</v>
          </cell>
          <cell r="FB156">
            <v>0</v>
          </cell>
          <cell r="FC156">
            <v>0</v>
          </cell>
          <cell r="FD156">
            <v>0</v>
          </cell>
          <cell r="FE156">
            <v>0</v>
          </cell>
          <cell r="FF156">
            <v>0</v>
          </cell>
          <cell r="FG156">
            <v>0</v>
          </cell>
          <cell r="FH156">
            <v>0</v>
          </cell>
          <cell r="FI156">
            <v>0</v>
          </cell>
          <cell r="FJ156">
            <v>0</v>
          </cell>
          <cell r="FK156">
            <v>0</v>
          </cell>
          <cell r="FL156">
            <v>0</v>
          </cell>
          <cell r="FM156">
            <v>0</v>
          </cell>
          <cell r="FN156">
            <v>0</v>
          </cell>
          <cell r="FO156">
            <v>0</v>
          </cell>
          <cell r="FP156">
            <v>0</v>
          </cell>
          <cell r="FQ156">
            <v>0</v>
          </cell>
          <cell r="FR156">
            <v>0</v>
          </cell>
          <cell r="FS156">
            <v>0</v>
          </cell>
          <cell r="FT156">
            <v>0</v>
          </cell>
          <cell r="FU156">
            <v>0</v>
          </cell>
          <cell r="FV156">
            <v>0</v>
          </cell>
          <cell r="FW156">
            <v>0</v>
          </cell>
          <cell r="FX156">
            <v>0</v>
          </cell>
          <cell r="FY156">
            <v>0</v>
          </cell>
          <cell r="FZ156">
            <v>0</v>
          </cell>
        </row>
        <row r="157">
          <cell r="A157">
            <v>0</v>
          </cell>
          <cell r="B157">
            <v>0</v>
          </cell>
          <cell r="C157">
            <v>0</v>
          </cell>
          <cell r="D157">
            <v>0</v>
          </cell>
          <cell r="E157">
            <v>0</v>
          </cell>
          <cell r="F157">
            <v>0</v>
          </cell>
          <cell r="G157">
            <v>0</v>
          </cell>
          <cell r="H157">
            <v>0</v>
          </cell>
          <cell r="I157">
            <v>0</v>
          </cell>
          <cell r="J157">
            <v>0</v>
          </cell>
          <cell r="K157">
            <v>0</v>
          </cell>
          <cell r="L157">
            <v>0</v>
          </cell>
          <cell r="M157">
            <v>0</v>
          </cell>
          <cell r="N157">
            <v>0</v>
          </cell>
          <cell r="O157">
            <v>0</v>
          </cell>
          <cell r="P157">
            <v>0</v>
          </cell>
          <cell r="Q157">
            <v>0</v>
          </cell>
          <cell r="R157">
            <v>0</v>
          </cell>
          <cell r="S157">
            <v>0</v>
          </cell>
          <cell r="T157">
            <v>0</v>
          </cell>
          <cell r="U157">
            <v>0</v>
          </cell>
          <cell r="V157">
            <v>0</v>
          </cell>
          <cell r="W157">
            <v>0</v>
          </cell>
          <cell r="X157">
            <v>0</v>
          </cell>
          <cell r="Y157">
            <v>0</v>
          </cell>
          <cell r="Z157">
            <v>0</v>
          </cell>
          <cell r="AA157">
            <v>0</v>
          </cell>
          <cell r="AB157">
            <v>0</v>
          </cell>
          <cell r="AC157">
            <v>0</v>
          </cell>
          <cell r="AD157">
            <v>0</v>
          </cell>
          <cell r="AE157">
            <v>0</v>
          </cell>
          <cell r="AF157">
            <v>0</v>
          </cell>
          <cell r="AG157">
            <v>0</v>
          </cell>
          <cell r="AH157">
            <v>0</v>
          </cell>
          <cell r="AI157">
            <v>0</v>
          </cell>
          <cell r="AJ157">
            <v>0</v>
          </cell>
          <cell r="AK157">
            <v>0</v>
          </cell>
          <cell r="AL157">
            <v>0</v>
          </cell>
          <cell r="AM157">
            <v>0</v>
          </cell>
          <cell r="AN157">
            <v>0</v>
          </cell>
          <cell r="AO157">
            <v>0</v>
          </cell>
          <cell r="AP157">
            <v>0</v>
          </cell>
          <cell r="AQ157">
            <v>0</v>
          </cell>
          <cell r="AR157">
            <v>0</v>
          </cell>
          <cell r="AS157">
            <v>0</v>
          </cell>
          <cell r="AT157">
            <v>0</v>
          </cell>
          <cell r="AU157">
            <v>0</v>
          </cell>
          <cell r="AV157">
            <v>0</v>
          </cell>
          <cell r="AW157">
            <v>0</v>
          </cell>
          <cell r="AX157">
            <v>0</v>
          </cell>
          <cell r="AY157">
            <v>0</v>
          </cell>
          <cell r="AZ157">
            <v>0</v>
          </cell>
          <cell r="BA157">
            <v>0</v>
          </cell>
          <cell r="BB157">
            <v>0</v>
          </cell>
          <cell r="BC157">
            <v>0</v>
          </cell>
          <cell r="BD157">
            <v>0</v>
          </cell>
          <cell r="BE157">
            <v>0</v>
          </cell>
          <cell r="BF157">
            <v>0</v>
          </cell>
          <cell r="BG157">
            <v>0</v>
          </cell>
          <cell r="BH157">
            <v>0</v>
          </cell>
          <cell r="BI157">
            <v>0</v>
          </cell>
          <cell r="BJ157">
            <v>0</v>
          </cell>
          <cell r="BK157">
            <v>0</v>
          </cell>
          <cell r="BL157">
            <v>0</v>
          </cell>
          <cell r="BM157">
            <v>0</v>
          </cell>
          <cell r="BN157">
            <v>0</v>
          </cell>
          <cell r="BO157">
            <v>0</v>
          </cell>
          <cell r="BP157">
            <v>0</v>
          </cell>
          <cell r="BQ157">
            <v>0</v>
          </cell>
          <cell r="BR157">
            <v>0</v>
          </cell>
          <cell r="BS157">
            <v>0</v>
          </cell>
          <cell r="BT157">
            <v>0</v>
          </cell>
          <cell r="BU157">
            <v>0</v>
          </cell>
          <cell r="BV157">
            <v>0</v>
          </cell>
          <cell r="BW157">
            <v>0</v>
          </cell>
          <cell r="BX157">
            <v>0</v>
          </cell>
          <cell r="BY157">
            <v>0</v>
          </cell>
          <cell r="BZ157">
            <v>0</v>
          </cell>
          <cell r="CA157">
            <v>0</v>
          </cell>
          <cell r="CB157">
            <v>0</v>
          </cell>
          <cell r="CC157">
            <v>0</v>
          </cell>
          <cell r="CD157">
            <v>0</v>
          </cell>
          <cell r="CE157">
            <v>0</v>
          </cell>
          <cell r="CF157">
            <v>0</v>
          </cell>
          <cell r="CG157">
            <v>0</v>
          </cell>
          <cell r="CH157">
            <v>0</v>
          </cell>
          <cell r="CI157">
            <v>0</v>
          </cell>
          <cell r="CJ157">
            <v>0</v>
          </cell>
          <cell r="CK157">
            <v>0</v>
          </cell>
          <cell r="CL157">
            <v>0</v>
          </cell>
          <cell r="CM157">
            <v>0</v>
          </cell>
          <cell r="CN157">
            <v>0</v>
          </cell>
          <cell r="CO157">
            <v>0</v>
          </cell>
          <cell r="CP157">
            <v>0</v>
          </cell>
          <cell r="CQ157">
            <v>0</v>
          </cell>
          <cell r="CR157">
            <v>0</v>
          </cell>
          <cell r="CS157">
            <v>0</v>
          </cell>
          <cell r="CT157">
            <v>0</v>
          </cell>
          <cell r="CU157">
            <v>0</v>
          </cell>
          <cell r="CV157">
            <v>0</v>
          </cell>
          <cell r="CW157">
            <v>0</v>
          </cell>
          <cell r="CX157">
            <v>0</v>
          </cell>
          <cell r="CY157">
            <v>0</v>
          </cell>
          <cell r="CZ157">
            <v>0</v>
          </cell>
          <cell r="DA157">
            <v>0</v>
          </cell>
          <cell r="DB157">
            <v>0</v>
          </cell>
          <cell r="DC157">
            <v>0</v>
          </cell>
          <cell r="DD157">
            <v>0</v>
          </cell>
          <cell r="DE157">
            <v>0</v>
          </cell>
          <cell r="DF157">
            <v>0</v>
          </cell>
          <cell r="DG157">
            <v>0</v>
          </cell>
          <cell r="DH157">
            <v>0</v>
          </cell>
          <cell r="DI157">
            <v>0</v>
          </cell>
          <cell r="DJ157">
            <v>0</v>
          </cell>
          <cell r="DK157">
            <v>0</v>
          </cell>
          <cell r="DL157">
            <v>0</v>
          </cell>
          <cell r="DM157">
            <v>0</v>
          </cell>
          <cell r="DN157">
            <v>0</v>
          </cell>
          <cell r="DO157">
            <v>0</v>
          </cell>
          <cell r="DP157">
            <v>0</v>
          </cell>
          <cell r="DQ157">
            <v>0</v>
          </cell>
          <cell r="DR157">
            <v>0</v>
          </cell>
          <cell r="DS157">
            <v>0</v>
          </cell>
          <cell r="DT157">
            <v>0</v>
          </cell>
          <cell r="DU157">
            <v>0</v>
          </cell>
          <cell r="DV157">
            <v>0</v>
          </cell>
          <cell r="DW157">
            <v>0</v>
          </cell>
          <cell r="DX157">
            <v>0</v>
          </cell>
          <cell r="DY157">
            <v>0</v>
          </cell>
          <cell r="EA157">
            <v>0</v>
          </cell>
          <cell r="EB157">
            <v>0</v>
          </cell>
          <cell r="EC157">
            <v>0</v>
          </cell>
          <cell r="ED157">
            <v>0</v>
          </cell>
          <cell r="EE157">
            <v>0</v>
          </cell>
          <cell r="EF157">
            <v>0</v>
          </cell>
          <cell r="EG157">
            <v>0</v>
          </cell>
          <cell r="EH157">
            <v>0</v>
          </cell>
          <cell r="EI157">
            <v>0</v>
          </cell>
          <cell r="EJ157">
            <v>0</v>
          </cell>
          <cell r="EK157">
            <v>0</v>
          </cell>
          <cell r="EL157">
            <v>0</v>
          </cell>
          <cell r="EM157">
            <v>0</v>
          </cell>
          <cell r="EN157">
            <v>0</v>
          </cell>
          <cell r="EO157">
            <v>0</v>
          </cell>
          <cell r="EP157">
            <v>0</v>
          </cell>
          <cell r="EQ157">
            <v>0</v>
          </cell>
          <cell r="ER157">
            <v>0</v>
          </cell>
          <cell r="ES157">
            <v>0</v>
          </cell>
          <cell r="ET157">
            <v>0</v>
          </cell>
          <cell r="EU157">
            <v>0</v>
          </cell>
          <cell r="EV157">
            <v>0</v>
          </cell>
          <cell r="EW157">
            <v>0</v>
          </cell>
          <cell r="EX157">
            <v>0</v>
          </cell>
          <cell r="EY157">
            <v>0</v>
          </cell>
          <cell r="EZ157">
            <v>0</v>
          </cell>
          <cell r="FA157">
            <v>0</v>
          </cell>
          <cell r="FB157">
            <v>0</v>
          </cell>
          <cell r="FC157">
            <v>0</v>
          </cell>
          <cell r="FD157">
            <v>0</v>
          </cell>
          <cell r="FE157">
            <v>0</v>
          </cell>
          <cell r="FF157">
            <v>0</v>
          </cell>
          <cell r="FG157">
            <v>0</v>
          </cell>
          <cell r="FH157">
            <v>0</v>
          </cell>
          <cell r="FI157">
            <v>0</v>
          </cell>
          <cell r="FJ157">
            <v>0</v>
          </cell>
          <cell r="FK157">
            <v>0</v>
          </cell>
          <cell r="FL157">
            <v>0</v>
          </cell>
          <cell r="FM157">
            <v>0</v>
          </cell>
          <cell r="FN157">
            <v>0</v>
          </cell>
          <cell r="FO157">
            <v>0</v>
          </cell>
          <cell r="FP157">
            <v>0</v>
          </cell>
          <cell r="FQ157">
            <v>0</v>
          </cell>
          <cell r="FR157">
            <v>0</v>
          </cell>
          <cell r="FS157">
            <v>0</v>
          </cell>
          <cell r="FT157">
            <v>0</v>
          </cell>
          <cell r="FU157">
            <v>0</v>
          </cell>
          <cell r="FV157">
            <v>0</v>
          </cell>
          <cell r="FW157">
            <v>0</v>
          </cell>
          <cell r="FX157">
            <v>0</v>
          </cell>
          <cell r="FY157">
            <v>0</v>
          </cell>
          <cell r="FZ157">
            <v>0</v>
          </cell>
        </row>
        <row r="158">
          <cell r="A158">
            <v>0</v>
          </cell>
          <cell r="B158">
            <v>0</v>
          </cell>
          <cell r="C158">
            <v>0</v>
          </cell>
          <cell r="D158">
            <v>0</v>
          </cell>
          <cell r="E158">
            <v>0</v>
          </cell>
          <cell r="F158">
            <v>0</v>
          </cell>
          <cell r="G158">
            <v>0</v>
          </cell>
          <cell r="H158">
            <v>0</v>
          </cell>
          <cell r="I158">
            <v>0</v>
          </cell>
          <cell r="J158">
            <v>0</v>
          </cell>
          <cell r="K158">
            <v>0</v>
          </cell>
          <cell r="L158">
            <v>0</v>
          </cell>
          <cell r="M158">
            <v>0</v>
          </cell>
          <cell r="N158">
            <v>0</v>
          </cell>
          <cell r="O158">
            <v>0</v>
          </cell>
          <cell r="P158">
            <v>0</v>
          </cell>
          <cell r="Q158">
            <v>0</v>
          </cell>
          <cell r="R158">
            <v>0</v>
          </cell>
          <cell r="S158">
            <v>0</v>
          </cell>
          <cell r="T158">
            <v>0</v>
          </cell>
          <cell r="U158">
            <v>0</v>
          </cell>
          <cell r="V158">
            <v>0</v>
          </cell>
          <cell r="W158">
            <v>0</v>
          </cell>
          <cell r="X158">
            <v>0</v>
          </cell>
          <cell r="Y158">
            <v>0</v>
          </cell>
          <cell r="Z158">
            <v>0</v>
          </cell>
          <cell r="AA158">
            <v>0</v>
          </cell>
          <cell r="AB158">
            <v>0</v>
          </cell>
          <cell r="AC158">
            <v>0</v>
          </cell>
          <cell r="AD158">
            <v>0</v>
          </cell>
          <cell r="AE158">
            <v>0</v>
          </cell>
          <cell r="AF158">
            <v>0</v>
          </cell>
          <cell r="AG158">
            <v>0</v>
          </cell>
          <cell r="AH158">
            <v>0</v>
          </cell>
          <cell r="AI158">
            <v>0</v>
          </cell>
          <cell r="AJ158">
            <v>0</v>
          </cell>
          <cell r="AK158">
            <v>0</v>
          </cell>
          <cell r="AL158">
            <v>0</v>
          </cell>
          <cell r="AM158">
            <v>0</v>
          </cell>
          <cell r="AN158">
            <v>0</v>
          </cell>
          <cell r="AO158">
            <v>0</v>
          </cell>
          <cell r="AP158">
            <v>0</v>
          </cell>
          <cell r="AQ158">
            <v>0</v>
          </cell>
          <cell r="AR158">
            <v>0</v>
          </cell>
          <cell r="AS158">
            <v>0</v>
          </cell>
          <cell r="AT158">
            <v>0</v>
          </cell>
          <cell r="AU158">
            <v>0</v>
          </cell>
          <cell r="AV158">
            <v>0</v>
          </cell>
          <cell r="AW158">
            <v>0</v>
          </cell>
          <cell r="AX158">
            <v>0</v>
          </cell>
          <cell r="AY158">
            <v>0</v>
          </cell>
          <cell r="AZ158">
            <v>0</v>
          </cell>
          <cell r="BA158">
            <v>0</v>
          </cell>
          <cell r="BB158">
            <v>0</v>
          </cell>
          <cell r="BC158">
            <v>0</v>
          </cell>
          <cell r="BD158">
            <v>0</v>
          </cell>
          <cell r="BE158">
            <v>0</v>
          </cell>
          <cell r="BF158">
            <v>0</v>
          </cell>
          <cell r="BG158">
            <v>0</v>
          </cell>
          <cell r="BH158">
            <v>0</v>
          </cell>
          <cell r="BI158">
            <v>0</v>
          </cell>
          <cell r="BJ158">
            <v>0</v>
          </cell>
          <cell r="BK158">
            <v>0</v>
          </cell>
          <cell r="BL158">
            <v>0</v>
          </cell>
          <cell r="BM158">
            <v>0</v>
          </cell>
          <cell r="BN158">
            <v>0</v>
          </cell>
          <cell r="BO158">
            <v>0</v>
          </cell>
          <cell r="BP158">
            <v>0</v>
          </cell>
          <cell r="BQ158">
            <v>0</v>
          </cell>
          <cell r="BR158">
            <v>0</v>
          </cell>
          <cell r="BS158">
            <v>0</v>
          </cell>
          <cell r="BT158">
            <v>0</v>
          </cell>
          <cell r="BU158">
            <v>0</v>
          </cell>
          <cell r="BV158">
            <v>0</v>
          </cell>
          <cell r="BW158">
            <v>0</v>
          </cell>
          <cell r="BX158">
            <v>0</v>
          </cell>
          <cell r="BY158">
            <v>0</v>
          </cell>
          <cell r="BZ158">
            <v>0</v>
          </cell>
          <cell r="CA158">
            <v>0</v>
          </cell>
          <cell r="CB158">
            <v>0</v>
          </cell>
          <cell r="CC158">
            <v>0</v>
          </cell>
          <cell r="CD158">
            <v>0</v>
          </cell>
          <cell r="CE158">
            <v>0</v>
          </cell>
          <cell r="CF158">
            <v>0</v>
          </cell>
          <cell r="CG158">
            <v>0</v>
          </cell>
          <cell r="CH158">
            <v>0</v>
          </cell>
          <cell r="CI158">
            <v>0</v>
          </cell>
          <cell r="CJ158">
            <v>0</v>
          </cell>
          <cell r="CK158">
            <v>0</v>
          </cell>
          <cell r="CL158">
            <v>0</v>
          </cell>
          <cell r="CM158">
            <v>0</v>
          </cell>
          <cell r="CN158">
            <v>0</v>
          </cell>
          <cell r="CO158">
            <v>0</v>
          </cell>
          <cell r="CP158">
            <v>0</v>
          </cell>
          <cell r="CQ158">
            <v>0</v>
          </cell>
          <cell r="CR158">
            <v>0</v>
          </cell>
          <cell r="CS158">
            <v>0</v>
          </cell>
          <cell r="CT158">
            <v>0</v>
          </cell>
          <cell r="CU158">
            <v>0</v>
          </cell>
          <cell r="CV158">
            <v>0</v>
          </cell>
          <cell r="CW158">
            <v>0</v>
          </cell>
          <cell r="CX158">
            <v>0</v>
          </cell>
          <cell r="CY158">
            <v>0</v>
          </cell>
          <cell r="CZ158">
            <v>0</v>
          </cell>
          <cell r="DA158">
            <v>0</v>
          </cell>
          <cell r="DB158">
            <v>0</v>
          </cell>
          <cell r="DC158">
            <v>0</v>
          </cell>
          <cell r="DD158">
            <v>0</v>
          </cell>
          <cell r="DE158">
            <v>0</v>
          </cell>
          <cell r="DF158">
            <v>0</v>
          </cell>
          <cell r="DG158">
            <v>0</v>
          </cell>
          <cell r="DH158">
            <v>0</v>
          </cell>
          <cell r="DI158">
            <v>0</v>
          </cell>
          <cell r="DJ158">
            <v>0</v>
          </cell>
          <cell r="DK158">
            <v>0</v>
          </cell>
          <cell r="DL158">
            <v>0</v>
          </cell>
          <cell r="DM158">
            <v>0</v>
          </cell>
          <cell r="DN158">
            <v>0</v>
          </cell>
          <cell r="DO158">
            <v>0</v>
          </cell>
          <cell r="DP158">
            <v>0</v>
          </cell>
          <cell r="DQ158">
            <v>0</v>
          </cell>
          <cell r="DR158">
            <v>0</v>
          </cell>
          <cell r="DS158">
            <v>0</v>
          </cell>
          <cell r="DT158">
            <v>0</v>
          </cell>
          <cell r="DU158">
            <v>0</v>
          </cell>
          <cell r="DV158">
            <v>0</v>
          </cell>
          <cell r="DW158">
            <v>0</v>
          </cell>
          <cell r="DX158">
            <v>0</v>
          </cell>
          <cell r="DY158">
            <v>0</v>
          </cell>
          <cell r="EA158">
            <v>0</v>
          </cell>
          <cell r="EB158">
            <v>0</v>
          </cell>
          <cell r="EC158">
            <v>0</v>
          </cell>
          <cell r="ED158">
            <v>0</v>
          </cell>
          <cell r="EE158">
            <v>0</v>
          </cell>
          <cell r="EF158">
            <v>0</v>
          </cell>
          <cell r="EG158">
            <v>0</v>
          </cell>
          <cell r="EH158">
            <v>0</v>
          </cell>
          <cell r="EI158">
            <v>0</v>
          </cell>
          <cell r="EJ158">
            <v>0</v>
          </cell>
          <cell r="EK158">
            <v>0</v>
          </cell>
          <cell r="EL158">
            <v>0</v>
          </cell>
          <cell r="EM158">
            <v>0</v>
          </cell>
          <cell r="EN158">
            <v>0</v>
          </cell>
          <cell r="EO158">
            <v>0</v>
          </cell>
          <cell r="EP158">
            <v>0</v>
          </cell>
          <cell r="EQ158">
            <v>0</v>
          </cell>
          <cell r="ER158">
            <v>0</v>
          </cell>
          <cell r="ES158">
            <v>0</v>
          </cell>
          <cell r="ET158">
            <v>0</v>
          </cell>
          <cell r="EU158">
            <v>0</v>
          </cell>
          <cell r="EV158">
            <v>0</v>
          </cell>
          <cell r="EW158">
            <v>0</v>
          </cell>
          <cell r="EX158">
            <v>0</v>
          </cell>
          <cell r="EY158">
            <v>0</v>
          </cell>
          <cell r="EZ158">
            <v>0</v>
          </cell>
          <cell r="FA158">
            <v>0</v>
          </cell>
          <cell r="FB158">
            <v>0</v>
          </cell>
          <cell r="FC158">
            <v>0</v>
          </cell>
          <cell r="FD158">
            <v>0</v>
          </cell>
          <cell r="FE158">
            <v>0</v>
          </cell>
          <cell r="FF158">
            <v>0</v>
          </cell>
          <cell r="FG158">
            <v>0</v>
          </cell>
          <cell r="FH158">
            <v>0</v>
          </cell>
          <cell r="FI158">
            <v>0</v>
          </cell>
          <cell r="FJ158">
            <v>0</v>
          </cell>
          <cell r="FK158">
            <v>0</v>
          </cell>
          <cell r="FL158">
            <v>0</v>
          </cell>
          <cell r="FM158">
            <v>0</v>
          </cell>
          <cell r="FN158">
            <v>0</v>
          </cell>
          <cell r="FO158">
            <v>0</v>
          </cell>
          <cell r="FP158">
            <v>0</v>
          </cell>
          <cell r="FQ158">
            <v>0</v>
          </cell>
          <cell r="FR158">
            <v>0</v>
          </cell>
          <cell r="FS158">
            <v>0</v>
          </cell>
          <cell r="FT158">
            <v>0</v>
          </cell>
          <cell r="FU158">
            <v>0</v>
          </cell>
          <cell r="FV158">
            <v>0</v>
          </cell>
          <cell r="FW158">
            <v>0</v>
          </cell>
          <cell r="FX158">
            <v>0</v>
          </cell>
          <cell r="FY158">
            <v>0</v>
          </cell>
          <cell r="FZ158">
            <v>0</v>
          </cell>
        </row>
        <row r="159">
          <cell r="A159">
            <v>0</v>
          </cell>
          <cell r="B159">
            <v>0</v>
          </cell>
          <cell r="C159">
            <v>0</v>
          </cell>
          <cell r="D159">
            <v>0</v>
          </cell>
          <cell r="E159">
            <v>0</v>
          </cell>
          <cell r="F159">
            <v>0</v>
          </cell>
          <cell r="G159">
            <v>0</v>
          </cell>
          <cell r="H159">
            <v>0</v>
          </cell>
          <cell r="I159">
            <v>0</v>
          </cell>
          <cell r="J159">
            <v>0</v>
          </cell>
          <cell r="K159">
            <v>0</v>
          </cell>
          <cell r="L159">
            <v>0</v>
          </cell>
          <cell r="M159">
            <v>0</v>
          </cell>
          <cell r="N159">
            <v>0</v>
          </cell>
          <cell r="O159">
            <v>0</v>
          </cell>
          <cell r="P159">
            <v>0</v>
          </cell>
          <cell r="Q159">
            <v>0</v>
          </cell>
          <cell r="R159">
            <v>0</v>
          </cell>
          <cell r="S159">
            <v>0</v>
          </cell>
          <cell r="T159">
            <v>0</v>
          </cell>
          <cell r="U159">
            <v>0</v>
          </cell>
          <cell r="V159">
            <v>0</v>
          </cell>
          <cell r="W159">
            <v>0</v>
          </cell>
          <cell r="X159">
            <v>0</v>
          </cell>
          <cell r="Y159">
            <v>0</v>
          </cell>
          <cell r="Z159">
            <v>0</v>
          </cell>
          <cell r="AA159">
            <v>0</v>
          </cell>
          <cell r="AB159">
            <v>0</v>
          </cell>
          <cell r="AC159">
            <v>0</v>
          </cell>
          <cell r="AD159">
            <v>0</v>
          </cell>
          <cell r="AE159">
            <v>0</v>
          </cell>
          <cell r="AF159">
            <v>0</v>
          </cell>
          <cell r="AG159">
            <v>0</v>
          </cell>
          <cell r="AH159">
            <v>0</v>
          </cell>
          <cell r="AI159">
            <v>0</v>
          </cell>
          <cell r="AJ159">
            <v>0</v>
          </cell>
          <cell r="AK159">
            <v>0</v>
          </cell>
          <cell r="AL159">
            <v>0</v>
          </cell>
          <cell r="AM159">
            <v>0</v>
          </cell>
          <cell r="AN159">
            <v>0</v>
          </cell>
          <cell r="AO159">
            <v>0</v>
          </cell>
          <cell r="AP159">
            <v>0</v>
          </cell>
          <cell r="AQ159">
            <v>0</v>
          </cell>
          <cell r="AR159">
            <v>0</v>
          </cell>
          <cell r="AS159">
            <v>0</v>
          </cell>
          <cell r="AT159">
            <v>0</v>
          </cell>
          <cell r="AU159">
            <v>0</v>
          </cell>
          <cell r="AV159">
            <v>0</v>
          </cell>
          <cell r="AW159">
            <v>0</v>
          </cell>
          <cell r="AX159">
            <v>0</v>
          </cell>
          <cell r="AY159">
            <v>0</v>
          </cell>
          <cell r="AZ159">
            <v>0</v>
          </cell>
          <cell r="BA159">
            <v>0</v>
          </cell>
          <cell r="BB159">
            <v>0</v>
          </cell>
          <cell r="BC159">
            <v>0</v>
          </cell>
          <cell r="BD159">
            <v>0</v>
          </cell>
          <cell r="BE159">
            <v>0</v>
          </cell>
          <cell r="BF159">
            <v>0</v>
          </cell>
          <cell r="BG159">
            <v>0</v>
          </cell>
          <cell r="BH159">
            <v>0</v>
          </cell>
          <cell r="BI159">
            <v>0</v>
          </cell>
          <cell r="BJ159">
            <v>0</v>
          </cell>
          <cell r="BK159">
            <v>0</v>
          </cell>
          <cell r="BL159">
            <v>0</v>
          </cell>
          <cell r="BM159">
            <v>0</v>
          </cell>
          <cell r="BN159">
            <v>0</v>
          </cell>
          <cell r="BO159">
            <v>0</v>
          </cell>
          <cell r="BP159">
            <v>0</v>
          </cell>
          <cell r="BQ159">
            <v>0</v>
          </cell>
          <cell r="BR159">
            <v>0</v>
          </cell>
          <cell r="BS159">
            <v>0</v>
          </cell>
          <cell r="BT159">
            <v>0</v>
          </cell>
          <cell r="BU159">
            <v>0</v>
          </cell>
          <cell r="BV159">
            <v>0</v>
          </cell>
          <cell r="BW159">
            <v>0</v>
          </cell>
          <cell r="BX159">
            <v>0</v>
          </cell>
          <cell r="BY159">
            <v>0</v>
          </cell>
          <cell r="BZ159">
            <v>0</v>
          </cell>
          <cell r="CA159">
            <v>0</v>
          </cell>
          <cell r="CB159">
            <v>0</v>
          </cell>
          <cell r="CC159">
            <v>0</v>
          </cell>
          <cell r="CD159">
            <v>0</v>
          </cell>
          <cell r="CE159">
            <v>0</v>
          </cell>
          <cell r="CF159">
            <v>0</v>
          </cell>
          <cell r="CG159">
            <v>0</v>
          </cell>
          <cell r="CH159">
            <v>0</v>
          </cell>
          <cell r="CI159">
            <v>0</v>
          </cell>
          <cell r="CJ159">
            <v>0</v>
          </cell>
          <cell r="CK159">
            <v>0</v>
          </cell>
          <cell r="CL159">
            <v>0</v>
          </cell>
          <cell r="CM159">
            <v>0</v>
          </cell>
          <cell r="CN159">
            <v>0</v>
          </cell>
          <cell r="CO159">
            <v>0</v>
          </cell>
          <cell r="CP159">
            <v>0</v>
          </cell>
          <cell r="CQ159">
            <v>0</v>
          </cell>
          <cell r="CR159">
            <v>0</v>
          </cell>
          <cell r="CS159">
            <v>0</v>
          </cell>
          <cell r="CT159">
            <v>0</v>
          </cell>
          <cell r="CU159">
            <v>0</v>
          </cell>
          <cell r="CV159">
            <v>0</v>
          </cell>
          <cell r="CW159">
            <v>0</v>
          </cell>
          <cell r="CX159">
            <v>0</v>
          </cell>
          <cell r="CY159">
            <v>0</v>
          </cell>
          <cell r="CZ159">
            <v>0</v>
          </cell>
          <cell r="DA159">
            <v>0</v>
          </cell>
          <cell r="DB159">
            <v>0</v>
          </cell>
          <cell r="DC159">
            <v>0</v>
          </cell>
          <cell r="DD159">
            <v>0</v>
          </cell>
          <cell r="DE159">
            <v>0</v>
          </cell>
          <cell r="DF159">
            <v>0</v>
          </cell>
          <cell r="DG159">
            <v>0</v>
          </cell>
          <cell r="DH159">
            <v>0</v>
          </cell>
          <cell r="DI159">
            <v>0</v>
          </cell>
          <cell r="DJ159">
            <v>0</v>
          </cell>
          <cell r="DK159">
            <v>0</v>
          </cell>
          <cell r="DL159">
            <v>0</v>
          </cell>
          <cell r="DM159">
            <v>0</v>
          </cell>
          <cell r="DN159">
            <v>0</v>
          </cell>
          <cell r="DO159">
            <v>0</v>
          </cell>
          <cell r="DP159">
            <v>0</v>
          </cell>
          <cell r="DQ159">
            <v>0</v>
          </cell>
          <cell r="DR159">
            <v>0</v>
          </cell>
          <cell r="DS159">
            <v>0</v>
          </cell>
          <cell r="DT159">
            <v>0</v>
          </cell>
          <cell r="DU159">
            <v>0</v>
          </cell>
          <cell r="DV159">
            <v>0</v>
          </cell>
          <cell r="DW159">
            <v>0</v>
          </cell>
          <cell r="DX159">
            <v>0</v>
          </cell>
          <cell r="DY159">
            <v>0</v>
          </cell>
          <cell r="EA159">
            <v>0</v>
          </cell>
          <cell r="EB159">
            <v>0</v>
          </cell>
          <cell r="EC159">
            <v>0</v>
          </cell>
          <cell r="ED159">
            <v>0</v>
          </cell>
          <cell r="EE159">
            <v>0</v>
          </cell>
          <cell r="EF159">
            <v>0</v>
          </cell>
          <cell r="EG159">
            <v>0</v>
          </cell>
          <cell r="EH159">
            <v>0</v>
          </cell>
          <cell r="EI159">
            <v>0</v>
          </cell>
          <cell r="EJ159">
            <v>0</v>
          </cell>
          <cell r="EK159">
            <v>0</v>
          </cell>
          <cell r="EL159">
            <v>0</v>
          </cell>
          <cell r="EM159">
            <v>0</v>
          </cell>
          <cell r="EN159">
            <v>0</v>
          </cell>
          <cell r="EO159">
            <v>0</v>
          </cell>
          <cell r="EP159">
            <v>0</v>
          </cell>
          <cell r="EQ159">
            <v>0</v>
          </cell>
          <cell r="ER159">
            <v>0</v>
          </cell>
          <cell r="ES159">
            <v>0</v>
          </cell>
          <cell r="ET159">
            <v>0</v>
          </cell>
          <cell r="EU159">
            <v>0</v>
          </cell>
          <cell r="EV159">
            <v>0</v>
          </cell>
          <cell r="EW159">
            <v>0</v>
          </cell>
          <cell r="EX159">
            <v>0</v>
          </cell>
          <cell r="EY159">
            <v>0</v>
          </cell>
          <cell r="EZ159">
            <v>0</v>
          </cell>
          <cell r="FA159">
            <v>0</v>
          </cell>
          <cell r="FB159">
            <v>0</v>
          </cell>
          <cell r="FC159">
            <v>0</v>
          </cell>
          <cell r="FD159">
            <v>0</v>
          </cell>
          <cell r="FE159">
            <v>0</v>
          </cell>
          <cell r="FF159">
            <v>0</v>
          </cell>
          <cell r="FG159">
            <v>0</v>
          </cell>
          <cell r="FH159">
            <v>0</v>
          </cell>
          <cell r="FI159">
            <v>0</v>
          </cell>
          <cell r="FJ159">
            <v>0</v>
          </cell>
          <cell r="FK159">
            <v>0</v>
          </cell>
          <cell r="FL159">
            <v>0</v>
          </cell>
          <cell r="FM159">
            <v>0</v>
          </cell>
          <cell r="FN159">
            <v>0</v>
          </cell>
          <cell r="FO159">
            <v>0</v>
          </cell>
          <cell r="FP159">
            <v>0</v>
          </cell>
          <cell r="FQ159">
            <v>0</v>
          </cell>
          <cell r="FR159">
            <v>0</v>
          </cell>
          <cell r="FS159">
            <v>0</v>
          </cell>
          <cell r="FT159">
            <v>0</v>
          </cell>
          <cell r="FU159">
            <v>0</v>
          </cell>
          <cell r="FV159">
            <v>0</v>
          </cell>
          <cell r="FW159">
            <v>0</v>
          </cell>
          <cell r="FX159">
            <v>0</v>
          </cell>
          <cell r="FY159">
            <v>0</v>
          </cell>
          <cell r="FZ159">
            <v>0</v>
          </cell>
        </row>
        <row r="160">
          <cell r="A160">
            <v>0</v>
          </cell>
          <cell r="B160">
            <v>0</v>
          </cell>
          <cell r="C160">
            <v>0</v>
          </cell>
          <cell r="D160">
            <v>0</v>
          </cell>
          <cell r="E160">
            <v>0</v>
          </cell>
          <cell r="F160">
            <v>0</v>
          </cell>
          <cell r="G160">
            <v>0</v>
          </cell>
          <cell r="H160">
            <v>0</v>
          </cell>
          <cell r="I160">
            <v>0</v>
          </cell>
          <cell r="J160">
            <v>0</v>
          </cell>
          <cell r="K160">
            <v>0</v>
          </cell>
          <cell r="L160">
            <v>0</v>
          </cell>
          <cell r="M160">
            <v>0</v>
          </cell>
          <cell r="N160">
            <v>0</v>
          </cell>
          <cell r="O160">
            <v>0</v>
          </cell>
          <cell r="P160">
            <v>0</v>
          </cell>
          <cell r="Q160">
            <v>0</v>
          </cell>
          <cell r="R160">
            <v>0</v>
          </cell>
          <cell r="S160">
            <v>0</v>
          </cell>
          <cell r="T160">
            <v>0</v>
          </cell>
          <cell r="U160">
            <v>0</v>
          </cell>
          <cell r="V160">
            <v>0</v>
          </cell>
          <cell r="W160">
            <v>0</v>
          </cell>
          <cell r="X160">
            <v>0</v>
          </cell>
          <cell r="Y160">
            <v>0</v>
          </cell>
          <cell r="Z160">
            <v>0</v>
          </cell>
          <cell r="AA160">
            <v>0</v>
          </cell>
          <cell r="AB160">
            <v>0</v>
          </cell>
          <cell r="AC160">
            <v>0</v>
          </cell>
          <cell r="AD160">
            <v>0</v>
          </cell>
          <cell r="AE160">
            <v>0</v>
          </cell>
          <cell r="AF160">
            <v>0</v>
          </cell>
          <cell r="AG160">
            <v>0</v>
          </cell>
          <cell r="AH160">
            <v>0</v>
          </cell>
          <cell r="AI160">
            <v>0</v>
          </cell>
          <cell r="AJ160">
            <v>0</v>
          </cell>
          <cell r="AK160">
            <v>0</v>
          </cell>
          <cell r="AL160">
            <v>0</v>
          </cell>
          <cell r="AM160">
            <v>0</v>
          </cell>
          <cell r="AN160">
            <v>0</v>
          </cell>
          <cell r="AO160">
            <v>0</v>
          </cell>
          <cell r="AP160">
            <v>0</v>
          </cell>
          <cell r="AQ160">
            <v>0</v>
          </cell>
          <cell r="AR160">
            <v>0</v>
          </cell>
          <cell r="AS160">
            <v>0</v>
          </cell>
          <cell r="AT160">
            <v>0</v>
          </cell>
          <cell r="AU160">
            <v>0</v>
          </cell>
          <cell r="AV160">
            <v>0</v>
          </cell>
          <cell r="AW160">
            <v>0</v>
          </cell>
          <cell r="AX160">
            <v>0</v>
          </cell>
          <cell r="AY160">
            <v>0</v>
          </cell>
          <cell r="AZ160">
            <v>0</v>
          </cell>
          <cell r="BA160">
            <v>0</v>
          </cell>
          <cell r="BB160">
            <v>0</v>
          </cell>
          <cell r="BC160">
            <v>0</v>
          </cell>
          <cell r="BD160">
            <v>0</v>
          </cell>
          <cell r="BE160">
            <v>0</v>
          </cell>
          <cell r="BF160">
            <v>0</v>
          </cell>
          <cell r="BG160">
            <v>0</v>
          </cell>
          <cell r="BH160">
            <v>0</v>
          </cell>
          <cell r="BI160">
            <v>0</v>
          </cell>
          <cell r="BJ160">
            <v>0</v>
          </cell>
          <cell r="BK160">
            <v>0</v>
          </cell>
          <cell r="BL160">
            <v>0</v>
          </cell>
          <cell r="BM160">
            <v>0</v>
          </cell>
          <cell r="BN160">
            <v>0</v>
          </cell>
          <cell r="BO160">
            <v>0</v>
          </cell>
          <cell r="BP160">
            <v>0</v>
          </cell>
          <cell r="BQ160">
            <v>0</v>
          </cell>
          <cell r="BR160">
            <v>0</v>
          </cell>
          <cell r="BS160">
            <v>0</v>
          </cell>
          <cell r="BT160">
            <v>0</v>
          </cell>
          <cell r="BU160">
            <v>0</v>
          </cell>
          <cell r="BV160">
            <v>0</v>
          </cell>
          <cell r="BW160">
            <v>0</v>
          </cell>
          <cell r="BX160">
            <v>0</v>
          </cell>
          <cell r="BY160">
            <v>0</v>
          </cell>
          <cell r="BZ160">
            <v>0</v>
          </cell>
          <cell r="CA160">
            <v>0</v>
          </cell>
          <cell r="CB160">
            <v>0</v>
          </cell>
          <cell r="CC160">
            <v>0</v>
          </cell>
          <cell r="CD160">
            <v>0</v>
          </cell>
          <cell r="CE160">
            <v>0</v>
          </cell>
          <cell r="CF160">
            <v>0</v>
          </cell>
          <cell r="CG160">
            <v>0</v>
          </cell>
          <cell r="CH160">
            <v>0</v>
          </cell>
          <cell r="CI160">
            <v>0</v>
          </cell>
          <cell r="CJ160">
            <v>0</v>
          </cell>
          <cell r="CK160">
            <v>0</v>
          </cell>
          <cell r="CL160">
            <v>0</v>
          </cell>
          <cell r="CM160">
            <v>0</v>
          </cell>
          <cell r="CN160">
            <v>0</v>
          </cell>
          <cell r="CO160">
            <v>0</v>
          </cell>
          <cell r="CP160">
            <v>0</v>
          </cell>
          <cell r="CQ160">
            <v>0</v>
          </cell>
          <cell r="CR160">
            <v>0</v>
          </cell>
          <cell r="CS160">
            <v>0</v>
          </cell>
          <cell r="CT160">
            <v>0</v>
          </cell>
          <cell r="CU160">
            <v>0</v>
          </cell>
          <cell r="CV160">
            <v>0</v>
          </cell>
          <cell r="CW160">
            <v>0</v>
          </cell>
          <cell r="CX160">
            <v>0</v>
          </cell>
          <cell r="CY160">
            <v>0</v>
          </cell>
          <cell r="CZ160">
            <v>0</v>
          </cell>
          <cell r="DA160">
            <v>0</v>
          </cell>
          <cell r="DB160">
            <v>0</v>
          </cell>
          <cell r="DC160">
            <v>0</v>
          </cell>
          <cell r="DD160">
            <v>0</v>
          </cell>
          <cell r="DE160">
            <v>0</v>
          </cell>
          <cell r="DF160">
            <v>0</v>
          </cell>
          <cell r="DG160">
            <v>0</v>
          </cell>
          <cell r="DH160">
            <v>0</v>
          </cell>
          <cell r="DI160">
            <v>0</v>
          </cell>
          <cell r="DJ160">
            <v>0</v>
          </cell>
          <cell r="DK160">
            <v>0</v>
          </cell>
          <cell r="DL160">
            <v>0</v>
          </cell>
          <cell r="DM160">
            <v>0</v>
          </cell>
          <cell r="DN160">
            <v>0</v>
          </cell>
          <cell r="DO160">
            <v>0</v>
          </cell>
          <cell r="DP160">
            <v>0</v>
          </cell>
          <cell r="DQ160">
            <v>0</v>
          </cell>
          <cell r="DR160">
            <v>0</v>
          </cell>
          <cell r="DS160">
            <v>0</v>
          </cell>
          <cell r="DT160">
            <v>0</v>
          </cell>
          <cell r="DU160">
            <v>0</v>
          </cell>
          <cell r="DV160">
            <v>0</v>
          </cell>
          <cell r="DW160">
            <v>0</v>
          </cell>
          <cell r="DX160">
            <v>0</v>
          </cell>
          <cell r="DY160">
            <v>0</v>
          </cell>
          <cell r="EA160">
            <v>0</v>
          </cell>
          <cell r="EB160">
            <v>0</v>
          </cell>
          <cell r="EC160">
            <v>0</v>
          </cell>
          <cell r="ED160">
            <v>0</v>
          </cell>
          <cell r="EE160">
            <v>0</v>
          </cell>
          <cell r="EF160">
            <v>0</v>
          </cell>
          <cell r="EG160">
            <v>0</v>
          </cell>
          <cell r="EH160">
            <v>0</v>
          </cell>
          <cell r="EI160">
            <v>0</v>
          </cell>
          <cell r="EJ160">
            <v>0</v>
          </cell>
          <cell r="EK160">
            <v>0</v>
          </cell>
          <cell r="EL160">
            <v>0</v>
          </cell>
          <cell r="EM160">
            <v>0</v>
          </cell>
          <cell r="EN160">
            <v>0</v>
          </cell>
          <cell r="EO160">
            <v>0</v>
          </cell>
          <cell r="EP160">
            <v>0</v>
          </cell>
          <cell r="EQ160">
            <v>0</v>
          </cell>
          <cell r="ER160">
            <v>0</v>
          </cell>
          <cell r="ES160">
            <v>0</v>
          </cell>
          <cell r="ET160">
            <v>0</v>
          </cell>
          <cell r="EU160">
            <v>0</v>
          </cell>
          <cell r="EV160">
            <v>0</v>
          </cell>
          <cell r="EW160">
            <v>0</v>
          </cell>
          <cell r="EX160">
            <v>0</v>
          </cell>
          <cell r="EY160">
            <v>0</v>
          </cell>
          <cell r="EZ160">
            <v>0</v>
          </cell>
          <cell r="FA160">
            <v>0</v>
          </cell>
          <cell r="FB160">
            <v>0</v>
          </cell>
          <cell r="FC160">
            <v>0</v>
          </cell>
          <cell r="FD160">
            <v>0</v>
          </cell>
          <cell r="FE160">
            <v>0</v>
          </cell>
          <cell r="FF160">
            <v>0</v>
          </cell>
          <cell r="FG160">
            <v>0</v>
          </cell>
          <cell r="FH160">
            <v>0</v>
          </cell>
          <cell r="FI160">
            <v>0</v>
          </cell>
          <cell r="FJ160">
            <v>0</v>
          </cell>
          <cell r="FK160">
            <v>0</v>
          </cell>
          <cell r="FL160">
            <v>0</v>
          </cell>
          <cell r="FM160">
            <v>0</v>
          </cell>
          <cell r="FN160">
            <v>0</v>
          </cell>
          <cell r="FO160">
            <v>0</v>
          </cell>
          <cell r="FP160">
            <v>0</v>
          </cell>
          <cell r="FQ160">
            <v>0</v>
          </cell>
          <cell r="FR160">
            <v>0</v>
          </cell>
          <cell r="FS160">
            <v>0</v>
          </cell>
          <cell r="FT160">
            <v>0</v>
          </cell>
          <cell r="FU160">
            <v>0</v>
          </cell>
          <cell r="FV160">
            <v>0</v>
          </cell>
          <cell r="FW160">
            <v>0</v>
          </cell>
          <cell r="FX160">
            <v>0</v>
          </cell>
          <cell r="FY160">
            <v>0</v>
          </cell>
          <cell r="FZ160">
            <v>0</v>
          </cell>
        </row>
        <row r="161">
          <cell r="A161">
            <v>0</v>
          </cell>
          <cell r="B161">
            <v>0</v>
          </cell>
          <cell r="C161">
            <v>0</v>
          </cell>
          <cell r="D161">
            <v>0</v>
          </cell>
          <cell r="E161">
            <v>0</v>
          </cell>
          <cell r="F161">
            <v>0</v>
          </cell>
          <cell r="G161">
            <v>0</v>
          </cell>
          <cell r="H161">
            <v>0</v>
          </cell>
          <cell r="I161">
            <v>0</v>
          </cell>
          <cell r="J161">
            <v>0</v>
          </cell>
          <cell r="K161">
            <v>0</v>
          </cell>
          <cell r="L161">
            <v>0</v>
          </cell>
          <cell r="M161">
            <v>0</v>
          </cell>
          <cell r="N161">
            <v>0</v>
          </cell>
          <cell r="O161">
            <v>0</v>
          </cell>
          <cell r="P161">
            <v>0</v>
          </cell>
          <cell r="Q161">
            <v>0</v>
          </cell>
          <cell r="R161">
            <v>0</v>
          </cell>
          <cell r="S161">
            <v>0</v>
          </cell>
          <cell r="T161">
            <v>0</v>
          </cell>
          <cell r="U161">
            <v>0</v>
          </cell>
          <cell r="V161">
            <v>0</v>
          </cell>
          <cell r="W161">
            <v>0</v>
          </cell>
          <cell r="X161">
            <v>0</v>
          </cell>
          <cell r="Y161">
            <v>0</v>
          </cell>
          <cell r="Z161">
            <v>0</v>
          </cell>
          <cell r="AA161">
            <v>0</v>
          </cell>
          <cell r="AB161">
            <v>0</v>
          </cell>
          <cell r="AC161">
            <v>0</v>
          </cell>
          <cell r="AD161">
            <v>0</v>
          </cell>
          <cell r="AE161">
            <v>0</v>
          </cell>
          <cell r="AF161">
            <v>0</v>
          </cell>
          <cell r="AG161">
            <v>0</v>
          </cell>
          <cell r="AH161">
            <v>0</v>
          </cell>
          <cell r="AI161">
            <v>0</v>
          </cell>
          <cell r="AJ161">
            <v>0</v>
          </cell>
          <cell r="AK161">
            <v>0</v>
          </cell>
          <cell r="AL161">
            <v>0</v>
          </cell>
          <cell r="AM161">
            <v>0</v>
          </cell>
          <cell r="AN161">
            <v>0</v>
          </cell>
          <cell r="AO161">
            <v>0</v>
          </cell>
          <cell r="AP161">
            <v>0</v>
          </cell>
          <cell r="AQ161">
            <v>0</v>
          </cell>
          <cell r="AR161">
            <v>0</v>
          </cell>
          <cell r="AS161">
            <v>0</v>
          </cell>
          <cell r="AT161">
            <v>0</v>
          </cell>
          <cell r="AU161">
            <v>0</v>
          </cell>
          <cell r="AV161">
            <v>0</v>
          </cell>
          <cell r="AW161">
            <v>0</v>
          </cell>
          <cell r="AX161">
            <v>0</v>
          </cell>
          <cell r="AY161">
            <v>0</v>
          </cell>
          <cell r="AZ161">
            <v>0</v>
          </cell>
          <cell r="BA161">
            <v>0</v>
          </cell>
          <cell r="BB161">
            <v>0</v>
          </cell>
          <cell r="BC161">
            <v>0</v>
          </cell>
          <cell r="BD161">
            <v>0</v>
          </cell>
          <cell r="BE161">
            <v>0</v>
          </cell>
          <cell r="BF161">
            <v>0</v>
          </cell>
          <cell r="BG161">
            <v>0</v>
          </cell>
          <cell r="BH161">
            <v>0</v>
          </cell>
          <cell r="BI161">
            <v>0</v>
          </cell>
          <cell r="BJ161">
            <v>0</v>
          </cell>
          <cell r="BK161">
            <v>0</v>
          </cell>
          <cell r="BL161">
            <v>0</v>
          </cell>
          <cell r="BM161">
            <v>0</v>
          </cell>
          <cell r="BN161">
            <v>0</v>
          </cell>
          <cell r="BO161">
            <v>0</v>
          </cell>
          <cell r="BP161">
            <v>0</v>
          </cell>
          <cell r="BQ161">
            <v>0</v>
          </cell>
          <cell r="BR161">
            <v>0</v>
          </cell>
          <cell r="BS161">
            <v>0</v>
          </cell>
          <cell r="BT161">
            <v>0</v>
          </cell>
          <cell r="BU161">
            <v>0</v>
          </cell>
          <cell r="BV161">
            <v>0</v>
          </cell>
          <cell r="BW161">
            <v>0</v>
          </cell>
          <cell r="BX161">
            <v>0</v>
          </cell>
          <cell r="BY161">
            <v>0</v>
          </cell>
          <cell r="BZ161">
            <v>0</v>
          </cell>
          <cell r="CA161">
            <v>0</v>
          </cell>
          <cell r="CB161">
            <v>0</v>
          </cell>
          <cell r="CC161">
            <v>0</v>
          </cell>
          <cell r="CD161">
            <v>0</v>
          </cell>
          <cell r="CE161">
            <v>0</v>
          </cell>
          <cell r="CF161">
            <v>0</v>
          </cell>
          <cell r="CG161">
            <v>0</v>
          </cell>
          <cell r="CH161">
            <v>0</v>
          </cell>
          <cell r="CI161">
            <v>0</v>
          </cell>
          <cell r="CJ161">
            <v>0</v>
          </cell>
          <cell r="CK161">
            <v>0</v>
          </cell>
          <cell r="CL161">
            <v>0</v>
          </cell>
          <cell r="CM161">
            <v>0</v>
          </cell>
          <cell r="CN161">
            <v>0</v>
          </cell>
          <cell r="CO161">
            <v>0</v>
          </cell>
          <cell r="CP161">
            <v>0</v>
          </cell>
          <cell r="CQ161">
            <v>0</v>
          </cell>
          <cell r="CR161">
            <v>0</v>
          </cell>
          <cell r="CS161">
            <v>0</v>
          </cell>
          <cell r="CT161">
            <v>0</v>
          </cell>
          <cell r="CU161">
            <v>0</v>
          </cell>
          <cell r="CV161">
            <v>0</v>
          </cell>
          <cell r="CW161">
            <v>0</v>
          </cell>
          <cell r="CX161">
            <v>0</v>
          </cell>
          <cell r="CY161">
            <v>0</v>
          </cell>
          <cell r="CZ161">
            <v>0</v>
          </cell>
          <cell r="DA161">
            <v>0</v>
          </cell>
          <cell r="DB161">
            <v>0</v>
          </cell>
          <cell r="DC161">
            <v>0</v>
          </cell>
          <cell r="DD161">
            <v>0</v>
          </cell>
          <cell r="DE161">
            <v>0</v>
          </cell>
          <cell r="DF161">
            <v>0</v>
          </cell>
          <cell r="DG161">
            <v>0</v>
          </cell>
          <cell r="DH161">
            <v>0</v>
          </cell>
          <cell r="DI161">
            <v>0</v>
          </cell>
          <cell r="DJ161">
            <v>0</v>
          </cell>
          <cell r="DK161">
            <v>0</v>
          </cell>
          <cell r="DL161">
            <v>0</v>
          </cell>
          <cell r="DM161">
            <v>0</v>
          </cell>
          <cell r="DN161">
            <v>0</v>
          </cell>
          <cell r="DO161">
            <v>0</v>
          </cell>
          <cell r="DP161">
            <v>0</v>
          </cell>
          <cell r="DQ161">
            <v>0</v>
          </cell>
          <cell r="DR161">
            <v>0</v>
          </cell>
          <cell r="DS161">
            <v>0</v>
          </cell>
          <cell r="DT161">
            <v>0</v>
          </cell>
          <cell r="DU161">
            <v>0</v>
          </cell>
          <cell r="DV161">
            <v>0</v>
          </cell>
          <cell r="DW161">
            <v>0</v>
          </cell>
          <cell r="DX161">
            <v>0</v>
          </cell>
          <cell r="DY161">
            <v>0</v>
          </cell>
          <cell r="EA161">
            <v>0</v>
          </cell>
          <cell r="EB161">
            <v>0</v>
          </cell>
          <cell r="EC161">
            <v>0</v>
          </cell>
          <cell r="ED161">
            <v>0</v>
          </cell>
          <cell r="EE161">
            <v>0</v>
          </cell>
          <cell r="EF161">
            <v>0</v>
          </cell>
          <cell r="EG161">
            <v>0</v>
          </cell>
          <cell r="EH161">
            <v>0</v>
          </cell>
          <cell r="EI161">
            <v>0</v>
          </cell>
          <cell r="EJ161">
            <v>0</v>
          </cell>
          <cell r="EK161">
            <v>0</v>
          </cell>
          <cell r="EL161">
            <v>0</v>
          </cell>
          <cell r="EM161">
            <v>0</v>
          </cell>
          <cell r="EN161">
            <v>0</v>
          </cell>
          <cell r="EO161">
            <v>0</v>
          </cell>
          <cell r="EP161">
            <v>0</v>
          </cell>
          <cell r="EQ161">
            <v>0</v>
          </cell>
          <cell r="ER161">
            <v>0</v>
          </cell>
          <cell r="ES161">
            <v>0</v>
          </cell>
          <cell r="ET161">
            <v>0</v>
          </cell>
          <cell r="EU161">
            <v>0</v>
          </cell>
          <cell r="EV161">
            <v>0</v>
          </cell>
          <cell r="EW161">
            <v>0</v>
          </cell>
          <cell r="EX161">
            <v>0</v>
          </cell>
          <cell r="EY161">
            <v>0</v>
          </cell>
          <cell r="EZ161">
            <v>0</v>
          </cell>
          <cell r="FA161">
            <v>0</v>
          </cell>
          <cell r="FB161">
            <v>0</v>
          </cell>
          <cell r="FC161">
            <v>0</v>
          </cell>
          <cell r="FD161">
            <v>0</v>
          </cell>
          <cell r="FE161">
            <v>0</v>
          </cell>
          <cell r="FF161">
            <v>0</v>
          </cell>
          <cell r="FG161">
            <v>0</v>
          </cell>
          <cell r="FH161">
            <v>0</v>
          </cell>
          <cell r="FI161">
            <v>0</v>
          </cell>
          <cell r="FJ161">
            <v>0</v>
          </cell>
          <cell r="FK161">
            <v>0</v>
          </cell>
          <cell r="FL161">
            <v>0</v>
          </cell>
          <cell r="FM161">
            <v>0</v>
          </cell>
          <cell r="FN161">
            <v>0</v>
          </cell>
          <cell r="FO161">
            <v>0</v>
          </cell>
          <cell r="FP161">
            <v>0</v>
          </cell>
          <cell r="FQ161">
            <v>0</v>
          </cell>
          <cell r="FR161">
            <v>0</v>
          </cell>
          <cell r="FS161">
            <v>0</v>
          </cell>
          <cell r="FT161">
            <v>0</v>
          </cell>
          <cell r="FU161">
            <v>0</v>
          </cell>
          <cell r="FV161">
            <v>0</v>
          </cell>
          <cell r="FW161">
            <v>0</v>
          </cell>
          <cell r="FX161">
            <v>0</v>
          </cell>
          <cell r="FY161">
            <v>0</v>
          </cell>
          <cell r="FZ161">
            <v>0</v>
          </cell>
        </row>
        <row r="162">
          <cell r="A162">
            <v>0</v>
          </cell>
          <cell r="B162">
            <v>0</v>
          </cell>
          <cell r="C162">
            <v>0</v>
          </cell>
          <cell r="D162">
            <v>0</v>
          </cell>
          <cell r="E162">
            <v>0</v>
          </cell>
          <cell r="F162">
            <v>0</v>
          </cell>
          <cell r="G162">
            <v>0</v>
          </cell>
          <cell r="H162">
            <v>0</v>
          </cell>
          <cell r="I162">
            <v>0</v>
          </cell>
          <cell r="J162">
            <v>0</v>
          </cell>
          <cell r="K162">
            <v>0</v>
          </cell>
          <cell r="L162">
            <v>0</v>
          </cell>
          <cell r="M162">
            <v>0</v>
          </cell>
          <cell r="N162">
            <v>0</v>
          </cell>
          <cell r="O162">
            <v>0</v>
          </cell>
          <cell r="P162">
            <v>0</v>
          </cell>
          <cell r="Q162">
            <v>0</v>
          </cell>
          <cell r="R162">
            <v>0</v>
          </cell>
          <cell r="S162">
            <v>0</v>
          </cell>
          <cell r="T162">
            <v>0</v>
          </cell>
          <cell r="U162">
            <v>0</v>
          </cell>
          <cell r="V162">
            <v>0</v>
          </cell>
          <cell r="W162">
            <v>0</v>
          </cell>
          <cell r="X162">
            <v>0</v>
          </cell>
          <cell r="Y162">
            <v>0</v>
          </cell>
          <cell r="Z162">
            <v>0</v>
          </cell>
          <cell r="AA162">
            <v>0</v>
          </cell>
          <cell r="AB162">
            <v>0</v>
          </cell>
          <cell r="AC162">
            <v>0</v>
          </cell>
          <cell r="AD162">
            <v>0</v>
          </cell>
          <cell r="AE162">
            <v>0</v>
          </cell>
          <cell r="AF162">
            <v>0</v>
          </cell>
          <cell r="AG162">
            <v>0</v>
          </cell>
          <cell r="AH162">
            <v>0</v>
          </cell>
          <cell r="AI162">
            <v>0</v>
          </cell>
          <cell r="AJ162">
            <v>0</v>
          </cell>
          <cell r="AK162">
            <v>0</v>
          </cell>
          <cell r="AL162">
            <v>0</v>
          </cell>
          <cell r="AM162">
            <v>0</v>
          </cell>
          <cell r="AN162">
            <v>0</v>
          </cell>
          <cell r="AO162">
            <v>0</v>
          </cell>
          <cell r="AP162">
            <v>0</v>
          </cell>
          <cell r="AQ162">
            <v>0</v>
          </cell>
          <cell r="AR162">
            <v>0</v>
          </cell>
          <cell r="AS162">
            <v>0</v>
          </cell>
          <cell r="AT162">
            <v>0</v>
          </cell>
          <cell r="AU162">
            <v>0</v>
          </cell>
          <cell r="AV162">
            <v>0</v>
          </cell>
          <cell r="AW162">
            <v>0</v>
          </cell>
          <cell r="AX162">
            <v>0</v>
          </cell>
          <cell r="AY162">
            <v>0</v>
          </cell>
          <cell r="AZ162">
            <v>0</v>
          </cell>
          <cell r="BA162">
            <v>0</v>
          </cell>
          <cell r="BB162">
            <v>0</v>
          </cell>
          <cell r="BC162">
            <v>0</v>
          </cell>
          <cell r="BD162">
            <v>0</v>
          </cell>
          <cell r="BE162">
            <v>0</v>
          </cell>
          <cell r="BF162">
            <v>0</v>
          </cell>
          <cell r="BG162">
            <v>0</v>
          </cell>
          <cell r="BH162">
            <v>0</v>
          </cell>
          <cell r="BI162">
            <v>0</v>
          </cell>
          <cell r="BJ162">
            <v>0</v>
          </cell>
          <cell r="BK162">
            <v>0</v>
          </cell>
          <cell r="BL162">
            <v>0</v>
          </cell>
          <cell r="BM162">
            <v>0</v>
          </cell>
          <cell r="BN162">
            <v>0</v>
          </cell>
          <cell r="BO162">
            <v>0</v>
          </cell>
          <cell r="BP162">
            <v>0</v>
          </cell>
          <cell r="BQ162">
            <v>0</v>
          </cell>
          <cell r="BR162">
            <v>0</v>
          </cell>
          <cell r="BS162">
            <v>0</v>
          </cell>
          <cell r="BT162">
            <v>0</v>
          </cell>
          <cell r="BU162">
            <v>0</v>
          </cell>
          <cell r="BV162">
            <v>0</v>
          </cell>
          <cell r="BW162">
            <v>0</v>
          </cell>
          <cell r="BX162">
            <v>0</v>
          </cell>
          <cell r="BY162">
            <v>0</v>
          </cell>
          <cell r="BZ162">
            <v>0</v>
          </cell>
          <cell r="CA162">
            <v>0</v>
          </cell>
          <cell r="CB162">
            <v>0</v>
          </cell>
          <cell r="CC162">
            <v>0</v>
          </cell>
          <cell r="CD162">
            <v>0</v>
          </cell>
          <cell r="CE162">
            <v>0</v>
          </cell>
          <cell r="CF162">
            <v>0</v>
          </cell>
          <cell r="CG162">
            <v>0</v>
          </cell>
          <cell r="CH162">
            <v>0</v>
          </cell>
          <cell r="CI162">
            <v>0</v>
          </cell>
          <cell r="CJ162">
            <v>0</v>
          </cell>
          <cell r="CK162">
            <v>0</v>
          </cell>
          <cell r="CL162">
            <v>0</v>
          </cell>
          <cell r="CM162">
            <v>0</v>
          </cell>
          <cell r="CN162">
            <v>0</v>
          </cell>
          <cell r="CO162">
            <v>0</v>
          </cell>
          <cell r="CP162">
            <v>0</v>
          </cell>
          <cell r="CQ162">
            <v>0</v>
          </cell>
          <cell r="CR162">
            <v>0</v>
          </cell>
          <cell r="CS162">
            <v>0</v>
          </cell>
          <cell r="CT162">
            <v>0</v>
          </cell>
          <cell r="CU162">
            <v>0</v>
          </cell>
          <cell r="CV162">
            <v>0</v>
          </cell>
          <cell r="CW162">
            <v>0</v>
          </cell>
          <cell r="CX162">
            <v>0</v>
          </cell>
          <cell r="CY162">
            <v>0</v>
          </cell>
          <cell r="CZ162">
            <v>0</v>
          </cell>
          <cell r="DA162">
            <v>0</v>
          </cell>
          <cell r="DB162">
            <v>0</v>
          </cell>
          <cell r="DC162">
            <v>0</v>
          </cell>
          <cell r="DD162">
            <v>0</v>
          </cell>
          <cell r="DE162">
            <v>0</v>
          </cell>
          <cell r="DF162">
            <v>0</v>
          </cell>
          <cell r="DG162">
            <v>0</v>
          </cell>
          <cell r="DH162">
            <v>0</v>
          </cell>
          <cell r="DI162">
            <v>0</v>
          </cell>
          <cell r="DJ162">
            <v>0</v>
          </cell>
          <cell r="DK162">
            <v>0</v>
          </cell>
          <cell r="DL162">
            <v>0</v>
          </cell>
          <cell r="DM162">
            <v>0</v>
          </cell>
          <cell r="DN162">
            <v>0</v>
          </cell>
          <cell r="DO162">
            <v>0</v>
          </cell>
          <cell r="DP162">
            <v>0</v>
          </cell>
          <cell r="DQ162">
            <v>0</v>
          </cell>
          <cell r="DR162">
            <v>0</v>
          </cell>
          <cell r="DS162">
            <v>0</v>
          </cell>
          <cell r="DT162">
            <v>0</v>
          </cell>
          <cell r="DU162">
            <v>0</v>
          </cell>
          <cell r="DV162">
            <v>0</v>
          </cell>
          <cell r="DW162">
            <v>0</v>
          </cell>
          <cell r="DX162">
            <v>0</v>
          </cell>
          <cell r="DY162">
            <v>0</v>
          </cell>
          <cell r="EA162">
            <v>0</v>
          </cell>
          <cell r="EB162">
            <v>0</v>
          </cell>
          <cell r="EC162">
            <v>0</v>
          </cell>
          <cell r="ED162">
            <v>0</v>
          </cell>
          <cell r="EE162">
            <v>0</v>
          </cell>
          <cell r="EF162">
            <v>0</v>
          </cell>
          <cell r="EG162">
            <v>0</v>
          </cell>
          <cell r="EH162">
            <v>0</v>
          </cell>
          <cell r="EI162">
            <v>0</v>
          </cell>
          <cell r="EJ162">
            <v>0</v>
          </cell>
          <cell r="EK162">
            <v>0</v>
          </cell>
          <cell r="EL162">
            <v>0</v>
          </cell>
          <cell r="EM162">
            <v>0</v>
          </cell>
          <cell r="EN162">
            <v>0</v>
          </cell>
          <cell r="EO162">
            <v>0</v>
          </cell>
          <cell r="EP162">
            <v>0</v>
          </cell>
          <cell r="EQ162">
            <v>0</v>
          </cell>
          <cell r="ER162">
            <v>0</v>
          </cell>
          <cell r="ES162">
            <v>0</v>
          </cell>
          <cell r="ET162">
            <v>0</v>
          </cell>
          <cell r="EU162">
            <v>0</v>
          </cell>
          <cell r="EV162">
            <v>0</v>
          </cell>
          <cell r="EW162">
            <v>0</v>
          </cell>
          <cell r="EX162">
            <v>0</v>
          </cell>
          <cell r="EY162">
            <v>0</v>
          </cell>
          <cell r="EZ162">
            <v>0</v>
          </cell>
          <cell r="FA162">
            <v>0</v>
          </cell>
          <cell r="FB162">
            <v>0</v>
          </cell>
          <cell r="FC162">
            <v>0</v>
          </cell>
          <cell r="FD162">
            <v>0</v>
          </cell>
          <cell r="FE162">
            <v>0</v>
          </cell>
          <cell r="FF162">
            <v>0</v>
          </cell>
          <cell r="FG162">
            <v>0</v>
          </cell>
          <cell r="FH162">
            <v>0</v>
          </cell>
          <cell r="FI162">
            <v>0</v>
          </cell>
          <cell r="FJ162">
            <v>0</v>
          </cell>
          <cell r="FK162">
            <v>0</v>
          </cell>
          <cell r="FL162">
            <v>0</v>
          </cell>
          <cell r="FM162">
            <v>0</v>
          </cell>
          <cell r="FN162">
            <v>0</v>
          </cell>
          <cell r="FO162">
            <v>0</v>
          </cell>
          <cell r="FP162">
            <v>0</v>
          </cell>
          <cell r="FQ162">
            <v>0</v>
          </cell>
          <cell r="FR162">
            <v>0</v>
          </cell>
          <cell r="FS162">
            <v>0</v>
          </cell>
          <cell r="FT162">
            <v>0</v>
          </cell>
          <cell r="FU162">
            <v>0</v>
          </cell>
          <cell r="FV162">
            <v>0</v>
          </cell>
          <cell r="FW162">
            <v>0</v>
          </cell>
          <cell r="FX162">
            <v>0</v>
          </cell>
          <cell r="FY162">
            <v>0</v>
          </cell>
          <cell r="FZ162">
            <v>0</v>
          </cell>
        </row>
        <row r="163">
          <cell r="A163">
            <v>0</v>
          </cell>
          <cell r="B163">
            <v>0</v>
          </cell>
          <cell r="C163">
            <v>0</v>
          </cell>
          <cell r="D163">
            <v>0</v>
          </cell>
          <cell r="E163">
            <v>0</v>
          </cell>
          <cell r="F163">
            <v>0</v>
          </cell>
          <cell r="G163">
            <v>0</v>
          </cell>
          <cell r="H163">
            <v>0</v>
          </cell>
          <cell r="I163">
            <v>0</v>
          </cell>
          <cell r="J163">
            <v>0</v>
          </cell>
          <cell r="K163">
            <v>0</v>
          </cell>
          <cell r="L163">
            <v>0</v>
          </cell>
          <cell r="M163">
            <v>0</v>
          </cell>
          <cell r="N163">
            <v>0</v>
          </cell>
          <cell r="O163">
            <v>0</v>
          </cell>
          <cell r="P163">
            <v>0</v>
          </cell>
          <cell r="Q163">
            <v>0</v>
          </cell>
          <cell r="R163">
            <v>0</v>
          </cell>
          <cell r="S163">
            <v>0</v>
          </cell>
          <cell r="T163">
            <v>0</v>
          </cell>
          <cell r="U163">
            <v>0</v>
          </cell>
          <cell r="V163">
            <v>0</v>
          </cell>
          <cell r="W163">
            <v>0</v>
          </cell>
          <cell r="X163">
            <v>0</v>
          </cell>
          <cell r="Y163">
            <v>0</v>
          </cell>
          <cell r="Z163">
            <v>0</v>
          </cell>
          <cell r="AA163">
            <v>0</v>
          </cell>
          <cell r="AB163">
            <v>0</v>
          </cell>
          <cell r="AC163">
            <v>0</v>
          </cell>
          <cell r="AD163">
            <v>0</v>
          </cell>
          <cell r="AE163">
            <v>0</v>
          </cell>
          <cell r="AF163">
            <v>0</v>
          </cell>
          <cell r="AG163">
            <v>0</v>
          </cell>
          <cell r="AH163">
            <v>0</v>
          </cell>
          <cell r="AI163">
            <v>0</v>
          </cell>
          <cell r="AJ163">
            <v>0</v>
          </cell>
          <cell r="AK163">
            <v>0</v>
          </cell>
          <cell r="AL163">
            <v>0</v>
          </cell>
          <cell r="AM163">
            <v>0</v>
          </cell>
          <cell r="AN163">
            <v>0</v>
          </cell>
          <cell r="AO163">
            <v>0</v>
          </cell>
          <cell r="AP163">
            <v>0</v>
          </cell>
          <cell r="AQ163">
            <v>0</v>
          </cell>
          <cell r="AR163">
            <v>0</v>
          </cell>
          <cell r="AS163">
            <v>0</v>
          </cell>
          <cell r="AT163">
            <v>0</v>
          </cell>
          <cell r="AU163">
            <v>0</v>
          </cell>
          <cell r="AV163">
            <v>0</v>
          </cell>
          <cell r="AW163">
            <v>0</v>
          </cell>
          <cell r="AX163">
            <v>0</v>
          </cell>
          <cell r="AY163">
            <v>0</v>
          </cell>
          <cell r="AZ163">
            <v>0</v>
          </cell>
          <cell r="BA163">
            <v>0</v>
          </cell>
          <cell r="BB163">
            <v>0</v>
          </cell>
          <cell r="BC163">
            <v>0</v>
          </cell>
          <cell r="BD163">
            <v>0</v>
          </cell>
          <cell r="BE163">
            <v>0</v>
          </cell>
          <cell r="BF163">
            <v>0</v>
          </cell>
          <cell r="BG163">
            <v>0</v>
          </cell>
          <cell r="BH163">
            <v>0</v>
          </cell>
          <cell r="BI163">
            <v>0</v>
          </cell>
          <cell r="BJ163">
            <v>0</v>
          </cell>
          <cell r="BK163">
            <v>0</v>
          </cell>
          <cell r="BL163">
            <v>0</v>
          </cell>
          <cell r="BM163">
            <v>0</v>
          </cell>
          <cell r="BN163">
            <v>0</v>
          </cell>
          <cell r="BO163">
            <v>0</v>
          </cell>
          <cell r="BP163">
            <v>0</v>
          </cell>
          <cell r="BQ163">
            <v>0</v>
          </cell>
          <cell r="BR163">
            <v>0</v>
          </cell>
          <cell r="BS163">
            <v>0</v>
          </cell>
          <cell r="BT163">
            <v>0</v>
          </cell>
          <cell r="BU163">
            <v>0</v>
          </cell>
          <cell r="BV163">
            <v>0</v>
          </cell>
          <cell r="BW163">
            <v>0</v>
          </cell>
          <cell r="BX163">
            <v>0</v>
          </cell>
          <cell r="BY163">
            <v>0</v>
          </cell>
          <cell r="BZ163">
            <v>0</v>
          </cell>
          <cell r="CA163">
            <v>0</v>
          </cell>
          <cell r="CB163">
            <v>0</v>
          </cell>
          <cell r="CC163">
            <v>0</v>
          </cell>
          <cell r="CD163">
            <v>0</v>
          </cell>
          <cell r="CE163">
            <v>0</v>
          </cell>
          <cell r="CF163">
            <v>0</v>
          </cell>
          <cell r="CG163">
            <v>0</v>
          </cell>
          <cell r="CH163">
            <v>0</v>
          </cell>
          <cell r="CI163">
            <v>0</v>
          </cell>
          <cell r="CJ163">
            <v>0</v>
          </cell>
          <cell r="CK163">
            <v>0</v>
          </cell>
          <cell r="CL163">
            <v>0</v>
          </cell>
          <cell r="CM163">
            <v>0</v>
          </cell>
          <cell r="CN163">
            <v>0</v>
          </cell>
          <cell r="CO163">
            <v>0</v>
          </cell>
          <cell r="CP163">
            <v>0</v>
          </cell>
          <cell r="CQ163">
            <v>0</v>
          </cell>
          <cell r="CR163">
            <v>0</v>
          </cell>
          <cell r="CS163">
            <v>0</v>
          </cell>
          <cell r="CT163">
            <v>0</v>
          </cell>
          <cell r="CU163">
            <v>0</v>
          </cell>
          <cell r="CV163">
            <v>0</v>
          </cell>
          <cell r="CW163">
            <v>0</v>
          </cell>
          <cell r="CX163">
            <v>0</v>
          </cell>
          <cell r="CY163">
            <v>0</v>
          </cell>
          <cell r="CZ163">
            <v>0</v>
          </cell>
          <cell r="DA163">
            <v>0</v>
          </cell>
          <cell r="DB163">
            <v>0</v>
          </cell>
          <cell r="DC163">
            <v>0</v>
          </cell>
          <cell r="DD163">
            <v>0</v>
          </cell>
          <cell r="DE163">
            <v>0</v>
          </cell>
          <cell r="DF163">
            <v>0</v>
          </cell>
          <cell r="DG163">
            <v>0</v>
          </cell>
          <cell r="DH163">
            <v>0</v>
          </cell>
          <cell r="DI163">
            <v>0</v>
          </cell>
          <cell r="DJ163">
            <v>0</v>
          </cell>
          <cell r="DK163">
            <v>0</v>
          </cell>
          <cell r="DL163">
            <v>0</v>
          </cell>
          <cell r="DM163">
            <v>0</v>
          </cell>
          <cell r="DN163">
            <v>0</v>
          </cell>
          <cell r="DO163">
            <v>0</v>
          </cell>
          <cell r="DP163">
            <v>0</v>
          </cell>
          <cell r="DQ163">
            <v>0</v>
          </cell>
          <cell r="DR163">
            <v>0</v>
          </cell>
          <cell r="DS163">
            <v>0</v>
          </cell>
          <cell r="DT163">
            <v>0</v>
          </cell>
          <cell r="DU163">
            <v>0</v>
          </cell>
          <cell r="DV163">
            <v>0</v>
          </cell>
          <cell r="DW163">
            <v>0</v>
          </cell>
          <cell r="DX163">
            <v>0</v>
          </cell>
          <cell r="DY163">
            <v>0</v>
          </cell>
          <cell r="EA163">
            <v>0</v>
          </cell>
          <cell r="EB163">
            <v>0</v>
          </cell>
          <cell r="EC163">
            <v>0</v>
          </cell>
          <cell r="ED163">
            <v>0</v>
          </cell>
          <cell r="EE163">
            <v>0</v>
          </cell>
          <cell r="EF163">
            <v>0</v>
          </cell>
          <cell r="EG163">
            <v>0</v>
          </cell>
          <cell r="EH163">
            <v>0</v>
          </cell>
          <cell r="EI163">
            <v>0</v>
          </cell>
          <cell r="EJ163">
            <v>0</v>
          </cell>
          <cell r="EK163">
            <v>0</v>
          </cell>
          <cell r="EL163">
            <v>0</v>
          </cell>
          <cell r="EM163">
            <v>0</v>
          </cell>
          <cell r="EN163">
            <v>0</v>
          </cell>
          <cell r="EO163">
            <v>0</v>
          </cell>
          <cell r="EP163">
            <v>0</v>
          </cell>
          <cell r="EQ163">
            <v>0</v>
          </cell>
          <cell r="ER163">
            <v>0</v>
          </cell>
          <cell r="ES163">
            <v>0</v>
          </cell>
          <cell r="ET163">
            <v>0</v>
          </cell>
          <cell r="EU163">
            <v>0</v>
          </cell>
          <cell r="EV163">
            <v>0</v>
          </cell>
          <cell r="EW163">
            <v>0</v>
          </cell>
          <cell r="EX163">
            <v>0</v>
          </cell>
          <cell r="EY163">
            <v>0</v>
          </cell>
          <cell r="EZ163">
            <v>0</v>
          </cell>
          <cell r="FA163">
            <v>0</v>
          </cell>
          <cell r="FB163">
            <v>0</v>
          </cell>
          <cell r="FC163">
            <v>0</v>
          </cell>
          <cell r="FD163">
            <v>0</v>
          </cell>
          <cell r="FE163">
            <v>0</v>
          </cell>
          <cell r="FF163">
            <v>0</v>
          </cell>
          <cell r="FG163">
            <v>0</v>
          </cell>
          <cell r="FH163">
            <v>0</v>
          </cell>
          <cell r="FI163">
            <v>0</v>
          </cell>
          <cell r="FJ163">
            <v>0</v>
          </cell>
          <cell r="FK163">
            <v>0</v>
          </cell>
          <cell r="FL163">
            <v>0</v>
          </cell>
          <cell r="FM163">
            <v>0</v>
          </cell>
          <cell r="FN163">
            <v>0</v>
          </cell>
          <cell r="FO163">
            <v>0</v>
          </cell>
          <cell r="FP163">
            <v>0</v>
          </cell>
          <cell r="FQ163">
            <v>0</v>
          </cell>
          <cell r="FR163">
            <v>0</v>
          </cell>
          <cell r="FS163">
            <v>0</v>
          </cell>
          <cell r="FT163">
            <v>0</v>
          </cell>
          <cell r="FU163">
            <v>0</v>
          </cell>
          <cell r="FV163">
            <v>0</v>
          </cell>
          <cell r="FW163">
            <v>0</v>
          </cell>
          <cell r="FX163">
            <v>0</v>
          </cell>
          <cell r="FY163">
            <v>0</v>
          </cell>
          <cell r="FZ163">
            <v>0</v>
          </cell>
        </row>
        <row r="164">
          <cell r="A164">
            <v>0</v>
          </cell>
          <cell r="B164">
            <v>0</v>
          </cell>
          <cell r="C164">
            <v>0</v>
          </cell>
          <cell r="D164">
            <v>0</v>
          </cell>
          <cell r="E164">
            <v>0</v>
          </cell>
          <cell r="F164">
            <v>0</v>
          </cell>
          <cell r="G164">
            <v>0</v>
          </cell>
          <cell r="H164">
            <v>0</v>
          </cell>
          <cell r="I164">
            <v>0</v>
          </cell>
          <cell r="J164">
            <v>0</v>
          </cell>
          <cell r="K164">
            <v>0</v>
          </cell>
          <cell r="L164">
            <v>0</v>
          </cell>
          <cell r="M164">
            <v>0</v>
          </cell>
          <cell r="N164">
            <v>0</v>
          </cell>
          <cell r="O164">
            <v>0</v>
          </cell>
          <cell r="P164">
            <v>0</v>
          </cell>
          <cell r="Q164">
            <v>0</v>
          </cell>
          <cell r="R164">
            <v>0</v>
          </cell>
          <cell r="S164">
            <v>0</v>
          </cell>
          <cell r="T164">
            <v>0</v>
          </cell>
          <cell r="U164">
            <v>0</v>
          </cell>
          <cell r="V164">
            <v>0</v>
          </cell>
          <cell r="W164">
            <v>0</v>
          </cell>
          <cell r="X164">
            <v>0</v>
          </cell>
          <cell r="Y164">
            <v>0</v>
          </cell>
          <cell r="Z164">
            <v>0</v>
          </cell>
          <cell r="AA164">
            <v>0</v>
          </cell>
          <cell r="AB164">
            <v>0</v>
          </cell>
          <cell r="AC164">
            <v>0</v>
          </cell>
          <cell r="AD164">
            <v>0</v>
          </cell>
          <cell r="AE164">
            <v>0</v>
          </cell>
          <cell r="AF164">
            <v>0</v>
          </cell>
          <cell r="AG164">
            <v>0</v>
          </cell>
          <cell r="AH164">
            <v>0</v>
          </cell>
          <cell r="AI164">
            <v>0</v>
          </cell>
          <cell r="AJ164">
            <v>0</v>
          </cell>
          <cell r="AK164">
            <v>0</v>
          </cell>
          <cell r="AL164">
            <v>0</v>
          </cell>
          <cell r="AM164">
            <v>0</v>
          </cell>
          <cell r="AN164">
            <v>0</v>
          </cell>
          <cell r="AO164">
            <v>0</v>
          </cell>
          <cell r="AP164">
            <v>0</v>
          </cell>
          <cell r="AQ164">
            <v>0</v>
          </cell>
          <cell r="AR164">
            <v>0</v>
          </cell>
          <cell r="AS164">
            <v>0</v>
          </cell>
          <cell r="AT164">
            <v>0</v>
          </cell>
          <cell r="AU164">
            <v>0</v>
          </cell>
          <cell r="AV164">
            <v>0</v>
          </cell>
          <cell r="AW164">
            <v>0</v>
          </cell>
          <cell r="AX164">
            <v>0</v>
          </cell>
          <cell r="AY164">
            <v>0</v>
          </cell>
          <cell r="AZ164">
            <v>0</v>
          </cell>
          <cell r="BA164">
            <v>0</v>
          </cell>
          <cell r="BB164">
            <v>0</v>
          </cell>
          <cell r="BC164">
            <v>0</v>
          </cell>
          <cell r="BD164">
            <v>0</v>
          </cell>
          <cell r="BE164">
            <v>0</v>
          </cell>
          <cell r="BF164">
            <v>0</v>
          </cell>
          <cell r="BG164">
            <v>0</v>
          </cell>
          <cell r="BH164">
            <v>0</v>
          </cell>
          <cell r="BI164">
            <v>0</v>
          </cell>
          <cell r="BJ164">
            <v>0</v>
          </cell>
          <cell r="BK164">
            <v>0</v>
          </cell>
          <cell r="BL164">
            <v>0</v>
          </cell>
          <cell r="BM164">
            <v>0</v>
          </cell>
          <cell r="BN164">
            <v>0</v>
          </cell>
          <cell r="BO164">
            <v>0</v>
          </cell>
          <cell r="BP164">
            <v>0</v>
          </cell>
          <cell r="BQ164">
            <v>0</v>
          </cell>
          <cell r="BR164">
            <v>0</v>
          </cell>
          <cell r="BS164">
            <v>0</v>
          </cell>
          <cell r="BT164">
            <v>0</v>
          </cell>
          <cell r="BU164">
            <v>0</v>
          </cell>
          <cell r="BV164">
            <v>0</v>
          </cell>
          <cell r="BW164">
            <v>0</v>
          </cell>
          <cell r="BX164">
            <v>0</v>
          </cell>
          <cell r="BY164">
            <v>0</v>
          </cell>
          <cell r="BZ164">
            <v>0</v>
          </cell>
          <cell r="CA164">
            <v>0</v>
          </cell>
          <cell r="CB164">
            <v>0</v>
          </cell>
          <cell r="CC164">
            <v>0</v>
          </cell>
          <cell r="CD164">
            <v>0</v>
          </cell>
          <cell r="CE164">
            <v>0</v>
          </cell>
          <cell r="CF164">
            <v>0</v>
          </cell>
          <cell r="CG164">
            <v>0</v>
          </cell>
          <cell r="CH164">
            <v>0</v>
          </cell>
          <cell r="CI164">
            <v>0</v>
          </cell>
          <cell r="CJ164">
            <v>0</v>
          </cell>
          <cell r="CK164">
            <v>0</v>
          </cell>
          <cell r="CL164">
            <v>0</v>
          </cell>
          <cell r="CM164">
            <v>0</v>
          </cell>
          <cell r="CN164">
            <v>0</v>
          </cell>
          <cell r="CO164">
            <v>0</v>
          </cell>
          <cell r="CP164">
            <v>0</v>
          </cell>
          <cell r="CQ164">
            <v>0</v>
          </cell>
          <cell r="CR164">
            <v>0</v>
          </cell>
          <cell r="CS164">
            <v>0</v>
          </cell>
          <cell r="CT164">
            <v>0</v>
          </cell>
          <cell r="CU164">
            <v>0</v>
          </cell>
          <cell r="CV164">
            <v>0</v>
          </cell>
          <cell r="CW164">
            <v>0</v>
          </cell>
          <cell r="CX164">
            <v>0</v>
          </cell>
          <cell r="CY164">
            <v>0</v>
          </cell>
          <cell r="CZ164">
            <v>0</v>
          </cell>
          <cell r="DA164">
            <v>0</v>
          </cell>
          <cell r="DB164">
            <v>0</v>
          </cell>
          <cell r="DC164">
            <v>0</v>
          </cell>
          <cell r="DD164">
            <v>0</v>
          </cell>
          <cell r="DE164">
            <v>0</v>
          </cell>
          <cell r="DF164">
            <v>0</v>
          </cell>
          <cell r="DG164">
            <v>0</v>
          </cell>
          <cell r="DH164">
            <v>0</v>
          </cell>
          <cell r="DI164">
            <v>0</v>
          </cell>
          <cell r="DJ164">
            <v>0</v>
          </cell>
          <cell r="DK164">
            <v>0</v>
          </cell>
          <cell r="DL164">
            <v>0</v>
          </cell>
          <cell r="DM164">
            <v>0</v>
          </cell>
          <cell r="DN164">
            <v>0</v>
          </cell>
          <cell r="DO164">
            <v>0</v>
          </cell>
          <cell r="DP164">
            <v>0</v>
          </cell>
          <cell r="DQ164">
            <v>0</v>
          </cell>
          <cell r="DR164">
            <v>0</v>
          </cell>
          <cell r="DS164">
            <v>0</v>
          </cell>
          <cell r="DT164">
            <v>0</v>
          </cell>
          <cell r="DU164">
            <v>0</v>
          </cell>
          <cell r="DV164">
            <v>0</v>
          </cell>
          <cell r="DW164">
            <v>0</v>
          </cell>
          <cell r="DX164">
            <v>0</v>
          </cell>
          <cell r="DY164">
            <v>0</v>
          </cell>
          <cell r="EA164">
            <v>0</v>
          </cell>
          <cell r="EB164">
            <v>0</v>
          </cell>
          <cell r="EC164">
            <v>0</v>
          </cell>
          <cell r="ED164">
            <v>0</v>
          </cell>
          <cell r="EE164">
            <v>0</v>
          </cell>
          <cell r="EF164">
            <v>0</v>
          </cell>
          <cell r="EG164">
            <v>0</v>
          </cell>
          <cell r="EH164">
            <v>0</v>
          </cell>
          <cell r="EI164">
            <v>0</v>
          </cell>
          <cell r="EJ164">
            <v>0</v>
          </cell>
          <cell r="EK164">
            <v>0</v>
          </cell>
          <cell r="EL164">
            <v>0</v>
          </cell>
          <cell r="EM164">
            <v>0</v>
          </cell>
          <cell r="EN164">
            <v>0</v>
          </cell>
          <cell r="EO164">
            <v>0</v>
          </cell>
          <cell r="EP164">
            <v>0</v>
          </cell>
          <cell r="EQ164">
            <v>0</v>
          </cell>
          <cell r="ER164">
            <v>0</v>
          </cell>
          <cell r="ES164">
            <v>0</v>
          </cell>
          <cell r="ET164">
            <v>0</v>
          </cell>
          <cell r="EU164">
            <v>0</v>
          </cell>
          <cell r="EV164">
            <v>0</v>
          </cell>
          <cell r="EW164">
            <v>0</v>
          </cell>
          <cell r="EX164">
            <v>0</v>
          </cell>
          <cell r="EY164">
            <v>0</v>
          </cell>
          <cell r="EZ164">
            <v>0</v>
          </cell>
          <cell r="FA164">
            <v>0</v>
          </cell>
          <cell r="FB164">
            <v>0</v>
          </cell>
          <cell r="FC164">
            <v>0</v>
          </cell>
          <cell r="FD164">
            <v>0</v>
          </cell>
          <cell r="FE164">
            <v>0</v>
          </cell>
          <cell r="FF164">
            <v>0</v>
          </cell>
          <cell r="FG164">
            <v>0</v>
          </cell>
          <cell r="FH164">
            <v>0</v>
          </cell>
          <cell r="FI164">
            <v>0</v>
          </cell>
          <cell r="FJ164">
            <v>0</v>
          </cell>
          <cell r="FK164">
            <v>0</v>
          </cell>
          <cell r="FL164">
            <v>0</v>
          </cell>
          <cell r="FM164">
            <v>0</v>
          </cell>
          <cell r="FN164">
            <v>0</v>
          </cell>
          <cell r="FO164">
            <v>0</v>
          </cell>
          <cell r="FP164">
            <v>0</v>
          </cell>
          <cell r="FQ164">
            <v>0</v>
          </cell>
          <cell r="FR164">
            <v>0</v>
          </cell>
          <cell r="FS164">
            <v>0</v>
          </cell>
          <cell r="FT164">
            <v>0</v>
          </cell>
          <cell r="FU164">
            <v>0</v>
          </cell>
          <cell r="FV164">
            <v>0</v>
          </cell>
          <cell r="FW164">
            <v>0</v>
          </cell>
          <cell r="FX164">
            <v>0</v>
          </cell>
          <cell r="FY164">
            <v>0</v>
          </cell>
          <cell r="FZ164">
            <v>0</v>
          </cell>
        </row>
        <row r="165">
          <cell r="A165" t="str">
            <v>I_CAI_NRF_CPT_PRP_INTR_B01</v>
          </cell>
          <cell r="B165">
            <v>0</v>
          </cell>
          <cell r="C165">
            <v>0</v>
          </cell>
          <cell r="D165">
            <v>0</v>
          </cell>
          <cell r="E165">
            <v>0</v>
          </cell>
          <cell r="F165">
            <v>0</v>
          </cell>
          <cell r="G165">
            <v>0</v>
          </cell>
          <cell r="H165">
            <v>0</v>
          </cell>
          <cell r="I165">
            <v>0</v>
          </cell>
          <cell r="J165">
            <v>0</v>
          </cell>
          <cell r="K165">
            <v>0</v>
          </cell>
          <cell r="L165">
            <v>0</v>
          </cell>
          <cell r="M165">
            <v>0</v>
          </cell>
          <cell r="N165">
            <v>0</v>
          </cell>
          <cell r="O165">
            <v>0</v>
          </cell>
          <cell r="P165">
            <v>0</v>
          </cell>
          <cell r="Q165">
            <v>0</v>
          </cell>
          <cell r="R165">
            <v>0</v>
          </cell>
          <cell r="S165">
            <v>0</v>
          </cell>
          <cell r="T165">
            <v>0</v>
          </cell>
          <cell r="U165">
            <v>0</v>
          </cell>
          <cell r="V165">
            <v>0</v>
          </cell>
          <cell r="W165">
            <v>0</v>
          </cell>
          <cell r="X165">
            <v>0</v>
          </cell>
          <cell r="Y165">
            <v>0</v>
          </cell>
          <cell r="Z165">
            <v>0</v>
          </cell>
          <cell r="AA165">
            <v>0</v>
          </cell>
          <cell r="AB165">
            <v>0</v>
          </cell>
          <cell r="AC165">
            <v>0</v>
          </cell>
          <cell r="AD165">
            <v>0</v>
          </cell>
          <cell r="AE165">
            <v>0</v>
          </cell>
          <cell r="AF165">
            <v>0</v>
          </cell>
          <cell r="AG165">
            <v>0</v>
          </cell>
          <cell r="AH165">
            <v>0</v>
          </cell>
          <cell r="AI165">
            <v>0</v>
          </cell>
          <cell r="AJ165">
            <v>0</v>
          </cell>
          <cell r="AK165">
            <v>0</v>
          </cell>
          <cell r="AL165">
            <v>0</v>
          </cell>
          <cell r="AM165">
            <v>0</v>
          </cell>
          <cell r="AN165">
            <v>0</v>
          </cell>
          <cell r="AO165">
            <v>0</v>
          </cell>
          <cell r="AP165">
            <v>0</v>
          </cell>
          <cell r="AQ165">
            <v>0</v>
          </cell>
          <cell r="AR165">
            <v>0</v>
          </cell>
          <cell r="AS165">
            <v>0</v>
          </cell>
          <cell r="AT165">
            <v>0</v>
          </cell>
          <cell r="AU165">
            <v>0</v>
          </cell>
          <cell r="AV165">
            <v>0</v>
          </cell>
          <cell r="AW165">
            <v>0</v>
          </cell>
          <cell r="AX165">
            <v>0</v>
          </cell>
          <cell r="AY165">
            <v>0</v>
          </cell>
          <cell r="AZ165">
            <v>0</v>
          </cell>
          <cell r="BA165">
            <v>0</v>
          </cell>
          <cell r="BB165">
            <v>0</v>
          </cell>
          <cell r="BC165">
            <v>0</v>
          </cell>
          <cell r="BD165">
            <v>0</v>
          </cell>
          <cell r="BE165">
            <v>0</v>
          </cell>
          <cell r="BF165">
            <v>0</v>
          </cell>
          <cell r="BG165">
            <v>0</v>
          </cell>
          <cell r="BH165">
            <v>0</v>
          </cell>
          <cell r="BI165">
            <v>0</v>
          </cell>
          <cell r="BJ165">
            <v>0</v>
          </cell>
          <cell r="BK165">
            <v>0</v>
          </cell>
          <cell r="BL165">
            <v>0</v>
          </cell>
          <cell r="BM165">
            <v>0</v>
          </cell>
          <cell r="BN165">
            <v>0</v>
          </cell>
          <cell r="BO165">
            <v>0</v>
          </cell>
          <cell r="BP165">
            <v>0</v>
          </cell>
          <cell r="BQ165">
            <v>0</v>
          </cell>
          <cell r="BR165">
            <v>0</v>
          </cell>
          <cell r="BS165">
            <v>0</v>
          </cell>
          <cell r="BT165">
            <v>0</v>
          </cell>
          <cell r="BU165">
            <v>0</v>
          </cell>
          <cell r="BV165">
            <v>0</v>
          </cell>
          <cell r="BW165">
            <v>0</v>
          </cell>
          <cell r="BX165">
            <v>0</v>
          </cell>
          <cell r="BY165">
            <v>0</v>
          </cell>
          <cell r="BZ165">
            <v>0</v>
          </cell>
          <cell r="CA165">
            <v>0</v>
          </cell>
          <cell r="CB165">
            <v>0</v>
          </cell>
          <cell r="CC165">
            <v>0</v>
          </cell>
          <cell r="CD165">
            <v>0</v>
          </cell>
          <cell r="CE165">
            <v>0</v>
          </cell>
          <cell r="CF165">
            <v>0</v>
          </cell>
          <cell r="CG165">
            <v>0</v>
          </cell>
          <cell r="CH165">
            <v>0</v>
          </cell>
          <cell r="CI165">
            <v>0</v>
          </cell>
          <cell r="CJ165">
            <v>0</v>
          </cell>
          <cell r="CK165">
            <v>0</v>
          </cell>
          <cell r="CL165">
            <v>0</v>
          </cell>
          <cell r="CM165">
            <v>0</v>
          </cell>
          <cell r="CN165">
            <v>0</v>
          </cell>
          <cell r="CO165">
            <v>0</v>
          </cell>
          <cell r="CP165">
            <v>0</v>
          </cell>
          <cell r="CQ165">
            <v>0</v>
          </cell>
          <cell r="CR165">
            <v>0</v>
          </cell>
          <cell r="CS165">
            <v>0</v>
          </cell>
          <cell r="CT165">
            <v>0</v>
          </cell>
          <cell r="CU165">
            <v>0</v>
          </cell>
          <cell r="CV165">
            <v>0</v>
          </cell>
          <cell r="CW165">
            <v>0</v>
          </cell>
          <cell r="CX165">
            <v>0</v>
          </cell>
          <cell r="CY165">
            <v>0</v>
          </cell>
          <cell r="CZ165">
            <v>0</v>
          </cell>
          <cell r="DA165">
            <v>0</v>
          </cell>
          <cell r="DB165">
            <v>0</v>
          </cell>
          <cell r="DC165">
            <v>0</v>
          </cell>
          <cell r="DD165">
            <v>0</v>
          </cell>
          <cell r="DE165">
            <v>0</v>
          </cell>
          <cell r="DF165">
            <v>0</v>
          </cell>
          <cell r="DG165">
            <v>0</v>
          </cell>
          <cell r="DH165">
            <v>0</v>
          </cell>
          <cell r="DI165">
            <v>0</v>
          </cell>
          <cell r="DJ165">
            <v>0</v>
          </cell>
          <cell r="DK165">
            <v>0</v>
          </cell>
          <cell r="DL165">
            <v>0</v>
          </cell>
          <cell r="DM165">
            <v>0</v>
          </cell>
          <cell r="DN165">
            <v>0</v>
          </cell>
          <cell r="DO165">
            <v>0</v>
          </cell>
          <cell r="DP165">
            <v>0</v>
          </cell>
          <cell r="DQ165">
            <v>0</v>
          </cell>
          <cell r="DR165">
            <v>0</v>
          </cell>
          <cell r="DS165">
            <v>0</v>
          </cell>
          <cell r="DT165">
            <v>0</v>
          </cell>
          <cell r="DU165">
            <v>0</v>
          </cell>
          <cell r="DV165">
            <v>0</v>
          </cell>
          <cell r="DW165">
            <v>0</v>
          </cell>
          <cell r="DX165">
            <v>0</v>
          </cell>
          <cell r="DY165">
            <v>0</v>
          </cell>
          <cell r="EA165">
            <v>0</v>
          </cell>
          <cell r="EB165">
            <v>0</v>
          </cell>
          <cell r="EC165">
            <v>0</v>
          </cell>
          <cell r="ED165">
            <v>0</v>
          </cell>
          <cell r="EE165">
            <v>0</v>
          </cell>
          <cell r="EF165">
            <v>0</v>
          </cell>
          <cell r="EG165">
            <v>0</v>
          </cell>
          <cell r="EH165">
            <v>0</v>
          </cell>
          <cell r="EI165">
            <v>0</v>
          </cell>
          <cell r="EJ165">
            <v>0</v>
          </cell>
          <cell r="EK165">
            <v>0</v>
          </cell>
          <cell r="EL165">
            <v>0</v>
          </cell>
          <cell r="EM165">
            <v>0</v>
          </cell>
          <cell r="EN165">
            <v>0</v>
          </cell>
          <cell r="EO165">
            <v>0</v>
          </cell>
          <cell r="EP165">
            <v>0</v>
          </cell>
          <cell r="EQ165">
            <v>0</v>
          </cell>
          <cell r="ER165">
            <v>0</v>
          </cell>
          <cell r="ES165">
            <v>0</v>
          </cell>
          <cell r="ET165">
            <v>0</v>
          </cell>
          <cell r="EU165">
            <v>0</v>
          </cell>
          <cell r="EV165">
            <v>0</v>
          </cell>
          <cell r="EW165">
            <v>0</v>
          </cell>
          <cell r="EX165">
            <v>0</v>
          </cell>
          <cell r="EY165">
            <v>0</v>
          </cell>
          <cell r="EZ165">
            <v>0</v>
          </cell>
          <cell r="FA165">
            <v>0</v>
          </cell>
          <cell r="FB165">
            <v>0</v>
          </cell>
          <cell r="FC165">
            <v>0</v>
          </cell>
          <cell r="FD165">
            <v>0</v>
          </cell>
          <cell r="FE165">
            <v>0</v>
          </cell>
          <cell r="FF165">
            <v>0</v>
          </cell>
          <cell r="FG165">
            <v>0</v>
          </cell>
          <cell r="FH165">
            <v>0</v>
          </cell>
          <cell r="FI165">
            <v>0</v>
          </cell>
          <cell r="FJ165">
            <v>0</v>
          </cell>
          <cell r="FK165">
            <v>0</v>
          </cell>
          <cell r="FL165">
            <v>0</v>
          </cell>
          <cell r="FM165">
            <v>0</v>
          </cell>
          <cell r="FN165">
            <v>0</v>
          </cell>
          <cell r="FO165">
            <v>0</v>
          </cell>
          <cell r="FP165">
            <v>0</v>
          </cell>
          <cell r="FQ165">
            <v>0</v>
          </cell>
          <cell r="FR165">
            <v>0</v>
          </cell>
          <cell r="FS165">
            <v>0</v>
          </cell>
          <cell r="FT165">
            <v>0</v>
          </cell>
          <cell r="FU165">
            <v>0</v>
          </cell>
          <cell r="FV165">
            <v>0</v>
          </cell>
          <cell r="FW165">
            <v>0</v>
          </cell>
          <cell r="FX165">
            <v>0</v>
          </cell>
          <cell r="FY165">
            <v>0</v>
          </cell>
          <cell r="FZ165">
            <v>0</v>
          </cell>
        </row>
        <row r="166">
          <cell r="A166" t="str">
            <v>I_CAI_NRF_EPA_EUR_INTR_B02</v>
          </cell>
          <cell r="B166">
            <v>0</v>
          </cell>
          <cell r="C166">
            <v>0</v>
          </cell>
          <cell r="D166">
            <v>0</v>
          </cell>
          <cell r="E166">
            <v>0</v>
          </cell>
          <cell r="F166">
            <v>0</v>
          </cell>
          <cell r="G166">
            <v>0</v>
          </cell>
          <cell r="H166">
            <v>0</v>
          </cell>
          <cell r="I166">
            <v>0</v>
          </cell>
          <cell r="J166">
            <v>0</v>
          </cell>
          <cell r="K166">
            <v>0</v>
          </cell>
          <cell r="L166">
            <v>0</v>
          </cell>
          <cell r="M166">
            <v>0</v>
          </cell>
          <cell r="N166">
            <v>0</v>
          </cell>
          <cell r="O166">
            <v>0</v>
          </cell>
          <cell r="P166">
            <v>0</v>
          </cell>
          <cell r="Q166">
            <v>0</v>
          </cell>
          <cell r="R166">
            <v>0</v>
          </cell>
          <cell r="S166">
            <v>0</v>
          </cell>
          <cell r="T166">
            <v>0</v>
          </cell>
          <cell r="U166">
            <v>0</v>
          </cell>
          <cell r="V166">
            <v>0</v>
          </cell>
          <cell r="W166">
            <v>0</v>
          </cell>
          <cell r="X166">
            <v>0</v>
          </cell>
          <cell r="Y166">
            <v>0</v>
          </cell>
          <cell r="Z166">
            <v>0</v>
          </cell>
          <cell r="AA166">
            <v>0</v>
          </cell>
          <cell r="AB166">
            <v>0</v>
          </cell>
          <cell r="AC166">
            <v>0</v>
          </cell>
          <cell r="AD166">
            <v>0</v>
          </cell>
          <cell r="AE166">
            <v>0</v>
          </cell>
          <cell r="AF166">
            <v>0</v>
          </cell>
          <cell r="AG166">
            <v>0</v>
          </cell>
          <cell r="AH166">
            <v>0</v>
          </cell>
          <cell r="AI166">
            <v>0</v>
          </cell>
          <cell r="AJ166">
            <v>0</v>
          </cell>
          <cell r="AK166">
            <v>0</v>
          </cell>
          <cell r="AL166">
            <v>0</v>
          </cell>
          <cell r="AM166">
            <v>0</v>
          </cell>
          <cell r="AN166">
            <v>0</v>
          </cell>
          <cell r="AO166">
            <v>0</v>
          </cell>
          <cell r="AP166">
            <v>0</v>
          </cell>
          <cell r="AQ166">
            <v>0</v>
          </cell>
          <cell r="AR166">
            <v>0</v>
          </cell>
          <cell r="AS166">
            <v>0</v>
          </cell>
          <cell r="AT166">
            <v>0</v>
          </cell>
          <cell r="AU166">
            <v>0</v>
          </cell>
          <cell r="AV166">
            <v>0</v>
          </cell>
          <cell r="AW166">
            <v>0</v>
          </cell>
          <cell r="AX166">
            <v>0</v>
          </cell>
          <cell r="AY166">
            <v>0</v>
          </cell>
          <cell r="AZ166">
            <v>0</v>
          </cell>
          <cell r="BA166">
            <v>0</v>
          </cell>
          <cell r="BB166">
            <v>0</v>
          </cell>
          <cell r="BC166">
            <v>0</v>
          </cell>
          <cell r="BD166">
            <v>0</v>
          </cell>
          <cell r="BE166">
            <v>0</v>
          </cell>
          <cell r="BF166">
            <v>0</v>
          </cell>
          <cell r="BG166">
            <v>0</v>
          </cell>
          <cell r="BH166">
            <v>0</v>
          </cell>
          <cell r="BI166">
            <v>0</v>
          </cell>
          <cell r="BJ166">
            <v>0</v>
          </cell>
          <cell r="BK166">
            <v>0</v>
          </cell>
          <cell r="BL166">
            <v>0</v>
          </cell>
          <cell r="BM166">
            <v>0</v>
          </cell>
          <cell r="BN166">
            <v>0</v>
          </cell>
          <cell r="BO166">
            <v>0</v>
          </cell>
          <cell r="BP166">
            <v>0</v>
          </cell>
          <cell r="BQ166">
            <v>0</v>
          </cell>
          <cell r="BR166">
            <v>0</v>
          </cell>
          <cell r="BS166">
            <v>0</v>
          </cell>
          <cell r="BT166">
            <v>0</v>
          </cell>
          <cell r="BU166">
            <v>0</v>
          </cell>
          <cell r="BV166">
            <v>0</v>
          </cell>
          <cell r="BW166">
            <v>0</v>
          </cell>
          <cell r="BX166">
            <v>0</v>
          </cell>
          <cell r="BY166">
            <v>0</v>
          </cell>
          <cell r="BZ166">
            <v>0</v>
          </cell>
          <cell r="CA166">
            <v>0</v>
          </cell>
          <cell r="CB166">
            <v>0</v>
          </cell>
          <cell r="CC166">
            <v>0</v>
          </cell>
          <cell r="CD166">
            <v>0</v>
          </cell>
          <cell r="CE166">
            <v>0</v>
          </cell>
          <cell r="CF166">
            <v>0</v>
          </cell>
          <cell r="CG166">
            <v>0</v>
          </cell>
          <cell r="CH166">
            <v>0</v>
          </cell>
          <cell r="CI166">
            <v>0</v>
          </cell>
          <cell r="CJ166">
            <v>0</v>
          </cell>
          <cell r="CK166">
            <v>0</v>
          </cell>
          <cell r="CL166">
            <v>0</v>
          </cell>
          <cell r="CM166">
            <v>0</v>
          </cell>
          <cell r="CN166">
            <v>0</v>
          </cell>
          <cell r="CO166">
            <v>0</v>
          </cell>
          <cell r="CP166">
            <v>0</v>
          </cell>
          <cell r="CQ166">
            <v>0</v>
          </cell>
          <cell r="CR166">
            <v>0</v>
          </cell>
          <cell r="CS166">
            <v>0</v>
          </cell>
          <cell r="CT166">
            <v>0</v>
          </cell>
          <cell r="CU166">
            <v>0</v>
          </cell>
          <cell r="CV166">
            <v>0</v>
          </cell>
          <cell r="CW166">
            <v>0</v>
          </cell>
          <cell r="CX166">
            <v>0</v>
          </cell>
          <cell r="CY166">
            <v>0</v>
          </cell>
          <cell r="CZ166">
            <v>0</v>
          </cell>
          <cell r="DA166">
            <v>0</v>
          </cell>
          <cell r="DB166">
            <v>0</v>
          </cell>
          <cell r="DC166">
            <v>0</v>
          </cell>
          <cell r="DD166">
            <v>0</v>
          </cell>
          <cell r="DE166">
            <v>0</v>
          </cell>
          <cell r="DF166">
            <v>0</v>
          </cell>
          <cell r="DG166">
            <v>0</v>
          </cell>
          <cell r="DH166">
            <v>0</v>
          </cell>
          <cell r="DI166">
            <v>0</v>
          </cell>
          <cell r="DJ166">
            <v>0</v>
          </cell>
          <cell r="DK166">
            <v>0</v>
          </cell>
          <cell r="DL166">
            <v>0</v>
          </cell>
          <cell r="DM166">
            <v>0</v>
          </cell>
          <cell r="DN166">
            <v>0</v>
          </cell>
          <cell r="DO166">
            <v>0</v>
          </cell>
          <cell r="DP166">
            <v>0</v>
          </cell>
          <cell r="DQ166">
            <v>0</v>
          </cell>
          <cell r="DR166">
            <v>0</v>
          </cell>
          <cell r="DS166">
            <v>0</v>
          </cell>
          <cell r="DT166">
            <v>0</v>
          </cell>
          <cell r="DU166">
            <v>0</v>
          </cell>
          <cell r="DV166">
            <v>0</v>
          </cell>
          <cell r="DW166">
            <v>0</v>
          </cell>
          <cell r="DX166">
            <v>0</v>
          </cell>
          <cell r="DY166">
            <v>0</v>
          </cell>
          <cell r="EA166">
            <v>0</v>
          </cell>
          <cell r="EB166">
            <v>0</v>
          </cell>
          <cell r="EC166">
            <v>0</v>
          </cell>
          <cell r="ED166">
            <v>0</v>
          </cell>
          <cell r="EE166">
            <v>0</v>
          </cell>
          <cell r="EF166">
            <v>0</v>
          </cell>
          <cell r="EG166">
            <v>0</v>
          </cell>
          <cell r="EH166">
            <v>0</v>
          </cell>
          <cell r="EI166">
            <v>0</v>
          </cell>
          <cell r="EJ166">
            <v>0</v>
          </cell>
          <cell r="EK166">
            <v>0</v>
          </cell>
          <cell r="EL166">
            <v>0</v>
          </cell>
          <cell r="EM166">
            <v>0</v>
          </cell>
          <cell r="EN166">
            <v>0</v>
          </cell>
          <cell r="EO166">
            <v>0</v>
          </cell>
          <cell r="EP166">
            <v>0</v>
          </cell>
          <cell r="EQ166">
            <v>0</v>
          </cell>
          <cell r="ER166">
            <v>0</v>
          </cell>
          <cell r="ES166">
            <v>0</v>
          </cell>
          <cell r="ET166">
            <v>0</v>
          </cell>
          <cell r="EU166">
            <v>0</v>
          </cell>
          <cell r="EV166">
            <v>0</v>
          </cell>
          <cell r="EW166">
            <v>0</v>
          </cell>
          <cell r="EX166">
            <v>0</v>
          </cell>
          <cell r="EY166">
            <v>0</v>
          </cell>
          <cell r="EZ166">
            <v>0</v>
          </cell>
          <cell r="FA166">
            <v>0</v>
          </cell>
          <cell r="FB166">
            <v>0</v>
          </cell>
          <cell r="FC166">
            <v>0</v>
          </cell>
          <cell r="FD166">
            <v>0</v>
          </cell>
          <cell r="FE166">
            <v>0</v>
          </cell>
          <cell r="FF166">
            <v>0</v>
          </cell>
          <cell r="FG166">
            <v>0</v>
          </cell>
          <cell r="FH166">
            <v>0</v>
          </cell>
          <cell r="FI166">
            <v>0</v>
          </cell>
          <cell r="FJ166">
            <v>0</v>
          </cell>
          <cell r="FK166">
            <v>0</v>
          </cell>
          <cell r="FL166">
            <v>0</v>
          </cell>
          <cell r="FM166">
            <v>0</v>
          </cell>
          <cell r="FN166">
            <v>0</v>
          </cell>
          <cell r="FO166">
            <v>0</v>
          </cell>
          <cell r="FP166">
            <v>0</v>
          </cell>
          <cell r="FQ166">
            <v>0</v>
          </cell>
          <cell r="FR166">
            <v>0</v>
          </cell>
          <cell r="FS166">
            <v>0</v>
          </cell>
          <cell r="FT166">
            <v>0</v>
          </cell>
          <cell r="FU166">
            <v>0</v>
          </cell>
          <cell r="FV166">
            <v>0</v>
          </cell>
          <cell r="FW166">
            <v>0</v>
          </cell>
          <cell r="FX166">
            <v>0</v>
          </cell>
          <cell r="FY166">
            <v>0</v>
          </cell>
          <cell r="FZ166">
            <v>0</v>
          </cell>
        </row>
        <row r="167">
          <cell r="A167" t="str">
            <v>I_CAI_NRF_RIS_IND_INTR_B03</v>
          </cell>
          <cell r="B167">
            <v>0</v>
          </cell>
          <cell r="C167">
            <v>0</v>
          </cell>
          <cell r="D167">
            <v>0</v>
          </cell>
          <cell r="E167">
            <v>0</v>
          </cell>
          <cell r="F167">
            <v>0</v>
          </cell>
          <cell r="G167">
            <v>0</v>
          </cell>
          <cell r="H167">
            <v>0</v>
          </cell>
          <cell r="I167">
            <v>0</v>
          </cell>
          <cell r="J167">
            <v>0</v>
          </cell>
          <cell r="K167">
            <v>0</v>
          </cell>
          <cell r="L167">
            <v>0</v>
          </cell>
          <cell r="M167">
            <v>0</v>
          </cell>
          <cell r="N167">
            <v>0</v>
          </cell>
          <cell r="O167">
            <v>0</v>
          </cell>
          <cell r="P167">
            <v>0</v>
          </cell>
          <cell r="Q167">
            <v>0</v>
          </cell>
          <cell r="R167">
            <v>0</v>
          </cell>
          <cell r="S167">
            <v>0</v>
          </cell>
          <cell r="T167">
            <v>0</v>
          </cell>
          <cell r="U167">
            <v>0</v>
          </cell>
          <cell r="V167">
            <v>0</v>
          </cell>
          <cell r="W167">
            <v>0</v>
          </cell>
          <cell r="X167">
            <v>0</v>
          </cell>
          <cell r="Y167">
            <v>0</v>
          </cell>
          <cell r="Z167">
            <v>0</v>
          </cell>
          <cell r="AA167">
            <v>0</v>
          </cell>
          <cell r="AB167">
            <v>0</v>
          </cell>
          <cell r="AC167">
            <v>0</v>
          </cell>
          <cell r="AD167">
            <v>0</v>
          </cell>
          <cell r="AE167">
            <v>0</v>
          </cell>
          <cell r="AF167">
            <v>0</v>
          </cell>
          <cell r="AG167">
            <v>0</v>
          </cell>
          <cell r="AH167">
            <v>0</v>
          </cell>
          <cell r="AI167">
            <v>0</v>
          </cell>
          <cell r="AJ167">
            <v>0</v>
          </cell>
          <cell r="AK167">
            <v>0</v>
          </cell>
          <cell r="AL167">
            <v>0</v>
          </cell>
          <cell r="AM167">
            <v>0</v>
          </cell>
          <cell r="AN167">
            <v>0</v>
          </cell>
          <cell r="AO167">
            <v>0</v>
          </cell>
          <cell r="AP167">
            <v>0</v>
          </cell>
          <cell r="AQ167">
            <v>0</v>
          </cell>
          <cell r="AR167">
            <v>0</v>
          </cell>
          <cell r="AS167">
            <v>0</v>
          </cell>
          <cell r="AT167">
            <v>0</v>
          </cell>
          <cell r="AU167">
            <v>0</v>
          </cell>
          <cell r="AV167">
            <v>0</v>
          </cell>
          <cell r="AW167">
            <v>0</v>
          </cell>
          <cell r="AX167">
            <v>0</v>
          </cell>
          <cell r="AY167">
            <v>0</v>
          </cell>
          <cell r="AZ167">
            <v>0</v>
          </cell>
          <cell r="BA167">
            <v>0</v>
          </cell>
          <cell r="BB167">
            <v>0</v>
          </cell>
          <cell r="BC167">
            <v>0</v>
          </cell>
          <cell r="BD167">
            <v>0</v>
          </cell>
          <cell r="BE167">
            <v>0</v>
          </cell>
          <cell r="BF167">
            <v>0</v>
          </cell>
          <cell r="BG167">
            <v>0</v>
          </cell>
          <cell r="BH167">
            <v>0</v>
          </cell>
          <cell r="BI167">
            <v>0</v>
          </cell>
          <cell r="BJ167">
            <v>0</v>
          </cell>
          <cell r="BK167">
            <v>0</v>
          </cell>
          <cell r="BL167">
            <v>0</v>
          </cell>
          <cell r="BM167">
            <v>0</v>
          </cell>
          <cell r="BN167">
            <v>0</v>
          </cell>
          <cell r="BO167">
            <v>0</v>
          </cell>
          <cell r="BP167">
            <v>0</v>
          </cell>
          <cell r="BQ167">
            <v>0</v>
          </cell>
          <cell r="BR167">
            <v>0</v>
          </cell>
          <cell r="BS167">
            <v>0</v>
          </cell>
          <cell r="BT167">
            <v>0</v>
          </cell>
          <cell r="BU167">
            <v>0</v>
          </cell>
          <cell r="BV167">
            <v>0</v>
          </cell>
          <cell r="BW167">
            <v>0</v>
          </cell>
          <cell r="BX167">
            <v>0</v>
          </cell>
          <cell r="BY167">
            <v>0</v>
          </cell>
          <cell r="BZ167">
            <v>0</v>
          </cell>
          <cell r="CA167">
            <v>0</v>
          </cell>
          <cell r="CB167">
            <v>0</v>
          </cell>
          <cell r="CC167">
            <v>0</v>
          </cell>
          <cell r="CD167">
            <v>0</v>
          </cell>
          <cell r="CE167">
            <v>0</v>
          </cell>
          <cell r="CF167">
            <v>0</v>
          </cell>
          <cell r="CG167">
            <v>0</v>
          </cell>
          <cell r="CH167">
            <v>0</v>
          </cell>
          <cell r="CI167">
            <v>0</v>
          </cell>
          <cell r="CJ167">
            <v>0</v>
          </cell>
          <cell r="CK167">
            <v>0</v>
          </cell>
          <cell r="CL167">
            <v>0</v>
          </cell>
          <cell r="CM167">
            <v>0</v>
          </cell>
          <cell r="CN167">
            <v>0</v>
          </cell>
          <cell r="CO167">
            <v>0</v>
          </cell>
          <cell r="CP167">
            <v>0</v>
          </cell>
          <cell r="CQ167">
            <v>0</v>
          </cell>
          <cell r="CR167">
            <v>0</v>
          </cell>
          <cell r="CS167">
            <v>0</v>
          </cell>
          <cell r="CT167">
            <v>0</v>
          </cell>
          <cell r="CU167">
            <v>0</v>
          </cell>
          <cell r="CV167">
            <v>0</v>
          </cell>
          <cell r="CW167">
            <v>0</v>
          </cell>
          <cell r="CX167">
            <v>0</v>
          </cell>
          <cell r="CY167">
            <v>0</v>
          </cell>
          <cell r="CZ167">
            <v>0</v>
          </cell>
          <cell r="DA167">
            <v>0</v>
          </cell>
          <cell r="DB167">
            <v>0</v>
          </cell>
          <cell r="DC167">
            <v>0</v>
          </cell>
          <cell r="DD167">
            <v>0</v>
          </cell>
          <cell r="DE167">
            <v>0</v>
          </cell>
          <cell r="DF167">
            <v>0</v>
          </cell>
          <cell r="DG167">
            <v>0</v>
          </cell>
          <cell r="DH167">
            <v>0</v>
          </cell>
          <cell r="DI167">
            <v>0</v>
          </cell>
          <cell r="DJ167">
            <v>0</v>
          </cell>
          <cell r="DK167">
            <v>0</v>
          </cell>
          <cell r="DL167">
            <v>0</v>
          </cell>
          <cell r="DM167">
            <v>0</v>
          </cell>
          <cell r="DN167">
            <v>0</v>
          </cell>
          <cell r="DO167">
            <v>0</v>
          </cell>
          <cell r="DP167">
            <v>0</v>
          </cell>
          <cell r="DQ167">
            <v>0</v>
          </cell>
          <cell r="DR167">
            <v>0</v>
          </cell>
          <cell r="DS167">
            <v>0</v>
          </cell>
          <cell r="DT167">
            <v>0</v>
          </cell>
          <cell r="DU167">
            <v>0</v>
          </cell>
          <cell r="DV167">
            <v>0</v>
          </cell>
          <cell r="DW167">
            <v>0</v>
          </cell>
          <cell r="DX167">
            <v>0</v>
          </cell>
          <cell r="DY167">
            <v>0</v>
          </cell>
          <cell r="EA167">
            <v>0</v>
          </cell>
          <cell r="EB167">
            <v>0</v>
          </cell>
          <cell r="EC167">
            <v>0</v>
          </cell>
          <cell r="ED167">
            <v>0</v>
          </cell>
          <cell r="EE167">
            <v>0</v>
          </cell>
          <cell r="EF167">
            <v>0</v>
          </cell>
          <cell r="EG167">
            <v>0</v>
          </cell>
          <cell r="EH167">
            <v>0</v>
          </cell>
          <cell r="EI167">
            <v>0</v>
          </cell>
          <cell r="EJ167">
            <v>0</v>
          </cell>
          <cell r="EK167">
            <v>0</v>
          </cell>
          <cell r="EL167">
            <v>0</v>
          </cell>
          <cell r="EM167">
            <v>0</v>
          </cell>
          <cell r="EN167">
            <v>0</v>
          </cell>
          <cell r="EO167">
            <v>0</v>
          </cell>
          <cell r="EP167">
            <v>0</v>
          </cell>
          <cell r="EQ167">
            <v>0</v>
          </cell>
          <cell r="ER167">
            <v>0</v>
          </cell>
          <cell r="ES167">
            <v>0</v>
          </cell>
          <cell r="ET167">
            <v>0</v>
          </cell>
          <cell r="EU167">
            <v>0</v>
          </cell>
          <cell r="EV167">
            <v>0</v>
          </cell>
          <cell r="EW167">
            <v>0</v>
          </cell>
          <cell r="EX167">
            <v>0</v>
          </cell>
          <cell r="EY167">
            <v>0</v>
          </cell>
          <cell r="EZ167">
            <v>0</v>
          </cell>
          <cell r="FA167">
            <v>0</v>
          </cell>
          <cell r="FB167">
            <v>0</v>
          </cell>
          <cell r="FC167">
            <v>0</v>
          </cell>
          <cell r="FD167">
            <v>0</v>
          </cell>
          <cell r="FE167">
            <v>0</v>
          </cell>
          <cell r="FF167">
            <v>0</v>
          </cell>
          <cell r="FG167">
            <v>0</v>
          </cell>
          <cell r="FH167">
            <v>0</v>
          </cell>
          <cell r="FI167">
            <v>0</v>
          </cell>
          <cell r="FJ167">
            <v>0</v>
          </cell>
          <cell r="FK167">
            <v>0</v>
          </cell>
          <cell r="FL167">
            <v>0</v>
          </cell>
          <cell r="FM167">
            <v>0</v>
          </cell>
          <cell r="FN167">
            <v>0</v>
          </cell>
          <cell r="FO167">
            <v>0</v>
          </cell>
          <cell r="FP167">
            <v>0</v>
          </cell>
          <cell r="FQ167">
            <v>0</v>
          </cell>
          <cell r="FR167">
            <v>0</v>
          </cell>
          <cell r="FS167">
            <v>0</v>
          </cell>
          <cell r="FT167">
            <v>0</v>
          </cell>
          <cell r="FU167">
            <v>0</v>
          </cell>
          <cell r="FV167">
            <v>0</v>
          </cell>
          <cell r="FW167">
            <v>0</v>
          </cell>
          <cell r="FX167">
            <v>0</v>
          </cell>
          <cell r="FY167">
            <v>0</v>
          </cell>
          <cell r="FZ167">
            <v>0</v>
          </cell>
        </row>
        <row r="168">
          <cell r="A168" t="str">
            <v>I_CAI_NRF_ASS_EMP_INTR_B04</v>
          </cell>
          <cell r="B168">
            <v>0</v>
          </cell>
          <cell r="C168">
            <v>0</v>
          </cell>
          <cell r="D168">
            <v>0</v>
          </cell>
          <cell r="E168">
            <v>0</v>
          </cell>
          <cell r="F168">
            <v>0</v>
          </cell>
          <cell r="G168">
            <v>0</v>
          </cell>
          <cell r="H168">
            <v>0</v>
          </cell>
          <cell r="I168">
            <v>0</v>
          </cell>
          <cell r="J168">
            <v>0</v>
          </cell>
          <cell r="K168">
            <v>0</v>
          </cell>
          <cell r="L168">
            <v>0</v>
          </cell>
          <cell r="M168">
            <v>0</v>
          </cell>
          <cell r="N168">
            <v>0</v>
          </cell>
          <cell r="O168">
            <v>0</v>
          </cell>
          <cell r="P168">
            <v>0</v>
          </cell>
          <cell r="Q168">
            <v>0</v>
          </cell>
          <cell r="R168">
            <v>0</v>
          </cell>
          <cell r="S168">
            <v>0</v>
          </cell>
          <cell r="T168">
            <v>0</v>
          </cell>
          <cell r="U168">
            <v>0</v>
          </cell>
          <cell r="V168">
            <v>0</v>
          </cell>
          <cell r="W168">
            <v>0</v>
          </cell>
          <cell r="X168">
            <v>0</v>
          </cell>
          <cell r="Y168">
            <v>0</v>
          </cell>
          <cell r="Z168">
            <v>0</v>
          </cell>
          <cell r="AA168">
            <v>0</v>
          </cell>
          <cell r="AB168">
            <v>0</v>
          </cell>
          <cell r="AC168">
            <v>0</v>
          </cell>
          <cell r="AD168">
            <v>0</v>
          </cell>
          <cell r="AE168">
            <v>0</v>
          </cell>
          <cell r="AF168">
            <v>0</v>
          </cell>
          <cell r="AG168">
            <v>0</v>
          </cell>
          <cell r="AH168">
            <v>0</v>
          </cell>
          <cell r="AI168">
            <v>0</v>
          </cell>
          <cell r="AJ168">
            <v>0</v>
          </cell>
          <cell r="AK168">
            <v>0</v>
          </cell>
          <cell r="AL168">
            <v>0</v>
          </cell>
          <cell r="AM168">
            <v>0</v>
          </cell>
          <cell r="AN168">
            <v>0</v>
          </cell>
          <cell r="AO168">
            <v>0</v>
          </cell>
          <cell r="AP168">
            <v>0</v>
          </cell>
          <cell r="AQ168">
            <v>0</v>
          </cell>
          <cell r="AR168">
            <v>0</v>
          </cell>
          <cell r="AS168">
            <v>0</v>
          </cell>
          <cell r="AT168">
            <v>0</v>
          </cell>
          <cell r="AU168">
            <v>0</v>
          </cell>
          <cell r="AV168">
            <v>0</v>
          </cell>
          <cell r="AW168">
            <v>0</v>
          </cell>
          <cell r="AX168">
            <v>0</v>
          </cell>
          <cell r="AY168">
            <v>0</v>
          </cell>
          <cell r="AZ168">
            <v>0</v>
          </cell>
          <cell r="BA168">
            <v>0</v>
          </cell>
          <cell r="BB168">
            <v>0</v>
          </cell>
          <cell r="BC168">
            <v>0</v>
          </cell>
          <cell r="BD168">
            <v>0</v>
          </cell>
          <cell r="BE168">
            <v>0</v>
          </cell>
          <cell r="BF168">
            <v>0</v>
          </cell>
          <cell r="BG168">
            <v>0</v>
          </cell>
          <cell r="BH168">
            <v>0</v>
          </cell>
          <cell r="BI168">
            <v>0</v>
          </cell>
          <cell r="BJ168">
            <v>0</v>
          </cell>
          <cell r="BK168">
            <v>0</v>
          </cell>
          <cell r="BL168">
            <v>0</v>
          </cell>
          <cell r="BM168">
            <v>0</v>
          </cell>
          <cell r="BN168">
            <v>0</v>
          </cell>
          <cell r="BO168">
            <v>0</v>
          </cell>
          <cell r="BP168">
            <v>0</v>
          </cell>
          <cell r="BQ168">
            <v>0</v>
          </cell>
          <cell r="BR168">
            <v>0</v>
          </cell>
          <cell r="BS168">
            <v>0</v>
          </cell>
          <cell r="BT168">
            <v>0</v>
          </cell>
          <cell r="BU168">
            <v>0</v>
          </cell>
          <cell r="BV168">
            <v>0</v>
          </cell>
          <cell r="BW168">
            <v>0</v>
          </cell>
          <cell r="BX168">
            <v>0</v>
          </cell>
          <cell r="BY168">
            <v>0</v>
          </cell>
          <cell r="BZ168">
            <v>0</v>
          </cell>
          <cell r="CA168">
            <v>0</v>
          </cell>
          <cell r="CB168">
            <v>0</v>
          </cell>
          <cell r="CC168">
            <v>0</v>
          </cell>
          <cell r="CD168">
            <v>0</v>
          </cell>
          <cell r="CE168">
            <v>0</v>
          </cell>
          <cell r="CF168">
            <v>0</v>
          </cell>
          <cell r="CG168">
            <v>0</v>
          </cell>
          <cell r="CH168">
            <v>0</v>
          </cell>
          <cell r="CI168">
            <v>0</v>
          </cell>
          <cell r="CJ168">
            <v>0</v>
          </cell>
          <cell r="CK168">
            <v>0</v>
          </cell>
          <cell r="CL168">
            <v>0</v>
          </cell>
          <cell r="CM168">
            <v>0</v>
          </cell>
          <cell r="CN168">
            <v>0</v>
          </cell>
          <cell r="CO168">
            <v>0</v>
          </cell>
          <cell r="CP168">
            <v>0</v>
          </cell>
          <cell r="CQ168">
            <v>0</v>
          </cell>
          <cell r="CR168">
            <v>0</v>
          </cell>
          <cell r="CS168">
            <v>0</v>
          </cell>
          <cell r="CT168">
            <v>0</v>
          </cell>
          <cell r="CU168">
            <v>0</v>
          </cell>
          <cell r="CV168">
            <v>0</v>
          </cell>
          <cell r="CW168">
            <v>0</v>
          </cell>
          <cell r="CX168">
            <v>0</v>
          </cell>
          <cell r="CY168">
            <v>0</v>
          </cell>
          <cell r="CZ168">
            <v>0</v>
          </cell>
          <cell r="DA168">
            <v>0</v>
          </cell>
          <cell r="DB168">
            <v>0</v>
          </cell>
          <cell r="DC168">
            <v>0</v>
          </cell>
          <cell r="DD168">
            <v>0</v>
          </cell>
          <cell r="DE168">
            <v>0</v>
          </cell>
          <cell r="DF168">
            <v>0</v>
          </cell>
          <cell r="DG168">
            <v>0</v>
          </cell>
          <cell r="DH168">
            <v>0</v>
          </cell>
          <cell r="DI168">
            <v>0</v>
          </cell>
          <cell r="DJ168">
            <v>0</v>
          </cell>
          <cell r="DK168">
            <v>0</v>
          </cell>
          <cell r="DL168">
            <v>0</v>
          </cell>
          <cell r="DM168">
            <v>0</v>
          </cell>
          <cell r="DN168">
            <v>0</v>
          </cell>
          <cell r="DO168">
            <v>0</v>
          </cell>
          <cell r="DP168">
            <v>0</v>
          </cell>
          <cell r="DQ168">
            <v>0</v>
          </cell>
          <cell r="DR168">
            <v>0</v>
          </cell>
          <cell r="DS168">
            <v>0</v>
          </cell>
          <cell r="DT168">
            <v>0</v>
          </cell>
          <cell r="DU168">
            <v>0</v>
          </cell>
          <cell r="DV168">
            <v>0</v>
          </cell>
          <cell r="DW168">
            <v>0</v>
          </cell>
          <cell r="DX168">
            <v>0</v>
          </cell>
          <cell r="DY168">
            <v>0</v>
          </cell>
          <cell r="EA168">
            <v>0</v>
          </cell>
          <cell r="EB168">
            <v>0</v>
          </cell>
          <cell r="EC168">
            <v>0</v>
          </cell>
          <cell r="ED168">
            <v>0</v>
          </cell>
          <cell r="EE168">
            <v>0</v>
          </cell>
          <cell r="EF168">
            <v>0</v>
          </cell>
          <cell r="EG168">
            <v>0</v>
          </cell>
          <cell r="EH168">
            <v>0</v>
          </cell>
          <cell r="EI168">
            <v>0</v>
          </cell>
          <cell r="EJ168">
            <v>0</v>
          </cell>
          <cell r="EK168">
            <v>0</v>
          </cell>
          <cell r="EL168">
            <v>0</v>
          </cell>
          <cell r="EM168">
            <v>0</v>
          </cell>
          <cell r="EN168">
            <v>0</v>
          </cell>
          <cell r="EO168">
            <v>0</v>
          </cell>
          <cell r="EP168">
            <v>0</v>
          </cell>
          <cell r="EQ168">
            <v>0</v>
          </cell>
          <cell r="ER168">
            <v>0</v>
          </cell>
          <cell r="ES168">
            <v>0</v>
          </cell>
          <cell r="ET168">
            <v>0</v>
          </cell>
          <cell r="EU168">
            <v>0</v>
          </cell>
          <cell r="EV168">
            <v>0</v>
          </cell>
          <cell r="EW168">
            <v>0</v>
          </cell>
          <cell r="EX168">
            <v>0</v>
          </cell>
          <cell r="EY168">
            <v>0</v>
          </cell>
          <cell r="EZ168">
            <v>0</v>
          </cell>
          <cell r="FA168">
            <v>0</v>
          </cell>
          <cell r="FB168">
            <v>0</v>
          </cell>
          <cell r="FC168">
            <v>0</v>
          </cell>
          <cell r="FD168">
            <v>0</v>
          </cell>
          <cell r="FE168">
            <v>0</v>
          </cell>
          <cell r="FF168">
            <v>0</v>
          </cell>
          <cell r="FG168">
            <v>0</v>
          </cell>
          <cell r="FH168">
            <v>0</v>
          </cell>
          <cell r="FI168">
            <v>0</v>
          </cell>
          <cell r="FJ168">
            <v>0</v>
          </cell>
          <cell r="FK168">
            <v>0</v>
          </cell>
          <cell r="FL168">
            <v>0</v>
          </cell>
          <cell r="FM168">
            <v>0</v>
          </cell>
          <cell r="FN168">
            <v>0</v>
          </cell>
          <cell r="FO168">
            <v>0</v>
          </cell>
          <cell r="FP168">
            <v>0</v>
          </cell>
          <cell r="FQ168">
            <v>0</v>
          </cell>
          <cell r="FR168">
            <v>0</v>
          </cell>
          <cell r="FS168">
            <v>0</v>
          </cell>
          <cell r="FT168">
            <v>0</v>
          </cell>
          <cell r="FU168">
            <v>0</v>
          </cell>
          <cell r="FV168">
            <v>0</v>
          </cell>
          <cell r="FW168">
            <v>0</v>
          </cell>
          <cell r="FX168">
            <v>0</v>
          </cell>
          <cell r="FY168">
            <v>0</v>
          </cell>
          <cell r="FZ168">
            <v>0</v>
          </cell>
        </row>
        <row r="169">
          <cell r="A169" t="str">
            <v>I_CAI_NRF_RIS_IND_INTR_B05</v>
          </cell>
          <cell r="B169">
            <v>0</v>
          </cell>
          <cell r="C169">
            <v>0</v>
          </cell>
          <cell r="D169">
            <v>0</v>
          </cell>
          <cell r="E169">
            <v>0</v>
          </cell>
          <cell r="F169">
            <v>0</v>
          </cell>
          <cell r="G169">
            <v>0</v>
          </cell>
          <cell r="H169">
            <v>0</v>
          </cell>
          <cell r="I169">
            <v>0</v>
          </cell>
          <cell r="J169">
            <v>0</v>
          </cell>
          <cell r="K169">
            <v>0</v>
          </cell>
          <cell r="L169">
            <v>0</v>
          </cell>
          <cell r="M169">
            <v>0</v>
          </cell>
          <cell r="N169">
            <v>0</v>
          </cell>
          <cell r="O169">
            <v>0</v>
          </cell>
          <cell r="P169">
            <v>0</v>
          </cell>
          <cell r="Q169">
            <v>0</v>
          </cell>
          <cell r="R169">
            <v>0</v>
          </cell>
          <cell r="S169">
            <v>0</v>
          </cell>
          <cell r="T169">
            <v>0</v>
          </cell>
          <cell r="U169">
            <v>0</v>
          </cell>
          <cell r="V169">
            <v>0</v>
          </cell>
          <cell r="W169">
            <v>0</v>
          </cell>
          <cell r="X169">
            <v>0</v>
          </cell>
          <cell r="Y169">
            <v>0</v>
          </cell>
          <cell r="Z169">
            <v>0</v>
          </cell>
          <cell r="AA169">
            <v>0</v>
          </cell>
          <cell r="AB169">
            <v>0</v>
          </cell>
          <cell r="AC169">
            <v>0</v>
          </cell>
          <cell r="AD169">
            <v>0</v>
          </cell>
          <cell r="AE169">
            <v>0</v>
          </cell>
          <cell r="AF169">
            <v>0</v>
          </cell>
          <cell r="AG169">
            <v>0</v>
          </cell>
          <cell r="AH169">
            <v>0</v>
          </cell>
          <cell r="AI169">
            <v>0</v>
          </cell>
          <cell r="AJ169">
            <v>0</v>
          </cell>
          <cell r="AK169">
            <v>0</v>
          </cell>
          <cell r="AL169">
            <v>0</v>
          </cell>
          <cell r="AM169">
            <v>0</v>
          </cell>
          <cell r="AN169">
            <v>0</v>
          </cell>
          <cell r="AO169">
            <v>0</v>
          </cell>
          <cell r="AP169">
            <v>0</v>
          </cell>
          <cell r="AQ169">
            <v>0</v>
          </cell>
          <cell r="AR169">
            <v>0</v>
          </cell>
          <cell r="AS169">
            <v>0</v>
          </cell>
          <cell r="AT169">
            <v>0</v>
          </cell>
          <cell r="AU169">
            <v>0</v>
          </cell>
          <cell r="AV169">
            <v>0</v>
          </cell>
          <cell r="AW169">
            <v>0</v>
          </cell>
          <cell r="AX169">
            <v>0</v>
          </cell>
          <cell r="AY169">
            <v>0</v>
          </cell>
          <cell r="AZ169">
            <v>0</v>
          </cell>
          <cell r="BA169">
            <v>0</v>
          </cell>
          <cell r="BB169">
            <v>0</v>
          </cell>
          <cell r="BC169">
            <v>0</v>
          </cell>
          <cell r="BD169">
            <v>0</v>
          </cell>
          <cell r="BE169">
            <v>0</v>
          </cell>
          <cell r="BF169">
            <v>0</v>
          </cell>
          <cell r="BG169">
            <v>0</v>
          </cell>
          <cell r="BH169">
            <v>0</v>
          </cell>
          <cell r="BI169">
            <v>0</v>
          </cell>
          <cell r="BJ169">
            <v>0</v>
          </cell>
          <cell r="BK169">
            <v>0</v>
          </cell>
          <cell r="BL169">
            <v>0</v>
          </cell>
          <cell r="BM169">
            <v>0</v>
          </cell>
          <cell r="BN169">
            <v>0</v>
          </cell>
          <cell r="BO169">
            <v>0</v>
          </cell>
          <cell r="BP169">
            <v>0</v>
          </cell>
          <cell r="BQ169">
            <v>0</v>
          </cell>
          <cell r="BR169">
            <v>0</v>
          </cell>
          <cell r="BS169">
            <v>0</v>
          </cell>
          <cell r="BT169">
            <v>0</v>
          </cell>
          <cell r="BU169">
            <v>0</v>
          </cell>
          <cell r="BV169">
            <v>0</v>
          </cell>
          <cell r="BW169">
            <v>0</v>
          </cell>
          <cell r="BX169">
            <v>0</v>
          </cell>
          <cell r="BY169">
            <v>0</v>
          </cell>
          <cell r="BZ169">
            <v>0</v>
          </cell>
          <cell r="CA169">
            <v>0</v>
          </cell>
          <cell r="CB169">
            <v>0</v>
          </cell>
          <cell r="CC169">
            <v>0</v>
          </cell>
          <cell r="CD169">
            <v>0</v>
          </cell>
          <cell r="CE169">
            <v>0</v>
          </cell>
          <cell r="CF169">
            <v>0</v>
          </cell>
          <cell r="CG169">
            <v>0</v>
          </cell>
          <cell r="CH169">
            <v>0</v>
          </cell>
          <cell r="CI169">
            <v>0</v>
          </cell>
          <cell r="CJ169">
            <v>0</v>
          </cell>
          <cell r="CK169">
            <v>0</v>
          </cell>
          <cell r="CL169">
            <v>0</v>
          </cell>
          <cell r="CM169">
            <v>0</v>
          </cell>
          <cell r="CN169">
            <v>0</v>
          </cell>
          <cell r="CO169">
            <v>0</v>
          </cell>
          <cell r="CP169">
            <v>0</v>
          </cell>
          <cell r="CQ169">
            <v>0</v>
          </cell>
          <cell r="CR169">
            <v>0</v>
          </cell>
          <cell r="CS169">
            <v>0</v>
          </cell>
          <cell r="CT169">
            <v>0</v>
          </cell>
          <cell r="CU169">
            <v>0</v>
          </cell>
          <cell r="CV169">
            <v>0</v>
          </cell>
          <cell r="CW169">
            <v>0</v>
          </cell>
          <cell r="CX169">
            <v>0</v>
          </cell>
          <cell r="CY169">
            <v>0</v>
          </cell>
          <cell r="CZ169">
            <v>0</v>
          </cell>
          <cell r="DA169">
            <v>0</v>
          </cell>
          <cell r="DB169">
            <v>0</v>
          </cell>
          <cell r="DC169">
            <v>0</v>
          </cell>
          <cell r="DD169">
            <v>0</v>
          </cell>
          <cell r="DE169">
            <v>0</v>
          </cell>
          <cell r="DF169">
            <v>0</v>
          </cell>
          <cell r="DG169">
            <v>0</v>
          </cell>
          <cell r="DH169">
            <v>0</v>
          </cell>
          <cell r="DI169">
            <v>0</v>
          </cell>
          <cell r="DJ169">
            <v>0</v>
          </cell>
          <cell r="DK169">
            <v>0</v>
          </cell>
          <cell r="DL169">
            <v>0</v>
          </cell>
          <cell r="DM169">
            <v>0</v>
          </cell>
          <cell r="DN169">
            <v>0</v>
          </cell>
          <cell r="DO169">
            <v>0</v>
          </cell>
          <cell r="DP169">
            <v>0</v>
          </cell>
          <cell r="DQ169">
            <v>0</v>
          </cell>
          <cell r="DR169">
            <v>0</v>
          </cell>
          <cell r="DS169">
            <v>0</v>
          </cell>
          <cell r="DT169">
            <v>0</v>
          </cell>
          <cell r="DU169">
            <v>0</v>
          </cell>
          <cell r="DV169">
            <v>0</v>
          </cell>
          <cell r="DW169">
            <v>0</v>
          </cell>
          <cell r="DX169">
            <v>0</v>
          </cell>
          <cell r="DY169">
            <v>0</v>
          </cell>
          <cell r="EA169">
            <v>0</v>
          </cell>
          <cell r="EB169">
            <v>0</v>
          </cell>
          <cell r="EC169">
            <v>0</v>
          </cell>
          <cell r="ED169">
            <v>0</v>
          </cell>
          <cell r="EE169">
            <v>0</v>
          </cell>
          <cell r="EF169">
            <v>0</v>
          </cell>
          <cell r="EG169">
            <v>0</v>
          </cell>
          <cell r="EH169">
            <v>0</v>
          </cell>
          <cell r="EI169">
            <v>0</v>
          </cell>
          <cell r="EJ169">
            <v>0</v>
          </cell>
          <cell r="EK169">
            <v>0</v>
          </cell>
          <cell r="EL169">
            <v>0</v>
          </cell>
          <cell r="EM169">
            <v>0</v>
          </cell>
          <cell r="EN169">
            <v>0</v>
          </cell>
          <cell r="EO169">
            <v>0</v>
          </cell>
          <cell r="EP169">
            <v>0</v>
          </cell>
          <cell r="EQ169">
            <v>0</v>
          </cell>
          <cell r="ER169">
            <v>0</v>
          </cell>
          <cell r="ES169">
            <v>0</v>
          </cell>
          <cell r="ET169">
            <v>0</v>
          </cell>
          <cell r="EU169">
            <v>0</v>
          </cell>
          <cell r="EV169">
            <v>0</v>
          </cell>
          <cell r="EW169">
            <v>0</v>
          </cell>
          <cell r="EX169">
            <v>0</v>
          </cell>
          <cell r="EY169">
            <v>0</v>
          </cell>
          <cell r="EZ169">
            <v>0</v>
          </cell>
          <cell r="FA169">
            <v>0</v>
          </cell>
          <cell r="FB169">
            <v>0</v>
          </cell>
          <cell r="FC169">
            <v>0</v>
          </cell>
          <cell r="FD169">
            <v>0</v>
          </cell>
          <cell r="FE169">
            <v>0</v>
          </cell>
          <cell r="FF169">
            <v>0</v>
          </cell>
          <cell r="FG169">
            <v>0</v>
          </cell>
          <cell r="FH169">
            <v>0</v>
          </cell>
          <cell r="FI169">
            <v>0</v>
          </cell>
          <cell r="FJ169">
            <v>0</v>
          </cell>
          <cell r="FK169">
            <v>0</v>
          </cell>
          <cell r="FL169">
            <v>0</v>
          </cell>
          <cell r="FM169">
            <v>0</v>
          </cell>
          <cell r="FN169">
            <v>0</v>
          </cell>
          <cell r="FO169">
            <v>0</v>
          </cell>
          <cell r="FP169">
            <v>0</v>
          </cell>
          <cell r="FQ169">
            <v>0</v>
          </cell>
          <cell r="FR169">
            <v>0</v>
          </cell>
          <cell r="FS169">
            <v>0</v>
          </cell>
          <cell r="FT169">
            <v>0</v>
          </cell>
          <cell r="FU169">
            <v>0</v>
          </cell>
          <cell r="FV169">
            <v>0</v>
          </cell>
          <cell r="FW169">
            <v>0</v>
          </cell>
          <cell r="FX169">
            <v>0</v>
          </cell>
          <cell r="FY169">
            <v>0</v>
          </cell>
          <cell r="FZ169">
            <v>0</v>
          </cell>
        </row>
        <row r="170">
          <cell r="A170" t="str">
            <v>I_CAI_NRF_RET_IND_INTR_B06</v>
          </cell>
          <cell r="B170">
            <v>0</v>
          </cell>
          <cell r="C170">
            <v>0</v>
          </cell>
          <cell r="D170">
            <v>0</v>
          </cell>
          <cell r="E170">
            <v>0</v>
          </cell>
          <cell r="F170">
            <v>0</v>
          </cell>
          <cell r="G170">
            <v>0</v>
          </cell>
          <cell r="H170">
            <v>0</v>
          </cell>
          <cell r="I170">
            <v>0</v>
          </cell>
          <cell r="J170">
            <v>0</v>
          </cell>
          <cell r="K170">
            <v>0</v>
          </cell>
          <cell r="L170">
            <v>0</v>
          </cell>
          <cell r="M170">
            <v>0</v>
          </cell>
          <cell r="N170">
            <v>0</v>
          </cell>
          <cell r="O170">
            <v>0</v>
          </cell>
          <cell r="P170">
            <v>0</v>
          </cell>
          <cell r="Q170">
            <v>0</v>
          </cell>
          <cell r="R170">
            <v>0</v>
          </cell>
          <cell r="S170">
            <v>0</v>
          </cell>
          <cell r="T170">
            <v>0</v>
          </cell>
          <cell r="U170">
            <v>0</v>
          </cell>
          <cell r="V170">
            <v>0</v>
          </cell>
          <cell r="W170">
            <v>0</v>
          </cell>
          <cell r="X170">
            <v>0</v>
          </cell>
          <cell r="Y170">
            <v>0</v>
          </cell>
          <cell r="Z170">
            <v>0</v>
          </cell>
          <cell r="AA170">
            <v>0</v>
          </cell>
          <cell r="AB170">
            <v>0</v>
          </cell>
          <cell r="AC170">
            <v>0</v>
          </cell>
          <cell r="AD170">
            <v>0</v>
          </cell>
          <cell r="AE170">
            <v>0</v>
          </cell>
          <cell r="AF170">
            <v>0</v>
          </cell>
          <cell r="AG170">
            <v>0</v>
          </cell>
          <cell r="AH170">
            <v>0</v>
          </cell>
          <cell r="AI170">
            <v>0</v>
          </cell>
          <cell r="AJ170">
            <v>0</v>
          </cell>
          <cell r="AK170">
            <v>0</v>
          </cell>
          <cell r="AL170">
            <v>0</v>
          </cell>
          <cell r="AM170">
            <v>0</v>
          </cell>
          <cell r="AN170">
            <v>0</v>
          </cell>
          <cell r="AO170">
            <v>0</v>
          </cell>
          <cell r="AP170">
            <v>0</v>
          </cell>
          <cell r="AQ170">
            <v>0</v>
          </cell>
          <cell r="AR170">
            <v>0</v>
          </cell>
          <cell r="AS170">
            <v>0</v>
          </cell>
          <cell r="AT170">
            <v>0</v>
          </cell>
          <cell r="AU170">
            <v>0</v>
          </cell>
          <cell r="AV170">
            <v>0</v>
          </cell>
          <cell r="AW170">
            <v>0</v>
          </cell>
          <cell r="AX170">
            <v>0</v>
          </cell>
          <cell r="AY170">
            <v>0</v>
          </cell>
          <cell r="AZ170">
            <v>0</v>
          </cell>
          <cell r="BA170">
            <v>0</v>
          </cell>
          <cell r="BB170">
            <v>0</v>
          </cell>
          <cell r="BC170">
            <v>0</v>
          </cell>
          <cell r="BD170">
            <v>0</v>
          </cell>
          <cell r="BE170">
            <v>0</v>
          </cell>
          <cell r="BF170">
            <v>0</v>
          </cell>
          <cell r="BG170">
            <v>0</v>
          </cell>
          <cell r="BH170">
            <v>0</v>
          </cell>
          <cell r="BI170">
            <v>0</v>
          </cell>
          <cell r="BJ170">
            <v>0</v>
          </cell>
          <cell r="BK170">
            <v>0</v>
          </cell>
          <cell r="BL170">
            <v>0</v>
          </cell>
          <cell r="BM170">
            <v>0</v>
          </cell>
          <cell r="BN170">
            <v>0</v>
          </cell>
          <cell r="BO170">
            <v>0</v>
          </cell>
          <cell r="BP170">
            <v>0</v>
          </cell>
          <cell r="BQ170">
            <v>0</v>
          </cell>
          <cell r="BR170">
            <v>0</v>
          </cell>
          <cell r="BS170">
            <v>0</v>
          </cell>
          <cell r="BT170">
            <v>0</v>
          </cell>
          <cell r="BU170">
            <v>0</v>
          </cell>
          <cell r="BV170">
            <v>0</v>
          </cell>
          <cell r="BW170">
            <v>0</v>
          </cell>
          <cell r="BX170">
            <v>0</v>
          </cell>
          <cell r="BY170">
            <v>0</v>
          </cell>
          <cell r="BZ170">
            <v>0</v>
          </cell>
          <cell r="CA170">
            <v>0</v>
          </cell>
          <cell r="CB170">
            <v>0</v>
          </cell>
          <cell r="CC170">
            <v>0</v>
          </cell>
          <cell r="CD170">
            <v>0</v>
          </cell>
          <cell r="CE170">
            <v>0</v>
          </cell>
          <cell r="CF170">
            <v>0</v>
          </cell>
          <cell r="CG170">
            <v>0</v>
          </cell>
          <cell r="CH170">
            <v>0</v>
          </cell>
          <cell r="CI170">
            <v>0</v>
          </cell>
          <cell r="CJ170">
            <v>0</v>
          </cell>
          <cell r="CK170">
            <v>0</v>
          </cell>
          <cell r="CL170">
            <v>0</v>
          </cell>
          <cell r="CM170">
            <v>0</v>
          </cell>
          <cell r="CN170">
            <v>0</v>
          </cell>
          <cell r="CO170">
            <v>0</v>
          </cell>
          <cell r="CP170">
            <v>0</v>
          </cell>
          <cell r="CQ170">
            <v>0</v>
          </cell>
          <cell r="CR170">
            <v>0</v>
          </cell>
          <cell r="CS170">
            <v>0</v>
          </cell>
          <cell r="CT170">
            <v>0</v>
          </cell>
          <cell r="CU170">
            <v>0</v>
          </cell>
          <cell r="CV170">
            <v>0</v>
          </cell>
          <cell r="CW170">
            <v>0</v>
          </cell>
          <cell r="CX170">
            <v>0</v>
          </cell>
          <cell r="CY170">
            <v>0</v>
          </cell>
          <cell r="CZ170">
            <v>0</v>
          </cell>
          <cell r="DA170">
            <v>0</v>
          </cell>
          <cell r="DB170">
            <v>0</v>
          </cell>
          <cell r="DC170">
            <v>0</v>
          </cell>
          <cell r="DD170">
            <v>0</v>
          </cell>
          <cell r="DE170">
            <v>0</v>
          </cell>
          <cell r="DF170">
            <v>0</v>
          </cell>
          <cell r="DG170">
            <v>0</v>
          </cell>
          <cell r="DH170">
            <v>0</v>
          </cell>
          <cell r="DI170">
            <v>0</v>
          </cell>
          <cell r="DJ170">
            <v>0</v>
          </cell>
          <cell r="DK170">
            <v>0</v>
          </cell>
          <cell r="DL170">
            <v>0</v>
          </cell>
          <cell r="DM170">
            <v>0</v>
          </cell>
          <cell r="DN170">
            <v>0</v>
          </cell>
          <cell r="DO170">
            <v>0</v>
          </cell>
          <cell r="DP170">
            <v>0</v>
          </cell>
          <cell r="DQ170">
            <v>0</v>
          </cell>
          <cell r="DR170">
            <v>0</v>
          </cell>
          <cell r="DS170">
            <v>0</v>
          </cell>
          <cell r="DT170">
            <v>0</v>
          </cell>
          <cell r="DU170">
            <v>0</v>
          </cell>
          <cell r="DV170">
            <v>0</v>
          </cell>
          <cell r="DW170">
            <v>0</v>
          </cell>
          <cell r="DX170">
            <v>0</v>
          </cell>
          <cell r="DY170">
            <v>0</v>
          </cell>
          <cell r="EA170">
            <v>0</v>
          </cell>
          <cell r="EB170">
            <v>0</v>
          </cell>
          <cell r="EC170">
            <v>0</v>
          </cell>
          <cell r="ED170">
            <v>0</v>
          </cell>
          <cell r="EE170">
            <v>0</v>
          </cell>
          <cell r="EF170">
            <v>0</v>
          </cell>
          <cell r="EG170">
            <v>0</v>
          </cell>
          <cell r="EH170">
            <v>0</v>
          </cell>
          <cell r="EI170">
            <v>0</v>
          </cell>
          <cell r="EJ170">
            <v>0</v>
          </cell>
          <cell r="EK170">
            <v>0</v>
          </cell>
          <cell r="EL170">
            <v>0</v>
          </cell>
          <cell r="EM170">
            <v>0</v>
          </cell>
          <cell r="EN170">
            <v>0</v>
          </cell>
          <cell r="EO170">
            <v>0</v>
          </cell>
          <cell r="EP170">
            <v>0</v>
          </cell>
          <cell r="EQ170">
            <v>0</v>
          </cell>
          <cell r="ER170">
            <v>0</v>
          </cell>
          <cell r="ES170">
            <v>0</v>
          </cell>
          <cell r="ET170">
            <v>0</v>
          </cell>
          <cell r="EU170">
            <v>0</v>
          </cell>
          <cell r="EV170">
            <v>0</v>
          </cell>
          <cell r="EW170">
            <v>0</v>
          </cell>
          <cell r="EX170">
            <v>0</v>
          </cell>
          <cell r="EY170">
            <v>0</v>
          </cell>
          <cell r="EZ170">
            <v>0</v>
          </cell>
          <cell r="FA170">
            <v>0</v>
          </cell>
          <cell r="FB170">
            <v>0</v>
          </cell>
          <cell r="FC170">
            <v>0</v>
          </cell>
          <cell r="FD170">
            <v>0</v>
          </cell>
          <cell r="FE170">
            <v>0</v>
          </cell>
          <cell r="FF170">
            <v>0</v>
          </cell>
          <cell r="FG170">
            <v>0</v>
          </cell>
          <cell r="FH170">
            <v>0</v>
          </cell>
          <cell r="FI170">
            <v>0</v>
          </cell>
          <cell r="FJ170">
            <v>0</v>
          </cell>
          <cell r="FK170">
            <v>0</v>
          </cell>
          <cell r="FL170">
            <v>0</v>
          </cell>
          <cell r="FM170">
            <v>0</v>
          </cell>
          <cell r="FN170">
            <v>0</v>
          </cell>
          <cell r="FO170">
            <v>0</v>
          </cell>
          <cell r="FP170">
            <v>0</v>
          </cell>
          <cell r="FQ170">
            <v>0</v>
          </cell>
          <cell r="FR170">
            <v>0</v>
          </cell>
          <cell r="FS170">
            <v>0</v>
          </cell>
          <cell r="FT170">
            <v>0</v>
          </cell>
          <cell r="FU170">
            <v>0</v>
          </cell>
          <cell r="FV170">
            <v>0</v>
          </cell>
          <cell r="FW170">
            <v>0</v>
          </cell>
          <cell r="FX170">
            <v>0</v>
          </cell>
          <cell r="FY170">
            <v>0</v>
          </cell>
          <cell r="FZ170">
            <v>0</v>
          </cell>
        </row>
        <row r="171">
          <cell r="A171" t="str">
            <v>I_CAI_NRF_RET_IND_INTR_B07</v>
          </cell>
          <cell r="B171">
            <v>0</v>
          </cell>
          <cell r="C171">
            <v>0</v>
          </cell>
          <cell r="D171">
            <v>0</v>
          </cell>
          <cell r="E171">
            <v>0</v>
          </cell>
          <cell r="F171">
            <v>0</v>
          </cell>
          <cell r="G171">
            <v>0</v>
          </cell>
          <cell r="H171">
            <v>0</v>
          </cell>
          <cell r="I171">
            <v>0</v>
          </cell>
          <cell r="J171">
            <v>0</v>
          </cell>
          <cell r="K171">
            <v>0</v>
          </cell>
          <cell r="L171">
            <v>0</v>
          </cell>
          <cell r="M171">
            <v>0</v>
          </cell>
          <cell r="N171">
            <v>0</v>
          </cell>
          <cell r="O171">
            <v>0</v>
          </cell>
          <cell r="P171">
            <v>0</v>
          </cell>
          <cell r="Q171">
            <v>0</v>
          </cell>
          <cell r="R171">
            <v>0</v>
          </cell>
          <cell r="S171">
            <v>0</v>
          </cell>
          <cell r="T171">
            <v>0</v>
          </cell>
          <cell r="U171">
            <v>0</v>
          </cell>
          <cell r="V171">
            <v>0</v>
          </cell>
          <cell r="W171">
            <v>0</v>
          </cell>
          <cell r="X171">
            <v>0</v>
          </cell>
          <cell r="Y171">
            <v>0</v>
          </cell>
          <cell r="Z171">
            <v>0</v>
          </cell>
          <cell r="AA171">
            <v>0</v>
          </cell>
          <cell r="AB171">
            <v>0</v>
          </cell>
          <cell r="AC171">
            <v>0</v>
          </cell>
          <cell r="AD171">
            <v>0</v>
          </cell>
          <cell r="AE171">
            <v>0</v>
          </cell>
          <cell r="AF171">
            <v>0</v>
          </cell>
          <cell r="AG171">
            <v>0</v>
          </cell>
          <cell r="AH171">
            <v>0</v>
          </cell>
          <cell r="AI171">
            <v>0</v>
          </cell>
          <cell r="AJ171">
            <v>0</v>
          </cell>
          <cell r="AK171">
            <v>0</v>
          </cell>
          <cell r="AL171">
            <v>0</v>
          </cell>
          <cell r="AM171">
            <v>0</v>
          </cell>
          <cell r="AN171">
            <v>0</v>
          </cell>
          <cell r="AO171">
            <v>0</v>
          </cell>
          <cell r="AP171">
            <v>0</v>
          </cell>
          <cell r="AQ171">
            <v>0</v>
          </cell>
          <cell r="AR171">
            <v>0</v>
          </cell>
          <cell r="AS171">
            <v>0</v>
          </cell>
          <cell r="AT171">
            <v>0</v>
          </cell>
          <cell r="AU171">
            <v>0</v>
          </cell>
          <cell r="AV171">
            <v>0</v>
          </cell>
          <cell r="AW171">
            <v>0</v>
          </cell>
          <cell r="AX171">
            <v>0</v>
          </cell>
          <cell r="AY171">
            <v>0</v>
          </cell>
          <cell r="AZ171">
            <v>0</v>
          </cell>
          <cell r="BA171">
            <v>0</v>
          </cell>
          <cell r="BB171">
            <v>0</v>
          </cell>
          <cell r="BC171">
            <v>0</v>
          </cell>
          <cell r="BD171">
            <v>0</v>
          </cell>
          <cell r="BE171">
            <v>0</v>
          </cell>
          <cell r="BF171">
            <v>0</v>
          </cell>
          <cell r="BG171">
            <v>0</v>
          </cell>
          <cell r="BH171">
            <v>0</v>
          </cell>
          <cell r="BI171">
            <v>0</v>
          </cell>
          <cell r="BJ171">
            <v>0</v>
          </cell>
          <cell r="BK171">
            <v>0</v>
          </cell>
          <cell r="BL171">
            <v>0</v>
          </cell>
          <cell r="BM171">
            <v>0</v>
          </cell>
          <cell r="BN171">
            <v>0</v>
          </cell>
          <cell r="BO171">
            <v>0</v>
          </cell>
          <cell r="BP171">
            <v>0</v>
          </cell>
          <cell r="BQ171">
            <v>0</v>
          </cell>
          <cell r="BR171">
            <v>0</v>
          </cell>
          <cell r="BS171">
            <v>0</v>
          </cell>
          <cell r="BT171">
            <v>0</v>
          </cell>
          <cell r="BU171">
            <v>0</v>
          </cell>
          <cell r="BV171">
            <v>0</v>
          </cell>
          <cell r="BW171">
            <v>0</v>
          </cell>
          <cell r="BX171">
            <v>0</v>
          </cell>
          <cell r="BY171">
            <v>0</v>
          </cell>
          <cell r="BZ171">
            <v>0</v>
          </cell>
          <cell r="CA171">
            <v>0</v>
          </cell>
          <cell r="CB171">
            <v>0</v>
          </cell>
          <cell r="CC171">
            <v>0</v>
          </cell>
          <cell r="CD171">
            <v>0</v>
          </cell>
          <cell r="CE171">
            <v>0</v>
          </cell>
          <cell r="CF171">
            <v>0</v>
          </cell>
          <cell r="CG171">
            <v>0</v>
          </cell>
          <cell r="CH171">
            <v>0</v>
          </cell>
          <cell r="CI171">
            <v>0</v>
          </cell>
          <cell r="CJ171">
            <v>0</v>
          </cell>
          <cell r="CK171">
            <v>0</v>
          </cell>
          <cell r="CL171">
            <v>0</v>
          </cell>
          <cell r="CM171">
            <v>0</v>
          </cell>
          <cell r="CN171">
            <v>0</v>
          </cell>
          <cell r="CO171">
            <v>0</v>
          </cell>
          <cell r="CP171">
            <v>0</v>
          </cell>
          <cell r="CQ171">
            <v>0</v>
          </cell>
          <cell r="CR171">
            <v>0</v>
          </cell>
          <cell r="CS171">
            <v>0</v>
          </cell>
          <cell r="CT171">
            <v>0</v>
          </cell>
          <cell r="CU171">
            <v>0</v>
          </cell>
          <cell r="CV171">
            <v>0</v>
          </cell>
          <cell r="CW171">
            <v>0</v>
          </cell>
          <cell r="CX171">
            <v>0</v>
          </cell>
          <cell r="CY171">
            <v>0</v>
          </cell>
          <cell r="CZ171">
            <v>0</v>
          </cell>
          <cell r="DA171">
            <v>0</v>
          </cell>
          <cell r="DB171">
            <v>0</v>
          </cell>
          <cell r="DC171">
            <v>0</v>
          </cell>
          <cell r="DD171">
            <v>0</v>
          </cell>
          <cell r="DE171">
            <v>0</v>
          </cell>
          <cell r="DF171">
            <v>0</v>
          </cell>
          <cell r="DG171">
            <v>0</v>
          </cell>
          <cell r="DH171">
            <v>0</v>
          </cell>
          <cell r="DI171">
            <v>0</v>
          </cell>
          <cell r="DJ171">
            <v>0</v>
          </cell>
          <cell r="DK171">
            <v>0</v>
          </cell>
          <cell r="DL171">
            <v>0</v>
          </cell>
          <cell r="DM171">
            <v>0</v>
          </cell>
          <cell r="DN171">
            <v>0</v>
          </cell>
          <cell r="DO171">
            <v>0</v>
          </cell>
          <cell r="DP171">
            <v>0</v>
          </cell>
          <cell r="DQ171">
            <v>0</v>
          </cell>
          <cell r="DR171">
            <v>0</v>
          </cell>
          <cell r="DS171">
            <v>0</v>
          </cell>
          <cell r="DT171">
            <v>0</v>
          </cell>
          <cell r="DU171">
            <v>0</v>
          </cell>
          <cell r="DV171">
            <v>0</v>
          </cell>
          <cell r="DW171">
            <v>0</v>
          </cell>
          <cell r="DX171">
            <v>0</v>
          </cell>
          <cell r="DY171">
            <v>0</v>
          </cell>
          <cell r="EA171">
            <v>0</v>
          </cell>
          <cell r="EB171">
            <v>0</v>
          </cell>
          <cell r="EC171">
            <v>0</v>
          </cell>
          <cell r="ED171">
            <v>0</v>
          </cell>
          <cell r="EE171">
            <v>0</v>
          </cell>
          <cell r="EF171">
            <v>0</v>
          </cell>
          <cell r="EG171">
            <v>0</v>
          </cell>
          <cell r="EH171">
            <v>0</v>
          </cell>
          <cell r="EI171">
            <v>0</v>
          </cell>
          <cell r="EJ171">
            <v>0</v>
          </cell>
          <cell r="EK171">
            <v>0</v>
          </cell>
          <cell r="EL171">
            <v>0</v>
          </cell>
          <cell r="EM171">
            <v>0</v>
          </cell>
          <cell r="EN171">
            <v>0</v>
          </cell>
          <cell r="EO171">
            <v>0</v>
          </cell>
          <cell r="EP171">
            <v>0</v>
          </cell>
          <cell r="EQ171">
            <v>0</v>
          </cell>
          <cell r="ER171">
            <v>0</v>
          </cell>
          <cell r="ES171">
            <v>0</v>
          </cell>
          <cell r="ET171">
            <v>0</v>
          </cell>
          <cell r="EU171">
            <v>0</v>
          </cell>
          <cell r="EV171">
            <v>0</v>
          </cell>
          <cell r="EW171">
            <v>0</v>
          </cell>
          <cell r="EX171">
            <v>0</v>
          </cell>
          <cell r="EY171">
            <v>0</v>
          </cell>
          <cell r="EZ171">
            <v>0</v>
          </cell>
          <cell r="FA171">
            <v>0</v>
          </cell>
          <cell r="FB171">
            <v>0</v>
          </cell>
          <cell r="FC171">
            <v>0</v>
          </cell>
          <cell r="FD171">
            <v>0</v>
          </cell>
          <cell r="FE171">
            <v>0</v>
          </cell>
          <cell r="FF171">
            <v>0</v>
          </cell>
          <cell r="FG171">
            <v>0</v>
          </cell>
          <cell r="FH171">
            <v>0</v>
          </cell>
          <cell r="FI171">
            <v>0</v>
          </cell>
          <cell r="FJ171">
            <v>0</v>
          </cell>
          <cell r="FK171">
            <v>0</v>
          </cell>
          <cell r="FL171">
            <v>0</v>
          </cell>
          <cell r="FM171">
            <v>0</v>
          </cell>
          <cell r="FN171">
            <v>0</v>
          </cell>
          <cell r="FO171">
            <v>0</v>
          </cell>
          <cell r="FP171">
            <v>0</v>
          </cell>
          <cell r="FQ171">
            <v>0</v>
          </cell>
          <cell r="FR171">
            <v>0</v>
          </cell>
          <cell r="FS171">
            <v>0</v>
          </cell>
          <cell r="FT171">
            <v>0</v>
          </cell>
          <cell r="FU171">
            <v>0</v>
          </cell>
          <cell r="FV171">
            <v>0</v>
          </cell>
          <cell r="FW171">
            <v>0</v>
          </cell>
          <cell r="FX171">
            <v>0</v>
          </cell>
          <cell r="FY171">
            <v>0</v>
          </cell>
          <cell r="FZ171">
            <v>0</v>
          </cell>
        </row>
        <row r="172">
          <cell r="A172" t="str">
            <v>I_CAI_NRF_RIS_IND_INTR_B08</v>
          </cell>
          <cell r="B172">
            <v>0</v>
          </cell>
          <cell r="C172">
            <v>0</v>
          </cell>
          <cell r="D172">
            <v>0</v>
          </cell>
          <cell r="E172">
            <v>0</v>
          </cell>
          <cell r="F172">
            <v>0</v>
          </cell>
          <cell r="G172">
            <v>0</v>
          </cell>
          <cell r="H172">
            <v>0</v>
          </cell>
          <cell r="I172">
            <v>0</v>
          </cell>
          <cell r="J172">
            <v>0</v>
          </cell>
          <cell r="K172">
            <v>0</v>
          </cell>
          <cell r="L172">
            <v>0</v>
          </cell>
          <cell r="M172">
            <v>0</v>
          </cell>
          <cell r="N172">
            <v>0</v>
          </cell>
          <cell r="O172">
            <v>0</v>
          </cell>
          <cell r="P172">
            <v>0</v>
          </cell>
          <cell r="Q172">
            <v>0</v>
          </cell>
          <cell r="R172">
            <v>0</v>
          </cell>
          <cell r="S172">
            <v>0</v>
          </cell>
          <cell r="T172">
            <v>0</v>
          </cell>
          <cell r="U172">
            <v>0</v>
          </cell>
          <cell r="V172">
            <v>0</v>
          </cell>
          <cell r="W172">
            <v>0</v>
          </cell>
          <cell r="X172">
            <v>0</v>
          </cell>
          <cell r="Y172">
            <v>0</v>
          </cell>
          <cell r="Z172">
            <v>0</v>
          </cell>
          <cell r="AA172">
            <v>0</v>
          </cell>
          <cell r="AB172">
            <v>0</v>
          </cell>
          <cell r="AC172">
            <v>0</v>
          </cell>
          <cell r="AD172">
            <v>0</v>
          </cell>
          <cell r="AE172">
            <v>0</v>
          </cell>
          <cell r="AF172">
            <v>0</v>
          </cell>
          <cell r="AG172">
            <v>0</v>
          </cell>
          <cell r="AH172">
            <v>0</v>
          </cell>
          <cell r="AI172">
            <v>0</v>
          </cell>
          <cell r="AJ172">
            <v>0</v>
          </cell>
          <cell r="AK172">
            <v>0</v>
          </cell>
          <cell r="AL172">
            <v>0</v>
          </cell>
          <cell r="AM172">
            <v>0</v>
          </cell>
          <cell r="AN172">
            <v>0</v>
          </cell>
          <cell r="AO172">
            <v>0</v>
          </cell>
          <cell r="AP172">
            <v>0</v>
          </cell>
          <cell r="AQ172">
            <v>0</v>
          </cell>
          <cell r="AR172">
            <v>0</v>
          </cell>
          <cell r="AS172">
            <v>0</v>
          </cell>
          <cell r="AT172">
            <v>0</v>
          </cell>
          <cell r="AU172">
            <v>0</v>
          </cell>
          <cell r="AV172">
            <v>0</v>
          </cell>
          <cell r="AW172">
            <v>0</v>
          </cell>
          <cell r="AX172">
            <v>0</v>
          </cell>
          <cell r="AY172">
            <v>0</v>
          </cell>
          <cell r="AZ172">
            <v>0</v>
          </cell>
          <cell r="BA172">
            <v>0</v>
          </cell>
          <cell r="BB172">
            <v>0</v>
          </cell>
          <cell r="BC172">
            <v>0</v>
          </cell>
          <cell r="BD172">
            <v>0</v>
          </cell>
          <cell r="BE172">
            <v>0</v>
          </cell>
          <cell r="BF172">
            <v>0</v>
          </cell>
          <cell r="BG172">
            <v>0</v>
          </cell>
          <cell r="BH172">
            <v>0</v>
          </cell>
          <cell r="BI172">
            <v>0</v>
          </cell>
          <cell r="BJ172">
            <v>0</v>
          </cell>
          <cell r="BK172">
            <v>0</v>
          </cell>
          <cell r="BL172">
            <v>0</v>
          </cell>
          <cell r="BM172">
            <v>0</v>
          </cell>
          <cell r="BN172">
            <v>0</v>
          </cell>
          <cell r="BO172">
            <v>0</v>
          </cell>
          <cell r="BP172">
            <v>0</v>
          </cell>
          <cell r="BQ172">
            <v>0</v>
          </cell>
          <cell r="BR172">
            <v>0</v>
          </cell>
          <cell r="BS172">
            <v>0</v>
          </cell>
          <cell r="BT172">
            <v>0</v>
          </cell>
          <cell r="BU172">
            <v>0</v>
          </cell>
          <cell r="BV172">
            <v>0</v>
          </cell>
          <cell r="BW172">
            <v>0</v>
          </cell>
          <cell r="BX172">
            <v>0</v>
          </cell>
          <cell r="BY172">
            <v>0</v>
          </cell>
          <cell r="BZ172">
            <v>0</v>
          </cell>
          <cell r="CA172">
            <v>0</v>
          </cell>
          <cell r="CB172">
            <v>0</v>
          </cell>
          <cell r="CC172">
            <v>0</v>
          </cell>
          <cell r="CD172">
            <v>0</v>
          </cell>
          <cell r="CE172">
            <v>0</v>
          </cell>
          <cell r="CF172">
            <v>0</v>
          </cell>
          <cell r="CG172">
            <v>0</v>
          </cell>
          <cell r="CH172">
            <v>0</v>
          </cell>
          <cell r="CI172">
            <v>0</v>
          </cell>
          <cell r="CJ172">
            <v>0</v>
          </cell>
          <cell r="CK172">
            <v>0</v>
          </cell>
          <cell r="CL172">
            <v>0</v>
          </cell>
          <cell r="CM172">
            <v>0</v>
          </cell>
          <cell r="CN172">
            <v>0</v>
          </cell>
          <cell r="CO172">
            <v>0</v>
          </cell>
          <cell r="CP172">
            <v>0</v>
          </cell>
          <cell r="CQ172">
            <v>0</v>
          </cell>
          <cell r="CR172">
            <v>0</v>
          </cell>
          <cell r="CS172">
            <v>0</v>
          </cell>
          <cell r="CT172">
            <v>0</v>
          </cell>
          <cell r="CU172">
            <v>0</v>
          </cell>
          <cell r="CV172">
            <v>0</v>
          </cell>
          <cell r="CW172">
            <v>0</v>
          </cell>
          <cell r="CX172">
            <v>0</v>
          </cell>
          <cell r="CY172">
            <v>0</v>
          </cell>
          <cell r="CZ172">
            <v>0</v>
          </cell>
          <cell r="DA172">
            <v>0</v>
          </cell>
          <cell r="DB172">
            <v>0</v>
          </cell>
          <cell r="DC172">
            <v>0</v>
          </cell>
          <cell r="DD172">
            <v>0</v>
          </cell>
          <cell r="DE172">
            <v>0</v>
          </cell>
          <cell r="DF172">
            <v>0</v>
          </cell>
          <cell r="DG172">
            <v>0</v>
          </cell>
          <cell r="DH172">
            <v>0</v>
          </cell>
          <cell r="DI172">
            <v>0</v>
          </cell>
          <cell r="DJ172">
            <v>0</v>
          </cell>
          <cell r="DK172">
            <v>0</v>
          </cell>
          <cell r="DL172">
            <v>0</v>
          </cell>
          <cell r="DM172">
            <v>0</v>
          </cell>
          <cell r="DN172">
            <v>0</v>
          </cell>
          <cell r="DO172">
            <v>0</v>
          </cell>
          <cell r="DP172">
            <v>0</v>
          </cell>
          <cell r="DQ172">
            <v>0</v>
          </cell>
          <cell r="DR172">
            <v>0</v>
          </cell>
          <cell r="DS172">
            <v>0</v>
          </cell>
          <cell r="DT172">
            <v>0</v>
          </cell>
          <cell r="DU172">
            <v>0</v>
          </cell>
          <cell r="DV172">
            <v>0</v>
          </cell>
          <cell r="DW172">
            <v>0</v>
          </cell>
          <cell r="DX172">
            <v>0</v>
          </cell>
          <cell r="DY172">
            <v>0</v>
          </cell>
          <cell r="EA172">
            <v>0</v>
          </cell>
          <cell r="EB172">
            <v>0</v>
          </cell>
          <cell r="EC172">
            <v>0</v>
          </cell>
          <cell r="ED172">
            <v>0</v>
          </cell>
          <cell r="EE172">
            <v>0</v>
          </cell>
          <cell r="EF172">
            <v>0</v>
          </cell>
          <cell r="EG172">
            <v>0</v>
          </cell>
          <cell r="EH172">
            <v>0</v>
          </cell>
          <cell r="EI172">
            <v>0</v>
          </cell>
          <cell r="EJ172">
            <v>0</v>
          </cell>
          <cell r="EK172">
            <v>0</v>
          </cell>
          <cell r="EL172">
            <v>0</v>
          </cell>
          <cell r="EM172">
            <v>0</v>
          </cell>
          <cell r="EN172">
            <v>0</v>
          </cell>
          <cell r="EO172">
            <v>0</v>
          </cell>
          <cell r="EP172">
            <v>0</v>
          </cell>
          <cell r="EQ172">
            <v>0</v>
          </cell>
          <cell r="ER172">
            <v>0</v>
          </cell>
          <cell r="ES172">
            <v>0</v>
          </cell>
          <cell r="ET172">
            <v>0</v>
          </cell>
          <cell r="EU172">
            <v>0</v>
          </cell>
          <cell r="EV172">
            <v>0</v>
          </cell>
          <cell r="EW172">
            <v>0</v>
          </cell>
          <cell r="EX172">
            <v>0</v>
          </cell>
          <cell r="EY172">
            <v>0</v>
          </cell>
          <cell r="EZ172">
            <v>0</v>
          </cell>
          <cell r="FA172">
            <v>0</v>
          </cell>
          <cell r="FB172">
            <v>0</v>
          </cell>
          <cell r="FC172">
            <v>0</v>
          </cell>
          <cell r="FD172">
            <v>0</v>
          </cell>
          <cell r="FE172">
            <v>0</v>
          </cell>
          <cell r="FF172">
            <v>0</v>
          </cell>
          <cell r="FG172">
            <v>0</v>
          </cell>
          <cell r="FH172">
            <v>0</v>
          </cell>
          <cell r="FI172">
            <v>0</v>
          </cell>
          <cell r="FJ172">
            <v>0</v>
          </cell>
          <cell r="FK172">
            <v>0</v>
          </cell>
          <cell r="FL172">
            <v>0</v>
          </cell>
          <cell r="FM172">
            <v>0</v>
          </cell>
          <cell r="FN172">
            <v>0</v>
          </cell>
          <cell r="FO172">
            <v>0</v>
          </cell>
          <cell r="FP172">
            <v>0</v>
          </cell>
          <cell r="FQ172">
            <v>0</v>
          </cell>
          <cell r="FR172">
            <v>0</v>
          </cell>
          <cell r="FS172">
            <v>0</v>
          </cell>
          <cell r="FT172">
            <v>0</v>
          </cell>
          <cell r="FU172">
            <v>0</v>
          </cell>
          <cell r="FV172">
            <v>0</v>
          </cell>
          <cell r="FW172">
            <v>0</v>
          </cell>
          <cell r="FX172">
            <v>0</v>
          </cell>
          <cell r="FY172">
            <v>0</v>
          </cell>
          <cell r="FZ172">
            <v>0</v>
          </cell>
        </row>
        <row r="173">
          <cell r="A173" t="str">
            <v>I_CAI_NRF_IRD_IRD_INTR_B09</v>
          </cell>
          <cell r="B173">
            <v>0.1</v>
          </cell>
          <cell r="C173">
            <v>7.0000000000000007E-2</v>
          </cell>
          <cell r="D173">
            <v>0.17</v>
          </cell>
          <cell r="E173">
            <v>0.1</v>
          </cell>
          <cell r="F173">
            <v>0.15</v>
          </cell>
          <cell r="G173">
            <v>0.215</v>
          </cell>
          <cell r="H173">
            <v>6.5000000000000002E-2</v>
          </cell>
          <cell r="I173">
            <v>0.05</v>
          </cell>
          <cell r="J173">
            <v>0.13</v>
          </cell>
          <cell r="K173">
            <v>0.17499999999999999</v>
          </cell>
          <cell r="L173">
            <v>0.17</v>
          </cell>
          <cell r="M173">
            <v>0.16</v>
          </cell>
          <cell r="N173">
            <v>1</v>
          </cell>
          <cell r="O173">
            <v>1</v>
          </cell>
          <cell r="P173">
            <v>1</v>
          </cell>
          <cell r="Q173">
            <v>1</v>
          </cell>
          <cell r="R173">
            <v>1</v>
          </cell>
          <cell r="S173">
            <v>1</v>
          </cell>
          <cell r="T173">
            <v>1</v>
          </cell>
          <cell r="U173">
            <v>1</v>
          </cell>
          <cell r="V173">
            <v>1</v>
          </cell>
          <cell r="W173">
            <v>1</v>
          </cell>
          <cell r="X173">
            <v>1</v>
          </cell>
          <cell r="Y173">
            <v>1</v>
          </cell>
          <cell r="Z173">
            <v>9.5000000000000001E-2</v>
          </cell>
          <cell r="AA173">
            <v>0.1</v>
          </cell>
          <cell r="AB173">
            <v>0.14000000000000001</v>
          </cell>
          <cell r="AC173">
            <v>0.11</v>
          </cell>
          <cell r="AD173">
            <v>0.11</v>
          </cell>
          <cell r="AE173">
            <v>0.19</v>
          </cell>
          <cell r="AF173">
            <v>0.09</v>
          </cell>
          <cell r="AG173">
            <v>0.11</v>
          </cell>
          <cell r="AH173">
            <v>0.15</v>
          </cell>
          <cell r="AI173">
            <v>0.2</v>
          </cell>
          <cell r="AJ173">
            <v>0.2</v>
          </cell>
          <cell r="AK173">
            <v>0.2</v>
          </cell>
          <cell r="AL173">
            <v>0</v>
          </cell>
          <cell r="AM173">
            <v>0</v>
          </cell>
          <cell r="AN173">
            <v>0</v>
          </cell>
          <cell r="AO173">
            <v>439344304.13155943</v>
          </cell>
          <cell r="AP173">
            <v>0</v>
          </cell>
          <cell r="AQ173">
            <v>0</v>
          </cell>
          <cell r="AR173">
            <v>0</v>
          </cell>
          <cell r="AS173">
            <v>0</v>
          </cell>
          <cell r="AT173">
            <v>0</v>
          </cell>
          <cell r="AU173">
            <v>0</v>
          </cell>
          <cell r="AV173">
            <v>0</v>
          </cell>
          <cell r="AW173">
            <v>0</v>
          </cell>
          <cell r="AX173">
            <v>0</v>
          </cell>
          <cell r="AY173">
            <v>0</v>
          </cell>
          <cell r="AZ173">
            <v>0</v>
          </cell>
          <cell r="BA173">
            <v>112437673.16012129</v>
          </cell>
          <cell r="BB173">
            <v>0</v>
          </cell>
          <cell r="BC173">
            <v>0</v>
          </cell>
          <cell r="BD173">
            <v>0</v>
          </cell>
          <cell r="BE173">
            <v>0</v>
          </cell>
          <cell r="BF173">
            <v>0</v>
          </cell>
          <cell r="BG173">
            <v>0</v>
          </cell>
          <cell r="BH173">
            <v>0</v>
          </cell>
          <cell r="BI173">
            <v>0</v>
          </cell>
          <cell r="BJ173">
            <v>0</v>
          </cell>
          <cell r="BK173">
            <v>0</v>
          </cell>
          <cell r="BL173">
            <v>0</v>
          </cell>
          <cell r="BM173">
            <v>0</v>
          </cell>
          <cell r="BN173">
            <v>0</v>
          </cell>
          <cell r="BO173">
            <v>0</v>
          </cell>
          <cell r="BP173">
            <v>0</v>
          </cell>
          <cell r="BQ173">
            <v>0</v>
          </cell>
          <cell r="BR173">
            <v>0</v>
          </cell>
          <cell r="BS173">
            <v>0</v>
          </cell>
          <cell r="BT173">
            <v>0</v>
          </cell>
          <cell r="BU173">
            <v>0</v>
          </cell>
          <cell r="BV173">
            <v>0</v>
          </cell>
          <cell r="BW173">
            <v>-63729183.880868196</v>
          </cell>
          <cell r="BX173">
            <v>0</v>
          </cell>
          <cell r="BY173">
            <v>0</v>
          </cell>
          <cell r="BZ173">
            <v>-9912440.8378368393</v>
          </cell>
          <cell r="CA173">
            <v>0</v>
          </cell>
          <cell r="CB173">
            <v>393829698.41373622</v>
          </cell>
          <cell r="CC173">
            <v>0</v>
          </cell>
          <cell r="CD173">
            <v>0</v>
          </cell>
          <cell r="CE173">
            <v>0</v>
          </cell>
          <cell r="CF173">
            <v>0</v>
          </cell>
          <cell r="CG173">
            <v>193672187.46927038</v>
          </cell>
          <cell r="CH173">
            <v>0</v>
          </cell>
          <cell r="CI173">
            <v>0</v>
          </cell>
          <cell r="CJ173">
            <v>0</v>
          </cell>
          <cell r="CK173">
            <v>0</v>
          </cell>
          <cell r="CL173">
            <v>0</v>
          </cell>
          <cell r="CM173">
            <v>0</v>
          </cell>
          <cell r="CN173">
            <v>0</v>
          </cell>
          <cell r="CO173">
            <v>0</v>
          </cell>
          <cell r="CP173">
            <v>0</v>
          </cell>
          <cell r="CQ173">
            <v>0</v>
          </cell>
          <cell r="CR173">
            <v>0</v>
          </cell>
          <cell r="CS173">
            <v>439344304.13155943</v>
          </cell>
          <cell r="CT173">
            <v>0</v>
          </cell>
          <cell r="CU173">
            <v>0</v>
          </cell>
          <cell r="CV173">
            <v>0</v>
          </cell>
          <cell r="CW173">
            <v>0</v>
          </cell>
          <cell r="CX173">
            <v>0</v>
          </cell>
          <cell r="CY173">
            <v>0</v>
          </cell>
          <cell r="CZ173">
            <v>0</v>
          </cell>
          <cell r="DA173">
            <v>0</v>
          </cell>
          <cell r="DB173">
            <v>0</v>
          </cell>
          <cell r="DC173">
            <v>0</v>
          </cell>
          <cell r="DD173">
            <v>0</v>
          </cell>
          <cell r="DE173">
            <v>159380025.21120512</v>
          </cell>
          <cell r="DF173">
            <v>0</v>
          </cell>
          <cell r="DG173">
            <v>0</v>
          </cell>
          <cell r="DH173">
            <v>0</v>
          </cell>
          <cell r="DI173">
            <v>0</v>
          </cell>
          <cell r="DJ173">
            <v>0</v>
          </cell>
          <cell r="DK173">
            <v>0</v>
          </cell>
          <cell r="DL173">
            <v>0</v>
          </cell>
          <cell r="DM173">
            <v>0</v>
          </cell>
          <cell r="DN173">
            <v>0</v>
          </cell>
          <cell r="DO173">
            <v>0</v>
          </cell>
          <cell r="DP173">
            <v>0</v>
          </cell>
          <cell r="DQ173">
            <v>0</v>
          </cell>
          <cell r="DR173">
            <v>0</v>
          </cell>
          <cell r="DS173">
            <v>0</v>
          </cell>
          <cell r="DT173">
            <v>0</v>
          </cell>
          <cell r="DU173">
            <v>0</v>
          </cell>
          <cell r="DV173">
            <v>0</v>
          </cell>
          <cell r="DW173">
            <v>0</v>
          </cell>
          <cell r="DX173">
            <v>0</v>
          </cell>
          <cell r="DY173">
            <v>0</v>
          </cell>
          <cell r="EA173">
            <v>0</v>
          </cell>
          <cell r="EB173">
            <v>0</v>
          </cell>
          <cell r="EC173">
            <v>0</v>
          </cell>
          <cell r="ED173">
            <v>0</v>
          </cell>
          <cell r="EE173">
            <v>0</v>
          </cell>
          <cell r="EF173">
            <v>0</v>
          </cell>
          <cell r="EG173">
            <v>0</v>
          </cell>
          <cell r="EH173">
            <v>0</v>
          </cell>
          <cell r="EI173">
            <v>0</v>
          </cell>
          <cell r="EJ173">
            <v>0</v>
          </cell>
          <cell r="EK173">
            <v>0</v>
          </cell>
          <cell r="EL173">
            <v>0</v>
          </cell>
          <cell r="EM173">
            <v>0</v>
          </cell>
          <cell r="EN173">
            <v>0</v>
          </cell>
          <cell r="EO173">
            <v>0</v>
          </cell>
          <cell r="EP173">
            <v>0</v>
          </cell>
          <cell r="EQ173">
            <v>0</v>
          </cell>
          <cell r="ER173">
            <v>0</v>
          </cell>
          <cell r="ES173">
            <v>0</v>
          </cell>
          <cell r="ET173">
            <v>0</v>
          </cell>
          <cell r="EU173">
            <v>0</v>
          </cell>
          <cell r="EV173">
            <v>0</v>
          </cell>
          <cell r="EW173">
            <v>0</v>
          </cell>
          <cell r="EX173">
            <v>0</v>
          </cell>
          <cell r="EY173">
            <v>0</v>
          </cell>
          <cell r="EZ173">
            <v>0</v>
          </cell>
          <cell r="FA173">
            <v>0</v>
          </cell>
          <cell r="FB173">
            <v>0</v>
          </cell>
          <cell r="FC173">
            <v>0</v>
          </cell>
          <cell r="FD173">
            <v>0</v>
          </cell>
          <cell r="FE173">
            <v>0</v>
          </cell>
          <cell r="FF173">
            <v>0</v>
          </cell>
          <cell r="FG173">
            <v>0</v>
          </cell>
          <cell r="FH173">
            <v>0</v>
          </cell>
          <cell r="FI173">
            <v>0</v>
          </cell>
          <cell r="FJ173">
            <v>0</v>
          </cell>
          <cell r="FK173">
            <v>0</v>
          </cell>
          <cell r="FL173">
            <v>0</v>
          </cell>
          <cell r="FM173">
            <v>0</v>
          </cell>
          <cell r="FN173">
            <v>0</v>
          </cell>
          <cell r="FO173">
            <v>0</v>
          </cell>
          <cell r="FP173">
            <v>0</v>
          </cell>
          <cell r="FQ173">
            <v>0</v>
          </cell>
          <cell r="FR173">
            <v>0</v>
          </cell>
          <cell r="FS173">
            <v>0</v>
          </cell>
          <cell r="FT173">
            <v>0</v>
          </cell>
          <cell r="FU173">
            <v>0</v>
          </cell>
          <cell r="FV173">
            <v>0</v>
          </cell>
          <cell r="FW173">
            <v>0</v>
          </cell>
          <cell r="FX173">
            <v>0</v>
          </cell>
          <cell r="FY173">
            <v>0</v>
          </cell>
          <cell r="FZ173">
            <v>0</v>
          </cell>
        </row>
        <row r="174">
          <cell r="A174" t="str">
            <v>I_CAI_NRF_IRD_IRD_INTR_B10</v>
          </cell>
          <cell r="B174">
            <v>0.1</v>
          </cell>
          <cell r="C174">
            <v>7.0000000000000007E-2</v>
          </cell>
          <cell r="D174">
            <v>0.17</v>
          </cell>
          <cell r="E174">
            <v>0.1</v>
          </cell>
          <cell r="F174">
            <v>0.15</v>
          </cell>
          <cell r="G174">
            <v>0.215</v>
          </cell>
          <cell r="H174">
            <v>6.5000000000000002E-2</v>
          </cell>
          <cell r="I174">
            <v>0.05</v>
          </cell>
          <cell r="J174">
            <v>0.13</v>
          </cell>
          <cell r="K174">
            <v>0.17499999999999999</v>
          </cell>
          <cell r="L174">
            <v>0.17</v>
          </cell>
          <cell r="M174">
            <v>0.16</v>
          </cell>
          <cell r="N174">
            <v>1</v>
          </cell>
          <cell r="O174">
            <v>1</v>
          </cell>
          <cell r="P174">
            <v>1</v>
          </cell>
          <cell r="Q174">
            <v>1</v>
          </cell>
          <cell r="R174">
            <v>1</v>
          </cell>
          <cell r="S174">
            <v>1</v>
          </cell>
          <cell r="T174">
            <v>1</v>
          </cell>
          <cell r="U174">
            <v>1</v>
          </cell>
          <cell r="V174">
            <v>1</v>
          </cell>
          <cell r="W174">
            <v>1</v>
          </cell>
          <cell r="X174">
            <v>1</v>
          </cell>
          <cell r="Y174">
            <v>1</v>
          </cell>
          <cell r="Z174">
            <v>9.5000000000000001E-2</v>
          </cell>
          <cell r="AA174">
            <v>0.1</v>
          </cell>
          <cell r="AB174">
            <v>0.14000000000000001</v>
          </cell>
          <cell r="AC174">
            <v>0.11</v>
          </cell>
          <cell r="AD174">
            <v>0.11</v>
          </cell>
          <cell r="AE174">
            <v>0.19</v>
          </cell>
          <cell r="AF174">
            <v>0.09</v>
          </cell>
          <cell r="AG174">
            <v>0.11</v>
          </cell>
          <cell r="AH174">
            <v>0.15</v>
          </cell>
          <cell r="AI174">
            <v>0.2</v>
          </cell>
          <cell r="AJ174">
            <v>0.2</v>
          </cell>
          <cell r="AK174">
            <v>0.2</v>
          </cell>
          <cell r="AL174">
            <v>0</v>
          </cell>
          <cell r="AM174">
            <v>0</v>
          </cell>
          <cell r="AN174">
            <v>0</v>
          </cell>
          <cell r="AO174">
            <v>0</v>
          </cell>
          <cell r="AP174">
            <v>0</v>
          </cell>
          <cell r="AQ174">
            <v>0</v>
          </cell>
          <cell r="AR174">
            <v>0</v>
          </cell>
          <cell r="AS174">
            <v>0</v>
          </cell>
          <cell r="AT174">
            <v>0</v>
          </cell>
          <cell r="AU174">
            <v>0</v>
          </cell>
          <cell r="AV174">
            <v>0</v>
          </cell>
          <cell r="AW174">
            <v>0</v>
          </cell>
          <cell r="AX174">
            <v>0</v>
          </cell>
          <cell r="AY174">
            <v>0</v>
          </cell>
          <cell r="AZ174">
            <v>0</v>
          </cell>
          <cell r="BA174">
            <v>0</v>
          </cell>
          <cell r="BB174">
            <v>0</v>
          </cell>
          <cell r="BC174">
            <v>0</v>
          </cell>
          <cell r="BD174">
            <v>0</v>
          </cell>
          <cell r="BE174">
            <v>0</v>
          </cell>
          <cell r="BF174">
            <v>0</v>
          </cell>
          <cell r="BG174">
            <v>0</v>
          </cell>
          <cell r="BH174">
            <v>0</v>
          </cell>
          <cell r="BI174">
            <v>0</v>
          </cell>
          <cell r="BJ174">
            <v>0</v>
          </cell>
          <cell r="BK174">
            <v>0</v>
          </cell>
          <cell r="BL174">
            <v>0</v>
          </cell>
          <cell r="BM174">
            <v>0</v>
          </cell>
          <cell r="BN174">
            <v>0</v>
          </cell>
          <cell r="BO174">
            <v>0</v>
          </cell>
          <cell r="BP174">
            <v>0</v>
          </cell>
          <cell r="BQ174">
            <v>0</v>
          </cell>
          <cell r="BR174">
            <v>0</v>
          </cell>
          <cell r="BS174">
            <v>0</v>
          </cell>
          <cell r="BT174">
            <v>0</v>
          </cell>
          <cell r="BU174">
            <v>0</v>
          </cell>
          <cell r="BV174">
            <v>0</v>
          </cell>
          <cell r="BW174">
            <v>0</v>
          </cell>
          <cell r="BX174">
            <v>0</v>
          </cell>
          <cell r="BY174">
            <v>0</v>
          </cell>
          <cell r="BZ174">
            <v>0</v>
          </cell>
          <cell r="CA174">
            <v>0</v>
          </cell>
          <cell r="CB174">
            <v>0</v>
          </cell>
          <cell r="CC174">
            <v>0</v>
          </cell>
          <cell r="CD174">
            <v>0</v>
          </cell>
          <cell r="CE174">
            <v>0</v>
          </cell>
          <cell r="CF174">
            <v>0</v>
          </cell>
          <cell r="CG174">
            <v>0</v>
          </cell>
          <cell r="CH174">
            <v>0</v>
          </cell>
          <cell r="CI174">
            <v>0</v>
          </cell>
          <cell r="CJ174">
            <v>0</v>
          </cell>
          <cell r="CK174">
            <v>0</v>
          </cell>
          <cell r="CL174">
            <v>0</v>
          </cell>
          <cell r="CM174">
            <v>0</v>
          </cell>
          <cell r="CN174">
            <v>0</v>
          </cell>
          <cell r="CO174">
            <v>0</v>
          </cell>
          <cell r="CP174">
            <v>0</v>
          </cell>
          <cell r="CQ174">
            <v>0</v>
          </cell>
          <cell r="CR174">
            <v>0</v>
          </cell>
          <cell r="CS174">
            <v>0</v>
          </cell>
          <cell r="CT174">
            <v>0</v>
          </cell>
          <cell r="CU174">
            <v>0</v>
          </cell>
          <cell r="CV174">
            <v>0</v>
          </cell>
          <cell r="CW174">
            <v>0</v>
          </cell>
          <cell r="CX174">
            <v>0</v>
          </cell>
          <cell r="CY174">
            <v>0</v>
          </cell>
          <cell r="CZ174">
            <v>0</v>
          </cell>
          <cell r="DA174">
            <v>0</v>
          </cell>
          <cell r="DB174">
            <v>0</v>
          </cell>
          <cell r="DC174">
            <v>0</v>
          </cell>
          <cell r="DD174">
            <v>0</v>
          </cell>
          <cell r="DE174">
            <v>0</v>
          </cell>
          <cell r="DF174">
            <v>0</v>
          </cell>
          <cell r="DG174">
            <v>0</v>
          </cell>
          <cell r="DH174">
            <v>0</v>
          </cell>
          <cell r="DI174">
            <v>0</v>
          </cell>
          <cell r="DJ174">
            <v>0</v>
          </cell>
          <cell r="DK174">
            <v>0</v>
          </cell>
          <cell r="DL174">
            <v>0</v>
          </cell>
          <cell r="DM174">
            <v>0</v>
          </cell>
          <cell r="DN174">
            <v>0</v>
          </cell>
          <cell r="DO174">
            <v>0</v>
          </cell>
          <cell r="DP174">
            <v>0</v>
          </cell>
          <cell r="DQ174">
            <v>0</v>
          </cell>
          <cell r="DR174">
            <v>0</v>
          </cell>
          <cell r="DS174">
            <v>0</v>
          </cell>
          <cell r="DT174">
            <v>0</v>
          </cell>
          <cell r="DU174">
            <v>0</v>
          </cell>
          <cell r="DV174">
            <v>0</v>
          </cell>
          <cell r="DW174">
            <v>0</v>
          </cell>
          <cell r="DX174">
            <v>0</v>
          </cell>
          <cell r="DY174">
            <v>0</v>
          </cell>
          <cell r="EA174">
            <v>0</v>
          </cell>
          <cell r="EB174">
            <v>0</v>
          </cell>
          <cell r="EC174">
            <v>0</v>
          </cell>
          <cell r="ED174">
            <v>0</v>
          </cell>
          <cell r="EE174">
            <v>0</v>
          </cell>
          <cell r="EF174">
            <v>0</v>
          </cell>
          <cell r="EG174">
            <v>0</v>
          </cell>
          <cell r="EH174">
            <v>0</v>
          </cell>
          <cell r="EI174">
            <v>0</v>
          </cell>
          <cell r="EJ174">
            <v>0</v>
          </cell>
          <cell r="EK174">
            <v>0</v>
          </cell>
          <cell r="EL174">
            <v>0</v>
          </cell>
          <cell r="EM174">
            <v>0</v>
          </cell>
          <cell r="EN174">
            <v>0</v>
          </cell>
          <cell r="EO174">
            <v>0</v>
          </cell>
          <cell r="EP174">
            <v>0</v>
          </cell>
          <cell r="EQ174">
            <v>0</v>
          </cell>
          <cell r="ER174">
            <v>0</v>
          </cell>
          <cell r="ES174">
            <v>0</v>
          </cell>
          <cell r="ET174">
            <v>0</v>
          </cell>
          <cell r="EU174">
            <v>0</v>
          </cell>
          <cell r="EV174">
            <v>0</v>
          </cell>
          <cell r="EW174">
            <v>0</v>
          </cell>
          <cell r="EX174">
            <v>0</v>
          </cell>
          <cell r="EY174">
            <v>0</v>
          </cell>
          <cell r="EZ174">
            <v>0</v>
          </cell>
          <cell r="FA174">
            <v>0</v>
          </cell>
          <cell r="FB174">
            <v>0</v>
          </cell>
          <cell r="FC174">
            <v>0</v>
          </cell>
          <cell r="FD174">
            <v>0</v>
          </cell>
          <cell r="FE174">
            <v>0</v>
          </cell>
          <cell r="FF174">
            <v>0</v>
          </cell>
          <cell r="FG174">
            <v>0</v>
          </cell>
          <cell r="FH174">
            <v>0</v>
          </cell>
          <cell r="FI174">
            <v>0</v>
          </cell>
          <cell r="FJ174">
            <v>0</v>
          </cell>
          <cell r="FK174">
            <v>0</v>
          </cell>
          <cell r="FL174">
            <v>0</v>
          </cell>
          <cell r="FM174">
            <v>0</v>
          </cell>
          <cell r="FN174">
            <v>0</v>
          </cell>
          <cell r="FO174">
            <v>0</v>
          </cell>
          <cell r="FP174">
            <v>0</v>
          </cell>
          <cell r="FQ174">
            <v>0</v>
          </cell>
          <cell r="FR174">
            <v>0</v>
          </cell>
          <cell r="FS174">
            <v>0</v>
          </cell>
          <cell r="FT174">
            <v>0</v>
          </cell>
          <cell r="FU174">
            <v>0</v>
          </cell>
          <cell r="FV174">
            <v>0</v>
          </cell>
          <cell r="FW174">
            <v>0</v>
          </cell>
          <cell r="FX174">
            <v>0</v>
          </cell>
          <cell r="FY174">
            <v>0</v>
          </cell>
          <cell r="FZ174">
            <v>0</v>
          </cell>
        </row>
        <row r="175">
          <cell r="A175" t="str">
            <v>I_CAI_NRF_IRD_IRD_INTR_B11</v>
          </cell>
          <cell r="B175">
            <v>0.1</v>
          </cell>
          <cell r="C175">
            <v>7.0000000000000007E-2</v>
          </cell>
          <cell r="D175">
            <v>0.17</v>
          </cell>
          <cell r="E175">
            <v>0.1</v>
          </cell>
          <cell r="F175">
            <v>0.15</v>
          </cell>
          <cell r="G175">
            <v>0.215</v>
          </cell>
          <cell r="H175">
            <v>6.5000000000000002E-2</v>
          </cell>
          <cell r="I175">
            <v>0.05</v>
          </cell>
          <cell r="J175">
            <v>0.13</v>
          </cell>
          <cell r="K175">
            <v>0.17499999999999999</v>
          </cell>
          <cell r="L175">
            <v>0.17</v>
          </cell>
          <cell r="M175">
            <v>0.16</v>
          </cell>
          <cell r="N175">
            <v>1</v>
          </cell>
          <cell r="O175">
            <v>1</v>
          </cell>
          <cell r="P175">
            <v>1</v>
          </cell>
          <cell r="Q175">
            <v>1</v>
          </cell>
          <cell r="R175">
            <v>1</v>
          </cell>
          <cell r="S175">
            <v>1</v>
          </cell>
          <cell r="T175">
            <v>1</v>
          </cell>
          <cell r="U175">
            <v>1</v>
          </cell>
          <cell r="V175">
            <v>1</v>
          </cell>
          <cell r="W175">
            <v>1</v>
          </cell>
          <cell r="X175">
            <v>1</v>
          </cell>
          <cell r="Y175">
            <v>1</v>
          </cell>
          <cell r="Z175">
            <v>9.5000000000000001E-2</v>
          </cell>
          <cell r="AA175">
            <v>0.1</v>
          </cell>
          <cell r="AB175">
            <v>0.14000000000000001</v>
          </cell>
          <cell r="AC175">
            <v>0.11</v>
          </cell>
          <cell r="AD175">
            <v>0.11</v>
          </cell>
          <cell r="AE175">
            <v>0.19</v>
          </cell>
          <cell r="AF175">
            <v>0.09</v>
          </cell>
          <cell r="AG175">
            <v>0.11</v>
          </cell>
          <cell r="AH175">
            <v>0.15</v>
          </cell>
          <cell r="AI175">
            <v>0.2</v>
          </cell>
          <cell r="AJ175">
            <v>0.2</v>
          </cell>
          <cell r="AK175">
            <v>0.2</v>
          </cell>
          <cell r="AL175">
            <v>0</v>
          </cell>
          <cell r="AM175">
            <v>0</v>
          </cell>
          <cell r="AN175">
            <v>0</v>
          </cell>
          <cell r="AO175">
            <v>0</v>
          </cell>
          <cell r="AP175">
            <v>0</v>
          </cell>
          <cell r="AQ175">
            <v>0</v>
          </cell>
          <cell r="AR175">
            <v>0</v>
          </cell>
          <cell r="AS175">
            <v>0</v>
          </cell>
          <cell r="AT175">
            <v>0</v>
          </cell>
          <cell r="AU175">
            <v>0</v>
          </cell>
          <cell r="AV175">
            <v>0</v>
          </cell>
          <cell r="AW175">
            <v>0</v>
          </cell>
          <cell r="AX175">
            <v>0</v>
          </cell>
          <cell r="AY175">
            <v>0</v>
          </cell>
          <cell r="AZ175">
            <v>330565.4623035363</v>
          </cell>
          <cell r="BA175">
            <v>0</v>
          </cell>
          <cell r="BB175">
            <v>0</v>
          </cell>
          <cell r="BC175">
            <v>0</v>
          </cell>
          <cell r="BD175">
            <v>0</v>
          </cell>
          <cell r="BE175">
            <v>0</v>
          </cell>
          <cell r="BF175">
            <v>8940.3886296660112</v>
          </cell>
          <cell r="BG175">
            <v>0</v>
          </cell>
          <cell r="BH175">
            <v>0</v>
          </cell>
          <cell r="BI175">
            <v>0</v>
          </cell>
          <cell r="BJ175">
            <v>0</v>
          </cell>
          <cell r="BK175">
            <v>0</v>
          </cell>
          <cell r="BL175">
            <v>0</v>
          </cell>
          <cell r="BM175">
            <v>0</v>
          </cell>
          <cell r="BN175">
            <v>0</v>
          </cell>
          <cell r="BO175">
            <v>0</v>
          </cell>
          <cell r="BP175">
            <v>0</v>
          </cell>
          <cell r="BQ175">
            <v>0</v>
          </cell>
          <cell r="BR175">
            <v>0</v>
          </cell>
          <cell r="BS175">
            <v>0</v>
          </cell>
          <cell r="BT175">
            <v>0</v>
          </cell>
          <cell r="BU175">
            <v>0</v>
          </cell>
          <cell r="BV175">
            <v>0</v>
          </cell>
          <cell r="BW175">
            <v>0</v>
          </cell>
          <cell r="BX175">
            <v>0</v>
          </cell>
          <cell r="BY175">
            <v>0</v>
          </cell>
          <cell r="BZ175">
            <v>162499.79769021171</v>
          </cell>
          <cell r="CA175">
            <v>0</v>
          </cell>
          <cell r="CB175">
            <v>1189169.8140383118</v>
          </cell>
          <cell r="CC175">
            <v>0</v>
          </cell>
          <cell r="CD175">
            <v>0</v>
          </cell>
          <cell r="CE175">
            <v>0</v>
          </cell>
          <cell r="CF175">
            <v>0</v>
          </cell>
          <cell r="CG175">
            <v>0</v>
          </cell>
          <cell r="CH175">
            <v>0</v>
          </cell>
          <cell r="CI175">
            <v>0</v>
          </cell>
          <cell r="CJ175">
            <v>0</v>
          </cell>
          <cell r="CK175">
            <v>0</v>
          </cell>
          <cell r="CL175">
            <v>0</v>
          </cell>
          <cell r="CM175">
            <v>0</v>
          </cell>
          <cell r="CN175">
            <v>0</v>
          </cell>
          <cell r="CO175">
            <v>0</v>
          </cell>
          <cell r="CP175">
            <v>0</v>
          </cell>
          <cell r="CQ175">
            <v>0</v>
          </cell>
          <cell r="CR175">
            <v>0</v>
          </cell>
          <cell r="CS175">
            <v>0</v>
          </cell>
          <cell r="CT175">
            <v>0</v>
          </cell>
          <cell r="CU175">
            <v>0</v>
          </cell>
          <cell r="CV175">
            <v>0</v>
          </cell>
          <cell r="CW175">
            <v>0</v>
          </cell>
          <cell r="CX175">
            <v>0</v>
          </cell>
          <cell r="CY175">
            <v>0</v>
          </cell>
          <cell r="CZ175">
            <v>0</v>
          </cell>
          <cell r="DA175">
            <v>0</v>
          </cell>
          <cell r="DB175">
            <v>0</v>
          </cell>
          <cell r="DC175">
            <v>0</v>
          </cell>
          <cell r="DD175">
            <v>0</v>
          </cell>
          <cell r="DE175">
            <v>0</v>
          </cell>
          <cell r="DF175">
            <v>0</v>
          </cell>
          <cell r="DG175">
            <v>0</v>
          </cell>
          <cell r="DH175">
            <v>0</v>
          </cell>
          <cell r="DI175">
            <v>0</v>
          </cell>
          <cell r="DJ175">
            <v>0</v>
          </cell>
          <cell r="DK175">
            <v>0</v>
          </cell>
          <cell r="DL175">
            <v>0</v>
          </cell>
          <cell r="DM175">
            <v>0</v>
          </cell>
          <cell r="DN175">
            <v>0</v>
          </cell>
          <cell r="DO175">
            <v>0</v>
          </cell>
          <cell r="DP175">
            <v>0</v>
          </cell>
          <cell r="DQ175">
            <v>0</v>
          </cell>
          <cell r="DR175">
            <v>0</v>
          </cell>
          <cell r="DS175">
            <v>0</v>
          </cell>
          <cell r="DT175">
            <v>0</v>
          </cell>
          <cell r="DU175">
            <v>0</v>
          </cell>
          <cell r="DV175">
            <v>0</v>
          </cell>
          <cell r="DW175">
            <v>0</v>
          </cell>
          <cell r="DX175">
            <v>0</v>
          </cell>
          <cell r="DY175">
            <v>0</v>
          </cell>
          <cell r="EA175">
            <v>0</v>
          </cell>
          <cell r="EB175">
            <v>0</v>
          </cell>
          <cell r="EC175">
            <v>0</v>
          </cell>
          <cell r="ED175">
            <v>0</v>
          </cell>
          <cell r="EE175">
            <v>0</v>
          </cell>
          <cell r="EF175">
            <v>0</v>
          </cell>
          <cell r="EG175">
            <v>0</v>
          </cell>
          <cell r="EH175">
            <v>0</v>
          </cell>
          <cell r="EI175">
            <v>0</v>
          </cell>
          <cell r="EJ175">
            <v>0</v>
          </cell>
          <cell r="EK175">
            <v>0</v>
          </cell>
          <cell r="EL175">
            <v>0</v>
          </cell>
          <cell r="EM175">
            <v>0</v>
          </cell>
          <cell r="EN175">
            <v>0</v>
          </cell>
          <cell r="EO175">
            <v>0</v>
          </cell>
          <cell r="EP175">
            <v>0</v>
          </cell>
          <cell r="EQ175">
            <v>0</v>
          </cell>
          <cell r="ER175">
            <v>0</v>
          </cell>
          <cell r="ES175">
            <v>0</v>
          </cell>
          <cell r="ET175">
            <v>0</v>
          </cell>
          <cell r="EU175">
            <v>0</v>
          </cell>
          <cell r="EV175">
            <v>0</v>
          </cell>
          <cell r="EW175">
            <v>0</v>
          </cell>
          <cell r="EX175">
            <v>0</v>
          </cell>
          <cell r="EY175">
            <v>0</v>
          </cell>
          <cell r="EZ175">
            <v>0</v>
          </cell>
          <cell r="FA175">
            <v>0</v>
          </cell>
          <cell r="FB175">
            <v>0</v>
          </cell>
          <cell r="FC175">
            <v>0</v>
          </cell>
          <cell r="FD175">
            <v>0</v>
          </cell>
          <cell r="FE175">
            <v>0</v>
          </cell>
          <cell r="FF175">
            <v>0</v>
          </cell>
          <cell r="FG175">
            <v>0</v>
          </cell>
          <cell r="FH175">
            <v>0</v>
          </cell>
          <cell r="FI175">
            <v>0</v>
          </cell>
          <cell r="FJ175">
            <v>0</v>
          </cell>
          <cell r="FK175">
            <v>0</v>
          </cell>
          <cell r="FL175">
            <v>0</v>
          </cell>
          <cell r="FM175">
            <v>0</v>
          </cell>
          <cell r="FN175">
            <v>0</v>
          </cell>
          <cell r="FO175">
            <v>0</v>
          </cell>
          <cell r="FP175">
            <v>0</v>
          </cell>
          <cell r="FQ175">
            <v>0</v>
          </cell>
          <cell r="FR175">
            <v>0</v>
          </cell>
          <cell r="FS175">
            <v>0</v>
          </cell>
          <cell r="FT175">
            <v>0</v>
          </cell>
          <cell r="FU175">
            <v>0</v>
          </cell>
          <cell r="FV175">
            <v>0</v>
          </cell>
          <cell r="FW175">
            <v>0</v>
          </cell>
          <cell r="FX175">
            <v>0</v>
          </cell>
          <cell r="FY175">
            <v>0</v>
          </cell>
          <cell r="FZ175">
            <v>0</v>
          </cell>
        </row>
        <row r="176">
          <cell r="A176" t="str">
            <v>I_CAI_NRF_IRD_IRD_INTR_B12</v>
          </cell>
          <cell r="B176">
            <v>0.1</v>
          </cell>
          <cell r="C176">
            <v>7.0000000000000007E-2</v>
          </cell>
          <cell r="D176">
            <v>0.17</v>
          </cell>
          <cell r="E176">
            <v>0.1</v>
          </cell>
          <cell r="F176">
            <v>0.15</v>
          </cell>
          <cell r="G176">
            <v>0.215</v>
          </cell>
          <cell r="H176">
            <v>6.5000000000000002E-2</v>
          </cell>
          <cell r="I176">
            <v>0.05</v>
          </cell>
          <cell r="J176">
            <v>0.13</v>
          </cell>
          <cell r="K176">
            <v>0.17499999999999999</v>
          </cell>
          <cell r="L176">
            <v>0.17</v>
          </cell>
          <cell r="M176">
            <v>0.16</v>
          </cell>
          <cell r="N176">
            <v>1</v>
          </cell>
          <cell r="O176">
            <v>1</v>
          </cell>
          <cell r="P176">
            <v>1</v>
          </cell>
          <cell r="Q176">
            <v>1</v>
          </cell>
          <cell r="R176">
            <v>1</v>
          </cell>
          <cell r="S176">
            <v>1</v>
          </cell>
          <cell r="T176">
            <v>1</v>
          </cell>
          <cell r="U176">
            <v>1</v>
          </cell>
          <cell r="V176">
            <v>1</v>
          </cell>
          <cell r="W176">
            <v>1</v>
          </cell>
          <cell r="X176">
            <v>1</v>
          </cell>
          <cell r="Y176">
            <v>1</v>
          </cell>
          <cell r="Z176">
            <v>9.5000000000000001E-2</v>
          </cell>
          <cell r="AA176">
            <v>0.1</v>
          </cell>
          <cell r="AB176">
            <v>0.14000000000000001</v>
          </cell>
          <cell r="AC176">
            <v>0.11</v>
          </cell>
          <cell r="AD176">
            <v>0.11</v>
          </cell>
          <cell r="AE176">
            <v>0.19</v>
          </cell>
          <cell r="AF176">
            <v>0.09</v>
          </cell>
          <cell r="AG176">
            <v>0.11</v>
          </cell>
          <cell r="AH176">
            <v>0.15</v>
          </cell>
          <cell r="AI176">
            <v>0.2</v>
          </cell>
          <cell r="AJ176">
            <v>0.2</v>
          </cell>
          <cell r="AK176">
            <v>0.2</v>
          </cell>
          <cell r="AL176">
            <v>0</v>
          </cell>
          <cell r="AM176">
            <v>37462516.610866949</v>
          </cell>
          <cell r="AN176">
            <v>0</v>
          </cell>
          <cell r="AO176">
            <v>0</v>
          </cell>
          <cell r="AP176">
            <v>0</v>
          </cell>
          <cell r="AQ176">
            <v>0</v>
          </cell>
          <cell r="AR176">
            <v>0</v>
          </cell>
          <cell r="AS176">
            <v>0</v>
          </cell>
          <cell r="AT176">
            <v>0</v>
          </cell>
          <cell r="AU176">
            <v>0</v>
          </cell>
          <cell r="AV176">
            <v>0</v>
          </cell>
          <cell r="AW176">
            <v>0</v>
          </cell>
          <cell r="AX176">
            <v>0</v>
          </cell>
          <cell r="AY176">
            <v>7132308.2133639315</v>
          </cell>
          <cell r="AZ176">
            <v>0</v>
          </cell>
          <cell r="BA176">
            <v>0</v>
          </cell>
          <cell r="BB176">
            <v>0</v>
          </cell>
          <cell r="BC176">
            <v>0</v>
          </cell>
          <cell r="BD176">
            <v>0</v>
          </cell>
          <cell r="BE176">
            <v>0</v>
          </cell>
          <cell r="BF176">
            <v>0</v>
          </cell>
          <cell r="BG176">
            <v>0</v>
          </cell>
          <cell r="BH176">
            <v>0</v>
          </cell>
          <cell r="BI176">
            <v>0</v>
          </cell>
          <cell r="BJ176">
            <v>0</v>
          </cell>
          <cell r="BK176">
            <v>0</v>
          </cell>
          <cell r="BL176">
            <v>0</v>
          </cell>
          <cell r="BM176">
            <v>0</v>
          </cell>
          <cell r="BN176">
            <v>0</v>
          </cell>
          <cell r="BO176">
            <v>0</v>
          </cell>
          <cell r="BP176">
            <v>0</v>
          </cell>
          <cell r="BQ176">
            <v>0</v>
          </cell>
          <cell r="BR176">
            <v>0</v>
          </cell>
          <cell r="BS176">
            <v>0</v>
          </cell>
          <cell r="BT176">
            <v>0</v>
          </cell>
          <cell r="BU176">
            <v>0</v>
          </cell>
          <cell r="BV176">
            <v>0</v>
          </cell>
          <cell r="BW176">
            <v>33096528.738198079</v>
          </cell>
          <cell r="BX176">
            <v>0</v>
          </cell>
          <cell r="BY176">
            <v>0</v>
          </cell>
          <cell r="BZ176">
            <v>36510309.792486615</v>
          </cell>
          <cell r="CA176">
            <v>0</v>
          </cell>
          <cell r="CB176">
            <v>24981971.911343142</v>
          </cell>
          <cell r="CC176">
            <v>0</v>
          </cell>
          <cell r="CD176">
            <v>0</v>
          </cell>
          <cell r="CE176">
            <v>37462516.610866949</v>
          </cell>
          <cell r="CF176">
            <v>0</v>
          </cell>
          <cell r="CG176">
            <v>0</v>
          </cell>
          <cell r="CH176">
            <v>0</v>
          </cell>
          <cell r="CI176">
            <v>0</v>
          </cell>
          <cell r="CJ176">
            <v>0</v>
          </cell>
          <cell r="CK176">
            <v>0</v>
          </cell>
          <cell r="CL176">
            <v>0</v>
          </cell>
          <cell r="CM176">
            <v>0</v>
          </cell>
          <cell r="CN176">
            <v>0</v>
          </cell>
          <cell r="CO176">
            <v>0</v>
          </cell>
          <cell r="CP176">
            <v>0</v>
          </cell>
          <cell r="CQ176">
            <v>0</v>
          </cell>
          <cell r="CR176">
            <v>0</v>
          </cell>
          <cell r="CS176">
            <v>0</v>
          </cell>
          <cell r="CT176">
            <v>0</v>
          </cell>
          <cell r="CU176">
            <v>0</v>
          </cell>
          <cell r="CV176">
            <v>0</v>
          </cell>
          <cell r="CW176">
            <v>0</v>
          </cell>
          <cell r="CX176">
            <v>0</v>
          </cell>
          <cell r="CY176">
            <v>0</v>
          </cell>
          <cell r="CZ176">
            <v>0</v>
          </cell>
          <cell r="DA176">
            <v>0</v>
          </cell>
          <cell r="DB176">
            <v>0</v>
          </cell>
          <cell r="DC176">
            <v>26356675.064809565</v>
          </cell>
          <cell r="DD176">
            <v>0</v>
          </cell>
          <cell r="DE176">
            <v>0</v>
          </cell>
          <cell r="DF176">
            <v>0</v>
          </cell>
          <cell r="DG176">
            <v>0</v>
          </cell>
          <cell r="DH176">
            <v>0</v>
          </cell>
          <cell r="DI176">
            <v>0</v>
          </cell>
          <cell r="DJ176">
            <v>0</v>
          </cell>
          <cell r="DK176">
            <v>0</v>
          </cell>
          <cell r="DL176">
            <v>0</v>
          </cell>
          <cell r="DM176">
            <v>0</v>
          </cell>
          <cell r="DN176">
            <v>0</v>
          </cell>
          <cell r="DO176">
            <v>0</v>
          </cell>
          <cell r="DP176">
            <v>0</v>
          </cell>
          <cell r="DQ176">
            <v>0</v>
          </cell>
          <cell r="DR176">
            <v>0</v>
          </cell>
          <cell r="DS176">
            <v>0</v>
          </cell>
          <cell r="DT176">
            <v>0</v>
          </cell>
          <cell r="DU176">
            <v>0</v>
          </cell>
          <cell r="DV176">
            <v>0</v>
          </cell>
          <cell r="DW176">
            <v>0</v>
          </cell>
          <cell r="DX176">
            <v>0</v>
          </cell>
          <cell r="DY176">
            <v>0</v>
          </cell>
          <cell r="EA176">
            <v>0</v>
          </cell>
          <cell r="EB176">
            <v>0</v>
          </cell>
          <cell r="EC176">
            <v>0</v>
          </cell>
          <cell r="ED176">
            <v>0</v>
          </cell>
          <cell r="EE176">
            <v>0</v>
          </cell>
          <cell r="EF176">
            <v>0</v>
          </cell>
          <cell r="EG176">
            <v>0</v>
          </cell>
          <cell r="EH176">
            <v>0</v>
          </cell>
          <cell r="EI176">
            <v>0</v>
          </cell>
          <cell r="EJ176">
            <v>0</v>
          </cell>
          <cell r="EK176">
            <v>0</v>
          </cell>
          <cell r="EL176">
            <v>0</v>
          </cell>
          <cell r="EM176">
            <v>0</v>
          </cell>
          <cell r="EN176">
            <v>0</v>
          </cell>
          <cell r="EO176">
            <v>0</v>
          </cell>
          <cell r="EP176">
            <v>0</v>
          </cell>
          <cell r="EQ176">
            <v>0</v>
          </cell>
          <cell r="ER176">
            <v>0</v>
          </cell>
          <cell r="ES176">
            <v>0</v>
          </cell>
          <cell r="ET176">
            <v>0</v>
          </cell>
          <cell r="EU176">
            <v>0</v>
          </cell>
          <cell r="EV176">
            <v>0</v>
          </cell>
          <cell r="EW176">
            <v>0</v>
          </cell>
          <cell r="EX176">
            <v>0</v>
          </cell>
          <cell r="EY176">
            <v>0</v>
          </cell>
          <cell r="EZ176">
            <v>0</v>
          </cell>
          <cell r="FA176">
            <v>0</v>
          </cell>
          <cell r="FB176">
            <v>0</v>
          </cell>
          <cell r="FC176">
            <v>0</v>
          </cell>
          <cell r="FD176">
            <v>0</v>
          </cell>
          <cell r="FE176">
            <v>0</v>
          </cell>
          <cell r="FF176">
            <v>0</v>
          </cell>
          <cell r="FG176">
            <v>0</v>
          </cell>
          <cell r="FH176">
            <v>0</v>
          </cell>
          <cell r="FI176">
            <v>0</v>
          </cell>
          <cell r="FJ176">
            <v>0</v>
          </cell>
          <cell r="FK176">
            <v>0</v>
          </cell>
          <cell r="FL176">
            <v>0</v>
          </cell>
          <cell r="FM176">
            <v>0</v>
          </cell>
          <cell r="FN176">
            <v>0</v>
          </cell>
          <cell r="FO176">
            <v>0</v>
          </cell>
          <cell r="FP176">
            <v>0</v>
          </cell>
          <cell r="FQ176">
            <v>0</v>
          </cell>
          <cell r="FR176">
            <v>0</v>
          </cell>
          <cell r="FS176">
            <v>0</v>
          </cell>
          <cell r="FT176">
            <v>0</v>
          </cell>
          <cell r="FU176">
            <v>0</v>
          </cell>
          <cell r="FV176">
            <v>0</v>
          </cell>
          <cell r="FW176">
            <v>0</v>
          </cell>
          <cell r="FX176">
            <v>0</v>
          </cell>
          <cell r="FY176">
            <v>0</v>
          </cell>
          <cell r="FZ176">
            <v>0</v>
          </cell>
        </row>
        <row r="177">
          <cell r="A177" t="str">
            <v>I_CAI_NRF_IRD_IRD_INTR_B13</v>
          </cell>
          <cell r="B177">
            <v>0.1</v>
          </cell>
          <cell r="C177">
            <v>7.0000000000000007E-2</v>
          </cell>
          <cell r="D177">
            <v>0.17</v>
          </cell>
          <cell r="E177">
            <v>0.1</v>
          </cell>
          <cell r="F177">
            <v>0.15</v>
          </cell>
          <cell r="G177">
            <v>0.215</v>
          </cell>
          <cell r="H177">
            <v>6.5000000000000002E-2</v>
          </cell>
          <cell r="I177">
            <v>0.05</v>
          </cell>
          <cell r="J177">
            <v>0.13</v>
          </cell>
          <cell r="K177">
            <v>0.17499999999999999</v>
          </cell>
          <cell r="L177">
            <v>0.17</v>
          </cell>
          <cell r="M177">
            <v>0.16</v>
          </cell>
          <cell r="N177">
            <v>1</v>
          </cell>
          <cell r="O177">
            <v>1</v>
          </cell>
          <cell r="P177">
            <v>1</v>
          </cell>
          <cell r="Q177">
            <v>1</v>
          </cell>
          <cell r="R177">
            <v>1</v>
          </cell>
          <cell r="S177">
            <v>1</v>
          </cell>
          <cell r="T177">
            <v>1</v>
          </cell>
          <cell r="U177">
            <v>1</v>
          </cell>
          <cell r="V177">
            <v>1</v>
          </cell>
          <cell r="W177">
            <v>1</v>
          </cell>
          <cell r="X177">
            <v>1</v>
          </cell>
          <cell r="Y177">
            <v>1</v>
          </cell>
          <cell r="Z177">
            <v>9.5000000000000001E-2</v>
          </cell>
          <cell r="AA177">
            <v>0.1</v>
          </cell>
          <cell r="AB177">
            <v>0.14000000000000001</v>
          </cell>
          <cell r="AC177">
            <v>0.11</v>
          </cell>
          <cell r="AD177">
            <v>0.11</v>
          </cell>
          <cell r="AE177">
            <v>0.19</v>
          </cell>
          <cell r="AF177">
            <v>0.09</v>
          </cell>
          <cell r="AG177">
            <v>0.11</v>
          </cell>
          <cell r="AH177">
            <v>0.15</v>
          </cell>
          <cell r="AI177">
            <v>0.2</v>
          </cell>
          <cell r="AJ177">
            <v>0.2</v>
          </cell>
          <cell r="AK177">
            <v>0.2</v>
          </cell>
          <cell r="AL177">
            <v>0</v>
          </cell>
          <cell r="AM177">
            <v>0</v>
          </cell>
          <cell r="AN177">
            <v>0</v>
          </cell>
          <cell r="AO177">
            <v>0</v>
          </cell>
          <cell r="AP177">
            <v>0</v>
          </cell>
          <cell r="AQ177">
            <v>0</v>
          </cell>
          <cell r="AR177">
            <v>0</v>
          </cell>
          <cell r="AS177">
            <v>0</v>
          </cell>
          <cell r="AT177">
            <v>0</v>
          </cell>
          <cell r="AU177">
            <v>0</v>
          </cell>
          <cell r="AV177">
            <v>0</v>
          </cell>
          <cell r="AW177">
            <v>0</v>
          </cell>
          <cell r="AX177">
            <v>0</v>
          </cell>
          <cell r="AY177">
            <v>0</v>
          </cell>
          <cell r="AZ177">
            <v>0</v>
          </cell>
          <cell r="BA177">
            <v>0</v>
          </cell>
          <cell r="BB177">
            <v>0</v>
          </cell>
          <cell r="BC177">
            <v>0</v>
          </cell>
          <cell r="BD177">
            <v>0</v>
          </cell>
          <cell r="BE177">
            <v>0</v>
          </cell>
          <cell r="BF177">
            <v>0</v>
          </cell>
          <cell r="BG177">
            <v>0</v>
          </cell>
          <cell r="BH177">
            <v>0</v>
          </cell>
          <cell r="BI177">
            <v>0</v>
          </cell>
          <cell r="BJ177">
            <v>0</v>
          </cell>
          <cell r="BK177">
            <v>0</v>
          </cell>
          <cell r="BL177">
            <v>0</v>
          </cell>
          <cell r="BM177">
            <v>0</v>
          </cell>
          <cell r="BN177">
            <v>0</v>
          </cell>
          <cell r="BO177">
            <v>0</v>
          </cell>
          <cell r="BP177">
            <v>0</v>
          </cell>
          <cell r="BQ177">
            <v>0</v>
          </cell>
          <cell r="BR177">
            <v>0</v>
          </cell>
          <cell r="BS177">
            <v>0</v>
          </cell>
          <cell r="BT177">
            <v>0</v>
          </cell>
          <cell r="BU177">
            <v>0</v>
          </cell>
          <cell r="BV177">
            <v>0</v>
          </cell>
          <cell r="BW177">
            <v>0</v>
          </cell>
          <cell r="BX177">
            <v>0</v>
          </cell>
          <cell r="BY177">
            <v>0</v>
          </cell>
          <cell r="BZ177">
            <v>0</v>
          </cell>
          <cell r="CA177">
            <v>0</v>
          </cell>
          <cell r="CB177">
            <v>0</v>
          </cell>
          <cell r="CC177">
            <v>0</v>
          </cell>
          <cell r="CD177">
            <v>0</v>
          </cell>
          <cell r="CE177">
            <v>0</v>
          </cell>
          <cell r="CF177">
            <v>0</v>
          </cell>
          <cell r="CG177">
            <v>0</v>
          </cell>
          <cell r="CH177">
            <v>0</v>
          </cell>
          <cell r="CI177">
            <v>0</v>
          </cell>
          <cell r="CJ177">
            <v>0</v>
          </cell>
          <cell r="CK177">
            <v>0</v>
          </cell>
          <cell r="CL177">
            <v>0</v>
          </cell>
          <cell r="CM177">
            <v>0</v>
          </cell>
          <cell r="CN177">
            <v>0</v>
          </cell>
          <cell r="CO177">
            <v>0</v>
          </cell>
          <cell r="CP177">
            <v>0</v>
          </cell>
          <cell r="CQ177">
            <v>0</v>
          </cell>
          <cell r="CR177">
            <v>0</v>
          </cell>
          <cell r="CS177">
            <v>0</v>
          </cell>
          <cell r="CT177">
            <v>0</v>
          </cell>
          <cell r="CU177">
            <v>0</v>
          </cell>
          <cell r="CV177">
            <v>0</v>
          </cell>
          <cell r="CW177">
            <v>0</v>
          </cell>
          <cell r="CX177">
            <v>0</v>
          </cell>
          <cell r="CY177">
            <v>0</v>
          </cell>
          <cell r="CZ177">
            <v>0</v>
          </cell>
          <cell r="DA177">
            <v>0</v>
          </cell>
          <cell r="DB177">
            <v>0</v>
          </cell>
          <cell r="DC177">
            <v>0</v>
          </cell>
          <cell r="DD177">
            <v>0</v>
          </cell>
          <cell r="DE177">
            <v>0</v>
          </cell>
          <cell r="DF177">
            <v>0</v>
          </cell>
          <cell r="DG177">
            <v>0</v>
          </cell>
          <cell r="DH177">
            <v>0</v>
          </cell>
          <cell r="DI177">
            <v>0</v>
          </cell>
          <cell r="DJ177">
            <v>0</v>
          </cell>
          <cell r="DK177">
            <v>0</v>
          </cell>
          <cell r="DL177">
            <v>0</v>
          </cell>
          <cell r="DM177">
            <v>0</v>
          </cell>
          <cell r="DN177">
            <v>0</v>
          </cell>
          <cell r="DO177">
            <v>0</v>
          </cell>
          <cell r="DP177">
            <v>0</v>
          </cell>
          <cell r="DQ177">
            <v>0</v>
          </cell>
          <cell r="DR177">
            <v>0</v>
          </cell>
          <cell r="DS177">
            <v>0</v>
          </cell>
          <cell r="DT177">
            <v>0</v>
          </cell>
          <cell r="DU177">
            <v>0</v>
          </cell>
          <cell r="DV177">
            <v>0</v>
          </cell>
          <cell r="DW177">
            <v>0</v>
          </cell>
          <cell r="DX177">
            <v>0</v>
          </cell>
          <cell r="DY177">
            <v>0</v>
          </cell>
          <cell r="EA177">
            <v>0</v>
          </cell>
          <cell r="EB177">
            <v>0</v>
          </cell>
          <cell r="EC177">
            <v>0</v>
          </cell>
          <cell r="ED177">
            <v>0</v>
          </cell>
          <cell r="EE177">
            <v>0</v>
          </cell>
          <cell r="EF177">
            <v>0</v>
          </cell>
          <cell r="EG177">
            <v>0</v>
          </cell>
          <cell r="EH177">
            <v>0</v>
          </cell>
          <cell r="EI177">
            <v>0</v>
          </cell>
          <cell r="EJ177">
            <v>0</v>
          </cell>
          <cell r="EK177">
            <v>0</v>
          </cell>
          <cell r="EL177">
            <v>0</v>
          </cell>
          <cell r="EM177">
            <v>0</v>
          </cell>
          <cell r="EN177">
            <v>0</v>
          </cell>
          <cell r="EO177">
            <v>0</v>
          </cell>
          <cell r="EP177">
            <v>0</v>
          </cell>
          <cell r="EQ177">
            <v>0</v>
          </cell>
          <cell r="ER177">
            <v>0</v>
          </cell>
          <cell r="ES177">
            <v>0</v>
          </cell>
          <cell r="ET177">
            <v>0</v>
          </cell>
          <cell r="EU177">
            <v>0</v>
          </cell>
          <cell r="EV177">
            <v>0</v>
          </cell>
          <cell r="EW177">
            <v>0</v>
          </cell>
          <cell r="EX177">
            <v>0</v>
          </cell>
          <cell r="EY177">
            <v>0</v>
          </cell>
          <cell r="EZ177">
            <v>0</v>
          </cell>
          <cell r="FA177">
            <v>0</v>
          </cell>
          <cell r="FB177">
            <v>0</v>
          </cell>
          <cell r="FC177">
            <v>0</v>
          </cell>
          <cell r="FD177">
            <v>0</v>
          </cell>
          <cell r="FE177">
            <v>0</v>
          </cell>
          <cell r="FF177">
            <v>0</v>
          </cell>
          <cell r="FG177">
            <v>0</v>
          </cell>
          <cell r="FH177">
            <v>0</v>
          </cell>
          <cell r="FI177">
            <v>0</v>
          </cell>
          <cell r="FJ177">
            <v>0</v>
          </cell>
          <cell r="FK177">
            <v>0</v>
          </cell>
          <cell r="FL177">
            <v>0</v>
          </cell>
          <cell r="FM177">
            <v>0</v>
          </cell>
          <cell r="FN177">
            <v>0</v>
          </cell>
          <cell r="FO177">
            <v>0</v>
          </cell>
          <cell r="FP177">
            <v>0</v>
          </cell>
          <cell r="FQ177">
            <v>0</v>
          </cell>
          <cell r="FR177">
            <v>0</v>
          </cell>
          <cell r="FS177">
            <v>0</v>
          </cell>
          <cell r="FT177">
            <v>0</v>
          </cell>
          <cell r="FU177">
            <v>0</v>
          </cell>
          <cell r="FV177">
            <v>0</v>
          </cell>
          <cell r="FW177">
            <v>0</v>
          </cell>
          <cell r="FX177">
            <v>0</v>
          </cell>
          <cell r="FY177">
            <v>0</v>
          </cell>
          <cell r="FZ177">
            <v>0</v>
          </cell>
        </row>
        <row r="178">
          <cell r="A178" t="str">
            <v>I_CAI_NRF_IRD_IRD_INTR_B14</v>
          </cell>
          <cell r="B178">
            <v>0.1</v>
          </cell>
          <cell r="C178">
            <v>7.0000000000000007E-2</v>
          </cell>
          <cell r="D178">
            <v>0.17</v>
          </cell>
          <cell r="E178">
            <v>0.1</v>
          </cell>
          <cell r="F178">
            <v>0.15</v>
          </cell>
          <cell r="G178">
            <v>0.215</v>
          </cell>
          <cell r="H178">
            <v>6.5000000000000002E-2</v>
          </cell>
          <cell r="I178">
            <v>0.05</v>
          </cell>
          <cell r="J178">
            <v>0.13</v>
          </cell>
          <cell r="K178">
            <v>0.17499999999999999</v>
          </cell>
          <cell r="L178">
            <v>0.17</v>
          </cell>
          <cell r="M178">
            <v>0.16</v>
          </cell>
          <cell r="N178">
            <v>1</v>
          </cell>
          <cell r="O178">
            <v>1</v>
          </cell>
          <cell r="P178">
            <v>1</v>
          </cell>
          <cell r="Q178">
            <v>1</v>
          </cell>
          <cell r="R178">
            <v>1</v>
          </cell>
          <cell r="S178">
            <v>1</v>
          </cell>
          <cell r="T178">
            <v>1</v>
          </cell>
          <cell r="U178">
            <v>1</v>
          </cell>
          <cell r="V178">
            <v>1</v>
          </cell>
          <cell r="W178">
            <v>1</v>
          </cell>
          <cell r="X178">
            <v>1</v>
          </cell>
          <cell r="Y178">
            <v>1</v>
          </cell>
          <cell r="Z178">
            <v>9.5000000000000001E-2</v>
          </cell>
          <cell r="AA178">
            <v>0.1</v>
          </cell>
          <cell r="AB178">
            <v>0.14000000000000001</v>
          </cell>
          <cell r="AC178">
            <v>0.11</v>
          </cell>
          <cell r="AD178">
            <v>0.11</v>
          </cell>
          <cell r="AE178">
            <v>0.19</v>
          </cell>
          <cell r="AF178">
            <v>0.09</v>
          </cell>
          <cell r="AG178">
            <v>0.11</v>
          </cell>
          <cell r="AH178">
            <v>0.15</v>
          </cell>
          <cell r="AI178">
            <v>0.2</v>
          </cell>
          <cell r="AJ178">
            <v>0.2</v>
          </cell>
          <cell r="AK178">
            <v>0.2</v>
          </cell>
          <cell r="AL178">
            <v>0</v>
          </cell>
          <cell r="AM178">
            <v>0</v>
          </cell>
          <cell r="AN178">
            <v>0</v>
          </cell>
          <cell r="AO178">
            <v>0</v>
          </cell>
          <cell r="AP178">
            <v>0</v>
          </cell>
          <cell r="AQ178">
            <v>24497256.26278365</v>
          </cell>
          <cell r="AR178">
            <v>0</v>
          </cell>
          <cell r="AS178">
            <v>0</v>
          </cell>
          <cell r="AT178">
            <v>0</v>
          </cell>
          <cell r="AU178">
            <v>0</v>
          </cell>
          <cell r="AV178">
            <v>0</v>
          </cell>
          <cell r="AW178">
            <v>0</v>
          </cell>
          <cell r="AX178">
            <v>0</v>
          </cell>
          <cell r="AY178">
            <v>0</v>
          </cell>
          <cell r="AZ178">
            <v>0</v>
          </cell>
          <cell r="BA178">
            <v>0</v>
          </cell>
          <cell r="BB178">
            <v>0</v>
          </cell>
          <cell r="BC178">
            <v>23685629.376358904</v>
          </cell>
          <cell r="BD178">
            <v>0</v>
          </cell>
          <cell r="BE178">
            <v>0</v>
          </cell>
          <cell r="BF178">
            <v>0</v>
          </cell>
          <cell r="BG178">
            <v>0</v>
          </cell>
          <cell r="BH178">
            <v>0</v>
          </cell>
          <cell r="BI178">
            <v>0</v>
          </cell>
          <cell r="BJ178">
            <v>0</v>
          </cell>
          <cell r="BK178">
            <v>0</v>
          </cell>
          <cell r="BL178">
            <v>0</v>
          </cell>
          <cell r="BM178">
            <v>0</v>
          </cell>
          <cell r="BN178">
            <v>0</v>
          </cell>
          <cell r="BO178">
            <v>0</v>
          </cell>
          <cell r="BP178">
            <v>0</v>
          </cell>
          <cell r="BQ178">
            <v>0</v>
          </cell>
          <cell r="BR178">
            <v>0</v>
          </cell>
          <cell r="BS178">
            <v>0</v>
          </cell>
          <cell r="BT178">
            <v>0</v>
          </cell>
          <cell r="BU178">
            <v>0</v>
          </cell>
          <cell r="BV178">
            <v>0</v>
          </cell>
          <cell r="BW178">
            <v>22977239.638952985</v>
          </cell>
          <cell r="BX178">
            <v>0</v>
          </cell>
          <cell r="BY178">
            <v>0</v>
          </cell>
          <cell r="BZ178">
            <v>34314039.789065659</v>
          </cell>
          <cell r="CA178">
            <v>0</v>
          </cell>
          <cell r="CB178">
            <v>82962444.98716107</v>
          </cell>
          <cell r="CC178">
            <v>0</v>
          </cell>
          <cell r="CD178">
            <v>0</v>
          </cell>
          <cell r="CE178">
            <v>0</v>
          </cell>
          <cell r="CF178">
            <v>0</v>
          </cell>
          <cell r="CG178">
            <v>0</v>
          </cell>
          <cell r="CH178">
            <v>0</v>
          </cell>
          <cell r="CI178">
            <v>17486504.429417122</v>
          </cell>
          <cell r="CJ178">
            <v>0</v>
          </cell>
          <cell r="CK178">
            <v>0</v>
          </cell>
          <cell r="CL178">
            <v>0</v>
          </cell>
          <cell r="CM178">
            <v>0</v>
          </cell>
          <cell r="CN178">
            <v>0</v>
          </cell>
          <cell r="CO178">
            <v>0</v>
          </cell>
          <cell r="CP178">
            <v>0</v>
          </cell>
          <cell r="CQ178">
            <v>0</v>
          </cell>
          <cell r="CR178">
            <v>0</v>
          </cell>
          <cell r="CS178">
            <v>0</v>
          </cell>
          <cell r="CT178">
            <v>0</v>
          </cell>
          <cell r="CU178">
            <v>581815.05990851659</v>
          </cell>
          <cell r="CV178">
            <v>0</v>
          </cell>
          <cell r="CW178">
            <v>0</v>
          </cell>
          <cell r="CX178">
            <v>0</v>
          </cell>
          <cell r="CY178">
            <v>0</v>
          </cell>
          <cell r="CZ178">
            <v>0</v>
          </cell>
          <cell r="DA178">
            <v>0</v>
          </cell>
          <cell r="DB178">
            <v>0</v>
          </cell>
          <cell r="DC178">
            <v>0</v>
          </cell>
          <cell r="DD178">
            <v>0</v>
          </cell>
          <cell r="DE178">
            <v>0</v>
          </cell>
          <cell r="DF178">
            <v>0</v>
          </cell>
          <cell r="DG178">
            <v>24497256.26278365</v>
          </cell>
          <cell r="DH178">
            <v>0</v>
          </cell>
          <cell r="DI178">
            <v>0</v>
          </cell>
          <cell r="DJ178">
            <v>0</v>
          </cell>
          <cell r="DK178">
            <v>0</v>
          </cell>
          <cell r="DL178">
            <v>0</v>
          </cell>
          <cell r="DM178">
            <v>0</v>
          </cell>
          <cell r="DN178">
            <v>0</v>
          </cell>
          <cell r="DO178">
            <v>0</v>
          </cell>
          <cell r="DP178">
            <v>0</v>
          </cell>
          <cell r="DQ178">
            <v>0</v>
          </cell>
          <cell r="DR178">
            <v>0</v>
          </cell>
          <cell r="DS178">
            <v>0</v>
          </cell>
          <cell r="DT178">
            <v>0</v>
          </cell>
          <cell r="DU178">
            <v>0</v>
          </cell>
          <cell r="DV178">
            <v>0</v>
          </cell>
          <cell r="DW178">
            <v>0</v>
          </cell>
          <cell r="DX178">
            <v>0</v>
          </cell>
          <cell r="DY178">
            <v>0</v>
          </cell>
          <cell r="EA178">
            <v>0</v>
          </cell>
          <cell r="EB178">
            <v>0</v>
          </cell>
          <cell r="EC178">
            <v>0</v>
          </cell>
          <cell r="ED178">
            <v>0</v>
          </cell>
          <cell r="EE178">
            <v>0</v>
          </cell>
          <cell r="EF178">
            <v>0</v>
          </cell>
          <cell r="EG178">
            <v>0</v>
          </cell>
          <cell r="EH178">
            <v>0</v>
          </cell>
          <cell r="EI178">
            <v>0</v>
          </cell>
          <cell r="EJ178">
            <v>0</v>
          </cell>
          <cell r="EK178">
            <v>0</v>
          </cell>
          <cell r="EL178">
            <v>0</v>
          </cell>
          <cell r="EM178">
            <v>0</v>
          </cell>
          <cell r="EN178">
            <v>0</v>
          </cell>
          <cell r="EO178">
            <v>0</v>
          </cell>
          <cell r="EP178">
            <v>0</v>
          </cell>
          <cell r="EQ178">
            <v>0</v>
          </cell>
          <cell r="ER178">
            <v>0</v>
          </cell>
          <cell r="ES178">
            <v>0</v>
          </cell>
          <cell r="ET178">
            <v>0</v>
          </cell>
          <cell r="EU178">
            <v>0</v>
          </cell>
          <cell r="EV178">
            <v>0</v>
          </cell>
          <cell r="EW178">
            <v>0</v>
          </cell>
          <cell r="EX178">
            <v>0</v>
          </cell>
          <cell r="EY178">
            <v>0</v>
          </cell>
          <cell r="EZ178">
            <v>0</v>
          </cell>
          <cell r="FA178">
            <v>0</v>
          </cell>
          <cell r="FB178">
            <v>0</v>
          </cell>
          <cell r="FC178">
            <v>0</v>
          </cell>
          <cell r="FD178">
            <v>0</v>
          </cell>
          <cell r="FE178">
            <v>0</v>
          </cell>
          <cell r="FF178">
            <v>0</v>
          </cell>
          <cell r="FG178">
            <v>0</v>
          </cell>
          <cell r="FH178">
            <v>0</v>
          </cell>
          <cell r="FI178">
            <v>0</v>
          </cell>
          <cell r="FJ178">
            <v>0</v>
          </cell>
          <cell r="FK178">
            <v>0</v>
          </cell>
          <cell r="FL178">
            <v>0</v>
          </cell>
          <cell r="FM178">
            <v>0</v>
          </cell>
          <cell r="FN178">
            <v>0</v>
          </cell>
          <cell r="FO178">
            <v>0</v>
          </cell>
          <cell r="FP178">
            <v>0</v>
          </cell>
          <cell r="FQ178">
            <v>0</v>
          </cell>
          <cell r="FR178">
            <v>0</v>
          </cell>
          <cell r="FS178">
            <v>0</v>
          </cell>
          <cell r="FT178">
            <v>0</v>
          </cell>
          <cell r="FU178">
            <v>0</v>
          </cell>
          <cell r="FV178">
            <v>0</v>
          </cell>
          <cell r="FW178">
            <v>0</v>
          </cell>
          <cell r="FX178">
            <v>0</v>
          </cell>
          <cell r="FY178">
            <v>0</v>
          </cell>
          <cell r="FZ178">
            <v>0</v>
          </cell>
        </row>
        <row r="179">
          <cell r="A179" t="str">
            <v>I_CAI_NRF_IRD_IRD_INTR_B15</v>
          </cell>
          <cell r="B179">
            <v>0.1</v>
          </cell>
          <cell r="C179">
            <v>7.0000000000000007E-2</v>
          </cell>
          <cell r="D179">
            <v>0.17</v>
          </cell>
          <cell r="E179">
            <v>0.1</v>
          </cell>
          <cell r="F179">
            <v>0.15</v>
          </cell>
          <cell r="G179">
            <v>0.215</v>
          </cell>
          <cell r="H179">
            <v>6.5000000000000002E-2</v>
          </cell>
          <cell r="I179">
            <v>0.05</v>
          </cell>
          <cell r="J179">
            <v>0.13</v>
          </cell>
          <cell r="K179">
            <v>0.17499999999999999</v>
          </cell>
          <cell r="L179">
            <v>0.17</v>
          </cell>
          <cell r="M179">
            <v>0.16</v>
          </cell>
          <cell r="N179">
            <v>1</v>
          </cell>
          <cell r="O179">
            <v>1</v>
          </cell>
          <cell r="P179">
            <v>1</v>
          </cell>
          <cell r="Q179">
            <v>1</v>
          </cell>
          <cell r="R179">
            <v>1</v>
          </cell>
          <cell r="S179">
            <v>1</v>
          </cell>
          <cell r="T179">
            <v>1</v>
          </cell>
          <cell r="U179">
            <v>1</v>
          </cell>
          <cell r="V179">
            <v>1</v>
          </cell>
          <cell r="W179">
            <v>1</v>
          </cell>
          <cell r="X179">
            <v>1</v>
          </cell>
          <cell r="Y179">
            <v>1</v>
          </cell>
          <cell r="Z179">
            <v>9.5000000000000001E-2</v>
          </cell>
          <cell r="AA179">
            <v>0.1</v>
          </cell>
          <cell r="AB179">
            <v>0.14000000000000001</v>
          </cell>
          <cell r="AC179">
            <v>0.11</v>
          </cell>
          <cell r="AD179">
            <v>0.11</v>
          </cell>
          <cell r="AE179">
            <v>0.19</v>
          </cell>
          <cell r="AF179">
            <v>0.09</v>
          </cell>
          <cell r="AG179">
            <v>0.11</v>
          </cell>
          <cell r="AH179">
            <v>0.15</v>
          </cell>
          <cell r="AI179">
            <v>0.2</v>
          </cell>
          <cell r="AJ179">
            <v>0.2</v>
          </cell>
          <cell r="AK179">
            <v>0.2</v>
          </cell>
          <cell r="AL179">
            <v>0</v>
          </cell>
          <cell r="AM179">
            <v>0</v>
          </cell>
          <cell r="AN179">
            <v>0</v>
          </cell>
          <cell r="AO179">
            <v>0</v>
          </cell>
          <cell r="AP179">
            <v>22769406.666724261</v>
          </cell>
          <cell r="AQ179">
            <v>0</v>
          </cell>
          <cell r="AR179">
            <v>0</v>
          </cell>
          <cell r="AS179">
            <v>0</v>
          </cell>
          <cell r="AT179">
            <v>0</v>
          </cell>
          <cell r="AU179">
            <v>0</v>
          </cell>
          <cell r="AV179">
            <v>0</v>
          </cell>
          <cell r="AW179">
            <v>0</v>
          </cell>
          <cell r="AX179">
            <v>0</v>
          </cell>
          <cell r="AY179">
            <v>0</v>
          </cell>
          <cell r="AZ179">
            <v>0</v>
          </cell>
          <cell r="BA179">
            <v>0</v>
          </cell>
          <cell r="BB179">
            <v>7962485.0230184719</v>
          </cell>
          <cell r="BC179">
            <v>0</v>
          </cell>
          <cell r="BD179">
            <v>0</v>
          </cell>
          <cell r="BE179">
            <v>0</v>
          </cell>
          <cell r="BF179">
            <v>0</v>
          </cell>
          <cell r="BG179">
            <v>0</v>
          </cell>
          <cell r="BH179">
            <v>0</v>
          </cell>
          <cell r="BI179">
            <v>0</v>
          </cell>
          <cell r="BJ179">
            <v>0</v>
          </cell>
          <cell r="BK179">
            <v>0</v>
          </cell>
          <cell r="BL179">
            <v>0</v>
          </cell>
          <cell r="BM179">
            <v>0</v>
          </cell>
          <cell r="BN179">
            <v>0</v>
          </cell>
          <cell r="BO179">
            <v>0</v>
          </cell>
          <cell r="BP179">
            <v>0</v>
          </cell>
          <cell r="BQ179">
            <v>0</v>
          </cell>
          <cell r="BR179">
            <v>0</v>
          </cell>
          <cell r="BS179">
            <v>0</v>
          </cell>
          <cell r="BT179">
            <v>0</v>
          </cell>
          <cell r="BU179">
            <v>0</v>
          </cell>
          <cell r="BV179">
            <v>0</v>
          </cell>
          <cell r="BW179">
            <v>19276356.280421425</v>
          </cell>
          <cell r="BX179">
            <v>0</v>
          </cell>
          <cell r="BY179">
            <v>0</v>
          </cell>
          <cell r="BZ179">
            <v>23087490.026114713</v>
          </cell>
          <cell r="CA179">
            <v>0</v>
          </cell>
          <cell r="CB179">
            <v>27889789.846268937</v>
          </cell>
          <cell r="CC179">
            <v>0</v>
          </cell>
          <cell r="CD179">
            <v>0</v>
          </cell>
          <cell r="CE179">
            <v>0</v>
          </cell>
          <cell r="CF179">
            <v>0</v>
          </cell>
          <cell r="CG179">
            <v>0</v>
          </cell>
          <cell r="CH179">
            <v>10875249.395402823</v>
          </cell>
          <cell r="CI179">
            <v>0</v>
          </cell>
          <cell r="CJ179">
            <v>0</v>
          </cell>
          <cell r="CK179">
            <v>0</v>
          </cell>
          <cell r="CL179">
            <v>0</v>
          </cell>
          <cell r="CM179">
            <v>0</v>
          </cell>
          <cell r="CN179">
            <v>0</v>
          </cell>
          <cell r="CO179">
            <v>0</v>
          </cell>
          <cell r="CP179">
            <v>0</v>
          </cell>
          <cell r="CQ179">
            <v>0</v>
          </cell>
          <cell r="CR179">
            <v>0</v>
          </cell>
          <cell r="CS179">
            <v>0</v>
          </cell>
          <cell r="CT179">
            <v>0</v>
          </cell>
          <cell r="CU179">
            <v>0</v>
          </cell>
          <cell r="CV179">
            <v>0</v>
          </cell>
          <cell r="CW179">
            <v>0</v>
          </cell>
          <cell r="CX179">
            <v>0</v>
          </cell>
          <cell r="CY179">
            <v>0</v>
          </cell>
          <cell r="CZ179">
            <v>0</v>
          </cell>
          <cell r="DA179">
            <v>0</v>
          </cell>
          <cell r="DB179">
            <v>0</v>
          </cell>
          <cell r="DC179">
            <v>0</v>
          </cell>
          <cell r="DD179">
            <v>0</v>
          </cell>
          <cell r="DE179">
            <v>0</v>
          </cell>
          <cell r="DF179">
            <v>22769406.666724261</v>
          </cell>
          <cell r="DG179">
            <v>0</v>
          </cell>
          <cell r="DH179">
            <v>0</v>
          </cell>
          <cell r="DI179">
            <v>0</v>
          </cell>
          <cell r="DJ179">
            <v>0</v>
          </cell>
          <cell r="DK179">
            <v>0</v>
          </cell>
          <cell r="DL179">
            <v>0</v>
          </cell>
          <cell r="DM179">
            <v>0</v>
          </cell>
          <cell r="DN179">
            <v>0</v>
          </cell>
          <cell r="DO179">
            <v>0</v>
          </cell>
          <cell r="DP179">
            <v>0</v>
          </cell>
          <cell r="DQ179">
            <v>0</v>
          </cell>
          <cell r="DR179">
            <v>0</v>
          </cell>
          <cell r="DS179">
            <v>0</v>
          </cell>
          <cell r="DT179">
            <v>0</v>
          </cell>
          <cell r="DU179">
            <v>0</v>
          </cell>
          <cell r="DV179">
            <v>0</v>
          </cell>
          <cell r="DW179">
            <v>0</v>
          </cell>
          <cell r="DX179">
            <v>0</v>
          </cell>
          <cell r="DY179">
            <v>0</v>
          </cell>
          <cell r="EA179">
            <v>0</v>
          </cell>
          <cell r="EB179">
            <v>0</v>
          </cell>
          <cell r="EC179">
            <v>0</v>
          </cell>
          <cell r="ED179">
            <v>0</v>
          </cell>
          <cell r="EE179">
            <v>0</v>
          </cell>
          <cell r="EF179">
            <v>0</v>
          </cell>
          <cell r="EG179">
            <v>0</v>
          </cell>
          <cell r="EH179">
            <v>0</v>
          </cell>
          <cell r="EI179">
            <v>0</v>
          </cell>
          <cell r="EJ179">
            <v>0</v>
          </cell>
          <cell r="EK179">
            <v>0</v>
          </cell>
          <cell r="EL179">
            <v>0</v>
          </cell>
          <cell r="EM179">
            <v>0</v>
          </cell>
          <cell r="EN179">
            <v>0</v>
          </cell>
          <cell r="EO179">
            <v>0</v>
          </cell>
          <cell r="EP179">
            <v>0</v>
          </cell>
          <cell r="EQ179">
            <v>0</v>
          </cell>
          <cell r="ER179">
            <v>0</v>
          </cell>
          <cell r="ES179">
            <v>0</v>
          </cell>
          <cell r="ET179">
            <v>0</v>
          </cell>
          <cell r="EU179">
            <v>0</v>
          </cell>
          <cell r="EV179">
            <v>0</v>
          </cell>
          <cell r="EW179">
            <v>0</v>
          </cell>
          <cell r="EX179">
            <v>0</v>
          </cell>
          <cell r="EY179">
            <v>0</v>
          </cell>
          <cell r="EZ179">
            <v>0</v>
          </cell>
          <cell r="FA179">
            <v>0</v>
          </cell>
          <cell r="FB179">
            <v>0</v>
          </cell>
          <cell r="FC179">
            <v>0</v>
          </cell>
          <cell r="FD179">
            <v>0</v>
          </cell>
          <cell r="FE179">
            <v>0</v>
          </cell>
          <cell r="FF179">
            <v>0</v>
          </cell>
          <cell r="FG179">
            <v>0</v>
          </cell>
          <cell r="FH179">
            <v>0</v>
          </cell>
          <cell r="FI179">
            <v>0</v>
          </cell>
          <cell r="FJ179">
            <v>0</v>
          </cell>
          <cell r="FK179">
            <v>0</v>
          </cell>
          <cell r="FL179">
            <v>0</v>
          </cell>
          <cell r="FM179">
            <v>0</v>
          </cell>
          <cell r="FN179">
            <v>0</v>
          </cell>
          <cell r="FO179">
            <v>0</v>
          </cell>
          <cell r="FP179">
            <v>0</v>
          </cell>
          <cell r="FQ179">
            <v>0</v>
          </cell>
          <cell r="FR179">
            <v>0</v>
          </cell>
          <cell r="FS179">
            <v>0</v>
          </cell>
          <cell r="FT179">
            <v>0</v>
          </cell>
          <cell r="FU179">
            <v>0</v>
          </cell>
          <cell r="FV179">
            <v>0</v>
          </cell>
          <cell r="FW179">
            <v>0</v>
          </cell>
          <cell r="FX179">
            <v>0</v>
          </cell>
          <cell r="FY179">
            <v>0</v>
          </cell>
          <cell r="FZ179">
            <v>0</v>
          </cell>
        </row>
        <row r="180">
          <cell r="A180" t="str">
            <v>I_CAI_NRF_IRD_IRD_INTR_B16</v>
          </cell>
          <cell r="B180">
            <v>0.1</v>
          </cell>
          <cell r="C180">
            <v>7.0000000000000007E-2</v>
          </cell>
          <cell r="D180">
            <v>0.17</v>
          </cell>
          <cell r="E180">
            <v>0.1</v>
          </cell>
          <cell r="F180">
            <v>0.15</v>
          </cell>
          <cell r="G180">
            <v>0.215</v>
          </cell>
          <cell r="H180">
            <v>6.5000000000000002E-2</v>
          </cell>
          <cell r="I180">
            <v>0.05</v>
          </cell>
          <cell r="J180">
            <v>0.13</v>
          </cell>
          <cell r="K180">
            <v>0.17499999999999999</v>
          </cell>
          <cell r="L180">
            <v>0.17</v>
          </cell>
          <cell r="M180">
            <v>0.16</v>
          </cell>
          <cell r="N180">
            <v>1</v>
          </cell>
          <cell r="O180">
            <v>1</v>
          </cell>
          <cell r="P180">
            <v>1</v>
          </cell>
          <cell r="Q180">
            <v>1</v>
          </cell>
          <cell r="R180">
            <v>1</v>
          </cell>
          <cell r="S180">
            <v>1</v>
          </cell>
          <cell r="T180">
            <v>1</v>
          </cell>
          <cell r="U180">
            <v>1</v>
          </cell>
          <cell r="V180">
            <v>1</v>
          </cell>
          <cell r="W180">
            <v>1</v>
          </cell>
          <cell r="X180">
            <v>1</v>
          </cell>
          <cell r="Y180">
            <v>1</v>
          </cell>
          <cell r="Z180">
            <v>9.5000000000000001E-2</v>
          </cell>
          <cell r="AA180">
            <v>0.1</v>
          </cell>
          <cell r="AB180">
            <v>0.14000000000000001</v>
          </cell>
          <cell r="AC180">
            <v>0.11</v>
          </cell>
          <cell r="AD180">
            <v>0.11</v>
          </cell>
          <cell r="AE180">
            <v>0.19</v>
          </cell>
          <cell r="AF180">
            <v>0.09</v>
          </cell>
          <cell r="AG180">
            <v>0.11</v>
          </cell>
          <cell r="AH180">
            <v>0.15</v>
          </cell>
          <cell r="AI180">
            <v>0.2</v>
          </cell>
          <cell r="AJ180">
            <v>0.2</v>
          </cell>
          <cell r="AK180">
            <v>0.2</v>
          </cell>
          <cell r="AL180">
            <v>14313091.171414537</v>
          </cell>
          <cell r="AM180">
            <v>0</v>
          </cell>
          <cell r="AN180">
            <v>0</v>
          </cell>
          <cell r="AO180">
            <v>0</v>
          </cell>
          <cell r="AP180">
            <v>0</v>
          </cell>
          <cell r="AQ180">
            <v>0</v>
          </cell>
          <cell r="AR180">
            <v>0</v>
          </cell>
          <cell r="AS180">
            <v>0</v>
          </cell>
          <cell r="AT180">
            <v>0</v>
          </cell>
          <cell r="AU180">
            <v>0</v>
          </cell>
          <cell r="AV180">
            <v>0</v>
          </cell>
          <cell r="AW180">
            <v>0</v>
          </cell>
          <cell r="AX180">
            <v>2525312.6091305129</v>
          </cell>
          <cell r="AY180">
            <v>0</v>
          </cell>
          <cell r="AZ180">
            <v>0</v>
          </cell>
          <cell r="BA180">
            <v>0</v>
          </cell>
          <cell r="BB180">
            <v>0</v>
          </cell>
          <cell r="BC180">
            <v>0</v>
          </cell>
          <cell r="BD180">
            <v>0</v>
          </cell>
          <cell r="BE180">
            <v>0</v>
          </cell>
          <cell r="BF180">
            <v>0</v>
          </cell>
          <cell r="BG180">
            <v>0</v>
          </cell>
          <cell r="BH180">
            <v>0</v>
          </cell>
          <cell r="BI180">
            <v>0</v>
          </cell>
          <cell r="BJ180">
            <v>0</v>
          </cell>
          <cell r="BK180">
            <v>0</v>
          </cell>
          <cell r="BL180">
            <v>0</v>
          </cell>
          <cell r="BM180">
            <v>0</v>
          </cell>
          <cell r="BN180">
            <v>0</v>
          </cell>
          <cell r="BO180">
            <v>0</v>
          </cell>
          <cell r="BP180">
            <v>0</v>
          </cell>
          <cell r="BQ180">
            <v>0</v>
          </cell>
          <cell r="BR180">
            <v>0</v>
          </cell>
          <cell r="BS180">
            <v>0</v>
          </cell>
          <cell r="BT180">
            <v>0</v>
          </cell>
          <cell r="BU180">
            <v>0</v>
          </cell>
          <cell r="BV180">
            <v>0</v>
          </cell>
          <cell r="BW180">
            <v>57541450.429129049</v>
          </cell>
          <cell r="BX180">
            <v>0</v>
          </cell>
          <cell r="BY180">
            <v>0</v>
          </cell>
          <cell r="BZ180">
            <v>58750156.514636211</v>
          </cell>
          <cell r="CA180">
            <v>0</v>
          </cell>
          <cell r="CB180">
            <v>8845283.5717967693</v>
          </cell>
          <cell r="CC180">
            <v>0</v>
          </cell>
          <cell r="CD180">
            <v>11576634.248623136</v>
          </cell>
          <cell r="CE180">
            <v>0</v>
          </cell>
          <cell r="CF180">
            <v>0</v>
          </cell>
          <cell r="CG180">
            <v>0</v>
          </cell>
          <cell r="CH180">
            <v>0</v>
          </cell>
          <cell r="CI180">
            <v>0</v>
          </cell>
          <cell r="CJ180">
            <v>0</v>
          </cell>
          <cell r="CK180">
            <v>0</v>
          </cell>
          <cell r="CL180">
            <v>0</v>
          </cell>
          <cell r="CM180">
            <v>0</v>
          </cell>
          <cell r="CN180">
            <v>0</v>
          </cell>
          <cell r="CO180">
            <v>0</v>
          </cell>
          <cell r="CP180">
            <v>0</v>
          </cell>
          <cell r="CQ180">
            <v>0</v>
          </cell>
          <cell r="CR180">
            <v>0</v>
          </cell>
          <cell r="CS180">
            <v>0</v>
          </cell>
          <cell r="CT180">
            <v>0</v>
          </cell>
          <cell r="CU180">
            <v>0</v>
          </cell>
          <cell r="CV180">
            <v>0</v>
          </cell>
          <cell r="CW180">
            <v>0</v>
          </cell>
          <cell r="CX180">
            <v>0</v>
          </cell>
          <cell r="CY180">
            <v>0</v>
          </cell>
          <cell r="CZ180">
            <v>0</v>
          </cell>
          <cell r="DA180">
            <v>0</v>
          </cell>
          <cell r="DB180">
            <v>14313091.171414537</v>
          </cell>
          <cell r="DC180">
            <v>0</v>
          </cell>
          <cell r="DD180">
            <v>0</v>
          </cell>
          <cell r="DE180">
            <v>0</v>
          </cell>
          <cell r="DF180">
            <v>0</v>
          </cell>
          <cell r="DG180">
            <v>0</v>
          </cell>
          <cell r="DH180">
            <v>0</v>
          </cell>
          <cell r="DI180">
            <v>0</v>
          </cell>
          <cell r="DJ180">
            <v>0</v>
          </cell>
          <cell r="DK180">
            <v>0</v>
          </cell>
          <cell r="DL180">
            <v>0</v>
          </cell>
          <cell r="DM180">
            <v>0</v>
          </cell>
          <cell r="DN180">
            <v>0</v>
          </cell>
          <cell r="DO180">
            <v>0</v>
          </cell>
          <cell r="DP180">
            <v>0</v>
          </cell>
          <cell r="DQ180">
            <v>0</v>
          </cell>
          <cell r="DR180">
            <v>0</v>
          </cell>
          <cell r="DS180">
            <v>0</v>
          </cell>
          <cell r="DT180">
            <v>0</v>
          </cell>
          <cell r="DU180">
            <v>0</v>
          </cell>
          <cell r="DV180">
            <v>0</v>
          </cell>
          <cell r="DW180">
            <v>0</v>
          </cell>
          <cell r="DX180">
            <v>0</v>
          </cell>
          <cell r="DY180">
            <v>0</v>
          </cell>
          <cell r="EA180">
            <v>0</v>
          </cell>
          <cell r="EB180">
            <v>0</v>
          </cell>
          <cell r="EC180">
            <v>0</v>
          </cell>
          <cell r="ED180">
            <v>0</v>
          </cell>
          <cell r="EE180">
            <v>0</v>
          </cell>
          <cell r="EF180">
            <v>0</v>
          </cell>
          <cell r="EG180">
            <v>0</v>
          </cell>
          <cell r="EH180">
            <v>0</v>
          </cell>
          <cell r="EI180">
            <v>0</v>
          </cell>
          <cell r="EJ180">
            <v>0</v>
          </cell>
          <cell r="EK180">
            <v>0</v>
          </cell>
          <cell r="EL180">
            <v>0</v>
          </cell>
          <cell r="EM180">
            <v>0</v>
          </cell>
          <cell r="EN180">
            <v>0</v>
          </cell>
          <cell r="EO180">
            <v>0</v>
          </cell>
          <cell r="EP180">
            <v>0</v>
          </cell>
          <cell r="EQ180">
            <v>0</v>
          </cell>
          <cell r="ER180">
            <v>0</v>
          </cell>
          <cell r="ES180">
            <v>0</v>
          </cell>
          <cell r="ET180">
            <v>0</v>
          </cell>
          <cell r="EU180">
            <v>0</v>
          </cell>
          <cell r="EV180">
            <v>0</v>
          </cell>
          <cell r="EW180">
            <v>0</v>
          </cell>
          <cell r="EX180">
            <v>0</v>
          </cell>
          <cell r="EY180">
            <v>0</v>
          </cell>
          <cell r="EZ180">
            <v>0</v>
          </cell>
          <cell r="FA180">
            <v>0</v>
          </cell>
          <cell r="FB180">
            <v>0</v>
          </cell>
          <cell r="FC180">
            <v>0</v>
          </cell>
          <cell r="FD180">
            <v>0</v>
          </cell>
          <cell r="FE180">
            <v>0</v>
          </cell>
          <cell r="FF180">
            <v>0</v>
          </cell>
          <cell r="FG180">
            <v>0</v>
          </cell>
          <cell r="FH180">
            <v>0</v>
          </cell>
          <cell r="FI180">
            <v>0</v>
          </cell>
          <cell r="FJ180">
            <v>0</v>
          </cell>
          <cell r="FK180">
            <v>0</v>
          </cell>
          <cell r="FL180">
            <v>0</v>
          </cell>
          <cell r="FM180">
            <v>0</v>
          </cell>
          <cell r="FN180">
            <v>0</v>
          </cell>
          <cell r="FO180">
            <v>0</v>
          </cell>
          <cell r="FP180">
            <v>0</v>
          </cell>
          <cell r="FQ180">
            <v>0</v>
          </cell>
          <cell r="FR180">
            <v>0</v>
          </cell>
          <cell r="FS180">
            <v>0</v>
          </cell>
          <cell r="FT180">
            <v>0</v>
          </cell>
          <cell r="FU180">
            <v>0</v>
          </cell>
          <cell r="FV180">
            <v>0</v>
          </cell>
          <cell r="FW180">
            <v>0</v>
          </cell>
          <cell r="FX180">
            <v>0</v>
          </cell>
          <cell r="FY180">
            <v>0</v>
          </cell>
          <cell r="FZ180">
            <v>0</v>
          </cell>
        </row>
        <row r="181">
          <cell r="A181" t="str">
            <v>I_CAI_NRF_IRD_IRD_INTR_B17</v>
          </cell>
          <cell r="B181">
            <v>0.1</v>
          </cell>
          <cell r="C181">
            <v>7.0000000000000007E-2</v>
          </cell>
          <cell r="D181">
            <v>0.17</v>
          </cell>
          <cell r="E181">
            <v>0.1</v>
          </cell>
          <cell r="F181">
            <v>0.15</v>
          </cell>
          <cell r="G181">
            <v>0.215</v>
          </cell>
          <cell r="H181">
            <v>6.5000000000000002E-2</v>
          </cell>
          <cell r="I181">
            <v>0.05</v>
          </cell>
          <cell r="J181">
            <v>0.13</v>
          </cell>
          <cell r="K181">
            <v>0.17499999999999999</v>
          </cell>
          <cell r="L181">
            <v>0.17</v>
          </cell>
          <cell r="M181">
            <v>0.16</v>
          </cell>
          <cell r="N181">
            <v>1</v>
          </cell>
          <cell r="O181">
            <v>1</v>
          </cell>
          <cell r="P181">
            <v>1</v>
          </cell>
          <cell r="Q181">
            <v>1</v>
          </cell>
          <cell r="R181">
            <v>1</v>
          </cell>
          <cell r="S181">
            <v>1</v>
          </cell>
          <cell r="T181">
            <v>1</v>
          </cell>
          <cell r="U181">
            <v>1</v>
          </cell>
          <cell r="V181">
            <v>1</v>
          </cell>
          <cell r="W181">
            <v>1</v>
          </cell>
          <cell r="X181">
            <v>1</v>
          </cell>
          <cell r="Y181">
            <v>1</v>
          </cell>
          <cell r="Z181">
            <v>9.5000000000000001E-2</v>
          </cell>
          <cell r="AA181">
            <v>0.1</v>
          </cell>
          <cell r="AB181">
            <v>0.14000000000000001</v>
          </cell>
          <cell r="AC181">
            <v>0.11</v>
          </cell>
          <cell r="AD181">
            <v>0.11</v>
          </cell>
          <cell r="AE181">
            <v>0.19</v>
          </cell>
          <cell r="AF181">
            <v>0.09</v>
          </cell>
          <cell r="AG181">
            <v>0.11</v>
          </cell>
          <cell r="AH181">
            <v>0.15</v>
          </cell>
          <cell r="AI181">
            <v>0.2</v>
          </cell>
          <cell r="AJ181">
            <v>0.2</v>
          </cell>
          <cell r="AK181">
            <v>0.2</v>
          </cell>
          <cell r="AL181">
            <v>0</v>
          </cell>
          <cell r="AM181">
            <v>0</v>
          </cell>
          <cell r="AN181">
            <v>0</v>
          </cell>
          <cell r="AO181">
            <v>0</v>
          </cell>
          <cell r="AP181">
            <v>0</v>
          </cell>
          <cell r="AQ181">
            <v>0</v>
          </cell>
          <cell r="AR181">
            <v>0</v>
          </cell>
          <cell r="AS181">
            <v>0</v>
          </cell>
          <cell r="AT181">
            <v>0</v>
          </cell>
          <cell r="AU181">
            <v>0</v>
          </cell>
          <cell r="AV181">
            <v>0</v>
          </cell>
          <cell r="AW181">
            <v>0</v>
          </cell>
          <cell r="AX181">
            <v>0</v>
          </cell>
          <cell r="AY181">
            <v>0</v>
          </cell>
          <cell r="AZ181">
            <v>0</v>
          </cell>
          <cell r="BA181">
            <v>0</v>
          </cell>
          <cell r="BB181">
            <v>0</v>
          </cell>
          <cell r="BC181">
            <v>0</v>
          </cell>
          <cell r="BD181">
            <v>0</v>
          </cell>
          <cell r="BE181">
            <v>0</v>
          </cell>
          <cell r="BF181">
            <v>0</v>
          </cell>
          <cell r="BG181">
            <v>0</v>
          </cell>
          <cell r="BH181">
            <v>0</v>
          </cell>
          <cell r="BI181">
            <v>0</v>
          </cell>
          <cell r="BJ181">
            <v>0</v>
          </cell>
          <cell r="BK181">
            <v>0</v>
          </cell>
          <cell r="BL181">
            <v>0</v>
          </cell>
          <cell r="BM181">
            <v>0</v>
          </cell>
          <cell r="BN181">
            <v>0</v>
          </cell>
          <cell r="BO181">
            <v>0</v>
          </cell>
          <cell r="BP181">
            <v>0</v>
          </cell>
          <cell r="BQ181">
            <v>0</v>
          </cell>
          <cell r="BR181">
            <v>0</v>
          </cell>
          <cell r="BS181">
            <v>0</v>
          </cell>
          <cell r="BT181">
            <v>0</v>
          </cell>
          <cell r="BU181">
            <v>0</v>
          </cell>
          <cell r="BV181">
            <v>0</v>
          </cell>
          <cell r="BW181">
            <v>0</v>
          </cell>
          <cell r="BX181">
            <v>0</v>
          </cell>
          <cell r="BY181">
            <v>0</v>
          </cell>
          <cell r="BZ181">
            <v>0</v>
          </cell>
          <cell r="CA181">
            <v>0</v>
          </cell>
          <cell r="CB181">
            <v>0</v>
          </cell>
          <cell r="CC181">
            <v>0</v>
          </cell>
          <cell r="CD181">
            <v>0</v>
          </cell>
          <cell r="CE181">
            <v>0</v>
          </cell>
          <cell r="CF181">
            <v>0</v>
          </cell>
          <cell r="CG181">
            <v>0</v>
          </cell>
          <cell r="CH181">
            <v>0</v>
          </cell>
          <cell r="CI181">
            <v>0</v>
          </cell>
          <cell r="CJ181">
            <v>0</v>
          </cell>
          <cell r="CK181">
            <v>0</v>
          </cell>
          <cell r="CL181">
            <v>0</v>
          </cell>
          <cell r="CM181">
            <v>0</v>
          </cell>
          <cell r="CN181">
            <v>0</v>
          </cell>
          <cell r="CO181">
            <v>0</v>
          </cell>
          <cell r="CP181">
            <v>0</v>
          </cell>
          <cell r="CQ181">
            <v>0</v>
          </cell>
          <cell r="CR181">
            <v>0</v>
          </cell>
          <cell r="CS181">
            <v>0</v>
          </cell>
          <cell r="CT181">
            <v>0</v>
          </cell>
          <cell r="CU181">
            <v>0</v>
          </cell>
          <cell r="CV181">
            <v>0</v>
          </cell>
          <cell r="CW181">
            <v>0</v>
          </cell>
          <cell r="CX181">
            <v>0</v>
          </cell>
          <cell r="CY181">
            <v>0</v>
          </cell>
          <cell r="CZ181">
            <v>0</v>
          </cell>
          <cell r="DA181">
            <v>0</v>
          </cell>
          <cell r="DB181">
            <v>0</v>
          </cell>
          <cell r="DC181">
            <v>0</v>
          </cell>
          <cell r="DD181">
            <v>0</v>
          </cell>
          <cell r="DE181">
            <v>0</v>
          </cell>
          <cell r="DF181">
            <v>0</v>
          </cell>
          <cell r="DG181">
            <v>0</v>
          </cell>
          <cell r="DH181">
            <v>0</v>
          </cell>
          <cell r="DI181">
            <v>0</v>
          </cell>
          <cell r="DJ181">
            <v>0</v>
          </cell>
          <cell r="DK181">
            <v>0</v>
          </cell>
          <cell r="DL181">
            <v>0</v>
          </cell>
          <cell r="DM181">
            <v>0</v>
          </cell>
          <cell r="DN181">
            <v>0</v>
          </cell>
          <cell r="DO181">
            <v>0</v>
          </cell>
          <cell r="DP181">
            <v>0</v>
          </cell>
          <cell r="DQ181">
            <v>0</v>
          </cell>
          <cell r="DR181">
            <v>0</v>
          </cell>
          <cell r="DS181">
            <v>0</v>
          </cell>
          <cell r="DT181">
            <v>0</v>
          </cell>
          <cell r="DU181">
            <v>0</v>
          </cell>
          <cell r="DV181">
            <v>0</v>
          </cell>
          <cell r="DW181">
            <v>0</v>
          </cell>
          <cell r="DX181">
            <v>0</v>
          </cell>
          <cell r="DY181">
            <v>0</v>
          </cell>
          <cell r="EA181">
            <v>0</v>
          </cell>
          <cell r="EB181">
            <v>0</v>
          </cell>
          <cell r="EC181">
            <v>0</v>
          </cell>
          <cell r="ED181">
            <v>0</v>
          </cell>
          <cell r="EE181">
            <v>0</v>
          </cell>
          <cell r="EF181">
            <v>0</v>
          </cell>
          <cell r="EG181">
            <v>0</v>
          </cell>
          <cell r="EH181">
            <v>0</v>
          </cell>
          <cell r="EI181">
            <v>0</v>
          </cell>
          <cell r="EJ181">
            <v>0</v>
          </cell>
          <cell r="EK181">
            <v>0</v>
          </cell>
          <cell r="EL181">
            <v>0</v>
          </cell>
          <cell r="EM181">
            <v>0</v>
          </cell>
          <cell r="EN181">
            <v>0</v>
          </cell>
          <cell r="EO181">
            <v>0</v>
          </cell>
          <cell r="EP181">
            <v>4385316.3706149515</v>
          </cell>
          <cell r="EQ181">
            <v>0</v>
          </cell>
          <cell r="ER181">
            <v>0</v>
          </cell>
          <cell r="ES181">
            <v>0</v>
          </cell>
          <cell r="ET181">
            <v>0</v>
          </cell>
          <cell r="EU181">
            <v>0</v>
          </cell>
          <cell r="EV181">
            <v>0</v>
          </cell>
          <cell r="EW181">
            <v>0</v>
          </cell>
          <cell r="EX181">
            <v>0</v>
          </cell>
          <cell r="EY181">
            <v>0</v>
          </cell>
          <cell r="EZ181">
            <v>0</v>
          </cell>
          <cell r="FA181">
            <v>0</v>
          </cell>
          <cell r="FB181">
            <v>-11186350.956331016</v>
          </cell>
          <cell r="FC181">
            <v>0</v>
          </cell>
          <cell r="FD181">
            <v>0</v>
          </cell>
          <cell r="FE181">
            <v>3435172.2409610674</v>
          </cell>
          <cell r="FF181">
            <v>0</v>
          </cell>
          <cell r="FG181">
            <v>15360223.803534314</v>
          </cell>
          <cell r="FH181">
            <v>0</v>
          </cell>
          <cell r="FI181">
            <v>0</v>
          </cell>
          <cell r="FJ181">
            <v>0</v>
          </cell>
          <cell r="FK181">
            <v>116761376.03075071</v>
          </cell>
          <cell r="FL181">
            <v>0</v>
          </cell>
          <cell r="FM181">
            <v>0</v>
          </cell>
          <cell r="FN181">
            <v>0</v>
          </cell>
          <cell r="FO181">
            <v>0</v>
          </cell>
          <cell r="FP181">
            <v>0</v>
          </cell>
          <cell r="FQ181">
            <v>0</v>
          </cell>
          <cell r="FR181">
            <v>0</v>
          </cell>
          <cell r="FS181">
            <v>24776708.806764264</v>
          </cell>
          <cell r="FT181">
            <v>0</v>
          </cell>
          <cell r="FU181">
            <v>0</v>
          </cell>
          <cell r="FV181">
            <v>0</v>
          </cell>
          <cell r="FW181">
            <v>0</v>
          </cell>
          <cell r="FX181">
            <v>0</v>
          </cell>
          <cell r="FY181">
            <v>0</v>
          </cell>
          <cell r="FZ181">
            <v>0</v>
          </cell>
        </row>
        <row r="182">
          <cell r="A182" t="str">
            <v>I_BVP_NRF_CPT_PRP_INTR_S11</v>
          </cell>
          <cell r="B182">
            <v>0</v>
          </cell>
          <cell r="C182">
            <v>0</v>
          </cell>
          <cell r="D182">
            <v>0</v>
          </cell>
          <cell r="E182">
            <v>0</v>
          </cell>
          <cell r="F182">
            <v>0</v>
          </cell>
          <cell r="G182">
            <v>0</v>
          </cell>
          <cell r="H182">
            <v>0</v>
          </cell>
          <cell r="I182">
            <v>0</v>
          </cell>
          <cell r="J182">
            <v>0</v>
          </cell>
          <cell r="K182">
            <v>0</v>
          </cell>
          <cell r="L182">
            <v>0</v>
          </cell>
          <cell r="M182">
            <v>0</v>
          </cell>
          <cell r="N182">
            <v>0</v>
          </cell>
          <cell r="O182">
            <v>0</v>
          </cell>
          <cell r="P182">
            <v>0</v>
          </cell>
          <cell r="Q182">
            <v>0</v>
          </cell>
          <cell r="R182">
            <v>0</v>
          </cell>
          <cell r="S182">
            <v>0</v>
          </cell>
          <cell r="T182">
            <v>0</v>
          </cell>
          <cell r="U182">
            <v>0</v>
          </cell>
          <cell r="V182">
            <v>0</v>
          </cell>
          <cell r="W182">
            <v>0</v>
          </cell>
          <cell r="X182">
            <v>0</v>
          </cell>
          <cell r="Y182">
            <v>0</v>
          </cell>
          <cell r="Z182">
            <v>0</v>
          </cell>
          <cell r="AA182">
            <v>0</v>
          </cell>
          <cell r="AB182">
            <v>0</v>
          </cell>
          <cell r="AC182">
            <v>0</v>
          </cell>
          <cell r="AD182">
            <v>0</v>
          </cell>
          <cell r="AE182">
            <v>0</v>
          </cell>
          <cell r="AF182">
            <v>0</v>
          </cell>
          <cell r="AG182">
            <v>0</v>
          </cell>
          <cell r="AH182">
            <v>0</v>
          </cell>
          <cell r="AI182">
            <v>0</v>
          </cell>
          <cell r="AJ182">
            <v>0</v>
          </cell>
          <cell r="AK182">
            <v>0</v>
          </cell>
          <cell r="AL182">
            <v>0</v>
          </cell>
          <cell r="AM182">
            <v>0</v>
          </cell>
          <cell r="AN182">
            <v>0</v>
          </cell>
          <cell r="AO182">
            <v>0</v>
          </cell>
          <cell r="AP182">
            <v>0</v>
          </cell>
          <cell r="AQ182">
            <v>0</v>
          </cell>
          <cell r="AR182">
            <v>0</v>
          </cell>
          <cell r="AS182">
            <v>0</v>
          </cell>
          <cell r="AT182">
            <v>0</v>
          </cell>
          <cell r="AU182">
            <v>0</v>
          </cell>
          <cell r="AV182">
            <v>0</v>
          </cell>
          <cell r="AW182">
            <v>0</v>
          </cell>
          <cell r="AX182">
            <v>0</v>
          </cell>
          <cell r="AY182">
            <v>0</v>
          </cell>
          <cell r="AZ182">
            <v>0</v>
          </cell>
          <cell r="BA182">
            <v>0</v>
          </cell>
          <cell r="BB182">
            <v>0</v>
          </cell>
          <cell r="BC182">
            <v>0</v>
          </cell>
          <cell r="BD182">
            <v>0</v>
          </cell>
          <cell r="BE182">
            <v>0</v>
          </cell>
          <cell r="BF182">
            <v>0</v>
          </cell>
          <cell r="BG182">
            <v>0</v>
          </cell>
          <cell r="BH182">
            <v>0</v>
          </cell>
          <cell r="BI182">
            <v>0</v>
          </cell>
          <cell r="BJ182">
            <v>0</v>
          </cell>
          <cell r="BK182">
            <v>0</v>
          </cell>
          <cell r="BL182">
            <v>0</v>
          </cell>
          <cell r="BM182">
            <v>0</v>
          </cell>
          <cell r="BN182">
            <v>0</v>
          </cell>
          <cell r="BO182">
            <v>0</v>
          </cell>
          <cell r="BP182">
            <v>0</v>
          </cell>
          <cell r="BQ182">
            <v>0</v>
          </cell>
          <cell r="BR182">
            <v>0</v>
          </cell>
          <cell r="BS182">
            <v>0</v>
          </cell>
          <cell r="BT182">
            <v>0</v>
          </cell>
          <cell r="BU182">
            <v>0</v>
          </cell>
          <cell r="BV182">
            <v>0</v>
          </cell>
          <cell r="BW182">
            <v>0</v>
          </cell>
          <cell r="BX182">
            <v>0</v>
          </cell>
          <cell r="BY182">
            <v>0</v>
          </cell>
          <cell r="BZ182">
            <v>0</v>
          </cell>
          <cell r="CA182">
            <v>0</v>
          </cell>
          <cell r="CB182">
            <v>0</v>
          </cell>
          <cell r="CC182">
            <v>0</v>
          </cell>
          <cell r="CD182">
            <v>0</v>
          </cell>
          <cell r="CE182">
            <v>0</v>
          </cell>
          <cell r="CF182">
            <v>0</v>
          </cell>
          <cell r="CG182">
            <v>0</v>
          </cell>
          <cell r="CH182">
            <v>0</v>
          </cell>
          <cell r="CI182">
            <v>0</v>
          </cell>
          <cell r="CJ182">
            <v>0</v>
          </cell>
          <cell r="CK182">
            <v>0</v>
          </cell>
          <cell r="CL182">
            <v>0</v>
          </cell>
          <cell r="CM182">
            <v>0</v>
          </cell>
          <cell r="CN182">
            <v>0</v>
          </cell>
          <cell r="CO182">
            <v>0</v>
          </cell>
          <cell r="CP182">
            <v>0</v>
          </cell>
          <cell r="CQ182">
            <v>0</v>
          </cell>
          <cell r="CR182">
            <v>0</v>
          </cell>
          <cell r="CS182">
            <v>0</v>
          </cell>
          <cell r="CT182">
            <v>0</v>
          </cell>
          <cell r="CU182">
            <v>0</v>
          </cell>
          <cell r="CV182">
            <v>0</v>
          </cell>
          <cell r="CW182">
            <v>0</v>
          </cell>
          <cell r="CX182">
            <v>0</v>
          </cell>
          <cell r="CY182">
            <v>0</v>
          </cell>
          <cell r="CZ182">
            <v>0</v>
          </cell>
          <cell r="DA182">
            <v>0</v>
          </cell>
          <cell r="DB182">
            <v>0</v>
          </cell>
          <cell r="DC182">
            <v>0</v>
          </cell>
          <cell r="DD182">
            <v>0</v>
          </cell>
          <cell r="DE182">
            <v>0</v>
          </cell>
          <cell r="DF182">
            <v>0</v>
          </cell>
          <cell r="DG182">
            <v>0</v>
          </cell>
          <cell r="DH182">
            <v>0</v>
          </cell>
          <cell r="DI182">
            <v>0</v>
          </cell>
          <cell r="DJ182">
            <v>0</v>
          </cell>
          <cell r="DK182">
            <v>0</v>
          </cell>
          <cell r="DL182">
            <v>0</v>
          </cell>
          <cell r="DM182">
            <v>0</v>
          </cell>
          <cell r="DN182">
            <v>0</v>
          </cell>
          <cell r="DO182">
            <v>0</v>
          </cell>
          <cell r="DP182">
            <v>0</v>
          </cell>
          <cell r="DQ182">
            <v>0</v>
          </cell>
          <cell r="DR182">
            <v>0</v>
          </cell>
          <cell r="DS182">
            <v>0</v>
          </cell>
          <cell r="DT182">
            <v>0</v>
          </cell>
          <cell r="DU182">
            <v>0</v>
          </cell>
          <cell r="DV182">
            <v>0</v>
          </cell>
          <cell r="DW182">
            <v>0</v>
          </cell>
          <cell r="DX182">
            <v>0</v>
          </cell>
          <cell r="DY182">
            <v>0</v>
          </cell>
          <cell r="EA182">
            <v>0</v>
          </cell>
          <cell r="EB182">
            <v>0</v>
          </cell>
          <cell r="EC182">
            <v>0</v>
          </cell>
          <cell r="ED182">
            <v>0</v>
          </cell>
          <cell r="EE182">
            <v>0</v>
          </cell>
          <cell r="EF182">
            <v>0</v>
          </cell>
          <cell r="EG182">
            <v>0</v>
          </cell>
          <cell r="EH182">
            <v>0</v>
          </cell>
          <cell r="EI182">
            <v>0</v>
          </cell>
          <cell r="EJ182">
            <v>0</v>
          </cell>
          <cell r="EK182">
            <v>0</v>
          </cell>
          <cell r="EL182">
            <v>0</v>
          </cell>
          <cell r="EM182">
            <v>0</v>
          </cell>
          <cell r="EN182">
            <v>0</v>
          </cell>
          <cell r="EO182">
            <v>0</v>
          </cell>
          <cell r="EP182">
            <v>0</v>
          </cell>
          <cell r="EQ182">
            <v>0</v>
          </cell>
          <cell r="ER182">
            <v>0</v>
          </cell>
          <cell r="ES182">
            <v>0</v>
          </cell>
          <cell r="ET182">
            <v>0</v>
          </cell>
          <cell r="EU182">
            <v>0</v>
          </cell>
          <cell r="EV182">
            <v>0</v>
          </cell>
          <cell r="EW182">
            <v>0</v>
          </cell>
          <cell r="EX182">
            <v>0</v>
          </cell>
          <cell r="EY182">
            <v>0</v>
          </cell>
          <cell r="EZ182">
            <v>0</v>
          </cell>
          <cell r="FA182">
            <v>0</v>
          </cell>
          <cell r="FB182">
            <v>0</v>
          </cell>
          <cell r="FC182">
            <v>0</v>
          </cell>
          <cell r="FD182">
            <v>0</v>
          </cell>
          <cell r="FE182">
            <v>0</v>
          </cell>
          <cell r="FF182">
            <v>0</v>
          </cell>
          <cell r="FG182">
            <v>0</v>
          </cell>
          <cell r="FH182">
            <v>0</v>
          </cell>
          <cell r="FI182">
            <v>0</v>
          </cell>
          <cell r="FJ182">
            <v>0</v>
          </cell>
          <cell r="FK182">
            <v>0</v>
          </cell>
          <cell r="FL182">
            <v>0</v>
          </cell>
          <cell r="FM182">
            <v>0</v>
          </cell>
          <cell r="FN182">
            <v>0</v>
          </cell>
          <cell r="FO182">
            <v>0</v>
          </cell>
          <cell r="FP182">
            <v>0</v>
          </cell>
          <cell r="FQ182">
            <v>0</v>
          </cell>
          <cell r="FR182">
            <v>0</v>
          </cell>
          <cell r="FS182">
            <v>0</v>
          </cell>
          <cell r="FT182">
            <v>0</v>
          </cell>
          <cell r="FU182">
            <v>0</v>
          </cell>
          <cell r="FV182">
            <v>0</v>
          </cell>
          <cell r="FW182">
            <v>0</v>
          </cell>
          <cell r="FX182">
            <v>0</v>
          </cell>
          <cell r="FY182">
            <v>0</v>
          </cell>
          <cell r="FZ182">
            <v>0</v>
          </cell>
        </row>
        <row r="183">
          <cell r="A183" t="str">
            <v>I_BVP_NRF_ASS_EMP_INTR_S12</v>
          </cell>
          <cell r="B183">
            <v>0</v>
          </cell>
          <cell r="C183">
            <v>0</v>
          </cell>
          <cell r="D183">
            <v>0</v>
          </cell>
          <cell r="E183">
            <v>0</v>
          </cell>
          <cell r="F183">
            <v>0</v>
          </cell>
          <cell r="G183">
            <v>0</v>
          </cell>
          <cell r="H183">
            <v>0</v>
          </cell>
          <cell r="I183">
            <v>0</v>
          </cell>
          <cell r="J183">
            <v>0</v>
          </cell>
          <cell r="K183">
            <v>0</v>
          </cell>
          <cell r="L183">
            <v>0</v>
          </cell>
          <cell r="M183">
            <v>0</v>
          </cell>
          <cell r="N183">
            <v>0</v>
          </cell>
          <cell r="O183">
            <v>0</v>
          </cell>
          <cell r="P183">
            <v>0</v>
          </cell>
          <cell r="Q183">
            <v>0</v>
          </cell>
          <cell r="R183">
            <v>0</v>
          </cell>
          <cell r="S183">
            <v>0</v>
          </cell>
          <cell r="T183">
            <v>0</v>
          </cell>
          <cell r="U183">
            <v>0</v>
          </cell>
          <cell r="V183">
            <v>0</v>
          </cell>
          <cell r="W183">
            <v>0</v>
          </cell>
          <cell r="X183">
            <v>0</v>
          </cell>
          <cell r="Y183">
            <v>0</v>
          </cell>
          <cell r="Z183">
            <v>0</v>
          </cell>
          <cell r="AA183">
            <v>0</v>
          </cell>
          <cell r="AB183">
            <v>0</v>
          </cell>
          <cell r="AC183">
            <v>0</v>
          </cell>
          <cell r="AD183">
            <v>0</v>
          </cell>
          <cell r="AE183">
            <v>0</v>
          </cell>
          <cell r="AF183">
            <v>0</v>
          </cell>
          <cell r="AG183">
            <v>0</v>
          </cell>
          <cell r="AH183">
            <v>0</v>
          </cell>
          <cell r="AI183">
            <v>0</v>
          </cell>
          <cell r="AJ183">
            <v>0</v>
          </cell>
          <cell r="AK183">
            <v>0</v>
          </cell>
          <cell r="AL183">
            <v>0</v>
          </cell>
          <cell r="AM183">
            <v>0</v>
          </cell>
          <cell r="AN183">
            <v>0</v>
          </cell>
          <cell r="AO183">
            <v>0</v>
          </cell>
          <cell r="AP183">
            <v>0</v>
          </cell>
          <cell r="AQ183">
            <v>0</v>
          </cell>
          <cell r="AR183">
            <v>0</v>
          </cell>
          <cell r="AS183">
            <v>0</v>
          </cell>
          <cell r="AT183">
            <v>0</v>
          </cell>
          <cell r="AU183">
            <v>0</v>
          </cell>
          <cell r="AV183">
            <v>0</v>
          </cell>
          <cell r="AW183">
            <v>0</v>
          </cell>
          <cell r="AX183">
            <v>0</v>
          </cell>
          <cell r="AY183">
            <v>0</v>
          </cell>
          <cell r="AZ183">
            <v>0</v>
          </cell>
          <cell r="BA183">
            <v>0</v>
          </cell>
          <cell r="BB183">
            <v>0</v>
          </cell>
          <cell r="BC183">
            <v>0</v>
          </cell>
          <cell r="BD183">
            <v>0</v>
          </cell>
          <cell r="BE183">
            <v>0</v>
          </cell>
          <cell r="BF183">
            <v>0</v>
          </cell>
          <cell r="BG183">
            <v>0</v>
          </cell>
          <cell r="BH183">
            <v>0</v>
          </cell>
          <cell r="BI183">
            <v>0</v>
          </cell>
          <cell r="BJ183">
            <v>0</v>
          </cell>
          <cell r="BK183">
            <v>0</v>
          </cell>
          <cell r="BL183">
            <v>0</v>
          </cell>
          <cell r="BM183">
            <v>0</v>
          </cell>
          <cell r="BN183">
            <v>0</v>
          </cell>
          <cell r="BO183">
            <v>0</v>
          </cell>
          <cell r="BP183">
            <v>0</v>
          </cell>
          <cell r="BQ183">
            <v>0</v>
          </cell>
          <cell r="BR183">
            <v>0</v>
          </cell>
          <cell r="BS183">
            <v>0</v>
          </cell>
          <cell r="BT183">
            <v>0</v>
          </cell>
          <cell r="BU183">
            <v>0</v>
          </cell>
          <cell r="BV183">
            <v>0</v>
          </cell>
          <cell r="BW183">
            <v>0</v>
          </cell>
          <cell r="BX183">
            <v>0</v>
          </cell>
          <cell r="BY183">
            <v>0</v>
          </cell>
          <cell r="BZ183">
            <v>0</v>
          </cell>
          <cell r="CA183">
            <v>0</v>
          </cell>
          <cell r="CB183">
            <v>0</v>
          </cell>
          <cell r="CC183">
            <v>0</v>
          </cell>
          <cell r="CD183">
            <v>0</v>
          </cell>
          <cell r="CE183">
            <v>0</v>
          </cell>
          <cell r="CF183">
            <v>0</v>
          </cell>
          <cell r="CG183">
            <v>0</v>
          </cell>
          <cell r="CH183">
            <v>0</v>
          </cell>
          <cell r="CI183">
            <v>0</v>
          </cell>
          <cell r="CJ183">
            <v>0</v>
          </cell>
          <cell r="CK183">
            <v>0</v>
          </cell>
          <cell r="CL183">
            <v>0</v>
          </cell>
          <cell r="CM183">
            <v>0</v>
          </cell>
          <cell r="CN183">
            <v>0</v>
          </cell>
          <cell r="CO183">
            <v>0</v>
          </cell>
          <cell r="CP183">
            <v>0</v>
          </cell>
          <cell r="CQ183">
            <v>0</v>
          </cell>
          <cell r="CR183">
            <v>0</v>
          </cell>
          <cell r="CS183">
            <v>0</v>
          </cell>
          <cell r="CT183">
            <v>0</v>
          </cell>
          <cell r="CU183">
            <v>0</v>
          </cell>
          <cell r="CV183">
            <v>0</v>
          </cell>
          <cell r="CW183">
            <v>0</v>
          </cell>
          <cell r="CX183">
            <v>0</v>
          </cell>
          <cell r="CY183">
            <v>0</v>
          </cell>
          <cell r="CZ183">
            <v>0</v>
          </cell>
          <cell r="DA183">
            <v>0</v>
          </cell>
          <cell r="DB183">
            <v>0</v>
          </cell>
          <cell r="DC183">
            <v>0</v>
          </cell>
          <cell r="DD183">
            <v>0</v>
          </cell>
          <cell r="DE183">
            <v>0</v>
          </cell>
          <cell r="DF183">
            <v>0</v>
          </cell>
          <cell r="DG183">
            <v>0</v>
          </cell>
          <cell r="DH183">
            <v>0</v>
          </cell>
          <cell r="DI183">
            <v>0</v>
          </cell>
          <cell r="DJ183">
            <v>0</v>
          </cell>
          <cell r="DK183">
            <v>0</v>
          </cell>
          <cell r="DL183">
            <v>0</v>
          </cell>
          <cell r="DM183">
            <v>0</v>
          </cell>
          <cell r="DN183">
            <v>0</v>
          </cell>
          <cell r="DO183">
            <v>0</v>
          </cell>
          <cell r="DP183">
            <v>0</v>
          </cell>
          <cell r="DQ183">
            <v>0</v>
          </cell>
          <cell r="DR183">
            <v>0</v>
          </cell>
          <cell r="DS183">
            <v>0</v>
          </cell>
          <cell r="DT183">
            <v>0</v>
          </cell>
          <cell r="DU183">
            <v>0</v>
          </cell>
          <cell r="DV183">
            <v>0</v>
          </cell>
          <cell r="DW183">
            <v>0</v>
          </cell>
          <cell r="DX183">
            <v>0</v>
          </cell>
          <cell r="DY183">
            <v>0</v>
          </cell>
          <cell r="EA183">
            <v>0</v>
          </cell>
          <cell r="EB183">
            <v>0</v>
          </cell>
          <cell r="EC183">
            <v>0</v>
          </cell>
          <cell r="ED183">
            <v>0</v>
          </cell>
          <cell r="EE183">
            <v>0</v>
          </cell>
          <cell r="EF183">
            <v>0</v>
          </cell>
          <cell r="EG183">
            <v>0</v>
          </cell>
          <cell r="EH183">
            <v>0</v>
          </cell>
          <cell r="EI183">
            <v>0</v>
          </cell>
          <cell r="EJ183">
            <v>0</v>
          </cell>
          <cell r="EK183">
            <v>0</v>
          </cell>
          <cell r="EL183">
            <v>0</v>
          </cell>
          <cell r="EM183">
            <v>0</v>
          </cell>
          <cell r="EN183">
            <v>0</v>
          </cell>
          <cell r="EO183">
            <v>0</v>
          </cell>
          <cell r="EP183">
            <v>0</v>
          </cell>
          <cell r="EQ183">
            <v>0</v>
          </cell>
          <cell r="ER183">
            <v>0</v>
          </cell>
          <cell r="ES183">
            <v>0</v>
          </cell>
          <cell r="ET183">
            <v>0</v>
          </cell>
          <cell r="EU183">
            <v>0</v>
          </cell>
          <cell r="EV183">
            <v>0</v>
          </cell>
          <cell r="EW183">
            <v>0</v>
          </cell>
          <cell r="EX183">
            <v>0</v>
          </cell>
          <cell r="EY183">
            <v>0</v>
          </cell>
          <cell r="EZ183">
            <v>0</v>
          </cell>
          <cell r="FA183">
            <v>0</v>
          </cell>
          <cell r="FB183">
            <v>0</v>
          </cell>
          <cell r="FC183">
            <v>0</v>
          </cell>
          <cell r="FD183">
            <v>0</v>
          </cell>
          <cell r="FE183">
            <v>0</v>
          </cell>
          <cell r="FF183">
            <v>0</v>
          </cell>
          <cell r="FG183">
            <v>0</v>
          </cell>
          <cell r="FH183">
            <v>0</v>
          </cell>
          <cell r="FI183">
            <v>0</v>
          </cell>
          <cell r="FJ183">
            <v>0</v>
          </cell>
          <cell r="FK183">
            <v>0</v>
          </cell>
          <cell r="FL183">
            <v>0</v>
          </cell>
          <cell r="FM183">
            <v>0</v>
          </cell>
          <cell r="FN183">
            <v>0</v>
          </cell>
          <cell r="FO183">
            <v>0</v>
          </cell>
          <cell r="FP183">
            <v>0</v>
          </cell>
          <cell r="FQ183">
            <v>0</v>
          </cell>
          <cell r="FR183">
            <v>0</v>
          </cell>
          <cell r="FS183">
            <v>0</v>
          </cell>
          <cell r="FT183">
            <v>0</v>
          </cell>
          <cell r="FU183">
            <v>0</v>
          </cell>
          <cell r="FV183">
            <v>0</v>
          </cell>
          <cell r="FW183">
            <v>0</v>
          </cell>
          <cell r="FX183">
            <v>0</v>
          </cell>
          <cell r="FY183">
            <v>0</v>
          </cell>
          <cell r="FZ183">
            <v>0</v>
          </cell>
        </row>
        <row r="184">
          <cell r="A184" t="str">
            <v>I_BVP_NRF_RIS_IND_INTR_S13</v>
          </cell>
          <cell r="B184">
            <v>0</v>
          </cell>
          <cell r="C184">
            <v>0</v>
          </cell>
          <cell r="D184">
            <v>0</v>
          </cell>
          <cell r="E184">
            <v>0</v>
          </cell>
          <cell r="F184">
            <v>0</v>
          </cell>
          <cell r="G184">
            <v>0</v>
          </cell>
          <cell r="H184">
            <v>0</v>
          </cell>
          <cell r="I184">
            <v>0</v>
          </cell>
          <cell r="J184">
            <v>0</v>
          </cell>
          <cell r="K184">
            <v>0</v>
          </cell>
          <cell r="L184">
            <v>0</v>
          </cell>
          <cell r="M184">
            <v>0</v>
          </cell>
          <cell r="N184">
            <v>0</v>
          </cell>
          <cell r="O184">
            <v>0</v>
          </cell>
          <cell r="P184">
            <v>0</v>
          </cell>
          <cell r="Q184">
            <v>0</v>
          </cell>
          <cell r="R184">
            <v>0</v>
          </cell>
          <cell r="S184">
            <v>0</v>
          </cell>
          <cell r="T184">
            <v>0</v>
          </cell>
          <cell r="U184">
            <v>0</v>
          </cell>
          <cell r="V184">
            <v>0</v>
          </cell>
          <cell r="W184">
            <v>0</v>
          </cell>
          <cell r="X184">
            <v>0</v>
          </cell>
          <cell r="Y184">
            <v>0</v>
          </cell>
          <cell r="Z184">
            <v>0</v>
          </cell>
          <cell r="AA184">
            <v>0</v>
          </cell>
          <cell r="AB184">
            <v>0</v>
          </cell>
          <cell r="AC184">
            <v>0</v>
          </cell>
          <cell r="AD184">
            <v>0</v>
          </cell>
          <cell r="AE184">
            <v>0</v>
          </cell>
          <cell r="AF184">
            <v>0</v>
          </cell>
          <cell r="AG184">
            <v>0</v>
          </cell>
          <cell r="AH184">
            <v>0</v>
          </cell>
          <cell r="AI184">
            <v>0</v>
          </cell>
          <cell r="AJ184">
            <v>0</v>
          </cell>
          <cell r="AK184">
            <v>0</v>
          </cell>
          <cell r="AL184">
            <v>0</v>
          </cell>
          <cell r="AM184">
            <v>0</v>
          </cell>
          <cell r="AN184">
            <v>0</v>
          </cell>
          <cell r="AO184">
            <v>0</v>
          </cell>
          <cell r="AP184">
            <v>0</v>
          </cell>
          <cell r="AQ184">
            <v>0</v>
          </cell>
          <cell r="AR184">
            <v>0</v>
          </cell>
          <cell r="AS184">
            <v>0</v>
          </cell>
          <cell r="AT184">
            <v>0</v>
          </cell>
          <cell r="AU184">
            <v>0</v>
          </cell>
          <cell r="AV184">
            <v>0</v>
          </cell>
          <cell r="AW184">
            <v>0</v>
          </cell>
          <cell r="AX184">
            <v>0</v>
          </cell>
          <cell r="AY184">
            <v>0</v>
          </cell>
          <cell r="AZ184">
            <v>0</v>
          </cell>
          <cell r="BA184">
            <v>0</v>
          </cell>
          <cell r="BB184">
            <v>0</v>
          </cell>
          <cell r="BC184">
            <v>0</v>
          </cell>
          <cell r="BD184">
            <v>0</v>
          </cell>
          <cell r="BE184">
            <v>0</v>
          </cell>
          <cell r="BF184">
            <v>0</v>
          </cell>
          <cell r="BG184">
            <v>0</v>
          </cell>
          <cell r="BH184">
            <v>0</v>
          </cell>
          <cell r="BI184">
            <v>0</v>
          </cell>
          <cell r="BJ184">
            <v>0</v>
          </cell>
          <cell r="BK184">
            <v>0</v>
          </cell>
          <cell r="BL184">
            <v>0</v>
          </cell>
          <cell r="BM184">
            <v>0</v>
          </cell>
          <cell r="BN184">
            <v>0</v>
          </cell>
          <cell r="BO184">
            <v>0</v>
          </cell>
          <cell r="BP184">
            <v>0</v>
          </cell>
          <cell r="BQ184">
            <v>0</v>
          </cell>
          <cell r="BR184">
            <v>0</v>
          </cell>
          <cell r="BS184">
            <v>0</v>
          </cell>
          <cell r="BT184">
            <v>0</v>
          </cell>
          <cell r="BU184">
            <v>0</v>
          </cell>
          <cell r="BV184">
            <v>0</v>
          </cell>
          <cell r="BW184">
            <v>0</v>
          </cell>
          <cell r="BX184">
            <v>0</v>
          </cell>
          <cell r="BY184">
            <v>0</v>
          </cell>
          <cell r="BZ184">
            <v>0</v>
          </cell>
          <cell r="CA184">
            <v>0</v>
          </cell>
          <cell r="CB184">
            <v>0</v>
          </cell>
          <cell r="CC184">
            <v>0</v>
          </cell>
          <cell r="CD184">
            <v>0</v>
          </cell>
          <cell r="CE184">
            <v>0</v>
          </cell>
          <cell r="CF184">
            <v>0</v>
          </cell>
          <cell r="CG184">
            <v>0</v>
          </cell>
          <cell r="CH184">
            <v>0</v>
          </cell>
          <cell r="CI184">
            <v>0</v>
          </cell>
          <cell r="CJ184">
            <v>0</v>
          </cell>
          <cell r="CK184">
            <v>0</v>
          </cell>
          <cell r="CL184">
            <v>0</v>
          </cell>
          <cell r="CM184">
            <v>0</v>
          </cell>
          <cell r="CN184">
            <v>0</v>
          </cell>
          <cell r="CO184">
            <v>0</v>
          </cell>
          <cell r="CP184">
            <v>0</v>
          </cell>
          <cell r="CQ184">
            <v>0</v>
          </cell>
          <cell r="CR184">
            <v>0</v>
          </cell>
          <cell r="CS184">
            <v>0</v>
          </cell>
          <cell r="CT184">
            <v>0</v>
          </cell>
          <cell r="CU184">
            <v>0</v>
          </cell>
          <cell r="CV184">
            <v>0</v>
          </cell>
          <cell r="CW184">
            <v>0</v>
          </cell>
          <cell r="CX184">
            <v>0</v>
          </cell>
          <cell r="CY184">
            <v>0</v>
          </cell>
          <cell r="CZ184">
            <v>0</v>
          </cell>
          <cell r="DA184">
            <v>0</v>
          </cell>
          <cell r="DB184">
            <v>0</v>
          </cell>
          <cell r="DC184">
            <v>0</v>
          </cell>
          <cell r="DD184">
            <v>0</v>
          </cell>
          <cell r="DE184">
            <v>0</v>
          </cell>
          <cell r="DF184">
            <v>0</v>
          </cell>
          <cell r="DG184">
            <v>0</v>
          </cell>
          <cell r="DH184">
            <v>0</v>
          </cell>
          <cell r="DI184">
            <v>0</v>
          </cell>
          <cell r="DJ184">
            <v>0</v>
          </cell>
          <cell r="DK184">
            <v>0</v>
          </cell>
          <cell r="DL184">
            <v>0</v>
          </cell>
          <cell r="DM184">
            <v>0</v>
          </cell>
          <cell r="DN184">
            <v>0</v>
          </cell>
          <cell r="DO184">
            <v>0</v>
          </cell>
          <cell r="DP184">
            <v>0</v>
          </cell>
          <cell r="DQ184">
            <v>0</v>
          </cell>
          <cell r="DR184">
            <v>0</v>
          </cell>
          <cell r="DS184">
            <v>0</v>
          </cell>
          <cell r="DT184">
            <v>0</v>
          </cell>
          <cell r="DU184">
            <v>0</v>
          </cell>
          <cell r="DV184">
            <v>0</v>
          </cell>
          <cell r="DW184">
            <v>0</v>
          </cell>
          <cell r="DX184">
            <v>0</v>
          </cell>
          <cell r="DY184">
            <v>0</v>
          </cell>
          <cell r="EA184">
            <v>0</v>
          </cell>
          <cell r="EB184">
            <v>0</v>
          </cell>
          <cell r="EC184">
            <v>0</v>
          </cell>
          <cell r="ED184">
            <v>0</v>
          </cell>
          <cell r="EE184">
            <v>0</v>
          </cell>
          <cell r="EF184">
            <v>0</v>
          </cell>
          <cell r="EG184">
            <v>0</v>
          </cell>
          <cell r="EH184">
            <v>0</v>
          </cell>
          <cell r="EI184">
            <v>0</v>
          </cell>
          <cell r="EJ184">
            <v>0</v>
          </cell>
          <cell r="EK184">
            <v>0</v>
          </cell>
          <cell r="EL184">
            <v>0</v>
          </cell>
          <cell r="EM184">
            <v>0</v>
          </cell>
          <cell r="EN184">
            <v>0</v>
          </cell>
          <cell r="EO184">
            <v>0</v>
          </cell>
          <cell r="EP184">
            <v>0</v>
          </cell>
          <cell r="EQ184">
            <v>0</v>
          </cell>
          <cell r="ER184">
            <v>0</v>
          </cell>
          <cell r="ES184">
            <v>0</v>
          </cell>
          <cell r="ET184">
            <v>0</v>
          </cell>
          <cell r="EU184">
            <v>0</v>
          </cell>
          <cell r="EV184">
            <v>0</v>
          </cell>
          <cell r="EW184">
            <v>0</v>
          </cell>
          <cell r="EX184">
            <v>0</v>
          </cell>
          <cell r="EY184">
            <v>0</v>
          </cell>
          <cell r="EZ184">
            <v>0</v>
          </cell>
          <cell r="FA184">
            <v>0</v>
          </cell>
          <cell r="FB184">
            <v>0</v>
          </cell>
          <cell r="FC184">
            <v>0</v>
          </cell>
          <cell r="FD184">
            <v>0</v>
          </cell>
          <cell r="FE184">
            <v>0</v>
          </cell>
          <cell r="FF184">
            <v>0</v>
          </cell>
          <cell r="FG184">
            <v>0</v>
          </cell>
          <cell r="FH184">
            <v>0</v>
          </cell>
          <cell r="FI184">
            <v>0</v>
          </cell>
          <cell r="FJ184">
            <v>0</v>
          </cell>
          <cell r="FK184">
            <v>0</v>
          </cell>
          <cell r="FL184">
            <v>0</v>
          </cell>
          <cell r="FM184">
            <v>0</v>
          </cell>
          <cell r="FN184">
            <v>0</v>
          </cell>
          <cell r="FO184">
            <v>0</v>
          </cell>
          <cell r="FP184">
            <v>0</v>
          </cell>
          <cell r="FQ184">
            <v>0</v>
          </cell>
          <cell r="FR184">
            <v>0</v>
          </cell>
          <cell r="FS184">
            <v>0</v>
          </cell>
          <cell r="FT184">
            <v>0</v>
          </cell>
          <cell r="FU184">
            <v>0</v>
          </cell>
          <cell r="FV184">
            <v>0</v>
          </cell>
          <cell r="FW184">
            <v>0</v>
          </cell>
          <cell r="FX184">
            <v>0</v>
          </cell>
          <cell r="FY184">
            <v>0</v>
          </cell>
          <cell r="FZ184">
            <v>0</v>
          </cell>
        </row>
        <row r="185">
          <cell r="A185" t="str">
            <v>I_BVP_NRF_EPA_UCS_INTR_S14</v>
          </cell>
          <cell r="B185">
            <v>0</v>
          </cell>
          <cell r="C185">
            <v>0</v>
          </cell>
          <cell r="D185">
            <v>0</v>
          </cell>
          <cell r="E185">
            <v>0</v>
          </cell>
          <cell r="F185">
            <v>0</v>
          </cell>
          <cell r="G185">
            <v>0</v>
          </cell>
          <cell r="H185">
            <v>0</v>
          </cell>
          <cell r="I185">
            <v>0</v>
          </cell>
          <cell r="J185">
            <v>0</v>
          </cell>
          <cell r="K185">
            <v>0</v>
          </cell>
          <cell r="L185">
            <v>0</v>
          </cell>
          <cell r="M185">
            <v>0</v>
          </cell>
          <cell r="N185">
            <v>0</v>
          </cell>
          <cell r="O185">
            <v>0</v>
          </cell>
          <cell r="P185">
            <v>0</v>
          </cell>
          <cell r="Q185">
            <v>0</v>
          </cell>
          <cell r="R185">
            <v>0</v>
          </cell>
          <cell r="S185">
            <v>0</v>
          </cell>
          <cell r="T185">
            <v>0</v>
          </cell>
          <cell r="U185">
            <v>0</v>
          </cell>
          <cell r="V185">
            <v>0</v>
          </cell>
          <cell r="W185">
            <v>0</v>
          </cell>
          <cell r="X185">
            <v>0</v>
          </cell>
          <cell r="Y185">
            <v>0</v>
          </cell>
          <cell r="Z185">
            <v>0</v>
          </cell>
          <cell r="AA185">
            <v>0</v>
          </cell>
          <cell r="AB185">
            <v>0</v>
          </cell>
          <cell r="AC185">
            <v>0</v>
          </cell>
          <cell r="AD185">
            <v>0</v>
          </cell>
          <cell r="AE185">
            <v>0</v>
          </cell>
          <cell r="AF185">
            <v>0</v>
          </cell>
          <cell r="AG185">
            <v>0</v>
          </cell>
          <cell r="AH185">
            <v>0</v>
          </cell>
          <cell r="AI185">
            <v>0</v>
          </cell>
          <cell r="AJ185">
            <v>0</v>
          </cell>
          <cell r="AK185">
            <v>0</v>
          </cell>
          <cell r="AL185">
            <v>0</v>
          </cell>
          <cell r="AM185">
            <v>0</v>
          </cell>
          <cell r="AN185">
            <v>0</v>
          </cell>
          <cell r="AO185">
            <v>0</v>
          </cell>
          <cell r="AP185">
            <v>0</v>
          </cell>
          <cell r="AQ185">
            <v>0</v>
          </cell>
          <cell r="AR185">
            <v>0</v>
          </cell>
          <cell r="AS185">
            <v>0</v>
          </cell>
          <cell r="AT185">
            <v>0</v>
          </cell>
          <cell r="AU185">
            <v>0</v>
          </cell>
          <cell r="AV185">
            <v>0</v>
          </cell>
          <cell r="AW185">
            <v>0</v>
          </cell>
          <cell r="AX185">
            <v>0</v>
          </cell>
          <cell r="AY185">
            <v>0</v>
          </cell>
          <cell r="AZ185">
            <v>0</v>
          </cell>
          <cell r="BA185">
            <v>0</v>
          </cell>
          <cell r="BB185">
            <v>0</v>
          </cell>
          <cell r="BC185">
            <v>0</v>
          </cell>
          <cell r="BD185">
            <v>0</v>
          </cell>
          <cell r="BE185">
            <v>0</v>
          </cell>
          <cell r="BF185">
            <v>0</v>
          </cell>
          <cell r="BG185">
            <v>0</v>
          </cell>
          <cell r="BH185">
            <v>0</v>
          </cell>
          <cell r="BI185">
            <v>0</v>
          </cell>
          <cell r="BJ185">
            <v>0</v>
          </cell>
          <cell r="BK185">
            <v>0</v>
          </cell>
          <cell r="BL185">
            <v>0</v>
          </cell>
          <cell r="BM185">
            <v>0</v>
          </cell>
          <cell r="BN185">
            <v>0</v>
          </cell>
          <cell r="BO185">
            <v>0</v>
          </cell>
          <cell r="BP185">
            <v>0</v>
          </cell>
          <cell r="BQ185">
            <v>0</v>
          </cell>
          <cell r="BR185">
            <v>0</v>
          </cell>
          <cell r="BS185">
            <v>0</v>
          </cell>
          <cell r="BT185">
            <v>0</v>
          </cell>
          <cell r="BU185">
            <v>0</v>
          </cell>
          <cell r="BV185">
            <v>0</v>
          </cell>
          <cell r="BW185">
            <v>0</v>
          </cell>
          <cell r="BX185">
            <v>0</v>
          </cell>
          <cell r="BY185">
            <v>0</v>
          </cell>
          <cell r="BZ185">
            <v>0</v>
          </cell>
          <cell r="CA185">
            <v>0</v>
          </cell>
          <cell r="CB185">
            <v>0</v>
          </cell>
          <cell r="CC185">
            <v>0</v>
          </cell>
          <cell r="CD185">
            <v>0</v>
          </cell>
          <cell r="CE185">
            <v>0</v>
          </cell>
          <cell r="CF185">
            <v>0</v>
          </cell>
          <cell r="CG185">
            <v>0</v>
          </cell>
          <cell r="CH185">
            <v>0</v>
          </cell>
          <cell r="CI185">
            <v>0</v>
          </cell>
          <cell r="CJ185">
            <v>0</v>
          </cell>
          <cell r="CK185">
            <v>0</v>
          </cell>
          <cell r="CL185">
            <v>0</v>
          </cell>
          <cell r="CM185">
            <v>0</v>
          </cell>
          <cell r="CN185">
            <v>0</v>
          </cell>
          <cell r="CO185">
            <v>0</v>
          </cell>
          <cell r="CP185">
            <v>0</v>
          </cell>
          <cell r="CQ185">
            <v>0</v>
          </cell>
          <cell r="CR185">
            <v>0</v>
          </cell>
          <cell r="CS185">
            <v>0</v>
          </cell>
          <cell r="CT185">
            <v>0</v>
          </cell>
          <cell r="CU185">
            <v>0</v>
          </cell>
          <cell r="CV185">
            <v>0</v>
          </cell>
          <cell r="CW185">
            <v>0</v>
          </cell>
          <cell r="CX185">
            <v>0</v>
          </cell>
          <cell r="CY185">
            <v>0</v>
          </cell>
          <cell r="CZ185">
            <v>0</v>
          </cell>
          <cell r="DA185">
            <v>0</v>
          </cell>
          <cell r="DB185">
            <v>0</v>
          </cell>
          <cell r="DC185">
            <v>0</v>
          </cell>
          <cell r="DD185">
            <v>0</v>
          </cell>
          <cell r="DE185">
            <v>0</v>
          </cell>
          <cell r="DF185">
            <v>0</v>
          </cell>
          <cell r="DG185">
            <v>0</v>
          </cell>
          <cell r="DH185">
            <v>0</v>
          </cell>
          <cell r="DI185">
            <v>0</v>
          </cell>
          <cell r="DJ185">
            <v>0</v>
          </cell>
          <cell r="DK185">
            <v>0</v>
          </cell>
          <cell r="DL185">
            <v>0</v>
          </cell>
          <cell r="DM185">
            <v>0</v>
          </cell>
          <cell r="DN185">
            <v>0</v>
          </cell>
          <cell r="DO185">
            <v>0</v>
          </cell>
          <cell r="DP185">
            <v>0</v>
          </cell>
          <cell r="DQ185">
            <v>0</v>
          </cell>
          <cell r="DR185">
            <v>0</v>
          </cell>
          <cell r="DS185">
            <v>0</v>
          </cell>
          <cell r="DT185">
            <v>0</v>
          </cell>
          <cell r="DU185">
            <v>0</v>
          </cell>
          <cell r="DV185">
            <v>0</v>
          </cell>
          <cell r="DW185">
            <v>0</v>
          </cell>
          <cell r="DX185">
            <v>0</v>
          </cell>
          <cell r="DY185">
            <v>0</v>
          </cell>
          <cell r="EA185">
            <v>0</v>
          </cell>
          <cell r="EB185">
            <v>0</v>
          </cell>
          <cell r="EC185">
            <v>0</v>
          </cell>
          <cell r="ED185">
            <v>0</v>
          </cell>
          <cell r="EE185">
            <v>0</v>
          </cell>
          <cell r="EF185">
            <v>0</v>
          </cell>
          <cell r="EG185">
            <v>0</v>
          </cell>
          <cell r="EH185">
            <v>0</v>
          </cell>
          <cell r="EI185">
            <v>0</v>
          </cell>
          <cell r="EJ185">
            <v>0</v>
          </cell>
          <cell r="EK185">
            <v>0</v>
          </cell>
          <cell r="EL185">
            <v>0</v>
          </cell>
          <cell r="EM185">
            <v>0</v>
          </cell>
          <cell r="EN185">
            <v>0</v>
          </cell>
          <cell r="EO185">
            <v>0</v>
          </cell>
          <cell r="EP185">
            <v>0</v>
          </cell>
          <cell r="EQ185">
            <v>0</v>
          </cell>
          <cell r="ER185">
            <v>0</v>
          </cell>
          <cell r="ES185">
            <v>0</v>
          </cell>
          <cell r="ET185">
            <v>0</v>
          </cell>
          <cell r="EU185">
            <v>0</v>
          </cell>
          <cell r="EV185">
            <v>0</v>
          </cell>
          <cell r="EW185">
            <v>0</v>
          </cell>
          <cell r="EX185">
            <v>0</v>
          </cell>
          <cell r="EY185">
            <v>0</v>
          </cell>
          <cell r="EZ185">
            <v>0</v>
          </cell>
          <cell r="FA185">
            <v>0</v>
          </cell>
          <cell r="FB185">
            <v>0</v>
          </cell>
          <cell r="FC185">
            <v>0</v>
          </cell>
          <cell r="FD185">
            <v>0</v>
          </cell>
          <cell r="FE185">
            <v>0</v>
          </cell>
          <cell r="FF185">
            <v>0</v>
          </cell>
          <cell r="FG185">
            <v>0</v>
          </cell>
          <cell r="FH185">
            <v>0</v>
          </cell>
          <cell r="FI185">
            <v>0</v>
          </cell>
          <cell r="FJ185">
            <v>0</v>
          </cell>
          <cell r="FK185">
            <v>0</v>
          </cell>
          <cell r="FL185">
            <v>0</v>
          </cell>
          <cell r="FM185">
            <v>0</v>
          </cell>
          <cell r="FN185">
            <v>0</v>
          </cell>
          <cell r="FO185">
            <v>0</v>
          </cell>
          <cell r="FP185">
            <v>0</v>
          </cell>
          <cell r="FQ185">
            <v>0</v>
          </cell>
          <cell r="FR185">
            <v>0</v>
          </cell>
          <cell r="FS185">
            <v>0</v>
          </cell>
          <cell r="FT185">
            <v>0</v>
          </cell>
          <cell r="FU185">
            <v>0</v>
          </cell>
          <cell r="FV185">
            <v>0</v>
          </cell>
          <cell r="FW185">
            <v>0</v>
          </cell>
          <cell r="FX185">
            <v>0</v>
          </cell>
          <cell r="FY185">
            <v>0</v>
          </cell>
          <cell r="FZ185">
            <v>0</v>
          </cell>
        </row>
        <row r="186">
          <cell r="A186" t="str">
            <v>I_BVP_NRF_EPA_UCS_INTR_S15</v>
          </cell>
          <cell r="B186">
            <v>0</v>
          </cell>
          <cell r="C186">
            <v>0</v>
          </cell>
          <cell r="D186">
            <v>0</v>
          </cell>
          <cell r="E186">
            <v>0</v>
          </cell>
          <cell r="F186">
            <v>0</v>
          </cell>
          <cell r="G186">
            <v>0</v>
          </cell>
          <cell r="H186">
            <v>0</v>
          </cell>
          <cell r="I186">
            <v>0</v>
          </cell>
          <cell r="J186">
            <v>0</v>
          </cell>
          <cell r="K186">
            <v>0</v>
          </cell>
          <cell r="L186">
            <v>0</v>
          </cell>
          <cell r="M186">
            <v>0</v>
          </cell>
          <cell r="N186">
            <v>0</v>
          </cell>
          <cell r="O186">
            <v>0</v>
          </cell>
          <cell r="P186">
            <v>0</v>
          </cell>
          <cell r="Q186">
            <v>0</v>
          </cell>
          <cell r="R186">
            <v>0</v>
          </cell>
          <cell r="S186">
            <v>0</v>
          </cell>
          <cell r="T186">
            <v>0</v>
          </cell>
          <cell r="U186">
            <v>0</v>
          </cell>
          <cell r="V186">
            <v>0</v>
          </cell>
          <cell r="W186">
            <v>0</v>
          </cell>
          <cell r="X186">
            <v>0</v>
          </cell>
          <cell r="Y186">
            <v>0</v>
          </cell>
          <cell r="Z186">
            <v>0</v>
          </cell>
          <cell r="AA186">
            <v>0</v>
          </cell>
          <cell r="AB186">
            <v>0</v>
          </cell>
          <cell r="AC186">
            <v>0</v>
          </cell>
          <cell r="AD186">
            <v>0</v>
          </cell>
          <cell r="AE186">
            <v>0</v>
          </cell>
          <cell r="AF186">
            <v>0</v>
          </cell>
          <cell r="AG186">
            <v>0</v>
          </cell>
          <cell r="AH186">
            <v>0</v>
          </cell>
          <cell r="AI186">
            <v>0</v>
          </cell>
          <cell r="AJ186">
            <v>0</v>
          </cell>
          <cell r="AK186">
            <v>0</v>
          </cell>
          <cell r="AL186">
            <v>0</v>
          </cell>
          <cell r="AM186">
            <v>0</v>
          </cell>
          <cell r="AN186">
            <v>0</v>
          </cell>
          <cell r="AO186">
            <v>0</v>
          </cell>
          <cell r="AP186">
            <v>0</v>
          </cell>
          <cell r="AQ186">
            <v>0</v>
          </cell>
          <cell r="AR186">
            <v>0</v>
          </cell>
          <cell r="AS186">
            <v>0</v>
          </cell>
          <cell r="AT186">
            <v>0</v>
          </cell>
          <cell r="AU186">
            <v>0</v>
          </cell>
          <cell r="AV186">
            <v>0</v>
          </cell>
          <cell r="AW186">
            <v>0</v>
          </cell>
          <cell r="AX186">
            <v>0</v>
          </cell>
          <cell r="AY186">
            <v>0</v>
          </cell>
          <cell r="AZ186">
            <v>0</v>
          </cell>
          <cell r="BA186">
            <v>0</v>
          </cell>
          <cell r="BB186">
            <v>0</v>
          </cell>
          <cell r="BC186">
            <v>0</v>
          </cell>
          <cell r="BD186">
            <v>0</v>
          </cell>
          <cell r="BE186">
            <v>0</v>
          </cell>
          <cell r="BF186">
            <v>0</v>
          </cell>
          <cell r="BG186">
            <v>0</v>
          </cell>
          <cell r="BH186">
            <v>0</v>
          </cell>
          <cell r="BI186">
            <v>0</v>
          </cell>
          <cell r="BJ186">
            <v>0</v>
          </cell>
          <cell r="BK186">
            <v>0</v>
          </cell>
          <cell r="BL186">
            <v>0</v>
          </cell>
          <cell r="BM186">
            <v>0</v>
          </cell>
          <cell r="BN186">
            <v>0</v>
          </cell>
          <cell r="BO186">
            <v>0</v>
          </cell>
          <cell r="BP186">
            <v>0</v>
          </cell>
          <cell r="BQ186">
            <v>0</v>
          </cell>
          <cell r="BR186">
            <v>0</v>
          </cell>
          <cell r="BS186">
            <v>0</v>
          </cell>
          <cell r="BT186">
            <v>0</v>
          </cell>
          <cell r="BU186">
            <v>0</v>
          </cell>
          <cell r="BV186">
            <v>0</v>
          </cell>
          <cell r="BW186">
            <v>0</v>
          </cell>
          <cell r="BX186">
            <v>0</v>
          </cell>
          <cell r="BY186">
            <v>0</v>
          </cell>
          <cell r="BZ186">
            <v>0</v>
          </cell>
          <cell r="CA186">
            <v>0</v>
          </cell>
          <cell r="CB186">
            <v>0</v>
          </cell>
          <cell r="CC186">
            <v>0</v>
          </cell>
          <cell r="CD186">
            <v>0</v>
          </cell>
          <cell r="CE186">
            <v>0</v>
          </cell>
          <cell r="CF186">
            <v>0</v>
          </cell>
          <cell r="CG186">
            <v>0</v>
          </cell>
          <cell r="CH186">
            <v>0</v>
          </cell>
          <cell r="CI186">
            <v>0</v>
          </cell>
          <cell r="CJ186">
            <v>0</v>
          </cell>
          <cell r="CK186">
            <v>0</v>
          </cell>
          <cell r="CL186">
            <v>0</v>
          </cell>
          <cell r="CM186">
            <v>0</v>
          </cell>
          <cell r="CN186">
            <v>0</v>
          </cell>
          <cell r="CO186">
            <v>0</v>
          </cell>
          <cell r="CP186">
            <v>0</v>
          </cell>
          <cell r="CQ186">
            <v>0</v>
          </cell>
          <cell r="CR186">
            <v>0</v>
          </cell>
          <cell r="CS186">
            <v>0</v>
          </cell>
          <cell r="CT186">
            <v>0</v>
          </cell>
          <cell r="CU186">
            <v>0</v>
          </cell>
          <cell r="CV186">
            <v>0</v>
          </cell>
          <cell r="CW186">
            <v>0</v>
          </cell>
          <cell r="CX186">
            <v>0</v>
          </cell>
          <cell r="CY186">
            <v>0</v>
          </cell>
          <cell r="CZ186">
            <v>0</v>
          </cell>
          <cell r="DA186">
            <v>0</v>
          </cell>
          <cell r="DB186">
            <v>0</v>
          </cell>
          <cell r="DC186">
            <v>0</v>
          </cell>
          <cell r="DD186">
            <v>0</v>
          </cell>
          <cell r="DE186">
            <v>0</v>
          </cell>
          <cell r="DF186">
            <v>0</v>
          </cell>
          <cell r="DG186">
            <v>0</v>
          </cell>
          <cell r="DH186">
            <v>0</v>
          </cell>
          <cell r="DI186">
            <v>0</v>
          </cell>
          <cell r="DJ186">
            <v>0</v>
          </cell>
          <cell r="DK186">
            <v>0</v>
          </cell>
          <cell r="DL186">
            <v>0</v>
          </cell>
          <cell r="DM186">
            <v>0</v>
          </cell>
          <cell r="DN186">
            <v>0</v>
          </cell>
          <cell r="DO186">
            <v>0</v>
          </cell>
          <cell r="DP186">
            <v>0</v>
          </cell>
          <cell r="DQ186">
            <v>0</v>
          </cell>
          <cell r="DR186">
            <v>0</v>
          </cell>
          <cell r="DS186">
            <v>0</v>
          </cell>
          <cell r="DT186">
            <v>0</v>
          </cell>
          <cell r="DU186">
            <v>0</v>
          </cell>
          <cell r="DV186">
            <v>0</v>
          </cell>
          <cell r="DW186">
            <v>0</v>
          </cell>
          <cell r="DX186">
            <v>0</v>
          </cell>
          <cell r="DY186">
            <v>0</v>
          </cell>
          <cell r="EA186">
            <v>0</v>
          </cell>
          <cell r="EB186">
            <v>0</v>
          </cell>
          <cell r="EC186">
            <v>0</v>
          </cell>
          <cell r="ED186">
            <v>0</v>
          </cell>
          <cell r="EE186">
            <v>0</v>
          </cell>
          <cell r="EF186">
            <v>0</v>
          </cell>
          <cell r="EG186">
            <v>0</v>
          </cell>
          <cell r="EH186">
            <v>0</v>
          </cell>
          <cell r="EI186">
            <v>0</v>
          </cell>
          <cell r="EJ186">
            <v>0</v>
          </cell>
          <cell r="EK186">
            <v>0</v>
          </cell>
          <cell r="EL186">
            <v>0</v>
          </cell>
          <cell r="EM186">
            <v>0</v>
          </cell>
          <cell r="EN186">
            <v>0</v>
          </cell>
          <cell r="EO186">
            <v>0</v>
          </cell>
          <cell r="EP186">
            <v>0</v>
          </cell>
          <cell r="EQ186">
            <v>0</v>
          </cell>
          <cell r="ER186">
            <v>0</v>
          </cell>
          <cell r="ES186">
            <v>0</v>
          </cell>
          <cell r="ET186">
            <v>0</v>
          </cell>
          <cell r="EU186">
            <v>0</v>
          </cell>
          <cell r="EV186">
            <v>0</v>
          </cell>
          <cell r="EW186">
            <v>0</v>
          </cell>
          <cell r="EX186">
            <v>0</v>
          </cell>
          <cell r="EY186">
            <v>0</v>
          </cell>
          <cell r="EZ186">
            <v>0</v>
          </cell>
          <cell r="FA186">
            <v>0</v>
          </cell>
          <cell r="FB186">
            <v>0</v>
          </cell>
          <cell r="FC186">
            <v>0</v>
          </cell>
          <cell r="FD186">
            <v>0</v>
          </cell>
          <cell r="FE186">
            <v>0</v>
          </cell>
          <cell r="FF186">
            <v>0</v>
          </cell>
          <cell r="FG186">
            <v>0</v>
          </cell>
          <cell r="FH186">
            <v>0</v>
          </cell>
          <cell r="FI186">
            <v>0</v>
          </cell>
          <cell r="FJ186">
            <v>0</v>
          </cell>
          <cell r="FK186">
            <v>0</v>
          </cell>
          <cell r="FL186">
            <v>0</v>
          </cell>
          <cell r="FM186">
            <v>0</v>
          </cell>
          <cell r="FN186">
            <v>0</v>
          </cell>
          <cell r="FO186">
            <v>0</v>
          </cell>
          <cell r="FP186">
            <v>0</v>
          </cell>
          <cell r="FQ186">
            <v>0</v>
          </cell>
          <cell r="FR186">
            <v>0</v>
          </cell>
          <cell r="FS186">
            <v>0</v>
          </cell>
          <cell r="FT186">
            <v>0</v>
          </cell>
          <cell r="FU186">
            <v>0</v>
          </cell>
          <cell r="FV186">
            <v>0</v>
          </cell>
          <cell r="FW186">
            <v>0</v>
          </cell>
          <cell r="FX186">
            <v>0</v>
          </cell>
          <cell r="FY186">
            <v>0</v>
          </cell>
          <cell r="FZ186">
            <v>0</v>
          </cell>
        </row>
        <row r="187">
          <cell r="A187" t="str">
            <v>I_BVP_NRF_EPA_EUR_INTR_S16</v>
          </cell>
          <cell r="B187">
            <v>0</v>
          </cell>
          <cell r="C187">
            <v>0</v>
          </cell>
          <cell r="D187">
            <v>0</v>
          </cell>
          <cell r="E187">
            <v>0</v>
          </cell>
          <cell r="F187">
            <v>0</v>
          </cell>
          <cell r="G187">
            <v>0</v>
          </cell>
          <cell r="H187">
            <v>0</v>
          </cell>
          <cell r="I187">
            <v>0</v>
          </cell>
          <cell r="J187">
            <v>0</v>
          </cell>
          <cell r="K187">
            <v>0</v>
          </cell>
          <cell r="L187">
            <v>0</v>
          </cell>
          <cell r="M187">
            <v>0</v>
          </cell>
          <cell r="N187">
            <v>0</v>
          </cell>
          <cell r="O187">
            <v>0</v>
          </cell>
          <cell r="P187">
            <v>0</v>
          </cell>
          <cell r="Q187">
            <v>0</v>
          </cell>
          <cell r="R187">
            <v>0</v>
          </cell>
          <cell r="S187">
            <v>0</v>
          </cell>
          <cell r="T187">
            <v>0</v>
          </cell>
          <cell r="U187">
            <v>0</v>
          </cell>
          <cell r="V187">
            <v>0</v>
          </cell>
          <cell r="W187">
            <v>0</v>
          </cell>
          <cell r="X187">
            <v>0</v>
          </cell>
          <cell r="Y187">
            <v>0</v>
          </cell>
          <cell r="Z187">
            <v>0</v>
          </cell>
          <cell r="AA187">
            <v>0</v>
          </cell>
          <cell r="AB187">
            <v>0</v>
          </cell>
          <cell r="AC187">
            <v>0</v>
          </cell>
          <cell r="AD187">
            <v>0</v>
          </cell>
          <cell r="AE187">
            <v>0</v>
          </cell>
          <cell r="AF187">
            <v>0</v>
          </cell>
          <cell r="AG187">
            <v>0</v>
          </cell>
          <cell r="AH187">
            <v>0</v>
          </cell>
          <cell r="AI187">
            <v>0</v>
          </cell>
          <cell r="AJ187">
            <v>0</v>
          </cell>
          <cell r="AK187">
            <v>0</v>
          </cell>
          <cell r="AL187">
            <v>0</v>
          </cell>
          <cell r="AM187">
            <v>0</v>
          </cell>
          <cell r="AN187">
            <v>0</v>
          </cell>
          <cell r="AO187">
            <v>0</v>
          </cell>
          <cell r="AP187">
            <v>0</v>
          </cell>
          <cell r="AQ187">
            <v>0</v>
          </cell>
          <cell r="AR187">
            <v>0</v>
          </cell>
          <cell r="AS187">
            <v>0</v>
          </cell>
          <cell r="AT187">
            <v>0</v>
          </cell>
          <cell r="AU187">
            <v>0</v>
          </cell>
          <cell r="AV187">
            <v>0</v>
          </cell>
          <cell r="AW187">
            <v>0</v>
          </cell>
          <cell r="AX187">
            <v>0</v>
          </cell>
          <cell r="AY187">
            <v>0</v>
          </cell>
          <cell r="AZ187">
            <v>0</v>
          </cell>
          <cell r="BA187">
            <v>0</v>
          </cell>
          <cell r="BB187">
            <v>0</v>
          </cell>
          <cell r="BC187">
            <v>0</v>
          </cell>
          <cell r="BD187">
            <v>0</v>
          </cell>
          <cell r="BE187">
            <v>0</v>
          </cell>
          <cell r="BF187">
            <v>0</v>
          </cell>
          <cell r="BG187">
            <v>0</v>
          </cell>
          <cell r="BH187">
            <v>0</v>
          </cell>
          <cell r="BI187">
            <v>0</v>
          </cell>
          <cell r="BJ187">
            <v>0</v>
          </cell>
          <cell r="BK187">
            <v>0</v>
          </cell>
          <cell r="BL187">
            <v>0</v>
          </cell>
          <cell r="BM187">
            <v>0</v>
          </cell>
          <cell r="BN187">
            <v>0</v>
          </cell>
          <cell r="BO187">
            <v>0</v>
          </cell>
          <cell r="BP187">
            <v>0</v>
          </cell>
          <cell r="BQ187">
            <v>0</v>
          </cell>
          <cell r="BR187">
            <v>0</v>
          </cell>
          <cell r="BS187">
            <v>0</v>
          </cell>
          <cell r="BT187">
            <v>0</v>
          </cell>
          <cell r="BU187">
            <v>0</v>
          </cell>
          <cell r="BV187">
            <v>0</v>
          </cell>
          <cell r="BW187">
            <v>0</v>
          </cell>
          <cell r="BX187">
            <v>0</v>
          </cell>
          <cell r="BY187">
            <v>0</v>
          </cell>
          <cell r="BZ187">
            <v>0</v>
          </cell>
          <cell r="CA187">
            <v>0</v>
          </cell>
          <cell r="CB187">
            <v>0</v>
          </cell>
          <cell r="CC187">
            <v>0</v>
          </cell>
          <cell r="CD187">
            <v>0</v>
          </cell>
          <cell r="CE187">
            <v>0</v>
          </cell>
          <cell r="CF187">
            <v>0</v>
          </cell>
          <cell r="CG187">
            <v>0</v>
          </cell>
          <cell r="CH187">
            <v>0</v>
          </cell>
          <cell r="CI187">
            <v>0</v>
          </cell>
          <cell r="CJ187">
            <v>0</v>
          </cell>
          <cell r="CK187">
            <v>0</v>
          </cell>
          <cell r="CL187">
            <v>0</v>
          </cell>
          <cell r="CM187">
            <v>0</v>
          </cell>
          <cell r="CN187">
            <v>0</v>
          </cell>
          <cell r="CO187">
            <v>0</v>
          </cell>
          <cell r="CP187">
            <v>0</v>
          </cell>
          <cell r="CQ187">
            <v>0</v>
          </cell>
          <cell r="CR187">
            <v>0</v>
          </cell>
          <cell r="CS187">
            <v>0</v>
          </cell>
          <cell r="CT187">
            <v>0</v>
          </cell>
          <cell r="CU187">
            <v>0</v>
          </cell>
          <cell r="CV187">
            <v>0</v>
          </cell>
          <cell r="CW187">
            <v>0</v>
          </cell>
          <cell r="CX187">
            <v>0</v>
          </cell>
          <cell r="CY187">
            <v>0</v>
          </cell>
          <cell r="CZ187">
            <v>0</v>
          </cell>
          <cell r="DA187">
            <v>0</v>
          </cell>
          <cell r="DB187">
            <v>0</v>
          </cell>
          <cell r="DC187">
            <v>0</v>
          </cell>
          <cell r="DD187">
            <v>0</v>
          </cell>
          <cell r="DE187">
            <v>0</v>
          </cell>
          <cell r="DF187">
            <v>0</v>
          </cell>
          <cell r="DG187">
            <v>0</v>
          </cell>
          <cell r="DH187">
            <v>0</v>
          </cell>
          <cell r="DI187">
            <v>0</v>
          </cell>
          <cell r="DJ187">
            <v>0</v>
          </cell>
          <cell r="DK187">
            <v>0</v>
          </cell>
          <cell r="DL187">
            <v>0</v>
          </cell>
          <cell r="DM187">
            <v>0</v>
          </cell>
          <cell r="DN187">
            <v>0</v>
          </cell>
          <cell r="DO187">
            <v>0</v>
          </cell>
          <cell r="DP187">
            <v>0</v>
          </cell>
          <cell r="DQ187">
            <v>0</v>
          </cell>
          <cell r="DR187">
            <v>0</v>
          </cell>
          <cell r="DS187">
            <v>0</v>
          </cell>
          <cell r="DT187">
            <v>0</v>
          </cell>
          <cell r="DU187">
            <v>0</v>
          </cell>
          <cell r="DV187">
            <v>0</v>
          </cell>
          <cell r="DW187">
            <v>0</v>
          </cell>
          <cell r="DX187">
            <v>0</v>
          </cell>
          <cell r="DY187">
            <v>0</v>
          </cell>
          <cell r="EA187">
            <v>0</v>
          </cell>
          <cell r="EB187">
            <v>0</v>
          </cell>
          <cell r="EC187">
            <v>0</v>
          </cell>
          <cell r="ED187">
            <v>0</v>
          </cell>
          <cell r="EE187">
            <v>0</v>
          </cell>
          <cell r="EF187">
            <v>0</v>
          </cell>
          <cell r="EG187">
            <v>0</v>
          </cell>
          <cell r="EH187">
            <v>0</v>
          </cell>
          <cell r="EI187">
            <v>0</v>
          </cell>
          <cell r="EJ187">
            <v>0</v>
          </cell>
          <cell r="EK187">
            <v>0</v>
          </cell>
          <cell r="EL187">
            <v>0</v>
          </cell>
          <cell r="EM187">
            <v>0</v>
          </cell>
          <cell r="EN187">
            <v>0</v>
          </cell>
          <cell r="EO187">
            <v>0</v>
          </cell>
          <cell r="EP187">
            <v>0</v>
          </cell>
          <cell r="EQ187">
            <v>0</v>
          </cell>
          <cell r="ER187">
            <v>0</v>
          </cell>
          <cell r="ES187">
            <v>0</v>
          </cell>
          <cell r="ET187">
            <v>0</v>
          </cell>
          <cell r="EU187">
            <v>0</v>
          </cell>
          <cell r="EV187">
            <v>0</v>
          </cell>
          <cell r="EW187">
            <v>0</v>
          </cell>
          <cell r="EX187">
            <v>0</v>
          </cell>
          <cell r="EY187">
            <v>0</v>
          </cell>
          <cell r="EZ187">
            <v>0</v>
          </cell>
          <cell r="FA187">
            <v>0</v>
          </cell>
          <cell r="FB187">
            <v>0</v>
          </cell>
          <cell r="FC187">
            <v>0</v>
          </cell>
          <cell r="FD187">
            <v>0</v>
          </cell>
          <cell r="FE187">
            <v>0</v>
          </cell>
          <cell r="FF187">
            <v>0</v>
          </cell>
          <cell r="FG187">
            <v>0</v>
          </cell>
          <cell r="FH187">
            <v>0</v>
          </cell>
          <cell r="FI187">
            <v>0</v>
          </cell>
          <cell r="FJ187">
            <v>0</v>
          </cell>
          <cell r="FK187">
            <v>0</v>
          </cell>
          <cell r="FL187">
            <v>0</v>
          </cell>
          <cell r="FM187">
            <v>0</v>
          </cell>
          <cell r="FN187">
            <v>0</v>
          </cell>
          <cell r="FO187">
            <v>0</v>
          </cell>
          <cell r="FP187">
            <v>0</v>
          </cell>
          <cell r="FQ187">
            <v>0</v>
          </cell>
          <cell r="FR187">
            <v>0</v>
          </cell>
          <cell r="FS187">
            <v>0</v>
          </cell>
          <cell r="FT187">
            <v>0</v>
          </cell>
          <cell r="FU187">
            <v>0</v>
          </cell>
          <cell r="FV187">
            <v>0</v>
          </cell>
          <cell r="FW187">
            <v>0</v>
          </cell>
          <cell r="FX187">
            <v>0</v>
          </cell>
          <cell r="FY187">
            <v>0</v>
          </cell>
          <cell r="FZ187">
            <v>0</v>
          </cell>
        </row>
        <row r="188">
          <cell r="A188" t="str">
            <v>I_BVP_NRF_EPA_EUR_INTR_S17</v>
          </cell>
          <cell r="B188">
            <v>0</v>
          </cell>
          <cell r="C188">
            <v>0</v>
          </cell>
          <cell r="D188">
            <v>0</v>
          </cell>
          <cell r="E188">
            <v>0</v>
          </cell>
          <cell r="F188">
            <v>0</v>
          </cell>
          <cell r="G188">
            <v>0</v>
          </cell>
          <cell r="H188">
            <v>0</v>
          </cell>
          <cell r="I188">
            <v>0</v>
          </cell>
          <cell r="J188">
            <v>0</v>
          </cell>
          <cell r="K188">
            <v>0</v>
          </cell>
          <cell r="L188">
            <v>0</v>
          </cell>
          <cell r="M188">
            <v>0</v>
          </cell>
          <cell r="N188">
            <v>0</v>
          </cell>
          <cell r="O188">
            <v>0</v>
          </cell>
          <cell r="P188">
            <v>0</v>
          </cell>
          <cell r="Q188">
            <v>0</v>
          </cell>
          <cell r="R188">
            <v>0</v>
          </cell>
          <cell r="S188">
            <v>0</v>
          </cell>
          <cell r="T188">
            <v>0</v>
          </cell>
          <cell r="U188">
            <v>0</v>
          </cell>
          <cell r="V188">
            <v>0</v>
          </cell>
          <cell r="W188">
            <v>0</v>
          </cell>
          <cell r="X188">
            <v>0</v>
          </cell>
          <cell r="Y188">
            <v>0</v>
          </cell>
          <cell r="Z188">
            <v>0</v>
          </cell>
          <cell r="AA188">
            <v>0</v>
          </cell>
          <cell r="AB188">
            <v>0</v>
          </cell>
          <cell r="AC188">
            <v>0</v>
          </cell>
          <cell r="AD188">
            <v>0</v>
          </cell>
          <cell r="AE188">
            <v>0</v>
          </cell>
          <cell r="AF188">
            <v>0</v>
          </cell>
          <cell r="AG188">
            <v>0</v>
          </cell>
          <cell r="AH188">
            <v>0</v>
          </cell>
          <cell r="AI188">
            <v>0</v>
          </cell>
          <cell r="AJ188">
            <v>0</v>
          </cell>
          <cell r="AK188">
            <v>0</v>
          </cell>
          <cell r="AL188">
            <v>0</v>
          </cell>
          <cell r="AM188">
            <v>0</v>
          </cell>
          <cell r="AN188">
            <v>0</v>
          </cell>
          <cell r="AO188">
            <v>0</v>
          </cell>
          <cell r="AP188">
            <v>0</v>
          </cell>
          <cell r="AQ188">
            <v>0</v>
          </cell>
          <cell r="AR188">
            <v>0</v>
          </cell>
          <cell r="AS188">
            <v>0</v>
          </cell>
          <cell r="AT188">
            <v>0</v>
          </cell>
          <cell r="AU188">
            <v>0</v>
          </cell>
          <cell r="AV188">
            <v>0</v>
          </cell>
          <cell r="AW188">
            <v>0</v>
          </cell>
          <cell r="AX188">
            <v>0</v>
          </cell>
          <cell r="AY188">
            <v>0</v>
          </cell>
          <cell r="AZ188">
            <v>0</v>
          </cell>
          <cell r="BA188">
            <v>0</v>
          </cell>
          <cell r="BB188">
            <v>0</v>
          </cell>
          <cell r="BC188">
            <v>0</v>
          </cell>
          <cell r="BD188">
            <v>0</v>
          </cell>
          <cell r="BE188">
            <v>0</v>
          </cell>
          <cell r="BF188">
            <v>0</v>
          </cell>
          <cell r="BG188">
            <v>0</v>
          </cell>
          <cell r="BH188">
            <v>0</v>
          </cell>
          <cell r="BI188">
            <v>0</v>
          </cell>
          <cell r="BJ188">
            <v>0</v>
          </cell>
          <cell r="BK188">
            <v>0</v>
          </cell>
          <cell r="BL188">
            <v>0</v>
          </cell>
          <cell r="BM188">
            <v>0</v>
          </cell>
          <cell r="BN188">
            <v>0</v>
          </cell>
          <cell r="BO188">
            <v>0</v>
          </cell>
          <cell r="BP188">
            <v>0</v>
          </cell>
          <cell r="BQ188">
            <v>0</v>
          </cell>
          <cell r="BR188">
            <v>0</v>
          </cell>
          <cell r="BS188">
            <v>0</v>
          </cell>
          <cell r="BT188">
            <v>0</v>
          </cell>
          <cell r="BU188">
            <v>0</v>
          </cell>
          <cell r="BV188">
            <v>0</v>
          </cell>
          <cell r="BW188">
            <v>0</v>
          </cell>
          <cell r="BX188">
            <v>0</v>
          </cell>
          <cell r="BY188">
            <v>0</v>
          </cell>
          <cell r="BZ188">
            <v>0</v>
          </cell>
          <cell r="CA188">
            <v>0</v>
          </cell>
          <cell r="CB188">
            <v>0</v>
          </cell>
          <cell r="CC188">
            <v>0</v>
          </cell>
          <cell r="CD188">
            <v>0</v>
          </cell>
          <cell r="CE188">
            <v>0</v>
          </cell>
          <cell r="CF188">
            <v>0</v>
          </cell>
          <cell r="CG188">
            <v>0</v>
          </cell>
          <cell r="CH188">
            <v>0</v>
          </cell>
          <cell r="CI188">
            <v>0</v>
          </cell>
          <cell r="CJ188">
            <v>0</v>
          </cell>
          <cell r="CK188">
            <v>0</v>
          </cell>
          <cell r="CL188">
            <v>0</v>
          </cell>
          <cell r="CM188">
            <v>0</v>
          </cell>
          <cell r="CN188">
            <v>0</v>
          </cell>
          <cell r="CO188">
            <v>0</v>
          </cell>
          <cell r="CP188">
            <v>0</v>
          </cell>
          <cell r="CQ188">
            <v>0</v>
          </cell>
          <cell r="CR188">
            <v>0</v>
          </cell>
          <cell r="CS188">
            <v>0</v>
          </cell>
          <cell r="CT188">
            <v>0</v>
          </cell>
          <cell r="CU188">
            <v>0</v>
          </cell>
          <cell r="CV188">
            <v>0</v>
          </cell>
          <cell r="CW188">
            <v>0</v>
          </cell>
          <cell r="CX188">
            <v>0</v>
          </cell>
          <cell r="CY188">
            <v>0</v>
          </cell>
          <cell r="CZ188">
            <v>0</v>
          </cell>
          <cell r="DA188">
            <v>0</v>
          </cell>
          <cell r="DB188">
            <v>0</v>
          </cell>
          <cell r="DC188">
            <v>0</v>
          </cell>
          <cell r="DD188">
            <v>0</v>
          </cell>
          <cell r="DE188">
            <v>0</v>
          </cell>
          <cell r="DF188">
            <v>0</v>
          </cell>
          <cell r="DG188">
            <v>0</v>
          </cell>
          <cell r="DH188">
            <v>0</v>
          </cell>
          <cell r="DI188">
            <v>0</v>
          </cell>
          <cell r="DJ188">
            <v>0</v>
          </cell>
          <cell r="DK188">
            <v>0</v>
          </cell>
          <cell r="DL188">
            <v>0</v>
          </cell>
          <cell r="DM188">
            <v>0</v>
          </cell>
          <cell r="DN188">
            <v>0</v>
          </cell>
          <cell r="DO188">
            <v>0</v>
          </cell>
          <cell r="DP188">
            <v>0</v>
          </cell>
          <cell r="DQ188">
            <v>0</v>
          </cell>
          <cell r="DR188">
            <v>0</v>
          </cell>
          <cell r="DS188">
            <v>0</v>
          </cell>
          <cell r="DT188">
            <v>0</v>
          </cell>
          <cell r="DU188">
            <v>0</v>
          </cell>
          <cell r="DV188">
            <v>0</v>
          </cell>
          <cell r="DW188">
            <v>0</v>
          </cell>
          <cell r="DX188">
            <v>0</v>
          </cell>
          <cell r="DY188">
            <v>0</v>
          </cell>
          <cell r="EA188">
            <v>0</v>
          </cell>
          <cell r="EB188">
            <v>0</v>
          </cell>
          <cell r="EC188">
            <v>0</v>
          </cell>
          <cell r="ED188">
            <v>0</v>
          </cell>
          <cell r="EE188">
            <v>0</v>
          </cell>
          <cell r="EF188">
            <v>0</v>
          </cell>
          <cell r="EG188">
            <v>0</v>
          </cell>
          <cell r="EH188">
            <v>0</v>
          </cell>
          <cell r="EI188">
            <v>0</v>
          </cell>
          <cell r="EJ188">
            <v>0</v>
          </cell>
          <cell r="EK188">
            <v>0</v>
          </cell>
          <cell r="EL188">
            <v>0</v>
          </cell>
          <cell r="EM188">
            <v>0</v>
          </cell>
          <cell r="EN188">
            <v>0</v>
          </cell>
          <cell r="EO188">
            <v>0</v>
          </cell>
          <cell r="EP188">
            <v>0</v>
          </cell>
          <cell r="EQ188">
            <v>0</v>
          </cell>
          <cell r="ER188">
            <v>0</v>
          </cell>
          <cell r="ES188">
            <v>0</v>
          </cell>
          <cell r="ET188">
            <v>0</v>
          </cell>
          <cell r="EU188">
            <v>0</v>
          </cell>
          <cell r="EV188">
            <v>0</v>
          </cell>
          <cell r="EW188">
            <v>0</v>
          </cell>
          <cell r="EX188">
            <v>0</v>
          </cell>
          <cell r="EY188">
            <v>0</v>
          </cell>
          <cell r="EZ188">
            <v>0</v>
          </cell>
          <cell r="FA188">
            <v>0</v>
          </cell>
          <cell r="FB188">
            <v>0</v>
          </cell>
          <cell r="FC188">
            <v>0</v>
          </cell>
          <cell r="FD188">
            <v>0</v>
          </cell>
          <cell r="FE188">
            <v>0</v>
          </cell>
          <cell r="FF188">
            <v>0</v>
          </cell>
          <cell r="FG188">
            <v>0</v>
          </cell>
          <cell r="FH188">
            <v>0</v>
          </cell>
          <cell r="FI188">
            <v>0</v>
          </cell>
          <cell r="FJ188">
            <v>0</v>
          </cell>
          <cell r="FK188">
            <v>0</v>
          </cell>
          <cell r="FL188">
            <v>0</v>
          </cell>
          <cell r="FM188">
            <v>0</v>
          </cell>
          <cell r="FN188">
            <v>0</v>
          </cell>
          <cell r="FO188">
            <v>0</v>
          </cell>
          <cell r="FP188">
            <v>0</v>
          </cell>
          <cell r="FQ188">
            <v>0</v>
          </cell>
          <cell r="FR188">
            <v>0</v>
          </cell>
          <cell r="FS188">
            <v>0</v>
          </cell>
          <cell r="FT188">
            <v>0</v>
          </cell>
          <cell r="FU188">
            <v>0</v>
          </cell>
          <cell r="FV188">
            <v>0</v>
          </cell>
          <cell r="FW188">
            <v>0</v>
          </cell>
          <cell r="FX188">
            <v>0</v>
          </cell>
          <cell r="FY188">
            <v>0</v>
          </cell>
          <cell r="FZ188">
            <v>0</v>
          </cell>
        </row>
        <row r="189">
          <cell r="A189" t="str">
            <v>I_BVP_NRF_RIS_COL_INTR_S18</v>
          </cell>
          <cell r="B189">
            <v>0</v>
          </cell>
          <cell r="C189">
            <v>0</v>
          </cell>
          <cell r="D189">
            <v>0</v>
          </cell>
          <cell r="E189">
            <v>0</v>
          </cell>
          <cell r="F189">
            <v>0</v>
          </cell>
          <cell r="G189">
            <v>0</v>
          </cell>
          <cell r="H189">
            <v>0</v>
          </cell>
          <cell r="I189">
            <v>0</v>
          </cell>
          <cell r="J189">
            <v>0</v>
          </cell>
          <cell r="K189">
            <v>0</v>
          </cell>
          <cell r="L189">
            <v>0</v>
          </cell>
          <cell r="M189">
            <v>0</v>
          </cell>
          <cell r="N189">
            <v>0</v>
          </cell>
          <cell r="O189">
            <v>0</v>
          </cell>
          <cell r="P189">
            <v>0</v>
          </cell>
          <cell r="Q189">
            <v>0</v>
          </cell>
          <cell r="R189">
            <v>0</v>
          </cell>
          <cell r="S189">
            <v>0</v>
          </cell>
          <cell r="T189">
            <v>0</v>
          </cell>
          <cell r="U189">
            <v>0</v>
          </cell>
          <cell r="V189">
            <v>0</v>
          </cell>
          <cell r="W189">
            <v>0</v>
          </cell>
          <cell r="X189">
            <v>0</v>
          </cell>
          <cell r="Y189">
            <v>0</v>
          </cell>
          <cell r="Z189">
            <v>0</v>
          </cell>
          <cell r="AA189">
            <v>0</v>
          </cell>
          <cell r="AB189">
            <v>0</v>
          </cell>
          <cell r="AC189">
            <v>0</v>
          </cell>
          <cell r="AD189">
            <v>0</v>
          </cell>
          <cell r="AE189">
            <v>0</v>
          </cell>
          <cell r="AF189">
            <v>0</v>
          </cell>
          <cell r="AG189">
            <v>0</v>
          </cell>
          <cell r="AH189">
            <v>0</v>
          </cell>
          <cell r="AI189">
            <v>0</v>
          </cell>
          <cell r="AJ189">
            <v>0</v>
          </cell>
          <cell r="AK189">
            <v>0</v>
          </cell>
          <cell r="AL189">
            <v>0</v>
          </cell>
          <cell r="AM189">
            <v>0</v>
          </cell>
          <cell r="AN189">
            <v>0</v>
          </cell>
          <cell r="AO189">
            <v>0</v>
          </cell>
          <cell r="AP189">
            <v>0</v>
          </cell>
          <cell r="AQ189">
            <v>0</v>
          </cell>
          <cell r="AR189">
            <v>0</v>
          </cell>
          <cell r="AS189">
            <v>0</v>
          </cell>
          <cell r="AT189">
            <v>0</v>
          </cell>
          <cell r="AU189">
            <v>0</v>
          </cell>
          <cell r="AV189">
            <v>0</v>
          </cell>
          <cell r="AW189">
            <v>0</v>
          </cell>
          <cell r="AX189">
            <v>0</v>
          </cell>
          <cell r="AY189">
            <v>0</v>
          </cell>
          <cell r="AZ189">
            <v>0</v>
          </cell>
          <cell r="BA189">
            <v>0</v>
          </cell>
          <cell r="BB189">
            <v>0</v>
          </cell>
          <cell r="BC189">
            <v>0</v>
          </cell>
          <cell r="BD189">
            <v>0</v>
          </cell>
          <cell r="BE189">
            <v>0</v>
          </cell>
          <cell r="BF189">
            <v>0</v>
          </cell>
          <cell r="BG189">
            <v>0</v>
          </cell>
          <cell r="BH189">
            <v>0</v>
          </cell>
          <cell r="BI189">
            <v>0</v>
          </cell>
          <cell r="BJ189">
            <v>0</v>
          </cell>
          <cell r="BK189">
            <v>0</v>
          </cell>
          <cell r="BL189">
            <v>0</v>
          </cell>
          <cell r="BM189">
            <v>0</v>
          </cell>
          <cell r="BN189">
            <v>0</v>
          </cell>
          <cell r="BO189">
            <v>0</v>
          </cell>
          <cell r="BP189">
            <v>0</v>
          </cell>
          <cell r="BQ189">
            <v>0</v>
          </cell>
          <cell r="BR189">
            <v>0</v>
          </cell>
          <cell r="BS189">
            <v>0</v>
          </cell>
          <cell r="BT189">
            <v>0</v>
          </cell>
          <cell r="BU189">
            <v>0</v>
          </cell>
          <cell r="BV189">
            <v>0</v>
          </cell>
          <cell r="BW189">
            <v>0</v>
          </cell>
          <cell r="BX189">
            <v>0</v>
          </cell>
          <cell r="BY189">
            <v>0</v>
          </cell>
          <cell r="BZ189">
            <v>0</v>
          </cell>
          <cell r="CA189">
            <v>0</v>
          </cell>
          <cell r="CB189">
            <v>0</v>
          </cell>
          <cell r="CC189">
            <v>0</v>
          </cell>
          <cell r="CD189">
            <v>0</v>
          </cell>
          <cell r="CE189">
            <v>0</v>
          </cell>
          <cell r="CF189">
            <v>0</v>
          </cell>
          <cell r="CG189">
            <v>0</v>
          </cell>
          <cell r="CH189">
            <v>0</v>
          </cell>
          <cell r="CI189">
            <v>0</v>
          </cell>
          <cell r="CJ189">
            <v>0</v>
          </cell>
          <cell r="CK189">
            <v>0</v>
          </cell>
          <cell r="CL189">
            <v>0</v>
          </cell>
          <cell r="CM189">
            <v>0</v>
          </cell>
          <cell r="CN189">
            <v>0</v>
          </cell>
          <cell r="CO189">
            <v>0</v>
          </cell>
          <cell r="CP189">
            <v>0</v>
          </cell>
          <cell r="CQ189">
            <v>0</v>
          </cell>
          <cell r="CR189">
            <v>0</v>
          </cell>
          <cell r="CS189">
            <v>0</v>
          </cell>
          <cell r="CT189">
            <v>0</v>
          </cell>
          <cell r="CU189">
            <v>0</v>
          </cell>
          <cell r="CV189">
            <v>0</v>
          </cell>
          <cell r="CW189">
            <v>0</v>
          </cell>
          <cell r="CX189">
            <v>0</v>
          </cell>
          <cell r="CY189">
            <v>0</v>
          </cell>
          <cell r="CZ189">
            <v>0</v>
          </cell>
          <cell r="DA189">
            <v>0</v>
          </cell>
          <cell r="DB189">
            <v>0</v>
          </cell>
          <cell r="DC189">
            <v>0</v>
          </cell>
          <cell r="DD189">
            <v>0</v>
          </cell>
          <cell r="DE189">
            <v>0</v>
          </cell>
          <cell r="DF189">
            <v>0</v>
          </cell>
          <cell r="DG189">
            <v>0</v>
          </cell>
          <cell r="DH189">
            <v>0</v>
          </cell>
          <cell r="DI189">
            <v>0</v>
          </cell>
          <cell r="DJ189">
            <v>0</v>
          </cell>
          <cell r="DK189">
            <v>0</v>
          </cell>
          <cell r="DL189">
            <v>0</v>
          </cell>
          <cell r="DM189">
            <v>0</v>
          </cell>
          <cell r="DN189">
            <v>0</v>
          </cell>
          <cell r="DO189">
            <v>0</v>
          </cell>
          <cell r="DP189">
            <v>0</v>
          </cell>
          <cell r="DQ189">
            <v>0</v>
          </cell>
          <cell r="DR189">
            <v>0</v>
          </cell>
          <cell r="DS189">
            <v>0</v>
          </cell>
          <cell r="DT189">
            <v>0</v>
          </cell>
          <cell r="DU189">
            <v>0</v>
          </cell>
          <cell r="DV189">
            <v>0</v>
          </cell>
          <cell r="DW189">
            <v>0</v>
          </cell>
          <cell r="DX189">
            <v>0</v>
          </cell>
          <cell r="DY189">
            <v>0</v>
          </cell>
          <cell r="EA189">
            <v>0</v>
          </cell>
          <cell r="EB189">
            <v>0</v>
          </cell>
          <cell r="EC189">
            <v>0</v>
          </cell>
          <cell r="ED189">
            <v>0</v>
          </cell>
          <cell r="EE189">
            <v>0</v>
          </cell>
          <cell r="EF189">
            <v>0</v>
          </cell>
          <cell r="EG189">
            <v>0</v>
          </cell>
          <cell r="EH189">
            <v>0</v>
          </cell>
          <cell r="EI189">
            <v>0</v>
          </cell>
          <cell r="EJ189">
            <v>0</v>
          </cell>
          <cell r="EK189">
            <v>0</v>
          </cell>
          <cell r="EL189">
            <v>0</v>
          </cell>
          <cell r="EM189">
            <v>0</v>
          </cell>
          <cell r="EN189">
            <v>0</v>
          </cell>
          <cell r="EO189">
            <v>0</v>
          </cell>
          <cell r="EP189">
            <v>0</v>
          </cell>
          <cell r="EQ189">
            <v>0</v>
          </cell>
          <cell r="ER189">
            <v>0</v>
          </cell>
          <cell r="ES189">
            <v>0</v>
          </cell>
          <cell r="ET189">
            <v>0</v>
          </cell>
          <cell r="EU189">
            <v>0</v>
          </cell>
          <cell r="EV189">
            <v>0</v>
          </cell>
          <cell r="EW189">
            <v>0</v>
          </cell>
          <cell r="EX189">
            <v>0</v>
          </cell>
          <cell r="EY189">
            <v>0</v>
          </cell>
          <cell r="EZ189">
            <v>0</v>
          </cell>
          <cell r="FA189">
            <v>0</v>
          </cell>
          <cell r="FB189">
            <v>0</v>
          </cell>
          <cell r="FC189">
            <v>0</v>
          </cell>
          <cell r="FD189">
            <v>0</v>
          </cell>
          <cell r="FE189">
            <v>0</v>
          </cell>
          <cell r="FF189">
            <v>0</v>
          </cell>
          <cell r="FG189">
            <v>0</v>
          </cell>
          <cell r="FH189">
            <v>0</v>
          </cell>
          <cell r="FI189">
            <v>0</v>
          </cell>
          <cell r="FJ189">
            <v>0</v>
          </cell>
          <cell r="FK189">
            <v>0</v>
          </cell>
          <cell r="FL189">
            <v>0</v>
          </cell>
          <cell r="FM189">
            <v>0</v>
          </cell>
          <cell r="FN189">
            <v>0</v>
          </cell>
          <cell r="FO189">
            <v>0</v>
          </cell>
          <cell r="FP189">
            <v>0</v>
          </cell>
          <cell r="FQ189">
            <v>0</v>
          </cell>
          <cell r="FR189">
            <v>0</v>
          </cell>
          <cell r="FS189">
            <v>0</v>
          </cell>
          <cell r="FT189">
            <v>0</v>
          </cell>
          <cell r="FU189">
            <v>0</v>
          </cell>
          <cell r="FV189">
            <v>0</v>
          </cell>
          <cell r="FW189">
            <v>0</v>
          </cell>
          <cell r="FX189">
            <v>0</v>
          </cell>
          <cell r="FY189">
            <v>0</v>
          </cell>
          <cell r="FZ189">
            <v>0</v>
          </cell>
        </row>
        <row r="190">
          <cell r="A190" t="str">
            <v>I_BVP_NRF_RIS_IND_INTR_S19</v>
          </cell>
          <cell r="B190">
            <v>0</v>
          </cell>
          <cell r="C190">
            <v>0</v>
          </cell>
          <cell r="D190">
            <v>0</v>
          </cell>
          <cell r="E190">
            <v>0</v>
          </cell>
          <cell r="F190">
            <v>0</v>
          </cell>
          <cell r="G190">
            <v>0</v>
          </cell>
          <cell r="H190">
            <v>0</v>
          </cell>
          <cell r="I190">
            <v>0</v>
          </cell>
          <cell r="J190">
            <v>0</v>
          </cell>
          <cell r="K190">
            <v>0</v>
          </cell>
          <cell r="L190">
            <v>0</v>
          </cell>
          <cell r="M190">
            <v>0</v>
          </cell>
          <cell r="N190">
            <v>0</v>
          </cell>
          <cell r="O190">
            <v>0</v>
          </cell>
          <cell r="P190">
            <v>0</v>
          </cell>
          <cell r="Q190">
            <v>0</v>
          </cell>
          <cell r="R190">
            <v>0</v>
          </cell>
          <cell r="S190">
            <v>0</v>
          </cell>
          <cell r="T190">
            <v>0</v>
          </cell>
          <cell r="U190">
            <v>0</v>
          </cell>
          <cell r="V190">
            <v>0</v>
          </cell>
          <cell r="W190">
            <v>0</v>
          </cell>
          <cell r="X190">
            <v>0</v>
          </cell>
          <cell r="Y190">
            <v>0</v>
          </cell>
          <cell r="Z190">
            <v>0</v>
          </cell>
          <cell r="AA190">
            <v>0</v>
          </cell>
          <cell r="AB190">
            <v>0</v>
          </cell>
          <cell r="AC190">
            <v>0</v>
          </cell>
          <cell r="AD190">
            <v>0</v>
          </cell>
          <cell r="AE190">
            <v>0</v>
          </cell>
          <cell r="AF190">
            <v>0</v>
          </cell>
          <cell r="AG190">
            <v>0</v>
          </cell>
          <cell r="AH190">
            <v>0</v>
          </cell>
          <cell r="AI190">
            <v>0</v>
          </cell>
          <cell r="AJ190">
            <v>0</v>
          </cell>
          <cell r="AK190">
            <v>0</v>
          </cell>
          <cell r="AL190">
            <v>0</v>
          </cell>
          <cell r="AM190">
            <v>0</v>
          </cell>
          <cell r="AN190">
            <v>0</v>
          </cell>
          <cell r="AO190">
            <v>0</v>
          </cell>
          <cell r="AP190">
            <v>0</v>
          </cell>
          <cell r="AQ190">
            <v>0</v>
          </cell>
          <cell r="AR190">
            <v>0</v>
          </cell>
          <cell r="AS190">
            <v>0</v>
          </cell>
          <cell r="AT190">
            <v>0</v>
          </cell>
          <cell r="AU190">
            <v>0</v>
          </cell>
          <cell r="AV190">
            <v>0</v>
          </cell>
          <cell r="AW190">
            <v>0</v>
          </cell>
          <cell r="AX190">
            <v>0</v>
          </cell>
          <cell r="AY190">
            <v>0</v>
          </cell>
          <cell r="AZ190">
            <v>0</v>
          </cell>
          <cell r="BA190">
            <v>0</v>
          </cell>
          <cell r="BB190">
            <v>0</v>
          </cell>
          <cell r="BC190">
            <v>0</v>
          </cell>
          <cell r="BD190">
            <v>0</v>
          </cell>
          <cell r="BE190">
            <v>0</v>
          </cell>
          <cell r="BF190">
            <v>0</v>
          </cell>
          <cell r="BG190">
            <v>0</v>
          </cell>
          <cell r="BH190">
            <v>0</v>
          </cell>
          <cell r="BI190">
            <v>0</v>
          </cell>
          <cell r="BJ190">
            <v>0</v>
          </cell>
          <cell r="BK190">
            <v>0</v>
          </cell>
          <cell r="BL190">
            <v>0</v>
          </cell>
          <cell r="BM190">
            <v>0</v>
          </cell>
          <cell r="BN190">
            <v>0</v>
          </cell>
          <cell r="BO190">
            <v>0</v>
          </cell>
          <cell r="BP190">
            <v>0</v>
          </cell>
          <cell r="BQ190">
            <v>0</v>
          </cell>
          <cell r="BR190">
            <v>0</v>
          </cell>
          <cell r="BS190">
            <v>0</v>
          </cell>
          <cell r="BT190">
            <v>0</v>
          </cell>
          <cell r="BU190">
            <v>0</v>
          </cell>
          <cell r="BV190">
            <v>0</v>
          </cell>
          <cell r="BW190">
            <v>0</v>
          </cell>
          <cell r="BX190">
            <v>0</v>
          </cell>
          <cell r="BY190">
            <v>0</v>
          </cell>
          <cell r="BZ190">
            <v>0</v>
          </cell>
          <cell r="CA190">
            <v>0</v>
          </cell>
          <cell r="CB190">
            <v>0</v>
          </cell>
          <cell r="CC190">
            <v>0</v>
          </cell>
          <cell r="CD190">
            <v>0</v>
          </cell>
          <cell r="CE190">
            <v>0</v>
          </cell>
          <cell r="CF190">
            <v>0</v>
          </cell>
          <cell r="CG190">
            <v>0</v>
          </cell>
          <cell r="CH190">
            <v>0</v>
          </cell>
          <cell r="CI190">
            <v>0</v>
          </cell>
          <cell r="CJ190">
            <v>0</v>
          </cell>
          <cell r="CK190">
            <v>0</v>
          </cell>
          <cell r="CL190">
            <v>0</v>
          </cell>
          <cell r="CM190">
            <v>0</v>
          </cell>
          <cell r="CN190">
            <v>0</v>
          </cell>
          <cell r="CO190">
            <v>0</v>
          </cell>
          <cell r="CP190">
            <v>0</v>
          </cell>
          <cell r="CQ190">
            <v>0</v>
          </cell>
          <cell r="CR190">
            <v>0</v>
          </cell>
          <cell r="CS190">
            <v>0</v>
          </cell>
          <cell r="CT190">
            <v>0</v>
          </cell>
          <cell r="CU190">
            <v>0</v>
          </cell>
          <cell r="CV190">
            <v>0</v>
          </cell>
          <cell r="CW190">
            <v>0</v>
          </cell>
          <cell r="CX190">
            <v>0</v>
          </cell>
          <cell r="CY190">
            <v>0</v>
          </cell>
          <cell r="CZ190">
            <v>0</v>
          </cell>
          <cell r="DA190">
            <v>0</v>
          </cell>
          <cell r="DB190">
            <v>0</v>
          </cell>
          <cell r="DC190">
            <v>0</v>
          </cell>
          <cell r="DD190">
            <v>0</v>
          </cell>
          <cell r="DE190">
            <v>0</v>
          </cell>
          <cell r="DF190">
            <v>0</v>
          </cell>
          <cell r="DG190">
            <v>0</v>
          </cell>
          <cell r="DH190">
            <v>0</v>
          </cell>
          <cell r="DI190">
            <v>0</v>
          </cell>
          <cell r="DJ190">
            <v>0</v>
          </cell>
          <cell r="DK190">
            <v>0</v>
          </cell>
          <cell r="DL190">
            <v>0</v>
          </cell>
          <cell r="DM190">
            <v>0</v>
          </cell>
          <cell r="DN190">
            <v>0</v>
          </cell>
          <cell r="DO190">
            <v>0</v>
          </cell>
          <cell r="DP190">
            <v>0</v>
          </cell>
          <cell r="DQ190">
            <v>0</v>
          </cell>
          <cell r="DR190">
            <v>0</v>
          </cell>
          <cell r="DS190">
            <v>0</v>
          </cell>
          <cell r="DT190">
            <v>0</v>
          </cell>
          <cell r="DU190">
            <v>0</v>
          </cell>
          <cell r="DV190">
            <v>0</v>
          </cell>
          <cell r="DW190">
            <v>0</v>
          </cell>
          <cell r="DX190">
            <v>0</v>
          </cell>
          <cell r="DY190">
            <v>0</v>
          </cell>
          <cell r="EA190">
            <v>0</v>
          </cell>
          <cell r="EB190">
            <v>0</v>
          </cell>
          <cell r="EC190">
            <v>0</v>
          </cell>
          <cell r="ED190">
            <v>0</v>
          </cell>
          <cell r="EE190">
            <v>0</v>
          </cell>
          <cell r="EF190">
            <v>0</v>
          </cell>
          <cell r="EG190">
            <v>0</v>
          </cell>
          <cell r="EH190">
            <v>0</v>
          </cell>
          <cell r="EI190">
            <v>0</v>
          </cell>
          <cell r="EJ190">
            <v>0</v>
          </cell>
          <cell r="EK190">
            <v>0</v>
          </cell>
          <cell r="EL190">
            <v>0</v>
          </cell>
          <cell r="EM190">
            <v>0</v>
          </cell>
          <cell r="EN190">
            <v>0</v>
          </cell>
          <cell r="EO190">
            <v>0</v>
          </cell>
          <cell r="EP190">
            <v>0</v>
          </cell>
          <cell r="EQ190">
            <v>0</v>
          </cell>
          <cell r="ER190">
            <v>0</v>
          </cell>
          <cell r="ES190">
            <v>0</v>
          </cell>
          <cell r="ET190">
            <v>0</v>
          </cell>
          <cell r="EU190">
            <v>0</v>
          </cell>
          <cell r="EV190">
            <v>0</v>
          </cell>
          <cell r="EW190">
            <v>0</v>
          </cell>
          <cell r="EX190">
            <v>0</v>
          </cell>
          <cell r="EY190">
            <v>0</v>
          </cell>
          <cell r="EZ190">
            <v>0</v>
          </cell>
          <cell r="FA190">
            <v>0</v>
          </cell>
          <cell r="FB190">
            <v>0</v>
          </cell>
          <cell r="FC190">
            <v>0</v>
          </cell>
          <cell r="FD190">
            <v>0</v>
          </cell>
          <cell r="FE190">
            <v>0</v>
          </cell>
          <cell r="FF190">
            <v>0</v>
          </cell>
          <cell r="FG190">
            <v>0</v>
          </cell>
          <cell r="FH190">
            <v>0</v>
          </cell>
          <cell r="FI190">
            <v>0</v>
          </cell>
          <cell r="FJ190">
            <v>0</v>
          </cell>
          <cell r="FK190">
            <v>0</v>
          </cell>
          <cell r="FL190">
            <v>0</v>
          </cell>
          <cell r="FM190">
            <v>0</v>
          </cell>
          <cell r="FN190">
            <v>0</v>
          </cell>
          <cell r="FO190">
            <v>0</v>
          </cell>
          <cell r="FP190">
            <v>0</v>
          </cell>
          <cell r="FQ190">
            <v>0</v>
          </cell>
          <cell r="FR190">
            <v>0</v>
          </cell>
          <cell r="FS190">
            <v>0</v>
          </cell>
          <cell r="FT190">
            <v>0</v>
          </cell>
          <cell r="FU190">
            <v>0</v>
          </cell>
          <cell r="FV190">
            <v>0</v>
          </cell>
          <cell r="FW190">
            <v>0</v>
          </cell>
          <cell r="FX190">
            <v>0</v>
          </cell>
          <cell r="FY190">
            <v>0</v>
          </cell>
          <cell r="FZ190">
            <v>0</v>
          </cell>
        </row>
        <row r="191">
          <cell r="A191" t="str">
            <v>I_BVP_NRF_RIS_IND_INTR_S20</v>
          </cell>
          <cell r="B191">
            <v>0</v>
          </cell>
          <cell r="C191">
            <v>0</v>
          </cell>
          <cell r="D191">
            <v>0</v>
          </cell>
          <cell r="E191">
            <v>0</v>
          </cell>
          <cell r="F191">
            <v>0</v>
          </cell>
          <cell r="G191">
            <v>0</v>
          </cell>
          <cell r="H191">
            <v>0</v>
          </cell>
          <cell r="I191">
            <v>0</v>
          </cell>
          <cell r="J191">
            <v>0</v>
          </cell>
          <cell r="K191">
            <v>0</v>
          </cell>
          <cell r="L191">
            <v>0</v>
          </cell>
          <cell r="M191">
            <v>0</v>
          </cell>
          <cell r="N191">
            <v>0</v>
          </cell>
          <cell r="O191">
            <v>0</v>
          </cell>
          <cell r="P191">
            <v>0</v>
          </cell>
          <cell r="Q191">
            <v>0</v>
          </cell>
          <cell r="R191">
            <v>0</v>
          </cell>
          <cell r="S191">
            <v>0</v>
          </cell>
          <cell r="T191">
            <v>0</v>
          </cell>
          <cell r="U191">
            <v>0</v>
          </cell>
          <cell r="V191">
            <v>0</v>
          </cell>
          <cell r="W191">
            <v>0</v>
          </cell>
          <cell r="X191">
            <v>0</v>
          </cell>
          <cell r="Y191">
            <v>0</v>
          </cell>
          <cell r="Z191">
            <v>0</v>
          </cell>
          <cell r="AA191">
            <v>0</v>
          </cell>
          <cell r="AB191">
            <v>0</v>
          </cell>
          <cell r="AC191">
            <v>0</v>
          </cell>
          <cell r="AD191">
            <v>0</v>
          </cell>
          <cell r="AE191">
            <v>0</v>
          </cell>
          <cell r="AF191">
            <v>0</v>
          </cell>
          <cell r="AG191">
            <v>0</v>
          </cell>
          <cell r="AH191">
            <v>0</v>
          </cell>
          <cell r="AI191">
            <v>0</v>
          </cell>
          <cell r="AJ191">
            <v>0</v>
          </cell>
          <cell r="AK191">
            <v>0</v>
          </cell>
          <cell r="AL191">
            <v>0</v>
          </cell>
          <cell r="AM191">
            <v>0</v>
          </cell>
          <cell r="AN191">
            <v>0</v>
          </cell>
          <cell r="AO191">
            <v>0</v>
          </cell>
          <cell r="AP191">
            <v>0</v>
          </cell>
          <cell r="AQ191">
            <v>0</v>
          </cell>
          <cell r="AR191">
            <v>0</v>
          </cell>
          <cell r="AS191">
            <v>0</v>
          </cell>
          <cell r="AT191">
            <v>0</v>
          </cell>
          <cell r="AU191">
            <v>0</v>
          </cell>
          <cell r="AV191">
            <v>0</v>
          </cell>
          <cell r="AW191">
            <v>0</v>
          </cell>
          <cell r="AX191">
            <v>0</v>
          </cell>
          <cell r="AY191">
            <v>0</v>
          </cell>
          <cell r="AZ191">
            <v>0</v>
          </cell>
          <cell r="BA191">
            <v>0</v>
          </cell>
          <cell r="BB191">
            <v>0</v>
          </cell>
          <cell r="BC191">
            <v>0</v>
          </cell>
          <cell r="BD191">
            <v>0</v>
          </cell>
          <cell r="BE191">
            <v>0</v>
          </cell>
          <cell r="BF191">
            <v>0</v>
          </cell>
          <cell r="BG191">
            <v>0</v>
          </cell>
          <cell r="BH191">
            <v>0</v>
          </cell>
          <cell r="BI191">
            <v>0</v>
          </cell>
          <cell r="BJ191">
            <v>0</v>
          </cell>
          <cell r="BK191">
            <v>0</v>
          </cell>
          <cell r="BL191">
            <v>0</v>
          </cell>
          <cell r="BM191">
            <v>0</v>
          </cell>
          <cell r="BN191">
            <v>0</v>
          </cell>
          <cell r="BO191">
            <v>0</v>
          </cell>
          <cell r="BP191">
            <v>0</v>
          </cell>
          <cell r="BQ191">
            <v>0</v>
          </cell>
          <cell r="BR191">
            <v>0</v>
          </cell>
          <cell r="BS191">
            <v>0</v>
          </cell>
          <cell r="BT191">
            <v>0</v>
          </cell>
          <cell r="BU191">
            <v>0</v>
          </cell>
          <cell r="BV191">
            <v>0</v>
          </cell>
          <cell r="BW191">
            <v>0</v>
          </cell>
          <cell r="BX191">
            <v>0</v>
          </cell>
          <cell r="BY191">
            <v>0</v>
          </cell>
          <cell r="BZ191">
            <v>0</v>
          </cell>
          <cell r="CA191">
            <v>0</v>
          </cell>
          <cell r="CB191">
            <v>0</v>
          </cell>
          <cell r="CC191">
            <v>0</v>
          </cell>
          <cell r="CD191">
            <v>0</v>
          </cell>
          <cell r="CE191">
            <v>0</v>
          </cell>
          <cell r="CF191">
            <v>0</v>
          </cell>
          <cell r="CG191">
            <v>0</v>
          </cell>
          <cell r="CH191">
            <v>0</v>
          </cell>
          <cell r="CI191">
            <v>0</v>
          </cell>
          <cell r="CJ191">
            <v>0</v>
          </cell>
          <cell r="CK191">
            <v>0</v>
          </cell>
          <cell r="CL191">
            <v>0</v>
          </cell>
          <cell r="CM191">
            <v>0</v>
          </cell>
          <cell r="CN191">
            <v>0</v>
          </cell>
          <cell r="CO191">
            <v>0</v>
          </cell>
          <cell r="CP191">
            <v>0</v>
          </cell>
          <cell r="CQ191">
            <v>0</v>
          </cell>
          <cell r="CR191">
            <v>0</v>
          </cell>
          <cell r="CS191">
            <v>0</v>
          </cell>
          <cell r="CT191">
            <v>0</v>
          </cell>
          <cell r="CU191">
            <v>0</v>
          </cell>
          <cell r="CV191">
            <v>0</v>
          </cell>
          <cell r="CW191">
            <v>0</v>
          </cell>
          <cell r="CX191">
            <v>0</v>
          </cell>
          <cell r="CY191">
            <v>0</v>
          </cell>
          <cell r="CZ191">
            <v>0</v>
          </cell>
          <cell r="DA191">
            <v>0</v>
          </cell>
          <cell r="DB191">
            <v>0</v>
          </cell>
          <cell r="DC191">
            <v>0</v>
          </cell>
          <cell r="DD191">
            <v>0</v>
          </cell>
          <cell r="DE191">
            <v>0</v>
          </cell>
          <cell r="DF191">
            <v>0</v>
          </cell>
          <cell r="DG191">
            <v>0</v>
          </cell>
          <cell r="DH191">
            <v>0</v>
          </cell>
          <cell r="DI191">
            <v>0</v>
          </cell>
          <cell r="DJ191">
            <v>0</v>
          </cell>
          <cell r="DK191">
            <v>0</v>
          </cell>
          <cell r="DL191">
            <v>0</v>
          </cell>
          <cell r="DM191">
            <v>0</v>
          </cell>
          <cell r="DN191">
            <v>0</v>
          </cell>
          <cell r="DO191">
            <v>0</v>
          </cell>
          <cell r="DP191">
            <v>0</v>
          </cell>
          <cell r="DQ191">
            <v>0</v>
          </cell>
          <cell r="DR191">
            <v>0</v>
          </cell>
          <cell r="DS191">
            <v>0</v>
          </cell>
          <cell r="DT191">
            <v>0</v>
          </cell>
          <cell r="DU191">
            <v>0</v>
          </cell>
          <cell r="DV191">
            <v>0</v>
          </cell>
          <cell r="DW191">
            <v>0</v>
          </cell>
          <cell r="DX191">
            <v>0</v>
          </cell>
          <cell r="DY191">
            <v>0</v>
          </cell>
          <cell r="EA191">
            <v>0</v>
          </cell>
          <cell r="EB191">
            <v>0</v>
          </cell>
          <cell r="EC191">
            <v>0</v>
          </cell>
          <cell r="ED191">
            <v>0</v>
          </cell>
          <cell r="EE191">
            <v>0</v>
          </cell>
          <cell r="EF191">
            <v>0</v>
          </cell>
          <cell r="EG191">
            <v>0</v>
          </cell>
          <cell r="EH191">
            <v>0</v>
          </cell>
          <cell r="EI191">
            <v>0</v>
          </cell>
          <cell r="EJ191">
            <v>0</v>
          </cell>
          <cell r="EK191">
            <v>0</v>
          </cell>
          <cell r="EL191">
            <v>0</v>
          </cell>
          <cell r="EM191">
            <v>0</v>
          </cell>
          <cell r="EN191">
            <v>0</v>
          </cell>
          <cell r="EO191">
            <v>0</v>
          </cell>
          <cell r="EP191">
            <v>0</v>
          </cell>
          <cell r="EQ191">
            <v>0</v>
          </cell>
          <cell r="ER191">
            <v>0</v>
          </cell>
          <cell r="ES191">
            <v>0</v>
          </cell>
          <cell r="ET191">
            <v>0</v>
          </cell>
          <cell r="EU191">
            <v>0</v>
          </cell>
          <cell r="EV191">
            <v>0</v>
          </cell>
          <cell r="EW191">
            <v>0</v>
          </cell>
          <cell r="EX191">
            <v>0</v>
          </cell>
          <cell r="EY191">
            <v>0</v>
          </cell>
          <cell r="EZ191">
            <v>0</v>
          </cell>
          <cell r="FA191">
            <v>0</v>
          </cell>
          <cell r="FB191">
            <v>0</v>
          </cell>
          <cell r="FC191">
            <v>0</v>
          </cell>
          <cell r="FD191">
            <v>0</v>
          </cell>
          <cell r="FE191">
            <v>0</v>
          </cell>
          <cell r="FF191">
            <v>0</v>
          </cell>
          <cell r="FG191">
            <v>0</v>
          </cell>
          <cell r="FH191">
            <v>0</v>
          </cell>
          <cell r="FI191">
            <v>0</v>
          </cell>
          <cell r="FJ191">
            <v>0</v>
          </cell>
          <cell r="FK191">
            <v>0</v>
          </cell>
          <cell r="FL191">
            <v>0</v>
          </cell>
          <cell r="FM191">
            <v>0</v>
          </cell>
          <cell r="FN191">
            <v>0</v>
          </cell>
          <cell r="FO191">
            <v>0</v>
          </cell>
          <cell r="FP191">
            <v>0</v>
          </cell>
          <cell r="FQ191">
            <v>0</v>
          </cell>
          <cell r="FR191">
            <v>0</v>
          </cell>
          <cell r="FS191">
            <v>0</v>
          </cell>
          <cell r="FT191">
            <v>0</v>
          </cell>
          <cell r="FU191">
            <v>0</v>
          </cell>
          <cell r="FV191">
            <v>0</v>
          </cell>
          <cell r="FW191">
            <v>0</v>
          </cell>
          <cell r="FX191">
            <v>0</v>
          </cell>
          <cell r="FY191">
            <v>0</v>
          </cell>
          <cell r="FZ191">
            <v>0</v>
          </cell>
        </row>
        <row r="192">
          <cell r="A192" t="str">
            <v>I_BVP_NRF_RIS_IND_INTR_S21</v>
          </cell>
          <cell r="B192">
            <v>0</v>
          </cell>
          <cell r="C192">
            <v>0</v>
          </cell>
          <cell r="D192">
            <v>0</v>
          </cell>
          <cell r="E192">
            <v>0</v>
          </cell>
          <cell r="F192">
            <v>0</v>
          </cell>
          <cell r="G192">
            <v>0</v>
          </cell>
          <cell r="H192">
            <v>0</v>
          </cell>
          <cell r="I192">
            <v>0</v>
          </cell>
          <cell r="J192">
            <v>0</v>
          </cell>
          <cell r="K192">
            <v>0</v>
          </cell>
          <cell r="L192">
            <v>0</v>
          </cell>
          <cell r="M192">
            <v>0</v>
          </cell>
          <cell r="N192">
            <v>0</v>
          </cell>
          <cell r="O192">
            <v>0</v>
          </cell>
          <cell r="P192">
            <v>0</v>
          </cell>
          <cell r="Q192">
            <v>0</v>
          </cell>
          <cell r="R192">
            <v>0</v>
          </cell>
          <cell r="S192">
            <v>0</v>
          </cell>
          <cell r="T192">
            <v>0</v>
          </cell>
          <cell r="U192">
            <v>0</v>
          </cell>
          <cell r="V192">
            <v>0</v>
          </cell>
          <cell r="W192">
            <v>0</v>
          </cell>
          <cell r="X192">
            <v>0</v>
          </cell>
          <cell r="Y192">
            <v>0</v>
          </cell>
          <cell r="Z192">
            <v>0</v>
          </cell>
          <cell r="AA192">
            <v>0</v>
          </cell>
          <cell r="AB192">
            <v>0</v>
          </cell>
          <cell r="AC192">
            <v>0</v>
          </cell>
          <cell r="AD192">
            <v>0</v>
          </cell>
          <cell r="AE192">
            <v>0</v>
          </cell>
          <cell r="AF192">
            <v>0</v>
          </cell>
          <cell r="AG192">
            <v>0</v>
          </cell>
          <cell r="AH192">
            <v>0</v>
          </cell>
          <cell r="AI192">
            <v>0</v>
          </cell>
          <cell r="AJ192">
            <v>0</v>
          </cell>
          <cell r="AK192">
            <v>0</v>
          </cell>
          <cell r="AL192">
            <v>0</v>
          </cell>
          <cell r="AM192">
            <v>0</v>
          </cell>
          <cell r="AN192">
            <v>0</v>
          </cell>
          <cell r="AO192">
            <v>0</v>
          </cell>
          <cell r="AP192">
            <v>0</v>
          </cell>
          <cell r="AQ192">
            <v>0</v>
          </cell>
          <cell r="AR192">
            <v>0</v>
          </cell>
          <cell r="AS192">
            <v>0</v>
          </cell>
          <cell r="AT192">
            <v>0</v>
          </cell>
          <cell r="AU192">
            <v>0</v>
          </cell>
          <cell r="AV192">
            <v>0</v>
          </cell>
          <cell r="AW192">
            <v>0</v>
          </cell>
          <cell r="AX192">
            <v>0</v>
          </cell>
          <cell r="AY192">
            <v>0</v>
          </cell>
          <cell r="AZ192">
            <v>0</v>
          </cell>
          <cell r="BA192">
            <v>0</v>
          </cell>
          <cell r="BB192">
            <v>0</v>
          </cell>
          <cell r="BC192">
            <v>0</v>
          </cell>
          <cell r="BD192">
            <v>0</v>
          </cell>
          <cell r="BE192">
            <v>0</v>
          </cell>
          <cell r="BF192">
            <v>0</v>
          </cell>
          <cell r="BG192">
            <v>0</v>
          </cell>
          <cell r="BH192">
            <v>0</v>
          </cell>
          <cell r="BI192">
            <v>0</v>
          </cell>
          <cell r="BJ192">
            <v>0</v>
          </cell>
          <cell r="BK192">
            <v>0</v>
          </cell>
          <cell r="BL192">
            <v>0</v>
          </cell>
          <cell r="BM192">
            <v>0</v>
          </cell>
          <cell r="BN192">
            <v>0</v>
          </cell>
          <cell r="BO192">
            <v>0</v>
          </cell>
          <cell r="BP192">
            <v>0</v>
          </cell>
          <cell r="BQ192">
            <v>0</v>
          </cell>
          <cell r="BR192">
            <v>0</v>
          </cell>
          <cell r="BS192">
            <v>0</v>
          </cell>
          <cell r="BT192">
            <v>0</v>
          </cell>
          <cell r="BU192">
            <v>0</v>
          </cell>
          <cell r="BV192">
            <v>0</v>
          </cell>
          <cell r="BW192">
            <v>0</v>
          </cell>
          <cell r="BX192">
            <v>0</v>
          </cell>
          <cell r="BY192">
            <v>0</v>
          </cell>
          <cell r="BZ192">
            <v>0</v>
          </cell>
          <cell r="CA192">
            <v>0</v>
          </cell>
          <cell r="CB192">
            <v>0</v>
          </cell>
          <cell r="CC192">
            <v>0</v>
          </cell>
          <cell r="CD192">
            <v>0</v>
          </cell>
          <cell r="CE192">
            <v>0</v>
          </cell>
          <cell r="CF192">
            <v>0</v>
          </cell>
          <cell r="CG192">
            <v>0</v>
          </cell>
          <cell r="CH192">
            <v>0</v>
          </cell>
          <cell r="CI192">
            <v>0</v>
          </cell>
          <cell r="CJ192">
            <v>0</v>
          </cell>
          <cell r="CK192">
            <v>0</v>
          </cell>
          <cell r="CL192">
            <v>0</v>
          </cell>
          <cell r="CM192">
            <v>0</v>
          </cell>
          <cell r="CN192">
            <v>0</v>
          </cell>
          <cell r="CO192">
            <v>0</v>
          </cell>
          <cell r="CP192">
            <v>0</v>
          </cell>
          <cell r="CQ192">
            <v>0</v>
          </cell>
          <cell r="CR192">
            <v>0</v>
          </cell>
          <cell r="CS192">
            <v>0</v>
          </cell>
          <cell r="CT192">
            <v>0</v>
          </cell>
          <cell r="CU192">
            <v>0</v>
          </cell>
          <cell r="CV192">
            <v>0</v>
          </cell>
          <cell r="CW192">
            <v>0</v>
          </cell>
          <cell r="CX192">
            <v>0</v>
          </cell>
          <cell r="CY192">
            <v>0</v>
          </cell>
          <cell r="CZ192">
            <v>0</v>
          </cell>
          <cell r="DA192">
            <v>0</v>
          </cell>
          <cell r="DB192">
            <v>0</v>
          </cell>
          <cell r="DC192">
            <v>0</v>
          </cell>
          <cell r="DD192">
            <v>0</v>
          </cell>
          <cell r="DE192">
            <v>0</v>
          </cell>
          <cell r="DF192">
            <v>0</v>
          </cell>
          <cell r="DG192">
            <v>0</v>
          </cell>
          <cell r="DH192">
            <v>0</v>
          </cell>
          <cell r="DI192">
            <v>0</v>
          </cell>
          <cell r="DJ192">
            <v>0</v>
          </cell>
          <cell r="DK192">
            <v>0</v>
          </cell>
          <cell r="DL192">
            <v>0</v>
          </cell>
          <cell r="DM192">
            <v>0</v>
          </cell>
          <cell r="DN192">
            <v>0</v>
          </cell>
          <cell r="DO192">
            <v>0</v>
          </cell>
          <cell r="DP192">
            <v>0</v>
          </cell>
          <cell r="DQ192">
            <v>0</v>
          </cell>
          <cell r="DR192">
            <v>0</v>
          </cell>
          <cell r="DS192">
            <v>0</v>
          </cell>
          <cell r="DT192">
            <v>0</v>
          </cell>
          <cell r="DU192">
            <v>0</v>
          </cell>
          <cell r="DV192">
            <v>0</v>
          </cell>
          <cell r="DW192">
            <v>0</v>
          </cell>
          <cell r="DX192">
            <v>0</v>
          </cell>
          <cell r="DY192">
            <v>0</v>
          </cell>
          <cell r="EA192">
            <v>0</v>
          </cell>
          <cell r="EB192">
            <v>0</v>
          </cell>
          <cell r="EC192">
            <v>0</v>
          </cell>
          <cell r="ED192">
            <v>0</v>
          </cell>
          <cell r="EE192">
            <v>0</v>
          </cell>
          <cell r="EF192">
            <v>0</v>
          </cell>
          <cell r="EG192">
            <v>0</v>
          </cell>
          <cell r="EH192">
            <v>0</v>
          </cell>
          <cell r="EI192">
            <v>0</v>
          </cell>
          <cell r="EJ192">
            <v>0</v>
          </cell>
          <cell r="EK192">
            <v>0</v>
          </cell>
          <cell r="EL192">
            <v>0</v>
          </cell>
          <cell r="EM192">
            <v>0</v>
          </cell>
          <cell r="EN192">
            <v>0</v>
          </cell>
          <cell r="EO192">
            <v>0</v>
          </cell>
          <cell r="EP192">
            <v>0</v>
          </cell>
          <cell r="EQ192">
            <v>0</v>
          </cell>
          <cell r="ER192">
            <v>0</v>
          </cell>
          <cell r="ES192">
            <v>0</v>
          </cell>
          <cell r="ET192">
            <v>0</v>
          </cell>
          <cell r="EU192">
            <v>0</v>
          </cell>
          <cell r="EV192">
            <v>0</v>
          </cell>
          <cell r="EW192">
            <v>0</v>
          </cell>
          <cell r="EX192">
            <v>0</v>
          </cell>
          <cell r="EY192">
            <v>0</v>
          </cell>
          <cell r="EZ192">
            <v>0</v>
          </cell>
          <cell r="FA192">
            <v>0</v>
          </cell>
          <cell r="FB192">
            <v>0</v>
          </cell>
          <cell r="FC192">
            <v>0</v>
          </cell>
          <cell r="FD192">
            <v>0</v>
          </cell>
          <cell r="FE192">
            <v>0</v>
          </cell>
          <cell r="FF192">
            <v>0</v>
          </cell>
          <cell r="FG192">
            <v>0</v>
          </cell>
          <cell r="FH192">
            <v>0</v>
          </cell>
          <cell r="FI192">
            <v>0</v>
          </cell>
          <cell r="FJ192">
            <v>0</v>
          </cell>
          <cell r="FK192">
            <v>0</v>
          </cell>
          <cell r="FL192">
            <v>0</v>
          </cell>
          <cell r="FM192">
            <v>0</v>
          </cell>
          <cell r="FN192">
            <v>0</v>
          </cell>
          <cell r="FO192">
            <v>0</v>
          </cell>
          <cell r="FP192">
            <v>0</v>
          </cell>
          <cell r="FQ192">
            <v>0</v>
          </cell>
          <cell r="FR192">
            <v>0</v>
          </cell>
          <cell r="FS192">
            <v>0</v>
          </cell>
          <cell r="FT192">
            <v>0</v>
          </cell>
          <cell r="FU192">
            <v>0</v>
          </cell>
          <cell r="FV192">
            <v>0</v>
          </cell>
          <cell r="FW192">
            <v>0</v>
          </cell>
          <cell r="FX192">
            <v>0</v>
          </cell>
          <cell r="FY192">
            <v>0</v>
          </cell>
          <cell r="FZ192">
            <v>0</v>
          </cell>
        </row>
        <row r="193">
          <cell r="A193" t="str">
            <v>I_BVP_NRF_RET_COL_INTR_S22</v>
          </cell>
          <cell r="B193">
            <v>0</v>
          </cell>
          <cell r="C193">
            <v>0</v>
          </cell>
          <cell r="D193">
            <v>0</v>
          </cell>
          <cell r="E193">
            <v>0</v>
          </cell>
          <cell r="F193">
            <v>0</v>
          </cell>
          <cell r="G193">
            <v>0</v>
          </cell>
          <cell r="H193">
            <v>0</v>
          </cell>
          <cell r="I193">
            <v>0</v>
          </cell>
          <cell r="J193">
            <v>0</v>
          </cell>
          <cell r="K193">
            <v>0</v>
          </cell>
          <cell r="L193">
            <v>0</v>
          </cell>
          <cell r="M193">
            <v>0</v>
          </cell>
          <cell r="N193">
            <v>0</v>
          </cell>
          <cell r="O193">
            <v>0</v>
          </cell>
          <cell r="P193">
            <v>0</v>
          </cell>
          <cell r="Q193">
            <v>0</v>
          </cell>
          <cell r="R193">
            <v>0</v>
          </cell>
          <cell r="S193">
            <v>0</v>
          </cell>
          <cell r="T193">
            <v>0</v>
          </cell>
          <cell r="U193">
            <v>0</v>
          </cell>
          <cell r="V193">
            <v>0</v>
          </cell>
          <cell r="W193">
            <v>0</v>
          </cell>
          <cell r="X193">
            <v>0</v>
          </cell>
          <cell r="Y193">
            <v>0</v>
          </cell>
          <cell r="Z193">
            <v>0</v>
          </cell>
          <cell r="AA193">
            <v>0</v>
          </cell>
          <cell r="AB193">
            <v>0</v>
          </cell>
          <cell r="AC193">
            <v>0</v>
          </cell>
          <cell r="AD193">
            <v>0</v>
          </cell>
          <cell r="AE193">
            <v>0</v>
          </cell>
          <cell r="AF193">
            <v>0</v>
          </cell>
          <cell r="AG193">
            <v>0</v>
          </cell>
          <cell r="AH193">
            <v>0</v>
          </cell>
          <cell r="AI193">
            <v>0</v>
          </cell>
          <cell r="AJ193">
            <v>0</v>
          </cell>
          <cell r="AK193">
            <v>0</v>
          </cell>
          <cell r="AL193">
            <v>0</v>
          </cell>
          <cell r="AM193">
            <v>0</v>
          </cell>
          <cell r="AN193">
            <v>0</v>
          </cell>
          <cell r="AO193">
            <v>0</v>
          </cell>
          <cell r="AP193">
            <v>0</v>
          </cell>
          <cell r="AQ193">
            <v>0</v>
          </cell>
          <cell r="AR193">
            <v>0</v>
          </cell>
          <cell r="AS193">
            <v>0</v>
          </cell>
          <cell r="AT193">
            <v>0</v>
          </cell>
          <cell r="AU193">
            <v>0</v>
          </cell>
          <cell r="AV193">
            <v>0</v>
          </cell>
          <cell r="AW193">
            <v>0</v>
          </cell>
          <cell r="AX193">
            <v>0</v>
          </cell>
          <cell r="AY193">
            <v>0</v>
          </cell>
          <cell r="AZ193">
            <v>0</v>
          </cell>
          <cell r="BA193">
            <v>0</v>
          </cell>
          <cell r="BB193">
            <v>0</v>
          </cell>
          <cell r="BC193">
            <v>0</v>
          </cell>
          <cell r="BD193">
            <v>0</v>
          </cell>
          <cell r="BE193">
            <v>0</v>
          </cell>
          <cell r="BF193">
            <v>0</v>
          </cell>
          <cell r="BG193">
            <v>0</v>
          </cell>
          <cell r="BH193">
            <v>0</v>
          </cell>
          <cell r="BI193">
            <v>0</v>
          </cell>
          <cell r="BJ193">
            <v>0</v>
          </cell>
          <cell r="BK193">
            <v>0</v>
          </cell>
          <cell r="BL193">
            <v>0</v>
          </cell>
          <cell r="BM193">
            <v>0</v>
          </cell>
          <cell r="BN193">
            <v>0</v>
          </cell>
          <cell r="BO193">
            <v>0</v>
          </cell>
          <cell r="BP193">
            <v>0</v>
          </cell>
          <cell r="BQ193">
            <v>0</v>
          </cell>
          <cell r="BR193">
            <v>0</v>
          </cell>
          <cell r="BS193">
            <v>0</v>
          </cell>
          <cell r="BT193">
            <v>0</v>
          </cell>
          <cell r="BU193">
            <v>0</v>
          </cell>
          <cell r="BV193">
            <v>0</v>
          </cell>
          <cell r="BW193">
            <v>0</v>
          </cell>
          <cell r="BX193">
            <v>0</v>
          </cell>
          <cell r="BY193">
            <v>0</v>
          </cell>
          <cell r="BZ193">
            <v>0</v>
          </cell>
          <cell r="CA193">
            <v>0</v>
          </cell>
          <cell r="CB193">
            <v>0</v>
          </cell>
          <cell r="CC193">
            <v>0</v>
          </cell>
          <cell r="CD193">
            <v>0</v>
          </cell>
          <cell r="CE193">
            <v>0</v>
          </cell>
          <cell r="CF193">
            <v>0</v>
          </cell>
          <cell r="CG193">
            <v>0</v>
          </cell>
          <cell r="CH193">
            <v>0</v>
          </cell>
          <cell r="CI193">
            <v>0</v>
          </cell>
          <cell r="CJ193">
            <v>0</v>
          </cell>
          <cell r="CK193">
            <v>0</v>
          </cell>
          <cell r="CL193">
            <v>0</v>
          </cell>
          <cell r="CM193">
            <v>0</v>
          </cell>
          <cell r="CN193">
            <v>0</v>
          </cell>
          <cell r="CO193">
            <v>0</v>
          </cell>
          <cell r="CP193">
            <v>0</v>
          </cell>
          <cell r="CQ193">
            <v>0</v>
          </cell>
          <cell r="CR193">
            <v>0</v>
          </cell>
          <cell r="CS193">
            <v>0</v>
          </cell>
          <cell r="CT193">
            <v>0</v>
          </cell>
          <cell r="CU193">
            <v>0</v>
          </cell>
          <cell r="CV193">
            <v>0</v>
          </cell>
          <cell r="CW193">
            <v>0</v>
          </cell>
          <cell r="CX193">
            <v>0</v>
          </cell>
          <cell r="CY193">
            <v>0</v>
          </cell>
          <cell r="CZ193">
            <v>0</v>
          </cell>
          <cell r="DA193">
            <v>0</v>
          </cell>
          <cell r="DB193">
            <v>0</v>
          </cell>
          <cell r="DC193">
            <v>0</v>
          </cell>
          <cell r="DD193">
            <v>0</v>
          </cell>
          <cell r="DE193">
            <v>0</v>
          </cell>
          <cell r="DF193">
            <v>0</v>
          </cell>
          <cell r="DG193">
            <v>0</v>
          </cell>
          <cell r="DH193">
            <v>0</v>
          </cell>
          <cell r="DI193">
            <v>0</v>
          </cell>
          <cell r="DJ193">
            <v>0</v>
          </cell>
          <cell r="DK193">
            <v>0</v>
          </cell>
          <cell r="DL193">
            <v>0</v>
          </cell>
          <cell r="DM193">
            <v>0</v>
          </cell>
          <cell r="DN193">
            <v>0</v>
          </cell>
          <cell r="DO193">
            <v>0</v>
          </cell>
          <cell r="DP193">
            <v>0</v>
          </cell>
          <cell r="DQ193">
            <v>0</v>
          </cell>
          <cell r="DR193">
            <v>0</v>
          </cell>
          <cell r="DS193">
            <v>0</v>
          </cell>
          <cell r="DT193">
            <v>0</v>
          </cell>
          <cell r="DU193">
            <v>0</v>
          </cell>
          <cell r="DV193">
            <v>0</v>
          </cell>
          <cell r="DW193">
            <v>0</v>
          </cell>
          <cell r="DX193">
            <v>0</v>
          </cell>
          <cell r="DY193">
            <v>0</v>
          </cell>
          <cell r="EA193">
            <v>0</v>
          </cell>
          <cell r="EB193">
            <v>0</v>
          </cell>
          <cell r="EC193">
            <v>0</v>
          </cell>
          <cell r="ED193">
            <v>0</v>
          </cell>
          <cell r="EE193">
            <v>0</v>
          </cell>
          <cell r="EF193">
            <v>0</v>
          </cell>
          <cell r="EG193">
            <v>0</v>
          </cell>
          <cell r="EH193">
            <v>0</v>
          </cell>
          <cell r="EI193">
            <v>0</v>
          </cell>
          <cell r="EJ193">
            <v>0</v>
          </cell>
          <cell r="EK193">
            <v>0</v>
          </cell>
          <cell r="EL193">
            <v>0</v>
          </cell>
          <cell r="EM193">
            <v>0</v>
          </cell>
          <cell r="EN193">
            <v>0</v>
          </cell>
          <cell r="EO193">
            <v>0</v>
          </cell>
          <cell r="EP193">
            <v>0</v>
          </cell>
          <cell r="EQ193">
            <v>0</v>
          </cell>
          <cell r="ER193">
            <v>0</v>
          </cell>
          <cell r="ES193">
            <v>0</v>
          </cell>
          <cell r="ET193">
            <v>0</v>
          </cell>
          <cell r="EU193">
            <v>0</v>
          </cell>
          <cell r="EV193">
            <v>0</v>
          </cell>
          <cell r="EW193">
            <v>0</v>
          </cell>
          <cell r="EX193">
            <v>0</v>
          </cell>
          <cell r="EY193">
            <v>0</v>
          </cell>
          <cell r="EZ193">
            <v>0</v>
          </cell>
          <cell r="FA193">
            <v>0</v>
          </cell>
          <cell r="FB193">
            <v>0</v>
          </cell>
          <cell r="FC193">
            <v>0</v>
          </cell>
          <cell r="FD193">
            <v>0</v>
          </cell>
          <cell r="FE193">
            <v>0</v>
          </cell>
          <cell r="FF193">
            <v>0</v>
          </cell>
          <cell r="FG193">
            <v>0</v>
          </cell>
          <cell r="FH193">
            <v>0</v>
          </cell>
          <cell r="FI193">
            <v>0</v>
          </cell>
          <cell r="FJ193">
            <v>0</v>
          </cell>
          <cell r="FK193">
            <v>0</v>
          </cell>
          <cell r="FL193">
            <v>0</v>
          </cell>
          <cell r="FM193">
            <v>0</v>
          </cell>
          <cell r="FN193">
            <v>0</v>
          </cell>
          <cell r="FO193">
            <v>0</v>
          </cell>
          <cell r="FP193">
            <v>0</v>
          </cell>
          <cell r="FQ193">
            <v>0</v>
          </cell>
          <cell r="FR193">
            <v>0</v>
          </cell>
          <cell r="FS193">
            <v>0</v>
          </cell>
          <cell r="FT193">
            <v>0</v>
          </cell>
          <cell r="FU193">
            <v>0</v>
          </cell>
          <cell r="FV193">
            <v>0</v>
          </cell>
          <cell r="FW193">
            <v>0</v>
          </cell>
          <cell r="FX193">
            <v>0</v>
          </cell>
          <cell r="FY193">
            <v>0</v>
          </cell>
          <cell r="FZ193">
            <v>0</v>
          </cell>
        </row>
        <row r="194">
          <cell r="A194" t="str">
            <v>I_BVP_NRF_RET_IND_INTR_S23</v>
          </cell>
          <cell r="B194">
            <v>0</v>
          </cell>
          <cell r="C194">
            <v>0</v>
          </cell>
          <cell r="D194">
            <v>0</v>
          </cell>
          <cell r="E194">
            <v>0</v>
          </cell>
          <cell r="F194">
            <v>0</v>
          </cell>
          <cell r="G194">
            <v>0</v>
          </cell>
          <cell r="H194">
            <v>0</v>
          </cell>
          <cell r="I194">
            <v>0</v>
          </cell>
          <cell r="J194">
            <v>0</v>
          </cell>
          <cell r="K194">
            <v>0</v>
          </cell>
          <cell r="L194">
            <v>0</v>
          </cell>
          <cell r="M194">
            <v>0</v>
          </cell>
          <cell r="N194">
            <v>0</v>
          </cell>
          <cell r="O194">
            <v>0</v>
          </cell>
          <cell r="P194">
            <v>0</v>
          </cell>
          <cell r="Q194">
            <v>0</v>
          </cell>
          <cell r="R194">
            <v>0</v>
          </cell>
          <cell r="S194">
            <v>0</v>
          </cell>
          <cell r="T194">
            <v>0</v>
          </cell>
          <cell r="U194">
            <v>0</v>
          </cell>
          <cell r="V194">
            <v>0</v>
          </cell>
          <cell r="W194">
            <v>0</v>
          </cell>
          <cell r="X194">
            <v>0</v>
          </cell>
          <cell r="Y194">
            <v>0</v>
          </cell>
          <cell r="Z194">
            <v>0</v>
          </cell>
          <cell r="AA194">
            <v>0</v>
          </cell>
          <cell r="AB194">
            <v>0</v>
          </cell>
          <cell r="AC194">
            <v>0</v>
          </cell>
          <cell r="AD194">
            <v>0</v>
          </cell>
          <cell r="AE194">
            <v>0</v>
          </cell>
          <cell r="AF194">
            <v>0</v>
          </cell>
          <cell r="AG194">
            <v>0</v>
          </cell>
          <cell r="AH194">
            <v>0</v>
          </cell>
          <cell r="AI194">
            <v>0</v>
          </cell>
          <cell r="AJ194">
            <v>0</v>
          </cell>
          <cell r="AK194">
            <v>0</v>
          </cell>
          <cell r="AL194">
            <v>0</v>
          </cell>
          <cell r="AM194">
            <v>0</v>
          </cell>
          <cell r="AN194">
            <v>0</v>
          </cell>
          <cell r="AO194">
            <v>0</v>
          </cell>
          <cell r="AP194">
            <v>0</v>
          </cell>
          <cell r="AQ194">
            <v>0</v>
          </cell>
          <cell r="AR194">
            <v>0</v>
          </cell>
          <cell r="AS194">
            <v>0</v>
          </cell>
          <cell r="AT194">
            <v>0</v>
          </cell>
          <cell r="AU194">
            <v>0</v>
          </cell>
          <cell r="AV194">
            <v>0</v>
          </cell>
          <cell r="AW194">
            <v>0</v>
          </cell>
          <cell r="AX194">
            <v>0</v>
          </cell>
          <cell r="AY194">
            <v>0</v>
          </cell>
          <cell r="AZ194">
            <v>0</v>
          </cell>
          <cell r="BA194">
            <v>0</v>
          </cell>
          <cell r="BB194">
            <v>0</v>
          </cell>
          <cell r="BC194">
            <v>0</v>
          </cell>
          <cell r="BD194">
            <v>0</v>
          </cell>
          <cell r="BE194">
            <v>0</v>
          </cell>
          <cell r="BF194">
            <v>0</v>
          </cell>
          <cell r="BG194">
            <v>0</v>
          </cell>
          <cell r="BH194">
            <v>0</v>
          </cell>
          <cell r="BI194">
            <v>0</v>
          </cell>
          <cell r="BJ194">
            <v>0</v>
          </cell>
          <cell r="BK194">
            <v>0</v>
          </cell>
          <cell r="BL194">
            <v>0</v>
          </cell>
          <cell r="BM194">
            <v>0</v>
          </cell>
          <cell r="BN194">
            <v>0</v>
          </cell>
          <cell r="BO194">
            <v>0</v>
          </cell>
          <cell r="BP194">
            <v>0</v>
          </cell>
          <cell r="BQ194">
            <v>0</v>
          </cell>
          <cell r="BR194">
            <v>0</v>
          </cell>
          <cell r="BS194">
            <v>0</v>
          </cell>
          <cell r="BT194">
            <v>0</v>
          </cell>
          <cell r="BU194">
            <v>0</v>
          </cell>
          <cell r="BV194">
            <v>0</v>
          </cell>
          <cell r="BW194">
            <v>0</v>
          </cell>
          <cell r="BX194">
            <v>0</v>
          </cell>
          <cell r="BY194">
            <v>0</v>
          </cell>
          <cell r="BZ194">
            <v>0</v>
          </cell>
          <cell r="CA194">
            <v>0</v>
          </cell>
          <cell r="CB194">
            <v>0</v>
          </cell>
          <cell r="CC194">
            <v>0</v>
          </cell>
          <cell r="CD194">
            <v>0</v>
          </cell>
          <cell r="CE194">
            <v>0</v>
          </cell>
          <cell r="CF194">
            <v>0</v>
          </cell>
          <cell r="CG194">
            <v>0</v>
          </cell>
          <cell r="CH194">
            <v>0</v>
          </cell>
          <cell r="CI194">
            <v>0</v>
          </cell>
          <cell r="CJ194">
            <v>0</v>
          </cell>
          <cell r="CK194">
            <v>0</v>
          </cell>
          <cell r="CL194">
            <v>0</v>
          </cell>
          <cell r="CM194">
            <v>0</v>
          </cell>
          <cell r="CN194">
            <v>0</v>
          </cell>
          <cell r="CO194">
            <v>0</v>
          </cell>
          <cell r="CP194">
            <v>0</v>
          </cell>
          <cell r="CQ194">
            <v>0</v>
          </cell>
          <cell r="CR194">
            <v>0</v>
          </cell>
          <cell r="CS194">
            <v>0</v>
          </cell>
          <cell r="CT194">
            <v>0</v>
          </cell>
          <cell r="CU194">
            <v>0</v>
          </cell>
          <cell r="CV194">
            <v>0</v>
          </cell>
          <cell r="CW194">
            <v>0</v>
          </cell>
          <cell r="CX194">
            <v>0</v>
          </cell>
          <cell r="CY194">
            <v>0</v>
          </cell>
          <cell r="CZ194">
            <v>0</v>
          </cell>
          <cell r="DA194">
            <v>0</v>
          </cell>
          <cell r="DB194">
            <v>0</v>
          </cell>
          <cell r="DC194">
            <v>0</v>
          </cell>
          <cell r="DD194">
            <v>0</v>
          </cell>
          <cell r="DE194">
            <v>0</v>
          </cell>
          <cell r="DF194">
            <v>0</v>
          </cell>
          <cell r="DG194">
            <v>0</v>
          </cell>
          <cell r="DH194">
            <v>0</v>
          </cell>
          <cell r="DI194">
            <v>0</v>
          </cell>
          <cell r="DJ194">
            <v>0</v>
          </cell>
          <cell r="DK194">
            <v>0</v>
          </cell>
          <cell r="DL194">
            <v>0</v>
          </cell>
          <cell r="DM194">
            <v>0</v>
          </cell>
          <cell r="DN194">
            <v>0</v>
          </cell>
          <cell r="DO194">
            <v>0</v>
          </cell>
          <cell r="DP194">
            <v>0</v>
          </cell>
          <cell r="DQ194">
            <v>0</v>
          </cell>
          <cell r="DR194">
            <v>0</v>
          </cell>
          <cell r="DS194">
            <v>0</v>
          </cell>
          <cell r="DT194">
            <v>0</v>
          </cell>
          <cell r="DU194">
            <v>0</v>
          </cell>
          <cell r="DV194">
            <v>0</v>
          </cell>
          <cell r="DW194">
            <v>0</v>
          </cell>
          <cell r="DX194">
            <v>0</v>
          </cell>
          <cell r="DY194">
            <v>0</v>
          </cell>
          <cell r="EA194">
            <v>0</v>
          </cell>
          <cell r="EB194">
            <v>0</v>
          </cell>
          <cell r="EC194">
            <v>0</v>
          </cell>
          <cell r="ED194">
            <v>0</v>
          </cell>
          <cell r="EE194">
            <v>0</v>
          </cell>
          <cell r="EF194">
            <v>0</v>
          </cell>
          <cell r="EG194">
            <v>0</v>
          </cell>
          <cell r="EH194">
            <v>0</v>
          </cell>
          <cell r="EI194">
            <v>0</v>
          </cell>
          <cell r="EJ194">
            <v>0</v>
          </cell>
          <cell r="EK194">
            <v>0</v>
          </cell>
          <cell r="EL194">
            <v>0</v>
          </cell>
          <cell r="EM194">
            <v>0</v>
          </cell>
          <cell r="EN194">
            <v>0</v>
          </cell>
          <cell r="EO194">
            <v>0</v>
          </cell>
          <cell r="EP194">
            <v>0</v>
          </cell>
          <cell r="EQ194">
            <v>0</v>
          </cell>
          <cell r="ER194">
            <v>0</v>
          </cell>
          <cell r="ES194">
            <v>0</v>
          </cell>
          <cell r="ET194">
            <v>0</v>
          </cell>
          <cell r="EU194">
            <v>0</v>
          </cell>
          <cell r="EV194">
            <v>0</v>
          </cell>
          <cell r="EW194">
            <v>0</v>
          </cell>
          <cell r="EX194">
            <v>0</v>
          </cell>
          <cell r="EY194">
            <v>0</v>
          </cell>
          <cell r="EZ194">
            <v>0</v>
          </cell>
          <cell r="FA194">
            <v>0</v>
          </cell>
          <cell r="FB194">
            <v>0</v>
          </cell>
          <cell r="FC194">
            <v>0</v>
          </cell>
          <cell r="FD194">
            <v>0</v>
          </cell>
          <cell r="FE194">
            <v>0</v>
          </cell>
          <cell r="FF194">
            <v>0</v>
          </cell>
          <cell r="FG194">
            <v>0</v>
          </cell>
          <cell r="FH194">
            <v>0</v>
          </cell>
          <cell r="FI194">
            <v>0</v>
          </cell>
          <cell r="FJ194">
            <v>0</v>
          </cell>
          <cell r="FK194">
            <v>0</v>
          </cell>
          <cell r="FL194">
            <v>0</v>
          </cell>
          <cell r="FM194">
            <v>0</v>
          </cell>
          <cell r="FN194">
            <v>0</v>
          </cell>
          <cell r="FO194">
            <v>0</v>
          </cell>
          <cell r="FP194">
            <v>0</v>
          </cell>
          <cell r="FQ194">
            <v>0</v>
          </cell>
          <cell r="FR194">
            <v>0</v>
          </cell>
          <cell r="FS194">
            <v>0</v>
          </cell>
          <cell r="FT194">
            <v>0</v>
          </cell>
          <cell r="FU194">
            <v>0</v>
          </cell>
          <cell r="FV194">
            <v>0</v>
          </cell>
          <cell r="FW194">
            <v>0</v>
          </cell>
          <cell r="FX194">
            <v>0</v>
          </cell>
          <cell r="FY194">
            <v>0</v>
          </cell>
          <cell r="FZ194">
            <v>0</v>
          </cell>
        </row>
        <row r="195">
          <cell r="A195" t="str">
            <v>I_BVP_NRF_CPT_PRP_INTR_P01</v>
          </cell>
          <cell r="B195">
            <v>0</v>
          </cell>
          <cell r="C195">
            <v>0</v>
          </cell>
          <cell r="D195">
            <v>0</v>
          </cell>
          <cell r="E195">
            <v>0</v>
          </cell>
          <cell r="F195">
            <v>0</v>
          </cell>
          <cell r="G195">
            <v>0</v>
          </cell>
          <cell r="H195">
            <v>0</v>
          </cell>
          <cell r="I195">
            <v>0</v>
          </cell>
          <cell r="J195">
            <v>0</v>
          </cell>
          <cell r="K195">
            <v>0</v>
          </cell>
          <cell r="L195">
            <v>0</v>
          </cell>
          <cell r="M195">
            <v>0</v>
          </cell>
          <cell r="N195">
            <v>0</v>
          </cell>
          <cell r="O195">
            <v>0</v>
          </cell>
          <cell r="P195">
            <v>0</v>
          </cell>
          <cell r="Q195">
            <v>0</v>
          </cell>
          <cell r="R195">
            <v>0</v>
          </cell>
          <cell r="S195">
            <v>0</v>
          </cell>
          <cell r="T195">
            <v>0</v>
          </cell>
          <cell r="U195">
            <v>0</v>
          </cell>
          <cell r="V195">
            <v>0</v>
          </cell>
          <cell r="W195">
            <v>0</v>
          </cell>
          <cell r="X195">
            <v>0</v>
          </cell>
          <cell r="Y195">
            <v>0</v>
          </cell>
          <cell r="Z195">
            <v>0</v>
          </cell>
          <cell r="AA195">
            <v>0</v>
          </cell>
          <cell r="AB195">
            <v>0</v>
          </cell>
          <cell r="AC195">
            <v>0</v>
          </cell>
          <cell r="AD195">
            <v>0</v>
          </cell>
          <cell r="AE195">
            <v>0</v>
          </cell>
          <cell r="AF195">
            <v>0</v>
          </cell>
          <cell r="AG195">
            <v>0</v>
          </cell>
          <cell r="AH195">
            <v>0</v>
          </cell>
          <cell r="AI195">
            <v>0</v>
          </cell>
          <cell r="AJ195">
            <v>0</v>
          </cell>
          <cell r="AK195">
            <v>0</v>
          </cell>
          <cell r="AL195">
            <v>0</v>
          </cell>
          <cell r="AM195">
            <v>0</v>
          </cell>
          <cell r="AN195">
            <v>0</v>
          </cell>
          <cell r="AO195">
            <v>0</v>
          </cell>
          <cell r="AP195">
            <v>0</v>
          </cell>
          <cell r="AQ195">
            <v>0</v>
          </cell>
          <cell r="AR195">
            <v>0</v>
          </cell>
          <cell r="AS195">
            <v>0</v>
          </cell>
          <cell r="AT195">
            <v>0</v>
          </cell>
          <cell r="AU195">
            <v>0</v>
          </cell>
          <cell r="AV195">
            <v>0</v>
          </cell>
          <cell r="AW195">
            <v>0</v>
          </cell>
          <cell r="AX195">
            <v>0</v>
          </cell>
          <cell r="AY195">
            <v>0</v>
          </cell>
          <cell r="AZ195">
            <v>0</v>
          </cell>
          <cell r="BA195">
            <v>0</v>
          </cell>
          <cell r="BB195">
            <v>0</v>
          </cell>
          <cell r="BC195">
            <v>0</v>
          </cell>
          <cell r="BD195">
            <v>0</v>
          </cell>
          <cell r="BE195">
            <v>0</v>
          </cell>
          <cell r="BF195">
            <v>0</v>
          </cell>
          <cell r="BG195">
            <v>0</v>
          </cell>
          <cell r="BH195">
            <v>0</v>
          </cell>
          <cell r="BI195">
            <v>0</v>
          </cell>
          <cell r="BJ195">
            <v>0</v>
          </cell>
          <cell r="BK195">
            <v>0</v>
          </cell>
          <cell r="BL195">
            <v>0</v>
          </cell>
          <cell r="BM195">
            <v>0</v>
          </cell>
          <cell r="BN195">
            <v>0</v>
          </cell>
          <cell r="BO195">
            <v>0</v>
          </cell>
          <cell r="BP195">
            <v>0</v>
          </cell>
          <cell r="BQ195">
            <v>0</v>
          </cell>
          <cell r="BR195">
            <v>0</v>
          </cell>
          <cell r="BS195">
            <v>0</v>
          </cell>
          <cell r="BT195">
            <v>0</v>
          </cell>
          <cell r="BU195">
            <v>0</v>
          </cell>
          <cell r="BV195">
            <v>0</v>
          </cell>
          <cell r="BW195">
            <v>0</v>
          </cell>
          <cell r="BX195">
            <v>0</v>
          </cell>
          <cell r="BY195">
            <v>0</v>
          </cell>
          <cell r="BZ195">
            <v>0</v>
          </cell>
          <cell r="CA195">
            <v>0</v>
          </cell>
          <cell r="CB195">
            <v>0</v>
          </cell>
          <cell r="CC195">
            <v>0</v>
          </cell>
          <cell r="CD195">
            <v>0</v>
          </cell>
          <cell r="CE195">
            <v>0</v>
          </cell>
          <cell r="CF195">
            <v>0</v>
          </cell>
          <cell r="CG195">
            <v>0</v>
          </cell>
          <cell r="CH195">
            <v>0</v>
          </cell>
          <cell r="CI195">
            <v>0</v>
          </cell>
          <cell r="CJ195">
            <v>0</v>
          </cell>
          <cell r="CK195">
            <v>0</v>
          </cell>
          <cell r="CL195">
            <v>0</v>
          </cell>
          <cell r="CM195">
            <v>0</v>
          </cell>
          <cell r="CN195">
            <v>0</v>
          </cell>
          <cell r="CO195">
            <v>0</v>
          </cell>
          <cell r="CP195">
            <v>0</v>
          </cell>
          <cell r="CQ195">
            <v>0</v>
          </cell>
          <cell r="CR195">
            <v>0</v>
          </cell>
          <cell r="CS195">
            <v>0</v>
          </cell>
          <cell r="CT195">
            <v>0</v>
          </cell>
          <cell r="CU195">
            <v>0</v>
          </cell>
          <cell r="CV195">
            <v>0</v>
          </cell>
          <cell r="CW195">
            <v>0</v>
          </cell>
          <cell r="CX195">
            <v>0</v>
          </cell>
          <cell r="CY195">
            <v>0</v>
          </cell>
          <cell r="CZ195">
            <v>0</v>
          </cell>
          <cell r="DA195">
            <v>0</v>
          </cell>
          <cell r="DB195">
            <v>0</v>
          </cell>
          <cell r="DC195">
            <v>0</v>
          </cell>
          <cell r="DD195">
            <v>0</v>
          </cell>
          <cell r="DE195">
            <v>0</v>
          </cell>
          <cell r="DF195">
            <v>0</v>
          </cell>
          <cell r="DG195">
            <v>0</v>
          </cell>
          <cell r="DH195">
            <v>0</v>
          </cell>
          <cell r="DI195">
            <v>0</v>
          </cell>
          <cell r="DJ195">
            <v>0</v>
          </cell>
          <cell r="DK195">
            <v>0</v>
          </cell>
          <cell r="DL195">
            <v>0</v>
          </cell>
          <cell r="DM195">
            <v>0</v>
          </cell>
          <cell r="DN195">
            <v>0</v>
          </cell>
          <cell r="DO195">
            <v>0</v>
          </cell>
          <cell r="DP195">
            <v>0</v>
          </cell>
          <cell r="DQ195">
            <v>0</v>
          </cell>
          <cell r="DR195">
            <v>0</v>
          </cell>
          <cell r="DS195">
            <v>0</v>
          </cell>
          <cell r="DT195">
            <v>0</v>
          </cell>
          <cell r="DU195">
            <v>0</v>
          </cell>
          <cell r="DV195">
            <v>0</v>
          </cell>
          <cell r="DW195">
            <v>0</v>
          </cell>
          <cell r="DX195">
            <v>0</v>
          </cell>
          <cell r="DY195">
            <v>0</v>
          </cell>
          <cell r="EA195">
            <v>0</v>
          </cell>
          <cell r="EB195">
            <v>0</v>
          </cell>
          <cell r="EC195">
            <v>0</v>
          </cell>
          <cell r="ED195">
            <v>0</v>
          </cell>
          <cell r="EE195">
            <v>0</v>
          </cell>
          <cell r="EF195">
            <v>0</v>
          </cell>
          <cell r="EG195">
            <v>0</v>
          </cell>
          <cell r="EH195">
            <v>0</v>
          </cell>
          <cell r="EI195">
            <v>0</v>
          </cell>
          <cell r="EJ195">
            <v>0</v>
          </cell>
          <cell r="EK195">
            <v>0</v>
          </cell>
          <cell r="EL195">
            <v>0</v>
          </cell>
          <cell r="EM195">
            <v>0</v>
          </cell>
          <cell r="EN195">
            <v>0</v>
          </cell>
          <cell r="EO195">
            <v>0</v>
          </cell>
          <cell r="EP195">
            <v>0</v>
          </cell>
          <cell r="EQ195">
            <v>0</v>
          </cell>
          <cell r="ER195">
            <v>0</v>
          </cell>
          <cell r="ES195">
            <v>0</v>
          </cell>
          <cell r="ET195">
            <v>0</v>
          </cell>
          <cell r="EU195">
            <v>0</v>
          </cell>
          <cell r="EV195">
            <v>0</v>
          </cell>
          <cell r="EW195">
            <v>0</v>
          </cell>
          <cell r="EX195">
            <v>0</v>
          </cell>
          <cell r="EY195">
            <v>0</v>
          </cell>
          <cell r="EZ195">
            <v>0</v>
          </cell>
          <cell r="FA195">
            <v>0</v>
          </cell>
          <cell r="FB195">
            <v>0</v>
          </cell>
          <cell r="FC195">
            <v>0</v>
          </cell>
          <cell r="FD195">
            <v>0</v>
          </cell>
          <cell r="FE195">
            <v>0</v>
          </cell>
          <cell r="FF195">
            <v>0</v>
          </cell>
          <cell r="FG195">
            <v>0</v>
          </cell>
          <cell r="FH195">
            <v>0</v>
          </cell>
          <cell r="FI195">
            <v>0</v>
          </cell>
          <cell r="FJ195">
            <v>0</v>
          </cell>
          <cell r="FK195">
            <v>0</v>
          </cell>
          <cell r="FL195">
            <v>0</v>
          </cell>
          <cell r="FM195">
            <v>0</v>
          </cell>
          <cell r="FN195">
            <v>0</v>
          </cell>
          <cell r="FO195">
            <v>0</v>
          </cell>
          <cell r="FP195">
            <v>0</v>
          </cell>
          <cell r="FQ195">
            <v>0</v>
          </cell>
          <cell r="FR195">
            <v>0</v>
          </cell>
          <cell r="FS195">
            <v>0</v>
          </cell>
          <cell r="FT195">
            <v>0</v>
          </cell>
          <cell r="FU195">
            <v>0</v>
          </cell>
          <cell r="FV195">
            <v>0</v>
          </cell>
          <cell r="FW195">
            <v>0</v>
          </cell>
          <cell r="FX195">
            <v>0</v>
          </cell>
          <cell r="FY195">
            <v>0</v>
          </cell>
          <cell r="FZ195">
            <v>0</v>
          </cell>
        </row>
        <row r="196">
          <cell r="A196" t="str">
            <v>I_BVP_NRF_ASS_EMP_INTR_P02</v>
          </cell>
          <cell r="B196">
            <v>0</v>
          </cell>
          <cell r="C196">
            <v>0</v>
          </cell>
          <cell r="D196">
            <v>0</v>
          </cell>
          <cell r="E196">
            <v>0</v>
          </cell>
          <cell r="F196">
            <v>0</v>
          </cell>
          <cell r="G196">
            <v>0</v>
          </cell>
          <cell r="H196">
            <v>0</v>
          </cell>
          <cell r="I196">
            <v>0</v>
          </cell>
          <cell r="J196">
            <v>0</v>
          </cell>
          <cell r="K196">
            <v>0</v>
          </cell>
          <cell r="L196">
            <v>0</v>
          </cell>
          <cell r="M196">
            <v>0</v>
          </cell>
          <cell r="N196">
            <v>0</v>
          </cell>
          <cell r="O196">
            <v>0</v>
          </cell>
          <cell r="P196">
            <v>0</v>
          </cell>
          <cell r="Q196">
            <v>0</v>
          </cell>
          <cell r="R196">
            <v>0</v>
          </cell>
          <cell r="S196">
            <v>0</v>
          </cell>
          <cell r="T196">
            <v>0</v>
          </cell>
          <cell r="U196">
            <v>0</v>
          </cell>
          <cell r="V196">
            <v>0</v>
          </cell>
          <cell r="W196">
            <v>0</v>
          </cell>
          <cell r="X196">
            <v>0</v>
          </cell>
          <cell r="Y196">
            <v>0</v>
          </cell>
          <cell r="Z196">
            <v>0</v>
          </cell>
          <cell r="AA196">
            <v>0</v>
          </cell>
          <cell r="AB196">
            <v>0</v>
          </cell>
          <cell r="AC196">
            <v>0</v>
          </cell>
          <cell r="AD196">
            <v>0</v>
          </cell>
          <cell r="AE196">
            <v>0</v>
          </cell>
          <cell r="AF196">
            <v>0</v>
          </cell>
          <cell r="AG196">
            <v>0</v>
          </cell>
          <cell r="AH196">
            <v>0</v>
          </cell>
          <cell r="AI196">
            <v>0</v>
          </cell>
          <cell r="AJ196">
            <v>0</v>
          </cell>
          <cell r="AK196">
            <v>0</v>
          </cell>
          <cell r="AL196">
            <v>0</v>
          </cell>
          <cell r="AM196">
            <v>0</v>
          </cell>
          <cell r="AN196">
            <v>0</v>
          </cell>
          <cell r="AO196">
            <v>0</v>
          </cell>
          <cell r="AP196">
            <v>0</v>
          </cell>
          <cell r="AQ196">
            <v>0</v>
          </cell>
          <cell r="AR196">
            <v>0</v>
          </cell>
          <cell r="AS196">
            <v>0</v>
          </cell>
          <cell r="AT196">
            <v>0</v>
          </cell>
          <cell r="AU196">
            <v>0</v>
          </cell>
          <cell r="AV196">
            <v>0</v>
          </cell>
          <cell r="AW196">
            <v>0</v>
          </cell>
          <cell r="AX196">
            <v>0</v>
          </cell>
          <cell r="AY196">
            <v>0</v>
          </cell>
          <cell r="AZ196">
            <v>0</v>
          </cell>
          <cell r="BA196">
            <v>0</v>
          </cell>
          <cell r="BB196">
            <v>0</v>
          </cell>
          <cell r="BC196">
            <v>0</v>
          </cell>
          <cell r="BD196">
            <v>0</v>
          </cell>
          <cell r="BE196">
            <v>0</v>
          </cell>
          <cell r="BF196">
            <v>0</v>
          </cell>
          <cell r="BG196">
            <v>0</v>
          </cell>
          <cell r="BH196">
            <v>0</v>
          </cell>
          <cell r="BI196">
            <v>0</v>
          </cell>
          <cell r="BJ196">
            <v>0</v>
          </cell>
          <cell r="BK196">
            <v>0</v>
          </cell>
          <cell r="BL196">
            <v>0</v>
          </cell>
          <cell r="BM196">
            <v>0</v>
          </cell>
          <cell r="BN196">
            <v>0</v>
          </cell>
          <cell r="BO196">
            <v>0</v>
          </cell>
          <cell r="BP196">
            <v>0</v>
          </cell>
          <cell r="BQ196">
            <v>0</v>
          </cell>
          <cell r="BR196">
            <v>0</v>
          </cell>
          <cell r="BS196">
            <v>0</v>
          </cell>
          <cell r="BT196">
            <v>0</v>
          </cell>
          <cell r="BU196">
            <v>0</v>
          </cell>
          <cell r="BV196">
            <v>0</v>
          </cell>
          <cell r="BW196">
            <v>0</v>
          </cell>
          <cell r="BX196">
            <v>0</v>
          </cell>
          <cell r="BY196">
            <v>0</v>
          </cell>
          <cell r="BZ196">
            <v>0</v>
          </cell>
          <cell r="CA196">
            <v>0</v>
          </cell>
          <cell r="CB196">
            <v>0</v>
          </cell>
          <cell r="CC196">
            <v>0</v>
          </cell>
          <cell r="CD196">
            <v>0</v>
          </cell>
          <cell r="CE196">
            <v>0</v>
          </cell>
          <cell r="CF196">
            <v>0</v>
          </cell>
          <cell r="CG196">
            <v>0</v>
          </cell>
          <cell r="CH196">
            <v>0</v>
          </cell>
          <cell r="CI196">
            <v>0</v>
          </cell>
          <cell r="CJ196">
            <v>0</v>
          </cell>
          <cell r="CK196">
            <v>0</v>
          </cell>
          <cell r="CL196">
            <v>0</v>
          </cell>
          <cell r="CM196">
            <v>0</v>
          </cell>
          <cell r="CN196">
            <v>0</v>
          </cell>
          <cell r="CO196">
            <v>0</v>
          </cell>
          <cell r="CP196">
            <v>0</v>
          </cell>
          <cell r="CQ196">
            <v>0</v>
          </cell>
          <cell r="CR196">
            <v>0</v>
          </cell>
          <cell r="CS196">
            <v>0</v>
          </cell>
          <cell r="CT196">
            <v>0</v>
          </cell>
          <cell r="CU196">
            <v>0</v>
          </cell>
          <cell r="CV196">
            <v>0</v>
          </cell>
          <cell r="CW196">
            <v>0</v>
          </cell>
          <cell r="CX196">
            <v>0</v>
          </cell>
          <cell r="CY196">
            <v>0</v>
          </cell>
          <cell r="CZ196">
            <v>0</v>
          </cell>
          <cell r="DA196">
            <v>0</v>
          </cell>
          <cell r="DB196">
            <v>0</v>
          </cell>
          <cell r="DC196">
            <v>0</v>
          </cell>
          <cell r="DD196">
            <v>0</v>
          </cell>
          <cell r="DE196">
            <v>0</v>
          </cell>
          <cell r="DF196">
            <v>0</v>
          </cell>
          <cell r="DG196">
            <v>0</v>
          </cell>
          <cell r="DH196">
            <v>0</v>
          </cell>
          <cell r="DI196">
            <v>0</v>
          </cell>
          <cell r="DJ196">
            <v>0</v>
          </cell>
          <cell r="DK196">
            <v>0</v>
          </cell>
          <cell r="DL196">
            <v>0</v>
          </cell>
          <cell r="DM196">
            <v>0</v>
          </cell>
          <cell r="DN196">
            <v>0</v>
          </cell>
          <cell r="DO196">
            <v>0</v>
          </cell>
          <cell r="DP196">
            <v>0</v>
          </cell>
          <cell r="DQ196">
            <v>0</v>
          </cell>
          <cell r="DR196">
            <v>0</v>
          </cell>
          <cell r="DS196">
            <v>0</v>
          </cell>
          <cell r="DT196">
            <v>0</v>
          </cell>
          <cell r="DU196">
            <v>0</v>
          </cell>
          <cell r="DV196">
            <v>0</v>
          </cell>
          <cell r="DW196">
            <v>0</v>
          </cell>
          <cell r="DX196">
            <v>0</v>
          </cell>
          <cell r="DY196">
            <v>0</v>
          </cell>
          <cell r="EA196">
            <v>0</v>
          </cell>
          <cell r="EB196">
            <v>0</v>
          </cell>
          <cell r="EC196">
            <v>0</v>
          </cell>
          <cell r="ED196">
            <v>0</v>
          </cell>
          <cell r="EE196">
            <v>0</v>
          </cell>
          <cell r="EF196">
            <v>0</v>
          </cell>
          <cell r="EG196">
            <v>0</v>
          </cell>
          <cell r="EH196">
            <v>0</v>
          </cell>
          <cell r="EI196">
            <v>0</v>
          </cell>
          <cell r="EJ196">
            <v>0</v>
          </cell>
          <cell r="EK196">
            <v>0</v>
          </cell>
          <cell r="EL196">
            <v>0</v>
          </cell>
          <cell r="EM196">
            <v>0</v>
          </cell>
          <cell r="EN196">
            <v>0</v>
          </cell>
          <cell r="EO196">
            <v>0</v>
          </cell>
          <cell r="EP196">
            <v>0</v>
          </cell>
          <cell r="EQ196">
            <v>0</v>
          </cell>
          <cell r="ER196">
            <v>0</v>
          </cell>
          <cell r="ES196">
            <v>0</v>
          </cell>
          <cell r="ET196">
            <v>0</v>
          </cell>
          <cell r="EU196">
            <v>0</v>
          </cell>
          <cell r="EV196">
            <v>0</v>
          </cell>
          <cell r="EW196">
            <v>0</v>
          </cell>
          <cell r="EX196">
            <v>0</v>
          </cell>
          <cell r="EY196">
            <v>0</v>
          </cell>
          <cell r="EZ196">
            <v>0</v>
          </cell>
          <cell r="FA196">
            <v>0</v>
          </cell>
          <cell r="FB196">
            <v>0</v>
          </cell>
          <cell r="FC196">
            <v>0</v>
          </cell>
          <cell r="FD196">
            <v>0</v>
          </cell>
          <cell r="FE196">
            <v>0</v>
          </cell>
          <cell r="FF196">
            <v>0</v>
          </cell>
          <cell r="FG196">
            <v>0</v>
          </cell>
          <cell r="FH196">
            <v>0</v>
          </cell>
          <cell r="FI196">
            <v>0</v>
          </cell>
          <cell r="FJ196">
            <v>0</v>
          </cell>
          <cell r="FK196">
            <v>0</v>
          </cell>
          <cell r="FL196">
            <v>0</v>
          </cell>
          <cell r="FM196">
            <v>0</v>
          </cell>
          <cell r="FN196">
            <v>0</v>
          </cell>
          <cell r="FO196">
            <v>0</v>
          </cell>
          <cell r="FP196">
            <v>0</v>
          </cell>
          <cell r="FQ196">
            <v>0</v>
          </cell>
          <cell r="FR196">
            <v>0</v>
          </cell>
          <cell r="FS196">
            <v>0</v>
          </cell>
          <cell r="FT196">
            <v>0</v>
          </cell>
          <cell r="FU196">
            <v>0</v>
          </cell>
          <cell r="FV196">
            <v>0</v>
          </cell>
          <cell r="FW196">
            <v>0</v>
          </cell>
          <cell r="FX196">
            <v>0</v>
          </cell>
          <cell r="FY196">
            <v>0</v>
          </cell>
          <cell r="FZ196">
            <v>0</v>
          </cell>
        </row>
        <row r="197">
          <cell r="A197" t="str">
            <v>I_BVP_NRF_RIS_IND_INTR_P03</v>
          </cell>
          <cell r="B197">
            <v>0</v>
          </cell>
          <cell r="C197">
            <v>0</v>
          </cell>
          <cell r="D197">
            <v>0</v>
          </cell>
          <cell r="E197">
            <v>0</v>
          </cell>
          <cell r="F197">
            <v>0</v>
          </cell>
          <cell r="G197">
            <v>0</v>
          </cell>
          <cell r="H197">
            <v>0</v>
          </cell>
          <cell r="I197">
            <v>0</v>
          </cell>
          <cell r="J197">
            <v>0</v>
          </cell>
          <cell r="K197">
            <v>0</v>
          </cell>
          <cell r="L197">
            <v>0</v>
          </cell>
          <cell r="M197">
            <v>0</v>
          </cell>
          <cell r="N197">
            <v>0</v>
          </cell>
          <cell r="O197">
            <v>0</v>
          </cell>
          <cell r="P197">
            <v>0</v>
          </cell>
          <cell r="Q197">
            <v>0</v>
          </cell>
          <cell r="R197">
            <v>0</v>
          </cell>
          <cell r="S197">
            <v>0</v>
          </cell>
          <cell r="T197">
            <v>0</v>
          </cell>
          <cell r="U197">
            <v>0</v>
          </cell>
          <cell r="V197">
            <v>0</v>
          </cell>
          <cell r="W197">
            <v>0</v>
          </cell>
          <cell r="X197">
            <v>0</v>
          </cell>
          <cell r="Y197">
            <v>0</v>
          </cell>
          <cell r="Z197">
            <v>0</v>
          </cell>
          <cell r="AA197">
            <v>0</v>
          </cell>
          <cell r="AB197">
            <v>0</v>
          </cell>
          <cell r="AC197">
            <v>0</v>
          </cell>
          <cell r="AD197">
            <v>0</v>
          </cell>
          <cell r="AE197">
            <v>0</v>
          </cell>
          <cell r="AF197">
            <v>0</v>
          </cell>
          <cell r="AG197">
            <v>0</v>
          </cell>
          <cell r="AH197">
            <v>0</v>
          </cell>
          <cell r="AI197">
            <v>0</v>
          </cell>
          <cell r="AJ197">
            <v>0</v>
          </cell>
          <cell r="AK197">
            <v>0</v>
          </cell>
          <cell r="AL197">
            <v>0</v>
          </cell>
          <cell r="AM197">
            <v>0</v>
          </cell>
          <cell r="AN197">
            <v>0</v>
          </cell>
          <cell r="AO197">
            <v>0</v>
          </cell>
          <cell r="AP197">
            <v>0</v>
          </cell>
          <cell r="AQ197">
            <v>0</v>
          </cell>
          <cell r="AR197">
            <v>0</v>
          </cell>
          <cell r="AS197">
            <v>0</v>
          </cell>
          <cell r="AT197">
            <v>0</v>
          </cell>
          <cell r="AU197">
            <v>0</v>
          </cell>
          <cell r="AV197">
            <v>0</v>
          </cell>
          <cell r="AW197">
            <v>0</v>
          </cell>
          <cell r="AX197">
            <v>0</v>
          </cell>
          <cell r="AY197">
            <v>0</v>
          </cell>
          <cell r="AZ197">
            <v>0</v>
          </cell>
          <cell r="BA197">
            <v>0</v>
          </cell>
          <cell r="BB197">
            <v>0</v>
          </cell>
          <cell r="BC197">
            <v>0</v>
          </cell>
          <cell r="BD197">
            <v>0</v>
          </cell>
          <cell r="BE197">
            <v>0</v>
          </cell>
          <cell r="BF197">
            <v>0</v>
          </cell>
          <cell r="BG197">
            <v>0</v>
          </cell>
          <cell r="BH197">
            <v>0</v>
          </cell>
          <cell r="BI197">
            <v>0</v>
          </cell>
          <cell r="BJ197">
            <v>0</v>
          </cell>
          <cell r="BK197">
            <v>0</v>
          </cell>
          <cell r="BL197">
            <v>0</v>
          </cell>
          <cell r="BM197">
            <v>0</v>
          </cell>
          <cell r="BN197">
            <v>0</v>
          </cell>
          <cell r="BO197">
            <v>0</v>
          </cell>
          <cell r="BP197">
            <v>0</v>
          </cell>
          <cell r="BQ197">
            <v>0</v>
          </cell>
          <cell r="BR197">
            <v>0</v>
          </cell>
          <cell r="BS197">
            <v>0</v>
          </cell>
          <cell r="BT197">
            <v>0</v>
          </cell>
          <cell r="BU197">
            <v>0</v>
          </cell>
          <cell r="BV197">
            <v>0</v>
          </cell>
          <cell r="BW197">
            <v>0</v>
          </cell>
          <cell r="BX197">
            <v>0</v>
          </cell>
          <cell r="BY197">
            <v>0</v>
          </cell>
          <cell r="BZ197">
            <v>0</v>
          </cell>
          <cell r="CA197">
            <v>0</v>
          </cell>
          <cell r="CB197">
            <v>0</v>
          </cell>
          <cell r="CC197">
            <v>0</v>
          </cell>
          <cell r="CD197">
            <v>0</v>
          </cell>
          <cell r="CE197">
            <v>0</v>
          </cell>
          <cell r="CF197">
            <v>0</v>
          </cell>
          <cell r="CG197">
            <v>0</v>
          </cell>
          <cell r="CH197">
            <v>0</v>
          </cell>
          <cell r="CI197">
            <v>0</v>
          </cell>
          <cell r="CJ197">
            <v>0</v>
          </cell>
          <cell r="CK197">
            <v>0</v>
          </cell>
          <cell r="CL197">
            <v>0</v>
          </cell>
          <cell r="CM197">
            <v>0</v>
          </cell>
          <cell r="CN197">
            <v>0</v>
          </cell>
          <cell r="CO197">
            <v>0</v>
          </cell>
          <cell r="CP197">
            <v>0</v>
          </cell>
          <cell r="CQ197">
            <v>0</v>
          </cell>
          <cell r="CR197">
            <v>0</v>
          </cell>
          <cell r="CS197">
            <v>0</v>
          </cell>
          <cell r="CT197">
            <v>0</v>
          </cell>
          <cell r="CU197">
            <v>0</v>
          </cell>
          <cell r="CV197">
            <v>0</v>
          </cell>
          <cell r="CW197">
            <v>0</v>
          </cell>
          <cell r="CX197">
            <v>0</v>
          </cell>
          <cell r="CY197">
            <v>0</v>
          </cell>
          <cell r="CZ197">
            <v>0</v>
          </cell>
          <cell r="DA197">
            <v>0</v>
          </cell>
          <cell r="DB197">
            <v>0</v>
          </cell>
          <cell r="DC197">
            <v>0</v>
          </cell>
          <cell r="DD197">
            <v>0</v>
          </cell>
          <cell r="DE197">
            <v>0</v>
          </cell>
          <cell r="DF197">
            <v>0</v>
          </cell>
          <cell r="DG197">
            <v>0</v>
          </cell>
          <cell r="DH197">
            <v>0</v>
          </cell>
          <cell r="DI197">
            <v>0</v>
          </cell>
          <cell r="DJ197">
            <v>0</v>
          </cell>
          <cell r="DK197">
            <v>0</v>
          </cell>
          <cell r="DL197">
            <v>0</v>
          </cell>
          <cell r="DM197">
            <v>0</v>
          </cell>
          <cell r="DN197">
            <v>0</v>
          </cell>
          <cell r="DO197">
            <v>0</v>
          </cell>
          <cell r="DP197">
            <v>0</v>
          </cell>
          <cell r="DQ197">
            <v>0</v>
          </cell>
          <cell r="DR197">
            <v>0</v>
          </cell>
          <cell r="DS197">
            <v>0</v>
          </cell>
          <cell r="DT197">
            <v>0</v>
          </cell>
          <cell r="DU197">
            <v>0</v>
          </cell>
          <cell r="DV197">
            <v>0</v>
          </cell>
          <cell r="DW197">
            <v>0</v>
          </cell>
          <cell r="DX197">
            <v>0</v>
          </cell>
          <cell r="DY197">
            <v>0</v>
          </cell>
          <cell r="EA197">
            <v>0</v>
          </cell>
          <cell r="EB197">
            <v>0</v>
          </cell>
          <cell r="EC197">
            <v>0</v>
          </cell>
          <cell r="ED197">
            <v>0</v>
          </cell>
          <cell r="EE197">
            <v>0</v>
          </cell>
          <cell r="EF197">
            <v>0</v>
          </cell>
          <cell r="EG197">
            <v>0</v>
          </cell>
          <cell r="EH197">
            <v>0</v>
          </cell>
          <cell r="EI197">
            <v>0</v>
          </cell>
          <cell r="EJ197">
            <v>0</v>
          </cell>
          <cell r="EK197">
            <v>0</v>
          </cell>
          <cell r="EL197">
            <v>0</v>
          </cell>
          <cell r="EM197">
            <v>0</v>
          </cell>
          <cell r="EN197">
            <v>0</v>
          </cell>
          <cell r="EO197">
            <v>0</v>
          </cell>
          <cell r="EP197">
            <v>0</v>
          </cell>
          <cell r="EQ197">
            <v>0</v>
          </cell>
          <cell r="ER197">
            <v>0</v>
          </cell>
          <cell r="ES197">
            <v>0</v>
          </cell>
          <cell r="ET197">
            <v>0</v>
          </cell>
          <cell r="EU197">
            <v>0</v>
          </cell>
          <cell r="EV197">
            <v>0</v>
          </cell>
          <cell r="EW197">
            <v>0</v>
          </cell>
          <cell r="EX197">
            <v>0</v>
          </cell>
          <cell r="EY197">
            <v>0</v>
          </cell>
          <cell r="EZ197">
            <v>0</v>
          </cell>
          <cell r="FA197">
            <v>0</v>
          </cell>
          <cell r="FB197">
            <v>0</v>
          </cell>
          <cell r="FC197">
            <v>0</v>
          </cell>
          <cell r="FD197">
            <v>0</v>
          </cell>
          <cell r="FE197">
            <v>0</v>
          </cell>
          <cell r="FF197">
            <v>0</v>
          </cell>
          <cell r="FG197">
            <v>0</v>
          </cell>
          <cell r="FH197">
            <v>0</v>
          </cell>
          <cell r="FI197">
            <v>0</v>
          </cell>
          <cell r="FJ197">
            <v>0</v>
          </cell>
          <cell r="FK197">
            <v>0</v>
          </cell>
          <cell r="FL197">
            <v>0</v>
          </cell>
          <cell r="FM197">
            <v>0</v>
          </cell>
          <cell r="FN197">
            <v>0</v>
          </cell>
          <cell r="FO197">
            <v>0</v>
          </cell>
          <cell r="FP197">
            <v>0</v>
          </cell>
          <cell r="FQ197">
            <v>0</v>
          </cell>
          <cell r="FR197">
            <v>0</v>
          </cell>
          <cell r="FS197">
            <v>0</v>
          </cell>
          <cell r="FT197">
            <v>0</v>
          </cell>
          <cell r="FU197">
            <v>0</v>
          </cell>
          <cell r="FV197">
            <v>0</v>
          </cell>
          <cell r="FW197">
            <v>0</v>
          </cell>
          <cell r="FX197">
            <v>0</v>
          </cell>
          <cell r="FY197">
            <v>0</v>
          </cell>
          <cell r="FZ197">
            <v>0</v>
          </cell>
        </row>
        <row r="198">
          <cell r="A198" t="str">
            <v>I_BVP_NRF_EPA_EUR_INTR_P04</v>
          </cell>
          <cell r="B198">
            <v>0</v>
          </cell>
          <cell r="C198">
            <v>0</v>
          </cell>
          <cell r="D198">
            <v>0</v>
          </cell>
          <cell r="E198">
            <v>0</v>
          </cell>
          <cell r="F198">
            <v>0</v>
          </cell>
          <cell r="G198">
            <v>0</v>
          </cell>
          <cell r="H198">
            <v>0</v>
          </cell>
          <cell r="I198">
            <v>0</v>
          </cell>
          <cell r="J198">
            <v>0</v>
          </cell>
          <cell r="K198">
            <v>0</v>
          </cell>
          <cell r="L198">
            <v>0</v>
          </cell>
          <cell r="M198">
            <v>0</v>
          </cell>
          <cell r="N198">
            <v>0</v>
          </cell>
          <cell r="O198">
            <v>0</v>
          </cell>
          <cell r="P198">
            <v>0</v>
          </cell>
          <cell r="Q198">
            <v>0</v>
          </cell>
          <cell r="R198">
            <v>0</v>
          </cell>
          <cell r="S198">
            <v>0</v>
          </cell>
          <cell r="T198">
            <v>0</v>
          </cell>
          <cell r="U198">
            <v>0</v>
          </cell>
          <cell r="V198">
            <v>0</v>
          </cell>
          <cell r="W198">
            <v>0</v>
          </cell>
          <cell r="X198">
            <v>0</v>
          </cell>
          <cell r="Y198">
            <v>0</v>
          </cell>
          <cell r="Z198">
            <v>0</v>
          </cell>
          <cell r="AA198">
            <v>0</v>
          </cell>
          <cell r="AB198">
            <v>0</v>
          </cell>
          <cell r="AC198">
            <v>0</v>
          </cell>
          <cell r="AD198">
            <v>0</v>
          </cell>
          <cell r="AE198">
            <v>0</v>
          </cell>
          <cell r="AF198">
            <v>0</v>
          </cell>
          <cell r="AG198">
            <v>0</v>
          </cell>
          <cell r="AH198">
            <v>0</v>
          </cell>
          <cell r="AI198">
            <v>0</v>
          </cell>
          <cell r="AJ198">
            <v>0</v>
          </cell>
          <cell r="AK198">
            <v>0</v>
          </cell>
          <cell r="AL198">
            <v>0</v>
          </cell>
          <cell r="AM198">
            <v>0</v>
          </cell>
          <cell r="AN198">
            <v>0</v>
          </cell>
          <cell r="AO198">
            <v>0</v>
          </cell>
          <cell r="AP198">
            <v>0</v>
          </cell>
          <cell r="AQ198">
            <v>0</v>
          </cell>
          <cell r="AR198">
            <v>0</v>
          </cell>
          <cell r="AS198">
            <v>0</v>
          </cell>
          <cell r="AT198">
            <v>0</v>
          </cell>
          <cell r="AU198">
            <v>0</v>
          </cell>
          <cell r="AV198">
            <v>0</v>
          </cell>
          <cell r="AW198">
            <v>0</v>
          </cell>
          <cell r="AX198">
            <v>0</v>
          </cell>
          <cell r="AY198">
            <v>0</v>
          </cell>
          <cell r="AZ198">
            <v>0</v>
          </cell>
          <cell r="BA198">
            <v>0</v>
          </cell>
          <cell r="BB198">
            <v>0</v>
          </cell>
          <cell r="BC198">
            <v>0</v>
          </cell>
          <cell r="BD198">
            <v>0</v>
          </cell>
          <cell r="BE198">
            <v>0</v>
          </cell>
          <cell r="BF198">
            <v>0</v>
          </cell>
          <cell r="BG198">
            <v>0</v>
          </cell>
          <cell r="BH198">
            <v>0</v>
          </cell>
          <cell r="BI198">
            <v>0</v>
          </cell>
          <cell r="BJ198">
            <v>0</v>
          </cell>
          <cell r="BK198">
            <v>0</v>
          </cell>
          <cell r="BL198">
            <v>0</v>
          </cell>
          <cell r="BM198">
            <v>0</v>
          </cell>
          <cell r="BN198">
            <v>0</v>
          </cell>
          <cell r="BO198">
            <v>0</v>
          </cell>
          <cell r="BP198">
            <v>0</v>
          </cell>
          <cell r="BQ198">
            <v>0</v>
          </cell>
          <cell r="BR198">
            <v>0</v>
          </cell>
          <cell r="BS198">
            <v>0</v>
          </cell>
          <cell r="BT198">
            <v>0</v>
          </cell>
          <cell r="BU198">
            <v>0</v>
          </cell>
          <cell r="BV198">
            <v>0</v>
          </cell>
          <cell r="BW198">
            <v>0</v>
          </cell>
          <cell r="BX198">
            <v>0</v>
          </cell>
          <cell r="BY198">
            <v>0</v>
          </cell>
          <cell r="BZ198">
            <v>0</v>
          </cell>
          <cell r="CA198">
            <v>0</v>
          </cell>
          <cell r="CB198">
            <v>0</v>
          </cell>
          <cell r="CC198">
            <v>0</v>
          </cell>
          <cell r="CD198">
            <v>0</v>
          </cell>
          <cell r="CE198">
            <v>0</v>
          </cell>
          <cell r="CF198">
            <v>0</v>
          </cell>
          <cell r="CG198">
            <v>0</v>
          </cell>
          <cell r="CH198">
            <v>0</v>
          </cell>
          <cell r="CI198">
            <v>0</v>
          </cell>
          <cell r="CJ198">
            <v>0</v>
          </cell>
          <cell r="CK198">
            <v>0</v>
          </cell>
          <cell r="CL198">
            <v>0</v>
          </cell>
          <cell r="CM198">
            <v>0</v>
          </cell>
          <cell r="CN198">
            <v>0</v>
          </cell>
          <cell r="CO198">
            <v>0</v>
          </cell>
          <cell r="CP198">
            <v>0</v>
          </cell>
          <cell r="CQ198">
            <v>0</v>
          </cell>
          <cell r="CR198">
            <v>0</v>
          </cell>
          <cell r="CS198">
            <v>0</v>
          </cell>
          <cell r="CT198">
            <v>0</v>
          </cell>
          <cell r="CU198">
            <v>0</v>
          </cell>
          <cell r="CV198">
            <v>0</v>
          </cell>
          <cell r="CW198">
            <v>0</v>
          </cell>
          <cell r="CX198">
            <v>0</v>
          </cell>
          <cell r="CY198">
            <v>0</v>
          </cell>
          <cell r="CZ198">
            <v>0</v>
          </cell>
          <cell r="DA198">
            <v>0</v>
          </cell>
          <cell r="DB198">
            <v>0</v>
          </cell>
          <cell r="DC198">
            <v>0</v>
          </cell>
          <cell r="DD198">
            <v>0</v>
          </cell>
          <cell r="DE198">
            <v>0</v>
          </cell>
          <cell r="DF198">
            <v>0</v>
          </cell>
          <cell r="DG198">
            <v>0</v>
          </cell>
          <cell r="DH198">
            <v>0</v>
          </cell>
          <cell r="DI198">
            <v>0</v>
          </cell>
          <cell r="DJ198">
            <v>0</v>
          </cell>
          <cell r="DK198">
            <v>0</v>
          </cell>
          <cell r="DL198">
            <v>0</v>
          </cell>
          <cell r="DM198">
            <v>0</v>
          </cell>
          <cell r="DN198">
            <v>0</v>
          </cell>
          <cell r="DO198">
            <v>0</v>
          </cell>
          <cell r="DP198">
            <v>0</v>
          </cell>
          <cell r="DQ198">
            <v>0</v>
          </cell>
          <cell r="DR198">
            <v>0</v>
          </cell>
          <cell r="DS198">
            <v>0</v>
          </cell>
          <cell r="DT198">
            <v>0</v>
          </cell>
          <cell r="DU198">
            <v>0</v>
          </cell>
          <cell r="DV198">
            <v>0</v>
          </cell>
          <cell r="DW198">
            <v>0</v>
          </cell>
          <cell r="DX198">
            <v>0</v>
          </cell>
          <cell r="DY198">
            <v>0</v>
          </cell>
          <cell r="EA198">
            <v>0</v>
          </cell>
          <cell r="EB198">
            <v>0</v>
          </cell>
          <cell r="EC198">
            <v>0</v>
          </cell>
          <cell r="ED198">
            <v>0</v>
          </cell>
          <cell r="EE198">
            <v>0</v>
          </cell>
          <cell r="EF198">
            <v>0</v>
          </cell>
          <cell r="EG198">
            <v>0</v>
          </cell>
          <cell r="EH198">
            <v>0</v>
          </cell>
          <cell r="EI198">
            <v>0</v>
          </cell>
          <cell r="EJ198">
            <v>0</v>
          </cell>
          <cell r="EK198">
            <v>0</v>
          </cell>
          <cell r="EL198">
            <v>0</v>
          </cell>
          <cell r="EM198">
            <v>0</v>
          </cell>
          <cell r="EN198">
            <v>0</v>
          </cell>
          <cell r="EO198">
            <v>0</v>
          </cell>
          <cell r="EP198">
            <v>0</v>
          </cell>
          <cell r="EQ198">
            <v>0</v>
          </cell>
          <cell r="ER198">
            <v>0</v>
          </cell>
          <cell r="ES198">
            <v>0</v>
          </cell>
          <cell r="ET198">
            <v>0</v>
          </cell>
          <cell r="EU198">
            <v>0</v>
          </cell>
          <cell r="EV198">
            <v>0</v>
          </cell>
          <cell r="EW198">
            <v>0</v>
          </cell>
          <cell r="EX198">
            <v>0</v>
          </cell>
          <cell r="EY198">
            <v>0</v>
          </cell>
          <cell r="EZ198">
            <v>0</v>
          </cell>
          <cell r="FA198">
            <v>0</v>
          </cell>
          <cell r="FB198">
            <v>0</v>
          </cell>
          <cell r="FC198">
            <v>0</v>
          </cell>
          <cell r="FD198">
            <v>0</v>
          </cell>
          <cell r="FE198">
            <v>0</v>
          </cell>
          <cell r="FF198">
            <v>0</v>
          </cell>
          <cell r="FG198">
            <v>0</v>
          </cell>
          <cell r="FH198">
            <v>0</v>
          </cell>
          <cell r="FI198">
            <v>0</v>
          </cell>
          <cell r="FJ198">
            <v>0</v>
          </cell>
          <cell r="FK198">
            <v>0</v>
          </cell>
          <cell r="FL198">
            <v>0</v>
          </cell>
          <cell r="FM198">
            <v>0</v>
          </cell>
          <cell r="FN198">
            <v>0</v>
          </cell>
          <cell r="FO198">
            <v>0</v>
          </cell>
          <cell r="FP198">
            <v>0</v>
          </cell>
          <cell r="FQ198">
            <v>0</v>
          </cell>
          <cell r="FR198">
            <v>0</v>
          </cell>
          <cell r="FS198">
            <v>0</v>
          </cell>
          <cell r="FT198">
            <v>0</v>
          </cell>
          <cell r="FU198">
            <v>0</v>
          </cell>
          <cell r="FV198">
            <v>0</v>
          </cell>
          <cell r="FW198">
            <v>0</v>
          </cell>
          <cell r="FX198">
            <v>0</v>
          </cell>
          <cell r="FY198">
            <v>0</v>
          </cell>
          <cell r="FZ198">
            <v>0</v>
          </cell>
        </row>
        <row r="199">
          <cell r="A199" t="str">
            <v>I_BVP_NRF_EPA_UCS_INTR_P05</v>
          </cell>
          <cell r="B199">
            <v>0</v>
          </cell>
          <cell r="C199">
            <v>0</v>
          </cell>
          <cell r="D199">
            <v>0</v>
          </cell>
          <cell r="E199">
            <v>0</v>
          </cell>
          <cell r="F199">
            <v>0</v>
          </cell>
          <cell r="G199">
            <v>0</v>
          </cell>
          <cell r="H199">
            <v>0</v>
          </cell>
          <cell r="I199">
            <v>0</v>
          </cell>
          <cell r="J199">
            <v>0</v>
          </cell>
          <cell r="K199">
            <v>0</v>
          </cell>
          <cell r="L199">
            <v>0</v>
          </cell>
          <cell r="M199">
            <v>0</v>
          </cell>
          <cell r="N199">
            <v>0</v>
          </cell>
          <cell r="O199">
            <v>0</v>
          </cell>
          <cell r="P199">
            <v>0</v>
          </cell>
          <cell r="Q199">
            <v>0</v>
          </cell>
          <cell r="R199">
            <v>0</v>
          </cell>
          <cell r="S199">
            <v>0</v>
          </cell>
          <cell r="T199">
            <v>0</v>
          </cell>
          <cell r="U199">
            <v>0</v>
          </cell>
          <cell r="V199">
            <v>0</v>
          </cell>
          <cell r="W199">
            <v>0</v>
          </cell>
          <cell r="X199">
            <v>0</v>
          </cell>
          <cell r="Y199">
            <v>0</v>
          </cell>
          <cell r="Z199">
            <v>0</v>
          </cell>
          <cell r="AA199">
            <v>0</v>
          </cell>
          <cell r="AB199">
            <v>0</v>
          </cell>
          <cell r="AC199">
            <v>0</v>
          </cell>
          <cell r="AD199">
            <v>0</v>
          </cell>
          <cell r="AE199">
            <v>0</v>
          </cell>
          <cell r="AF199">
            <v>0</v>
          </cell>
          <cell r="AG199">
            <v>0</v>
          </cell>
          <cell r="AH199">
            <v>0</v>
          </cell>
          <cell r="AI199">
            <v>0</v>
          </cell>
          <cell r="AJ199">
            <v>0</v>
          </cell>
          <cell r="AK199">
            <v>0</v>
          </cell>
          <cell r="AL199">
            <v>0</v>
          </cell>
          <cell r="AM199">
            <v>0</v>
          </cell>
          <cell r="AN199">
            <v>0</v>
          </cell>
          <cell r="AO199">
            <v>0</v>
          </cell>
          <cell r="AP199">
            <v>0</v>
          </cell>
          <cell r="AQ199">
            <v>0</v>
          </cell>
          <cell r="AR199">
            <v>0</v>
          </cell>
          <cell r="AS199">
            <v>0</v>
          </cell>
          <cell r="AT199">
            <v>0</v>
          </cell>
          <cell r="AU199">
            <v>0</v>
          </cell>
          <cell r="AV199">
            <v>0</v>
          </cell>
          <cell r="AW199">
            <v>0</v>
          </cell>
          <cell r="AX199">
            <v>0</v>
          </cell>
          <cell r="AY199">
            <v>0</v>
          </cell>
          <cell r="AZ199">
            <v>0</v>
          </cell>
          <cell r="BA199">
            <v>0</v>
          </cell>
          <cell r="BB199">
            <v>0</v>
          </cell>
          <cell r="BC199">
            <v>0</v>
          </cell>
          <cell r="BD199">
            <v>0</v>
          </cell>
          <cell r="BE199">
            <v>0</v>
          </cell>
          <cell r="BF199">
            <v>0</v>
          </cell>
          <cell r="BG199">
            <v>0</v>
          </cell>
          <cell r="BH199">
            <v>0</v>
          </cell>
          <cell r="BI199">
            <v>0</v>
          </cell>
          <cell r="BJ199">
            <v>0</v>
          </cell>
          <cell r="BK199">
            <v>0</v>
          </cell>
          <cell r="BL199">
            <v>0</v>
          </cell>
          <cell r="BM199">
            <v>0</v>
          </cell>
          <cell r="BN199">
            <v>0</v>
          </cell>
          <cell r="BO199">
            <v>0</v>
          </cell>
          <cell r="BP199">
            <v>0</v>
          </cell>
          <cell r="BQ199">
            <v>0</v>
          </cell>
          <cell r="BR199">
            <v>0</v>
          </cell>
          <cell r="BS199">
            <v>0</v>
          </cell>
          <cell r="BT199">
            <v>0</v>
          </cell>
          <cell r="BU199">
            <v>0</v>
          </cell>
          <cell r="BV199">
            <v>0</v>
          </cell>
          <cell r="BW199">
            <v>0</v>
          </cell>
          <cell r="BX199">
            <v>0</v>
          </cell>
          <cell r="BY199">
            <v>0</v>
          </cell>
          <cell r="BZ199">
            <v>0</v>
          </cell>
          <cell r="CA199">
            <v>0</v>
          </cell>
          <cell r="CB199">
            <v>0</v>
          </cell>
          <cell r="CC199">
            <v>0</v>
          </cell>
          <cell r="CD199">
            <v>0</v>
          </cell>
          <cell r="CE199">
            <v>0</v>
          </cell>
          <cell r="CF199">
            <v>0</v>
          </cell>
          <cell r="CG199">
            <v>0</v>
          </cell>
          <cell r="CH199">
            <v>0</v>
          </cell>
          <cell r="CI199">
            <v>0</v>
          </cell>
          <cell r="CJ199">
            <v>0</v>
          </cell>
          <cell r="CK199">
            <v>0</v>
          </cell>
          <cell r="CL199">
            <v>0</v>
          </cell>
          <cell r="CM199">
            <v>0</v>
          </cell>
          <cell r="CN199">
            <v>0</v>
          </cell>
          <cell r="CO199">
            <v>0</v>
          </cell>
          <cell r="CP199">
            <v>0</v>
          </cell>
          <cell r="CQ199">
            <v>0</v>
          </cell>
          <cell r="CR199">
            <v>0</v>
          </cell>
          <cell r="CS199">
            <v>0</v>
          </cell>
          <cell r="CT199">
            <v>0</v>
          </cell>
          <cell r="CU199">
            <v>0</v>
          </cell>
          <cell r="CV199">
            <v>0</v>
          </cell>
          <cell r="CW199">
            <v>0</v>
          </cell>
          <cell r="CX199">
            <v>0</v>
          </cell>
          <cell r="CY199">
            <v>0</v>
          </cell>
          <cell r="CZ199">
            <v>0</v>
          </cell>
          <cell r="DA199">
            <v>0</v>
          </cell>
          <cell r="DB199">
            <v>0</v>
          </cell>
          <cell r="DC199">
            <v>0</v>
          </cell>
          <cell r="DD199">
            <v>0</v>
          </cell>
          <cell r="DE199">
            <v>0</v>
          </cell>
          <cell r="DF199">
            <v>0</v>
          </cell>
          <cell r="DG199">
            <v>0</v>
          </cell>
          <cell r="DH199">
            <v>0</v>
          </cell>
          <cell r="DI199">
            <v>0</v>
          </cell>
          <cell r="DJ199">
            <v>0</v>
          </cell>
          <cell r="DK199">
            <v>0</v>
          </cell>
          <cell r="DL199">
            <v>0</v>
          </cell>
          <cell r="DM199">
            <v>0</v>
          </cell>
          <cell r="DN199">
            <v>0</v>
          </cell>
          <cell r="DO199">
            <v>0</v>
          </cell>
          <cell r="DP199">
            <v>0</v>
          </cell>
          <cell r="DQ199">
            <v>0</v>
          </cell>
          <cell r="DR199">
            <v>0</v>
          </cell>
          <cell r="DS199">
            <v>0</v>
          </cell>
          <cell r="DT199">
            <v>0</v>
          </cell>
          <cell r="DU199">
            <v>0</v>
          </cell>
          <cell r="DV199">
            <v>0</v>
          </cell>
          <cell r="DW199">
            <v>0</v>
          </cell>
          <cell r="DX199">
            <v>0</v>
          </cell>
          <cell r="DY199">
            <v>0</v>
          </cell>
          <cell r="EA199">
            <v>0</v>
          </cell>
          <cell r="EB199">
            <v>0</v>
          </cell>
          <cell r="EC199">
            <v>0</v>
          </cell>
          <cell r="ED199">
            <v>0</v>
          </cell>
          <cell r="EE199">
            <v>0</v>
          </cell>
          <cell r="EF199">
            <v>0</v>
          </cell>
          <cell r="EG199">
            <v>0</v>
          </cell>
          <cell r="EH199">
            <v>0</v>
          </cell>
          <cell r="EI199">
            <v>0</v>
          </cell>
          <cell r="EJ199">
            <v>0</v>
          </cell>
          <cell r="EK199">
            <v>0</v>
          </cell>
          <cell r="EL199">
            <v>0</v>
          </cell>
          <cell r="EM199">
            <v>0</v>
          </cell>
          <cell r="EN199">
            <v>0</v>
          </cell>
          <cell r="EO199">
            <v>0</v>
          </cell>
          <cell r="EP199">
            <v>0</v>
          </cell>
          <cell r="EQ199">
            <v>0</v>
          </cell>
          <cell r="ER199">
            <v>0</v>
          </cell>
          <cell r="ES199">
            <v>0</v>
          </cell>
          <cell r="ET199">
            <v>0</v>
          </cell>
          <cell r="EU199">
            <v>0</v>
          </cell>
          <cell r="EV199">
            <v>0</v>
          </cell>
          <cell r="EW199">
            <v>0</v>
          </cell>
          <cell r="EX199">
            <v>0</v>
          </cell>
          <cell r="EY199">
            <v>0</v>
          </cell>
          <cell r="EZ199">
            <v>0</v>
          </cell>
          <cell r="FA199">
            <v>0</v>
          </cell>
          <cell r="FB199">
            <v>0</v>
          </cell>
          <cell r="FC199">
            <v>0</v>
          </cell>
          <cell r="FD199">
            <v>0</v>
          </cell>
          <cell r="FE199">
            <v>0</v>
          </cell>
          <cell r="FF199">
            <v>0</v>
          </cell>
          <cell r="FG199">
            <v>0</v>
          </cell>
          <cell r="FH199">
            <v>0</v>
          </cell>
          <cell r="FI199">
            <v>0</v>
          </cell>
          <cell r="FJ199">
            <v>0</v>
          </cell>
          <cell r="FK199">
            <v>0</v>
          </cell>
          <cell r="FL199">
            <v>0</v>
          </cell>
          <cell r="FM199">
            <v>0</v>
          </cell>
          <cell r="FN199">
            <v>0</v>
          </cell>
          <cell r="FO199">
            <v>0</v>
          </cell>
          <cell r="FP199">
            <v>0</v>
          </cell>
          <cell r="FQ199">
            <v>0</v>
          </cell>
          <cell r="FR199">
            <v>0</v>
          </cell>
          <cell r="FS199">
            <v>0</v>
          </cell>
          <cell r="FT199">
            <v>0</v>
          </cell>
          <cell r="FU199">
            <v>0</v>
          </cell>
          <cell r="FV199">
            <v>0</v>
          </cell>
          <cell r="FW199">
            <v>0</v>
          </cell>
          <cell r="FX199">
            <v>0</v>
          </cell>
          <cell r="FY199">
            <v>0</v>
          </cell>
          <cell r="FZ199">
            <v>0</v>
          </cell>
        </row>
        <row r="200">
          <cell r="A200" t="str">
            <v>I_BVP_NRF_EPA_EUR_INTR_P06</v>
          </cell>
          <cell r="B200">
            <v>0</v>
          </cell>
          <cell r="C200">
            <v>0</v>
          </cell>
          <cell r="D200">
            <v>0</v>
          </cell>
          <cell r="E200">
            <v>0</v>
          </cell>
          <cell r="F200">
            <v>0</v>
          </cell>
          <cell r="G200">
            <v>0</v>
          </cell>
          <cell r="H200">
            <v>0</v>
          </cell>
          <cell r="I200">
            <v>0</v>
          </cell>
          <cell r="J200">
            <v>0</v>
          </cell>
          <cell r="K200">
            <v>0</v>
          </cell>
          <cell r="L200">
            <v>0</v>
          </cell>
          <cell r="M200">
            <v>0</v>
          </cell>
          <cell r="N200">
            <v>0</v>
          </cell>
          <cell r="O200">
            <v>0</v>
          </cell>
          <cell r="P200">
            <v>0</v>
          </cell>
          <cell r="Q200">
            <v>0</v>
          </cell>
          <cell r="R200">
            <v>0</v>
          </cell>
          <cell r="S200">
            <v>0</v>
          </cell>
          <cell r="T200">
            <v>0</v>
          </cell>
          <cell r="U200">
            <v>0</v>
          </cell>
          <cell r="V200">
            <v>0</v>
          </cell>
          <cell r="W200">
            <v>0</v>
          </cell>
          <cell r="X200">
            <v>0</v>
          </cell>
          <cell r="Y200">
            <v>0</v>
          </cell>
          <cell r="Z200">
            <v>0</v>
          </cell>
          <cell r="AA200">
            <v>0</v>
          </cell>
          <cell r="AB200">
            <v>0</v>
          </cell>
          <cell r="AC200">
            <v>0</v>
          </cell>
          <cell r="AD200">
            <v>0</v>
          </cell>
          <cell r="AE200">
            <v>0</v>
          </cell>
          <cell r="AF200">
            <v>0</v>
          </cell>
          <cell r="AG200">
            <v>0</v>
          </cell>
          <cell r="AH200">
            <v>0</v>
          </cell>
          <cell r="AI200">
            <v>0</v>
          </cell>
          <cell r="AJ200">
            <v>0</v>
          </cell>
          <cell r="AK200">
            <v>0</v>
          </cell>
          <cell r="AL200">
            <v>0</v>
          </cell>
          <cell r="AM200">
            <v>0</v>
          </cell>
          <cell r="AN200">
            <v>0</v>
          </cell>
          <cell r="AO200">
            <v>0</v>
          </cell>
          <cell r="AP200">
            <v>0</v>
          </cell>
          <cell r="AQ200">
            <v>0</v>
          </cell>
          <cell r="AR200">
            <v>0</v>
          </cell>
          <cell r="AS200">
            <v>0</v>
          </cell>
          <cell r="AT200">
            <v>0</v>
          </cell>
          <cell r="AU200">
            <v>0</v>
          </cell>
          <cell r="AV200">
            <v>0</v>
          </cell>
          <cell r="AW200">
            <v>0</v>
          </cell>
          <cell r="AX200">
            <v>0</v>
          </cell>
          <cell r="AY200">
            <v>0</v>
          </cell>
          <cell r="AZ200">
            <v>0</v>
          </cell>
          <cell r="BA200">
            <v>0</v>
          </cell>
          <cell r="BB200">
            <v>0</v>
          </cell>
          <cell r="BC200">
            <v>0</v>
          </cell>
          <cell r="BD200">
            <v>0</v>
          </cell>
          <cell r="BE200">
            <v>0</v>
          </cell>
          <cell r="BF200">
            <v>0</v>
          </cell>
          <cell r="BG200">
            <v>0</v>
          </cell>
          <cell r="BH200">
            <v>0</v>
          </cell>
          <cell r="BI200">
            <v>0</v>
          </cell>
          <cell r="BJ200">
            <v>0</v>
          </cell>
          <cell r="BK200">
            <v>0</v>
          </cell>
          <cell r="BL200">
            <v>0</v>
          </cell>
          <cell r="BM200">
            <v>0</v>
          </cell>
          <cell r="BN200">
            <v>0</v>
          </cell>
          <cell r="BO200">
            <v>0</v>
          </cell>
          <cell r="BP200">
            <v>0</v>
          </cell>
          <cell r="BQ200">
            <v>0</v>
          </cell>
          <cell r="BR200">
            <v>0</v>
          </cell>
          <cell r="BS200">
            <v>0</v>
          </cell>
          <cell r="BT200">
            <v>0</v>
          </cell>
          <cell r="BU200">
            <v>0</v>
          </cell>
          <cell r="BV200">
            <v>0</v>
          </cell>
          <cell r="BW200">
            <v>0</v>
          </cell>
          <cell r="BX200">
            <v>0</v>
          </cell>
          <cell r="BY200">
            <v>0</v>
          </cell>
          <cell r="BZ200">
            <v>0</v>
          </cell>
          <cell r="CA200">
            <v>0</v>
          </cell>
          <cell r="CB200">
            <v>0</v>
          </cell>
          <cell r="CC200">
            <v>0</v>
          </cell>
          <cell r="CD200">
            <v>0</v>
          </cell>
          <cell r="CE200">
            <v>0</v>
          </cell>
          <cell r="CF200">
            <v>0</v>
          </cell>
          <cell r="CG200">
            <v>0</v>
          </cell>
          <cell r="CH200">
            <v>0</v>
          </cell>
          <cell r="CI200">
            <v>0</v>
          </cell>
          <cell r="CJ200">
            <v>0</v>
          </cell>
          <cell r="CK200">
            <v>0</v>
          </cell>
          <cell r="CL200">
            <v>0</v>
          </cell>
          <cell r="CM200">
            <v>0</v>
          </cell>
          <cell r="CN200">
            <v>0</v>
          </cell>
          <cell r="CO200">
            <v>0</v>
          </cell>
          <cell r="CP200">
            <v>0</v>
          </cell>
          <cell r="CQ200">
            <v>0</v>
          </cell>
          <cell r="CR200">
            <v>0</v>
          </cell>
          <cell r="CS200">
            <v>0</v>
          </cell>
          <cell r="CT200">
            <v>0</v>
          </cell>
          <cell r="CU200">
            <v>0</v>
          </cell>
          <cell r="CV200">
            <v>0</v>
          </cell>
          <cell r="CW200">
            <v>0</v>
          </cell>
          <cell r="CX200">
            <v>0</v>
          </cell>
          <cell r="CY200">
            <v>0</v>
          </cell>
          <cell r="CZ200">
            <v>0</v>
          </cell>
          <cell r="DA200">
            <v>0</v>
          </cell>
          <cell r="DB200">
            <v>0</v>
          </cell>
          <cell r="DC200">
            <v>0</v>
          </cell>
          <cell r="DD200">
            <v>0</v>
          </cell>
          <cell r="DE200">
            <v>0</v>
          </cell>
          <cell r="DF200">
            <v>0</v>
          </cell>
          <cell r="DG200">
            <v>0</v>
          </cell>
          <cell r="DH200">
            <v>0</v>
          </cell>
          <cell r="DI200">
            <v>0</v>
          </cell>
          <cell r="DJ200">
            <v>0</v>
          </cell>
          <cell r="DK200">
            <v>0</v>
          </cell>
          <cell r="DL200">
            <v>0</v>
          </cell>
          <cell r="DM200">
            <v>0</v>
          </cell>
          <cell r="DN200">
            <v>0</v>
          </cell>
          <cell r="DO200">
            <v>0</v>
          </cell>
          <cell r="DP200">
            <v>0</v>
          </cell>
          <cell r="DQ200">
            <v>0</v>
          </cell>
          <cell r="DR200">
            <v>0</v>
          </cell>
          <cell r="DS200">
            <v>0</v>
          </cell>
          <cell r="DT200">
            <v>0</v>
          </cell>
          <cell r="DU200">
            <v>0</v>
          </cell>
          <cell r="DV200">
            <v>0</v>
          </cell>
          <cell r="DW200">
            <v>0</v>
          </cell>
          <cell r="DX200">
            <v>0</v>
          </cell>
          <cell r="DY200">
            <v>0</v>
          </cell>
          <cell r="EA200">
            <v>0</v>
          </cell>
          <cell r="EB200">
            <v>0</v>
          </cell>
          <cell r="EC200">
            <v>0</v>
          </cell>
          <cell r="ED200">
            <v>0</v>
          </cell>
          <cell r="EE200">
            <v>0</v>
          </cell>
          <cell r="EF200">
            <v>0</v>
          </cell>
          <cell r="EG200">
            <v>0</v>
          </cell>
          <cell r="EH200">
            <v>0</v>
          </cell>
          <cell r="EI200">
            <v>0</v>
          </cell>
          <cell r="EJ200">
            <v>0</v>
          </cell>
          <cell r="EK200">
            <v>0</v>
          </cell>
          <cell r="EL200">
            <v>0</v>
          </cell>
          <cell r="EM200">
            <v>0</v>
          </cell>
          <cell r="EN200">
            <v>0</v>
          </cell>
          <cell r="EO200">
            <v>0</v>
          </cell>
          <cell r="EP200">
            <v>0</v>
          </cell>
          <cell r="EQ200">
            <v>0</v>
          </cell>
          <cell r="ER200">
            <v>0</v>
          </cell>
          <cell r="ES200">
            <v>0</v>
          </cell>
          <cell r="ET200">
            <v>0</v>
          </cell>
          <cell r="EU200">
            <v>0</v>
          </cell>
          <cell r="EV200">
            <v>0</v>
          </cell>
          <cell r="EW200">
            <v>0</v>
          </cell>
          <cell r="EX200">
            <v>0</v>
          </cell>
          <cell r="EY200">
            <v>0</v>
          </cell>
          <cell r="EZ200">
            <v>0</v>
          </cell>
          <cell r="FA200">
            <v>0</v>
          </cell>
          <cell r="FB200">
            <v>0</v>
          </cell>
          <cell r="FC200">
            <v>0</v>
          </cell>
          <cell r="FD200">
            <v>0</v>
          </cell>
          <cell r="FE200">
            <v>0</v>
          </cell>
          <cell r="FF200">
            <v>0</v>
          </cell>
          <cell r="FG200">
            <v>0</v>
          </cell>
          <cell r="FH200">
            <v>0</v>
          </cell>
          <cell r="FI200">
            <v>0</v>
          </cell>
          <cell r="FJ200">
            <v>0</v>
          </cell>
          <cell r="FK200">
            <v>0</v>
          </cell>
          <cell r="FL200">
            <v>0</v>
          </cell>
          <cell r="FM200">
            <v>0</v>
          </cell>
          <cell r="FN200">
            <v>0</v>
          </cell>
          <cell r="FO200">
            <v>0</v>
          </cell>
          <cell r="FP200">
            <v>0</v>
          </cell>
          <cell r="FQ200">
            <v>0</v>
          </cell>
          <cell r="FR200">
            <v>0</v>
          </cell>
          <cell r="FS200">
            <v>0</v>
          </cell>
          <cell r="FT200">
            <v>0</v>
          </cell>
          <cell r="FU200">
            <v>0</v>
          </cell>
          <cell r="FV200">
            <v>0</v>
          </cell>
          <cell r="FW200">
            <v>0</v>
          </cell>
          <cell r="FX200">
            <v>0</v>
          </cell>
          <cell r="FY200">
            <v>0</v>
          </cell>
          <cell r="FZ200">
            <v>0</v>
          </cell>
        </row>
        <row r="201">
          <cell r="A201" t="str">
            <v>I_BVP_NRF_CPT_PRP_INTR_I21</v>
          </cell>
          <cell r="B201">
            <v>0</v>
          </cell>
          <cell r="C201">
            <v>0</v>
          </cell>
          <cell r="D201">
            <v>0</v>
          </cell>
          <cell r="E201">
            <v>0</v>
          </cell>
          <cell r="F201">
            <v>0</v>
          </cell>
          <cell r="G201">
            <v>0</v>
          </cell>
          <cell r="H201">
            <v>0</v>
          </cell>
          <cell r="I201">
            <v>0</v>
          </cell>
          <cell r="J201">
            <v>0</v>
          </cell>
          <cell r="K201">
            <v>0</v>
          </cell>
          <cell r="L201">
            <v>0</v>
          </cell>
          <cell r="M201">
            <v>0</v>
          </cell>
          <cell r="N201">
            <v>0</v>
          </cell>
          <cell r="O201">
            <v>0</v>
          </cell>
          <cell r="P201">
            <v>0</v>
          </cell>
          <cell r="Q201">
            <v>0</v>
          </cell>
          <cell r="R201">
            <v>0</v>
          </cell>
          <cell r="S201">
            <v>0</v>
          </cell>
          <cell r="T201">
            <v>0</v>
          </cell>
          <cell r="U201">
            <v>0</v>
          </cell>
          <cell r="V201">
            <v>0</v>
          </cell>
          <cell r="W201">
            <v>0</v>
          </cell>
          <cell r="X201">
            <v>0</v>
          </cell>
          <cell r="Y201">
            <v>0</v>
          </cell>
          <cell r="Z201">
            <v>0</v>
          </cell>
          <cell r="AA201">
            <v>0</v>
          </cell>
          <cell r="AB201">
            <v>0</v>
          </cell>
          <cell r="AC201">
            <v>0</v>
          </cell>
          <cell r="AD201">
            <v>0</v>
          </cell>
          <cell r="AE201">
            <v>0</v>
          </cell>
          <cell r="AF201">
            <v>0</v>
          </cell>
          <cell r="AG201">
            <v>0</v>
          </cell>
          <cell r="AH201">
            <v>0</v>
          </cell>
          <cell r="AI201">
            <v>0</v>
          </cell>
          <cell r="AJ201">
            <v>0</v>
          </cell>
          <cell r="AK201">
            <v>0</v>
          </cell>
          <cell r="AL201">
            <v>0</v>
          </cell>
          <cell r="AM201">
            <v>0</v>
          </cell>
          <cell r="AN201">
            <v>0</v>
          </cell>
          <cell r="AO201">
            <v>0</v>
          </cell>
          <cell r="AP201">
            <v>0</v>
          </cell>
          <cell r="AQ201">
            <v>0</v>
          </cell>
          <cell r="AR201">
            <v>0</v>
          </cell>
          <cell r="AS201">
            <v>0</v>
          </cell>
          <cell r="AT201">
            <v>0</v>
          </cell>
          <cell r="AU201">
            <v>0</v>
          </cell>
          <cell r="AV201">
            <v>0</v>
          </cell>
          <cell r="AW201">
            <v>0</v>
          </cell>
          <cell r="AX201">
            <v>0</v>
          </cell>
          <cell r="AY201">
            <v>0</v>
          </cell>
          <cell r="AZ201">
            <v>0</v>
          </cell>
          <cell r="BA201">
            <v>0</v>
          </cell>
          <cell r="BB201">
            <v>0</v>
          </cell>
          <cell r="BC201">
            <v>0</v>
          </cell>
          <cell r="BD201">
            <v>0</v>
          </cell>
          <cell r="BE201">
            <v>0</v>
          </cell>
          <cell r="BF201">
            <v>0</v>
          </cell>
          <cell r="BG201">
            <v>0</v>
          </cell>
          <cell r="BH201">
            <v>0</v>
          </cell>
          <cell r="BI201">
            <v>0</v>
          </cell>
          <cell r="BJ201">
            <v>0</v>
          </cell>
          <cell r="BK201">
            <v>0</v>
          </cell>
          <cell r="BL201">
            <v>0</v>
          </cell>
          <cell r="BM201">
            <v>0</v>
          </cell>
          <cell r="BN201">
            <v>0</v>
          </cell>
          <cell r="BO201">
            <v>0</v>
          </cell>
          <cell r="BP201">
            <v>0</v>
          </cell>
          <cell r="BQ201">
            <v>0</v>
          </cell>
          <cell r="BR201">
            <v>0</v>
          </cell>
          <cell r="BS201">
            <v>0</v>
          </cell>
          <cell r="BT201">
            <v>0</v>
          </cell>
          <cell r="BU201">
            <v>0</v>
          </cell>
          <cell r="BV201">
            <v>0</v>
          </cell>
          <cell r="BW201">
            <v>0</v>
          </cell>
          <cell r="BX201">
            <v>0</v>
          </cell>
          <cell r="BY201">
            <v>0</v>
          </cell>
          <cell r="BZ201">
            <v>0</v>
          </cell>
          <cell r="CA201">
            <v>0</v>
          </cell>
          <cell r="CB201">
            <v>0</v>
          </cell>
          <cell r="CC201">
            <v>0</v>
          </cell>
          <cell r="CD201">
            <v>0</v>
          </cell>
          <cell r="CE201">
            <v>0</v>
          </cell>
          <cell r="CF201">
            <v>0</v>
          </cell>
          <cell r="CG201">
            <v>0</v>
          </cell>
          <cell r="CH201">
            <v>0</v>
          </cell>
          <cell r="CI201">
            <v>0</v>
          </cell>
          <cell r="CJ201">
            <v>0</v>
          </cell>
          <cell r="CK201">
            <v>0</v>
          </cell>
          <cell r="CL201">
            <v>0</v>
          </cell>
          <cell r="CM201">
            <v>0</v>
          </cell>
          <cell r="CN201">
            <v>0</v>
          </cell>
          <cell r="CO201">
            <v>0</v>
          </cell>
          <cell r="CP201">
            <v>0</v>
          </cell>
          <cell r="CQ201">
            <v>0</v>
          </cell>
          <cell r="CR201">
            <v>0</v>
          </cell>
          <cell r="CS201">
            <v>0</v>
          </cell>
          <cell r="CT201">
            <v>0</v>
          </cell>
          <cell r="CU201">
            <v>0</v>
          </cell>
          <cell r="CV201">
            <v>0</v>
          </cell>
          <cell r="CW201">
            <v>0</v>
          </cell>
          <cell r="CX201">
            <v>0</v>
          </cell>
          <cell r="CY201">
            <v>0</v>
          </cell>
          <cell r="CZ201">
            <v>0</v>
          </cell>
          <cell r="DA201">
            <v>0</v>
          </cell>
          <cell r="DB201">
            <v>0</v>
          </cell>
          <cell r="DC201">
            <v>0</v>
          </cell>
          <cell r="DD201">
            <v>0</v>
          </cell>
          <cell r="DE201">
            <v>0</v>
          </cell>
          <cell r="DF201">
            <v>0</v>
          </cell>
          <cell r="DG201">
            <v>0</v>
          </cell>
          <cell r="DH201">
            <v>0</v>
          </cell>
          <cell r="DI201">
            <v>0</v>
          </cell>
          <cell r="DJ201">
            <v>0</v>
          </cell>
          <cell r="DK201">
            <v>0</v>
          </cell>
          <cell r="DL201">
            <v>0</v>
          </cell>
          <cell r="DM201">
            <v>0</v>
          </cell>
          <cell r="DN201">
            <v>0</v>
          </cell>
          <cell r="DO201">
            <v>0</v>
          </cell>
          <cell r="DP201">
            <v>0</v>
          </cell>
          <cell r="DQ201">
            <v>0</v>
          </cell>
          <cell r="DR201">
            <v>0</v>
          </cell>
          <cell r="DS201">
            <v>0</v>
          </cell>
          <cell r="DT201">
            <v>0</v>
          </cell>
          <cell r="DU201">
            <v>0</v>
          </cell>
          <cell r="DV201">
            <v>0</v>
          </cell>
          <cell r="DW201">
            <v>0</v>
          </cell>
          <cell r="DX201">
            <v>0</v>
          </cell>
          <cell r="DY201">
            <v>0</v>
          </cell>
          <cell r="EA201">
            <v>0</v>
          </cell>
          <cell r="EB201">
            <v>0</v>
          </cell>
          <cell r="EC201">
            <v>0</v>
          </cell>
          <cell r="ED201">
            <v>0</v>
          </cell>
          <cell r="EE201">
            <v>0</v>
          </cell>
          <cell r="EF201">
            <v>0</v>
          </cell>
          <cell r="EG201">
            <v>0</v>
          </cell>
          <cell r="EH201">
            <v>0</v>
          </cell>
          <cell r="EI201">
            <v>0</v>
          </cell>
          <cell r="EJ201">
            <v>0</v>
          </cell>
          <cell r="EK201">
            <v>0</v>
          </cell>
          <cell r="EL201">
            <v>0</v>
          </cell>
          <cell r="EM201">
            <v>0</v>
          </cell>
          <cell r="EN201">
            <v>0</v>
          </cell>
          <cell r="EO201">
            <v>0</v>
          </cell>
          <cell r="EP201">
            <v>0</v>
          </cell>
          <cell r="EQ201">
            <v>0</v>
          </cell>
          <cell r="ER201">
            <v>0</v>
          </cell>
          <cell r="ES201">
            <v>0</v>
          </cell>
          <cell r="ET201">
            <v>0</v>
          </cell>
          <cell r="EU201">
            <v>0</v>
          </cell>
          <cell r="EV201">
            <v>0</v>
          </cell>
          <cell r="EW201">
            <v>0</v>
          </cell>
          <cell r="EX201">
            <v>0</v>
          </cell>
          <cell r="EY201">
            <v>0</v>
          </cell>
          <cell r="EZ201">
            <v>0</v>
          </cell>
          <cell r="FA201">
            <v>0</v>
          </cell>
          <cell r="FB201">
            <v>0</v>
          </cell>
          <cell r="FC201">
            <v>0</v>
          </cell>
          <cell r="FD201">
            <v>0</v>
          </cell>
          <cell r="FE201">
            <v>0</v>
          </cell>
          <cell r="FF201">
            <v>0</v>
          </cell>
          <cell r="FG201">
            <v>0</v>
          </cell>
          <cell r="FH201">
            <v>0</v>
          </cell>
          <cell r="FI201">
            <v>0</v>
          </cell>
          <cell r="FJ201">
            <v>0</v>
          </cell>
          <cell r="FK201">
            <v>0</v>
          </cell>
          <cell r="FL201">
            <v>0</v>
          </cell>
          <cell r="FM201">
            <v>0</v>
          </cell>
          <cell r="FN201">
            <v>0</v>
          </cell>
          <cell r="FO201">
            <v>0</v>
          </cell>
          <cell r="FP201">
            <v>0</v>
          </cell>
          <cell r="FQ201">
            <v>0</v>
          </cell>
          <cell r="FR201">
            <v>0</v>
          </cell>
          <cell r="FS201">
            <v>0</v>
          </cell>
          <cell r="FT201">
            <v>0</v>
          </cell>
          <cell r="FU201">
            <v>0</v>
          </cell>
          <cell r="FV201">
            <v>0</v>
          </cell>
          <cell r="FW201">
            <v>0</v>
          </cell>
          <cell r="FX201">
            <v>0</v>
          </cell>
          <cell r="FY201">
            <v>0</v>
          </cell>
          <cell r="FZ201">
            <v>0</v>
          </cell>
        </row>
        <row r="202">
          <cell r="A202" t="str">
            <v>I_BVP_NRF_ASS_EMP_INTR_I22</v>
          </cell>
          <cell r="B202">
            <v>0</v>
          </cell>
          <cell r="C202">
            <v>0</v>
          </cell>
          <cell r="D202">
            <v>0</v>
          </cell>
          <cell r="E202">
            <v>0</v>
          </cell>
          <cell r="F202">
            <v>0</v>
          </cell>
          <cell r="G202">
            <v>0</v>
          </cell>
          <cell r="H202">
            <v>0</v>
          </cell>
          <cell r="I202">
            <v>0</v>
          </cell>
          <cell r="J202">
            <v>0</v>
          </cell>
          <cell r="K202">
            <v>0</v>
          </cell>
          <cell r="L202">
            <v>0</v>
          </cell>
          <cell r="M202">
            <v>0</v>
          </cell>
          <cell r="N202">
            <v>0</v>
          </cell>
          <cell r="O202">
            <v>0</v>
          </cell>
          <cell r="P202">
            <v>0</v>
          </cell>
          <cell r="Q202">
            <v>0</v>
          </cell>
          <cell r="R202">
            <v>0</v>
          </cell>
          <cell r="S202">
            <v>0</v>
          </cell>
          <cell r="T202">
            <v>0</v>
          </cell>
          <cell r="U202">
            <v>0</v>
          </cell>
          <cell r="V202">
            <v>0</v>
          </cell>
          <cell r="W202">
            <v>0</v>
          </cell>
          <cell r="X202">
            <v>0</v>
          </cell>
          <cell r="Y202">
            <v>0</v>
          </cell>
          <cell r="Z202">
            <v>0</v>
          </cell>
          <cell r="AA202">
            <v>0</v>
          </cell>
          <cell r="AB202">
            <v>0</v>
          </cell>
          <cell r="AC202">
            <v>0</v>
          </cell>
          <cell r="AD202">
            <v>0</v>
          </cell>
          <cell r="AE202">
            <v>0</v>
          </cell>
          <cell r="AF202">
            <v>0</v>
          </cell>
          <cell r="AG202">
            <v>0</v>
          </cell>
          <cell r="AH202">
            <v>0</v>
          </cell>
          <cell r="AI202">
            <v>0</v>
          </cell>
          <cell r="AJ202">
            <v>0</v>
          </cell>
          <cell r="AK202">
            <v>0</v>
          </cell>
          <cell r="AL202">
            <v>0</v>
          </cell>
          <cell r="AM202">
            <v>0</v>
          </cell>
          <cell r="AN202">
            <v>0</v>
          </cell>
          <cell r="AO202">
            <v>0</v>
          </cell>
          <cell r="AP202">
            <v>0</v>
          </cell>
          <cell r="AQ202">
            <v>0</v>
          </cell>
          <cell r="AR202">
            <v>0</v>
          </cell>
          <cell r="AS202">
            <v>0</v>
          </cell>
          <cell r="AT202">
            <v>0</v>
          </cell>
          <cell r="AU202">
            <v>0</v>
          </cell>
          <cell r="AV202">
            <v>0</v>
          </cell>
          <cell r="AW202">
            <v>0</v>
          </cell>
          <cell r="AX202">
            <v>0</v>
          </cell>
          <cell r="AY202">
            <v>0</v>
          </cell>
          <cell r="AZ202">
            <v>0</v>
          </cell>
          <cell r="BA202">
            <v>0</v>
          </cell>
          <cell r="BB202">
            <v>0</v>
          </cell>
          <cell r="BC202">
            <v>0</v>
          </cell>
          <cell r="BD202">
            <v>0</v>
          </cell>
          <cell r="BE202">
            <v>0</v>
          </cell>
          <cell r="BF202">
            <v>0</v>
          </cell>
          <cell r="BG202">
            <v>0</v>
          </cell>
          <cell r="BH202">
            <v>0</v>
          </cell>
          <cell r="BI202">
            <v>0</v>
          </cell>
          <cell r="BJ202">
            <v>0</v>
          </cell>
          <cell r="BK202">
            <v>0</v>
          </cell>
          <cell r="BL202">
            <v>0</v>
          </cell>
          <cell r="BM202">
            <v>0</v>
          </cell>
          <cell r="BN202">
            <v>0</v>
          </cell>
          <cell r="BO202">
            <v>0</v>
          </cell>
          <cell r="BP202">
            <v>0</v>
          </cell>
          <cell r="BQ202">
            <v>0</v>
          </cell>
          <cell r="BR202">
            <v>0</v>
          </cell>
          <cell r="BS202">
            <v>0</v>
          </cell>
          <cell r="BT202">
            <v>0</v>
          </cell>
          <cell r="BU202">
            <v>0</v>
          </cell>
          <cell r="BV202">
            <v>0</v>
          </cell>
          <cell r="BW202">
            <v>0</v>
          </cell>
          <cell r="BX202">
            <v>0</v>
          </cell>
          <cell r="BY202">
            <v>0</v>
          </cell>
          <cell r="BZ202">
            <v>0</v>
          </cell>
          <cell r="CA202">
            <v>0</v>
          </cell>
          <cell r="CB202">
            <v>0</v>
          </cell>
          <cell r="CC202">
            <v>0</v>
          </cell>
          <cell r="CD202">
            <v>0</v>
          </cell>
          <cell r="CE202">
            <v>0</v>
          </cell>
          <cell r="CF202">
            <v>0</v>
          </cell>
          <cell r="CG202">
            <v>0</v>
          </cell>
          <cell r="CH202">
            <v>0</v>
          </cell>
          <cell r="CI202">
            <v>0</v>
          </cell>
          <cell r="CJ202">
            <v>0</v>
          </cell>
          <cell r="CK202">
            <v>0</v>
          </cell>
          <cell r="CL202">
            <v>0</v>
          </cell>
          <cell r="CM202">
            <v>0</v>
          </cell>
          <cell r="CN202">
            <v>0</v>
          </cell>
          <cell r="CO202">
            <v>0</v>
          </cell>
          <cell r="CP202">
            <v>0</v>
          </cell>
          <cell r="CQ202">
            <v>0</v>
          </cell>
          <cell r="CR202">
            <v>0</v>
          </cell>
          <cell r="CS202">
            <v>0</v>
          </cell>
          <cell r="CT202">
            <v>0</v>
          </cell>
          <cell r="CU202">
            <v>0</v>
          </cell>
          <cell r="CV202">
            <v>0</v>
          </cell>
          <cell r="CW202">
            <v>0</v>
          </cell>
          <cell r="CX202">
            <v>0</v>
          </cell>
          <cell r="CY202">
            <v>0</v>
          </cell>
          <cell r="CZ202">
            <v>0</v>
          </cell>
          <cell r="DA202">
            <v>0</v>
          </cell>
          <cell r="DB202">
            <v>0</v>
          </cell>
          <cell r="DC202">
            <v>0</v>
          </cell>
          <cell r="DD202">
            <v>0</v>
          </cell>
          <cell r="DE202">
            <v>0</v>
          </cell>
          <cell r="DF202">
            <v>0</v>
          </cell>
          <cell r="DG202">
            <v>0</v>
          </cell>
          <cell r="DH202">
            <v>0</v>
          </cell>
          <cell r="DI202">
            <v>0</v>
          </cell>
          <cell r="DJ202">
            <v>0</v>
          </cell>
          <cell r="DK202">
            <v>0</v>
          </cell>
          <cell r="DL202">
            <v>0</v>
          </cell>
          <cell r="DM202">
            <v>0</v>
          </cell>
          <cell r="DN202">
            <v>0</v>
          </cell>
          <cell r="DO202">
            <v>0</v>
          </cell>
          <cell r="DP202">
            <v>0</v>
          </cell>
          <cell r="DQ202">
            <v>0</v>
          </cell>
          <cell r="DR202">
            <v>0</v>
          </cell>
          <cell r="DS202">
            <v>0</v>
          </cell>
          <cell r="DT202">
            <v>0</v>
          </cell>
          <cell r="DU202">
            <v>0</v>
          </cell>
          <cell r="DV202">
            <v>0</v>
          </cell>
          <cell r="DW202">
            <v>0</v>
          </cell>
          <cell r="DX202">
            <v>0</v>
          </cell>
          <cell r="DY202">
            <v>0</v>
          </cell>
          <cell r="EA202">
            <v>0</v>
          </cell>
          <cell r="EB202">
            <v>0</v>
          </cell>
          <cell r="EC202">
            <v>0</v>
          </cell>
          <cell r="ED202">
            <v>0</v>
          </cell>
          <cell r="EE202">
            <v>0</v>
          </cell>
          <cell r="EF202">
            <v>0</v>
          </cell>
          <cell r="EG202">
            <v>0</v>
          </cell>
          <cell r="EH202">
            <v>0</v>
          </cell>
          <cell r="EI202">
            <v>0</v>
          </cell>
          <cell r="EJ202">
            <v>0</v>
          </cell>
          <cell r="EK202">
            <v>0</v>
          </cell>
          <cell r="EL202">
            <v>0</v>
          </cell>
          <cell r="EM202">
            <v>0</v>
          </cell>
          <cell r="EN202">
            <v>0</v>
          </cell>
          <cell r="EO202">
            <v>0</v>
          </cell>
          <cell r="EP202">
            <v>0</v>
          </cell>
          <cell r="EQ202">
            <v>0</v>
          </cell>
          <cell r="ER202">
            <v>0</v>
          </cell>
          <cell r="ES202">
            <v>0</v>
          </cell>
          <cell r="ET202">
            <v>0</v>
          </cell>
          <cell r="EU202">
            <v>0</v>
          </cell>
          <cell r="EV202">
            <v>0</v>
          </cell>
          <cell r="EW202">
            <v>0</v>
          </cell>
          <cell r="EX202">
            <v>0</v>
          </cell>
          <cell r="EY202">
            <v>0</v>
          </cell>
          <cell r="EZ202">
            <v>0</v>
          </cell>
          <cell r="FA202">
            <v>0</v>
          </cell>
          <cell r="FB202">
            <v>0</v>
          </cell>
          <cell r="FC202">
            <v>0</v>
          </cell>
          <cell r="FD202">
            <v>0</v>
          </cell>
          <cell r="FE202">
            <v>0</v>
          </cell>
          <cell r="FF202">
            <v>0</v>
          </cell>
          <cell r="FG202">
            <v>0</v>
          </cell>
          <cell r="FH202">
            <v>0</v>
          </cell>
          <cell r="FI202">
            <v>0</v>
          </cell>
          <cell r="FJ202">
            <v>0</v>
          </cell>
          <cell r="FK202">
            <v>0</v>
          </cell>
          <cell r="FL202">
            <v>0</v>
          </cell>
          <cell r="FM202">
            <v>0</v>
          </cell>
          <cell r="FN202">
            <v>0</v>
          </cell>
          <cell r="FO202">
            <v>0</v>
          </cell>
          <cell r="FP202">
            <v>0</v>
          </cell>
          <cell r="FQ202">
            <v>0</v>
          </cell>
          <cell r="FR202">
            <v>0</v>
          </cell>
          <cell r="FS202">
            <v>0</v>
          </cell>
          <cell r="FT202">
            <v>0</v>
          </cell>
          <cell r="FU202">
            <v>0</v>
          </cell>
          <cell r="FV202">
            <v>0</v>
          </cell>
          <cell r="FW202">
            <v>0</v>
          </cell>
          <cell r="FX202">
            <v>0</v>
          </cell>
          <cell r="FY202">
            <v>0</v>
          </cell>
          <cell r="FZ202">
            <v>0</v>
          </cell>
        </row>
        <row r="203">
          <cell r="A203" t="str">
            <v>I_BVP_NRF_EPA_EUR_INTR_I23</v>
          </cell>
          <cell r="B203">
            <v>0</v>
          </cell>
          <cell r="C203">
            <v>0</v>
          </cell>
          <cell r="D203">
            <v>0</v>
          </cell>
          <cell r="E203">
            <v>0</v>
          </cell>
          <cell r="F203">
            <v>0</v>
          </cell>
          <cell r="G203">
            <v>0</v>
          </cell>
          <cell r="H203">
            <v>0</v>
          </cell>
          <cell r="I203">
            <v>0</v>
          </cell>
          <cell r="J203">
            <v>0</v>
          </cell>
          <cell r="K203">
            <v>0</v>
          </cell>
          <cell r="L203">
            <v>0</v>
          </cell>
          <cell r="M203">
            <v>0</v>
          </cell>
          <cell r="N203">
            <v>0</v>
          </cell>
          <cell r="O203">
            <v>0</v>
          </cell>
          <cell r="P203">
            <v>0</v>
          </cell>
          <cell r="Q203">
            <v>0</v>
          </cell>
          <cell r="R203">
            <v>0</v>
          </cell>
          <cell r="S203">
            <v>0</v>
          </cell>
          <cell r="T203">
            <v>0</v>
          </cell>
          <cell r="U203">
            <v>0</v>
          </cell>
          <cell r="V203">
            <v>0</v>
          </cell>
          <cell r="W203">
            <v>0</v>
          </cell>
          <cell r="X203">
            <v>0</v>
          </cell>
          <cell r="Y203">
            <v>0</v>
          </cell>
          <cell r="Z203">
            <v>0</v>
          </cell>
          <cell r="AA203">
            <v>0</v>
          </cell>
          <cell r="AB203">
            <v>0</v>
          </cell>
          <cell r="AC203">
            <v>0</v>
          </cell>
          <cell r="AD203">
            <v>0</v>
          </cell>
          <cell r="AE203">
            <v>0</v>
          </cell>
          <cell r="AF203">
            <v>0</v>
          </cell>
          <cell r="AG203">
            <v>0</v>
          </cell>
          <cell r="AH203">
            <v>0</v>
          </cell>
          <cell r="AI203">
            <v>0</v>
          </cell>
          <cell r="AJ203">
            <v>0</v>
          </cell>
          <cell r="AK203">
            <v>0</v>
          </cell>
          <cell r="AL203">
            <v>0</v>
          </cell>
          <cell r="AM203">
            <v>0</v>
          </cell>
          <cell r="AN203">
            <v>0</v>
          </cell>
          <cell r="AO203">
            <v>0</v>
          </cell>
          <cell r="AP203">
            <v>0</v>
          </cell>
          <cell r="AQ203">
            <v>0</v>
          </cell>
          <cell r="AR203">
            <v>0</v>
          </cell>
          <cell r="AS203">
            <v>0</v>
          </cell>
          <cell r="AT203">
            <v>0</v>
          </cell>
          <cell r="AU203">
            <v>0</v>
          </cell>
          <cell r="AV203">
            <v>0</v>
          </cell>
          <cell r="AW203">
            <v>0</v>
          </cell>
          <cell r="AX203">
            <v>0</v>
          </cell>
          <cell r="AY203">
            <v>0</v>
          </cell>
          <cell r="AZ203">
            <v>0</v>
          </cell>
          <cell r="BA203">
            <v>0</v>
          </cell>
          <cell r="BB203">
            <v>0</v>
          </cell>
          <cell r="BC203">
            <v>0</v>
          </cell>
          <cell r="BD203">
            <v>0</v>
          </cell>
          <cell r="BE203">
            <v>0</v>
          </cell>
          <cell r="BF203">
            <v>0</v>
          </cell>
          <cell r="BG203">
            <v>0</v>
          </cell>
          <cell r="BH203">
            <v>0</v>
          </cell>
          <cell r="BI203">
            <v>0</v>
          </cell>
          <cell r="BJ203">
            <v>0</v>
          </cell>
          <cell r="BK203">
            <v>0</v>
          </cell>
          <cell r="BL203">
            <v>0</v>
          </cell>
          <cell r="BM203">
            <v>0</v>
          </cell>
          <cell r="BN203">
            <v>0</v>
          </cell>
          <cell r="BO203">
            <v>0</v>
          </cell>
          <cell r="BP203">
            <v>0</v>
          </cell>
          <cell r="BQ203">
            <v>0</v>
          </cell>
          <cell r="BR203">
            <v>0</v>
          </cell>
          <cell r="BS203">
            <v>0</v>
          </cell>
          <cell r="BT203">
            <v>0</v>
          </cell>
          <cell r="BU203">
            <v>0</v>
          </cell>
          <cell r="BV203">
            <v>0</v>
          </cell>
          <cell r="BW203">
            <v>0</v>
          </cell>
          <cell r="BX203">
            <v>0</v>
          </cell>
          <cell r="BY203">
            <v>0</v>
          </cell>
          <cell r="BZ203">
            <v>0</v>
          </cell>
          <cell r="CA203">
            <v>0</v>
          </cell>
          <cell r="CB203">
            <v>0</v>
          </cell>
          <cell r="CC203">
            <v>0</v>
          </cell>
          <cell r="CD203">
            <v>0</v>
          </cell>
          <cell r="CE203">
            <v>0</v>
          </cell>
          <cell r="CF203">
            <v>0</v>
          </cell>
          <cell r="CG203">
            <v>0</v>
          </cell>
          <cell r="CH203">
            <v>0</v>
          </cell>
          <cell r="CI203">
            <v>0</v>
          </cell>
          <cell r="CJ203">
            <v>0</v>
          </cell>
          <cell r="CK203">
            <v>0</v>
          </cell>
          <cell r="CL203">
            <v>0</v>
          </cell>
          <cell r="CM203">
            <v>0</v>
          </cell>
          <cell r="CN203">
            <v>0</v>
          </cell>
          <cell r="CO203">
            <v>0</v>
          </cell>
          <cell r="CP203">
            <v>0</v>
          </cell>
          <cell r="CQ203">
            <v>0</v>
          </cell>
          <cell r="CR203">
            <v>0</v>
          </cell>
          <cell r="CS203">
            <v>0</v>
          </cell>
          <cell r="CT203">
            <v>0</v>
          </cell>
          <cell r="CU203">
            <v>0</v>
          </cell>
          <cell r="CV203">
            <v>0</v>
          </cell>
          <cell r="CW203">
            <v>0</v>
          </cell>
          <cell r="CX203">
            <v>0</v>
          </cell>
          <cell r="CY203">
            <v>0</v>
          </cell>
          <cell r="CZ203">
            <v>0</v>
          </cell>
          <cell r="DA203">
            <v>0</v>
          </cell>
          <cell r="DB203">
            <v>0</v>
          </cell>
          <cell r="DC203">
            <v>0</v>
          </cell>
          <cell r="DD203">
            <v>0</v>
          </cell>
          <cell r="DE203">
            <v>0</v>
          </cell>
          <cell r="DF203">
            <v>0</v>
          </cell>
          <cell r="DG203">
            <v>0</v>
          </cell>
          <cell r="DH203">
            <v>0</v>
          </cell>
          <cell r="DI203">
            <v>0</v>
          </cell>
          <cell r="DJ203">
            <v>0</v>
          </cell>
          <cell r="DK203">
            <v>0</v>
          </cell>
          <cell r="DL203">
            <v>0</v>
          </cell>
          <cell r="DM203">
            <v>0</v>
          </cell>
          <cell r="DN203">
            <v>0</v>
          </cell>
          <cell r="DO203">
            <v>0</v>
          </cell>
          <cell r="DP203">
            <v>0</v>
          </cell>
          <cell r="DQ203">
            <v>0</v>
          </cell>
          <cell r="DR203">
            <v>0</v>
          </cell>
          <cell r="DS203">
            <v>0</v>
          </cell>
          <cell r="DT203">
            <v>0</v>
          </cell>
          <cell r="DU203">
            <v>0</v>
          </cell>
          <cell r="DV203">
            <v>0</v>
          </cell>
          <cell r="DW203">
            <v>0</v>
          </cell>
          <cell r="DX203">
            <v>0</v>
          </cell>
          <cell r="DY203">
            <v>0</v>
          </cell>
          <cell r="EA203">
            <v>0</v>
          </cell>
          <cell r="EB203">
            <v>0</v>
          </cell>
          <cell r="EC203">
            <v>0</v>
          </cell>
          <cell r="ED203">
            <v>0</v>
          </cell>
          <cell r="EE203">
            <v>0</v>
          </cell>
          <cell r="EF203">
            <v>0</v>
          </cell>
          <cell r="EG203">
            <v>0</v>
          </cell>
          <cell r="EH203">
            <v>0</v>
          </cell>
          <cell r="EI203">
            <v>0</v>
          </cell>
          <cell r="EJ203">
            <v>0</v>
          </cell>
          <cell r="EK203">
            <v>0</v>
          </cell>
          <cell r="EL203">
            <v>0</v>
          </cell>
          <cell r="EM203">
            <v>0</v>
          </cell>
          <cell r="EN203">
            <v>0</v>
          </cell>
          <cell r="EO203">
            <v>0</v>
          </cell>
          <cell r="EP203">
            <v>0</v>
          </cell>
          <cell r="EQ203">
            <v>0</v>
          </cell>
          <cell r="ER203">
            <v>0</v>
          </cell>
          <cell r="ES203">
            <v>0</v>
          </cell>
          <cell r="ET203">
            <v>0</v>
          </cell>
          <cell r="EU203">
            <v>0</v>
          </cell>
          <cell r="EV203">
            <v>0</v>
          </cell>
          <cell r="EW203">
            <v>0</v>
          </cell>
          <cell r="EX203">
            <v>0</v>
          </cell>
          <cell r="EY203">
            <v>0</v>
          </cell>
          <cell r="EZ203">
            <v>0</v>
          </cell>
          <cell r="FA203">
            <v>0</v>
          </cell>
          <cell r="FB203">
            <v>0</v>
          </cell>
          <cell r="FC203">
            <v>0</v>
          </cell>
          <cell r="FD203">
            <v>0</v>
          </cell>
          <cell r="FE203">
            <v>0</v>
          </cell>
          <cell r="FF203">
            <v>0</v>
          </cell>
          <cell r="FG203">
            <v>0</v>
          </cell>
          <cell r="FH203">
            <v>0</v>
          </cell>
          <cell r="FI203">
            <v>0</v>
          </cell>
          <cell r="FJ203">
            <v>0</v>
          </cell>
          <cell r="FK203">
            <v>0</v>
          </cell>
          <cell r="FL203">
            <v>0</v>
          </cell>
          <cell r="FM203">
            <v>0</v>
          </cell>
          <cell r="FN203">
            <v>0</v>
          </cell>
          <cell r="FO203">
            <v>0</v>
          </cell>
          <cell r="FP203">
            <v>0</v>
          </cell>
          <cell r="FQ203">
            <v>0</v>
          </cell>
          <cell r="FR203">
            <v>0</v>
          </cell>
          <cell r="FS203">
            <v>0</v>
          </cell>
          <cell r="FT203">
            <v>0</v>
          </cell>
          <cell r="FU203">
            <v>0</v>
          </cell>
          <cell r="FV203">
            <v>0</v>
          </cell>
          <cell r="FW203">
            <v>0</v>
          </cell>
          <cell r="FX203">
            <v>0</v>
          </cell>
          <cell r="FY203">
            <v>0</v>
          </cell>
          <cell r="FZ203">
            <v>0</v>
          </cell>
        </row>
        <row r="204">
          <cell r="A204" t="str">
            <v>I_BVP_NRF_EPA_UCS_INTR_I24</v>
          </cell>
          <cell r="B204">
            <v>0</v>
          </cell>
          <cell r="C204">
            <v>0</v>
          </cell>
          <cell r="D204">
            <v>0</v>
          </cell>
          <cell r="E204">
            <v>0</v>
          </cell>
          <cell r="F204">
            <v>0</v>
          </cell>
          <cell r="G204">
            <v>0</v>
          </cell>
          <cell r="H204">
            <v>0</v>
          </cell>
          <cell r="I204">
            <v>0</v>
          </cell>
          <cell r="J204">
            <v>0</v>
          </cell>
          <cell r="K204">
            <v>0</v>
          </cell>
          <cell r="L204">
            <v>0</v>
          </cell>
          <cell r="M204">
            <v>0</v>
          </cell>
          <cell r="N204">
            <v>0</v>
          </cell>
          <cell r="O204">
            <v>0</v>
          </cell>
          <cell r="P204">
            <v>0</v>
          </cell>
          <cell r="Q204">
            <v>0</v>
          </cell>
          <cell r="R204">
            <v>0</v>
          </cell>
          <cell r="S204">
            <v>0</v>
          </cell>
          <cell r="T204">
            <v>0</v>
          </cell>
          <cell r="U204">
            <v>0</v>
          </cell>
          <cell r="V204">
            <v>0</v>
          </cell>
          <cell r="W204">
            <v>0</v>
          </cell>
          <cell r="X204">
            <v>0</v>
          </cell>
          <cell r="Y204">
            <v>0</v>
          </cell>
          <cell r="Z204">
            <v>0</v>
          </cell>
          <cell r="AA204">
            <v>0</v>
          </cell>
          <cell r="AB204">
            <v>0</v>
          </cell>
          <cell r="AC204">
            <v>0</v>
          </cell>
          <cell r="AD204">
            <v>0</v>
          </cell>
          <cell r="AE204">
            <v>0</v>
          </cell>
          <cell r="AF204">
            <v>0</v>
          </cell>
          <cell r="AG204">
            <v>0</v>
          </cell>
          <cell r="AH204">
            <v>0</v>
          </cell>
          <cell r="AI204">
            <v>0</v>
          </cell>
          <cell r="AJ204">
            <v>0</v>
          </cell>
          <cell r="AK204">
            <v>0</v>
          </cell>
          <cell r="AL204">
            <v>0</v>
          </cell>
          <cell r="AM204">
            <v>0</v>
          </cell>
          <cell r="AN204">
            <v>0</v>
          </cell>
          <cell r="AO204">
            <v>0</v>
          </cell>
          <cell r="AP204">
            <v>0</v>
          </cell>
          <cell r="AQ204">
            <v>0</v>
          </cell>
          <cell r="AR204">
            <v>0</v>
          </cell>
          <cell r="AS204">
            <v>0</v>
          </cell>
          <cell r="AT204">
            <v>0</v>
          </cell>
          <cell r="AU204">
            <v>0</v>
          </cell>
          <cell r="AV204">
            <v>0</v>
          </cell>
          <cell r="AW204">
            <v>0</v>
          </cell>
          <cell r="AX204">
            <v>0</v>
          </cell>
          <cell r="AY204">
            <v>0</v>
          </cell>
          <cell r="AZ204">
            <v>0</v>
          </cell>
          <cell r="BA204">
            <v>0</v>
          </cell>
          <cell r="BB204">
            <v>0</v>
          </cell>
          <cell r="BC204">
            <v>0</v>
          </cell>
          <cell r="BD204">
            <v>0</v>
          </cell>
          <cell r="BE204">
            <v>0</v>
          </cell>
          <cell r="BF204">
            <v>0</v>
          </cell>
          <cell r="BG204">
            <v>0</v>
          </cell>
          <cell r="BH204">
            <v>0</v>
          </cell>
          <cell r="BI204">
            <v>0</v>
          </cell>
          <cell r="BJ204">
            <v>0</v>
          </cell>
          <cell r="BK204">
            <v>0</v>
          </cell>
          <cell r="BL204">
            <v>0</v>
          </cell>
          <cell r="BM204">
            <v>0</v>
          </cell>
          <cell r="BN204">
            <v>0</v>
          </cell>
          <cell r="BO204">
            <v>0</v>
          </cell>
          <cell r="BP204">
            <v>0</v>
          </cell>
          <cell r="BQ204">
            <v>0</v>
          </cell>
          <cell r="BR204">
            <v>0</v>
          </cell>
          <cell r="BS204">
            <v>0</v>
          </cell>
          <cell r="BT204">
            <v>0</v>
          </cell>
          <cell r="BU204">
            <v>0</v>
          </cell>
          <cell r="BV204">
            <v>0</v>
          </cell>
          <cell r="BW204">
            <v>0</v>
          </cell>
          <cell r="BX204">
            <v>0</v>
          </cell>
          <cell r="BY204">
            <v>0</v>
          </cell>
          <cell r="BZ204">
            <v>0</v>
          </cell>
          <cell r="CA204">
            <v>0</v>
          </cell>
          <cell r="CB204">
            <v>0</v>
          </cell>
          <cell r="CC204">
            <v>0</v>
          </cell>
          <cell r="CD204">
            <v>0</v>
          </cell>
          <cell r="CE204">
            <v>0</v>
          </cell>
          <cell r="CF204">
            <v>0</v>
          </cell>
          <cell r="CG204">
            <v>0</v>
          </cell>
          <cell r="CH204">
            <v>0</v>
          </cell>
          <cell r="CI204">
            <v>0</v>
          </cell>
          <cell r="CJ204">
            <v>0</v>
          </cell>
          <cell r="CK204">
            <v>0</v>
          </cell>
          <cell r="CL204">
            <v>0</v>
          </cell>
          <cell r="CM204">
            <v>0</v>
          </cell>
          <cell r="CN204">
            <v>0</v>
          </cell>
          <cell r="CO204">
            <v>0</v>
          </cell>
          <cell r="CP204">
            <v>0</v>
          </cell>
          <cell r="CQ204">
            <v>0</v>
          </cell>
          <cell r="CR204">
            <v>0</v>
          </cell>
          <cell r="CS204">
            <v>0</v>
          </cell>
          <cell r="CT204">
            <v>0</v>
          </cell>
          <cell r="CU204">
            <v>0</v>
          </cell>
          <cell r="CV204">
            <v>0</v>
          </cell>
          <cell r="CW204">
            <v>0</v>
          </cell>
          <cell r="CX204">
            <v>0</v>
          </cell>
          <cell r="CY204">
            <v>0</v>
          </cell>
          <cell r="CZ204">
            <v>0</v>
          </cell>
          <cell r="DA204">
            <v>0</v>
          </cell>
          <cell r="DB204">
            <v>0</v>
          </cell>
          <cell r="DC204">
            <v>0</v>
          </cell>
          <cell r="DD204">
            <v>0</v>
          </cell>
          <cell r="DE204">
            <v>0</v>
          </cell>
          <cell r="DF204">
            <v>0</v>
          </cell>
          <cell r="DG204">
            <v>0</v>
          </cell>
          <cell r="DH204">
            <v>0</v>
          </cell>
          <cell r="DI204">
            <v>0</v>
          </cell>
          <cell r="DJ204">
            <v>0</v>
          </cell>
          <cell r="DK204">
            <v>0</v>
          </cell>
          <cell r="DL204">
            <v>0</v>
          </cell>
          <cell r="DM204">
            <v>0</v>
          </cell>
          <cell r="DN204">
            <v>0</v>
          </cell>
          <cell r="DO204">
            <v>0</v>
          </cell>
          <cell r="DP204">
            <v>0</v>
          </cell>
          <cell r="DQ204">
            <v>0</v>
          </cell>
          <cell r="DR204">
            <v>0</v>
          </cell>
          <cell r="DS204">
            <v>0</v>
          </cell>
          <cell r="DT204">
            <v>0</v>
          </cell>
          <cell r="DU204">
            <v>0</v>
          </cell>
          <cell r="DV204">
            <v>0</v>
          </cell>
          <cell r="DW204">
            <v>0</v>
          </cell>
          <cell r="DX204">
            <v>0</v>
          </cell>
          <cell r="DY204">
            <v>0</v>
          </cell>
          <cell r="EA204">
            <v>0</v>
          </cell>
          <cell r="EB204">
            <v>0</v>
          </cell>
          <cell r="EC204">
            <v>0</v>
          </cell>
          <cell r="ED204">
            <v>0</v>
          </cell>
          <cell r="EE204">
            <v>0</v>
          </cell>
          <cell r="EF204">
            <v>0</v>
          </cell>
          <cell r="EG204">
            <v>0</v>
          </cell>
          <cell r="EH204">
            <v>0</v>
          </cell>
          <cell r="EI204">
            <v>0</v>
          </cell>
          <cell r="EJ204">
            <v>0</v>
          </cell>
          <cell r="EK204">
            <v>0</v>
          </cell>
          <cell r="EL204">
            <v>0</v>
          </cell>
          <cell r="EM204">
            <v>0</v>
          </cell>
          <cell r="EN204">
            <v>0</v>
          </cell>
          <cell r="EO204">
            <v>0</v>
          </cell>
          <cell r="EP204">
            <v>0</v>
          </cell>
          <cell r="EQ204">
            <v>0</v>
          </cell>
          <cell r="ER204">
            <v>0</v>
          </cell>
          <cell r="ES204">
            <v>0</v>
          </cell>
          <cell r="ET204">
            <v>0</v>
          </cell>
          <cell r="EU204">
            <v>0</v>
          </cell>
          <cell r="EV204">
            <v>0</v>
          </cell>
          <cell r="EW204">
            <v>0</v>
          </cell>
          <cell r="EX204">
            <v>0</v>
          </cell>
          <cell r="EY204">
            <v>0</v>
          </cell>
          <cell r="EZ204">
            <v>0</v>
          </cell>
          <cell r="FA204">
            <v>0</v>
          </cell>
          <cell r="FB204">
            <v>0</v>
          </cell>
          <cell r="FC204">
            <v>0</v>
          </cell>
          <cell r="FD204">
            <v>0</v>
          </cell>
          <cell r="FE204">
            <v>0</v>
          </cell>
          <cell r="FF204">
            <v>0</v>
          </cell>
          <cell r="FG204">
            <v>0</v>
          </cell>
          <cell r="FH204">
            <v>0</v>
          </cell>
          <cell r="FI204">
            <v>0</v>
          </cell>
          <cell r="FJ204">
            <v>0</v>
          </cell>
          <cell r="FK204">
            <v>0</v>
          </cell>
          <cell r="FL204">
            <v>0</v>
          </cell>
          <cell r="FM204">
            <v>0</v>
          </cell>
          <cell r="FN204">
            <v>0</v>
          </cell>
          <cell r="FO204">
            <v>0</v>
          </cell>
          <cell r="FP204">
            <v>0</v>
          </cell>
          <cell r="FQ204">
            <v>0</v>
          </cell>
          <cell r="FR204">
            <v>0</v>
          </cell>
          <cell r="FS204">
            <v>0</v>
          </cell>
          <cell r="FT204">
            <v>0</v>
          </cell>
          <cell r="FU204">
            <v>0</v>
          </cell>
          <cell r="FV204">
            <v>0</v>
          </cell>
          <cell r="FW204">
            <v>0</v>
          </cell>
          <cell r="FX204">
            <v>0</v>
          </cell>
          <cell r="FY204">
            <v>0</v>
          </cell>
          <cell r="FZ204">
            <v>0</v>
          </cell>
        </row>
        <row r="205">
          <cell r="A205" t="str">
            <v>I_BVP_NRF_EPA_EUR_INTR_I25</v>
          </cell>
          <cell r="B205">
            <v>0</v>
          </cell>
          <cell r="C205">
            <v>0</v>
          </cell>
          <cell r="D205">
            <v>0</v>
          </cell>
          <cell r="E205">
            <v>0</v>
          </cell>
          <cell r="F205">
            <v>0</v>
          </cell>
          <cell r="G205">
            <v>0</v>
          </cell>
          <cell r="H205">
            <v>0</v>
          </cell>
          <cell r="I205">
            <v>0</v>
          </cell>
          <cell r="J205">
            <v>0</v>
          </cell>
          <cell r="K205">
            <v>0</v>
          </cell>
          <cell r="L205">
            <v>0</v>
          </cell>
          <cell r="M205">
            <v>0</v>
          </cell>
          <cell r="N205">
            <v>0</v>
          </cell>
          <cell r="O205">
            <v>0</v>
          </cell>
          <cell r="P205">
            <v>0</v>
          </cell>
          <cell r="Q205">
            <v>0</v>
          </cell>
          <cell r="R205">
            <v>0</v>
          </cell>
          <cell r="S205">
            <v>0</v>
          </cell>
          <cell r="T205">
            <v>0</v>
          </cell>
          <cell r="U205">
            <v>0</v>
          </cell>
          <cell r="V205">
            <v>0</v>
          </cell>
          <cell r="W205">
            <v>0</v>
          </cell>
          <cell r="X205">
            <v>0</v>
          </cell>
          <cell r="Y205">
            <v>0</v>
          </cell>
          <cell r="Z205">
            <v>0</v>
          </cell>
          <cell r="AA205">
            <v>0</v>
          </cell>
          <cell r="AB205">
            <v>0</v>
          </cell>
          <cell r="AC205">
            <v>0</v>
          </cell>
          <cell r="AD205">
            <v>0</v>
          </cell>
          <cell r="AE205">
            <v>0</v>
          </cell>
          <cell r="AF205">
            <v>0</v>
          </cell>
          <cell r="AG205">
            <v>0</v>
          </cell>
          <cell r="AH205">
            <v>0</v>
          </cell>
          <cell r="AI205">
            <v>0</v>
          </cell>
          <cell r="AJ205">
            <v>0</v>
          </cell>
          <cell r="AK205">
            <v>0</v>
          </cell>
          <cell r="AL205">
            <v>0</v>
          </cell>
          <cell r="AM205">
            <v>0</v>
          </cell>
          <cell r="AN205">
            <v>0</v>
          </cell>
          <cell r="AO205">
            <v>0</v>
          </cell>
          <cell r="AP205">
            <v>0</v>
          </cell>
          <cell r="AQ205">
            <v>0</v>
          </cell>
          <cell r="AR205">
            <v>0</v>
          </cell>
          <cell r="AS205">
            <v>0</v>
          </cell>
          <cell r="AT205">
            <v>0</v>
          </cell>
          <cell r="AU205">
            <v>0</v>
          </cell>
          <cell r="AV205">
            <v>0</v>
          </cell>
          <cell r="AW205">
            <v>0</v>
          </cell>
          <cell r="AX205">
            <v>0</v>
          </cell>
          <cell r="AY205">
            <v>0</v>
          </cell>
          <cell r="AZ205">
            <v>0</v>
          </cell>
          <cell r="BA205">
            <v>0</v>
          </cell>
          <cell r="BB205">
            <v>0</v>
          </cell>
          <cell r="BC205">
            <v>0</v>
          </cell>
          <cell r="BD205">
            <v>0</v>
          </cell>
          <cell r="BE205">
            <v>0</v>
          </cell>
          <cell r="BF205">
            <v>0</v>
          </cell>
          <cell r="BG205">
            <v>0</v>
          </cell>
          <cell r="BH205">
            <v>0</v>
          </cell>
          <cell r="BI205">
            <v>0</v>
          </cell>
          <cell r="BJ205">
            <v>0</v>
          </cell>
          <cell r="BK205">
            <v>0</v>
          </cell>
          <cell r="BL205">
            <v>0</v>
          </cell>
          <cell r="BM205">
            <v>0</v>
          </cell>
          <cell r="BN205">
            <v>0</v>
          </cell>
          <cell r="BO205">
            <v>0</v>
          </cell>
          <cell r="BP205">
            <v>0</v>
          </cell>
          <cell r="BQ205">
            <v>0</v>
          </cell>
          <cell r="BR205">
            <v>0</v>
          </cell>
          <cell r="BS205">
            <v>0</v>
          </cell>
          <cell r="BT205">
            <v>0</v>
          </cell>
          <cell r="BU205">
            <v>0</v>
          </cell>
          <cell r="BV205">
            <v>0</v>
          </cell>
          <cell r="BW205">
            <v>0</v>
          </cell>
          <cell r="BX205">
            <v>0</v>
          </cell>
          <cell r="BY205">
            <v>0</v>
          </cell>
          <cell r="BZ205">
            <v>0</v>
          </cell>
          <cell r="CA205">
            <v>0</v>
          </cell>
          <cell r="CB205">
            <v>0</v>
          </cell>
          <cell r="CC205">
            <v>0</v>
          </cell>
          <cell r="CD205">
            <v>0</v>
          </cell>
          <cell r="CE205">
            <v>0</v>
          </cell>
          <cell r="CF205">
            <v>0</v>
          </cell>
          <cell r="CG205">
            <v>0</v>
          </cell>
          <cell r="CH205">
            <v>0</v>
          </cell>
          <cell r="CI205">
            <v>0</v>
          </cell>
          <cell r="CJ205">
            <v>0</v>
          </cell>
          <cell r="CK205">
            <v>0</v>
          </cell>
          <cell r="CL205">
            <v>0</v>
          </cell>
          <cell r="CM205">
            <v>0</v>
          </cell>
          <cell r="CN205">
            <v>0</v>
          </cell>
          <cell r="CO205">
            <v>0</v>
          </cell>
          <cell r="CP205">
            <v>0</v>
          </cell>
          <cell r="CQ205">
            <v>0</v>
          </cell>
          <cell r="CR205">
            <v>0</v>
          </cell>
          <cell r="CS205">
            <v>0</v>
          </cell>
          <cell r="CT205">
            <v>0</v>
          </cell>
          <cell r="CU205">
            <v>0</v>
          </cell>
          <cell r="CV205">
            <v>0</v>
          </cell>
          <cell r="CW205">
            <v>0</v>
          </cell>
          <cell r="CX205">
            <v>0</v>
          </cell>
          <cell r="CY205">
            <v>0</v>
          </cell>
          <cell r="CZ205">
            <v>0</v>
          </cell>
          <cell r="DA205">
            <v>0</v>
          </cell>
          <cell r="DB205">
            <v>0</v>
          </cell>
          <cell r="DC205">
            <v>0</v>
          </cell>
          <cell r="DD205">
            <v>0</v>
          </cell>
          <cell r="DE205">
            <v>0</v>
          </cell>
          <cell r="DF205">
            <v>0</v>
          </cell>
          <cell r="DG205">
            <v>0</v>
          </cell>
          <cell r="DH205">
            <v>0</v>
          </cell>
          <cell r="DI205">
            <v>0</v>
          </cell>
          <cell r="DJ205">
            <v>0</v>
          </cell>
          <cell r="DK205">
            <v>0</v>
          </cell>
          <cell r="DL205">
            <v>0</v>
          </cell>
          <cell r="DM205">
            <v>0</v>
          </cell>
          <cell r="DN205">
            <v>0</v>
          </cell>
          <cell r="DO205">
            <v>0</v>
          </cell>
          <cell r="DP205">
            <v>0</v>
          </cell>
          <cell r="DQ205">
            <v>0</v>
          </cell>
          <cell r="DR205">
            <v>0</v>
          </cell>
          <cell r="DS205">
            <v>0</v>
          </cell>
          <cell r="DT205">
            <v>0</v>
          </cell>
          <cell r="DU205">
            <v>0</v>
          </cell>
          <cell r="DV205">
            <v>0</v>
          </cell>
          <cell r="DW205">
            <v>0</v>
          </cell>
          <cell r="DX205">
            <v>0</v>
          </cell>
          <cell r="DY205">
            <v>0</v>
          </cell>
          <cell r="EA205">
            <v>0</v>
          </cell>
          <cell r="EB205">
            <v>0</v>
          </cell>
          <cell r="EC205">
            <v>0</v>
          </cell>
          <cell r="ED205">
            <v>0</v>
          </cell>
          <cell r="EE205">
            <v>0</v>
          </cell>
          <cell r="EF205">
            <v>0</v>
          </cell>
          <cell r="EG205">
            <v>0</v>
          </cell>
          <cell r="EH205">
            <v>0</v>
          </cell>
          <cell r="EI205">
            <v>0</v>
          </cell>
          <cell r="EJ205">
            <v>0</v>
          </cell>
          <cell r="EK205">
            <v>0</v>
          </cell>
          <cell r="EL205">
            <v>0</v>
          </cell>
          <cell r="EM205">
            <v>0</v>
          </cell>
          <cell r="EN205">
            <v>0</v>
          </cell>
          <cell r="EO205">
            <v>0</v>
          </cell>
          <cell r="EP205">
            <v>0</v>
          </cell>
          <cell r="EQ205">
            <v>0</v>
          </cell>
          <cell r="ER205">
            <v>0</v>
          </cell>
          <cell r="ES205">
            <v>0</v>
          </cell>
          <cell r="ET205">
            <v>0</v>
          </cell>
          <cell r="EU205">
            <v>0</v>
          </cell>
          <cell r="EV205">
            <v>0</v>
          </cell>
          <cell r="EW205">
            <v>0</v>
          </cell>
          <cell r="EX205">
            <v>0</v>
          </cell>
          <cell r="EY205">
            <v>0</v>
          </cell>
          <cell r="EZ205">
            <v>0</v>
          </cell>
          <cell r="FA205">
            <v>0</v>
          </cell>
          <cell r="FB205">
            <v>0</v>
          </cell>
          <cell r="FC205">
            <v>0</v>
          </cell>
          <cell r="FD205">
            <v>0</v>
          </cell>
          <cell r="FE205">
            <v>0</v>
          </cell>
          <cell r="FF205">
            <v>0</v>
          </cell>
          <cell r="FG205">
            <v>0</v>
          </cell>
          <cell r="FH205">
            <v>0</v>
          </cell>
          <cell r="FI205">
            <v>0</v>
          </cell>
          <cell r="FJ205">
            <v>0</v>
          </cell>
          <cell r="FK205">
            <v>0</v>
          </cell>
          <cell r="FL205">
            <v>0</v>
          </cell>
          <cell r="FM205">
            <v>0</v>
          </cell>
          <cell r="FN205">
            <v>0</v>
          </cell>
          <cell r="FO205">
            <v>0</v>
          </cell>
          <cell r="FP205">
            <v>0</v>
          </cell>
          <cell r="FQ205">
            <v>0</v>
          </cell>
          <cell r="FR205">
            <v>0</v>
          </cell>
          <cell r="FS205">
            <v>0</v>
          </cell>
          <cell r="FT205">
            <v>0</v>
          </cell>
          <cell r="FU205">
            <v>0</v>
          </cell>
          <cell r="FV205">
            <v>0</v>
          </cell>
          <cell r="FW205">
            <v>0</v>
          </cell>
          <cell r="FX205">
            <v>0</v>
          </cell>
          <cell r="FY205">
            <v>0</v>
          </cell>
          <cell r="FZ205">
            <v>0</v>
          </cell>
        </row>
        <row r="206">
          <cell r="A206" t="str">
            <v>I_VID_NRF_CPT_PRP_INTR_S01</v>
          </cell>
          <cell r="B206">
            <v>0</v>
          </cell>
          <cell r="C206">
            <v>0</v>
          </cell>
          <cell r="D206">
            <v>0</v>
          </cell>
          <cell r="E206">
            <v>0</v>
          </cell>
          <cell r="F206">
            <v>0</v>
          </cell>
          <cell r="G206">
            <v>0</v>
          </cell>
          <cell r="H206">
            <v>0</v>
          </cell>
          <cell r="I206">
            <v>0</v>
          </cell>
          <cell r="J206">
            <v>0</v>
          </cell>
          <cell r="K206">
            <v>0</v>
          </cell>
          <cell r="L206">
            <v>0</v>
          </cell>
          <cell r="M206">
            <v>0</v>
          </cell>
          <cell r="N206">
            <v>0</v>
          </cell>
          <cell r="O206">
            <v>0</v>
          </cell>
          <cell r="P206">
            <v>0</v>
          </cell>
          <cell r="Q206">
            <v>0</v>
          </cell>
          <cell r="R206">
            <v>0</v>
          </cell>
          <cell r="S206">
            <v>0</v>
          </cell>
          <cell r="T206">
            <v>0</v>
          </cell>
          <cell r="U206">
            <v>0</v>
          </cell>
          <cell r="V206">
            <v>0</v>
          </cell>
          <cell r="W206">
            <v>0</v>
          </cell>
          <cell r="X206">
            <v>0</v>
          </cell>
          <cell r="Y206">
            <v>0</v>
          </cell>
          <cell r="Z206">
            <v>0</v>
          </cell>
          <cell r="AA206">
            <v>0</v>
          </cell>
          <cell r="AB206">
            <v>0</v>
          </cell>
          <cell r="AC206">
            <v>0</v>
          </cell>
          <cell r="AD206">
            <v>0</v>
          </cell>
          <cell r="AE206">
            <v>0</v>
          </cell>
          <cell r="AF206">
            <v>0</v>
          </cell>
          <cell r="AG206">
            <v>0</v>
          </cell>
          <cell r="AH206">
            <v>0</v>
          </cell>
          <cell r="AI206">
            <v>0</v>
          </cell>
          <cell r="AJ206">
            <v>0</v>
          </cell>
          <cell r="AK206">
            <v>0</v>
          </cell>
          <cell r="AL206">
            <v>0</v>
          </cell>
          <cell r="AM206">
            <v>0</v>
          </cell>
          <cell r="AN206">
            <v>0</v>
          </cell>
          <cell r="AO206">
            <v>0</v>
          </cell>
          <cell r="AP206">
            <v>0</v>
          </cell>
          <cell r="AQ206">
            <v>0</v>
          </cell>
          <cell r="AR206">
            <v>0</v>
          </cell>
          <cell r="AS206">
            <v>0</v>
          </cell>
          <cell r="AT206">
            <v>0</v>
          </cell>
          <cell r="AU206">
            <v>0</v>
          </cell>
          <cell r="AV206">
            <v>0</v>
          </cell>
          <cell r="AW206">
            <v>0</v>
          </cell>
          <cell r="AX206">
            <v>0</v>
          </cell>
          <cell r="AY206">
            <v>0</v>
          </cell>
          <cell r="AZ206">
            <v>0</v>
          </cell>
          <cell r="BA206">
            <v>0</v>
          </cell>
          <cell r="BB206">
            <v>0</v>
          </cell>
          <cell r="BC206">
            <v>0</v>
          </cell>
          <cell r="BD206">
            <v>0</v>
          </cell>
          <cell r="BE206">
            <v>0</v>
          </cell>
          <cell r="BF206">
            <v>0</v>
          </cell>
          <cell r="BG206">
            <v>0</v>
          </cell>
          <cell r="BH206">
            <v>0</v>
          </cell>
          <cell r="BI206">
            <v>0</v>
          </cell>
          <cell r="BJ206">
            <v>0</v>
          </cell>
          <cell r="BK206">
            <v>0</v>
          </cell>
          <cell r="BL206">
            <v>0</v>
          </cell>
          <cell r="BM206">
            <v>0</v>
          </cell>
          <cell r="BN206">
            <v>0</v>
          </cell>
          <cell r="BO206">
            <v>0</v>
          </cell>
          <cell r="BP206">
            <v>0</v>
          </cell>
          <cell r="BQ206">
            <v>0</v>
          </cell>
          <cell r="BR206">
            <v>0</v>
          </cell>
          <cell r="BS206">
            <v>0</v>
          </cell>
          <cell r="BT206">
            <v>0</v>
          </cell>
          <cell r="BU206">
            <v>0</v>
          </cell>
          <cell r="BV206">
            <v>0</v>
          </cell>
          <cell r="BW206">
            <v>0</v>
          </cell>
          <cell r="BX206">
            <v>0</v>
          </cell>
          <cell r="BY206">
            <v>0</v>
          </cell>
          <cell r="BZ206">
            <v>0</v>
          </cell>
          <cell r="CA206">
            <v>0</v>
          </cell>
          <cell r="CB206">
            <v>0</v>
          </cell>
          <cell r="CC206">
            <v>0</v>
          </cell>
          <cell r="CD206">
            <v>0</v>
          </cell>
          <cell r="CE206">
            <v>0</v>
          </cell>
          <cell r="CF206">
            <v>0</v>
          </cell>
          <cell r="CG206">
            <v>0</v>
          </cell>
          <cell r="CH206">
            <v>0</v>
          </cell>
          <cell r="CI206">
            <v>0</v>
          </cell>
          <cell r="CJ206">
            <v>0</v>
          </cell>
          <cell r="CK206">
            <v>0</v>
          </cell>
          <cell r="CL206">
            <v>0</v>
          </cell>
          <cell r="CM206">
            <v>0</v>
          </cell>
          <cell r="CN206">
            <v>0</v>
          </cell>
          <cell r="CO206">
            <v>0</v>
          </cell>
          <cell r="CP206">
            <v>0</v>
          </cell>
          <cell r="CQ206">
            <v>0</v>
          </cell>
          <cell r="CR206">
            <v>0</v>
          </cell>
          <cell r="CS206">
            <v>0</v>
          </cell>
          <cell r="CT206">
            <v>0</v>
          </cell>
          <cell r="CU206">
            <v>0</v>
          </cell>
          <cell r="CV206">
            <v>0</v>
          </cell>
          <cell r="CW206">
            <v>0</v>
          </cell>
          <cell r="CX206">
            <v>0</v>
          </cell>
          <cell r="CY206">
            <v>0</v>
          </cell>
          <cell r="CZ206">
            <v>0</v>
          </cell>
          <cell r="DA206">
            <v>0</v>
          </cell>
          <cell r="DB206">
            <v>0</v>
          </cell>
          <cell r="DC206">
            <v>0</v>
          </cell>
          <cell r="DD206">
            <v>0</v>
          </cell>
          <cell r="DE206">
            <v>0</v>
          </cell>
          <cell r="DF206">
            <v>0</v>
          </cell>
          <cell r="DG206">
            <v>0</v>
          </cell>
          <cell r="DH206">
            <v>0</v>
          </cell>
          <cell r="DI206">
            <v>0</v>
          </cell>
          <cell r="DJ206">
            <v>0</v>
          </cell>
          <cell r="DK206">
            <v>0</v>
          </cell>
          <cell r="DL206">
            <v>0</v>
          </cell>
          <cell r="DM206">
            <v>0</v>
          </cell>
          <cell r="DN206">
            <v>0</v>
          </cell>
          <cell r="DO206">
            <v>0</v>
          </cell>
          <cell r="DP206">
            <v>0</v>
          </cell>
          <cell r="DQ206">
            <v>0</v>
          </cell>
          <cell r="DR206">
            <v>0</v>
          </cell>
          <cell r="DS206">
            <v>0</v>
          </cell>
          <cell r="DT206">
            <v>0</v>
          </cell>
          <cell r="DU206">
            <v>0</v>
          </cell>
          <cell r="DV206">
            <v>0</v>
          </cell>
          <cell r="DW206">
            <v>0</v>
          </cell>
          <cell r="DX206">
            <v>0</v>
          </cell>
          <cell r="DY206">
            <v>0</v>
          </cell>
          <cell r="EA206">
            <v>0</v>
          </cell>
          <cell r="EB206">
            <v>0</v>
          </cell>
          <cell r="EC206">
            <v>0</v>
          </cell>
          <cell r="ED206">
            <v>0</v>
          </cell>
          <cell r="EE206">
            <v>0</v>
          </cell>
          <cell r="EF206">
            <v>0</v>
          </cell>
          <cell r="EG206">
            <v>0</v>
          </cell>
          <cell r="EH206">
            <v>0</v>
          </cell>
          <cell r="EI206">
            <v>0</v>
          </cell>
          <cell r="EJ206">
            <v>0</v>
          </cell>
          <cell r="EK206">
            <v>0</v>
          </cell>
          <cell r="EL206">
            <v>0</v>
          </cell>
          <cell r="EM206">
            <v>0</v>
          </cell>
          <cell r="EN206">
            <v>0</v>
          </cell>
          <cell r="EO206">
            <v>0</v>
          </cell>
          <cell r="EP206">
            <v>0</v>
          </cell>
          <cell r="EQ206">
            <v>0</v>
          </cell>
          <cell r="ER206">
            <v>0</v>
          </cell>
          <cell r="ES206">
            <v>0</v>
          </cell>
          <cell r="ET206">
            <v>0</v>
          </cell>
          <cell r="EU206">
            <v>0</v>
          </cell>
          <cell r="EV206">
            <v>0</v>
          </cell>
          <cell r="EW206">
            <v>0</v>
          </cell>
          <cell r="EX206">
            <v>0</v>
          </cell>
          <cell r="EY206">
            <v>0</v>
          </cell>
          <cell r="EZ206">
            <v>0</v>
          </cell>
          <cell r="FA206">
            <v>0</v>
          </cell>
          <cell r="FB206">
            <v>0</v>
          </cell>
          <cell r="FC206">
            <v>0</v>
          </cell>
          <cell r="FD206">
            <v>0</v>
          </cell>
          <cell r="FE206">
            <v>0</v>
          </cell>
          <cell r="FF206">
            <v>0</v>
          </cell>
          <cell r="FG206">
            <v>0</v>
          </cell>
          <cell r="FH206">
            <v>0</v>
          </cell>
          <cell r="FI206">
            <v>0</v>
          </cell>
          <cell r="FJ206">
            <v>0</v>
          </cell>
          <cell r="FK206">
            <v>0</v>
          </cell>
          <cell r="FL206">
            <v>0</v>
          </cell>
          <cell r="FM206">
            <v>0</v>
          </cell>
          <cell r="FN206">
            <v>0</v>
          </cell>
          <cell r="FO206">
            <v>0</v>
          </cell>
          <cell r="FP206">
            <v>0</v>
          </cell>
          <cell r="FQ206">
            <v>0</v>
          </cell>
          <cell r="FR206">
            <v>0</v>
          </cell>
          <cell r="FS206">
            <v>0</v>
          </cell>
          <cell r="FT206">
            <v>0</v>
          </cell>
          <cell r="FU206">
            <v>0</v>
          </cell>
          <cell r="FV206">
            <v>0</v>
          </cell>
          <cell r="FW206">
            <v>0</v>
          </cell>
          <cell r="FX206">
            <v>0</v>
          </cell>
          <cell r="FY206">
            <v>0</v>
          </cell>
          <cell r="FZ206">
            <v>0</v>
          </cell>
        </row>
        <row r="207">
          <cell r="A207" t="str">
            <v>I_VID_NRF_IRD_IRD_INTR_S02</v>
          </cell>
          <cell r="B207">
            <v>0</v>
          </cell>
          <cell r="C207">
            <v>0</v>
          </cell>
          <cell r="D207">
            <v>0</v>
          </cell>
          <cell r="E207">
            <v>0</v>
          </cell>
          <cell r="F207">
            <v>0</v>
          </cell>
          <cell r="G207">
            <v>0</v>
          </cell>
          <cell r="H207">
            <v>0</v>
          </cell>
          <cell r="I207">
            <v>0</v>
          </cell>
          <cell r="J207">
            <v>0.13</v>
          </cell>
          <cell r="K207">
            <v>0</v>
          </cell>
          <cell r="L207">
            <v>0</v>
          </cell>
          <cell r="M207">
            <v>0</v>
          </cell>
          <cell r="N207">
            <v>0</v>
          </cell>
          <cell r="O207">
            <v>0</v>
          </cell>
          <cell r="P207">
            <v>0</v>
          </cell>
          <cell r="Q207">
            <v>0</v>
          </cell>
          <cell r="R207">
            <v>0</v>
          </cell>
          <cell r="S207">
            <v>0</v>
          </cell>
          <cell r="T207">
            <v>0</v>
          </cell>
          <cell r="U207">
            <v>0</v>
          </cell>
          <cell r="V207">
            <v>0</v>
          </cell>
          <cell r="W207">
            <v>0</v>
          </cell>
          <cell r="X207">
            <v>0</v>
          </cell>
          <cell r="Y207">
            <v>0</v>
          </cell>
          <cell r="Z207">
            <v>0</v>
          </cell>
          <cell r="AA207">
            <v>0</v>
          </cell>
          <cell r="AB207">
            <v>0</v>
          </cell>
          <cell r="AC207">
            <v>0</v>
          </cell>
          <cell r="AD207">
            <v>0</v>
          </cell>
          <cell r="AE207">
            <v>0</v>
          </cell>
          <cell r="AF207">
            <v>0</v>
          </cell>
          <cell r="AG207">
            <v>0</v>
          </cell>
          <cell r="AH207">
            <v>0.2</v>
          </cell>
          <cell r="AI207">
            <v>0</v>
          </cell>
          <cell r="AJ207">
            <v>0</v>
          </cell>
          <cell r="AK207">
            <v>0</v>
          </cell>
          <cell r="AL207">
            <v>0</v>
          </cell>
          <cell r="AM207">
            <v>0</v>
          </cell>
          <cell r="AN207">
            <v>0</v>
          </cell>
          <cell r="AO207">
            <v>0</v>
          </cell>
          <cell r="AP207">
            <v>0</v>
          </cell>
          <cell r="AQ207">
            <v>0</v>
          </cell>
          <cell r="AR207">
            <v>0</v>
          </cell>
          <cell r="AS207">
            <v>0</v>
          </cell>
          <cell r="AT207">
            <v>47108877.769999996</v>
          </cell>
          <cell r="AU207">
            <v>0</v>
          </cell>
          <cell r="AV207">
            <v>0</v>
          </cell>
          <cell r="AW207">
            <v>0</v>
          </cell>
          <cell r="AX207">
            <v>0</v>
          </cell>
          <cell r="AY207">
            <v>0</v>
          </cell>
          <cell r="AZ207">
            <v>0</v>
          </cell>
          <cell r="BA207">
            <v>0</v>
          </cell>
          <cell r="BB207">
            <v>0</v>
          </cell>
          <cell r="BC207">
            <v>0</v>
          </cell>
          <cell r="BD207">
            <v>0</v>
          </cell>
          <cell r="BE207">
            <v>0</v>
          </cell>
          <cell r="BF207">
            <v>26104146</v>
          </cell>
          <cell r="BG207">
            <v>0</v>
          </cell>
          <cell r="BH207">
            <v>0</v>
          </cell>
          <cell r="BI207">
            <v>0</v>
          </cell>
          <cell r="BJ207">
            <v>0</v>
          </cell>
          <cell r="BK207">
            <v>0</v>
          </cell>
          <cell r="BL207">
            <v>0</v>
          </cell>
          <cell r="BM207">
            <v>0</v>
          </cell>
          <cell r="BN207">
            <v>0</v>
          </cell>
          <cell r="BO207">
            <v>0</v>
          </cell>
          <cell r="BP207">
            <v>0</v>
          </cell>
          <cell r="BQ207">
            <v>0</v>
          </cell>
          <cell r="BR207">
            <v>1</v>
          </cell>
          <cell r="BS207">
            <v>0</v>
          </cell>
          <cell r="BT207">
            <v>0</v>
          </cell>
          <cell r="BU207">
            <v>0</v>
          </cell>
          <cell r="BV207">
            <v>27973538.090325005</v>
          </cell>
          <cell r="BW207">
            <v>27973538.090325005</v>
          </cell>
          <cell r="BX207">
            <v>27973538.090325005</v>
          </cell>
          <cell r="BY207">
            <v>28262736.490492489</v>
          </cell>
          <cell r="BZ207">
            <v>27664673.018734261</v>
          </cell>
          <cell r="CA207">
            <v>29644626.21127459</v>
          </cell>
          <cell r="CB207">
            <v>0</v>
          </cell>
          <cell r="CC207">
            <v>0</v>
          </cell>
          <cell r="CD207">
            <v>0</v>
          </cell>
          <cell r="CE207">
            <v>0</v>
          </cell>
          <cell r="CF207">
            <v>0</v>
          </cell>
          <cell r="CG207">
            <v>0</v>
          </cell>
          <cell r="CH207">
            <v>0</v>
          </cell>
          <cell r="CI207">
            <v>0</v>
          </cell>
          <cell r="CJ207">
            <v>0</v>
          </cell>
          <cell r="CK207">
            <v>0</v>
          </cell>
          <cell r="CL207">
            <v>10635596.090000002</v>
          </cell>
          <cell r="CM207">
            <v>0</v>
          </cell>
          <cell r="CN207">
            <v>0</v>
          </cell>
          <cell r="CO207">
            <v>0</v>
          </cell>
          <cell r="CP207">
            <v>0</v>
          </cell>
          <cell r="CQ207">
            <v>0</v>
          </cell>
          <cell r="CR207">
            <v>0</v>
          </cell>
          <cell r="CS207">
            <v>0</v>
          </cell>
          <cell r="CT207">
            <v>0</v>
          </cell>
          <cell r="CU207">
            <v>0</v>
          </cell>
          <cell r="CV207">
            <v>0</v>
          </cell>
          <cell r="CW207">
            <v>0</v>
          </cell>
          <cell r="CX207">
            <v>21004731.77</v>
          </cell>
          <cell r="CY207">
            <v>0</v>
          </cell>
          <cell r="CZ207">
            <v>0</v>
          </cell>
          <cell r="DA207">
            <v>0</v>
          </cell>
          <cell r="DB207">
            <v>0</v>
          </cell>
          <cell r="DC207">
            <v>0</v>
          </cell>
          <cell r="DD207">
            <v>0</v>
          </cell>
          <cell r="DE207">
            <v>0</v>
          </cell>
          <cell r="DF207">
            <v>0</v>
          </cell>
          <cell r="DG207">
            <v>0</v>
          </cell>
          <cell r="DH207">
            <v>0</v>
          </cell>
          <cell r="DI207">
            <v>0</v>
          </cell>
          <cell r="DJ207">
            <v>20343772.789999999</v>
          </cell>
          <cell r="DK207">
            <v>0</v>
          </cell>
          <cell r="DL207">
            <v>0</v>
          </cell>
          <cell r="DM207">
            <v>0</v>
          </cell>
          <cell r="DN207">
            <v>0</v>
          </cell>
          <cell r="DO207">
            <v>0</v>
          </cell>
          <cell r="DP207">
            <v>0</v>
          </cell>
          <cell r="DQ207">
            <v>0</v>
          </cell>
          <cell r="DR207">
            <v>0</v>
          </cell>
          <cell r="DS207">
            <v>0</v>
          </cell>
          <cell r="DT207">
            <v>0</v>
          </cell>
          <cell r="DU207">
            <v>0</v>
          </cell>
          <cell r="DV207">
            <v>0</v>
          </cell>
          <cell r="DW207">
            <v>0</v>
          </cell>
          <cell r="DX207">
            <v>0</v>
          </cell>
          <cell r="DY207">
            <v>0</v>
          </cell>
          <cell r="EA207">
            <v>0</v>
          </cell>
          <cell r="EB207">
            <v>0</v>
          </cell>
          <cell r="EC207">
            <v>0</v>
          </cell>
          <cell r="ED207">
            <v>0</v>
          </cell>
          <cell r="EE207">
            <v>0</v>
          </cell>
          <cell r="EF207">
            <v>0</v>
          </cell>
          <cell r="EG207">
            <v>0</v>
          </cell>
          <cell r="EH207">
            <v>0</v>
          </cell>
          <cell r="EI207">
            <v>0</v>
          </cell>
          <cell r="EJ207">
            <v>0</v>
          </cell>
          <cell r="EK207">
            <v>0</v>
          </cell>
          <cell r="EL207">
            <v>0</v>
          </cell>
          <cell r="EM207">
            <v>0</v>
          </cell>
          <cell r="EN207">
            <v>0</v>
          </cell>
          <cell r="EO207">
            <v>0</v>
          </cell>
          <cell r="EP207">
            <v>0</v>
          </cell>
          <cell r="EQ207">
            <v>0</v>
          </cell>
          <cell r="ER207">
            <v>0</v>
          </cell>
          <cell r="ES207">
            <v>0</v>
          </cell>
          <cell r="ET207">
            <v>0</v>
          </cell>
          <cell r="EU207">
            <v>0</v>
          </cell>
          <cell r="EV207">
            <v>0</v>
          </cell>
          <cell r="EW207">
            <v>0</v>
          </cell>
          <cell r="EX207">
            <v>0</v>
          </cell>
          <cell r="EY207">
            <v>0</v>
          </cell>
          <cell r="EZ207">
            <v>0</v>
          </cell>
          <cell r="FA207">
            <v>0</v>
          </cell>
          <cell r="FB207">
            <v>0</v>
          </cell>
          <cell r="FC207">
            <v>0</v>
          </cell>
          <cell r="FD207">
            <v>0</v>
          </cell>
          <cell r="FE207">
            <v>0</v>
          </cell>
          <cell r="FF207">
            <v>0</v>
          </cell>
          <cell r="FG207">
            <v>0</v>
          </cell>
          <cell r="FH207">
            <v>0</v>
          </cell>
          <cell r="FI207">
            <v>0</v>
          </cell>
          <cell r="FJ207">
            <v>0</v>
          </cell>
          <cell r="FK207">
            <v>0</v>
          </cell>
          <cell r="FL207">
            <v>0</v>
          </cell>
          <cell r="FM207">
            <v>0</v>
          </cell>
          <cell r="FN207">
            <v>0</v>
          </cell>
          <cell r="FO207">
            <v>0</v>
          </cell>
          <cell r="FP207">
            <v>0</v>
          </cell>
          <cell r="FQ207">
            <v>0</v>
          </cell>
          <cell r="FR207">
            <v>0</v>
          </cell>
          <cell r="FS207">
            <v>0</v>
          </cell>
          <cell r="FT207">
            <v>0</v>
          </cell>
          <cell r="FU207">
            <v>0</v>
          </cell>
          <cell r="FV207">
            <v>0</v>
          </cell>
          <cell r="FW207">
            <v>0</v>
          </cell>
          <cell r="FX207">
            <v>0</v>
          </cell>
          <cell r="FY207">
            <v>0</v>
          </cell>
          <cell r="FZ207">
            <v>0</v>
          </cell>
        </row>
        <row r="208">
          <cell r="A208" t="str">
            <v>I_VID_NRF_EPA_UCS_INTR_S03</v>
          </cell>
          <cell r="B208">
            <v>0</v>
          </cell>
          <cell r="C208">
            <v>0</v>
          </cell>
          <cell r="D208">
            <v>0</v>
          </cell>
          <cell r="E208">
            <v>0</v>
          </cell>
          <cell r="F208">
            <v>0</v>
          </cell>
          <cell r="G208">
            <v>0</v>
          </cell>
          <cell r="H208">
            <v>0</v>
          </cell>
          <cell r="I208">
            <v>0</v>
          </cell>
          <cell r="J208">
            <v>0</v>
          </cell>
          <cell r="K208">
            <v>0</v>
          </cell>
          <cell r="L208">
            <v>0</v>
          </cell>
          <cell r="M208">
            <v>0</v>
          </cell>
          <cell r="N208">
            <v>0</v>
          </cell>
          <cell r="O208">
            <v>0</v>
          </cell>
          <cell r="P208">
            <v>0</v>
          </cell>
          <cell r="Q208">
            <v>0</v>
          </cell>
          <cell r="R208">
            <v>0</v>
          </cell>
          <cell r="S208">
            <v>0</v>
          </cell>
          <cell r="T208">
            <v>0</v>
          </cell>
          <cell r="U208">
            <v>0</v>
          </cell>
          <cell r="V208">
            <v>0</v>
          </cell>
          <cell r="W208">
            <v>0</v>
          </cell>
          <cell r="X208">
            <v>0</v>
          </cell>
          <cell r="Y208">
            <v>0</v>
          </cell>
          <cell r="Z208">
            <v>0</v>
          </cell>
          <cell r="AA208">
            <v>0</v>
          </cell>
          <cell r="AB208">
            <v>0</v>
          </cell>
          <cell r="AC208">
            <v>0</v>
          </cell>
          <cell r="AD208">
            <v>0</v>
          </cell>
          <cell r="AE208">
            <v>0</v>
          </cell>
          <cell r="AF208">
            <v>0</v>
          </cell>
          <cell r="AG208">
            <v>0</v>
          </cell>
          <cell r="AH208">
            <v>0</v>
          </cell>
          <cell r="AI208">
            <v>0</v>
          </cell>
          <cell r="AJ208">
            <v>0</v>
          </cell>
          <cell r="AK208">
            <v>0</v>
          </cell>
          <cell r="AL208">
            <v>0</v>
          </cell>
          <cell r="AM208">
            <v>0</v>
          </cell>
          <cell r="AN208">
            <v>0</v>
          </cell>
          <cell r="AO208">
            <v>0</v>
          </cell>
          <cell r="AP208">
            <v>0</v>
          </cell>
          <cell r="AQ208">
            <v>0</v>
          </cell>
          <cell r="AR208">
            <v>0</v>
          </cell>
          <cell r="AS208">
            <v>0</v>
          </cell>
          <cell r="AT208">
            <v>0</v>
          </cell>
          <cell r="AU208">
            <v>0</v>
          </cell>
          <cell r="AV208">
            <v>0</v>
          </cell>
          <cell r="AW208">
            <v>0</v>
          </cell>
          <cell r="AX208">
            <v>0</v>
          </cell>
          <cell r="AY208">
            <v>0</v>
          </cell>
          <cell r="AZ208">
            <v>0</v>
          </cell>
          <cell r="BA208">
            <v>0</v>
          </cell>
          <cell r="BB208">
            <v>0</v>
          </cell>
          <cell r="BC208">
            <v>0</v>
          </cell>
          <cell r="BD208">
            <v>0</v>
          </cell>
          <cell r="BE208">
            <v>0</v>
          </cell>
          <cell r="BF208">
            <v>0</v>
          </cell>
          <cell r="BG208">
            <v>0</v>
          </cell>
          <cell r="BH208">
            <v>0</v>
          </cell>
          <cell r="BI208">
            <v>0</v>
          </cell>
          <cell r="BJ208">
            <v>0</v>
          </cell>
          <cell r="BK208">
            <v>0</v>
          </cell>
          <cell r="BL208">
            <v>0</v>
          </cell>
          <cell r="BM208">
            <v>0</v>
          </cell>
          <cell r="BN208">
            <v>0</v>
          </cell>
          <cell r="BO208">
            <v>0</v>
          </cell>
          <cell r="BP208">
            <v>0</v>
          </cell>
          <cell r="BQ208">
            <v>0</v>
          </cell>
          <cell r="BR208">
            <v>0</v>
          </cell>
          <cell r="BS208">
            <v>0</v>
          </cell>
          <cell r="BT208">
            <v>0</v>
          </cell>
          <cell r="BU208">
            <v>0</v>
          </cell>
          <cell r="BV208">
            <v>0</v>
          </cell>
          <cell r="BW208">
            <v>0</v>
          </cell>
          <cell r="BX208">
            <v>0</v>
          </cell>
          <cell r="BY208">
            <v>0</v>
          </cell>
          <cell r="BZ208">
            <v>0</v>
          </cell>
          <cell r="CA208">
            <v>0</v>
          </cell>
          <cell r="CB208">
            <v>0</v>
          </cell>
          <cell r="CC208">
            <v>0</v>
          </cell>
          <cell r="CD208">
            <v>0</v>
          </cell>
          <cell r="CE208">
            <v>0</v>
          </cell>
          <cell r="CF208">
            <v>0</v>
          </cell>
          <cell r="CG208">
            <v>0</v>
          </cell>
          <cell r="CH208">
            <v>0</v>
          </cell>
          <cell r="CI208">
            <v>0</v>
          </cell>
          <cell r="CJ208">
            <v>0</v>
          </cell>
          <cell r="CK208">
            <v>0</v>
          </cell>
          <cell r="CL208">
            <v>0</v>
          </cell>
          <cell r="CM208">
            <v>0</v>
          </cell>
          <cell r="CN208">
            <v>0</v>
          </cell>
          <cell r="CO208">
            <v>0</v>
          </cell>
          <cell r="CP208">
            <v>0</v>
          </cell>
          <cell r="CQ208">
            <v>0</v>
          </cell>
          <cell r="CR208">
            <v>0</v>
          </cell>
          <cell r="CS208">
            <v>0</v>
          </cell>
          <cell r="CT208">
            <v>0</v>
          </cell>
          <cell r="CU208">
            <v>0</v>
          </cell>
          <cell r="CV208">
            <v>0</v>
          </cell>
          <cell r="CW208">
            <v>0</v>
          </cell>
          <cell r="CX208">
            <v>0</v>
          </cell>
          <cell r="CY208">
            <v>0</v>
          </cell>
          <cell r="CZ208">
            <v>0</v>
          </cell>
          <cell r="DA208">
            <v>0</v>
          </cell>
          <cell r="DB208">
            <v>0</v>
          </cell>
          <cell r="DC208">
            <v>0</v>
          </cell>
          <cell r="DD208">
            <v>0</v>
          </cell>
          <cell r="DE208">
            <v>0</v>
          </cell>
          <cell r="DF208">
            <v>0</v>
          </cell>
          <cell r="DG208">
            <v>0</v>
          </cell>
          <cell r="DH208">
            <v>0</v>
          </cell>
          <cell r="DI208">
            <v>0</v>
          </cell>
          <cell r="DJ208">
            <v>0</v>
          </cell>
          <cell r="DK208">
            <v>0</v>
          </cell>
          <cell r="DL208">
            <v>0</v>
          </cell>
          <cell r="DM208">
            <v>0</v>
          </cell>
          <cell r="DN208">
            <v>0</v>
          </cell>
          <cell r="DO208">
            <v>0</v>
          </cell>
          <cell r="DP208">
            <v>0</v>
          </cell>
          <cell r="DQ208">
            <v>0</v>
          </cell>
          <cell r="DR208">
            <v>0</v>
          </cell>
          <cell r="DS208">
            <v>0</v>
          </cell>
          <cell r="DT208">
            <v>0</v>
          </cell>
          <cell r="DU208">
            <v>0</v>
          </cell>
          <cell r="DV208">
            <v>0</v>
          </cell>
          <cell r="DW208">
            <v>0</v>
          </cell>
          <cell r="DX208">
            <v>0</v>
          </cell>
          <cell r="DY208">
            <v>0</v>
          </cell>
          <cell r="EA208">
            <v>0</v>
          </cell>
          <cell r="EB208">
            <v>0</v>
          </cell>
          <cell r="EC208">
            <v>0</v>
          </cell>
          <cell r="ED208">
            <v>0</v>
          </cell>
          <cell r="EE208">
            <v>0</v>
          </cell>
          <cell r="EF208">
            <v>0</v>
          </cell>
          <cell r="EG208">
            <v>0</v>
          </cell>
          <cell r="EH208">
            <v>0</v>
          </cell>
          <cell r="EI208">
            <v>0</v>
          </cell>
          <cell r="EJ208">
            <v>0</v>
          </cell>
          <cell r="EK208">
            <v>0</v>
          </cell>
          <cell r="EL208">
            <v>0</v>
          </cell>
          <cell r="EM208">
            <v>0</v>
          </cell>
          <cell r="EN208">
            <v>0</v>
          </cell>
          <cell r="EO208">
            <v>0</v>
          </cell>
          <cell r="EP208">
            <v>0</v>
          </cell>
          <cell r="EQ208">
            <v>0</v>
          </cell>
          <cell r="ER208">
            <v>0</v>
          </cell>
          <cell r="ES208">
            <v>0</v>
          </cell>
          <cell r="ET208">
            <v>0</v>
          </cell>
          <cell r="EU208">
            <v>0</v>
          </cell>
          <cell r="EV208">
            <v>0</v>
          </cell>
          <cell r="EW208">
            <v>0</v>
          </cell>
          <cell r="EX208">
            <v>0</v>
          </cell>
          <cell r="EY208">
            <v>0</v>
          </cell>
          <cell r="EZ208">
            <v>0</v>
          </cell>
          <cell r="FA208">
            <v>0</v>
          </cell>
          <cell r="FB208">
            <v>0</v>
          </cell>
          <cell r="FC208">
            <v>0</v>
          </cell>
          <cell r="FD208">
            <v>0</v>
          </cell>
          <cell r="FE208">
            <v>0</v>
          </cell>
          <cell r="FF208">
            <v>0</v>
          </cell>
          <cell r="FG208">
            <v>0</v>
          </cell>
          <cell r="FH208">
            <v>0</v>
          </cell>
          <cell r="FI208">
            <v>0</v>
          </cell>
          <cell r="FJ208">
            <v>0</v>
          </cell>
          <cell r="FK208">
            <v>0</v>
          </cell>
          <cell r="FL208">
            <v>0</v>
          </cell>
          <cell r="FM208">
            <v>0</v>
          </cell>
          <cell r="FN208">
            <v>0</v>
          </cell>
          <cell r="FO208">
            <v>0</v>
          </cell>
          <cell r="FP208">
            <v>0</v>
          </cell>
          <cell r="FQ208">
            <v>0</v>
          </cell>
          <cell r="FR208">
            <v>0</v>
          </cell>
          <cell r="FS208">
            <v>0</v>
          </cell>
          <cell r="FT208">
            <v>0</v>
          </cell>
          <cell r="FU208">
            <v>0</v>
          </cell>
          <cell r="FV208">
            <v>0</v>
          </cell>
          <cell r="FW208">
            <v>0</v>
          </cell>
          <cell r="FX208">
            <v>0</v>
          </cell>
          <cell r="FY208">
            <v>0</v>
          </cell>
          <cell r="FZ208">
            <v>0</v>
          </cell>
        </row>
        <row r="209">
          <cell r="A209" t="str">
            <v>I_VID_NRF_EPA_EUR_INTR_S04</v>
          </cell>
          <cell r="B209">
            <v>0</v>
          </cell>
          <cell r="C209">
            <v>0</v>
          </cell>
          <cell r="D209">
            <v>0</v>
          </cell>
          <cell r="E209">
            <v>0</v>
          </cell>
          <cell r="F209">
            <v>0</v>
          </cell>
          <cell r="G209">
            <v>0</v>
          </cell>
          <cell r="H209">
            <v>0</v>
          </cell>
          <cell r="I209">
            <v>0</v>
          </cell>
          <cell r="J209">
            <v>0</v>
          </cell>
          <cell r="K209">
            <v>0</v>
          </cell>
          <cell r="L209">
            <v>0</v>
          </cell>
          <cell r="M209">
            <v>0</v>
          </cell>
          <cell r="N209">
            <v>0</v>
          </cell>
          <cell r="O209">
            <v>0</v>
          </cell>
          <cell r="P209">
            <v>0</v>
          </cell>
          <cell r="Q209">
            <v>0</v>
          </cell>
          <cell r="R209">
            <v>0</v>
          </cell>
          <cell r="S209">
            <v>0</v>
          </cell>
          <cell r="T209">
            <v>0</v>
          </cell>
          <cell r="U209">
            <v>0</v>
          </cell>
          <cell r="V209">
            <v>0</v>
          </cell>
          <cell r="W209">
            <v>0</v>
          </cell>
          <cell r="X209">
            <v>0</v>
          </cell>
          <cell r="Y209">
            <v>0</v>
          </cell>
          <cell r="Z209">
            <v>0</v>
          </cell>
          <cell r="AA209">
            <v>0</v>
          </cell>
          <cell r="AB209">
            <v>0</v>
          </cell>
          <cell r="AC209">
            <v>0</v>
          </cell>
          <cell r="AD209">
            <v>0</v>
          </cell>
          <cell r="AE209">
            <v>0</v>
          </cell>
          <cell r="AF209">
            <v>0</v>
          </cell>
          <cell r="AG209">
            <v>0</v>
          </cell>
          <cell r="AH209">
            <v>0</v>
          </cell>
          <cell r="AI209">
            <v>0</v>
          </cell>
          <cell r="AJ209">
            <v>0</v>
          </cell>
          <cell r="AK209">
            <v>0</v>
          </cell>
          <cell r="AL209">
            <v>0</v>
          </cell>
          <cell r="AM209">
            <v>0</v>
          </cell>
          <cell r="AN209">
            <v>0</v>
          </cell>
          <cell r="AO209">
            <v>0</v>
          </cell>
          <cell r="AP209">
            <v>0</v>
          </cell>
          <cell r="AQ209">
            <v>0</v>
          </cell>
          <cell r="AR209">
            <v>0</v>
          </cell>
          <cell r="AS209">
            <v>0</v>
          </cell>
          <cell r="AT209">
            <v>0</v>
          </cell>
          <cell r="AU209">
            <v>0</v>
          </cell>
          <cell r="AV209">
            <v>0</v>
          </cell>
          <cell r="AW209">
            <v>0</v>
          </cell>
          <cell r="AX209">
            <v>0</v>
          </cell>
          <cell r="AY209">
            <v>0</v>
          </cell>
          <cell r="AZ209">
            <v>0</v>
          </cell>
          <cell r="BA209">
            <v>0</v>
          </cell>
          <cell r="BB209">
            <v>0</v>
          </cell>
          <cell r="BC209">
            <v>0</v>
          </cell>
          <cell r="BD209">
            <v>0</v>
          </cell>
          <cell r="BE209">
            <v>0</v>
          </cell>
          <cell r="BF209">
            <v>0</v>
          </cell>
          <cell r="BG209">
            <v>0</v>
          </cell>
          <cell r="BH209">
            <v>0</v>
          </cell>
          <cell r="BI209">
            <v>0</v>
          </cell>
          <cell r="BJ209">
            <v>0</v>
          </cell>
          <cell r="BK209">
            <v>0</v>
          </cell>
          <cell r="BL209">
            <v>0</v>
          </cell>
          <cell r="BM209">
            <v>0</v>
          </cell>
          <cell r="BN209">
            <v>0</v>
          </cell>
          <cell r="BO209">
            <v>0</v>
          </cell>
          <cell r="BP209">
            <v>0</v>
          </cell>
          <cell r="BQ209">
            <v>0</v>
          </cell>
          <cell r="BR209">
            <v>0</v>
          </cell>
          <cell r="BS209">
            <v>0</v>
          </cell>
          <cell r="BT209">
            <v>0</v>
          </cell>
          <cell r="BU209">
            <v>0</v>
          </cell>
          <cell r="BV209">
            <v>0</v>
          </cell>
          <cell r="BW209">
            <v>0</v>
          </cell>
          <cell r="BX209">
            <v>0</v>
          </cell>
          <cell r="BY209">
            <v>0</v>
          </cell>
          <cell r="BZ209">
            <v>0</v>
          </cell>
          <cell r="CA209">
            <v>0</v>
          </cell>
          <cell r="CB209">
            <v>0</v>
          </cell>
          <cell r="CC209">
            <v>0</v>
          </cell>
          <cell r="CD209">
            <v>0</v>
          </cell>
          <cell r="CE209">
            <v>0</v>
          </cell>
          <cell r="CF209">
            <v>0</v>
          </cell>
          <cell r="CG209">
            <v>0</v>
          </cell>
          <cell r="CH209">
            <v>0</v>
          </cell>
          <cell r="CI209">
            <v>0</v>
          </cell>
          <cell r="CJ209">
            <v>0</v>
          </cell>
          <cell r="CK209">
            <v>0</v>
          </cell>
          <cell r="CL209">
            <v>0</v>
          </cell>
          <cell r="CM209">
            <v>0</v>
          </cell>
          <cell r="CN209">
            <v>0</v>
          </cell>
          <cell r="CO209">
            <v>0</v>
          </cell>
          <cell r="CP209">
            <v>0</v>
          </cell>
          <cell r="CQ209">
            <v>0</v>
          </cell>
          <cell r="CR209">
            <v>0</v>
          </cell>
          <cell r="CS209">
            <v>0</v>
          </cell>
          <cell r="CT209">
            <v>0</v>
          </cell>
          <cell r="CU209">
            <v>0</v>
          </cell>
          <cell r="CV209">
            <v>0</v>
          </cell>
          <cell r="CW209">
            <v>0</v>
          </cell>
          <cell r="CX209">
            <v>0</v>
          </cell>
          <cell r="CY209">
            <v>0</v>
          </cell>
          <cell r="CZ209">
            <v>0</v>
          </cell>
          <cell r="DA209">
            <v>0</v>
          </cell>
          <cell r="DB209">
            <v>0</v>
          </cell>
          <cell r="DC209">
            <v>0</v>
          </cell>
          <cell r="DD209">
            <v>0</v>
          </cell>
          <cell r="DE209">
            <v>0</v>
          </cell>
          <cell r="DF209">
            <v>0</v>
          </cell>
          <cell r="DG209">
            <v>0</v>
          </cell>
          <cell r="DH209">
            <v>0</v>
          </cell>
          <cell r="DI209">
            <v>0</v>
          </cell>
          <cell r="DJ209">
            <v>0</v>
          </cell>
          <cell r="DK209">
            <v>0</v>
          </cell>
          <cell r="DL209">
            <v>0</v>
          </cell>
          <cell r="DM209">
            <v>0</v>
          </cell>
          <cell r="DN209">
            <v>0</v>
          </cell>
          <cell r="DO209">
            <v>0</v>
          </cell>
          <cell r="DP209">
            <v>0</v>
          </cell>
          <cell r="DQ209">
            <v>0</v>
          </cell>
          <cell r="DR209">
            <v>0</v>
          </cell>
          <cell r="DS209">
            <v>0</v>
          </cell>
          <cell r="DT209">
            <v>0</v>
          </cell>
          <cell r="DU209">
            <v>0</v>
          </cell>
          <cell r="DV209">
            <v>0</v>
          </cell>
          <cell r="DW209">
            <v>0</v>
          </cell>
          <cell r="DX209">
            <v>0</v>
          </cell>
          <cell r="DY209">
            <v>0</v>
          </cell>
          <cell r="EA209">
            <v>0</v>
          </cell>
          <cell r="EB209">
            <v>0</v>
          </cell>
          <cell r="EC209">
            <v>0</v>
          </cell>
          <cell r="ED209">
            <v>0</v>
          </cell>
          <cell r="EE209">
            <v>0</v>
          </cell>
          <cell r="EF209">
            <v>0</v>
          </cell>
          <cell r="EG209">
            <v>0</v>
          </cell>
          <cell r="EH209">
            <v>0</v>
          </cell>
          <cell r="EI209">
            <v>0</v>
          </cell>
          <cell r="EJ209">
            <v>0</v>
          </cell>
          <cell r="EK209">
            <v>0</v>
          </cell>
          <cell r="EL209">
            <v>0</v>
          </cell>
          <cell r="EM209">
            <v>0</v>
          </cell>
          <cell r="EN209">
            <v>0</v>
          </cell>
          <cell r="EO209">
            <v>0</v>
          </cell>
          <cell r="EP209">
            <v>0</v>
          </cell>
          <cell r="EQ209">
            <v>0</v>
          </cell>
          <cell r="ER209">
            <v>0</v>
          </cell>
          <cell r="ES209">
            <v>0</v>
          </cell>
          <cell r="ET209">
            <v>0</v>
          </cell>
          <cell r="EU209">
            <v>0</v>
          </cell>
          <cell r="EV209">
            <v>0</v>
          </cell>
          <cell r="EW209">
            <v>0</v>
          </cell>
          <cell r="EX209">
            <v>0</v>
          </cell>
          <cell r="EY209">
            <v>0</v>
          </cell>
          <cell r="EZ209">
            <v>0</v>
          </cell>
          <cell r="FA209">
            <v>0</v>
          </cell>
          <cell r="FB209">
            <v>0</v>
          </cell>
          <cell r="FC209">
            <v>0</v>
          </cell>
          <cell r="FD209">
            <v>0</v>
          </cell>
          <cell r="FE209">
            <v>0</v>
          </cell>
          <cell r="FF209">
            <v>0</v>
          </cell>
          <cell r="FG209">
            <v>0</v>
          </cell>
          <cell r="FH209">
            <v>0</v>
          </cell>
          <cell r="FI209">
            <v>0</v>
          </cell>
          <cell r="FJ209">
            <v>0</v>
          </cell>
          <cell r="FK209">
            <v>0</v>
          </cell>
          <cell r="FL209">
            <v>0</v>
          </cell>
          <cell r="FM209">
            <v>0</v>
          </cell>
          <cell r="FN209">
            <v>0</v>
          </cell>
          <cell r="FO209">
            <v>0</v>
          </cell>
          <cell r="FP209">
            <v>0</v>
          </cell>
          <cell r="FQ209">
            <v>0</v>
          </cell>
          <cell r="FR209">
            <v>0</v>
          </cell>
          <cell r="FS209">
            <v>0</v>
          </cell>
          <cell r="FT209">
            <v>0</v>
          </cell>
          <cell r="FU209">
            <v>0</v>
          </cell>
          <cell r="FV209">
            <v>0</v>
          </cell>
          <cell r="FW209">
            <v>0</v>
          </cell>
          <cell r="FX209">
            <v>0</v>
          </cell>
          <cell r="FY209">
            <v>0</v>
          </cell>
          <cell r="FZ209">
            <v>0</v>
          </cell>
        </row>
        <row r="210">
          <cell r="A210" t="str">
            <v>I_VID_NRF_EPA_EUR_INTR_S05</v>
          </cell>
          <cell r="B210">
            <v>0</v>
          </cell>
          <cell r="C210">
            <v>0</v>
          </cell>
          <cell r="D210">
            <v>0</v>
          </cell>
          <cell r="E210">
            <v>0</v>
          </cell>
          <cell r="F210">
            <v>0</v>
          </cell>
          <cell r="G210">
            <v>0</v>
          </cell>
          <cell r="H210">
            <v>0</v>
          </cell>
          <cell r="I210">
            <v>0</v>
          </cell>
          <cell r="J210">
            <v>0</v>
          </cell>
          <cell r="K210">
            <v>0</v>
          </cell>
          <cell r="L210">
            <v>0</v>
          </cell>
          <cell r="M210">
            <v>0</v>
          </cell>
          <cell r="N210">
            <v>0</v>
          </cell>
          <cell r="O210">
            <v>0</v>
          </cell>
          <cell r="P210">
            <v>0</v>
          </cell>
          <cell r="Q210">
            <v>0</v>
          </cell>
          <cell r="R210">
            <v>0</v>
          </cell>
          <cell r="S210">
            <v>0</v>
          </cell>
          <cell r="T210">
            <v>0</v>
          </cell>
          <cell r="U210">
            <v>0</v>
          </cell>
          <cell r="V210">
            <v>0</v>
          </cell>
          <cell r="W210">
            <v>0</v>
          </cell>
          <cell r="X210">
            <v>0</v>
          </cell>
          <cell r="Y210">
            <v>0</v>
          </cell>
          <cell r="Z210">
            <v>0</v>
          </cell>
          <cell r="AA210">
            <v>0</v>
          </cell>
          <cell r="AB210">
            <v>0</v>
          </cell>
          <cell r="AC210">
            <v>0</v>
          </cell>
          <cell r="AD210">
            <v>0</v>
          </cell>
          <cell r="AE210">
            <v>0</v>
          </cell>
          <cell r="AF210">
            <v>0</v>
          </cell>
          <cell r="AG210">
            <v>0</v>
          </cell>
          <cell r="AH210">
            <v>0</v>
          </cell>
          <cell r="AI210">
            <v>0</v>
          </cell>
          <cell r="AJ210">
            <v>0</v>
          </cell>
          <cell r="AK210">
            <v>0</v>
          </cell>
          <cell r="AL210">
            <v>0</v>
          </cell>
          <cell r="AM210">
            <v>0</v>
          </cell>
          <cell r="AN210">
            <v>0</v>
          </cell>
          <cell r="AO210">
            <v>0</v>
          </cell>
          <cell r="AP210">
            <v>0</v>
          </cell>
          <cell r="AQ210">
            <v>0</v>
          </cell>
          <cell r="AR210">
            <v>0</v>
          </cell>
          <cell r="AS210">
            <v>0</v>
          </cell>
          <cell r="AT210">
            <v>0</v>
          </cell>
          <cell r="AU210">
            <v>0</v>
          </cell>
          <cell r="AV210">
            <v>0</v>
          </cell>
          <cell r="AW210">
            <v>0</v>
          </cell>
          <cell r="AX210">
            <v>0</v>
          </cell>
          <cell r="AY210">
            <v>0</v>
          </cell>
          <cell r="AZ210">
            <v>0</v>
          </cell>
          <cell r="BA210">
            <v>0</v>
          </cell>
          <cell r="BB210">
            <v>0</v>
          </cell>
          <cell r="BC210">
            <v>0</v>
          </cell>
          <cell r="BD210">
            <v>0</v>
          </cell>
          <cell r="BE210">
            <v>0</v>
          </cell>
          <cell r="BF210">
            <v>0</v>
          </cell>
          <cell r="BG210">
            <v>0</v>
          </cell>
          <cell r="BH210">
            <v>0</v>
          </cell>
          <cell r="BI210">
            <v>0</v>
          </cell>
          <cell r="BJ210">
            <v>0</v>
          </cell>
          <cell r="BK210">
            <v>0</v>
          </cell>
          <cell r="BL210">
            <v>0</v>
          </cell>
          <cell r="BM210">
            <v>0</v>
          </cell>
          <cell r="BN210">
            <v>0</v>
          </cell>
          <cell r="BO210">
            <v>0</v>
          </cell>
          <cell r="BP210">
            <v>0</v>
          </cell>
          <cell r="BQ210">
            <v>0</v>
          </cell>
          <cell r="BR210">
            <v>0</v>
          </cell>
          <cell r="BS210">
            <v>0</v>
          </cell>
          <cell r="BT210">
            <v>0</v>
          </cell>
          <cell r="BU210">
            <v>0</v>
          </cell>
          <cell r="BV210">
            <v>0</v>
          </cell>
          <cell r="BW210">
            <v>0</v>
          </cell>
          <cell r="BX210">
            <v>0</v>
          </cell>
          <cell r="BY210">
            <v>0</v>
          </cell>
          <cell r="BZ210">
            <v>0</v>
          </cell>
          <cell r="CA210">
            <v>0</v>
          </cell>
          <cell r="CB210">
            <v>0</v>
          </cell>
          <cell r="CC210">
            <v>0</v>
          </cell>
          <cell r="CD210">
            <v>0</v>
          </cell>
          <cell r="CE210">
            <v>0</v>
          </cell>
          <cell r="CF210">
            <v>0</v>
          </cell>
          <cell r="CG210">
            <v>0</v>
          </cell>
          <cell r="CH210">
            <v>0</v>
          </cell>
          <cell r="CI210">
            <v>0</v>
          </cell>
          <cell r="CJ210">
            <v>0</v>
          </cell>
          <cell r="CK210">
            <v>0</v>
          </cell>
          <cell r="CL210">
            <v>0</v>
          </cell>
          <cell r="CM210">
            <v>0</v>
          </cell>
          <cell r="CN210">
            <v>0</v>
          </cell>
          <cell r="CO210">
            <v>0</v>
          </cell>
          <cell r="CP210">
            <v>0</v>
          </cell>
          <cell r="CQ210">
            <v>0</v>
          </cell>
          <cell r="CR210">
            <v>0</v>
          </cell>
          <cell r="CS210">
            <v>0</v>
          </cell>
          <cell r="CT210">
            <v>0</v>
          </cell>
          <cell r="CU210">
            <v>0</v>
          </cell>
          <cell r="CV210">
            <v>0</v>
          </cell>
          <cell r="CW210">
            <v>0</v>
          </cell>
          <cell r="CX210">
            <v>0</v>
          </cell>
          <cell r="CY210">
            <v>0</v>
          </cell>
          <cell r="CZ210">
            <v>0</v>
          </cell>
          <cell r="DA210">
            <v>0</v>
          </cell>
          <cell r="DB210">
            <v>0</v>
          </cell>
          <cell r="DC210">
            <v>0</v>
          </cell>
          <cell r="DD210">
            <v>0</v>
          </cell>
          <cell r="DE210">
            <v>0</v>
          </cell>
          <cell r="DF210">
            <v>0</v>
          </cell>
          <cell r="DG210">
            <v>0</v>
          </cell>
          <cell r="DH210">
            <v>0</v>
          </cell>
          <cell r="DI210">
            <v>0</v>
          </cell>
          <cell r="DJ210">
            <v>0</v>
          </cell>
          <cell r="DK210">
            <v>0</v>
          </cell>
          <cell r="DL210">
            <v>0</v>
          </cell>
          <cell r="DM210">
            <v>0</v>
          </cell>
          <cell r="DN210">
            <v>0</v>
          </cell>
          <cell r="DO210">
            <v>0</v>
          </cell>
          <cell r="DP210">
            <v>0</v>
          </cell>
          <cell r="DQ210">
            <v>0</v>
          </cell>
          <cell r="DR210">
            <v>0</v>
          </cell>
          <cell r="DS210">
            <v>0</v>
          </cell>
          <cell r="DT210">
            <v>0</v>
          </cell>
          <cell r="DU210">
            <v>0</v>
          </cell>
          <cell r="DV210">
            <v>0</v>
          </cell>
          <cell r="DW210">
            <v>0</v>
          </cell>
          <cell r="DX210">
            <v>0</v>
          </cell>
          <cell r="DY210">
            <v>0</v>
          </cell>
          <cell r="EA210">
            <v>0</v>
          </cell>
          <cell r="EB210">
            <v>0</v>
          </cell>
          <cell r="EC210">
            <v>0</v>
          </cell>
          <cell r="ED210">
            <v>0</v>
          </cell>
          <cell r="EE210">
            <v>0</v>
          </cell>
          <cell r="EF210">
            <v>0</v>
          </cell>
          <cell r="EG210">
            <v>0</v>
          </cell>
          <cell r="EH210">
            <v>0</v>
          </cell>
          <cell r="EI210">
            <v>0</v>
          </cell>
          <cell r="EJ210">
            <v>0</v>
          </cell>
          <cell r="EK210">
            <v>0</v>
          </cell>
          <cell r="EL210">
            <v>0</v>
          </cell>
          <cell r="EM210">
            <v>0</v>
          </cell>
          <cell r="EN210">
            <v>0</v>
          </cell>
          <cell r="EO210">
            <v>0</v>
          </cell>
          <cell r="EP210">
            <v>0</v>
          </cell>
          <cell r="EQ210">
            <v>0</v>
          </cell>
          <cell r="ER210">
            <v>0</v>
          </cell>
          <cell r="ES210">
            <v>0</v>
          </cell>
          <cell r="ET210">
            <v>0</v>
          </cell>
          <cell r="EU210">
            <v>0</v>
          </cell>
          <cell r="EV210">
            <v>0</v>
          </cell>
          <cell r="EW210">
            <v>0</v>
          </cell>
          <cell r="EX210">
            <v>0</v>
          </cell>
          <cell r="EY210">
            <v>0</v>
          </cell>
          <cell r="EZ210">
            <v>0</v>
          </cell>
          <cell r="FA210">
            <v>0</v>
          </cell>
          <cell r="FB210">
            <v>0</v>
          </cell>
          <cell r="FC210">
            <v>0</v>
          </cell>
          <cell r="FD210">
            <v>0</v>
          </cell>
          <cell r="FE210">
            <v>0</v>
          </cell>
          <cell r="FF210">
            <v>0</v>
          </cell>
          <cell r="FG210">
            <v>0</v>
          </cell>
          <cell r="FH210">
            <v>0</v>
          </cell>
          <cell r="FI210">
            <v>0</v>
          </cell>
          <cell r="FJ210">
            <v>0</v>
          </cell>
          <cell r="FK210">
            <v>0</v>
          </cell>
          <cell r="FL210">
            <v>0</v>
          </cell>
          <cell r="FM210">
            <v>0</v>
          </cell>
          <cell r="FN210">
            <v>0</v>
          </cell>
          <cell r="FO210">
            <v>0</v>
          </cell>
          <cell r="FP210">
            <v>0</v>
          </cell>
          <cell r="FQ210">
            <v>0</v>
          </cell>
          <cell r="FR210">
            <v>0</v>
          </cell>
          <cell r="FS210">
            <v>0</v>
          </cell>
          <cell r="FT210">
            <v>0</v>
          </cell>
          <cell r="FU210">
            <v>0</v>
          </cell>
          <cell r="FV210">
            <v>0</v>
          </cell>
          <cell r="FW210">
            <v>0</v>
          </cell>
          <cell r="FX210">
            <v>0</v>
          </cell>
          <cell r="FY210">
            <v>0</v>
          </cell>
          <cell r="FZ210">
            <v>0</v>
          </cell>
        </row>
        <row r="211">
          <cell r="A211" t="str">
            <v>I_VID_NRF_RIS_COL_INTR_S06</v>
          </cell>
          <cell r="B211">
            <v>0</v>
          </cell>
          <cell r="C211">
            <v>0</v>
          </cell>
          <cell r="D211">
            <v>0</v>
          </cell>
          <cell r="E211">
            <v>0</v>
          </cell>
          <cell r="F211">
            <v>0</v>
          </cell>
          <cell r="G211">
            <v>0</v>
          </cell>
          <cell r="H211">
            <v>0</v>
          </cell>
          <cell r="I211">
            <v>0</v>
          </cell>
          <cell r="J211">
            <v>0</v>
          </cell>
          <cell r="K211">
            <v>0</v>
          </cell>
          <cell r="L211">
            <v>0</v>
          </cell>
          <cell r="M211">
            <v>0</v>
          </cell>
          <cell r="N211">
            <v>0</v>
          </cell>
          <cell r="O211">
            <v>0</v>
          </cell>
          <cell r="P211">
            <v>0</v>
          </cell>
          <cell r="Q211">
            <v>0</v>
          </cell>
          <cell r="R211">
            <v>0</v>
          </cell>
          <cell r="S211">
            <v>0</v>
          </cell>
          <cell r="T211">
            <v>0</v>
          </cell>
          <cell r="U211">
            <v>0</v>
          </cell>
          <cell r="V211">
            <v>0</v>
          </cell>
          <cell r="W211">
            <v>0</v>
          </cell>
          <cell r="X211">
            <v>0</v>
          </cell>
          <cell r="Y211">
            <v>0</v>
          </cell>
          <cell r="Z211">
            <v>0</v>
          </cell>
          <cell r="AA211">
            <v>0</v>
          </cell>
          <cell r="AB211">
            <v>0</v>
          </cell>
          <cell r="AC211">
            <v>0</v>
          </cell>
          <cell r="AD211">
            <v>0</v>
          </cell>
          <cell r="AE211">
            <v>0</v>
          </cell>
          <cell r="AF211">
            <v>0</v>
          </cell>
          <cell r="AG211">
            <v>0</v>
          </cell>
          <cell r="AH211">
            <v>0</v>
          </cell>
          <cell r="AI211">
            <v>0</v>
          </cell>
          <cell r="AJ211">
            <v>0</v>
          </cell>
          <cell r="AK211">
            <v>0</v>
          </cell>
          <cell r="AL211">
            <v>0</v>
          </cell>
          <cell r="AM211">
            <v>0</v>
          </cell>
          <cell r="AN211">
            <v>0</v>
          </cell>
          <cell r="AO211">
            <v>0</v>
          </cell>
          <cell r="AP211">
            <v>0</v>
          </cell>
          <cell r="AQ211">
            <v>0</v>
          </cell>
          <cell r="AR211">
            <v>0</v>
          </cell>
          <cell r="AS211">
            <v>0</v>
          </cell>
          <cell r="AT211">
            <v>0</v>
          </cell>
          <cell r="AU211">
            <v>0</v>
          </cell>
          <cell r="AV211">
            <v>0</v>
          </cell>
          <cell r="AW211">
            <v>0</v>
          </cell>
          <cell r="AX211">
            <v>0</v>
          </cell>
          <cell r="AY211">
            <v>0</v>
          </cell>
          <cell r="AZ211">
            <v>0</v>
          </cell>
          <cell r="BA211">
            <v>0</v>
          </cell>
          <cell r="BB211">
            <v>0</v>
          </cell>
          <cell r="BC211">
            <v>0</v>
          </cell>
          <cell r="BD211">
            <v>0</v>
          </cell>
          <cell r="BE211">
            <v>0</v>
          </cell>
          <cell r="BF211">
            <v>0</v>
          </cell>
          <cell r="BG211">
            <v>0</v>
          </cell>
          <cell r="BH211">
            <v>0</v>
          </cell>
          <cell r="BI211">
            <v>0</v>
          </cell>
          <cell r="BJ211">
            <v>0</v>
          </cell>
          <cell r="BK211">
            <v>0</v>
          </cell>
          <cell r="BL211">
            <v>0</v>
          </cell>
          <cell r="BM211">
            <v>0</v>
          </cell>
          <cell r="BN211">
            <v>0</v>
          </cell>
          <cell r="BO211">
            <v>0</v>
          </cell>
          <cell r="BP211">
            <v>0</v>
          </cell>
          <cell r="BQ211">
            <v>0</v>
          </cell>
          <cell r="BR211">
            <v>0</v>
          </cell>
          <cell r="BS211">
            <v>0</v>
          </cell>
          <cell r="BT211">
            <v>0</v>
          </cell>
          <cell r="BU211">
            <v>0</v>
          </cell>
          <cell r="BV211">
            <v>0</v>
          </cell>
          <cell r="BW211">
            <v>0</v>
          </cell>
          <cell r="BX211">
            <v>0</v>
          </cell>
          <cell r="BY211">
            <v>0</v>
          </cell>
          <cell r="BZ211">
            <v>0</v>
          </cell>
          <cell r="CA211">
            <v>0</v>
          </cell>
          <cell r="CB211">
            <v>0</v>
          </cell>
          <cell r="CC211">
            <v>0</v>
          </cell>
          <cell r="CD211">
            <v>0</v>
          </cell>
          <cell r="CE211">
            <v>0</v>
          </cell>
          <cell r="CF211">
            <v>0</v>
          </cell>
          <cell r="CG211">
            <v>0</v>
          </cell>
          <cell r="CH211">
            <v>0</v>
          </cell>
          <cell r="CI211">
            <v>0</v>
          </cell>
          <cell r="CJ211">
            <v>0</v>
          </cell>
          <cell r="CK211">
            <v>0</v>
          </cell>
          <cell r="CL211">
            <v>0</v>
          </cell>
          <cell r="CM211">
            <v>0</v>
          </cell>
          <cell r="CN211">
            <v>0</v>
          </cell>
          <cell r="CO211">
            <v>0</v>
          </cell>
          <cell r="CP211">
            <v>0</v>
          </cell>
          <cell r="CQ211">
            <v>0</v>
          </cell>
          <cell r="CR211">
            <v>0</v>
          </cell>
          <cell r="CS211">
            <v>0</v>
          </cell>
          <cell r="CT211">
            <v>0</v>
          </cell>
          <cell r="CU211">
            <v>0</v>
          </cell>
          <cell r="CV211">
            <v>0</v>
          </cell>
          <cell r="CW211">
            <v>0</v>
          </cell>
          <cell r="CX211">
            <v>0</v>
          </cell>
          <cell r="CY211">
            <v>0</v>
          </cell>
          <cell r="CZ211">
            <v>0</v>
          </cell>
          <cell r="DA211">
            <v>0</v>
          </cell>
          <cell r="DB211">
            <v>0</v>
          </cell>
          <cell r="DC211">
            <v>0</v>
          </cell>
          <cell r="DD211">
            <v>0</v>
          </cell>
          <cell r="DE211">
            <v>0</v>
          </cell>
          <cell r="DF211">
            <v>0</v>
          </cell>
          <cell r="DG211">
            <v>0</v>
          </cell>
          <cell r="DH211">
            <v>0</v>
          </cell>
          <cell r="DI211">
            <v>0</v>
          </cell>
          <cell r="DJ211">
            <v>0</v>
          </cell>
          <cell r="DK211">
            <v>0</v>
          </cell>
          <cell r="DL211">
            <v>0</v>
          </cell>
          <cell r="DM211">
            <v>0</v>
          </cell>
          <cell r="DN211">
            <v>0</v>
          </cell>
          <cell r="DO211">
            <v>0</v>
          </cell>
          <cell r="DP211">
            <v>0</v>
          </cell>
          <cell r="DQ211">
            <v>0</v>
          </cell>
          <cell r="DR211">
            <v>0</v>
          </cell>
          <cell r="DS211">
            <v>0</v>
          </cell>
          <cell r="DT211">
            <v>0</v>
          </cell>
          <cell r="DU211">
            <v>0</v>
          </cell>
          <cell r="DV211">
            <v>0</v>
          </cell>
          <cell r="DW211">
            <v>0</v>
          </cell>
          <cell r="DX211">
            <v>0</v>
          </cell>
          <cell r="DY211">
            <v>0</v>
          </cell>
          <cell r="EA211">
            <v>0</v>
          </cell>
          <cell r="EB211">
            <v>0</v>
          </cell>
          <cell r="EC211">
            <v>0</v>
          </cell>
          <cell r="ED211">
            <v>0</v>
          </cell>
          <cell r="EE211">
            <v>0</v>
          </cell>
          <cell r="EF211">
            <v>0</v>
          </cell>
          <cell r="EG211">
            <v>0</v>
          </cell>
          <cell r="EH211">
            <v>0</v>
          </cell>
          <cell r="EI211">
            <v>0</v>
          </cell>
          <cell r="EJ211">
            <v>0</v>
          </cell>
          <cell r="EK211">
            <v>0</v>
          </cell>
          <cell r="EL211">
            <v>0</v>
          </cell>
          <cell r="EM211">
            <v>0</v>
          </cell>
          <cell r="EN211">
            <v>0</v>
          </cell>
          <cell r="EO211">
            <v>0</v>
          </cell>
          <cell r="EP211">
            <v>0</v>
          </cell>
          <cell r="EQ211">
            <v>0</v>
          </cell>
          <cell r="ER211">
            <v>0</v>
          </cell>
          <cell r="ES211">
            <v>0</v>
          </cell>
          <cell r="ET211">
            <v>0</v>
          </cell>
          <cell r="EU211">
            <v>0</v>
          </cell>
          <cell r="EV211">
            <v>0</v>
          </cell>
          <cell r="EW211">
            <v>0</v>
          </cell>
          <cell r="EX211">
            <v>0</v>
          </cell>
          <cell r="EY211">
            <v>0</v>
          </cell>
          <cell r="EZ211">
            <v>0</v>
          </cell>
          <cell r="FA211">
            <v>0</v>
          </cell>
          <cell r="FB211">
            <v>0</v>
          </cell>
          <cell r="FC211">
            <v>0</v>
          </cell>
          <cell r="FD211">
            <v>0</v>
          </cell>
          <cell r="FE211">
            <v>0</v>
          </cell>
          <cell r="FF211">
            <v>0</v>
          </cell>
          <cell r="FG211">
            <v>0</v>
          </cell>
          <cell r="FH211">
            <v>0</v>
          </cell>
          <cell r="FI211">
            <v>0</v>
          </cell>
          <cell r="FJ211">
            <v>0</v>
          </cell>
          <cell r="FK211">
            <v>0</v>
          </cell>
          <cell r="FL211">
            <v>0</v>
          </cell>
          <cell r="FM211">
            <v>0</v>
          </cell>
          <cell r="FN211">
            <v>0</v>
          </cell>
          <cell r="FO211">
            <v>0</v>
          </cell>
          <cell r="FP211">
            <v>0</v>
          </cell>
          <cell r="FQ211">
            <v>0</v>
          </cell>
          <cell r="FR211">
            <v>0</v>
          </cell>
          <cell r="FS211">
            <v>0</v>
          </cell>
          <cell r="FT211">
            <v>0</v>
          </cell>
          <cell r="FU211">
            <v>0</v>
          </cell>
          <cell r="FV211">
            <v>0</v>
          </cell>
          <cell r="FW211">
            <v>0</v>
          </cell>
          <cell r="FX211">
            <v>0</v>
          </cell>
          <cell r="FY211">
            <v>0</v>
          </cell>
          <cell r="FZ211">
            <v>0</v>
          </cell>
        </row>
        <row r="212">
          <cell r="A212" t="str">
            <v>I_VID_NRF_RIS_IND_INTR_S07</v>
          </cell>
          <cell r="B212">
            <v>0</v>
          </cell>
          <cell r="C212">
            <v>0</v>
          </cell>
          <cell r="D212">
            <v>0</v>
          </cell>
          <cell r="E212">
            <v>0</v>
          </cell>
          <cell r="F212">
            <v>0</v>
          </cell>
          <cell r="G212">
            <v>0</v>
          </cell>
          <cell r="H212">
            <v>0</v>
          </cell>
          <cell r="I212">
            <v>0</v>
          </cell>
          <cell r="J212">
            <v>0</v>
          </cell>
          <cell r="K212">
            <v>0</v>
          </cell>
          <cell r="L212">
            <v>0</v>
          </cell>
          <cell r="M212">
            <v>0</v>
          </cell>
          <cell r="N212">
            <v>0</v>
          </cell>
          <cell r="O212">
            <v>0</v>
          </cell>
          <cell r="P212">
            <v>0</v>
          </cell>
          <cell r="Q212">
            <v>0</v>
          </cell>
          <cell r="R212">
            <v>0</v>
          </cell>
          <cell r="S212">
            <v>0</v>
          </cell>
          <cell r="T212">
            <v>0</v>
          </cell>
          <cell r="U212">
            <v>0</v>
          </cell>
          <cell r="V212">
            <v>0</v>
          </cell>
          <cell r="W212">
            <v>0</v>
          </cell>
          <cell r="X212">
            <v>0</v>
          </cell>
          <cell r="Y212">
            <v>0</v>
          </cell>
          <cell r="Z212">
            <v>0</v>
          </cell>
          <cell r="AA212">
            <v>0</v>
          </cell>
          <cell r="AB212">
            <v>0</v>
          </cell>
          <cell r="AC212">
            <v>0</v>
          </cell>
          <cell r="AD212">
            <v>0</v>
          </cell>
          <cell r="AE212">
            <v>0</v>
          </cell>
          <cell r="AF212">
            <v>0</v>
          </cell>
          <cell r="AG212">
            <v>0</v>
          </cell>
          <cell r="AH212">
            <v>0</v>
          </cell>
          <cell r="AI212">
            <v>0</v>
          </cell>
          <cell r="AJ212">
            <v>0</v>
          </cell>
          <cell r="AK212">
            <v>0</v>
          </cell>
          <cell r="AL212">
            <v>0</v>
          </cell>
          <cell r="AM212">
            <v>0</v>
          </cell>
          <cell r="AN212">
            <v>0</v>
          </cell>
          <cell r="AO212">
            <v>0</v>
          </cell>
          <cell r="AP212">
            <v>0</v>
          </cell>
          <cell r="AQ212">
            <v>0</v>
          </cell>
          <cell r="AR212">
            <v>0</v>
          </cell>
          <cell r="AS212">
            <v>0</v>
          </cell>
          <cell r="AT212">
            <v>0</v>
          </cell>
          <cell r="AU212">
            <v>0</v>
          </cell>
          <cell r="AV212">
            <v>0</v>
          </cell>
          <cell r="AW212">
            <v>0</v>
          </cell>
          <cell r="AX212">
            <v>0</v>
          </cell>
          <cell r="AY212">
            <v>0</v>
          </cell>
          <cell r="AZ212">
            <v>0</v>
          </cell>
          <cell r="BA212">
            <v>0</v>
          </cell>
          <cell r="BB212">
            <v>0</v>
          </cell>
          <cell r="BC212">
            <v>0</v>
          </cell>
          <cell r="BD212">
            <v>0</v>
          </cell>
          <cell r="BE212">
            <v>0</v>
          </cell>
          <cell r="BF212">
            <v>0</v>
          </cell>
          <cell r="BG212">
            <v>0</v>
          </cell>
          <cell r="BH212">
            <v>0</v>
          </cell>
          <cell r="BI212">
            <v>0</v>
          </cell>
          <cell r="BJ212">
            <v>0</v>
          </cell>
          <cell r="BK212">
            <v>0</v>
          </cell>
          <cell r="BL212">
            <v>0</v>
          </cell>
          <cell r="BM212">
            <v>0</v>
          </cell>
          <cell r="BN212">
            <v>0</v>
          </cell>
          <cell r="BO212">
            <v>0</v>
          </cell>
          <cell r="BP212">
            <v>0</v>
          </cell>
          <cell r="BQ212">
            <v>0</v>
          </cell>
          <cell r="BR212">
            <v>0</v>
          </cell>
          <cell r="BS212">
            <v>0</v>
          </cell>
          <cell r="BT212">
            <v>0</v>
          </cell>
          <cell r="BU212">
            <v>0</v>
          </cell>
          <cell r="BV212">
            <v>0</v>
          </cell>
          <cell r="BW212">
            <v>0</v>
          </cell>
          <cell r="BX212">
            <v>0</v>
          </cell>
          <cell r="BY212">
            <v>0</v>
          </cell>
          <cell r="BZ212">
            <v>0</v>
          </cell>
          <cell r="CA212">
            <v>0</v>
          </cell>
          <cell r="CB212">
            <v>0</v>
          </cell>
          <cell r="CC212">
            <v>0</v>
          </cell>
          <cell r="CD212">
            <v>0</v>
          </cell>
          <cell r="CE212">
            <v>0</v>
          </cell>
          <cell r="CF212">
            <v>0</v>
          </cell>
          <cell r="CG212">
            <v>0</v>
          </cell>
          <cell r="CH212">
            <v>0</v>
          </cell>
          <cell r="CI212">
            <v>0</v>
          </cell>
          <cell r="CJ212">
            <v>0</v>
          </cell>
          <cell r="CK212">
            <v>0</v>
          </cell>
          <cell r="CL212">
            <v>0</v>
          </cell>
          <cell r="CM212">
            <v>0</v>
          </cell>
          <cell r="CN212">
            <v>0</v>
          </cell>
          <cell r="CO212">
            <v>0</v>
          </cell>
          <cell r="CP212">
            <v>0</v>
          </cell>
          <cell r="CQ212">
            <v>0</v>
          </cell>
          <cell r="CR212">
            <v>0</v>
          </cell>
          <cell r="CS212">
            <v>0</v>
          </cell>
          <cell r="CT212">
            <v>0</v>
          </cell>
          <cell r="CU212">
            <v>0</v>
          </cell>
          <cell r="CV212">
            <v>0</v>
          </cell>
          <cell r="CW212">
            <v>0</v>
          </cell>
          <cell r="CX212">
            <v>0</v>
          </cell>
          <cell r="CY212">
            <v>0</v>
          </cell>
          <cell r="CZ212">
            <v>0</v>
          </cell>
          <cell r="DA212">
            <v>0</v>
          </cell>
          <cell r="DB212">
            <v>0</v>
          </cell>
          <cell r="DC212">
            <v>0</v>
          </cell>
          <cell r="DD212">
            <v>0</v>
          </cell>
          <cell r="DE212">
            <v>0</v>
          </cell>
          <cell r="DF212">
            <v>0</v>
          </cell>
          <cell r="DG212">
            <v>0</v>
          </cell>
          <cell r="DH212">
            <v>0</v>
          </cell>
          <cell r="DI212">
            <v>0</v>
          </cell>
          <cell r="DJ212">
            <v>0</v>
          </cell>
          <cell r="DK212">
            <v>0</v>
          </cell>
          <cell r="DL212">
            <v>0</v>
          </cell>
          <cell r="DM212">
            <v>0</v>
          </cell>
          <cell r="DN212">
            <v>0</v>
          </cell>
          <cell r="DO212">
            <v>0</v>
          </cell>
          <cell r="DP212">
            <v>0</v>
          </cell>
          <cell r="DQ212">
            <v>0</v>
          </cell>
          <cell r="DR212">
            <v>0</v>
          </cell>
          <cell r="DS212">
            <v>0</v>
          </cell>
          <cell r="DT212">
            <v>0</v>
          </cell>
          <cell r="DU212">
            <v>0</v>
          </cell>
          <cell r="DV212">
            <v>0</v>
          </cell>
          <cell r="DW212">
            <v>0</v>
          </cell>
          <cell r="DX212">
            <v>0</v>
          </cell>
          <cell r="DY212">
            <v>0</v>
          </cell>
          <cell r="EA212">
            <v>0</v>
          </cell>
          <cell r="EB212">
            <v>0</v>
          </cell>
          <cell r="EC212">
            <v>0</v>
          </cell>
          <cell r="ED212">
            <v>0</v>
          </cell>
          <cell r="EE212">
            <v>0</v>
          </cell>
          <cell r="EF212">
            <v>0</v>
          </cell>
          <cell r="EG212">
            <v>0</v>
          </cell>
          <cell r="EH212">
            <v>0</v>
          </cell>
          <cell r="EI212">
            <v>0</v>
          </cell>
          <cell r="EJ212">
            <v>0</v>
          </cell>
          <cell r="EK212">
            <v>0</v>
          </cell>
          <cell r="EL212">
            <v>0</v>
          </cell>
          <cell r="EM212">
            <v>0</v>
          </cell>
          <cell r="EN212">
            <v>0</v>
          </cell>
          <cell r="EO212">
            <v>0</v>
          </cell>
          <cell r="EP212">
            <v>0</v>
          </cell>
          <cell r="EQ212">
            <v>0</v>
          </cell>
          <cell r="ER212">
            <v>0</v>
          </cell>
          <cell r="ES212">
            <v>0</v>
          </cell>
          <cell r="ET212">
            <v>0</v>
          </cell>
          <cell r="EU212">
            <v>0</v>
          </cell>
          <cell r="EV212">
            <v>0</v>
          </cell>
          <cell r="EW212">
            <v>0</v>
          </cell>
          <cell r="EX212">
            <v>0</v>
          </cell>
          <cell r="EY212">
            <v>0</v>
          </cell>
          <cell r="EZ212">
            <v>0</v>
          </cell>
          <cell r="FA212">
            <v>0</v>
          </cell>
          <cell r="FB212">
            <v>0</v>
          </cell>
          <cell r="FC212">
            <v>0</v>
          </cell>
          <cell r="FD212">
            <v>0</v>
          </cell>
          <cell r="FE212">
            <v>0</v>
          </cell>
          <cell r="FF212">
            <v>0</v>
          </cell>
          <cell r="FG212">
            <v>0</v>
          </cell>
          <cell r="FH212">
            <v>0</v>
          </cell>
          <cell r="FI212">
            <v>0</v>
          </cell>
          <cell r="FJ212">
            <v>0</v>
          </cell>
          <cell r="FK212">
            <v>0</v>
          </cell>
          <cell r="FL212">
            <v>0</v>
          </cell>
          <cell r="FM212">
            <v>0</v>
          </cell>
          <cell r="FN212">
            <v>0</v>
          </cell>
          <cell r="FO212">
            <v>0</v>
          </cell>
          <cell r="FP212">
            <v>0</v>
          </cell>
          <cell r="FQ212">
            <v>0</v>
          </cell>
          <cell r="FR212">
            <v>0</v>
          </cell>
          <cell r="FS212">
            <v>0</v>
          </cell>
          <cell r="FT212">
            <v>0</v>
          </cell>
          <cell r="FU212">
            <v>0</v>
          </cell>
          <cell r="FV212">
            <v>0</v>
          </cell>
          <cell r="FW212">
            <v>0</v>
          </cell>
          <cell r="FX212">
            <v>0</v>
          </cell>
          <cell r="FY212">
            <v>0</v>
          </cell>
          <cell r="FZ212">
            <v>0</v>
          </cell>
        </row>
        <row r="213">
          <cell r="A213" t="str">
            <v>I_VID_NRF_RET_COL_INTR_S08</v>
          </cell>
          <cell r="B213">
            <v>0</v>
          </cell>
          <cell r="C213">
            <v>0</v>
          </cell>
          <cell r="D213">
            <v>0</v>
          </cell>
          <cell r="E213">
            <v>0</v>
          </cell>
          <cell r="F213">
            <v>0</v>
          </cell>
          <cell r="G213">
            <v>0</v>
          </cell>
          <cell r="H213">
            <v>0</v>
          </cell>
          <cell r="I213">
            <v>0</v>
          </cell>
          <cell r="J213">
            <v>0</v>
          </cell>
          <cell r="K213">
            <v>0</v>
          </cell>
          <cell r="L213">
            <v>0</v>
          </cell>
          <cell r="M213">
            <v>0</v>
          </cell>
          <cell r="N213">
            <v>0</v>
          </cell>
          <cell r="O213">
            <v>0</v>
          </cell>
          <cell r="P213">
            <v>0</v>
          </cell>
          <cell r="Q213">
            <v>0</v>
          </cell>
          <cell r="R213">
            <v>0</v>
          </cell>
          <cell r="S213">
            <v>0</v>
          </cell>
          <cell r="T213">
            <v>0</v>
          </cell>
          <cell r="U213">
            <v>0</v>
          </cell>
          <cell r="V213">
            <v>0</v>
          </cell>
          <cell r="W213">
            <v>0</v>
          </cell>
          <cell r="X213">
            <v>0</v>
          </cell>
          <cell r="Y213">
            <v>0</v>
          </cell>
          <cell r="Z213">
            <v>0</v>
          </cell>
          <cell r="AA213">
            <v>0</v>
          </cell>
          <cell r="AB213">
            <v>0</v>
          </cell>
          <cell r="AC213">
            <v>0</v>
          </cell>
          <cell r="AD213">
            <v>0</v>
          </cell>
          <cell r="AE213">
            <v>0</v>
          </cell>
          <cell r="AF213">
            <v>0</v>
          </cell>
          <cell r="AG213">
            <v>0</v>
          </cell>
          <cell r="AH213">
            <v>0</v>
          </cell>
          <cell r="AI213">
            <v>0</v>
          </cell>
          <cell r="AJ213">
            <v>0</v>
          </cell>
          <cell r="AK213">
            <v>0</v>
          </cell>
          <cell r="AL213">
            <v>0</v>
          </cell>
          <cell r="AM213">
            <v>0</v>
          </cell>
          <cell r="AN213">
            <v>0</v>
          </cell>
          <cell r="AO213">
            <v>0</v>
          </cell>
          <cell r="AP213">
            <v>0</v>
          </cell>
          <cell r="AQ213">
            <v>0</v>
          </cell>
          <cell r="AR213">
            <v>0</v>
          </cell>
          <cell r="AS213">
            <v>0</v>
          </cell>
          <cell r="AT213">
            <v>0</v>
          </cell>
          <cell r="AU213">
            <v>0</v>
          </cell>
          <cell r="AV213">
            <v>0</v>
          </cell>
          <cell r="AW213">
            <v>0</v>
          </cell>
          <cell r="AX213">
            <v>0</v>
          </cell>
          <cell r="AY213">
            <v>0</v>
          </cell>
          <cell r="AZ213">
            <v>0</v>
          </cell>
          <cell r="BA213">
            <v>0</v>
          </cell>
          <cell r="BB213">
            <v>0</v>
          </cell>
          <cell r="BC213">
            <v>0</v>
          </cell>
          <cell r="BD213">
            <v>0</v>
          </cell>
          <cell r="BE213">
            <v>0</v>
          </cell>
          <cell r="BF213">
            <v>0</v>
          </cell>
          <cell r="BG213">
            <v>0</v>
          </cell>
          <cell r="BH213">
            <v>0</v>
          </cell>
          <cell r="BI213">
            <v>0</v>
          </cell>
          <cell r="BJ213">
            <v>0</v>
          </cell>
          <cell r="BK213">
            <v>0</v>
          </cell>
          <cell r="BL213">
            <v>0</v>
          </cell>
          <cell r="BM213">
            <v>0</v>
          </cell>
          <cell r="BN213">
            <v>0</v>
          </cell>
          <cell r="BO213">
            <v>0</v>
          </cell>
          <cell r="BP213">
            <v>0</v>
          </cell>
          <cell r="BQ213">
            <v>0</v>
          </cell>
          <cell r="BR213">
            <v>0</v>
          </cell>
          <cell r="BS213">
            <v>0</v>
          </cell>
          <cell r="BT213">
            <v>0</v>
          </cell>
          <cell r="BU213">
            <v>0</v>
          </cell>
          <cell r="BV213">
            <v>0</v>
          </cell>
          <cell r="BW213">
            <v>0</v>
          </cell>
          <cell r="BX213">
            <v>0</v>
          </cell>
          <cell r="BY213">
            <v>0</v>
          </cell>
          <cell r="BZ213">
            <v>0</v>
          </cell>
          <cell r="CA213">
            <v>0</v>
          </cell>
          <cell r="CB213">
            <v>0</v>
          </cell>
          <cell r="CC213">
            <v>0</v>
          </cell>
          <cell r="CD213">
            <v>0</v>
          </cell>
          <cell r="CE213">
            <v>0</v>
          </cell>
          <cell r="CF213">
            <v>0</v>
          </cell>
          <cell r="CG213">
            <v>0</v>
          </cell>
          <cell r="CH213">
            <v>0</v>
          </cell>
          <cell r="CI213">
            <v>0</v>
          </cell>
          <cell r="CJ213">
            <v>0</v>
          </cell>
          <cell r="CK213">
            <v>0</v>
          </cell>
          <cell r="CL213">
            <v>0</v>
          </cell>
          <cell r="CM213">
            <v>0</v>
          </cell>
          <cell r="CN213">
            <v>0</v>
          </cell>
          <cell r="CO213">
            <v>0</v>
          </cell>
          <cell r="CP213">
            <v>0</v>
          </cell>
          <cell r="CQ213">
            <v>0</v>
          </cell>
          <cell r="CR213">
            <v>0</v>
          </cell>
          <cell r="CS213">
            <v>0</v>
          </cell>
          <cell r="CT213">
            <v>0</v>
          </cell>
          <cell r="CU213">
            <v>0</v>
          </cell>
          <cell r="CV213">
            <v>0</v>
          </cell>
          <cell r="CW213">
            <v>0</v>
          </cell>
          <cell r="CX213">
            <v>0</v>
          </cell>
          <cell r="CY213">
            <v>0</v>
          </cell>
          <cell r="CZ213">
            <v>0</v>
          </cell>
          <cell r="DA213">
            <v>0</v>
          </cell>
          <cell r="DB213">
            <v>0</v>
          </cell>
          <cell r="DC213">
            <v>0</v>
          </cell>
          <cell r="DD213">
            <v>0</v>
          </cell>
          <cell r="DE213">
            <v>0</v>
          </cell>
          <cell r="DF213">
            <v>0</v>
          </cell>
          <cell r="DG213">
            <v>0</v>
          </cell>
          <cell r="DH213">
            <v>0</v>
          </cell>
          <cell r="DI213">
            <v>0</v>
          </cell>
          <cell r="DJ213">
            <v>0</v>
          </cell>
          <cell r="DK213">
            <v>0</v>
          </cell>
          <cell r="DL213">
            <v>0</v>
          </cell>
          <cell r="DM213">
            <v>0</v>
          </cell>
          <cell r="DN213">
            <v>0</v>
          </cell>
          <cell r="DO213">
            <v>0</v>
          </cell>
          <cell r="DP213">
            <v>0</v>
          </cell>
          <cell r="DQ213">
            <v>0</v>
          </cell>
          <cell r="DR213">
            <v>0</v>
          </cell>
          <cell r="DS213">
            <v>0</v>
          </cell>
          <cell r="DT213">
            <v>0</v>
          </cell>
          <cell r="DU213">
            <v>0</v>
          </cell>
          <cell r="DV213">
            <v>0</v>
          </cell>
          <cell r="DW213">
            <v>0</v>
          </cell>
          <cell r="DX213">
            <v>0</v>
          </cell>
          <cell r="DY213">
            <v>0</v>
          </cell>
          <cell r="EA213">
            <v>0</v>
          </cell>
          <cell r="EB213">
            <v>0</v>
          </cell>
          <cell r="EC213">
            <v>0</v>
          </cell>
          <cell r="ED213">
            <v>0</v>
          </cell>
          <cell r="EE213">
            <v>0</v>
          </cell>
          <cell r="EF213">
            <v>0</v>
          </cell>
          <cell r="EG213">
            <v>0</v>
          </cell>
          <cell r="EH213">
            <v>0</v>
          </cell>
          <cell r="EI213">
            <v>0</v>
          </cell>
          <cell r="EJ213">
            <v>0</v>
          </cell>
          <cell r="EK213">
            <v>0</v>
          </cell>
          <cell r="EL213">
            <v>0</v>
          </cell>
          <cell r="EM213">
            <v>0</v>
          </cell>
          <cell r="EN213">
            <v>0</v>
          </cell>
          <cell r="EO213">
            <v>0</v>
          </cell>
          <cell r="EP213">
            <v>0</v>
          </cell>
          <cell r="EQ213">
            <v>0</v>
          </cell>
          <cell r="ER213">
            <v>0</v>
          </cell>
          <cell r="ES213">
            <v>0</v>
          </cell>
          <cell r="ET213">
            <v>0</v>
          </cell>
          <cell r="EU213">
            <v>0</v>
          </cell>
          <cell r="EV213">
            <v>0</v>
          </cell>
          <cell r="EW213">
            <v>0</v>
          </cell>
          <cell r="EX213">
            <v>0</v>
          </cell>
          <cell r="EY213">
            <v>0</v>
          </cell>
          <cell r="EZ213">
            <v>0</v>
          </cell>
          <cell r="FA213">
            <v>0</v>
          </cell>
          <cell r="FB213">
            <v>0</v>
          </cell>
          <cell r="FC213">
            <v>0</v>
          </cell>
          <cell r="FD213">
            <v>0</v>
          </cell>
          <cell r="FE213">
            <v>0</v>
          </cell>
          <cell r="FF213">
            <v>0</v>
          </cell>
          <cell r="FG213">
            <v>0</v>
          </cell>
          <cell r="FH213">
            <v>0</v>
          </cell>
          <cell r="FI213">
            <v>0</v>
          </cell>
          <cell r="FJ213">
            <v>0</v>
          </cell>
          <cell r="FK213">
            <v>0</v>
          </cell>
          <cell r="FL213">
            <v>0</v>
          </cell>
          <cell r="FM213">
            <v>0</v>
          </cell>
          <cell r="FN213">
            <v>0</v>
          </cell>
          <cell r="FO213">
            <v>0</v>
          </cell>
          <cell r="FP213">
            <v>0</v>
          </cell>
          <cell r="FQ213">
            <v>0</v>
          </cell>
          <cell r="FR213">
            <v>0</v>
          </cell>
          <cell r="FS213">
            <v>0</v>
          </cell>
          <cell r="FT213">
            <v>0</v>
          </cell>
          <cell r="FU213">
            <v>0</v>
          </cell>
          <cell r="FV213">
            <v>0</v>
          </cell>
          <cell r="FW213">
            <v>0</v>
          </cell>
          <cell r="FX213">
            <v>0</v>
          </cell>
          <cell r="FY213">
            <v>0</v>
          </cell>
          <cell r="FZ213">
            <v>0</v>
          </cell>
        </row>
        <row r="214">
          <cell r="A214" t="str">
            <v>I_VID_NRF_RET_IND_INTR_S09</v>
          </cell>
          <cell r="B214">
            <v>0</v>
          </cell>
          <cell r="C214">
            <v>0</v>
          </cell>
          <cell r="D214">
            <v>0</v>
          </cell>
          <cell r="E214">
            <v>0</v>
          </cell>
          <cell r="F214">
            <v>0</v>
          </cell>
          <cell r="G214">
            <v>0</v>
          </cell>
          <cell r="H214">
            <v>0</v>
          </cell>
          <cell r="I214">
            <v>0</v>
          </cell>
          <cell r="J214">
            <v>0</v>
          </cell>
          <cell r="K214">
            <v>0</v>
          </cell>
          <cell r="L214">
            <v>0</v>
          </cell>
          <cell r="M214">
            <v>0</v>
          </cell>
          <cell r="N214">
            <v>0</v>
          </cell>
          <cell r="O214">
            <v>0</v>
          </cell>
          <cell r="P214">
            <v>0</v>
          </cell>
          <cell r="Q214">
            <v>0</v>
          </cell>
          <cell r="R214">
            <v>0</v>
          </cell>
          <cell r="S214">
            <v>0</v>
          </cell>
          <cell r="T214">
            <v>0</v>
          </cell>
          <cell r="U214">
            <v>0</v>
          </cell>
          <cell r="V214">
            <v>0</v>
          </cell>
          <cell r="W214">
            <v>0</v>
          </cell>
          <cell r="X214">
            <v>0</v>
          </cell>
          <cell r="Y214">
            <v>0</v>
          </cell>
          <cell r="Z214">
            <v>0</v>
          </cell>
          <cell r="AA214">
            <v>0</v>
          </cell>
          <cell r="AB214">
            <v>0</v>
          </cell>
          <cell r="AC214">
            <v>0</v>
          </cell>
          <cell r="AD214">
            <v>0</v>
          </cell>
          <cell r="AE214">
            <v>0</v>
          </cell>
          <cell r="AF214">
            <v>0</v>
          </cell>
          <cell r="AG214">
            <v>0</v>
          </cell>
          <cell r="AH214">
            <v>0</v>
          </cell>
          <cell r="AI214">
            <v>0</v>
          </cell>
          <cell r="AJ214">
            <v>0</v>
          </cell>
          <cell r="AK214">
            <v>0</v>
          </cell>
          <cell r="AL214">
            <v>0</v>
          </cell>
          <cell r="AM214">
            <v>0</v>
          </cell>
          <cell r="AN214">
            <v>0</v>
          </cell>
          <cell r="AO214">
            <v>0</v>
          </cell>
          <cell r="AP214">
            <v>0</v>
          </cell>
          <cell r="AQ214">
            <v>0</v>
          </cell>
          <cell r="AR214">
            <v>0</v>
          </cell>
          <cell r="AS214">
            <v>0</v>
          </cell>
          <cell r="AT214">
            <v>0</v>
          </cell>
          <cell r="AU214">
            <v>0</v>
          </cell>
          <cell r="AV214">
            <v>0</v>
          </cell>
          <cell r="AW214">
            <v>0</v>
          </cell>
          <cell r="AX214">
            <v>0</v>
          </cell>
          <cell r="AY214">
            <v>0</v>
          </cell>
          <cell r="AZ214">
            <v>0</v>
          </cell>
          <cell r="BA214">
            <v>0</v>
          </cell>
          <cell r="BB214">
            <v>0</v>
          </cell>
          <cell r="BC214">
            <v>0</v>
          </cell>
          <cell r="BD214">
            <v>0</v>
          </cell>
          <cell r="BE214">
            <v>0</v>
          </cell>
          <cell r="BF214">
            <v>0</v>
          </cell>
          <cell r="BG214">
            <v>0</v>
          </cell>
          <cell r="BH214">
            <v>0</v>
          </cell>
          <cell r="BI214">
            <v>0</v>
          </cell>
          <cell r="BJ214">
            <v>0</v>
          </cell>
          <cell r="BK214">
            <v>0</v>
          </cell>
          <cell r="BL214">
            <v>0</v>
          </cell>
          <cell r="BM214">
            <v>0</v>
          </cell>
          <cell r="BN214">
            <v>0</v>
          </cell>
          <cell r="BO214">
            <v>0</v>
          </cell>
          <cell r="BP214">
            <v>0</v>
          </cell>
          <cell r="BQ214">
            <v>0</v>
          </cell>
          <cell r="BR214">
            <v>0</v>
          </cell>
          <cell r="BS214">
            <v>0</v>
          </cell>
          <cell r="BT214">
            <v>0</v>
          </cell>
          <cell r="BU214">
            <v>0</v>
          </cell>
          <cell r="BV214">
            <v>0</v>
          </cell>
          <cell r="BW214">
            <v>0</v>
          </cell>
          <cell r="BX214">
            <v>0</v>
          </cell>
          <cell r="BY214">
            <v>0</v>
          </cell>
          <cell r="BZ214">
            <v>0</v>
          </cell>
          <cell r="CA214">
            <v>0</v>
          </cell>
          <cell r="CB214">
            <v>0</v>
          </cell>
          <cell r="CC214">
            <v>0</v>
          </cell>
          <cell r="CD214">
            <v>0</v>
          </cell>
          <cell r="CE214">
            <v>0</v>
          </cell>
          <cell r="CF214">
            <v>0</v>
          </cell>
          <cell r="CG214">
            <v>0</v>
          </cell>
          <cell r="CH214">
            <v>0</v>
          </cell>
          <cell r="CI214">
            <v>0</v>
          </cell>
          <cell r="CJ214">
            <v>0</v>
          </cell>
          <cell r="CK214">
            <v>0</v>
          </cell>
          <cell r="CL214">
            <v>0</v>
          </cell>
          <cell r="CM214">
            <v>0</v>
          </cell>
          <cell r="CN214">
            <v>0</v>
          </cell>
          <cell r="CO214">
            <v>0</v>
          </cell>
          <cell r="CP214">
            <v>0</v>
          </cell>
          <cell r="CQ214">
            <v>0</v>
          </cell>
          <cell r="CR214">
            <v>0</v>
          </cell>
          <cell r="CS214">
            <v>0</v>
          </cell>
          <cell r="CT214">
            <v>0</v>
          </cell>
          <cell r="CU214">
            <v>0</v>
          </cell>
          <cell r="CV214">
            <v>0</v>
          </cell>
          <cell r="CW214">
            <v>0</v>
          </cell>
          <cell r="CX214">
            <v>0</v>
          </cell>
          <cell r="CY214">
            <v>0</v>
          </cell>
          <cell r="CZ214">
            <v>0</v>
          </cell>
          <cell r="DA214">
            <v>0</v>
          </cell>
          <cell r="DB214">
            <v>0</v>
          </cell>
          <cell r="DC214">
            <v>0</v>
          </cell>
          <cell r="DD214">
            <v>0</v>
          </cell>
          <cell r="DE214">
            <v>0</v>
          </cell>
          <cell r="DF214">
            <v>0</v>
          </cell>
          <cell r="DG214">
            <v>0</v>
          </cell>
          <cell r="DH214">
            <v>0</v>
          </cell>
          <cell r="DI214">
            <v>0</v>
          </cell>
          <cell r="DJ214">
            <v>0</v>
          </cell>
          <cell r="DK214">
            <v>0</v>
          </cell>
          <cell r="DL214">
            <v>0</v>
          </cell>
          <cell r="DM214">
            <v>0</v>
          </cell>
          <cell r="DN214">
            <v>0</v>
          </cell>
          <cell r="DO214">
            <v>0</v>
          </cell>
          <cell r="DP214">
            <v>0</v>
          </cell>
          <cell r="DQ214">
            <v>0</v>
          </cell>
          <cell r="DR214">
            <v>0</v>
          </cell>
          <cell r="DS214">
            <v>0</v>
          </cell>
          <cell r="DT214">
            <v>0</v>
          </cell>
          <cell r="DU214">
            <v>0</v>
          </cell>
          <cell r="DV214">
            <v>0</v>
          </cell>
          <cell r="DW214">
            <v>0</v>
          </cell>
          <cell r="DX214">
            <v>0</v>
          </cell>
          <cell r="DY214">
            <v>0</v>
          </cell>
          <cell r="EA214">
            <v>0</v>
          </cell>
          <cell r="EB214">
            <v>0</v>
          </cell>
          <cell r="EC214">
            <v>0</v>
          </cell>
          <cell r="ED214">
            <v>0</v>
          </cell>
          <cell r="EE214">
            <v>0</v>
          </cell>
          <cell r="EF214">
            <v>0</v>
          </cell>
          <cell r="EG214">
            <v>0</v>
          </cell>
          <cell r="EH214">
            <v>0</v>
          </cell>
          <cell r="EI214">
            <v>0</v>
          </cell>
          <cell r="EJ214">
            <v>0</v>
          </cell>
          <cell r="EK214">
            <v>0</v>
          </cell>
          <cell r="EL214">
            <v>0</v>
          </cell>
          <cell r="EM214">
            <v>0</v>
          </cell>
          <cell r="EN214">
            <v>0</v>
          </cell>
          <cell r="EO214">
            <v>0</v>
          </cell>
          <cell r="EP214">
            <v>0</v>
          </cell>
          <cell r="EQ214">
            <v>0</v>
          </cell>
          <cell r="ER214">
            <v>0</v>
          </cell>
          <cell r="ES214">
            <v>0</v>
          </cell>
          <cell r="ET214">
            <v>0</v>
          </cell>
          <cell r="EU214">
            <v>0</v>
          </cell>
          <cell r="EV214">
            <v>0</v>
          </cell>
          <cell r="EW214">
            <v>0</v>
          </cell>
          <cell r="EX214">
            <v>0</v>
          </cell>
          <cell r="EY214">
            <v>0</v>
          </cell>
          <cell r="EZ214">
            <v>0</v>
          </cell>
          <cell r="FA214">
            <v>0</v>
          </cell>
          <cell r="FB214">
            <v>0</v>
          </cell>
          <cell r="FC214">
            <v>0</v>
          </cell>
          <cell r="FD214">
            <v>0</v>
          </cell>
          <cell r="FE214">
            <v>0</v>
          </cell>
          <cell r="FF214">
            <v>0</v>
          </cell>
          <cell r="FG214">
            <v>0</v>
          </cell>
          <cell r="FH214">
            <v>0</v>
          </cell>
          <cell r="FI214">
            <v>0</v>
          </cell>
          <cell r="FJ214">
            <v>0</v>
          </cell>
          <cell r="FK214">
            <v>0</v>
          </cell>
          <cell r="FL214">
            <v>0</v>
          </cell>
          <cell r="FM214">
            <v>0</v>
          </cell>
          <cell r="FN214">
            <v>0</v>
          </cell>
          <cell r="FO214">
            <v>0</v>
          </cell>
          <cell r="FP214">
            <v>0</v>
          </cell>
          <cell r="FQ214">
            <v>0</v>
          </cell>
          <cell r="FR214">
            <v>0</v>
          </cell>
          <cell r="FS214">
            <v>0</v>
          </cell>
          <cell r="FT214">
            <v>0</v>
          </cell>
          <cell r="FU214">
            <v>0</v>
          </cell>
          <cell r="FV214">
            <v>0</v>
          </cell>
          <cell r="FW214">
            <v>0</v>
          </cell>
          <cell r="FX214">
            <v>0</v>
          </cell>
          <cell r="FY214">
            <v>0</v>
          </cell>
          <cell r="FZ214">
            <v>0</v>
          </cell>
        </row>
        <row r="215">
          <cell r="A215" t="str">
            <v>I_VID_NRF_CPT_PRP_INTR_S25</v>
          </cell>
          <cell r="B215">
            <v>0</v>
          </cell>
          <cell r="C215">
            <v>0</v>
          </cell>
          <cell r="D215">
            <v>0</v>
          </cell>
          <cell r="E215">
            <v>0</v>
          </cell>
          <cell r="F215">
            <v>0</v>
          </cell>
          <cell r="G215">
            <v>0</v>
          </cell>
          <cell r="H215">
            <v>0</v>
          </cell>
          <cell r="I215">
            <v>0</v>
          </cell>
          <cell r="J215">
            <v>0</v>
          </cell>
          <cell r="K215">
            <v>0</v>
          </cell>
          <cell r="L215">
            <v>0</v>
          </cell>
          <cell r="M215">
            <v>0</v>
          </cell>
          <cell r="N215">
            <v>0</v>
          </cell>
          <cell r="O215">
            <v>0</v>
          </cell>
          <cell r="P215">
            <v>0</v>
          </cell>
          <cell r="Q215">
            <v>0</v>
          </cell>
          <cell r="R215">
            <v>0</v>
          </cell>
          <cell r="S215">
            <v>0</v>
          </cell>
          <cell r="T215">
            <v>0</v>
          </cell>
          <cell r="U215">
            <v>0</v>
          </cell>
          <cell r="V215">
            <v>0</v>
          </cell>
          <cell r="W215">
            <v>0</v>
          </cell>
          <cell r="X215">
            <v>0</v>
          </cell>
          <cell r="Y215">
            <v>0</v>
          </cell>
          <cell r="Z215">
            <v>0</v>
          </cell>
          <cell r="AA215">
            <v>0</v>
          </cell>
          <cell r="AB215">
            <v>0</v>
          </cell>
          <cell r="AC215">
            <v>0</v>
          </cell>
          <cell r="AD215">
            <v>0</v>
          </cell>
          <cell r="AE215">
            <v>0</v>
          </cell>
          <cell r="AF215">
            <v>0</v>
          </cell>
          <cell r="AG215">
            <v>0</v>
          </cell>
          <cell r="AH215">
            <v>0</v>
          </cell>
          <cell r="AI215">
            <v>0</v>
          </cell>
          <cell r="AJ215">
            <v>0</v>
          </cell>
          <cell r="AK215">
            <v>0</v>
          </cell>
          <cell r="AL215">
            <v>0</v>
          </cell>
          <cell r="AM215">
            <v>0</v>
          </cell>
          <cell r="AN215">
            <v>0</v>
          </cell>
          <cell r="AO215">
            <v>0</v>
          </cell>
          <cell r="AP215">
            <v>0</v>
          </cell>
          <cell r="AQ215">
            <v>0</v>
          </cell>
          <cell r="AR215">
            <v>0</v>
          </cell>
          <cell r="AS215">
            <v>0</v>
          </cell>
          <cell r="AT215">
            <v>0</v>
          </cell>
          <cell r="AU215">
            <v>0</v>
          </cell>
          <cell r="AV215">
            <v>0</v>
          </cell>
          <cell r="AW215">
            <v>0</v>
          </cell>
          <cell r="AX215">
            <v>0</v>
          </cell>
          <cell r="AY215">
            <v>0</v>
          </cell>
          <cell r="AZ215">
            <v>0</v>
          </cell>
          <cell r="BA215">
            <v>0</v>
          </cell>
          <cell r="BB215">
            <v>0</v>
          </cell>
          <cell r="BC215">
            <v>0</v>
          </cell>
          <cell r="BD215">
            <v>0</v>
          </cell>
          <cell r="BE215">
            <v>0</v>
          </cell>
          <cell r="BF215">
            <v>0</v>
          </cell>
          <cell r="BG215">
            <v>0</v>
          </cell>
          <cell r="BH215">
            <v>0</v>
          </cell>
          <cell r="BI215">
            <v>0</v>
          </cell>
          <cell r="BJ215">
            <v>0</v>
          </cell>
          <cell r="BK215">
            <v>0</v>
          </cell>
          <cell r="BL215">
            <v>0</v>
          </cell>
          <cell r="BM215">
            <v>0</v>
          </cell>
          <cell r="BN215">
            <v>0</v>
          </cell>
          <cell r="BO215">
            <v>0</v>
          </cell>
          <cell r="BP215">
            <v>0</v>
          </cell>
          <cell r="BQ215">
            <v>0</v>
          </cell>
          <cell r="BR215">
            <v>0</v>
          </cell>
          <cell r="BS215">
            <v>0</v>
          </cell>
          <cell r="BT215">
            <v>0</v>
          </cell>
          <cell r="BU215">
            <v>0</v>
          </cell>
          <cell r="BV215">
            <v>0</v>
          </cell>
          <cell r="BW215">
            <v>0</v>
          </cell>
          <cell r="BX215">
            <v>0</v>
          </cell>
          <cell r="BY215">
            <v>0</v>
          </cell>
          <cell r="BZ215">
            <v>0</v>
          </cell>
          <cell r="CA215">
            <v>0</v>
          </cell>
          <cell r="CB215">
            <v>0</v>
          </cell>
          <cell r="CC215">
            <v>0</v>
          </cell>
          <cell r="CD215">
            <v>0</v>
          </cell>
          <cell r="CE215">
            <v>0</v>
          </cell>
          <cell r="CF215">
            <v>0</v>
          </cell>
          <cell r="CG215">
            <v>0</v>
          </cell>
          <cell r="CH215">
            <v>0</v>
          </cell>
          <cell r="CI215">
            <v>0</v>
          </cell>
          <cell r="CJ215">
            <v>0</v>
          </cell>
          <cell r="CK215">
            <v>0</v>
          </cell>
          <cell r="CL215">
            <v>0</v>
          </cell>
          <cell r="CM215">
            <v>0</v>
          </cell>
          <cell r="CN215">
            <v>0</v>
          </cell>
          <cell r="CO215">
            <v>0</v>
          </cell>
          <cell r="CP215">
            <v>0</v>
          </cell>
          <cell r="CQ215">
            <v>0</v>
          </cell>
          <cell r="CR215">
            <v>0</v>
          </cell>
          <cell r="CS215">
            <v>0</v>
          </cell>
          <cell r="CT215">
            <v>0</v>
          </cell>
          <cell r="CU215">
            <v>0</v>
          </cell>
          <cell r="CV215">
            <v>0</v>
          </cell>
          <cell r="CW215">
            <v>0</v>
          </cell>
          <cell r="CX215">
            <v>0</v>
          </cell>
          <cell r="CY215">
            <v>0</v>
          </cell>
          <cell r="CZ215">
            <v>0</v>
          </cell>
          <cell r="DA215">
            <v>0</v>
          </cell>
          <cell r="DB215">
            <v>0</v>
          </cell>
          <cell r="DC215">
            <v>0</v>
          </cell>
          <cell r="DD215">
            <v>0</v>
          </cell>
          <cell r="DE215">
            <v>0</v>
          </cell>
          <cell r="DF215">
            <v>0</v>
          </cell>
          <cell r="DG215">
            <v>0</v>
          </cell>
          <cell r="DH215">
            <v>0</v>
          </cell>
          <cell r="DI215">
            <v>0</v>
          </cell>
          <cell r="DJ215">
            <v>0</v>
          </cell>
          <cell r="DK215">
            <v>0</v>
          </cell>
          <cell r="DL215">
            <v>0</v>
          </cell>
          <cell r="DM215">
            <v>0</v>
          </cell>
          <cell r="DN215">
            <v>0</v>
          </cell>
          <cell r="DO215">
            <v>0</v>
          </cell>
          <cell r="DP215">
            <v>0</v>
          </cell>
          <cell r="DQ215">
            <v>0</v>
          </cell>
          <cell r="DR215">
            <v>0</v>
          </cell>
          <cell r="DS215">
            <v>0</v>
          </cell>
          <cell r="DT215">
            <v>0</v>
          </cell>
          <cell r="DU215">
            <v>0</v>
          </cell>
          <cell r="DV215">
            <v>0</v>
          </cell>
          <cell r="DW215">
            <v>0</v>
          </cell>
          <cell r="DX215">
            <v>0</v>
          </cell>
          <cell r="DY215">
            <v>0</v>
          </cell>
          <cell r="EA215">
            <v>0</v>
          </cell>
          <cell r="EB215">
            <v>0</v>
          </cell>
          <cell r="EC215">
            <v>0</v>
          </cell>
          <cell r="ED215">
            <v>0</v>
          </cell>
          <cell r="EE215">
            <v>0</v>
          </cell>
          <cell r="EF215">
            <v>0</v>
          </cell>
          <cell r="EG215">
            <v>0</v>
          </cell>
          <cell r="EH215">
            <v>0</v>
          </cell>
          <cell r="EI215">
            <v>0</v>
          </cell>
          <cell r="EJ215">
            <v>0</v>
          </cell>
          <cell r="EK215">
            <v>0</v>
          </cell>
          <cell r="EL215">
            <v>0</v>
          </cell>
          <cell r="EM215">
            <v>0</v>
          </cell>
          <cell r="EN215">
            <v>0</v>
          </cell>
          <cell r="EO215">
            <v>0</v>
          </cell>
          <cell r="EP215">
            <v>0</v>
          </cell>
          <cell r="EQ215">
            <v>0</v>
          </cell>
          <cell r="ER215">
            <v>0</v>
          </cell>
          <cell r="ES215">
            <v>0</v>
          </cell>
          <cell r="ET215">
            <v>0</v>
          </cell>
          <cell r="EU215">
            <v>0</v>
          </cell>
          <cell r="EV215">
            <v>0</v>
          </cell>
          <cell r="EW215">
            <v>0</v>
          </cell>
          <cell r="EX215">
            <v>0</v>
          </cell>
          <cell r="EY215">
            <v>0</v>
          </cell>
          <cell r="EZ215">
            <v>0</v>
          </cell>
          <cell r="FA215">
            <v>0</v>
          </cell>
          <cell r="FB215">
            <v>0</v>
          </cell>
          <cell r="FC215">
            <v>0</v>
          </cell>
          <cell r="FD215">
            <v>0</v>
          </cell>
          <cell r="FE215">
            <v>0</v>
          </cell>
          <cell r="FF215">
            <v>0</v>
          </cell>
          <cell r="FG215">
            <v>0</v>
          </cell>
          <cell r="FH215">
            <v>0</v>
          </cell>
          <cell r="FI215">
            <v>0</v>
          </cell>
          <cell r="FJ215">
            <v>0</v>
          </cell>
          <cell r="FK215">
            <v>0</v>
          </cell>
          <cell r="FL215">
            <v>0</v>
          </cell>
          <cell r="FM215">
            <v>0</v>
          </cell>
          <cell r="FN215">
            <v>0</v>
          </cell>
          <cell r="FO215">
            <v>0</v>
          </cell>
          <cell r="FP215">
            <v>0</v>
          </cell>
          <cell r="FQ215">
            <v>0</v>
          </cell>
          <cell r="FR215">
            <v>0</v>
          </cell>
          <cell r="FS215">
            <v>0</v>
          </cell>
          <cell r="FT215">
            <v>0</v>
          </cell>
          <cell r="FU215">
            <v>0</v>
          </cell>
          <cell r="FV215">
            <v>0</v>
          </cell>
          <cell r="FW215">
            <v>0</v>
          </cell>
          <cell r="FX215">
            <v>0</v>
          </cell>
          <cell r="FY215">
            <v>0</v>
          </cell>
          <cell r="FZ215">
            <v>0</v>
          </cell>
        </row>
        <row r="216">
          <cell r="A216" t="str">
            <v>I_VID_NRF_EPA_UCS_INTR_S27</v>
          </cell>
          <cell r="B216">
            <v>0</v>
          </cell>
          <cell r="C216">
            <v>0</v>
          </cell>
          <cell r="D216">
            <v>0</v>
          </cell>
          <cell r="E216">
            <v>0</v>
          </cell>
          <cell r="F216">
            <v>0</v>
          </cell>
          <cell r="G216">
            <v>0</v>
          </cell>
          <cell r="H216">
            <v>0</v>
          </cell>
          <cell r="I216">
            <v>0</v>
          </cell>
          <cell r="J216">
            <v>0</v>
          </cell>
          <cell r="K216">
            <v>0</v>
          </cell>
          <cell r="L216">
            <v>0</v>
          </cell>
          <cell r="M216">
            <v>0</v>
          </cell>
          <cell r="N216">
            <v>0</v>
          </cell>
          <cell r="O216">
            <v>0</v>
          </cell>
          <cell r="P216">
            <v>0</v>
          </cell>
          <cell r="Q216">
            <v>0</v>
          </cell>
          <cell r="R216">
            <v>0</v>
          </cell>
          <cell r="S216">
            <v>0</v>
          </cell>
          <cell r="T216">
            <v>0</v>
          </cell>
          <cell r="U216">
            <v>0</v>
          </cell>
          <cell r="V216">
            <v>0</v>
          </cell>
          <cell r="W216">
            <v>0</v>
          </cell>
          <cell r="X216">
            <v>0</v>
          </cell>
          <cell r="Y216">
            <v>0</v>
          </cell>
          <cell r="Z216">
            <v>0</v>
          </cell>
          <cell r="AA216">
            <v>0</v>
          </cell>
          <cell r="AB216">
            <v>0</v>
          </cell>
          <cell r="AC216">
            <v>0</v>
          </cell>
          <cell r="AD216">
            <v>0</v>
          </cell>
          <cell r="AE216">
            <v>0</v>
          </cell>
          <cell r="AF216">
            <v>0</v>
          </cell>
          <cell r="AG216">
            <v>0</v>
          </cell>
          <cell r="AH216">
            <v>0</v>
          </cell>
          <cell r="AI216">
            <v>0</v>
          </cell>
          <cell r="AJ216">
            <v>0</v>
          </cell>
          <cell r="AK216">
            <v>0</v>
          </cell>
          <cell r="AL216">
            <v>0</v>
          </cell>
          <cell r="AM216">
            <v>0</v>
          </cell>
          <cell r="AN216">
            <v>0</v>
          </cell>
          <cell r="AO216">
            <v>0</v>
          </cell>
          <cell r="AP216">
            <v>0</v>
          </cell>
          <cell r="AQ216">
            <v>0</v>
          </cell>
          <cell r="AR216">
            <v>0</v>
          </cell>
          <cell r="AS216">
            <v>0</v>
          </cell>
          <cell r="AT216">
            <v>0</v>
          </cell>
          <cell r="AU216">
            <v>0</v>
          </cell>
          <cell r="AV216">
            <v>0</v>
          </cell>
          <cell r="AW216">
            <v>0</v>
          </cell>
          <cell r="AX216">
            <v>0</v>
          </cell>
          <cell r="AY216">
            <v>0</v>
          </cell>
          <cell r="AZ216">
            <v>0</v>
          </cell>
          <cell r="BA216">
            <v>0</v>
          </cell>
          <cell r="BB216">
            <v>0</v>
          </cell>
          <cell r="BC216">
            <v>0</v>
          </cell>
          <cell r="BD216">
            <v>0</v>
          </cell>
          <cell r="BE216">
            <v>0</v>
          </cell>
          <cell r="BF216">
            <v>0</v>
          </cell>
          <cell r="BG216">
            <v>0</v>
          </cell>
          <cell r="BH216">
            <v>0</v>
          </cell>
          <cell r="BI216">
            <v>0</v>
          </cell>
          <cell r="BJ216">
            <v>0</v>
          </cell>
          <cell r="BK216">
            <v>0</v>
          </cell>
          <cell r="BL216">
            <v>0</v>
          </cell>
          <cell r="BM216">
            <v>0</v>
          </cell>
          <cell r="BN216">
            <v>0</v>
          </cell>
          <cell r="BO216">
            <v>0</v>
          </cell>
          <cell r="BP216">
            <v>0</v>
          </cell>
          <cell r="BQ216">
            <v>0</v>
          </cell>
          <cell r="BR216">
            <v>0</v>
          </cell>
          <cell r="BS216">
            <v>0</v>
          </cell>
          <cell r="BT216">
            <v>0</v>
          </cell>
          <cell r="BU216">
            <v>0</v>
          </cell>
          <cell r="BV216">
            <v>0</v>
          </cell>
          <cell r="BW216">
            <v>0</v>
          </cell>
          <cell r="BX216">
            <v>0</v>
          </cell>
          <cell r="BY216">
            <v>0</v>
          </cell>
          <cell r="BZ216">
            <v>0</v>
          </cell>
          <cell r="CA216">
            <v>0</v>
          </cell>
          <cell r="CB216">
            <v>0</v>
          </cell>
          <cell r="CC216">
            <v>0</v>
          </cell>
          <cell r="CD216">
            <v>0</v>
          </cell>
          <cell r="CE216">
            <v>0</v>
          </cell>
          <cell r="CF216">
            <v>0</v>
          </cell>
          <cell r="CG216">
            <v>0</v>
          </cell>
          <cell r="CH216">
            <v>0</v>
          </cell>
          <cell r="CI216">
            <v>0</v>
          </cell>
          <cell r="CJ216">
            <v>0</v>
          </cell>
          <cell r="CK216">
            <v>0</v>
          </cell>
          <cell r="CL216">
            <v>0</v>
          </cell>
          <cell r="CM216">
            <v>0</v>
          </cell>
          <cell r="CN216">
            <v>0</v>
          </cell>
          <cell r="CO216">
            <v>0</v>
          </cell>
          <cell r="CP216">
            <v>0</v>
          </cell>
          <cell r="CQ216">
            <v>0</v>
          </cell>
          <cell r="CR216">
            <v>0</v>
          </cell>
          <cell r="CS216">
            <v>0</v>
          </cell>
          <cell r="CT216">
            <v>0</v>
          </cell>
          <cell r="CU216">
            <v>0</v>
          </cell>
          <cell r="CV216">
            <v>0</v>
          </cell>
          <cell r="CW216">
            <v>0</v>
          </cell>
          <cell r="CX216">
            <v>0</v>
          </cell>
          <cell r="CY216">
            <v>0</v>
          </cell>
          <cell r="CZ216">
            <v>0</v>
          </cell>
          <cell r="DA216">
            <v>0</v>
          </cell>
          <cell r="DB216">
            <v>0</v>
          </cell>
          <cell r="DC216">
            <v>0</v>
          </cell>
          <cell r="DD216">
            <v>0</v>
          </cell>
          <cell r="DE216">
            <v>0</v>
          </cell>
          <cell r="DF216">
            <v>0</v>
          </cell>
          <cell r="DG216">
            <v>0</v>
          </cell>
          <cell r="DH216">
            <v>0</v>
          </cell>
          <cell r="DI216">
            <v>0</v>
          </cell>
          <cell r="DJ216">
            <v>0</v>
          </cell>
          <cell r="DK216">
            <v>0</v>
          </cell>
          <cell r="DL216">
            <v>0</v>
          </cell>
          <cell r="DM216">
            <v>0</v>
          </cell>
          <cell r="DN216">
            <v>0</v>
          </cell>
          <cell r="DO216">
            <v>0</v>
          </cell>
          <cell r="DP216">
            <v>0</v>
          </cell>
          <cell r="DQ216">
            <v>0</v>
          </cell>
          <cell r="DR216">
            <v>0</v>
          </cell>
          <cell r="DS216">
            <v>0</v>
          </cell>
          <cell r="DT216">
            <v>0</v>
          </cell>
          <cell r="DU216">
            <v>0</v>
          </cell>
          <cell r="DV216">
            <v>0</v>
          </cell>
          <cell r="DW216">
            <v>0</v>
          </cell>
          <cell r="DX216">
            <v>0</v>
          </cell>
          <cell r="DY216">
            <v>0</v>
          </cell>
          <cell r="EA216">
            <v>0</v>
          </cell>
          <cell r="EB216">
            <v>0</v>
          </cell>
          <cell r="EC216">
            <v>0</v>
          </cell>
          <cell r="ED216">
            <v>0</v>
          </cell>
          <cell r="EE216">
            <v>0</v>
          </cell>
          <cell r="EF216">
            <v>0</v>
          </cell>
          <cell r="EG216">
            <v>0</v>
          </cell>
          <cell r="EH216">
            <v>0</v>
          </cell>
          <cell r="EI216">
            <v>0</v>
          </cell>
          <cell r="EJ216">
            <v>0</v>
          </cell>
          <cell r="EK216">
            <v>0</v>
          </cell>
          <cell r="EL216">
            <v>0</v>
          </cell>
          <cell r="EM216">
            <v>0</v>
          </cell>
          <cell r="EN216">
            <v>0</v>
          </cell>
          <cell r="EO216">
            <v>0</v>
          </cell>
          <cell r="EP216">
            <v>0</v>
          </cell>
          <cell r="EQ216">
            <v>0</v>
          </cell>
          <cell r="ER216">
            <v>0</v>
          </cell>
          <cell r="ES216">
            <v>0</v>
          </cell>
          <cell r="ET216">
            <v>0</v>
          </cell>
          <cell r="EU216">
            <v>0</v>
          </cell>
          <cell r="EV216">
            <v>0</v>
          </cell>
          <cell r="EW216">
            <v>0</v>
          </cell>
          <cell r="EX216">
            <v>0</v>
          </cell>
          <cell r="EY216">
            <v>0</v>
          </cell>
          <cell r="EZ216">
            <v>0</v>
          </cell>
          <cell r="FA216">
            <v>0</v>
          </cell>
          <cell r="FB216">
            <v>0</v>
          </cell>
          <cell r="FC216">
            <v>0</v>
          </cell>
          <cell r="FD216">
            <v>0</v>
          </cell>
          <cell r="FE216">
            <v>0</v>
          </cell>
          <cell r="FF216">
            <v>0</v>
          </cell>
          <cell r="FG216">
            <v>0</v>
          </cell>
          <cell r="FH216">
            <v>0</v>
          </cell>
          <cell r="FI216">
            <v>0</v>
          </cell>
          <cell r="FJ216">
            <v>0</v>
          </cell>
          <cell r="FK216">
            <v>0</v>
          </cell>
          <cell r="FL216">
            <v>0</v>
          </cell>
          <cell r="FM216">
            <v>0</v>
          </cell>
          <cell r="FN216">
            <v>0</v>
          </cell>
          <cell r="FO216">
            <v>0</v>
          </cell>
          <cell r="FP216">
            <v>0</v>
          </cell>
          <cell r="FQ216">
            <v>0</v>
          </cell>
          <cell r="FR216">
            <v>0</v>
          </cell>
          <cell r="FS216">
            <v>0</v>
          </cell>
          <cell r="FT216">
            <v>0</v>
          </cell>
          <cell r="FU216">
            <v>0</v>
          </cell>
          <cell r="FV216">
            <v>0</v>
          </cell>
          <cell r="FW216">
            <v>0</v>
          </cell>
          <cell r="FX216">
            <v>0</v>
          </cell>
          <cell r="FY216">
            <v>0</v>
          </cell>
          <cell r="FZ216">
            <v>0</v>
          </cell>
        </row>
        <row r="217">
          <cell r="A217" t="str">
            <v>I_VID_NRF_EPA_EUR_INTR_S28</v>
          </cell>
          <cell r="B217">
            <v>0</v>
          </cell>
          <cell r="C217">
            <v>0</v>
          </cell>
          <cell r="D217">
            <v>0</v>
          </cell>
          <cell r="E217">
            <v>0</v>
          </cell>
          <cell r="F217">
            <v>0</v>
          </cell>
          <cell r="G217">
            <v>0</v>
          </cell>
          <cell r="H217">
            <v>0</v>
          </cell>
          <cell r="I217">
            <v>0</v>
          </cell>
          <cell r="J217">
            <v>0</v>
          </cell>
          <cell r="K217">
            <v>0</v>
          </cell>
          <cell r="L217">
            <v>0</v>
          </cell>
          <cell r="M217">
            <v>0</v>
          </cell>
          <cell r="N217">
            <v>0</v>
          </cell>
          <cell r="O217">
            <v>0</v>
          </cell>
          <cell r="P217">
            <v>0</v>
          </cell>
          <cell r="Q217">
            <v>0</v>
          </cell>
          <cell r="R217">
            <v>0</v>
          </cell>
          <cell r="S217">
            <v>0</v>
          </cell>
          <cell r="T217">
            <v>0</v>
          </cell>
          <cell r="U217">
            <v>0</v>
          </cell>
          <cell r="V217">
            <v>0</v>
          </cell>
          <cell r="W217">
            <v>0</v>
          </cell>
          <cell r="X217">
            <v>0</v>
          </cell>
          <cell r="Y217">
            <v>0</v>
          </cell>
          <cell r="Z217">
            <v>0</v>
          </cell>
          <cell r="AA217">
            <v>0</v>
          </cell>
          <cell r="AB217">
            <v>0</v>
          </cell>
          <cell r="AC217">
            <v>0</v>
          </cell>
          <cell r="AD217">
            <v>0</v>
          </cell>
          <cell r="AE217">
            <v>0</v>
          </cell>
          <cell r="AF217">
            <v>0</v>
          </cell>
          <cell r="AG217">
            <v>0</v>
          </cell>
          <cell r="AH217">
            <v>0</v>
          </cell>
          <cell r="AI217">
            <v>0</v>
          </cell>
          <cell r="AJ217">
            <v>0</v>
          </cell>
          <cell r="AK217">
            <v>0</v>
          </cell>
          <cell r="AL217">
            <v>0</v>
          </cell>
          <cell r="AM217">
            <v>0</v>
          </cell>
          <cell r="AN217">
            <v>0</v>
          </cell>
          <cell r="AO217">
            <v>0</v>
          </cell>
          <cell r="AP217">
            <v>0</v>
          </cell>
          <cell r="AQ217">
            <v>0</v>
          </cell>
          <cell r="AR217">
            <v>0</v>
          </cell>
          <cell r="AS217">
            <v>0</v>
          </cell>
          <cell r="AT217">
            <v>0</v>
          </cell>
          <cell r="AU217">
            <v>0</v>
          </cell>
          <cell r="AV217">
            <v>0</v>
          </cell>
          <cell r="AW217">
            <v>0</v>
          </cell>
          <cell r="AX217">
            <v>0</v>
          </cell>
          <cell r="AY217">
            <v>0</v>
          </cell>
          <cell r="AZ217">
            <v>0</v>
          </cell>
          <cell r="BA217">
            <v>0</v>
          </cell>
          <cell r="BB217">
            <v>0</v>
          </cell>
          <cell r="BC217">
            <v>0</v>
          </cell>
          <cell r="BD217">
            <v>0</v>
          </cell>
          <cell r="BE217">
            <v>0</v>
          </cell>
          <cell r="BF217">
            <v>0</v>
          </cell>
          <cell r="BG217">
            <v>0</v>
          </cell>
          <cell r="BH217">
            <v>0</v>
          </cell>
          <cell r="BI217">
            <v>0</v>
          </cell>
          <cell r="BJ217">
            <v>0</v>
          </cell>
          <cell r="BK217">
            <v>0</v>
          </cell>
          <cell r="BL217">
            <v>0</v>
          </cell>
          <cell r="BM217">
            <v>0</v>
          </cell>
          <cell r="BN217">
            <v>0</v>
          </cell>
          <cell r="BO217">
            <v>0</v>
          </cell>
          <cell r="BP217">
            <v>0</v>
          </cell>
          <cell r="BQ217">
            <v>0</v>
          </cell>
          <cell r="BR217">
            <v>0</v>
          </cell>
          <cell r="BS217">
            <v>0</v>
          </cell>
          <cell r="BT217">
            <v>0</v>
          </cell>
          <cell r="BU217">
            <v>0</v>
          </cell>
          <cell r="BV217">
            <v>0</v>
          </cell>
          <cell r="BW217">
            <v>0</v>
          </cell>
          <cell r="BX217">
            <v>0</v>
          </cell>
          <cell r="BY217">
            <v>0</v>
          </cell>
          <cell r="BZ217">
            <v>0</v>
          </cell>
          <cell r="CA217">
            <v>0</v>
          </cell>
          <cell r="CB217">
            <v>0</v>
          </cell>
          <cell r="CC217">
            <v>0</v>
          </cell>
          <cell r="CD217">
            <v>0</v>
          </cell>
          <cell r="CE217">
            <v>0</v>
          </cell>
          <cell r="CF217">
            <v>0</v>
          </cell>
          <cell r="CG217">
            <v>0</v>
          </cell>
          <cell r="CH217">
            <v>0</v>
          </cell>
          <cell r="CI217">
            <v>0</v>
          </cell>
          <cell r="CJ217">
            <v>0</v>
          </cell>
          <cell r="CK217">
            <v>0</v>
          </cell>
          <cell r="CL217">
            <v>0</v>
          </cell>
          <cell r="CM217">
            <v>0</v>
          </cell>
          <cell r="CN217">
            <v>0</v>
          </cell>
          <cell r="CO217">
            <v>0</v>
          </cell>
          <cell r="CP217">
            <v>0</v>
          </cell>
          <cell r="CQ217">
            <v>0</v>
          </cell>
          <cell r="CR217">
            <v>0</v>
          </cell>
          <cell r="CS217">
            <v>0</v>
          </cell>
          <cell r="CT217">
            <v>0</v>
          </cell>
          <cell r="CU217">
            <v>0</v>
          </cell>
          <cell r="CV217">
            <v>0</v>
          </cell>
          <cell r="CW217">
            <v>0</v>
          </cell>
          <cell r="CX217">
            <v>0</v>
          </cell>
          <cell r="CY217">
            <v>0</v>
          </cell>
          <cell r="CZ217">
            <v>0</v>
          </cell>
          <cell r="DA217">
            <v>0</v>
          </cell>
          <cell r="DB217">
            <v>0</v>
          </cell>
          <cell r="DC217">
            <v>0</v>
          </cell>
          <cell r="DD217">
            <v>0</v>
          </cell>
          <cell r="DE217">
            <v>0</v>
          </cell>
          <cell r="DF217">
            <v>0</v>
          </cell>
          <cell r="DG217">
            <v>0</v>
          </cell>
          <cell r="DH217">
            <v>0</v>
          </cell>
          <cell r="DI217">
            <v>0</v>
          </cell>
          <cell r="DJ217">
            <v>0</v>
          </cell>
          <cell r="DK217">
            <v>0</v>
          </cell>
          <cell r="DL217">
            <v>0</v>
          </cell>
          <cell r="DM217">
            <v>0</v>
          </cell>
          <cell r="DN217">
            <v>0</v>
          </cell>
          <cell r="DO217">
            <v>0</v>
          </cell>
          <cell r="DP217">
            <v>0</v>
          </cell>
          <cell r="DQ217">
            <v>0</v>
          </cell>
          <cell r="DR217">
            <v>0</v>
          </cell>
          <cell r="DS217">
            <v>0</v>
          </cell>
          <cell r="DT217">
            <v>0</v>
          </cell>
          <cell r="DU217">
            <v>0</v>
          </cell>
          <cell r="DV217">
            <v>0</v>
          </cell>
          <cell r="DW217">
            <v>0</v>
          </cell>
          <cell r="DX217">
            <v>0</v>
          </cell>
          <cell r="DY217">
            <v>0</v>
          </cell>
          <cell r="EA217">
            <v>0</v>
          </cell>
          <cell r="EB217">
            <v>0</v>
          </cell>
          <cell r="EC217">
            <v>0</v>
          </cell>
          <cell r="ED217">
            <v>0</v>
          </cell>
          <cell r="EE217">
            <v>0</v>
          </cell>
          <cell r="EF217">
            <v>0</v>
          </cell>
          <cell r="EG217">
            <v>0</v>
          </cell>
          <cell r="EH217">
            <v>0</v>
          </cell>
          <cell r="EI217">
            <v>0</v>
          </cell>
          <cell r="EJ217">
            <v>0</v>
          </cell>
          <cell r="EK217">
            <v>0</v>
          </cell>
          <cell r="EL217">
            <v>0</v>
          </cell>
          <cell r="EM217">
            <v>0</v>
          </cell>
          <cell r="EN217">
            <v>0</v>
          </cell>
          <cell r="EO217">
            <v>0</v>
          </cell>
          <cell r="EP217">
            <v>0</v>
          </cell>
          <cell r="EQ217">
            <v>0</v>
          </cell>
          <cell r="ER217">
            <v>0</v>
          </cell>
          <cell r="ES217">
            <v>0</v>
          </cell>
          <cell r="ET217">
            <v>0</v>
          </cell>
          <cell r="EU217">
            <v>0</v>
          </cell>
          <cell r="EV217">
            <v>0</v>
          </cell>
          <cell r="EW217">
            <v>0</v>
          </cell>
          <cell r="EX217">
            <v>0</v>
          </cell>
          <cell r="EY217">
            <v>0</v>
          </cell>
          <cell r="EZ217">
            <v>0</v>
          </cell>
          <cell r="FA217">
            <v>0</v>
          </cell>
          <cell r="FB217">
            <v>0</v>
          </cell>
          <cell r="FC217">
            <v>0</v>
          </cell>
          <cell r="FD217">
            <v>0</v>
          </cell>
          <cell r="FE217">
            <v>0</v>
          </cell>
          <cell r="FF217">
            <v>0</v>
          </cell>
          <cell r="FG217">
            <v>0</v>
          </cell>
          <cell r="FH217">
            <v>0</v>
          </cell>
          <cell r="FI217">
            <v>0</v>
          </cell>
          <cell r="FJ217">
            <v>0</v>
          </cell>
          <cell r="FK217">
            <v>0</v>
          </cell>
          <cell r="FL217">
            <v>0</v>
          </cell>
          <cell r="FM217">
            <v>0</v>
          </cell>
          <cell r="FN217">
            <v>0</v>
          </cell>
          <cell r="FO217">
            <v>0</v>
          </cell>
          <cell r="FP217">
            <v>0</v>
          </cell>
          <cell r="FQ217">
            <v>0</v>
          </cell>
          <cell r="FR217">
            <v>0</v>
          </cell>
          <cell r="FS217">
            <v>0</v>
          </cell>
          <cell r="FT217">
            <v>0</v>
          </cell>
          <cell r="FU217">
            <v>0</v>
          </cell>
          <cell r="FV217">
            <v>0</v>
          </cell>
          <cell r="FW217">
            <v>0</v>
          </cell>
          <cell r="FX217">
            <v>0</v>
          </cell>
          <cell r="FY217">
            <v>0</v>
          </cell>
          <cell r="FZ217">
            <v>0</v>
          </cell>
        </row>
        <row r="218">
          <cell r="A218" t="str">
            <v>I_VID_NRF_EPA_EUR_INTR_S29</v>
          </cell>
          <cell r="B218">
            <v>0</v>
          </cell>
          <cell r="C218">
            <v>0</v>
          </cell>
          <cell r="D218">
            <v>0</v>
          </cell>
          <cell r="E218">
            <v>0</v>
          </cell>
          <cell r="F218">
            <v>0</v>
          </cell>
          <cell r="G218">
            <v>0</v>
          </cell>
          <cell r="H218">
            <v>0</v>
          </cell>
          <cell r="I218">
            <v>0</v>
          </cell>
          <cell r="J218">
            <v>0</v>
          </cell>
          <cell r="K218">
            <v>0</v>
          </cell>
          <cell r="L218">
            <v>0</v>
          </cell>
          <cell r="M218">
            <v>0</v>
          </cell>
          <cell r="N218">
            <v>0</v>
          </cell>
          <cell r="O218">
            <v>0</v>
          </cell>
          <cell r="P218">
            <v>0</v>
          </cell>
          <cell r="Q218">
            <v>0</v>
          </cell>
          <cell r="R218">
            <v>0</v>
          </cell>
          <cell r="S218">
            <v>0</v>
          </cell>
          <cell r="T218">
            <v>0</v>
          </cell>
          <cell r="U218">
            <v>0</v>
          </cell>
          <cell r="V218">
            <v>0</v>
          </cell>
          <cell r="W218">
            <v>0</v>
          </cell>
          <cell r="X218">
            <v>0</v>
          </cell>
          <cell r="Y218">
            <v>0</v>
          </cell>
          <cell r="Z218">
            <v>0</v>
          </cell>
          <cell r="AA218">
            <v>0</v>
          </cell>
          <cell r="AB218">
            <v>0</v>
          </cell>
          <cell r="AC218">
            <v>0</v>
          </cell>
          <cell r="AD218">
            <v>0</v>
          </cell>
          <cell r="AE218">
            <v>0</v>
          </cell>
          <cell r="AF218">
            <v>0</v>
          </cell>
          <cell r="AG218">
            <v>0</v>
          </cell>
          <cell r="AH218">
            <v>0</v>
          </cell>
          <cell r="AI218">
            <v>0</v>
          </cell>
          <cell r="AJ218">
            <v>0</v>
          </cell>
          <cell r="AK218">
            <v>0</v>
          </cell>
          <cell r="AL218">
            <v>0</v>
          </cell>
          <cell r="AM218">
            <v>0</v>
          </cell>
          <cell r="AN218">
            <v>0</v>
          </cell>
          <cell r="AO218">
            <v>0</v>
          </cell>
          <cell r="AP218">
            <v>0</v>
          </cell>
          <cell r="AQ218">
            <v>0</v>
          </cell>
          <cell r="AR218">
            <v>0</v>
          </cell>
          <cell r="AS218">
            <v>0</v>
          </cell>
          <cell r="AT218">
            <v>0</v>
          </cell>
          <cell r="AU218">
            <v>0</v>
          </cell>
          <cell r="AV218">
            <v>0</v>
          </cell>
          <cell r="AW218">
            <v>0</v>
          </cell>
          <cell r="AX218">
            <v>0</v>
          </cell>
          <cell r="AY218">
            <v>0</v>
          </cell>
          <cell r="AZ218">
            <v>0</v>
          </cell>
          <cell r="BA218">
            <v>0</v>
          </cell>
          <cell r="BB218">
            <v>0</v>
          </cell>
          <cell r="BC218">
            <v>0</v>
          </cell>
          <cell r="BD218">
            <v>0</v>
          </cell>
          <cell r="BE218">
            <v>0</v>
          </cell>
          <cell r="BF218">
            <v>0</v>
          </cell>
          <cell r="BG218">
            <v>0</v>
          </cell>
          <cell r="BH218">
            <v>0</v>
          </cell>
          <cell r="BI218">
            <v>0</v>
          </cell>
          <cell r="BJ218">
            <v>0</v>
          </cell>
          <cell r="BK218">
            <v>0</v>
          </cell>
          <cell r="BL218">
            <v>0</v>
          </cell>
          <cell r="BM218">
            <v>0</v>
          </cell>
          <cell r="BN218">
            <v>0</v>
          </cell>
          <cell r="BO218">
            <v>0</v>
          </cell>
          <cell r="BP218">
            <v>0</v>
          </cell>
          <cell r="BQ218">
            <v>0</v>
          </cell>
          <cell r="BR218">
            <v>0</v>
          </cell>
          <cell r="BS218">
            <v>0</v>
          </cell>
          <cell r="BT218">
            <v>0</v>
          </cell>
          <cell r="BU218">
            <v>0</v>
          </cell>
          <cell r="BV218">
            <v>0</v>
          </cell>
          <cell r="BW218">
            <v>0</v>
          </cell>
          <cell r="BX218">
            <v>0</v>
          </cell>
          <cell r="BY218">
            <v>0</v>
          </cell>
          <cell r="BZ218">
            <v>0</v>
          </cell>
          <cell r="CA218">
            <v>0</v>
          </cell>
          <cell r="CB218">
            <v>0</v>
          </cell>
          <cell r="CC218">
            <v>0</v>
          </cell>
          <cell r="CD218">
            <v>0</v>
          </cell>
          <cell r="CE218">
            <v>0</v>
          </cell>
          <cell r="CF218">
            <v>0</v>
          </cell>
          <cell r="CG218">
            <v>0</v>
          </cell>
          <cell r="CH218">
            <v>0</v>
          </cell>
          <cell r="CI218">
            <v>0</v>
          </cell>
          <cell r="CJ218">
            <v>0</v>
          </cell>
          <cell r="CK218">
            <v>0</v>
          </cell>
          <cell r="CL218">
            <v>0</v>
          </cell>
          <cell r="CM218">
            <v>0</v>
          </cell>
          <cell r="CN218">
            <v>0</v>
          </cell>
          <cell r="CO218">
            <v>0</v>
          </cell>
          <cell r="CP218">
            <v>0</v>
          </cell>
          <cell r="CQ218">
            <v>0</v>
          </cell>
          <cell r="CR218">
            <v>0</v>
          </cell>
          <cell r="CS218">
            <v>0</v>
          </cell>
          <cell r="CT218">
            <v>0</v>
          </cell>
          <cell r="CU218">
            <v>0</v>
          </cell>
          <cell r="CV218">
            <v>0</v>
          </cell>
          <cell r="CW218">
            <v>0</v>
          </cell>
          <cell r="CX218">
            <v>0</v>
          </cell>
          <cell r="CY218">
            <v>0</v>
          </cell>
          <cell r="CZ218">
            <v>0</v>
          </cell>
          <cell r="DA218">
            <v>0</v>
          </cell>
          <cell r="DB218">
            <v>0</v>
          </cell>
          <cell r="DC218">
            <v>0</v>
          </cell>
          <cell r="DD218">
            <v>0</v>
          </cell>
          <cell r="DE218">
            <v>0</v>
          </cell>
          <cell r="DF218">
            <v>0</v>
          </cell>
          <cell r="DG218">
            <v>0</v>
          </cell>
          <cell r="DH218">
            <v>0</v>
          </cell>
          <cell r="DI218">
            <v>0</v>
          </cell>
          <cell r="DJ218">
            <v>0</v>
          </cell>
          <cell r="DK218">
            <v>0</v>
          </cell>
          <cell r="DL218">
            <v>0</v>
          </cell>
          <cell r="DM218">
            <v>0</v>
          </cell>
          <cell r="DN218">
            <v>0</v>
          </cell>
          <cell r="DO218">
            <v>0</v>
          </cell>
          <cell r="DP218">
            <v>0</v>
          </cell>
          <cell r="DQ218">
            <v>0</v>
          </cell>
          <cell r="DR218">
            <v>0</v>
          </cell>
          <cell r="DS218">
            <v>0</v>
          </cell>
          <cell r="DT218">
            <v>0</v>
          </cell>
          <cell r="DU218">
            <v>0</v>
          </cell>
          <cell r="DV218">
            <v>0</v>
          </cell>
          <cell r="DW218">
            <v>0</v>
          </cell>
          <cell r="DX218">
            <v>0</v>
          </cell>
          <cell r="DY218">
            <v>0</v>
          </cell>
          <cell r="EA218">
            <v>0</v>
          </cell>
          <cell r="EB218">
            <v>0</v>
          </cell>
          <cell r="EC218">
            <v>0</v>
          </cell>
          <cell r="ED218">
            <v>0</v>
          </cell>
          <cell r="EE218">
            <v>0</v>
          </cell>
          <cell r="EF218">
            <v>0</v>
          </cell>
          <cell r="EG218">
            <v>0</v>
          </cell>
          <cell r="EH218">
            <v>0</v>
          </cell>
          <cell r="EI218">
            <v>0</v>
          </cell>
          <cell r="EJ218">
            <v>0</v>
          </cell>
          <cell r="EK218">
            <v>0</v>
          </cell>
          <cell r="EL218">
            <v>0</v>
          </cell>
          <cell r="EM218">
            <v>0</v>
          </cell>
          <cell r="EN218">
            <v>0</v>
          </cell>
          <cell r="EO218">
            <v>0</v>
          </cell>
          <cell r="EP218">
            <v>0</v>
          </cell>
          <cell r="EQ218">
            <v>0</v>
          </cell>
          <cell r="ER218">
            <v>0</v>
          </cell>
          <cell r="ES218">
            <v>0</v>
          </cell>
          <cell r="ET218">
            <v>0</v>
          </cell>
          <cell r="EU218">
            <v>0</v>
          </cell>
          <cell r="EV218">
            <v>0</v>
          </cell>
          <cell r="EW218">
            <v>0</v>
          </cell>
          <cell r="EX218">
            <v>0</v>
          </cell>
          <cell r="EY218">
            <v>0</v>
          </cell>
          <cell r="EZ218">
            <v>0</v>
          </cell>
          <cell r="FA218">
            <v>0</v>
          </cell>
          <cell r="FB218">
            <v>0</v>
          </cell>
          <cell r="FC218">
            <v>0</v>
          </cell>
          <cell r="FD218">
            <v>0</v>
          </cell>
          <cell r="FE218">
            <v>0</v>
          </cell>
          <cell r="FF218">
            <v>0</v>
          </cell>
          <cell r="FG218">
            <v>0</v>
          </cell>
          <cell r="FH218">
            <v>0</v>
          </cell>
          <cell r="FI218">
            <v>0</v>
          </cell>
          <cell r="FJ218">
            <v>0</v>
          </cell>
          <cell r="FK218">
            <v>0</v>
          </cell>
          <cell r="FL218">
            <v>0</v>
          </cell>
          <cell r="FM218">
            <v>0</v>
          </cell>
          <cell r="FN218">
            <v>0</v>
          </cell>
          <cell r="FO218">
            <v>0</v>
          </cell>
          <cell r="FP218">
            <v>0</v>
          </cell>
          <cell r="FQ218">
            <v>0</v>
          </cell>
          <cell r="FR218">
            <v>0</v>
          </cell>
          <cell r="FS218">
            <v>0</v>
          </cell>
          <cell r="FT218">
            <v>0</v>
          </cell>
          <cell r="FU218">
            <v>0</v>
          </cell>
          <cell r="FV218">
            <v>0</v>
          </cell>
          <cell r="FW218">
            <v>0</v>
          </cell>
          <cell r="FX218">
            <v>0</v>
          </cell>
          <cell r="FY218">
            <v>0</v>
          </cell>
          <cell r="FZ218">
            <v>0</v>
          </cell>
        </row>
        <row r="219">
          <cell r="A219" t="str">
            <v>I_VID_NRF_RIS_COL_INTR_S30</v>
          </cell>
          <cell r="B219">
            <v>0</v>
          </cell>
          <cell r="C219">
            <v>0</v>
          </cell>
          <cell r="D219">
            <v>0</v>
          </cell>
          <cell r="E219">
            <v>0</v>
          </cell>
          <cell r="F219">
            <v>0</v>
          </cell>
          <cell r="G219">
            <v>0</v>
          </cell>
          <cell r="H219">
            <v>0</v>
          </cell>
          <cell r="I219">
            <v>0</v>
          </cell>
          <cell r="J219">
            <v>0</v>
          </cell>
          <cell r="K219">
            <v>0</v>
          </cell>
          <cell r="L219">
            <v>0</v>
          </cell>
          <cell r="M219">
            <v>0</v>
          </cell>
          <cell r="N219">
            <v>0</v>
          </cell>
          <cell r="O219">
            <v>0</v>
          </cell>
          <cell r="P219">
            <v>0</v>
          </cell>
          <cell r="Q219">
            <v>0</v>
          </cell>
          <cell r="R219">
            <v>0</v>
          </cell>
          <cell r="S219">
            <v>0</v>
          </cell>
          <cell r="T219">
            <v>0</v>
          </cell>
          <cell r="U219">
            <v>0</v>
          </cell>
          <cell r="V219">
            <v>0</v>
          </cell>
          <cell r="W219">
            <v>0</v>
          </cell>
          <cell r="X219">
            <v>0</v>
          </cell>
          <cell r="Y219">
            <v>0</v>
          </cell>
          <cell r="Z219">
            <v>0</v>
          </cell>
          <cell r="AA219">
            <v>0</v>
          </cell>
          <cell r="AB219">
            <v>0</v>
          </cell>
          <cell r="AC219">
            <v>0</v>
          </cell>
          <cell r="AD219">
            <v>0</v>
          </cell>
          <cell r="AE219">
            <v>0</v>
          </cell>
          <cell r="AF219">
            <v>0</v>
          </cell>
          <cell r="AG219">
            <v>0</v>
          </cell>
          <cell r="AH219">
            <v>0</v>
          </cell>
          <cell r="AI219">
            <v>0</v>
          </cell>
          <cell r="AJ219">
            <v>0</v>
          </cell>
          <cell r="AK219">
            <v>0</v>
          </cell>
          <cell r="AL219">
            <v>0</v>
          </cell>
          <cell r="AM219">
            <v>0</v>
          </cell>
          <cell r="AN219">
            <v>0</v>
          </cell>
          <cell r="AO219">
            <v>0</v>
          </cell>
          <cell r="AP219">
            <v>0</v>
          </cell>
          <cell r="AQ219">
            <v>0</v>
          </cell>
          <cell r="AR219">
            <v>0</v>
          </cell>
          <cell r="AS219">
            <v>0</v>
          </cell>
          <cell r="AT219">
            <v>0</v>
          </cell>
          <cell r="AU219">
            <v>0</v>
          </cell>
          <cell r="AV219">
            <v>0</v>
          </cell>
          <cell r="AW219">
            <v>0</v>
          </cell>
          <cell r="AX219">
            <v>0</v>
          </cell>
          <cell r="AY219">
            <v>0</v>
          </cell>
          <cell r="AZ219">
            <v>0</v>
          </cell>
          <cell r="BA219">
            <v>0</v>
          </cell>
          <cell r="BB219">
            <v>0</v>
          </cell>
          <cell r="BC219">
            <v>0</v>
          </cell>
          <cell r="BD219">
            <v>0</v>
          </cell>
          <cell r="BE219">
            <v>0</v>
          </cell>
          <cell r="BF219">
            <v>0</v>
          </cell>
          <cell r="BG219">
            <v>0</v>
          </cell>
          <cell r="BH219">
            <v>0</v>
          </cell>
          <cell r="BI219">
            <v>0</v>
          </cell>
          <cell r="BJ219">
            <v>0</v>
          </cell>
          <cell r="BK219">
            <v>0</v>
          </cell>
          <cell r="BL219">
            <v>0</v>
          </cell>
          <cell r="BM219">
            <v>0</v>
          </cell>
          <cell r="BN219">
            <v>0</v>
          </cell>
          <cell r="BO219">
            <v>0</v>
          </cell>
          <cell r="BP219">
            <v>0</v>
          </cell>
          <cell r="BQ219">
            <v>0</v>
          </cell>
          <cell r="BR219">
            <v>0</v>
          </cell>
          <cell r="BS219">
            <v>0</v>
          </cell>
          <cell r="BT219">
            <v>0</v>
          </cell>
          <cell r="BU219">
            <v>0</v>
          </cell>
          <cell r="BV219">
            <v>0</v>
          </cell>
          <cell r="BW219">
            <v>0</v>
          </cell>
          <cell r="BX219">
            <v>0</v>
          </cell>
          <cell r="BY219">
            <v>0</v>
          </cell>
          <cell r="BZ219">
            <v>0</v>
          </cell>
          <cell r="CA219">
            <v>0</v>
          </cell>
          <cell r="CB219">
            <v>0</v>
          </cell>
          <cell r="CC219">
            <v>0</v>
          </cell>
          <cell r="CD219">
            <v>0</v>
          </cell>
          <cell r="CE219">
            <v>0</v>
          </cell>
          <cell r="CF219">
            <v>0</v>
          </cell>
          <cell r="CG219">
            <v>0</v>
          </cell>
          <cell r="CH219">
            <v>0</v>
          </cell>
          <cell r="CI219">
            <v>0</v>
          </cell>
          <cell r="CJ219">
            <v>0</v>
          </cell>
          <cell r="CK219">
            <v>0</v>
          </cell>
          <cell r="CL219">
            <v>0</v>
          </cell>
          <cell r="CM219">
            <v>0</v>
          </cell>
          <cell r="CN219">
            <v>0</v>
          </cell>
          <cell r="CO219">
            <v>0</v>
          </cell>
          <cell r="CP219">
            <v>0</v>
          </cell>
          <cell r="CQ219">
            <v>0</v>
          </cell>
          <cell r="CR219">
            <v>0</v>
          </cell>
          <cell r="CS219">
            <v>0</v>
          </cell>
          <cell r="CT219">
            <v>0</v>
          </cell>
          <cell r="CU219">
            <v>0</v>
          </cell>
          <cell r="CV219">
            <v>0</v>
          </cell>
          <cell r="CW219">
            <v>0</v>
          </cell>
          <cell r="CX219">
            <v>0</v>
          </cell>
          <cell r="CY219">
            <v>0</v>
          </cell>
          <cell r="CZ219">
            <v>0</v>
          </cell>
          <cell r="DA219">
            <v>0</v>
          </cell>
          <cell r="DB219">
            <v>0</v>
          </cell>
          <cell r="DC219">
            <v>0</v>
          </cell>
          <cell r="DD219">
            <v>0</v>
          </cell>
          <cell r="DE219">
            <v>0</v>
          </cell>
          <cell r="DF219">
            <v>0</v>
          </cell>
          <cell r="DG219">
            <v>0</v>
          </cell>
          <cell r="DH219">
            <v>0</v>
          </cell>
          <cell r="DI219">
            <v>0</v>
          </cell>
          <cell r="DJ219">
            <v>0</v>
          </cell>
          <cell r="DK219">
            <v>0</v>
          </cell>
          <cell r="DL219">
            <v>0</v>
          </cell>
          <cell r="DM219">
            <v>0</v>
          </cell>
          <cell r="DN219">
            <v>0</v>
          </cell>
          <cell r="DO219">
            <v>0</v>
          </cell>
          <cell r="DP219">
            <v>0</v>
          </cell>
          <cell r="DQ219">
            <v>0</v>
          </cell>
          <cell r="DR219">
            <v>0</v>
          </cell>
          <cell r="DS219">
            <v>0</v>
          </cell>
          <cell r="DT219">
            <v>0</v>
          </cell>
          <cell r="DU219">
            <v>0</v>
          </cell>
          <cell r="DV219">
            <v>0</v>
          </cell>
          <cell r="DW219">
            <v>0</v>
          </cell>
          <cell r="DX219">
            <v>0</v>
          </cell>
          <cell r="DY219">
            <v>0</v>
          </cell>
          <cell r="EA219">
            <v>0</v>
          </cell>
          <cell r="EB219">
            <v>0</v>
          </cell>
          <cell r="EC219">
            <v>0</v>
          </cell>
          <cell r="ED219">
            <v>0</v>
          </cell>
          <cell r="EE219">
            <v>0</v>
          </cell>
          <cell r="EF219">
            <v>0</v>
          </cell>
          <cell r="EG219">
            <v>0</v>
          </cell>
          <cell r="EH219">
            <v>0</v>
          </cell>
          <cell r="EI219">
            <v>0</v>
          </cell>
          <cell r="EJ219">
            <v>0</v>
          </cell>
          <cell r="EK219">
            <v>0</v>
          </cell>
          <cell r="EL219">
            <v>0</v>
          </cell>
          <cell r="EM219">
            <v>0</v>
          </cell>
          <cell r="EN219">
            <v>0</v>
          </cell>
          <cell r="EO219">
            <v>0</v>
          </cell>
          <cell r="EP219">
            <v>0</v>
          </cell>
          <cell r="EQ219">
            <v>0</v>
          </cell>
          <cell r="ER219">
            <v>0</v>
          </cell>
          <cell r="ES219">
            <v>0</v>
          </cell>
          <cell r="ET219">
            <v>0</v>
          </cell>
          <cell r="EU219">
            <v>0</v>
          </cell>
          <cell r="EV219">
            <v>0</v>
          </cell>
          <cell r="EW219">
            <v>0</v>
          </cell>
          <cell r="EX219">
            <v>0</v>
          </cell>
          <cell r="EY219">
            <v>0</v>
          </cell>
          <cell r="EZ219">
            <v>0</v>
          </cell>
          <cell r="FA219">
            <v>0</v>
          </cell>
          <cell r="FB219">
            <v>0</v>
          </cell>
          <cell r="FC219">
            <v>0</v>
          </cell>
          <cell r="FD219">
            <v>0</v>
          </cell>
          <cell r="FE219">
            <v>0</v>
          </cell>
          <cell r="FF219">
            <v>0</v>
          </cell>
          <cell r="FG219">
            <v>0</v>
          </cell>
          <cell r="FH219">
            <v>0</v>
          </cell>
          <cell r="FI219">
            <v>0</v>
          </cell>
          <cell r="FJ219">
            <v>0</v>
          </cell>
          <cell r="FK219">
            <v>0</v>
          </cell>
          <cell r="FL219">
            <v>0</v>
          </cell>
          <cell r="FM219">
            <v>0</v>
          </cell>
          <cell r="FN219">
            <v>0</v>
          </cell>
          <cell r="FO219">
            <v>0</v>
          </cell>
          <cell r="FP219">
            <v>0</v>
          </cell>
          <cell r="FQ219">
            <v>0</v>
          </cell>
          <cell r="FR219">
            <v>0</v>
          </cell>
          <cell r="FS219">
            <v>0</v>
          </cell>
          <cell r="FT219">
            <v>0</v>
          </cell>
          <cell r="FU219">
            <v>0</v>
          </cell>
          <cell r="FV219">
            <v>0</v>
          </cell>
          <cell r="FW219">
            <v>0</v>
          </cell>
          <cell r="FX219">
            <v>0</v>
          </cell>
          <cell r="FY219">
            <v>0</v>
          </cell>
          <cell r="FZ219">
            <v>0</v>
          </cell>
        </row>
        <row r="220">
          <cell r="A220" t="str">
            <v>I_VID_NRF_RIS_IND_INTR_S31</v>
          </cell>
          <cell r="B220">
            <v>0</v>
          </cell>
          <cell r="C220">
            <v>0</v>
          </cell>
          <cell r="D220">
            <v>0</v>
          </cell>
          <cell r="E220">
            <v>0</v>
          </cell>
          <cell r="F220">
            <v>0</v>
          </cell>
          <cell r="G220">
            <v>0</v>
          </cell>
          <cell r="H220">
            <v>0</v>
          </cell>
          <cell r="I220">
            <v>0</v>
          </cell>
          <cell r="J220">
            <v>0</v>
          </cell>
          <cell r="K220">
            <v>0</v>
          </cell>
          <cell r="L220">
            <v>0</v>
          </cell>
          <cell r="M220">
            <v>0</v>
          </cell>
          <cell r="N220">
            <v>0</v>
          </cell>
          <cell r="O220">
            <v>0</v>
          </cell>
          <cell r="P220">
            <v>0</v>
          </cell>
          <cell r="Q220">
            <v>0</v>
          </cell>
          <cell r="R220">
            <v>0</v>
          </cell>
          <cell r="S220">
            <v>0</v>
          </cell>
          <cell r="T220">
            <v>0</v>
          </cell>
          <cell r="U220">
            <v>0</v>
          </cell>
          <cell r="V220">
            <v>0</v>
          </cell>
          <cell r="W220">
            <v>0</v>
          </cell>
          <cell r="X220">
            <v>0</v>
          </cell>
          <cell r="Y220">
            <v>0</v>
          </cell>
          <cell r="Z220">
            <v>0</v>
          </cell>
          <cell r="AA220">
            <v>0</v>
          </cell>
          <cell r="AB220">
            <v>0</v>
          </cell>
          <cell r="AC220">
            <v>0</v>
          </cell>
          <cell r="AD220">
            <v>0</v>
          </cell>
          <cell r="AE220">
            <v>0</v>
          </cell>
          <cell r="AF220">
            <v>0</v>
          </cell>
          <cell r="AG220">
            <v>0</v>
          </cell>
          <cell r="AH220">
            <v>0</v>
          </cell>
          <cell r="AI220">
            <v>0</v>
          </cell>
          <cell r="AJ220">
            <v>0</v>
          </cell>
          <cell r="AK220">
            <v>0</v>
          </cell>
          <cell r="AL220">
            <v>0</v>
          </cell>
          <cell r="AM220">
            <v>0</v>
          </cell>
          <cell r="AN220">
            <v>0</v>
          </cell>
          <cell r="AO220">
            <v>0</v>
          </cell>
          <cell r="AP220">
            <v>0</v>
          </cell>
          <cell r="AQ220">
            <v>0</v>
          </cell>
          <cell r="AR220">
            <v>0</v>
          </cell>
          <cell r="AS220">
            <v>0</v>
          </cell>
          <cell r="AT220">
            <v>0</v>
          </cell>
          <cell r="AU220">
            <v>0</v>
          </cell>
          <cell r="AV220">
            <v>0</v>
          </cell>
          <cell r="AW220">
            <v>0</v>
          </cell>
          <cell r="AX220">
            <v>0</v>
          </cell>
          <cell r="AY220">
            <v>0</v>
          </cell>
          <cell r="AZ220">
            <v>0</v>
          </cell>
          <cell r="BA220">
            <v>0</v>
          </cell>
          <cell r="BB220">
            <v>0</v>
          </cell>
          <cell r="BC220">
            <v>0</v>
          </cell>
          <cell r="BD220">
            <v>0</v>
          </cell>
          <cell r="BE220">
            <v>0</v>
          </cell>
          <cell r="BF220">
            <v>0</v>
          </cell>
          <cell r="BG220">
            <v>0</v>
          </cell>
          <cell r="BH220">
            <v>0</v>
          </cell>
          <cell r="BI220">
            <v>0</v>
          </cell>
          <cell r="BJ220">
            <v>0</v>
          </cell>
          <cell r="BK220">
            <v>0</v>
          </cell>
          <cell r="BL220">
            <v>0</v>
          </cell>
          <cell r="BM220">
            <v>0</v>
          </cell>
          <cell r="BN220">
            <v>0</v>
          </cell>
          <cell r="BO220">
            <v>0</v>
          </cell>
          <cell r="BP220">
            <v>0</v>
          </cell>
          <cell r="BQ220">
            <v>0</v>
          </cell>
          <cell r="BR220">
            <v>0</v>
          </cell>
          <cell r="BS220">
            <v>0</v>
          </cell>
          <cell r="BT220">
            <v>0</v>
          </cell>
          <cell r="BU220">
            <v>0</v>
          </cell>
          <cell r="BV220">
            <v>0</v>
          </cell>
          <cell r="BW220">
            <v>0</v>
          </cell>
          <cell r="BX220">
            <v>0</v>
          </cell>
          <cell r="BY220">
            <v>0</v>
          </cell>
          <cell r="BZ220">
            <v>0</v>
          </cell>
          <cell r="CA220">
            <v>0</v>
          </cell>
          <cell r="CB220">
            <v>0</v>
          </cell>
          <cell r="CC220">
            <v>0</v>
          </cell>
          <cell r="CD220">
            <v>0</v>
          </cell>
          <cell r="CE220">
            <v>0</v>
          </cell>
          <cell r="CF220">
            <v>0</v>
          </cell>
          <cell r="CG220">
            <v>0</v>
          </cell>
          <cell r="CH220">
            <v>0</v>
          </cell>
          <cell r="CI220">
            <v>0</v>
          </cell>
          <cell r="CJ220">
            <v>0</v>
          </cell>
          <cell r="CK220">
            <v>0</v>
          </cell>
          <cell r="CL220">
            <v>0</v>
          </cell>
          <cell r="CM220">
            <v>0</v>
          </cell>
          <cell r="CN220">
            <v>0</v>
          </cell>
          <cell r="CO220">
            <v>0</v>
          </cell>
          <cell r="CP220">
            <v>0</v>
          </cell>
          <cell r="CQ220">
            <v>0</v>
          </cell>
          <cell r="CR220">
            <v>0</v>
          </cell>
          <cell r="CS220">
            <v>0</v>
          </cell>
          <cell r="CT220">
            <v>0</v>
          </cell>
          <cell r="CU220">
            <v>0</v>
          </cell>
          <cell r="CV220">
            <v>0</v>
          </cell>
          <cell r="CW220">
            <v>0</v>
          </cell>
          <cell r="CX220">
            <v>0</v>
          </cell>
          <cell r="CY220">
            <v>0</v>
          </cell>
          <cell r="CZ220">
            <v>0</v>
          </cell>
          <cell r="DA220">
            <v>0</v>
          </cell>
          <cell r="DB220">
            <v>0</v>
          </cell>
          <cell r="DC220">
            <v>0</v>
          </cell>
          <cell r="DD220">
            <v>0</v>
          </cell>
          <cell r="DE220">
            <v>0</v>
          </cell>
          <cell r="DF220">
            <v>0</v>
          </cell>
          <cell r="DG220">
            <v>0</v>
          </cell>
          <cell r="DH220">
            <v>0</v>
          </cell>
          <cell r="DI220">
            <v>0</v>
          </cell>
          <cell r="DJ220">
            <v>0</v>
          </cell>
          <cell r="DK220">
            <v>0</v>
          </cell>
          <cell r="DL220">
            <v>0</v>
          </cell>
          <cell r="DM220">
            <v>0</v>
          </cell>
          <cell r="DN220">
            <v>0</v>
          </cell>
          <cell r="DO220">
            <v>0</v>
          </cell>
          <cell r="DP220">
            <v>0</v>
          </cell>
          <cell r="DQ220">
            <v>0</v>
          </cell>
          <cell r="DR220">
            <v>0</v>
          </cell>
          <cell r="DS220">
            <v>0</v>
          </cell>
          <cell r="DT220">
            <v>0</v>
          </cell>
          <cell r="DU220">
            <v>0</v>
          </cell>
          <cell r="DV220">
            <v>0</v>
          </cell>
          <cell r="DW220">
            <v>0</v>
          </cell>
          <cell r="DX220">
            <v>0</v>
          </cell>
          <cell r="DY220">
            <v>0</v>
          </cell>
          <cell r="EA220">
            <v>0</v>
          </cell>
          <cell r="EB220">
            <v>0</v>
          </cell>
          <cell r="EC220">
            <v>0</v>
          </cell>
          <cell r="ED220">
            <v>0</v>
          </cell>
          <cell r="EE220">
            <v>0</v>
          </cell>
          <cell r="EF220">
            <v>0</v>
          </cell>
          <cell r="EG220">
            <v>0</v>
          </cell>
          <cell r="EH220">
            <v>0</v>
          </cell>
          <cell r="EI220">
            <v>0</v>
          </cell>
          <cell r="EJ220">
            <v>0</v>
          </cell>
          <cell r="EK220">
            <v>0</v>
          </cell>
          <cell r="EL220">
            <v>0</v>
          </cell>
          <cell r="EM220">
            <v>0</v>
          </cell>
          <cell r="EN220">
            <v>0</v>
          </cell>
          <cell r="EO220">
            <v>0</v>
          </cell>
          <cell r="EP220">
            <v>0</v>
          </cell>
          <cell r="EQ220">
            <v>0</v>
          </cell>
          <cell r="ER220">
            <v>0</v>
          </cell>
          <cell r="ES220">
            <v>0</v>
          </cell>
          <cell r="ET220">
            <v>0</v>
          </cell>
          <cell r="EU220">
            <v>0</v>
          </cell>
          <cell r="EV220">
            <v>0</v>
          </cell>
          <cell r="EW220">
            <v>0</v>
          </cell>
          <cell r="EX220">
            <v>0</v>
          </cell>
          <cell r="EY220">
            <v>0</v>
          </cell>
          <cell r="EZ220">
            <v>0</v>
          </cell>
          <cell r="FA220">
            <v>0</v>
          </cell>
          <cell r="FB220">
            <v>0</v>
          </cell>
          <cell r="FC220">
            <v>0</v>
          </cell>
          <cell r="FD220">
            <v>0</v>
          </cell>
          <cell r="FE220">
            <v>0</v>
          </cell>
          <cell r="FF220">
            <v>0</v>
          </cell>
          <cell r="FG220">
            <v>0</v>
          </cell>
          <cell r="FH220">
            <v>0</v>
          </cell>
          <cell r="FI220">
            <v>0</v>
          </cell>
          <cell r="FJ220">
            <v>0</v>
          </cell>
          <cell r="FK220">
            <v>0</v>
          </cell>
          <cell r="FL220">
            <v>0</v>
          </cell>
          <cell r="FM220">
            <v>0</v>
          </cell>
          <cell r="FN220">
            <v>0</v>
          </cell>
          <cell r="FO220">
            <v>0</v>
          </cell>
          <cell r="FP220">
            <v>0</v>
          </cell>
          <cell r="FQ220">
            <v>0</v>
          </cell>
          <cell r="FR220">
            <v>0</v>
          </cell>
          <cell r="FS220">
            <v>0</v>
          </cell>
          <cell r="FT220">
            <v>0</v>
          </cell>
          <cell r="FU220">
            <v>0</v>
          </cell>
          <cell r="FV220">
            <v>0</v>
          </cell>
          <cell r="FW220">
            <v>0</v>
          </cell>
          <cell r="FX220">
            <v>0</v>
          </cell>
          <cell r="FY220">
            <v>0</v>
          </cell>
          <cell r="FZ220">
            <v>0</v>
          </cell>
        </row>
        <row r="221">
          <cell r="A221" t="str">
            <v>I_VID_NRF_RET_COL_INTR_S32</v>
          </cell>
          <cell r="B221">
            <v>0</v>
          </cell>
          <cell r="C221">
            <v>0</v>
          </cell>
          <cell r="D221">
            <v>0</v>
          </cell>
          <cell r="E221">
            <v>0</v>
          </cell>
          <cell r="F221">
            <v>0</v>
          </cell>
          <cell r="G221">
            <v>0</v>
          </cell>
          <cell r="H221">
            <v>0</v>
          </cell>
          <cell r="I221">
            <v>0</v>
          </cell>
          <cell r="J221">
            <v>0</v>
          </cell>
          <cell r="K221">
            <v>0</v>
          </cell>
          <cell r="L221">
            <v>0</v>
          </cell>
          <cell r="M221">
            <v>0</v>
          </cell>
          <cell r="N221">
            <v>0</v>
          </cell>
          <cell r="O221">
            <v>0</v>
          </cell>
          <cell r="P221">
            <v>0</v>
          </cell>
          <cell r="Q221">
            <v>0</v>
          </cell>
          <cell r="R221">
            <v>0</v>
          </cell>
          <cell r="S221">
            <v>0</v>
          </cell>
          <cell r="T221">
            <v>0</v>
          </cell>
          <cell r="U221">
            <v>0</v>
          </cell>
          <cell r="V221">
            <v>0</v>
          </cell>
          <cell r="W221">
            <v>0</v>
          </cell>
          <cell r="X221">
            <v>0</v>
          </cell>
          <cell r="Y221">
            <v>0</v>
          </cell>
          <cell r="Z221">
            <v>0</v>
          </cell>
          <cell r="AA221">
            <v>0</v>
          </cell>
          <cell r="AB221">
            <v>0</v>
          </cell>
          <cell r="AC221">
            <v>0</v>
          </cell>
          <cell r="AD221">
            <v>0</v>
          </cell>
          <cell r="AE221">
            <v>0</v>
          </cell>
          <cell r="AF221">
            <v>0</v>
          </cell>
          <cell r="AG221">
            <v>0</v>
          </cell>
          <cell r="AH221">
            <v>0</v>
          </cell>
          <cell r="AI221">
            <v>0</v>
          </cell>
          <cell r="AJ221">
            <v>0</v>
          </cell>
          <cell r="AK221">
            <v>0</v>
          </cell>
          <cell r="AL221">
            <v>0</v>
          </cell>
          <cell r="AM221">
            <v>0</v>
          </cell>
          <cell r="AN221">
            <v>0</v>
          </cell>
          <cell r="AO221">
            <v>0</v>
          </cell>
          <cell r="AP221">
            <v>0</v>
          </cell>
          <cell r="AQ221">
            <v>0</v>
          </cell>
          <cell r="AR221">
            <v>0</v>
          </cell>
          <cell r="AS221">
            <v>0</v>
          </cell>
          <cell r="AT221">
            <v>0</v>
          </cell>
          <cell r="AU221">
            <v>0</v>
          </cell>
          <cell r="AV221">
            <v>0</v>
          </cell>
          <cell r="AW221">
            <v>0</v>
          </cell>
          <cell r="AX221">
            <v>0</v>
          </cell>
          <cell r="AY221">
            <v>0</v>
          </cell>
          <cell r="AZ221">
            <v>0</v>
          </cell>
          <cell r="BA221">
            <v>0</v>
          </cell>
          <cell r="BB221">
            <v>0</v>
          </cell>
          <cell r="BC221">
            <v>0</v>
          </cell>
          <cell r="BD221">
            <v>0</v>
          </cell>
          <cell r="BE221">
            <v>0</v>
          </cell>
          <cell r="BF221">
            <v>0</v>
          </cell>
          <cell r="BG221">
            <v>0</v>
          </cell>
          <cell r="BH221">
            <v>0</v>
          </cell>
          <cell r="BI221">
            <v>0</v>
          </cell>
          <cell r="BJ221">
            <v>0</v>
          </cell>
          <cell r="BK221">
            <v>0</v>
          </cell>
          <cell r="BL221">
            <v>0</v>
          </cell>
          <cell r="BM221">
            <v>0</v>
          </cell>
          <cell r="BN221">
            <v>0</v>
          </cell>
          <cell r="BO221">
            <v>0</v>
          </cell>
          <cell r="BP221">
            <v>0</v>
          </cell>
          <cell r="BQ221">
            <v>0</v>
          </cell>
          <cell r="BR221">
            <v>0</v>
          </cell>
          <cell r="BS221">
            <v>0</v>
          </cell>
          <cell r="BT221">
            <v>0</v>
          </cell>
          <cell r="BU221">
            <v>0</v>
          </cell>
          <cell r="BV221">
            <v>0</v>
          </cell>
          <cell r="BW221">
            <v>0</v>
          </cell>
          <cell r="BX221">
            <v>0</v>
          </cell>
          <cell r="BY221">
            <v>0</v>
          </cell>
          <cell r="BZ221">
            <v>0</v>
          </cell>
          <cell r="CA221">
            <v>0</v>
          </cell>
          <cell r="CB221">
            <v>0</v>
          </cell>
          <cell r="CC221">
            <v>0</v>
          </cell>
          <cell r="CD221">
            <v>0</v>
          </cell>
          <cell r="CE221">
            <v>0</v>
          </cell>
          <cell r="CF221">
            <v>0</v>
          </cell>
          <cell r="CG221">
            <v>0</v>
          </cell>
          <cell r="CH221">
            <v>0</v>
          </cell>
          <cell r="CI221">
            <v>0</v>
          </cell>
          <cell r="CJ221">
            <v>0</v>
          </cell>
          <cell r="CK221">
            <v>0</v>
          </cell>
          <cell r="CL221">
            <v>0</v>
          </cell>
          <cell r="CM221">
            <v>0</v>
          </cell>
          <cell r="CN221">
            <v>0</v>
          </cell>
          <cell r="CO221">
            <v>0</v>
          </cell>
          <cell r="CP221">
            <v>0</v>
          </cell>
          <cell r="CQ221">
            <v>0</v>
          </cell>
          <cell r="CR221">
            <v>0</v>
          </cell>
          <cell r="CS221">
            <v>0</v>
          </cell>
          <cell r="CT221">
            <v>0</v>
          </cell>
          <cell r="CU221">
            <v>0</v>
          </cell>
          <cell r="CV221">
            <v>0</v>
          </cell>
          <cell r="CW221">
            <v>0</v>
          </cell>
          <cell r="CX221">
            <v>0</v>
          </cell>
          <cell r="CY221">
            <v>0</v>
          </cell>
          <cell r="CZ221">
            <v>0</v>
          </cell>
          <cell r="DA221">
            <v>0</v>
          </cell>
          <cell r="DB221">
            <v>0</v>
          </cell>
          <cell r="DC221">
            <v>0</v>
          </cell>
          <cell r="DD221">
            <v>0</v>
          </cell>
          <cell r="DE221">
            <v>0</v>
          </cell>
          <cell r="DF221">
            <v>0</v>
          </cell>
          <cell r="DG221">
            <v>0</v>
          </cell>
          <cell r="DH221">
            <v>0</v>
          </cell>
          <cell r="DI221">
            <v>0</v>
          </cell>
          <cell r="DJ221">
            <v>0</v>
          </cell>
          <cell r="DK221">
            <v>0</v>
          </cell>
          <cell r="DL221">
            <v>0</v>
          </cell>
          <cell r="DM221">
            <v>0</v>
          </cell>
          <cell r="DN221">
            <v>0</v>
          </cell>
          <cell r="DO221">
            <v>0</v>
          </cell>
          <cell r="DP221">
            <v>0</v>
          </cell>
          <cell r="DQ221">
            <v>0</v>
          </cell>
          <cell r="DR221">
            <v>0</v>
          </cell>
          <cell r="DS221">
            <v>0</v>
          </cell>
          <cell r="DT221">
            <v>0</v>
          </cell>
          <cell r="DU221">
            <v>0</v>
          </cell>
          <cell r="DV221">
            <v>0</v>
          </cell>
          <cell r="DW221">
            <v>0</v>
          </cell>
          <cell r="DX221">
            <v>0</v>
          </cell>
          <cell r="DY221">
            <v>0</v>
          </cell>
          <cell r="EA221">
            <v>0</v>
          </cell>
          <cell r="EB221">
            <v>0</v>
          </cell>
          <cell r="EC221">
            <v>0</v>
          </cell>
          <cell r="ED221">
            <v>0</v>
          </cell>
          <cell r="EE221">
            <v>0</v>
          </cell>
          <cell r="EF221">
            <v>0</v>
          </cell>
          <cell r="EG221">
            <v>0</v>
          </cell>
          <cell r="EH221">
            <v>0</v>
          </cell>
          <cell r="EI221">
            <v>0</v>
          </cell>
          <cell r="EJ221">
            <v>0</v>
          </cell>
          <cell r="EK221">
            <v>0</v>
          </cell>
          <cell r="EL221">
            <v>0</v>
          </cell>
          <cell r="EM221">
            <v>0</v>
          </cell>
          <cell r="EN221">
            <v>0</v>
          </cell>
          <cell r="EO221">
            <v>0</v>
          </cell>
          <cell r="EP221">
            <v>0</v>
          </cell>
          <cell r="EQ221">
            <v>0</v>
          </cell>
          <cell r="ER221">
            <v>0</v>
          </cell>
          <cell r="ES221">
            <v>0</v>
          </cell>
          <cell r="ET221">
            <v>0</v>
          </cell>
          <cell r="EU221">
            <v>0</v>
          </cell>
          <cell r="EV221">
            <v>0</v>
          </cell>
          <cell r="EW221">
            <v>0</v>
          </cell>
          <cell r="EX221">
            <v>0</v>
          </cell>
          <cell r="EY221">
            <v>0</v>
          </cell>
          <cell r="EZ221">
            <v>0</v>
          </cell>
          <cell r="FA221">
            <v>0</v>
          </cell>
          <cell r="FB221">
            <v>0</v>
          </cell>
          <cell r="FC221">
            <v>0</v>
          </cell>
          <cell r="FD221">
            <v>0</v>
          </cell>
          <cell r="FE221">
            <v>0</v>
          </cell>
          <cell r="FF221">
            <v>0</v>
          </cell>
          <cell r="FG221">
            <v>0</v>
          </cell>
          <cell r="FH221">
            <v>0</v>
          </cell>
          <cell r="FI221">
            <v>0</v>
          </cell>
          <cell r="FJ221">
            <v>0</v>
          </cell>
          <cell r="FK221">
            <v>0</v>
          </cell>
          <cell r="FL221">
            <v>0</v>
          </cell>
          <cell r="FM221">
            <v>0</v>
          </cell>
          <cell r="FN221">
            <v>0</v>
          </cell>
          <cell r="FO221">
            <v>0</v>
          </cell>
          <cell r="FP221">
            <v>0</v>
          </cell>
          <cell r="FQ221">
            <v>0</v>
          </cell>
          <cell r="FR221">
            <v>0</v>
          </cell>
          <cell r="FS221">
            <v>0</v>
          </cell>
          <cell r="FT221">
            <v>0</v>
          </cell>
          <cell r="FU221">
            <v>0</v>
          </cell>
          <cell r="FV221">
            <v>0</v>
          </cell>
          <cell r="FW221">
            <v>0</v>
          </cell>
          <cell r="FX221">
            <v>0</v>
          </cell>
          <cell r="FY221">
            <v>0</v>
          </cell>
          <cell r="FZ221">
            <v>0</v>
          </cell>
        </row>
        <row r="222">
          <cell r="A222" t="str">
            <v>I_VID_NRF_RET_IND_INTR_S33</v>
          </cell>
          <cell r="B222">
            <v>0</v>
          </cell>
          <cell r="C222">
            <v>0</v>
          </cell>
          <cell r="D222">
            <v>0</v>
          </cell>
          <cell r="E222">
            <v>0</v>
          </cell>
          <cell r="F222">
            <v>0</v>
          </cell>
          <cell r="G222">
            <v>0</v>
          </cell>
          <cell r="H222">
            <v>0</v>
          </cell>
          <cell r="I222">
            <v>0</v>
          </cell>
          <cell r="J222">
            <v>0</v>
          </cell>
          <cell r="K222">
            <v>0</v>
          </cell>
          <cell r="L222">
            <v>0</v>
          </cell>
          <cell r="M222">
            <v>0</v>
          </cell>
          <cell r="N222">
            <v>0</v>
          </cell>
          <cell r="O222">
            <v>0</v>
          </cell>
          <cell r="P222">
            <v>0</v>
          </cell>
          <cell r="Q222">
            <v>0</v>
          </cell>
          <cell r="R222">
            <v>0</v>
          </cell>
          <cell r="S222">
            <v>0</v>
          </cell>
          <cell r="T222">
            <v>0</v>
          </cell>
          <cell r="U222">
            <v>0</v>
          </cell>
          <cell r="V222">
            <v>0</v>
          </cell>
          <cell r="W222">
            <v>0</v>
          </cell>
          <cell r="X222">
            <v>0</v>
          </cell>
          <cell r="Y222">
            <v>0</v>
          </cell>
          <cell r="Z222">
            <v>0</v>
          </cell>
          <cell r="AA222">
            <v>0</v>
          </cell>
          <cell r="AB222">
            <v>0</v>
          </cell>
          <cell r="AC222">
            <v>0</v>
          </cell>
          <cell r="AD222">
            <v>0</v>
          </cell>
          <cell r="AE222">
            <v>0</v>
          </cell>
          <cell r="AF222">
            <v>0</v>
          </cell>
          <cell r="AG222">
            <v>0</v>
          </cell>
          <cell r="AH222">
            <v>0</v>
          </cell>
          <cell r="AI222">
            <v>0</v>
          </cell>
          <cell r="AJ222">
            <v>0</v>
          </cell>
          <cell r="AK222">
            <v>0</v>
          </cell>
          <cell r="AL222">
            <v>0</v>
          </cell>
          <cell r="AM222">
            <v>0</v>
          </cell>
          <cell r="AN222">
            <v>0</v>
          </cell>
          <cell r="AO222">
            <v>0</v>
          </cell>
          <cell r="AP222">
            <v>0</v>
          </cell>
          <cell r="AQ222">
            <v>0</v>
          </cell>
          <cell r="AR222">
            <v>0</v>
          </cell>
          <cell r="AS222">
            <v>0</v>
          </cell>
          <cell r="AT222">
            <v>0</v>
          </cell>
          <cell r="AU222">
            <v>0</v>
          </cell>
          <cell r="AV222">
            <v>0</v>
          </cell>
          <cell r="AW222">
            <v>0</v>
          </cell>
          <cell r="AX222">
            <v>0</v>
          </cell>
          <cell r="AY222">
            <v>0</v>
          </cell>
          <cell r="AZ222">
            <v>0</v>
          </cell>
          <cell r="BA222">
            <v>0</v>
          </cell>
          <cell r="BB222">
            <v>0</v>
          </cell>
          <cell r="BC222">
            <v>0</v>
          </cell>
          <cell r="BD222">
            <v>0</v>
          </cell>
          <cell r="BE222">
            <v>0</v>
          </cell>
          <cell r="BF222">
            <v>0</v>
          </cell>
          <cell r="BG222">
            <v>0</v>
          </cell>
          <cell r="BH222">
            <v>0</v>
          </cell>
          <cell r="BI222">
            <v>0</v>
          </cell>
          <cell r="BJ222">
            <v>0</v>
          </cell>
          <cell r="BK222">
            <v>0</v>
          </cell>
          <cell r="BL222">
            <v>0</v>
          </cell>
          <cell r="BM222">
            <v>0</v>
          </cell>
          <cell r="BN222">
            <v>0</v>
          </cell>
          <cell r="BO222">
            <v>0</v>
          </cell>
          <cell r="BP222">
            <v>0</v>
          </cell>
          <cell r="BQ222">
            <v>0</v>
          </cell>
          <cell r="BR222">
            <v>0</v>
          </cell>
          <cell r="BS222">
            <v>0</v>
          </cell>
          <cell r="BT222">
            <v>0</v>
          </cell>
          <cell r="BU222">
            <v>0</v>
          </cell>
          <cell r="BV222">
            <v>0</v>
          </cell>
          <cell r="BW222">
            <v>0</v>
          </cell>
          <cell r="BX222">
            <v>0</v>
          </cell>
          <cell r="BY222">
            <v>0</v>
          </cell>
          <cell r="BZ222">
            <v>0</v>
          </cell>
          <cell r="CA222">
            <v>0</v>
          </cell>
          <cell r="CB222">
            <v>0</v>
          </cell>
          <cell r="CC222">
            <v>0</v>
          </cell>
          <cell r="CD222">
            <v>0</v>
          </cell>
          <cell r="CE222">
            <v>0</v>
          </cell>
          <cell r="CF222">
            <v>0</v>
          </cell>
          <cell r="CG222">
            <v>0</v>
          </cell>
          <cell r="CH222">
            <v>0</v>
          </cell>
          <cell r="CI222">
            <v>0</v>
          </cell>
          <cell r="CJ222">
            <v>0</v>
          </cell>
          <cell r="CK222">
            <v>0</v>
          </cell>
          <cell r="CL222">
            <v>0</v>
          </cell>
          <cell r="CM222">
            <v>0</v>
          </cell>
          <cell r="CN222">
            <v>0</v>
          </cell>
          <cell r="CO222">
            <v>0</v>
          </cell>
          <cell r="CP222">
            <v>0</v>
          </cell>
          <cell r="CQ222">
            <v>0</v>
          </cell>
          <cell r="CR222">
            <v>0</v>
          </cell>
          <cell r="CS222">
            <v>0</v>
          </cell>
          <cell r="CT222">
            <v>0</v>
          </cell>
          <cell r="CU222">
            <v>0</v>
          </cell>
          <cell r="CV222">
            <v>0</v>
          </cell>
          <cell r="CW222">
            <v>0</v>
          </cell>
          <cell r="CX222">
            <v>0</v>
          </cell>
          <cell r="CY222">
            <v>0</v>
          </cell>
          <cell r="CZ222">
            <v>0</v>
          </cell>
          <cell r="DA222">
            <v>0</v>
          </cell>
          <cell r="DB222">
            <v>0</v>
          </cell>
          <cell r="DC222">
            <v>0</v>
          </cell>
          <cell r="DD222">
            <v>0</v>
          </cell>
          <cell r="DE222">
            <v>0</v>
          </cell>
          <cell r="DF222">
            <v>0</v>
          </cell>
          <cell r="DG222">
            <v>0</v>
          </cell>
          <cell r="DH222">
            <v>0</v>
          </cell>
          <cell r="DI222">
            <v>0</v>
          </cell>
          <cell r="DJ222">
            <v>0</v>
          </cell>
          <cell r="DK222">
            <v>0</v>
          </cell>
          <cell r="DL222">
            <v>0</v>
          </cell>
          <cell r="DM222">
            <v>0</v>
          </cell>
          <cell r="DN222">
            <v>0</v>
          </cell>
          <cell r="DO222">
            <v>0</v>
          </cell>
          <cell r="DP222">
            <v>0</v>
          </cell>
          <cell r="DQ222">
            <v>0</v>
          </cell>
          <cell r="DR222">
            <v>0</v>
          </cell>
          <cell r="DS222">
            <v>0</v>
          </cell>
          <cell r="DT222">
            <v>0</v>
          </cell>
          <cell r="DU222">
            <v>0</v>
          </cell>
          <cell r="DV222">
            <v>0</v>
          </cell>
          <cell r="DW222">
            <v>0</v>
          </cell>
          <cell r="DX222">
            <v>0</v>
          </cell>
          <cell r="DY222">
            <v>0</v>
          </cell>
          <cell r="EA222">
            <v>0</v>
          </cell>
          <cell r="EB222">
            <v>0</v>
          </cell>
          <cell r="EC222">
            <v>0</v>
          </cell>
          <cell r="ED222">
            <v>0</v>
          </cell>
          <cell r="EE222">
            <v>0</v>
          </cell>
          <cell r="EF222">
            <v>0</v>
          </cell>
          <cell r="EG222">
            <v>0</v>
          </cell>
          <cell r="EH222">
            <v>0</v>
          </cell>
          <cell r="EI222">
            <v>0</v>
          </cell>
          <cell r="EJ222">
            <v>0</v>
          </cell>
          <cell r="EK222">
            <v>0</v>
          </cell>
          <cell r="EL222">
            <v>0</v>
          </cell>
          <cell r="EM222">
            <v>0</v>
          </cell>
          <cell r="EN222">
            <v>0</v>
          </cell>
          <cell r="EO222">
            <v>0</v>
          </cell>
          <cell r="EP222">
            <v>0</v>
          </cell>
          <cell r="EQ222">
            <v>0</v>
          </cell>
          <cell r="ER222">
            <v>0</v>
          </cell>
          <cell r="ES222">
            <v>0</v>
          </cell>
          <cell r="ET222">
            <v>0</v>
          </cell>
          <cell r="EU222">
            <v>0</v>
          </cell>
          <cell r="EV222">
            <v>0</v>
          </cell>
          <cell r="EW222">
            <v>0</v>
          </cell>
          <cell r="EX222">
            <v>0</v>
          </cell>
          <cell r="EY222">
            <v>0</v>
          </cell>
          <cell r="EZ222">
            <v>0</v>
          </cell>
          <cell r="FA222">
            <v>0</v>
          </cell>
          <cell r="FB222">
            <v>0</v>
          </cell>
          <cell r="FC222">
            <v>0</v>
          </cell>
          <cell r="FD222">
            <v>0</v>
          </cell>
          <cell r="FE222">
            <v>0</v>
          </cell>
          <cell r="FF222">
            <v>0</v>
          </cell>
          <cell r="FG222">
            <v>0</v>
          </cell>
          <cell r="FH222">
            <v>0</v>
          </cell>
          <cell r="FI222">
            <v>0</v>
          </cell>
          <cell r="FJ222">
            <v>0</v>
          </cell>
          <cell r="FK222">
            <v>0</v>
          </cell>
          <cell r="FL222">
            <v>0</v>
          </cell>
          <cell r="FM222">
            <v>0</v>
          </cell>
          <cell r="FN222">
            <v>0</v>
          </cell>
          <cell r="FO222">
            <v>0</v>
          </cell>
          <cell r="FP222">
            <v>0</v>
          </cell>
          <cell r="FQ222">
            <v>0</v>
          </cell>
          <cell r="FR222">
            <v>0</v>
          </cell>
          <cell r="FS222">
            <v>0</v>
          </cell>
          <cell r="FT222">
            <v>0</v>
          </cell>
          <cell r="FU222">
            <v>0</v>
          </cell>
          <cell r="FV222">
            <v>0</v>
          </cell>
          <cell r="FW222">
            <v>0</v>
          </cell>
          <cell r="FX222">
            <v>0</v>
          </cell>
          <cell r="FY222">
            <v>0</v>
          </cell>
          <cell r="FZ222">
            <v>0</v>
          </cell>
        </row>
        <row r="223">
          <cell r="A223" t="str">
            <v>I_VIT_NRF_CPT_PRP_INTR_I01</v>
          </cell>
          <cell r="B223">
            <v>0</v>
          </cell>
          <cell r="C223">
            <v>0</v>
          </cell>
          <cell r="D223">
            <v>0</v>
          </cell>
          <cell r="E223">
            <v>0</v>
          </cell>
          <cell r="F223">
            <v>0</v>
          </cell>
          <cell r="G223">
            <v>0</v>
          </cell>
          <cell r="H223">
            <v>0</v>
          </cell>
          <cell r="I223">
            <v>0</v>
          </cell>
          <cell r="J223">
            <v>0</v>
          </cell>
          <cell r="K223">
            <v>0</v>
          </cell>
          <cell r="L223">
            <v>0</v>
          </cell>
          <cell r="M223">
            <v>0</v>
          </cell>
          <cell r="N223">
            <v>0</v>
          </cell>
          <cell r="O223">
            <v>0</v>
          </cell>
          <cell r="P223">
            <v>0</v>
          </cell>
          <cell r="Q223">
            <v>0</v>
          </cell>
          <cell r="R223">
            <v>0</v>
          </cell>
          <cell r="S223">
            <v>0</v>
          </cell>
          <cell r="T223">
            <v>0</v>
          </cell>
          <cell r="U223">
            <v>0</v>
          </cell>
          <cell r="V223">
            <v>0</v>
          </cell>
          <cell r="W223">
            <v>0</v>
          </cell>
          <cell r="X223">
            <v>0</v>
          </cell>
          <cell r="Y223">
            <v>0</v>
          </cell>
          <cell r="Z223">
            <v>0</v>
          </cell>
          <cell r="AA223">
            <v>0</v>
          </cell>
          <cell r="AB223">
            <v>0</v>
          </cell>
          <cell r="AC223">
            <v>0</v>
          </cell>
          <cell r="AD223">
            <v>0</v>
          </cell>
          <cell r="AE223">
            <v>0</v>
          </cell>
          <cell r="AF223">
            <v>0</v>
          </cell>
          <cell r="AG223">
            <v>0</v>
          </cell>
          <cell r="AH223">
            <v>0</v>
          </cell>
          <cell r="AI223">
            <v>0</v>
          </cell>
          <cell r="AJ223">
            <v>0</v>
          </cell>
          <cell r="AK223">
            <v>0</v>
          </cell>
          <cell r="AL223">
            <v>0</v>
          </cell>
          <cell r="AM223">
            <v>0</v>
          </cell>
          <cell r="AN223">
            <v>0</v>
          </cell>
          <cell r="AO223">
            <v>0</v>
          </cell>
          <cell r="AP223">
            <v>0</v>
          </cell>
          <cell r="AQ223">
            <v>0</v>
          </cell>
          <cell r="AR223">
            <v>0</v>
          </cell>
          <cell r="AS223">
            <v>0</v>
          </cell>
          <cell r="AT223">
            <v>0</v>
          </cell>
          <cell r="AU223">
            <v>0</v>
          </cell>
          <cell r="AV223">
            <v>0</v>
          </cell>
          <cell r="AW223">
            <v>0</v>
          </cell>
          <cell r="AX223">
            <v>0</v>
          </cell>
          <cell r="AY223">
            <v>0</v>
          </cell>
          <cell r="AZ223">
            <v>0</v>
          </cell>
          <cell r="BA223">
            <v>0</v>
          </cell>
          <cell r="BB223">
            <v>0</v>
          </cell>
          <cell r="BC223">
            <v>0</v>
          </cell>
          <cell r="BD223">
            <v>0</v>
          </cell>
          <cell r="BE223">
            <v>0</v>
          </cell>
          <cell r="BF223">
            <v>0</v>
          </cell>
          <cell r="BG223">
            <v>0</v>
          </cell>
          <cell r="BH223">
            <v>0</v>
          </cell>
          <cell r="BI223">
            <v>0</v>
          </cell>
          <cell r="BJ223">
            <v>0</v>
          </cell>
          <cell r="BK223">
            <v>0</v>
          </cell>
          <cell r="BL223">
            <v>0</v>
          </cell>
          <cell r="BM223">
            <v>0</v>
          </cell>
          <cell r="BN223">
            <v>0</v>
          </cell>
          <cell r="BO223">
            <v>0</v>
          </cell>
          <cell r="BP223">
            <v>0</v>
          </cell>
          <cell r="BQ223">
            <v>0</v>
          </cell>
          <cell r="BR223">
            <v>0</v>
          </cell>
          <cell r="BS223">
            <v>0</v>
          </cell>
          <cell r="BT223">
            <v>0</v>
          </cell>
          <cell r="BU223">
            <v>0</v>
          </cell>
          <cell r="BV223">
            <v>0</v>
          </cell>
          <cell r="BW223">
            <v>0</v>
          </cell>
          <cell r="BX223">
            <v>0</v>
          </cell>
          <cell r="BY223">
            <v>0</v>
          </cell>
          <cell r="BZ223">
            <v>0</v>
          </cell>
          <cell r="CA223">
            <v>0</v>
          </cell>
          <cell r="CB223">
            <v>0</v>
          </cell>
          <cell r="CC223">
            <v>0</v>
          </cell>
          <cell r="CD223">
            <v>0</v>
          </cell>
          <cell r="CE223">
            <v>0</v>
          </cell>
          <cell r="CF223">
            <v>0</v>
          </cell>
          <cell r="CG223">
            <v>0</v>
          </cell>
          <cell r="CH223">
            <v>0</v>
          </cell>
          <cell r="CI223">
            <v>0</v>
          </cell>
          <cell r="CJ223">
            <v>0</v>
          </cell>
          <cell r="CK223">
            <v>0</v>
          </cell>
          <cell r="CL223">
            <v>0</v>
          </cell>
          <cell r="CM223">
            <v>0</v>
          </cell>
          <cell r="CN223">
            <v>0</v>
          </cell>
          <cell r="CO223">
            <v>0</v>
          </cell>
          <cell r="CP223">
            <v>0</v>
          </cell>
          <cell r="CQ223">
            <v>0</v>
          </cell>
          <cell r="CR223">
            <v>0</v>
          </cell>
          <cell r="CS223">
            <v>0</v>
          </cell>
          <cell r="CT223">
            <v>0</v>
          </cell>
          <cell r="CU223">
            <v>0</v>
          </cell>
          <cell r="CV223">
            <v>0</v>
          </cell>
          <cell r="CW223">
            <v>0</v>
          </cell>
          <cell r="CX223">
            <v>0</v>
          </cell>
          <cell r="CY223">
            <v>0</v>
          </cell>
          <cell r="CZ223">
            <v>0</v>
          </cell>
          <cell r="DA223">
            <v>0</v>
          </cell>
          <cell r="DB223">
            <v>0</v>
          </cell>
          <cell r="DC223">
            <v>0</v>
          </cell>
          <cell r="DD223">
            <v>0</v>
          </cell>
          <cell r="DE223">
            <v>0</v>
          </cell>
          <cell r="DF223">
            <v>0</v>
          </cell>
          <cell r="DG223">
            <v>0</v>
          </cell>
          <cell r="DH223">
            <v>0</v>
          </cell>
          <cell r="DI223">
            <v>0</v>
          </cell>
          <cell r="DJ223">
            <v>0</v>
          </cell>
          <cell r="DK223">
            <v>0</v>
          </cell>
          <cell r="DL223">
            <v>0</v>
          </cell>
          <cell r="DM223">
            <v>0</v>
          </cell>
          <cell r="DN223">
            <v>0</v>
          </cell>
          <cell r="DO223">
            <v>0</v>
          </cell>
          <cell r="DP223">
            <v>0</v>
          </cell>
          <cell r="DQ223">
            <v>0</v>
          </cell>
          <cell r="DR223">
            <v>0</v>
          </cell>
          <cell r="DS223">
            <v>0</v>
          </cell>
          <cell r="DT223">
            <v>0</v>
          </cell>
          <cell r="DU223">
            <v>0</v>
          </cell>
          <cell r="DV223">
            <v>0</v>
          </cell>
          <cell r="DW223">
            <v>0</v>
          </cell>
          <cell r="DX223">
            <v>0</v>
          </cell>
          <cell r="DY223">
            <v>0</v>
          </cell>
          <cell r="EA223">
            <v>0</v>
          </cell>
          <cell r="EB223">
            <v>0</v>
          </cell>
          <cell r="EC223">
            <v>0</v>
          </cell>
          <cell r="ED223">
            <v>0</v>
          </cell>
          <cell r="EE223">
            <v>0</v>
          </cell>
          <cell r="EF223">
            <v>0</v>
          </cell>
          <cell r="EG223">
            <v>0</v>
          </cell>
          <cell r="EH223">
            <v>0</v>
          </cell>
          <cell r="EI223">
            <v>0</v>
          </cell>
          <cell r="EJ223">
            <v>0</v>
          </cell>
          <cell r="EK223">
            <v>0</v>
          </cell>
          <cell r="EL223">
            <v>0</v>
          </cell>
          <cell r="EM223">
            <v>0</v>
          </cell>
          <cell r="EN223">
            <v>0</v>
          </cell>
          <cell r="EO223">
            <v>0</v>
          </cell>
          <cell r="EP223">
            <v>0</v>
          </cell>
          <cell r="EQ223">
            <v>0</v>
          </cell>
          <cell r="ER223">
            <v>0</v>
          </cell>
          <cell r="ES223">
            <v>0</v>
          </cell>
          <cell r="ET223">
            <v>0</v>
          </cell>
          <cell r="EU223">
            <v>0</v>
          </cell>
          <cell r="EV223">
            <v>0</v>
          </cell>
          <cell r="EW223">
            <v>0</v>
          </cell>
          <cell r="EX223">
            <v>0</v>
          </cell>
          <cell r="EY223">
            <v>0</v>
          </cell>
          <cell r="EZ223">
            <v>0</v>
          </cell>
          <cell r="FA223">
            <v>0</v>
          </cell>
          <cell r="FB223">
            <v>0</v>
          </cell>
          <cell r="FC223">
            <v>0</v>
          </cell>
          <cell r="FD223">
            <v>0</v>
          </cell>
          <cell r="FE223">
            <v>0</v>
          </cell>
          <cell r="FF223">
            <v>0</v>
          </cell>
          <cell r="FG223">
            <v>0</v>
          </cell>
          <cell r="FH223">
            <v>0</v>
          </cell>
          <cell r="FI223">
            <v>0</v>
          </cell>
          <cell r="FJ223">
            <v>0</v>
          </cell>
          <cell r="FK223">
            <v>0</v>
          </cell>
          <cell r="FL223">
            <v>0</v>
          </cell>
          <cell r="FM223">
            <v>0</v>
          </cell>
          <cell r="FN223">
            <v>0</v>
          </cell>
          <cell r="FO223">
            <v>0</v>
          </cell>
          <cell r="FP223">
            <v>0</v>
          </cell>
          <cell r="FQ223">
            <v>0</v>
          </cell>
          <cell r="FR223">
            <v>0</v>
          </cell>
          <cell r="FS223">
            <v>0</v>
          </cell>
          <cell r="FT223">
            <v>0</v>
          </cell>
          <cell r="FU223">
            <v>0</v>
          </cell>
          <cell r="FV223">
            <v>0</v>
          </cell>
          <cell r="FW223">
            <v>0</v>
          </cell>
          <cell r="FX223">
            <v>0</v>
          </cell>
          <cell r="FY223">
            <v>0</v>
          </cell>
          <cell r="FZ223">
            <v>0</v>
          </cell>
        </row>
        <row r="224">
          <cell r="A224" t="str">
            <v>I_VIT_NRF_EPA_EUR_INTR_I02</v>
          </cell>
          <cell r="B224">
            <v>0</v>
          </cell>
          <cell r="C224">
            <v>0</v>
          </cell>
          <cell r="D224">
            <v>0</v>
          </cell>
          <cell r="E224">
            <v>0</v>
          </cell>
          <cell r="F224">
            <v>0</v>
          </cell>
          <cell r="G224">
            <v>0</v>
          </cell>
          <cell r="H224">
            <v>0</v>
          </cell>
          <cell r="I224">
            <v>0</v>
          </cell>
          <cell r="J224">
            <v>0</v>
          </cell>
          <cell r="K224">
            <v>0</v>
          </cell>
          <cell r="L224">
            <v>0</v>
          </cell>
          <cell r="M224">
            <v>0</v>
          </cell>
          <cell r="N224">
            <v>0</v>
          </cell>
          <cell r="O224">
            <v>0</v>
          </cell>
          <cell r="P224">
            <v>0</v>
          </cell>
          <cell r="Q224">
            <v>0</v>
          </cell>
          <cell r="R224">
            <v>0</v>
          </cell>
          <cell r="S224">
            <v>0</v>
          </cell>
          <cell r="T224">
            <v>0</v>
          </cell>
          <cell r="U224">
            <v>0</v>
          </cell>
          <cell r="V224">
            <v>0</v>
          </cell>
          <cell r="W224">
            <v>0</v>
          </cell>
          <cell r="X224">
            <v>0</v>
          </cell>
          <cell r="Y224">
            <v>0</v>
          </cell>
          <cell r="Z224">
            <v>0</v>
          </cell>
          <cell r="AA224">
            <v>0</v>
          </cell>
          <cell r="AB224">
            <v>0</v>
          </cell>
          <cell r="AC224">
            <v>0</v>
          </cell>
          <cell r="AD224">
            <v>0</v>
          </cell>
          <cell r="AE224">
            <v>0</v>
          </cell>
          <cell r="AF224">
            <v>0</v>
          </cell>
          <cell r="AG224">
            <v>0</v>
          </cell>
          <cell r="AH224">
            <v>0</v>
          </cell>
          <cell r="AI224">
            <v>0</v>
          </cell>
          <cell r="AJ224">
            <v>0</v>
          </cell>
          <cell r="AK224">
            <v>0</v>
          </cell>
          <cell r="AL224">
            <v>0</v>
          </cell>
          <cell r="AM224">
            <v>0</v>
          </cell>
          <cell r="AN224">
            <v>0</v>
          </cell>
          <cell r="AO224">
            <v>0</v>
          </cell>
          <cell r="AP224">
            <v>0</v>
          </cell>
          <cell r="AQ224">
            <v>0</v>
          </cell>
          <cell r="AR224">
            <v>0</v>
          </cell>
          <cell r="AS224">
            <v>0</v>
          </cell>
          <cell r="AT224">
            <v>0</v>
          </cell>
          <cell r="AU224">
            <v>0</v>
          </cell>
          <cell r="AV224">
            <v>0</v>
          </cell>
          <cell r="AW224">
            <v>0</v>
          </cell>
          <cell r="AX224">
            <v>0</v>
          </cell>
          <cell r="AY224">
            <v>0</v>
          </cell>
          <cell r="AZ224">
            <v>0</v>
          </cell>
          <cell r="BA224">
            <v>0</v>
          </cell>
          <cell r="BB224">
            <v>0</v>
          </cell>
          <cell r="BC224">
            <v>0</v>
          </cell>
          <cell r="BD224">
            <v>0</v>
          </cell>
          <cell r="BE224">
            <v>0</v>
          </cell>
          <cell r="BF224">
            <v>0</v>
          </cell>
          <cell r="BG224">
            <v>0</v>
          </cell>
          <cell r="BH224">
            <v>0</v>
          </cell>
          <cell r="BI224">
            <v>0</v>
          </cell>
          <cell r="BJ224">
            <v>0</v>
          </cell>
          <cell r="BK224">
            <v>0</v>
          </cell>
          <cell r="BL224">
            <v>0</v>
          </cell>
          <cell r="BM224">
            <v>0</v>
          </cell>
          <cell r="BN224">
            <v>0</v>
          </cell>
          <cell r="BO224">
            <v>0</v>
          </cell>
          <cell r="BP224">
            <v>0</v>
          </cell>
          <cell r="BQ224">
            <v>0</v>
          </cell>
          <cell r="BR224">
            <v>0</v>
          </cell>
          <cell r="BS224">
            <v>0</v>
          </cell>
          <cell r="BT224">
            <v>0</v>
          </cell>
          <cell r="BU224">
            <v>0</v>
          </cell>
          <cell r="BV224">
            <v>0</v>
          </cell>
          <cell r="BW224">
            <v>0</v>
          </cell>
          <cell r="BX224">
            <v>0</v>
          </cell>
          <cell r="BY224">
            <v>0</v>
          </cell>
          <cell r="BZ224">
            <v>0</v>
          </cell>
          <cell r="CA224">
            <v>0</v>
          </cell>
          <cell r="CB224">
            <v>0</v>
          </cell>
          <cell r="CC224">
            <v>0</v>
          </cell>
          <cell r="CD224">
            <v>0</v>
          </cell>
          <cell r="CE224">
            <v>0</v>
          </cell>
          <cell r="CF224">
            <v>0</v>
          </cell>
          <cell r="CG224">
            <v>0</v>
          </cell>
          <cell r="CH224">
            <v>0</v>
          </cell>
          <cell r="CI224">
            <v>0</v>
          </cell>
          <cell r="CJ224">
            <v>0</v>
          </cell>
          <cell r="CK224">
            <v>0</v>
          </cell>
          <cell r="CL224">
            <v>0</v>
          </cell>
          <cell r="CM224">
            <v>0</v>
          </cell>
          <cell r="CN224">
            <v>0</v>
          </cell>
          <cell r="CO224">
            <v>0</v>
          </cell>
          <cell r="CP224">
            <v>0</v>
          </cell>
          <cell r="CQ224">
            <v>0</v>
          </cell>
          <cell r="CR224">
            <v>0</v>
          </cell>
          <cell r="CS224">
            <v>0</v>
          </cell>
          <cell r="CT224">
            <v>0</v>
          </cell>
          <cell r="CU224">
            <v>0</v>
          </cell>
          <cell r="CV224">
            <v>0</v>
          </cell>
          <cell r="CW224">
            <v>0</v>
          </cell>
          <cell r="CX224">
            <v>0</v>
          </cell>
          <cell r="CY224">
            <v>0</v>
          </cell>
          <cell r="CZ224">
            <v>0</v>
          </cell>
          <cell r="DA224">
            <v>0</v>
          </cell>
          <cell r="DB224">
            <v>0</v>
          </cell>
          <cell r="DC224">
            <v>0</v>
          </cell>
          <cell r="DD224">
            <v>0</v>
          </cell>
          <cell r="DE224">
            <v>0</v>
          </cell>
          <cell r="DF224">
            <v>0</v>
          </cell>
          <cell r="DG224">
            <v>0</v>
          </cell>
          <cell r="DH224">
            <v>0</v>
          </cell>
          <cell r="DI224">
            <v>0</v>
          </cell>
          <cell r="DJ224">
            <v>0</v>
          </cell>
          <cell r="DK224">
            <v>0</v>
          </cell>
          <cell r="DL224">
            <v>0</v>
          </cell>
          <cell r="DM224">
            <v>0</v>
          </cell>
          <cell r="DN224">
            <v>0</v>
          </cell>
          <cell r="DO224">
            <v>0</v>
          </cell>
          <cell r="DP224">
            <v>0</v>
          </cell>
          <cell r="DQ224">
            <v>0</v>
          </cell>
          <cell r="DR224">
            <v>0</v>
          </cell>
          <cell r="DS224">
            <v>0</v>
          </cell>
          <cell r="DT224">
            <v>0</v>
          </cell>
          <cell r="DU224">
            <v>0</v>
          </cell>
          <cell r="DV224">
            <v>0</v>
          </cell>
          <cell r="DW224">
            <v>0</v>
          </cell>
          <cell r="DX224">
            <v>0</v>
          </cell>
          <cell r="DY224">
            <v>0</v>
          </cell>
          <cell r="EA224">
            <v>0</v>
          </cell>
          <cell r="EB224">
            <v>0</v>
          </cell>
          <cell r="EC224">
            <v>0</v>
          </cell>
          <cell r="ED224">
            <v>0</v>
          </cell>
          <cell r="EE224">
            <v>0</v>
          </cell>
          <cell r="EF224">
            <v>0</v>
          </cell>
          <cell r="EG224">
            <v>0</v>
          </cell>
          <cell r="EH224">
            <v>0</v>
          </cell>
          <cell r="EI224">
            <v>0</v>
          </cell>
          <cell r="EJ224">
            <v>0</v>
          </cell>
          <cell r="EK224">
            <v>0</v>
          </cell>
          <cell r="EL224">
            <v>0</v>
          </cell>
          <cell r="EM224">
            <v>0</v>
          </cell>
          <cell r="EN224">
            <v>0</v>
          </cell>
          <cell r="EO224">
            <v>0</v>
          </cell>
          <cell r="EP224">
            <v>0</v>
          </cell>
          <cell r="EQ224">
            <v>0</v>
          </cell>
          <cell r="ER224">
            <v>0</v>
          </cell>
          <cell r="ES224">
            <v>0</v>
          </cell>
          <cell r="ET224">
            <v>0</v>
          </cell>
          <cell r="EU224">
            <v>0</v>
          </cell>
          <cell r="EV224">
            <v>0</v>
          </cell>
          <cell r="EW224">
            <v>0</v>
          </cell>
          <cell r="EX224">
            <v>0</v>
          </cell>
          <cell r="EY224">
            <v>0</v>
          </cell>
          <cell r="EZ224">
            <v>0</v>
          </cell>
          <cell r="FA224">
            <v>0</v>
          </cell>
          <cell r="FB224">
            <v>0</v>
          </cell>
          <cell r="FC224">
            <v>0</v>
          </cell>
          <cell r="FD224">
            <v>0</v>
          </cell>
          <cell r="FE224">
            <v>0</v>
          </cell>
          <cell r="FF224">
            <v>0</v>
          </cell>
          <cell r="FG224">
            <v>0</v>
          </cell>
          <cell r="FH224">
            <v>0</v>
          </cell>
          <cell r="FI224">
            <v>0</v>
          </cell>
          <cell r="FJ224">
            <v>0</v>
          </cell>
          <cell r="FK224">
            <v>0</v>
          </cell>
          <cell r="FL224">
            <v>0</v>
          </cell>
          <cell r="FM224">
            <v>0</v>
          </cell>
          <cell r="FN224">
            <v>0</v>
          </cell>
          <cell r="FO224">
            <v>0</v>
          </cell>
          <cell r="FP224">
            <v>0</v>
          </cell>
          <cell r="FQ224">
            <v>0</v>
          </cell>
          <cell r="FR224">
            <v>0</v>
          </cell>
          <cell r="FS224">
            <v>0</v>
          </cell>
          <cell r="FT224">
            <v>0</v>
          </cell>
          <cell r="FU224">
            <v>0</v>
          </cell>
          <cell r="FV224">
            <v>0</v>
          </cell>
          <cell r="FW224">
            <v>0</v>
          </cell>
          <cell r="FX224">
            <v>0</v>
          </cell>
          <cell r="FY224">
            <v>0</v>
          </cell>
          <cell r="FZ224">
            <v>0</v>
          </cell>
        </row>
        <row r="225">
          <cell r="A225" t="str">
            <v>I_VIT_NRF_EPA_EUR_INTR_I03</v>
          </cell>
          <cell r="B225">
            <v>0</v>
          </cell>
          <cell r="C225">
            <v>0</v>
          </cell>
          <cell r="D225">
            <v>0</v>
          </cell>
          <cell r="E225">
            <v>0</v>
          </cell>
          <cell r="F225">
            <v>0</v>
          </cell>
          <cell r="G225">
            <v>0</v>
          </cell>
          <cell r="H225">
            <v>0</v>
          </cell>
          <cell r="I225">
            <v>0</v>
          </cell>
          <cell r="J225">
            <v>0</v>
          </cell>
          <cell r="K225">
            <v>0</v>
          </cell>
          <cell r="L225">
            <v>0</v>
          </cell>
          <cell r="M225">
            <v>0</v>
          </cell>
          <cell r="N225">
            <v>0</v>
          </cell>
          <cell r="O225">
            <v>0</v>
          </cell>
          <cell r="P225">
            <v>0</v>
          </cell>
          <cell r="Q225">
            <v>0</v>
          </cell>
          <cell r="R225">
            <v>0</v>
          </cell>
          <cell r="S225">
            <v>0</v>
          </cell>
          <cell r="T225">
            <v>0</v>
          </cell>
          <cell r="U225">
            <v>0</v>
          </cell>
          <cell r="V225">
            <v>0</v>
          </cell>
          <cell r="W225">
            <v>0</v>
          </cell>
          <cell r="X225">
            <v>0</v>
          </cell>
          <cell r="Y225">
            <v>0</v>
          </cell>
          <cell r="Z225">
            <v>0</v>
          </cell>
          <cell r="AA225">
            <v>0</v>
          </cell>
          <cell r="AB225">
            <v>0</v>
          </cell>
          <cell r="AC225">
            <v>0</v>
          </cell>
          <cell r="AD225">
            <v>0</v>
          </cell>
          <cell r="AE225">
            <v>0</v>
          </cell>
          <cell r="AF225">
            <v>0</v>
          </cell>
          <cell r="AG225">
            <v>0</v>
          </cell>
          <cell r="AH225">
            <v>0</v>
          </cell>
          <cell r="AI225">
            <v>0</v>
          </cell>
          <cell r="AJ225">
            <v>0</v>
          </cell>
          <cell r="AK225">
            <v>0</v>
          </cell>
          <cell r="AL225">
            <v>0</v>
          </cell>
          <cell r="AM225">
            <v>0</v>
          </cell>
          <cell r="AN225">
            <v>0</v>
          </cell>
          <cell r="AO225">
            <v>0</v>
          </cell>
          <cell r="AP225">
            <v>0</v>
          </cell>
          <cell r="AQ225">
            <v>0</v>
          </cell>
          <cell r="AR225">
            <v>0</v>
          </cell>
          <cell r="AS225">
            <v>0</v>
          </cell>
          <cell r="AT225">
            <v>0</v>
          </cell>
          <cell r="AU225">
            <v>0</v>
          </cell>
          <cell r="AV225">
            <v>0</v>
          </cell>
          <cell r="AW225">
            <v>0</v>
          </cell>
          <cell r="AX225">
            <v>0</v>
          </cell>
          <cell r="AY225">
            <v>0</v>
          </cell>
          <cell r="AZ225">
            <v>0</v>
          </cell>
          <cell r="BA225">
            <v>0</v>
          </cell>
          <cell r="BB225">
            <v>0</v>
          </cell>
          <cell r="BC225">
            <v>0</v>
          </cell>
          <cell r="BD225">
            <v>0</v>
          </cell>
          <cell r="BE225">
            <v>0</v>
          </cell>
          <cell r="BF225">
            <v>0</v>
          </cell>
          <cell r="BG225">
            <v>0</v>
          </cell>
          <cell r="BH225">
            <v>0</v>
          </cell>
          <cell r="BI225">
            <v>0</v>
          </cell>
          <cell r="BJ225">
            <v>0</v>
          </cell>
          <cell r="BK225">
            <v>0</v>
          </cell>
          <cell r="BL225">
            <v>0</v>
          </cell>
          <cell r="BM225">
            <v>0</v>
          </cell>
          <cell r="BN225">
            <v>0</v>
          </cell>
          <cell r="BO225">
            <v>0</v>
          </cell>
          <cell r="BP225">
            <v>0</v>
          </cell>
          <cell r="BQ225">
            <v>0</v>
          </cell>
          <cell r="BR225">
            <v>0</v>
          </cell>
          <cell r="BS225">
            <v>0</v>
          </cell>
          <cell r="BT225">
            <v>0</v>
          </cell>
          <cell r="BU225">
            <v>0</v>
          </cell>
          <cell r="BV225">
            <v>0</v>
          </cell>
          <cell r="BW225">
            <v>0</v>
          </cell>
          <cell r="BX225">
            <v>0</v>
          </cell>
          <cell r="BY225">
            <v>0</v>
          </cell>
          <cell r="BZ225">
            <v>0</v>
          </cell>
          <cell r="CA225">
            <v>0</v>
          </cell>
          <cell r="CB225">
            <v>0</v>
          </cell>
          <cell r="CC225">
            <v>0</v>
          </cell>
          <cell r="CD225">
            <v>0</v>
          </cell>
          <cell r="CE225">
            <v>0</v>
          </cell>
          <cell r="CF225">
            <v>0</v>
          </cell>
          <cell r="CG225">
            <v>0</v>
          </cell>
          <cell r="CH225">
            <v>0</v>
          </cell>
          <cell r="CI225">
            <v>0</v>
          </cell>
          <cell r="CJ225">
            <v>0</v>
          </cell>
          <cell r="CK225">
            <v>0</v>
          </cell>
          <cell r="CL225">
            <v>0</v>
          </cell>
          <cell r="CM225">
            <v>0</v>
          </cell>
          <cell r="CN225">
            <v>0</v>
          </cell>
          <cell r="CO225">
            <v>0</v>
          </cell>
          <cell r="CP225">
            <v>0</v>
          </cell>
          <cell r="CQ225">
            <v>0</v>
          </cell>
          <cell r="CR225">
            <v>0</v>
          </cell>
          <cell r="CS225">
            <v>0</v>
          </cell>
          <cell r="CT225">
            <v>0</v>
          </cell>
          <cell r="CU225">
            <v>0</v>
          </cell>
          <cell r="CV225">
            <v>0</v>
          </cell>
          <cell r="CW225">
            <v>0</v>
          </cell>
          <cell r="CX225">
            <v>0</v>
          </cell>
          <cell r="CY225">
            <v>0</v>
          </cell>
          <cell r="CZ225">
            <v>0</v>
          </cell>
          <cell r="DA225">
            <v>0</v>
          </cell>
          <cell r="DB225">
            <v>0</v>
          </cell>
          <cell r="DC225">
            <v>0</v>
          </cell>
          <cell r="DD225">
            <v>0</v>
          </cell>
          <cell r="DE225">
            <v>0</v>
          </cell>
          <cell r="DF225">
            <v>0</v>
          </cell>
          <cell r="DG225">
            <v>0</v>
          </cell>
          <cell r="DH225">
            <v>0</v>
          </cell>
          <cell r="DI225">
            <v>0</v>
          </cell>
          <cell r="DJ225">
            <v>0</v>
          </cell>
          <cell r="DK225">
            <v>0</v>
          </cell>
          <cell r="DL225">
            <v>0</v>
          </cell>
          <cell r="DM225">
            <v>0</v>
          </cell>
          <cell r="DN225">
            <v>0</v>
          </cell>
          <cell r="DO225">
            <v>0</v>
          </cell>
          <cell r="DP225">
            <v>0</v>
          </cell>
          <cell r="DQ225">
            <v>0</v>
          </cell>
          <cell r="DR225">
            <v>0</v>
          </cell>
          <cell r="DS225">
            <v>0</v>
          </cell>
          <cell r="DT225">
            <v>0</v>
          </cell>
          <cell r="DU225">
            <v>0</v>
          </cell>
          <cell r="DV225">
            <v>0</v>
          </cell>
          <cell r="DW225">
            <v>0</v>
          </cell>
          <cell r="DX225">
            <v>0</v>
          </cell>
          <cell r="DY225">
            <v>0</v>
          </cell>
          <cell r="EA225">
            <v>0</v>
          </cell>
          <cell r="EB225">
            <v>0</v>
          </cell>
          <cell r="EC225">
            <v>0</v>
          </cell>
          <cell r="ED225">
            <v>0</v>
          </cell>
          <cell r="EE225">
            <v>0</v>
          </cell>
          <cell r="EF225">
            <v>0</v>
          </cell>
          <cell r="EG225">
            <v>0</v>
          </cell>
          <cell r="EH225">
            <v>0</v>
          </cell>
          <cell r="EI225">
            <v>0</v>
          </cell>
          <cell r="EJ225">
            <v>0</v>
          </cell>
          <cell r="EK225">
            <v>0</v>
          </cell>
          <cell r="EL225">
            <v>0</v>
          </cell>
          <cell r="EM225">
            <v>0</v>
          </cell>
          <cell r="EN225">
            <v>0</v>
          </cell>
          <cell r="EO225">
            <v>0</v>
          </cell>
          <cell r="EP225">
            <v>0</v>
          </cell>
          <cell r="EQ225">
            <v>0</v>
          </cell>
          <cell r="ER225">
            <v>0</v>
          </cell>
          <cell r="ES225">
            <v>0</v>
          </cell>
          <cell r="ET225">
            <v>0</v>
          </cell>
          <cell r="EU225">
            <v>0</v>
          </cell>
          <cell r="EV225">
            <v>0</v>
          </cell>
          <cell r="EW225">
            <v>0</v>
          </cell>
          <cell r="EX225">
            <v>0</v>
          </cell>
          <cell r="EY225">
            <v>0</v>
          </cell>
          <cell r="EZ225">
            <v>0</v>
          </cell>
          <cell r="FA225">
            <v>0</v>
          </cell>
          <cell r="FB225">
            <v>0</v>
          </cell>
          <cell r="FC225">
            <v>0</v>
          </cell>
          <cell r="FD225">
            <v>0</v>
          </cell>
          <cell r="FE225">
            <v>0</v>
          </cell>
          <cell r="FF225">
            <v>0</v>
          </cell>
          <cell r="FG225">
            <v>0</v>
          </cell>
          <cell r="FH225">
            <v>0</v>
          </cell>
          <cell r="FI225">
            <v>0</v>
          </cell>
          <cell r="FJ225">
            <v>0</v>
          </cell>
          <cell r="FK225">
            <v>0</v>
          </cell>
          <cell r="FL225">
            <v>0</v>
          </cell>
          <cell r="FM225">
            <v>0</v>
          </cell>
          <cell r="FN225">
            <v>0</v>
          </cell>
          <cell r="FO225">
            <v>0</v>
          </cell>
          <cell r="FP225">
            <v>0</v>
          </cell>
          <cell r="FQ225">
            <v>0</v>
          </cell>
          <cell r="FR225">
            <v>0</v>
          </cell>
          <cell r="FS225">
            <v>0</v>
          </cell>
          <cell r="FT225">
            <v>0</v>
          </cell>
          <cell r="FU225">
            <v>0</v>
          </cell>
          <cell r="FV225">
            <v>0</v>
          </cell>
          <cell r="FW225">
            <v>0</v>
          </cell>
          <cell r="FX225">
            <v>0</v>
          </cell>
          <cell r="FY225">
            <v>0</v>
          </cell>
          <cell r="FZ225">
            <v>0</v>
          </cell>
        </row>
        <row r="226">
          <cell r="A226" t="str">
            <v>I_VIT_NRF_EPA_EUR_INTR_I04</v>
          </cell>
          <cell r="B226">
            <v>0</v>
          </cell>
          <cell r="C226">
            <v>0</v>
          </cell>
          <cell r="D226">
            <v>0</v>
          </cell>
          <cell r="E226">
            <v>0</v>
          </cell>
          <cell r="F226">
            <v>0</v>
          </cell>
          <cell r="G226">
            <v>0</v>
          </cell>
          <cell r="H226">
            <v>0</v>
          </cell>
          <cell r="I226">
            <v>0</v>
          </cell>
          <cell r="J226">
            <v>0</v>
          </cell>
          <cell r="K226">
            <v>0</v>
          </cell>
          <cell r="L226">
            <v>0</v>
          </cell>
          <cell r="M226">
            <v>0</v>
          </cell>
          <cell r="N226">
            <v>0</v>
          </cell>
          <cell r="O226">
            <v>0</v>
          </cell>
          <cell r="P226">
            <v>0</v>
          </cell>
          <cell r="Q226">
            <v>0</v>
          </cell>
          <cell r="R226">
            <v>0</v>
          </cell>
          <cell r="S226">
            <v>0</v>
          </cell>
          <cell r="T226">
            <v>0</v>
          </cell>
          <cell r="U226">
            <v>0</v>
          </cell>
          <cell r="V226">
            <v>0</v>
          </cell>
          <cell r="W226">
            <v>0</v>
          </cell>
          <cell r="X226">
            <v>0</v>
          </cell>
          <cell r="Y226">
            <v>0</v>
          </cell>
          <cell r="Z226">
            <v>0</v>
          </cell>
          <cell r="AA226">
            <v>0</v>
          </cell>
          <cell r="AB226">
            <v>0</v>
          </cell>
          <cell r="AC226">
            <v>0</v>
          </cell>
          <cell r="AD226">
            <v>0</v>
          </cell>
          <cell r="AE226">
            <v>0</v>
          </cell>
          <cell r="AF226">
            <v>0</v>
          </cell>
          <cell r="AG226">
            <v>0</v>
          </cell>
          <cell r="AH226">
            <v>0</v>
          </cell>
          <cell r="AI226">
            <v>0</v>
          </cell>
          <cell r="AJ226">
            <v>0</v>
          </cell>
          <cell r="AK226">
            <v>0</v>
          </cell>
          <cell r="AL226">
            <v>0</v>
          </cell>
          <cell r="AM226">
            <v>0</v>
          </cell>
          <cell r="AN226">
            <v>0</v>
          </cell>
          <cell r="AO226">
            <v>0</v>
          </cell>
          <cell r="AP226">
            <v>0</v>
          </cell>
          <cell r="AQ226">
            <v>0</v>
          </cell>
          <cell r="AR226">
            <v>0</v>
          </cell>
          <cell r="AS226">
            <v>0</v>
          </cell>
          <cell r="AT226">
            <v>0</v>
          </cell>
          <cell r="AU226">
            <v>0</v>
          </cell>
          <cell r="AV226">
            <v>0</v>
          </cell>
          <cell r="AW226">
            <v>0</v>
          </cell>
          <cell r="AX226">
            <v>0</v>
          </cell>
          <cell r="AY226">
            <v>0</v>
          </cell>
          <cell r="AZ226">
            <v>0</v>
          </cell>
          <cell r="BA226">
            <v>0</v>
          </cell>
          <cell r="BB226">
            <v>0</v>
          </cell>
          <cell r="BC226">
            <v>0</v>
          </cell>
          <cell r="BD226">
            <v>0</v>
          </cell>
          <cell r="BE226">
            <v>0</v>
          </cell>
          <cell r="BF226">
            <v>0</v>
          </cell>
          <cell r="BG226">
            <v>0</v>
          </cell>
          <cell r="BH226">
            <v>0</v>
          </cell>
          <cell r="BI226">
            <v>0</v>
          </cell>
          <cell r="BJ226">
            <v>0</v>
          </cell>
          <cell r="BK226">
            <v>0</v>
          </cell>
          <cell r="BL226">
            <v>0</v>
          </cell>
          <cell r="BM226">
            <v>0</v>
          </cell>
          <cell r="BN226">
            <v>0</v>
          </cell>
          <cell r="BO226">
            <v>0</v>
          </cell>
          <cell r="BP226">
            <v>0</v>
          </cell>
          <cell r="BQ226">
            <v>0</v>
          </cell>
          <cell r="BR226">
            <v>0</v>
          </cell>
          <cell r="BS226">
            <v>0</v>
          </cell>
          <cell r="BT226">
            <v>0</v>
          </cell>
          <cell r="BU226">
            <v>0</v>
          </cell>
          <cell r="BV226">
            <v>0</v>
          </cell>
          <cell r="BW226">
            <v>0</v>
          </cell>
          <cell r="BX226">
            <v>0</v>
          </cell>
          <cell r="BY226">
            <v>0</v>
          </cell>
          <cell r="BZ226">
            <v>0</v>
          </cell>
          <cell r="CA226">
            <v>0</v>
          </cell>
          <cell r="CB226">
            <v>0</v>
          </cell>
          <cell r="CC226">
            <v>0</v>
          </cell>
          <cell r="CD226">
            <v>0</v>
          </cell>
          <cell r="CE226">
            <v>0</v>
          </cell>
          <cell r="CF226">
            <v>0</v>
          </cell>
          <cell r="CG226">
            <v>0</v>
          </cell>
          <cell r="CH226">
            <v>0</v>
          </cell>
          <cell r="CI226">
            <v>0</v>
          </cell>
          <cell r="CJ226">
            <v>0</v>
          </cell>
          <cell r="CK226">
            <v>0</v>
          </cell>
          <cell r="CL226">
            <v>0</v>
          </cell>
          <cell r="CM226">
            <v>0</v>
          </cell>
          <cell r="CN226">
            <v>0</v>
          </cell>
          <cell r="CO226">
            <v>0</v>
          </cell>
          <cell r="CP226">
            <v>0</v>
          </cell>
          <cell r="CQ226">
            <v>0</v>
          </cell>
          <cell r="CR226">
            <v>0</v>
          </cell>
          <cell r="CS226">
            <v>0</v>
          </cell>
          <cell r="CT226">
            <v>0</v>
          </cell>
          <cell r="CU226">
            <v>0</v>
          </cell>
          <cell r="CV226">
            <v>0</v>
          </cell>
          <cell r="CW226">
            <v>0</v>
          </cell>
          <cell r="CX226">
            <v>0</v>
          </cell>
          <cell r="CY226">
            <v>0</v>
          </cell>
          <cell r="CZ226">
            <v>0</v>
          </cell>
          <cell r="DA226">
            <v>0</v>
          </cell>
          <cell r="DB226">
            <v>0</v>
          </cell>
          <cell r="DC226">
            <v>0</v>
          </cell>
          <cell r="DD226">
            <v>0</v>
          </cell>
          <cell r="DE226">
            <v>0</v>
          </cell>
          <cell r="DF226">
            <v>0</v>
          </cell>
          <cell r="DG226">
            <v>0</v>
          </cell>
          <cell r="DH226">
            <v>0</v>
          </cell>
          <cell r="DI226">
            <v>0</v>
          </cell>
          <cell r="DJ226">
            <v>0</v>
          </cell>
          <cell r="DK226">
            <v>0</v>
          </cell>
          <cell r="DL226">
            <v>0</v>
          </cell>
          <cell r="DM226">
            <v>0</v>
          </cell>
          <cell r="DN226">
            <v>0</v>
          </cell>
          <cell r="DO226">
            <v>0</v>
          </cell>
          <cell r="DP226">
            <v>0</v>
          </cell>
          <cell r="DQ226">
            <v>0</v>
          </cell>
          <cell r="DR226">
            <v>0</v>
          </cell>
          <cell r="DS226">
            <v>0</v>
          </cell>
          <cell r="DT226">
            <v>0</v>
          </cell>
          <cell r="DU226">
            <v>0</v>
          </cell>
          <cell r="DV226">
            <v>0</v>
          </cell>
          <cell r="DW226">
            <v>0</v>
          </cell>
          <cell r="DX226">
            <v>0</v>
          </cell>
          <cell r="DY226">
            <v>0</v>
          </cell>
          <cell r="EA226">
            <v>0</v>
          </cell>
          <cell r="EB226">
            <v>0</v>
          </cell>
          <cell r="EC226">
            <v>0</v>
          </cell>
          <cell r="ED226">
            <v>0</v>
          </cell>
          <cell r="EE226">
            <v>0</v>
          </cell>
          <cell r="EF226">
            <v>0</v>
          </cell>
          <cell r="EG226">
            <v>0</v>
          </cell>
          <cell r="EH226">
            <v>0</v>
          </cell>
          <cell r="EI226">
            <v>0</v>
          </cell>
          <cell r="EJ226">
            <v>0</v>
          </cell>
          <cell r="EK226">
            <v>0</v>
          </cell>
          <cell r="EL226">
            <v>0</v>
          </cell>
          <cell r="EM226">
            <v>0</v>
          </cell>
          <cell r="EN226">
            <v>0</v>
          </cell>
          <cell r="EO226">
            <v>0</v>
          </cell>
          <cell r="EP226">
            <v>0</v>
          </cell>
          <cell r="EQ226">
            <v>0</v>
          </cell>
          <cell r="ER226">
            <v>0</v>
          </cell>
          <cell r="ES226">
            <v>0</v>
          </cell>
          <cell r="ET226">
            <v>0</v>
          </cell>
          <cell r="EU226">
            <v>0</v>
          </cell>
          <cell r="EV226">
            <v>0</v>
          </cell>
          <cell r="EW226">
            <v>0</v>
          </cell>
          <cell r="EX226">
            <v>0</v>
          </cell>
          <cell r="EY226">
            <v>0</v>
          </cell>
          <cell r="EZ226">
            <v>0</v>
          </cell>
          <cell r="FA226">
            <v>0</v>
          </cell>
          <cell r="FB226">
            <v>0</v>
          </cell>
          <cell r="FC226">
            <v>0</v>
          </cell>
          <cell r="FD226">
            <v>0</v>
          </cell>
          <cell r="FE226">
            <v>0</v>
          </cell>
          <cell r="FF226">
            <v>0</v>
          </cell>
          <cell r="FG226">
            <v>0</v>
          </cell>
          <cell r="FH226">
            <v>0</v>
          </cell>
          <cell r="FI226">
            <v>0</v>
          </cell>
          <cell r="FJ226">
            <v>0</v>
          </cell>
          <cell r="FK226">
            <v>0</v>
          </cell>
          <cell r="FL226">
            <v>0</v>
          </cell>
          <cell r="FM226">
            <v>0</v>
          </cell>
          <cell r="FN226">
            <v>0</v>
          </cell>
          <cell r="FO226">
            <v>0</v>
          </cell>
          <cell r="FP226">
            <v>0</v>
          </cell>
          <cell r="FQ226">
            <v>0</v>
          </cell>
          <cell r="FR226">
            <v>0</v>
          </cell>
          <cell r="FS226">
            <v>0</v>
          </cell>
          <cell r="FT226">
            <v>0</v>
          </cell>
          <cell r="FU226">
            <v>0</v>
          </cell>
          <cell r="FV226">
            <v>0</v>
          </cell>
          <cell r="FW226">
            <v>0</v>
          </cell>
          <cell r="FX226">
            <v>0</v>
          </cell>
          <cell r="FY226">
            <v>0</v>
          </cell>
          <cell r="FZ226">
            <v>0</v>
          </cell>
        </row>
        <row r="227">
          <cell r="A227" t="str">
            <v>I_VIT_NRF_EPA_UCS_INTR_I05</v>
          </cell>
          <cell r="B227">
            <v>0</v>
          </cell>
          <cell r="C227">
            <v>0</v>
          </cell>
          <cell r="D227">
            <v>0</v>
          </cell>
          <cell r="E227">
            <v>0</v>
          </cell>
          <cell r="F227">
            <v>0</v>
          </cell>
          <cell r="G227">
            <v>0</v>
          </cell>
          <cell r="H227">
            <v>0</v>
          </cell>
          <cell r="I227">
            <v>0</v>
          </cell>
          <cell r="J227">
            <v>0</v>
          </cell>
          <cell r="K227">
            <v>0</v>
          </cell>
          <cell r="L227">
            <v>0</v>
          </cell>
          <cell r="M227">
            <v>0</v>
          </cell>
          <cell r="N227">
            <v>0</v>
          </cell>
          <cell r="O227">
            <v>0</v>
          </cell>
          <cell r="P227">
            <v>0</v>
          </cell>
          <cell r="Q227">
            <v>0</v>
          </cell>
          <cell r="R227">
            <v>0</v>
          </cell>
          <cell r="S227">
            <v>0</v>
          </cell>
          <cell r="T227">
            <v>0</v>
          </cell>
          <cell r="U227">
            <v>0</v>
          </cell>
          <cell r="V227">
            <v>0</v>
          </cell>
          <cell r="W227">
            <v>0</v>
          </cell>
          <cell r="X227">
            <v>0</v>
          </cell>
          <cell r="Y227">
            <v>0</v>
          </cell>
          <cell r="Z227">
            <v>0</v>
          </cell>
          <cell r="AA227">
            <v>0</v>
          </cell>
          <cell r="AB227">
            <v>0</v>
          </cell>
          <cell r="AC227">
            <v>0</v>
          </cell>
          <cell r="AD227">
            <v>0</v>
          </cell>
          <cell r="AE227">
            <v>0</v>
          </cell>
          <cell r="AF227">
            <v>0</v>
          </cell>
          <cell r="AG227">
            <v>0</v>
          </cell>
          <cell r="AH227">
            <v>0</v>
          </cell>
          <cell r="AI227">
            <v>0</v>
          </cell>
          <cell r="AJ227">
            <v>0</v>
          </cell>
          <cell r="AK227">
            <v>0</v>
          </cell>
          <cell r="AL227">
            <v>0</v>
          </cell>
          <cell r="AM227">
            <v>0</v>
          </cell>
          <cell r="AN227">
            <v>0</v>
          </cell>
          <cell r="AO227">
            <v>0</v>
          </cell>
          <cell r="AP227">
            <v>0</v>
          </cell>
          <cell r="AQ227">
            <v>0</v>
          </cell>
          <cell r="AR227">
            <v>0</v>
          </cell>
          <cell r="AS227">
            <v>0</v>
          </cell>
          <cell r="AT227">
            <v>0</v>
          </cell>
          <cell r="AU227">
            <v>0</v>
          </cell>
          <cell r="AV227">
            <v>0</v>
          </cell>
          <cell r="AW227">
            <v>0</v>
          </cell>
          <cell r="AX227">
            <v>0</v>
          </cell>
          <cell r="AY227">
            <v>0</v>
          </cell>
          <cell r="AZ227">
            <v>0</v>
          </cell>
          <cell r="BA227">
            <v>0</v>
          </cell>
          <cell r="BB227">
            <v>0</v>
          </cell>
          <cell r="BC227">
            <v>0</v>
          </cell>
          <cell r="BD227">
            <v>0</v>
          </cell>
          <cell r="BE227">
            <v>0</v>
          </cell>
          <cell r="BF227">
            <v>0</v>
          </cell>
          <cell r="BG227">
            <v>0</v>
          </cell>
          <cell r="BH227">
            <v>0</v>
          </cell>
          <cell r="BI227">
            <v>0</v>
          </cell>
          <cell r="BJ227">
            <v>0</v>
          </cell>
          <cell r="BK227">
            <v>0</v>
          </cell>
          <cell r="BL227">
            <v>0</v>
          </cell>
          <cell r="BM227">
            <v>0</v>
          </cell>
          <cell r="BN227">
            <v>0</v>
          </cell>
          <cell r="BO227">
            <v>0</v>
          </cell>
          <cell r="BP227">
            <v>0</v>
          </cell>
          <cell r="BQ227">
            <v>0</v>
          </cell>
          <cell r="BR227">
            <v>0</v>
          </cell>
          <cell r="BS227">
            <v>0</v>
          </cell>
          <cell r="BT227">
            <v>0</v>
          </cell>
          <cell r="BU227">
            <v>0</v>
          </cell>
          <cell r="BV227">
            <v>0</v>
          </cell>
          <cell r="BW227">
            <v>0</v>
          </cell>
          <cell r="BX227">
            <v>0</v>
          </cell>
          <cell r="BY227">
            <v>0</v>
          </cell>
          <cell r="BZ227">
            <v>0</v>
          </cell>
          <cell r="CA227">
            <v>0</v>
          </cell>
          <cell r="CB227">
            <v>0</v>
          </cell>
          <cell r="CC227">
            <v>0</v>
          </cell>
          <cell r="CD227">
            <v>0</v>
          </cell>
          <cell r="CE227">
            <v>0</v>
          </cell>
          <cell r="CF227">
            <v>0</v>
          </cell>
          <cell r="CG227">
            <v>0</v>
          </cell>
          <cell r="CH227">
            <v>0</v>
          </cell>
          <cell r="CI227">
            <v>0</v>
          </cell>
          <cell r="CJ227">
            <v>0</v>
          </cell>
          <cell r="CK227">
            <v>0</v>
          </cell>
          <cell r="CL227">
            <v>0</v>
          </cell>
          <cell r="CM227">
            <v>0</v>
          </cell>
          <cell r="CN227">
            <v>0</v>
          </cell>
          <cell r="CO227">
            <v>0</v>
          </cell>
          <cell r="CP227">
            <v>0</v>
          </cell>
          <cell r="CQ227">
            <v>0</v>
          </cell>
          <cell r="CR227">
            <v>0</v>
          </cell>
          <cell r="CS227">
            <v>0</v>
          </cell>
          <cell r="CT227">
            <v>0</v>
          </cell>
          <cell r="CU227">
            <v>0</v>
          </cell>
          <cell r="CV227">
            <v>0</v>
          </cell>
          <cell r="CW227">
            <v>0</v>
          </cell>
          <cell r="CX227">
            <v>0</v>
          </cell>
          <cell r="CY227">
            <v>0</v>
          </cell>
          <cell r="CZ227">
            <v>0</v>
          </cell>
          <cell r="DA227">
            <v>0</v>
          </cell>
          <cell r="DB227">
            <v>0</v>
          </cell>
          <cell r="DC227">
            <v>0</v>
          </cell>
          <cell r="DD227">
            <v>0</v>
          </cell>
          <cell r="DE227">
            <v>0</v>
          </cell>
          <cell r="DF227">
            <v>0</v>
          </cell>
          <cell r="DG227">
            <v>0</v>
          </cell>
          <cell r="DH227">
            <v>0</v>
          </cell>
          <cell r="DI227">
            <v>0</v>
          </cell>
          <cell r="DJ227">
            <v>0</v>
          </cell>
          <cell r="DK227">
            <v>0</v>
          </cell>
          <cell r="DL227">
            <v>0</v>
          </cell>
          <cell r="DM227">
            <v>0</v>
          </cell>
          <cell r="DN227">
            <v>0</v>
          </cell>
          <cell r="DO227">
            <v>0</v>
          </cell>
          <cell r="DP227">
            <v>0</v>
          </cell>
          <cell r="DQ227">
            <v>0</v>
          </cell>
          <cell r="DR227">
            <v>0</v>
          </cell>
          <cell r="DS227">
            <v>0</v>
          </cell>
          <cell r="DT227">
            <v>0</v>
          </cell>
          <cell r="DU227">
            <v>0</v>
          </cell>
          <cell r="DV227">
            <v>0</v>
          </cell>
          <cell r="DW227">
            <v>0</v>
          </cell>
          <cell r="DX227">
            <v>0</v>
          </cell>
          <cell r="DY227">
            <v>0</v>
          </cell>
          <cell r="EA227">
            <v>0</v>
          </cell>
          <cell r="EB227">
            <v>0</v>
          </cell>
          <cell r="EC227">
            <v>0</v>
          </cell>
          <cell r="ED227">
            <v>0</v>
          </cell>
          <cell r="EE227">
            <v>0</v>
          </cell>
          <cell r="EF227">
            <v>0</v>
          </cell>
          <cell r="EG227">
            <v>0</v>
          </cell>
          <cell r="EH227">
            <v>0</v>
          </cell>
          <cell r="EI227">
            <v>0</v>
          </cell>
          <cell r="EJ227">
            <v>0</v>
          </cell>
          <cell r="EK227">
            <v>0</v>
          </cell>
          <cell r="EL227">
            <v>0</v>
          </cell>
          <cell r="EM227">
            <v>0</v>
          </cell>
          <cell r="EN227">
            <v>0</v>
          </cell>
          <cell r="EO227">
            <v>0</v>
          </cell>
          <cell r="EP227">
            <v>0</v>
          </cell>
          <cell r="EQ227">
            <v>0</v>
          </cell>
          <cell r="ER227">
            <v>0</v>
          </cell>
          <cell r="ES227">
            <v>0</v>
          </cell>
          <cell r="ET227">
            <v>0</v>
          </cell>
          <cell r="EU227">
            <v>0</v>
          </cell>
          <cell r="EV227">
            <v>0</v>
          </cell>
          <cell r="EW227">
            <v>0</v>
          </cell>
          <cell r="EX227">
            <v>0</v>
          </cell>
          <cell r="EY227">
            <v>0</v>
          </cell>
          <cell r="EZ227">
            <v>0</v>
          </cell>
          <cell r="FA227">
            <v>0</v>
          </cell>
          <cell r="FB227">
            <v>0</v>
          </cell>
          <cell r="FC227">
            <v>0</v>
          </cell>
          <cell r="FD227">
            <v>0</v>
          </cell>
          <cell r="FE227">
            <v>0</v>
          </cell>
          <cell r="FF227">
            <v>0</v>
          </cell>
          <cell r="FG227">
            <v>0</v>
          </cell>
          <cell r="FH227">
            <v>0</v>
          </cell>
          <cell r="FI227">
            <v>0</v>
          </cell>
          <cell r="FJ227">
            <v>0</v>
          </cell>
          <cell r="FK227">
            <v>0</v>
          </cell>
          <cell r="FL227">
            <v>0</v>
          </cell>
          <cell r="FM227">
            <v>0</v>
          </cell>
          <cell r="FN227">
            <v>0</v>
          </cell>
          <cell r="FO227">
            <v>0</v>
          </cell>
          <cell r="FP227">
            <v>0</v>
          </cell>
          <cell r="FQ227">
            <v>0</v>
          </cell>
          <cell r="FR227">
            <v>0</v>
          </cell>
          <cell r="FS227">
            <v>0</v>
          </cell>
          <cell r="FT227">
            <v>0</v>
          </cell>
          <cell r="FU227">
            <v>0</v>
          </cell>
          <cell r="FV227">
            <v>0</v>
          </cell>
          <cell r="FW227">
            <v>0</v>
          </cell>
          <cell r="FX227">
            <v>0</v>
          </cell>
          <cell r="FY227">
            <v>0</v>
          </cell>
          <cell r="FZ227">
            <v>0</v>
          </cell>
        </row>
        <row r="228">
          <cell r="A228" t="str">
            <v>I_VIT_NRF_EPA_UCS_INTR_I06</v>
          </cell>
          <cell r="B228">
            <v>0</v>
          </cell>
          <cell r="C228">
            <v>0</v>
          </cell>
          <cell r="D228">
            <v>0</v>
          </cell>
          <cell r="E228">
            <v>0</v>
          </cell>
          <cell r="F228">
            <v>0</v>
          </cell>
          <cell r="G228">
            <v>0</v>
          </cell>
          <cell r="H228">
            <v>0</v>
          </cell>
          <cell r="I228">
            <v>0</v>
          </cell>
          <cell r="J228">
            <v>0</v>
          </cell>
          <cell r="K228">
            <v>0</v>
          </cell>
          <cell r="L228">
            <v>0</v>
          </cell>
          <cell r="M228">
            <v>0</v>
          </cell>
          <cell r="N228">
            <v>0</v>
          </cell>
          <cell r="O228">
            <v>0</v>
          </cell>
          <cell r="P228">
            <v>0</v>
          </cell>
          <cell r="Q228">
            <v>0</v>
          </cell>
          <cell r="R228">
            <v>0</v>
          </cell>
          <cell r="S228">
            <v>0</v>
          </cell>
          <cell r="T228">
            <v>0</v>
          </cell>
          <cell r="U228">
            <v>0</v>
          </cell>
          <cell r="V228">
            <v>0</v>
          </cell>
          <cell r="W228">
            <v>0</v>
          </cell>
          <cell r="X228">
            <v>0</v>
          </cell>
          <cell r="Y228">
            <v>0</v>
          </cell>
          <cell r="Z228">
            <v>0</v>
          </cell>
          <cell r="AA228">
            <v>0</v>
          </cell>
          <cell r="AB228">
            <v>0</v>
          </cell>
          <cell r="AC228">
            <v>0</v>
          </cell>
          <cell r="AD228">
            <v>0</v>
          </cell>
          <cell r="AE228">
            <v>0</v>
          </cell>
          <cell r="AF228">
            <v>0</v>
          </cell>
          <cell r="AG228">
            <v>0</v>
          </cell>
          <cell r="AH228">
            <v>0</v>
          </cell>
          <cell r="AI228">
            <v>0</v>
          </cell>
          <cell r="AJ228">
            <v>0</v>
          </cell>
          <cell r="AK228">
            <v>0</v>
          </cell>
          <cell r="AL228">
            <v>0</v>
          </cell>
          <cell r="AM228">
            <v>0</v>
          </cell>
          <cell r="AN228">
            <v>0</v>
          </cell>
          <cell r="AO228">
            <v>0</v>
          </cell>
          <cell r="AP228">
            <v>0</v>
          </cell>
          <cell r="AQ228">
            <v>0</v>
          </cell>
          <cell r="AR228">
            <v>0</v>
          </cell>
          <cell r="AS228">
            <v>0</v>
          </cell>
          <cell r="AT228">
            <v>0</v>
          </cell>
          <cell r="AU228">
            <v>0</v>
          </cell>
          <cell r="AV228">
            <v>0</v>
          </cell>
          <cell r="AW228">
            <v>0</v>
          </cell>
          <cell r="AX228">
            <v>0</v>
          </cell>
          <cell r="AY228">
            <v>0</v>
          </cell>
          <cell r="AZ228">
            <v>0</v>
          </cell>
          <cell r="BA228">
            <v>0</v>
          </cell>
          <cell r="BB228">
            <v>0</v>
          </cell>
          <cell r="BC228">
            <v>0</v>
          </cell>
          <cell r="BD228">
            <v>0</v>
          </cell>
          <cell r="BE228">
            <v>0</v>
          </cell>
          <cell r="BF228">
            <v>0</v>
          </cell>
          <cell r="BG228">
            <v>0</v>
          </cell>
          <cell r="BH228">
            <v>0</v>
          </cell>
          <cell r="BI228">
            <v>0</v>
          </cell>
          <cell r="BJ228">
            <v>0</v>
          </cell>
          <cell r="BK228">
            <v>0</v>
          </cell>
          <cell r="BL228">
            <v>0</v>
          </cell>
          <cell r="BM228">
            <v>0</v>
          </cell>
          <cell r="BN228">
            <v>0</v>
          </cell>
          <cell r="BO228">
            <v>0</v>
          </cell>
          <cell r="BP228">
            <v>0</v>
          </cell>
          <cell r="BQ228">
            <v>0</v>
          </cell>
          <cell r="BR228">
            <v>0</v>
          </cell>
          <cell r="BS228">
            <v>0</v>
          </cell>
          <cell r="BT228">
            <v>0</v>
          </cell>
          <cell r="BU228">
            <v>0</v>
          </cell>
          <cell r="BV228">
            <v>0</v>
          </cell>
          <cell r="BW228">
            <v>0</v>
          </cell>
          <cell r="BX228">
            <v>0</v>
          </cell>
          <cell r="BY228">
            <v>0</v>
          </cell>
          <cell r="BZ228">
            <v>0</v>
          </cell>
          <cell r="CA228">
            <v>0</v>
          </cell>
          <cell r="CB228">
            <v>0</v>
          </cell>
          <cell r="CC228">
            <v>0</v>
          </cell>
          <cell r="CD228">
            <v>0</v>
          </cell>
          <cell r="CE228">
            <v>0</v>
          </cell>
          <cell r="CF228">
            <v>0</v>
          </cell>
          <cell r="CG228">
            <v>0</v>
          </cell>
          <cell r="CH228">
            <v>0</v>
          </cell>
          <cell r="CI228">
            <v>0</v>
          </cell>
          <cell r="CJ228">
            <v>0</v>
          </cell>
          <cell r="CK228">
            <v>0</v>
          </cell>
          <cell r="CL228">
            <v>0</v>
          </cell>
          <cell r="CM228">
            <v>0</v>
          </cell>
          <cell r="CN228">
            <v>0</v>
          </cell>
          <cell r="CO228">
            <v>0</v>
          </cell>
          <cell r="CP228">
            <v>0</v>
          </cell>
          <cell r="CQ228">
            <v>0</v>
          </cell>
          <cell r="CR228">
            <v>0</v>
          </cell>
          <cell r="CS228">
            <v>0</v>
          </cell>
          <cell r="CT228">
            <v>0</v>
          </cell>
          <cell r="CU228">
            <v>0</v>
          </cell>
          <cell r="CV228">
            <v>0</v>
          </cell>
          <cell r="CW228">
            <v>0</v>
          </cell>
          <cell r="CX228">
            <v>0</v>
          </cell>
          <cell r="CY228">
            <v>0</v>
          </cell>
          <cell r="CZ228">
            <v>0</v>
          </cell>
          <cell r="DA228">
            <v>0</v>
          </cell>
          <cell r="DB228">
            <v>0</v>
          </cell>
          <cell r="DC228">
            <v>0</v>
          </cell>
          <cell r="DD228">
            <v>0</v>
          </cell>
          <cell r="DE228">
            <v>0</v>
          </cell>
          <cell r="DF228">
            <v>0</v>
          </cell>
          <cell r="DG228">
            <v>0</v>
          </cell>
          <cell r="DH228">
            <v>0</v>
          </cell>
          <cell r="DI228">
            <v>0</v>
          </cell>
          <cell r="DJ228">
            <v>0</v>
          </cell>
          <cell r="DK228">
            <v>0</v>
          </cell>
          <cell r="DL228">
            <v>0</v>
          </cell>
          <cell r="DM228">
            <v>0</v>
          </cell>
          <cell r="DN228">
            <v>0</v>
          </cell>
          <cell r="DO228">
            <v>0</v>
          </cell>
          <cell r="DP228">
            <v>0</v>
          </cell>
          <cell r="DQ228">
            <v>0</v>
          </cell>
          <cell r="DR228">
            <v>0</v>
          </cell>
          <cell r="DS228">
            <v>0</v>
          </cell>
          <cell r="DT228">
            <v>0</v>
          </cell>
          <cell r="DU228">
            <v>0</v>
          </cell>
          <cell r="DV228">
            <v>0</v>
          </cell>
          <cell r="DW228">
            <v>0</v>
          </cell>
          <cell r="DX228">
            <v>0</v>
          </cell>
          <cell r="DY228">
            <v>0</v>
          </cell>
          <cell r="EA228">
            <v>0</v>
          </cell>
          <cell r="EB228">
            <v>0</v>
          </cell>
          <cell r="EC228">
            <v>0</v>
          </cell>
          <cell r="ED228">
            <v>0</v>
          </cell>
          <cell r="EE228">
            <v>0</v>
          </cell>
          <cell r="EF228">
            <v>0</v>
          </cell>
          <cell r="EG228">
            <v>0</v>
          </cell>
          <cell r="EH228">
            <v>0</v>
          </cell>
          <cell r="EI228">
            <v>0</v>
          </cell>
          <cell r="EJ228">
            <v>0</v>
          </cell>
          <cell r="EK228">
            <v>0</v>
          </cell>
          <cell r="EL228">
            <v>0</v>
          </cell>
          <cell r="EM228">
            <v>0</v>
          </cell>
          <cell r="EN228">
            <v>0</v>
          </cell>
          <cell r="EO228">
            <v>0</v>
          </cell>
          <cell r="EP228">
            <v>0</v>
          </cell>
          <cell r="EQ228">
            <v>0</v>
          </cell>
          <cell r="ER228">
            <v>0</v>
          </cell>
          <cell r="ES228">
            <v>0</v>
          </cell>
          <cell r="ET228">
            <v>0</v>
          </cell>
          <cell r="EU228">
            <v>0</v>
          </cell>
          <cell r="EV228">
            <v>0</v>
          </cell>
          <cell r="EW228">
            <v>0</v>
          </cell>
          <cell r="EX228">
            <v>0</v>
          </cell>
          <cell r="EY228">
            <v>0</v>
          </cell>
          <cell r="EZ228">
            <v>0</v>
          </cell>
          <cell r="FA228">
            <v>0</v>
          </cell>
          <cell r="FB228">
            <v>0</v>
          </cell>
          <cell r="FC228">
            <v>0</v>
          </cell>
          <cell r="FD228">
            <v>0</v>
          </cell>
          <cell r="FE228">
            <v>0</v>
          </cell>
          <cell r="FF228">
            <v>0</v>
          </cell>
          <cell r="FG228">
            <v>0</v>
          </cell>
          <cell r="FH228">
            <v>0</v>
          </cell>
          <cell r="FI228">
            <v>0</v>
          </cell>
          <cell r="FJ228">
            <v>0</v>
          </cell>
          <cell r="FK228">
            <v>0</v>
          </cell>
          <cell r="FL228">
            <v>0</v>
          </cell>
          <cell r="FM228">
            <v>0</v>
          </cell>
          <cell r="FN228">
            <v>0</v>
          </cell>
          <cell r="FO228">
            <v>0</v>
          </cell>
          <cell r="FP228">
            <v>0</v>
          </cell>
          <cell r="FQ228">
            <v>0</v>
          </cell>
          <cell r="FR228">
            <v>0</v>
          </cell>
          <cell r="FS228">
            <v>0</v>
          </cell>
          <cell r="FT228">
            <v>0</v>
          </cell>
          <cell r="FU228">
            <v>0</v>
          </cell>
          <cell r="FV228">
            <v>0</v>
          </cell>
          <cell r="FW228">
            <v>0</v>
          </cell>
          <cell r="FX228">
            <v>0</v>
          </cell>
          <cell r="FY228">
            <v>0</v>
          </cell>
          <cell r="FZ228">
            <v>0</v>
          </cell>
        </row>
        <row r="229">
          <cell r="A229" t="str">
            <v>I_VIT_NRF_ASS_EMP_INTR_I07</v>
          </cell>
          <cell r="B229">
            <v>0</v>
          </cell>
          <cell r="C229">
            <v>0</v>
          </cell>
          <cell r="D229">
            <v>0</v>
          </cell>
          <cell r="E229">
            <v>0</v>
          </cell>
          <cell r="F229">
            <v>0</v>
          </cell>
          <cell r="G229">
            <v>0</v>
          </cell>
          <cell r="H229">
            <v>0</v>
          </cell>
          <cell r="I229">
            <v>0</v>
          </cell>
          <cell r="J229">
            <v>0</v>
          </cell>
          <cell r="K229">
            <v>0</v>
          </cell>
          <cell r="L229">
            <v>0</v>
          </cell>
          <cell r="M229">
            <v>0</v>
          </cell>
          <cell r="N229">
            <v>0</v>
          </cell>
          <cell r="O229">
            <v>0</v>
          </cell>
          <cell r="P229">
            <v>0</v>
          </cell>
          <cell r="Q229">
            <v>0</v>
          </cell>
          <cell r="R229">
            <v>0</v>
          </cell>
          <cell r="S229">
            <v>0</v>
          </cell>
          <cell r="T229">
            <v>0</v>
          </cell>
          <cell r="U229">
            <v>0</v>
          </cell>
          <cell r="V229">
            <v>0</v>
          </cell>
          <cell r="W229">
            <v>0</v>
          </cell>
          <cell r="X229">
            <v>0</v>
          </cell>
          <cell r="Y229">
            <v>0</v>
          </cell>
          <cell r="Z229">
            <v>0</v>
          </cell>
          <cell r="AA229">
            <v>0</v>
          </cell>
          <cell r="AB229">
            <v>0</v>
          </cell>
          <cell r="AC229">
            <v>0</v>
          </cell>
          <cell r="AD229">
            <v>0</v>
          </cell>
          <cell r="AE229">
            <v>0</v>
          </cell>
          <cell r="AF229">
            <v>0</v>
          </cell>
          <cell r="AG229">
            <v>0</v>
          </cell>
          <cell r="AH229">
            <v>0</v>
          </cell>
          <cell r="AI229">
            <v>0</v>
          </cell>
          <cell r="AJ229">
            <v>0</v>
          </cell>
          <cell r="AK229">
            <v>0</v>
          </cell>
          <cell r="AL229">
            <v>0</v>
          </cell>
          <cell r="AM229">
            <v>0</v>
          </cell>
          <cell r="AN229">
            <v>0</v>
          </cell>
          <cell r="AO229">
            <v>0</v>
          </cell>
          <cell r="AP229">
            <v>0</v>
          </cell>
          <cell r="AQ229">
            <v>0</v>
          </cell>
          <cell r="AR229">
            <v>0</v>
          </cell>
          <cell r="AS229">
            <v>0</v>
          </cell>
          <cell r="AT229">
            <v>0</v>
          </cell>
          <cell r="AU229">
            <v>0</v>
          </cell>
          <cell r="AV229">
            <v>0</v>
          </cell>
          <cell r="AW229">
            <v>0</v>
          </cell>
          <cell r="AX229">
            <v>0</v>
          </cell>
          <cell r="AY229">
            <v>0</v>
          </cell>
          <cell r="AZ229">
            <v>0</v>
          </cell>
          <cell r="BA229">
            <v>0</v>
          </cell>
          <cell r="BB229">
            <v>0</v>
          </cell>
          <cell r="BC229">
            <v>0</v>
          </cell>
          <cell r="BD229">
            <v>0</v>
          </cell>
          <cell r="BE229">
            <v>0</v>
          </cell>
          <cell r="BF229">
            <v>0</v>
          </cell>
          <cell r="BG229">
            <v>0</v>
          </cell>
          <cell r="BH229">
            <v>0</v>
          </cell>
          <cell r="BI229">
            <v>0</v>
          </cell>
          <cell r="BJ229">
            <v>0</v>
          </cell>
          <cell r="BK229">
            <v>0</v>
          </cell>
          <cell r="BL229">
            <v>0</v>
          </cell>
          <cell r="BM229">
            <v>0</v>
          </cell>
          <cell r="BN229">
            <v>0</v>
          </cell>
          <cell r="BO229">
            <v>0</v>
          </cell>
          <cell r="BP229">
            <v>0</v>
          </cell>
          <cell r="BQ229">
            <v>0</v>
          </cell>
          <cell r="BR229">
            <v>0</v>
          </cell>
          <cell r="BS229">
            <v>0</v>
          </cell>
          <cell r="BT229">
            <v>0</v>
          </cell>
          <cell r="BU229">
            <v>0</v>
          </cell>
          <cell r="BV229">
            <v>0</v>
          </cell>
          <cell r="BW229">
            <v>0</v>
          </cell>
          <cell r="BX229">
            <v>0</v>
          </cell>
          <cell r="BY229">
            <v>0</v>
          </cell>
          <cell r="BZ229">
            <v>0</v>
          </cell>
          <cell r="CA229">
            <v>0</v>
          </cell>
          <cell r="CB229">
            <v>0</v>
          </cell>
          <cell r="CC229">
            <v>0</v>
          </cell>
          <cell r="CD229">
            <v>0</v>
          </cell>
          <cell r="CE229">
            <v>0</v>
          </cell>
          <cell r="CF229">
            <v>0</v>
          </cell>
          <cell r="CG229">
            <v>0</v>
          </cell>
          <cell r="CH229">
            <v>0</v>
          </cell>
          <cell r="CI229">
            <v>0</v>
          </cell>
          <cell r="CJ229">
            <v>0</v>
          </cell>
          <cell r="CK229">
            <v>0</v>
          </cell>
          <cell r="CL229">
            <v>0</v>
          </cell>
          <cell r="CM229">
            <v>0</v>
          </cell>
          <cell r="CN229">
            <v>0</v>
          </cell>
          <cell r="CO229">
            <v>0</v>
          </cell>
          <cell r="CP229">
            <v>0</v>
          </cell>
          <cell r="CQ229">
            <v>0</v>
          </cell>
          <cell r="CR229">
            <v>0</v>
          </cell>
          <cell r="CS229">
            <v>0</v>
          </cell>
          <cell r="CT229">
            <v>0</v>
          </cell>
          <cell r="CU229">
            <v>0</v>
          </cell>
          <cell r="CV229">
            <v>0</v>
          </cell>
          <cell r="CW229">
            <v>0</v>
          </cell>
          <cell r="CX229">
            <v>0</v>
          </cell>
          <cell r="CY229">
            <v>0</v>
          </cell>
          <cell r="CZ229">
            <v>0</v>
          </cell>
          <cell r="DA229">
            <v>0</v>
          </cell>
          <cell r="DB229">
            <v>0</v>
          </cell>
          <cell r="DC229">
            <v>0</v>
          </cell>
          <cell r="DD229">
            <v>0</v>
          </cell>
          <cell r="DE229">
            <v>0</v>
          </cell>
          <cell r="DF229">
            <v>0</v>
          </cell>
          <cell r="DG229">
            <v>0</v>
          </cell>
          <cell r="DH229">
            <v>0</v>
          </cell>
          <cell r="DI229">
            <v>0</v>
          </cell>
          <cell r="DJ229">
            <v>0</v>
          </cell>
          <cell r="DK229">
            <v>0</v>
          </cell>
          <cell r="DL229">
            <v>0</v>
          </cell>
          <cell r="DM229">
            <v>0</v>
          </cell>
          <cell r="DN229">
            <v>0</v>
          </cell>
          <cell r="DO229">
            <v>0</v>
          </cell>
          <cell r="DP229">
            <v>0</v>
          </cell>
          <cell r="DQ229">
            <v>0</v>
          </cell>
          <cell r="DR229">
            <v>0</v>
          </cell>
          <cell r="DS229">
            <v>0</v>
          </cell>
          <cell r="DT229">
            <v>0</v>
          </cell>
          <cell r="DU229">
            <v>0</v>
          </cell>
          <cell r="DV229">
            <v>0</v>
          </cell>
          <cell r="DW229">
            <v>0</v>
          </cell>
          <cell r="DX229">
            <v>0</v>
          </cell>
          <cell r="DY229">
            <v>0</v>
          </cell>
          <cell r="EA229">
            <v>0</v>
          </cell>
          <cell r="EB229">
            <v>0</v>
          </cell>
          <cell r="EC229">
            <v>0</v>
          </cell>
          <cell r="ED229">
            <v>0</v>
          </cell>
          <cell r="EE229">
            <v>0</v>
          </cell>
          <cell r="EF229">
            <v>0</v>
          </cell>
          <cell r="EG229">
            <v>0</v>
          </cell>
          <cell r="EH229">
            <v>0</v>
          </cell>
          <cell r="EI229">
            <v>0</v>
          </cell>
          <cell r="EJ229">
            <v>0</v>
          </cell>
          <cell r="EK229">
            <v>0</v>
          </cell>
          <cell r="EL229">
            <v>0</v>
          </cell>
          <cell r="EM229">
            <v>0</v>
          </cell>
          <cell r="EN229">
            <v>0</v>
          </cell>
          <cell r="EO229">
            <v>0</v>
          </cell>
          <cell r="EP229">
            <v>0</v>
          </cell>
          <cell r="EQ229">
            <v>0</v>
          </cell>
          <cell r="ER229">
            <v>0</v>
          </cell>
          <cell r="ES229">
            <v>0</v>
          </cell>
          <cell r="ET229">
            <v>0</v>
          </cell>
          <cell r="EU229">
            <v>0</v>
          </cell>
          <cell r="EV229">
            <v>0</v>
          </cell>
          <cell r="EW229">
            <v>0</v>
          </cell>
          <cell r="EX229">
            <v>0</v>
          </cell>
          <cell r="EY229">
            <v>0</v>
          </cell>
          <cell r="EZ229">
            <v>0</v>
          </cell>
          <cell r="FA229">
            <v>0</v>
          </cell>
          <cell r="FB229">
            <v>0</v>
          </cell>
          <cell r="FC229">
            <v>0</v>
          </cell>
          <cell r="FD229">
            <v>0</v>
          </cell>
          <cell r="FE229">
            <v>0</v>
          </cell>
          <cell r="FF229">
            <v>0</v>
          </cell>
          <cell r="FG229">
            <v>0</v>
          </cell>
          <cell r="FH229">
            <v>0</v>
          </cell>
          <cell r="FI229">
            <v>0</v>
          </cell>
          <cell r="FJ229">
            <v>0</v>
          </cell>
          <cell r="FK229">
            <v>0</v>
          </cell>
          <cell r="FL229">
            <v>0</v>
          </cell>
          <cell r="FM229">
            <v>0</v>
          </cell>
          <cell r="FN229">
            <v>0</v>
          </cell>
          <cell r="FO229">
            <v>0</v>
          </cell>
          <cell r="FP229">
            <v>0</v>
          </cell>
          <cell r="FQ229">
            <v>0</v>
          </cell>
          <cell r="FR229">
            <v>0</v>
          </cell>
          <cell r="FS229">
            <v>0</v>
          </cell>
          <cell r="FT229">
            <v>0</v>
          </cell>
          <cell r="FU229">
            <v>0</v>
          </cell>
          <cell r="FV229">
            <v>0</v>
          </cell>
          <cell r="FW229">
            <v>0</v>
          </cell>
          <cell r="FX229">
            <v>0</v>
          </cell>
          <cell r="FY229">
            <v>0</v>
          </cell>
          <cell r="FZ229">
            <v>0</v>
          </cell>
        </row>
        <row r="230">
          <cell r="A230" t="str">
            <v>I_VIT_NRF_RIS_IND_INTR_I08</v>
          </cell>
          <cell r="B230">
            <v>0</v>
          </cell>
          <cell r="C230">
            <v>0</v>
          </cell>
          <cell r="D230">
            <v>0</v>
          </cell>
          <cell r="E230">
            <v>0</v>
          </cell>
          <cell r="F230">
            <v>0</v>
          </cell>
          <cell r="G230">
            <v>0</v>
          </cell>
          <cell r="H230">
            <v>0</v>
          </cell>
          <cell r="I230">
            <v>0</v>
          </cell>
          <cell r="J230">
            <v>0</v>
          </cell>
          <cell r="K230">
            <v>0</v>
          </cell>
          <cell r="L230">
            <v>0</v>
          </cell>
          <cell r="M230">
            <v>0</v>
          </cell>
          <cell r="N230">
            <v>0</v>
          </cell>
          <cell r="O230">
            <v>0</v>
          </cell>
          <cell r="P230">
            <v>0</v>
          </cell>
          <cell r="Q230">
            <v>0</v>
          </cell>
          <cell r="R230">
            <v>0</v>
          </cell>
          <cell r="S230">
            <v>0</v>
          </cell>
          <cell r="T230">
            <v>0</v>
          </cell>
          <cell r="U230">
            <v>0</v>
          </cell>
          <cell r="V230">
            <v>0</v>
          </cell>
          <cell r="W230">
            <v>0</v>
          </cell>
          <cell r="X230">
            <v>0</v>
          </cell>
          <cell r="Y230">
            <v>0</v>
          </cell>
          <cell r="Z230">
            <v>0</v>
          </cell>
          <cell r="AA230">
            <v>0</v>
          </cell>
          <cell r="AB230">
            <v>0</v>
          </cell>
          <cell r="AC230">
            <v>0</v>
          </cell>
          <cell r="AD230">
            <v>0</v>
          </cell>
          <cell r="AE230">
            <v>0</v>
          </cell>
          <cell r="AF230">
            <v>0</v>
          </cell>
          <cell r="AG230">
            <v>0</v>
          </cell>
          <cell r="AH230">
            <v>0</v>
          </cell>
          <cell r="AI230">
            <v>0</v>
          </cell>
          <cell r="AJ230">
            <v>0</v>
          </cell>
          <cell r="AK230">
            <v>0</v>
          </cell>
          <cell r="AL230">
            <v>0</v>
          </cell>
          <cell r="AM230">
            <v>0</v>
          </cell>
          <cell r="AN230">
            <v>0</v>
          </cell>
          <cell r="AO230">
            <v>0</v>
          </cell>
          <cell r="AP230">
            <v>0</v>
          </cell>
          <cell r="AQ230">
            <v>0</v>
          </cell>
          <cell r="AR230">
            <v>0</v>
          </cell>
          <cell r="AS230">
            <v>0</v>
          </cell>
          <cell r="AT230">
            <v>0</v>
          </cell>
          <cell r="AU230">
            <v>0</v>
          </cell>
          <cell r="AV230">
            <v>0</v>
          </cell>
          <cell r="AW230">
            <v>0</v>
          </cell>
          <cell r="AX230">
            <v>0</v>
          </cell>
          <cell r="AY230">
            <v>0</v>
          </cell>
          <cell r="AZ230">
            <v>0</v>
          </cell>
          <cell r="BA230">
            <v>0</v>
          </cell>
          <cell r="BB230">
            <v>0</v>
          </cell>
          <cell r="BC230">
            <v>0</v>
          </cell>
          <cell r="BD230">
            <v>0</v>
          </cell>
          <cell r="BE230">
            <v>0</v>
          </cell>
          <cell r="BF230">
            <v>0</v>
          </cell>
          <cell r="BG230">
            <v>0</v>
          </cell>
          <cell r="BH230">
            <v>0</v>
          </cell>
          <cell r="BI230">
            <v>0</v>
          </cell>
          <cell r="BJ230">
            <v>0</v>
          </cell>
          <cell r="BK230">
            <v>0</v>
          </cell>
          <cell r="BL230">
            <v>0</v>
          </cell>
          <cell r="BM230">
            <v>0</v>
          </cell>
          <cell r="BN230">
            <v>0</v>
          </cell>
          <cell r="BO230">
            <v>0</v>
          </cell>
          <cell r="BP230">
            <v>0</v>
          </cell>
          <cell r="BQ230">
            <v>0</v>
          </cell>
          <cell r="BR230">
            <v>0</v>
          </cell>
          <cell r="BS230">
            <v>0</v>
          </cell>
          <cell r="BT230">
            <v>0</v>
          </cell>
          <cell r="BU230">
            <v>0</v>
          </cell>
          <cell r="BV230">
            <v>0</v>
          </cell>
          <cell r="BW230">
            <v>0</v>
          </cell>
          <cell r="BX230">
            <v>0</v>
          </cell>
          <cell r="BY230">
            <v>0</v>
          </cell>
          <cell r="BZ230">
            <v>0</v>
          </cell>
          <cell r="CA230">
            <v>0</v>
          </cell>
          <cell r="CB230">
            <v>0</v>
          </cell>
          <cell r="CC230">
            <v>0</v>
          </cell>
          <cell r="CD230">
            <v>0</v>
          </cell>
          <cell r="CE230">
            <v>0</v>
          </cell>
          <cell r="CF230">
            <v>0</v>
          </cell>
          <cell r="CG230">
            <v>0</v>
          </cell>
          <cell r="CH230">
            <v>0</v>
          </cell>
          <cell r="CI230">
            <v>0</v>
          </cell>
          <cell r="CJ230">
            <v>0</v>
          </cell>
          <cell r="CK230">
            <v>0</v>
          </cell>
          <cell r="CL230">
            <v>0</v>
          </cell>
          <cell r="CM230">
            <v>0</v>
          </cell>
          <cell r="CN230">
            <v>0</v>
          </cell>
          <cell r="CO230">
            <v>0</v>
          </cell>
          <cell r="CP230">
            <v>0</v>
          </cell>
          <cell r="CQ230">
            <v>0</v>
          </cell>
          <cell r="CR230">
            <v>0</v>
          </cell>
          <cell r="CS230">
            <v>0</v>
          </cell>
          <cell r="CT230">
            <v>0</v>
          </cell>
          <cell r="CU230">
            <v>0</v>
          </cell>
          <cell r="CV230">
            <v>0</v>
          </cell>
          <cell r="CW230">
            <v>0</v>
          </cell>
          <cell r="CX230">
            <v>0</v>
          </cell>
          <cell r="CY230">
            <v>0</v>
          </cell>
          <cell r="CZ230">
            <v>0</v>
          </cell>
          <cell r="DA230">
            <v>0</v>
          </cell>
          <cell r="DB230">
            <v>0</v>
          </cell>
          <cell r="DC230">
            <v>0</v>
          </cell>
          <cell r="DD230">
            <v>0</v>
          </cell>
          <cell r="DE230">
            <v>0</v>
          </cell>
          <cell r="DF230">
            <v>0</v>
          </cell>
          <cell r="DG230">
            <v>0</v>
          </cell>
          <cell r="DH230">
            <v>0</v>
          </cell>
          <cell r="DI230">
            <v>0</v>
          </cell>
          <cell r="DJ230">
            <v>0</v>
          </cell>
          <cell r="DK230">
            <v>0</v>
          </cell>
          <cell r="DL230">
            <v>0</v>
          </cell>
          <cell r="DM230">
            <v>0</v>
          </cell>
          <cell r="DN230">
            <v>0</v>
          </cell>
          <cell r="DO230">
            <v>0</v>
          </cell>
          <cell r="DP230">
            <v>0</v>
          </cell>
          <cell r="DQ230">
            <v>0</v>
          </cell>
          <cell r="DR230">
            <v>0</v>
          </cell>
          <cell r="DS230">
            <v>0</v>
          </cell>
          <cell r="DT230">
            <v>0</v>
          </cell>
          <cell r="DU230">
            <v>0</v>
          </cell>
          <cell r="DV230">
            <v>0</v>
          </cell>
          <cell r="DW230">
            <v>0</v>
          </cell>
          <cell r="DX230">
            <v>0</v>
          </cell>
          <cell r="DY230">
            <v>0</v>
          </cell>
          <cell r="EA230">
            <v>0</v>
          </cell>
          <cell r="EB230">
            <v>0</v>
          </cell>
          <cell r="EC230">
            <v>0</v>
          </cell>
          <cell r="ED230">
            <v>0</v>
          </cell>
          <cell r="EE230">
            <v>0</v>
          </cell>
          <cell r="EF230">
            <v>0</v>
          </cell>
          <cell r="EG230">
            <v>0</v>
          </cell>
          <cell r="EH230">
            <v>0</v>
          </cell>
          <cell r="EI230">
            <v>0</v>
          </cell>
          <cell r="EJ230">
            <v>0</v>
          </cell>
          <cell r="EK230">
            <v>0</v>
          </cell>
          <cell r="EL230">
            <v>0</v>
          </cell>
          <cell r="EM230">
            <v>0</v>
          </cell>
          <cell r="EN230">
            <v>0</v>
          </cell>
          <cell r="EO230">
            <v>0</v>
          </cell>
          <cell r="EP230">
            <v>0</v>
          </cell>
          <cell r="EQ230">
            <v>0</v>
          </cell>
          <cell r="ER230">
            <v>0</v>
          </cell>
          <cell r="ES230">
            <v>0</v>
          </cell>
          <cell r="ET230">
            <v>0</v>
          </cell>
          <cell r="EU230">
            <v>0</v>
          </cell>
          <cell r="EV230">
            <v>0</v>
          </cell>
          <cell r="EW230">
            <v>0</v>
          </cell>
          <cell r="EX230">
            <v>0</v>
          </cell>
          <cell r="EY230">
            <v>0</v>
          </cell>
          <cell r="EZ230">
            <v>0</v>
          </cell>
          <cell r="FA230">
            <v>0</v>
          </cell>
          <cell r="FB230">
            <v>0</v>
          </cell>
          <cell r="FC230">
            <v>0</v>
          </cell>
          <cell r="FD230">
            <v>0</v>
          </cell>
          <cell r="FE230">
            <v>0</v>
          </cell>
          <cell r="FF230">
            <v>0</v>
          </cell>
          <cell r="FG230">
            <v>0</v>
          </cell>
          <cell r="FH230">
            <v>0</v>
          </cell>
          <cell r="FI230">
            <v>0</v>
          </cell>
          <cell r="FJ230">
            <v>0</v>
          </cell>
          <cell r="FK230">
            <v>0</v>
          </cell>
          <cell r="FL230">
            <v>0</v>
          </cell>
          <cell r="FM230">
            <v>0</v>
          </cell>
          <cell r="FN230">
            <v>0</v>
          </cell>
          <cell r="FO230">
            <v>0</v>
          </cell>
          <cell r="FP230">
            <v>0</v>
          </cell>
          <cell r="FQ230">
            <v>0</v>
          </cell>
          <cell r="FR230">
            <v>0</v>
          </cell>
          <cell r="FS230">
            <v>0</v>
          </cell>
          <cell r="FT230">
            <v>0</v>
          </cell>
          <cell r="FU230">
            <v>0</v>
          </cell>
          <cell r="FV230">
            <v>0</v>
          </cell>
          <cell r="FW230">
            <v>0</v>
          </cell>
          <cell r="FX230">
            <v>0</v>
          </cell>
          <cell r="FY230">
            <v>0</v>
          </cell>
          <cell r="FZ230">
            <v>0</v>
          </cell>
        </row>
        <row r="231">
          <cell r="A231" t="str">
            <v>I_VIT_NRF_RIS_IND_INTR_I09</v>
          </cell>
          <cell r="B231">
            <v>0</v>
          </cell>
          <cell r="C231">
            <v>0</v>
          </cell>
          <cell r="D231">
            <v>0</v>
          </cell>
          <cell r="E231">
            <v>0</v>
          </cell>
          <cell r="F231">
            <v>0</v>
          </cell>
          <cell r="G231">
            <v>0</v>
          </cell>
          <cell r="H231">
            <v>0</v>
          </cell>
          <cell r="I231">
            <v>0</v>
          </cell>
          <cell r="J231">
            <v>0</v>
          </cell>
          <cell r="K231">
            <v>0</v>
          </cell>
          <cell r="L231">
            <v>0</v>
          </cell>
          <cell r="M231">
            <v>0</v>
          </cell>
          <cell r="N231">
            <v>0</v>
          </cell>
          <cell r="O231">
            <v>0</v>
          </cell>
          <cell r="P231">
            <v>0</v>
          </cell>
          <cell r="Q231">
            <v>0</v>
          </cell>
          <cell r="R231">
            <v>0</v>
          </cell>
          <cell r="S231">
            <v>0</v>
          </cell>
          <cell r="T231">
            <v>0</v>
          </cell>
          <cell r="U231">
            <v>0</v>
          </cell>
          <cell r="V231">
            <v>0</v>
          </cell>
          <cell r="W231">
            <v>0</v>
          </cell>
          <cell r="X231">
            <v>0</v>
          </cell>
          <cell r="Y231">
            <v>0</v>
          </cell>
          <cell r="Z231">
            <v>0</v>
          </cell>
          <cell r="AA231">
            <v>0</v>
          </cell>
          <cell r="AB231">
            <v>0</v>
          </cell>
          <cell r="AC231">
            <v>0</v>
          </cell>
          <cell r="AD231">
            <v>0</v>
          </cell>
          <cell r="AE231">
            <v>0</v>
          </cell>
          <cell r="AF231">
            <v>0</v>
          </cell>
          <cell r="AG231">
            <v>0</v>
          </cell>
          <cell r="AH231">
            <v>0</v>
          </cell>
          <cell r="AI231">
            <v>0</v>
          </cell>
          <cell r="AJ231">
            <v>0</v>
          </cell>
          <cell r="AK231">
            <v>0</v>
          </cell>
          <cell r="AL231">
            <v>0</v>
          </cell>
          <cell r="AM231">
            <v>0</v>
          </cell>
          <cell r="AN231">
            <v>0</v>
          </cell>
          <cell r="AO231">
            <v>0</v>
          </cell>
          <cell r="AP231">
            <v>0</v>
          </cell>
          <cell r="AQ231">
            <v>0</v>
          </cell>
          <cell r="AR231">
            <v>0</v>
          </cell>
          <cell r="AS231">
            <v>0</v>
          </cell>
          <cell r="AT231">
            <v>0</v>
          </cell>
          <cell r="AU231">
            <v>0</v>
          </cell>
          <cell r="AV231">
            <v>0</v>
          </cell>
          <cell r="AW231">
            <v>0</v>
          </cell>
          <cell r="AX231">
            <v>0</v>
          </cell>
          <cell r="AY231">
            <v>0</v>
          </cell>
          <cell r="AZ231">
            <v>0</v>
          </cell>
          <cell r="BA231">
            <v>0</v>
          </cell>
          <cell r="BB231">
            <v>0</v>
          </cell>
          <cell r="BC231">
            <v>0</v>
          </cell>
          <cell r="BD231">
            <v>0</v>
          </cell>
          <cell r="BE231">
            <v>0</v>
          </cell>
          <cell r="BF231">
            <v>0</v>
          </cell>
          <cell r="BG231">
            <v>0</v>
          </cell>
          <cell r="BH231">
            <v>0</v>
          </cell>
          <cell r="BI231">
            <v>0</v>
          </cell>
          <cell r="BJ231">
            <v>0</v>
          </cell>
          <cell r="BK231">
            <v>0</v>
          </cell>
          <cell r="BL231">
            <v>0</v>
          </cell>
          <cell r="BM231">
            <v>0</v>
          </cell>
          <cell r="BN231">
            <v>0</v>
          </cell>
          <cell r="BO231">
            <v>0</v>
          </cell>
          <cell r="BP231">
            <v>0</v>
          </cell>
          <cell r="BQ231">
            <v>0</v>
          </cell>
          <cell r="BR231">
            <v>0</v>
          </cell>
          <cell r="BS231">
            <v>0</v>
          </cell>
          <cell r="BT231">
            <v>0</v>
          </cell>
          <cell r="BU231">
            <v>0</v>
          </cell>
          <cell r="BV231">
            <v>0</v>
          </cell>
          <cell r="BW231">
            <v>0</v>
          </cell>
          <cell r="BX231">
            <v>0</v>
          </cell>
          <cell r="BY231">
            <v>0</v>
          </cell>
          <cell r="BZ231">
            <v>0</v>
          </cell>
          <cell r="CA231">
            <v>0</v>
          </cell>
          <cell r="CB231">
            <v>0</v>
          </cell>
          <cell r="CC231">
            <v>0</v>
          </cell>
          <cell r="CD231">
            <v>0</v>
          </cell>
          <cell r="CE231">
            <v>0</v>
          </cell>
          <cell r="CF231">
            <v>0</v>
          </cell>
          <cell r="CG231">
            <v>0</v>
          </cell>
          <cell r="CH231">
            <v>0</v>
          </cell>
          <cell r="CI231">
            <v>0</v>
          </cell>
          <cell r="CJ231">
            <v>0</v>
          </cell>
          <cell r="CK231">
            <v>0</v>
          </cell>
          <cell r="CL231">
            <v>0</v>
          </cell>
          <cell r="CM231">
            <v>0</v>
          </cell>
          <cell r="CN231">
            <v>0</v>
          </cell>
          <cell r="CO231">
            <v>0</v>
          </cell>
          <cell r="CP231">
            <v>0</v>
          </cell>
          <cell r="CQ231">
            <v>0</v>
          </cell>
          <cell r="CR231">
            <v>0</v>
          </cell>
          <cell r="CS231">
            <v>0</v>
          </cell>
          <cell r="CT231">
            <v>0</v>
          </cell>
          <cell r="CU231">
            <v>0</v>
          </cell>
          <cell r="CV231">
            <v>0</v>
          </cell>
          <cell r="CW231">
            <v>0</v>
          </cell>
          <cell r="CX231">
            <v>0</v>
          </cell>
          <cell r="CY231">
            <v>0</v>
          </cell>
          <cell r="CZ231">
            <v>0</v>
          </cell>
          <cell r="DA231">
            <v>0</v>
          </cell>
          <cell r="DB231">
            <v>0</v>
          </cell>
          <cell r="DC231">
            <v>0</v>
          </cell>
          <cell r="DD231">
            <v>0</v>
          </cell>
          <cell r="DE231">
            <v>0</v>
          </cell>
          <cell r="DF231">
            <v>0</v>
          </cell>
          <cell r="DG231">
            <v>0</v>
          </cell>
          <cell r="DH231">
            <v>0</v>
          </cell>
          <cell r="DI231">
            <v>0</v>
          </cell>
          <cell r="DJ231">
            <v>0</v>
          </cell>
          <cell r="DK231">
            <v>0</v>
          </cell>
          <cell r="DL231">
            <v>0</v>
          </cell>
          <cell r="DM231">
            <v>0</v>
          </cell>
          <cell r="DN231">
            <v>0</v>
          </cell>
          <cell r="DO231">
            <v>0</v>
          </cell>
          <cell r="DP231">
            <v>0</v>
          </cell>
          <cell r="DQ231">
            <v>0</v>
          </cell>
          <cell r="DR231">
            <v>0</v>
          </cell>
          <cell r="DS231">
            <v>0</v>
          </cell>
          <cell r="DT231">
            <v>0</v>
          </cell>
          <cell r="DU231">
            <v>0</v>
          </cell>
          <cell r="DV231">
            <v>0</v>
          </cell>
          <cell r="DW231">
            <v>0</v>
          </cell>
          <cell r="DX231">
            <v>0</v>
          </cell>
          <cell r="DY231">
            <v>0</v>
          </cell>
          <cell r="EA231">
            <v>0</v>
          </cell>
          <cell r="EB231">
            <v>0</v>
          </cell>
          <cell r="EC231">
            <v>0</v>
          </cell>
          <cell r="ED231">
            <v>0</v>
          </cell>
          <cell r="EE231">
            <v>0</v>
          </cell>
          <cell r="EF231">
            <v>0</v>
          </cell>
          <cell r="EG231">
            <v>0</v>
          </cell>
          <cell r="EH231">
            <v>0</v>
          </cell>
          <cell r="EI231">
            <v>0</v>
          </cell>
          <cell r="EJ231">
            <v>0</v>
          </cell>
          <cell r="EK231">
            <v>0</v>
          </cell>
          <cell r="EL231">
            <v>0</v>
          </cell>
          <cell r="EM231">
            <v>0</v>
          </cell>
          <cell r="EN231">
            <v>0</v>
          </cell>
          <cell r="EO231">
            <v>0</v>
          </cell>
          <cell r="EP231">
            <v>0</v>
          </cell>
          <cell r="EQ231">
            <v>0</v>
          </cell>
          <cell r="ER231">
            <v>0</v>
          </cell>
          <cell r="ES231">
            <v>0</v>
          </cell>
          <cell r="ET231">
            <v>0</v>
          </cell>
          <cell r="EU231">
            <v>0</v>
          </cell>
          <cell r="EV231">
            <v>0</v>
          </cell>
          <cell r="EW231">
            <v>0</v>
          </cell>
          <cell r="EX231">
            <v>0</v>
          </cell>
          <cell r="EY231">
            <v>0</v>
          </cell>
          <cell r="EZ231">
            <v>0</v>
          </cell>
          <cell r="FA231">
            <v>0</v>
          </cell>
          <cell r="FB231">
            <v>0</v>
          </cell>
          <cell r="FC231">
            <v>0</v>
          </cell>
          <cell r="FD231">
            <v>0</v>
          </cell>
          <cell r="FE231">
            <v>0</v>
          </cell>
          <cell r="FF231">
            <v>0</v>
          </cell>
          <cell r="FG231">
            <v>0</v>
          </cell>
          <cell r="FH231">
            <v>0</v>
          </cell>
          <cell r="FI231">
            <v>0</v>
          </cell>
          <cell r="FJ231">
            <v>0</v>
          </cell>
          <cell r="FK231">
            <v>0</v>
          </cell>
          <cell r="FL231">
            <v>0</v>
          </cell>
          <cell r="FM231">
            <v>0</v>
          </cell>
          <cell r="FN231">
            <v>0</v>
          </cell>
          <cell r="FO231">
            <v>0</v>
          </cell>
          <cell r="FP231">
            <v>0</v>
          </cell>
          <cell r="FQ231">
            <v>0</v>
          </cell>
          <cell r="FR231">
            <v>0</v>
          </cell>
          <cell r="FS231">
            <v>0</v>
          </cell>
          <cell r="FT231">
            <v>0</v>
          </cell>
          <cell r="FU231">
            <v>0</v>
          </cell>
          <cell r="FV231">
            <v>0</v>
          </cell>
          <cell r="FW231">
            <v>0</v>
          </cell>
          <cell r="FX231">
            <v>0</v>
          </cell>
          <cell r="FY231">
            <v>0</v>
          </cell>
          <cell r="FZ231">
            <v>0</v>
          </cell>
        </row>
        <row r="232">
          <cell r="A232" t="str">
            <v>I_VIT_NRF_RIS_COL_INTR_I10</v>
          </cell>
          <cell r="B232">
            <v>0</v>
          </cell>
          <cell r="C232">
            <v>0</v>
          </cell>
          <cell r="D232">
            <v>0</v>
          </cell>
          <cell r="E232">
            <v>0</v>
          </cell>
          <cell r="F232">
            <v>0</v>
          </cell>
          <cell r="G232">
            <v>0</v>
          </cell>
          <cell r="H232">
            <v>0</v>
          </cell>
          <cell r="I232">
            <v>0</v>
          </cell>
          <cell r="J232">
            <v>0</v>
          </cell>
          <cell r="K232">
            <v>0</v>
          </cell>
          <cell r="L232">
            <v>0</v>
          </cell>
          <cell r="M232">
            <v>0</v>
          </cell>
          <cell r="N232">
            <v>0</v>
          </cell>
          <cell r="O232">
            <v>0</v>
          </cell>
          <cell r="P232">
            <v>0</v>
          </cell>
          <cell r="Q232">
            <v>0</v>
          </cell>
          <cell r="R232">
            <v>0</v>
          </cell>
          <cell r="S232">
            <v>0</v>
          </cell>
          <cell r="T232">
            <v>0</v>
          </cell>
          <cell r="U232">
            <v>0</v>
          </cell>
          <cell r="V232">
            <v>0</v>
          </cell>
          <cell r="W232">
            <v>0</v>
          </cell>
          <cell r="X232">
            <v>0</v>
          </cell>
          <cell r="Y232">
            <v>0</v>
          </cell>
          <cell r="Z232">
            <v>0</v>
          </cell>
          <cell r="AA232">
            <v>0</v>
          </cell>
          <cell r="AB232">
            <v>0</v>
          </cell>
          <cell r="AC232">
            <v>0</v>
          </cell>
          <cell r="AD232">
            <v>0</v>
          </cell>
          <cell r="AE232">
            <v>0</v>
          </cell>
          <cell r="AF232">
            <v>0</v>
          </cell>
          <cell r="AG232">
            <v>0</v>
          </cell>
          <cell r="AH232">
            <v>0</v>
          </cell>
          <cell r="AI232">
            <v>0</v>
          </cell>
          <cell r="AJ232">
            <v>0</v>
          </cell>
          <cell r="AK232">
            <v>0</v>
          </cell>
          <cell r="AL232">
            <v>0</v>
          </cell>
          <cell r="AM232">
            <v>0</v>
          </cell>
          <cell r="AN232">
            <v>0</v>
          </cell>
          <cell r="AO232">
            <v>0</v>
          </cell>
          <cell r="AP232">
            <v>0</v>
          </cell>
          <cell r="AQ232">
            <v>0</v>
          </cell>
          <cell r="AR232">
            <v>0</v>
          </cell>
          <cell r="AS232">
            <v>0</v>
          </cell>
          <cell r="AT232">
            <v>0</v>
          </cell>
          <cell r="AU232">
            <v>0</v>
          </cell>
          <cell r="AV232">
            <v>0</v>
          </cell>
          <cell r="AW232">
            <v>0</v>
          </cell>
          <cell r="AX232">
            <v>0</v>
          </cell>
          <cell r="AY232">
            <v>0</v>
          </cell>
          <cell r="AZ232">
            <v>0</v>
          </cell>
          <cell r="BA232">
            <v>0</v>
          </cell>
          <cell r="BB232">
            <v>0</v>
          </cell>
          <cell r="BC232">
            <v>0</v>
          </cell>
          <cell r="BD232">
            <v>0</v>
          </cell>
          <cell r="BE232">
            <v>0</v>
          </cell>
          <cell r="BF232">
            <v>0</v>
          </cell>
          <cell r="BG232">
            <v>0</v>
          </cell>
          <cell r="BH232">
            <v>0</v>
          </cell>
          <cell r="BI232">
            <v>0</v>
          </cell>
          <cell r="BJ232">
            <v>0</v>
          </cell>
          <cell r="BK232">
            <v>0</v>
          </cell>
          <cell r="BL232">
            <v>0</v>
          </cell>
          <cell r="BM232">
            <v>0</v>
          </cell>
          <cell r="BN232">
            <v>0</v>
          </cell>
          <cell r="BO232">
            <v>0</v>
          </cell>
          <cell r="BP232">
            <v>0</v>
          </cell>
          <cell r="BQ232">
            <v>0</v>
          </cell>
          <cell r="BR232">
            <v>0</v>
          </cell>
          <cell r="BS232">
            <v>0</v>
          </cell>
          <cell r="BT232">
            <v>0</v>
          </cell>
          <cell r="BU232">
            <v>0</v>
          </cell>
          <cell r="BV232">
            <v>0</v>
          </cell>
          <cell r="BW232">
            <v>0</v>
          </cell>
          <cell r="BX232">
            <v>0</v>
          </cell>
          <cell r="BY232">
            <v>0</v>
          </cell>
          <cell r="BZ232">
            <v>0</v>
          </cell>
          <cell r="CA232">
            <v>0</v>
          </cell>
          <cell r="CB232">
            <v>0</v>
          </cell>
          <cell r="CC232">
            <v>0</v>
          </cell>
          <cell r="CD232">
            <v>0</v>
          </cell>
          <cell r="CE232">
            <v>0</v>
          </cell>
          <cell r="CF232">
            <v>0</v>
          </cell>
          <cell r="CG232">
            <v>0</v>
          </cell>
          <cell r="CH232">
            <v>0</v>
          </cell>
          <cell r="CI232">
            <v>0</v>
          </cell>
          <cell r="CJ232">
            <v>0</v>
          </cell>
          <cell r="CK232">
            <v>0</v>
          </cell>
          <cell r="CL232">
            <v>0</v>
          </cell>
          <cell r="CM232">
            <v>0</v>
          </cell>
          <cell r="CN232">
            <v>0</v>
          </cell>
          <cell r="CO232">
            <v>0</v>
          </cell>
          <cell r="CP232">
            <v>0</v>
          </cell>
          <cell r="CQ232">
            <v>0</v>
          </cell>
          <cell r="CR232">
            <v>0</v>
          </cell>
          <cell r="CS232">
            <v>0</v>
          </cell>
          <cell r="CT232">
            <v>0</v>
          </cell>
          <cell r="CU232">
            <v>0</v>
          </cell>
          <cell r="CV232">
            <v>0</v>
          </cell>
          <cell r="CW232">
            <v>0</v>
          </cell>
          <cell r="CX232">
            <v>0</v>
          </cell>
          <cell r="CY232">
            <v>0</v>
          </cell>
          <cell r="CZ232">
            <v>0</v>
          </cell>
          <cell r="DA232">
            <v>0</v>
          </cell>
          <cell r="DB232">
            <v>0</v>
          </cell>
          <cell r="DC232">
            <v>0</v>
          </cell>
          <cell r="DD232">
            <v>0</v>
          </cell>
          <cell r="DE232">
            <v>0</v>
          </cell>
          <cell r="DF232">
            <v>0</v>
          </cell>
          <cell r="DG232">
            <v>0</v>
          </cell>
          <cell r="DH232">
            <v>0</v>
          </cell>
          <cell r="DI232">
            <v>0</v>
          </cell>
          <cell r="DJ232">
            <v>0</v>
          </cell>
          <cell r="DK232">
            <v>0</v>
          </cell>
          <cell r="DL232">
            <v>0</v>
          </cell>
          <cell r="DM232">
            <v>0</v>
          </cell>
          <cell r="DN232">
            <v>0</v>
          </cell>
          <cell r="DO232">
            <v>0</v>
          </cell>
          <cell r="DP232">
            <v>0</v>
          </cell>
          <cell r="DQ232">
            <v>0</v>
          </cell>
          <cell r="DR232">
            <v>0</v>
          </cell>
          <cell r="DS232">
            <v>0</v>
          </cell>
          <cell r="DT232">
            <v>0</v>
          </cell>
          <cell r="DU232">
            <v>0</v>
          </cell>
          <cell r="DV232">
            <v>0</v>
          </cell>
          <cell r="DW232">
            <v>0</v>
          </cell>
          <cell r="DX232">
            <v>0</v>
          </cell>
          <cell r="DY232">
            <v>0</v>
          </cell>
          <cell r="EA232">
            <v>0</v>
          </cell>
          <cell r="EB232">
            <v>0</v>
          </cell>
          <cell r="EC232">
            <v>0</v>
          </cell>
          <cell r="ED232">
            <v>0</v>
          </cell>
          <cell r="EE232">
            <v>0</v>
          </cell>
          <cell r="EF232">
            <v>0</v>
          </cell>
          <cell r="EG232">
            <v>0</v>
          </cell>
          <cell r="EH232">
            <v>0</v>
          </cell>
          <cell r="EI232">
            <v>0</v>
          </cell>
          <cell r="EJ232">
            <v>0</v>
          </cell>
          <cell r="EK232">
            <v>0</v>
          </cell>
          <cell r="EL232">
            <v>0</v>
          </cell>
          <cell r="EM232">
            <v>0</v>
          </cell>
          <cell r="EN232">
            <v>0</v>
          </cell>
          <cell r="EO232">
            <v>0</v>
          </cell>
          <cell r="EP232">
            <v>0</v>
          </cell>
          <cell r="EQ232">
            <v>0</v>
          </cell>
          <cell r="ER232">
            <v>0</v>
          </cell>
          <cell r="ES232">
            <v>0</v>
          </cell>
          <cell r="ET232">
            <v>0</v>
          </cell>
          <cell r="EU232">
            <v>0</v>
          </cell>
          <cell r="EV232">
            <v>0</v>
          </cell>
          <cell r="EW232">
            <v>0</v>
          </cell>
          <cell r="EX232">
            <v>0</v>
          </cell>
          <cell r="EY232">
            <v>0</v>
          </cell>
          <cell r="EZ232">
            <v>0</v>
          </cell>
          <cell r="FA232">
            <v>0</v>
          </cell>
          <cell r="FB232">
            <v>0</v>
          </cell>
          <cell r="FC232">
            <v>0</v>
          </cell>
          <cell r="FD232">
            <v>0</v>
          </cell>
          <cell r="FE232">
            <v>0</v>
          </cell>
          <cell r="FF232">
            <v>0</v>
          </cell>
          <cell r="FG232">
            <v>0</v>
          </cell>
          <cell r="FH232">
            <v>0</v>
          </cell>
          <cell r="FI232">
            <v>0</v>
          </cell>
          <cell r="FJ232">
            <v>0</v>
          </cell>
          <cell r="FK232">
            <v>0</v>
          </cell>
          <cell r="FL232">
            <v>0</v>
          </cell>
          <cell r="FM232">
            <v>0</v>
          </cell>
          <cell r="FN232">
            <v>0</v>
          </cell>
          <cell r="FO232">
            <v>0</v>
          </cell>
          <cell r="FP232">
            <v>0</v>
          </cell>
          <cell r="FQ232">
            <v>0</v>
          </cell>
          <cell r="FR232">
            <v>0</v>
          </cell>
          <cell r="FS232">
            <v>0</v>
          </cell>
          <cell r="FT232">
            <v>0</v>
          </cell>
          <cell r="FU232">
            <v>0</v>
          </cell>
          <cell r="FV232">
            <v>0</v>
          </cell>
          <cell r="FW232">
            <v>0</v>
          </cell>
          <cell r="FX232">
            <v>0</v>
          </cell>
          <cell r="FY232">
            <v>0</v>
          </cell>
          <cell r="FZ232">
            <v>0</v>
          </cell>
        </row>
        <row r="233">
          <cell r="A233" t="str">
            <v>I_VIT_NRF_RET_IND_INTR_I11</v>
          </cell>
          <cell r="B233">
            <v>0</v>
          </cell>
          <cell r="C233">
            <v>0</v>
          </cell>
          <cell r="D233">
            <v>0</v>
          </cell>
          <cell r="E233">
            <v>0</v>
          </cell>
          <cell r="F233">
            <v>0</v>
          </cell>
          <cell r="G233">
            <v>0</v>
          </cell>
          <cell r="H233">
            <v>0</v>
          </cell>
          <cell r="I233">
            <v>0</v>
          </cell>
          <cell r="J233">
            <v>0</v>
          </cell>
          <cell r="K233">
            <v>0</v>
          </cell>
          <cell r="L233">
            <v>0</v>
          </cell>
          <cell r="M233">
            <v>0</v>
          </cell>
          <cell r="N233">
            <v>0</v>
          </cell>
          <cell r="O233">
            <v>0</v>
          </cell>
          <cell r="P233">
            <v>0</v>
          </cell>
          <cell r="Q233">
            <v>0</v>
          </cell>
          <cell r="R233">
            <v>0</v>
          </cell>
          <cell r="S233">
            <v>0</v>
          </cell>
          <cell r="T233">
            <v>0</v>
          </cell>
          <cell r="U233">
            <v>0</v>
          </cell>
          <cell r="V233">
            <v>0</v>
          </cell>
          <cell r="W233">
            <v>0</v>
          </cell>
          <cell r="X233">
            <v>0</v>
          </cell>
          <cell r="Y233">
            <v>0</v>
          </cell>
          <cell r="Z233">
            <v>0</v>
          </cell>
          <cell r="AA233">
            <v>0</v>
          </cell>
          <cell r="AB233">
            <v>0</v>
          </cell>
          <cell r="AC233">
            <v>0</v>
          </cell>
          <cell r="AD233">
            <v>0</v>
          </cell>
          <cell r="AE233">
            <v>0</v>
          </cell>
          <cell r="AF233">
            <v>0</v>
          </cell>
          <cell r="AG233">
            <v>0</v>
          </cell>
          <cell r="AH233">
            <v>0</v>
          </cell>
          <cell r="AI233">
            <v>0</v>
          </cell>
          <cell r="AJ233">
            <v>0</v>
          </cell>
          <cell r="AK233">
            <v>0</v>
          </cell>
          <cell r="AL233">
            <v>0</v>
          </cell>
          <cell r="AM233">
            <v>0</v>
          </cell>
          <cell r="AN233">
            <v>0</v>
          </cell>
          <cell r="AO233">
            <v>0</v>
          </cell>
          <cell r="AP233">
            <v>0</v>
          </cell>
          <cell r="AQ233">
            <v>0</v>
          </cell>
          <cell r="AR233">
            <v>0</v>
          </cell>
          <cell r="AS233">
            <v>0</v>
          </cell>
          <cell r="AT233">
            <v>0</v>
          </cell>
          <cell r="AU233">
            <v>0</v>
          </cell>
          <cell r="AV233">
            <v>0</v>
          </cell>
          <cell r="AW233">
            <v>0</v>
          </cell>
          <cell r="AX233">
            <v>0</v>
          </cell>
          <cell r="AY233">
            <v>0</v>
          </cell>
          <cell r="AZ233">
            <v>0</v>
          </cell>
          <cell r="BA233">
            <v>0</v>
          </cell>
          <cell r="BB233">
            <v>0</v>
          </cell>
          <cell r="BC233">
            <v>0</v>
          </cell>
          <cell r="BD233">
            <v>0</v>
          </cell>
          <cell r="BE233">
            <v>0</v>
          </cell>
          <cell r="BF233">
            <v>0</v>
          </cell>
          <cell r="BG233">
            <v>0</v>
          </cell>
          <cell r="BH233">
            <v>0</v>
          </cell>
          <cell r="BI233">
            <v>0</v>
          </cell>
          <cell r="BJ233">
            <v>0</v>
          </cell>
          <cell r="BK233">
            <v>0</v>
          </cell>
          <cell r="BL233">
            <v>0</v>
          </cell>
          <cell r="BM233">
            <v>0</v>
          </cell>
          <cell r="BN233">
            <v>0</v>
          </cell>
          <cell r="BO233">
            <v>0</v>
          </cell>
          <cell r="BP233">
            <v>0</v>
          </cell>
          <cell r="BQ233">
            <v>0</v>
          </cell>
          <cell r="BR233">
            <v>0</v>
          </cell>
          <cell r="BS233">
            <v>0</v>
          </cell>
          <cell r="BT233">
            <v>0</v>
          </cell>
          <cell r="BU233">
            <v>0</v>
          </cell>
          <cell r="BV233">
            <v>0</v>
          </cell>
          <cell r="BW233">
            <v>0</v>
          </cell>
          <cell r="BX233">
            <v>0</v>
          </cell>
          <cell r="BY233">
            <v>0</v>
          </cell>
          <cell r="BZ233">
            <v>0</v>
          </cell>
          <cell r="CA233">
            <v>0</v>
          </cell>
          <cell r="CB233">
            <v>0</v>
          </cell>
          <cell r="CC233">
            <v>0</v>
          </cell>
          <cell r="CD233">
            <v>0</v>
          </cell>
          <cell r="CE233">
            <v>0</v>
          </cell>
          <cell r="CF233">
            <v>0</v>
          </cell>
          <cell r="CG233">
            <v>0</v>
          </cell>
          <cell r="CH233">
            <v>0</v>
          </cell>
          <cell r="CI233">
            <v>0</v>
          </cell>
          <cell r="CJ233">
            <v>0</v>
          </cell>
          <cell r="CK233">
            <v>0</v>
          </cell>
          <cell r="CL233">
            <v>0</v>
          </cell>
          <cell r="CM233">
            <v>0</v>
          </cell>
          <cell r="CN233">
            <v>0</v>
          </cell>
          <cell r="CO233">
            <v>0</v>
          </cell>
          <cell r="CP233">
            <v>0</v>
          </cell>
          <cell r="CQ233">
            <v>0</v>
          </cell>
          <cell r="CR233">
            <v>0</v>
          </cell>
          <cell r="CS233">
            <v>0</v>
          </cell>
          <cell r="CT233">
            <v>0</v>
          </cell>
          <cell r="CU233">
            <v>0</v>
          </cell>
          <cell r="CV233">
            <v>0</v>
          </cell>
          <cell r="CW233">
            <v>0</v>
          </cell>
          <cell r="CX233">
            <v>0</v>
          </cell>
          <cell r="CY233">
            <v>0</v>
          </cell>
          <cell r="CZ233">
            <v>0</v>
          </cell>
          <cell r="DA233">
            <v>0</v>
          </cell>
          <cell r="DB233">
            <v>0</v>
          </cell>
          <cell r="DC233">
            <v>0</v>
          </cell>
          <cell r="DD233">
            <v>0</v>
          </cell>
          <cell r="DE233">
            <v>0</v>
          </cell>
          <cell r="DF233">
            <v>0</v>
          </cell>
          <cell r="DG233">
            <v>0</v>
          </cell>
          <cell r="DH233">
            <v>0</v>
          </cell>
          <cell r="DI233">
            <v>0</v>
          </cell>
          <cell r="DJ233">
            <v>0</v>
          </cell>
          <cell r="DK233">
            <v>0</v>
          </cell>
          <cell r="DL233">
            <v>0</v>
          </cell>
          <cell r="DM233">
            <v>0</v>
          </cell>
          <cell r="DN233">
            <v>0</v>
          </cell>
          <cell r="DO233">
            <v>0</v>
          </cell>
          <cell r="DP233">
            <v>0</v>
          </cell>
          <cell r="DQ233">
            <v>0</v>
          </cell>
          <cell r="DR233">
            <v>0</v>
          </cell>
          <cell r="DS233">
            <v>0</v>
          </cell>
          <cell r="DT233">
            <v>0</v>
          </cell>
          <cell r="DU233">
            <v>0</v>
          </cell>
          <cell r="DV233">
            <v>0</v>
          </cell>
          <cell r="DW233">
            <v>0</v>
          </cell>
          <cell r="DX233">
            <v>0</v>
          </cell>
          <cell r="DY233">
            <v>0</v>
          </cell>
          <cell r="EA233">
            <v>0</v>
          </cell>
          <cell r="EB233">
            <v>0</v>
          </cell>
          <cell r="EC233">
            <v>0</v>
          </cell>
          <cell r="ED233">
            <v>0</v>
          </cell>
          <cell r="EE233">
            <v>0</v>
          </cell>
          <cell r="EF233">
            <v>0</v>
          </cell>
          <cell r="EG233">
            <v>0</v>
          </cell>
          <cell r="EH233">
            <v>0</v>
          </cell>
          <cell r="EI233">
            <v>0</v>
          </cell>
          <cell r="EJ233">
            <v>0</v>
          </cell>
          <cell r="EK233">
            <v>0</v>
          </cell>
          <cell r="EL233">
            <v>0</v>
          </cell>
          <cell r="EM233">
            <v>0</v>
          </cell>
          <cell r="EN233">
            <v>0</v>
          </cell>
          <cell r="EO233">
            <v>0</v>
          </cell>
          <cell r="EP233">
            <v>0</v>
          </cell>
          <cell r="EQ233">
            <v>0</v>
          </cell>
          <cell r="ER233">
            <v>0</v>
          </cell>
          <cell r="ES233">
            <v>0</v>
          </cell>
          <cell r="ET233">
            <v>0</v>
          </cell>
          <cell r="EU233">
            <v>0</v>
          </cell>
          <cell r="EV233">
            <v>0</v>
          </cell>
          <cell r="EW233">
            <v>0</v>
          </cell>
          <cell r="EX233">
            <v>0</v>
          </cell>
          <cell r="EY233">
            <v>0</v>
          </cell>
          <cell r="EZ233">
            <v>0</v>
          </cell>
          <cell r="FA233">
            <v>0</v>
          </cell>
          <cell r="FB233">
            <v>0</v>
          </cell>
          <cell r="FC233">
            <v>0</v>
          </cell>
          <cell r="FD233">
            <v>0</v>
          </cell>
          <cell r="FE233">
            <v>0</v>
          </cell>
          <cell r="FF233">
            <v>0</v>
          </cell>
          <cell r="FG233">
            <v>0</v>
          </cell>
          <cell r="FH233">
            <v>0</v>
          </cell>
          <cell r="FI233">
            <v>0</v>
          </cell>
          <cell r="FJ233">
            <v>0</v>
          </cell>
          <cell r="FK233">
            <v>0</v>
          </cell>
          <cell r="FL233">
            <v>0</v>
          </cell>
          <cell r="FM233">
            <v>0</v>
          </cell>
          <cell r="FN233">
            <v>0</v>
          </cell>
          <cell r="FO233">
            <v>0</v>
          </cell>
          <cell r="FP233">
            <v>0</v>
          </cell>
          <cell r="FQ233">
            <v>0</v>
          </cell>
          <cell r="FR233">
            <v>0</v>
          </cell>
          <cell r="FS233">
            <v>0</v>
          </cell>
          <cell r="FT233">
            <v>0</v>
          </cell>
          <cell r="FU233">
            <v>0</v>
          </cell>
          <cell r="FV233">
            <v>0</v>
          </cell>
          <cell r="FW233">
            <v>0</v>
          </cell>
          <cell r="FX233">
            <v>0</v>
          </cell>
          <cell r="FY233">
            <v>0</v>
          </cell>
          <cell r="FZ233">
            <v>0</v>
          </cell>
        </row>
        <row r="234">
          <cell r="A234" t="str">
            <v>I_LKC_NRF_CPT_PRP_INTR_C01</v>
          </cell>
          <cell r="B234">
            <v>0</v>
          </cell>
          <cell r="C234">
            <v>0</v>
          </cell>
          <cell r="D234">
            <v>0</v>
          </cell>
          <cell r="E234">
            <v>0</v>
          </cell>
          <cell r="F234">
            <v>0</v>
          </cell>
          <cell r="G234">
            <v>0</v>
          </cell>
          <cell r="H234">
            <v>0</v>
          </cell>
          <cell r="I234">
            <v>0</v>
          </cell>
          <cell r="J234">
            <v>0</v>
          </cell>
          <cell r="K234">
            <v>0</v>
          </cell>
          <cell r="L234">
            <v>0</v>
          </cell>
          <cell r="M234">
            <v>0</v>
          </cell>
          <cell r="N234">
            <v>0</v>
          </cell>
          <cell r="O234">
            <v>0</v>
          </cell>
          <cell r="P234">
            <v>0</v>
          </cell>
          <cell r="Q234">
            <v>0</v>
          </cell>
          <cell r="R234">
            <v>0</v>
          </cell>
          <cell r="S234">
            <v>0</v>
          </cell>
          <cell r="T234">
            <v>0</v>
          </cell>
          <cell r="U234">
            <v>0</v>
          </cell>
          <cell r="V234">
            <v>0</v>
          </cell>
          <cell r="W234">
            <v>0</v>
          </cell>
          <cell r="X234">
            <v>0</v>
          </cell>
          <cell r="Y234">
            <v>0</v>
          </cell>
          <cell r="Z234">
            <v>0</v>
          </cell>
          <cell r="AA234">
            <v>0</v>
          </cell>
          <cell r="AB234">
            <v>0</v>
          </cell>
          <cell r="AC234">
            <v>0</v>
          </cell>
          <cell r="AD234">
            <v>0</v>
          </cell>
          <cell r="AE234">
            <v>0</v>
          </cell>
          <cell r="AF234">
            <v>0</v>
          </cell>
          <cell r="AG234">
            <v>0</v>
          </cell>
          <cell r="AH234">
            <v>0</v>
          </cell>
          <cell r="AI234">
            <v>0</v>
          </cell>
          <cell r="AJ234">
            <v>0</v>
          </cell>
          <cell r="AK234">
            <v>0</v>
          </cell>
          <cell r="AL234">
            <v>0</v>
          </cell>
          <cell r="AM234">
            <v>0</v>
          </cell>
          <cell r="AN234">
            <v>0</v>
          </cell>
          <cell r="AO234">
            <v>0</v>
          </cell>
          <cell r="AP234">
            <v>0</v>
          </cell>
          <cell r="AQ234">
            <v>0</v>
          </cell>
          <cell r="AR234">
            <v>0</v>
          </cell>
          <cell r="AS234">
            <v>0</v>
          </cell>
          <cell r="AT234">
            <v>0</v>
          </cell>
          <cell r="AU234">
            <v>0</v>
          </cell>
          <cell r="AV234">
            <v>0</v>
          </cell>
          <cell r="AW234">
            <v>0</v>
          </cell>
          <cell r="AX234">
            <v>0</v>
          </cell>
          <cell r="AY234">
            <v>0</v>
          </cell>
          <cell r="AZ234">
            <v>0</v>
          </cell>
          <cell r="BA234">
            <v>0</v>
          </cell>
          <cell r="BB234">
            <v>0</v>
          </cell>
          <cell r="BC234">
            <v>0</v>
          </cell>
          <cell r="BD234">
            <v>0</v>
          </cell>
          <cell r="BE234">
            <v>0</v>
          </cell>
          <cell r="BF234">
            <v>0</v>
          </cell>
          <cell r="BG234">
            <v>0</v>
          </cell>
          <cell r="BH234">
            <v>0</v>
          </cell>
          <cell r="BI234">
            <v>0</v>
          </cell>
          <cell r="BJ234">
            <v>0</v>
          </cell>
          <cell r="BK234">
            <v>0</v>
          </cell>
          <cell r="BL234">
            <v>0</v>
          </cell>
          <cell r="BM234">
            <v>0</v>
          </cell>
          <cell r="BN234">
            <v>0</v>
          </cell>
          <cell r="BO234">
            <v>0</v>
          </cell>
          <cell r="BP234">
            <v>0</v>
          </cell>
          <cell r="BQ234">
            <v>0</v>
          </cell>
          <cell r="BR234">
            <v>0</v>
          </cell>
          <cell r="BS234">
            <v>0</v>
          </cell>
          <cell r="BT234">
            <v>0</v>
          </cell>
          <cell r="BU234">
            <v>0</v>
          </cell>
          <cell r="BV234">
            <v>0</v>
          </cell>
          <cell r="BW234">
            <v>0</v>
          </cell>
          <cell r="BX234">
            <v>0</v>
          </cell>
          <cell r="BY234">
            <v>0</v>
          </cell>
          <cell r="BZ234">
            <v>0</v>
          </cell>
          <cell r="CA234">
            <v>0</v>
          </cell>
          <cell r="CB234">
            <v>0</v>
          </cell>
          <cell r="CC234">
            <v>0</v>
          </cell>
          <cell r="CD234">
            <v>0</v>
          </cell>
          <cell r="CE234">
            <v>0</v>
          </cell>
          <cell r="CF234">
            <v>0</v>
          </cell>
          <cell r="CG234">
            <v>0</v>
          </cell>
          <cell r="CH234">
            <v>0</v>
          </cell>
          <cell r="CI234">
            <v>0</v>
          </cell>
          <cell r="CJ234">
            <v>0</v>
          </cell>
          <cell r="CK234">
            <v>0</v>
          </cell>
          <cell r="CL234">
            <v>0</v>
          </cell>
          <cell r="CM234">
            <v>0</v>
          </cell>
          <cell r="CN234">
            <v>0</v>
          </cell>
          <cell r="CO234">
            <v>0</v>
          </cell>
          <cell r="CP234">
            <v>0</v>
          </cell>
          <cell r="CQ234">
            <v>0</v>
          </cell>
          <cell r="CR234">
            <v>0</v>
          </cell>
          <cell r="CS234">
            <v>0</v>
          </cell>
          <cell r="CT234">
            <v>0</v>
          </cell>
          <cell r="CU234">
            <v>0</v>
          </cell>
          <cell r="CV234">
            <v>0</v>
          </cell>
          <cell r="CW234">
            <v>0</v>
          </cell>
          <cell r="CX234">
            <v>0</v>
          </cell>
          <cell r="CY234">
            <v>0</v>
          </cell>
          <cell r="CZ234">
            <v>0</v>
          </cell>
          <cell r="DA234">
            <v>0</v>
          </cell>
          <cell r="DB234">
            <v>0</v>
          </cell>
          <cell r="DC234">
            <v>0</v>
          </cell>
          <cell r="DD234">
            <v>0</v>
          </cell>
          <cell r="DE234">
            <v>0</v>
          </cell>
          <cell r="DF234">
            <v>0</v>
          </cell>
          <cell r="DG234">
            <v>0</v>
          </cell>
          <cell r="DH234">
            <v>0</v>
          </cell>
          <cell r="DI234">
            <v>0</v>
          </cell>
          <cell r="DJ234">
            <v>0</v>
          </cell>
          <cell r="DK234">
            <v>0</v>
          </cell>
          <cell r="DL234">
            <v>0</v>
          </cell>
          <cell r="DM234">
            <v>0</v>
          </cell>
          <cell r="DN234">
            <v>0</v>
          </cell>
          <cell r="DO234">
            <v>0</v>
          </cell>
          <cell r="DP234">
            <v>0</v>
          </cell>
          <cell r="DQ234">
            <v>0</v>
          </cell>
          <cell r="DR234">
            <v>0</v>
          </cell>
          <cell r="DS234">
            <v>0</v>
          </cell>
          <cell r="DT234">
            <v>0</v>
          </cell>
          <cell r="DU234">
            <v>0</v>
          </cell>
          <cell r="DV234">
            <v>0</v>
          </cell>
          <cell r="DW234">
            <v>0</v>
          </cell>
          <cell r="DX234">
            <v>0</v>
          </cell>
          <cell r="DY234">
            <v>0</v>
          </cell>
          <cell r="EA234">
            <v>0</v>
          </cell>
          <cell r="EB234">
            <v>0</v>
          </cell>
          <cell r="EC234">
            <v>0</v>
          </cell>
          <cell r="ED234">
            <v>0</v>
          </cell>
          <cell r="EE234">
            <v>0</v>
          </cell>
          <cell r="EF234">
            <v>0</v>
          </cell>
          <cell r="EG234">
            <v>0</v>
          </cell>
          <cell r="EH234">
            <v>0</v>
          </cell>
          <cell r="EI234">
            <v>0</v>
          </cell>
          <cell r="EJ234">
            <v>0</v>
          </cell>
          <cell r="EK234">
            <v>0</v>
          </cell>
          <cell r="EL234">
            <v>0</v>
          </cell>
          <cell r="EM234">
            <v>0</v>
          </cell>
          <cell r="EN234">
            <v>0</v>
          </cell>
          <cell r="EO234">
            <v>0</v>
          </cell>
          <cell r="EP234">
            <v>0</v>
          </cell>
          <cell r="EQ234">
            <v>0</v>
          </cell>
          <cell r="ER234">
            <v>0</v>
          </cell>
          <cell r="ES234">
            <v>0</v>
          </cell>
          <cell r="ET234">
            <v>0</v>
          </cell>
          <cell r="EU234">
            <v>0</v>
          </cell>
          <cell r="EV234">
            <v>0</v>
          </cell>
          <cell r="EW234">
            <v>0</v>
          </cell>
          <cell r="EX234">
            <v>0</v>
          </cell>
          <cell r="EY234">
            <v>0</v>
          </cell>
          <cell r="EZ234">
            <v>0</v>
          </cell>
          <cell r="FA234">
            <v>0</v>
          </cell>
          <cell r="FB234">
            <v>0</v>
          </cell>
          <cell r="FC234">
            <v>0</v>
          </cell>
          <cell r="FD234">
            <v>0</v>
          </cell>
          <cell r="FE234">
            <v>0</v>
          </cell>
          <cell r="FF234">
            <v>0</v>
          </cell>
          <cell r="FG234">
            <v>0</v>
          </cell>
          <cell r="FH234">
            <v>0</v>
          </cell>
          <cell r="FI234">
            <v>0</v>
          </cell>
          <cell r="FJ234">
            <v>0</v>
          </cell>
          <cell r="FK234">
            <v>0</v>
          </cell>
          <cell r="FL234">
            <v>0</v>
          </cell>
          <cell r="FM234">
            <v>0</v>
          </cell>
          <cell r="FN234">
            <v>0</v>
          </cell>
          <cell r="FO234">
            <v>0</v>
          </cell>
          <cell r="FP234">
            <v>0</v>
          </cell>
          <cell r="FQ234">
            <v>0</v>
          </cell>
          <cell r="FR234">
            <v>0</v>
          </cell>
          <cell r="FS234">
            <v>0</v>
          </cell>
          <cell r="FT234">
            <v>0</v>
          </cell>
          <cell r="FU234">
            <v>0</v>
          </cell>
          <cell r="FV234">
            <v>0</v>
          </cell>
          <cell r="FW234">
            <v>0</v>
          </cell>
          <cell r="FX234">
            <v>0</v>
          </cell>
          <cell r="FY234">
            <v>0</v>
          </cell>
          <cell r="FZ234">
            <v>0</v>
          </cell>
        </row>
        <row r="235">
          <cell r="A235" t="str">
            <v>I_LKC_NRF_EPA_UCS_INTR_C02</v>
          </cell>
          <cell r="B235">
            <v>0</v>
          </cell>
          <cell r="C235">
            <v>0</v>
          </cell>
          <cell r="D235">
            <v>0</v>
          </cell>
          <cell r="E235">
            <v>0</v>
          </cell>
          <cell r="F235">
            <v>0</v>
          </cell>
          <cell r="G235">
            <v>0</v>
          </cell>
          <cell r="H235">
            <v>0</v>
          </cell>
          <cell r="I235">
            <v>0</v>
          </cell>
          <cell r="J235">
            <v>0</v>
          </cell>
          <cell r="K235">
            <v>0</v>
          </cell>
          <cell r="L235">
            <v>0</v>
          </cell>
          <cell r="M235">
            <v>0</v>
          </cell>
          <cell r="N235">
            <v>0</v>
          </cell>
          <cell r="O235">
            <v>0</v>
          </cell>
          <cell r="P235">
            <v>0</v>
          </cell>
          <cell r="Q235">
            <v>0</v>
          </cell>
          <cell r="R235">
            <v>0</v>
          </cell>
          <cell r="S235">
            <v>0</v>
          </cell>
          <cell r="T235">
            <v>0</v>
          </cell>
          <cell r="U235">
            <v>0</v>
          </cell>
          <cell r="V235">
            <v>0</v>
          </cell>
          <cell r="W235">
            <v>0</v>
          </cell>
          <cell r="X235">
            <v>0</v>
          </cell>
          <cell r="Y235">
            <v>0</v>
          </cell>
          <cell r="Z235">
            <v>0</v>
          </cell>
          <cell r="AA235">
            <v>0</v>
          </cell>
          <cell r="AB235">
            <v>0</v>
          </cell>
          <cell r="AC235">
            <v>0</v>
          </cell>
          <cell r="AD235">
            <v>0</v>
          </cell>
          <cell r="AE235">
            <v>0</v>
          </cell>
          <cell r="AF235">
            <v>0</v>
          </cell>
          <cell r="AG235">
            <v>0</v>
          </cell>
          <cell r="AH235">
            <v>0</v>
          </cell>
          <cell r="AI235">
            <v>0</v>
          </cell>
          <cell r="AJ235">
            <v>0</v>
          </cell>
          <cell r="AK235">
            <v>0</v>
          </cell>
          <cell r="AL235">
            <v>0</v>
          </cell>
          <cell r="AM235">
            <v>0</v>
          </cell>
          <cell r="AN235">
            <v>0</v>
          </cell>
          <cell r="AO235">
            <v>0</v>
          </cell>
          <cell r="AP235">
            <v>0</v>
          </cell>
          <cell r="AQ235">
            <v>0</v>
          </cell>
          <cell r="AR235">
            <v>0</v>
          </cell>
          <cell r="AS235">
            <v>0</v>
          </cell>
          <cell r="AT235">
            <v>0</v>
          </cell>
          <cell r="AU235">
            <v>0</v>
          </cell>
          <cell r="AV235">
            <v>0</v>
          </cell>
          <cell r="AW235">
            <v>0</v>
          </cell>
          <cell r="AX235">
            <v>0</v>
          </cell>
          <cell r="AY235">
            <v>0</v>
          </cell>
          <cell r="AZ235">
            <v>0</v>
          </cell>
          <cell r="BA235">
            <v>0</v>
          </cell>
          <cell r="BB235">
            <v>0</v>
          </cell>
          <cell r="BC235">
            <v>0</v>
          </cell>
          <cell r="BD235">
            <v>0</v>
          </cell>
          <cell r="BE235">
            <v>0</v>
          </cell>
          <cell r="BF235">
            <v>0</v>
          </cell>
          <cell r="BG235">
            <v>0</v>
          </cell>
          <cell r="BH235">
            <v>0</v>
          </cell>
          <cell r="BI235">
            <v>0</v>
          </cell>
          <cell r="BJ235">
            <v>0</v>
          </cell>
          <cell r="BK235">
            <v>0</v>
          </cell>
          <cell r="BL235">
            <v>0</v>
          </cell>
          <cell r="BM235">
            <v>0</v>
          </cell>
          <cell r="BN235">
            <v>0</v>
          </cell>
          <cell r="BO235">
            <v>0</v>
          </cell>
          <cell r="BP235">
            <v>0</v>
          </cell>
          <cell r="BQ235">
            <v>0</v>
          </cell>
          <cell r="BR235">
            <v>0</v>
          </cell>
          <cell r="BS235">
            <v>0</v>
          </cell>
          <cell r="BT235">
            <v>0</v>
          </cell>
          <cell r="BU235">
            <v>0</v>
          </cell>
          <cell r="BV235">
            <v>0</v>
          </cell>
          <cell r="BW235">
            <v>0</v>
          </cell>
          <cell r="BX235">
            <v>0</v>
          </cell>
          <cell r="BY235">
            <v>0</v>
          </cell>
          <cell r="BZ235">
            <v>0</v>
          </cell>
          <cell r="CA235">
            <v>0</v>
          </cell>
          <cell r="CB235">
            <v>0</v>
          </cell>
          <cell r="CC235">
            <v>0</v>
          </cell>
          <cell r="CD235">
            <v>0</v>
          </cell>
          <cell r="CE235">
            <v>0</v>
          </cell>
          <cell r="CF235">
            <v>0</v>
          </cell>
          <cell r="CG235">
            <v>0</v>
          </cell>
          <cell r="CH235">
            <v>0</v>
          </cell>
          <cell r="CI235">
            <v>0</v>
          </cell>
          <cell r="CJ235">
            <v>0</v>
          </cell>
          <cell r="CK235">
            <v>0</v>
          </cell>
          <cell r="CL235">
            <v>0</v>
          </cell>
          <cell r="CM235">
            <v>0</v>
          </cell>
          <cell r="CN235">
            <v>0</v>
          </cell>
          <cell r="CO235">
            <v>0</v>
          </cell>
          <cell r="CP235">
            <v>0</v>
          </cell>
          <cell r="CQ235">
            <v>0</v>
          </cell>
          <cell r="CR235">
            <v>0</v>
          </cell>
          <cell r="CS235">
            <v>0</v>
          </cell>
          <cell r="CT235">
            <v>0</v>
          </cell>
          <cell r="CU235">
            <v>0</v>
          </cell>
          <cell r="CV235">
            <v>0</v>
          </cell>
          <cell r="CW235">
            <v>0</v>
          </cell>
          <cell r="CX235">
            <v>0</v>
          </cell>
          <cell r="CY235">
            <v>0</v>
          </cell>
          <cell r="CZ235">
            <v>0</v>
          </cell>
          <cell r="DA235">
            <v>0</v>
          </cell>
          <cell r="DB235">
            <v>0</v>
          </cell>
          <cell r="DC235">
            <v>0</v>
          </cell>
          <cell r="DD235">
            <v>0</v>
          </cell>
          <cell r="DE235">
            <v>0</v>
          </cell>
          <cell r="DF235">
            <v>0</v>
          </cell>
          <cell r="DG235">
            <v>0</v>
          </cell>
          <cell r="DH235">
            <v>0</v>
          </cell>
          <cell r="DI235">
            <v>0</v>
          </cell>
          <cell r="DJ235">
            <v>0</v>
          </cell>
          <cell r="DK235">
            <v>0</v>
          </cell>
          <cell r="DL235">
            <v>0</v>
          </cell>
          <cell r="DM235">
            <v>0</v>
          </cell>
          <cell r="DN235">
            <v>0</v>
          </cell>
          <cell r="DO235">
            <v>0</v>
          </cell>
          <cell r="DP235">
            <v>0</v>
          </cell>
          <cell r="DQ235">
            <v>0</v>
          </cell>
          <cell r="DR235">
            <v>0</v>
          </cell>
          <cell r="DS235">
            <v>0</v>
          </cell>
          <cell r="DT235">
            <v>0</v>
          </cell>
          <cell r="DU235">
            <v>0</v>
          </cell>
          <cell r="DV235">
            <v>0</v>
          </cell>
          <cell r="DW235">
            <v>0</v>
          </cell>
          <cell r="DX235">
            <v>0</v>
          </cell>
          <cell r="DY235">
            <v>0</v>
          </cell>
          <cell r="EA235">
            <v>0</v>
          </cell>
          <cell r="EB235">
            <v>0</v>
          </cell>
          <cell r="EC235">
            <v>0</v>
          </cell>
          <cell r="ED235">
            <v>0</v>
          </cell>
          <cell r="EE235">
            <v>0</v>
          </cell>
          <cell r="EF235">
            <v>0</v>
          </cell>
          <cell r="EG235">
            <v>0</v>
          </cell>
          <cell r="EH235">
            <v>0</v>
          </cell>
          <cell r="EI235">
            <v>0</v>
          </cell>
          <cell r="EJ235">
            <v>0</v>
          </cell>
          <cell r="EK235">
            <v>0</v>
          </cell>
          <cell r="EL235">
            <v>0</v>
          </cell>
          <cell r="EM235">
            <v>0</v>
          </cell>
          <cell r="EN235">
            <v>0</v>
          </cell>
          <cell r="EO235">
            <v>0</v>
          </cell>
          <cell r="EP235">
            <v>0</v>
          </cell>
          <cell r="EQ235">
            <v>0</v>
          </cell>
          <cell r="ER235">
            <v>0</v>
          </cell>
          <cell r="ES235">
            <v>0</v>
          </cell>
          <cell r="ET235">
            <v>0</v>
          </cell>
          <cell r="EU235">
            <v>0</v>
          </cell>
          <cell r="EV235">
            <v>0</v>
          </cell>
          <cell r="EW235">
            <v>0</v>
          </cell>
          <cell r="EX235">
            <v>0</v>
          </cell>
          <cell r="EY235">
            <v>0</v>
          </cell>
          <cell r="EZ235">
            <v>0</v>
          </cell>
          <cell r="FA235">
            <v>0</v>
          </cell>
          <cell r="FB235">
            <v>0</v>
          </cell>
          <cell r="FC235">
            <v>0</v>
          </cell>
          <cell r="FD235">
            <v>0</v>
          </cell>
          <cell r="FE235">
            <v>0</v>
          </cell>
          <cell r="FF235">
            <v>0</v>
          </cell>
          <cell r="FG235">
            <v>0</v>
          </cell>
          <cell r="FH235">
            <v>0</v>
          </cell>
          <cell r="FI235">
            <v>0</v>
          </cell>
          <cell r="FJ235">
            <v>0</v>
          </cell>
          <cell r="FK235">
            <v>0</v>
          </cell>
          <cell r="FL235">
            <v>0</v>
          </cell>
          <cell r="FM235">
            <v>0</v>
          </cell>
          <cell r="FN235">
            <v>0</v>
          </cell>
          <cell r="FO235">
            <v>0</v>
          </cell>
          <cell r="FP235">
            <v>0</v>
          </cell>
          <cell r="FQ235">
            <v>0</v>
          </cell>
          <cell r="FR235">
            <v>0</v>
          </cell>
          <cell r="FS235">
            <v>0</v>
          </cell>
          <cell r="FT235">
            <v>0</v>
          </cell>
          <cell r="FU235">
            <v>0</v>
          </cell>
          <cell r="FV235">
            <v>0</v>
          </cell>
          <cell r="FW235">
            <v>0</v>
          </cell>
          <cell r="FX235">
            <v>0</v>
          </cell>
          <cell r="FY235">
            <v>0</v>
          </cell>
          <cell r="FZ235">
            <v>0</v>
          </cell>
        </row>
        <row r="236">
          <cell r="A236" t="str">
            <v>I_LKC_NRF_EPA_UCS_INTR_C03</v>
          </cell>
          <cell r="B236">
            <v>0</v>
          </cell>
          <cell r="C236">
            <v>0</v>
          </cell>
          <cell r="D236">
            <v>0</v>
          </cell>
          <cell r="E236">
            <v>0</v>
          </cell>
          <cell r="F236">
            <v>0</v>
          </cell>
          <cell r="G236">
            <v>0</v>
          </cell>
          <cell r="H236">
            <v>0</v>
          </cell>
          <cell r="I236">
            <v>0</v>
          </cell>
          <cell r="J236">
            <v>0</v>
          </cell>
          <cell r="K236">
            <v>0</v>
          </cell>
          <cell r="L236">
            <v>0</v>
          </cell>
          <cell r="M236">
            <v>0</v>
          </cell>
          <cell r="N236">
            <v>0</v>
          </cell>
          <cell r="O236">
            <v>0</v>
          </cell>
          <cell r="P236">
            <v>0</v>
          </cell>
          <cell r="Q236">
            <v>0</v>
          </cell>
          <cell r="R236">
            <v>0</v>
          </cell>
          <cell r="S236">
            <v>0</v>
          </cell>
          <cell r="T236">
            <v>0</v>
          </cell>
          <cell r="U236">
            <v>0</v>
          </cell>
          <cell r="V236">
            <v>0</v>
          </cell>
          <cell r="W236">
            <v>0</v>
          </cell>
          <cell r="X236">
            <v>0</v>
          </cell>
          <cell r="Y236">
            <v>0</v>
          </cell>
          <cell r="Z236">
            <v>0</v>
          </cell>
          <cell r="AA236">
            <v>0</v>
          </cell>
          <cell r="AB236">
            <v>0</v>
          </cell>
          <cell r="AC236">
            <v>0</v>
          </cell>
          <cell r="AD236">
            <v>0</v>
          </cell>
          <cell r="AE236">
            <v>0</v>
          </cell>
          <cell r="AF236">
            <v>0</v>
          </cell>
          <cell r="AG236">
            <v>0</v>
          </cell>
          <cell r="AH236">
            <v>0</v>
          </cell>
          <cell r="AI236">
            <v>0</v>
          </cell>
          <cell r="AJ236">
            <v>0</v>
          </cell>
          <cell r="AK236">
            <v>0</v>
          </cell>
          <cell r="AL236">
            <v>0</v>
          </cell>
          <cell r="AM236">
            <v>0</v>
          </cell>
          <cell r="AN236">
            <v>0</v>
          </cell>
          <cell r="AO236">
            <v>0</v>
          </cell>
          <cell r="AP236">
            <v>0</v>
          </cell>
          <cell r="AQ236">
            <v>0</v>
          </cell>
          <cell r="AR236">
            <v>0</v>
          </cell>
          <cell r="AS236">
            <v>0</v>
          </cell>
          <cell r="AT236">
            <v>0</v>
          </cell>
          <cell r="AU236">
            <v>0</v>
          </cell>
          <cell r="AV236">
            <v>0</v>
          </cell>
          <cell r="AW236">
            <v>0</v>
          </cell>
          <cell r="AX236">
            <v>0</v>
          </cell>
          <cell r="AY236">
            <v>0</v>
          </cell>
          <cell r="AZ236">
            <v>0</v>
          </cell>
          <cell r="BA236">
            <v>0</v>
          </cell>
          <cell r="BB236">
            <v>0</v>
          </cell>
          <cell r="BC236">
            <v>0</v>
          </cell>
          <cell r="BD236">
            <v>0</v>
          </cell>
          <cell r="BE236">
            <v>0</v>
          </cell>
          <cell r="BF236">
            <v>0</v>
          </cell>
          <cell r="BG236">
            <v>0</v>
          </cell>
          <cell r="BH236">
            <v>0</v>
          </cell>
          <cell r="BI236">
            <v>0</v>
          </cell>
          <cell r="BJ236">
            <v>0</v>
          </cell>
          <cell r="BK236">
            <v>0</v>
          </cell>
          <cell r="BL236">
            <v>0</v>
          </cell>
          <cell r="BM236">
            <v>0</v>
          </cell>
          <cell r="BN236">
            <v>0</v>
          </cell>
          <cell r="BO236">
            <v>0</v>
          </cell>
          <cell r="BP236">
            <v>0</v>
          </cell>
          <cell r="BQ236">
            <v>0</v>
          </cell>
          <cell r="BR236">
            <v>0</v>
          </cell>
          <cell r="BS236">
            <v>0</v>
          </cell>
          <cell r="BT236">
            <v>0</v>
          </cell>
          <cell r="BU236">
            <v>0</v>
          </cell>
          <cell r="BV236">
            <v>0</v>
          </cell>
          <cell r="BW236">
            <v>0</v>
          </cell>
          <cell r="BX236">
            <v>0</v>
          </cell>
          <cell r="BY236">
            <v>0</v>
          </cell>
          <cell r="BZ236">
            <v>0</v>
          </cell>
          <cell r="CA236">
            <v>0</v>
          </cell>
          <cell r="CB236">
            <v>0</v>
          </cell>
          <cell r="CC236">
            <v>0</v>
          </cell>
          <cell r="CD236">
            <v>0</v>
          </cell>
          <cell r="CE236">
            <v>0</v>
          </cell>
          <cell r="CF236">
            <v>0</v>
          </cell>
          <cell r="CG236">
            <v>0</v>
          </cell>
          <cell r="CH236">
            <v>0</v>
          </cell>
          <cell r="CI236">
            <v>0</v>
          </cell>
          <cell r="CJ236">
            <v>0</v>
          </cell>
          <cell r="CK236">
            <v>0</v>
          </cell>
          <cell r="CL236">
            <v>0</v>
          </cell>
          <cell r="CM236">
            <v>0</v>
          </cell>
          <cell r="CN236">
            <v>0</v>
          </cell>
          <cell r="CO236">
            <v>0</v>
          </cell>
          <cell r="CP236">
            <v>0</v>
          </cell>
          <cell r="CQ236">
            <v>0</v>
          </cell>
          <cell r="CR236">
            <v>0</v>
          </cell>
          <cell r="CS236">
            <v>0</v>
          </cell>
          <cell r="CT236">
            <v>0</v>
          </cell>
          <cell r="CU236">
            <v>0</v>
          </cell>
          <cell r="CV236">
            <v>0</v>
          </cell>
          <cell r="CW236">
            <v>0</v>
          </cell>
          <cell r="CX236">
            <v>0</v>
          </cell>
          <cell r="CY236">
            <v>0</v>
          </cell>
          <cell r="CZ236">
            <v>0</v>
          </cell>
          <cell r="DA236">
            <v>0</v>
          </cell>
          <cell r="DB236">
            <v>0</v>
          </cell>
          <cell r="DC236">
            <v>0</v>
          </cell>
          <cell r="DD236">
            <v>0</v>
          </cell>
          <cell r="DE236">
            <v>0</v>
          </cell>
          <cell r="DF236">
            <v>0</v>
          </cell>
          <cell r="DG236">
            <v>0</v>
          </cell>
          <cell r="DH236">
            <v>0</v>
          </cell>
          <cell r="DI236">
            <v>0</v>
          </cell>
          <cell r="DJ236">
            <v>0</v>
          </cell>
          <cell r="DK236">
            <v>0</v>
          </cell>
          <cell r="DL236">
            <v>0</v>
          </cell>
          <cell r="DM236">
            <v>0</v>
          </cell>
          <cell r="DN236">
            <v>0</v>
          </cell>
          <cell r="DO236">
            <v>0</v>
          </cell>
          <cell r="DP236">
            <v>0</v>
          </cell>
          <cell r="DQ236">
            <v>0</v>
          </cell>
          <cell r="DR236">
            <v>0</v>
          </cell>
          <cell r="DS236">
            <v>0</v>
          </cell>
          <cell r="DT236">
            <v>0</v>
          </cell>
          <cell r="DU236">
            <v>0</v>
          </cell>
          <cell r="DV236">
            <v>0</v>
          </cell>
          <cell r="DW236">
            <v>0</v>
          </cell>
          <cell r="DX236">
            <v>0</v>
          </cell>
          <cell r="DY236">
            <v>0</v>
          </cell>
          <cell r="EA236">
            <v>0</v>
          </cell>
          <cell r="EB236">
            <v>0</v>
          </cell>
          <cell r="EC236">
            <v>0</v>
          </cell>
          <cell r="ED236">
            <v>0</v>
          </cell>
          <cell r="EE236">
            <v>0</v>
          </cell>
          <cell r="EF236">
            <v>0</v>
          </cell>
          <cell r="EG236">
            <v>0</v>
          </cell>
          <cell r="EH236">
            <v>0</v>
          </cell>
          <cell r="EI236">
            <v>0</v>
          </cell>
          <cell r="EJ236">
            <v>0</v>
          </cell>
          <cell r="EK236">
            <v>0</v>
          </cell>
          <cell r="EL236">
            <v>0</v>
          </cell>
          <cell r="EM236">
            <v>0</v>
          </cell>
          <cell r="EN236">
            <v>0</v>
          </cell>
          <cell r="EO236">
            <v>0</v>
          </cell>
          <cell r="EP236">
            <v>0</v>
          </cell>
          <cell r="EQ236">
            <v>0</v>
          </cell>
          <cell r="ER236">
            <v>0</v>
          </cell>
          <cell r="ES236">
            <v>0</v>
          </cell>
          <cell r="ET236">
            <v>0</v>
          </cell>
          <cell r="EU236">
            <v>0</v>
          </cell>
          <cell r="EV236">
            <v>0</v>
          </cell>
          <cell r="EW236">
            <v>0</v>
          </cell>
          <cell r="EX236">
            <v>0</v>
          </cell>
          <cell r="EY236">
            <v>0</v>
          </cell>
          <cell r="EZ236">
            <v>0</v>
          </cell>
          <cell r="FA236">
            <v>0</v>
          </cell>
          <cell r="FB236">
            <v>0</v>
          </cell>
          <cell r="FC236">
            <v>0</v>
          </cell>
          <cell r="FD236">
            <v>0</v>
          </cell>
          <cell r="FE236">
            <v>0</v>
          </cell>
          <cell r="FF236">
            <v>0</v>
          </cell>
          <cell r="FG236">
            <v>0</v>
          </cell>
          <cell r="FH236">
            <v>0</v>
          </cell>
          <cell r="FI236">
            <v>0</v>
          </cell>
          <cell r="FJ236">
            <v>0</v>
          </cell>
          <cell r="FK236">
            <v>0</v>
          </cell>
          <cell r="FL236">
            <v>0</v>
          </cell>
          <cell r="FM236">
            <v>0</v>
          </cell>
          <cell r="FN236">
            <v>0</v>
          </cell>
          <cell r="FO236">
            <v>0</v>
          </cell>
          <cell r="FP236">
            <v>0</v>
          </cell>
          <cell r="FQ236">
            <v>0</v>
          </cell>
          <cell r="FR236">
            <v>0</v>
          </cell>
          <cell r="FS236">
            <v>0</v>
          </cell>
          <cell r="FT236">
            <v>0</v>
          </cell>
          <cell r="FU236">
            <v>0</v>
          </cell>
          <cell r="FV236">
            <v>0</v>
          </cell>
          <cell r="FW236">
            <v>0</v>
          </cell>
          <cell r="FX236">
            <v>0</v>
          </cell>
          <cell r="FY236">
            <v>0</v>
          </cell>
          <cell r="FZ236">
            <v>0</v>
          </cell>
        </row>
        <row r="237">
          <cell r="A237" t="str">
            <v>I_LKC_NRF_EPA_UCS_INTR_C04</v>
          </cell>
          <cell r="B237">
            <v>0</v>
          </cell>
          <cell r="C237">
            <v>0</v>
          </cell>
          <cell r="D237">
            <v>0</v>
          </cell>
          <cell r="E237">
            <v>0</v>
          </cell>
          <cell r="F237">
            <v>0</v>
          </cell>
          <cell r="G237">
            <v>0</v>
          </cell>
          <cell r="H237">
            <v>0</v>
          </cell>
          <cell r="I237">
            <v>0</v>
          </cell>
          <cell r="J237">
            <v>0</v>
          </cell>
          <cell r="K237">
            <v>0</v>
          </cell>
          <cell r="L237">
            <v>0</v>
          </cell>
          <cell r="M237">
            <v>0</v>
          </cell>
          <cell r="N237">
            <v>0</v>
          </cell>
          <cell r="O237">
            <v>0</v>
          </cell>
          <cell r="P237">
            <v>0</v>
          </cell>
          <cell r="Q237">
            <v>0</v>
          </cell>
          <cell r="R237">
            <v>0</v>
          </cell>
          <cell r="S237">
            <v>0</v>
          </cell>
          <cell r="T237">
            <v>0</v>
          </cell>
          <cell r="U237">
            <v>0</v>
          </cell>
          <cell r="V237">
            <v>0</v>
          </cell>
          <cell r="W237">
            <v>0</v>
          </cell>
          <cell r="X237">
            <v>0</v>
          </cell>
          <cell r="Y237">
            <v>0</v>
          </cell>
          <cell r="Z237">
            <v>0</v>
          </cell>
          <cell r="AA237">
            <v>0</v>
          </cell>
          <cell r="AB237">
            <v>0</v>
          </cell>
          <cell r="AC237">
            <v>0</v>
          </cell>
          <cell r="AD237">
            <v>0</v>
          </cell>
          <cell r="AE237">
            <v>0</v>
          </cell>
          <cell r="AF237">
            <v>0</v>
          </cell>
          <cell r="AG237">
            <v>0</v>
          </cell>
          <cell r="AH237">
            <v>0</v>
          </cell>
          <cell r="AI237">
            <v>0</v>
          </cell>
          <cell r="AJ237">
            <v>0</v>
          </cell>
          <cell r="AK237">
            <v>0</v>
          </cell>
          <cell r="AL237">
            <v>0</v>
          </cell>
          <cell r="AM237">
            <v>0</v>
          </cell>
          <cell r="AN237">
            <v>0</v>
          </cell>
          <cell r="AO237">
            <v>0</v>
          </cell>
          <cell r="AP237">
            <v>0</v>
          </cell>
          <cell r="AQ237">
            <v>0</v>
          </cell>
          <cell r="AR237">
            <v>0</v>
          </cell>
          <cell r="AS237">
            <v>0</v>
          </cell>
          <cell r="AT237">
            <v>0</v>
          </cell>
          <cell r="AU237">
            <v>0</v>
          </cell>
          <cell r="AV237">
            <v>0</v>
          </cell>
          <cell r="AW237">
            <v>0</v>
          </cell>
          <cell r="AX237">
            <v>0</v>
          </cell>
          <cell r="AY237">
            <v>0</v>
          </cell>
          <cell r="AZ237">
            <v>0</v>
          </cell>
          <cell r="BA237">
            <v>0</v>
          </cell>
          <cell r="BB237">
            <v>0</v>
          </cell>
          <cell r="BC237">
            <v>0</v>
          </cell>
          <cell r="BD237">
            <v>0</v>
          </cell>
          <cell r="BE237">
            <v>0</v>
          </cell>
          <cell r="BF237">
            <v>0</v>
          </cell>
          <cell r="BG237">
            <v>0</v>
          </cell>
          <cell r="BH237">
            <v>0</v>
          </cell>
          <cell r="BI237">
            <v>0</v>
          </cell>
          <cell r="BJ237">
            <v>0</v>
          </cell>
          <cell r="BK237">
            <v>0</v>
          </cell>
          <cell r="BL237">
            <v>0</v>
          </cell>
          <cell r="BM237">
            <v>0</v>
          </cell>
          <cell r="BN237">
            <v>0</v>
          </cell>
          <cell r="BO237">
            <v>0</v>
          </cell>
          <cell r="BP237">
            <v>0</v>
          </cell>
          <cell r="BQ237">
            <v>0</v>
          </cell>
          <cell r="BR237">
            <v>0</v>
          </cell>
          <cell r="BS237">
            <v>0</v>
          </cell>
          <cell r="BT237">
            <v>0</v>
          </cell>
          <cell r="BU237">
            <v>0</v>
          </cell>
          <cell r="BV237">
            <v>0</v>
          </cell>
          <cell r="BW237">
            <v>0</v>
          </cell>
          <cell r="BX237">
            <v>0</v>
          </cell>
          <cell r="BY237">
            <v>0</v>
          </cell>
          <cell r="BZ237">
            <v>0</v>
          </cell>
          <cell r="CA237">
            <v>0</v>
          </cell>
          <cell r="CB237">
            <v>0</v>
          </cell>
          <cell r="CC237">
            <v>0</v>
          </cell>
          <cell r="CD237">
            <v>0</v>
          </cell>
          <cell r="CE237">
            <v>0</v>
          </cell>
          <cell r="CF237">
            <v>0</v>
          </cell>
          <cell r="CG237">
            <v>0</v>
          </cell>
          <cell r="CH237">
            <v>0</v>
          </cell>
          <cell r="CI237">
            <v>0</v>
          </cell>
          <cell r="CJ237">
            <v>0</v>
          </cell>
          <cell r="CK237">
            <v>0</v>
          </cell>
          <cell r="CL237">
            <v>0</v>
          </cell>
          <cell r="CM237">
            <v>0</v>
          </cell>
          <cell r="CN237">
            <v>0</v>
          </cell>
          <cell r="CO237">
            <v>0</v>
          </cell>
          <cell r="CP237">
            <v>0</v>
          </cell>
          <cell r="CQ237">
            <v>0</v>
          </cell>
          <cell r="CR237">
            <v>0</v>
          </cell>
          <cell r="CS237">
            <v>0</v>
          </cell>
          <cell r="CT237">
            <v>0</v>
          </cell>
          <cell r="CU237">
            <v>0</v>
          </cell>
          <cell r="CV237">
            <v>0</v>
          </cell>
          <cell r="CW237">
            <v>0</v>
          </cell>
          <cell r="CX237">
            <v>0</v>
          </cell>
          <cell r="CY237">
            <v>0</v>
          </cell>
          <cell r="CZ237">
            <v>0</v>
          </cell>
          <cell r="DA237">
            <v>0</v>
          </cell>
          <cell r="DB237">
            <v>0</v>
          </cell>
          <cell r="DC237">
            <v>0</v>
          </cell>
          <cell r="DD237">
            <v>0</v>
          </cell>
          <cell r="DE237">
            <v>0</v>
          </cell>
          <cell r="DF237">
            <v>0</v>
          </cell>
          <cell r="DG237">
            <v>0</v>
          </cell>
          <cell r="DH237">
            <v>0</v>
          </cell>
          <cell r="DI237">
            <v>0</v>
          </cell>
          <cell r="DJ237">
            <v>0</v>
          </cell>
          <cell r="DK237">
            <v>0</v>
          </cell>
          <cell r="DL237">
            <v>0</v>
          </cell>
          <cell r="DM237">
            <v>0</v>
          </cell>
          <cell r="DN237">
            <v>0</v>
          </cell>
          <cell r="DO237">
            <v>0</v>
          </cell>
          <cell r="DP237">
            <v>0</v>
          </cell>
          <cell r="DQ237">
            <v>0</v>
          </cell>
          <cell r="DR237">
            <v>0</v>
          </cell>
          <cell r="DS237">
            <v>0</v>
          </cell>
          <cell r="DT237">
            <v>0</v>
          </cell>
          <cell r="DU237">
            <v>0</v>
          </cell>
          <cell r="DV237">
            <v>0</v>
          </cell>
          <cell r="DW237">
            <v>0</v>
          </cell>
          <cell r="DX237">
            <v>0</v>
          </cell>
          <cell r="DY237">
            <v>0</v>
          </cell>
          <cell r="EA237">
            <v>0</v>
          </cell>
          <cell r="EB237">
            <v>0</v>
          </cell>
          <cell r="EC237">
            <v>0</v>
          </cell>
          <cell r="ED237">
            <v>0</v>
          </cell>
          <cell r="EE237">
            <v>0</v>
          </cell>
          <cell r="EF237">
            <v>0</v>
          </cell>
          <cell r="EG237">
            <v>0</v>
          </cell>
          <cell r="EH237">
            <v>0</v>
          </cell>
          <cell r="EI237">
            <v>0</v>
          </cell>
          <cell r="EJ237">
            <v>0</v>
          </cell>
          <cell r="EK237">
            <v>0</v>
          </cell>
          <cell r="EL237">
            <v>0</v>
          </cell>
          <cell r="EM237">
            <v>0</v>
          </cell>
          <cell r="EN237">
            <v>0</v>
          </cell>
          <cell r="EO237">
            <v>0</v>
          </cell>
          <cell r="EP237">
            <v>0</v>
          </cell>
          <cell r="EQ237">
            <v>0</v>
          </cell>
          <cell r="ER237">
            <v>0</v>
          </cell>
          <cell r="ES237">
            <v>0</v>
          </cell>
          <cell r="ET237">
            <v>0</v>
          </cell>
          <cell r="EU237">
            <v>0</v>
          </cell>
          <cell r="EV237">
            <v>0</v>
          </cell>
          <cell r="EW237">
            <v>0</v>
          </cell>
          <cell r="EX237">
            <v>0</v>
          </cell>
          <cell r="EY237">
            <v>0</v>
          </cell>
          <cell r="EZ237">
            <v>0</v>
          </cell>
          <cell r="FA237">
            <v>0</v>
          </cell>
          <cell r="FB237">
            <v>0</v>
          </cell>
          <cell r="FC237">
            <v>0</v>
          </cell>
          <cell r="FD237">
            <v>0</v>
          </cell>
          <cell r="FE237">
            <v>0</v>
          </cell>
          <cell r="FF237">
            <v>0</v>
          </cell>
          <cell r="FG237">
            <v>0</v>
          </cell>
          <cell r="FH237">
            <v>0</v>
          </cell>
          <cell r="FI237">
            <v>0</v>
          </cell>
          <cell r="FJ237">
            <v>0</v>
          </cell>
          <cell r="FK237">
            <v>0</v>
          </cell>
          <cell r="FL237">
            <v>0</v>
          </cell>
          <cell r="FM237">
            <v>0</v>
          </cell>
          <cell r="FN237">
            <v>0</v>
          </cell>
          <cell r="FO237">
            <v>0</v>
          </cell>
          <cell r="FP237">
            <v>0</v>
          </cell>
          <cell r="FQ237">
            <v>0</v>
          </cell>
          <cell r="FR237">
            <v>0</v>
          </cell>
          <cell r="FS237">
            <v>0</v>
          </cell>
          <cell r="FT237">
            <v>0</v>
          </cell>
          <cell r="FU237">
            <v>0</v>
          </cell>
          <cell r="FV237">
            <v>0</v>
          </cell>
          <cell r="FW237">
            <v>0</v>
          </cell>
          <cell r="FX237">
            <v>0</v>
          </cell>
          <cell r="FY237">
            <v>0</v>
          </cell>
          <cell r="FZ237">
            <v>0</v>
          </cell>
        </row>
        <row r="238">
          <cell r="A238" t="str">
            <v>I_LKC_NRF_EPA_EUR_INTR_C05</v>
          </cell>
          <cell r="B238">
            <v>0</v>
          </cell>
          <cell r="C238">
            <v>0</v>
          </cell>
          <cell r="D238">
            <v>0</v>
          </cell>
          <cell r="E238">
            <v>0</v>
          </cell>
          <cell r="F238">
            <v>0</v>
          </cell>
          <cell r="G238">
            <v>0</v>
          </cell>
          <cell r="H238">
            <v>0</v>
          </cell>
          <cell r="I238">
            <v>0</v>
          </cell>
          <cell r="J238">
            <v>0</v>
          </cell>
          <cell r="K238">
            <v>0</v>
          </cell>
          <cell r="L238">
            <v>0</v>
          </cell>
          <cell r="M238">
            <v>0</v>
          </cell>
          <cell r="N238">
            <v>0</v>
          </cell>
          <cell r="O238">
            <v>0</v>
          </cell>
          <cell r="P238">
            <v>0</v>
          </cell>
          <cell r="Q238">
            <v>0</v>
          </cell>
          <cell r="R238">
            <v>0</v>
          </cell>
          <cell r="S238">
            <v>0</v>
          </cell>
          <cell r="T238">
            <v>0</v>
          </cell>
          <cell r="U238">
            <v>0</v>
          </cell>
          <cell r="V238">
            <v>0</v>
          </cell>
          <cell r="W238">
            <v>0</v>
          </cell>
          <cell r="X238">
            <v>0</v>
          </cell>
          <cell r="Y238">
            <v>0</v>
          </cell>
          <cell r="Z238">
            <v>0</v>
          </cell>
          <cell r="AA238">
            <v>0</v>
          </cell>
          <cell r="AB238">
            <v>0</v>
          </cell>
          <cell r="AC238">
            <v>0</v>
          </cell>
          <cell r="AD238">
            <v>0</v>
          </cell>
          <cell r="AE238">
            <v>0</v>
          </cell>
          <cell r="AF238">
            <v>0</v>
          </cell>
          <cell r="AG238">
            <v>0</v>
          </cell>
          <cell r="AH238">
            <v>0</v>
          </cell>
          <cell r="AI238">
            <v>0</v>
          </cell>
          <cell r="AJ238">
            <v>0</v>
          </cell>
          <cell r="AK238">
            <v>0</v>
          </cell>
          <cell r="AL238">
            <v>0</v>
          </cell>
          <cell r="AM238">
            <v>0</v>
          </cell>
          <cell r="AN238">
            <v>0</v>
          </cell>
          <cell r="AO238">
            <v>0</v>
          </cell>
          <cell r="AP238">
            <v>0</v>
          </cell>
          <cell r="AQ238">
            <v>0</v>
          </cell>
          <cell r="AR238">
            <v>0</v>
          </cell>
          <cell r="AS238">
            <v>0</v>
          </cell>
          <cell r="AT238">
            <v>0</v>
          </cell>
          <cell r="AU238">
            <v>0</v>
          </cell>
          <cell r="AV238">
            <v>0</v>
          </cell>
          <cell r="AW238">
            <v>0</v>
          </cell>
          <cell r="AX238">
            <v>0</v>
          </cell>
          <cell r="AY238">
            <v>0</v>
          </cell>
          <cell r="AZ238">
            <v>0</v>
          </cell>
          <cell r="BA238">
            <v>0</v>
          </cell>
          <cell r="BB238">
            <v>0</v>
          </cell>
          <cell r="BC238">
            <v>0</v>
          </cell>
          <cell r="BD238">
            <v>0</v>
          </cell>
          <cell r="BE238">
            <v>0</v>
          </cell>
          <cell r="BF238">
            <v>0</v>
          </cell>
          <cell r="BG238">
            <v>0</v>
          </cell>
          <cell r="BH238">
            <v>0</v>
          </cell>
          <cell r="BI238">
            <v>0</v>
          </cell>
          <cell r="BJ238">
            <v>0</v>
          </cell>
          <cell r="BK238">
            <v>0</v>
          </cell>
          <cell r="BL238">
            <v>0</v>
          </cell>
          <cell r="BM238">
            <v>0</v>
          </cell>
          <cell r="BN238">
            <v>0</v>
          </cell>
          <cell r="BO238">
            <v>0</v>
          </cell>
          <cell r="BP238">
            <v>0</v>
          </cell>
          <cell r="BQ238">
            <v>0</v>
          </cell>
          <cell r="BR238">
            <v>0</v>
          </cell>
          <cell r="BS238">
            <v>0</v>
          </cell>
          <cell r="BT238">
            <v>0</v>
          </cell>
          <cell r="BU238">
            <v>0</v>
          </cell>
          <cell r="BV238">
            <v>0</v>
          </cell>
          <cell r="BW238">
            <v>0</v>
          </cell>
          <cell r="BX238">
            <v>0</v>
          </cell>
          <cell r="BY238">
            <v>0</v>
          </cell>
          <cell r="BZ238">
            <v>0</v>
          </cell>
          <cell r="CA238">
            <v>0</v>
          </cell>
          <cell r="CB238">
            <v>0</v>
          </cell>
          <cell r="CC238">
            <v>0</v>
          </cell>
          <cell r="CD238">
            <v>0</v>
          </cell>
          <cell r="CE238">
            <v>0</v>
          </cell>
          <cell r="CF238">
            <v>0</v>
          </cell>
          <cell r="CG238">
            <v>0</v>
          </cell>
          <cell r="CH238">
            <v>0</v>
          </cell>
          <cell r="CI238">
            <v>0</v>
          </cell>
          <cell r="CJ238">
            <v>0</v>
          </cell>
          <cell r="CK238">
            <v>0</v>
          </cell>
          <cell r="CL238">
            <v>0</v>
          </cell>
          <cell r="CM238">
            <v>0</v>
          </cell>
          <cell r="CN238">
            <v>0</v>
          </cell>
          <cell r="CO238">
            <v>0</v>
          </cell>
          <cell r="CP238">
            <v>0</v>
          </cell>
          <cell r="CQ238">
            <v>0</v>
          </cell>
          <cell r="CR238">
            <v>0</v>
          </cell>
          <cell r="CS238">
            <v>0</v>
          </cell>
          <cell r="CT238">
            <v>0</v>
          </cell>
          <cell r="CU238">
            <v>0</v>
          </cell>
          <cell r="CV238">
            <v>0</v>
          </cell>
          <cell r="CW238">
            <v>0</v>
          </cell>
          <cell r="CX238">
            <v>0</v>
          </cell>
          <cell r="CY238">
            <v>0</v>
          </cell>
          <cell r="CZ238">
            <v>0</v>
          </cell>
          <cell r="DA238">
            <v>0</v>
          </cell>
          <cell r="DB238">
            <v>0</v>
          </cell>
          <cell r="DC238">
            <v>0</v>
          </cell>
          <cell r="DD238">
            <v>0</v>
          </cell>
          <cell r="DE238">
            <v>0</v>
          </cell>
          <cell r="DF238">
            <v>0</v>
          </cell>
          <cell r="DG238">
            <v>0</v>
          </cell>
          <cell r="DH238">
            <v>0</v>
          </cell>
          <cell r="DI238">
            <v>0</v>
          </cell>
          <cell r="DJ238">
            <v>0</v>
          </cell>
          <cell r="DK238">
            <v>0</v>
          </cell>
          <cell r="DL238">
            <v>0</v>
          </cell>
          <cell r="DM238">
            <v>0</v>
          </cell>
          <cell r="DN238">
            <v>0</v>
          </cell>
          <cell r="DO238">
            <v>0</v>
          </cell>
          <cell r="DP238">
            <v>0</v>
          </cell>
          <cell r="DQ238">
            <v>0</v>
          </cell>
          <cell r="DR238">
            <v>0</v>
          </cell>
          <cell r="DS238">
            <v>0</v>
          </cell>
          <cell r="DT238">
            <v>0</v>
          </cell>
          <cell r="DU238">
            <v>0</v>
          </cell>
          <cell r="DV238">
            <v>0</v>
          </cell>
          <cell r="DW238">
            <v>0</v>
          </cell>
          <cell r="DX238">
            <v>0</v>
          </cell>
          <cell r="DY238">
            <v>0</v>
          </cell>
          <cell r="EA238">
            <v>0</v>
          </cell>
          <cell r="EB238">
            <v>0</v>
          </cell>
          <cell r="EC238">
            <v>0</v>
          </cell>
          <cell r="ED238">
            <v>0</v>
          </cell>
          <cell r="EE238">
            <v>0</v>
          </cell>
          <cell r="EF238">
            <v>0</v>
          </cell>
          <cell r="EG238">
            <v>0</v>
          </cell>
          <cell r="EH238">
            <v>0</v>
          </cell>
          <cell r="EI238">
            <v>0</v>
          </cell>
          <cell r="EJ238">
            <v>0</v>
          </cell>
          <cell r="EK238">
            <v>0</v>
          </cell>
          <cell r="EL238">
            <v>0</v>
          </cell>
          <cell r="EM238">
            <v>0</v>
          </cell>
          <cell r="EN238">
            <v>0</v>
          </cell>
          <cell r="EO238">
            <v>0</v>
          </cell>
          <cell r="EP238">
            <v>0</v>
          </cell>
          <cell r="EQ238">
            <v>0</v>
          </cell>
          <cell r="ER238">
            <v>0</v>
          </cell>
          <cell r="ES238">
            <v>0</v>
          </cell>
          <cell r="ET238">
            <v>0</v>
          </cell>
          <cell r="EU238">
            <v>0</v>
          </cell>
          <cell r="EV238">
            <v>0</v>
          </cell>
          <cell r="EW238">
            <v>0</v>
          </cell>
          <cell r="EX238">
            <v>0</v>
          </cell>
          <cell r="EY238">
            <v>0</v>
          </cell>
          <cell r="EZ238">
            <v>0</v>
          </cell>
          <cell r="FA238">
            <v>0</v>
          </cell>
          <cell r="FB238">
            <v>0</v>
          </cell>
          <cell r="FC238">
            <v>0</v>
          </cell>
          <cell r="FD238">
            <v>0</v>
          </cell>
          <cell r="FE238">
            <v>0</v>
          </cell>
          <cell r="FF238">
            <v>0</v>
          </cell>
          <cell r="FG238">
            <v>0</v>
          </cell>
          <cell r="FH238">
            <v>0</v>
          </cell>
          <cell r="FI238">
            <v>0</v>
          </cell>
          <cell r="FJ238">
            <v>0</v>
          </cell>
          <cell r="FK238">
            <v>0</v>
          </cell>
          <cell r="FL238">
            <v>0</v>
          </cell>
          <cell r="FM238">
            <v>0</v>
          </cell>
          <cell r="FN238">
            <v>0</v>
          </cell>
          <cell r="FO238">
            <v>0</v>
          </cell>
          <cell r="FP238">
            <v>0</v>
          </cell>
          <cell r="FQ238">
            <v>0</v>
          </cell>
          <cell r="FR238">
            <v>0</v>
          </cell>
          <cell r="FS238">
            <v>0</v>
          </cell>
          <cell r="FT238">
            <v>0</v>
          </cell>
          <cell r="FU238">
            <v>0</v>
          </cell>
          <cell r="FV238">
            <v>0</v>
          </cell>
          <cell r="FW238">
            <v>0</v>
          </cell>
          <cell r="FX238">
            <v>0</v>
          </cell>
          <cell r="FY238">
            <v>0</v>
          </cell>
          <cell r="FZ238">
            <v>0</v>
          </cell>
        </row>
        <row r="239">
          <cell r="A239" t="str">
            <v>I_LKC_NRF_EPA_EUR_INTR_C06</v>
          </cell>
          <cell r="B239">
            <v>0</v>
          </cell>
          <cell r="C239">
            <v>0</v>
          </cell>
          <cell r="D239">
            <v>0</v>
          </cell>
          <cell r="E239">
            <v>0</v>
          </cell>
          <cell r="F239">
            <v>0</v>
          </cell>
          <cell r="G239">
            <v>0</v>
          </cell>
          <cell r="H239">
            <v>0</v>
          </cell>
          <cell r="I239">
            <v>0</v>
          </cell>
          <cell r="J239">
            <v>0</v>
          </cell>
          <cell r="K239">
            <v>0</v>
          </cell>
          <cell r="L239">
            <v>0</v>
          </cell>
          <cell r="M239">
            <v>0</v>
          </cell>
          <cell r="N239">
            <v>0</v>
          </cell>
          <cell r="O239">
            <v>0</v>
          </cell>
          <cell r="P239">
            <v>0</v>
          </cell>
          <cell r="Q239">
            <v>0</v>
          </cell>
          <cell r="R239">
            <v>0</v>
          </cell>
          <cell r="S239">
            <v>0</v>
          </cell>
          <cell r="T239">
            <v>0</v>
          </cell>
          <cell r="U239">
            <v>0</v>
          </cell>
          <cell r="V239">
            <v>0</v>
          </cell>
          <cell r="W239">
            <v>0</v>
          </cell>
          <cell r="X239">
            <v>0</v>
          </cell>
          <cell r="Y239">
            <v>0</v>
          </cell>
          <cell r="Z239">
            <v>0</v>
          </cell>
          <cell r="AA239">
            <v>0</v>
          </cell>
          <cell r="AB239">
            <v>0</v>
          </cell>
          <cell r="AC239">
            <v>0</v>
          </cell>
          <cell r="AD239">
            <v>0</v>
          </cell>
          <cell r="AE239">
            <v>0</v>
          </cell>
          <cell r="AF239">
            <v>0</v>
          </cell>
          <cell r="AG239">
            <v>0</v>
          </cell>
          <cell r="AH239">
            <v>0</v>
          </cell>
          <cell r="AI239">
            <v>0</v>
          </cell>
          <cell r="AJ239">
            <v>0</v>
          </cell>
          <cell r="AK239">
            <v>0</v>
          </cell>
          <cell r="AL239">
            <v>0</v>
          </cell>
          <cell r="AM239">
            <v>0</v>
          </cell>
          <cell r="AN239">
            <v>0</v>
          </cell>
          <cell r="AO239">
            <v>0</v>
          </cell>
          <cell r="AP239">
            <v>0</v>
          </cell>
          <cell r="AQ239">
            <v>0</v>
          </cell>
          <cell r="AR239">
            <v>0</v>
          </cell>
          <cell r="AS239">
            <v>0</v>
          </cell>
          <cell r="AT239">
            <v>0</v>
          </cell>
          <cell r="AU239">
            <v>0</v>
          </cell>
          <cell r="AV239">
            <v>0</v>
          </cell>
          <cell r="AW239">
            <v>0</v>
          </cell>
          <cell r="AX239">
            <v>0</v>
          </cell>
          <cell r="AY239">
            <v>0</v>
          </cell>
          <cell r="AZ239">
            <v>0</v>
          </cell>
          <cell r="BA239">
            <v>0</v>
          </cell>
          <cell r="BB239">
            <v>0</v>
          </cell>
          <cell r="BC239">
            <v>0</v>
          </cell>
          <cell r="BD239">
            <v>0</v>
          </cell>
          <cell r="BE239">
            <v>0</v>
          </cell>
          <cell r="BF239">
            <v>0</v>
          </cell>
          <cell r="BG239">
            <v>0</v>
          </cell>
          <cell r="BH239">
            <v>0</v>
          </cell>
          <cell r="BI239">
            <v>0</v>
          </cell>
          <cell r="BJ239">
            <v>0</v>
          </cell>
          <cell r="BK239">
            <v>0</v>
          </cell>
          <cell r="BL239">
            <v>0</v>
          </cell>
          <cell r="BM239">
            <v>0</v>
          </cell>
          <cell r="BN239">
            <v>0</v>
          </cell>
          <cell r="BO239">
            <v>0</v>
          </cell>
          <cell r="BP239">
            <v>0</v>
          </cell>
          <cell r="BQ239">
            <v>0</v>
          </cell>
          <cell r="BR239">
            <v>0</v>
          </cell>
          <cell r="BS239">
            <v>0</v>
          </cell>
          <cell r="BT239">
            <v>0</v>
          </cell>
          <cell r="BU239">
            <v>0</v>
          </cell>
          <cell r="BV239">
            <v>0</v>
          </cell>
          <cell r="BW239">
            <v>0</v>
          </cell>
          <cell r="BX239">
            <v>0</v>
          </cell>
          <cell r="BY239">
            <v>0</v>
          </cell>
          <cell r="BZ239">
            <v>0</v>
          </cell>
          <cell r="CA239">
            <v>0</v>
          </cell>
          <cell r="CB239">
            <v>0</v>
          </cell>
          <cell r="CC239">
            <v>0</v>
          </cell>
          <cell r="CD239">
            <v>0</v>
          </cell>
          <cell r="CE239">
            <v>0</v>
          </cell>
          <cell r="CF239">
            <v>0</v>
          </cell>
          <cell r="CG239">
            <v>0</v>
          </cell>
          <cell r="CH239">
            <v>0</v>
          </cell>
          <cell r="CI239">
            <v>0</v>
          </cell>
          <cell r="CJ239">
            <v>0</v>
          </cell>
          <cell r="CK239">
            <v>0</v>
          </cell>
          <cell r="CL239">
            <v>0</v>
          </cell>
          <cell r="CM239">
            <v>0</v>
          </cell>
          <cell r="CN239">
            <v>0</v>
          </cell>
          <cell r="CO239">
            <v>0</v>
          </cell>
          <cell r="CP239">
            <v>0</v>
          </cell>
          <cell r="CQ239">
            <v>0</v>
          </cell>
          <cell r="CR239">
            <v>0</v>
          </cell>
          <cell r="CS239">
            <v>0</v>
          </cell>
          <cell r="CT239">
            <v>0</v>
          </cell>
          <cell r="CU239">
            <v>0</v>
          </cell>
          <cell r="CV239">
            <v>0</v>
          </cell>
          <cell r="CW239">
            <v>0</v>
          </cell>
          <cell r="CX239">
            <v>0</v>
          </cell>
          <cell r="CY239">
            <v>0</v>
          </cell>
          <cell r="CZ239">
            <v>0</v>
          </cell>
          <cell r="DA239">
            <v>0</v>
          </cell>
          <cell r="DB239">
            <v>0</v>
          </cell>
          <cell r="DC239">
            <v>0</v>
          </cell>
          <cell r="DD239">
            <v>0</v>
          </cell>
          <cell r="DE239">
            <v>0</v>
          </cell>
          <cell r="DF239">
            <v>0</v>
          </cell>
          <cell r="DG239">
            <v>0</v>
          </cell>
          <cell r="DH239">
            <v>0</v>
          </cell>
          <cell r="DI239">
            <v>0</v>
          </cell>
          <cell r="DJ239">
            <v>0</v>
          </cell>
          <cell r="DK239">
            <v>0</v>
          </cell>
          <cell r="DL239">
            <v>0</v>
          </cell>
          <cell r="DM239">
            <v>0</v>
          </cell>
          <cell r="DN239">
            <v>0</v>
          </cell>
          <cell r="DO239">
            <v>0</v>
          </cell>
          <cell r="DP239">
            <v>0</v>
          </cell>
          <cell r="DQ239">
            <v>0</v>
          </cell>
          <cell r="DR239">
            <v>0</v>
          </cell>
          <cell r="DS239">
            <v>0</v>
          </cell>
          <cell r="DT239">
            <v>0</v>
          </cell>
          <cell r="DU239">
            <v>0</v>
          </cell>
          <cell r="DV239">
            <v>0</v>
          </cell>
          <cell r="DW239">
            <v>0</v>
          </cell>
          <cell r="DX239">
            <v>0</v>
          </cell>
          <cell r="DY239">
            <v>0</v>
          </cell>
          <cell r="EA239">
            <v>0</v>
          </cell>
          <cell r="EB239">
            <v>0</v>
          </cell>
          <cell r="EC239">
            <v>0</v>
          </cell>
          <cell r="ED239">
            <v>0</v>
          </cell>
          <cell r="EE239">
            <v>0</v>
          </cell>
          <cell r="EF239">
            <v>0</v>
          </cell>
          <cell r="EG239">
            <v>0</v>
          </cell>
          <cell r="EH239">
            <v>0</v>
          </cell>
          <cell r="EI239">
            <v>0</v>
          </cell>
          <cell r="EJ239">
            <v>0</v>
          </cell>
          <cell r="EK239">
            <v>0</v>
          </cell>
          <cell r="EL239">
            <v>0</v>
          </cell>
          <cell r="EM239">
            <v>0</v>
          </cell>
          <cell r="EN239">
            <v>0</v>
          </cell>
          <cell r="EO239">
            <v>0</v>
          </cell>
          <cell r="EP239">
            <v>0</v>
          </cell>
          <cell r="EQ239">
            <v>0</v>
          </cell>
          <cell r="ER239">
            <v>0</v>
          </cell>
          <cell r="ES239">
            <v>0</v>
          </cell>
          <cell r="ET239">
            <v>0</v>
          </cell>
          <cell r="EU239">
            <v>0</v>
          </cell>
          <cell r="EV239">
            <v>0</v>
          </cell>
          <cell r="EW239">
            <v>0</v>
          </cell>
          <cell r="EX239">
            <v>0</v>
          </cell>
          <cell r="EY239">
            <v>0</v>
          </cell>
          <cell r="EZ239">
            <v>0</v>
          </cell>
          <cell r="FA239">
            <v>0</v>
          </cell>
          <cell r="FB239">
            <v>0</v>
          </cell>
          <cell r="FC239">
            <v>0</v>
          </cell>
          <cell r="FD239">
            <v>0</v>
          </cell>
          <cell r="FE239">
            <v>0</v>
          </cell>
          <cell r="FF239">
            <v>0</v>
          </cell>
          <cell r="FG239">
            <v>0</v>
          </cell>
          <cell r="FH239">
            <v>0</v>
          </cell>
          <cell r="FI239">
            <v>0</v>
          </cell>
          <cell r="FJ239">
            <v>0</v>
          </cell>
          <cell r="FK239">
            <v>0</v>
          </cell>
          <cell r="FL239">
            <v>0</v>
          </cell>
          <cell r="FM239">
            <v>0</v>
          </cell>
          <cell r="FN239">
            <v>0</v>
          </cell>
          <cell r="FO239">
            <v>0</v>
          </cell>
          <cell r="FP239">
            <v>0</v>
          </cell>
          <cell r="FQ239">
            <v>0</v>
          </cell>
          <cell r="FR239">
            <v>0</v>
          </cell>
          <cell r="FS239">
            <v>0</v>
          </cell>
          <cell r="FT239">
            <v>0</v>
          </cell>
          <cell r="FU239">
            <v>0</v>
          </cell>
          <cell r="FV239">
            <v>0</v>
          </cell>
          <cell r="FW239">
            <v>0</v>
          </cell>
          <cell r="FX239">
            <v>0</v>
          </cell>
          <cell r="FY239">
            <v>0</v>
          </cell>
          <cell r="FZ239">
            <v>0</v>
          </cell>
        </row>
        <row r="240">
          <cell r="A240" t="str">
            <v>I_LKC_NRF_RIS_IND_INTR_C07</v>
          </cell>
          <cell r="B240">
            <v>0</v>
          </cell>
          <cell r="C240">
            <v>0</v>
          </cell>
          <cell r="D240">
            <v>0</v>
          </cell>
          <cell r="E240">
            <v>0</v>
          </cell>
          <cell r="F240">
            <v>0</v>
          </cell>
          <cell r="G240">
            <v>0</v>
          </cell>
          <cell r="H240">
            <v>0</v>
          </cell>
          <cell r="I240">
            <v>0</v>
          </cell>
          <cell r="J240">
            <v>0</v>
          </cell>
          <cell r="K240">
            <v>0</v>
          </cell>
          <cell r="L240">
            <v>0</v>
          </cell>
          <cell r="M240">
            <v>0</v>
          </cell>
          <cell r="N240">
            <v>0</v>
          </cell>
          <cell r="O240">
            <v>0</v>
          </cell>
          <cell r="P240">
            <v>0</v>
          </cell>
          <cell r="Q240">
            <v>0</v>
          </cell>
          <cell r="R240">
            <v>0</v>
          </cell>
          <cell r="S240">
            <v>0</v>
          </cell>
          <cell r="T240">
            <v>0</v>
          </cell>
          <cell r="U240">
            <v>0</v>
          </cell>
          <cell r="V240">
            <v>0</v>
          </cell>
          <cell r="W240">
            <v>0</v>
          </cell>
          <cell r="X240">
            <v>0</v>
          </cell>
          <cell r="Y240">
            <v>0</v>
          </cell>
          <cell r="Z240">
            <v>0</v>
          </cell>
          <cell r="AA240">
            <v>0</v>
          </cell>
          <cell r="AB240">
            <v>0</v>
          </cell>
          <cell r="AC240">
            <v>0</v>
          </cell>
          <cell r="AD240">
            <v>0</v>
          </cell>
          <cell r="AE240">
            <v>0</v>
          </cell>
          <cell r="AF240">
            <v>0</v>
          </cell>
          <cell r="AG240">
            <v>0</v>
          </cell>
          <cell r="AH240">
            <v>0</v>
          </cell>
          <cell r="AI240">
            <v>0</v>
          </cell>
          <cell r="AJ240">
            <v>0</v>
          </cell>
          <cell r="AK240">
            <v>0</v>
          </cell>
          <cell r="AL240">
            <v>0</v>
          </cell>
          <cell r="AM240">
            <v>0</v>
          </cell>
          <cell r="AN240">
            <v>0</v>
          </cell>
          <cell r="AO240">
            <v>0</v>
          </cell>
          <cell r="AP240">
            <v>0</v>
          </cell>
          <cell r="AQ240">
            <v>0</v>
          </cell>
          <cell r="AR240">
            <v>0</v>
          </cell>
          <cell r="AS240">
            <v>0</v>
          </cell>
          <cell r="AT240">
            <v>0</v>
          </cell>
          <cell r="AU240">
            <v>0</v>
          </cell>
          <cell r="AV240">
            <v>0</v>
          </cell>
          <cell r="AW240">
            <v>0</v>
          </cell>
          <cell r="AX240">
            <v>0</v>
          </cell>
          <cell r="AY240">
            <v>0</v>
          </cell>
          <cell r="AZ240">
            <v>0</v>
          </cell>
          <cell r="BA240">
            <v>0</v>
          </cell>
          <cell r="BB240">
            <v>0</v>
          </cell>
          <cell r="BC240">
            <v>0</v>
          </cell>
          <cell r="BD240">
            <v>0</v>
          </cell>
          <cell r="BE240">
            <v>0</v>
          </cell>
          <cell r="BF240">
            <v>0</v>
          </cell>
          <cell r="BG240">
            <v>0</v>
          </cell>
          <cell r="BH240">
            <v>0</v>
          </cell>
          <cell r="BI240">
            <v>0</v>
          </cell>
          <cell r="BJ240">
            <v>0</v>
          </cell>
          <cell r="BK240">
            <v>0</v>
          </cell>
          <cell r="BL240">
            <v>0</v>
          </cell>
          <cell r="BM240">
            <v>0</v>
          </cell>
          <cell r="BN240">
            <v>0</v>
          </cell>
          <cell r="BO240">
            <v>0</v>
          </cell>
          <cell r="BP240">
            <v>0</v>
          </cell>
          <cell r="BQ240">
            <v>0</v>
          </cell>
          <cell r="BR240">
            <v>0</v>
          </cell>
          <cell r="BS240">
            <v>0</v>
          </cell>
          <cell r="BT240">
            <v>0</v>
          </cell>
          <cell r="BU240">
            <v>0</v>
          </cell>
          <cell r="BV240">
            <v>0</v>
          </cell>
          <cell r="BW240">
            <v>0</v>
          </cell>
          <cell r="BX240">
            <v>0</v>
          </cell>
          <cell r="BY240">
            <v>0</v>
          </cell>
          <cell r="BZ240">
            <v>0</v>
          </cell>
          <cell r="CA240">
            <v>0</v>
          </cell>
          <cell r="CB240">
            <v>0</v>
          </cell>
          <cell r="CC240">
            <v>0</v>
          </cell>
          <cell r="CD240">
            <v>0</v>
          </cell>
          <cell r="CE240">
            <v>0</v>
          </cell>
          <cell r="CF240">
            <v>0</v>
          </cell>
          <cell r="CG240">
            <v>0</v>
          </cell>
          <cell r="CH240">
            <v>0</v>
          </cell>
          <cell r="CI240">
            <v>0</v>
          </cell>
          <cell r="CJ240">
            <v>0</v>
          </cell>
          <cell r="CK240">
            <v>0</v>
          </cell>
          <cell r="CL240">
            <v>0</v>
          </cell>
          <cell r="CM240">
            <v>0</v>
          </cell>
          <cell r="CN240">
            <v>0</v>
          </cell>
          <cell r="CO240">
            <v>0</v>
          </cell>
          <cell r="CP240">
            <v>0</v>
          </cell>
          <cell r="CQ240">
            <v>0</v>
          </cell>
          <cell r="CR240">
            <v>0</v>
          </cell>
          <cell r="CS240">
            <v>0</v>
          </cell>
          <cell r="CT240">
            <v>0</v>
          </cell>
          <cell r="CU240">
            <v>0</v>
          </cell>
          <cell r="CV240">
            <v>0</v>
          </cell>
          <cell r="CW240">
            <v>0</v>
          </cell>
          <cell r="CX240">
            <v>0</v>
          </cell>
          <cell r="CY240">
            <v>0</v>
          </cell>
          <cell r="CZ240">
            <v>0</v>
          </cell>
          <cell r="DA240">
            <v>0</v>
          </cell>
          <cell r="DB240">
            <v>0</v>
          </cell>
          <cell r="DC240">
            <v>0</v>
          </cell>
          <cell r="DD240">
            <v>0</v>
          </cell>
          <cell r="DE240">
            <v>0</v>
          </cell>
          <cell r="DF240">
            <v>0</v>
          </cell>
          <cell r="DG240">
            <v>0</v>
          </cell>
          <cell r="DH240">
            <v>0</v>
          </cell>
          <cell r="DI240">
            <v>0</v>
          </cell>
          <cell r="DJ240">
            <v>0</v>
          </cell>
          <cell r="DK240">
            <v>0</v>
          </cell>
          <cell r="DL240">
            <v>0</v>
          </cell>
          <cell r="DM240">
            <v>0</v>
          </cell>
          <cell r="DN240">
            <v>0</v>
          </cell>
          <cell r="DO240">
            <v>0</v>
          </cell>
          <cell r="DP240">
            <v>0</v>
          </cell>
          <cell r="DQ240">
            <v>0</v>
          </cell>
          <cell r="DR240">
            <v>0</v>
          </cell>
          <cell r="DS240">
            <v>0</v>
          </cell>
          <cell r="DT240">
            <v>0</v>
          </cell>
          <cell r="DU240">
            <v>0</v>
          </cell>
          <cell r="DV240">
            <v>0</v>
          </cell>
          <cell r="DW240">
            <v>0</v>
          </cell>
          <cell r="DX240">
            <v>0</v>
          </cell>
          <cell r="DY240">
            <v>0</v>
          </cell>
          <cell r="EA240">
            <v>0</v>
          </cell>
          <cell r="EB240">
            <v>0</v>
          </cell>
          <cell r="EC240">
            <v>0</v>
          </cell>
          <cell r="ED240">
            <v>0</v>
          </cell>
          <cell r="EE240">
            <v>0</v>
          </cell>
          <cell r="EF240">
            <v>0</v>
          </cell>
          <cell r="EG240">
            <v>0</v>
          </cell>
          <cell r="EH240">
            <v>0</v>
          </cell>
          <cell r="EI240">
            <v>0</v>
          </cell>
          <cell r="EJ240">
            <v>0</v>
          </cell>
          <cell r="EK240">
            <v>0</v>
          </cell>
          <cell r="EL240">
            <v>0</v>
          </cell>
          <cell r="EM240">
            <v>0</v>
          </cell>
          <cell r="EN240">
            <v>0</v>
          </cell>
          <cell r="EO240">
            <v>0</v>
          </cell>
          <cell r="EP240">
            <v>0</v>
          </cell>
          <cell r="EQ240">
            <v>0</v>
          </cell>
          <cell r="ER240">
            <v>0</v>
          </cell>
          <cell r="ES240">
            <v>0</v>
          </cell>
          <cell r="ET240">
            <v>0</v>
          </cell>
          <cell r="EU240">
            <v>0</v>
          </cell>
          <cell r="EV240">
            <v>0</v>
          </cell>
          <cell r="EW240">
            <v>0</v>
          </cell>
          <cell r="EX240">
            <v>0</v>
          </cell>
          <cell r="EY240">
            <v>0</v>
          </cell>
          <cell r="EZ240">
            <v>0</v>
          </cell>
          <cell r="FA240">
            <v>0</v>
          </cell>
          <cell r="FB240">
            <v>0</v>
          </cell>
          <cell r="FC240">
            <v>0</v>
          </cell>
          <cell r="FD240">
            <v>0</v>
          </cell>
          <cell r="FE240">
            <v>0</v>
          </cell>
          <cell r="FF240">
            <v>0</v>
          </cell>
          <cell r="FG240">
            <v>0</v>
          </cell>
          <cell r="FH240">
            <v>0</v>
          </cell>
          <cell r="FI240">
            <v>0</v>
          </cell>
          <cell r="FJ240">
            <v>0</v>
          </cell>
          <cell r="FK240">
            <v>0</v>
          </cell>
          <cell r="FL240">
            <v>0</v>
          </cell>
          <cell r="FM240">
            <v>0</v>
          </cell>
          <cell r="FN240">
            <v>0</v>
          </cell>
          <cell r="FO240">
            <v>0</v>
          </cell>
          <cell r="FP240">
            <v>0</v>
          </cell>
          <cell r="FQ240">
            <v>0</v>
          </cell>
          <cell r="FR240">
            <v>0</v>
          </cell>
          <cell r="FS240">
            <v>0</v>
          </cell>
          <cell r="FT240">
            <v>0</v>
          </cell>
          <cell r="FU240">
            <v>0</v>
          </cell>
          <cell r="FV240">
            <v>0</v>
          </cell>
          <cell r="FW240">
            <v>0</v>
          </cell>
          <cell r="FX240">
            <v>0</v>
          </cell>
          <cell r="FY240">
            <v>0</v>
          </cell>
          <cell r="FZ240">
            <v>0</v>
          </cell>
        </row>
        <row r="241">
          <cell r="A241" t="str">
            <v>I_LKC_NRF_RIS_COL_INTR_C08</v>
          </cell>
          <cell r="B241">
            <v>0</v>
          </cell>
          <cell r="C241">
            <v>0</v>
          </cell>
          <cell r="D241">
            <v>0</v>
          </cell>
          <cell r="E241">
            <v>0</v>
          </cell>
          <cell r="F241">
            <v>0</v>
          </cell>
          <cell r="G241">
            <v>0</v>
          </cell>
          <cell r="H241">
            <v>0</v>
          </cell>
          <cell r="I241">
            <v>0</v>
          </cell>
          <cell r="J241">
            <v>0</v>
          </cell>
          <cell r="K241">
            <v>0</v>
          </cell>
          <cell r="L241">
            <v>0</v>
          </cell>
          <cell r="M241">
            <v>0</v>
          </cell>
          <cell r="N241">
            <v>0</v>
          </cell>
          <cell r="O241">
            <v>0</v>
          </cell>
          <cell r="P241">
            <v>0</v>
          </cell>
          <cell r="Q241">
            <v>0</v>
          </cell>
          <cell r="R241">
            <v>0</v>
          </cell>
          <cell r="S241">
            <v>0</v>
          </cell>
          <cell r="T241">
            <v>0</v>
          </cell>
          <cell r="U241">
            <v>0</v>
          </cell>
          <cell r="V241">
            <v>0</v>
          </cell>
          <cell r="W241">
            <v>0</v>
          </cell>
          <cell r="X241">
            <v>0</v>
          </cell>
          <cell r="Y241">
            <v>0</v>
          </cell>
          <cell r="Z241">
            <v>0</v>
          </cell>
          <cell r="AA241">
            <v>0</v>
          </cell>
          <cell r="AB241">
            <v>0</v>
          </cell>
          <cell r="AC241">
            <v>0</v>
          </cell>
          <cell r="AD241">
            <v>0</v>
          </cell>
          <cell r="AE241">
            <v>0</v>
          </cell>
          <cell r="AF241">
            <v>0</v>
          </cell>
          <cell r="AG241">
            <v>0</v>
          </cell>
          <cell r="AH241">
            <v>0</v>
          </cell>
          <cell r="AI241">
            <v>0</v>
          </cell>
          <cell r="AJ241">
            <v>0</v>
          </cell>
          <cell r="AK241">
            <v>0</v>
          </cell>
          <cell r="AL241">
            <v>0</v>
          </cell>
          <cell r="AM241">
            <v>0</v>
          </cell>
          <cell r="AN241">
            <v>0</v>
          </cell>
          <cell r="AO241">
            <v>0</v>
          </cell>
          <cell r="AP241">
            <v>0</v>
          </cell>
          <cell r="AQ241">
            <v>0</v>
          </cell>
          <cell r="AR241">
            <v>0</v>
          </cell>
          <cell r="AS241">
            <v>0</v>
          </cell>
          <cell r="AT241">
            <v>0</v>
          </cell>
          <cell r="AU241">
            <v>0</v>
          </cell>
          <cell r="AV241">
            <v>0</v>
          </cell>
          <cell r="AW241">
            <v>0</v>
          </cell>
          <cell r="AX241">
            <v>0</v>
          </cell>
          <cell r="AY241">
            <v>0</v>
          </cell>
          <cell r="AZ241">
            <v>0</v>
          </cell>
          <cell r="BA241">
            <v>0</v>
          </cell>
          <cell r="BB241">
            <v>0</v>
          </cell>
          <cell r="BC241">
            <v>0</v>
          </cell>
          <cell r="BD241">
            <v>0</v>
          </cell>
          <cell r="BE241">
            <v>0</v>
          </cell>
          <cell r="BF241">
            <v>0</v>
          </cell>
          <cell r="BG241">
            <v>0</v>
          </cell>
          <cell r="BH241">
            <v>0</v>
          </cell>
          <cell r="BI241">
            <v>0</v>
          </cell>
          <cell r="BJ241">
            <v>0</v>
          </cell>
          <cell r="BK241">
            <v>0</v>
          </cell>
          <cell r="BL241">
            <v>0</v>
          </cell>
          <cell r="BM241">
            <v>0</v>
          </cell>
          <cell r="BN241">
            <v>0</v>
          </cell>
          <cell r="BO241">
            <v>0</v>
          </cell>
          <cell r="BP241">
            <v>0</v>
          </cell>
          <cell r="BQ241">
            <v>0</v>
          </cell>
          <cell r="BR241">
            <v>0</v>
          </cell>
          <cell r="BS241">
            <v>0</v>
          </cell>
          <cell r="BT241">
            <v>0</v>
          </cell>
          <cell r="BU241">
            <v>0</v>
          </cell>
          <cell r="BV241">
            <v>0</v>
          </cell>
          <cell r="BW241">
            <v>0</v>
          </cell>
          <cell r="BX241">
            <v>0</v>
          </cell>
          <cell r="BY241">
            <v>0</v>
          </cell>
          <cell r="BZ241">
            <v>0</v>
          </cell>
          <cell r="CA241">
            <v>0</v>
          </cell>
          <cell r="CB241">
            <v>0</v>
          </cell>
          <cell r="CC241">
            <v>0</v>
          </cell>
          <cell r="CD241">
            <v>0</v>
          </cell>
          <cell r="CE241">
            <v>0</v>
          </cell>
          <cell r="CF241">
            <v>0</v>
          </cell>
          <cell r="CG241">
            <v>0</v>
          </cell>
          <cell r="CH241">
            <v>0</v>
          </cell>
          <cell r="CI241">
            <v>0</v>
          </cell>
          <cell r="CJ241">
            <v>0</v>
          </cell>
          <cell r="CK241">
            <v>0</v>
          </cell>
          <cell r="CL241">
            <v>0</v>
          </cell>
          <cell r="CM241">
            <v>0</v>
          </cell>
          <cell r="CN241">
            <v>0</v>
          </cell>
          <cell r="CO241">
            <v>0</v>
          </cell>
          <cell r="CP241">
            <v>0</v>
          </cell>
          <cell r="CQ241">
            <v>0</v>
          </cell>
          <cell r="CR241">
            <v>0</v>
          </cell>
          <cell r="CS241">
            <v>0</v>
          </cell>
          <cell r="CT241">
            <v>0</v>
          </cell>
          <cell r="CU241">
            <v>0</v>
          </cell>
          <cell r="CV241">
            <v>0</v>
          </cell>
          <cell r="CW241">
            <v>0</v>
          </cell>
          <cell r="CX241">
            <v>0</v>
          </cell>
          <cell r="CY241">
            <v>0</v>
          </cell>
          <cell r="CZ241">
            <v>0</v>
          </cell>
          <cell r="DA241">
            <v>0</v>
          </cell>
          <cell r="DB241">
            <v>0</v>
          </cell>
          <cell r="DC241">
            <v>0</v>
          </cell>
          <cell r="DD241">
            <v>0</v>
          </cell>
          <cell r="DE241">
            <v>0</v>
          </cell>
          <cell r="DF241">
            <v>0</v>
          </cell>
          <cell r="DG241">
            <v>0</v>
          </cell>
          <cell r="DH241">
            <v>0</v>
          </cell>
          <cell r="DI241">
            <v>0</v>
          </cell>
          <cell r="DJ241">
            <v>0</v>
          </cell>
          <cell r="DK241">
            <v>0</v>
          </cell>
          <cell r="DL241">
            <v>0</v>
          </cell>
          <cell r="DM241">
            <v>0</v>
          </cell>
          <cell r="DN241">
            <v>0</v>
          </cell>
          <cell r="DO241">
            <v>0</v>
          </cell>
          <cell r="DP241">
            <v>0</v>
          </cell>
          <cell r="DQ241">
            <v>0</v>
          </cell>
          <cell r="DR241">
            <v>0</v>
          </cell>
          <cell r="DS241">
            <v>0</v>
          </cell>
          <cell r="DT241">
            <v>0</v>
          </cell>
          <cell r="DU241">
            <v>0</v>
          </cell>
          <cell r="DV241">
            <v>0</v>
          </cell>
          <cell r="DW241">
            <v>0</v>
          </cell>
          <cell r="DX241">
            <v>0</v>
          </cell>
          <cell r="DY241">
            <v>0</v>
          </cell>
          <cell r="EA241">
            <v>0</v>
          </cell>
          <cell r="EB241">
            <v>0</v>
          </cell>
          <cell r="EC241">
            <v>0</v>
          </cell>
          <cell r="ED241">
            <v>0</v>
          </cell>
          <cell r="EE241">
            <v>0</v>
          </cell>
          <cell r="EF241">
            <v>0</v>
          </cell>
          <cell r="EG241">
            <v>0</v>
          </cell>
          <cell r="EH241">
            <v>0</v>
          </cell>
          <cell r="EI241">
            <v>0</v>
          </cell>
          <cell r="EJ241">
            <v>0</v>
          </cell>
          <cell r="EK241">
            <v>0</v>
          </cell>
          <cell r="EL241">
            <v>0</v>
          </cell>
          <cell r="EM241">
            <v>0</v>
          </cell>
          <cell r="EN241">
            <v>0</v>
          </cell>
          <cell r="EO241">
            <v>0</v>
          </cell>
          <cell r="EP241">
            <v>0</v>
          </cell>
          <cell r="EQ241">
            <v>0</v>
          </cell>
          <cell r="ER241">
            <v>0</v>
          </cell>
          <cell r="ES241">
            <v>0</v>
          </cell>
          <cell r="ET241">
            <v>0</v>
          </cell>
          <cell r="EU241">
            <v>0</v>
          </cell>
          <cell r="EV241">
            <v>0</v>
          </cell>
          <cell r="EW241">
            <v>0</v>
          </cell>
          <cell r="EX241">
            <v>0</v>
          </cell>
          <cell r="EY241">
            <v>0</v>
          </cell>
          <cell r="EZ241">
            <v>0</v>
          </cell>
          <cell r="FA241">
            <v>0</v>
          </cell>
          <cell r="FB241">
            <v>0</v>
          </cell>
          <cell r="FC241">
            <v>0</v>
          </cell>
          <cell r="FD241">
            <v>0</v>
          </cell>
          <cell r="FE241">
            <v>0</v>
          </cell>
          <cell r="FF241">
            <v>0</v>
          </cell>
          <cell r="FG241">
            <v>0</v>
          </cell>
          <cell r="FH241">
            <v>0</v>
          </cell>
          <cell r="FI241">
            <v>0</v>
          </cell>
          <cell r="FJ241">
            <v>0</v>
          </cell>
          <cell r="FK241">
            <v>0</v>
          </cell>
          <cell r="FL241">
            <v>0</v>
          </cell>
          <cell r="FM241">
            <v>0</v>
          </cell>
          <cell r="FN241">
            <v>0</v>
          </cell>
          <cell r="FO241">
            <v>0</v>
          </cell>
          <cell r="FP241">
            <v>0</v>
          </cell>
          <cell r="FQ241">
            <v>0</v>
          </cell>
          <cell r="FR241">
            <v>0</v>
          </cell>
          <cell r="FS241">
            <v>0</v>
          </cell>
          <cell r="FT241">
            <v>0</v>
          </cell>
          <cell r="FU241">
            <v>0</v>
          </cell>
          <cell r="FV241">
            <v>0</v>
          </cell>
          <cell r="FW241">
            <v>0</v>
          </cell>
          <cell r="FX241">
            <v>0</v>
          </cell>
          <cell r="FY241">
            <v>0</v>
          </cell>
          <cell r="FZ241">
            <v>0</v>
          </cell>
        </row>
        <row r="242">
          <cell r="A242" t="str">
            <v>I_LKC_NRF_IRD_IRD_INTR_C09</v>
          </cell>
          <cell r="B242">
            <v>0</v>
          </cell>
          <cell r="C242">
            <v>0</v>
          </cell>
          <cell r="D242">
            <v>0</v>
          </cell>
          <cell r="E242">
            <v>0</v>
          </cell>
          <cell r="F242">
            <v>0</v>
          </cell>
          <cell r="G242">
            <v>0</v>
          </cell>
          <cell r="H242">
            <v>0</v>
          </cell>
          <cell r="I242">
            <v>0</v>
          </cell>
          <cell r="J242">
            <v>0</v>
          </cell>
          <cell r="K242">
            <v>0</v>
          </cell>
          <cell r="L242">
            <v>0</v>
          </cell>
          <cell r="M242">
            <v>0</v>
          </cell>
          <cell r="N242">
            <v>0</v>
          </cell>
          <cell r="O242">
            <v>0</v>
          </cell>
          <cell r="P242">
            <v>0</v>
          </cell>
          <cell r="Q242">
            <v>0</v>
          </cell>
          <cell r="R242">
            <v>0</v>
          </cell>
          <cell r="S242">
            <v>0</v>
          </cell>
          <cell r="T242">
            <v>0</v>
          </cell>
          <cell r="U242">
            <v>0</v>
          </cell>
          <cell r="V242">
            <v>0</v>
          </cell>
          <cell r="W242">
            <v>0</v>
          </cell>
          <cell r="X242">
            <v>0</v>
          </cell>
          <cell r="Y242">
            <v>0</v>
          </cell>
          <cell r="Z242">
            <v>0</v>
          </cell>
          <cell r="AA242">
            <v>0</v>
          </cell>
          <cell r="AB242">
            <v>0</v>
          </cell>
          <cell r="AC242">
            <v>0</v>
          </cell>
          <cell r="AD242">
            <v>0</v>
          </cell>
          <cell r="AE242">
            <v>0</v>
          </cell>
          <cell r="AF242">
            <v>0</v>
          </cell>
          <cell r="AG242">
            <v>0</v>
          </cell>
          <cell r="AH242">
            <v>0</v>
          </cell>
          <cell r="AI242">
            <v>0</v>
          </cell>
          <cell r="AJ242">
            <v>0</v>
          </cell>
          <cell r="AK242">
            <v>0</v>
          </cell>
          <cell r="AL242">
            <v>0</v>
          </cell>
          <cell r="AM242">
            <v>0</v>
          </cell>
          <cell r="AN242">
            <v>0</v>
          </cell>
          <cell r="AO242">
            <v>0</v>
          </cell>
          <cell r="AP242">
            <v>0</v>
          </cell>
          <cell r="AQ242">
            <v>0</v>
          </cell>
          <cell r="AR242">
            <v>0</v>
          </cell>
          <cell r="AS242">
            <v>0</v>
          </cell>
          <cell r="AT242">
            <v>0</v>
          </cell>
          <cell r="AU242">
            <v>0</v>
          </cell>
          <cell r="AV242">
            <v>0</v>
          </cell>
          <cell r="AW242">
            <v>0</v>
          </cell>
          <cell r="AX242">
            <v>0</v>
          </cell>
          <cell r="AY242">
            <v>0</v>
          </cell>
          <cell r="AZ242">
            <v>0</v>
          </cell>
          <cell r="BA242">
            <v>0</v>
          </cell>
          <cell r="BB242">
            <v>0</v>
          </cell>
          <cell r="BC242">
            <v>0</v>
          </cell>
          <cell r="BD242">
            <v>0</v>
          </cell>
          <cell r="BE242">
            <v>0</v>
          </cell>
          <cell r="BF242">
            <v>0</v>
          </cell>
          <cell r="BG242">
            <v>0</v>
          </cell>
          <cell r="BH242">
            <v>0</v>
          </cell>
          <cell r="BI242">
            <v>0</v>
          </cell>
          <cell r="BJ242">
            <v>0</v>
          </cell>
          <cell r="BK242">
            <v>0</v>
          </cell>
          <cell r="BL242">
            <v>0</v>
          </cell>
          <cell r="BM242">
            <v>0</v>
          </cell>
          <cell r="BN242">
            <v>0</v>
          </cell>
          <cell r="BO242">
            <v>0</v>
          </cell>
          <cell r="BP242">
            <v>0</v>
          </cell>
          <cell r="BQ242">
            <v>0</v>
          </cell>
          <cell r="BR242">
            <v>0</v>
          </cell>
          <cell r="BS242">
            <v>0</v>
          </cell>
          <cell r="BT242">
            <v>0</v>
          </cell>
          <cell r="BU242">
            <v>0</v>
          </cell>
          <cell r="BV242">
            <v>0</v>
          </cell>
          <cell r="BW242">
            <v>0</v>
          </cell>
          <cell r="BX242">
            <v>0</v>
          </cell>
          <cell r="BY242">
            <v>0</v>
          </cell>
          <cell r="BZ242">
            <v>0</v>
          </cell>
          <cell r="CA242">
            <v>0</v>
          </cell>
          <cell r="CB242">
            <v>0</v>
          </cell>
          <cell r="CC242">
            <v>0</v>
          </cell>
          <cell r="CD242">
            <v>0</v>
          </cell>
          <cell r="CE242">
            <v>0</v>
          </cell>
          <cell r="CF242">
            <v>0</v>
          </cell>
          <cell r="CG242">
            <v>0</v>
          </cell>
          <cell r="CH242">
            <v>0</v>
          </cell>
          <cell r="CI242">
            <v>0</v>
          </cell>
          <cell r="CJ242">
            <v>0</v>
          </cell>
          <cell r="CK242">
            <v>0</v>
          </cell>
          <cell r="CL242">
            <v>0</v>
          </cell>
          <cell r="CM242">
            <v>0</v>
          </cell>
          <cell r="CN242">
            <v>0</v>
          </cell>
          <cell r="CO242">
            <v>0</v>
          </cell>
          <cell r="CP242">
            <v>0</v>
          </cell>
          <cell r="CQ242">
            <v>0</v>
          </cell>
          <cell r="CR242">
            <v>0</v>
          </cell>
          <cell r="CS242">
            <v>0</v>
          </cell>
          <cell r="CT242">
            <v>0</v>
          </cell>
          <cell r="CU242">
            <v>0</v>
          </cell>
          <cell r="CV242">
            <v>0</v>
          </cell>
          <cell r="CW242">
            <v>0</v>
          </cell>
          <cell r="CX242">
            <v>0</v>
          </cell>
          <cell r="CY242">
            <v>0</v>
          </cell>
          <cell r="CZ242">
            <v>0</v>
          </cell>
          <cell r="DA242">
            <v>0</v>
          </cell>
          <cell r="DB242">
            <v>0</v>
          </cell>
          <cell r="DC242">
            <v>0</v>
          </cell>
          <cell r="DD242">
            <v>0</v>
          </cell>
          <cell r="DE242">
            <v>0</v>
          </cell>
          <cell r="DF242">
            <v>0</v>
          </cell>
          <cell r="DG242">
            <v>0</v>
          </cell>
          <cell r="DH242">
            <v>0</v>
          </cell>
          <cell r="DI242">
            <v>0</v>
          </cell>
          <cell r="DJ242">
            <v>0</v>
          </cell>
          <cell r="DK242">
            <v>0</v>
          </cell>
          <cell r="DL242">
            <v>0</v>
          </cell>
          <cell r="DM242">
            <v>0</v>
          </cell>
          <cell r="DN242">
            <v>0</v>
          </cell>
          <cell r="DO242">
            <v>0</v>
          </cell>
          <cell r="DP242">
            <v>0</v>
          </cell>
          <cell r="DQ242">
            <v>0</v>
          </cell>
          <cell r="DR242">
            <v>0</v>
          </cell>
          <cell r="DS242">
            <v>0</v>
          </cell>
          <cell r="DT242">
            <v>0</v>
          </cell>
          <cell r="DU242">
            <v>0</v>
          </cell>
          <cell r="DV242">
            <v>0</v>
          </cell>
          <cell r="DW242">
            <v>0</v>
          </cell>
          <cell r="DX242">
            <v>0</v>
          </cell>
          <cell r="DY242">
            <v>0</v>
          </cell>
          <cell r="EA242">
            <v>0</v>
          </cell>
          <cell r="EB242">
            <v>0</v>
          </cell>
          <cell r="EC242">
            <v>0</v>
          </cell>
          <cell r="ED242">
            <v>0</v>
          </cell>
          <cell r="EE242">
            <v>0</v>
          </cell>
          <cell r="EF242">
            <v>0</v>
          </cell>
          <cell r="EG242">
            <v>0</v>
          </cell>
          <cell r="EH242">
            <v>0</v>
          </cell>
          <cell r="EI242">
            <v>0</v>
          </cell>
          <cell r="EJ242">
            <v>0</v>
          </cell>
          <cell r="EK242">
            <v>0</v>
          </cell>
          <cell r="EL242">
            <v>0</v>
          </cell>
          <cell r="EM242">
            <v>0</v>
          </cell>
          <cell r="EN242">
            <v>0</v>
          </cell>
          <cell r="EO242">
            <v>0</v>
          </cell>
          <cell r="EP242">
            <v>0</v>
          </cell>
          <cell r="EQ242">
            <v>0</v>
          </cell>
          <cell r="ER242">
            <v>0</v>
          </cell>
          <cell r="ES242">
            <v>0</v>
          </cell>
          <cell r="ET242">
            <v>0</v>
          </cell>
          <cell r="EU242">
            <v>0</v>
          </cell>
          <cell r="EV242">
            <v>0</v>
          </cell>
          <cell r="EW242">
            <v>0</v>
          </cell>
          <cell r="EX242">
            <v>0</v>
          </cell>
          <cell r="EY242">
            <v>0</v>
          </cell>
          <cell r="EZ242">
            <v>0</v>
          </cell>
          <cell r="FA242">
            <v>0</v>
          </cell>
          <cell r="FB242">
            <v>0</v>
          </cell>
          <cell r="FC242">
            <v>0</v>
          </cell>
          <cell r="FD242">
            <v>0</v>
          </cell>
          <cell r="FE242">
            <v>0</v>
          </cell>
          <cell r="FF242">
            <v>0</v>
          </cell>
          <cell r="FG242">
            <v>0</v>
          </cell>
          <cell r="FH242">
            <v>0</v>
          </cell>
          <cell r="FI242">
            <v>0</v>
          </cell>
          <cell r="FJ242">
            <v>0</v>
          </cell>
          <cell r="FK242">
            <v>0</v>
          </cell>
          <cell r="FL242">
            <v>0</v>
          </cell>
          <cell r="FM242">
            <v>0</v>
          </cell>
          <cell r="FN242">
            <v>0</v>
          </cell>
          <cell r="FO242">
            <v>0</v>
          </cell>
          <cell r="FP242">
            <v>0</v>
          </cell>
          <cell r="FQ242">
            <v>0</v>
          </cell>
          <cell r="FR242">
            <v>0</v>
          </cell>
          <cell r="FS242">
            <v>0</v>
          </cell>
          <cell r="FT242">
            <v>0</v>
          </cell>
          <cell r="FU242">
            <v>0</v>
          </cell>
          <cell r="FV242">
            <v>0</v>
          </cell>
          <cell r="FW242">
            <v>0</v>
          </cell>
          <cell r="FX242">
            <v>0</v>
          </cell>
          <cell r="FY242">
            <v>0</v>
          </cell>
          <cell r="FZ242">
            <v>0</v>
          </cell>
        </row>
        <row r="243">
          <cell r="A243" t="str">
            <v>I_LKC_NRF_IRD_IRD_INTR_C10</v>
          </cell>
          <cell r="B243">
            <v>0</v>
          </cell>
          <cell r="C243">
            <v>0</v>
          </cell>
          <cell r="D243">
            <v>0</v>
          </cell>
          <cell r="E243">
            <v>0</v>
          </cell>
          <cell r="F243">
            <v>0</v>
          </cell>
          <cell r="G243">
            <v>0</v>
          </cell>
          <cell r="H243">
            <v>0</v>
          </cell>
          <cell r="I243">
            <v>0</v>
          </cell>
          <cell r="J243">
            <v>0</v>
          </cell>
          <cell r="K243">
            <v>0</v>
          </cell>
          <cell r="L243">
            <v>0</v>
          </cell>
          <cell r="M243">
            <v>0</v>
          </cell>
          <cell r="N243">
            <v>0</v>
          </cell>
          <cell r="O243">
            <v>0</v>
          </cell>
          <cell r="P243">
            <v>0</v>
          </cell>
          <cell r="Q243">
            <v>0</v>
          </cell>
          <cell r="R243">
            <v>0</v>
          </cell>
          <cell r="S243">
            <v>0</v>
          </cell>
          <cell r="T243">
            <v>0</v>
          </cell>
          <cell r="U243">
            <v>0</v>
          </cell>
          <cell r="V243">
            <v>0</v>
          </cell>
          <cell r="W243">
            <v>0</v>
          </cell>
          <cell r="X243">
            <v>0</v>
          </cell>
          <cell r="Y243">
            <v>0</v>
          </cell>
          <cell r="Z243">
            <v>0</v>
          </cell>
          <cell r="AA243">
            <v>0</v>
          </cell>
          <cell r="AB243">
            <v>0</v>
          </cell>
          <cell r="AC243">
            <v>0</v>
          </cell>
          <cell r="AD243">
            <v>0</v>
          </cell>
          <cell r="AE243">
            <v>0</v>
          </cell>
          <cell r="AF243">
            <v>0</v>
          </cell>
          <cell r="AG243">
            <v>0</v>
          </cell>
          <cell r="AH243">
            <v>0</v>
          </cell>
          <cell r="AI243">
            <v>0</v>
          </cell>
          <cell r="AJ243">
            <v>0</v>
          </cell>
          <cell r="AK243">
            <v>0</v>
          </cell>
          <cell r="AL243">
            <v>0</v>
          </cell>
          <cell r="AM243">
            <v>0</v>
          </cell>
          <cell r="AN243">
            <v>0</v>
          </cell>
          <cell r="AO243">
            <v>0</v>
          </cell>
          <cell r="AP243">
            <v>0</v>
          </cell>
          <cell r="AQ243">
            <v>0</v>
          </cell>
          <cell r="AR243">
            <v>0</v>
          </cell>
          <cell r="AS243">
            <v>0</v>
          </cell>
          <cell r="AT243">
            <v>0</v>
          </cell>
          <cell r="AU243">
            <v>0</v>
          </cell>
          <cell r="AV243">
            <v>0</v>
          </cell>
          <cell r="AW243">
            <v>0</v>
          </cell>
          <cell r="AX243">
            <v>0</v>
          </cell>
          <cell r="AY243">
            <v>0</v>
          </cell>
          <cell r="AZ243">
            <v>0</v>
          </cell>
          <cell r="BA243">
            <v>0</v>
          </cell>
          <cell r="BB243">
            <v>0</v>
          </cell>
          <cell r="BC243">
            <v>0</v>
          </cell>
          <cell r="BD243">
            <v>0</v>
          </cell>
          <cell r="BE243">
            <v>0</v>
          </cell>
          <cell r="BF243">
            <v>0</v>
          </cell>
          <cell r="BG243">
            <v>0</v>
          </cell>
          <cell r="BH243">
            <v>0</v>
          </cell>
          <cell r="BI243">
            <v>0</v>
          </cell>
          <cell r="BJ243">
            <v>0</v>
          </cell>
          <cell r="BK243">
            <v>0</v>
          </cell>
          <cell r="BL243">
            <v>0</v>
          </cell>
          <cell r="BM243">
            <v>0</v>
          </cell>
          <cell r="BN243">
            <v>0</v>
          </cell>
          <cell r="BO243">
            <v>0</v>
          </cell>
          <cell r="BP243">
            <v>0</v>
          </cell>
          <cell r="BQ243">
            <v>0</v>
          </cell>
          <cell r="BR243">
            <v>0</v>
          </cell>
          <cell r="BS243">
            <v>0</v>
          </cell>
          <cell r="BT243">
            <v>0</v>
          </cell>
          <cell r="BU243">
            <v>0</v>
          </cell>
          <cell r="BV243">
            <v>0</v>
          </cell>
          <cell r="BW243">
            <v>0</v>
          </cell>
          <cell r="BX243">
            <v>0</v>
          </cell>
          <cell r="BY243">
            <v>0</v>
          </cell>
          <cell r="BZ243">
            <v>0</v>
          </cell>
          <cell r="CA243">
            <v>0</v>
          </cell>
          <cell r="CB243">
            <v>0</v>
          </cell>
          <cell r="CC243">
            <v>0</v>
          </cell>
          <cell r="CD243">
            <v>0</v>
          </cell>
          <cell r="CE243">
            <v>0</v>
          </cell>
          <cell r="CF243">
            <v>0</v>
          </cell>
          <cell r="CG243">
            <v>0</v>
          </cell>
          <cell r="CH243">
            <v>0</v>
          </cell>
          <cell r="CI243">
            <v>0</v>
          </cell>
          <cell r="CJ243">
            <v>0</v>
          </cell>
          <cell r="CK243">
            <v>0</v>
          </cell>
          <cell r="CL243">
            <v>0</v>
          </cell>
          <cell r="CM243">
            <v>0</v>
          </cell>
          <cell r="CN243">
            <v>0</v>
          </cell>
          <cell r="CO243">
            <v>0</v>
          </cell>
          <cell r="CP243">
            <v>0</v>
          </cell>
          <cell r="CQ243">
            <v>0</v>
          </cell>
          <cell r="CR243">
            <v>0</v>
          </cell>
          <cell r="CS243">
            <v>0</v>
          </cell>
          <cell r="CT243">
            <v>0</v>
          </cell>
          <cell r="CU243">
            <v>0</v>
          </cell>
          <cell r="CV243">
            <v>0</v>
          </cell>
          <cell r="CW243">
            <v>0</v>
          </cell>
          <cell r="CX243">
            <v>0</v>
          </cell>
          <cell r="CY243">
            <v>0</v>
          </cell>
          <cell r="CZ243">
            <v>0</v>
          </cell>
          <cell r="DA243">
            <v>0</v>
          </cell>
          <cell r="DB243">
            <v>0</v>
          </cell>
          <cell r="DC243">
            <v>0</v>
          </cell>
          <cell r="DD243">
            <v>0</v>
          </cell>
          <cell r="DE243">
            <v>0</v>
          </cell>
          <cell r="DF243">
            <v>0</v>
          </cell>
          <cell r="DG243">
            <v>0</v>
          </cell>
          <cell r="DH243">
            <v>0</v>
          </cell>
          <cell r="DI243">
            <v>0</v>
          </cell>
          <cell r="DJ243">
            <v>0</v>
          </cell>
          <cell r="DK243">
            <v>0</v>
          </cell>
          <cell r="DL243">
            <v>0</v>
          </cell>
          <cell r="DM243">
            <v>0</v>
          </cell>
          <cell r="DN243">
            <v>0</v>
          </cell>
          <cell r="DO243">
            <v>0</v>
          </cell>
          <cell r="DP243">
            <v>0</v>
          </cell>
          <cell r="DQ243">
            <v>0</v>
          </cell>
          <cell r="DR243">
            <v>0</v>
          </cell>
          <cell r="DS243">
            <v>0</v>
          </cell>
          <cell r="DT243">
            <v>0</v>
          </cell>
          <cell r="DU243">
            <v>0</v>
          </cell>
          <cell r="DV243">
            <v>0</v>
          </cell>
          <cell r="DW243">
            <v>0</v>
          </cell>
          <cell r="DX243">
            <v>0</v>
          </cell>
          <cell r="DY243">
            <v>0</v>
          </cell>
          <cell r="EA243">
            <v>0</v>
          </cell>
          <cell r="EB243">
            <v>0</v>
          </cell>
          <cell r="EC243">
            <v>0</v>
          </cell>
          <cell r="ED243">
            <v>0.05</v>
          </cell>
          <cell r="EE243">
            <v>0</v>
          </cell>
          <cell r="EF243">
            <v>0</v>
          </cell>
          <cell r="EG243">
            <v>0</v>
          </cell>
          <cell r="EH243">
            <v>0</v>
          </cell>
          <cell r="EI243">
            <v>0</v>
          </cell>
          <cell r="EJ243">
            <v>0</v>
          </cell>
          <cell r="EK243">
            <v>0</v>
          </cell>
          <cell r="EL243">
            <v>0.05</v>
          </cell>
          <cell r="EM243">
            <v>0</v>
          </cell>
          <cell r="EN243">
            <v>0</v>
          </cell>
          <cell r="EO243">
            <v>0</v>
          </cell>
          <cell r="EP243">
            <v>18556000</v>
          </cell>
          <cell r="EQ243">
            <v>0</v>
          </cell>
          <cell r="ER243">
            <v>0</v>
          </cell>
          <cell r="ES243">
            <v>0</v>
          </cell>
          <cell r="ET243">
            <v>1708142.9330991206</v>
          </cell>
          <cell r="EU243">
            <v>0</v>
          </cell>
          <cell r="EV243">
            <v>0</v>
          </cell>
          <cell r="EW243">
            <v>0</v>
          </cell>
          <cell r="EX243">
            <v>0</v>
          </cell>
          <cell r="EY243">
            <v>0</v>
          </cell>
          <cell r="EZ243">
            <v>0</v>
          </cell>
          <cell r="FA243">
            <v>0</v>
          </cell>
          <cell r="FB243">
            <v>0</v>
          </cell>
          <cell r="FC243">
            <v>0</v>
          </cell>
          <cell r="FD243">
            <v>0</v>
          </cell>
          <cell r="FE243">
            <v>0</v>
          </cell>
          <cell r="FF243">
            <v>0</v>
          </cell>
          <cell r="FG243">
            <v>0</v>
          </cell>
          <cell r="FH243">
            <v>4269608.5396670662</v>
          </cell>
          <cell r="FI243">
            <v>1782915.7401856852</v>
          </cell>
          <cell r="FJ243">
            <v>547775.86769575055</v>
          </cell>
          <cell r="FK243">
            <v>18301800</v>
          </cell>
          <cell r="FL243">
            <v>0</v>
          </cell>
          <cell r="FM243">
            <v>0</v>
          </cell>
          <cell r="FN243">
            <v>0</v>
          </cell>
          <cell r="FO243">
            <v>16638000</v>
          </cell>
          <cell r="FP243">
            <v>0</v>
          </cell>
          <cell r="FQ243">
            <v>0</v>
          </cell>
          <cell r="FR243">
            <v>0</v>
          </cell>
          <cell r="FS243">
            <v>19375400</v>
          </cell>
          <cell r="FT243">
            <v>0</v>
          </cell>
          <cell r="FU243">
            <v>0</v>
          </cell>
          <cell r="FV243">
            <v>0</v>
          </cell>
          <cell r="FW243">
            <v>20411600.000000004</v>
          </cell>
          <cell r="FX243">
            <v>0</v>
          </cell>
          <cell r="FY243">
            <v>0</v>
          </cell>
          <cell r="FZ243">
            <v>0</v>
          </cell>
        </row>
        <row r="244">
          <cell r="A244" t="str">
            <v>I_LKI_NRF_CPT_PRP_INTR_C11</v>
          </cell>
          <cell r="B244">
            <v>0</v>
          </cell>
          <cell r="C244">
            <v>0</v>
          </cell>
          <cell r="D244">
            <v>0</v>
          </cell>
          <cell r="E244">
            <v>0</v>
          </cell>
          <cell r="F244">
            <v>0</v>
          </cell>
          <cell r="G244">
            <v>0</v>
          </cell>
          <cell r="H244">
            <v>0</v>
          </cell>
          <cell r="I244">
            <v>0</v>
          </cell>
          <cell r="J244">
            <v>0</v>
          </cell>
          <cell r="K244">
            <v>0</v>
          </cell>
          <cell r="L244">
            <v>0</v>
          </cell>
          <cell r="M244">
            <v>0</v>
          </cell>
          <cell r="N244">
            <v>0</v>
          </cell>
          <cell r="O244">
            <v>0</v>
          </cell>
          <cell r="P244">
            <v>0</v>
          </cell>
          <cell r="Q244">
            <v>0</v>
          </cell>
          <cell r="R244">
            <v>0</v>
          </cell>
          <cell r="S244">
            <v>0</v>
          </cell>
          <cell r="T244">
            <v>0</v>
          </cell>
          <cell r="U244">
            <v>0</v>
          </cell>
          <cell r="V244">
            <v>0</v>
          </cell>
          <cell r="W244">
            <v>0</v>
          </cell>
          <cell r="X244">
            <v>0</v>
          </cell>
          <cell r="Y244">
            <v>0</v>
          </cell>
          <cell r="Z244">
            <v>0</v>
          </cell>
          <cell r="AA244">
            <v>0</v>
          </cell>
          <cell r="AB244">
            <v>0</v>
          </cell>
          <cell r="AC244">
            <v>0</v>
          </cell>
          <cell r="AD244">
            <v>0</v>
          </cell>
          <cell r="AE244">
            <v>0</v>
          </cell>
          <cell r="AF244">
            <v>0</v>
          </cell>
          <cell r="AG244">
            <v>0</v>
          </cell>
          <cell r="AH244">
            <v>0</v>
          </cell>
          <cell r="AI244">
            <v>0</v>
          </cell>
          <cell r="AJ244">
            <v>0</v>
          </cell>
          <cell r="AK244">
            <v>0</v>
          </cell>
          <cell r="AL244">
            <v>0</v>
          </cell>
          <cell r="AM244">
            <v>0</v>
          </cell>
          <cell r="AN244">
            <v>0</v>
          </cell>
          <cell r="AO244">
            <v>0</v>
          </cell>
          <cell r="AP244">
            <v>0</v>
          </cell>
          <cell r="AQ244">
            <v>0</v>
          </cell>
          <cell r="AR244">
            <v>0</v>
          </cell>
          <cell r="AS244">
            <v>0</v>
          </cell>
          <cell r="AT244">
            <v>0</v>
          </cell>
          <cell r="AU244">
            <v>0</v>
          </cell>
          <cell r="AV244">
            <v>0</v>
          </cell>
          <cell r="AW244">
            <v>0</v>
          </cell>
          <cell r="AX244">
            <v>0</v>
          </cell>
          <cell r="AY244">
            <v>0</v>
          </cell>
          <cell r="AZ244">
            <v>0</v>
          </cell>
          <cell r="BA244">
            <v>0</v>
          </cell>
          <cell r="BB244">
            <v>0</v>
          </cell>
          <cell r="BC244">
            <v>0</v>
          </cell>
          <cell r="BD244">
            <v>0</v>
          </cell>
          <cell r="BE244">
            <v>0</v>
          </cell>
          <cell r="BF244">
            <v>0</v>
          </cell>
          <cell r="BG244">
            <v>0</v>
          </cell>
          <cell r="BH244">
            <v>0</v>
          </cell>
          <cell r="BI244">
            <v>0</v>
          </cell>
          <cell r="BJ244">
            <v>0</v>
          </cell>
          <cell r="BK244">
            <v>0</v>
          </cell>
          <cell r="BL244">
            <v>0</v>
          </cell>
          <cell r="BM244">
            <v>0</v>
          </cell>
          <cell r="BN244">
            <v>0</v>
          </cell>
          <cell r="BO244">
            <v>0</v>
          </cell>
          <cell r="BP244">
            <v>0</v>
          </cell>
          <cell r="BQ244">
            <v>0</v>
          </cell>
          <cell r="BR244">
            <v>0</v>
          </cell>
          <cell r="BS244">
            <v>0</v>
          </cell>
          <cell r="BT244">
            <v>0</v>
          </cell>
          <cell r="BU244">
            <v>0</v>
          </cell>
          <cell r="BV244">
            <v>0</v>
          </cell>
          <cell r="BW244">
            <v>0</v>
          </cell>
          <cell r="BX244">
            <v>0</v>
          </cell>
          <cell r="BY244">
            <v>0</v>
          </cell>
          <cell r="BZ244">
            <v>0</v>
          </cell>
          <cell r="CA244">
            <v>0</v>
          </cell>
          <cell r="CB244">
            <v>0</v>
          </cell>
          <cell r="CC244">
            <v>0</v>
          </cell>
          <cell r="CD244">
            <v>0</v>
          </cell>
          <cell r="CE244">
            <v>0</v>
          </cell>
          <cell r="CF244">
            <v>0</v>
          </cell>
          <cell r="CG244">
            <v>0</v>
          </cell>
          <cell r="CH244">
            <v>0</v>
          </cell>
          <cell r="CI244">
            <v>0</v>
          </cell>
          <cell r="CJ244">
            <v>0</v>
          </cell>
          <cell r="CK244">
            <v>0</v>
          </cell>
          <cell r="CL244">
            <v>0</v>
          </cell>
          <cell r="CM244">
            <v>0</v>
          </cell>
          <cell r="CN244">
            <v>0</v>
          </cell>
          <cell r="CO244">
            <v>0</v>
          </cell>
          <cell r="CP244">
            <v>0</v>
          </cell>
          <cell r="CQ244">
            <v>0</v>
          </cell>
          <cell r="CR244">
            <v>0</v>
          </cell>
          <cell r="CS244">
            <v>0</v>
          </cell>
          <cell r="CT244">
            <v>0</v>
          </cell>
          <cell r="CU244">
            <v>0</v>
          </cell>
          <cell r="CV244">
            <v>0</v>
          </cell>
          <cell r="CW244">
            <v>0</v>
          </cell>
          <cell r="CX244">
            <v>0</v>
          </cell>
          <cell r="CY244">
            <v>0</v>
          </cell>
          <cell r="CZ244">
            <v>0</v>
          </cell>
          <cell r="DA244">
            <v>0</v>
          </cell>
          <cell r="DB244">
            <v>0</v>
          </cell>
          <cell r="DC244">
            <v>0</v>
          </cell>
          <cell r="DD244">
            <v>0</v>
          </cell>
          <cell r="DE244">
            <v>0</v>
          </cell>
          <cell r="DF244">
            <v>0</v>
          </cell>
          <cell r="DG244">
            <v>0</v>
          </cell>
          <cell r="DH244">
            <v>0</v>
          </cell>
          <cell r="DI244">
            <v>0</v>
          </cell>
          <cell r="DJ244">
            <v>0</v>
          </cell>
          <cell r="DK244">
            <v>0</v>
          </cell>
          <cell r="DL244">
            <v>0</v>
          </cell>
          <cell r="DM244">
            <v>0</v>
          </cell>
          <cell r="DN244">
            <v>0</v>
          </cell>
          <cell r="DO244">
            <v>0</v>
          </cell>
          <cell r="DP244">
            <v>0</v>
          </cell>
          <cell r="DQ244">
            <v>0</v>
          </cell>
          <cell r="DR244">
            <v>0</v>
          </cell>
          <cell r="DS244">
            <v>0</v>
          </cell>
          <cell r="DT244">
            <v>0</v>
          </cell>
          <cell r="DU244">
            <v>0</v>
          </cell>
          <cell r="DV244">
            <v>0</v>
          </cell>
          <cell r="DW244">
            <v>0</v>
          </cell>
          <cell r="DX244">
            <v>0</v>
          </cell>
          <cell r="DY244">
            <v>0</v>
          </cell>
          <cell r="EA244">
            <v>0</v>
          </cell>
          <cell r="EB244">
            <v>0</v>
          </cell>
          <cell r="EC244">
            <v>0</v>
          </cell>
          <cell r="ED244">
            <v>0</v>
          </cell>
          <cell r="EE244">
            <v>0</v>
          </cell>
          <cell r="EF244">
            <v>0</v>
          </cell>
          <cell r="EG244">
            <v>0</v>
          </cell>
          <cell r="EH244">
            <v>0</v>
          </cell>
          <cell r="EI244">
            <v>0</v>
          </cell>
          <cell r="EJ244">
            <v>0</v>
          </cell>
          <cell r="EK244">
            <v>0</v>
          </cell>
          <cell r="EL244">
            <v>0</v>
          </cell>
          <cell r="EM244">
            <v>0</v>
          </cell>
          <cell r="EN244">
            <v>0</v>
          </cell>
          <cell r="EO244">
            <v>0</v>
          </cell>
          <cell r="EP244">
            <v>0</v>
          </cell>
          <cell r="EQ244">
            <v>0</v>
          </cell>
          <cell r="ER244">
            <v>0</v>
          </cell>
          <cell r="ES244">
            <v>0</v>
          </cell>
          <cell r="ET244">
            <v>0</v>
          </cell>
          <cell r="EU244">
            <v>0</v>
          </cell>
          <cell r="EV244">
            <v>0</v>
          </cell>
          <cell r="EW244">
            <v>0</v>
          </cell>
          <cell r="EX244">
            <v>0</v>
          </cell>
          <cell r="EY244">
            <v>0</v>
          </cell>
          <cell r="EZ244">
            <v>0</v>
          </cell>
          <cell r="FA244">
            <v>0</v>
          </cell>
          <cell r="FB244">
            <v>0</v>
          </cell>
          <cell r="FC244">
            <v>0</v>
          </cell>
          <cell r="FD244">
            <v>0</v>
          </cell>
          <cell r="FE244">
            <v>0</v>
          </cell>
          <cell r="FF244">
            <v>0</v>
          </cell>
          <cell r="FG244">
            <v>0</v>
          </cell>
          <cell r="FH244">
            <v>0</v>
          </cell>
          <cell r="FI244">
            <v>0</v>
          </cell>
          <cell r="FJ244">
            <v>0</v>
          </cell>
          <cell r="FK244">
            <v>0</v>
          </cell>
          <cell r="FL244">
            <v>0</v>
          </cell>
          <cell r="FM244">
            <v>0</v>
          </cell>
          <cell r="FN244">
            <v>0</v>
          </cell>
          <cell r="FO244">
            <v>0</v>
          </cell>
          <cell r="FP244">
            <v>0</v>
          </cell>
          <cell r="FQ244">
            <v>0</v>
          </cell>
          <cell r="FR244">
            <v>0</v>
          </cell>
          <cell r="FS244">
            <v>0</v>
          </cell>
          <cell r="FT244">
            <v>0</v>
          </cell>
          <cell r="FU244">
            <v>0</v>
          </cell>
          <cell r="FV244">
            <v>0</v>
          </cell>
          <cell r="FW244">
            <v>0</v>
          </cell>
          <cell r="FX244">
            <v>0</v>
          </cell>
          <cell r="FY244">
            <v>0</v>
          </cell>
          <cell r="FZ244">
            <v>0</v>
          </cell>
        </row>
        <row r="245">
          <cell r="A245" t="str">
            <v>I_LKI_NRF_IRD_IRD_INTR_C12</v>
          </cell>
          <cell r="B245">
            <v>0</v>
          </cell>
          <cell r="C245">
            <v>0</v>
          </cell>
          <cell r="D245">
            <v>0</v>
          </cell>
          <cell r="E245">
            <v>0</v>
          </cell>
          <cell r="F245">
            <v>0</v>
          </cell>
          <cell r="G245">
            <v>0</v>
          </cell>
          <cell r="H245">
            <v>0</v>
          </cell>
          <cell r="I245">
            <v>0</v>
          </cell>
          <cell r="J245">
            <v>0</v>
          </cell>
          <cell r="K245">
            <v>0</v>
          </cell>
          <cell r="L245">
            <v>0</v>
          </cell>
          <cell r="M245">
            <v>0</v>
          </cell>
          <cell r="N245">
            <v>0</v>
          </cell>
          <cell r="O245">
            <v>0</v>
          </cell>
          <cell r="P245">
            <v>0</v>
          </cell>
          <cell r="Q245">
            <v>0</v>
          </cell>
          <cell r="R245">
            <v>0</v>
          </cell>
          <cell r="S245">
            <v>0</v>
          </cell>
          <cell r="T245">
            <v>0</v>
          </cell>
          <cell r="U245">
            <v>0</v>
          </cell>
          <cell r="V245">
            <v>0</v>
          </cell>
          <cell r="W245">
            <v>0</v>
          </cell>
          <cell r="X245">
            <v>0</v>
          </cell>
          <cell r="Y245">
            <v>0</v>
          </cell>
          <cell r="Z245">
            <v>0</v>
          </cell>
          <cell r="AA245">
            <v>0</v>
          </cell>
          <cell r="AB245">
            <v>0</v>
          </cell>
          <cell r="AC245">
            <v>0</v>
          </cell>
          <cell r="AD245">
            <v>0</v>
          </cell>
          <cell r="AE245">
            <v>0</v>
          </cell>
          <cell r="AF245">
            <v>0</v>
          </cell>
          <cell r="AG245">
            <v>0</v>
          </cell>
          <cell r="AH245">
            <v>0</v>
          </cell>
          <cell r="AI245">
            <v>0</v>
          </cell>
          <cell r="AJ245">
            <v>0</v>
          </cell>
          <cell r="AK245">
            <v>0</v>
          </cell>
          <cell r="AL245">
            <v>0</v>
          </cell>
          <cell r="AM245">
            <v>0</v>
          </cell>
          <cell r="AN245">
            <v>0</v>
          </cell>
          <cell r="AO245">
            <v>0</v>
          </cell>
          <cell r="AP245">
            <v>0</v>
          </cell>
          <cell r="AQ245">
            <v>0</v>
          </cell>
          <cell r="AR245">
            <v>0</v>
          </cell>
          <cell r="AS245">
            <v>0</v>
          </cell>
          <cell r="AT245">
            <v>0</v>
          </cell>
          <cell r="AU245">
            <v>0</v>
          </cell>
          <cell r="AV245">
            <v>0</v>
          </cell>
          <cell r="AW245">
            <v>0</v>
          </cell>
          <cell r="AX245">
            <v>0</v>
          </cell>
          <cell r="AY245">
            <v>0</v>
          </cell>
          <cell r="AZ245">
            <v>0</v>
          </cell>
          <cell r="BA245">
            <v>0</v>
          </cell>
          <cell r="BB245">
            <v>0</v>
          </cell>
          <cell r="BC245">
            <v>0</v>
          </cell>
          <cell r="BD245">
            <v>0</v>
          </cell>
          <cell r="BE245">
            <v>0</v>
          </cell>
          <cell r="BF245">
            <v>0</v>
          </cell>
          <cell r="BG245">
            <v>0</v>
          </cell>
          <cell r="BH245">
            <v>0</v>
          </cell>
          <cell r="BI245">
            <v>0</v>
          </cell>
          <cell r="BJ245">
            <v>0</v>
          </cell>
          <cell r="BK245">
            <v>0</v>
          </cell>
          <cell r="BL245">
            <v>0</v>
          </cell>
          <cell r="BM245">
            <v>0</v>
          </cell>
          <cell r="BN245">
            <v>0</v>
          </cell>
          <cell r="BO245">
            <v>0</v>
          </cell>
          <cell r="BP245">
            <v>0</v>
          </cell>
          <cell r="BQ245">
            <v>0</v>
          </cell>
          <cell r="BR245">
            <v>0</v>
          </cell>
          <cell r="BS245">
            <v>0</v>
          </cell>
          <cell r="BT245">
            <v>0</v>
          </cell>
          <cell r="BU245">
            <v>0</v>
          </cell>
          <cell r="BV245">
            <v>0</v>
          </cell>
          <cell r="BW245">
            <v>0</v>
          </cell>
          <cell r="BX245">
            <v>0</v>
          </cell>
          <cell r="BY245">
            <v>0</v>
          </cell>
          <cell r="BZ245">
            <v>0</v>
          </cell>
          <cell r="CA245">
            <v>0</v>
          </cell>
          <cell r="CB245">
            <v>0</v>
          </cell>
          <cell r="CC245">
            <v>0</v>
          </cell>
          <cell r="CD245">
            <v>0</v>
          </cell>
          <cell r="CE245">
            <v>0</v>
          </cell>
          <cell r="CF245">
            <v>0</v>
          </cell>
          <cell r="CG245">
            <v>0</v>
          </cell>
          <cell r="CH245">
            <v>0</v>
          </cell>
          <cell r="CI245">
            <v>0</v>
          </cell>
          <cell r="CJ245">
            <v>0</v>
          </cell>
          <cell r="CK245">
            <v>0</v>
          </cell>
          <cell r="CL245">
            <v>0</v>
          </cell>
          <cell r="CM245">
            <v>0</v>
          </cell>
          <cell r="CN245">
            <v>0</v>
          </cell>
          <cell r="CO245">
            <v>0</v>
          </cell>
          <cell r="CP245">
            <v>0</v>
          </cell>
          <cell r="CQ245">
            <v>0</v>
          </cell>
          <cell r="CR245">
            <v>0</v>
          </cell>
          <cell r="CS245">
            <v>0</v>
          </cell>
          <cell r="CT245">
            <v>0</v>
          </cell>
          <cell r="CU245">
            <v>0</v>
          </cell>
          <cell r="CV245">
            <v>0</v>
          </cell>
          <cell r="CW245">
            <v>0</v>
          </cell>
          <cell r="CX245">
            <v>0</v>
          </cell>
          <cell r="CY245">
            <v>0</v>
          </cell>
          <cell r="CZ245">
            <v>0</v>
          </cell>
          <cell r="DA245">
            <v>0</v>
          </cell>
          <cell r="DB245">
            <v>0</v>
          </cell>
          <cell r="DC245">
            <v>0</v>
          </cell>
          <cell r="DD245">
            <v>0</v>
          </cell>
          <cell r="DE245">
            <v>0</v>
          </cell>
          <cell r="DF245">
            <v>0</v>
          </cell>
          <cell r="DG245">
            <v>0</v>
          </cell>
          <cell r="DH245">
            <v>0</v>
          </cell>
          <cell r="DI245">
            <v>0</v>
          </cell>
          <cell r="DJ245">
            <v>0</v>
          </cell>
          <cell r="DK245">
            <v>0</v>
          </cell>
          <cell r="DL245">
            <v>0</v>
          </cell>
          <cell r="DM245">
            <v>0</v>
          </cell>
          <cell r="DN245">
            <v>0</v>
          </cell>
          <cell r="DO245">
            <v>0</v>
          </cell>
          <cell r="DP245">
            <v>0</v>
          </cell>
          <cell r="DQ245">
            <v>0</v>
          </cell>
          <cell r="DR245">
            <v>0</v>
          </cell>
          <cell r="DS245">
            <v>0</v>
          </cell>
          <cell r="DT245">
            <v>0</v>
          </cell>
          <cell r="DU245">
            <v>0</v>
          </cell>
          <cell r="DV245">
            <v>0</v>
          </cell>
          <cell r="DW245">
            <v>0</v>
          </cell>
          <cell r="DX245">
            <v>0</v>
          </cell>
          <cell r="DY245">
            <v>0</v>
          </cell>
          <cell r="EA245">
            <v>0</v>
          </cell>
          <cell r="EB245">
            <v>0</v>
          </cell>
          <cell r="EC245">
            <v>0</v>
          </cell>
          <cell r="ED245">
            <v>0</v>
          </cell>
          <cell r="EE245">
            <v>0</v>
          </cell>
          <cell r="EF245">
            <v>0</v>
          </cell>
          <cell r="EG245">
            <v>0</v>
          </cell>
          <cell r="EH245">
            <v>0</v>
          </cell>
          <cell r="EI245">
            <v>0</v>
          </cell>
          <cell r="EJ245">
            <v>0</v>
          </cell>
          <cell r="EK245">
            <v>0</v>
          </cell>
          <cell r="EL245">
            <v>0</v>
          </cell>
          <cell r="EM245">
            <v>0</v>
          </cell>
          <cell r="EN245">
            <v>0</v>
          </cell>
          <cell r="EO245">
            <v>0</v>
          </cell>
          <cell r="EP245">
            <v>0</v>
          </cell>
          <cell r="EQ245">
            <v>0</v>
          </cell>
          <cell r="ER245">
            <v>0</v>
          </cell>
          <cell r="ES245">
            <v>0</v>
          </cell>
          <cell r="ET245">
            <v>0</v>
          </cell>
          <cell r="EU245">
            <v>0</v>
          </cell>
          <cell r="EV245">
            <v>0</v>
          </cell>
          <cell r="EW245">
            <v>0</v>
          </cell>
          <cell r="EX245">
            <v>0</v>
          </cell>
          <cell r="EY245">
            <v>0</v>
          </cell>
          <cell r="EZ245">
            <v>0</v>
          </cell>
          <cell r="FA245">
            <v>0</v>
          </cell>
          <cell r="FB245">
            <v>0</v>
          </cell>
          <cell r="FC245">
            <v>0</v>
          </cell>
          <cell r="FD245">
            <v>0</v>
          </cell>
          <cell r="FE245">
            <v>0</v>
          </cell>
          <cell r="FF245">
            <v>0</v>
          </cell>
          <cell r="FG245">
            <v>0</v>
          </cell>
          <cell r="FH245">
            <v>0</v>
          </cell>
          <cell r="FI245">
            <v>0</v>
          </cell>
          <cell r="FJ245">
            <v>0</v>
          </cell>
          <cell r="FK245">
            <v>0</v>
          </cell>
          <cell r="FL245">
            <v>0</v>
          </cell>
          <cell r="FM245">
            <v>0</v>
          </cell>
          <cell r="FN245">
            <v>0</v>
          </cell>
          <cell r="FO245">
            <v>0</v>
          </cell>
          <cell r="FP245">
            <v>0</v>
          </cell>
          <cell r="FQ245">
            <v>0</v>
          </cell>
          <cell r="FR245">
            <v>0</v>
          </cell>
          <cell r="FS245">
            <v>0</v>
          </cell>
          <cell r="FT245">
            <v>0</v>
          </cell>
          <cell r="FU245">
            <v>0</v>
          </cell>
          <cell r="FV245">
            <v>0</v>
          </cell>
          <cell r="FW245">
            <v>0</v>
          </cell>
          <cell r="FX245">
            <v>0</v>
          </cell>
          <cell r="FY245">
            <v>0</v>
          </cell>
          <cell r="FZ245">
            <v>0</v>
          </cell>
        </row>
        <row r="246">
          <cell r="A246" t="str">
            <v>I_LKI_NRF_IRD_IRD_INTR_C13</v>
          </cell>
          <cell r="B246">
            <v>0</v>
          </cell>
          <cell r="C246">
            <v>0</v>
          </cell>
          <cell r="D246">
            <v>0</v>
          </cell>
          <cell r="E246">
            <v>0</v>
          </cell>
          <cell r="F246">
            <v>0</v>
          </cell>
          <cell r="G246">
            <v>0</v>
          </cell>
          <cell r="H246">
            <v>0</v>
          </cell>
          <cell r="I246">
            <v>0</v>
          </cell>
          <cell r="J246">
            <v>0</v>
          </cell>
          <cell r="K246">
            <v>0</v>
          </cell>
          <cell r="L246">
            <v>0</v>
          </cell>
          <cell r="M246">
            <v>0</v>
          </cell>
          <cell r="N246">
            <v>0</v>
          </cell>
          <cell r="O246">
            <v>0</v>
          </cell>
          <cell r="P246">
            <v>0</v>
          </cell>
          <cell r="Q246">
            <v>0</v>
          </cell>
          <cell r="R246">
            <v>0</v>
          </cell>
          <cell r="S246">
            <v>0</v>
          </cell>
          <cell r="T246">
            <v>0</v>
          </cell>
          <cell r="U246">
            <v>0</v>
          </cell>
          <cell r="V246">
            <v>0</v>
          </cell>
          <cell r="W246">
            <v>0</v>
          </cell>
          <cell r="X246">
            <v>0</v>
          </cell>
          <cell r="Y246">
            <v>0</v>
          </cell>
          <cell r="Z246">
            <v>0</v>
          </cell>
          <cell r="AA246">
            <v>0</v>
          </cell>
          <cell r="AB246">
            <v>0</v>
          </cell>
          <cell r="AC246">
            <v>0</v>
          </cell>
          <cell r="AD246">
            <v>0</v>
          </cell>
          <cell r="AE246">
            <v>0</v>
          </cell>
          <cell r="AF246">
            <v>0</v>
          </cell>
          <cell r="AG246">
            <v>0</v>
          </cell>
          <cell r="AH246">
            <v>0</v>
          </cell>
          <cell r="AI246">
            <v>0</v>
          </cell>
          <cell r="AJ246">
            <v>0</v>
          </cell>
          <cell r="AK246">
            <v>0</v>
          </cell>
          <cell r="AL246">
            <v>0</v>
          </cell>
          <cell r="AM246">
            <v>0</v>
          </cell>
          <cell r="AN246">
            <v>0</v>
          </cell>
          <cell r="AO246">
            <v>0</v>
          </cell>
          <cell r="AP246">
            <v>0</v>
          </cell>
          <cell r="AQ246">
            <v>0</v>
          </cell>
          <cell r="AR246">
            <v>0</v>
          </cell>
          <cell r="AS246">
            <v>0</v>
          </cell>
          <cell r="AT246">
            <v>0</v>
          </cell>
          <cell r="AU246">
            <v>0</v>
          </cell>
          <cell r="AV246">
            <v>0</v>
          </cell>
          <cell r="AW246">
            <v>0</v>
          </cell>
          <cell r="AX246">
            <v>0</v>
          </cell>
          <cell r="AY246">
            <v>0</v>
          </cell>
          <cell r="AZ246">
            <v>0</v>
          </cell>
          <cell r="BA246">
            <v>0</v>
          </cell>
          <cell r="BB246">
            <v>0</v>
          </cell>
          <cell r="BC246">
            <v>0</v>
          </cell>
          <cell r="BD246">
            <v>0</v>
          </cell>
          <cell r="BE246">
            <v>0</v>
          </cell>
          <cell r="BF246">
            <v>0</v>
          </cell>
          <cell r="BG246">
            <v>0</v>
          </cell>
          <cell r="BH246">
            <v>0</v>
          </cell>
          <cell r="BI246">
            <v>0</v>
          </cell>
          <cell r="BJ246">
            <v>0</v>
          </cell>
          <cell r="BK246">
            <v>0</v>
          </cell>
          <cell r="BL246">
            <v>0</v>
          </cell>
          <cell r="BM246">
            <v>0</v>
          </cell>
          <cell r="BN246">
            <v>0</v>
          </cell>
          <cell r="BO246">
            <v>0</v>
          </cell>
          <cell r="BP246">
            <v>0</v>
          </cell>
          <cell r="BQ246">
            <v>0</v>
          </cell>
          <cell r="BR246">
            <v>0</v>
          </cell>
          <cell r="BS246">
            <v>0</v>
          </cell>
          <cell r="BT246">
            <v>0</v>
          </cell>
          <cell r="BU246">
            <v>0</v>
          </cell>
          <cell r="BV246">
            <v>0</v>
          </cell>
          <cell r="BW246">
            <v>0</v>
          </cell>
          <cell r="BX246">
            <v>0</v>
          </cell>
          <cell r="BY246">
            <v>0</v>
          </cell>
          <cell r="BZ246">
            <v>0</v>
          </cell>
          <cell r="CA246">
            <v>0</v>
          </cell>
          <cell r="CB246">
            <v>0</v>
          </cell>
          <cell r="CC246">
            <v>0</v>
          </cell>
          <cell r="CD246">
            <v>0</v>
          </cell>
          <cell r="CE246">
            <v>0</v>
          </cell>
          <cell r="CF246">
            <v>0</v>
          </cell>
          <cell r="CG246">
            <v>0</v>
          </cell>
          <cell r="CH246">
            <v>0</v>
          </cell>
          <cell r="CI246">
            <v>0</v>
          </cell>
          <cell r="CJ246">
            <v>0</v>
          </cell>
          <cell r="CK246">
            <v>0</v>
          </cell>
          <cell r="CL246">
            <v>0</v>
          </cell>
          <cell r="CM246">
            <v>0</v>
          </cell>
          <cell r="CN246">
            <v>0</v>
          </cell>
          <cell r="CO246">
            <v>0</v>
          </cell>
          <cell r="CP246">
            <v>0</v>
          </cell>
          <cell r="CQ246">
            <v>0</v>
          </cell>
          <cell r="CR246">
            <v>0</v>
          </cell>
          <cell r="CS246">
            <v>0</v>
          </cell>
          <cell r="CT246">
            <v>0</v>
          </cell>
          <cell r="CU246">
            <v>0</v>
          </cell>
          <cell r="CV246">
            <v>0</v>
          </cell>
          <cell r="CW246">
            <v>0</v>
          </cell>
          <cell r="CX246">
            <v>0</v>
          </cell>
          <cell r="CY246">
            <v>0</v>
          </cell>
          <cell r="CZ246">
            <v>0</v>
          </cell>
          <cell r="DA246">
            <v>0</v>
          </cell>
          <cell r="DB246">
            <v>0</v>
          </cell>
          <cell r="DC246">
            <v>0</v>
          </cell>
          <cell r="DD246">
            <v>0</v>
          </cell>
          <cell r="DE246">
            <v>0</v>
          </cell>
          <cell r="DF246">
            <v>0</v>
          </cell>
          <cell r="DG246">
            <v>0</v>
          </cell>
          <cell r="DH246">
            <v>0</v>
          </cell>
          <cell r="DI246">
            <v>0</v>
          </cell>
          <cell r="DJ246">
            <v>0</v>
          </cell>
          <cell r="DK246">
            <v>0</v>
          </cell>
          <cell r="DL246">
            <v>0</v>
          </cell>
          <cell r="DM246">
            <v>0</v>
          </cell>
          <cell r="DN246">
            <v>0</v>
          </cell>
          <cell r="DO246">
            <v>0</v>
          </cell>
          <cell r="DP246">
            <v>0</v>
          </cell>
          <cell r="DQ246">
            <v>0</v>
          </cell>
          <cell r="DR246">
            <v>0</v>
          </cell>
          <cell r="DS246">
            <v>0</v>
          </cell>
          <cell r="DT246">
            <v>0</v>
          </cell>
          <cell r="DU246">
            <v>0</v>
          </cell>
          <cell r="DV246">
            <v>0</v>
          </cell>
          <cell r="DW246">
            <v>0</v>
          </cell>
          <cell r="DX246">
            <v>0</v>
          </cell>
          <cell r="DY246">
            <v>0</v>
          </cell>
          <cell r="EA246">
            <v>0</v>
          </cell>
          <cell r="EB246">
            <v>0</v>
          </cell>
          <cell r="EC246">
            <v>0</v>
          </cell>
          <cell r="ED246">
            <v>0</v>
          </cell>
          <cell r="EE246">
            <v>0.09</v>
          </cell>
          <cell r="EF246">
            <v>0</v>
          </cell>
          <cell r="EG246">
            <v>0</v>
          </cell>
          <cell r="EH246">
            <v>0</v>
          </cell>
          <cell r="EI246">
            <v>0</v>
          </cell>
          <cell r="EJ246">
            <v>0</v>
          </cell>
          <cell r="EK246">
            <v>0</v>
          </cell>
          <cell r="EL246">
            <v>0</v>
          </cell>
          <cell r="EM246">
            <v>0.14000000000000001</v>
          </cell>
          <cell r="EN246">
            <v>0</v>
          </cell>
          <cell r="EO246">
            <v>0</v>
          </cell>
          <cell r="EP246">
            <v>0</v>
          </cell>
          <cell r="EQ246">
            <v>1266375.4399999997</v>
          </cell>
          <cell r="ER246">
            <v>0</v>
          </cell>
          <cell r="ES246">
            <v>0</v>
          </cell>
          <cell r="ET246">
            <v>0</v>
          </cell>
          <cell r="EU246">
            <v>308588.07621496334</v>
          </cell>
          <cell r="EV246">
            <v>0</v>
          </cell>
          <cell r="EW246">
            <v>0</v>
          </cell>
          <cell r="EX246">
            <v>0</v>
          </cell>
          <cell r="EY246">
            <v>0</v>
          </cell>
          <cell r="EZ246">
            <v>0</v>
          </cell>
          <cell r="FA246">
            <v>0</v>
          </cell>
          <cell r="FB246">
            <v>819586.92577711772</v>
          </cell>
          <cell r="FC246">
            <v>819586.92577711772</v>
          </cell>
          <cell r="FD246">
            <v>819586.92577711772</v>
          </cell>
          <cell r="FE246">
            <v>833029.16541154985</v>
          </cell>
          <cell r="FF246">
            <v>806144.68614268536</v>
          </cell>
          <cell r="FG246">
            <v>843392.12548214733</v>
          </cell>
          <cell r="FH246">
            <v>133000</v>
          </cell>
          <cell r="FI246">
            <v>78925.731163806544</v>
          </cell>
          <cell r="FJ246">
            <v>8431.8989460000012</v>
          </cell>
          <cell r="FK246">
            <v>0</v>
          </cell>
          <cell r="FL246">
            <v>1266375.44</v>
          </cell>
          <cell r="FM246">
            <v>0</v>
          </cell>
          <cell r="FN246">
            <v>0</v>
          </cell>
          <cell r="FO246">
            <v>0</v>
          </cell>
          <cell r="FP246">
            <v>830539.29119595687</v>
          </cell>
          <cell r="FQ246">
            <v>0</v>
          </cell>
          <cell r="FR246">
            <v>0</v>
          </cell>
          <cell r="FS246">
            <v>0</v>
          </cell>
          <cell r="FT246">
            <v>1380866.4900000002</v>
          </cell>
          <cell r="FU246">
            <v>0</v>
          </cell>
          <cell r="FV246">
            <v>0</v>
          </cell>
          <cell r="FW246">
            <v>0</v>
          </cell>
          <cell r="FX246">
            <v>0</v>
          </cell>
          <cell r="FY246">
            <v>0</v>
          </cell>
          <cell r="FZ246">
            <v>0</v>
          </cell>
        </row>
        <row r="247">
          <cell r="A247" t="str">
            <v>I_LKI_NRF_IRD_IRD_INTR_C14</v>
          </cell>
          <cell r="B247">
            <v>0</v>
          </cell>
          <cell r="C247">
            <v>0.08</v>
          </cell>
          <cell r="D247">
            <v>0</v>
          </cell>
          <cell r="E247">
            <v>0</v>
          </cell>
          <cell r="F247">
            <v>0</v>
          </cell>
          <cell r="G247">
            <v>0</v>
          </cell>
          <cell r="H247">
            <v>0</v>
          </cell>
          <cell r="I247">
            <v>0</v>
          </cell>
          <cell r="J247">
            <v>0</v>
          </cell>
          <cell r="K247">
            <v>0</v>
          </cell>
          <cell r="L247">
            <v>0</v>
          </cell>
          <cell r="M247">
            <v>0</v>
          </cell>
          <cell r="N247">
            <v>0</v>
          </cell>
          <cell r="O247">
            <v>1</v>
          </cell>
          <cell r="P247">
            <v>0</v>
          </cell>
          <cell r="Q247">
            <v>0</v>
          </cell>
          <cell r="R247">
            <v>0</v>
          </cell>
          <cell r="S247">
            <v>0</v>
          </cell>
          <cell r="T247">
            <v>0</v>
          </cell>
          <cell r="U247">
            <v>0</v>
          </cell>
          <cell r="V247">
            <v>0</v>
          </cell>
          <cell r="W247">
            <v>0</v>
          </cell>
          <cell r="X247">
            <v>0</v>
          </cell>
          <cell r="Y247">
            <v>0</v>
          </cell>
          <cell r="Z247">
            <v>0</v>
          </cell>
          <cell r="AA247">
            <v>0.08</v>
          </cell>
          <cell r="AB247">
            <v>0</v>
          </cell>
          <cell r="AC247">
            <v>0</v>
          </cell>
          <cell r="AD247">
            <v>0</v>
          </cell>
          <cell r="AE247">
            <v>0</v>
          </cell>
          <cell r="AF247">
            <v>0</v>
          </cell>
          <cell r="AG247">
            <v>0</v>
          </cell>
          <cell r="AH247">
            <v>0</v>
          </cell>
          <cell r="AI247">
            <v>0</v>
          </cell>
          <cell r="AJ247">
            <v>0</v>
          </cell>
          <cell r="AK247">
            <v>0</v>
          </cell>
          <cell r="AL247">
            <v>0</v>
          </cell>
          <cell r="AM247">
            <v>4832947.7319999998</v>
          </cell>
          <cell r="AN247">
            <v>0</v>
          </cell>
          <cell r="AO247">
            <v>0</v>
          </cell>
          <cell r="AP247">
            <v>0</v>
          </cell>
          <cell r="AQ247">
            <v>0</v>
          </cell>
          <cell r="AR247">
            <v>0</v>
          </cell>
          <cell r="AS247">
            <v>0</v>
          </cell>
          <cell r="AT247">
            <v>0</v>
          </cell>
          <cell r="AU247">
            <v>0</v>
          </cell>
          <cell r="AV247">
            <v>0</v>
          </cell>
          <cell r="AW247">
            <v>0</v>
          </cell>
          <cell r="AX247">
            <v>0</v>
          </cell>
          <cell r="AY247">
            <v>4994654.702898602</v>
          </cell>
          <cell r="AZ247">
            <v>0</v>
          </cell>
          <cell r="BA247">
            <v>0</v>
          </cell>
          <cell r="BB247">
            <v>0</v>
          </cell>
          <cell r="BC247">
            <v>0</v>
          </cell>
          <cell r="BD247">
            <v>0</v>
          </cell>
          <cell r="BE247">
            <v>0</v>
          </cell>
          <cell r="BF247">
            <v>0</v>
          </cell>
          <cell r="BG247">
            <v>0</v>
          </cell>
          <cell r="BH247">
            <v>0</v>
          </cell>
          <cell r="BI247">
            <v>0</v>
          </cell>
          <cell r="BJ247">
            <v>0</v>
          </cell>
          <cell r="BK247">
            <v>0</v>
          </cell>
          <cell r="BL247">
            <v>0</v>
          </cell>
          <cell r="BM247">
            <v>0</v>
          </cell>
          <cell r="BN247">
            <v>0</v>
          </cell>
          <cell r="BO247">
            <v>0</v>
          </cell>
          <cell r="BP247">
            <v>0</v>
          </cell>
          <cell r="BQ247">
            <v>0</v>
          </cell>
          <cell r="BR247">
            <v>0</v>
          </cell>
          <cell r="BS247">
            <v>0</v>
          </cell>
          <cell r="BT247">
            <v>0</v>
          </cell>
          <cell r="BU247">
            <v>0</v>
          </cell>
          <cell r="BV247">
            <v>7146292.5695564272</v>
          </cell>
          <cell r="BW247">
            <v>7146292.5695564272</v>
          </cell>
          <cell r="BX247">
            <v>7146292.5695564272</v>
          </cell>
          <cell r="BY247">
            <v>7161387.4073480908</v>
          </cell>
          <cell r="BZ247">
            <v>7131197.7317647655</v>
          </cell>
          <cell r="CA247">
            <v>7167064.7282724977</v>
          </cell>
          <cell r="CB247">
            <v>50000</v>
          </cell>
          <cell r="CC247">
            <v>0</v>
          </cell>
          <cell r="CD247">
            <v>0</v>
          </cell>
          <cell r="CE247">
            <v>4832947.7319999998</v>
          </cell>
          <cell r="CF247">
            <v>0</v>
          </cell>
          <cell r="CG247">
            <v>0</v>
          </cell>
          <cell r="CH247">
            <v>0</v>
          </cell>
          <cell r="CI247">
            <v>0</v>
          </cell>
          <cell r="CJ247">
            <v>0</v>
          </cell>
          <cell r="CK247">
            <v>0</v>
          </cell>
          <cell r="CL247">
            <v>0</v>
          </cell>
          <cell r="CM247">
            <v>0</v>
          </cell>
          <cell r="CN247">
            <v>0</v>
          </cell>
          <cell r="CO247">
            <v>0</v>
          </cell>
          <cell r="CP247">
            <v>0</v>
          </cell>
          <cell r="CQ247">
            <v>4819566.3880000003</v>
          </cell>
          <cell r="CR247">
            <v>0</v>
          </cell>
          <cell r="CS247">
            <v>0</v>
          </cell>
          <cell r="CT247">
            <v>0</v>
          </cell>
          <cell r="CU247">
            <v>0</v>
          </cell>
          <cell r="CV247">
            <v>0</v>
          </cell>
          <cell r="CW247">
            <v>0</v>
          </cell>
          <cell r="CX247">
            <v>0</v>
          </cell>
          <cell r="CY247">
            <v>0</v>
          </cell>
          <cell r="CZ247">
            <v>0</v>
          </cell>
          <cell r="DA247">
            <v>0</v>
          </cell>
          <cell r="DB247">
            <v>0</v>
          </cell>
          <cell r="DC247">
            <v>5395453.0980000002</v>
          </cell>
          <cell r="DD247">
            <v>0</v>
          </cell>
          <cell r="DE247">
            <v>0</v>
          </cell>
          <cell r="DF247">
            <v>0</v>
          </cell>
          <cell r="DG247">
            <v>0</v>
          </cell>
          <cell r="DH247">
            <v>0</v>
          </cell>
          <cell r="DI247">
            <v>0</v>
          </cell>
          <cell r="DJ247">
            <v>0</v>
          </cell>
          <cell r="DK247">
            <v>0</v>
          </cell>
          <cell r="DL247">
            <v>0</v>
          </cell>
          <cell r="DM247">
            <v>0</v>
          </cell>
          <cell r="DN247">
            <v>0</v>
          </cell>
          <cell r="DO247">
            <v>0</v>
          </cell>
          <cell r="DP247">
            <v>0</v>
          </cell>
          <cell r="DQ247">
            <v>0</v>
          </cell>
          <cell r="DR247">
            <v>0</v>
          </cell>
          <cell r="DS247">
            <v>0</v>
          </cell>
          <cell r="DT247">
            <v>0</v>
          </cell>
          <cell r="DU247">
            <v>0</v>
          </cell>
          <cell r="DV247">
            <v>0</v>
          </cell>
          <cell r="DW247">
            <v>0</v>
          </cell>
          <cell r="DX247">
            <v>0</v>
          </cell>
          <cell r="DY247">
            <v>0</v>
          </cell>
          <cell r="EA247">
            <v>0</v>
          </cell>
          <cell r="EB247">
            <v>0</v>
          </cell>
          <cell r="EC247">
            <v>0</v>
          </cell>
          <cell r="ED247">
            <v>0</v>
          </cell>
          <cell r="EE247">
            <v>0</v>
          </cell>
          <cell r="EF247">
            <v>0</v>
          </cell>
          <cell r="EG247">
            <v>0</v>
          </cell>
          <cell r="EH247">
            <v>0</v>
          </cell>
          <cell r="EI247">
            <v>0</v>
          </cell>
          <cell r="EJ247">
            <v>0</v>
          </cell>
          <cell r="EK247">
            <v>0</v>
          </cell>
          <cell r="EL247">
            <v>0</v>
          </cell>
          <cell r="EM247">
            <v>0</v>
          </cell>
          <cell r="EN247">
            <v>0</v>
          </cell>
          <cell r="EO247">
            <v>0</v>
          </cell>
          <cell r="EP247">
            <v>0</v>
          </cell>
          <cell r="EQ247">
            <v>0</v>
          </cell>
          <cell r="ER247">
            <v>0</v>
          </cell>
          <cell r="ES247">
            <v>0</v>
          </cell>
          <cell r="ET247">
            <v>0</v>
          </cell>
          <cell r="EU247">
            <v>0</v>
          </cell>
          <cell r="EV247">
            <v>0</v>
          </cell>
          <cell r="EW247">
            <v>0</v>
          </cell>
          <cell r="EX247">
            <v>0</v>
          </cell>
          <cell r="EY247">
            <v>0</v>
          </cell>
          <cell r="EZ247">
            <v>0</v>
          </cell>
          <cell r="FA247">
            <v>0</v>
          </cell>
          <cell r="FB247">
            <v>0</v>
          </cell>
          <cell r="FC247">
            <v>0</v>
          </cell>
          <cell r="FD247">
            <v>0</v>
          </cell>
          <cell r="FE247">
            <v>0</v>
          </cell>
          <cell r="FF247">
            <v>0</v>
          </cell>
          <cell r="FG247">
            <v>0</v>
          </cell>
          <cell r="FH247">
            <v>0</v>
          </cell>
          <cell r="FI247">
            <v>0</v>
          </cell>
          <cell r="FJ247">
            <v>0</v>
          </cell>
          <cell r="FK247">
            <v>0</v>
          </cell>
          <cell r="FL247">
            <v>0</v>
          </cell>
          <cell r="FM247">
            <v>0</v>
          </cell>
          <cell r="FN247">
            <v>0</v>
          </cell>
          <cell r="FO247">
            <v>0</v>
          </cell>
          <cell r="FP247">
            <v>0</v>
          </cell>
          <cell r="FQ247">
            <v>0</v>
          </cell>
          <cell r="FR247">
            <v>0</v>
          </cell>
          <cell r="FS247">
            <v>0</v>
          </cell>
          <cell r="FT247">
            <v>0</v>
          </cell>
          <cell r="FU247">
            <v>0</v>
          </cell>
          <cell r="FV247">
            <v>0</v>
          </cell>
          <cell r="FW247">
            <v>0</v>
          </cell>
          <cell r="FX247">
            <v>0</v>
          </cell>
          <cell r="FY247">
            <v>0</v>
          </cell>
          <cell r="FZ247">
            <v>0</v>
          </cell>
        </row>
        <row r="248">
          <cell r="A248" t="str">
            <v>I_LKI_NRF_IRD_IRD_INTR_C15</v>
          </cell>
          <cell r="B248">
            <v>0.1</v>
          </cell>
          <cell r="C248">
            <v>0</v>
          </cell>
          <cell r="D248">
            <v>0</v>
          </cell>
          <cell r="E248">
            <v>0</v>
          </cell>
          <cell r="F248">
            <v>0</v>
          </cell>
          <cell r="G248">
            <v>0</v>
          </cell>
          <cell r="H248">
            <v>0</v>
          </cell>
          <cell r="I248">
            <v>0</v>
          </cell>
          <cell r="J248">
            <v>0</v>
          </cell>
          <cell r="K248">
            <v>0</v>
          </cell>
          <cell r="L248">
            <v>0</v>
          </cell>
          <cell r="M248">
            <v>0</v>
          </cell>
          <cell r="N248">
            <v>0.8</v>
          </cell>
          <cell r="O248">
            <v>0</v>
          </cell>
          <cell r="P248">
            <v>0</v>
          </cell>
          <cell r="Q248">
            <v>0</v>
          </cell>
          <cell r="R248">
            <v>0</v>
          </cell>
          <cell r="S248">
            <v>0</v>
          </cell>
          <cell r="T248">
            <v>0</v>
          </cell>
          <cell r="U248">
            <v>0</v>
          </cell>
          <cell r="V248">
            <v>0</v>
          </cell>
          <cell r="W248">
            <v>0</v>
          </cell>
          <cell r="X248">
            <v>0</v>
          </cell>
          <cell r="Y248">
            <v>0</v>
          </cell>
          <cell r="Z248">
            <v>0.09</v>
          </cell>
          <cell r="AA248">
            <v>0</v>
          </cell>
          <cell r="AB248">
            <v>0</v>
          </cell>
          <cell r="AC248">
            <v>0</v>
          </cell>
          <cell r="AD248">
            <v>0</v>
          </cell>
          <cell r="AE248">
            <v>0</v>
          </cell>
          <cell r="AF248">
            <v>0</v>
          </cell>
          <cell r="AG248">
            <v>0</v>
          </cell>
          <cell r="AH248">
            <v>0</v>
          </cell>
          <cell r="AI248">
            <v>0</v>
          </cell>
          <cell r="AJ248">
            <v>0</v>
          </cell>
          <cell r="AK248">
            <v>0</v>
          </cell>
          <cell r="AL248">
            <v>19331790.927999999</v>
          </cell>
          <cell r="AM248">
            <v>0</v>
          </cell>
          <cell r="AN248">
            <v>0</v>
          </cell>
          <cell r="AO248">
            <v>0</v>
          </cell>
          <cell r="AP248">
            <v>0</v>
          </cell>
          <cell r="AQ248">
            <v>0</v>
          </cell>
          <cell r="AR248">
            <v>0</v>
          </cell>
          <cell r="AS248">
            <v>0</v>
          </cell>
          <cell r="AT248">
            <v>0</v>
          </cell>
          <cell r="AU248">
            <v>0</v>
          </cell>
          <cell r="AV248">
            <v>0</v>
          </cell>
          <cell r="AW248">
            <v>0</v>
          </cell>
          <cell r="AX248">
            <v>19978618.811594415</v>
          </cell>
          <cell r="AY248">
            <v>0</v>
          </cell>
          <cell r="AZ248">
            <v>0</v>
          </cell>
          <cell r="BA248">
            <v>0</v>
          </cell>
          <cell r="BB248">
            <v>0</v>
          </cell>
          <cell r="BC248">
            <v>0</v>
          </cell>
          <cell r="BD248">
            <v>0</v>
          </cell>
          <cell r="BE248">
            <v>0</v>
          </cell>
          <cell r="BF248">
            <v>0</v>
          </cell>
          <cell r="BG248">
            <v>0</v>
          </cell>
          <cell r="BH248">
            <v>0</v>
          </cell>
          <cell r="BI248">
            <v>0</v>
          </cell>
          <cell r="BJ248">
            <v>0</v>
          </cell>
          <cell r="BK248">
            <v>0</v>
          </cell>
          <cell r="BL248">
            <v>0</v>
          </cell>
          <cell r="BM248">
            <v>0</v>
          </cell>
          <cell r="BN248">
            <v>0</v>
          </cell>
          <cell r="BO248">
            <v>0</v>
          </cell>
          <cell r="BP248">
            <v>0</v>
          </cell>
          <cell r="BQ248">
            <v>0</v>
          </cell>
          <cell r="BR248">
            <v>0</v>
          </cell>
          <cell r="BS248">
            <v>0</v>
          </cell>
          <cell r="BT248">
            <v>0</v>
          </cell>
          <cell r="BU248">
            <v>0</v>
          </cell>
          <cell r="BV248">
            <v>28585170.278225709</v>
          </cell>
          <cell r="BW248">
            <v>28585170.278225709</v>
          </cell>
          <cell r="BX248">
            <v>28585170.278225709</v>
          </cell>
          <cell r="BY248">
            <v>28645549.629392363</v>
          </cell>
          <cell r="BZ248">
            <v>28524790.927059062</v>
          </cell>
          <cell r="CA248">
            <v>28668258.913089991</v>
          </cell>
          <cell r="CB248">
            <v>200000</v>
          </cell>
          <cell r="CC248">
            <v>0</v>
          </cell>
          <cell r="CD248">
            <v>19331790.927999999</v>
          </cell>
          <cell r="CE248">
            <v>0</v>
          </cell>
          <cell r="CF248">
            <v>0</v>
          </cell>
          <cell r="CG248">
            <v>0</v>
          </cell>
          <cell r="CH248">
            <v>0</v>
          </cell>
          <cell r="CI248">
            <v>0</v>
          </cell>
          <cell r="CJ248">
            <v>0</v>
          </cell>
          <cell r="CK248">
            <v>0</v>
          </cell>
          <cell r="CL248">
            <v>0</v>
          </cell>
          <cell r="CM248">
            <v>0</v>
          </cell>
          <cell r="CN248">
            <v>0</v>
          </cell>
          <cell r="CO248">
            <v>0</v>
          </cell>
          <cell r="CP248">
            <v>19278265.552000001</v>
          </cell>
          <cell r="CQ248">
            <v>0</v>
          </cell>
          <cell r="CR248">
            <v>0</v>
          </cell>
          <cell r="CS248">
            <v>0</v>
          </cell>
          <cell r="CT248">
            <v>0</v>
          </cell>
          <cell r="CU248">
            <v>0</v>
          </cell>
          <cell r="CV248">
            <v>0</v>
          </cell>
          <cell r="CW248">
            <v>0</v>
          </cell>
          <cell r="CX248">
            <v>0</v>
          </cell>
          <cell r="CY248">
            <v>0</v>
          </cell>
          <cell r="CZ248">
            <v>0</v>
          </cell>
          <cell r="DA248">
            <v>0</v>
          </cell>
          <cell r="DB248">
            <v>21581812.392000001</v>
          </cell>
          <cell r="DC248">
            <v>0</v>
          </cell>
          <cell r="DD248">
            <v>0</v>
          </cell>
          <cell r="DE248">
            <v>0</v>
          </cell>
          <cell r="DF248">
            <v>0</v>
          </cell>
          <cell r="DG248">
            <v>0</v>
          </cell>
          <cell r="DH248">
            <v>0</v>
          </cell>
          <cell r="DI248">
            <v>0</v>
          </cell>
          <cell r="DJ248">
            <v>0</v>
          </cell>
          <cell r="DK248">
            <v>0</v>
          </cell>
          <cell r="DL248">
            <v>0</v>
          </cell>
          <cell r="DM248">
            <v>0</v>
          </cell>
          <cell r="DN248">
            <v>0</v>
          </cell>
          <cell r="DO248">
            <v>0</v>
          </cell>
          <cell r="DP248">
            <v>0</v>
          </cell>
          <cell r="DQ248">
            <v>0</v>
          </cell>
          <cell r="DR248">
            <v>0</v>
          </cell>
          <cell r="DS248">
            <v>0</v>
          </cell>
          <cell r="DT248">
            <v>0</v>
          </cell>
          <cell r="DU248">
            <v>0</v>
          </cell>
          <cell r="DV248">
            <v>0</v>
          </cell>
          <cell r="DW248">
            <v>0</v>
          </cell>
          <cell r="DX248">
            <v>0</v>
          </cell>
          <cell r="DY248">
            <v>0</v>
          </cell>
          <cell r="EA248">
            <v>0</v>
          </cell>
          <cell r="EB248">
            <v>0</v>
          </cell>
          <cell r="EC248">
            <v>0</v>
          </cell>
          <cell r="ED248">
            <v>0</v>
          </cell>
          <cell r="EE248">
            <v>0</v>
          </cell>
          <cell r="EF248">
            <v>0</v>
          </cell>
          <cell r="EG248">
            <v>0</v>
          </cell>
          <cell r="EH248">
            <v>0</v>
          </cell>
          <cell r="EI248">
            <v>0</v>
          </cell>
          <cell r="EJ248">
            <v>0</v>
          </cell>
          <cell r="EK248">
            <v>0</v>
          </cell>
          <cell r="EL248">
            <v>0</v>
          </cell>
          <cell r="EM248">
            <v>0</v>
          </cell>
          <cell r="EN248">
            <v>0</v>
          </cell>
          <cell r="EO248">
            <v>0</v>
          </cell>
          <cell r="EP248">
            <v>0</v>
          </cell>
          <cell r="EQ248">
            <v>0</v>
          </cell>
          <cell r="ER248">
            <v>0</v>
          </cell>
          <cell r="ES248">
            <v>0</v>
          </cell>
          <cell r="ET248">
            <v>0</v>
          </cell>
          <cell r="EU248">
            <v>0</v>
          </cell>
          <cell r="EV248">
            <v>0</v>
          </cell>
          <cell r="EW248">
            <v>0</v>
          </cell>
          <cell r="EX248">
            <v>0</v>
          </cell>
          <cell r="EY248">
            <v>0</v>
          </cell>
          <cell r="EZ248">
            <v>0</v>
          </cell>
          <cell r="FA248">
            <v>0</v>
          </cell>
          <cell r="FB248">
            <v>0</v>
          </cell>
          <cell r="FC248">
            <v>0</v>
          </cell>
          <cell r="FD248">
            <v>0</v>
          </cell>
          <cell r="FE248">
            <v>0</v>
          </cell>
          <cell r="FF248">
            <v>0</v>
          </cell>
          <cell r="FG248">
            <v>0</v>
          </cell>
          <cell r="FH248">
            <v>0</v>
          </cell>
          <cell r="FI248">
            <v>0</v>
          </cell>
          <cell r="FJ248">
            <v>0</v>
          </cell>
          <cell r="FK248">
            <v>0</v>
          </cell>
          <cell r="FL248">
            <v>0</v>
          </cell>
          <cell r="FM248">
            <v>0</v>
          </cell>
          <cell r="FN248">
            <v>0</v>
          </cell>
          <cell r="FO248">
            <v>0</v>
          </cell>
          <cell r="FP248">
            <v>0</v>
          </cell>
          <cell r="FQ248">
            <v>0</v>
          </cell>
          <cell r="FR248">
            <v>0</v>
          </cell>
          <cell r="FS248">
            <v>0</v>
          </cell>
          <cell r="FT248">
            <v>0</v>
          </cell>
          <cell r="FU248">
            <v>0</v>
          </cell>
          <cell r="FV248">
            <v>0</v>
          </cell>
          <cell r="FW248">
            <v>0</v>
          </cell>
          <cell r="FX248">
            <v>0</v>
          </cell>
          <cell r="FY248">
            <v>0</v>
          </cell>
          <cell r="FZ248">
            <v>0</v>
          </cell>
        </row>
        <row r="249">
          <cell r="A249" t="str">
            <v>I_LKI_NRF_IRD_IRD_INTR_C16</v>
          </cell>
          <cell r="B249">
            <v>0</v>
          </cell>
          <cell r="C249">
            <v>0</v>
          </cell>
          <cell r="D249">
            <v>0.15</v>
          </cell>
          <cell r="E249">
            <v>0</v>
          </cell>
          <cell r="F249">
            <v>0</v>
          </cell>
          <cell r="G249">
            <v>0</v>
          </cell>
          <cell r="H249">
            <v>0</v>
          </cell>
          <cell r="I249">
            <v>0</v>
          </cell>
          <cell r="J249">
            <v>0</v>
          </cell>
          <cell r="K249">
            <v>0</v>
          </cell>
          <cell r="L249">
            <v>0</v>
          </cell>
          <cell r="M249">
            <v>0</v>
          </cell>
          <cell r="N249">
            <v>0</v>
          </cell>
          <cell r="O249">
            <v>0</v>
          </cell>
          <cell r="P249">
            <v>1</v>
          </cell>
          <cell r="Q249">
            <v>0</v>
          </cell>
          <cell r="R249">
            <v>0</v>
          </cell>
          <cell r="S249">
            <v>0</v>
          </cell>
          <cell r="T249">
            <v>0</v>
          </cell>
          <cell r="U249">
            <v>0</v>
          </cell>
          <cell r="V249">
            <v>0</v>
          </cell>
          <cell r="W249">
            <v>0</v>
          </cell>
          <cell r="X249">
            <v>0</v>
          </cell>
          <cell r="Y249">
            <v>0</v>
          </cell>
          <cell r="Z249">
            <v>0</v>
          </cell>
          <cell r="AA249">
            <v>0</v>
          </cell>
          <cell r="AB249">
            <v>0.11</v>
          </cell>
          <cell r="AC249">
            <v>0</v>
          </cell>
          <cell r="AD249">
            <v>0</v>
          </cell>
          <cell r="AE249">
            <v>0</v>
          </cell>
          <cell r="AF249">
            <v>0</v>
          </cell>
          <cell r="AG249">
            <v>0</v>
          </cell>
          <cell r="AH249">
            <v>0</v>
          </cell>
          <cell r="AI249">
            <v>0</v>
          </cell>
          <cell r="AJ249">
            <v>0</v>
          </cell>
          <cell r="AK249">
            <v>0</v>
          </cell>
          <cell r="AL249">
            <v>0</v>
          </cell>
          <cell r="AM249">
            <v>0</v>
          </cell>
          <cell r="AN249">
            <v>651520.17000000016</v>
          </cell>
          <cell r="AO249">
            <v>0</v>
          </cell>
          <cell r="AP249">
            <v>0</v>
          </cell>
          <cell r="AQ249">
            <v>0</v>
          </cell>
          <cell r="AR249">
            <v>0</v>
          </cell>
          <cell r="AS249">
            <v>0</v>
          </cell>
          <cell r="AT249">
            <v>0</v>
          </cell>
          <cell r="AU249">
            <v>0</v>
          </cell>
          <cell r="AV249">
            <v>0</v>
          </cell>
          <cell r="AW249">
            <v>0</v>
          </cell>
          <cell r="AX249">
            <v>0</v>
          </cell>
          <cell r="AY249">
            <v>0</v>
          </cell>
          <cell r="AZ249">
            <v>125726.08150166328</v>
          </cell>
          <cell r="BA249">
            <v>0</v>
          </cell>
          <cell r="BB249">
            <v>0</v>
          </cell>
          <cell r="BC249">
            <v>0</v>
          </cell>
          <cell r="BD249">
            <v>0</v>
          </cell>
          <cell r="BE249">
            <v>0</v>
          </cell>
          <cell r="BF249">
            <v>0</v>
          </cell>
          <cell r="BG249">
            <v>0</v>
          </cell>
          <cell r="BH249">
            <v>0</v>
          </cell>
          <cell r="BI249">
            <v>0</v>
          </cell>
          <cell r="BJ249">
            <v>0</v>
          </cell>
          <cell r="BK249">
            <v>0</v>
          </cell>
          <cell r="BL249">
            <v>0</v>
          </cell>
          <cell r="BM249">
            <v>0</v>
          </cell>
          <cell r="BN249">
            <v>0</v>
          </cell>
          <cell r="BO249">
            <v>0</v>
          </cell>
          <cell r="BP249">
            <v>0</v>
          </cell>
          <cell r="BQ249">
            <v>0</v>
          </cell>
          <cell r="BR249">
            <v>0</v>
          </cell>
          <cell r="BS249">
            <v>0</v>
          </cell>
          <cell r="BT249">
            <v>0</v>
          </cell>
          <cell r="BU249">
            <v>0</v>
          </cell>
          <cell r="BV249">
            <v>188774.90704994759</v>
          </cell>
          <cell r="BW249">
            <v>188774.90704994759</v>
          </cell>
          <cell r="BX249">
            <v>188774.90704994759</v>
          </cell>
          <cell r="BY249">
            <v>196260.35674350616</v>
          </cell>
          <cell r="BZ249">
            <v>181289.45735638903</v>
          </cell>
          <cell r="CA249">
            <v>199329.39111786519</v>
          </cell>
          <cell r="CB249">
            <v>205000</v>
          </cell>
          <cell r="CC249">
            <v>0</v>
          </cell>
          <cell r="CD249">
            <v>0</v>
          </cell>
          <cell r="CE249">
            <v>0</v>
          </cell>
          <cell r="CF249">
            <v>651520.17000000004</v>
          </cell>
          <cell r="CG249">
            <v>0</v>
          </cell>
          <cell r="CH249">
            <v>0</v>
          </cell>
          <cell r="CI249">
            <v>0</v>
          </cell>
          <cell r="CJ249">
            <v>0</v>
          </cell>
          <cell r="CK249">
            <v>0</v>
          </cell>
          <cell r="CL249">
            <v>0</v>
          </cell>
          <cell r="CM249">
            <v>0</v>
          </cell>
          <cell r="CN249">
            <v>0</v>
          </cell>
          <cell r="CO249">
            <v>0</v>
          </cell>
          <cell r="CP249">
            <v>0</v>
          </cell>
          <cell r="CQ249">
            <v>0</v>
          </cell>
          <cell r="CR249">
            <v>623020.79999999993</v>
          </cell>
          <cell r="CS249">
            <v>0</v>
          </cell>
          <cell r="CT249">
            <v>0</v>
          </cell>
          <cell r="CU249">
            <v>0</v>
          </cell>
          <cell r="CV249">
            <v>0</v>
          </cell>
          <cell r="CW249">
            <v>0</v>
          </cell>
          <cell r="CX249">
            <v>0</v>
          </cell>
          <cell r="CY249">
            <v>0</v>
          </cell>
          <cell r="CZ249">
            <v>0</v>
          </cell>
          <cell r="DA249">
            <v>0</v>
          </cell>
          <cell r="DB249">
            <v>0</v>
          </cell>
          <cell r="DC249">
            <v>0</v>
          </cell>
          <cell r="DD249">
            <v>915183.72</v>
          </cell>
          <cell r="DE249">
            <v>0</v>
          </cell>
          <cell r="DF249">
            <v>0</v>
          </cell>
          <cell r="DG249">
            <v>0</v>
          </cell>
          <cell r="DH249">
            <v>0</v>
          </cell>
          <cell r="DI249">
            <v>0</v>
          </cell>
          <cell r="DJ249">
            <v>0</v>
          </cell>
          <cell r="DK249">
            <v>0</v>
          </cell>
          <cell r="DL249">
            <v>0</v>
          </cell>
          <cell r="DM249">
            <v>0</v>
          </cell>
          <cell r="DN249">
            <v>0</v>
          </cell>
          <cell r="DO249">
            <v>0</v>
          </cell>
          <cell r="DP249">
            <v>0</v>
          </cell>
          <cell r="DQ249">
            <v>0</v>
          </cell>
          <cell r="DR249">
            <v>0</v>
          </cell>
          <cell r="DS249">
            <v>0</v>
          </cell>
          <cell r="DT249">
            <v>0</v>
          </cell>
          <cell r="DU249">
            <v>0</v>
          </cell>
          <cell r="DV249">
            <v>0</v>
          </cell>
          <cell r="DW249">
            <v>0</v>
          </cell>
          <cell r="DX249">
            <v>0</v>
          </cell>
          <cell r="DY249">
            <v>0</v>
          </cell>
          <cell r="EA249">
            <v>0</v>
          </cell>
          <cell r="EB249">
            <v>0</v>
          </cell>
          <cell r="EC249">
            <v>0</v>
          </cell>
          <cell r="ED249">
            <v>0</v>
          </cell>
          <cell r="EE249">
            <v>0</v>
          </cell>
          <cell r="EF249">
            <v>0</v>
          </cell>
          <cell r="EG249">
            <v>0</v>
          </cell>
          <cell r="EH249">
            <v>0</v>
          </cell>
          <cell r="EI249">
            <v>0</v>
          </cell>
          <cell r="EJ249">
            <v>0</v>
          </cell>
          <cell r="EK249">
            <v>0</v>
          </cell>
          <cell r="EL249">
            <v>0</v>
          </cell>
          <cell r="EM249">
            <v>0</v>
          </cell>
          <cell r="EN249">
            <v>0</v>
          </cell>
          <cell r="EO249">
            <v>0</v>
          </cell>
          <cell r="EP249">
            <v>0</v>
          </cell>
          <cell r="EQ249">
            <v>0</v>
          </cell>
          <cell r="ER249">
            <v>0</v>
          </cell>
          <cell r="ES249">
            <v>0</v>
          </cell>
          <cell r="ET249">
            <v>0</v>
          </cell>
          <cell r="EU249">
            <v>0</v>
          </cell>
          <cell r="EV249">
            <v>0</v>
          </cell>
          <cell r="EW249">
            <v>0</v>
          </cell>
          <cell r="EX249">
            <v>0</v>
          </cell>
          <cell r="EY249">
            <v>0</v>
          </cell>
          <cell r="EZ249">
            <v>0</v>
          </cell>
          <cell r="FA249">
            <v>0</v>
          </cell>
          <cell r="FB249">
            <v>0</v>
          </cell>
          <cell r="FC249">
            <v>0</v>
          </cell>
          <cell r="FD249">
            <v>0</v>
          </cell>
          <cell r="FE249">
            <v>0</v>
          </cell>
          <cell r="FF249">
            <v>0</v>
          </cell>
          <cell r="FG249">
            <v>0</v>
          </cell>
          <cell r="FH249">
            <v>0</v>
          </cell>
          <cell r="FI249">
            <v>0</v>
          </cell>
          <cell r="FJ249">
            <v>0</v>
          </cell>
          <cell r="FK249">
            <v>0</v>
          </cell>
          <cell r="FL249">
            <v>0</v>
          </cell>
          <cell r="FM249">
            <v>0</v>
          </cell>
          <cell r="FN249">
            <v>0</v>
          </cell>
          <cell r="FO249">
            <v>0</v>
          </cell>
          <cell r="FP249">
            <v>0</v>
          </cell>
          <cell r="FQ249">
            <v>0</v>
          </cell>
          <cell r="FR249">
            <v>0</v>
          </cell>
          <cell r="FS249">
            <v>0</v>
          </cell>
          <cell r="FT249">
            <v>0</v>
          </cell>
          <cell r="FU249">
            <v>0</v>
          </cell>
          <cell r="FV249">
            <v>0</v>
          </cell>
          <cell r="FW249">
            <v>0</v>
          </cell>
          <cell r="FX249">
            <v>0</v>
          </cell>
          <cell r="FY249">
            <v>0</v>
          </cell>
          <cell r="FZ249">
            <v>0</v>
          </cell>
        </row>
        <row r="250">
          <cell r="A250" t="str">
            <v>I_LKI_NRF_IRD_IRD_INTR_C17</v>
          </cell>
          <cell r="B250">
            <v>0</v>
          </cell>
          <cell r="C250">
            <v>0</v>
          </cell>
          <cell r="D250">
            <v>0</v>
          </cell>
          <cell r="E250">
            <v>0.08</v>
          </cell>
          <cell r="F250">
            <v>0</v>
          </cell>
          <cell r="G250">
            <v>0</v>
          </cell>
          <cell r="H250">
            <v>0</v>
          </cell>
          <cell r="I250">
            <v>0</v>
          </cell>
          <cell r="J250">
            <v>0</v>
          </cell>
          <cell r="K250">
            <v>0</v>
          </cell>
          <cell r="L250">
            <v>0</v>
          </cell>
          <cell r="M250">
            <v>0</v>
          </cell>
          <cell r="N250">
            <v>0</v>
          </cell>
          <cell r="O250">
            <v>0</v>
          </cell>
          <cell r="P250">
            <v>0</v>
          </cell>
          <cell r="Q250">
            <v>0.8</v>
          </cell>
          <cell r="R250">
            <v>0</v>
          </cell>
          <cell r="S250">
            <v>0</v>
          </cell>
          <cell r="T250">
            <v>0</v>
          </cell>
          <cell r="U250">
            <v>0</v>
          </cell>
          <cell r="V250">
            <v>0</v>
          </cell>
          <cell r="W250">
            <v>0</v>
          </cell>
          <cell r="X250">
            <v>0</v>
          </cell>
          <cell r="Y250">
            <v>0</v>
          </cell>
          <cell r="Z250">
            <v>0</v>
          </cell>
          <cell r="AA250">
            <v>0</v>
          </cell>
          <cell r="AB250">
            <v>0</v>
          </cell>
          <cell r="AC250">
            <v>0.1</v>
          </cell>
          <cell r="AD250">
            <v>0</v>
          </cell>
          <cell r="AE250">
            <v>0</v>
          </cell>
          <cell r="AF250">
            <v>0</v>
          </cell>
          <cell r="AG250">
            <v>0</v>
          </cell>
          <cell r="AH250">
            <v>0</v>
          </cell>
          <cell r="AI250">
            <v>0</v>
          </cell>
          <cell r="AJ250">
            <v>0</v>
          </cell>
          <cell r="AK250">
            <v>0</v>
          </cell>
          <cell r="AL250">
            <v>0</v>
          </cell>
          <cell r="AM250">
            <v>0</v>
          </cell>
          <cell r="AN250">
            <v>0</v>
          </cell>
          <cell r="AO250">
            <v>9724025.8399999961</v>
          </cell>
          <cell r="AP250">
            <v>0</v>
          </cell>
          <cell r="AQ250">
            <v>0</v>
          </cell>
          <cell r="AR250">
            <v>0</v>
          </cell>
          <cell r="AS250">
            <v>0</v>
          </cell>
          <cell r="AT250">
            <v>0</v>
          </cell>
          <cell r="AU250">
            <v>0</v>
          </cell>
          <cell r="AV250">
            <v>0</v>
          </cell>
          <cell r="AW250">
            <v>0</v>
          </cell>
          <cell r="AX250">
            <v>0</v>
          </cell>
          <cell r="AY250">
            <v>0</v>
          </cell>
          <cell r="AZ250">
            <v>0</v>
          </cell>
          <cell r="BA250">
            <v>1824437.8568705798</v>
          </cell>
          <cell r="BB250">
            <v>0</v>
          </cell>
          <cell r="BC250">
            <v>0</v>
          </cell>
          <cell r="BD250">
            <v>0</v>
          </cell>
          <cell r="BE250">
            <v>0</v>
          </cell>
          <cell r="BF250">
            <v>0</v>
          </cell>
          <cell r="BG250">
            <v>0</v>
          </cell>
          <cell r="BH250">
            <v>0</v>
          </cell>
          <cell r="BI250">
            <v>0</v>
          </cell>
          <cell r="BJ250">
            <v>0</v>
          </cell>
          <cell r="BK250">
            <v>0</v>
          </cell>
          <cell r="BL250">
            <v>0</v>
          </cell>
          <cell r="BM250">
            <v>0</v>
          </cell>
          <cell r="BN250">
            <v>0</v>
          </cell>
          <cell r="BO250">
            <v>0</v>
          </cell>
          <cell r="BP250">
            <v>0</v>
          </cell>
          <cell r="BQ250">
            <v>0</v>
          </cell>
          <cell r="BR250">
            <v>0</v>
          </cell>
          <cell r="BS250">
            <v>0</v>
          </cell>
          <cell r="BT250">
            <v>0</v>
          </cell>
          <cell r="BU250">
            <v>0</v>
          </cell>
          <cell r="BV250">
            <v>5171571.3523739064</v>
          </cell>
          <cell r="BW250">
            <v>5171571.3523739064</v>
          </cell>
          <cell r="BX250">
            <v>5171571.3523739064</v>
          </cell>
          <cell r="BY250">
            <v>5284827.7686896892</v>
          </cell>
          <cell r="BZ250">
            <v>5058314.9360581227</v>
          </cell>
          <cell r="CA250">
            <v>5549684.7646720773</v>
          </cell>
          <cell r="CB250">
            <v>3533106.6304204869</v>
          </cell>
          <cell r="CC250">
            <v>0</v>
          </cell>
          <cell r="CD250">
            <v>0</v>
          </cell>
          <cell r="CE250">
            <v>0</v>
          </cell>
          <cell r="CF250">
            <v>0</v>
          </cell>
          <cell r="CG250">
            <v>9724025.8399999999</v>
          </cell>
          <cell r="CH250">
            <v>0</v>
          </cell>
          <cell r="CI250">
            <v>0</v>
          </cell>
          <cell r="CJ250">
            <v>0</v>
          </cell>
          <cell r="CK250">
            <v>0</v>
          </cell>
          <cell r="CL250">
            <v>0</v>
          </cell>
          <cell r="CM250">
            <v>0</v>
          </cell>
          <cell r="CN250">
            <v>0</v>
          </cell>
          <cell r="CO250">
            <v>0</v>
          </cell>
          <cell r="CP250">
            <v>0</v>
          </cell>
          <cell r="CQ250">
            <v>0</v>
          </cell>
          <cell r="CR250">
            <v>0</v>
          </cell>
          <cell r="CS250">
            <v>7962347.0299999947</v>
          </cell>
          <cell r="CT250">
            <v>0</v>
          </cell>
          <cell r="CU250">
            <v>0</v>
          </cell>
          <cell r="CV250">
            <v>0</v>
          </cell>
          <cell r="CW250">
            <v>0</v>
          </cell>
          <cell r="CX250">
            <v>0</v>
          </cell>
          <cell r="CY250">
            <v>0</v>
          </cell>
          <cell r="CZ250">
            <v>0</v>
          </cell>
          <cell r="DA250">
            <v>0</v>
          </cell>
          <cell r="DB250">
            <v>0</v>
          </cell>
          <cell r="DC250">
            <v>0</v>
          </cell>
          <cell r="DD250">
            <v>0</v>
          </cell>
          <cell r="DE250">
            <v>10604489.319999998</v>
          </cell>
          <cell r="DF250">
            <v>0</v>
          </cell>
          <cell r="DG250">
            <v>0</v>
          </cell>
          <cell r="DH250">
            <v>0</v>
          </cell>
          <cell r="DI250">
            <v>0</v>
          </cell>
          <cell r="DJ250">
            <v>0</v>
          </cell>
          <cell r="DK250">
            <v>0</v>
          </cell>
          <cell r="DL250">
            <v>0</v>
          </cell>
          <cell r="DM250">
            <v>0</v>
          </cell>
          <cell r="DN250">
            <v>0</v>
          </cell>
          <cell r="DO250">
            <v>0</v>
          </cell>
          <cell r="DP250">
            <v>0</v>
          </cell>
          <cell r="DQ250">
            <v>0</v>
          </cell>
          <cell r="DR250">
            <v>0</v>
          </cell>
          <cell r="DS250">
            <v>0</v>
          </cell>
          <cell r="DT250">
            <v>0</v>
          </cell>
          <cell r="DU250">
            <v>0</v>
          </cell>
          <cell r="DV250">
            <v>0</v>
          </cell>
          <cell r="DW250">
            <v>0</v>
          </cell>
          <cell r="DX250">
            <v>0</v>
          </cell>
          <cell r="DY250">
            <v>0</v>
          </cell>
          <cell r="EA250">
            <v>0</v>
          </cell>
          <cell r="EB250">
            <v>0</v>
          </cell>
          <cell r="EC250">
            <v>0</v>
          </cell>
          <cell r="ED250">
            <v>0</v>
          </cell>
          <cell r="EE250">
            <v>0</v>
          </cell>
          <cell r="EF250">
            <v>0</v>
          </cell>
          <cell r="EG250">
            <v>0</v>
          </cell>
          <cell r="EH250">
            <v>0</v>
          </cell>
          <cell r="EI250">
            <v>0</v>
          </cell>
          <cell r="EJ250">
            <v>0</v>
          </cell>
          <cell r="EK250">
            <v>0</v>
          </cell>
          <cell r="EL250">
            <v>0</v>
          </cell>
          <cell r="EM250">
            <v>0</v>
          </cell>
          <cell r="EN250">
            <v>0</v>
          </cell>
          <cell r="EO250">
            <v>0</v>
          </cell>
          <cell r="EP250">
            <v>0</v>
          </cell>
          <cell r="EQ250">
            <v>0</v>
          </cell>
          <cell r="ER250">
            <v>0</v>
          </cell>
          <cell r="ES250">
            <v>0</v>
          </cell>
          <cell r="ET250">
            <v>0</v>
          </cell>
          <cell r="EU250">
            <v>0</v>
          </cell>
          <cell r="EV250">
            <v>0</v>
          </cell>
          <cell r="EW250">
            <v>0</v>
          </cell>
          <cell r="EX250">
            <v>0</v>
          </cell>
          <cell r="EY250">
            <v>0</v>
          </cell>
          <cell r="EZ250">
            <v>0</v>
          </cell>
          <cell r="FA250">
            <v>0</v>
          </cell>
          <cell r="FB250">
            <v>0</v>
          </cell>
          <cell r="FC250">
            <v>0</v>
          </cell>
          <cell r="FD250">
            <v>0</v>
          </cell>
          <cell r="FE250">
            <v>0</v>
          </cell>
          <cell r="FF250">
            <v>0</v>
          </cell>
          <cell r="FG250">
            <v>0</v>
          </cell>
          <cell r="FH250">
            <v>0</v>
          </cell>
          <cell r="FI250">
            <v>0</v>
          </cell>
          <cell r="FJ250">
            <v>0</v>
          </cell>
          <cell r="FK250">
            <v>0</v>
          </cell>
          <cell r="FL250">
            <v>0</v>
          </cell>
          <cell r="FM250">
            <v>0</v>
          </cell>
          <cell r="FN250">
            <v>0</v>
          </cell>
          <cell r="FO250">
            <v>0</v>
          </cell>
          <cell r="FP250">
            <v>0</v>
          </cell>
          <cell r="FQ250">
            <v>0</v>
          </cell>
          <cell r="FR250">
            <v>0</v>
          </cell>
          <cell r="FS250">
            <v>0</v>
          </cell>
          <cell r="FT250">
            <v>0</v>
          </cell>
          <cell r="FU250">
            <v>0</v>
          </cell>
          <cell r="FV250">
            <v>0</v>
          </cell>
          <cell r="FW250">
            <v>0</v>
          </cell>
          <cell r="FX250">
            <v>0</v>
          </cell>
          <cell r="FY250">
            <v>0</v>
          </cell>
          <cell r="FZ250">
            <v>0</v>
          </cell>
        </row>
        <row r="251">
          <cell r="A251" t="str">
            <v>I_LKI_NRF_IRD_IRD_INTR_C18</v>
          </cell>
          <cell r="B251">
            <v>0</v>
          </cell>
          <cell r="C251">
            <v>0</v>
          </cell>
          <cell r="D251">
            <v>0</v>
          </cell>
          <cell r="E251">
            <v>0</v>
          </cell>
          <cell r="F251">
            <v>0</v>
          </cell>
          <cell r="G251">
            <v>0.12</v>
          </cell>
          <cell r="H251">
            <v>0</v>
          </cell>
          <cell r="I251">
            <v>0</v>
          </cell>
          <cell r="J251">
            <v>0</v>
          </cell>
          <cell r="K251">
            <v>0</v>
          </cell>
          <cell r="L251">
            <v>0</v>
          </cell>
          <cell r="M251">
            <v>0</v>
          </cell>
          <cell r="N251">
            <v>0</v>
          </cell>
          <cell r="O251">
            <v>0</v>
          </cell>
          <cell r="P251">
            <v>0</v>
          </cell>
          <cell r="Q251">
            <v>0</v>
          </cell>
          <cell r="R251">
            <v>0</v>
          </cell>
          <cell r="S251">
            <v>1</v>
          </cell>
          <cell r="T251">
            <v>0</v>
          </cell>
          <cell r="U251">
            <v>0</v>
          </cell>
          <cell r="V251">
            <v>0</v>
          </cell>
          <cell r="W251">
            <v>0</v>
          </cell>
          <cell r="X251">
            <v>0</v>
          </cell>
          <cell r="Y251">
            <v>0</v>
          </cell>
          <cell r="Z251">
            <v>0</v>
          </cell>
          <cell r="AA251">
            <v>0</v>
          </cell>
          <cell r="AB251">
            <v>0</v>
          </cell>
          <cell r="AC251">
            <v>0</v>
          </cell>
          <cell r="AD251">
            <v>0</v>
          </cell>
          <cell r="AE251">
            <v>0.19</v>
          </cell>
          <cell r="AF251">
            <v>0</v>
          </cell>
          <cell r="AG251">
            <v>0</v>
          </cell>
          <cell r="AH251">
            <v>0</v>
          </cell>
          <cell r="AI251">
            <v>0</v>
          </cell>
          <cell r="AJ251">
            <v>0</v>
          </cell>
          <cell r="AK251">
            <v>0</v>
          </cell>
          <cell r="AL251">
            <v>0</v>
          </cell>
          <cell r="AM251">
            <v>0</v>
          </cell>
          <cell r="AN251">
            <v>0</v>
          </cell>
          <cell r="AO251">
            <v>0</v>
          </cell>
          <cell r="AP251">
            <v>0</v>
          </cell>
          <cell r="AQ251">
            <v>0</v>
          </cell>
          <cell r="AR251">
            <v>0</v>
          </cell>
          <cell r="AS251">
            <v>0</v>
          </cell>
          <cell r="AT251">
            <v>0</v>
          </cell>
          <cell r="AU251">
            <v>0</v>
          </cell>
          <cell r="AV251">
            <v>0</v>
          </cell>
          <cell r="AW251">
            <v>0</v>
          </cell>
          <cell r="AX251">
            <v>0</v>
          </cell>
          <cell r="AY251">
            <v>0</v>
          </cell>
          <cell r="AZ251">
            <v>0</v>
          </cell>
          <cell r="BA251">
            <v>0</v>
          </cell>
          <cell r="BB251">
            <v>0</v>
          </cell>
          <cell r="BC251">
            <v>22561.638170795602</v>
          </cell>
          <cell r="BD251">
            <v>0</v>
          </cell>
          <cell r="BE251">
            <v>0</v>
          </cell>
          <cell r="BF251">
            <v>0</v>
          </cell>
          <cell r="BG251">
            <v>0</v>
          </cell>
          <cell r="BH251">
            <v>0</v>
          </cell>
          <cell r="BI251">
            <v>0</v>
          </cell>
          <cell r="BJ251">
            <v>0</v>
          </cell>
          <cell r="BK251">
            <v>0</v>
          </cell>
          <cell r="BL251">
            <v>0</v>
          </cell>
          <cell r="BM251">
            <v>0</v>
          </cell>
          <cell r="BN251">
            <v>0</v>
          </cell>
          <cell r="BO251">
            <v>0</v>
          </cell>
          <cell r="BP251">
            <v>0</v>
          </cell>
          <cell r="BQ251">
            <v>0</v>
          </cell>
          <cell r="BR251">
            <v>0</v>
          </cell>
          <cell r="BS251">
            <v>0</v>
          </cell>
          <cell r="BT251">
            <v>0</v>
          </cell>
          <cell r="BU251">
            <v>0</v>
          </cell>
          <cell r="BV251">
            <v>36781.422393025081</v>
          </cell>
          <cell r="BW251">
            <v>36781.422393025081</v>
          </cell>
          <cell r="BX251">
            <v>36781.422393025081</v>
          </cell>
          <cell r="BY251">
            <v>36781.422393025088</v>
          </cell>
          <cell r="BZ251">
            <v>36781.422393025088</v>
          </cell>
          <cell r="CA251">
            <v>33797.088250658744</v>
          </cell>
          <cell r="CB251">
            <v>0</v>
          </cell>
          <cell r="CC251">
            <v>0</v>
          </cell>
          <cell r="CD251">
            <v>0</v>
          </cell>
          <cell r="CE251">
            <v>0</v>
          </cell>
          <cell r="CF251">
            <v>0</v>
          </cell>
          <cell r="CG251">
            <v>0</v>
          </cell>
          <cell r="CH251">
            <v>0</v>
          </cell>
          <cell r="CI251">
            <v>18182.249999999993</v>
          </cell>
          <cell r="CJ251">
            <v>0</v>
          </cell>
          <cell r="CK251">
            <v>0</v>
          </cell>
          <cell r="CL251">
            <v>0</v>
          </cell>
          <cell r="CM251">
            <v>0</v>
          </cell>
          <cell r="CN251">
            <v>0</v>
          </cell>
          <cell r="CO251">
            <v>0</v>
          </cell>
          <cell r="CP251">
            <v>0</v>
          </cell>
          <cell r="CQ251">
            <v>0</v>
          </cell>
          <cell r="CR251">
            <v>0</v>
          </cell>
          <cell r="CS251">
            <v>0</v>
          </cell>
          <cell r="CT251">
            <v>0</v>
          </cell>
          <cell r="CU251">
            <v>18120.569999999996</v>
          </cell>
          <cell r="CV251">
            <v>0</v>
          </cell>
          <cell r="CW251">
            <v>0</v>
          </cell>
          <cell r="CX251">
            <v>0</v>
          </cell>
          <cell r="CY251">
            <v>0</v>
          </cell>
          <cell r="CZ251">
            <v>0</v>
          </cell>
          <cell r="DA251">
            <v>0</v>
          </cell>
          <cell r="DB251">
            <v>0</v>
          </cell>
          <cell r="DC251">
            <v>0</v>
          </cell>
          <cell r="DD251">
            <v>0</v>
          </cell>
          <cell r="DE251">
            <v>0</v>
          </cell>
          <cell r="DF251">
            <v>0</v>
          </cell>
          <cell r="DG251">
            <v>21214.559999999998</v>
          </cell>
          <cell r="DH251">
            <v>0</v>
          </cell>
          <cell r="DI251">
            <v>0</v>
          </cell>
          <cell r="DJ251">
            <v>0</v>
          </cell>
          <cell r="DK251">
            <v>0</v>
          </cell>
          <cell r="DL251">
            <v>0</v>
          </cell>
          <cell r="DM251">
            <v>0</v>
          </cell>
          <cell r="DN251">
            <v>0</v>
          </cell>
          <cell r="DO251">
            <v>0</v>
          </cell>
          <cell r="DP251">
            <v>0</v>
          </cell>
          <cell r="DQ251">
            <v>0</v>
          </cell>
          <cell r="DR251">
            <v>0</v>
          </cell>
          <cell r="DS251">
            <v>0</v>
          </cell>
          <cell r="DT251">
            <v>0</v>
          </cell>
          <cell r="DU251">
            <v>0</v>
          </cell>
          <cell r="DV251">
            <v>0</v>
          </cell>
          <cell r="DW251">
            <v>0</v>
          </cell>
          <cell r="DX251">
            <v>0</v>
          </cell>
          <cell r="DY251">
            <v>0</v>
          </cell>
          <cell r="EA251">
            <v>0</v>
          </cell>
          <cell r="EB251">
            <v>0</v>
          </cell>
          <cell r="EC251">
            <v>0</v>
          </cell>
          <cell r="ED251">
            <v>0</v>
          </cell>
          <cell r="EE251">
            <v>0</v>
          </cell>
          <cell r="EF251">
            <v>0</v>
          </cell>
          <cell r="EG251">
            <v>0</v>
          </cell>
          <cell r="EH251">
            <v>0</v>
          </cell>
          <cell r="EI251">
            <v>0</v>
          </cell>
          <cell r="EJ251">
            <v>0</v>
          </cell>
          <cell r="EK251">
            <v>0</v>
          </cell>
          <cell r="EL251">
            <v>0</v>
          </cell>
          <cell r="EM251">
            <v>0</v>
          </cell>
          <cell r="EN251">
            <v>0</v>
          </cell>
          <cell r="EO251">
            <v>0</v>
          </cell>
          <cell r="EP251">
            <v>0</v>
          </cell>
          <cell r="EQ251">
            <v>0</v>
          </cell>
          <cell r="ER251">
            <v>0</v>
          </cell>
          <cell r="ES251">
            <v>0</v>
          </cell>
          <cell r="ET251">
            <v>0</v>
          </cell>
          <cell r="EU251">
            <v>0</v>
          </cell>
          <cell r="EV251">
            <v>0</v>
          </cell>
          <cell r="EW251">
            <v>0</v>
          </cell>
          <cell r="EX251">
            <v>0</v>
          </cell>
          <cell r="EY251">
            <v>0</v>
          </cell>
          <cell r="EZ251">
            <v>0</v>
          </cell>
          <cell r="FA251">
            <v>0</v>
          </cell>
          <cell r="FB251">
            <v>0</v>
          </cell>
          <cell r="FC251">
            <v>0</v>
          </cell>
          <cell r="FD251">
            <v>0</v>
          </cell>
          <cell r="FE251">
            <v>0</v>
          </cell>
          <cell r="FF251">
            <v>0</v>
          </cell>
          <cell r="FG251">
            <v>0</v>
          </cell>
          <cell r="FH251">
            <v>0</v>
          </cell>
          <cell r="FI251">
            <v>0</v>
          </cell>
          <cell r="FJ251">
            <v>0</v>
          </cell>
          <cell r="FK251">
            <v>0</v>
          </cell>
          <cell r="FL251">
            <v>0</v>
          </cell>
          <cell r="FM251">
            <v>0</v>
          </cell>
          <cell r="FN251">
            <v>0</v>
          </cell>
          <cell r="FO251">
            <v>0</v>
          </cell>
          <cell r="FP251">
            <v>0</v>
          </cell>
          <cell r="FQ251">
            <v>0</v>
          </cell>
          <cell r="FR251">
            <v>0</v>
          </cell>
          <cell r="FS251">
            <v>0</v>
          </cell>
          <cell r="FT251">
            <v>0</v>
          </cell>
          <cell r="FU251">
            <v>0</v>
          </cell>
          <cell r="FV251">
            <v>0</v>
          </cell>
          <cell r="FW251">
            <v>0</v>
          </cell>
          <cell r="FX251">
            <v>0</v>
          </cell>
          <cell r="FY251">
            <v>0</v>
          </cell>
          <cell r="FZ251">
            <v>0</v>
          </cell>
        </row>
        <row r="252">
          <cell r="A252" t="str">
            <v>I_LKI_NRF_IRD_IRD_INTR_C19</v>
          </cell>
          <cell r="B252">
            <v>0</v>
          </cell>
          <cell r="C252">
            <v>0</v>
          </cell>
          <cell r="D252">
            <v>0</v>
          </cell>
          <cell r="E252">
            <v>0</v>
          </cell>
          <cell r="F252">
            <v>0</v>
          </cell>
          <cell r="G252">
            <v>0</v>
          </cell>
          <cell r="H252">
            <v>0</v>
          </cell>
          <cell r="I252">
            <v>0</v>
          </cell>
          <cell r="J252">
            <v>0.13</v>
          </cell>
          <cell r="K252">
            <v>0</v>
          </cell>
          <cell r="L252">
            <v>0</v>
          </cell>
          <cell r="M252">
            <v>0</v>
          </cell>
          <cell r="N252">
            <v>0</v>
          </cell>
          <cell r="O252">
            <v>0</v>
          </cell>
          <cell r="P252">
            <v>0</v>
          </cell>
          <cell r="Q252">
            <v>0</v>
          </cell>
          <cell r="R252">
            <v>0</v>
          </cell>
          <cell r="S252">
            <v>0</v>
          </cell>
          <cell r="T252">
            <v>0</v>
          </cell>
          <cell r="U252">
            <v>0</v>
          </cell>
          <cell r="V252">
            <v>1</v>
          </cell>
          <cell r="W252">
            <v>0</v>
          </cell>
          <cell r="X252">
            <v>0</v>
          </cell>
          <cell r="Y252">
            <v>0</v>
          </cell>
          <cell r="Z252">
            <v>0</v>
          </cell>
          <cell r="AA252">
            <v>0</v>
          </cell>
          <cell r="AB252">
            <v>0</v>
          </cell>
          <cell r="AC252">
            <v>0</v>
          </cell>
          <cell r="AD252">
            <v>0</v>
          </cell>
          <cell r="AE252">
            <v>0</v>
          </cell>
          <cell r="AF252">
            <v>0</v>
          </cell>
          <cell r="AG252">
            <v>0</v>
          </cell>
          <cell r="AH252">
            <v>0.2</v>
          </cell>
          <cell r="AI252">
            <v>0</v>
          </cell>
          <cell r="AJ252">
            <v>0</v>
          </cell>
          <cell r="AK252">
            <v>0</v>
          </cell>
          <cell r="AL252">
            <v>0</v>
          </cell>
          <cell r="AM252">
            <v>0</v>
          </cell>
          <cell r="AN252">
            <v>0</v>
          </cell>
          <cell r="AO252">
            <v>0</v>
          </cell>
          <cell r="AP252">
            <v>0</v>
          </cell>
          <cell r="AQ252">
            <v>0</v>
          </cell>
          <cell r="AR252">
            <v>0</v>
          </cell>
          <cell r="AS252">
            <v>0</v>
          </cell>
          <cell r="AT252">
            <v>330493.62216834765</v>
          </cell>
          <cell r="AU252">
            <v>0</v>
          </cell>
          <cell r="AV252">
            <v>0</v>
          </cell>
          <cell r="AW252">
            <v>0</v>
          </cell>
          <cell r="AX252">
            <v>0</v>
          </cell>
          <cell r="AY252">
            <v>0</v>
          </cell>
          <cell r="AZ252">
            <v>0</v>
          </cell>
          <cell r="BA252">
            <v>0</v>
          </cell>
          <cell r="BB252">
            <v>0</v>
          </cell>
          <cell r="BC252">
            <v>0</v>
          </cell>
          <cell r="BD252">
            <v>0</v>
          </cell>
          <cell r="BE252">
            <v>0</v>
          </cell>
          <cell r="BF252">
            <v>77290.70176924688</v>
          </cell>
          <cell r="BG252">
            <v>0</v>
          </cell>
          <cell r="BH252">
            <v>0</v>
          </cell>
          <cell r="BI252">
            <v>0</v>
          </cell>
          <cell r="BJ252">
            <v>0</v>
          </cell>
          <cell r="BK252">
            <v>0</v>
          </cell>
          <cell r="BL252">
            <v>0</v>
          </cell>
          <cell r="BM252">
            <v>0</v>
          </cell>
          <cell r="BN252">
            <v>0</v>
          </cell>
          <cell r="BO252">
            <v>0</v>
          </cell>
          <cell r="BP252">
            <v>0</v>
          </cell>
          <cell r="BQ252">
            <v>0</v>
          </cell>
          <cell r="BR252">
            <v>0</v>
          </cell>
          <cell r="BS252">
            <v>0</v>
          </cell>
          <cell r="BT252">
            <v>0</v>
          </cell>
          <cell r="BU252">
            <v>0</v>
          </cell>
          <cell r="BV252">
            <v>136613.32468257612</v>
          </cell>
          <cell r="BW252">
            <v>136613.32468257612</v>
          </cell>
          <cell r="BX252">
            <v>136613.32468257612</v>
          </cell>
          <cell r="BY252">
            <v>144195.18249230328</v>
          </cell>
          <cell r="BZ252">
            <v>129031.46687284892</v>
          </cell>
          <cell r="CA252">
            <v>142308.96420793212</v>
          </cell>
          <cell r="CB252">
            <v>0</v>
          </cell>
          <cell r="CC252">
            <v>0</v>
          </cell>
          <cell r="CD252">
            <v>0</v>
          </cell>
          <cell r="CE252">
            <v>0</v>
          </cell>
          <cell r="CF252">
            <v>0</v>
          </cell>
          <cell r="CG252">
            <v>0</v>
          </cell>
          <cell r="CH252">
            <v>0</v>
          </cell>
          <cell r="CI252">
            <v>0</v>
          </cell>
          <cell r="CJ252">
            <v>0</v>
          </cell>
          <cell r="CK252">
            <v>0</v>
          </cell>
          <cell r="CL252">
            <v>219737.00000000017</v>
          </cell>
          <cell r="CM252">
            <v>0</v>
          </cell>
          <cell r="CN252">
            <v>0</v>
          </cell>
          <cell r="CO252">
            <v>0</v>
          </cell>
          <cell r="CP252">
            <v>0</v>
          </cell>
          <cell r="CQ252">
            <v>0</v>
          </cell>
          <cell r="CR252">
            <v>0</v>
          </cell>
          <cell r="CS252">
            <v>0</v>
          </cell>
          <cell r="CT252">
            <v>0</v>
          </cell>
          <cell r="CU252">
            <v>0</v>
          </cell>
          <cell r="CV252">
            <v>0</v>
          </cell>
          <cell r="CW252">
            <v>0</v>
          </cell>
          <cell r="CX252">
            <v>276983.7400000004</v>
          </cell>
          <cell r="CY252">
            <v>0</v>
          </cell>
          <cell r="CZ252">
            <v>0</v>
          </cell>
          <cell r="DA252">
            <v>0</v>
          </cell>
          <cell r="DB252">
            <v>0</v>
          </cell>
          <cell r="DC252">
            <v>0</v>
          </cell>
          <cell r="DD252">
            <v>0</v>
          </cell>
          <cell r="DE252">
            <v>0</v>
          </cell>
          <cell r="DF252">
            <v>0</v>
          </cell>
          <cell r="DG252">
            <v>0</v>
          </cell>
          <cell r="DH252">
            <v>0</v>
          </cell>
          <cell r="DI252">
            <v>0</v>
          </cell>
          <cell r="DJ252">
            <v>336052.7599999996</v>
          </cell>
          <cell r="DK252">
            <v>0</v>
          </cell>
          <cell r="DL252">
            <v>0</v>
          </cell>
          <cell r="DM252">
            <v>0</v>
          </cell>
          <cell r="DN252">
            <v>0</v>
          </cell>
          <cell r="DO252">
            <v>0</v>
          </cell>
          <cell r="DP252">
            <v>0</v>
          </cell>
          <cell r="DQ252">
            <v>0</v>
          </cell>
          <cell r="DR252">
            <v>0</v>
          </cell>
          <cell r="DS252">
            <v>0</v>
          </cell>
          <cell r="DT252">
            <v>0</v>
          </cell>
          <cell r="DU252">
            <v>0</v>
          </cell>
          <cell r="DV252">
            <v>0</v>
          </cell>
          <cell r="DW252">
            <v>0</v>
          </cell>
          <cell r="DX252">
            <v>0</v>
          </cell>
          <cell r="DY252">
            <v>0</v>
          </cell>
          <cell r="EA252">
            <v>0</v>
          </cell>
          <cell r="EB252">
            <v>0</v>
          </cell>
          <cell r="EC252">
            <v>0</v>
          </cell>
          <cell r="ED252">
            <v>0</v>
          </cell>
          <cell r="EE252">
            <v>0</v>
          </cell>
          <cell r="EF252">
            <v>0</v>
          </cell>
          <cell r="EG252">
            <v>0</v>
          </cell>
          <cell r="EH252">
            <v>0</v>
          </cell>
          <cell r="EI252">
            <v>0</v>
          </cell>
          <cell r="EJ252">
            <v>0</v>
          </cell>
          <cell r="EK252">
            <v>0</v>
          </cell>
          <cell r="EL252">
            <v>0</v>
          </cell>
          <cell r="EM252">
            <v>0</v>
          </cell>
          <cell r="EN252">
            <v>0</v>
          </cell>
          <cell r="EO252">
            <v>0</v>
          </cell>
          <cell r="EP252">
            <v>0</v>
          </cell>
          <cell r="EQ252">
            <v>0</v>
          </cell>
          <cell r="ER252">
            <v>0</v>
          </cell>
          <cell r="ES252">
            <v>0</v>
          </cell>
          <cell r="ET252">
            <v>0</v>
          </cell>
          <cell r="EU252">
            <v>0</v>
          </cell>
          <cell r="EV252">
            <v>0</v>
          </cell>
          <cell r="EW252">
            <v>0</v>
          </cell>
          <cell r="EX252">
            <v>0</v>
          </cell>
          <cell r="EY252">
            <v>0</v>
          </cell>
          <cell r="EZ252">
            <v>0</v>
          </cell>
          <cell r="FA252">
            <v>0</v>
          </cell>
          <cell r="FB252">
            <v>0</v>
          </cell>
          <cell r="FC252">
            <v>0</v>
          </cell>
          <cell r="FD252">
            <v>0</v>
          </cell>
          <cell r="FE252">
            <v>0</v>
          </cell>
          <cell r="FF252">
            <v>0</v>
          </cell>
          <cell r="FG252">
            <v>0</v>
          </cell>
          <cell r="FH252">
            <v>0</v>
          </cell>
          <cell r="FI252">
            <v>0</v>
          </cell>
          <cell r="FJ252">
            <v>0</v>
          </cell>
          <cell r="FK252">
            <v>0</v>
          </cell>
          <cell r="FL252">
            <v>0</v>
          </cell>
          <cell r="FM252">
            <v>0</v>
          </cell>
          <cell r="FN252">
            <v>0</v>
          </cell>
          <cell r="FO252">
            <v>0</v>
          </cell>
          <cell r="FP252">
            <v>0</v>
          </cell>
          <cell r="FQ252">
            <v>0</v>
          </cell>
          <cell r="FR252">
            <v>0</v>
          </cell>
          <cell r="FS252">
            <v>0</v>
          </cell>
          <cell r="FT252">
            <v>0</v>
          </cell>
          <cell r="FU252">
            <v>0</v>
          </cell>
          <cell r="FV252">
            <v>0</v>
          </cell>
          <cell r="FW252">
            <v>0</v>
          </cell>
          <cell r="FX252">
            <v>0</v>
          </cell>
          <cell r="FY252">
            <v>0</v>
          </cell>
          <cell r="FZ252">
            <v>0</v>
          </cell>
        </row>
        <row r="253">
          <cell r="A253" t="str">
            <v>I_LKI_NRF_IRD_IRD_INTR_C20</v>
          </cell>
          <cell r="B253">
            <v>0</v>
          </cell>
          <cell r="C253">
            <v>0</v>
          </cell>
          <cell r="D253">
            <v>0</v>
          </cell>
          <cell r="E253">
            <v>0</v>
          </cell>
          <cell r="F253">
            <v>0.14000000000000001</v>
          </cell>
          <cell r="G253">
            <v>0</v>
          </cell>
          <cell r="H253">
            <v>0</v>
          </cell>
          <cell r="I253">
            <v>0</v>
          </cell>
          <cell r="J253">
            <v>0</v>
          </cell>
          <cell r="K253">
            <v>0</v>
          </cell>
          <cell r="L253">
            <v>0</v>
          </cell>
          <cell r="M253">
            <v>0</v>
          </cell>
          <cell r="N253">
            <v>0</v>
          </cell>
          <cell r="O253">
            <v>0</v>
          </cell>
          <cell r="P253">
            <v>0</v>
          </cell>
          <cell r="Q253">
            <v>0</v>
          </cell>
          <cell r="R253">
            <v>0.8</v>
          </cell>
          <cell r="S253">
            <v>0</v>
          </cell>
          <cell r="T253">
            <v>0</v>
          </cell>
          <cell r="U253">
            <v>0</v>
          </cell>
          <cell r="V253">
            <v>0</v>
          </cell>
          <cell r="W253">
            <v>0</v>
          </cell>
          <cell r="X253">
            <v>0</v>
          </cell>
          <cell r="Y253">
            <v>0</v>
          </cell>
          <cell r="Z253">
            <v>0</v>
          </cell>
          <cell r="AA253">
            <v>0</v>
          </cell>
          <cell r="AB253">
            <v>0</v>
          </cell>
          <cell r="AC253">
            <v>0</v>
          </cell>
          <cell r="AD253">
            <v>0.11</v>
          </cell>
          <cell r="AE253">
            <v>0</v>
          </cell>
          <cell r="AF253">
            <v>0</v>
          </cell>
          <cell r="AG253">
            <v>0</v>
          </cell>
          <cell r="AH253">
            <v>0</v>
          </cell>
          <cell r="AI253">
            <v>0</v>
          </cell>
          <cell r="AJ253">
            <v>0</v>
          </cell>
          <cell r="AK253">
            <v>0</v>
          </cell>
          <cell r="AL253">
            <v>0</v>
          </cell>
          <cell r="AM253">
            <v>0</v>
          </cell>
          <cell r="AN253">
            <v>0</v>
          </cell>
          <cell r="AO253">
            <v>0</v>
          </cell>
          <cell r="AP253">
            <v>4912287.3200000012</v>
          </cell>
          <cell r="AQ253">
            <v>0</v>
          </cell>
          <cell r="AR253">
            <v>0</v>
          </cell>
          <cell r="AS253">
            <v>0</v>
          </cell>
          <cell r="AT253">
            <v>0</v>
          </cell>
          <cell r="AU253">
            <v>0</v>
          </cell>
          <cell r="AV253">
            <v>0</v>
          </cell>
          <cell r="AW253">
            <v>0</v>
          </cell>
          <cell r="AX253">
            <v>0</v>
          </cell>
          <cell r="AY253">
            <v>0</v>
          </cell>
          <cell r="AZ253">
            <v>0</v>
          </cell>
          <cell r="BA253">
            <v>0</v>
          </cell>
          <cell r="BB253">
            <v>9554137.8726541381</v>
          </cell>
          <cell r="BC253">
            <v>0</v>
          </cell>
          <cell r="BD253">
            <v>0</v>
          </cell>
          <cell r="BE253">
            <v>0</v>
          </cell>
          <cell r="BF253">
            <v>0</v>
          </cell>
          <cell r="BG253">
            <v>0</v>
          </cell>
          <cell r="BH253">
            <v>0</v>
          </cell>
          <cell r="BI253">
            <v>0</v>
          </cell>
          <cell r="BJ253">
            <v>0</v>
          </cell>
          <cell r="BK253">
            <v>0</v>
          </cell>
          <cell r="BL253">
            <v>0</v>
          </cell>
          <cell r="BM253">
            <v>0</v>
          </cell>
          <cell r="BN253">
            <v>0</v>
          </cell>
          <cell r="BO253">
            <v>0</v>
          </cell>
          <cell r="BP253">
            <v>0</v>
          </cell>
          <cell r="BQ253">
            <v>0</v>
          </cell>
          <cell r="BR253">
            <v>0</v>
          </cell>
          <cell r="BS253">
            <v>0</v>
          </cell>
          <cell r="BT253">
            <v>0</v>
          </cell>
          <cell r="BU253">
            <v>0</v>
          </cell>
          <cell r="BV253">
            <v>12156312.04809056</v>
          </cell>
          <cell r="BW253">
            <v>12156312.04809056</v>
          </cell>
          <cell r="BX253">
            <v>12156312.04809056</v>
          </cell>
          <cell r="BY253">
            <v>12139330.505702607</v>
          </cell>
          <cell r="BZ253">
            <v>12173293.590478513</v>
          </cell>
          <cell r="CA253">
            <v>12114764.47978395</v>
          </cell>
          <cell r="CB253">
            <v>315169.99999999919</v>
          </cell>
          <cell r="CC253">
            <v>0</v>
          </cell>
          <cell r="CD253">
            <v>0</v>
          </cell>
          <cell r="CE253">
            <v>0</v>
          </cell>
          <cell r="CF253">
            <v>0</v>
          </cell>
          <cell r="CG253">
            <v>0</v>
          </cell>
          <cell r="CH253">
            <v>4912287.32</v>
          </cell>
          <cell r="CI253">
            <v>0</v>
          </cell>
          <cell r="CJ253">
            <v>0</v>
          </cell>
          <cell r="CK253">
            <v>0</v>
          </cell>
          <cell r="CL253">
            <v>0</v>
          </cell>
          <cell r="CM253">
            <v>0</v>
          </cell>
          <cell r="CN253">
            <v>0</v>
          </cell>
          <cell r="CO253">
            <v>0</v>
          </cell>
          <cell r="CP253">
            <v>0</v>
          </cell>
          <cell r="CQ253">
            <v>0</v>
          </cell>
          <cell r="CR253">
            <v>0</v>
          </cell>
          <cell r="CS253">
            <v>0</v>
          </cell>
          <cell r="CT253">
            <v>5283598.62</v>
          </cell>
          <cell r="CU253">
            <v>0</v>
          </cell>
          <cell r="CV253">
            <v>0</v>
          </cell>
          <cell r="CW253">
            <v>0</v>
          </cell>
          <cell r="CX253">
            <v>0</v>
          </cell>
          <cell r="CY253">
            <v>0</v>
          </cell>
          <cell r="CZ253">
            <v>0</v>
          </cell>
          <cell r="DA253">
            <v>0</v>
          </cell>
          <cell r="DB253">
            <v>0</v>
          </cell>
          <cell r="DC253">
            <v>0</v>
          </cell>
          <cell r="DD253">
            <v>0</v>
          </cell>
          <cell r="DE253">
            <v>0</v>
          </cell>
          <cell r="DF253">
            <v>5712399.9100000001</v>
          </cell>
          <cell r="DG253">
            <v>0</v>
          </cell>
          <cell r="DH253">
            <v>0</v>
          </cell>
          <cell r="DI253">
            <v>0</v>
          </cell>
          <cell r="DJ253">
            <v>0</v>
          </cell>
          <cell r="DK253">
            <v>0</v>
          </cell>
          <cell r="DL253">
            <v>0</v>
          </cell>
          <cell r="DM253">
            <v>0</v>
          </cell>
          <cell r="DN253">
            <v>0</v>
          </cell>
          <cell r="DO253">
            <v>0</v>
          </cell>
          <cell r="DP253">
            <v>0</v>
          </cell>
          <cell r="DQ253">
            <v>0</v>
          </cell>
          <cell r="DR253">
            <v>0</v>
          </cell>
          <cell r="DS253">
            <v>0</v>
          </cell>
          <cell r="DT253">
            <v>0</v>
          </cell>
          <cell r="DU253">
            <v>0</v>
          </cell>
          <cell r="DV253">
            <v>0</v>
          </cell>
          <cell r="DW253">
            <v>0</v>
          </cell>
          <cell r="DX253">
            <v>0</v>
          </cell>
          <cell r="DY253">
            <v>0</v>
          </cell>
          <cell r="EA253">
            <v>0</v>
          </cell>
          <cell r="EB253">
            <v>0</v>
          </cell>
          <cell r="EC253">
            <v>0</v>
          </cell>
          <cell r="ED253">
            <v>0</v>
          </cell>
          <cell r="EE253">
            <v>0</v>
          </cell>
          <cell r="EF253">
            <v>0</v>
          </cell>
          <cell r="EG253">
            <v>0</v>
          </cell>
          <cell r="EH253">
            <v>0</v>
          </cell>
          <cell r="EI253">
            <v>0</v>
          </cell>
          <cell r="EJ253">
            <v>0</v>
          </cell>
          <cell r="EK253">
            <v>0</v>
          </cell>
          <cell r="EL253">
            <v>0</v>
          </cell>
          <cell r="EM253">
            <v>0</v>
          </cell>
          <cell r="EN253">
            <v>0</v>
          </cell>
          <cell r="EO253">
            <v>0</v>
          </cell>
          <cell r="EP253">
            <v>0</v>
          </cell>
          <cell r="EQ253">
            <v>0</v>
          </cell>
          <cell r="ER253">
            <v>0</v>
          </cell>
          <cell r="ES253">
            <v>0</v>
          </cell>
          <cell r="ET253">
            <v>0</v>
          </cell>
          <cell r="EU253">
            <v>0</v>
          </cell>
          <cell r="EV253">
            <v>0</v>
          </cell>
          <cell r="EW253">
            <v>0</v>
          </cell>
          <cell r="EX253">
            <v>0</v>
          </cell>
          <cell r="EY253">
            <v>0</v>
          </cell>
          <cell r="EZ253">
            <v>0</v>
          </cell>
          <cell r="FA253">
            <v>0</v>
          </cell>
          <cell r="FB253">
            <v>0</v>
          </cell>
          <cell r="FC253">
            <v>0</v>
          </cell>
          <cell r="FD253">
            <v>0</v>
          </cell>
          <cell r="FE253">
            <v>0</v>
          </cell>
          <cell r="FF253">
            <v>0</v>
          </cell>
          <cell r="FG253">
            <v>0</v>
          </cell>
          <cell r="FH253">
            <v>0</v>
          </cell>
          <cell r="FI253">
            <v>0</v>
          </cell>
          <cell r="FJ253">
            <v>0</v>
          </cell>
          <cell r="FK253">
            <v>0</v>
          </cell>
          <cell r="FL253">
            <v>0</v>
          </cell>
          <cell r="FM253">
            <v>0</v>
          </cell>
          <cell r="FN253">
            <v>0</v>
          </cell>
          <cell r="FO253">
            <v>0</v>
          </cell>
          <cell r="FP253">
            <v>0</v>
          </cell>
          <cell r="FQ253">
            <v>0</v>
          </cell>
          <cell r="FR253">
            <v>0</v>
          </cell>
          <cell r="FS253">
            <v>0</v>
          </cell>
          <cell r="FT253">
            <v>0</v>
          </cell>
          <cell r="FU253">
            <v>0</v>
          </cell>
          <cell r="FV253">
            <v>0</v>
          </cell>
          <cell r="FW253">
            <v>0</v>
          </cell>
          <cell r="FX253">
            <v>0</v>
          </cell>
          <cell r="FY253">
            <v>0</v>
          </cell>
          <cell r="FZ253">
            <v>0</v>
          </cell>
        </row>
        <row r="254">
          <cell r="A254" t="str">
            <v>I_EUL_NRF_CPT_PRP_INTR_E01</v>
          </cell>
          <cell r="B254">
            <v>0</v>
          </cell>
          <cell r="C254">
            <v>0</v>
          </cell>
          <cell r="D254">
            <v>0</v>
          </cell>
          <cell r="E254">
            <v>0</v>
          </cell>
          <cell r="F254">
            <v>0</v>
          </cell>
          <cell r="G254">
            <v>0</v>
          </cell>
          <cell r="H254">
            <v>0</v>
          </cell>
          <cell r="I254">
            <v>0</v>
          </cell>
          <cell r="J254">
            <v>0</v>
          </cell>
          <cell r="K254">
            <v>0</v>
          </cell>
          <cell r="L254">
            <v>0</v>
          </cell>
          <cell r="M254">
            <v>0</v>
          </cell>
          <cell r="N254">
            <v>0</v>
          </cell>
          <cell r="O254">
            <v>0</v>
          </cell>
          <cell r="P254">
            <v>0</v>
          </cell>
          <cell r="Q254">
            <v>0</v>
          </cell>
          <cell r="R254">
            <v>0</v>
          </cell>
          <cell r="S254">
            <v>0</v>
          </cell>
          <cell r="T254">
            <v>0</v>
          </cell>
          <cell r="U254">
            <v>0</v>
          </cell>
          <cell r="V254">
            <v>0</v>
          </cell>
          <cell r="W254">
            <v>0</v>
          </cell>
          <cell r="X254">
            <v>0</v>
          </cell>
          <cell r="Y254">
            <v>0</v>
          </cell>
          <cell r="Z254">
            <v>0</v>
          </cell>
          <cell r="AA254">
            <v>0</v>
          </cell>
          <cell r="AB254">
            <v>0</v>
          </cell>
          <cell r="AC254">
            <v>0</v>
          </cell>
          <cell r="AD254">
            <v>0</v>
          </cell>
          <cell r="AE254">
            <v>0</v>
          </cell>
          <cell r="AF254">
            <v>0</v>
          </cell>
          <cell r="AG254">
            <v>0</v>
          </cell>
          <cell r="AH254">
            <v>0</v>
          </cell>
          <cell r="AI254">
            <v>0</v>
          </cell>
          <cell r="AJ254">
            <v>0</v>
          </cell>
          <cell r="AK254">
            <v>0</v>
          </cell>
          <cell r="AL254">
            <v>0</v>
          </cell>
          <cell r="AM254">
            <v>0</v>
          </cell>
          <cell r="AN254">
            <v>0</v>
          </cell>
          <cell r="AO254">
            <v>0</v>
          </cell>
          <cell r="AP254">
            <v>0</v>
          </cell>
          <cell r="AQ254">
            <v>0</v>
          </cell>
          <cell r="AR254">
            <v>0</v>
          </cell>
          <cell r="AS254">
            <v>0</v>
          </cell>
          <cell r="AT254">
            <v>0</v>
          </cell>
          <cell r="AU254">
            <v>0</v>
          </cell>
          <cell r="AV254">
            <v>0</v>
          </cell>
          <cell r="AW254">
            <v>0</v>
          </cell>
          <cell r="AX254">
            <v>0</v>
          </cell>
          <cell r="AY254">
            <v>0</v>
          </cell>
          <cell r="AZ254">
            <v>0</v>
          </cell>
          <cell r="BA254">
            <v>0</v>
          </cell>
          <cell r="BB254">
            <v>0</v>
          </cell>
          <cell r="BC254">
            <v>0</v>
          </cell>
          <cell r="BD254">
            <v>0</v>
          </cell>
          <cell r="BE254">
            <v>0</v>
          </cell>
          <cell r="BF254">
            <v>0</v>
          </cell>
          <cell r="BG254">
            <v>0</v>
          </cell>
          <cell r="BH254">
            <v>0</v>
          </cell>
          <cell r="BI254">
            <v>0</v>
          </cell>
          <cell r="BJ254">
            <v>0</v>
          </cell>
          <cell r="BK254">
            <v>0</v>
          </cell>
          <cell r="BL254">
            <v>0</v>
          </cell>
          <cell r="BM254">
            <v>0</v>
          </cell>
          <cell r="BN254">
            <v>0</v>
          </cell>
          <cell r="BO254">
            <v>0</v>
          </cell>
          <cell r="BP254">
            <v>0</v>
          </cell>
          <cell r="BQ254">
            <v>0</v>
          </cell>
          <cell r="BR254">
            <v>0</v>
          </cell>
          <cell r="BS254">
            <v>0</v>
          </cell>
          <cell r="BT254">
            <v>0</v>
          </cell>
          <cell r="BU254">
            <v>0</v>
          </cell>
          <cell r="BV254">
            <v>0</v>
          </cell>
          <cell r="BW254">
            <v>0</v>
          </cell>
          <cell r="BX254">
            <v>0</v>
          </cell>
          <cell r="BY254">
            <v>0</v>
          </cell>
          <cell r="BZ254">
            <v>0</v>
          </cell>
          <cell r="CA254">
            <v>0</v>
          </cell>
          <cell r="CB254">
            <v>0</v>
          </cell>
          <cell r="CC254">
            <v>0</v>
          </cell>
          <cell r="CD254">
            <v>0</v>
          </cell>
          <cell r="CE254">
            <v>0</v>
          </cell>
          <cell r="CF254">
            <v>0</v>
          </cell>
          <cell r="CG254">
            <v>0</v>
          </cell>
          <cell r="CH254">
            <v>0</v>
          </cell>
          <cell r="CI254">
            <v>0</v>
          </cell>
          <cell r="CJ254">
            <v>0</v>
          </cell>
          <cell r="CK254">
            <v>0</v>
          </cell>
          <cell r="CL254">
            <v>0</v>
          </cell>
          <cell r="CM254">
            <v>0</v>
          </cell>
          <cell r="CN254">
            <v>0</v>
          </cell>
          <cell r="CO254">
            <v>0</v>
          </cell>
          <cell r="CP254">
            <v>0</v>
          </cell>
          <cell r="CQ254">
            <v>0</v>
          </cell>
          <cell r="CR254">
            <v>0</v>
          </cell>
          <cell r="CS254">
            <v>0</v>
          </cell>
          <cell r="CT254">
            <v>0</v>
          </cell>
          <cell r="CU254">
            <v>0</v>
          </cell>
          <cell r="CV254">
            <v>0</v>
          </cell>
          <cell r="CW254">
            <v>0</v>
          </cell>
          <cell r="CX254">
            <v>0</v>
          </cell>
          <cell r="CY254">
            <v>0</v>
          </cell>
          <cell r="CZ254">
            <v>0</v>
          </cell>
          <cell r="DA254">
            <v>0</v>
          </cell>
          <cell r="DB254">
            <v>0</v>
          </cell>
          <cell r="DC254">
            <v>0</v>
          </cell>
          <cell r="DD254">
            <v>0</v>
          </cell>
          <cell r="DE254">
            <v>0</v>
          </cell>
          <cell r="DF254">
            <v>0</v>
          </cell>
          <cell r="DG254">
            <v>0</v>
          </cell>
          <cell r="DH254">
            <v>0</v>
          </cell>
          <cell r="DI254">
            <v>0</v>
          </cell>
          <cell r="DJ254">
            <v>0</v>
          </cell>
          <cell r="DK254">
            <v>0</v>
          </cell>
          <cell r="DL254">
            <v>0</v>
          </cell>
          <cell r="DM254">
            <v>0</v>
          </cell>
          <cell r="DN254">
            <v>0</v>
          </cell>
          <cell r="DO254">
            <v>0</v>
          </cell>
          <cell r="DP254">
            <v>0</v>
          </cell>
          <cell r="DQ254">
            <v>0</v>
          </cell>
          <cell r="DR254">
            <v>0</v>
          </cell>
          <cell r="DS254">
            <v>0</v>
          </cell>
          <cell r="DT254">
            <v>0</v>
          </cell>
          <cell r="DU254">
            <v>0</v>
          </cell>
          <cell r="DV254">
            <v>0</v>
          </cell>
          <cell r="DW254">
            <v>0</v>
          </cell>
          <cell r="DX254">
            <v>0</v>
          </cell>
          <cell r="DY254">
            <v>0</v>
          </cell>
          <cell r="EA254">
            <v>0</v>
          </cell>
          <cell r="EB254">
            <v>0</v>
          </cell>
          <cell r="EC254">
            <v>0</v>
          </cell>
          <cell r="ED254">
            <v>0</v>
          </cell>
          <cell r="EE254">
            <v>0</v>
          </cell>
          <cell r="EF254">
            <v>0</v>
          </cell>
          <cell r="EG254">
            <v>0</v>
          </cell>
          <cell r="EH254">
            <v>0</v>
          </cell>
          <cell r="EI254">
            <v>0</v>
          </cell>
          <cell r="EJ254">
            <v>0</v>
          </cell>
          <cell r="EK254">
            <v>0</v>
          </cell>
          <cell r="EL254">
            <v>0</v>
          </cell>
          <cell r="EM254">
            <v>0</v>
          </cell>
          <cell r="EN254">
            <v>0</v>
          </cell>
          <cell r="EO254">
            <v>0</v>
          </cell>
          <cell r="EP254">
            <v>0</v>
          </cell>
          <cell r="EQ254">
            <v>0</v>
          </cell>
          <cell r="ER254">
            <v>0</v>
          </cell>
          <cell r="ES254">
            <v>0</v>
          </cell>
          <cell r="ET254">
            <v>0</v>
          </cell>
          <cell r="EU254">
            <v>0</v>
          </cell>
          <cell r="EV254">
            <v>0</v>
          </cell>
          <cell r="EW254">
            <v>0</v>
          </cell>
          <cell r="EX254">
            <v>0</v>
          </cell>
          <cell r="EY254">
            <v>0</v>
          </cell>
          <cell r="EZ254">
            <v>0</v>
          </cell>
          <cell r="FA254">
            <v>0</v>
          </cell>
          <cell r="FB254">
            <v>0</v>
          </cell>
          <cell r="FC254">
            <v>0</v>
          </cell>
          <cell r="FD254">
            <v>0</v>
          </cell>
          <cell r="FE254">
            <v>0</v>
          </cell>
          <cell r="FF254">
            <v>0</v>
          </cell>
          <cell r="FG254">
            <v>0</v>
          </cell>
          <cell r="FH254">
            <v>0</v>
          </cell>
          <cell r="FI254">
            <v>0</v>
          </cell>
          <cell r="FJ254">
            <v>0</v>
          </cell>
          <cell r="FK254">
            <v>0</v>
          </cell>
          <cell r="FL254">
            <v>0</v>
          </cell>
          <cell r="FM254">
            <v>0</v>
          </cell>
          <cell r="FN254">
            <v>0</v>
          </cell>
          <cell r="FO254">
            <v>0</v>
          </cell>
          <cell r="FP254">
            <v>0</v>
          </cell>
          <cell r="FQ254">
            <v>0</v>
          </cell>
          <cell r="FR254">
            <v>0</v>
          </cell>
          <cell r="FS254">
            <v>0</v>
          </cell>
          <cell r="FT254">
            <v>0</v>
          </cell>
          <cell r="FU254">
            <v>0</v>
          </cell>
          <cell r="FV254">
            <v>0</v>
          </cell>
          <cell r="FW254">
            <v>0</v>
          </cell>
          <cell r="FX254">
            <v>0</v>
          </cell>
          <cell r="FY254">
            <v>0</v>
          </cell>
          <cell r="FZ254">
            <v>0</v>
          </cell>
        </row>
        <row r="255">
          <cell r="A255" t="str">
            <v>I_EUL_NRF_RIS_COL_INTR_E02</v>
          </cell>
          <cell r="B255">
            <v>0</v>
          </cell>
          <cell r="C255">
            <v>0</v>
          </cell>
          <cell r="D255">
            <v>0</v>
          </cell>
          <cell r="E255">
            <v>0</v>
          </cell>
          <cell r="F255">
            <v>0</v>
          </cell>
          <cell r="G255">
            <v>0</v>
          </cell>
          <cell r="H255">
            <v>0</v>
          </cell>
          <cell r="I255">
            <v>0</v>
          </cell>
          <cell r="J255">
            <v>0</v>
          </cell>
          <cell r="K255">
            <v>0</v>
          </cell>
          <cell r="L255">
            <v>0</v>
          </cell>
          <cell r="M255">
            <v>0</v>
          </cell>
          <cell r="N255">
            <v>0</v>
          </cell>
          <cell r="O255">
            <v>0</v>
          </cell>
          <cell r="P255">
            <v>0</v>
          </cell>
          <cell r="Q255">
            <v>0</v>
          </cell>
          <cell r="R255">
            <v>0</v>
          </cell>
          <cell r="S255">
            <v>0</v>
          </cell>
          <cell r="T255">
            <v>0</v>
          </cell>
          <cell r="U255">
            <v>0</v>
          </cell>
          <cell r="V255">
            <v>0</v>
          </cell>
          <cell r="W255">
            <v>0</v>
          </cell>
          <cell r="X255">
            <v>0</v>
          </cell>
          <cell r="Y255">
            <v>0</v>
          </cell>
          <cell r="Z255">
            <v>0</v>
          </cell>
          <cell r="AA255">
            <v>0</v>
          </cell>
          <cell r="AB255">
            <v>0</v>
          </cell>
          <cell r="AC255">
            <v>0</v>
          </cell>
          <cell r="AD255">
            <v>0</v>
          </cell>
          <cell r="AE255">
            <v>0</v>
          </cell>
          <cell r="AF255">
            <v>0</v>
          </cell>
          <cell r="AG255">
            <v>0</v>
          </cell>
          <cell r="AH255">
            <v>0</v>
          </cell>
          <cell r="AI255">
            <v>0</v>
          </cell>
          <cell r="AJ255">
            <v>0</v>
          </cell>
          <cell r="AK255">
            <v>0</v>
          </cell>
          <cell r="AL255">
            <v>0</v>
          </cell>
          <cell r="AM255">
            <v>0</v>
          </cell>
          <cell r="AN255">
            <v>0</v>
          </cell>
          <cell r="AO255">
            <v>0</v>
          </cell>
          <cell r="AP255">
            <v>0</v>
          </cell>
          <cell r="AQ255">
            <v>0</v>
          </cell>
          <cell r="AR255">
            <v>0</v>
          </cell>
          <cell r="AS255">
            <v>0</v>
          </cell>
          <cell r="AT255">
            <v>0</v>
          </cell>
          <cell r="AU255">
            <v>0</v>
          </cell>
          <cell r="AV255">
            <v>0</v>
          </cell>
          <cell r="AW255">
            <v>0</v>
          </cell>
          <cell r="AX255">
            <v>0</v>
          </cell>
          <cell r="AY255">
            <v>0</v>
          </cell>
          <cell r="AZ255">
            <v>0</v>
          </cell>
          <cell r="BA255">
            <v>0</v>
          </cell>
          <cell r="BB255">
            <v>0</v>
          </cell>
          <cell r="BC255">
            <v>0</v>
          </cell>
          <cell r="BD255">
            <v>0</v>
          </cell>
          <cell r="BE255">
            <v>0</v>
          </cell>
          <cell r="BF255">
            <v>0</v>
          </cell>
          <cell r="BG255">
            <v>0</v>
          </cell>
          <cell r="BH255">
            <v>0</v>
          </cell>
          <cell r="BI255">
            <v>0</v>
          </cell>
          <cell r="BJ255">
            <v>0</v>
          </cell>
          <cell r="BK255">
            <v>0</v>
          </cell>
          <cell r="BL255">
            <v>0</v>
          </cell>
          <cell r="BM255">
            <v>0</v>
          </cell>
          <cell r="BN255">
            <v>0</v>
          </cell>
          <cell r="BO255">
            <v>0</v>
          </cell>
          <cell r="BP255">
            <v>0</v>
          </cell>
          <cell r="BQ255">
            <v>0</v>
          </cell>
          <cell r="BR255">
            <v>0</v>
          </cell>
          <cell r="BS255">
            <v>0</v>
          </cell>
          <cell r="BT255">
            <v>0</v>
          </cell>
          <cell r="BU255">
            <v>0</v>
          </cell>
          <cell r="BV255">
            <v>0</v>
          </cell>
          <cell r="BW255">
            <v>0</v>
          </cell>
          <cell r="BX255">
            <v>0</v>
          </cell>
          <cell r="BY255">
            <v>0</v>
          </cell>
          <cell r="BZ255">
            <v>0</v>
          </cell>
          <cell r="CA255">
            <v>0</v>
          </cell>
          <cell r="CB255">
            <v>0</v>
          </cell>
          <cell r="CC255">
            <v>0</v>
          </cell>
          <cell r="CD255">
            <v>0</v>
          </cell>
          <cell r="CE255">
            <v>0</v>
          </cell>
          <cell r="CF255">
            <v>0</v>
          </cell>
          <cell r="CG255">
            <v>0</v>
          </cell>
          <cell r="CH255">
            <v>0</v>
          </cell>
          <cell r="CI255">
            <v>0</v>
          </cell>
          <cell r="CJ255">
            <v>0</v>
          </cell>
          <cell r="CK255">
            <v>0</v>
          </cell>
          <cell r="CL255">
            <v>0</v>
          </cell>
          <cell r="CM255">
            <v>0</v>
          </cell>
          <cell r="CN255">
            <v>0</v>
          </cell>
          <cell r="CO255">
            <v>0</v>
          </cell>
          <cell r="CP255">
            <v>0</v>
          </cell>
          <cell r="CQ255">
            <v>0</v>
          </cell>
          <cell r="CR255">
            <v>0</v>
          </cell>
          <cell r="CS255">
            <v>0</v>
          </cell>
          <cell r="CT255">
            <v>0</v>
          </cell>
          <cell r="CU255">
            <v>0</v>
          </cell>
          <cell r="CV255">
            <v>0</v>
          </cell>
          <cell r="CW255">
            <v>0</v>
          </cell>
          <cell r="CX255">
            <v>0</v>
          </cell>
          <cell r="CY255">
            <v>0</v>
          </cell>
          <cell r="CZ255">
            <v>0</v>
          </cell>
          <cell r="DA255">
            <v>0</v>
          </cell>
          <cell r="DB255">
            <v>0</v>
          </cell>
          <cell r="DC255">
            <v>0</v>
          </cell>
          <cell r="DD255">
            <v>0</v>
          </cell>
          <cell r="DE255">
            <v>0</v>
          </cell>
          <cell r="DF255">
            <v>0</v>
          </cell>
          <cell r="DG255">
            <v>0</v>
          </cell>
          <cell r="DH255">
            <v>0</v>
          </cell>
          <cell r="DI255">
            <v>0</v>
          </cell>
          <cell r="DJ255">
            <v>0</v>
          </cell>
          <cell r="DK255">
            <v>0</v>
          </cell>
          <cell r="DL255">
            <v>0</v>
          </cell>
          <cell r="DM255">
            <v>0</v>
          </cell>
          <cell r="DN255">
            <v>0</v>
          </cell>
          <cell r="DO255">
            <v>0</v>
          </cell>
          <cell r="DP255">
            <v>0</v>
          </cell>
          <cell r="DQ255">
            <v>0</v>
          </cell>
          <cell r="DR255">
            <v>0</v>
          </cell>
          <cell r="DS255">
            <v>0</v>
          </cell>
          <cell r="DT255">
            <v>0</v>
          </cell>
          <cell r="DU255">
            <v>0</v>
          </cell>
          <cell r="DV255">
            <v>0</v>
          </cell>
          <cell r="DW255">
            <v>0</v>
          </cell>
          <cell r="DX255">
            <v>0</v>
          </cell>
          <cell r="DY255">
            <v>0</v>
          </cell>
          <cell r="EA255">
            <v>0</v>
          </cell>
          <cell r="EB255">
            <v>0</v>
          </cell>
          <cell r="EC255">
            <v>0</v>
          </cell>
          <cell r="ED255">
            <v>0</v>
          </cell>
          <cell r="EE255">
            <v>0</v>
          </cell>
          <cell r="EF255">
            <v>0</v>
          </cell>
          <cell r="EG255">
            <v>0</v>
          </cell>
          <cell r="EH255">
            <v>0</v>
          </cell>
          <cell r="EI255">
            <v>0</v>
          </cell>
          <cell r="EJ255">
            <v>0</v>
          </cell>
          <cell r="EK255">
            <v>0</v>
          </cell>
          <cell r="EL255">
            <v>0</v>
          </cell>
          <cell r="EM255">
            <v>0</v>
          </cell>
          <cell r="EN255">
            <v>0</v>
          </cell>
          <cell r="EO255">
            <v>0</v>
          </cell>
          <cell r="EP255">
            <v>0</v>
          </cell>
          <cell r="EQ255">
            <v>0</v>
          </cell>
          <cell r="ER255">
            <v>0</v>
          </cell>
          <cell r="ES255">
            <v>0</v>
          </cell>
          <cell r="ET255">
            <v>0</v>
          </cell>
          <cell r="EU255">
            <v>0</v>
          </cell>
          <cell r="EV255">
            <v>0</v>
          </cell>
          <cell r="EW255">
            <v>0</v>
          </cell>
          <cell r="EX255">
            <v>0</v>
          </cell>
          <cell r="EY255">
            <v>0</v>
          </cell>
          <cell r="EZ255">
            <v>0</v>
          </cell>
          <cell r="FA255">
            <v>0</v>
          </cell>
          <cell r="FB255">
            <v>0</v>
          </cell>
          <cell r="FC255">
            <v>0</v>
          </cell>
          <cell r="FD255">
            <v>0</v>
          </cell>
          <cell r="FE255">
            <v>0</v>
          </cell>
          <cell r="FF255">
            <v>0</v>
          </cell>
          <cell r="FG255">
            <v>0</v>
          </cell>
          <cell r="FH255">
            <v>0</v>
          </cell>
          <cell r="FI255">
            <v>0</v>
          </cell>
          <cell r="FJ255">
            <v>0</v>
          </cell>
          <cell r="FK255">
            <v>0</v>
          </cell>
          <cell r="FL255">
            <v>0</v>
          </cell>
          <cell r="FM255">
            <v>0</v>
          </cell>
          <cell r="FN255">
            <v>0</v>
          </cell>
          <cell r="FO255">
            <v>0</v>
          </cell>
          <cell r="FP255">
            <v>0</v>
          </cell>
          <cell r="FQ255">
            <v>0</v>
          </cell>
          <cell r="FR255">
            <v>0</v>
          </cell>
          <cell r="FS255">
            <v>0</v>
          </cell>
          <cell r="FT255">
            <v>0</v>
          </cell>
          <cell r="FU255">
            <v>0</v>
          </cell>
          <cell r="FV255">
            <v>0</v>
          </cell>
          <cell r="FW255">
            <v>0</v>
          </cell>
          <cell r="FX255">
            <v>0</v>
          </cell>
          <cell r="FY255">
            <v>0</v>
          </cell>
          <cell r="FZ255">
            <v>0</v>
          </cell>
        </row>
        <row r="256">
          <cell r="A256" t="str">
            <v>I_EUL_NRF_RIS_COL_INTR_E03</v>
          </cell>
          <cell r="B256">
            <v>0</v>
          </cell>
          <cell r="C256">
            <v>0</v>
          </cell>
          <cell r="D256">
            <v>0</v>
          </cell>
          <cell r="E256">
            <v>0</v>
          </cell>
          <cell r="F256">
            <v>0</v>
          </cell>
          <cell r="G256">
            <v>0</v>
          </cell>
          <cell r="H256">
            <v>0</v>
          </cell>
          <cell r="I256">
            <v>0</v>
          </cell>
          <cell r="J256">
            <v>0</v>
          </cell>
          <cell r="K256">
            <v>0</v>
          </cell>
          <cell r="L256">
            <v>0</v>
          </cell>
          <cell r="M256">
            <v>0</v>
          </cell>
          <cell r="N256">
            <v>0</v>
          </cell>
          <cell r="O256">
            <v>0</v>
          </cell>
          <cell r="P256">
            <v>0</v>
          </cell>
          <cell r="Q256">
            <v>0</v>
          </cell>
          <cell r="R256">
            <v>0</v>
          </cell>
          <cell r="S256">
            <v>0</v>
          </cell>
          <cell r="T256">
            <v>0</v>
          </cell>
          <cell r="U256">
            <v>0</v>
          </cell>
          <cell r="V256">
            <v>0</v>
          </cell>
          <cell r="W256">
            <v>0</v>
          </cell>
          <cell r="X256">
            <v>0</v>
          </cell>
          <cell r="Y256">
            <v>0</v>
          </cell>
          <cell r="Z256">
            <v>0</v>
          </cell>
          <cell r="AA256">
            <v>0</v>
          </cell>
          <cell r="AB256">
            <v>0</v>
          </cell>
          <cell r="AC256">
            <v>0</v>
          </cell>
          <cell r="AD256">
            <v>0</v>
          </cell>
          <cell r="AE256">
            <v>0</v>
          </cell>
          <cell r="AF256">
            <v>0</v>
          </cell>
          <cell r="AG256">
            <v>0</v>
          </cell>
          <cell r="AH256">
            <v>0</v>
          </cell>
          <cell r="AI256">
            <v>0</v>
          </cell>
          <cell r="AJ256">
            <v>0</v>
          </cell>
          <cell r="AK256">
            <v>0</v>
          </cell>
          <cell r="AL256">
            <v>0</v>
          </cell>
          <cell r="AM256">
            <v>0</v>
          </cell>
          <cell r="AN256">
            <v>0</v>
          </cell>
          <cell r="AO256">
            <v>0</v>
          </cell>
          <cell r="AP256">
            <v>0</v>
          </cell>
          <cell r="AQ256">
            <v>0</v>
          </cell>
          <cell r="AR256">
            <v>0</v>
          </cell>
          <cell r="AS256">
            <v>0</v>
          </cell>
          <cell r="AT256">
            <v>0</v>
          </cell>
          <cell r="AU256">
            <v>0</v>
          </cell>
          <cell r="AV256">
            <v>0</v>
          </cell>
          <cell r="AW256">
            <v>0</v>
          </cell>
          <cell r="AX256">
            <v>0</v>
          </cell>
          <cell r="AY256">
            <v>0</v>
          </cell>
          <cell r="AZ256">
            <v>0</v>
          </cell>
          <cell r="BA256">
            <v>0</v>
          </cell>
          <cell r="BB256">
            <v>0</v>
          </cell>
          <cell r="BC256">
            <v>0</v>
          </cell>
          <cell r="BD256">
            <v>0</v>
          </cell>
          <cell r="BE256">
            <v>0</v>
          </cell>
          <cell r="BF256">
            <v>0</v>
          </cell>
          <cell r="BG256">
            <v>0</v>
          </cell>
          <cell r="BH256">
            <v>0</v>
          </cell>
          <cell r="BI256">
            <v>0</v>
          </cell>
          <cell r="BJ256">
            <v>0</v>
          </cell>
          <cell r="BK256">
            <v>0</v>
          </cell>
          <cell r="BL256">
            <v>0</v>
          </cell>
          <cell r="BM256">
            <v>0</v>
          </cell>
          <cell r="BN256">
            <v>0</v>
          </cell>
          <cell r="BO256">
            <v>0</v>
          </cell>
          <cell r="BP256">
            <v>0</v>
          </cell>
          <cell r="BQ256">
            <v>0</v>
          </cell>
          <cell r="BR256">
            <v>0</v>
          </cell>
          <cell r="BS256">
            <v>0</v>
          </cell>
          <cell r="BT256">
            <v>0</v>
          </cell>
          <cell r="BU256">
            <v>0</v>
          </cell>
          <cell r="BV256">
            <v>0</v>
          </cell>
          <cell r="BW256">
            <v>0</v>
          </cell>
          <cell r="BX256">
            <v>0</v>
          </cell>
          <cell r="BY256">
            <v>0</v>
          </cell>
          <cell r="BZ256">
            <v>0</v>
          </cell>
          <cell r="CA256">
            <v>0</v>
          </cell>
          <cell r="CB256">
            <v>0</v>
          </cell>
          <cell r="CC256">
            <v>0</v>
          </cell>
          <cell r="CD256">
            <v>0</v>
          </cell>
          <cell r="CE256">
            <v>0</v>
          </cell>
          <cell r="CF256">
            <v>0</v>
          </cell>
          <cell r="CG256">
            <v>0</v>
          </cell>
          <cell r="CH256">
            <v>0</v>
          </cell>
          <cell r="CI256">
            <v>0</v>
          </cell>
          <cell r="CJ256">
            <v>0</v>
          </cell>
          <cell r="CK256">
            <v>0</v>
          </cell>
          <cell r="CL256">
            <v>0</v>
          </cell>
          <cell r="CM256">
            <v>0</v>
          </cell>
          <cell r="CN256">
            <v>0</v>
          </cell>
          <cell r="CO256">
            <v>0</v>
          </cell>
          <cell r="CP256">
            <v>0</v>
          </cell>
          <cell r="CQ256">
            <v>0</v>
          </cell>
          <cell r="CR256">
            <v>0</v>
          </cell>
          <cell r="CS256">
            <v>0</v>
          </cell>
          <cell r="CT256">
            <v>0</v>
          </cell>
          <cell r="CU256">
            <v>0</v>
          </cell>
          <cell r="CV256">
            <v>0</v>
          </cell>
          <cell r="CW256">
            <v>0</v>
          </cell>
          <cell r="CX256">
            <v>0</v>
          </cell>
          <cell r="CY256">
            <v>0</v>
          </cell>
          <cell r="CZ256">
            <v>0</v>
          </cell>
          <cell r="DA256">
            <v>0</v>
          </cell>
          <cell r="DB256">
            <v>0</v>
          </cell>
          <cell r="DC256">
            <v>0</v>
          </cell>
          <cell r="DD256">
            <v>0</v>
          </cell>
          <cell r="DE256">
            <v>0</v>
          </cell>
          <cell r="DF256">
            <v>0</v>
          </cell>
          <cell r="DG256">
            <v>0</v>
          </cell>
          <cell r="DH256">
            <v>0</v>
          </cell>
          <cell r="DI256">
            <v>0</v>
          </cell>
          <cell r="DJ256">
            <v>0</v>
          </cell>
          <cell r="DK256">
            <v>0</v>
          </cell>
          <cell r="DL256">
            <v>0</v>
          </cell>
          <cell r="DM256">
            <v>0</v>
          </cell>
          <cell r="DN256">
            <v>0</v>
          </cell>
          <cell r="DO256">
            <v>0</v>
          </cell>
          <cell r="DP256">
            <v>0</v>
          </cell>
          <cell r="DQ256">
            <v>0</v>
          </cell>
          <cell r="DR256">
            <v>0</v>
          </cell>
          <cell r="DS256">
            <v>0</v>
          </cell>
          <cell r="DT256">
            <v>0</v>
          </cell>
          <cell r="DU256">
            <v>0</v>
          </cell>
          <cell r="DV256">
            <v>0</v>
          </cell>
          <cell r="DW256">
            <v>0</v>
          </cell>
          <cell r="DX256">
            <v>0</v>
          </cell>
          <cell r="DY256">
            <v>0</v>
          </cell>
          <cell r="EA256">
            <v>0</v>
          </cell>
          <cell r="EB256">
            <v>0</v>
          </cell>
          <cell r="EC256">
            <v>0</v>
          </cell>
          <cell r="ED256">
            <v>0</v>
          </cell>
          <cell r="EE256">
            <v>0</v>
          </cell>
          <cell r="EF256">
            <v>0</v>
          </cell>
          <cell r="EG256">
            <v>0</v>
          </cell>
          <cell r="EH256">
            <v>0</v>
          </cell>
          <cell r="EI256">
            <v>0</v>
          </cell>
          <cell r="EJ256">
            <v>0</v>
          </cell>
          <cell r="EK256">
            <v>0</v>
          </cell>
          <cell r="EL256">
            <v>0</v>
          </cell>
          <cell r="EM256">
            <v>0</v>
          </cell>
          <cell r="EN256">
            <v>0</v>
          </cell>
          <cell r="EO256">
            <v>0</v>
          </cell>
          <cell r="EP256">
            <v>0</v>
          </cell>
          <cell r="EQ256">
            <v>0</v>
          </cell>
          <cell r="ER256">
            <v>0</v>
          </cell>
          <cell r="ES256">
            <v>0</v>
          </cell>
          <cell r="ET256">
            <v>0</v>
          </cell>
          <cell r="EU256">
            <v>0</v>
          </cell>
          <cell r="EV256">
            <v>0</v>
          </cell>
          <cell r="EW256">
            <v>0</v>
          </cell>
          <cell r="EX256">
            <v>0</v>
          </cell>
          <cell r="EY256">
            <v>0</v>
          </cell>
          <cell r="EZ256">
            <v>0</v>
          </cell>
          <cell r="FA256">
            <v>0</v>
          </cell>
          <cell r="FB256">
            <v>0</v>
          </cell>
          <cell r="FC256">
            <v>0</v>
          </cell>
          <cell r="FD256">
            <v>0</v>
          </cell>
          <cell r="FE256">
            <v>0</v>
          </cell>
          <cell r="FF256">
            <v>0</v>
          </cell>
          <cell r="FG256">
            <v>0</v>
          </cell>
          <cell r="FH256">
            <v>0</v>
          </cell>
          <cell r="FI256">
            <v>0</v>
          </cell>
          <cell r="FJ256">
            <v>0</v>
          </cell>
          <cell r="FK256">
            <v>0</v>
          </cell>
          <cell r="FL256">
            <v>0</v>
          </cell>
          <cell r="FM256">
            <v>0</v>
          </cell>
          <cell r="FN256">
            <v>0</v>
          </cell>
          <cell r="FO256">
            <v>0</v>
          </cell>
          <cell r="FP256">
            <v>0</v>
          </cell>
          <cell r="FQ256">
            <v>0</v>
          </cell>
          <cell r="FR256">
            <v>0</v>
          </cell>
          <cell r="FS256">
            <v>0</v>
          </cell>
          <cell r="FT256">
            <v>0</v>
          </cell>
          <cell r="FU256">
            <v>0</v>
          </cell>
          <cell r="FV256">
            <v>0</v>
          </cell>
          <cell r="FW256">
            <v>0</v>
          </cell>
          <cell r="FX256">
            <v>0</v>
          </cell>
          <cell r="FY256">
            <v>0</v>
          </cell>
          <cell r="FZ256">
            <v>0</v>
          </cell>
        </row>
        <row r="257">
          <cell r="A257" t="str">
            <v>I_CAI_NRF_CPT_PRP_INTR_TCX</v>
          </cell>
          <cell r="B257">
            <v>0</v>
          </cell>
          <cell r="C257">
            <v>0</v>
          </cell>
          <cell r="D257">
            <v>0</v>
          </cell>
          <cell r="E257">
            <v>0</v>
          </cell>
          <cell r="F257">
            <v>0</v>
          </cell>
          <cell r="G257">
            <v>0</v>
          </cell>
          <cell r="H257">
            <v>0</v>
          </cell>
          <cell r="I257">
            <v>0</v>
          </cell>
          <cell r="J257">
            <v>0</v>
          </cell>
          <cell r="K257">
            <v>0</v>
          </cell>
          <cell r="L257">
            <v>0</v>
          </cell>
          <cell r="M257">
            <v>0</v>
          </cell>
          <cell r="N257">
            <v>0</v>
          </cell>
          <cell r="O257">
            <v>0</v>
          </cell>
          <cell r="P257">
            <v>0</v>
          </cell>
          <cell r="Q257">
            <v>0</v>
          </cell>
          <cell r="R257">
            <v>0</v>
          </cell>
          <cell r="S257">
            <v>0</v>
          </cell>
          <cell r="T257">
            <v>0</v>
          </cell>
          <cell r="U257">
            <v>0</v>
          </cell>
          <cell r="V257">
            <v>0</v>
          </cell>
          <cell r="W257">
            <v>0</v>
          </cell>
          <cell r="X257">
            <v>0</v>
          </cell>
          <cell r="Y257">
            <v>0</v>
          </cell>
          <cell r="Z257">
            <v>0</v>
          </cell>
          <cell r="AA257">
            <v>0</v>
          </cell>
          <cell r="AB257">
            <v>0</v>
          </cell>
          <cell r="AC257">
            <v>0</v>
          </cell>
          <cell r="AD257">
            <v>0</v>
          </cell>
          <cell r="AE257">
            <v>0</v>
          </cell>
          <cell r="AF257">
            <v>0</v>
          </cell>
          <cell r="AG257">
            <v>0</v>
          </cell>
          <cell r="AH257">
            <v>0</v>
          </cell>
          <cell r="AI257">
            <v>0</v>
          </cell>
          <cell r="AJ257">
            <v>0</v>
          </cell>
          <cell r="AK257">
            <v>0</v>
          </cell>
          <cell r="AL257">
            <v>0</v>
          </cell>
          <cell r="AM257">
            <v>0</v>
          </cell>
          <cell r="AN257">
            <v>0</v>
          </cell>
          <cell r="AO257">
            <v>0</v>
          </cell>
          <cell r="AP257">
            <v>0</v>
          </cell>
          <cell r="AQ257">
            <v>0</v>
          </cell>
          <cell r="AR257">
            <v>0</v>
          </cell>
          <cell r="AS257">
            <v>0</v>
          </cell>
          <cell r="AT257">
            <v>0</v>
          </cell>
          <cell r="AU257">
            <v>0</v>
          </cell>
          <cell r="AV257">
            <v>0</v>
          </cell>
          <cell r="AW257">
            <v>0</v>
          </cell>
          <cell r="AX257">
            <v>0</v>
          </cell>
          <cell r="AY257">
            <v>0</v>
          </cell>
          <cell r="AZ257">
            <v>0</v>
          </cell>
          <cell r="BA257">
            <v>0</v>
          </cell>
          <cell r="BB257">
            <v>0</v>
          </cell>
          <cell r="BC257">
            <v>0</v>
          </cell>
          <cell r="BD257">
            <v>0</v>
          </cell>
          <cell r="BE257">
            <v>0</v>
          </cell>
          <cell r="BF257">
            <v>0</v>
          </cell>
          <cell r="BG257">
            <v>0</v>
          </cell>
          <cell r="BH257">
            <v>0</v>
          </cell>
          <cell r="BI257">
            <v>0</v>
          </cell>
          <cell r="BJ257">
            <v>0</v>
          </cell>
          <cell r="BK257">
            <v>0</v>
          </cell>
          <cell r="BL257">
            <v>0</v>
          </cell>
          <cell r="BM257">
            <v>0</v>
          </cell>
          <cell r="BN257">
            <v>0</v>
          </cell>
          <cell r="BO257">
            <v>0</v>
          </cell>
          <cell r="BP257">
            <v>0</v>
          </cell>
          <cell r="BQ257">
            <v>0</v>
          </cell>
          <cell r="BR257">
            <v>0</v>
          </cell>
          <cell r="BS257">
            <v>0</v>
          </cell>
          <cell r="BT257">
            <v>0</v>
          </cell>
          <cell r="BU257">
            <v>0</v>
          </cell>
          <cell r="BV257">
            <v>0</v>
          </cell>
          <cell r="BW257">
            <v>0</v>
          </cell>
          <cell r="BX257">
            <v>0</v>
          </cell>
          <cell r="BY257">
            <v>0</v>
          </cell>
          <cell r="BZ257">
            <v>0</v>
          </cell>
          <cell r="CA257">
            <v>0</v>
          </cell>
          <cell r="CB257">
            <v>0</v>
          </cell>
          <cell r="CC257">
            <v>0</v>
          </cell>
          <cell r="CD257">
            <v>0</v>
          </cell>
          <cell r="CE257">
            <v>0</v>
          </cell>
          <cell r="CF257">
            <v>0</v>
          </cell>
          <cell r="CG257">
            <v>0</v>
          </cell>
          <cell r="CH257">
            <v>0</v>
          </cell>
          <cell r="CI257">
            <v>0</v>
          </cell>
          <cell r="CJ257">
            <v>0</v>
          </cell>
          <cell r="CK257">
            <v>0</v>
          </cell>
          <cell r="CL257">
            <v>0</v>
          </cell>
          <cell r="CM257">
            <v>0</v>
          </cell>
          <cell r="CN257">
            <v>0</v>
          </cell>
          <cell r="CO257">
            <v>0</v>
          </cell>
          <cell r="CP257">
            <v>0</v>
          </cell>
          <cell r="CQ257">
            <v>0</v>
          </cell>
          <cell r="CR257">
            <v>0</v>
          </cell>
          <cell r="CS257">
            <v>0</v>
          </cell>
          <cell r="CT257">
            <v>0</v>
          </cell>
          <cell r="CU257">
            <v>0</v>
          </cell>
          <cell r="CV257">
            <v>0</v>
          </cell>
          <cell r="CW257">
            <v>0</v>
          </cell>
          <cell r="CX257">
            <v>0</v>
          </cell>
          <cell r="CY257">
            <v>0</v>
          </cell>
          <cell r="CZ257">
            <v>0</v>
          </cell>
          <cell r="DA257">
            <v>0</v>
          </cell>
          <cell r="DB257">
            <v>0</v>
          </cell>
          <cell r="DC257">
            <v>0</v>
          </cell>
          <cell r="DD257">
            <v>0</v>
          </cell>
          <cell r="DE257">
            <v>0</v>
          </cell>
          <cell r="DF257">
            <v>0</v>
          </cell>
          <cell r="DG257">
            <v>0</v>
          </cell>
          <cell r="DH257">
            <v>0</v>
          </cell>
          <cell r="DI257">
            <v>0</v>
          </cell>
          <cell r="DJ257">
            <v>0</v>
          </cell>
          <cell r="DK257">
            <v>0</v>
          </cell>
          <cell r="DL257">
            <v>0</v>
          </cell>
          <cell r="DM257">
            <v>0</v>
          </cell>
          <cell r="DN257">
            <v>0</v>
          </cell>
          <cell r="DO257">
            <v>0</v>
          </cell>
          <cell r="DP257">
            <v>0</v>
          </cell>
          <cell r="DQ257">
            <v>0</v>
          </cell>
          <cell r="DR257">
            <v>0</v>
          </cell>
          <cell r="DS257">
            <v>0</v>
          </cell>
          <cell r="DT257">
            <v>0</v>
          </cell>
          <cell r="DU257">
            <v>0</v>
          </cell>
          <cell r="DV257">
            <v>0</v>
          </cell>
          <cell r="DW257">
            <v>0</v>
          </cell>
          <cell r="DX257">
            <v>0</v>
          </cell>
          <cell r="DY257">
            <v>0</v>
          </cell>
          <cell r="EA257">
            <v>0</v>
          </cell>
          <cell r="EB257">
            <v>0</v>
          </cell>
          <cell r="EC257">
            <v>0</v>
          </cell>
          <cell r="ED257">
            <v>0</v>
          </cell>
          <cell r="EE257">
            <v>0</v>
          </cell>
          <cell r="EF257">
            <v>0</v>
          </cell>
          <cell r="EG257">
            <v>0</v>
          </cell>
          <cell r="EH257">
            <v>0</v>
          </cell>
          <cell r="EI257">
            <v>0</v>
          </cell>
          <cell r="EJ257">
            <v>0</v>
          </cell>
          <cell r="EK257">
            <v>0</v>
          </cell>
          <cell r="EL257">
            <v>0</v>
          </cell>
          <cell r="EM257">
            <v>0</v>
          </cell>
          <cell r="EN257">
            <v>0</v>
          </cell>
          <cell r="EO257">
            <v>0</v>
          </cell>
          <cell r="EP257">
            <v>0</v>
          </cell>
          <cell r="EQ257">
            <v>0</v>
          </cell>
          <cell r="ER257">
            <v>0</v>
          </cell>
          <cell r="ES257">
            <v>0</v>
          </cell>
          <cell r="ET257">
            <v>0</v>
          </cell>
          <cell r="EU257">
            <v>0</v>
          </cell>
          <cell r="EV257">
            <v>0</v>
          </cell>
          <cell r="EW257">
            <v>0</v>
          </cell>
          <cell r="EX257">
            <v>0</v>
          </cell>
          <cell r="EY257">
            <v>0</v>
          </cell>
          <cell r="EZ257">
            <v>0</v>
          </cell>
          <cell r="FA257">
            <v>0</v>
          </cell>
          <cell r="FB257">
            <v>0</v>
          </cell>
          <cell r="FC257">
            <v>0</v>
          </cell>
          <cell r="FD257">
            <v>0</v>
          </cell>
          <cell r="FE257">
            <v>0</v>
          </cell>
          <cell r="FF257">
            <v>0</v>
          </cell>
          <cell r="FG257">
            <v>0</v>
          </cell>
          <cell r="FH257">
            <v>0</v>
          </cell>
          <cell r="FI257">
            <v>0</v>
          </cell>
          <cell r="FJ257">
            <v>0</v>
          </cell>
          <cell r="FK257">
            <v>0</v>
          </cell>
          <cell r="FL257">
            <v>0</v>
          </cell>
          <cell r="FM257">
            <v>0</v>
          </cell>
          <cell r="FN257">
            <v>0</v>
          </cell>
          <cell r="FO257">
            <v>0</v>
          </cell>
          <cell r="FP257">
            <v>0</v>
          </cell>
          <cell r="FQ257">
            <v>0</v>
          </cell>
          <cell r="FR257">
            <v>0</v>
          </cell>
          <cell r="FS257">
            <v>0</v>
          </cell>
          <cell r="FT257">
            <v>0</v>
          </cell>
          <cell r="FU257">
            <v>0</v>
          </cell>
          <cell r="FV257">
            <v>0</v>
          </cell>
          <cell r="FW257">
            <v>0</v>
          </cell>
          <cell r="FX257">
            <v>0</v>
          </cell>
          <cell r="FY257">
            <v>0</v>
          </cell>
          <cell r="FZ257">
            <v>0</v>
          </cell>
        </row>
        <row r="258">
          <cell r="A258" t="str">
            <v>I_BVP_NRF_CPT_PRP_INTR_TBV</v>
          </cell>
          <cell r="B258">
            <v>0</v>
          </cell>
          <cell r="C258">
            <v>0</v>
          </cell>
          <cell r="D258">
            <v>0</v>
          </cell>
          <cell r="E258">
            <v>0</v>
          </cell>
          <cell r="F258">
            <v>0</v>
          </cell>
          <cell r="G258">
            <v>0</v>
          </cell>
          <cell r="H258">
            <v>0</v>
          </cell>
          <cell r="I258">
            <v>0</v>
          </cell>
          <cell r="J258">
            <v>0</v>
          </cell>
          <cell r="K258">
            <v>0</v>
          </cell>
          <cell r="L258">
            <v>0</v>
          </cell>
          <cell r="M258">
            <v>0</v>
          </cell>
          <cell r="N258">
            <v>0</v>
          </cell>
          <cell r="O258">
            <v>0</v>
          </cell>
          <cell r="P258">
            <v>0</v>
          </cell>
          <cell r="Q258">
            <v>0</v>
          </cell>
          <cell r="R258">
            <v>0</v>
          </cell>
          <cell r="S258">
            <v>0</v>
          </cell>
          <cell r="T258">
            <v>0</v>
          </cell>
          <cell r="U258">
            <v>0</v>
          </cell>
          <cell r="V258">
            <v>0</v>
          </cell>
          <cell r="W258">
            <v>0</v>
          </cell>
          <cell r="X258">
            <v>0</v>
          </cell>
          <cell r="Y258">
            <v>0</v>
          </cell>
          <cell r="Z258">
            <v>0</v>
          </cell>
          <cell r="AA258">
            <v>0</v>
          </cell>
          <cell r="AB258">
            <v>0</v>
          </cell>
          <cell r="AC258">
            <v>0</v>
          </cell>
          <cell r="AD258">
            <v>0</v>
          </cell>
          <cell r="AE258">
            <v>0</v>
          </cell>
          <cell r="AF258">
            <v>0</v>
          </cell>
          <cell r="AG258">
            <v>0</v>
          </cell>
          <cell r="AH258">
            <v>0</v>
          </cell>
          <cell r="AI258">
            <v>0</v>
          </cell>
          <cell r="AJ258">
            <v>0</v>
          </cell>
          <cell r="AK258">
            <v>0</v>
          </cell>
          <cell r="AL258">
            <v>0</v>
          </cell>
          <cell r="AM258">
            <v>0</v>
          </cell>
          <cell r="AN258">
            <v>0</v>
          </cell>
          <cell r="AO258">
            <v>0</v>
          </cell>
          <cell r="AP258">
            <v>0</v>
          </cell>
          <cell r="AQ258">
            <v>0</v>
          </cell>
          <cell r="AR258">
            <v>0</v>
          </cell>
          <cell r="AS258">
            <v>0</v>
          </cell>
          <cell r="AT258">
            <v>0</v>
          </cell>
          <cell r="AU258">
            <v>0</v>
          </cell>
          <cell r="AV258">
            <v>0</v>
          </cell>
          <cell r="AW258">
            <v>0</v>
          </cell>
          <cell r="AX258">
            <v>0</v>
          </cell>
          <cell r="AY258">
            <v>0</v>
          </cell>
          <cell r="AZ258">
            <v>0</v>
          </cell>
          <cell r="BA258">
            <v>0</v>
          </cell>
          <cell r="BB258">
            <v>0</v>
          </cell>
          <cell r="BC258">
            <v>0</v>
          </cell>
          <cell r="BD258">
            <v>0</v>
          </cell>
          <cell r="BE258">
            <v>0</v>
          </cell>
          <cell r="BF258">
            <v>0</v>
          </cell>
          <cell r="BG258">
            <v>0</v>
          </cell>
          <cell r="BH258">
            <v>0</v>
          </cell>
          <cell r="BI258">
            <v>0</v>
          </cell>
          <cell r="BJ258">
            <v>0</v>
          </cell>
          <cell r="BK258">
            <v>0</v>
          </cell>
          <cell r="BL258">
            <v>0</v>
          </cell>
          <cell r="BM258">
            <v>0</v>
          </cell>
          <cell r="BN258">
            <v>0</v>
          </cell>
          <cell r="BO258">
            <v>0</v>
          </cell>
          <cell r="BP258">
            <v>0</v>
          </cell>
          <cell r="BQ258">
            <v>0</v>
          </cell>
          <cell r="BR258">
            <v>0</v>
          </cell>
          <cell r="BS258">
            <v>0</v>
          </cell>
          <cell r="BT258">
            <v>0</v>
          </cell>
          <cell r="BU258">
            <v>0</v>
          </cell>
          <cell r="BV258">
            <v>0</v>
          </cell>
          <cell r="BW258">
            <v>0</v>
          </cell>
          <cell r="BX258">
            <v>0</v>
          </cell>
          <cell r="BY258">
            <v>0</v>
          </cell>
          <cell r="BZ258">
            <v>0</v>
          </cell>
          <cell r="CA258">
            <v>0</v>
          </cell>
          <cell r="CB258">
            <v>0</v>
          </cell>
          <cell r="CC258">
            <v>0</v>
          </cell>
          <cell r="CD258">
            <v>0</v>
          </cell>
          <cell r="CE258">
            <v>0</v>
          </cell>
          <cell r="CF258">
            <v>0</v>
          </cell>
          <cell r="CG258">
            <v>0</v>
          </cell>
          <cell r="CH258">
            <v>0</v>
          </cell>
          <cell r="CI258">
            <v>0</v>
          </cell>
          <cell r="CJ258">
            <v>0</v>
          </cell>
          <cell r="CK258">
            <v>0</v>
          </cell>
          <cell r="CL258">
            <v>0</v>
          </cell>
          <cell r="CM258">
            <v>0</v>
          </cell>
          <cell r="CN258">
            <v>0</v>
          </cell>
          <cell r="CO258">
            <v>0</v>
          </cell>
          <cell r="CP258">
            <v>0</v>
          </cell>
          <cell r="CQ258">
            <v>0</v>
          </cell>
          <cell r="CR258">
            <v>0</v>
          </cell>
          <cell r="CS258">
            <v>0</v>
          </cell>
          <cell r="CT258">
            <v>0</v>
          </cell>
          <cell r="CU258">
            <v>0</v>
          </cell>
          <cell r="CV258">
            <v>0</v>
          </cell>
          <cell r="CW258">
            <v>0</v>
          </cell>
          <cell r="CX258">
            <v>0</v>
          </cell>
          <cell r="CY258">
            <v>0</v>
          </cell>
          <cell r="CZ258">
            <v>0</v>
          </cell>
          <cell r="DA258">
            <v>0</v>
          </cell>
          <cell r="DB258">
            <v>0</v>
          </cell>
          <cell r="DC258">
            <v>0</v>
          </cell>
          <cell r="DD258">
            <v>0</v>
          </cell>
          <cell r="DE258">
            <v>0</v>
          </cell>
          <cell r="DF258">
            <v>0</v>
          </cell>
          <cell r="DG258">
            <v>0</v>
          </cell>
          <cell r="DH258">
            <v>0</v>
          </cell>
          <cell r="DI258">
            <v>0</v>
          </cell>
          <cell r="DJ258">
            <v>0</v>
          </cell>
          <cell r="DK258">
            <v>0</v>
          </cell>
          <cell r="DL258">
            <v>0</v>
          </cell>
          <cell r="DM258">
            <v>0</v>
          </cell>
          <cell r="DN258">
            <v>0</v>
          </cell>
          <cell r="DO258">
            <v>0</v>
          </cell>
          <cell r="DP258">
            <v>0</v>
          </cell>
          <cell r="DQ258">
            <v>0</v>
          </cell>
          <cell r="DR258">
            <v>0</v>
          </cell>
          <cell r="DS258">
            <v>0</v>
          </cell>
          <cell r="DT258">
            <v>0</v>
          </cell>
          <cell r="DU258">
            <v>0</v>
          </cell>
          <cell r="DV258">
            <v>0</v>
          </cell>
          <cell r="DW258">
            <v>0</v>
          </cell>
          <cell r="DX258">
            <v>0</v>
          </cell>
          <cell r="DY258">
            <v>0</v>
          </cell>
          <cell r="EA258">
            <v>0</v>
          </cell>
          <cell r="EB258">
            <v>0</v>
          </cell>
          <cell r="EC258">
            <v>0</v>
          </cell>
          <cell r="ED258">
            <v>0</v>
          </cell>
          <cell r="EE258">
            <v>0</v>
          </cell>
          <cell r="EF258">
            <v>0</v>
          </cell>
          <cell r="EG258">
            <v>0</v>
          </cell>
          <cell r="EH258">
            <v>0</v>
          </cell>
          <cell r="EI258">
            <v>0</v>
          </cell>
          <cell r="EJ258">
            <v>0</v>
          </cell>
          <cell r="EK258">
            <v>0</v>
          </cell>
          <cell r="EL258">
            <v>0</v>
          </cell>
          <cell r="EM258">
            <v>0</v>
          </cell>
          <cell r="EN258">
            <v>0</v>
          </cell>
          <cell r="EO258">
            <v>0</v>
          </cell>
          <cell r="EP258">
            <v>0</v>
          </cell>
          <cell r="EQ258">
            <v>0</v>
          </cell>
          <cell r="ER258">
            <v>0</v>
          </cell>
          <cell r="ES258">
            <v>0</v>
          </cell>
          <cell r="ET258">
            <v>0</v>
          </cell>
          <cell r="EU258">
            <v>0</v>
          </cell>
          <cell r="EV258">
            <v>0</v>
          </cell>
          <cell r="EW258">
            <v>0</v>
          </cell>
          <cell r="EX258">
            <v>0</v>
          </cell>
          <cell r="EY258">
            <v>0</v>
          </cell>
          <cell r="EZ258">
            <v>0</v>
          </cell>
          <cell r="FA258">
            <v>0</v>
          </cell>
          <cell r="FB258">
            <v>0</v>
          </cell>
          <cell r="FC258">
            <v>0</v>
          </cell>
          <cell r="FD258">
            <v>0</v>
          </cell>
          <cell r="FE258">
            <v>0</v>
          </cell>
          <cell r="FF258">
            <v>0</v>
          </cell>
          <cell r="FG258">
            <v>0</v>
          </cell>
          <cell r="FH258">
            <v>0</v>
          </cell>
          <cell r="FI258">
            <v>0</v>
          </cell>
          <cell r="FJ258">
            <v>0</v>
          </cell>
          <cell r="FK258">
            <v>0</v>
          </cell>
          <cell r="FL258">
            <v>0</v>
          </cell>
          <cell r="FM258">
            <v>0</v>
          </cell>
          <cell r="FN258">
            <v>0</v>
          </cell>
          <cell r="FO258">
            <v>0</v>
          </cell>
          <cell r="FP258">
            <v>0</v>
          </cell>
          <cell r="FQ258">
            <v>0</v>
          </cell>
          <cell r="FR258">
            <v>0</v>
          </cell>
          <cell r="FS258">
            <v>0</v>
          </cell>
          <cell r="FT258">
            <v>0</v>
          </cell>
          <cell r="FU258">
            <v>0</v>
          </cell>
          <cell r="FV258">
            <v>0</v>
          </cell>
          <cell r="FW258">
            <v>0</v>
          </cell>
          <cell r="FX258">
            <v>0</v>
          </cell>
          <cell r="FY258">
            <v>0</v>
          </cell>
          <cell r="FZ258">
            <v>0</v>
          </cell>
        </row>
        <row r="259">
          <cell r="A259" t="str">
            <v>I_VID_NRF_CPT_PRP_INTR_TVD</v>
          </cell>
          <cell r="B259">
            <v>0</v>
          </cell>
          <cell r="C259">
            <v>0</v>
          </cell>
          <cell r="D259">
            <v>0</v>
          </cell>
          <cell r="E259">
            <v>0</v>
          </cell>
          <cell r="F259">
            <v>0</v>
          </cell>
          <cell r="G259">
            <v>0</v>
          </cell>
          <cell r="H259">
            <v>0</v>
          </cell>
          <cell r="I259">
            <v>0</v>
          </cell>
          <cell r="J259">
            <v>0</v>
          </cell>
          <cell r="K259">
            <v>0</v>
          </cell>
          <cell r="L259">
            <v>0</v>
          </cell>
          <cell r="M259">
            <v>0</v>
          </cell>
          <cell r="N259">
            <v>0</v>
          </cell>
          <cell r="O259">
            <v>0</v>
          </cell>
          <cell r="P259">
            <v>0</v>
          </cell>
          <cell r="Q259">
            <v>0</v>
          </cell>
          <cell r="R259">
            <v>0</v>
          </cell>
          <cell r="S259">
            <v>0</v>
          </cell>
          <cell r="T259">
            <v>0</v>
          </cell>
          <cell r="U259">
            <v>0</v>
          </cell>
          <cell r="V259">
            <v>0</v>
          </cell>
          <cell r="W259">
            <v>0</v>
          </cell>
          <cell r="X259">
            <v>0</v>
          </cell>
          <cell r="Y259">
            <v>0</v>
          </cell>
          <cell r="Z259">
            <v>0</v>
          </cell>
          <cell r="AA259">
            <v>0</v>
          </cell>
          <cell r="AB259">
            <v>0</v>
          </cell>
          <cell r="AC259">
            <v>0</v>
          </cell>
          <cell r="AD259">
            <v>0</v>
          </cell>
          <cell r="AE259">
            <v>0</v>
          </cell>
          <cell r="AF259">
            <v>0</v>
          </cell>
          <cell r="AG259">
            <v>0</v>
          </cell>
          <cell r="AH259">
            <v>0</v>
          </cell>
          <cell r="AI259">
            <v>0</v>
          </cell>
          <cell r="AJ259">
            <v>0</v>
          </cell>
          <cell r="AK259">
            <v>0</v>
          </cell>
          <cell r="AL259">
            <v>0</v>
          </cell>
          <cell r="AM259">
            <v>0</v>
          </cell>
          <cell r="AN259">
            <v>0</v>
          </cell>
          <cell r="AO259">
            <v>0</v>
          </cell>
          <cell r="AP259">
            <v>0</v>
          </cell>
          <cell r="AQ259">
            <v>0</v>
          </cell>
          <cell r="AR259">
            <v>0</v>
          </cell>
          <cell r="AS259">
            <v>0</v>
          </cell>
          <cell r="AT259">
            <v>0</v>
          </cell>
          <cell r="AU259">
            <v>0</v>
          </cell>
          <cell r="AV259">
            <v>0</v>
          </cell>
          <cell r="AW259">
            <v>0</v>
          </cell>
          <cell r="AX259">
            <v>0</v>
          </cell>
          <cell r="AY259">
            <v>0</v>
          </cell>
          <cell r="AZ259">
            <v>0</v>
          </cell>
          <cell r="BA259">
            <v>0</v>
          </cell>
          <cell r="BB259">
            <v>0</v>
          </cell>
          <cell r="BC259">
            <v>0</v>
          </cell>
          <cell r="BD259">
            <v>0</v>
          </cell>
          <cell r="BE259">
            <v>0</v>
          </cell>
          <cell r="BF259">
            <v>0</v>
          </cell>
          <cell r="BG259">
            <v>0</v>
          </cell>
          <cell r="BH259">
            <v>0</v>
          </cell>
          <cell r="BI259">
            <v>0</v>
          </cell>
          <cell r="BJ259">
            <v>0</v>
          </cell>
          <cell r="BK259">
            <v>0</v>
          </cell>
          <cell r="BL259">
            <v>0</v>
          </cell>
          <cell r="BM259">
            <v>0</v>
          </cell>
          <cell r="BN259">
            <v>0</v>
          </cell>
          <cell r="BO259">
            <v>0</v>
          </cell>
          <cell r="BP259">
            <v>0</v>
          </cell>
          <cell r="BQ259">
            <v>0</v>
          </cell>
          <cell r="BR259">
            <v>0</v>
          </cell>
          <cell r="BS259">
            <v>0</v>
          </cell>
          <cell r="BT259">
            <v>0</v>
          </cell>
          <cell r="BU259">
            <v>0</v>
          </cell>
          <cell r="BV259">
            <v>0</v>
          </cell>
          <cell r="BW259">
            <v>0</v>
          </cell>
          <cell r="BX259">
            <v>0</v>
          </cell>
          <cell r="BY259">
            <v>0</v>
          </cell>
          <cell r="BZ259">
            <v>0</v>
          </cell>
          <cell r="CA259">
            <v>0</v>
          </cell>
          <cell r="CB259">
            <v>0</v>
          </cell>
          <cell r="CC259">
            <v>0</v>
          </cell>
          <cell r="CD259">
            <v>0</v>
          </cell>
          <cell r="CE259">
            <v>0</v>
          </cell>
          <cell r="CF259">
            <v>0</v>
          </cell>
          <cell r="CG259">
            <v>0</v>
          </cell>
          <cell r="CH259">
            <v>0</v>
          </cell>
          <cell r="CI259">
            <v>0</v>
          </cell>
          <cell r="CJ259">
            <v>0</v>
          </cell>
          <cell r="CK259">
            <v>0</v>
          </cell>
          <cell r="CL259">
            <v>0</v>
          </cell>
          <cell r="CM259">
            <v>0</v>
          </cell>
          <cell r="CN259">
            <v>0</v>
          </cell>
          <cell r="CO259">
            <v>0</v>
          </cell>
          <cell r="CP259">
            <v>0</v>
          </cell>
          <cell r="CQ259">
            <v>0</v>
          </cell>
          <cell r="CR259">
            <v>0</v>
          </cell>
          <cell r="CS259">
            <v>0</v>
          </cell>
          <cell r="CT259">
            <v>0</v>
          </cell>
          <cell r="CU259">
            <v>0</v>
          </cell>
          <cell r="CV259">
            <v>0</v>
          </cell>
          <cell r="CW259">
            <v>0</v>
          </cell>
          <cell r="CX259">
            <v>0</v>
          </cell>
          <cell r="CY259">
            <v>0</v>
          </cell>
          <cell r="CZ259">
            <v>0</v>
          </cell>
          <cell r="DA259">
            <v>0</v>
          </cell>
          <cell r="DB259">
            <v>0</v>
          </cell>
          <cell r="DC259">
            <v>0</v>
          </cell>
          <cell r="DD259">
            <v>0</v>
          </cell>
          <cell r="DE259">
            <v>0</v>
          </cell>
          <cell r="DF259">
            <v>0</v>
          </cell>
          <cell r="DG259">
            <v>0</v>
          </cell>
          <cell r="DH259">
            <v>0</v>
          </cell>
          <cell r="DI259">
            <v>0</v>
          </cell>
          <cell r="DJ259">
            <v>0</v>
          </cell>
          <cell r="DK259">
            <v>0</v>
          </cell>
          <cell r="DL259">
            <v>0</v>
          </cell>
          <cell r="DM259">
            <v>0</v>
          </cell>
          <cell r="DN259">
            <v>0</v>
          </cell>
          <cell r="DO259">
            <v>0</v>
          </cell>
          <cell r="DP259">
            <v>0</v>
          </cell>
          <cell r="DQ259">
            <v>0</v>
          </cell>
          <cell r="DR259">
            <v>0</v>
          </cell>
          <cell r="DS259">
            <v>0</v>
          </cell>
          <cell r="DT259">
            <v>0</v>
          </cell>
          <cell r="DU259">
            <v>0</v>
          </cell>
          <cell r="DV259">
            <v>0</v>
          </cell>
          <cell r="DW259">
            <v>0</v>
          </cell>
          <cell r="DX259">
            <v>0</v>
          </cell>
          <cell r="DY259">
            <v>0</v>
          </cell>
          <cell r="EA259">
            <v>0</v>
          </cell>
          <cell r="EB259">
            <v>0</v>
          </cell>
          <cell r="EC259">
            <v>0</v>
          </cell>
          <cell r="ED259">
            <v>0</v>
          </cell>
          <cell r="EE259">
            <v>0</v>
          </cell>
          <cell r="EF259">
            <v>0</v>
          </cell>
          <cell r="EG259">
            <v>0</v>
          </cell>
          <cell r="EH259">
            <v>0</v>
          </cell>
          <cell r="EI259">
            <v>0</v>
          </cell>
          <cell r="EJ259">
            <v>0</v>
          </cell>
          <cell r="EK259">
            <v>0</v>
          </cell>
          <cell r="EL259">
            <v>0</v>
          </cell>
          <cell r="EM259">
            <v>0</v>
          </cell>
          <cell r="EN259">
            <v>0</v>
          </cell>
          <cell r="EO259">
            <v>0</v>
          </cell>
          <cell r="EP259">
            <v>0</v>
          </cell>
          <cell r="EQ259">
            <v>0</v>
          </cell>
          <cell r="ER259">
            <v>0</v>
          </cell>
          <cell r="ES259">
            <v>0</v>
          </cell>
          <cell r="ET259">
            <v>0</v>
          </cell>
          <cell r="EU259">
            <v>0</v>
          </cell>
          <cell r="EV259">
            <v>0</v>
          </cell>
          <cell r="EW259">
            <v>0</v>
          </cell>
          <cell r="EX259">
            <v>0</v>
          </cell>
          <cell r="EY259">
            <v>0</v>
          </cell>
          <cell r="EZ259">
            <v>0</v>
          </cell>
          <cell r="FA259">
            <v>0</v>
          </cell>
          <cell r="FB259">
            <v>0</v>
          </cell>
          <cell r="FC259">
            <v>0</v>
          </cell>
          <cell r="FD259">
            <v>0</v>
          </cell>
          <cell r="FE259">
            <v>0</v>
          </cell>
          <cell r="FF259">
            <v>0</v>
          </cell>
          <cell r="FG259">
            <v>0</v>
          </cell>
          <cell r="FH259">
            <v>0</v>
          </cell>
          <cell r="FI259">
            <v>0</v>
          </cell>
          <cell r="FJ259">
            <v>0</v>
          </cell>
          <cell r="FK259">
            <v>0</v>
          </cell>
          <cell r="FL259">
            <v>0</v>
          </cell>
          <cell r="FM259">
            <v>0</v>
          </cell>
          <cell r="FN259">
            <v>0</v>
          </cell>
          <cell r="FO259">
            <v>0</v>
          </cell>
          <cell r="FP259">
            <v>0</v>
          </cell>
          <cell r="FQ259">
            <v>0</v>
          </cell>
          <cell r="FR259">
            <v>0</v>
          </cell>
          <cell r="FS259">
            <v>0</v>
          </cell>
          <cell r="FT259">
            <v>0</v>
          </cell>
          <cell r="FU259">
            <v>0</v>
          </cell>
          <cell r="FV259">
            <v>0</v>
          </cell>
          <cell r="FW259">
            <v>0</v>
          </cell>
          <cell r="FX259">
            <v>0</v>
          </cell>
          <cell r="FY259">
            <v>0</v>
          </cell>
          <cell r="FZ259">
            <v>0</v>
          </cell>
        </row>
        <row r="260">
          <cell r="A260" t="str">
            <v>I_VIT_NRF_CPT_PRP_INTR_TVT</v>
          </cell>
          <cell r="B260">
            <v>0</v>
          </cell>
          <cell r="C260">
            <v>0</v>
          </cell>
          <cell r="D260">
            <v>0</v>
          </cell>
          <cell r="E260">
            <v>0</v>
          </cell>
          <cell r="F260">
            <v>0</v>
          </cell>
          <cell r="G260">
            <v>0</v>
          </cell>
          <cell r="H260">
            <v>0</v>
          </cell>
          <cell r="I260">
            <v>0</v>
          </cell>
          <cell r="J260">
            <v>0</v>
          </cell>
          <cell r="K260">
            <v>0</v>
          </cell>
          <cell r="L260">
            <v>0</v>
          </cell>
          <cell r="M260">
            <v>0</v>
          </cell>
          <cell r="N260">
            <v>0</v>
          </cell>
          <cell r="O260">
            <v>0</v>
          </cell>
          <cell r="P260">
            <v>0</v>
          </cell>
          <cell r="Q260">
            <v>0</v>
          </cell>
          <cell r="R260">
            <v>0</v>
          </cell>
          <cell r="S260">
            <v>0</v>
          </cell>
          <cell r="T260">
            <v>0</v>
          </cell>
          <cell r="U260">
            <v>0</v>
          </cell>
          <cell r="V260">
            <v>0</v>
          </cell>
          <cell r="W260">
            <v>0</v>
          </cell>
          <cell r="X260">
            <v>0</v>
          </cell>
          <cell r="Y260">
            <v>0</v>
          </cell>
          <cell r="Z260">
            <v>0</v>
          </cell>
          <cell r="AA260">
            <v>0</v>
          </cell>
          <cell r="AB260">
            <v>0</v>
          </cell>
          <cell r="AC260">
            <v>0</v>
          </cell>
          <cell r="AD260">
            <v>0</v>
          </cell>
          <cell r="AE260">
            <v>0</v>
          </cell>
          <cell r="AF260">
            <v>0</v>
          </cell>
          <cell r="AG260">
            <v>0</v>
          </cell>
          <cell r="AH260">
            <v>0</v>
          </cell>
          <cell r="AI260">
            <v>0</v>
          </cell>
          <cell r="AJ260">
            <v>0</v>
          </cell>
          <cell r="AK260">
            <v>0</v>
          </cell>
          <cell r="AL260">
            <v>0</v>
          </cell>
          <cell r="AM260">
            <v>0</v>
          </cell>
          <cell r="AN260">
            <v>0</v>
          </cell>
          <cell r="AO260">
            <v>0</v>
          </cell>
          <cell r="AP260">
            <v>0</v>
          </cell>
          <cell r="AQ260">
            <v>0</v>
          </cell>
          <cell r="AR260">
            <v>0</v>
          </cell>
          <cell r="AS260">
            <v>0</v>
          </cell>
          <cell r="AT260">
            <v>0</v>
          </cell>
          <cell r="AU260">
            <v>0</v>
          </cell>
          <cell r="AV260">
            <v>0</v>
          </cell>
          <cell r="AW260">
            <v>0</v>
          </cell>
          <cell r="AX260">
            <v>0</v>
          </cell>
          <cell r="AY260">
            <v>0</v>
          </cell>
          <cell r="AZ260">
            <v>0</v>
          </cell>
          <cell r="BA260">
            <v>0</v>
          </cell>
          <cell r="BB260">
            <v>0</v>
          </cell>
          <cell r="BC260">
            <v>0</v>
          </cell>
          <cell r="BD260">
            <v>0</v>
          </cell>
          <cell r="BE260">
            <v>0</v>
          </cell>
          <cell r="BF260">
            <v>0</v>
          </cell>
          <cell r="BG260">
            <v>0</v>
          </cell>
          <cell r="BH260">
            <v>0</v>
          </cell>
          <cell r="BI260">
            <v>0</v>
          </cell>
          <cell r="BJ260">
            <v>0</v>
          </cell>
          <cell r="BK260">
            <v>0</v>
          </cell>
          <cell r="BL260">
            <v>0</v>
          </cell>
          <cell r="BM260">
            <v>0</v>
          </cell>
          <cell r="BN260">
            <v>0</v>
          </cell>
          <cell r="BO260">
            <v>0</v>
          </cell>
          <cell r="BP260">
            <v>0</v>
          </cell>
          <cell r="BQ260">
            <v>0</v>
          </cell>
          <cell r="BR260">
            <v>0</v>
          </cell>
          <cell r="BS260">
            <v>0</v>
          </cell>
          <cell r="BT260">
            <v>0</v>
          </cell>
          <cell r="BU260">
            <v>0</v>
          </cell>
          <cell r="BV260">
            <v>0</v>
          </cell>
          <cell r="BW260">
            <v>0</v>
          </cell>
          <cell r="BX260">
            <v>0</v>
          </cell>
          <cell r="BY260">
            <v>0</v>
          </cell>
          <cell r="BZ260">
            <v>0</v>
          </cell>
          <cell r="CA260">
            <v>0</v>
          </cell>
          <cell r="CB260">
            <v>0</v>
          </cell>
          <cell r="CC260">
            <v>0</v>
          </cell>
          <cell r="CD260">
            <v>0</v>
          </cell>
          <cell r="CE260">
            <v>0</v>
          </cell>
          <cell r="CF260">
            <v>0</v>
          </cell>
          <cell r="CG260">
            <v>0</v>
          </cell>
          <cell r="CH260">
            <v>0</v>
          </cell>
          <cell r="CI260">
            <v>0</v>
          </cell>
          <cell r="CJ260">
            <v>0</v>
          </cell>
          <cell r="CK260">
            <v>0</v>
          </cell>
          <cell r="CL260">
            <v>0</v>
          </cell>
          <cell r="CM260">
            <v>0</v>
          </cell>
          <cell r="CN260">
            <v>0</v>
          </cell>
          <cell r="CO260">
            <v>0</v>
          </cell>
          <cell r="CP260">
            <v>0</v>
          </cell>
          <cell r="CQ260">
            <v>0</v>
          </cell>
          <cell r="CR260">
            <v>0</v>
          </cell>
          <cell r="CS260">
            <v>0</v>
          </cell>
          <cell r="CT260">
            <v>0</v>
          </cell>
          <cell r="CU260">
            <v>0</v>
          </cell>
          <cell r="CV260">
            <v>0</v>
          </cell>
          <cell r="CW260">
            <v>0</v>
          </cell>
          <cell r="CX260">
            <v>0</v>
          </cell>
          <cell r="CY260">
            <v>0</v>
          </cell>
          <cell r="CZ260">
            <v>0</v>
          </cell>
          <cell r="DA260">
            <v>0</v>
          </cell>
          <cell r="DB260">
            <v>0</v>
          </cell>
          <cell r="DC260">
            <v>0</v>
          </cell>
          <cell r="DD260">
            <v>0</v>
          </cell>
          <cell r="DE260">
            <v>0</v>
          </cell>
          <cell r="DF260">
            <v>0</v>
          </cell>
          <cell r="DG260">
            <v>0</v>
          </cell>
          <cell r="DH260">
            <v>0</v>
          </cell>
          <cell r="DI260">
            <v>0</v>
          </cell>
          <cell r="DJ260">
            <v>0</v>
          </cell>
          <cell r="DK260">
            <v>0</v>
          </cell>
          <cell r="DL260">
            <v>0</v>
          </cell>
          <cell r="DM260">
            <v>0</v>
          </cell>
          <cell r="DN260">
            <v>0</v>
          </cell>
          <cell r="DO260">
            <v>0</v>
          </cell>
          <cell r="DP260">
            <v>0</v>
          </cell>
          <cell r="DQ260">
            <v>0</v>
          </cell>
          <cell r="DR260">
            <v>0</v>
          </cell>
          <cell r="DS260">
            <v>0</v>
          </cell>
          <cell r="DT260">
            <v>0</v>
          </cell>
          <cell r="DU260">
            <v>0</v>
          </cell>
          <cell r="DV260">
            <v>0</v>
          </cell>
          <cell r="DW260">
            <v>0</v>
          </cell>
          <cell r="DX260">
            <v>0</v>
          </cell>
          <cell r="DY260">
            <v>0</v>
          </cell>
          <cell r="EA260">
            <v>0</v>
          </cell>
          <cell r="EB260">
            <v>0</v>
          </cell>
          <cell r="EC260">
            <v>0</v>
          </cell>
          <cell r="ED260">
            <v>0</v>
          </cell>
          <cell r="EE260">
            <v>0</v>
          </cell>
          <cell r="EF260">
            <v>0</v>
          </cell>
          <cell r="EG260">
            <v>0</v>
          </cell>
          <cell r="EH260">
            <v>0</v>
          </cell>
          <cell r="EI260">
            <v>0</v>
          </cell>
          <cell r="EJ260">
            <v>0</v>
          </cell>
          <cell r="EK260">
            <v>0</v>
          </cell>
          <cell r="EL260">
            <v>0</v>
          </cell>
          <cell r="EM260">
            <v>0</v>
          </cell>
          <cell r="EN260">
            <v>0</v>
          </cell>
          <cell r="EO260">
            <v>0</v>
          </cell>
          <cell r="EP260">
            <v>0</v>
          </cell>
          <cell r="EQ260">
            <v>0</v>
          </cell>
          <cell r="ER260">
            <v>0</v>
          </cell>
          <cell r="ES260">
            <v>0</v>
          </cell>
          <cell r="ET260">
            <v>0</v>
          </cell>
          <cell r="EU260">
            <v>0</v>
          </cell>
          <cell r="EV260">
            <v>0</v>
          </cell>
          <cell r="EW260">
            <v>0</v>
          </cell>
          <cell r="EX260">
            <v>0</v>
          </cell>
          <cell r="EY260">
            <v>0</v>
          </cell>
          <cell r="EZ260">
            <v>0</v>
          </cell>
          <cell r="FA260">
            <v>0</v>
          </cell>
          <cell r="FB260">
            <v>0</v>
          </cell>
          <cell r="FC260">
            <v>0</v>
          </cell>
          <cell r="FD260">
            <v>0</v>
          </cell>
          <cell r="FE260">
            <v>0</v>
          </cell>
          <cell r="FF260">
            <v>0</v>
          </cell>
          <cell r="FG260">
            <v>0</v>
          </cell>
          <cell r="FH260">
            <v>0</v>
          </cell>
          <cell r="FI260">
            <v>0</v>
          </cell>
          <cell r="FJ260">
            <v>0</v>
          </cell>
          <cell r="FK260">
            <v>0</v>
          </cell>
          <cell r="FL260">
            <v>0</v>
          </cell>
          <cell r="FM260">
            <v>0</v>
          </cell>
          <cell r="FN260">
            <v>0</v>
          </cell>
          <cell r="FO260">
            <v>0</v>
          </cell>
          <cell r="FP260">
            <v>0</v>
          </cell>
          <cell r="FQ260">
            <v>0</v>
          </cell>
          <cell r="FR260">
            <v>0</v>
          </cell>
          <cell r="FS260">
            <v>0</v>
          </cell>
          <cell r="FT260">
            <v>0</v>
          </cell>
          <cell r="FU260">
            <v>0</v>
          </cell>
          <cell r="FV260">
            <v>0</v>
          </cell>
          <cell r="FW260">
            <v>0</v>
          </cell>
          <cell r="FX260">
            <v>0</v>
          </cell>
          <cell r="FY260">
            <v>0</v>
          </cell>
          <cell r="FZ260">
            <v>0</v>
          </cell>
        </row>
        <row r="261">
          <cell r="A261" t="str">
            <v>I_LKC_NRF_CPT_PRP_INTR_TLC</v>
          </cell>
          <cell r="B261">
            <v>0</v>
          </cell>
          <cell r="C261">
            <v>0</v>
          </cell>
          <cell r="D261">
            <v>0</v>
          </cell>
          <cell r="E261">
            <v>0</v>
          </cell>
          <cell r="F261">
            <v>0</v>
          </cell>
          <cell r="G261">
            <v>0</v>
          </cell>
          <cell r="H261">
            <v>0</v>
          </cell>
          <cell r="I261">
            <v>0</v>
          </cell>
          <cell r="J261">
            <v>0</v>
          </cell>
          <cell r="K261">
            <v>0</v>
          </cell>
          <cell r="L261">
            <v>0</v>
          </cell>
          <cell r="M261">
            <v>0</v>
          </cell>
          <cell r="N261">
            <v>0</v>
          </cell>
          <cell r="O261">
            <v>0</v>
          </cell>
          <cell r="P261">
            <v>0</v>
          </cell>
          <cell r="Q261">
            <v>0</v>
          </cell>
          <cell r="R261">
            <v>0</v>
          </cell>
          <cell r="S261">
            <v>0</v>
          </cell>
          <cell r="T261">
            <v>0</v>
          </cell>
          <cell r="U261">
            <v>0</v>
          </cell>
          <cell r="V261">
            <v>0</v>
          </cell>
          <cell r="W261">
            <v>0</v>
          </cell>
          <cell r="X261">
            <v>0</v>
          </cell>
          <cell r="Y261">
            <v>0</v>
          </cell>
          <cell r="Z261">
            <v>0</v>
          </cell>
          <cell r="AA261">
            <v>0</v>
          </cell>
          <cell r="AB261">
            <v>0</v>
          </cell>
          <cell r="AC261">
            <v>0</v>
          </cell>
          <cell r="AD261">
            <v>0</v>
          </cell>
          <cell r="AE261">
            <v>0</v>
          </cell>
          <cell r="AF261">
            <v>0</v>
          </cell>
          <cell r="AG261">
            <v>0</v>
          </cell>
          <cell r="AH261">
            <v>0</v>
          </cell>
          <cell r="AI261">
            <v>0</v>
          </cell>
          <cell r="AJ261">
            <v>0</v>
          </cell>
          <cell r="AK261">
            <v>0</v>
          </cell>
          <cell r="AL261">
            <v>0</v>
          </cell>
          <cell r="AM261">
            <v>0</v>
          </cell>
          <cell r="AN261">
            <v>0</v>
          </cell>
          <cell r="AO261">
            <v>0</v>
          </cell>
          <cell r="AP261">
            <v>0</v>
          </cell>
          <cell r="AQ261">
            <v>0</v>
          </cell>
          <cell r="AR261">
            <v>0</v>
          </cell>
          <cell r="AS261">
            <v>0</v>
          </cell>
          <cell r="AT261">
            <v>0</v>
          </cell>
          <cell r="AU261">
            <v>0</v>
          </cell>
          <cell r="AV261">
            <v>0</v>
          </cell>
          <cell r="AW261">
            <v>0</v>
          </cell>
          <cell r="AX261">
            <v>0</v>
          </cell>
          <cell r="AY261">
            <v>0</v>
          </cell>
          <cell r="AZ261">
            <v>0</v>
          </cell>
          <cell r="BA261">
            <v>0</v>
          </cell>
          <cell r="BB261">
            <v>0</v>
          </cell>
          <cell r="BC261">
            <v>0</v>
          </cell>
          <cell r="BD261">
            <v>0</v>
          </cell>
          <cell r="BE261">
            <v>0</v>
          </cell>
          <cell r="BF261">
            <v>0</v>
          </cell>
          <cell r="BG261">
            <v>0</v>
          </cell>
          <cell r="BH261">
            <v>0</v>
          </cell>
          <cell r="BI261">
            <v>0</v>
          </cell>
          <cell r="BJ261">
            <v>0</v>
          </cell>
          <cell r="BK261">
            <v>0</v>
          </cell>
          <cell r="BL261">
            <v>0</v>
          </cell>
          <cell r="BM261">
            <v>0</v>
          </cell>
          <cell r="BN261">
            <v>0</v>
          </cell>
          <cell r="BO261">
            <v>0</v>
          </cell>
          <cell r="BP261">
            <v>0</v>
          </cell>
          <cell r="BQ261">
            <v>0</v>
          </cell>
          <cell r="BR261">
            <v>0</v>
          </cell>
          <cell r="BS261">
            <v>0</v>
          </cell>
          <cell r="BT261">
            <v>0</v>
          </cell>
          <cell r="BU261">
            <v>0</v>
          </cell>
          <cell r="BV261">
            <v>0</v>
          </cell>
          <cell r="BW261">
            <v>0</v>
          </cell>
          <cell r="BX261">
            <v>0</v>
          </cell>
          <cell r="BY261">
            <v>0</v>
          </cell>
          <cell r="BZ261">
            <v>0</v>
          </cell>
          <cell r="CA261">
            <v>0</v>
          </cell>
          <cell r="CB261">
            <v>0</v>
          </cell>
          <cell r="CC261">
            <v>0</v>
          </cell>
          <cell r="CD261">
            <v>0</v>
          </cell>
          <cell r="CE261">
            <v>0</v>
          </cell>
          <cell r="CF261">
            <v>0</v>
          </cell>
          <cell r="CG261">
            <v>0</v>
          </cell>
          <cell r="CH261">
            <v>0</v>
          </cell>
          <cell r="CI261">
            <v>0</v>
          </cell>
          <cell r="CJ261">
            <v>0</v>
          </cell>
          <cell r="CK261">
            <v>0</v>
          </cell>
          <cell r="CL261">
            <v>0</v>
          </cell>
          <cell r="CM261">
            <v>0</v>
          </cell>
          <cell r="CN261">
            <v>0</v>
          </cell>
          <cell r="CO261">
            <v>0</v>
          </cell>
          <cell r="CP261">
            <v>0</v>
          </cell>
          <cell r="CQ261">
            <v>0</v>
          </cell>
          <cell r="CR261">
            <v>0</v>
          </cell>
          <cell r="CS261">
            <v>0</v>
          </cell>
          <cell r="CT261">
            <v>0</v>
          </cell>
          <cell r="CU261">
            <v>0</v>
          </cell>
          <cell r="CV261">
            <v>0</v>
          </cell>
          <cell r="CW261">
            <v>0</v>
          </cell>
          <cell r="CX261">
            <v>0</v>
          </cell>
          <cell r="CY261">
            <v>0</v>
          </cell>
          <cell r="CZ261">
            <v>0</v>
          </cell>
          <cell r="DA261">
            <v>0</v>
          </cell>
          <cell r="DB261">
            <v>0</v>
          </cell>
          <cell r="DC261">
            <v>0</v>
          </cell>
          <cell r="DD261">
            <v>0</v>
          </cell>
          <cell r="DE261">
            <v>0</v>
          </cell>
          <cell r="DF261">
            <v>0</v>
          </cell>
          <cell r="DG261">
            <v>0</v>
          </cell>
          <cell r="DH261">
            <v>0</v>
          </cell>
          <cell r="DI261">
            <v>0</v>
          </cell>
          <cell r="DJ261">
            <v>0</v>
          </cell>
          <cell r="DK261">
            <v>0</v>
          </cell>
          <cell r="DL261">
            <v>0</v>
          </cell>
          <cell r="DM261">
            <v>0</v>
          </cell>
          <cell r="DN261">
            <v>0</v>
          </cell>
          <cell r="DO261">
            <v>0</v>
          </cell>
          <cell r="DP261">
            <v>0</v>
          </cell>
          <cell r="DQ261">
            <v>0</v>
          </cell>
          <cell r="DR261">
            <v>0</v>
          </cell>
          <cell r="DS261">
            <v>0</v>
          </cell>
          <cell r="DT261">
            <v>0</v>
          </cell>
          <cell r="DU261">
            <v>0</v>
          </cell>
          <cell r="DV261">
            <v>0</v>
          </cell>
          <cell r="DW261">
            <v>0</v>
          </cell>
          <cell r="DX261">
            <v>0</v>
          </cell>
          <cell r="DY261">
            <v>0</v>
          </cell>
          <cell r="EA261">
            <v>0</v>
          </cell>
          <cell r="EB261">
            <v>0</v>
          </cell>
          <cell r="EC261">
            <v>0</v>
          </cell>
          <cell r="ED261">
            <v>0</v>
          </cell>
          <cell r="EE261">
            <v>0</v>
          </cell>
          <cell r="EF261">
            <v>0</v>
          </cell>
          <cell r="EG261">
            <v>0</v>
          </cell>
          <cell r="EH261">
            <v>0</v>
          </cell>
          <cell r="EI261">
            <v>0</v>
          </cell>
          <cell r="EJ261">
            <v>0</v>
          </cell>
          <cell r="EK261">
            <v>0</v>
          </cell>
          <cell r="EL261">
            <v>0</v>
          </cell>
          <cell r="EM261">
            <v>0</v>
          </cell>
          <cell r="EN261">
            <v>0</v>
          </cell>
          <cell r="EO261">
            <v>0</v>
          </cell>
          <cell r="EP261">
            <v>0</v>
          </cell>
          <cell r="EQ261">
            <v>0</v>
          </cell>
          <cell r="ER261">
            <v>0</v>
          </cell>
          <cell r="ES261">
            <v>0</v>
          </cell>
          <cell r="ET261">
            <v>0</v>
          </cell>
          <cell r="EU261">
            <v>0</v>
          </cell>
          <cell r="EV261">
            <v>0</v>
          </cell>
          <cell r="EW261">
            <v>0</v>
          </cell>
          <cell r="EX261">
            <v>0</v>
          </cell>
          <cell r="EY261">
            <v>0</v>
          </cell>
          <cell r="EZ261">
            <v>0</v>
          </cell>
          <cell r="FA261">
            <v>0</v>
          </cell>
          <cell r="FB261">
            <v>0</v>
          </cell>
          <cell r="FC261">
            <v>0</v>
          </cell>
          <cell r="FD261">
            <v>0</v>
          </cell>
          <cell r="FE261">
            <v>0</v>
          </cell>
          <cell r="FF261">
            <v>0</v>
          </cell>
          <cell r="FG261">
            <v>0</v>
          </cell>
          <cell r="FH261">
            <v>0</v>
          </cell>
          <cell r="FI261">
            <v>0</v>
          </cell>
          <cell r="FJ261">
            <v>0</v>
          </cell>
          <cell r="FK261">
            <v>0</v>
          </cell>
          <cell r="FL261">
            <v>0</v>
          </cell>
          <cell r="FM261">
            <v>0</v>
          </cell>
          <cell r="FN261">
            <v>0</v>
          </cell>
          <cell r="FO261">
            <v>0</v>
          </cell>
          <cell r="FP261">
            <v>0</v>
          </cell>
          <cell r="FQ261">
            <v>0</v>
          </cell>
          <cell r="FR261">
            <v>0</v>
          </cell>
          <cell r="FS261">
            <v>0</v>
          </cell>
          <cell r="FT261">
            <v>0</v>
          </cell>
          <cell r="FU261">
            <v>0</v>
          </cell>
          <cell r="FV261">
            <v>0</v>
          </cell>
          <cell r="FW261">
            <v>0</v>
          </cell>
          <cell r="FX261">
            <v>0</v>
          </cell>
          <cell r="FY261">
            <v>0</v>
          </cell>
          <cell r="FZ261">
            <v>0</v>
          </cell>
        </row>
        <row r="262">
          <cell r="A262" t="str">
            <v>I_LKI_NRF_CPT_PRP_INTR_TLI</v>
          </cell>
          <cell r="B262">
            <v>0</v>
          </cell>
          <cell r="C262">
            <v>0</v>
          </cell>
          <cell r="D262">
            <v>0</v>
          </cell>
          <cell r="E262">
            <v>0</v>
          </cell>
          <cell r="F262">
            <v>0</v>
          </cell>
          <cell r="G262">
            <v>0</v>
          </cell>
          <cell r="H262">
            <v>0</v>
          </cell>
          <cell r="I262">
            <v>0</v>
          </cell>
          <cell r="J262">
            <v>0</v>
          </cell>
          <cell r="K262">
            <v>0</v>
          </cell>
          <cell r="L262">
            <v>0</v>
          </cell>
          <cell r="M262">
            <v>0</v>
          </cell>
          <cell r="N262">
            <v>0</v>
          </cell>
          <cell r="O262">
            <v>0</v>
          </cell>
          <cell r="P262">
            <v>0</v>
          </cell>
          <cell r="Q262">
            <v>0</v>
          </cell>
          <cell r="R262">
            <v>0</v>
          </cell>
          <cell r="S262">
            <v>0</v>
          </cell>
          <cell r="T262">
            <v>0</v>
          </cell>
          <cell r="U262">
            <v>0</v>
          </cell>
          <cell r="V262">
            <v>0</v>
          </cell>
          <cell r="W262">
            <v>0</v>
          </cell>
          <cell r="X262">
            <v>0</v>
          </cell>
          <cell r="Y262">
            <v>0</v>
          </cell>
          <cell r="Z262">
            <v>0</v>
          </cell>
          <cell r="AA262">
            <v>0</v>
          </cell>
          <cell r="AB262">
            <v>0</v>
          </cell>
          <cell r="AC262">
            <v>0</v>
          </cell>
          <cell r="AD262">
            <v>0</v>
          </cell>
          <cell r="AE262">
            <v>0</v>
          </cell>
          <cell r="AF262">
            <v>0</v>
          </cell>
          <cell r="AG262">
            <v>0</v>
          </cell>
          <cell r="AH262">
            <v>0</v>
          </cell>
          <cell r="AI262">
            <v>0</v>
          </cell>
          <cell r="AJ262">
            <v>0</v>
          </cell>
          <cell r="AK262">
            <v>0</v>
          </cell>
          <cell r="AL262">
            <v>0</v>
          </cell>
          <cell r="AM262">
            <v>0</v>
          </cell>
          <cell r="AN262">
            <v>0</v>
          </cell>
          <cell r="AO262">
            <v>0</v>
          </cell>
          <cell r="AP262">
            <v>0</v>
          </cell>
          <cell r="AQ262">
            <v>0</v>
          </cell>
          <cell r="AR262">
            <v>0</v>
          </cell>
          <cell r="AS262">
            <v>0</v>
          </cell>
          <cell r="AT262">
            <v>0</v>
          </cell>
          <cell r="AU262">
            <v>0</v>
          </cell>
          <cell r="AV262">
            <v>0</v>
          </cell>
          <cell r="AW262">
            <v>0</v>
          </cell>
          <cell r="AX262">
            <v>0</v>
          </cell>
          <cell r="AY262">
            <v>0</v>
          </cell>
          <cell r="AZ262">
            <v>0</v>
          </cell>
          <cell r="BA262">
            <v>0</v>
          </cell>
          <cell r="BB262">
            <v>0</v>
          </cell>
          <cell r="BC262">
            <v>0</v>
          </cell>
          <cell r="BD262">
            <v>0</v>
          </cell>
          <cell r="BE262">
            <v>0</v>
          </cell>
          <cell r="BF262">
            <v>0</v>
          </cell>
          <cell r="BG262">
            <v>0</v>
          </cell>
          <cell r="BH262">
            <v>0</v>
          </cell>
          <cell r="BI262">
            <v>0</v>
          </cell>
          <cell r="BJ262">
            <v>0</v>
          </cell>
          <cell r="BK262">
            <v>0</v>
          </cell>
          <cell r="BL262">
            <v>0</v>
          </cell>
          <cell r="BM262">
            <v>0</v>
          </cell>
          <cell r="BN262">
            <v>0</v>
          </cell>
          <cell r="BO262">
            <v>0</v>
          </cell>
          <cell r="BP262">
            <v>0</v>
          </cell>
          <cell r="BQ262">
            <v>0</v>
          </cell>
          <cell r="BR262">
            <v>0</v>
          </cell>
          <cell r="BS262">
            <v>0</v>
          </cell>
          <cell r="BT262">
            <v>0</v>
          </cell>
          <cell r="BU262">
            <v>0</v>
          </cell>
          <cell r="BV262">
            <v>0</v>
          </cell>
          <cell r="BW262">
            <v>0</v>
          </cell>
          <cell r="BX262">
            <v>0</v>
          </cell>
          <cell r="BY262">
            <v>0</v>
          </cell>
          <cell r="BZ262">
            <v>0</v>
          </cell>
          <cell r="CA262">
            <v>0</v>
          </cell>
          <cell r="CB262">
            <v>0</v>
          </cell>
          <cell r="CC262">
            <v>0</v>
          </cell>
          <cell r="CD262">
            <v>0</v>
          </cell>
          <cell r="CE262">
            <v>0</v>
          </cell>
          <cell r="CF262">
            <v>0</v>
          </cell>
          <cell r="CG262">
            <v>0</v>
          </cell>
          <cell r="CH262">
            <v>0</v>
          </cell>
          <cell r="CI262">
            <v>0</v>
          </cell>
          <cell r="CJ262">
            <v>0</v>
          </cell>
          <cell r="CK262">
            <v>0</v>
          </cell>
          <cell r="CL262">
            <v>0</v>
          </cell>
          <cell r="CM262">
            <v>0</v>
          </cell>
          <cell r="CN262">
            <v>0</v>
          </cell>
          <cell r="CO262">
            <v>0</v>
          </cell>
          <cell r="CP262">
            <v>0</v>
          </cell>
          <cell r="CQ262">
            <v>0</v>
          </cell>
          <cell r="CR262">
            <v>0</v>
          </cell>
          <cell r="CS262">
            <v>0</v>
          </cell>
          <cell r="CT262">
            <v>0</v>
          </cell>
          <cell r="CU262">
            <v>0</v>
          </cell>
          <cell r="CV262">
            <v>0</v>
          </cell>
          <cell r="CW262">
            <v>0</v>
          </cell>
          <cell r="CX262">
            <v>0</v>
          </cell>
          <cell r="CY262">
            <v>0</v>
          </cell>
          <cell r="CZ262">
            <v>0</v>
          </cell>
          <cell r="DA262">
            <v>0</v>
          </cell>
          <cell r="DB262">
            <v>0</v>
          </cell>
          <cell r="DC262">
            <v>0</v>
          </cell>
          <cell r="DD262">
            <v>0</v>
          </cell>
          <cell r="DE262">
            <v>0</v>
          </cell>
          <cell r="DF262">
            <v>0</v>
          </cell>
          <cell r="DG262">
            <v>0</v>
          </cell>
          <cell r="DH262">
            <v>0</v>
          </cell>
          <cell r="DI262">
            <v>0</v>
          </cell>
          <cell r="DJ262">
            <v>0</v>
          </cell>
          <cell r="DK262">
            <v>0</v>
          </cell>
          <cell r="DL262">
            <v>0</v>
          </cell>
          <cell r="DM262">
            <v>0</v>
          </cell>
          <cell r="DN262">
            <v>0</v>
          </cell>
          <cell r="DO262">
            <v>0</v>
          </cell>
          <cell r="DP262">
            <v>0</v>
          </cell>
          <cell r="DQ262">
            <v>0</v>
          </cell>
          <cell r="DR262">
            <v>0</v>
          </cell>
          <cell r="DS262">
            <v>0</v>
          </cell>
          <cell r="DT262">
            <v>0</v>
          </cell>
          <cell r="DU262">
            <v>0</v>
          </cell>
          <cell r="DV262">
            <v>0</v>
          </cell>
          <cell r="DW262">
            <v>0</v>
          </cell>
          <cell r="DX262">
            <v>0</v>
          </cell>
          <cell r="DY262">
            <v>0</v>
          </cell>
          <cell r="EA262">
            <v>0</v>
          </cell>
          <cell r="EB262">
            <v>0</v>
          </cell>
          <cell r="EC262">
            <v>0</v>
          </cell>
          <cell r="ED262">
            <v>0</v>
          </cell>
          <cell r="EE262">
            <v>0</v>
          </cell>
          <cell r="EF262">
            <v>0</v>
          </cell>
          <cell r="EG262">
            <v>0</v>
          </cell>
          <cell r="EH262">
            <v>0</v>
          </cell>
          <cell r="EI262">
            <v>0</v>
          </cell>
          <cell r="EJ262">
            <v>0</v>
          </cell>
          <cell r="EK262">
            <v>0</v>
          </cell>
          <cell r="EL262">
            <v>0</v>
          </cell>
          <cell r="EM262">
            <v>0</v>
          </cell>
          <cell r="EN262">
            <v>0</v>
          </cell>
          <cell r="EO262">
            <v>0</v>
          </cell>
          <cell r="EP262">
            <v>0</v>
          </cell>
          <cell r="EQ262">
            <v>0</v>
          </cell>
          <cell r="ER262">
            <v>0</v>
          </cell>
          <cell r="ES262">
            <v>0</v>
          </cell>
          <cell r="ET262">
            <v>0</v>
          </cell>
          <cell r="EU262">
            <v>0</v>
          </cell>
          <cell r="EV262">
            <v>0</v>
          </cell>
          <cell r="EW262">
            <v>0</v>
          </cell>
          <cell r="EX262">
            <v>0</v>
          </cell>
          <cell r="EY262">
            <v>0</v>
          </cell>
          <cell r="EZ262">
            <v>0</v>
          </cell>
          <cell r="FA262">
            <v>0</v>
          </cell>
          <cell r="FB262">
            <v>0</v>
          </cell>
          <cell r="FC262">
            <v>0</v>
          </cell>
          <cell r="FD262">
            <v>0</v>
          </cell>
          <cell r="FE262">
            <v>0</v>
          </cell>
          <cell r="FF262">
            <v>0</v>
          </cell>
          <cell r="FG262">
            <v>0</v>
          </cell>
          <cell r="FH262">
            <v>0</v>
          </cell>
          <cell r="FI262">
            <v>0</v>
          </cell>
          <cell r="FJ262">
            <v>0</v>
          </cell>
          <cell r="FK262">
            <v>0</v>
          </cell>
          <cell r="FL262">
            <v>0</v>
          </cell>
          <cell r="FM262">
            <v>0</v>
          </cell>
          <cell r="FN262">
            <v>0</v>
          </cell>
          <cell r="FO262">
            <v>0</v>
          </cell>
          <cell r="FP262">
            <v>0</v>
          </cell>
          <cell r="FQ262">
            <v>0</v>
          </cell>
          <cell r="FR262">
            <v>0</v>
          </cell>
          <cell r="FS262">
            <v>0</v>
          </cell>
          <cell r="FT262">
            <v>0</v>
          </cell>
          <cell r="FU262">
            <v>0</v>
          </cell>
          <cell r="FV262">
            <v>0</v>
          </cell>
          <cell r="FW262">
            <v>0</v>
          </cell>
          <cell r="FX262">
            <v>0</v>
          </cell>
          <cell r="FY262">
            <v>0</v>
          </cell>
          <cell r="FZ262">
            <v>0</v>
          </cell>
        </row>
        <row r="263">
          <cell r="A263" t="str">
            <v>I_EUL_NRF_CPT_PRP_INTR_TEU</v>
          </cell>
          <cell r="B263">
            <v>0</v>
          </cell>
          <cell r="C263">
            <v>0</v>
          </cell>
          <cell r="D263">
            <v>0</v>
          </cell>
          <cell r="E263">
            <v>0</v>
          </cell>
          <cell r="F263">
            <v>0</v>
          </cell>
          <cell r="G263">
            <v>0</v>
          </cell>
          <cell r="H263">
            <v>0</v>
          </cell>
          <cell r="I263">
            <v>0</v>
          </cell>
          <cell r="J263">
            <v>0</v>
          </cell>
          <cell r="K263">
            <v>0</v>
          </cell>
          <cell r="L263">
            <v>0</v>
          </cell>
          <cell r="M263">
            <v>0</v>
          </cell>
          <cell r="N263">
            <v>0</v>
          </cell>
          <cell r="O263">
            <v>0</v>
          </cell>
          <cell r="P263">
            <v>0</v>
          </cell>
          <cell r="Q263">
            <v>0</v>
          </cell>
          <cell r="R263">
            <v>0</v>
          </cell>
          <cell r="S263">
            <v>0</v>
          </cell>
          <cell r="T263">
            <v>0</v>
          </cell>
          <cell r="U263">
            <v>0</v>
          </cell>
          <cell r="V263">
            <v>0</v>
          </cell>
          <cell r="W263">
            <v>0</v>
          </cell>
          <cell r="X263">
            <v>0</v>
          </cell>
          <cell r="Y263">
            <v>0</v>
          </cell>
          <cell r="Z263">
            <v>0</v>
          </cell>
          <cell r="AA263">
            <v>0</v>
          </cell>
          <cell r="AB263">
            <v>0</v>
          </cell>
          <cell r="AC263">
            <v>0</v>
          </cell>
          <cell r="AD263">
            <v>0</v>
          </cell>
          <cell r="AE263">
            <v>0</v>
          </cell>
          <cell r="AF263">
            <v>0</v>
          </cell>
          <cell r="AG263">
            <v>0</v>
          </cell>
          <cell r="AH263">
            <v>0</v>
          </cell>
          <cell r="AI263">
            <v>0</v>
          </cell>
          <cell r="AJ263">
            <v>0</v>
          </cell>
          <cell r="AK263">
            <v>0</v>
          </cell>
          <cell r="AL263">
            <v>0</v>
          </cell>
          <cell r="AM263">
            <v>0</v>
          </cell>
          <cell r="AN263">
            <v>0</v>
          </cell>
          <cell r="AO263">
            <v>0</v>
          </cell>
          <cell r="AP263">
            <v>0</v>
          </cell>
          <cell r="AQ263">
            <v>0</v>
          </cell>
          <cell r="AR263">
            <v>0</v>
          </cell>
          <cell r="AS263">
            <v>0</v>
          </cell>
          <cell r="AT263">
            <v>0</v>
          </cell>
          <cell r="AU263">
            <v>0</v>
          </cell>
          <cell r="AV263">
            <v>0</v>
          </cell>
          <cell r="AW263">
            <v>0</v>
          </cell>
          <cell r="AX263">
            <v>0</v>
          </cell>
          <cell r="AY263">
            <v>0</v>
          </cell>
          <cell r="AZ263">
            <v>0</v>
          </cell>
          <cell r="BA263">
            <v>0</v>
          </cell>
          <cell r="BB263">
            <v>0</v>
          </cell>
          <cell r="BC263">
            <v>0</v>
          </cell>
          <cell r="BD263">
            <v>0</v>
          </cell>
          <cell r="BE263">
            <v>0</v>
          </cell>
          <cell r="BF263">
            <v>0</v>
          </cell>
          <cell r="BG263">
            <v>0</v>
          </cell>
          <cell r="BH263">
            <v>0</v>
          </cell>
          <cell r="BI263">
            <v>0</v>
          </cell>
          <cell r="BJ263">
            <v>0</v>
          </cell>
          <cell r="BK263">
            <v>0</v>
          </cell>
          <cell r="BL263">
            <v>0</v>
          </cell>
          <cell r="BM263">
            <v>0</v>
          </cell>
          <cell r="BN263">
            <v>0</v>
          </cell>
          <cell r="BO263">
            <v>0</v>
          </cell>
          <cell r="BP263">
            <v>0</v>
          </cell>
          <cell r="BQ263">
            <v>0</v>
          </cell>
          <cell r="BR263">
            <v>0</v>
          </cell>
          <cell r="BS263">
            <v>0</v>
          </cell>
          <cell r="BT263">
            <v>0</v>
          </cell>
          <cell r="BU263">
            <v>0</v>
          </cell>
          <cell r="BV263">
            <v>0</v>
          </cell>
          <cell r="BW263">
            <v>0</v>
          </cell>
          <cell r="BX263">
            <v>0</v>
          </cell>
          <cell r="BY263">
            <v>0</v>
          </cell>
          <cell r="BZ263">
            <v>0</v>
          </cell>
          <cell r="CA263">
            <v>0</v>
          </cell>
          <cell r="CB263">
            <v>0</v>
          </cell>
          <cell r="CC263">
            <v>0</v>
          </cell>
          <cell r="CD263">
            <v>0</v>
          </cell>
          <cell r="CE263">
            <v>0</v>
          </cell>
          <cell r="CF263">
            <v>0</v>
          </cell>
          <cell r="CG263">
            <v>0</v>
          </cell>
          <cell r="CH263">
            <v>0</v>
          </cell>
          <cell r="CI263">
            <v>0</v>
          </cell>
          <cell r="CJ263">
            <v>0</v>
          </cell>
          <cell r="CK263">
            <v>0</v>
          </cell>
          <cell r="CL263">
            <v>0</v>
          </cell>
          <cell r="CM263">
            <v>0</v>
          </cell>
          <cell r="CN263">
            <v>0</v>
          </cell>
          <cell r="CO263">
            <v>0</v>
          </cell>
          <cell r="CP263">
            <v>0</v>
          </cell>
          <cell r="CQ263">
            <v>0</v>
          </cell>
          <cell r="CR263">
            <v>0</v>
          </cell>
          <cell r="CS263">
            <v>0</v>
          </cell>
          <cell r="CT263">
            <v>0</v>
          </cell>
          <cell r="CU263">
            <v>0</v>
          </cell>
          <cell r="CV263">
            <v>0</v>
          </cell>
          <cell r="CW263">
            <v>0</v>
          </cell>
          <cell r="CX263">
            <v>0</v>
          </cell>
          <cell r="CY263">
            <v>0</v>
          </cell>
          <cell r="CZ263">
            <v>0</v>
          </cell>
          <cell r="DA263">
            <v>0</v>
          </cell>
          <cell r="DB263">
            <v>0</v>
          </cell>
          <cell r="DC263">
            <v>0</v>
          </cell>
          <cell r="DD263">
            <v>0</v>
          </cell>
          <cell r="DE263">
            <v>0</v>
          </cell>
          <cell r="DF263">
            <v>0</v>
          </cell>
          <cell r="DG263">
            <v>0</v>
          </cell>
          <cell r="DH263">
            <v>0</v>
          </cell>
          <cell r="DI263">
            <v>0</v>
          </cell>
          <cell r="DJ263">
            <v>0</v>
          </cell>
          <cell r="DK263">
            <v>0</v>
          </cell>
          <cell r="DL263">
            <v>0</v>
          </cell>
          <cell r="DM263">
            <v>0</v>
          </cell>
          <cell r="DN263">
            <v>0</v>
          </cell>
          <cell r="DO263">
            <v>0</v>
          </cell>
          <cell r="DP263">
            <v>0</v>
          </cell>
          <cell r="DQ263">
            <v>0</v>
          </cell>
          <cell r="DR263">
            <v>0</v>
          </cell>
          <cell r="DS263">
            <v>0</v>
          </cell>
          <cell r="DT263">
            <v>0</v>
          </cell>
          <cell r="DU263">
            <v>0</v>
          </cell>
          <cell r="DV263">
            <v>0</v>
          </cell>
          <cell r="DW263">
            <v>0</v>
          </cell>
          <cell r="DX263">
            <v>0</v>
          </cell>
          <cell r="DY263">
            <v>0</v>
          </cell>
          <cell r="EA263">
            <v>0</v>
          </cell>
          <cell r="EB263">
            <v>0</v>
          </cell>
          <cell r="EC263">
            <v>0</v>
          </cell>
          <cell r="ED263">
            <v>0</v>
          </cell>
          <cell r="EE263">
            <v>0</v>
          </cell>
          <cell r="EF263">
            <v>0</v>
          </cell>
          <cell r="EG263">
            <v>0</v>
          </cell>
          <cell r="EH263">
            <v>0</v>
          </cell>
          <cell r="EI263">
            <v>0</v>
          </cell>
          <cell r="EJ263">
            <v>0</v>
          </cell>
          <cell r="EK263">
            <v>0</v>
          </cell>
          <cell r="EL263">
            <v>0</v>
          </cell>
          <cell r="EM263">
            <v>0</v>
          </cell>
          <cell r="EN263">
            <v>0</v>
          </cell>
          <cell r="EO263">
            <v>0</v>
          </cell>
          <cell r="EP263">
            <v>0</v>
          </cell>
          <cell r="EQ263">
            <v>0</v>
          </cell>
          <cell r="ER263">
            <v>0</v>
          </cell>
          <cell r="ES263">
            <v>0</v>
          </cell>
          <cell r="ET263">
            <v>0</v>
          </cell>
          <cell r="EU263">
            <v>0</v>
          </cell>
          <cell r="EV263">
            <v>0</v>
          </cell>
          <cell r="EW263">
            <v>0</v>
          </cell>
          <cell r="EX263">
            <v>0</v>
          </cell>
          <cell r="EY263">
            <v>0</v>
          </cell>
          <cell r="EZ263">
            <v>0</v>
          </cell>
          <cell r="FA263">
            <v>0</v>
          </cell>
          <cell r="FB263">
            <v>0</v>
          </cell>
          <cell r="FC263">
            <v>0</v>
          </cell>
          <cell r="FD263">
            <v>0</v>
          </cell>
          <cell r="FE263">
            <v>0</v>
          </cell>
          <cell r="FF263">
            <v>0</v>
          </cell>
          <cell r="FG263">
            <v>0</v>
          </cell>
          <cell r="FH263">
            <v>0</v>
          </cell>
          <cell r="FI263">
            <v>0</v>
          </cell>
          <cell r="FJ263">
            <v>0</v>
          </cell>
          <cell r="FK263">
            <v>0</v>
          </cell>
          <cell r="FL263">
            <v>0</v>
          </cell>
          <cell r="FM263">
            <v>0</v>
          </cell>
          <cell r="FN263">
            <v>0</v>
          </cell>
          <cell r="FO263">
            <v>0</v>
          </cell>
          <cell r="FP263">
            <v>0</v>
          </cell>
          <cell r="FQ263">
            <v>0</v>
          </cell>
          <cell r="FR263">
            <v>0</v>
          </cell>
          <cell r="FS263">
            <v>0</v>
          </cell>
          <cell r="FT263">
            <v>0</v>
          </cell>
          <cell r="FU263">
            <v>0</v>
          </cell>
          <cell r="FV263">
            <v>0</v>
          </cell>
          <cell r="FW263">
            <v>0</v>
          </cell>
          <cell r="FX263">
            <v>0</v>
          </cell>
          <cell r="FY263">
            <v>0</v>
          </cell>
          <cell r="FZ263">
            <v>0</v>
          </cell>
        </row>
        <row r="264">
          <cell r="A264" t="str">
            <v>I_EUL_NRF_RET_COL_INTR_E04</v>
          </cell>
          <cell r="B264">
            <v>0</v>
          </cell>
          <cell r="C264">
            <v>0</v>
          </cell>
          <cell r="D264">
            <v>0</v>
          </cell>
          <cell r="E264">
            <v>0</v>
          </cell>
          <cell r="F264">
            <v>0</v>
          </cell>
          <cell r="G264">
            <v>0</v>
          </cell>
          <cell r="H264">
            <v>0</v>
          </cell>
          <cell r="I264">
            <v>0</v>
          </cell>
          <cell r="J264">
            <v>0</v>
          </cell>
          <cell r="K264">
            <v>0</v>
          </cell>
          <cell r="L264">
            <v>0</v>
          </cell>
          <cell r="M264">
            <v>0</v>
          </cell>
          <cell r="N264">
            <v>0</v>
          </cell>
          <cell r="O264">
            <v>0</v>
          </cell>
          <cell r="P264">
            <v>0</v>
          </cell>
          <cell r="Q264">
            <v>0</v>
          </cell>
          <cell r="R264">
            <v>0</v>
          </cell>
          <cell r="S264">
            <v>0</v>
          </cell>
          <cell r="T264">
            <v>0</v>
          </cell>
          <cell r="U264">
            <v>0</v>
          </cell>
          <cell r="V264">
            <v>0</v>
          </cell>
          <cell r="W264">
            <v>0</v>
          </cell>
          <cell r="X264">
            <v>0</v>
          </cell>
          <cell r="Y264">
            <v>0</v>
          </cell>
          <cell r="Z264">
            <v>0</v>
          </cell>
          <cell r="AA264">
            <v>0</v>
          </cell>
          <cell r="AB264">
            <v>0</v>
          </cell>
          <cell r="AC264">
            <v>0</v>
          </cell>
          <cell r="AD264">
            <v>0</v>
          </cell>
          <cell r="AE264">
            <v>0</v>
          </cell>
          <cell r="AF264">
            <v>0</v>
          </cell>
          <cell r="AG264">
            <v>0</v>
          </cell>
          <cell r="AH264">
            <v>0</v>
          </cell>
          <cell r="AI264">
            <v>0</v>
          </cell>
          <cell r="AJ264">
            <v>0</v>
          </cell>
          <cell r="AK264">
            <v>0</v>
          </cell>
          <cell r="AL264">
            <v>0</v>
          </cell>
          <cell r="AM264">
            <v>0</v>
          </cell>
          <cell r="AN264">
            <v>0</v>
          </cell>
          <cell r="AO264">
            <v>0</v>
          </cell>
          <cell r="AP264">
            <v>0</v>
          </cell>
          <cell r="AQ264">
            <v>0</v>
          </cell>
          <cell r="AR264">
            <v>0</v>
          </cell>
          <cell r="AS264">
            <v>0</v>
          </cell>
          <cell r="AT264">
            <v>0</v>
          </cell>
          <cell r="AU264">
            <v>0</v>
          </cell>
          <cell r="AV264">
            <v>0</v>
          </cell>
          <cell r="AW264">
            <v>0</v>
          </cell>
          <cell r="AX264">
            <v>0</v>
          </cell>
          <cell r="AY264">
            <v>0</v>
          </cell>
          <cell r="AZ264">
            <v>0</v>
          </cell>
          <cell r="BA264">
            <v>0</v>
          </cell>
          <cell r="BB264">
            <v>0</v>
          </cell>
          <cell r="BC264">
            <v>0</v>
          </cell>
          <cell r="BD264">
            <v>0</v>
          </cell>
          <cell r="BE264">
            <v>0</v>
          </cell>
          <cell r="BF264">
            <v>0</v>
          </cell>
          <cell r="BG264">
            <v>0</v>
          </cell>
          <cell r="BH264">
            <v>0</v>
          </cell>
          <cell r="BI264">
            <v>0</v>
          </cell>
          <cell r="BJ264">
            <v>0</v>
          </cell>
          <cell r="BK264">
            <v>0</v>
          </cell>
          <cell r="BL264">
            <v>0</v>
          </cell>
          <cell r="BM264">
            <v>0</v>
          </cell>
          <cell r="BN264">
            <v>0</v>
          </cell>
          <cell r="BO264">
            <v>0</v>
          </cell>
          <cell r="BP264">
            <v>0</v>
          </cell>
          <cell r="BQ264">
            <v>0</v>
          </cell>
          <cell r="BR264">
            <v>0</v>
          </cell>
          <cell r="BS264">
            <v>0</v>
          </cell>
          <cell r="BT264">
            <v>0</v>
          </cell>
          <cell r="BU264">
            <v>0</v>
          </cell>
          <cell r="BV264">
            <v>0</v>
          </cell>
          <cell r="BW264">
            <v>0</v>
          </cell>
          <cell r="BX264">
            <v>0</v>
          </cell>
          <cell r="BY264">
            <v>0</v>
          </cell>
          <cell r="BZ264">
            <v>0</v>
          </cell>
          <cell r="CA264">
            <v>0</v>
          </cell>
          <cell r="CB264">
            <v>0</v>
          </cell>
          <cell r="CC264">
            <v>0</v>
          </cell>
          <cell r="CD264">
            <v>0</v>
          </cell>
          <cell r="CE264">
            <v>0</v>
          </cell>
          <cell r="CF264">
            <v>0</v>
          </cell>
          <cell r="CG264">
            <v>0</v>
          </cell>
          <cell r="CH264">
            <v>0</v>
          </cell>
          <cell r="CI264">
            <v>0</v>
          </cell>
          <cell r="CJ264">
            <v>0</v>
          </cell>
          <cell r="CK264">
            <v>0</v>
          </cell>
          <cell r="CL264">
            <v>0</v>
          </cell>
          <cell r="CM264">
            <v>0</v>
          </cell>
          <cell r="CN264">
            <v>0</v>
          </cell>
          <cell r="CO264">
            <v>0</v>
          </cell>
          <cell r="CP264">
            <v>0</v>
          </cell>
          <cell r="CQ264">
            <v>0</v>
          </cell>
          <cell r="CR264">
            <v>0</v>
          </cell>
          <cell r="CS264">
            <v>0</v>
          </cell>
          <cell r="CT264">
            <v>0</v>
          </cell>
          <cell r="CU264">
            <v>0</v>
          </cell>
          <cell r="CV264">
            <v>0</v>
          </cell>
          <cell r="CW264">
            <v>0</v>
          </cell>
          <cell r="CX264">
            <v>0</v>
          </cell>
          <cell r="CY264">
            <v>0</v>
          </cell>
          <cell r="CZ264">
            <v>0</v>
          </cell>
          <cell r="DA264">
            <v>0</v>
          </cell>
          <cell r="DB264">
            <v>0</v>
          </cell>
          <cell r="DC264">
            <v>0</v>
          </cell>
          <cell r="DD264">
            <v>0</v>
          </cell>
          <cell r="DE264">
            <v>0</v>
          </cell>
          <cell r="DF264">
            <v>0</v>
          </cell>
          <cell r="DG264">
            <v>0</v>
          </cell>
          <cell r="DH264">
            <v>0</v>
          </cell>
          <cell r="DI264">
            <v>0</v>
          </cell>
          <cell r="DJ264">
            <v>0</v>
          </cell>
          <cell r="DK264">
            <v>0</v>
          </cell>
          <cell r="DL264">
            <v>0</v>
          </cell>
          <cell r="DM264">
            <v>0</v>
          </cell>
          <cell r="DN264">
            <v>0</v>
          </cell>
          <cell r="DO264">
            <v>0</v>
          </cell>
          <cell r="DP264">
            <v>0</v>
          </cell>
          <cell r="DQ264">
            <v>0</v>
          </cell>
          <cell r="DR264">
            <v>0</v>
          </cell>
          <cell r="DS264">
            <v>0</v>
          </cell>
          <cell r="DT264">
            <v>0</v>
          </cell>
          <cell r="DU264">
            <v>0</v>
          </cell>
          <cell r="DV264">
            <v>0</v>
          </cell>
          <cell r="DW264">
            <v>0</v>
          </cell>
          <cell r="DX264">
            <v>0</v>
          </cell>
          <cell r="DY264">
            <v>0</v>
          </cell>
          <cell r="EA264">
            <v>0</v>
          </cell>
          <cell r="EB264">
            <v>0</v>
          </cell>
          <cell r="EC264">
            <v>0</v>
          </cell>
          <cell r="ED264">
            <v>0</v>
          </cell>
          <cell r="EE264">
            <v>0</v>
          </cell>
          <cell r="EF264">
            <v>0</v>
          </cell>
          <cell r="EG264">
            <v>0</v>
          </cell>
          <cell r="EH264">
            <v>0</v>
          </cell>
          <cell r="EI264">
            <v>0</v>
          </cell>
          <cell r="EJ264">
            <v>0</v>
          </cell>
          <cell r="EK264">
            <v>0</v>
          </cell>
          <cell r="EL264">
            <v>0</v>
          </cell>
          <cell r="EM264">
            <v>0</v>
          </cell>
          <cell r="EN264">
            <v>0</v>
          </cell>
          <cell r="EO264">
            <v>0</v>
          </cell>
          <cell r="EP264">
            <v>0</v>
          </cell>
          <cell r="EQ264">
            <v>0</v>
          </cell>
          <cell r="ER264">
            <v>0</v>
          </cell>
          <cell r="ES264">
            <v>0</v>
          </cell>
          <cell r="ET264">
            <v>0</v>
          </cell>
          <cell r="EU264">
            <v>0</v>
          </cell>
          <cell r="EV264">
            <v>0</v>
          </cell>
          <cell r="EW264">
            <v>0</v>
          </cell>
          <cell r="EX264">
            <v>0</v>
          </cell>
          <cell r="EY264">
            <v>0</v>
          </cell>
          <cell r="EZ264">
            <v>0</v>
          </cell>
          <cell r="FA264">
            <v>0</v>
          </cell>
          <cell r="FB264">
            <v>0</v>
          </cell>
          <cell r="FC264">
            <v>0</v>
          </cell>
          <cell r="FD264">
            <v>0</v>
          </cell>
          <cell r="FE264">
            <v>0</v>
          </cell>
          <cell r="FF264">
            <v>0</v>
          </cell>
          <cell r="FG264">
            <v>0</v>
          </cell>
          <cell r="FH264">
            <v>0</v>
          </cell>
          <cell r="FI264">
            <v>0</v>
          </cell>
          <cell r="FJ264">
            <v>0</v>
          </cell>
          <cell r="FK264">
            <v>0</v>
          </cell>
          <cell r="FL264">
            <v>0</v>
          </cell>
          <cell r="FM264">
            <v>0</v>
          </cell>
          <cell r="FN264">
            <v>0</v>
          </cell>
          <cell r="FO264">
            <v>0</v>
          </cell>
          <cell r="FP264">
            <v>0</v>
          </cell>
          <cell r="FQ264">
            <v>0</v>
          </cell>
          <cell r="FR264">
            <v>0</v>
          </cell>
          <cell r="FS264">
            <v>0</v>
          </cell>
          <cell r="FT264">
            <v>0</v>
          </cell>
          <cell r="FU264">
            <v>0</v>
          </cell>
          <cell r="FV264">
            <v>0</v>
          </cell>
          <cell r="FW264">
            <v>0</v>
          </cell>
          <cell r="FX264">
            <v>0</v>
          </cell>
          <cell r="FY264">
            <v>0</v>
          </cell>
          <cell r="FZ264">
            <v>0</v>
          </cell>
        </row>
        <row r="265">
          <cell r="A265" t="str">
            <v>I_EUL_NRF_CPT_PRP_INTR_E05</v>
          </cell>
          <cell r="B265">
            <v>0</v>
          </cell>
          <cell r="C265">
            <v>0</v>
          </cell>
          <cell r="D265">
            <v>0</v>
          </cell>
          <cell r="E265">
            <v>0</v>
          </cell>
          <cell r="F265">
            <v>0</v>
          </cell>
          <cell r="G265">
            <v>0</v>
          </cell>
          <cell r="H265">
            <v>0</v>
          </cell>
          <cell r="I265">
            <v>0</v>
          </cell>
          <cell r="J265">
            <v>0</v>
          </cell>
          <cell r="K265">
            <v>0</v>
          </cell>
          <cell r="L265">
            <v>0</v>
          </cell>
          <cell r="M265">
            <v>0</v>
          </cell>
          <cell r="N265">
            <v>0</v>
          </cell>
          <cell r="O265">
            <v>0</v>
          </cell>
          <cell r="P265">
            <v>0</v>
          </cell>
          <cell r="Q265">
            <v>0</v>
          </cell>
          <cell r="R265">
            <v>0</v>
          </cell>
          <cell r="S265">
            <v>0</v>
          </cell>
          <cell r="T265">
            <v>0</v>
          </cell>
          <cell r="U265">
            <v>0</v>
          </cell>
          <cell r="V265">
            <v>0</v>
          </cell>
          <cell r="W265">
            <v>0</v>
          </cell>
          <cell r="X265">
            <v>0</v>
          </cell>
          <cell r="Y265">
            <v>0</v>
          </cell>
          <cell r="Z265">
            <v>0</v>
          </cell>
          <cell r="AA265">
            <v>0</v>
          </cell>
          <cell r="AB265">
            <v>0</v>
          </cell>
          <cell r="AC265">
            <v>0</v>
          </cell>
          <cell r="AD265">
            <v>0</v>
          </cell>
          <cell r="AE265">
            <v>0</v>
          </cell>
          <cell r="AF265">
            <v>0</v>
          </cell>
          <cell r="AG265">
            <v>0</v>
          </cell>
          <cell r="AH265">
            <v>0</v>
          </cell>
          <cell r="AI265">
            <v>0</v>
          </cell>
          <cell r="AJ265">
            <v>0</v>
          </cell>
          <cell r="AK265">
            <v>0</v>
          </cell>
          <cell r="AL265">
            <v>0</v>
          </cell>
          <cell r="AM265">
            <v>0</v>
          </cell>
          <cell r="AN265">
            <v>0</v>
          </cell>
          <cell r="AO265">
            <v>0</v>
          </cell>
          <cell r="AP265">
            <v>0</v>
          </cell>
          <cell r="AQ265">
            <v>0</v>
          </cell>
          <cell r="AR265">
            <v>0</v>
          </cell>
          <cell r="AS265">
            <v>0</v>
          </cell>
          <cell r="AT265">
            <v>0</v>
          </cell>
          <cell r="AU265">
            <v>0</v>
          </cell>
          <cell r="AV265">
            <v>0</v>
          </cell>
          <cell r="AW265">
            <v>0</v>
          </cell>
          <cell r="AX265">
            <v>0</v>
          </cell>
          <cell r="AY265">
            <v>0</v>
          </cell>
          <cell r="AZ265">
            <v>0</v>
          </cell>
          <cell r="BA265">
            <v>0</v>
          </cell>
          <cell r="BB265">
            <v>0</v>
          </cell>
          <cell r="BC265">
            <v>0</v>
          </cell>
          <cell r="BD265">
            <v>0</v>
          </cell>
          <cell r="BE265">
            <v>0</v>
          </cell>
          <cell r="BF265">
            <v>0</v>
          </cell>
          <cell r="BG265">
            <v>0</v>
          </cell>
          <cell r="BH265">
            <v>0</v>
          </cell>
          <cell r="BI265">
            <v>0</v>
          </cell>
          <cell r="BJ265">
            <v>0</v>
          </cell>
          <cell r="BK265">
            <v>0</v>
          </cell>
          <cell r="BL265">
            <v>0</v>
          </cell>
          <cell r="BM265">
            <v>0</v>
          </cell>
          <cell r="BN265">
            <v>0</v>
          </cell>
          <cell r="BO265">
            <v>0</v>
          </cell>
          <cell r="BP265">
            <v>0</v>
          </cell>
          <cell r="BQ265">
            <v>0</v>
          </cell>
          <cell r="BR265">
            <v>0</v>
          </cell>
          <cell r="BS265">
            <v>0</v>
          </cell>
          <cell r="BT265">
            <v>0</v>
          </cell>
          <cell r="BU265">
            <v>0</v>
          </cell>
          <cell r="BV265">
            <v>0</v>
          </cell>
          <cell r="BW265">
            <v>0</v>
          </cell>
          <cell r="BX265">
            <v>0</v>
          </cell>
          <cell r="BY265">
            <v>0</v>
          </cell>
          <cell r="BZ265">
            <v>0</v>
          </cell>
          <cell r="CA265">
            <v>0</v>
          </cell>
          <cell r="CB265">
            <v>0</v>
          </cell>
          <cell r="CC265">
            <v>0</v>
          </cell>
          <cell r="CD265">
            <v>0</v>
          </cell>
          <cell r="CE265">
            <v>0</v>
          </cell>
          <cell r="CF265">
            <v>0</v>
          </cell>
          <cell r="CG265">
            <v>0</v>
          </cell>
          <cell r="CH265">
            <v>0</v>
          </cell>
          <cell r="CI265">
            <v>0</v>
          </cell>
          <cell r="CJ265">
            <v>0</v>
          </cell>
          <cell r="CK265">
            <v>0</v>
          </cell>
          <cell r="CL265">
            <v>0</v>
          </cell>
          <cell r="CM265">
            <v>0</v>
          </cell>
          <cell r="CN265">
            <v>0</v>
          </cell>
          <cell r="CO265">
            <v>0</v>
          </cell>
          <cell r="CP265">
            <v>0</v>
          </cell>
          <cell r="CQ265">
            <v>0</v>
          </cell>
          <cell r="CR265">
            <v>0</v>
          </cell>
          <cell r="CS265">
            <v>0</v>
          </cell>
          <cell r="CT265">
            <v>0</v>
          </cell>
          <cell r="CU265">
            <v>0</v>
          </cell>
          <cell r="CV265">
            <v>0</v>
          </cell>
          <cell r="CW265">
            <v>0</v>
          </cell>
          <cell r="CX265">
            <v>0</v>
          </cell>
          <cell r="CY265">
            <v>0</v>
          </cell>
          <cell r="CZ265">
            <v>0</v>
          </cell>
          <cell r="DA265">
            <v>0</v>
          </cell>
          <cell r="DB265">
            <v>0</v>
          </cell>
          <cell r="DC265">
            <v>0</v>
          </cell>
          <cell r="DD265">
            <v>0</v>
          </cell>
          <cell r="DE265">
            <v>0</v>
          </cell>
          <cell r="DF265">
            <v>0</v>
          </cell>
          <cell r="DG265">
            <v>0</v>
          </cell>
          <cell r="DH265">
            <v>0</v>
          </cell>
          <cell r="DI265">
            <v>0</v>
          </cell>
          <cell r="DJ265">
            <v>0</v>
          </cell>
          <cell r="DK265">
            <v>0</v>
          </cell>
          <cell r="DL265">
            <v>0</v>
          </cell>
          <cell r="DM265">
            <v>0</v>
          </cell>
          <cell r="DN265">
            <v>0</v>
          </cell>
          <cell r="DO265">
            <v>0</v>
          </cell>
          <cell r="DP265">
            <v>0</v>
          </cell>
          <cell r="DQ265">
            <v>0</v>
          </cell>
          <cell r="DR265">
            <v>0</v>
          </cell>
          <cell r="DS265">
            <v>0</v>
          </cell>
          <cell r="DT265">
            <v>0</v>
          </cell>
          <cell r="DU265">
            <v>0</v>
          </cell>
          <cell r="DV265">
            <v>0</v>
          </cell>
          <cell r="DW265">
            <v>0</v>
          </cell>
          <cell r="DX265">
            <v>0</v>
          </cell>
          <cell r="DY265">
            <v>0</v>
          </cell>
          <cell r="EA265">
            <v>0</v>
          </cell>
          <cell r="EB265">
            <v>0</v>
          </cell>
          <cell r="EC265">
            <v>0</v>
          </cell>
          <cell r="ED265">
            <v>0</v>
          </cell>
          <cell r="EE265">
            <v>0</v>
          </cell>
          <cell r="EF265">
            <v>0</v>
          </cell>
          <cell r="EG265">
            <v>0</v>
          </cell>
          <cell r="EH265">
            <v>0</v>
          </cell>
          <cell r="EI265">
            <v>0</v>
          </cell>
          <cell r="EJ265">
            <v>0</v>
          </cell>
          <cell r="EK265">
            <v>0</v>
          </cell>
          <cell r="EL265">
            <v>0</v>
          </cell>
          <cell r="EM265">
            <v>0</v>
          </cell>
          <cell r="EN265">
            <v>0</v>
          </cell>
          <cell r="EO265">
            <v>0</v>
          </cell>
          <cell r="EP265">
            <v>0</v>
          </cell>
          <cell r="EQ265">
            <v>0</v>
          </cell>
          <cell r="ER265">
            <v>0</v>
          </cell>
          <cell r="ES265">
            <v>0</v>
          </cell>
          <cell r="ET265">
            <v>0</v>
          </cell>
          <cell r="EU265">
            <v>0</v>
          </cell>
          <cell r="EV265">
            <v>0</v>
          </cell>
          <cell r="EW265">
            <v>0</v>
          </cell>
          <cell r="EX265">
            <v>0</v>
          </cell>
          <cell r="EY265">
            <v>0</v>
          </cell>
          <cell r="EZ265">
            <v>0</v>
          </cell>
          <cell r="FA265">
            <v>0</v>
          </cell>
          <cell r="FB265">
            <v>0</v>
          </cell>
          <cell r="FC265">
            <v>0</v>
          </cell>
          <cell r="FD265">
            <v>0</v>
          </cell>
          <cell r="FE265">
            <v>0</v>
          </cell>
          <cell r="FF265">
            <v>0</v>
          </cell>
          <cell r="FG265">
            <v>0</v>
          </cell>
          <cell r="FH265">
            <v>0</v>
          </cell>
          <cell r="FI265">
            <v>0</v>
          </cell>
          <cell r="FJ265">
            <v>0</v>
          </cell>
          <cell r="FK265">
            <v>0</v>
          </cell>
          <cell r="FL265">
            <v>0</v>
          </cell>
          <cell r="FM265">
            <v>0</v>
          </cell>
          <cell r="FN265">
            <v>0</v>
          </cell>
          <cell r="FO265">
            <v>0</v>
          </cell>
          <cell r="FP265">
            <v>0</v>
          </cell>
          <cell r="FQ265">
            <v>0</v>
          </cell>
          <cell r="FR265">
            <v>0</v>
          </cell>
          <cell r="FS265">
            <v>0</v>
          </cell>
          <cell r="FT265">
            <v>0</v>
          </cell>
          <cell r="FU265">
            <v>0</v>
          </cell>
          <cell r="FV265">
            <v>0</v>
          </cell>
          <cell r="FW265">
            <v>0</v>
          </cell>
          <cell r="FX265">
            <v>0</v>
          </cell>
          <cell r="FY265">
            <v>0</v>
          </cell>
          <cell r="FZ265">
            <v>0</v>
          </cell>
        </row>
        <row r="266">
          <cell r="A266" t="str">
            <v>I_BVP_NRF_EPA_EUR_INTR_S24</v>
          </cell>
          <cell r="B266">
            <v>0</v>
          </cell>
          <cell r="C266">
            <v>0</v>
          </cell>
          <cell r="D266">
            <v>0</v>
          </cell>
          <cell r="E266">
            <v>0</v>
          </cell>
          <cell r="F266">
            <v>0</v>
          </cell>
          <cell r="G266">
            <v>0</v>
          </cell>
          <cell r="H266">
            <v>0</v>
          </cell>
          <cell r="I266">
            <v>0</v>
          </cell>
          <cell r="J266">
            <v>0</v>
          </cell>
          <cell r="K266">
            <v>0</v>
          </cell>
          <cell r="L266">
            <v>0</v>
          </cell>
          <cell r="M266">
            <v>0</v>
          </cell>
          <cell r="N266">
            <v>0</v>
          </cell>
          <cell r="O266">
            <v>0</v>
          </cell>
          <cell r="P266">
            <v>0</v>
          </cell>
          <cell r="Q266">
            <v>0</v>
          </cell>
          <cell r="R266">
            <v>0</v>
          </cell>
          <cell r="S266">
            <v>0</v>
          </cell>
          <cell r="T266">
            <v>0</v>
          </cell>
          <cell r="U266">
            <v>0</v>
          </cell>
          <cell r="V266">
            <v>0</v>
          </cell>
          <cell r="W266">
            <v>0</v>
          </cell>
          <cell r="X266">
            <v>0</v>
          </cell>
          <cell r="Y266">
            <v>0</v>
          </cell>
          <cell r="Z266">
            <v>0</v>
          </cell>
          <cell r="AA266">
            <v>0</v>
          </cell>
          <cell r="AB266">
            <v>0</v>
          </cell>
          <cell r="AC266">
            <v>0</v>
          </cell>
          <cell r="AD266">
            <v>0</v>
          </cell>
          <cell r="AE266">
            <v>0</v>
          </cell>
          <cell r="AF266">
            <v>0</v>
          </cell>
          <cell r="AG266">
            <v>0</v>
          </cell>
          <cell r="AH266">
            <v>0</v>
          </cell>
          <cell r="AI266">
            <v>0</v>
          </cell>
          <cell r="AJ266">
            <v>0</v>
          </cell>
          <cell r="AK266">
            <v>0</v>
          </cell>
          <cell r="AL266">
            <v>0</v>
          </cell>
          <cell r="AM266">
            <v>0</v>
          </cell>
          <cell r="AN266">
            <v>0</v>
          </cell>
          <cell r="AO266">
            <v>0</v>
          </cell>
          <cell r="AP266">
            <v>0</v>
          </cell>
          <cell r="AQ266">
            <v>0</v>
          </cell>
          <cell r="AR266">
            <v>0</v>
          </cell>
          <cell r="AS266">
            <v>0</v>
          </cell>
          <cell r="AT266">
            <v>0</v>
          </cell>
          <cell r="AU266">
            <v>0</v>
          </cell>
          <cell r="AV266">
            <v>0</v>
          </cell>
          <cell r="AW266">
            <v>0</v>
          </cell>
          <cell r="AX266">
            <v>0</v>
          </cell>
          <cell r="AY266">
            <v>0</v>
          </cell>
          <cell r="AZ266">
            <v>0</v>
          </cell>
          <cell r="BA266">
            <v>0</v>
          </cell>
          <cell r="BB266">
            <v>0</v>
          </cell>
          <cell r="BC266">
            <v>0</v>
          </cell>
          <cell r="BD266">
            <v>0</v>
          </cell>
          <cell r="BE266">
            <v>0</v>
          </cell>
          <cell r="BF266">
            <v>0</v>
          </cell>
          <cell r="BG266">
            <v>0</v>
          </cell>
          <cell r="BH266">
            <v>0</v>
          </cell>
          <cell r="BI266">
            <v>0</v>
          </cell>
          <cell r="BJ266">
            <v>0</v>
          </cell>
          <cell r="BK266">
            <v>0</v>
          </cell>
          <cell r="BL266">
            <v>0</v>
          </cell>
          <cell r="BM266">
            <v>0</v>
          </cell>
          <cell r="BN266">
            <v>0</v>
          </cell>
          <cell r="BO266">
            <v>0</v>
          </cell>
          <cell r="BP266">
            <v>0</v>
          </cell>
          <cell r="BQ266">
            <v>0</v>
          </cell>
          <cell r="BR266">
            <v>0</v>
          </cell>
          <cell r="BS266">
            <v>0</v>
          </cell>
          <cell r="BT266">
            <v>0</v>
          </cell>
          <cell r="BU266">
            <v>0</v>
          </cell>
          <cell r="BV266">
            <v>0</v>
          </cell>
          <cell r="BW266">
            <v>0</v>
          </cell>
          <cell r="BX266">
            <v>0</v>
          </cell>
          <cell r="BY266">
            <v>0</v>
          </cell>
          <cell r="BZ266">
            <v>0</v>
          </cell>
          <cell r="CA266">
            <v>0</v>
          </cell>
          <cell r="CB266">
            <v>0</v>
          </cell>
          <cell r="CC266">
            <v>0</v>
          </cell>
          <cell r="CD266">
            <v>0</v>
          </cell>
          <cell r="CE266">
            <v>0</v>
          </cell>
          <cell r="CF266">
            <v>0</v>
          </cell>
          <cell r="CG266">
            <v>0</v>
          </cell>
          <cell r="CH266">
            <v>0</v>
          </cell>
          <cell r="CI266">
            <v>0</v>
          </cell>
          <cell r="CJ266">
            <v>0</v>
          </cell>
          <cell r="CK266">
            <v>0</v>
          </cell>
          <cell r="CL266">
            <v>0</v>
          </cell>
          <cell r="CM266">
            <v>0</v>
          </cell>
          <cell r="CN266">
            <v>0</v>
          </cell>
          <cell r="CO266">
            <v>0</v>
          </cell>
          <cell r="CP266">
            <v>0</v>
          </cell>
          <cell r="CQ266">
            <v>0</v>
          </cell>
          <cell r="CR266">
            <v>0</v>
          </cell>
          <cell r="CS266">
            <v>0</v>
          </cell>
          <cell r="CT266">
            <v>0</v>
          </cell>
          <cell r="CU266">
            <v>0</v>
          </cell>
          <cell r="CV266">
            <v>0</v>
          </cell>
          <cell r="CW266">
            <v>0</v>
          </cell>
          <cell r="CX266">
            <v>0</v>
          </cell>
          <cell r="CY266">
            <v>0</v>
          </cell>
          <cell r="CZ266">
            <v>0</v>
          </cell>
          <cell r="DA266">
            <v>0</v>
          </cell>
          <cell r="DB266">
            <v>0</v>
          </cell>
          <cell r="DC266">
            <v>0</v>
          </cell>
          <cell r="DD266">
            <v>0</v>
          </cell>
          <cell r="DE266">
            <v>0</v>
          </cell>
          <cell r="DF266">
            <v>0</v>
          </cell>
          <cell r="DG266">
            <v>0</v>
          </cell>
          <cell r="DH266">
            <v>0</v>
          </cell>
          <cell r="DI266">
            <v>0</v>
          </cell>
          <cell r="DJ266">
            <v>0</v>
          </cell>
          <cell r="DK266">
            <v>0</v>
          </cell>
          <cell r="DL266">
            <v>0</v>
          </cell>
          <cell r="DM266">
            <v>0</v>
          </cell>
          <cell r="DN266">
            <v>0</v>
          </cell>
          <cell r="DO266">
            <v>0</v>
          </cell>
          <cell r="DP266">
            <v>0</v>
          </cell>
          <cell r="DQ266">
            <v>0</v>
          </cell>
          <cell r="DR266">
            <v>0</v>
          </cell>
          <cell r="DS266">
            <v>0</v>
          </cell>
          <cell r="DT266">
            <v>0</v>
          </cell>
          <cell r="DU266">
            <v>0</v>
          </cell>
          <cell r="DV266">
            <v>0</v>
          </cell>
          <cell r="DW266">
            <v>0</v>
          </cell>
          <cell r="DX266">
            <v>0</v>
          </cell>
          <cell r="DY266">
            <v>0</v>
          </cell>
          <cell r="EA266">
            <v>0</v>
          </cell>
          <cell r="EB266">
            <v>0</v>
          </cell>
          <cell r="EC266">
            <v>0</v>
          </cell>
          <cell r="ED266">
            <v>0</v>
          </cell>
          <cell r="EE266">
            <v>0</v>
          </cell>
          <cell r="EF266">
            <v>0</v>
          </cell>
          <cell r="EG266">
            <v>0</v>
          </cell>
          <cell r="EH266">
            <v>0</v>
          </cell>
          <cell r="EI266">
            <v>0</v>
          </cell>
          <cell r="EJ266">
            <v>0</v>
          </cell>
          <cell r="EK266">
            <v>0</v>
          </cell>
          <cell r="EL266">
            <v>0</v>
          </cell>
          <cell r="EM266">
            <v>0</v>
          </cell>
          <cell r="EN266">
            <v>0</v>
          </cell>
          <cell r="EO266">
            <v>0</v>
          </cell>
          <cell r="EP266">
            <v>0</v>
          </cell>
          <cell r="EQ266">
            <v>0</v>
          </cell>
          <cell r="ER266">
            <v>0</v>
          </cell>
          <cell r="ES266">
            <v>0</v>
          </cell>
          <cell r="ET266">
            <v>0</v>
          </cell>
          <cell r="EU266">
            <v>0</v>
          </cell>
          <cell r="EV266">
            <v>0</v>
          </cell>
          <cell r="EW266">
            <v>0</v>
          </cell>
          <cell r="EX266">
            <v>0</v>
          </cell>
          <cell r="EY266">
            <v>0</v>
          </cell>
          <cell r="EZ266">
            <v>0</v>
          </cell>
          <cell r="FA266">
            <v>0</v>
          </cell>
          <cell r="FB266">
            <v>0</v>
          </cell>
          <cell r="FC266">
            <v>0</v>
          </cell>
          <cell r="FD266">
            <v>0</v>
          </cell>
          <cell r="FE266">
            <v>0</v>
          </cell>
          <cell r="FF266">
            <v>0</v>
          </cell>
          <cell r="FG266">
            <v>0</v>
          </cell>
          <cell r="FH266">
            <v>0</v>
          </cell>
          <cell r="FI266">
            <v>0</v>
          </cell>
          <cell r="FJ266">
            <v>0</v>
          </cell>
          <cell r="FK266">
            <v>0</v>
          </cell>
          <cell r="FL266">
            <v>0</v>
          </cell>
          <cell r="FM266">
            <v>0</v>
          </cell>
          <cell r="FN266">
            <v>0</v>
          </cell>
          <cell r="FO266">
            <v>0</v>
          </cell>
          <cell r="FP266">
            <v>0</v>
          </cell>
          <cell r="FQ266">
            <v>0</v>
          </cell>
          <cell r="FR266">
            <v>0</v>
          </cell>
          <cell r="FS266">
            <v>0</v>
          </cell>
          <cell r="FT266">
            <v>0</v>
          </cell>
          <cell r="FU266">
            <v>0</v>
          </cell>
          <cell r="FV266">
            <v>0</v>
          </cell>
          <cell r="FW266">
            <v>0</v>
          </cell>
          <cell r="FX266">
            <v>0</v>
          </cell>
          <cell r="FY266">
            <v>0</v>
          </cell>
          <cell r="FZ266">
            <v>0</v>
          </cell>
        </row>
        <row r="267">
          <cell r="A267" t="str">
            <v>I_VID_NRF_EPA_EUR_INTR_S10</v>
          </cell>
          <cell r="B267">
            <v>0</v>
          </cell>
          <cell r="C267">
            <v>0</v>
          </cell>
          <cell r="D267">
            <v>0</v>
          </cell>
          <cell r="E267">
            <v>0</v>
          </cell>
          <cell r="F267">
            <v>0</v>
          </cell>
          <cell r="G267">
            <v>0</v>
          </cell>
          <cell r="H267">
            <v>0</v>
          </cell>
          <cell r="I267">
            <v>0</v>
          </cell>
          <cell r="J267">
            <v>0</v>
          </cell>
          <cell r="K267">
            <v>0</v>
          </cell>
          <cell r="L267">
            <v>0</v>
          </cell>
          <cell r="M267">
            <v>0</v>
          </cell>
          <cell r="N267">
            <v>0</v>
          </cell>
          <cell r="O267">
            <v>0</v>
          </cell>
          <cell r="P267">
            <v>0</v>
          </cell>
          <cell r="Q267">
            <v>0</v>
          </cell>
          <cell r="R267">
            <v>0</v>
          </cell>
          <cell r="S267">
            <v>0</v>
          </cell>
          <cell r="T267">
            <v>0</v>
          </cell>
          <cell r="U267">
            <v>0</v>
          </cell>
          <cell r="V267">
            <v>0</v>
          </cell>
          <cell r="W267">
            <v>0</v>
          </cell>
          <cell r="X267">
            <v>0</v>
          </cell>
          <cell r="Y267">
            <v>0</v>
          </cell>
          <cell r="Z267">
            <v>0</v>
          </cell>
          <cell r="AA267">
            <v>0</v>
          </cell>
          <cell r="AB267">
            <v>0</v>
          </cell>
          <cell r="AC267">
            <v>0</v>
          </cell>
          <cell r="AD267">
            <v>0</v>
          </cell>
          <cell r="AE267">
            <v>0</v>
          </cell>
          <cell r="AF267">
            <v>0</v>
          </cell>
          <cell r="AG267">
            <v>0</v>
          </cell>
          <cell r="AH267">
            <v>0</v>
          </cell>
          <cell r="AI267">
            <v>0</v>
          </cell>
          <cell r="AJ267">
            <v>0</v>
          </cell>
          <cell r="AK267">
            <v>0</v>
          </cell>
          <cell r="AL267">
            <v>0</v>
          </cell>
          <cell r="AM267">
            <v>0</v>
          </cell>
          <cell r="AN267">
            <v>0</v>
          </cell>
          <cell r="AO267">
            <v>0</v>
          </cell>
          <cell r="AP267">
            <v>0</v>
          </cell>
          <cell r="AQ267">
            <v>0</v>
          </cell>
          <cell r="AR267">
            <v>0</v>
          </cell>
          <cell r="AS267">
            <v>0</v>
          </cell>
          <cell r="AT267">
            <v>0</v>
          </cell>
          <cell r="AU267">
            <v>0</v>
          </cell>
          <cell r="AV267">
            <v>0</v>
          </cell>
          <cell r="AW267">
            <v>0</v>
          </cell>
          <cell r="AX267">
            <v>0</v>
          </cell>
          <cell r="AY267">
            <v>0</v>
          </cell>
          <cell r="AZ267">
            <v>0</v>
          </cell>
          <cell r="BA267">
            <v>0</v>
          </cell>
          <cell r="BB267">
            <v>0</v>
          </cell>
          <cell r="BC267">
            <v>0</v>
          </cell>
          <cell r="BD267">
            <v>0</v>
          </cell>
          <cell r="BE267">
            <v>0</v>
          </cell>
          <cell r="BF267">
            <v>0</v>
          </cell>
          <cell r="BG267">
            <v>0</v>
          </cell>
          <cell r="BH267">
            <v>0</v>
          </cell>
          <cell r="BI267">
            <v>0</v>
          </cell>
          <cell r="BJ267">
            <v>0</v>
          </cell>
          <cell r="BK267">
            <v>0</v>
          </cell>
          <cell r="BL267">
            <v>0</v>
          </cell>
          <cell r="BM267">
            <v>0</v>
          </cell>
          <cell r="BN267">
            <v>0</v>
          </cell>
          <cell r="BO267">
            <v>0</v>
          </cell>
          <cell r="BP267">
            <v>0</v>
          </cell>
          <cell r="BQ267">
            <v>0</v>
          </cell>
          <cell r="BR267">
            <v>0</v>
          </cell>
          <cell r="BS267">
            <v>0</v>
          </cell>
          <cell r="BT267">
            <v>0</v>
          </cell>
          <cell r="BU267">
            <v>0</v>
          </cell>
          <cell r="BV267">
            <v>0</v>
          </cell>
          <cell r="BW267">
            <v>0</v>
          </cell>
          <cell r="BX267">
            <v>0</v>
          </cell>
          <cell r="BY267">
            <v>0</v>
          </cell>
          <cell r="BZ267">
            <v>0</v>
          </cell>
          <cell r="CA267">
            <v>0</v>
          </cell>
          <cell r="CB267">
            <v>0</v>
          </cell>
          <cell r="CC267">
            <v>0</v>
          </cell>
          <cell r="CD267">
            <v>0</v>
          </cell>
          <cell r="CE267">
            <v>0</v>
          </cell>
          <cell r="CF267">
            <v>0</v>
          </cell>
          <cell r="CG267">
            <v>0</v>
          </cell>
          <cell r="CH267">
            <v>0</v>
          </cell>
          <cell r="CI267">
            <v>0</v>
          </cell>
          <cell r="CJ267">
            <v>0</v>
          </cell>
          <cell r="CK267">
            <v>0</v>
          </cell>
          <cell r="CL267">
            <v>0</v>
          </cell>
          <cell r="CM267">
            <v>0</v>
          </cell>
          <cell r="CN267">
            <v>0</v>
          </cell>
          <cell r="CO267">
            <v>0</v>
          </cell>
          <cell r="CP267">
            <v>0</v>
          </cell>
          <cell r="CQ267">
            <v>0</v>
          </cell>
          <cell r="CR267">
            <v>0</v>
          </cell>
          <cell r="CS267">
            <v>0</v>
          </cell>
          <cell r="CT267">
            <v>0</v>
          </cell>
          <cell r="CU267">
            <v>0</v>
          </cell>
          <cell r="CV267">
            <v>0</v>
          </cell>
          <cell r="CW267">
            <v>0</v>
          </cell>
          <cell r="CX267">
            <v>0</v>
          </cell>
          <cell r="CY267">
            <v>0</v>
          </cell>
          <cell r="CZ267">
            <v>0</v>
          </cell>
          <cell r="DA267">
            <v>0</v>
          </cell>
          <cell r="DB267">
            <v>0</v>
          </cell>
          <cell r="DC267">
            <v>0</v>
          </cell>
          <cell r="DD267">
            <v>0</v>
          </cell>
          <cell r="DE267">
            <v>0</v>
          </cell>
          <cell r="DF267">
            <v>0</v>
          </cell>
          <cell r="DG267">
            <v>0</v>
          </cell>
          <cell r="DH267">
            <v>0</v>
          </cell>
          <cell r="DI267">
            <v>0</v>
          </cell>
          <cell r="DJ267">
            <v>0</v>
          </cell>
          <cell r="DK267">
            <v>0</v>
          </cell>
          <cell r="DL267">
            <v>0</v>
          </cell>
          <cell r="DM267">
            <v>0</v>
          </cell>
          <cell r="DN267">
            <v>0</v>
          </cell>
          <cell r="DO267">
            <v>0</v>
          </cell>
          <cell r="DP267">
            <v>0</v>
          </cell>
          <cell r="DQ267">
            <v>0</v>
          </cell>
          <cell r="DR267">
            <v>0</v>
          </cell>
          <cell r="DS267">
            <v>0</v>
          </cell>
          <cell r="DT267">
            <v>0</v>
          </cell>
          <cell r="DU267">
            <v>0</v>
          </cell>
          <cell r="DV267">
            <v>0</v>
          </cell>
          <cell r="DW267">
            <v>0</v>
          </cell>
          <cell r="DX267">
            <v>0</v>
          </cell>
          <cell r="DY267">
            <v>0</v>
          </cell>
          <cell r="EA267">
            <v>0</v>
          </cell>
          <cell r="EB267">
            <v>0</v>
          </cell>
          <cell r="EC267">
            <v>0</v>
          </cell>
          <cell r="ED267">
            <v>0</v>
          </cell>
          <cell r="EE267">
            <v>0</v>
          </cell>
          <cell r="EF267">
            <v>0</v>
          </cell>
          <cell r="EG267">
            <v>0</v>
          </cell>
          <cell r="EH267">
            <v>0</v>
          </cell>
          <cell r="EI267">
            <v>0</v>
          </cell>
          <cell r="EJ267">
            <v>0</v>
          </cell>
          <cell r="EK267">
            <v>0</v>
          </cell>
          <cell r="EL267">
            <v>0</v>
          </cell>
          <cell r="EM267">
            <v>0</v>
          </cell>
          <cell r="EN267">
            <v>0</v>
          </cell>
          <cell r="EO267">
            <v>0</v>
          </cell>
          <cell r="EP267">
            <v>0</v>
          </cell>
          <cell r="EQ267">
            <v>0</v>
          </cell>
          <cell r="ER267">
            <v>0</v>
          </cell>
          <cell r="ES267">
            <v>0</v>
          </cell>
          <cell r="ET267">
            <v>0</v>
          </cell>
          <cell r="EU267">
            <v>0</v>
          </cell>
          <cell r="EV267">
            <v>0</v>
          </cell>
          <cell r="EW267">
            <v>0</v>
          </cell>
          <cell r="EX267">
            <v>0</v>
          </cell>
          <cell r="EY267">
            <v>0</v>
          </cell>
          <cell r="EZ267">
            <v>0</v>
          </cell>
          <cell r="FA267">
            <v>0</v>
          </cell>
          <cell r="FB267">
            <v>0</v>
          </cell>
          <cell r="FC267">
            <v>0</v>
          </cell>
          <cell r="FD267">
            <v>0</v>
          </cell>
          <cell r="FE267">
            <v>0</v>
          </cell>
          <cell r="FF267">
            <v>0</v>
          </cell>
          <cell r="FG267">
            <v>0</v>
          </cell>
          <cell r="FH267">
            <v>0</v>
          </cell>
          <cell r="FI267">
            <v>0</v>
          </cell>
          <cell r="FJ267">
            <v>0</v>
          </cell>
          <cell r="FK267">
            <v>0</v>
          </cell>
          <cell r="FL267">
            <v>0</v>
          </cell>
          <cell r="FM267">
            <v>0</v>
          </cell>
          <cell r="FN267">
            <v>0</v>
          </cell>
          <cell r="FO267">
            <v>0</v>
          </cell>
          <cell r="FP267">
            <v>0</v>
          </cell>
          <cell r="FQ267">
            <v>0</v>
          </cell>
          <cell r="FR267">
            <v>0</v>
          </cell>
          <cell r="FS267">
            <v>0</v>
          </cell>
          <cell r="FT267">
            <v>0</v>
          </cell>
          <cell r="FU267">
            <v>0</v>
          </cell>
          <cell r="FV267">
            <v>0</v>
          </cell>
          <cell r="FW267">
            <v>0</v>
          </cell>
          <cell r="FX267">
            <v>0</v>
          </cell>
          <cell r="FY267">
            <v>0</v>
          </cell>
          <cell r="FZ267">
            <v>0</v>
          </cell>
        </row>
        <row r="268">
          <cell r="A268" t="str">
            <v>I_VID_NRF_EPA_EUR_INTR_S34</v>
          </cell>
          <cell r="B268">
            <v>0</v>
          </cell>
          <cell r="C268">
            <v>0</v>
          </cell>
          <cell r="D268">
            <v>0</v>
          </cell>
          <cell r="E268">
            <v>0</v>
          </cell>
          <cell r="F268">
            <v>0</v>
          </cell>
          <cell r="G268">
            <v>0</v>
          </cell>
          <cell r="H268">
            <v>0</v>
          </cell>
          <cell r="I268">
            <v>0</v>
          </cell>
          <cell r="J268">
            <v>0</v>
          </cell>
          <cell r="K268">
            <v>0</v>
          </cell>
          <cell r="L268">
            <v>0</v>
          </cell>
          <cell r="M268">
            <v>0</v>
          </cell>
          <cell r="N268">
            <v>0</v>
          </cell>
          <cell r="O268">
            <v>0</v>
          </cell>
          <cell r="P268">
            <v>0</v>
          </cell>
          <cell r="Q268">
            <v>0</v>
          </cell>
          <cell r="R268">
            <v>0</v>
          </cell>
          <cell r="S268">
            <v>0</v>
          </cell>
          <cell r="T268">
            <v>0</v>
          </cell>
          <cell r="U268">
            <v>0</v>
          </cell>
          <cell r="V268">
            <v>0</v>
          </cell>
          <cell r="W268">
            <v>0</v>
          </cell>
          <cell r="X268">
            <v>0</v>
          </cell>
          <cell r="Y268">
            <v>0</v>
          </cell>
          <cell r="Z268">
            <v>0</v>
          </cell>
          <cell r="AA268">
            <v>0</v>
          </cell>
          <cell r="AB268">
            <v>0</v>
          </cell>
          <cell r="AC268">
            <v>0</v>
          </cell>
          <cell r="AD268">
            <v>0</v>
          </cell>
          <cell r="AE268">
            <v>0</v>
          </cell>
          <cell r="AF268">
            <v>0</v>
          </cell>
          <cell r="AG268">
            <v>0</v>
          </cell>
          <cell r="AH268">
            <v>0</v>
          </cell>
          <cell r="AI268">
            <v>0</v>
          </cell>
          <cell r="AJ268">
            <v>0</v>
          </cell>
          <cell r="AK268">
            <v>0</v>
          </cell>
          <cell r="AL268">
            <v>0</v>
          </cell>
          <cell r="AM268">
            <v>0</v>
          </cell>
          <cell r="AN268">
            <v>0</v>
          </cell>
          <cell r="AO268">
            <v>0</v>
          </cell>
          <cell r="AP268">
            <v>0</v>
          </cell>
          <cell r="AQ268">
            <v>0</v>
          </cell>
          <cell r="AR268">
            <v>0</v>
          </cell>
          <cell r="AS268">
            <v>0</v>
          </cell>
          <cell r="AT268">
            <v>0</v>
          </cell>
          <cell r="AU268">
            <v>0</v>
          </cell>
          <cell r="AV268">
            <v>0</v>
          </cell>
          <cell r="AW268">
            <v>0</v>
          </cell>
          <cell r="AX268">
            <v>0</v>
          </cell>
          <cell r="AY268">
            <v>0</v>
          </cell>
          <cell r="AZ268">
            <v>0</v>
          </cell>
          <cell r="BA268">
            <v>0</v>
          </cell>
          <cell r="BB268">
            <v>0</v>
          </cell>
          <cell r="BC268">
            <v>0</v>
          </cell>
          <cell r="BD268">
            <v>0</v>
          </cell>
          <cell r="BE268">
            <v>0</v>
          </cell>
          <cell r="BF268">
            <v>0</v>
          </cell>
          <cell r="BG268">
            <v>0</v>
          </cell>
          <cell r="BH268">
            <v>0</v>
          </cell>
          <cell r="BI268">
            <v>0</v>
          </cell>
          <cell r="BJ268">
            <v>0</v>
          </cell>
          <cell r="BK268">
            <v>0</v>
          </cell>
          <cell r="BL268">
            <v>0</v>
          </cell>
          <cell r="BM268">
            <v>0</v>
          </cell>
          <cell r="BN268">
            <v>0</v>
          </cell>
          <cell r="BO268">
            <v>0</v>
          </cell>
          <cell r="BP268">
            <v>0</v>
          </cell>
          <cell r="BQ268">
            <v>0</v>
          </cell>
          <cell r="BR268">
            <v>0</v>
          </cell>
          <cell r="BS268">
            <v>0</v>
          </cell>
          <cell r="BT268">
            <v>0</v>
          </cell>
          <cell r="BU268">
            <v>0</v>
          </cell>
          <cell r="BV268">
            <v>0</v>
          </cell>
          <cell r="BW268">
            <v>0</v>
          </cell>
          <cell r="BX268">
            <v>0</v>
          </cell>
          <cell r="BY268">
            <v>0</v>
          </cell>
          <cell r="BZ268">
            <v>0</v>
          </cell>
          <cell r="CA268">
            <v>0</v>
          </cell>
          <cell r="CB268">
            <v>0</v>
          </cell>
          <cell r="CC268">
            <v>0</v>
          </cell>
          <cell r="CD268">
            <v>0</v>
          </cell>
          <cell r="CE268">
            <v>0</v>
          </cell>
          <cell r="CF268">
            <v>0</v>
          </cell>
          <cell r="CG268">
            <v>0</v>
          </cell>
          <cell r="CH268">
            <v>0</v>
          </cell>
          <cell r="CI268">
            <v>0</v>
          </cell>
          <cell r="CJ268">
            <v>0</v>
          </cell>
          <cell r="CK268">
            <v>0</v>
          </cell>
          <cell r="CL268">
            <v>0</v>
          </cell>
          <cell r="CM268">
            <v>0</v>
          </cell>
          <cell r="CN268">
            <v>0</v>
          </cell>
          <cell r="CO268">
            <v>0</v>
          </cell>
          <cell r="CP268">
            <v>0</v>
          </cell>
          <cell r="CQ268">
            <v>0</v>
          </cell>
          <cell r="CR268">
            <v>0</v>
          </cell>
          <cell r="CS268">
            <v>0</v>
          </cell>
          <cell r="CT268">
            <v>0</v>
          </cell>
          <cell r="CU268">
            <v>0</v>
          </cell>
          <cell r="CV268">
            <v>0</v>
          </cell>
          <cell r="CW268">
            <v>0</v>
          </cell>
          <cell r="CX268">
            <v>0</v>
          </cell>
          <cell r="CY268">
            <v>0</v>
          </cell>
          <cell r="CZ268">
            <v>0</v>
          </cell>
          <cell r="DA268">
            <v>0</v>
          </cell>
          <cell r="DB268">
            <v>0</v>
          </cell>
          <cell r="DC268">
            <v>0</v>
          </cell>
          <cell r="DD268">
            <v>0</v>
          </cell>
          <cell r="DE268">
            <v>0</v>
          </cell>
          <cell r="DF268">
            <v>0</v>
          </cell>
          <cell r="DG268">
            <v>0</v>
          </cell>
          <cell r="DH268">
            <v>0</v>
          </cell>
          <cell r="DI268">
            <v>0</v>
          </cell>
          <cell r="DJ268">
            <v>0</v>
          </cell>
          <cell r="DK268">
            <v>0</v>
          </cell>
          <cell r="DL268">
            <v>0</v>
          </cell>
          <cell r="DM268">
            <v>0</v>
          </cell>
          <cell r="DN268">
            <v>0</v>
          </cell>
          <cell r="DO268">
            <v>0</v>
          </cell>
          <cell r="DP268">
            <v>0</v>
          </cell>
          <cell r="DQ268">
            <v>0</v>
          </cell>
          <cell r="DR268">
            <v>0</v>
          </cell>
          <cell r="DS268">
            <v>0</v>
          </cell>
          <cell r="DT268">
            <v>0</v>
          </cell>
          <cell r="DU268">
            <v>0</v>
          </cell>
          <cell r="DV268">
            <v>0</v>
          </cell>
          <cell r="DW268">
            <v>0</v>
          </cell>
          <cell r="DX268">
            <v>0</v>
          </cell>
          <cell r="DY268">
            <v>0</v>
          </cell>
          <cell r="EA268">
            <v>0</v>
          </cell>
          <cell r="EB268">
            <v>0</v>
          </cell>
          <cell r="EC268">
            <v>0</v>
          </cell>
          <cell r="ED268">
            <v>0</v>
          </cell>
          <cell r="EE268">
            <v>0</v>
          </cell>
          <cell r="EF268">
            <v>0</v>
          </cell>
          <cell r="EG268">
            <v>0</v>
          </cell>
          <cell r="EH268">
            <v>0</v>
          </cell>
          <cell r="EI268">
            <v>0</v>
          </cell>
          <cell r="EJ268">
            <v>0</v>
          </cell>
          <cell r="EK268">
            <v>0</v>
          </cell>
          <cell r="EL268">
            <v>0</v>
          </cell>
          <cell r="EM268">
            <v>0</v>
          </cell>
          <cell r="EN268">
            <v>0</v>
          </cell>
          <cell r="EO268">
            <v>0</v>
          </cell>
          <cell r="EP268">
            <v>0</v>
          </cell>
          <cell r="EQ268">
            <v>0</v>
          </cell>
          <cell r="ER268">
            <v>0</v>
          </cell>
          <cell r="ES268">
            <v>0</v>
          </cell>
          <cell r="ET268">
            <v>0</v>
          </cell>
          <cell r="EU268">
            <v>0</v>
          </cell>
          <cell r="EV268">
            <v>0</v>
          </cell>
          <cell r="EW268">
            <v>0</v>
          </cell>
          <cell r="EX268">
            <v>0</v>
          </cell>
          <cell r="EY268">
            <v>0</v>
          </cell>
          <cell r="EZ268">
            <v>0</v>
          </cell>
          <cell r="FA268">
            <v>0</v>
          </cell>
          <cell r="FB268">
            <v>0</v>
          </cell>
          <cell r="FC268">
            <v>0</v>
          </cell>
          <cell r="FD268">
            <v>0</v>
          </cell>
          <cell r="FE268">
            <v>0</v>
          </cell>
          <cell r="FF268">
            <v>0</v>
          </cell>
          <cell r="FG268">
            <v>0</v>
          </cell>
          <cell r="FH268">
            <v>0</v>
          </cell>
          <cell r="FI268">
            <v>0</v>
          </cell>
          <cell r="FJ268">
            <v>0</v>
          </cell>
          <cell r="FK268">
            <v>0</v>
          </cell>
          <cell r="FL268">
            <v>0</v>
          </cell>
          <cell r="FM268">
            <v>0</v>
          </cell>
          <cell r="FN268">
            <v>0</v>
          </cell>
          <cell r="FO268">
            <v>0</v>
          </cell>
          <cell r="FP268">
            <v>0</v>
          </cell>
          <cell r="FQ268">
            <v>0</v>
          </cell>
          <cell r="FR268">
            <v>0</v>
          </cell>
          <cell r="FS268">
            <v>0</v>
          </cell>
          <cell r="FT268">
            <v>0</v>
          </cell>
          <cell r="FU268">
            <v>0</v>
          </cell>
          <cell r="FV268">
            <v>0</v>
          </cell>
          <cell r="FW268">
            <v>0</v>
          </cell>
          <cell r="FX268">
            <v>0</v>
          </cell>
          <cell r="FY268">
            <v>0</v>
          </cell>
          <cell r="FZ268">
            <v>0</v>
          </cell>
        </row>
        <row r="269">
          <cell r="A269">
            <v>0</v>
          </cell>
          <cell r="B269">
            <v>0</v>
          </cell>
          <cell r="C269">
            <v>0</v>
          </cell>
          <cell r="D269">
            <v>0</v>
          </cell>
          <cell r="E269">
            <v>0</v>
          </cell>
          <cell r="F269">
            <v>0</v>
          </cell>
          <cell r="G269">
            <v>0</v>
          </cell>
          <cell r="H269">
            <v>0</v>
          </cell>
          <cell r="I269">
            <v>0</v>
          </cell>
          <cell r="J269">
            <v>0</v>
          </cell>
          <cell r="K269">
            <v>0</v>
          </cell>
          <cell r="L269">
            <v>0</v>
          </cell>
          <cell r="M269">
            <v>0</v>
          </cell>
          <cell r="N269">
            <v>0</v>
          </cell>
          <cell r="O269">
            <v>0</v>
          </cell>
          <cell r="P269">
            <v>0</v>
          </cell>
          <cell r="Q269">
            <v>0</v>
          </cell>
          <cell r="R269">
            <v>0</v>
          </cell>
          <cell r="S269">
            <v>0</v>
          </cell>
          <cell r="T269">
            <v>0</v>
          </cell>
          <cell r="U269">
            <v>0</v>
          </cell>
          <cell r="V269">
            <v>0</v>
          </cell>
          <cell r="W269">
            <v>0</v>
          </cell>
          <cell r="X269">
            <v>0</v>
          </cell>
          <cell r="Y269">
            <v>0</v>
          </cell>
          <cell r="Z269">
            <v>0</v>
          </cell>
          <cell r="AA269">
            <v>0</v>
          </cell>
          <cell r="AB269">
            <v>0</v>
          </cell>
          <cell r="AC269">
            <v>0</v>
          </cell>
          <cell r="AD269">
            <v>0</v>
          </cell>
          <cell r="AE269">
            <v>0</v>
          </cell>
          <cell r="AF269">
            <v>0</v>
          </cell>
          <cell r="AG269">
            <v>0</v>
          </cell>
          <cell r="AH269">
            <v>0</v>
          </cell>
          <cell r="AI269">
            <v>0</v>
          </cell>
          <cell r="AJ269">
            <v>0</v>
          </cell>
          <cell r="AK269">
            <v>0</v>
          </cell>
          <cell r="AL269">
            <v>0</v>
          </cell>
          <cell r="AM269">
            <v>0</v>
          </cell>
          <cell r="AN269">
            <v>0</v>
          </cell>
          <cell r="AO269">
            <v>0</v>
          </cell>
          <cell r="AP269">
            <v>0</v>
          </cell>
          <cell r="AQ269">
            <v>0</v>
          </cell>
          <cell r="AR269">
            <v>0</v>
          </cell>
          <cell r="AS269">
            <v>0</v>
          </cell>
          <cell r="AT269">
            <v>0</v>
          </cell>
          <cell r="AU269">
            <v>0</v>
          </cell>
          <cell r="AV269">
            <v>0</v>
          </cell>
          <cell r="AW269">
            <v>0</v>
          </cell>
          <cell r="AX269">
            <v>0</v>
          </cell>
          <cell r="AY269">
            <v>0</v>
          </cell>
          <cell r="AZ269">
            <v>0</v>
          </cell>
          <cell r="BA269">
            <v>0</v>
          </cell>
          <cell r="BB269">
            <v>0</v>
          </cell>
          <cell r="BC269">
            <v>0</v>
          </cell>
          <cell r="BD269">
            <v>0</v>
          </cell>
          <cell r="BE269">
            <v>0</v>
          </cell>
          <cell r="BF269">
            <v>0</v>
          </cell>
          <cell r="BG269">
            <v>0</v>
          </cell>
          <cell r="BH269">
            <v>0</v>
          </cell>
          <cell r="BI269">
            <v>0</v>
          </cell>
          <cell r="BJ269">
            <v>0</v>
          </cell>
          <cell r="BK269">
            <v>0</v>
          </cell>
          <cell r="BL269">
            <v>0</v>
          </cell>
          <cell r="BM269">
            <v>0</v>
          </cell>
          <cell r="BN269">
            <v>0</v>
          </cell>
          <cell r="BO269">
            <v>0</v>
          </cell>
          <cell r="BP269">
            <v>0</v>
          </cell>
          <cell r="BQ269">
            <v>0</v>
          </cell>
          <cell r="BR269">
            <v>0</v>
          </cell>
          <cell r="BS269">
            <v>0</v>
          </cell>
          <cell r="BT269">
            <v>0</v>
          </cell>
          <cell r="BU269">
            <v>0</v>
          </cell>
          <cell r="BV269">
            <v>0</v>
          </cell>
          <cell r="BW269">
            <v>0</v>
          </cell>
          <cell r="BX269">
            <v>0</v>
          </cell>
          <cell r="BY269">
            <v>0</v>
          </cell>
          <cell r="BZ269">
            <v>0</v>
          </cell>
          <cell r="CA269">
            <v>0</v>
          </cell>
          <cell r="CB269">
            <v>0</v>
          </cell>
          <cell r="CC269">
            <v>0</v>
          </cell>
          <cell r="CD269">
            <v>0</v>
          </cell>
          <cell r="CE269">
            <v>0</v>
          </cell>
          <cell r="CF269">
            <v>0</v>
          </cell>
          <cell r="CG269">
            <v>0</v>
          </cell>
          <cell r="CH269">
            <v>0</v>
          </cell>
          <cell r="CI269">
            <v>0</v>
          </cell>
          <cell r="CJ269">
            <v>0</v>
          </cell>
          <cell r="CK269">
            <v>0</v>
          </cell>
          <cell r="CL269">
            <v>0</v>
          </cell>
          <cell r="CM269">
            <v>0</v>
          </cell>
          <cell r="CN269">
            <v>0</v>
          </cell>
          <cell r="CO269">
            <v>0</v>
          </cell>
          <cell r="CP269">
            <v>0</v>
          </cell>
          <cell r="CQ269">
            <v>0</v>
          </cell>
          <cell r="CR269">
            <v>0</v>
          </cell>
          <cell r="CS269">
            <v>0</v>
          </cell>
          <cell r="CT269">
            <v>0</v>
          </cell>
          <cell r="CU269">
            <v>0</v>
          </cell>
          <cell r="CV269">
            <v>0</v>
          </cell>
          <cell r="CW269">
            <v>0</v>
          </cell>
          <cell r="CX269">
            <v>0</v>
          </cell>
          <cell r="CY269">
            <v>0</v>
          </cell>
          <cell r="CZ269">
            <v>0</v>
          </cell>
          <cell r="DA269">
            <v>0</v>
          </cell>
          <cell r="DB269">
            <v>0</v>
          </cell>
          <cell r="DC269">
            <v>0</v>
          </cell>
          <cell r="DD269">
            <v>0</v>
          </cell>
          <cell r="DE269">
            <v>0</v>
          </cell>
          <cell r="DF269">
            <v>0</v>
          </cell>
          <cell r="DG269">
            <v>0</v>
          </cell>
          <cell r="DH269">
            <v>0</v>
          </cell>
          <cell r="DI269">
            <v>0</v>
          </cell>
          <cell r="DJ269">
            <v>0</v>
          </cell>
          <cell r="DK269">
            <v>0</v>
          </cell>
          <cell r="DL269">
            <v>0</v>
          </cell>
          <cell r="DM269">
            <v>0</v>
          </cell>
          <cell r="DN269">
            <v>0</v>
          </cell>
          <cell r="DO269">
            <v>0</v>
          </cell>
          <cell r="DP269">
            <v>0</v>
          </cell>
          <cell r="DQ269">
            <v>0</v>
          </cell>
          <cell r="DR269">
            <v>0</v>
          </cell>
          <cell r="DS269">
            <v>0</v>
          </cell>
          <cell r="DT269">
            <v>0</v>
          </cell>
          <cell r="DU269">
            <v>0</v>
          </cell>
          <cell r="DV269">
            <v>0</v>
          </cell>
          <cell r="DW269">
            <v>0</v>
          </cell>
          <cell r="DX269">
            <v>0</v>
          </cell>
          <cell r="DY269">
            <v>0</v>
          </cell>
          <cell r="EA269">
            <v>0</v>
          </cell>
          <cell r="EB269">
            <v>0</v>
          </cell>
          <cell r="EC269">
            <v>0</v>
          </cell>
          <cell r="ED269">
            <v>0</v>
          </cell>
          <cell r="EE269">
            <v>0</v>
          </cell>
          <cell r="EF269">
            <v>0</v>
          </cell>
          <cell r="EG269">
            <v>0</v>
          </cell>
          <cell r="EH269">
            <v>0</v>
          </cell>
          <cell r="EI269">
            <v>0</v>
          </cell>
          <cell r="EJ269">
            <v>0</v>
          </cell>
          <cell r="EK269">
            <v>0</v>
          </cell>
          <cell r="EL269">
            <v>0</v>
          </cell>
          <cell r="EM269">
            <v>0</v>
          </cell>
          <cell r="EN269">
            <v>0</v>
          </cell>
          <cell r="EO269">
            <v>0</v>
          </cell>
          <cell r="EP269">
            <v>0</v>
          </cell>
          <cell r="EQ269">
            <v>0</v>
          </cell>
          <cell r="ER269">
            <v>0</v>
          </cell>
          <cell r="ES269">
            <v>0</v>
          </cell>
          <cell r="ET269">
            <v>0</v>
          </cell>
          <cell r="EU269">
            <v>0</v>
          </cell>
          <cell r="EV269">
            <v>0</v>
          </cell>
          <cell r="EW269">
            <v>0</v>
          </cell>
          <cell r="EX269">
            <v>0</v>
          </cell>
          <cell r="EY269">
            <v>0</v>
          </cell>
          <cell r="EZ269">
            <v>0</v>
          </cell>
          <cell r="FA269">
            <v>0</v>
          </cell>
          <cell r="FB269">
            <v>0</v>
          </cell>
          <cell r="FC269">
            <v>0</v>
          </cell>
          <cell r="FD269">
            <v>0</v>
          </cell>
          <cell r="FE269">
            <v>0</v>
          </cell>
          <cell r="FF269">
            <v>0</v>
          </cell>
          <cell r="FG269">
            <v>0</v>
          </cell>
          <cell r="FH269">
            <v>0</v>
          </cell>
          <cell r="FI269">
            <v>0</v>
          </cell>
          <cell r="FJ269">
            <v>0</v>
          </cell>
          <cell r="FK269">
            <v>0</v>
          </cell>
          <cell r="FL269">
            <v>0</v>
          </cell>
          <cell r="FM269">
            <v>0</v>
          </cell>
          <cell r="FN269">
            <v>0</v>
          </cell>
          <cell r="FO269">
            <v>0</v>
          </cell>
          <cell r="FP269">
            <v>0</v>
          </cell>
          <cell r="FQ269">
            <v>0</v>
          </cell>
          <cell r="FR269">
            <v>0</v>
          </cell>
          <cell r="FS269">
            <v>0</v>
          </cell>
          <cell r="FT269">
            <v>0</v>
          </cell>
          <cell r="FU269">
            <v>0</v>
          </cell>
          <cell r="FV269">
            <v>0</v>
          </cell>
          <cell r="FW269">
            <v>0</v>
          </cell>
          <cell r="FX269">
            <v>0</v>
          </cell>
          <cell r="FY269">
            <v>0</v>
          </cell>
          <cell r="FZ269">
            <v>0</v>
          </cell>
        </row>
        <row r="270">
          <cell r="A270">
            <v>0</v>
          </cell>
          <cell r="B270">
            <v>0</v>
          </cell>
          <cell r="C270">
            <v>0</v>
          </cell>
          <cell r="D270">
            <v>0</v>
          </cell>
          <cell r="E270">
            <v>0</v>
          </cell>
          <cell r="F270">
            <v>0</v>
          </cell>
          <cell r="G270">
            <v>0</v>
          </cell>
          <cell r="H270">
            <v>0</v>
          </cell>
          <cell r="I270">
            <v>0</v>
          </cell>
          <cell r="J270">
            <v>0</v>
          </cell>
          <cell r="K270">
            <v>0</v>
          </cell>
          <cell r="L270">
            <v>0</v>
          </cell>
          <cell r="M270">
            <v>0</v>
          </cell>
          <cell r="N270">
            <v>0</v>
          </cell>
          <cell r="O270">
            <v>0</v>
          </cell>
          <cell r="P270">
            <v>0</v>
          </cell>
          <cell r="Q270">
            <v>0</v>
          </cell>
          <cell r="R270">
            <v>0</v>
          </cell>
          <cell r="S270">
            <v>0</v>
          </cell>
          <cell r="T270">
            <v>0</v>
          </cell>
          <cell r="U270">
            <v>0</v>
          </cell>
          <cell r="V270">
            <v>0</v>
          </cell>
          <cell r="W270">
            <v>0</v>
          </cell>
          <cell r="X270">
            <v>0</v>
          </cell>
          <cell r="Y270">
            <v>0</v>
          </cell>
          <cell r="Z270">
            <v>0</v>
          </cell>
          <cell r="AA270">
            <v>0</v>
          </cell>
          <cell r="AB270">
            <v>0</v>
          </cell>
          <cell r="AC270">
            <v>0</v>
          </cell>
          <cell r="AD270">
            <v>0</v>
          </cell>
          <cell r="AE270">
            <v>0</v>
          </cell>
          <cell r="AF270">
            <v>0</v>
          </cell>
          <cell r="AG270">
            <v>0</v>
          </cell>
          <cell r="AH270">
            <v>0</v>
          </cell>
          <cell r="AI270">
            <v>0</v>
          </cell>
          <cell r="AJ270">
            <v>0</v>
          </cell>
          <cell r="AK270">
            <v>0</v>
          </cell>
          <cell r="AL270">
            <v>0</v>
          </cell>
          <cell r="AM270">
            <v>0</v>
          </cell>
          <cell r="AN270">
            <v>0</v>
          </cell>
          <cell r="AO270">
            <v>0</v>
          </cell>
          <cell r="AP270">
            <v>0</v>
          </cell>
          <cell r="AQ270">
            <v>0</v>
          </cell>
          <cell r="AR270">
            <v>0</v>
          </cell>
          <cell r="AS270">
            <v>0</v>
          </cell>
          <cell r="AT270">
            <v>0</v>
          </cell>
          <cell r="AU270">
            <v>0</v>
          </cell>
          <cell r="AV270">
            <v>0</v>
          </cell>
          <cell r="AW270">
            <v>0</v>
          </cell>
          <cell r="AX270">
            <v>0</v>
          </cell>
          <cell r="AY270">
            <v>0</v>
          </cell>
          <cell r="AZ270">
            <v>0</v>
          </cell>
          <cell r="BA270">
            <v>0</v>
          </cell>
          <cell r="BB270">
            <v>0</v>
          </cell>
          <cell r="BC270">
            <v>0</v>
          </cell>
          <cell r="BD270">
            <v>0</v>
          </cell>
          <cell r="BE270">
            <v>0</v>
          </cell>
          <cell r="BF270">
            <v>0</v>
          </cell>
          <cell r="BG270">
            <v>0</v>
          </cell>
          <cell r="BH270">
            <v>0</v>
          </cell>
          <cell r="BI270">
            <v>0</v>
          </cell>
          <cell r="BJ270">
            <v>0</v>
          </cell>
          <cell r="BK270">
            <v>0</v>
          </cell>
          <cell r="BL270">
            <v>0</v>
          </cell>
          <cell r="BM270">
            <v>0</v>
          </cell>
          <cell r="BN270">
            <v>0</v>
          </cell>
          <cell r="BO270">
            <v>0</v>
          </cell>
          <cell r="BP270">
            <v>0</v>
          </cell>
          <cell r="BQ270">
            <v>0</v>
          </cell>
          <cell r="BR270">
            <v>0</v>
          </cell>
          <cell r="BS270">
            <v>0</v>
          </cell>
          <cell r="BT270">
            <v>0</v>
          </cell>
          <cell r="BU270">
            <v>0</v>
          </cell>
          <cell r="BV270">
            <v>0</v>
          </cell>
          <cell r="BW270">
            <v>0</v>
          </cell>
          <cell r="BX270">
            <v>0</v>
          </cell>
          <cell r="BY270">
            <v>0</v>
          </cell>
          <cell r="BZ270">
            <v>0</v>
          </cell>
          <cell r="CA270">
            <v>0</v>
          </cell>
          <cell r="CB270">
            <v>0</v>
          </cell>
          <cell r="CC270">
            <v>0</v>
          </cell>
          <cell r="CD270">
            <v>0</v>
          </cell>
          <cell r="CE270">
            <v>0</v>
          </cell>
          <cell r="CF270">
            <v>0</v>
          </cell>
          <cell r="CG270">
            <v>0</v>
          </cell>
          <cell r="CH270">
            <v>0</v>
          </cell>
          <cell r="CI270">
            <v>0</v>
          </cell>
          <cell r="CJ270">
            <v>0</v>
          </cell>
          <cell r="CK270">
            <v>0</v>
          </cell>
          <cell r="CL270">
            <v>0</v>
          </cell>
          <cell r="CM270">
            <v>0</v>
          </cell>
          <cell r="CN270">
            <v>0</v>
          </cell>
          <cell r="CO270">
            <v>0</v>
          </cell>
          <cell r="CP270">
            <v>0</v>
          </cell>
          <cell r="CQ270">
            <v>0</v>
          </cell>
          <cell r="CR270">
            <v>0</v>
          </cell>
          <cell r="CS270">
            <v>0</v>
          </cell>
          <cell r="CT270">
            <v>0</v>
          </cell>
          <cell r="CU270">
            <v>0</v>
          </cell>
          <cell r="CV270">
            <v>0</v>
          </cell>
          <cell r="CW270">
            <v>0</v>
          </cell>
          <cell r="CX270">
            <v>0</v>
          </cell>
          <cell r="CY270">
            <v>0</v>
          </cell>
          <cell r="CZ270">
            <v>0</v>
          </cell>
          <cell r="DA270">
            <v>0</v>
          </cell>
          <cell r="DB270">
            <v>0</v>
          </cell>
          <cell r="DC270">
            <v>0</v>
          </cell>
          <cell r="DD270">
            <v>0</v>
          </cell>
          <cell r="DE270">
            <v>0</v>
          </cell>
          <cell r="DF270">
            <v>0</v>
          </cell>
          <cell r="DG270">
            <v>0</v>
          </cell>
          <cell r="DH270">
            <v>0</v>
          </cell>
          <cell r="DI270">
            <v>0</v>
          </cell>
          <cell r="DJ270">
            <v>0</v>
          </cell>
          <cell r="DK270">
            <v>0</v>
          </cell>
          <cell r="DL270">
            <v>0</v>
          </cell>
          <cell r="DM270">
            <v>0</v>
          </cell>
          <cell r="DN270">
            <v>0</v>
          </cell>
          <cell r="DO270">
            <v>0</v>
          </cell>
          <cell r="DP270">
            <v>0</v>
          </cell>
          <cell r="DQ270">
            <v>0</v>
          </cell>
          <cell r="DR270">
            <v>0</v>
          </cell>
          <cell r="DS270">
            <v>0</v>
          </cell>
          <cell r="DT270">
            <v>0</v>
          </cell>
          <cell r="DU270">
            <v>0</v>
          </cell>
          <cell r="DV270">
            <v>0</v>
          </cell>
          <cell r="DW270">
            <v>0</v>
          </cell>
          <cell r="DX270">
            <v>0</v>
          </cell>
          <cell r="DY270">
            <v>0</v>
          </cell>
          <cell r="EA270">
            <v>0</v>
          </cell>
          <cell r="EB270">
            <v>0</v>
          </cell>
          <cell r="EC270">
            <v>0</v>
          </cell>
          <cell r="ED270">
            <v>0</v>
          </cell>
          <cell r="EE270">
            <v>0</v>
          </cell>
          <cell r="EF270">
            <v>0</v>
          </cell>
          <cell r="EG270">
            <v>0</v>
          </cell>
          <cell r="EH270">
            <v>0</v>
          </cell>
          <cell r="EI270">
            <v>0</v>
          </cell>
          <cell r="EJ270">
            <v>0</v>
          </cell>
          <cell r="EK270">
            <v>0</v>
          </cell>
          <cell r="EL270">
            <v>0</v>
          </cell>
          <cell r="EM270">
            <v>0</v>
          </cell>
          <cell r="EN270">
            <v>0</v>
          </cell>
          <cell r="EO270">
            <v>0</v>
          </cell>
          <cell r="EP270">
            <v>0</v>
          </cell>
          <cell r="EQ270">
            <v>0</v>
          </cell>
          <cell r="ER270">
            <v>0</v>
          </cell>
          <cell r="ES270">
            <v>0</v>
          </cell>
          <cell r="ET270">
            <v>0</v>
          </cell>
          <cell r="EU270">
            <v>0</v>
          </cell>
          <cell r="EV270">
            <v>0</v>
          </cell>
          <cell r="EW270">
            <v>0</v>
          </cell>
          <cell r="EX270">
            <v>0</v>
          </cell>
          <cell r="EY270">
            <v>0</v>
          </cell>
          <cell r="EZ270">
            <v>0</v>
          </cell>
          <cell r="FA270">
            <v>0</v>
          </cell>
          <cell r="FB270">
            <v>0</v>
          </cell>
          <cell r="FC270">
            <v>0</v>
          </cell>
          <cell r="FD270">
            <v>0</v>
          </cell>
          <cell r="FE270">
            <v>0</v>
          </cell>
          <cell r="FF270">
            <v>0</v>
          </cell>
          <cell r="FG270">
            <v>0</v>
          </cell>
          <cell r="FH270">
            <v>0</v>
          </cell>
          <cell r="FI270">
            <v>0</v>
          </cell>
          <cell r="FJ270">
            <v>0</v>
          </cell>
          <cell r="FK270">
            <v>0</v>
          </cell>
          <cell r="FL270">
            <v>0</v>
          </cell>
          <cell r="FM270">
            <v>0</v>
          </cell>
          <cell r="FN270">
            <v>0</v>
          </cell>
          <cell r="FO270">
            <v>0</v>
          </cell>
          <cell r="FP270">
            <v>0</v>
          </cell>
          <cell r="FQ270">
            <v>0</v>
          </cell>
          <cell r="FR270">
            <v>0</v>
          </cell>
          <cell r="FS270">
            <v>0</v>
          </cell>
          <cell r="FT270">
            <v>0</v>
          </cell>
          <cell r="FU270">
            <v>0</v>
          </cell>
          <cell r="FV270">
            <v>0</v>
          </cell>
          <cell r="FW270">
            <v>0</v>
          </cell>
          <cell r="FX270">
            <v>0</v>
          </cell>
          <cell r="FY270">
            <v>0</v>
          </cell>
          <cell r="FZ270">
            <v>0</v>
          </cell>
        </row>
        <row r="271">
          <cell r="A271">
            <v>0</v>
          </cell>
          <cell r="B271">
            <v>0</v>
          </cell>
          <cell r="C271">
            <v>0</v>
          </cell>
          <cell r="D271">
            <v>0</v>
          </cell>
          <cell r="E271">
            <v>0</v>
          </cell>
          <cell r="F271">
            <v>0</v>
          </cell>
          <cell r="G271">
            <v>0</v>
          </cell>
          <cell r="H271">
            <v>0</v>
          </cell>
          <cell r="I271">
            <v>0</v>
          </cell>
          <cell r="J271">
            <v>0</v>
          </cell>
          <cell r="K271">
            <v>0</v>
          </cell>
          <cell r="L271">
            <v>0</v>
          </cell>
          <cell r="M271">
            <v>0</v>
          </cell>
          <cell r="N271">
            <v>0</v>
          </cell>
          <cell r="O271">
            <v>0</v>
          </cell>
          <cell r="P271">
            <v>0</v>
          </cell>
          <cell r="Q271">
            <v>0</v>
          </cell>
          <cell r="R271">
            <v>0</v>
          </cell>
          <cell r="S271">
            <v>0</v>
          </cell>
          <cell r="T271">
            <v>0</v>
          </cell>
          <cell r="U271">
            <v>0</v>
          </cell>
          <cell r="V271">
            <v>0</v>
          </cell>
          <cell r="W271">
            <v>0</v>
          </cell>
          <cell r="X271">
            <v>0</v>
          </cell>
          <cell r="Y271">
            <v>0</v>
          </cell>
          <cell r="Z271">
            <v>0</v>
          </cell>
          <cell r="AA271">
            <v>0</v>
          </cell>
          <cell r="AB271">
            <v>0</v>
          </cell>
          <cell r="AC271">
            <v>0</v>
          </cell>
          <cell r="AD271">
            <v>0</v>
          </cell>
          <cell r="AE271">
            <v>0</v>
          </cell>
          <cell r="AF271">
            <v>0</v>
          </cell>
          <cell r="AG271">
            <v>0</v>
          </cell>
          <cell r="AH271">
            <v>0</v>
          </cell>
          <cell r="AI271">
            <v>0</v>
          </cell>
          <cell r="AJ271">
            <v>0</v>
          </cell>
          <cell r="AK271">
            <v>0</v>
          </cell>
          <cell r="AL271">
            <v>0</v>
          </cell>
          <cell r="AM271">
            <v>0</v>
          </cell>
          <cell r="AN271">
            <v>0</v>
          </cell>
          <cell r="AO271">
            <v>0</v>
          </cell>
          <cell r="AP271">
            <v>0</v>
          </cell>
          <cell r="AQ271">
            <v>0</v>
          </cell>
          <cell r="AR271">
            <v>0</v>
          </cell>
          <cell r="AS271">
            <v>0</v>
          </cell>
          <cell r="AT271">
            <v>0</v>
          </cell>
          <cell r="AU271">
            <v>0</v>
          </cell>
          <cell r="AV271">
            <v>0</v>
          </cell>
          <cell r="AW271">
            <v>0</v>
          </cell>
          <cell r="AX271">
            <v>0</v>
          </cell>
          <cell r="AY271">
            <v>0</v>
          </cell>
          <cell r="AZ271">
            <v>0</v>
          </cell>
          <cell r="BA271">
            <v>0</v>
          </cell>
          <cell r="BB271">
            <v>0</v>
          </cell>
          <cell r="BC271">
            <v>0</v>
          </cell>
          <cell r="BD271">
            <v>0</v>
          </cell>
          <cell r="BE271">
            <v>0</v>
          </cell>
          <cell r="BF271">
            <v>0</v>
          </cell>
          <cell r="BG271">
            <v>0</v>
          </cell>
          <cell r="BH271">
            <v>0</v>
          </cell>
          <cell r="BI271">
            <v>0</v>
          </cell>
          <cell r="BJ271">
            <v>0</v>
          </cell>
          <cell r="BK271">
            <v>0</v>
          </cell>
          <cell r="BL271">
            <v>0</v>
          </cell>
          <cell r="BM271">
            <v>0</v>
          </cell>
          <cell r="BN271">
            <v>0</v>
          </cell>
          <cell r="BO271">
            <v>0</v>
          </cell>
          <cell r="BP271">
            <v>0</v>
          </cell>
          <cell r="BQ271">
            <v>0</v>
          </cell>
          <cell r="BR271">
            <v>0</v>
          </cell>
          <cell r="BS271">
            <v>0</v>
          </cell>
          <cell r="BT271">
            <v>0</v>
          </cell>
          <cell r="BU271">
            <v>0</v>
          </cell>
          <cell r="BV271">
            <v>0</v>
          </cell>
          <cell r="BW271">
            <v>0</v>
          </cell>
          <cell r="BX271">
            <v>0</v>
          </cell>
          <cell r="BY271">
            <v>0</v>
          </cell>
          <cell r="BZ271">
            <v>0</v>
          </cell>
          <cell r="CA271">
            <v>0</v>
          </cell>
          <cell r="CB271">
            <v>0</v>
          </cell>
          <cell r="CC271">
            <v>0</v>
          </cell>
          <cell r="CD271">
            <v>0</v>
          </cell>
          <cell r="CE271">
            <v>0</v>
          </cell>
          <cell r="CF271">
            <v>0</v>
          </cell>
          <cell r="CG271">
            <v>0</v>
          </cell>
          <cell r="CH271">
            <v>0</v>
          </cell>
          <cell r="CI271">
            <v>0</v>
          </cell>
          <cell r="CJ271">
            <v>0</v>
          </cell>
          <cell r="CK271">
            <v>0</v>
          </cell>
          <cell r="CL271">
            <v>0</v>
          </cell>
          <cell r="CM271">
            <v>0</v>
          </cell>
          <cell r="CN271">
            <v>0</v>
          </cell>
          <cell r="CO271">
            <v>0</v>
          </cell>
          <cell r="CP271">
            <v>0</v>
          </cell>
          <cell r="CQ271">
            <v>0</v>
          </cell>
          <cell r="CR271">
            <v>0</v>
          </cell>
          <cell r="CS271">
            <v>0</v>
          </cell>
          <cell r="CT271">
            <v>0</v>
          </cell>
          <cell r="CU271">
            <v>0</v>
          </cell>
          <cell r="CV271">
            <v>0</v>
          </cell>
          <cell r="CW271">
            <v>0</v>
          </cell>
          <cell r="CX271">
            <v>0</v>
          </cell>
          <cell r="CY271">
            <v>0</v>
          </cell>
          <cell r="CZ271">
            <v>0</v>
          </cell>
          <cell r="DA271">
            <v>0</v>
          </cell>
          <cell r="DB271">
            <v>0</v>
          </cell>
          <cell r="DC271">
            <v>0</v>
          </cell>
          <cell r="DD271">
            <v>0</v>
          </cell>
          <cell r="DE271">
            <v>0</v>
          </cell>
          <cell r="DF271">
            <v>0</v>
          </cell>
          <cell r="DG271">
            <v>0</v>
          </cell>
          <cell r="DH271">
            <v>0</v>
          </cell>
          <cell r="DI271">
            <v>0</v>
          </cell>
          <cell r="DJ271">
            <v>0</v>
          </cell>
          <cell r="DK271">
            <v>0</v>
          </cell>
          <cell r="DL271">
            <v>0</v>
          </cell>
          <cell r="DM271">
            <v>0</v>
          </cell>
          <cell r="DN271">
            <v>0</v>
          </cell>
          <cell r="DO271">
            <v>0</v>
          </cell>
          <cell r="DP271">
            <v>0</v>
          </cell>
          <cell r="DQ271">
            <v>0</v>
          </cell>
          <cell r="DR271">
            <v>0</v>
          </cell>
          <cell r="DS271">
            <v>0</v>
          </cell>
          <cell r="DT271">
            <v>0</v>
          </cell>
          <cell r="DU271">
            <v>0</v>
          </cell>
          <cell r="DV271">
            <v>0</v>
          </cell>
          <cell r="DW271">
            <v>0</v>
          </cell>
          <cell r="DX271">
            <v>0</v>
          </cell>
          <cell r="DY271">
            <v>0</v>
          </cell>
          <cell r="EA271">
            <v>0</v>
          </cell>
          <cell r="EB271">
            <v>0</v>
          </cell>
          <cell r="EC271">
            <v>0</v>
          </cell>
          <cell r="ED271">
            <v>0</v>
          </cell>
          <cell r="EE271">
            <v>0</v>
          </cell>
          <cell r="EF271">
            <v>0</v>
          </cell>
          <cell r="EG271">
            <v>0</v>
          </cell>
          <cell r="EH271">
            <v>0</v>
          </cell>
          <cell r="EI271">
            <v>0</v>
          </cell>
          <cell r="EJ271">
            <v>0</v>
          </cell>
          <cell r="EK271">
            <v>0</v>
          </cell>
          <cell r="EL271">
            <v>0</v>
          </cell>
          <cell r="EM271">
            <v>0</v>
          </cell>
          <cell r="EN271">
            <v>0</v>
          </cell>
          <cell r="EO271">
            <v>0</v>
          </cell>
          <cell r="EP271">
            <v>0</v>
          </cell>
          <cell r="EQ271">
            <v>0</v>
          </cell>
          <cell r="ER271">
            <v>0</v>
          </cell>
          <cell r="ES271">
            <v>0</v>
          </cell>
          <cell r="ET271">
            <v>0</v>
          </cell>
          <cell r="EU271">
            <v>0</v>
          </cell>
          <cell r="EV271">
            <v>0</v>
          </cell>
          <cell r="EW271">
            <v>0</v>
          </cell>
          <cell r="EX271">
            <v>0</v>
          </cell>
          <cell r="EY271">
            <v>0</v>
          </cell>
          <cell r="EZ271">
            <v>0</v>
          </cell>
          <cell r="FA271">
            <v>0</v>
          </cell>
          <cell r="FB271">
            <v>0</v>
          </cell>
          <cell r="FC271">
            <v>0</v>
          </cell>
          <cell r="FD271">
            <v>0</v>
          </cell>
          <cell r="FE271">
            <v>0</v>
          </cell>
          <cell r="FF271">
            <v>0</v>
          </cell>
          <cell r="FG271">
            <v>0</v>
          </cell>
          <cell r="FH271">
            <v>0</v>
          </cell>
          <cell r="FI271">
            <v>0</v>
          </cell>
          <cell r="FJ271">
            <v>0</v>
          </cell>
          <cell r="FK271">
            <v>0</v>
          </cell>
          <cell r="FL271">
            <v>0</v>
          </cell>
          <cell r="FM271">
            <v>0</v>
          </cell>
          <cell r="FN271">
            <v>0</v>
          </cell>
          <cell r="FO271">
            <v>0</v>
          </cell>
          <cell r="FP271">
            <v>0</v>
          </cell>
          <cell r="FQ271">
            <v>0</v>
          </cell>
          <cell r="FR271">
            <v>0</v>
          </cell>
          <cell r="FS271">
            <v>0</v>
          </cell>
          <cell r="FT271">
            <v>0</v>
          </cell>
          <cell r="FU271">
            <v>0</v>
          </cell>
          <cell r="FV271">
            <v>0</v>
          </cell>
          <cell r="FW271">
            <v>0</v>
          </cell>
          <cell r="FX271">
            <v>0</v>
          </cell>
          <cell r="FY271">
            <v>0</v>
          </cell>
          <cell r="FZ271">
            <v>0</v>
          </cell>
        </row>
        <row r="272">
          <cell r="A272">
            <v>0</v>
          </cell>
          <cell r="B272">
            <v>0</v>
          </cell>
          <cell r="C272">
            <v>0</v>
          </cell>
          <cell r="D272">
            <v>0</v>
          </cell>
          <cell r="E272">
            <v>0</v>
          </cell>
          <cell r="F272">
            <v>0</v>
          </cell>
          <cell r="G272">
            <v>0</v>
          </cell>
          <cell r="H272">
            <v>0</v>
          </cell>
          <cell r="I272">
            <v>0</v>
          </cell>
          <cell r="J272">
            <v>0</v>
          </cell>
          <cell r="K272">
            <v>0</v>
          </cell>
          <cell r="L272">
            <v>0</v>
          </cell>
          <cell r="M272">
            <v>0</v>
          </cell>
          <cell r="N272">
            <v>0</v>
          </cell>
          <cell r="O272">
            <v>0</v>
          </cell>
          <cell r="P272">
            <v>0</v>
          </cell>
          <cell r="Q272">
            <v>0</v>
          </cell>
          <cell r="R272">
            <v>0</v>
          </cell>
          <cell r="S272">
            <v>0</v>
          </cell>
          <cell r="T272">
            <v>0</v>
          </cell>
          <cell r="U272">
            <v>0</v>
          </cell>
          <cell r="V272">
            <v>0</v>
          </cell>
          <cell r="W272">
            <v>0</v>
          </cell>
          <cell r="X272">
            <v>0</v>
          </cell>
          <cell r="Y272">
            <v>0</v>
          </cell>
          <cell r="Z272">
            <v>0</v>
          </cell>
          <cell r="AA272">
            <v>0</v>
          </cell>
          <cell r="AB272">
            <v>0</v>
          </cell>
          <cell r="AC272">
            <v>0</v>
          </cell>
          <cell r="AD272">
            <v>0</v>
          </cell>
          <cell r="AE272">
            <v>0</v>
          </cell>
          <cell r="AF272">
            <v>0</v>
          </cell>
          <cell r="AG272">
            <v>0</v>
          </cell>
          <cell r="AH272">
            <v>0</v>
          </cell>
          <cell r="AI272">
            <v>0</v>
          </cell>
          <cell r="AJ272">
            <v>0</v>
          </cell>
          <cell r="AK272">
            <v>0</v>
          </cell>
          <cell r="AL272">
            <v>0</v>
          </cell>
          <cell r="AM272">
            <v>0</v>
          </cell>
          <cell r="AN272">
            <v>0</v>
          </cell>
          <cell r="AO272">
            <v>0</v>
          </cell>
          <cell r="AP272">
            <v>0</v>
          </cell>
          <cell r="AQ272">
            <v>0</v>
          </cell>
          <cell r="AR272">
            <v>0</v>
          </cell>
          <cell r="AS272">
            <v>0</v>
          </cell>
          <cell r="AT272">
            <v>0</v>
          </cell>
          <cell r="AU272">
            <v>0</v>
          </cell>
          <cell r="AV272">
            <v>0</v>
          </cell>
          <cell r="AW272">
            <v>0</v>
          </cell>
          <cell r="AX272">
            <v>0</v>
          </cell>
          <cell r="AY272">
            <v>0</v>
          </cell>
          <cell r="AZ272">
            <v>0</v>
          </cell>
          <cell r="BA272">
            <v>0</v>
          </cell>
          <cell r="BB272">
            <v>0</v>
          </cell>
          <cell r="BC272">
            <v>0</v>
          </cell>
          <cell r="BD272">
            <v>0</v>
          </cell>
          <cell r="BE272">
            <v>0</v>
          </cell>
          <cell r="BF272">
            <v>0</v>
          </cell>
          <cell r="BG272">
            <v>0</v>
          </cell>
          <cell r="BH272">
            <v>0</v>
          </cell>
          <cell r="BI272">
            <v>0</v>
          </cell>
          <cell r="BJ272">
            <v>0</v>
          </cell>
          <cell r="BK272">
            <v>0</v>
          </cell>
          <cell r="BL272">
            <v>0</v>
          </cell>
          <cell r="BM272">
            <v>0</v>
          </cell>
          <cell r="BN272">
            <v>0</v>
          </cell>
          <cell r="BO272">
            <v>0</v>
          </cell>
          <cell r="BP272">
            <v>0</v>
          </cell>
          <cell r="BQ272">
            <v>0</v>
          </cell>
          <cell r="BR272">
            <v>0</v>
          </cell>
          <cell r="BS272">
            <v>0</v>
          </cell>
          <cell r="BT272">
            <v>0</v>
          </cell>
          <cell r="BU272">
            <v>0</v>
          </cell>
          <cell r="BV272">
            <v>0</v>
          </cell>
          <cell r="BW272">
            <v>0</v>
          </cell>
          <cell r="BX272">
            <v>0</v>
          </cell>
          <cell r="BY272">
            <v>0</v>
          </cell>
          <cell r="BZ272">
            <v>0</v>
          </cell>
          <cell r="CA272">
            <v>0</v>
          </cell>
          <cell r="CB272">
            <v>0</v>
          </cell>
          <cell r="CC272">
            <v>0</v>
          </cell>
          <cell r="CD272">
            <v>0</v>
          </cell>
          <cell r="CE272">
            <v>0</v>
          </cell>
          <cell r="CF272">
            <v>0</v>
          </cell>
          <cell r="CG272">
            <v>0</v>
          </cell>
          <cell r="CH272">
            <v>0</v>
          </cell>
          <cell r="CI272">
            <v>0</v>
          </cell>
          <cell r="CJ272">
            <v>0</v>
          </cell>
          <cell r="CK272">
            <v>0</v>
          </cell>
          <cell r="CL272">
            <v>0</v>
          </cell>
          <cell r="CM272">
            <v>0</v>
          </cell>
          <cell r="CN272">
            <v>0</v>
          </cell>
          <cell r="CO272">
            <v>0</v>
          </cell>
          <cell r="CP272">
            <v>0</v>
          </cell>
          <cell r="CQ272">
            <v>0</v>
          </cell>
          <cell r="CR272">
            <v>0</v>
          </cell>
          <cell r="CS272">
            <v>0</v>
          </cell>
          <cell r="CT272">
            <v>0</v>
          </cell>
          <cell r="CU272">
            <v>0</v>
          </cell>
          <cell r="CV272">
            <v>0</v>
          </cell>
          <cell r="CW272">
            <v>0</v>
          </cell>
          <cell r="CX272">
            <v>0</v>
          </cell>
          <cell r="CY272">
            <v>0</v>
          </cell>
          <cell r="CZ272">
            <v>0</v>
          </cell>
          <cell r="DA272">
            <v>0</v>
          </cell>
          <cell r="DB272">
            <v>0</v>
          </cell>
          <cell r="DC272">
            <v>0</v>
          </cell>
          <cell r="DD272">
            <v>0</v>
          </cell>
          <cell r="DE272">
            <v>0</v>
          </cell>
          <cell r="DF272">
            <v>0</v>
          </cell>
          <cell r="DG272">
            <v>0</v>
          </cell>
          <cell r="DH272">
            <v>0</v>
          </cell>
          <cell r="DI272">
            <v>0</v>
          </cell>
          <cell r="DJ272">
            <v>0</v>
          </cell>
          <cell r="DK272">
            <v>0</v>
          </cell>
          <cell r="DL272">
            <v>0</v>
          </cell>
          <cell r="DM272">
            <v>0</v>
          </cell>
          <cell r="DN272">
            <v>0</v>
          </cell>
          <cell r="DO272">
            <v>0</v>
          </cell>
          <cell r="DP272">
            <v>0</v>
          </cell>
          <cell r="DQ272">
            <v>0</v>
          </cell>
          <cell r="DR272">
            <v>0</v>
          </cell>
          <cell r="DS272">
            <v>0</v>
          </cell>
          <cell r="DT272">
            <v>0</v>
          </cell>
          <cell r="DU272">
            <v>0</v>
          </cell>
          <cell r="DV272">
            <v>0</v>
          </cell>
          <cell r="DW272">
            <v>0</v>
          </cell>
          <cell r="DX272">
            <v>0</v>
          </cell>
          <cell r="DY272">
            <v>0</v>
          </cell>
          <cell r="EA272">
            <v>0</v>
          </cell>
          <cell r="EB272">
            <v>0</v>
          </cell>
          <cell r="EC272">
            <v>0</v>
          </cell>
          <cell r="ED272">
            <v>0</v>
          </cell>
          <cell r="EE272">
            <v>0</v>
          </cell>
          <cell r="EF272">
            <v>0</v>
          </cell>
          <cell r="EG272">
            <v>0</v>
          </cell>
          <cell r="EH272">
            <v>0</v>
          </cell>
          <cell r="EI272">
            <v>0</v>
          </cell>
          <cell r="EJ272">
            <v>0</v>
          </cell>
          <cell r="EK272">
            <v>0</v>
          </cell>
          <cell r="EL272">
            <v>0</v>
          </cell>
          <cell r="EM272">
            <v>0</v>
          </cell>
          <cell r="EN272">
            <v>0</v>
          </cell>
          <cell r="EO272">
            <v>0</v>
          </cell>
          <cell r="EP272">
            <v>0</v>
          </cell>
          <cell r="EQ272">
            <v>0</v>
          </cell>
          <cell r="ER272">
            <v>0</v>
          </cell>
          <cell r="ES272">
            <v>0</v>
          </cell>
          <cell r="ET272">
            <v>0</v>
          </cell>
          <cell r="EU272">
            <v>0</v>
          </cell>
          <cell r="EV272">
            <v>0</v>
          </cell>
          <cell r="EW272">
            <v>0</v>
          </cell>
          <cell r="EX272">
            <v>0</v>
          </cell>
          <cell r="EY272">
            <v>0</v>
          </cell>
          <cell r="EZ272">
            <v>0</v>
          </cell>
          <cell r="FA272">
            <v>0</v>
          </cell>
          <cell r="FB272">
            <v>0</v>
          </cell>
          <cell r="FC272">
            <v>0</v>
          </cell>
          <cell r="FD272">
            <v>0</v>
          </cell>
          <cell r="FE272">
            <v>0</v>
          </cell>
          <cell r="FF272">
            <v>0</v>
          </cell>
          <cell r="FG272">
            <v>0</v>
          </cell>
          <cell r="FH272">
            <v>0</v>
          </cell>
          <cell r="FI272">
            <v>0</v>
          </cell>
          <cell r="FJ272">
            <v>0</v>
          </cell>
          <cell r="FK272">
            <v>0</v>
          </cell>
          <cell r="FL272">
            <v>0</v>
          </cell>
          <cell r="FM272">
            <v>0</v>
          </cell>
          <cell r="FN272">
            <v>0</v>
          </cell>
          <cell r="FO272">
            <v>0</v>
          </cell>
          <cell r="FP272">
            <v>0</v>
          </cell>
          <cell r="FQ272">
            <v>0</v>
          </cell>
          <cell r="FR272">
            <v>0</v>
          </cell>
          <cell r="FS272">
            <v>0</v>
          </cell>
          <cell r="FT272">
            <v>0</v>
          </cell>
          <cell r="FU272">
            <v>0</v>
          </cell>
          <cell r="FV272">
            <v>0</v>
          </cell>
          <cell r="FW272">
            <v>0</v>
          </cell>
          <cell r="FX272">
            <v>0</v>
          </cell>
          <cell r="FY272">
            <v>0</v>
          </cell>
          <cell r="FZ272">
            <v>0</v>
          </cell>
        </row>
        <row r="273">
          <cell r="A273">
            <v>0</v>
          </cell>
          <cell r="B273">
            <v>0</v>
          </cell>
          <cell r="C273">
            <v>0</v>
          </cell>
          <cell r="D273">
            <v>0</v>
          </cell>
          <cell r="E273">
            <v>0</v>
          </cell>
          <cell r="F273">
            <v>0</v>
          </cell>
          <cell r="G273">
            <v>0</v>
          </cell>
          <cell r="H273">
            <v>0</v>
          </cell>
          <cell r="I273">
            <v>0</v>
          </cell>
          <cell r="J273">
            <v>0</v>
          </cell>
          <cell r="K273">
            <v>0</v>
          </cell>
          <cell r="L273">
            <v>0</v>
          </cell>
          <cell r="M273">
            <v>0</v>
          </cell>
          <cell r="N273">
            <v>0</v>
          </cell>
          <cell r="O273">
            <v>0</v>
          </cell>
          <cell r="P273">
            <v>0</v>
          </cell>
          <cell r="Q273">
            <v>0</v>
          </cell>
          <cell r="R273">
            <v>0</v>
          </cell>
          <cell r="S273">
            <v>0</v>
          </cell>
          <cell r="T273">
            <v>0</v>
          </cell>
          <cell r="U273">
            <v>0</v>
          </cell>
          <cell r="V273">
            <v>0</v>
          </cell>
          <cell r="W273">
            <v>0</v>
          </cell>
          <cell r="X273">
            <v>0</v>
          </cell>
          <cell r="Y273">
            <v>0</v>
          </cell>
          <cell r="Z273">
            <v>0</v>
          </cell>
          <cell r="AA273">
            <v>0</v>
          </cell>
          <cell r="AB273">
            <v>0</v>
          </cell>
          <cell r="AC273">
            <v>0</v>
          </cell>
          <cell r="AD273">
            <v>0</v>
          </cell>
          <cell r="AE273">
            <v>0</v>
          </cell>
          <cell r="AF273">
            <v>0</v>
          </cell>
          <cell r="AG273">
            <v>0</v>
          </cell>
          <cell r="AH273">
            <v>0</v>
          </cell>
          <cell r="AI273">
            <v>0</v>
          </cell>
          <cell r="AJ273">
            <v>0</v>
          </cell>
          <cell r="AK273">
            <v>0</v>
          </cell>
          <cell r="AL273">
            <v>0</v>
          </cell>
          <cell r="AM273">
            <v>0</v>
          </cell>
          <cell r="AN273">
            <v>0</v>
          </cell>
          <cell r="AO273">
            <v>0</v>
          </cell>
          <cell r="AP273">
            <v>0</v>
          </cell>
          <cell r="AQ273">
            <v>0</v>
          </cell>
          <cell r="AR273">
            <v>0</v>
          </cell>
          <cell r="AS273">
            <v>0</v>
          </cell>
          <cell r="AT273">
            <v>0</v>
          </cell>
          <cell r="AU273">
            <v>0</v>
          </cell>
          <cell r="AV273">
            <v>0</v>
          </cell>
          <cell r="AW273">
            <v>0</v>
          </cell>
          <cell r="AX273">
            <v>0</v>
          </cell>
          <cell r="AY273">
            <v>0</v>
          </cell>
          <cell r="AZ273">
            <v>0</v>
          </cell>
          <cell r="BA273">
            <v>0</v>
          </cell>
          <cell r="BB273">
            <v>0</v>
          </cell>
          <cell r="BC273">
            <v>0</v>
          </cell>
          <cell r="BD273">
            <v>0</v>
          </cell>
          <cell r="BE273">
            <v>0</v>
          </cell>
          <cell r="BF273">
            <v>0</v>
          </cell>
          <cell r="BG273">
            <v>0</v>
          </cell>
          <cell r="BH273">
            <v>0</v>
          </cell>
          <cell r="BI273">
            <v>0</v>
          </cell>
          <cell r="BJ273">
            <v>0</v>
          </cell>
          <cell r="BK273">
            <v>0</v>
          </cell>
          <cell r="BL273">
            <v>0</v>
          </cell>
          <cell r="BM273">
            <v>0</v>
          </cell>
          <cell r="BN273">
            <v>0</v>
          </cell>
          <cell r="BO273">
            <v>0</v>
          </cell>
          <cell r="BP273">
            <v>0</v>
          </cell>
          <cell r="BQ273">
            <v>0</v>
          </cell>
          <cell r="BR273">
            <v>0</v>
          </cell>
          <cell r="BS273">
            <v>0</v>
          </cell>
          <cell r="BT273">
            <v>0</v>
          </cell>
          <cell r="BU273">
            <v>0</v>
          </cell>
          <cell r="BV273">
            <v>0</v>
          </cell>
          <cell r="BW273">
            <v>0</v>
          </cell>
          <cell r="BX273">
            <v>0</v>
          </cell>
          <cell r="BY273">
            <v>0</v>
          </cell>
          <cell r="BZ273">
            <v>0</v>
          </cell>
          <cell r="CA273">
            <v>0</v>
          </cell>
          <cell r="CB273">
            <v>0</v>
          </cell>
          <cell r="CC273">
            <v>0</v>
          </cell>
          <cell r="CD273">
            <v>0</v>
          </cell>
          <cell r="CE273">
            <v>0</v>
          </cell>
          <cell r="CF273">
            <v>0</v>
          </cell>
          <cell r="CG273">
            <v>0</v>
          </cell>
          <cell r="CH273">
            <v>0</v>
          </cell>
          <cell r="CI273">
            <v>0</v>
          </cell>
          <cell r="CJ273">
            <v>0</v>
          </cell>
          <cell r="CK273">
            <v>0</v>
          </cell>
          <cell r="CL273">
            <v>0</v>
          </cell>
          <cell r="CM273">
            <v>0</v>
          </cell>
          <cell r="CN273">
            <v>0</v>
          </cell>
          <cell r="CO273">
            <v>0</v>
          </cell>
          <cell r="CP273">
            <v>0</v>
          </cell>
          <cell r="CQ273">
            <v>0</v>
          </cell>
          <cell r="CR273">
            <v>0</v>
          </cell>
          <cell r="CS273">
            <v>0</v>
          </cell>
          <cell r="CT273">
            <v>0</v>
          </cell>
          <cell r="CU273">
            <v>0</v>
          </cell>
          <cell r="CV273">
            <v>0</v>
          </cell>
          <cell r="CW273">
            <v>0</v>
          </cell>
          <cell r="CX273">
            <v>0</v>
          </cell>
          <cell r="CY273">
            <v>0</v>
          </cell>
          <cell r="CZ273">
            <v>0</v>
          </cell>
          <cell r="DA273">
            <v>0</v>
          </cell>
          <cell r="DB273">
            <v>0</v>
          </cell>
          <cell r="DC273">
            <v>0</v>
          </cell>
          <cell r="DD273">
            <v>0</v>
          </cell>
          <cell r="DE273">
            <v>0</v>
          </cell>
          <cell r="DF273">
            <v>0</v>
          </cell>
          <cell r="DG273">
            <v>0</v>
          </cell>
          <cell r="DH273">
            <v>0</v>
          </cell>
          <cell r="DI273">
            <v>0</v>
          </cell>
          <cell r="DJ273">
            <v>0</v>
          </cell>
          <cell r="DK273">
            <v>0</v>
          </cell>
          <cell r="DL273">
            <v>0</v>
          </cell>
          <cell r="DM273">
            <v>0</v>
          </cell>
          <cell r="DN273">
            <v>0</v>
          </cell>
          <cell r="DO273">
            <v>0</v>
          </cell>
          <cell r="DP273">
            <v>0</v>
          </cell>
          <cell r="DQ273">
            <v>0</v>
          </cell>
          <cell r="DR273">
            <v>0</v>
          </cell>
          <cell r="DS273">
            <v>0</v>
          </cell>
          <cell r="DT273">
            <v>0</v>
          </cell>
          <cell r="DU273">
            <v>0</v>
          </cell>
          <cell r="DV273">
            <v>0</v>
          </cell>
          <cell r="DW273">
            <v>0</v>
          </cell>
          <cell r="DX273">
            <v>0</v>
          </cell>
          <cell r="DY273">
            <v>0</v>
          </cell>
          <cell r="EA273">
            <v>0</v>
          </cell>
          <cell r="EB273">
            <v>0</v>
          </cell>
          <cell r="EC273">
            <v>0</v>
          </cell>
          <cell r="ED273">
            <v>0</v>
          </cell>
          <cell r="EE273">
            <v>0</v>
          </cell>
          <cell r="EF273">
            <v>0</v>
          </cell>
          <cell r="EG273">
            <v>0</v>
          </cell>
          <cell r="EH273">
            <v>0</v>
          </cell>
          <cell r="EI273">
            <v>0</v>
          </cell>
          <cell r="EJ273">
            <v>0</v>
          </cell>
          <cell r="EK273">
            <v>0</v>
          </cell>
          <cell r="EL273">
            <v>0</v>
          </cell>
          <cell r="EM273">
            <v>0</v>
          </cell>
          <cell r="EN273">
            <v>0</v>
          </cell>
          <cell r="EO273">
            <v>0</v>
          </cell>
          <cell r="EP273">
            <v>0</v>
          </cell>
          <cell r="EQ273">
            <v>0</v>
          </cell>
          <cell r="ER273">
            <v>0</v>
          </cell>
          <cell r="ES273">
            <v>0</v>
          </cell>
          <cell r="ET273">
            <v>0</v>
          </cell>
          <cell r="EU273">
            <v>0</v>
          </cell>
          <cell r="EV273">
            <v>0</v>
          </cell>
          <cell r="EW273">
            <v>0</v>
          </cell>
          <cell r="EX273">
            <v>0</v>
          </cell>
          <cell r="EY273">
            <v>0</v>
          </cell>
          <cell r="EZ273">
            <v>0</v>
          </cell>
          <cell r="FA273">
            <v>0</v>
          </cell>
          <cell r="FB273">
            <v>0</v>
          </cell>
          <cell r="FC273">
            <v>0</v>
          </cell>
          <cell r="FD273">
            <v>0</v>
          </cell>
          <cell r="FE273">
            <v>0</v>
          </cell>
          <cell r="FF273">
            <v>0</v>
          </cell>
          <cell r="FG273">
            <v>0</v>
          </cell>
          <cell r="FH273">
            <v>0</v>
          </cell>
          <cell r="FI273">
            <v>0</v>
          </cell>
          <cell r="FJ273">
            <v>0</v>
          </cell>
          <cell r="FK273">
            <v>0</v>
          </cell>
          <cell r="FL273">
            <v>0</v>
          </cell>
          <cell r="FM273">
            <v>0</v>
          </cell>
          <cell r="FN273">
            <v>0</v>
          </cell>
          <cell r="FO273">
            <v>0</v>
          </cell>
          <cell r="FP273">
            <v>0</v>
          </cell>
          <cell r="FQ273">
            <v>0</v>
          </cell>
          <cell r="FR273">
            <v>0</v>
          </cell>
          <cell r="FS273">
            <v>0</v>
          </cell>
          <cell r="FT273">
            <v>0</v>
          </cell>
          <cell r="FU273">
            <v>0</v>
          </cell>
          <cell r="FV273">
            <v>0</v>
          </cell>
          <cell r="FW273">
            <v>0</v>
          </cell>
          <cell r="FX273">
            <v>0</v>
          </cell>
          <cell r="FY273">
            <v>0</v>
          </cell>
          <cell r="FZ273">
            <v>0</v>
          </cell>
        </row>
        <row r="274">
          <cell r="A274">
            <v>0</v>
          </cell>
          <cell r="B274">
            <v>0</v>
          </cell>
          <cell r="C274">
            <v>0</v>
          </cell>
          <cell r="D274">
            <v>0</v>
          </cell>
          <cell r="E274">
            <v>0</v>
          </cell>
          <cell r="F274">
            <v>0</v>
          </cell>
          <cell r="G274">
            <v>0</v>
          </cell>
          <cell r="H274">
            <v>0</v>
          </cell>
          <cell r="I274">
            <v>0</v>
          </cell>
          <cell r="J274">
            <v>0</v>
          </cell>
          <cell r="K274">
            <v>0</v>
          </cell>
          <cell r="L274">
            <v>0</v>
          </cell>
          <cell r="M274">
            <v>0</v>
          </cell>
          <cell r="N274">
            <v>0</v>
          </cell>
          <cell r="O274">
            <v>0</v>
          </cell>
          <cell r="P274">
            <v>0</v>
          </cell>
          <cell r="Q274">
            <v>0</v>
          </cell>
          <cell r="R274">
            <v>0</v>
          </cell>
          <cell r="S274">
            <v>0</v>
          </cell>
          <cell r="T274">
            <v>0</v>
          </cell>
          <cell r="U274">
            <v>0</v>
          </cell>
          <cell r="V274">
            <v>0</v>
          </cell>
          <cell r="W274">
            <v>0</v>
          </cell>
          <cell r="X274">
            <v>0</v>
          </cell>
          <cell r="Y274">
            <v>0</v>
          </cell>
          <cell r="Z274">
            <v>0</v>
          </cell>
          <cell r="AA274">
            <v>0</v>
          </cell>
          <cell r="AB274">
            <v>0</v>
          </cell>
          <cell r="AC274">
            <v>0</v>
          </cell>
          <cell r="AD274">
            <v>0</v>
          </cell>
          <cell r="AE274">
            <v>0</v>
          </cell>
          <cell r="AF274">
            <v>0</v>
          </cell>
          <cell r="AG274">
            <v>0</v>
          </cell>
          <cell r="AH274">
            <v>0</v>
          </cell>
          <cell r="AI274">
            <v>0</v>
          </cell>
          <cell r="AJ274">
            <v>0</v>
          </cell>
          <cell r="AK274">
            <v>0</v>
          </cell>
          <cell r="AL274">
            <v>0</v>
          </cell>
          <cell r="AM274">
            <v>0</v>
          </cell>
          <cell r="AN274">
            <v>0</v>
          </cell>
          <cell r="AO274">
            <v>0</v>
          </cell>
          <cell r="AP274">
            <v>0</v>
          </cell>
          <cell r="AQ274">
            <v>0</v>
          </cell>
          <cell r="AR274">
            <v>0</v>
          </cell>
          <cell r="AS274">
            <v>0</v>
          </cell>
          <cell r="AT274">
            <v>0</v>
          </cell>
          <cell r="AU274">
            <v>0</v>
          </cell>
          <cell r="AV274">
            <v>0</v>
          </cell>
          <cell r="AW274">
            <v>0</v>
          </cell>
          <cell r="AX274">
            <v>0</v>
          </cell>
          <cell r="AY274">
            <v>0</v>
          </cell>
          <cell r="AZ274">
            <v>0</v>
          </cell>
          <cell r="BA274">
            <v>0</v>
          </cell>
          <cell r="BB274">
            <v>0</v>
          </cell>
          <cell r="BC274">
            <v>0</v>
          </cell>
          <cell r="BD274">
            <v>0</v>
          </cell>
          <cell r="BE274">
            <v>0</v>
          </cell>
          <cell r="BF274">
            <v>0</v>
          </cell>
          <cell r="BG274">
            <v>0</v>
          </cell>
          <cell r="BH274">
            <v>0</v>
          </cell>
          <cell r="BI274">
            <v>0</v>
          </cell>
          <cell r="BJ274">
            <v>0</v>
          </cell>
          <cell r="BK274">
            <v>0</v>
          </cell>
          <cell r="BL274">
            <v>0</v>
          </cell>
          <cell r="BM274">
            <v>0</v>
          </cell>
          <cell r="BN274">
            <v>0</v>
          </cell>
          <cell r="BO274">
            <v>0</v>
          </cell>
          <cell r="BP274">
            <v>0</v>
          </cell>
          <cell r="BQ274">
            <v>0</v>
          </cell>
          <cell r="BR274">
            <v>0</v>
          </cell>
          <cell r="BS274">
            <v>0</v>
          </cell>
          <cell r="BT274">
            <v>0</v>
          </cell>
          <cell r="BU274">
            <v>0</v>
          </cell>
          <cell r="BV274">
            <v>0</v>
          </cell>
          <cell r="BW274">
            <v>0</v>
          </cell>
          <cell r="BX274">
            <v>0</v>
          </cell>
          <cell r="BY274">
            <v>0</v>
          </cell>
          <cell r="BZ274">
            <v>0</v>
          </cell>
          <cell r="CA274">
            <v>0</v>
          </cell>
          <cell r="CB274">
            <v>0</v>
          </cell>
          <cell r="CC274">
            <v>0</v>
          </cell>
          <cell r="CD274">
            <v>0</v>
          </cell>
          <cell r="CE274">
            <v>0</v>
          </cell>
          <cell r="CF274">
            <v>0</v>
          </cell>
          <cell r="CG274">
            <v>0</v>
          </cell>
          <cell r="CH274">
            <v>0</v>
          </cell>
          <cell r="CI274">
            <v>0</v>
          </cell>
          <cell r="CJ274">
            <v>0</v>
          </cell>
          <cell r="CK274">
            <v>0</v>
          </cell>
          <cell r="CL274">
            <v>0</v>
          </cell>
          <cell r="CM274">
            <v>0</v>
          </cell>
          <cell r="CN274">
            <v>0</v>
          </cell>
          <cell r="CO274">
            <v>0</v>
          </cell>
          <cell r="CP274">
            <v>0</v>
          </cell>
          <cell r="CQ274">
            <v>0</v>
          </cell>
          <cell r="CR274">
            <v>0</v>
          </cell>
          <cell r="CS274">
            <v>0</v>
          </cell>
          <cell r="CT274">
            <v>0</v>
          </cell>
          <cell r="CU274">
            <v>0</v>
          </cell>
          <cell r="CV274">
            <v>0</v>
          </cell>
          <cell r="CW274">
            <v>0</v>
          </cell>
          <cell r="CX274">
            <v>0</v>
          </cell>
          <cell r="CY274">
            <v>0</v>
          </cell>
          <cell r="CZ274">
            <v>0</v>
          </cell>
          <cell r="DA274">
            <v>0</v>
          </cell>
          <cell r="DB274">
            <v>0</v>
          </cell>
          <cell r="DC274">
            <v>0</v>
          </cell>
          <cell r="DD274">
            <v>0</v>
          </cell>
          <cell r="DE274">
            <v>0</v>
          </cell>
          <cell r="DF274">
            <v>0</v>
          </cell>
          <cell r="DG274">
            <v>0</v>
          </cell>
          <cell r="DH274">
            <v>0</v>
          </cell>
          <cell r="DI274">
            <v>0</v>
          </cell>
          <cell r="DJ274">
            <v>0</v>
          </cell>
          <cell r="DK274">
            <v>0</v>
          </cell>
          <cell r="DL274">
            <v>0</v>
          </cell>
          <cell r="DM274">
            <v>0</v>
          </cell>
          <cell r="DN274">
            <v>0</v>
          </cell>
          <cell r="DO274">
            <v>0</v>
          </cell>
          <cell r="DP274">
            <v>0</v>
          </cell>
          <cell r="DQ274">
            <v>0</v>
          </cell>
          <cell r="DR274">
            <v>0</v>
          </cell>
          <cell r="DS274">
            <v>0</v>
          </cell>
          <cell r="DT274">
            <v>0</v>
          </cell>
          <cell r="DU274">
            <v>0</v>
          </cell>
          <cell r="DV274">
            <v>0</v>
          </cell>
          <cell r="DW274">
            <v>0</v>
          </cell>
          <cell r="DX274">
            <v>0</v>
          </cell>
          <cell r="DY274">
            <v>0</v>
          </cell>
          <cell r="EA274">
            <v>0</v>
          </cell>
          <cell r="EB274">
            <v>0</v>
          </cell>
          <cell r="EC274">
            <v>0</v>
          </cell>
          <cell r="ED274">
            <v>0</v>
          </cell>
          <cell r="EE274">
            <v>0</v>
          </cell>
          <cell r="EF274">
            <v>0</v>
          </cell>
          <cell r="EG274">
            <v>0</v>
          </cell>
          <cell r="EH274">
            <v>0</v>
          </cell>
          <cell r="EI274">
            <v>0</v>
          </cell>
          <cell r="EJ274">
            <v>0</v>
          </cell>
          <cell r="EK274">
            <v>0</v>
          </cell>
          <cell r="EL274">
            <v>0</v>
          </cell>
          <cell r="EM274">
            <v>0</v>
          </cell>
          <cell r="EN274">
            <v>0</v>
          </cell>
          <cell r="EO274">
            <v>0</v>
          </cell>
          <cell r="EP274">
            <v>0</v>
          </cell>
          <cell r="EQ274">
            <v>0</v>
          </cell>
          <cell r="ER274">
            <v>0</v>
          </cell>
          <cell r="ES274">
            <v>0</v>
          </cell>
          <cell r="ET274">
            <v>0</v>
          </cell>
          <cell r="EU274">
            <v>0</v>
          </cell>
          <cell r="EV274">
            <v>0</v>
          </cell>
          <cell r="EW274">
            <v>0</v>
          </cell>
          <cell r="EX274">
            <v>0</v>
          </cell>
          <cell r="EY274">
            <v>0</v>
          </cell>
          <cell r="EZ274">
            <v>0</v>
          </cell>
          <cell r="FA274">
            <v>0</v>
          </cell>
          <cell r="FB274">
            <v>0</v>
          </cell>
          <cell r="FC274">
            <v>0</v>
          </cell>
          <cell r="FD274">
            <v>0</v>
          </cell>
          <cell r="FE274">
            <v>0</v>
          </cell>
          <cell r="FF274">
            <v>0</v>
          </cell>
          <cell r="FG274">
            <v>0</v>
          </cell>
          <cell r="FH274">
            <v>0</v>
          </cell>
          <cell r="FI274">
            <v>0</v>
          </cell>
          <cell r="FJ274">
            <v>0</v>
          </cell>
          <cell r="FK274">
            <v>0</v>
          </cell>
          <cell r="FL274">
            <v>0</v>
          </cell>
          <cell r="FM274">
            <v>0</v>
          </cell>
          <cell r="FN274">
            <v>0</v>
          </cell>
          <cell r="FO274">
            <v>0</v>
          </cell>
          <cell r="FP274">
            <v>0</v>
          </cell>
          <cell r="FQ274">
            <v>0</v>
          </cell>
          <cell r="FR274">
            <v>0</v>
          </cell>
          <cell r="FS274">
            <v>0</v>
          </cell>
          <cell r="FT274">
            <v>0</v>
          </cell>
          <cell r="FU274">
            <v>0</v>
          </cell>
          <cell r="FV274">
            <v>0</v>
          </cell>
          <cell r="FW274">
            <v>0</v>
          </cell>
          <cell r="FX274">
            <v>0</v>
          </cell>
          <cell r="FY274">
            <v>0</v>
          </cell>
          <cell r="FZ274">
            <v>0</v>
          </cell>
        </row>
        <row r="275">
          <cell r="A275">
            <v>0</v>
          </cell>
          <cell r="B275">
            <v>0</v>
          </cell>
          <cell r="C275">
            <v>0</v>
          </cell>
          <cell r="D275">
            <v>0</v>
          </cell>
          <cell r="E275">
            <v>0</v>
          </cell>
          <cell r="F275">
            <v>0</v>
          </cell>
          <cell r="G275">
            <v>0</v>
          </cell>
          <cell r="H275">
            <v>0</v>
          </cell>
          <cell r="I275">
            <v>0</v>
          </cell>
          <cell r="J275">
            <v>0</v>
          </cell>
          <cell r="K275">
            <v>0</v>
          </cell>
          <cell r="L275">
            <v>0</v>
          </cell>
          <cell r="M275">
            <v>0</v>
          </cell>
          <cell r="N275">
            <v>0</v>
          </cell>
          <cell r="O275">
            <v>0</v>
          </cell>
          <cell r="P275">
            <v>0</v>
          </cell>
          <cell r="Q275">
            <v>0</v>
          </cell>
          <cell r="R275">
            <v>0</v>
          </cell>
          <cell r="S275">
            <v>0</v>
          </cell>
          <cell r="T275">
            <v>0</v>
          </cell>
          <cell r="U275">
            <v>0</v>
          </cell>
          <cell r="V275">
            <v>0</v>
          </cell>
          <cell r="W275">
            <v>0</v>
          </cell>
          <cell r="X275">
            <v>0</v>
          </cell>
          <cell r="Y275">
            <v>0</v>
          </cell>
          <cell r="Z275">
            <v>0</v>
          </cell>
          <cell r="AA275">
            <v>0</v>
          </cell>
          <cell r="AB275">
            <v>0</v>
          </cell>
          <cell r="AC275">
            <v>0</v>
          </cell>
          <cell r="AD275">
            <v>0</v>
          </cell>
          <cell r="AE275">
            <v>0</v>
          </cell>
          <cell r="AF275">
            <v>0</v>
          </cell>
          <cell r="AG275">
            <v>0</v>
          </cell>
          <cell r="AH275">
            <v>0</v>
          </cell>
          <cell r="AI275">
            <v>0</v>
          </cell>
          <cell r="AJ275">
            <v>0</v>
          </cell>
          <cell r="AK275">
            <v>0</v>
          </cell>
          <cell r="AL275">
            <v>0</v>
          </cell>
          <cell r="AM275">
            <v>0</v>
          </cell>
          <cell r="AN275">
            <v>0</v>
          </cell>
          <cell r="AO275">
            <v>0</v>
          </cell>
          <cell r="AP275">
            <v>0</v>
          </cell>
          <cell r="AQ275">
            <v>0</v>
          </cell>
          <cell r="AR275">
            <v>0</v>
          </cell>
          <cell r="AS275">
            <v>0</v>
          </cell>
          <cell r="AT275">
            <v>0</v>
          </cell>
          <cell r="AU275">
            <v>0</v>
          </cell>
          <cell r="AV275">
            <v>0</v>
          </cell>
          <cell r="AW275">
            <v>0</v>
          </cell>
          <cell r="AX275">
            <v>0</v>
          </cell>
          <cell r="AY275">
            <v>0</v>
          </cell>
          <cell r="AZ275">
            <v>0</v>
          </cell>
          <cell r="BA275">
            <v>0</v>
          </cell>
          <cell r="BB275">
            <v>0</v>
          </cell>
          <cell r="BC275">
            <v>0</v>
          </cell>
          <cell r="BD275">
            <v>0</v>
          </cell>
          <cell r="BE275">
            <v>0</v>
          </cell>
          <cell r="BF275">
            <v>0</v>
          </cell>
          <cell r="BG275">
            <v>0</v>
          </cell>
          <cell r="BH275">
            <v>0</v>
          </cell>
          <cell r="BI275">
            <v>0</v>
          </cell>
          <cell r="BJ275">
            <v>0</v>
          </cell>
          <cell r="BK275">
            <v>0</v>
          </cell>
          <cell r="BL275">
            <v>0</v>
          </cell>
          <cell r="BM275">
            <v>0</v>
          </cell>
          <cell r="BN275">
            <v>0</v>
          </cell>
          <cell r="BO275">
            <v>0</v>
          </cell>
          <cell r="BP275">
            <v>0</v>
          </cell>
          <cell r="BQ275">
            <v>0</v>
          </cell>
          <cell r="BR275">
            <v>0</v>
          </cell>
          <cell r="BS275">
            <v>0</v>
          </cell>
          <cell r="BT275">
            <v>0</v>
          </cell>
          <cell r="BU275">
            <v>0</v>
          </cell>
          <cell r="BV275">
            <v>0</v>
          </cell>
          <cell r="BW275">
            <v>0</v>
          </cell>
          <cell r="BX275">
            <v>0</v>
          </cell>
          <cell r="BY275">
            <v>0</v>
          </cell>
          <cell r="BZ275">
            <v>0</v>
          </cell>
          <cell r="CA275">
            <v>0</v>
          </cell>
          <cell r="CB275">
            <v>0</v>
          </cell>
          <cell r="CC275">
            <v>0</v>
          </cell>
          <cell r="CD275">
            <v>0</v>
          </cell>
          <cell r="CE275">
            <v>0</v>
          </cell>
          <cell r="CF275">
            <v>0</v>
          </cell>
          <cell r="CG275">
            <v>0</v>
          </cell>
          <cell r="CH275">
            <v>0</v>
          </cell>
          <cell r="CI275">
            <v>0</v>
          </cell>
          <cell r="CJ275">
            <v>0</v>
          </cell>
          <cell r="CK275">
            <v>0</v>
          </cell>
          <cell r="CL275">
            <v>0</v>
          </cell>
          <cell r="CM275">
            <v>0</v>
          </cell>
          <cell r="CN275">
            <v>0</v>
          </cell>
          <cell r="CO275">
            <v>0</v>
          </cell>
          <cell r="CP275">
            <v>0</v>
          </cell>
          <cell r="CQ275">
            <v>0</v>
          </cell>
          <cell r="CR275">
            <v>0</v>
          </cell>
          <cell r="CS275">
            <v>0</v>
          </cell>
          <cell r="CT275">
            <v>0</v>
          </cell>
          <cell r="CU275">
            <v>0</v>
          </cell>
          <cell r="CV275">
            <v>0</v>
          </cell>
          <cell r="CW275">
            <v>0</v>
          </cell>
          <cell r="CX275">
            <v>0</v>
          </cell>
          <cell r="CY275">
            <v>0</v>
          </cell>
          <cell r="CZ275">
            <v>0</v>
          </cell>
          <cell r="DA275">
            <v>0</v>
          </cell>
          <cell r="DB275">
            <v>0</v>
          </cell>
          <cell r="DC275">
            <v>0</v>
          </cell>
          <cell r="DD275">
            <v>0</v>
          </cell>
          <cell r="DE275">
            <v>0</v>
          </cell>
          <cell r="DF275">
            <v>0</v>
          </cell>
          <cell r="DG275">
            <v>0</v>
          </cell>
          <cell r="DH275">
            <v>0</v>
          </cell>
          <cell r="DI275">
            <v>0</v>
          </cell>
          <cell r="DJ275">
            <v>0</v>
          </cell>
          <cell r="DK275">
            <v>0</v>
          </cell>
          <cell r="DL275">
            <v>0</v>
          </cell>
          <cell r="DM275">
            <v>0</v>
          </cell>
          <cell r="DN275">
            <v>0</v>
          </cell>
          <cell r="DO275">
            <v>0</v>
          </cell>
          <cell r="DP275">
            <v>0</v>
          </cell>
          <cell r="DQ275">
            <v>0</v>
          </cell>
          <cell r="DR275">
            <v>0</v>
          </cell>
          <cell r="DS275">
            <v>0</v>
          </cell>
          <cell r="DT275">
            <v>0</v>
          </cell>
          <cell r="DU275">
            <v>0</v>
          </cell>
          <cell r="DV275">
            <v>0</v>
          </cell>
          <cell r="DW275">
            <v>0</v>
          </cell>
          <cell r="DX275">
            <v>0</v>
          </cell>
          <cell r="DY275">
            <v>0</v>
          </cell>
          <cell r="EA275">
            <v>0</v>
          </cell>
          <cell r="EB275">
            <v>0</v>
          </cell>
          <cell r="EC275">
            <v>0</v>
          </cell>
          <cell r="ED275">
            <v>0</v>
          </cell>
          <cell r="EE275">
            <v>0</v>
          </cell>
          <cell r="EF275">
            <v>0</v>
          </cell>
          <cell r="EG275">
            <v>0</v>
          </cell>
          <cell r="EH275">
            <v>0</v>
          </cell>
          <cell r="EI275">
            <v>0</v>
          </cell>
          <cell r="EJ275">
            <v>0</v>
          </cell>
          <cell r="EK275">
            <v>0</v>
          </cell>
          <cell r="EL275">
            <v>0</v>
          </cell>
          <cell r="EM275">
            <v>0</v>
          </cell>
          <cell r="EN275">
            <v>0</v>
          </cell>
          <cell r="EO275">
            <v>0</v>
          </cell>
          <cell r="EP275">
            <v>0</v>
          </cell>
          <cell r="EQ275">
            <v>0</v>
          </cell>
          <cell r="ER275">
            <v>0</v>
          </cell>
          <cell r="ES275">
            <v>0</v>
          </cell>
          <cell r="ET275">
            <v>0</v>
          </cell>
          <cell r="EU275">
            <v>0</v>
          </cell>
          <cell r="EV275">
            <v>0</v>
          </cell>
          <cell r="EW275">
            <v>0</v>
          </cell>
          <cell r="EX275">
            <v>0</v>
          </cell>
          <cell r="EY275">
            <v>0</v>
          </cell>
          <cell r="EZ275">
            <v>0</v>
          </cell>
          <cell r="FA275">
            <v>0</v>
          </cell>
          <cell r="FB275">
            <v>0</v>
          </cell>
          <cell r="FC275">
            <v>0</v>
          </cell>
          <cell r="FD275">
            <v>0</v>
          </cell>
          <cell r="FE275">
            <v>0</v>
          </cell>
          <cell r="FF275">
            <v>0</v>
          </cell>
          <cell r="FG275">
            <v>0</v>
          </cell>
          <cell r="FH275">
            <v>0</v>
          </cell>
          <cell r="FI275">
            <v>0</v>
          </cell>
          <cell r="FJ275">
            <v>0</v>
          </cell>
          <cell r="FK275">
            <v>0</v>
          </cell>
          <cell r="FL275">
            <v>0</v>
          </cell>
          <cell r="FM275">
            <v>0</v>
          </cell>
          <cell r="FN275">
            <v>0</v>
          </cell>
          <cell r="FO275">
            <v>0</v>
          </cell>
          <cell r="FP275">
            <v>0</v>
          </cell>
          <cell r="FQ275">
            <v>0</v>
          </cell>
          <cell r="FR275">
            <v>0</v>
          </cell>
          <cell r="FS275">
            <v>0</v>
          </cell>
          <cell r="FT275">
            <v>0</v>
          </cell>
          <cell r="FU275">
            <v>0</v>
          </cell>
          <cell r="FV275">
            <v>0</v>
          </cell>
          <cell r="FW275">
            <v>0</v>
          </cell>
          <cell r="FX275">
            <v>0</v>
          </cell>
          <cell r="FY275">
            <v>0</v>
          </cell>
          <cell r="FZ275">
            <v>0</v>
          </cell>
        </row>
        <row r="276">
          <cell r="A276">
            <v>0</v>
          </cell>
          <cell r="B276">
            <v>0</v>
          </cell>
          <cell r="C276">
            <v>0</v>
          </cell>
          <cell r="D276">
            <v>0</v>
          </cell>
          <cell r="E276">
            <v>0</v>
          </cell>
          <cell r="F276">
            <v>0</v>
          </cell>
          <cell r="G276">
            <v>0</v>
          </cell>
          <cell r="H276">
            <v>0</v>
          </cell>
          <cell r="I276">
            <v>0</v>
          </cell>
          <cell r="J276">
            <v>0</v>
          </cell>
          <cell r="K276">
            <v>0</v>
          </cell>
          <cell r="L276">
            <v>0</v>
          </cell>
          <cell r="M276">
            <v>0</v>
          </cell>
          <cell r="N276">
            <v>0</v>
          </cell>
          <cell r="O276">
            <v>0</v>
          </cell>
          <cell r="P276">
            <v>0</v>
          </cell>
          <cell r="Q276">
            <v>0</v>
          </cell>
          <cell r="R276">
            <v>0</v>
          </cell>
          <cell r="S276">
            <v>0</v>
          </cell>
          <cell r="T276">
            <v>0</v>
          </cell>
          <cell r="U276">
            <v>0</v>
          </cell>
          <cell r="V276">
            <v>0</v>
          </cell>
          <cell r="W276">
            <v>0</v>
          </cell>
          <cell r="X276">
            <v>0</v>
          </cell>
          <cell r="Y276">
            <v>0</v>
          </cell>
          <cell r="Z276">
            <v>0</v>
          </cell>
          <cell r="AA276">
            <v>0</v>
          </cell>
          <cell r="AB276">
            <v>0</v>
          </cell>
          <cell r="AC276">
            <v>0</v>
          </cell>
          <cell r="AD276">
            <v>0</v>
          </cell>
          <cell r="AE276">
            <v>0</v>
          </cell>
          <cell r="AF276">
            <v>0</v>
          </cell>
          <cell r="AG276">
            <v>0</v>
          </cell>
          <cell r="AH276">
            <v>0</v>
          </cell>
          <cell r="AI276">
            <v>0</v>
          </cell>
          <cell r="AJ276">
            <v>0</v>
          </cell>
          <cell r="AK276">
            <v>0</v>
          </cell>
          <cell r="AL276">
            <v>0</v>
          </cell>
          <cell r="AM276">
            <v>0</v>
          </cell>
          <cell r="AN276">
            <v>0</v>
          </cell>
          <cell r="AO276">
            <v>0</v>
          </cell>
          <cell r="AP276">
            <v>0</v>
          </cell>
          <cell r="AQ276">
            <v>0</v>
          </cell>
          <cell r="AR276">
            <v>0</v>
          </cell>
          <cell r="AS276">
            <v>0</v>
          </cell>
          <cell r="AT276">
            <v>0</v>
          </cell>
          <cell r="AU276">
            <v>0</v>
          </cell>
          <cell r="AV276">
            <v>0</v>
          </cell>
          <cell r="AW276">
            <v>0</v>
          </cell>
          <cell r="AX276">
            <v>0</v>
          </cell>
          <cell r="AY276">
            <v>0</v>
          </cell>
          <cell r="AZ276">
            <v>0</v>
          </cell>
          <cell r="BA276">
            <v>0</v>
          </cell>
          <cell r="BB276">
            <v>0</v>
          </cell>
          <cell r="BC276">
            <v>0</v>
          </cell>
          <cell r="BD276">
            <v>0</v>
          </cell>
          <cell r="BE276">
            <v>0</v>
          </cell>
          <cell r="BF276">
            <v>0</v>
          </cell>
          <cell r="BG276">
            <v>0</v>
          </cell>
          <cell r="BH276">
            <v>0</v>
          </cell>
          <cell r="BI276">
            <v>0</v>
          </cell>
          <cell r="BJ276">
            <v>0</v>
          </cell>
          <cell r="BK276">
            <v>0</v>
          </cell>
          <cell r="BL276">
            <v>0</v>
          </cell>
          <cell r="BM276">
            <v>0</v>
          </cell>
          <cell r="BN276">
            <v>0</v>
          </cell>
          <cell r="BO276">
            <v>0</v>
          </cell>
          <cell r="BP276">
            <v>0</v>
          </cell>
          <cell r="BQ276">
            <v>0</v>
          </cell>
          <cell r="BR276">
            <v>0</v>
          </cell>
          <cell r="BS276">
            <v>0</v>
          </cell>
          <cell r="BT276">
            <v>0</v>
          </cell>
          <cell r="BU276">
            <v>0</v>
          </cell>
          <cell r="BV276">
            <v>0</v>
          </cell>
          <cell r="BW276">
            <v>0</v>
          </cell>
          <cell r="BX276">
            <v>0</v>
          </cell>
          <cell r="BY276">
            <v>0</v>
          </cell>
          <cell r="BZ276">
            <v>0</v>
          </cell>
          <cell r="CA276">
            <v>0</v>
          </cell>
          <cell r="CB276">
            <v>0</v>
          </cell>
          <cell r="CC276">
            <v>0</v>
          </cell>
          <cell r="CD276">
            <v>0</v>
          </cell>
          <cell r="CE276">
            <v>0</v>
          </cell>
          <cell r="CF276">
            <v>0</v>
          </cell>
          <cell r="CG276">
            <v>0</v>
          </cell>
          <cell r="CH276">
            <v>0</v>
          </cell>
          <cell r="CI276">
            <v>0</v>
          </cell>
          <cell r="CJ276">
            <v>0</v>
          </cell>
          <cell r="CK276">
            <v>0</v>
          </cell>
          <cell r="CL276">
            <v>0</v>
          </cell>
          <cell r="CM276">
            <v>0</v>
          </cell>
          <cell r="CN276">
            <v>0</v>
          </cell>
          <cell r="CO276">
            <v>0</v>
          </cell>
          <cell r="CP276">
            <v>0</v>
          </cell>
          <cell r="CQ276">
            <v>0</v>
          </cell>
          <cell r="CR276">
            <v>0</v>
          </cell>
          <cell r="CS276">
            <v>0</v>
          </cell>
          <cell r="CT276">
            <v>0</v>
          </cell>
          <cell r="CU276">
            <v>0</v>
          </cell>
          <cell r="CV276">
            <v>0</v>
          </cell>
          <cell r="CW276">
            <v>0</v>
          </cell>
          <cell r="CX276">
            <v>0</v>
          </cell>
          <cell r="CY276">
            <v>0</v>
          </cell>
          <cell r="CZ276">
            <v>0</v>
          </cell>
          <cell r="DA276">
            <v>0</v>
          </cell>
          <cell r="DB276">
            <v>0</v>
          </cell>
          <cell r="DC276">
            <v>0</v>
          </cell>
          <cell r="DD276">
            <v>0</v>
          </cell>
          <cell r="DE276">
            <v>0</v>
          </cell>
          <cell r="DF276">
            <v>0</v>
          </cell>
          <cell r="DG276">
            <v>0</v>
          </cell>
          <cell r="DH276">
            <v>0</v>
          </cell>
          <cell r="DI276">
            <v>0</v>
          </cell>
          <cell r="DJ276">
            <v>0</v>
          </cell>
          <cell r="DK276">
            <v>0</v>
          </cell>
          <cell r="DL276">
            <v>0</v>
          </cell>
          <cell r="DM276">
            <v>0</v>
          </cell>
          <cell r="DN276">
            <v>0</v>
          </cell>
          <cell r="DO276">
            <v>0</v>
          </cell>
          <cell r="DP276">
            <v>0</v>
          </cell>
          <cell r="DQ276">
            <v>0</v>
          </cell>
          <cell r="DR276">
            <v>0</v>
          </cell>
          <cell r="DS276">
            <v>0</v>
          </cell>
          <cell r="DT276">
            <v>0</v>
          </cell>
          <cell r="DU276">
            <v>0</v>
          </cell>
          <cell r="DV276">
            <v>0</v>
          </cell>
          <cell r="DW276">
            <v>0</v>
          </cell>
          <cell r="DX276">
            <v>0</v>
          </cell>
          <cell r="DY276">
            <v>0</v>
          </cell>
          <cell r="EA276">
            <v>0</v>
          </cell>
          <cell r="EB276">
            <v>0</v>
          </cell>
          <cell r="EC276">
            <v>0</v>
          </cell>
          <cell r="ED276">
            <v>0</v>
          </cell>
          <cell r="EE276">
            <v>0</v>
          </cell>
          <cell r="EF276">
            <v>0</v>
          </cell>
          <cell r="EG276">
            <v>0</v>
          </cell>
          <cell r="EH276">
            <v>0</v>
          </cell>
          <cell r="EI276">
            <v>0</v>
          </cell>
          <cell r="EJ276">
            <v>0</v>
          </cell>
          <cell r="EK276">
            <v>0</v>
          </cell>
          <cell r="EL276">
            <v>0</v>
          </cell>
          <cell r="EM276">
            <v>0</v>
          </cell>
          <cell r="EN276">
            <v>0</v>
          </cell>
          <cell r="EO276">
            <v>0</v>
          </cell>
          <cell r="EP276">
            <v>0</v>
          </cell>
          <cell r="EQ276">
            <v>0</v>
          </cell>
          <cell r="ER276">
            <v>0</v>
          </cell>
          <cell r="ES276">
            <v>0</v>
          </cell>
          <cell r="ET276">
            <v>0</v>
          </cell>
          <cell r="EU276">
            <v>0</v>
          </cell>
          <cell r="EV276">
            <v>0</v>
          </cell>
          <cell r="EW276">
            <v>0</v>
          </cell>
          <cell r="EX276">
            <v>0</v>
          </cell>
          <cell r="EY276">
            <v>0</v>
          </cell>
          <cell r="EZ276">
            <v>0</v>
          </cell>
          <cell r="FA276">
            <v>0</v>
          </cell>
          <cell r="FB276">
            <v>0</v>
          </cell>
          <cell r="FC276">
            <v>0</v>
          </cell>
          <cell r="FD276">
            <v>0</v>
          </cell>
          <cell r="FE276">
            <v>0</v>
          </cell>
          <cell r="FF276">
            <v>0</v>
          </cell>
          <cell r="FG276">
            <v>0</v>
          </cell>
          <cell r="FH276">
            <v>0</v>
          </cell>
          <cell r="FI276">
            <v>0</v>
          </cell>
          <cell r="FJ276">
            <v>0</v>
          </cell>
          <cell r="FK276">
            <v>0</v>
          </cell>
          <cell r="FL276">
            <v>0</v>
          </cell>
          <cell r="FM276">
            <v>0</v>
          </cell>
          <cell r="FN276">
            <v>0</v>
          </cell>
          <cell r="FO276">
            <v>0</v>
          </cell>
          <cell r="FP276">
            <v>0</v>
          </cell>
          <cell r="FQ276">
            <v>0</v>
          </cell>
          <cell r="FR276">
            <v>0</v>
          </cell>
          <cell r="FS276">
            <v>0</v>
          </cell>
          <cell r="FT276">
            <v>0</v>
          </cell>
          <cell r="FU276">
            <v>0</v>
          </cell>
          <cell r="FV276">
            <v>0</v>
          </cell>
          <cell r="FW276">
            <v>0</v>
          </cell>
          <cell r="FX276">
            <v>0</v>
          </cell>
          <cell r="FY276">
            <v>0</v>
          </cell>
          <cell r="FZ276">
            <v>0</v>
          </cell>
        </row>
        <row r="277">
          <cell r="A277">
            <v>0</v>
          </cell>
          <cell r="B277">
            <v>0</v>
          </cell>
          <cell r="C277">
            <v>0</v>
          </cell>
          <cell r="D277">
            <v>0</v>
          </cell>
          <cell r="E277">
            <v>0</v>
          </cell>
          <cell r="F277">
            <v>0</v>
          </cell>
          <cell r="G277">
            <v>0</v>
          </cell>
          <cell r="H277">
            <v>0</v>
          </cell>
          <cell r="I277">
            <v>0</v>
          </cell>
          <cell r="J277">
            <v>0</v>
          </cell>
          <cell r="K277">
            <v>0</v>
          </cell>
          <cell r="L277">
            <v>0</v>
          </cell>
          <cell r="M277">
            <v>0</v>
          </cell>
          <cell r="N277">
            <v>0</v>
          </cell>
          <cell r="O277">
            <v>0</v>
          </cell>
          <cell r="P277">
            <v>0</v>
          </cell>
          <cell r="Q277">
            <v>0</v>
          </cell>
          <cell r="R277">
            <v>0</v>
          </cell>
          <cell r="S277">
            <v>0</v>
          </cell>
          <cell r="T277">
            <v>0</v>
          </cell>
          <cell r="U277">
            <v>0</v>
          </cell>
          <cell r="V277">
            <v>0</v>
          </cell>
          <cell r="W277">
            <v>0</v>
          </cell>
          <cell r="X277">
            <v>0</v>
          </cell>
          <cell r="Y277">
            <v>0</v>
          </cell>
          <cell r="Z277">
            <v>0</v>
          </cell>
          <cell r="AA277">
            <v>0</v>
          </cell>
          <cell r="AB277">
            <v>0</v>
          </cell>
          <cell r="AC277">
            <v>0</v>
          </cell>
          <cell r="AD277">
            <v>0</v>
          </cell>
          <cell r="AE277">
            <v>0</v>
          </cell>
          <cell r="AF277">
            <v>0</v>
          </cell>
          <cell r="AG277">
            <v>0</v>
          </cell>
          <cell r="AH277">
            <v>0</v>
          </cell>
          <cell r="AI277">
            <v>0</v>
          </cell>
          <cell r="AJ277">
            <v>0</v>
          </cell>
          <cell r="AK277">
            <v>0</v>
          </cell>
          <cell r="AL277">
            <v>0</v>
          </cell>
          <cell r="AM277">
            <v>0</v>
          </cell>
          <cell r="AN277">
            <v>0</v>
          </cell>
          <cell r="AO277">
            <v>0</v>
          </cell>
          <cell r="AP277">
            <v>0</v>
          </cell>
          <cell r="AQ277">
            <v>0</v>
          </cell>
          <cell r="AR277">
            <v>0</v>
          </cell>
          <cell r="AS277">
            <v>0</v>
          </cell>
          <cell r="AT277">
            <v>0</v>
          </cell>
          <cell r="AU277">
            <v>0</v>
          </cell>
          <cell r="AV277">
            <v>0</v>
          </cell>
          <cell r="AW277">
            <v>0</v>
          </cell>
          <cell r="AX277">
            <v>0</v>
          </cell>
          <cell r="AY277">
            <v>0</v>
          </cell>
          <cell r="AZ277">
            <v>0</v>
          </cell>
          <cell r="BA277">
            <v>0</v>
          </cell>
          <cell r="BB277">
            <v>0</v>
          </cell>
          <cell r="BC277">
            <v>0</v>
          </cell>
          <cell r="BD277">
            <v>0</v>
          </cell>
          <cell r="BE277">
            <v>0</v>
          </cell>
          <cell r="BF277">
            <v>0</v>
          </cell>
          <cell r="BG277">
            <v>0</v>
          </cell>
          <cell r="BH277">
            <v>0</v>
          </cell>
          <cell r="BI277">
            <v>0</v>
          </cell>
          <cell r="BJ277">
            <v>0</v>
          </cell>
          <cell r="BK277">
            <v>0</v>
          </cell>
          <cell r="BL277">
            <v>0</v>
          </cell>
          <cell r="BM277">
            <v>0</v>
          </cell>
          <cell r="BN277">
            <v>0</v>
          </cell>
          <cell r="BO277">
            <v>0</v>
          </cell>
          <cell r="BP277">
            <v>0</v>
          </cell>
          <cell r="BQ277">
            <v>0</v>
          </cell>
          <cell r="BR277">
            <v>0</v>
          </cell>
          <cell r="BS277">
            <v>0</v>
          </cell>
          <cell r="BT277">
            <v>0</v>
          </cell>
          <cell r="BU277">
            <v>0</v>
          </cell>
          <cell r="BV277">
            <v>0</v>
          </cell>
          <cell r="BW277">
            <v>0</v>
          </cell>
          <cell r="BX277">
            <v>0</v>
          </cell>
          <cell r="BY277">
            <v>0</v>
          </cell>
          <cell r="BZ277">
            <v>0</v>
          </cell>
          <cell r="CA277">
            <v>0</v>
          </cell>
          <cell r="CB277">
            <v>0</v>
          </cell>
          <cell r="CC277">
            <v>0</v>
          </cell>
          <cell r="CD277">
            <v>0</v>
          </cell>
          <cell r="CE277">
            <v>0</v>
          </cell>
          <cell r="CF277">
            <v>0</v>
          </cell>
          <cell r="CG277">
            <v>0</v>
          </cell>
          <cell r="CH277">
            <v>0</v>
          </cell>
          <cell r="CI277">
            <v>0</v>
          </cell>
          <cell r="CJ277">
            <v>0</v>
          </cell>
          <cell r="CK277">
            <v>0</v>
          </cell>
          <cell r="CL277">
            <v>0</v>
          </cell>
          <cell r="CM277">
            <v>0</v>
          </cell>
          <cell r="CN277">
            <v>0</v>
          </cell>
          <cell r="CO277">
            <v>0</v>
          </cell>
          <cell r="CP277">
            <v>0</v>
          </cell>
          <cell r="CQ277">
            <v>0</v>
          </cell>
          <cell r="CR277">
            <v>0</v>
          </cell>
          <cell r="CS277">
            <v>0</v>
          </cell>
          <cell r="CT277">
            <v>0</v>
          </cell>
          <cell r="CU277">
            <v>0</v>
          </cell>
          <cell r="CV277">
            <v>0</v>
          </cell>
          <cell r="CW277">
            <v>0</v>
          </cell>
          <cell r="CX277">
            <v>0</v>
          </cell>
          <cell r="CY277">
            <v>0</v>
          </cell>
          <cell r="CZ277">
            <v>0</v>
          </cell>
          <cell r="DA277">
            <v>0</v>
          </cell>
          <cell r="DB277">
            <v>0</v>
          </cell>
          <cell r="DC277">
            <v>0</v>
          </cell>
          <cell r="DD277">
            <v>0</v>
          </cell>
          <cell r="DE277">
            <v>0</v>
          </cell>
          <cell r="DF277">
            <v>0</v>
          </cell>
          <cell r="DG277">
            <v>0</v>
          </cell>
          <cell r="DH277">
            <v>0</v>
          </cell>
          <cell r="DI277">
            <v>0</v>
          </cell>
          <cell r="DJ277">
            <v>0</v>
          </cell>
          <cell r="DK277">
            <v>0</v>
          </cell>
          <cell r="DL277">
            <v>0</v>
          </cell>
          <cell r="DM277">
            <v>0</v>
          </cell>
          <cell r="DN277">
            <v>0</v>
          </cell>
          <cell r="DO277">
            <v>0</v>
          </cell>
          <cell r="DP277">
            <v>0</v>
          </cell>
          <cell r="DQ277">
            <v>0</v>
          </cell>
          <cell r="DR277">
            <v>0</v>
          </cell>
          <cell r="DS277">
            <v>0</v>
          </cell>
          <cell r="DT277">
            <v>0</v>
          </cell>
          <cell r="DU277">
            <v>0</v>
          </cell>
          <cell r="DV277">
            <v>0</v>
          </cell>
          <cell r="DW277">
            <v>0</v>
          </cell>
          <cell r="DX277">
            <v>0</v>
          </cell>
          <cell r="DY277">
            <v>0</v>
          </cell>
          <cell r="EA277">
            <v>0</v>
          </cell>
          <cell r="EB277">
            <v>0</v>
          </cell>
          <cell r="EC277">
            <v>0</v>
          </cell>
          <cell r="ED277">
            <v>0</v>
          </cell>
          <cell r="EE277">
            <v>0</v>
          </cell>
          <cell r="EF277">
            <v>0</v>
          </cell>
          <cell r="EG277">
            <v>0</v>
          </cell>
          <cell r="EH277">
            <v>0</v>
          </cell>
          <cell r="EI277">
            <v>0</v>
          </cell>
          <cell r="EJ277">
            <v>0</v>
          </cell>
          <cell r="EK277">
            <v>0</v>
          </cell>
          <cell r="EL277">
            <v>0</v>
          </cell>
          <cell r="EM277">
            <v>0</v>
          </cell>
          <cell r="EN277">
            <v>0</v>
          </cell>
          <cell r="EO277">
            <v>0</v>
          </cell>
          <cell r="EP277">
            <v>0</v>
          </cell>
          <cell r="EQ277">
            <v>0</v>
          </cell>
          <cell r="ER277">
            <v>0</v>
          </cell>
          <cell r="ES277">
            <v>0</v>
          </cell>
          <cell r="ET277">
            <v>0</v>
          </cell>
          <cell r="EU277">
            <v>0</v>
          </cell>
          <cell r="EV277">
            <v>0</v>
          </cell>
          <cell r="EW277">
            <v>0</v>
          </cell>
          <cell r="EX277">
            <v>0</v>
          </cell>
          <cell r="EY277">
            <v>0</v>
          </cell>
          <cell r="EZ277">
            <v>0</v>
          </cell>
          <cell r="FA277">
            <v>0</v>
          </cell>
          <cell r="FB277">
            <v>0</v>
          </cell>
          <cell r="FC277">
            <v>0</v>
          </cell>
          <cell r="FD277">
            <v>0</v>
          </cell>
          <cell r="FE277">
            <v>0</v>
          </cell>
          <cell r="FF277">
            <v>0</v>
          </cell>
          <cell r="FG277">
            <v>0</v>
          </cell>
          <cell r="FH277">
            <v>0</v>
          </cell>
          <cell r="FI277">
            <v>0</v>
          </cell>
          <cell r="FJ277">
            <v>0</v>
          </cell>
          <cell r="FK277">
            <v>0</v>
          </cell>
          <cell r="FL277">
            <v>0</v>
          </cell>
          <cell r="FM277">
            <v>0</v>
          </cell>
          <cell r="FN277">
            <v>0</v>
          </cell>
          <cell r="FO277">
            <v>0</v>
          </cell>
          <cell r="FP277">
            <v>0</v>
          </cell>
          <cell r="FQ277">
            <v>0</v>
          </cell>
          <cell r="FR277">
            <v>0</v>
          </cell>
          <cell r="FS277">
            <v>0</v>
          </cell>
          <cell r="FT277">
            <v>0</v>
          </cell>
          <cell r="FU277">
            <v>0</v>
          </cell>
          <cell r="FV277">
            <v>0</v>
          </cell>
          <cell r="FW277">
            <v>0</v>
          </cell>
          <cell r="FX277">
            <v>0</v>
          </cell>
          <cell r="FY277">
            <v>0</v>
          </cell>
          <cell r="FZ277">
            <v>0</v>
          </cell>
        </row>
        <row r="278">
          <cell r="A278">
            <v>0</v>
          </cell>
          <cell r="B278">
            <v>0</v>
          </cell>
          <cell r="C278">
            <v>0</v>
          </cell>
          <cell r="D278">
            <v>0</v>
          </cell>
          <cell r="E278">
            <v>0</v>
          </cell>
          <cell r="F278">
            <v>0</v>
          </cell>
          <cell r="G278">
            <v>0</v>
          </cell>
          <cell r="H278">
            <v>0</v>
          </cell>
          <cell r="I278">
            <v>0</v>
          </cell>
          <cell r="J278">
            <v>0</v>
          </cell>
          <cell r="K278">
            <v>0</v>
          </cell>
          <cell r="L278">
            <v>0</v>
          </cell>
          <cell r="M278">
            <v>0</v>
          </cell>
          <cell r="N278">
            <v>0</v>
          </cell>
          <cell r="O278">
            <v>0</v>
          </cell>
          <cell r="P278">
            <v>0</v>
          </cell>
          <cell r="Q278">
            <v>0</v>
          </cell>
          <cell r="R278">
            <v>0</v>
          </cell>
          <cell r="S278">
            <v>0</v>
          </cell>
          <cell r="T278">
            <v>0</v>
          </cell>
          <cell r="U278">
            <v>0</v>
          </cell>
          <cell r="V278">
            <v>0</v>
          </cell>
          <cell r="W278">
            <v>0</v>
          </cell>
          <cell r="X278">
            <v>0</v>
          </cell>
          <cell r="Y278">
            <v>0</v>
          </cell>
          <cell r="Z278">
            <v>0</v>
          </cell>
          <cell r="AA278">
            <v>0</v>
          </cell>
          <cell r="AB278">
            <v>0</v>
          </cell>
          <cell r="AC278">
            <v>0</v>
          </cell>
          <cell r="AD278">
            <v>0</v>
          </cell>
          <cell r="AE278">
            <v>0</v>
          </cell>
          <cell r="AF278">
            <v>0</v>
          </cell>
          <cell r="AG278">
            <v>0</v>
          </cell>
          <cell r="AH278">
            <v>0</v>
          </cell>
          <cell r="AI278">
            <v>0</v>
          </cell>
          <cell r="AJ278">
            <v>0</v>
          </cell>
          <cell r="AK278">
            <v>0</v>
          </cell>
          <cell r="AL278">
            <v>0</v>
          </cell>
          <cell r="AM278">
            <v>0</v>
          </cell>
          <cell r="AN278">
            <v>0</v>
          </cell>
          <cell r="AO278">
            <v>0</v>
          </cell>
          <cell r="AP278">
            <v>0</v>
          </cell>
          <cell r="AQ278">
            <v>0</v>
          </cell>
          <cell r="AR278">
            <v>0</v>
          </cell>
          <cell r="AS278">
            <v>0</v>
          </cell>
          <cell r="AT278">
            <v>0</v>
          </cell>
          <cell r="AU278">
            <v>0</v>
          </cell>
          <cell r="AV278">
            <v>0</v>
          </cell>
          <cell r="AW278">
            <v>0</v>
          </cell>
          <cell r="AX278">
            <v>0</v>
          </cell>
          <cell r="AY278">
            <v>0</v>
          </cell>
          <cell r="AZ278">
            <v>0</v>
          </cell>
          <cell r="BA278">
            <v>0</v>
          </cell>
          <cell r="BB278">
            <v>0</v>
          </cell>
          <cell r="BC278">
            <v>0</v>
          </cell>
          <cell r="BD278">
            <v>0</v>
          </cell>
          <cell r="BE278">
            <v>0</v>
          </cell>
          <cell r="BF278">
            <v>0</v>
          </cell>
          <cell r="BG278">
            <v>0</v>
          </cell>
          <cell r="BH278">
            <v>0</v>
          </cell>
          <cell r="BI278">
            <v>0</v>
          </cell>
          <cell r="BJ278">
            <v>0</v>
          </cell>
          <cell r="BK278">
            <v>0</v>
          </cell>
          <cell r="BL278">
            <v>0</v>
          </cell>
          <cell r="BM278">
            <v>0</v>
          </cell>
          <cell r="BN278">
            <v>0</v>
          </cell>
          <cell r="BO278">
            <v>0</v>
          </cell>
          <cell r="BP278">
            <v>0</v>
          </cell>
          <cell r="BQ278">
            <v>0</v>
          </cell>
          <cell r="BR278">
            <v>0</v>
          </cell>
          <cell r="BS278">
            <v>0</v>
          </cell>
          <cell r="BT278">
            <v>0</v>
          </cell>
          <cell r="BU278">
            <v>0</v>
          </cell>
          <cell r="BV278">
            <v>0</v>
          </cell>
          <cell r="BW278">
            <v>0</v>
          </cell>
          <cell r="BX278">
            <v>0</v>
          </cell>
          <cell r="BY278">
            <v>0</v>
          </cell>
          <cell r="BZ278">
            <v>0</v>
          </cell>
          <cell r="CA278">
            <v>0</v>
          </cell>
          <cell r="CB278">
            <v>0</v>
          </cell>
          <cell r="CC278">
            <v>0</v>
          </cell>
          <cell r="CD278">
            <v>0</v>
          </cell>
          <cell r="CE278">
            <v>0</v>
          </cell>
          <cell r="CF278">
            <v>0</v>
          </cell>
          <cell r="CG278">
            <v>0</v>
          </cell>
          <cell r="CH278">
            <v>0</v>
          </cell>
          <cell r="CI278">
            <v>0</v>
          </cell>
          <cell r="CJ278">
            <v>0</v>
          </cell>
          <cell r="CK278">
            <v>0</v>
          </cell>
          <cell r="CL278">
            <v>0</v>
          </cell>
          <cell r="CM278">
            <v>0</v>
          </cell>
          <cell r="CN278">
            <v>0</v>
          </cell>
          <cell r="CO278">
            <v>0</v>
          </cell>
          <cell r="CP278">
            <v>0</v>
          </cell>
          <cell r="CQ278">
            <v>0</v>
          </cell>
          <cell r="CR278">
            <v>0</v>
          </cell>
          <cell r="CS278">
            <v>0</v>
          </cell>
          <cell r="CT278">
            <v>0</v>
          </cell>
          <cell r="CU278">
            <v>0</v>
          </cell>
          <cell r="CV278">
            <v>0</v>
          </cell>
          <cell r="CW278">
            <v>0</v>
          </cell>
          <cell r="CX278">
            <v>0</v>
          </cell>
          <cell r="CY278">
            <v>0</v>
          </cell>
          <cell r="CZ278">
            <v>0</v>
          </cell>
          <cell r="DA278">
            <v>0</v>
          </cell>
          <cell r="DB278">
            <v>0</v>
          </cell>
          <cell r="DC278">
            <v>0</v>
          </cell>
          <cell r="DD278">
            <v>0</v>
          </cell>
          <cell r="DE278">
            <v>0</v>
          </cell>
          <cell r="DF278">
            <v>0</v>
          </cell>
          <cell r="DG278">
            <v>0</v>
          </cell>
          <cell r="DH278">
            <v>0</v>
          </cell>
          <cell r="DI278">
            <v>0</v>
          </cell>
          <cell r="DJ278">
            <v>0</v>
          </cell>
          <cell r="DK278">
            <v>0</v>
          </cell>
          <cell r="DL278">
            <v>0</v>
          </cell>
          <cell r="DM278">
            <v>0</v>
          </cell>
          <cell r="DN278">
            <v>0</v>
          </cell>
          <cell r="DO278">
            <v>0</v>
          </cell>
          <cell r="DP278">
            <v>0</v>
          </cell>
          <cell r="DQ278">
            <v>0</v>
          </cell>
          <cell r="DR278">
            <v>0</v>
          </cell>
          <cell r="DS278">
            <v>0</v>
          </cell>
          <cell r="DT278">
            <v>0</v>
          </cell>
          <cell r="DU278">
            <v>0</v>
          </cell>
          <cell r="DV278">
            <v>0</v>
          </cell>
          <cell r="DW278">
            <v>0</v>
          </cell>
          <cell r="DX278">
            <v>0</v>
          </cell>
          <cell r="DY278">
            <v>0</v>
          </cell>
          <cell r="EA278">
            <v>0</v>
          </cell>
          <cell r="EB278">
            <v>0</v>
          </cell>
          <cell r="EC278">
            <v>0</v>
          </cell>
          <cell r="ED278">
            <v>0</v>
          </cell>
          <cell r="EE278">
            <v>0</v>
          </cell>
          <cell r="EF278">
            <v>0</v>
          </cell>
          <cell r="EG278">
            <v>0</v>
          </cell>
          <cell r="EH278">
            <v>0</v>
          </cell>
          <cell r="EI278">
            <v>0</v>
          </cell>
          <cell r="EJ278">
            <v>0</v>
          </cell>
          <cell r="EK278">
            <v>0</v>
          </cell>
          <cell r="EL278">
            <v>0</v>
          </cell>
          <cell r="EM278">
            <v>0</v>
          </cell>
          <cell r="EN278">
            <v>0</v>
          </cell>
          <cell r="EO278">
            <v>0</v>
          </cell>
          <cell r="EP278">
            <v>0</v>
          </cell>
          <cell r="EQ278">
            <v>0</v>
          </cell>
          <cell r="ER278">
            <v>0</v>
          </cell>
          <cell r="ES278">
            <v>0</v>
          </cell>
          <cell r="ET278">
            <v>0</v>
          </cell>
          <cell r="EU278">
            <v>0</v>
          </cell>
          <cell r="EV278">
            <v>0</v>
          </cell>
          <cell r="EW278">
            <v>0</v>
          </cell>
          <cell r="EX278">
            <v>0</v>
          </cell>
          <cell r="EY278">
            <v>0</v>
          </cell>
          <cell r="EZ278">
            <v>0</v>
          </cell>
          <cell r="FA278">
            <v>0</v>
          </cell>
          <cell r="FB278">
            <v>0</v>
          </cell>
          <cell r="FC278">
            <v>0</v>
          </cell>
          <cell r="FD278">
            <v>0</v>
          </cell>
          <cell r="FE278">
            <v>0</v>
          </cell>
          <cell r="FF278">
            <v>0</v>
          </cell>
          <cell r="FG278">
            <v>0</v>
          </cell>
          <cell r="FH278">
            <v>0</v>
          </cell>
          <cell r="FI278">
            <v>0</v>
          </cell>
          <cell r="FJ278">
            <v>0</v>
          </cell>
          <cell r="FK278">
            <v>0</v>
          </cell>
          <cell r="FL278">
            <v>0</v>
          </cell>
          <cell r="FM278">
            <v>0</v>
          </cell>
          <cell r="FN278">
            <v>0</v>
          </cell>
          <cell r="FO278">
            <v>0</v>
          </cell>
          <cell r="FP278">
            <v>0</v>
          </cell>
          <cell r="FQ278">
            <v>0</v>
          </cell>
          <cell r="FR278">
            <v>0</v>
          </cell>
          <cell r="FS278">
            <v>0</v>
          </cell>
          <cell r="FT278">
            <v>0</v>
          </cell>
          <cell r="FU278">
            <v>0</v>
          </cell>
          <cell r="FV278">
            <v>0</v>
          </cell>
          <cell r="FW278">
            <v>0</v>
          </cell>
          <cell r="FX278">
            <v>0</v>
          </cell>
          <cell r="FY278">
            <v>0</v>
          </cell>
          <cell r="FZ278">
            <v>0</v>
          </cell>
        </row>
        <row r="279">
          <cell r="A279">
            <v>0</v>
          </cell>
          <cell r="B279">
            <v>0</v>
          </cell>
          <cell r="C279">
            <v>0</v>
          </cell>
          <cell r="D279">
            <v>0</v>
          </cell>
          <cell r="E279">
            <v>0</v>
          </cell>
          <cell r="F279">
            <v>0</v>
          </cell>
          <cell r="G279">
            <v>0</v>
          </cell>
          <cell r="H279">
            <v>0</v>
          </cell>
          <cell r="I279">
            <v>0</v>
          </cell>
          <cell r="J279">
            <v>0</v>
          </cell>
          <cell r="K279">
            <v>0</v>
          </cell>
          <cell r="L279">
            <v>0</v>
          </cell>
          <cell r="M279">
            <v>0</v>
          </cell>
          <cell r="N279">
            <v>0</v>
          </cell>
          <cell r="O279">
            <v>0</v>
          </cell>
          <cell r="P279">
            <v>0</v>
          </cell>
          <cell r="Q279">
            <v>0</v>
          </cell>
          <cell r="R279">
            <v>0</v>
          </cell>
          <cell r="S279">
            <v>0</v>
          </cell>
          <cell r="T279">
            <v>0</v>
          </cell>
          <cell r="U279">
            <v>0</v>
          </cell>
          <cell r="V279">
            <v>0</v>
          </cell>
          <cell r="W279">
            <v>0</v>
          </cell>
          <cell r="X279">
            <v>0</v>
          </cell>
          <cell r="Y279">
            <v>0</v>
          </cell>
          <cell r="Z279">
            <v>0</v>
          </cell>
          <cell r="AA279">
            <v>0</v>
          </cell>
          <cell r="AB279">
            <v>0</v>
          </cell>
          <cell r="AC279">
            <v>0</v>
          </cell>
          <cell r="AD279">
            <v>0</v>
          </cell>
          <cell r="AE279">
            <v>0</v>
          </cell>
          <cell r="AF279">
            <v>0</v>
          </cell>
          <cell r="AG279">
            <v>0</v>
          </cell>
          <cell r="AH279">
            <v>0</v>
          </cell>
          <cell r="AI279">
            <v>0</v>
          </cell>
          <cell r="AJ279">
            <v>0</v>
          </cell>
          <cell r="AK279">
            <v>0</v>
          </cell>
          <cell r="AL279">
            <v>0</v>
          </cell>
          <cell r="AM279">
            <v>0</v>
          </cell>
          <cell r="AN279">
            <v>0</v>
          </cell>
          <cell r="AO279">
            <v>0</v>
          </cell>
          <cell r="AP279">
            <v>0</v>
          </cell>
          <cell r="AQ279">
            <v>0</v>
          </cell>
          <cell r="AR279">
            <v>0</v>
          </cell>
          <cell r="AS279">
            <v>0</v>
          </cell>
          <cell r="AT279">
            <v>0</v>
          </cell>
          <cell r="AU279">
            <v>0</v>
          </cell>
          <cell r="AV279">
            <v>0</v>
          </cell>
          <cell r="AW279">
            <v>0</v>
          </cell>
          <cell r="AX279">
            <v>0</v>
          </cell>
          <cell r="AY279">
            <v>0</v>
          </cell>
          <cell r="AZ279">
            <v>0</v>
          </cell>
          <cell r="BA279">
            <v>0</v>
          </cell>
          <cell r="BB279">
            <v>0</v>
          </cell>
          <cell r="BC279">
            <v>0</v>
          </cell>
          <cell r="BD279">
            <v>0</v>
          </cell>
          <cell r="BE279">
            <v>0</v>
          </cell>
          <cell r="BF279">
            <v>0</v>
          </cell>
          <cell r="BG279">
            <v>0</v>
          </cell>
          <cell r="BH279">
            <v>0</v>
          </cell>
          <cell r="BI279">
            <v>0</v>
          </cell>
          <cell r="BJ279">
            <v>0</v>
          </cell>
          <cell r="BK279">
            <v>0</v>
          </cell>
          <cell r="BL279">
            <v>0</v>
          </cell>
          <cell r="BM279">
            <v>0</v>
          </cell>
          <cell r="BN279">
            <v>0</v>
          </cell>
          <cell r="BO279">
            <v>0</v>
          </cell>
          <cell r="BP279">
            <v>0</v>
          </cell>
          <cell r="BQ279">
            <v>0</v>
          </cell>
          <cell r="BR279">
            <v>0</v>
          </cell>
          <cell r="BS279">
            <v>0</v>
          </cell>
          <cell r="BT279">
            <v>0</v>
          </cell>
          <cell r="BU279">
            <v>0</v>
          </cell>
          <cell r="BV279">
            <v>0</v>
          </cell>
          <cell r="BW279">
            <v>0</v>
          </cell>
          <cell r="BX279">
            <v>0</v>
          </cell>
          <cell r="BY279">
            <v>0</v>
          </cell>
          <cell r="BZ279">
            <v>0</v>
          </cell>
          <cell r="CA279">
            <v>0</v>
          </cell>
          <cell r="CB279">
            <v>0</v>
          </cell>
          <cell r="CC279">
            <v>0</v>
          </cell>
          <cell r="CD279">
            <v>0</v>
          </cell>
          <cell r="CE279">
            <v>0</v>
          </cell>
          <cell r="CF279">
            <v>0</v>
          </cell>
          <cell r="CG279">
            <v>0</v>
          </cell>
          <cell r="CH279">
            <v>0</v>
          </cell>
          <cell r="CI279">
            <v>0</v>
          </cell>
          <cell r="CJ279">
            <v>0</v>
          </cell>
          <cell r="CK279">
            <v>0</v>
          </cell>
          <cell r="CL279">
            <v>0</v>
          </cell>
          <cell r="CM279">
            <v>0</v>
          </cell>
          <cell r="CN279">
            <v>0</v>
          </cell>
          <cell r="CO279">
            <v>0</v>
          </cell>
          <cell r="CP279">
            <v>0</v>
          </cell>
          <cell r="CQ279">
            <v>0</v>
          </cell>
          <cell r="CR279">
            <v>0</v>
          </cell>
          <cell r="CS279">
            <v>0</v>
          </cell>
          <cell r="CT279">
            <v>0</v>
          </cell>
          <cell r="CU279">
            <v>0</v>
          </cell>
          <cell r="CV279">
            <v>0</v>
          </cell>
          <cell r="CW279">
            <v>0</v>
          </cell>
          <cell r="CX279">
            <v>0</v>
          </cell>
          <cell r="CY279">
            <v>0</v>
          </cell>
          <cell r="CZ279">
            <v>0</v>
          </cell>
          <cell r="DA279">
            <v>0</v>
          </cell>
          <cell r="DB279">
            <v>0</v>
          </cell>
          <cell r="DC279">
            <v>0</v>
          </cell>
          <cell r="DD279">
            <v>0</v>
          </cell>
          <cell r="DE279">
            <v>0</v>
          </cell>
          <cell r="DF279">
            <v>0</v>
          </cell>
          <cell r="DG279">
            <v>0</v>
          </cell>
          <cell r="DH279">
            <v>0</v>
          </cell>
          <cell r="DI279">
            <v>0</v>
          </cell>
          <cell r="DJ279">
            <v>0</v>
          </cell>
          <cell r="DK279">
            <v>0</v>
          </cell>
          <cell r="DL279">
            <v>0</v>
          </cell>
          <cell r="DM279">
            <v>0</v>
          </cell>
          <cell r="DN279">
            <v>0</v>
          </cell>
          <cell r="DO279">
            <v>0</v>
          </cell>
          <cell r="DP279">
            <v>0</v>
          </cell>
          <cell r="DQ279">
            <v>0</v>
          </cell>
          <cell r="DR279">
            <v>0</v>
          </cell>
          <cell r="DS279">
            <v>0</v>
          </cell>
          <cell r="DT279">
            <v>0</v>
          </cell>
          <cell r="DU279">
            <v>0</v>
          </cell>
          <cell r="DV279">
            <v>0</v>
          </cell>
          <cell r="DW279">
            <v>0</v>
          </cell>
          <cell r="DX279">
            <v>0</v>
          </cell>
          <cell r="DY279">
            <v>0</v>
          </cell>
          <cell r="EA279">
            <v>0</v>
          </cell>
          <cell r="EB279">
            <v>0</v>
          </cell>
          <cell r="EC279">
            <v>0</v>
          </cell>
          <cell r="ED279">
            <v>0</v>
          </cell>
          <cell r="EE279">
            <v>0</v>
          </cell>
          <cell r="EF279">
            <v>0</v>
          </cell>
          <cell r="EG279">
            <v>0</v>
          </cell>
          <cell r="EH279">
            <v>0</v>
          </cell>
          <cell r="EI279">
            <v>0</v>
          </cell>
          <cell r="EJ279">
            <v>0</v>
          </cell>
          <cell r="EK279">
            <v>0</v>
          </cell>
          <cell r="EL279">
            <v>0</v>
          </cell>
          <cell r="EM279">
            <v>0</v>
          </cell>
          <cell r="EN279">
            <v>0</v>
          </cell>
          <cell r="EO279">
            <v>0</v>
          </cell>
          <cell r="EP279">
            <v>0</v>
          </cell>
          <cell r="EQ279">
            <v>0</v>
          </cell>
          <cell r="ER279">
            <v>0</v>
          </cell>
          <cell r="ES279">
            <v>0</v>
          </cell>
          <cell r="ET279">
            <v>0</v>
          </cell>
          <cell r="EU279">
            <v>0</v>
          </cell>
          <cell r="EV279">
            <v>0</v>
          </cell>
          <cell r="EW279">
            <v>0</v>
          </cell>
          <cell r="EX279">
            <v>0</v>
          </cell>
          <cell r="EY279">
            <v>0</v>
          </cell>
          <cell r="EZ279">
            <v>0</v>
          </cell>
          <cell r="FA279">
            <v>0</v>
          </cell>
          <cell r="FB279">
            <v>0</v>
          </cell>
          <cell r="FC279">
            <v>0</v>
          </cell>
          <cell r="FD279">
            <v>0</v>
          </cell>
          <cell r="FE279">
            <v>0</v>
          </cell>
          <cell r="FF279">
            <v>0</v>
          </cell>
          <cell r="FG279">
            <v>0</v>
          </cell>
          <cell r="FH279">
            <v>0</v>
          </cell>
          <cell r="FI279">
            <v>0</v>
          </cell>
          <cell r="FJ279">
            <v>0</v>
          </cell>
          <cell r="FK279">
            <v>0</v>
          </cell>
          <cell r="FL279">
            <v>0</v>
          </cell>
          <cell r="FM279">
            <v>0</v>
          </cell>
          <cell r="FN279">
            <v>0</v>
          </cell>
          <cell r="FO279">
            <v>0</v>
          </cell>
          <cell r="FP279">
            <v>0</v>
          </cell>
          <cell r="FQ279">
            <v>0</v>
          </cell>
          <cell r="FR279">
            <v>0</v>
          </cell>
          <cell r="FS279">
            <v>0</v>
          </cell>
          <cell r="FT279">
            <v>0</v>
          </cell>
          <cell r="FU279">
            <v>0</v>
          </cell>
          <cell r="FV279">
            <v>0</v>
          </cell>
          <cell r="FW279">
            <v>0</v>
          </cell>
          <cell r="FX279">
            <v>0</v>
          </cell>
          <cell r="FY279">
            <v>0</v>
          </cell>
          <cell r="FZ279">
            <v>0</v>
          </cell>
        </row>
        <row r="280">
          <cell r="A280">
            <v>0</v>
          </cell>
          <cell r="B280">
            <v>0</v>
          </cell>
          <cell r="C280">
            <v>0</v>
          </cell>
          <cell r="D280">
            <v>0</v>
          </cell>
          <cell r="E280">
            <v>0</v>
          </cell>
          <cell r="F280">
            <v>0</v>
          </cell>
          <cell r="G280">
            <v>0</v>
          </cell>
          <cell r="H280">
            <v>0</v>
          </cell>
          <cell r="I280">
            <v>0</v>
          </cell>
          <cell r="J280">
            <v>0</v>
          </cell>
          <cell r="K280">
            <v>0</v>
          </cell>
          <cell r="L280">
            <v>0</v>
          </cell>
          <cell r="M280">
            <v>0</v>
          </cell>
          <cell r="N280">
            <v>0</v>
          </cell>
          <cell r="O280">
            <v>0</v>
          </cell>
          <cell r="P280">
            <v>0</v>
          </cell>
          <cell r="Q280">
            <v>0</v>
          </cell>
          <cell r="R280">
            <v>0</v>
          </cell>
          <cell r="S280">
            <v>0</v>
          </cell>
          <cell r="T280">
            <v>0</v>
          </cell>
          <cell r="U280">
            <v>0</v>
          </cell>
          <cell r="V280">
            <v>0</v>
          </cell>
          <cell r="W280">
            <v>0</v>
          </cell>
          <cell r="X280">
            <v>0</v>
          </cell>
          <cell r="Y280">
            <v>0</v>
          </cell>
          <cell r="Z280">
            <v>0</v>
          </cell>
          <cell r="AA280">
            <v>0</v>
          </cell>
          <cell r="AB280">
            <v>0</v>
          </cell>
          <cell r="AC280">
            <v>0</v>
          </cell>
          <cell r="AD280">
            <v>0</v>
          </cell>
          <cell r="AE280">
            <v>0</v>
          </cell>
          <cell r="AF280">
            <v>0</v>
          </cell>
          <cell r="AG280">
            <v>0</v>
          </cell>
          <cell r="AH280">
            <v>0</v>
          </cell>
          <cell r="AI280">
            <v>0</v>
          </cell>
          <cell r="AJ280">
            <v>0</v>
          </cell>
          <cell r="AK280">
            <v>0</v>
          </cell>
          <cell r="AL280">
            <v>0</v>
          </cell>
          <cell r="AM280">
            <v>0</v>
          </cell>
          <cell r="AN280">
            <v>0</v>
          </cell>
          <cell r="AO280">
            <v>0</v>
          </cell>
          <cell r="AP280">
            <v>0</v>
          </cell>
          <cell r="AQ280">
            <v>0</v>
          </cell>
          <cell r="AR280">
            <v>0</v>
          </cell>
          <cell r="AS280">
            <v>0</v>
          </cell>
          <cell r="AT280">
            <v>0</v>
          </cell>
          <cell r="AU280">
            <v>0</v>
          </cell>
          <cell r="AV280">
            <v>0</v>
          </cell>
          <cell r="AW280">
            <v>0</v>
          </cell>
          <cell r="AX280">
            <v>0</v>
          </cell>
          <cell r="AY280">
            <v>0</v>
          </cell>
          <cell r="AZ280">
            <v>0</v>
          </cell>
          <cell r="BA280">
            <v>0</v>
          </cell>
          <cell r="BB280">
            <v>0</v>
          </cell>
          <cell r="BC280">
            <v>0</v>
          </cell>
          <cell r="BD280">
            <v>0</v>
          </cell>
          <cell r="BE280">
            <v>0</v>
          </cell>
          <cell r="BF280">
            <v>0</v>
          </cell>
          <cell r="BG280">
            <v>0</v>
          </cell>
          <cell r="BH280">
            <v>0</v>
          </cell>
          <cell r="BI280">
            <v>0</v>
          </cell>
          <cell r="BJ280">
            <v>0</v>
          </cell>
          <cell r="BK280">
            <v>0</v>
          </cell>
          <cell r="BL280">
            <v>0</v>
          </cell>
          <cell r="BM280">
            <v>0</v>
          </cell>
          <cell r="BN280">
            <v>0</v>
          </cell>
          <cell r="BO280">
            <v>0</v>
          </cell>
          <cell r="BP280">
            <v>0</v>
          </cell>
          <cell r="BQ280">
            <v>0</v>
          </cell>
          <cell r="BR280">
            <v>0</v>
          </cell>
          <cell r="BS280">
            <v>0</v>
          </cell>
          <cell r="BT280">
            <v>0</v>
          </cell>
          <cell r="BU280">
            <v>0</v>
          </cell>
          <cell r="BV280">
            <v>0</v>
          </cell>
          <cell r="BW280">
            <v>0</v>
          </cell>
          <cell r="BX280">
            <v>0</v>
          </cell>
          <cell r="BY280">
            <v>0</v>
          </cell>
          <cell r="BZ280">
            <v>0</v>
          </cell>
          <cell r="CA280">
            <v>0</v>
          </cell>
          <cell r="CB280">
            <v>0</v>
          </cell>
          <cell r="CC280">
            <v>0</v>
          </cell>
          <cell r="CD280">
            <v>0</v>
          </cell>
          <cell r="CE280">
            <v>0</v>
          </cell>
          <cell r="CF280">
            <v>0</v>
          </cell>
          <cell r="CG280">
            <v>0</v>
          </cell>
          <cell r="CH280">
            <v>0</v>
          </cell>
          <cell r="CI280">
            <v>0</v>
          </cell>
          <cell r="CJ280">
            <v>0</v>
          </cell>
          <cell r="CK280">
            <v>0</v>
          </cell>
          <cell r="CL280">
            <v>0</v>
          </cell>
          <cell r="CM280">
            <v>0</v>
          </cell>
          <cell r="CN280">
            <v>0</v>
          </cell>
          <cell r="CO280">
            <v>0</v>
          </cell>
          <cell r="CP280">
            <v>0</v>
          </cell>
          <cell r="CQ280">
            <v>0</v>
          </cell>
          <cell r="CR280">
            <v>0</v>
          </cell>
          <cell r="CS280">
            <v>0</v>
          </cell>
          <cell r="CT280">
            <v>0</v>
          </cell>
          <cell r="CU280">
            <v>0</v>
          </cell>
          <cell r="CV280">
            <v>0</v>
          </cell>
          <cell r="CW280">
            <v>0</v>
          </cell>
          <cell r="CX280">
            <v>0</v>
          </cell>
          <cell r="CY280">
            <v>0</v>
          </cell>
          <cell r="CZ280">
            <v>0</v>
          </cell>
          <cell r="DA280">
            <v>0</v>
          </cell>
          <cell r="DB280">
            <v>0</v>
          </cell>
          <cell r="DC280">
            <v>0</v>
          </cell>
          <cell r="DD280">
            <v>0</v>
          </cell>
          <cell r="DE280">
            <v>0</v>
          </cell>
          <cell r="DF280">
            <v>0</v>
          </cell>
          <cell r="DG280">
            <v>0</v>
          </cell>
          <cell r="DH280">
            <v>0</v>
          </cell>
          <cell r="DI280">
            <v>0</v>
          </cell>
          <cell r="DJ280">
            <v>0</v>
          </cell>
          <cell r="DK280">
            <v>0</v>
          </cell>
          <cell r="DL280">
            <v>0</v>
          </cell>
          <cell r="DM280">
            <v>0</v>
          </cell>
          <cell r="DN280">
            <v>0</v>
          </cell>
          <cell r="DO280">
            <v>0</v>
          </cell>
          <cell r="DP280">
            <v>0</v>
          </cell>
          <cell r="DQ280">
            <v>0</v>
          </cell>
          <cell r="DR280">
            <v>0</v>
          </cell>
          <cell r="DS280">
            <v>0</v>
          </cell>
          <cell r="DT280">
            <v>0</v>
          </cell>
          <cell r="DU280">
            <v>0</v>
          </cell>
          <cell r="DV280">
            <v>0</v>
          </cell>
          <cell r="DW280">
            <v>0</v>
          </cell>
          <cell r="DX280">
            <v>0</v>
          </cell>
          <cell r="DY280">
            <v>0</v>
          </cell>
          <cell r="EA280">
            <v>0</v>
          </cell>
          <cell r="EB280">
            <v>0</v>
          </cell>
          <cell r="EC280">
            <v>0</v>
          </cell>
          <cell r="ED280">
            <v>0</v>
          </cell>
          <cell r="EE280">
            <v>0</v>
          </cell>
          <cell r="EF280">
            <v>0</v>
          </cell>
          <cell r="EG280">
            <v>0</v>
          </cell>
          <cell r="EH280">
            <v>0</v>
          </cell>
          <cell r="EI280">
            <v>0</v>
          </cell>
          <cell r="EJ280">
            <v>0</v>
          </cell>
          <cell r="EK280">
            <v>0</v>
          </cell>
          <cell r="EL280">
            <v>0</v>
          </cell>
          <cell r="EM280">
            <v>0</v>
          </cell>
          <cell r="EN280">
            <v>0</v>
          </cell>
          <cell r="EO280">
            <v>0</v>
          </cell>
          <cell r="EP280">
            <v>0</v>
          </cell>
          <cell r="EQ280">
            <v>0</v>
          </cell>
          <cell r="ER280">
            <v>0</v>
          </cell>
          <cell r="ES280">
            <v>0</v>
          </cell>
          <cell r="ET280">
            <v>0</v>
          </cell>
          <cell r="EU280">
            <v>0</v>
          </cell>
          <cell r="EV280">
            <v>0</v>
          </cell>
          <cell r="EW280">
            <v>0</v>
          </cell>
          <cell r="EX280">
            <v>0</v>
          </cell>
          <cell r="EY280">
            <v>0</v>
          </cell>
          <cell r="EZ280">
            <v>0</v>
          </cell>
          <cell r="FA280">
            <v>0</v>
          </cell>
          <cell r="FB280">
            <v>0</v>
          </cell>
          <cell r="FC280">
            <v>0</v>
          </cell>
          <cell r="FD280">
            <v>0</v>
          </cell>
          <cell r="FE280">
            <v>0</v>
          </cell>
          <cell r="FF280">
            <v>0</v>
          </cell>
          <cell r="FG280">
            <v>0</v>
          </cell>
          <cell r="FH280">
            <v>0</v>
          </cell>
          <cell r="FI280">
            <v>0</v>
          </cell>
          <cell r="FJ280">
            <v>0</v>
          </cell>
          <cell r="FK280">
            <v>0</v>
          </cell>
          <cell r="FL280">
            <v>0</v>
          </cell>
          <cell r="FM280">
            <v>0</v>
          </cell>
          <cell r="FN280">
            <v>0</v>
          </cell>
          <cell r="FO280">
            <v>0</v>
          </cell>
          <cell r="FP280">
            <v>0</v>
          </cell>
          <cell r="FQ280">
            <v>0</v>
          </cell>
          <cell r="FR280">
            <v>0</v>
          </cell>
          <cell r="FS280">
            <v>0</v>
          </cell>
          <cell r="FT280">
            <v>0</v>
          </cell>
          <cell r="FU280">
            <v>0</v>
          </cell>
          <cell r="FV280">
            <v>0</v>
          </cell>
          <cell r="FW280">
            <v>0</v>
          </cell>
          <cell r="FX280">
            <v>0</v>
          </cell>
          <cell r="FY280">
            <v>0</v>
          </cell>
          <cell r="FZ280">
            <v>0</v>
          </cell>
        </row>
        <row r="281">
          <cell r="A281">
            <v>0</v>
          </cell>
          <cell r="B281">
            <v>0</v>
          </cell>
          <cell r="C281">
            <v>0</v>
          </cell>
          <cell r="D281">
            <v>0</v>
          </cell>
          <cell r="E281">
            <v>0</v>
          </cell>
          <cell r="F281">
            <v>0</v>
          </cell>
          <cell r="G281">
            <v>0</v>
          </cell>
          <cell r="H281">
            <v>0</v>
          </cell>
          <cell r="I281">
            <v>0</v>
          </cell>
          <cell r="J281">
            <v>0</v>
          </cell>
          <cell r="K281">
            <v>0</v>
          </cell>
          <cell r="L281">
            <v>0</v>
          </cell>
          <cell r="M281">
            <v>0</v>
          </cell>
          <cell r="N281">
            <v>0</v>
          </cell>
          <cell r="O281">
            <v>0</v>
          </cell>
          <cell r="P281">
            <v>0</v>
          </cell>
          <cell r="Q281">
            <v>0</v>
          </cell>
          <cell r="R281">
            <v>0</v>
          </cell>
          <cell r="S281">
            <v>0</v>
          </cell>
          <cell r="T281">
            <v>0</v>
          </cell>
          <cell r="U281">
            <v>0</v>
          </cell>
          <cell r="V281">
            <v>0</v>
          </cell>
          <cell r="W281">
            <v>0</v>
          </cell>
          <cell r="X281">
            <v>0</v>
          </cell>
          <cell r="Y281">
            <v>0</v>
          </cell>
          <cell r="Z281">
            <v>0</v>
          </cell>
          <cell r="AA281">
            <v>0</v>
          </cell>
          <cell r="AB281">
            <v>0</v>
          </cell>
          <cell r="AC281">
            <v>0</v>
          </cell>
          <cell r="AD281">
            <v>0</v>
          </cell>
          <cell r="AE281">
            <v>0</v>
          </cell>
          <cell r="AF281">
            <v>0</v>
          </cell>
          <cell r="AG281">
            <v>0</v>
          </cell>
          <cell r="AH281">
            <v>0</v>
          </cell>
          <cell r="AI281">
            <v>0</v>
          </cell>
          <cell r="AJ281">
            <v>0</v>
          </cell>
          <cell r="AK281">
            <v>0</v>
          </cell>
          <cell r="AL281">
            <v>0</v>
          </cell>
          <cell r="AM281">
            <v>0</v>
          </cell>
          <cell r="AN281">
            <v>0</v>
          </cell>
          <cell r="AO281">
            <v>0</v>
          </cell>
          <cell r="AP281">
            <v>0</v>
          </cell>
          <cell r="AQ281">
            <v>0</v>
          </cell>
          <cell r="AR281">
            <v>0</v>
          </cell>
          <cell r="AS281">
            <v>0</v>
          </cell>
          <cell r="AT281">
            <v>0</v>
          </cell>
          <cell r="AU281">
            <v>0</v>
          </cell>
          <cell r="AV281">
            <v>0</v>
          </cell>
          <cell r="AW281">
            <v>0</v>
          </cell>
          <cell r="AX281">
            <v>0</v>
          </cell>
          <cell r="AY281">
            <v>0</v>
          </cell>
          <cell r="AZ281">
            <v>0</v>
          </cell>
          <cell r="BA281">
            <v>0</v>
          </cell>
          <cell r="BB281">
            <v>0</v>
          </cell>
          <cell r="BC281">
            <v>0</v>
          </cell>
          <cell r="BD281">
            <v>0</v>
          </cell>
          <cell r="BE281">
            <v>0</v>
          </cell>
          <cell r="BF281">
            <v>0</v>
          </cell>
          <cell r="BG281">
            <v>0</v>
          </cell>
          <cell r="BH281">
            <v>0</v>
          </cell>
          <cell r="BI281">
            <v>0</v>
          </cell>
          <cell r="BJ281">
            <v>0</v>
          </cell>
          <cell r="BK281">
            <v>0</v>
          </cell>
          <cell r="BL281">
            <v>0</v>
          </cell>
          <cell r="BM281">
            <v>0</v>
          </cell>
          <cell r="BN281">
            <v>0</v>
          </cell>
          <cell r="BO281">
            <v>0</v>
          </cell>
          <cell r="BP281">
            <v>0</v>
          </cell>
          <cell r="BQ281">
            <v>0</v>
          </cell>
          <cell r="BR281">
            <v>0</v>
          </cell>
          <cell r="BS281">
            <v>0</v>
          </cell>
          <cell r="BT281">
            <v>0</v>
          </cell>
          <cell r="BU281">
            <v>0</v>
          </cell>
          <cell r="BV281">
            <v>0</v>
          </cell>
          <cell r="BW281">
            <v>0</v>
          </cell>
          <cell r="BX281">
            <v>0</v>
          </cell>
          <cell r="BY281">
            <v>0</v>
          </cell>
          <cell r="BZ281">
            <v>0</v>
          </cell>
          <cell r="CA281">
            <v>0</v>
          </cell>
          <cell r="CB281">
            <v>0</v>
          </cell>
          <cell r="CC281">
            <v>0</v>
          </cell>
          <cell r="CD281">
            <v>0</v>
          </cell>
          <cell r="CE281">
            <v>0</v>
          </cell>
          <cell r="CF281">
            <v>0</v>
          </cell>
          <cell r="CG281">
            <v>0</v>
          </cell>
          <cell r="CH281">
            <v>0</v>
          </cell>
          <cell r="CI281">
            <v>0</v>
          </cell>
          <cell r="CJ281">
            <v>0</v>
          </cell>
          <cell r="CK281">
            <v>0</v>
          </cell>
          <cell r="CL281">
            <v>0</v>
          </cell>
          <cell r="CM281">
            <v>0</v>
          </cell>
          <cell r="CN281">
            <v>0</v>
          </cell>
          <cell r="CO281">
            <v>0</v>
          </cell>
          <cell r="CP281">
            <v>0</v>
          </cell>
          <cell r="CQ281">
            <v>0</v>
          </cell>
          <cell r="CR281">
            <v>0</v>
          </cell>
          <cell r="CS281">
            <v>0</v>
          </cell>
          <cell r="CT281">
            <v>0</v>
          </cell>
          <cell r="CU281">
            <v>0</v>
          </cell>
          <cell r="CV281">
            <v>0</v>
          </cell>
          <cell r="CW281">
            <v>0</v>
          </cell>
          <cell r="CX281">
            <v>0</v>
          </cell>
          <cell r="CY281">
            <v>0</v>
          </cell>
          <cell r="CZ281">
            <v>0</v>
          </cell>
          <cell r="DA281">
            <v>0</v>
          </cell>
          <cell r="DB281">
            <v>0</v>
          </cell>
          <cell r="DC281">
            <v>0</v>
          </cell>
          <cell r="DD281">
            <v>0</v>
          </cell>
          <cell r="DE281">
            <v>0</v>
          </cell>
          <cell r="DF281">
            <v>0</v>
          </cell>
          <cell r="DG281">
            <v>0</v>
          </cell>
          <cell r="DH281">
            <v>0</v>
          </cell>
          <cell r="DI281">
            <v>0</v>
          </cell>
          <cell r="DJ281">
            <v>0</v>
          </cell>
          <cell r="DK281">
            <v>0</v>
          </cell>
          <cell r="DL281">
            <v>0</v>
          </cell>
          <cell r="DM281">
            <v>0</v>
          </cell>
          <cell r="DN281">
            <v>0</v>
          </cell>
          <cell r="DO281">
            <v>0</v>
          </cell>
          <cell r="DP281">
            <v>0</v>
          </cell>
          <cell r="DQ281">
            <v>0</v>
          </cell>
          <cell r="DR281">
            <v>0</v>
          </cell>
          <cell r="DS281">
            <v>0</v>
          </cell>
          <cell r="DT281">
            <v>0</v>
          </cell>
          <cell r="DU281">
            <v>0</v>
          </cell>
          <cell r="DV281">
            <v>0</v>
          </cell>
          <cell r="DW281">
            <v>0</v>
          </cell>
          <cell r="DX281">
            <v>0</v>
          </cell>
          <cell r="DY281">
            <v>0</v>
          </cell>
          <cell r="EA281">
            <v>0</v>
          </cell>
          <cell r="EB281">
            <v>0</v>
          </cell>
          <cell r="EC281">
            <v>0</v>
          </cell>
          <cell r="ED281">
            <v>0</v>
          </cell>
          <cell r="EE281">
            <v>0</v>
          </cell>
          <cell r="EF281">
            <v>0</v>
          </cell>
          <cell r="EG281">
            <v>0</v>
          </cell>
          <cell r="EH281">
            <v>0</v>
          </cell>
          <cell r="EI281">
            <v>0</v>
          </cell>
          <cell r="EJ281">
            <v>0</v>
          </cell>
          <cell r="EK281">
            <v>0</v>
          </cell>
          <cell r="EL281">
            <v>0</v>
          </cell>
          <cell r="EM281">
            <v>0</v>
          </cell>
          <cell r="EN281">
            <v>0</v>
          </cell>
          <cell r="EO281">
            <v>0</v>
          </cell>
          <cell r="EP281">
            <v>0</v>
          </cell>
          <cell r="EQ281">
            <v>0</v>
          </cell>
          <cell r="ER281">
            <v>0</v>
          </cell>
          <cell r="ES281">
            <v>0</v>
          </cell>
          <cell r="ET281">
            <v>0</v>
          </cell>
          <cell r="EU281">
            <v>0</v>
          </cell>
          <cell r="EV281">
            <v>0</v>
          </cell>
          <cell r="EW281">
            <v>0</v>
          </cell>
          <cell r="EX281">
            <v>0</v>
          </cell>
          <cell r="EY281">
            <v>0</v>
          </cell>
          <cell r="EZ281">
            <v>0</v>
          </cell>
          <cell r="FA281">
            <v>0</v>
          </cell>
          <cell r="FB281">
            <v>0</v>
          </cell>
          <cell r="FC281">
            <v>0</v>
          </cell>
          <cell r="FD281">
            <v>0</v>
          </cell>
          <cell r="FE281">
            <v>0</v>
          </cell>
          <cell r="FF281">
            <v>0</v>
          </cell>
          <cell r="FG281">
            <v>0</v>
          </cell>
          <cell r="FH281">
            <v>0</v>
          </cell>
          <cell r="FI281">
            <v>0</v>
          </cell>
          <cell r="FJ281">
            <v>0</v>
          </cell>
          <cell r="FK281">
            <v>0</v>
          </cell>
          <cell r="FL281">
            <v>0</v>
          </cell>
          <cell r="FM281">
            <v>0</v>
          </cell>
          <cell r="FN281">
            <v>0</v>
          </cell>
          <cell r="FO281">
            <v>0</v>
          </cell>
          <cell r="FP281">
            <v>0</v>
          </cell>
          <cell r="FQ281">
            <v>0</v>
          </cell>
          <cell r="FR281">
            <v>0</v>
          </cell>
          <cell r="FS281">
            <v>0</v>
          </cell>
          <cell r="FT281">
            <v>0</v>
          </cell>
          <cell r="FU281">
            <v>0</v>
          </cell>
          <cell r="FV281">
            <v>0</v>
          </cell>
          <cell r="FW281">
            <v>0</v>
          </cell>
          <cell r="FX281">
            <v>0</v>
          </cell>
          <cell r="FY281">
            <v>0</v>
          </cell>
          <cell r="FZ281">
            <v>0</v>
          </cell>
        </row>
        <row r="282">
          <cell r="A282">
            <v>0</v>
          </cell>
          <cell r="B282">
            <v>0</v>
          </cell>
          <cell r="C282">
            <v>0</v>
          </cell>
          <cell r="D282">
            <v>0</v>
          </cell>
          <cell r="E282">
            <v>0</v>
          </cell>
          <cell r="F282">
            <v>0</v>
          </cell>
          <cell r="G282">
            <v>0</v>
          </cell>
          <cell r="H282">
            <v>0</v>
          </cell>
          <cell r="I282">
            <v>0</v>
          </cell>
          <cell r="J282">
            <v>0</v>
          </cell>
          <cell r="K282">
            <v>0</v>
          </cell>
          <cell r="L282">
            <v>0</v>
          </cell>
          <cell r="M282">
            <v>0</v>
          </cell>
          <cell r="N282">
            <v>0</v>
          </cell>
          <cell r="O282">
            <v>0</v>
          </cell>
          <cell r="P282">
            <v>0</v>
          </cell>
          <cell r="Q282">
            <v>0</v>
          </cell>
          <cell r="R282">
            <v>0</v>
          </cell>
          <cell r="S282">
            <v>0</v>
          </cell>
          <cell r="T282">
            <v>0</v>
          </cell>
          <cell r="U282">
            <v>0</v>
          </cell>
          <cell r="V282">
            <v>0</v>
          </cell>
          <cell r="W282">
            <v>0</v>
          </cell>
          <cell r="X282">
            <v>0</v>
          </cell>
          <cell r="Y282">
            <v>0</v>
          </cell>
          <cell r="Z282">
            <v>0</v>
          </cell>
          <cell r="AA282">
            <v>0</v>
          </cell>
          <cell r="AB282">
            <v>0</v>
          </cell>
          <cell r="AC282">
            <v>0</v>
          </cell>
          <cell r="AD282">
            <v>0</v>
          </cell>
          <cell r="AE282">
            <v>0</v>
          </cell>
          <cell r="AF282">
            <v>0</v>
          </cell>
          <cell r="AG282">
            <v>0</v>
          </cell>
          <cell r="AH282">
            <v>0</v>
          </cell>
          <cell r="AI282">
            <v>0</v>
          </cell>
          <cell r="AJ282">
            <v>0</v>
          </cell>
          <cell r="AK282">
            <v>0</v>
          </cell>
          <cell r="AL282">
            <v>0</v>
          </cell>
          <cell r="AM282">
            <v>0</v>
          </cell>
          <cell r="AN282">
            <v>0</v>
          </cell>
          <cell r="AO282">
            <v>0</v>
          </cell>
          <cell r="AP282">
            <v>0</v>
          </cell>
          <cell r="AQ282">
            <v>0</v>
          </cell>
          <cell r="AR282">
            <v>0</v>
          </cell>
          <cell r="AS282">
            <v>0</v>
          </cell>
          <cell r="AT282">
            <v>0</v>
          </cell>
          <cell r="AU282">
            <v>0</v>
          </cell>
          <cell r="AV282">
            <v>0</v>
          </cell>
          <cell r="AW282">
            <v>0</v>
          </cell>
          <cell r="AX282">
            <v>0</v>
          </cell>
          <cell r="AY282">
            <v>0</v>
          </cell>
          <cell r="AZ282">
            <v>0</v>
          </cell>
          <cell r="BA282">
            <v>0</v>
          </cell>
          <cell r="BB282">
            <v>0</v>
          </cell>
          <cell r="BC282">
            <v>0</v>
          </cell>
          <cell r="BD282">
            <v>0</v>
          </cell>
          <cell r="BE282">
            <v>0</v>
          </cell>
          <cell r="BF282">
            <v>0</v>
          </cell>
          <cell r="BG282">
            <v>0</v>
          </cell>
          <cell r="BH282">
            <v>0</v>
          </cell>
          <cell r="BI282">
            <v>0</v>
          </cell>
          <cell r="BJ282">
            <v>0</v>
          </cell>
          <cell r="BK282">
            <v>0</v>
          </cell>
          <cell r="BL282">
            <v>0</v>
          </cell>
          <cell r="BM282">
            <v>0</v>
          </cell>
          <cell r="BN282">
            <v>0</v>
          </cell>
          <cell r="BO282">
            <v>0</v>
          </cell>
          <cell r="BP282">
            <v>0</v>
          </cell>
          <cell r="BQ282">
            <v>0</v>
          </cell>
          <cell r="BR282">
            <v>0</v>
          </cell>
          <cell r="BS282">
            <v>0</v>
          </cell>
          <cell r="BT282">
            <v>0</v>
          </cell>
          <cell r="BU282">
            <v>0</v>
          </cell>
          <cell r="BV282">
            <v>0</v>
          </cell>
          <cell r="BW282">
            <v>0</v>
          </cell>
          <cell r="BX282">
            <v>0</v>
          </cell>
          <cell r="BY282">
            <v>0</v>
          </cell>
          <cell r="BZ282">
            <v>0</v>
          </cell>
          <cell r="CA282">
            <v>0</v>
          </cell>
          <cell r="CB282">
            <v>0</v>
          </cell>
          <cell r="CC282">
            <v>0</v>
          </cell>
          <cell r="CD282">
            <v>0</v>
          </cell>
          <cell r="CE282">
            <v>0</v>
          </cell>
          <cell r="CF282">
            <v>0</v>
          </cell>
          <cell r="CG282">
            <v>0</v>
          </cell>
          <cell r="CH282">
            <v>0</v>
          </cell>
          <cell r="CI282">
            <v>0</v>
          </cell>
          <cell r="CJ282">
            <v>0</v>
          </cell>
          <cell r="CK282">
            <v>0</v>
          </cell>
          <cell r="CL282">
            <v>0</v>
          </cell>
          <cell r="CM282">
            <v>0</v>
          </cell>
          <cell r="CN282">
            <v>0</v>
          </cell>
          <cell r="CO282">
            <v>0</v>
          </cell>
          <cell r="CP282">
            <v>0</v>
          </cell>
          <cell r="CQ282">
            <v>0</v>
          </cell>
          <cell r="CR282">
            <v>0</v>
          </cell>
          <cell r="CS282">
            <v>0</v>
          </cell>
          <cell r="CT282">
            <v>0</v>
          </cell>
          <cell r="CU282">
            <v>0</v>
          </cell>
          <cell r="CV282">
            <v>0</v>
          </cell>
          <cell r="CW282">
            <v>0</v>
          </cell>
          <cell r="CX282">
            <v>0</v>
          </cell>
          <cell r="CY282">
            <v>0</v>
          </cell>
          <cell r="CZ282">
            <v>0</v>
          </cell>
          <cell r="DA282">
            <v>0</v>
          </cell>
          <cell r="DB282">
            <v>0</v>
          </cell>
          <cell r="DC282">
            <v>0</v>
          </cell>
          <cell r="DD282">
            <v>0</v>
          </cell>
          <cell r="DE282">
            <v>0</v>
          </cell>
          <cell r="DF282">
            <v>0</v>
          </cell>
          <cell r="DG282">
            <v>0</v>
          </cell>
          <cell r="DH282">
            <v>0</v>
          </cell>
          <cell r="DI282">
            <v>0</v>
          </cell>
          <cell r="DJ282">
            <v>0</v>
          </cell>
          <cell r="DK282">
            <v>0</v>
          </cell>
          <cell r="DL282">
            <v>0</v>
          </cell>
          <cell r="DM282">
            <v>0</v>
          </cell>
          <cell r="DN282">
            <v>0</v>
          </cell>
          <cell r="DO282">
            <v>0</v>
          </cell>
          <cell r="DP282">
            <v>0</v>
          </cell>
          <cell r="DQ282">
            <v>0</v>
          </cell>
          <cell r="DR282">
            <v>0</v>
          </cell>
          <cell r="DS282">
            <v>0</v>
          </cell>
          <cell r="DT282">
            <v>0</v>
          </cell>
          <cell r="DU282">
            <v>0</v>
          </cell>
          <cell r="DV282">
            <v>0</v>
          </cell>
          <cell r="DW282">
            <v>0</v>
          </cell>
          <cell r="DX282">
            <v>0</v>
          </cell>
          <cell r="DY282">
            <v>0</v>
          </cell>
          <cell r="EA282">
            <v>0</v>
          </cell>
          <cell r="EB282">
            <v>0</v>
          </cell>
          <cell r="EC282">
            <v>0</v>
          </cell>
          <cell r="ED282">
            <v>0</v>
          </cell>
          <cell r="EE282">
            <v>0</v>
          </cell>
          <cell r="EF282">
            <v>0</v>
          </cell>
          <cell r="EG282">
            <v>0</v>
          </cell>
          <cell r="EH282">
            <v>0</v>
          </cell>
          <cell r="EI282">
            <v>0</v>
          </cell>
          <cell r="EJ282">
            <v>0</v>
          </cell>
          <cell r="EK282">
            <v>0</v>
          </cell>
          <cell r="EL282">
            <v>0</v>
          </cell>
          <cell r="EM282">
            <v>0</v>
          </cell>
          <cell r="EN282">
            <v>0</v>
          </cell>
          <cell r="EO282">
            <v>0</v>
          </cell>
          <cell r="EP282">
            <v>0</v>
          </cell>
          <cell r="EQ282">
            <v>0</v>
          </cell>
          <cell r="ER282">
            <v>0</v>
          </cell>
          <cell r="ES282">
            <v>0</v>
          </cell>
          <cell r="ET282">
            <v>0</v>
          </cell>
          <cell r="EU282">
            <v>0</v>
          </cell>
          <cell r="EV282">
            <v>0</v>
          </cell>
          <cell r="EW282">
            <v>0</v>
          </cell>
          <cell r="EX282">
            <v>0</v>
          </cell>
          <cell r="EY282">
            <v>0</v>
          </cell>
          <cell r="EZ282">
            <v>0</v>
          </cell>
          <cell r="FA282">
            <v>0</v>
          </cell>
          <cell r="FB282">
            <v>0</v>
          </cell>
          <cell r="FC282">
            <v>0</v>
          </cell>
          <cell r="FD282">
            <v>0</v>
          </cell>
          <cell r="FE282">
            <v>0</v>
          </cell>
          <cell r="FF282">
            <v>0</v>
          </cell>
          <cell r="FG282">
            <v>0</v>
          </cell>
          <cell r="FH282">
            <v>0</v>
          </cell>
          <cell r="FI282">
            <v>0</v>
          </cell>
          <cell r="FJ282">
            <v>0</v>
          </cell>
          <cell r="FK282">
            <v>0</v>
          </cell>
          <cell r="FL282">
            <v>0</v>
          </cell>
          <cell r="FM282">
            <v>0</v>
          </cell>
          <cell r="FN282">
            <v>0</v>
          </cell>
          <cell r="FO282">
            <v>0</v>
          </cell>
          <cell r="FP282">
            <v>0</v>
          </cell>
          <cell r="FQ282">
            <v>0</v>
          </cell>
          <cell r="FR282">
            <v>0</v>
          </cell>
          <cell r="FS282">
            <v>0</v>
          </cell>
          <cell r="FT282">
            <v>0</v>
          </cell>
          <cell r="FU282">
            <v>0</v>
          </cell>
          <cell r="FV282">
            <v>0</v>
          </cell>
          <cell r="FW282">
            <v>0</v>
          </cell>
          <cell r="FX282">
            <v>0</v>
          </cell>
          <cell r="FY282">
            <v>0</v>
          </cell>
          <cell r="FZ282">
            <v>0</v>
          </cell>
        </row>
        <row r="283">
          <cell r="A283">
            <v>0</v>
          </cell>
          <cell r="B283">
            <v>0</v>
          </cell>
          <cell r="C283">
            <v>0</v>
          </cell>
          <cell r="D283">
            <v>0</v>
          </cell>
          <cell r="E283">
            <v>0</v>
          </cell>
          <cell r="F283">
            <v>0</v>
          </cell>
          <cell r="G283">
            <v>0</v>
          </cell>
          <cell r="H283">
            <v>0</v>
          </cell>
          <cell r="I283">
            <v>0</v>
          </cell>
          <cell r="J283">
            <v>0</v>
          </cell>
          <cell r="K283">
            <v>0</v>
          </cell>
          <cell r="L283">
            <v>0</v>
          </cell>
          <cell r="M283">
            <v>0</v>
          </cell>
          <cell r="N283">
            <v>0</v>
          </cell>
          <cell r="O283">
            <v>0</v>
          </cell>
          <cell r="P283">
            <v>0</v>
          </cell>
          <cell r="Q283">
            <v>0</v>
          </cell>
          <cell r="R283">
            <v>0</v>
          </cell>
          <cell r="S283">
            <v>0</v>
          </cell>
          <cell r="T283">
            <v>0</v>
          </cell>
          <cell r="U283">
            <v>0</v>
          </cell>
          <cell r="V283">
            <v>0</v>
          </cell>
          <cell r="W283">
            <v>0</v>
          </cell>
          <cell r="X283">
            <v>0</v>
          </cell>
          <cell r="Y283">
            <v>0</v>
          </cell>
          <cell r="Z283">
            <v>0</v>
          </cell>
          <cell r="AA283">
            <v>0</v>
          </cell>
          <cell r="AB283">
            <v>0</v>
          </cell>
          <cell r="AC283">
            <v>0</v>
          </cell>
          <cell r="AD283">
            <v>0</v>
          </cell>
          <cell r="AE283">
            <v>0</v>
          </cell>
          <cell r="AF283">
            <v>0</v>
          </cell>
          <cell r="AG283">
            <v>0</v>
          </cell>
          <cell r="AH283">
            <v>0</v>
          </cell>
          <cell r="AI283">
            <v>0</v>
          </cell>
          <cell r="AJ283">
            <v>0</v>
          </cell>
          <cell r="AK283">
            <v>0</v>
          </cell>
          <cell r="AL283">
            <v>0</v>
          </cell>
          <cell r="AM283">
            <v>0</v>
          </cell>
          <cell r="AN283">
            <v>0</v>
          </cell>
          <cell r="AO283">
            <v>0</v>
          </cell>
          <cell r="AP283">
            <v>0</v>
          </cell>
          <cell r="AQ283">
            <v>0</v>
          </cell>
          <cell r="AR283">
            <v>0</v>
          </cell>
          <cell r="AS283">
            <v>0</v>
          </cell>
          <cell r="AT283">
            <v>0</v>
          </cell>
          <cell r="AU283">
            <v>0</v>
          </cell>
          <cell r="AV283">
            <v>0</v>
          </cell>
          <cell r="AW283">
            <v>0</v>
          </cell>
          <cell r="AX283">
            <v>0</v>
          </cell>
          <cell r="AY283">
            <v>0</v>
          </cell>
          <cell r="AZ283">
            <v>0</v>
          </cell>
          <cell r="BA283">
            <v>0</v>
          </cell>
          <cell r="BB283">
            <v>0</v>
          </cell>
          <cell r="BC283">
            <v>0</v>
          </cell>
          <cell r="BD283">
            <v>0</v>
          </cell>
          <cell r="BE283">
            <v>0</v>
          </cell>
          <cell r="BF283">
            <v>0</v>
          </cell>
          <cell r="BG283">
            <v>0</v>
          </cell>
          <cell r="BH283">
            <v>0</v>
          </cell>
          <cell r="BI283">
            <v>0</v>
          </cell>
          <cell r="BJ283">
            <v>0</v>
          </cell>
          <cell r="BK283">
            <v>0</v>
          </cell>
          <cell r="BL283">
            <v>0</v>
          </cell>
          <cell r="BM283">
            <v>0</v>
          </cell>
          <cell r="BN283">
            <v>0</v>
          </cell>
          <cell r="BO283">
            <v>0</v>
          </cell>
          <cell r="BP283">
            <v>0</v>
          </cell>
          <cell r="BQ283">
            <v>0</v>
          </cell>
          <cell r="BR283">
            <v>0</v>
          </cell>
          <cell r="BS283">
            <v>0</v>
          </cell>
          <cell r="BT283">
            <v>0</v>
          </cell>
          <cell r="BU283">
            <v>0</v>
          </cell>
          <cell r="BV283">
            <v>0</v>
          </cell>
          <cell r="BW283">
            <v>0</v>
          </cell>
          <cell r="BX283">
            <v>0</v>
          </cell>
          <cell r="BY283">
            <v>0</v>
          </cell>
          <cell r="BZ283">
            <v>0</v>
          </cell>
          <cell r="CA283">
            <v>0</v>
          </cell>
          <cell r="CB283">
            <v>0</v>
          </cell>
          <cell r="CC283">
            <v>0</v>
          </cell>
          <cell r="CD283">
            <v>0</v>
          </cell>
          <cell r="CE283">
            <v>0</v>
          </cell>
          <cell r="CF283">
            <v>0</v>
          </cell>
          <cell r="CG283">
            <v>0</v>
          </cell>
          <cell r="CH283">
            <v>0</v>
          </cell>
          <cell r="CI283">
            <v>0</v>
          </cell>
          <cell r="CJ283">
            <v>0</v>
          </cell>
          <cell r="CK283">
            <v>0</v>
          </cell>
          <cell r="CL283">
            <v>0</v>
          </cell>
          <cell r="CM283">
            <v>0</v>
          </cell>
          <cell r="CN283">
            <v>0</v>
          </cell>
          <cell r="CO283">
            <v>0</v>
          </cell>
          <cell r="CP283">
            <v>0</v>
          </cell>
          <cell r="CQ283">
            <v>0</v>
          </cell>
          <cell r="CR283">
            <v>0</v>
          </cell>
          <cell r="CS283">
            <v>0</v>
          </cell>
          <cell r="CT283">
            <v>0</v>
          </cell>
          <cell r="CU283">
            <v>0</v>
          </cell>
          <cell r="CV283">
            <v>0</v>
          </cell>
          <cell r="CW283">
            <v>0</v>
          </cell>
          <cell r="CX283">
            <v>0</v>
          </cell>
          <cell r="CY283">
            <v>0</v>
          </cell>
          <cell r="CZ283">
            <v>0</v>
          </cell>
          <cell r="DA283">
            <v>0</v>
          </cell>
          <cell r="DB283">
            <v>0</v>
          </cell>
          <cell r="DC283">
            <v>0</v>
          </cell>
          <cell r="DD283">
            <v>0</v>
          </cell>
          <cell r="DE283">
            <v>0</v>
          </cell>
          <cell r="DF283">
            <v>0</v>
          </cell>
          <cell r="DG283">
            <v>0</v>
          </cell>
          <cell r="DH283">
            <v>0</v>
          </cell>
          <cell r="DI283">
            <v>0</v>
          </cell>
          <cell r="DJ283">
            <v>0</v>
          </cell>
          <cell r="DK283">
            <v>0</v>
          </cell>
          <cell r="DL283">
            <v>0</v>
          </cell>
          <cell r="DM283">
            <v>0</v>
          </cell>
          <cell r="DN283">
            <v>0</v>
          </cell>
          <cell r="DO283">
            <v>0</v>
          </cell>
          <cell r="DP283">
            <v>0</v>
          </cell>
          <cell r="DQ283">
            <v>0</v>
          </cell>
          <cell r="DR283">
            <v>0</v>
          </cell>
          <cell r="DS283">
            <v>0</v>
          </cell>
          <cell r="DT283">
            <v>0</v>
          </cell>
          <cell r="DU283">
            <v>0</v>
          </cell>
          <cell r="DV283">
            <v>0</v>
          </cell>
          <cell r="DW283">
            <v>0</v>
          </cell>
          <cell r="DX283">
            <v>0</v>
          </cell>
          <cell r="DY283">
            <v>0</v>
          </cell>
          <cell r="EA283">
            <v>0</v>
          </cell>
          <cell r="EB283">
            <v>0</v>
          </cell>
          <cell r="EC283">
            <v>0</v>
          </cell>
          <cell r="ED283">
            <v>0</v>
          </cell>
          <cell r="EE283">
            <v>0</v>
          </cell>
          <cell r="EF283">
            <v>0</v>
          </cell>
          <cell r="EG283">
            <v>0</v>
          </cell>
          <cell r="EH283">
            <v>0</v>
          </cell>
          <cell r="EI283">
            <v>0</v>
          </cell>
          <cell r="EJ283">
            <v>0</v>
          </cell>
          <cell r="EK283">
            <v>0</v>
          </cell>
          <cell r="EL283">
            <v>0</v>
          </cell>
          <cell r="EM283">
            <v>0</v>
          </cell>
          <cell r="EN283">
            <v>0</v>
          </cell>
          <cell r="EO283">
            <v>0</v>
          </cell>
          <cell r="EP283">
            <v>0</v>
          </cell>
          <cell r="EQ283">
            <v>0</v>
          </cell>
          <cell r="ER283">
            <v>0</v>
          </cell>
          <cell r="ES283">
            <v>0</v>
          </cell>
          <cell r="ET283">
            <v>0</v>
          </cell>
          <cell r="EU283">
            <v>0</v>
          </cell>
          <cell r="EV283">
            <v>0</v>
          </cell>
          <cell r="EW283">
            <v>0</v>
          </cell>
          <cell r="EX283">
            <v>0</v>
          </cell>
          <cell r="EY283">
            <v>0</v>
          </cell>
          <cell r="EZ283">
            <v>0</v>
          </cell>
          <cell r="FA283">
            <v>0</v>
          </cell>
          <cell r="FB283">
            <v>0</v>
          </cell>
          <cell r="FC283">
            <v>0</v>
          </cell>
          <cell r="FD283">
            <v>0</v>
          </cell>
          <cell r="FE283">
            <v>0</v>
          </cell>
          <cell r="FF283">
            <v>0</v>
          </cell>
          <cell r="FG283">
            <v>0</v>
          </cell>
          <cell r="FH283">
            <v>0</v>
          </cell>
          <cell r="FI283">
            <v>0</v>
          </cell>
          <cell r="FJ283">
            <v>0</v>
          </cell>
          <cell r="FK283">
            <v>0</v>
          </cell>
          <cell r="FL283">
            <v>0</v>
          </cell>
          <cell r="FM283">
            <v>0</v>
          </cell>
          <cell r="FN283">
            <v>0</v>
          </cell>
          <cell r="FO283">
            <v>0</v>
          </cell>
          <cell r="FP283">
            <v>0</v>
          </cell>
          <cell r="FQ283">
            <v>0</v>
          </cell>
          <cell r="FR283">
            <v>0</v>
          </cell>
          <cell r="FS283">
            <v>0</v>
          </cell>
          <cell r="FT283">
            <v>0</v>
          </cell>
          <cell r="FU283">
            <v>0</v>
          </cell>
          <cell r="FV283">
            <v>0</v>
          </cell>
          <cell r="FW283">
            <v>0</v>
          </cell>
          <cell r="FX283">
            <v>0</v>
          </cell>
          <cell r="FY283">
            <v>0</v>
          </cell>
          <cell r="FZ283">
            <v>0</v>
          </cell>
        </row>
        <row r="284">
          <cell r="A284" t="str">
            <v>end</v>
          </cell>
          <cell r="B284">
            <v>0</v>
          </cell>
          <cell r="C284">
            <v>0</v>
          </cell>
          <cell r="D284">
            <v>0</v>
          </cell>
          <cell r="E284">
            <v>0</v>
          </cell>
          <cell r="F284">
            <v>0</v>
          </cell>
          <cell r="G284">
            <v>0</v>
          </cell>
          <cell r="H284">
            <v>0</v>
          </cell>
          <cell r="I284">
            <v>0</v>
          </cell>
          <cell r="J284">
            <v>0</v>
          </cell>
          <cell r="K284">
            <v>0</v>
          </cell>
          <cell r="L284">
            <v>0</v>
          </cell>
          <cell r="M284">
            <v>0</v>
          </cell>
          <cell r="N284">
            <v>0</v>
          </cell>
          <cell r="O284">
            <v>0</v>
          </cell>
          <cell r="P284">
            <v>0</v>
          </cell>
          <cell r="Q284">
            <v>0</v>
          </cell>
          <cell r="R284">
            <v>0</v>
          </cell>
          <cell r="S284">
            <v>0</v>
          </cell>
          <cell r="T284">
            <v>0</v>
          </cell>
          <cell r="U284">
            <v>0</v>
          </cell>
          <cell r="V284">
            <v>0</v>
          </cell>
          <cell r="W284">
            <v>0</v>
          </cell>
          <cell r="X284">
            <v>0</v>
          </cell>
          <cell r="Y284">
            <v>0</v>
          </cell>
          <cell r="Z284">
            <v>0</v>
          </cell>
          <cell r="AA284">
            <v>0</v>
          </cell>
          <cell r="AB284">
            <v>0</v>
          </cell>
          <cell r="AC284">
            <v>0</v>
          </cell>
          <cell r="AD284">
            <v>0</v>
          </cell>
          <cell r="AE284">
            <v>0</v>
          </cell>
          <cell r="AF284">
            <v>0</v>
          </cell>
          <cell r="AG284">
            <v>0</v>
          </cell>
          <cell r="AH284">
            <v>0</v>
          </cell>
          <cell r="AI284">
            <v>0</v>
          </cell>
          <cell r="AJ284">
            <v>0</v>
          </cell>
          <cell r="AK284">
            <v>0</v>
          </cell>
          <cell r="AL284">
            <v>0</v>
          </cell>
          <cell r="AM284">
            <v>0</v>
          </cell>
          <cell r="AN284">
            <v>0</v>
          </cell>
          <cell r="AO284">
            <v>0</v>
          </cell>
          <cell r="AP284">
            <v>0</v>
          </cell>
          <cell r="AQ284">
            <v>0</v>
          </cell>
          <cell r="AR284">
            <v>0</v>
          </cell>
          <cell r="AS284">
            <v>0</v>
          </cell>
          <cell r="AT284">
            <v>0</v>
          </cell>
          <cell r="AU284">
            <v>0</v>
          </cell>
          <cell r="AV284">
            <v>0</v>
          </cell>
          <cell r="AW284">
            <v>0</v>
          </cell>
          <cell r="AX284">
            <v>0</v>
          </cell>
          <cell r="AY284">
            <v>0</v>
          </cell>
          <cell r="AZ284">
            <v>0</v>
          </cell>
          <cell r="BA284">
            <v>0</v>
          </cell>
          <cell r="BB284">
            <v>0</v>
          </cell>
          <cell r="BC284">
            <v>0</v>
          </cell>
          <cell r="BD284">
            <v>0</v>
          </cell>
          <cell r="BE284">
            <v>0</v>
          </cell>
          <cell r="BF284">
            <v>0</v>
          </cell>
          <cell r="BG284">
            <v>0</v>
          </cell>
          <cell r="BH284">
            <v>0</v>
          </cell>
          <cell r="BI284">
            <v>0</v>
          </cell>
          <cell r="BJ284">
            <v>0</v>
          </cell>
          <cell r="BK284">
            <v>0</v>
          </cell>
          <cell r="BL284">
            <v>0</v>
          </cell>
          <cell r="BM284">
            <v>0</v>
          </cell>
          <cell r="BN284">
            <v>0</v>
          </cell>
          <cell r="BO284">
            <v>0</v>
          </cell>
          <cell r="BP284">
            <v>0</v>
          </cell>
          <cell r="BQ284">
            <v>0</v>
          </cell>
          <cell r="BR284">
            <v>0</v>
          </cell>
          <cell r="BS284">
            <v>0</v>
          </cell>
          <cell r="BT284">
            <v>0</v>
          </cell>
          <cell r="BU284">
            <v>0</v>
          </cell>
          <cell r="BV284">
            <v>0</v>
          </cell>
          <cell r="BW284">
            <v>0</v>
          </cell>
          <cell r="BX284">
            <v>0</v>
          </cell>
          <cell r="BY284">
            <v>0</v>
          </cell>
          <cell r="BZ284">
            <v>0</v>
          </cell>
          <cell r="CA284">
            <v>0</v>
          </cell>
          <cell r="CB284">
            <v>0</v>
          </cell>
          <cell r="CC284">
            <v>0</v>
          </cell>
          <cell r="CD284">
            <v>0</v>
          </cell>
          <cell r="CE284">
            <v>0</v>
          </cell>
          <cell r="CF284">
            <v>0</v>
          </cell>
          <cell r="CG284">
            <v>0</v>
          </cell>
          <cell r="CH284">
            <v>0</v>
          </cell>
          <cell r="CI284">
            <v>0</v>
          </cell>
          <cell r="CJ284">
            <v>0</v>
          </cell>
          <cell r="CK284">
            <v>0</v>
          </cell>
          <cell r="CL284">
            <v>0</v>
          </cell>
          <cell r="CM284">
            <v>0</v>
          </cell>
          <cell r="CN284">
            <v>0</v>
          </cell>
          <cell r="CO284">
            <v>0</v>
          </cell>
          <cell r="CP284">
            <v>0</v>
          </cell>
          <cell r="CQ284">
            <v>0</v>
          </cell>
          <cell r="CR284">
            <v>0</v>
          </cell>
          <cell r="CS284">
            <v>0</v>
          </cell>
          <cell r="CT284">
            <v>0</v>
          </cell>
          <cell r="CU284">
            <v>0</v>
          </cell>
          <cell r="CV284">
            <v>0</v>
          </cell>
          <cell r="CW284">
            <v>0</v>
          </cell>
          <cell r="CX284">
            <v>0</v>
          </cell>
          <cell r="CY284">
            <v>0</v>
          </cell>
          <cell r="CZ284">
            <v>0</v>
          </cell>
          <cell r="DA284">
            <v>0</v>
          </cell>
          <cell r="DB284">
            <v>0</v>
          </cell>
          <cell r="DC284">
            <v>0</v>
          </cell>
          <cell r="DD284">
            <v>0</v>
          </cell>
          <cell r="DE284">
            <v>0</v>
          </cell>
          <cell r="DF284">
            <v>0</v>
          </cell>
          <cell r="DG284">
            <v>0</v>
          </cell>
          <cell r="DH284">
            <v>0</v>
          </cell>
          <cell r="DI284">
            <v>0</v>
          </cell>
          <cell r="DJ284">
            <v>0</v>
          </cell>
          <cell r="DK284">
            <v>0</v>
          </cell>
          <cell r="DL284">
            <v>0</v>
          </cell>
          <cell r="DM284">
            <v>0</v>
          </cell>
          <cell r="DN284">
            <v>0</v>
          </cell>
          <cell r="DO284">
            <v>0</v>
          </cell>
          <cell r="DP284">
            <v>0</v>
          </cell>
          <cell r="DQ284">
            <v>0</v>
          </cell>
          <cell r="DR284">
            <v>0</v>
          </cell>
          <cell r="DS284">
            <v>0</v>
          </cell>
          <cell r="DT284">
            <v>0</v>
          </cell>
          <cell r="DU284">
            <v>0</v>
          </cell>
          <cell r="DV284">
            <v>0</v>
          </cell>
          <cell r="DW284">
            <v>0</v>
          </cell>
          <cell r="DX284">
            <v>0</v>
          </cell>
          <cell r="DY284">
            <v>0</v>
          </cell>
          <cell r="EA284">
            <v>0</v>
          </cell>
          <cell r="EB284">
            <v>0</v>
          </cell>
          <cell r="EC284">
            <v>0</v>
          </cell>
          <cell r="ED284">
            <v>0</v>
          </cell>
          <cell r="EE284">
            <v>0</v>
          </cell>
          <cell r="EF284">
            <v>0</v>
          </cell>
          <cell r="EG284">
            <v>0</v>
          </cell>
          <cell r="EH284">
            <v>0</v>
          </cell>
          <cell r="EI284">
            <v>0</v>
          </cell>
          <cell r="EJ284">
            <v>0</v>
          </cell>
          <cell r="EK284">
            <v>0</v>
          </cell>
          <cell r="EL284">
            <v>0</v>
          </cell>
          <cell r="EM284">
            <v>0</v>
          </cell>
          <cell r="EN284">
            <v>0</v>
          </cell>
          <cell r="EO284">
            <v>0</v>
          </cell>
          <cell r="EP284">
            <v>0</v>
          </cell>
          <cell r="EQ284">
            <v>0</v>
          </cell>
          <cell r="ER284">
            <v>0</v>
          </cell>
          <cell r="ES284">
            <v>0</v>
          </cell>
          <cell r="ET284">
            <v>0</v>
          </cell>
          <cell r="EU284">
            <v>0</v>
          </cell>
          <cell r="EV284">
            <v>0</v>
          </cell>
          <cell r="EW284">
            <v>0</v>
          </cell>
          <cell r="EX284">
            <v>0</v>
          </cell>
          <cell r="EY284">
            <v>0</v>
          </cell>
          <cell r="EZ284">
            <v>0</v>
          </cell>
          <cell r="FA284">
            <v>0</v>
          </cell>
          <cell r="FB284">
            <v>0</v>
          </cell>
          <cell r="FC284">
            <v>0</v>
          </cell>
          <cell r="FD284">
            <v>0</v>
          </cell>
          <cell r="FE284">
            <v>0</v>
          </cell>
          <cell r="FF284">
            <v>0</v>
          </cell>
          <cell r="FG284">
            <v>0</v>
          </cell>
          <cell r="FH284">
            <v>0</v>
          </cell>
          <cell r="FI284">
            <v>0</v>
          </cell>
          <cell r="FJ284">
            <v>0</v>
          </cell>
          <cell r="FK284">
            <v>0</v>
          </cell>
          <cell r="FL284">
            <v>0</v>
          </cell>
          <cell r="FM284">
            <v>0</v>
          </cell>
          <cell r="FN284">
            <v>0</v>
          </cell>
          <cell r="FO284">
            <v>0</v>
          </cell>
          <cell r="FP284">
            <v>0</v>
          </cell>
          <cell r="FQ284">
            <v>0</v>
          </cell>
          <cell r="FR284">
            <v>0</v>
          </cell>
          <cell r="FS284">
            <v>0</v>
          </cell>
          <cell r="FT284">
            <v>0</v>
          </cell>
          <cell r="FU284">
            <v>0</v>
          </cell>
          <cell r="FV284">
            <v>0</v>
          </cell>
          <cell r="FW284">
            <v>0</v>
          </cell>
          <cell r="FX284">
            <v>0</v>
          </cell>
          <cell r="FY284">
            <v>0</v>
          </cell>
          <cell r="FZ284">
            <v>0</v>
          </cell>
        </row>
      </sheetData>
      <sheetData sheetId="12"/>
      <sheetData sheetId="13"/>
      <sheetData sheetId="14"/>
      <sheetData sheetId="15">
        <row r="2">
          <cell r="A2" t="str">
            <v>Key</v>
          </cell>
          <cell r="B2" t="str">
            <v/>
          </cell>
          <cell r="C2" t="str">
            <v/>
          </cell>
          <cell r="D2" t="str">
            <v/>
          </cell>
          <cell r="E2" t="str">
            <v>SCR-B3AB00</v>
          </cell>
          <cell r="F2" t="str">
            <v>SCR-B3AA01</v>
          </cell>
          <cell r="G2" t="str">
            <v>SCR-B3AA02</v>
          </cell>
          <cell r="J2" t="str">
            <v>SCR-B3AA05</v>
          </cell>
          <cell r="K2" t="str">
            <v>SCR-B3AA06</v>
          </cell>
          <cell r="L2" t="str">
            <v>SCR-B3AA07</v>
          </cell>
          <cell r="N2" t="str">
            <v>SCR-B3AA09</v>
          </cell>
          <cell r="O2" t="str">
            <v>SCR-B3AA10</v>
          </cell>
          <cell r="P2" t="str">
            <v>SCR-B3AA11</v>
          </cell>
          <cell r="Q2" t="str">
            <v>SCR-B3AA12</v>
          </cell>
          <cell r="S2" t="str">
            <v>SCR-B3AA14</v>
          </cell>
          <cell r="T2" t="str">
            <v>SCR-B3AA15</v>
          </cell>
          <cell r="U2" t="str">
            <v>SCR-B3AA16</v>
          </cell>
          <cell r="V2" t="str">
            <v>SCR-B3AA17</v>
          </cell>
          <cell r="W2" t="str">
            <v>SCR-B3AA18</v>
          </cell>
          <cell r="X2" t="str">
            <v>SCR-B3A</v>
          </cell>
          <cell r="Y2" t="str">
            <v>SCR-B3A</v>
          </cell>
          <cell r="Z2" t="str">
            <v>SCR-B3AA20</v>
          </cell>
          <cell r="AA2" t="str">
            <v>SCR-B3AA21</v>
          </cell>
          <cell r="AB2" t="str">
            <v>SCR-B3AB01</v>
          </cell>
          <cell r="AC2" t="str">
            <v>SCR-B3AB02</v>
          </cell>
          <cell r="AF2" t="str">
            <v>SCR-B3AB05</v>
          </cell>
          <cell r="AG2" t="str">
            <v>SCR-B3AB06</v>
          </cell>
          <cell r="AH2" t="str">
            <v>SCR-B3AB07</v>
          </cell>
          <cell r="AJ2" t="str">
            <v>SCR-B3AB09</v>
          </cell>
          <cell r="AK2" t="str">
            <v>SCR-B3AB10</v>
          </cell>
          <cell r="AL2" t="str">
            <v>SCR-B3AB11</v>
          </cell>
          <cell r="AM2" t="str">
            <v>SCR-B3AB12</v>
          </cell>
          <cell r="AO2" t="str">
            <v>SCR-B3AB14</v>
          </cell>
          <cell r="AP2" t="str">
            <v>SCR-B3AB15</v>
          </cell>
          <cell r="AQ2" t="str">
            <v>SCR-B3AB16</v>
          </cell>
          <cell r="AR2" t="str">
            <v>SCR-B3AB17</v>
          </cell>
          <cell r="AS2" t="str">
            <v>SCR-B3AB18</v>
          </cell>
          <cell r="AT2" t="str">
            <v>SCR-B3A</v>
          </cell>
          <cell r="AU2" t="str">
            <v>SCR-B3A</v>
          </cell>
          <cell r="AV2" t="str">
            <v>SCR-B3AB20</v>
          </cell>
          <cell r="AW2" t="str">
            <v>SCR-B3AB21</v>
          </cell>
          <cell r="AX2" t="str">
            <v>SCR-B3AA01A</v>
          </cell>
          <cell r="AY2" t="str">
            <v>SCR-B3AA02A</v>
          </cell>
          <cell r="BB2" t="str">
            <v>SCR-B3AA05A</v>
          </cell>
          <cell r="BC2" t="str">
            <v>SCR-B3AA06A</v>
          </cell>
          <cell r="BD2" t="str">
            <v>SCR-B3AA07A</v>
          </cell>
          <cell r="BF2" t="str">
            <v>SCR-B3AA09A</v>
          </cell>
          <cell r="BG2" t="str">
            <v>SCR-B3AA10A</v>
          </cell>
          <cell r="BH2" t="str">
            <v>SCR-B3AA11A</v>
          </cell>
          <cell r="BI2" t="str">
            <v>SCR-B3AA12A</v>
          </cell>
          <cell r="BK2" t="str">
            <v>SCR-B3AA14A</v>
          </cell>
          <cell r="BL2" t="str">
            <v>SCR-B3AA15A</v>
          </cell>
          <cell r="BM2" t="str">
            <v>SCR-B3AA16A</v>
          </cell>
          <cell r="BN2" t="str">
            <v>SCR-B3AA17A</v>
          </cell>
          <cell r="BO2" t="str">
            <v>SCR-B3AA18A</v>
          </cell>
          <cell r="BP2" t="str">
            <v>SCR-B3A</v>
          </cell>
          <cell r="BQ2" t="str">
            <v>SCR-B3A</v>
          </cell>
          <cell r="BR2" t="str">
            <v>SCR-B3AA20A</v>
          </cell>
          <cell r="BS2" t="str">
            <v>SCR-B3AA21A</v>
          </cell>
          <cell r="BT2" t="str">
            <v>SCR-B3AB01B</v>
          </cell>
          <cell r="BU2" t="str">
            <v>SCR-B3AB02B</v>
          </cell>
          <cell r="BX2" t="str">
            <v>SCR-B3AB05B</v>
          </cell>
          <cell r="BY2" t="str">
            <v>SCR-B3AB06B</v>
          </cell>
          <cell r="BZ2" t="str">
            <v>SCR-B3AB07B</v>
          </cell>
          <cell r="CB2" t="str">
            <v>SCR-B3AB09B</v>
          </cell>
          <cell r="CC2" t="str">
            <v>SCR-B3AB10B</v>
          </cell>
          <cell r="CD2" t="str">
            <v>SCR-B3AB11B</v>
          </cell>
          <cell r="CE2" t="str">
            <v>SCR-B3AB12B</v>
          </cell>
          <cell r="CG2" t="str">
            <v>SCR-B3AB14B</v>
          </cell>
          <cell r="CH2" t="str">
            <v>SCR-B3AB15B</v>
          </cell>
          <cell r="CI2" t="str">
            <v>SCR-B3AB16B</v>
          </cell>
          <cell r="CJ2" t="str">
            <v>SCR-B3AB17B</v>
          </cell>
          <cell r="CK2" t="str">
            <v>SCR-B3AB18B</v>
          </cell>
          <cell r="CL2" t="str">
            <v>SCR-B3A</v>
          </cell>
          <cell r="CM2" t="str">
            <v>SCR-B3A</v>
          </cell>
          <cell r="CN2" t="str">
            <v>SCR-B3AB20B</v>
          </cell>
          <cell r="CO2" t="str">
            <v>SCR-B3AB21B</v>
          </cell>
          <cell r="CP2" t="str">
            <v>SCR-B3CA01A</v>
          </cell>
          <cell r="CQ2" t="str">
            <v>SCR-B3CA02A</v>
          </cell>
          <cell r="CR2" t="str">
            <v>SCR-B3CA03A</v>
          </cell>
          <cell r="CS2" t="str">
            <v>SCR-B3CA04A</v>
          </cell>
          <cell r="CT2" t="str">
            <v>SCR-B3CA05A</v>
          </cell>
          <cell r="CU2" t="str">
            <v>SCR-B3CA06A</v>
          </cell>
          <cell r="CV2" t="str">
            <v>SCR-B3CA07A</v>
          </cell>
          <cell r="CW2" t="str">
            <v>SCR-B3CA08A</v>
          </cell>
          <cell r="CX2" t="str">
            <v>SCR-B3CA09A</v>
          </cell>
          <cell r="CY2" t="str">
            <v>SCR-B3CA10A</v>
          </cell>
          <cell r="CZ2" t="str">
            <v>SCR-B3CB01B</v>
          </cell>
          <cell r="DA2" t="str">
            <v>SCR-B3CB02B</v>
          </cell>
          <cell r="DB2" t="str">
            <v>SCR-B3CB03B</v>
          </cell>
          <cell r="DC2" t="str">
            <v>SCR-B3CB04B</v>
          </cell>
          <cell r="DD2" t="str">
            <v>SCR-B3CB05B</v>
          </cell>
          <cell r="DE2" t="str">
            <v>SCR-B3CB06B</v>
          </cell>
          <cell r="DF2" t="str">
            <v>SCR-B3CB07B</v>
          </cell>
          <cell r="DG2" t="str">
            <v>SCR-B3CB08B</v>
          </cell>
          <cell r="DH2" t="str">
            <v>SCR-B3CB09B</v>
          </cell>
          <cell r="DI2" t="str">
            <v>SCR-B3CB10B</v>
          </cell>
          <cell r="DX2" t="str">
            <v>SCR-B3CA13</v>
          </cell>
          <cell r="DY2" t="str">
            <v>SCR-B3CA14</v>
          </cell>
          <cell r="DZ2" t="str">
            <v>SCR-B3CA15</v>
          </cell>
          <cell r="EA2" t="str">
            <v>SCR-B3DA01A</v>
          </cell>
          <cell r="EB2" t="str">
            <v>SCR-B3DA02A</v>
          </cell>
          <cell r="EC2" t="str">
            <v>SCR-B3DA03A</v>
          </cell>
          <cell r="ED2" t="str">
            <v>SCR-B3DA04A</v>
          </cell>
          <cell r="EE2" t="str">
            <v>SCR-B3DA05A</v>
          </cell>
          <cell r="EF2" t="str">
            <v>SCR-B3DA06A</v>
          </cell>
          <cell r="EG2" t="str">
            <v>SCR-B3DA07A</v>
          </cell>
          <cell r="EH2" t="str">
            <v>SCR-B3DA08A</v>
          </cell>
          <cell r="EI2" t="str">
            <v>SCR-B3DA09A</v>
          </cell>
          <cell r="EJ2" t="str">
            <v>SCR-B3DB01B</v>
          </cell>
          <cell r="EK2" t="str">
            <v>SCR-B3DB02B</v>
          </cell>
          <cell r="EL2" t="str">
            <v>SCR-B3DB03B</v>
          </cell>
          <cell r="EM2" t="str">
            <v>SCR-B3DB04B</v>
          </cell>
          <cell r="EN2" t="str">
            <v>SCR-B3DB05B</v>
          </cell>
          <cell r="EO2" t="str">
            <v>SCR-B3DB06B</v>
          </cell>
          <cell r="EP2" t="str">
            <v>SCR-B3DB07B</v>
          </cell>
          <cell r="EQ2" t="str">
            <v>SCR-B3DB08B</v>
          </cell>
          <cell r="ER2" t="str">
            <v>SCR-B3DB09B</v>
          </cell>
          <cell r="FD2" t="str">
            <v>SCR-B3ABE_RS</v>
          </cell>
          <cell r="FE2" t="str">
            <v>SCR-B3AABC</v>
          </cell>
          <cell r="FF2" t="str">
            <v>SCR-B3AB01A</v>
          </cell>
          <cell r="FG2" t="str">
            <v>SCR-B3AB02A</v>
          </cell>
          <cell r="FJ2" t="str">
            <v>SCR-B3AB05A</v>
          </cell>
          <cell r="FK2" t="str">
            <v>SCR-B3AB06A</v>
          </cell>
          <cell r="FL2" t="str">
            <v>SCR-B3AB07A</v>
          </cell>
          <cell r="FN2" t="str">
            <v>SCR-B3AB09A</v>
          </cell>
          <cell r="FO2" t="str">
            <v>SCR-B3AB10A</v>
          </cell>
          <cell r="FP2" t="str">
            <v>SCR-B3AB11A</v>
          </cell>
          <cell r="FQ2" t="str">
            <v>SCR-B3AB12A</v>
          </cell>
          <cell r="FS2" t="str">
            <v>SCR-B3AB14A</v>
          </cell>
          <cell r="FT2" t="str">
            <v>SCR-B3AB15A</v>
          </cell>
          <cell r="FU2" t="str">
            <v>SCR-B3AB16A</v>
          </cell>
          <cell r="FV2" t="str">
            <v>SCR-B3AB17A</v>
          </cell>
          <cell r="FW2" t="str">
            <v>SCR-B3AB18A</v>
          </cell>
          <cell r="FX2" t="str">
            <v>SCR-B3A</v>
          </cell>
          <cell r="FY2" t="str">
            <v>SCR-B3A</v>
          </cell>
          <cell r="FZ2" t="str">
            <v>SCR-B3AB20A</v>
          </cell>
          <cell r="GA2" t="str">
            <v>SCR-B3AB21A</v>
          </cell>
          <cell r="GB2" t="str">
            <v>SCR-B3CB01A</v>
          </cell>
          <cell r="GC2" t="str">
            <v>SCR-B3CB02A</v>
          </cell>
          <cell r="GD2" t="str">
            <v>SCR-B3CB03A</v>
          </cell>
          <cell r="GE2" t="str">
            <v>SCR-B3CB04A</v>
          </cell>
          <cell r="GF2" t="str">
            <v>SCR-B3CB05A</v>
          </cell>
          <cell r="GG2" t="str">
            <v>SCR-B3CB06A</v>
          </cell>
          <cell r="GH2" t="str">
            <v>SCR-B3CB07A</v>
          </cell>
          <cell r="GI2" t="str">
            <v>SCR-B3CB08A</v>
          </cell>
          <cell r="GJ2" t="str">
            <v>SCR-B3CB09A</v>
          </cell>
          <cell r="GK2" t="str">
            <v>SCR-B3CB10A</v>
          </cell>
          <cell r="GL2" t="str">
            <v>SCR-B3DB01A</v>
          </cell>
          <cell r="GM2" t="str">
            <v>SCR-B3DB02A</v>
          </cell>
          <cell r="GN2" t="str">
            <v>SCR-B3DB03A</v>
          </cell>
          <cell r="GO2" t="str">
            <v>SCR-B3DB04A</v>
          </cell>
          <cell r="GP2" t="str">
            <v>SCR-B3DB05A</v>
          </cell>
          <cell r="GQ2" t="str">
            <v>SCR-B3DB06A</v>
          </cell>
          <cell r="GR2" t="str">
            <v>SCR-B3DB07A</v>
          </cell>
          <cell r="GS2" t="str">
            <v>SCR-B3DB08A</v>
          </cell>
          <cell r="GT2" t="str">
            <v>SCR-B3DB09A</v>
          </cell>
        </row>
        <row r="3">
          <cell r="A3" t="str">
            <v>NumCol</v>
          </cell>
          <cell r="B3">
            <v>2</v>
          </cell>
          <cell r="C3">
            <v>3</v>
          </cell>
          <cell r="D3">
            <v>4</v>
          </cell>
          <cell r="E3">
            <v>5</v>
          </cell>
          <cell r="F3">
            <v>6</v>
          </cell>
          <cell r="G3">
            <v>7</v>
          </cell>
          <cell r="H3">
            <v>8</v>
          </cell>
          <cell r="I3">
            <v>9</v>
          </cell>
          <cell r="J3">
            <v>10</v>
          </cell>
          <cell r="K3">
            <v>11</v>
          </cell>
          <cell r="L3">
            <v>12</v>
          </cell>
          <cell r="M3">
            <v>13</v>
          </cell>
          <cell r="N3">
            <v>14</v>
          </cell>
          <cell r="O3">
            <v>15</v>
          </cell>
          <cell r="P3">
            <v>16</v>
          </cell>
          <cell r="Q3">
            <v>17</v>
          </cell>
          <cell r="R3">
            <v>18</v>
          </cell>
          <cell r="S3">
            <v>19</v>
          </cell>
          <cell r="T3">
            <v>20</v>
          </cell>
          <cell r="U3">
            <v>21</v>
          </cell>
          <cell r="V3">
            <v>22</v>
          </cell>
          <cell r="W3">
            <v>23</v>
          </cell>
          <cell r="X3">
            <v>24</v>
          </cell>
          <cell r="Y3">
            <v>25</v>
          </cell>
          <cell r="Z3">
            <v>26</v>
          </cell>
          <cell r="AA3">
            <v>27</v>
          </cell>
          <cell r="AB3">
            <v>28</v>
          </cell>
          <cell r="AC3">
            <v>29</v>
          </cell>
          <cell r="AD3">
            <v>30</v>
          </cell>
          <cell r="AE3">
            <v>31</v>
          </cell>
          <cell r="AF3">
            <v>32</v>
          </cell>
          <cell r="AG3">
            <v>33</v>
          </cell>
          <cell r="AH3">
            <v>34</v>
          </cell>
          <cell r="AI3">
            <v>35</v>
          </cell>
          <cell r="AJ3">
            <v>36</v>
          </cell>
          <cell r="AK3">
            <v>37</v>
          </cell>
          <cell r="AL3">
            <v>38</v>
          </cell>
          <cell r="AM3">
            <v>39</v>
          </cell>
          <cell r="AN3">
            <v>40</v>
          </cell>
          <cell r="AO3">
            <v>41</v>
          </cell>
          <cell r="AP3">
            <v>42</v>
          </cell>
          <cell r="AQ3">
            <v>43</v>
          </cell>
          <cell r="AR3">
            <v>44</v>
          </cell>
          <cell r="AS3">
            <v>45</v>
          </cell>
          <cell r="AT3">
            <v>46</v>
          </cell>
          <cell r="AU3">
            <v>47</v>
          </cell>
          <cell r="AV3">
            <v>48</v>
          </cell>
          <cell r="AW3">
            <v>49</v>
          </cell>
          <cell r="AX3">
            <v>50</v>
          </cell>
          <cell r="AY3">
            <v>51</v>
          </cell>
          <cell r="AZ3">
            <v>52</v>
          </cell>
          <cell r="BA3">
            <v>53</v>
          </cell>
          <cell r="BB3">
            <v>54</v>
          </cell>
          <cell r="BC3">
            <v>55</v>
          </cell>
          <cell r="BD3">
            <v>56</v>
          </cell>
          <cell r="BE3">
            <v>57</v>
          </cell>
          <cell r="BF3">
            <v>58</v>
          </cell>
          <cell r="BG3">
            <v>59</v>
          </cell>
          <cell r="BH3">
            <v>60</v>
          </cell>
          <cell r="BI3">
            <v>61</v>
          </cell>
          <cell r="BJ3">
            <v>62</v>
          </cell>
          <cell r="BK3">
            <v>63</v>
          </cell>
          <cell r="BL3">
            <v>64</v>
          </cell>
          <cell r="BM3">
            <v>65</v>
          </cell>
          <cell r="BN3">
            <v>66</v>
          </cell>
          <cell r="BO3">
            <v>67</v>
          </cell>
          <cell r="BP3">
            <v>68</v>
          </cell>
          <cell r="BQ3">
            <v>69</v>
          </cell>
          <cell r="BR3">
            <v>70</v>
          </cell>
          <cell r="BS3">
            <v>71</v>
          </cell>
          <cell r="BT3">
            <v>72</v>
          </cell>
          <cell r="BU3">
            <v>73</v>
          </cell>
          <cell r="BV3">
            <v>74</v>
          </cell>
          <cell r="BW3">
            <v>75</v>
          </cell>
          <cell r="BX3">
            <v>76</v>
          </cell>
          <cell r="BY3">
            <v>77</v>
          </cell>
          <cell r="BZ3">
            <v>78</v>
          </cell>
          <cell r="CA3">
            <v>79</v>
          </cell>
          <cell r="CB3">
            <v>80</v>
          </cell>
          <cell r="CC3">
            <v>81</v>
          </cell>
          <cell r="CD3">
            <v>82</v>
          </cell>
          <cell r="CE3">
            <v>83</v>
          </cell>
          <cell r="CF3">
            <v>84</v>
          </cell>
          <cell r="CG3">
            <v>85</v>
          </cell>
          <cell r="CH3">
            <v>86</v>
          </cell>
          <cell r="CI3">
            <v>87</v>
          </cell>
          <cell r="CJ3">
            <v>88</v>
          </cell>
          <cell r="CK3">
            <v>89</v>
          </cell>
          <cell r="CL3">
            <v>90</v>
          </cell>
          <cell r="CM3">
            <v>91</v>
          </cell>
          <cell r="CN3">
            <v>92</v>
          </cell>
          <cell r="CO3">
            <v>93</v>
          </cell>
          <cell r="CP3">
            <v>94</v>
          </cell>
          <cell r="CQ3">
            <v>95</v>
          </cell>
          <cell r="CR3">
            <v>96</v>
          </cell>
          <cell r="CS3">
            <v>97</v>
          </cell>
          <cell r="CT3">
            <v>98</v>
          </cell>
          <cell r="CU3">
            <v>99</v>
          </cell>
          <cell r="CV3">
            <v>100</v>
          </cell>
          <cell r="CW3">
            <v>101</v>
          </cell>
          <cell r="CX3">
            <v>102</v>
          </cell>
          <cell r="CY3">
            <v>103</v>
          </cell>
          <cell r="CZ3">
            <v>104</v>
          </cell>
          <cell r="DA3">
            <v>105</v>
          </cell>
          <cell r="DB3">
            <v>106</v>
          </cell>
          <cell r="DC3">
            <v>107</v>
          </cell>
          <cell r="DD3">
            <v>108</v>
          </cell>
          <cell r="DE3">
            <v>109</v>
          </cell>
          <cell r="DF3">
            <v>110</v>
          </cell>
          <cell r="DG3">
            <v>111</v>
          </cell>
          <cell r="DH3">
            <v>112</v>
          </cell>
          <cell r="DI3">
            <v>113</v>
          </cell>
          <cell r="DJ3">
            <v>114</v>
          </cell>
          <cell r="DK3">
            <v>115</v>
          </cell>
          <cell r="DL3">
            <v>116</v>
          </cell>
          <cell r="DM3">
            <v>117</v>
          </cell>
          <cell r="DN3">
            <v>118</v>
          </cell>
          <cell r="DO3">
            <v>119</v>
          </cell>
          <cell r="DP3">
            <v>120</v>
          </cell>
          <cell r="DQ3">
            <v>121</v>
          </cell>
          <cell r="DR3">
            <v>122</v>
          </cell>
          <cell r="DS3">
            <v>123</v>
          </cell>
          <cell r="DT3">
            <v>124</v>
          </cell>
          <cell r="DU3">
            <v>125</v>
          </cell>
          <cell r="DV3">
            <v>126</v>
          </cell>
          <cell r="DW3">
            <v>127</v>
          </cell>
          <cell r="DX3">
            <v>128</v>
          </cell>
          <cell r="DY3">
            <v>129</v>
          </cell>
          <cell r="DZ3">
            <v>130</v>
          </cell>
          <cell r="EA3">
            <v>131</v>
          </cell>
          <cell r="EB3">
            <v>132</v>
          </cell>
          <cell r="EC3">
            <v>133</v>
          </cell>
          <cell r="ED3">
            <v>134</v>
          </cell>
          <cell r="EE3">
            <v>135</v>
          </cell>
          <cell r="EF3">
            <v>136</v>
          </cell>
          <cell r="EG3">
            <v>137</v>
          </cell>
          <cell r="EH3">
            <v>138</v>
          </cell>
          <cell r="EI3">
            <v>139</v>
          </cell>
          <cell r="EJ3">
            <v>140</v>
          </cell>
          <cell r="EK3">
            <v>141</v>
          </cell>
          <cell r="EL3">
            <v>142</v>
          </cell>
          <cell r="EM3">
            <v>143</v>
          </cell>
          <cell r="EN3">
            <v>144</v>
          </cell>
          <cell r="EO3">
            <v>145</v>
          </cell>
          <cell r="EP3">
            <v>146</v>
          </cell>
          <cell r="EQ3">
            <v>147</v>
          </cell>
          <cell r="ER3">
            <v>148</v>
          </cell>
          <cell r="ES3">
            <v>149</v>
          </cell>
          <cell r="ET3">
            <v>150</v>
          </cell>
          <cell r="EU3">
            <v>151</v>
          </cell>
          <cell r="EV3">
            <v>152</v>
          </cell>
          <cell r="EW3">
            <v>153</v>
          </cell>
          <cell r="EX3">
            <v>154</v>
          </cell>
          <cell r="EY3">
            <v>155</v>
          </cell>
          <cell r="EZ3">
            <v>156</v>
          </cell>
          <cell r="FA3">
            <v>157</v>
          </cell>
          <cell r="FB3">
            <v>158</v>
          </cell>
          <cell r="FC3">
            <v>159</v>
          </cell>
          <cell r="FD3">
            <v>160</v>
          </cell>
          <cell r="FE3">
            <v>161</v>
          </cell>
          <cell r="FF3">
            <v>162</v>
          </cell>
          <cell r="FG3">
            <v>163</v>
          </cell>
          <cell r="FH3">
            <v>164</v>
          </cell>
          <cell r="FI3">
            <v>165</v>
          </cell>
          <cell r="FJ3">
            <v>166</v>
          </cell>
          <cell r="FK3">
            <v>167</v>
          </cell>
          <cell r="FL3">
            <v>168</v>
          </cell>
          <cell r="FM3">
            <v>169</v>
          </cell>
          <cell r="FN3">
            <v>170</v>
          </cell>
          <cell r="FO3">
            <v>171</v>
          </cell>
          <cell r="FP3">
            <v>172</v>
          </cell>
          <cell r="FQ3">
            <v>173</v>
          </cell>
          <cell r="FR3">
            <v>174</v>
          </cell>
          <cell r="FS3">
            <v>175</v>
          </cell>
          <cell r="FT3">
            <v>176</v>
          </cell>
          <cell r="FU3">
            <v>177</v>
          </cell>
          <cell r="FV3">
            <v>178</v>
          </cell>
          <cell r="FW3">
            <v>179</v>
          </cell>
          <cell r="FX3">
            <v>180</v>
          </cell>
          <cell r="FY3">
            <v>181</v>
          </cell>
          <cell r="FZ3">
            <v>182</v>
          </cell>
          <cell r="GA3">
            <v>183</v>
          </cell>
          <cell r="GB3">
            <v>184</v>
          </cell>
          <cell r="GC3">
            <v>185</v>
          </cell>
          <cell r="GD3">
            <v>186</v>
          </cell>
          <cell r="GE3">
            <v>187</v>
          </cell>
          <cell r="GF3">
            <v>188</v>
          </cell>
          <cell r="GG3">
            <v>189</v>
          </cell>
          <cell r="GH3">
            <v>190</v>
          </cell>
          <cell r="GI3">
            <v>191</v>
          </cell>
          <cell r="GJ3">
            <v>192</v>
          </cell>
          <cell r="GK3">
            <v>193</v>
          </cell>
          <cell r="GL3">
            <v>194</v>
          </cell>
          <cell r="GM3">
            <v>195</v>
          </cell>
          <cell r="GN3">
            <v>196</v>
          </cell>
          <cell r="GO3">
            <v>197</v>
          </cell>
          <cell r="GP3">
            <v>198</v>
          </cell>
          <cell r="GQ3">
            <v>199</v>
          </cell>
          <cell r="GR3">
            <v>200</v>
          </cell>
          <cell r="GS3">
            <v>201</v>
          </cell>
          <cell r="GT3">
            <v>202</v>
          </cell>
          <cell r="GU3">
            <v>203</v>
          </cell>
          <cell r="GV3">
            <v>204</v>
          </cell>
          <cell r="GW3">
            <v>205</v>
          </cell>
          <cell r="GX3">
            <v>206</v>
          </cell>
          <cell r="GY3">
            <v>207</v>
          </cell>
          <cell r="GZ3">
            <v>208</v>
          </cell>
          <cell r="HA3">
            <v>209</v>
          </cell>
          <cell r="HB3">
            <v>210</v>
          </cell>
          <cell r="HC3">
            <v>211</v>
          </cell>
          <cell r="HD3">
            <v>212</v>
          </cell>
        </row>
        <row r="4">
          <cell r="A4" t="str">
            <v>Templates</v>
          </cell>
          <cell r="E4" t="str">
            <v>SCR-B3A</v>
          </cell>
          <cell r="F4" t="str">
            <v>SCR-B3A</v>
          </cell>
          <cell r="G4" t="str">
            <v>SCR-B3A</v>
          </cell>
          <cell r="J4" t="str">
            <v>SCR-B3A</v>
          </cell>
          <cell r="K4" t="str">
            <v>SCR-B3A</v>
          </cell>
          <cell r="L4" t="str">
            <v>SCR-B3A</v>
          </cell>
          <cell r="N4" t="str">
            <v>SCR-B3A</v>
          </cell>
          <cell r="O4" t="str">
            <v>SCR-B3A</v>
          </cell>
          <cell r="P4" t="str">
            <v>SCR-B3A</v>
          </cell>
          <cell r="Q4" t="str">
            <v>SCR-B3A</v>
          </cell>
          <cell r="S4" t="str">
            <v>SCR-B3A</v>
          </cell>
          <cell r="T4" t="str">
            <v>SCR-B3A</v>
          </cell>
          <cell r="U4" t="str">
            <v>SCR-B3A</v>
          </cell>
          <cell r="V4" t="str">
            <v>SCR-B3A</v>
          </cell>
          <cell r="W4" t="str">
            <v>SCR-B3A</v>
          </cell>
          <cell r="X4" t="str">
            <v>SCR-B3A</v>
          </cell>
          <cell r="Y4" t="str">
            <v>SCR-B3A</v>
          </cell>
          <cell r="Z4" t="str">
            <v>SCR-B3A</v>
          </cell>
          <cell r="AA4" t="str">
            <v>SCR-B3A</v>
          </cell>
          <cell r="AB4" t="str">
            <v>SCR-B3A</v>
          </cell>
          <cell r="AC4" t="str">
            <v>SCR-B3A</v>
          </cell>
          <cell r="AF4" t="str">
            <v>SCR-B3A</v>
          </cell>
          <cell r="AG4" t="str">
            <v>SCR-B3A</v>
          </cell>
          <cell r="AH4" t="str">
            <v>SCR-B3A</v>
          </cell>
          <cell r="AJ4" t="str">
            <v>SCR-B3A</v>
          </cell>
          <cell r="AK4" t="str">
            <v>SCR-B3A</v>
          </cell>
          <cell r="AL4" t="str">
            <v>SCR-B3A</v>
          </cell>
          <cell r="AM4" t="str">
            <v>SCR-B3A</v>
          </cell>
          <cell r="AO4" t="str">
            <v>SCR-B3A</v>
          </cell>
          <cell r="AP4" t="str">
            <v>SCR-B3A</v>
          </cell>
          <cell r="AQ4" t="str">
            <v>SCR-B3A</v>
          </cell>
          <cell r="AR4" t="str">
            <v>SCR-B3A</v>
          </cell>
          <cell r="AS4" t="str">
            <v>SCR-B3A</v>
          </cell>
          <cell r="AT4" t="str">
            <v>SCR-B3A</v>
          </cell>
          <cell r="AU4" t="str">
            <v>SCR-B3A</v>
          </cell>
          <cell r="AV4" t="str">
            <v>SCR-B3A</v>
          </cell>
          <cell r="AW4" t="str">
            <v>SCR-B3A</v>
          </cell>
          <cell r="AX4" t="str">
            <v>SCR-B3A</v>
          </cell>
          <cell r="AY4" t="str">
            <v>SCR-B3A</v>
          </cell>
          <cell r="BB4" t="str">
            <v>SCR-B3A</v>
          </cell>
          <cell r="BC4" t="str">
            <v>SCR-B3A</v>
          </cell>
          <cell r="BD4" t="str">
            <v>SCR-B3A</v>
          </cell>
          <cell r="BF4" t="str">
            <v>SCR-B3A</v>
          </cell>
          <cell r="BG4" t="str">
            <v>SCR-B3A</v>
          </cell>
          <cell r="BH4" t="str">
            <v>SCR-B3A</v>
          </cell>
          <cell r="BI4" t="str">
            <v>SCR-B3A</v>
          </cell>
          <cell r="BK4" t="str">
            <v>SCR-B3A</v>
          </cell>
          <cell r="BL4" t="str">
            <v>SCR-B3A</v>
          </cell>
          <cell r="BM4" t="str">
            <v>SCR-B3A</v>
          </cell>
          <cell r="BN4" t="str">
            <v>SCR-B3A</v>
          </cell>
          <cell r="BO4" t="str">
            <v>SCR-B3A</v>
          </cell>
          <cell r="BP4" t="str">
            <v>SCR-B3A</v>
          </cell>
          <cell r="BQ4" t="str">
            <v>SCR-B3A</v>
          </cell>
          <cell r="BR4" t="str">
            <v>SCR-B3A</v>
          </cell>
          <cell r="BS4" t="str">
            <v>SCR-B3A</v>
          </cell>
          <cell r="BT4" t="str">
            <v>SCR-B3A</v>
          </cell>
          <cell r="BU4" t="str">
            <v>SCR-B3A</v>
          </cell>
          <cell r="BX4" t="str">
            <v>SCR-B3A</v>
          </cell>
          <cell r="BY4" t="str">
            <v>SCR-B3A</v>
          </cell>
          <cell r="BZ4" t="str">
            <v>SCR-B3A</v>
          </cell>
          <cell r="CB4" t="str">
            <v>SCR-B3A</v>
          </cell>
          <cell r="CC4" t="str">
            <v>SCR-B3A</v>
          </cell>
          <cell r="CD4" t="str">
            <v>SCR-B3A</v>
          </cell>
          <cell r="CE4" t="str">
            <v>SCR-B3A</v>
          </cell>
          <cell r="CG4" t="str">
            <v>SCR-B3A</v>
          </cell>
          <cell r="CH4" t="str">
            <v>SCR-B3A</v>
          </cell>
          <cell r="CI4" t="str">
            <v>SCR-B3A</v>
          </cell>
          <cell r="CJ4" t="str">
            <v>SCR-B3A</v>
          </cell>
          <cell r="CK4" t="str">
            <v>SCR-B3A</v>
          </cell>
          <cell r="CL4" t="str">
            <v>SCR-B3A</v>
          </cell>
          <cell r="CM4" t="str">
            <v>SCR-B3A</v>
          </cell>
          <cell r="CN4" t="str">
            <v>SCR-B3A</v>
          </cell>
          <cell r="CO4" t="str">
            <v>SCR-B3A</v>
          </cell>
          <cell r="CP4" t="str">
            <v>SCR-B3C</v>
          </cell>
          <cell r="CQ4" t="str">
            <v>SCR-B3C</v>
          </cell>
          <cell r="CR4" t="str">
            <v>SCR-B3C</v>
          </cell>
          <cell r="CS4" t="str">
            <v>SCR-B3C</v>
          </cell>
          <cell r="CT4" t="str">
            <v>SCR-B3C</v>
          </cell>
          <cell r="CU4" t="str">
            <v>SCR-B3C</v>
          </cell>
          <cell r="CV4" t="str">
            <v>SCR-B3C</v>
          </cell>
          <cell r="CW4" t="str">
            <v>SCR-B3C</v>
          </cell>
          <cell r="CX4" t="str">
            <v>SCR-B3C</v>
          </cell>
          <cell r="CY4" t="str">
            <v>SCR-B3C</v>
          </cell>
          <cell r="CZ4" t="str">
            <v>SCR-B3C</v>
          </cell>
          <cell r="DA4" t="str">
            <v>SCR-B3C</v>
          </cell>
          <cell r="DB4" t="str">
            <v>SCR-B3C</v>
          </cell>
          <cell r="DC4" t="str">
            <v>SCR-B3C</v>
          </cell>
          <cell r="DD4" t="str">
            <v>SCR-B3C</v>
          </cell>
          <cell r="DE4" t="str">
            <v>SCR-B3C</v>
          </cell>
          <cell r="DF4" t="str">
            <v>SCR-B3C</v>
          </cell>
          <cell r="DG4" t="str">
            <v>SCR-B3C</v>
          </cell>
          <cell r="DH4" t="str">
            <v>SCR-B3C</v>
          </cell>
          <cell r="DI4" t="str">
            <v>SCR-B3C</v>
          </cell>
          <cell r="DX4" t="str">
            <v>SCR-B3C</v>
          </cell>
          <cell r="DY4" t="str">
            <v>SCR-B3C</v>
          </cell>
          <cell r="DZ4" t="str">
            <v>SCR-B3C</v>
          </cell>
          <cell r="EA4" t="str">
            <v>SCR-B3D</v>
          </cell>
          <cell r="EB4" t="str">
            <v>SCR-B3D</v>
          </cell>
          <cell r="EC4" t="str">
            <v>SCR-B3D</v>
          </cell>
          <cell r="ED4" t="str">
            <v>SCR-B3D</v>
          </cell>
          <cell r="EE4" t="str">
            <v>SCR-B3D</v>
          </cell>
          <cell r="EF4" t="str">
            <v>SCR-B3D</v>
          </cell>
          <cell r="EG4" t="str">
            <v>SCR-B3D</v>
          </cell>
          <cell r="EH4" t="str">
            <v>SCR-B3D</v>
          </cell>
          <cell r="EI4" t="str">
            <v>SCR-B3D</v>
          </cell>
          <cell r="EJ4" t="str">
            <v>SCR-B3D</v>
          </cell>
          <cell r="EK4" t="str">
            <v>SCR-B3D</v>
          </cell>
          <cell r="EL4" t="str">
            <v>SCR-B3D</v>
          </cell>
          <cell r="EM4" t="str">
            <v>SCR-B3D</v>
          </cell>
          <cell r="EN4" t="str">
            <v>SCR-B3D</v>
          </cell>
          <cell r="EO4" t="str">
            <v>SCR-B3D</v>
          </cell>
          <cell r="EP4" t="str">
            <v>SCR-B3D</v>
          </cell>
          <cell r="EQ4" t="str">
            <v>SCR-B3D</v>
          </cell>
          <cell r="ER4" t="str">
            <v>SCR-B3D</v>
          </cell>
          <cell r="FD4" t="str">
            <v>SCR-B3A</v>
          </cell>
          <cell r="FE4" t="str">
            <v>SCR-B3A</v>
          </cell>
          <cell r="FF4" t="str">
            <v>SCR-B3A</v>
          </cell>
          <cell r="FG4" t="str">
            <v>SCR-B3A</v>
          </cell>
          <cell r="FJ4" t="str">
            <v>SCR-B3A</v>
          </cell>
          <cell r="FK4" t="str">
            <v>SCR-B3A</v>
          </cell>
          <cell r="FL4" t="str">
            <v>SCR-B3A</v>
          </cell>
          <cell r="FN4" t="str">
            <v>SCR-B3A</v>
          </cell>
          <cell r="FO4" t="str">
            <v>SCR-B3A</v>
          </cell>
          <cell r="FP4" t="str">
            <v>SCR-B3A</v>
          </cell>
          <cell r="FQ4" t="str">
            <v>SCR-B3A</v>
          </cell>
          <cell r="FS4" t="str">
            <v>SCR-B3A</v>
          </cell>
          <cell r="FT4" t="str">
            <v>SCR-B3A</v>
          </cell>
          <cell r="FU4" t="str">
            <v>SCR-B3A</v>
          </cell>
          <cell r="FV4" t="str">
            <v>SCR-B3A</v>
          </cell>
          <cell r="FW4" t="str">
            <v>SCR-B3A</v>
          </cell>
          <cell r="FX4" t="str">
            <v>SCR-B3A</v>
          </cell>
          <cell r="FY4" t="str">
            <v>SCR-B3A</v>
          </cell>
          <cell r="FZ4" t="str">
            <v>SCR-B3A</v>
          </cell>
          <cell r="GA4" t="str">
            <v>SCR-B3A</v>
          </cell>
          <cell r="GB4" t="str">
            <v>SCR-B3C</v>
          </cell>
          <cell r="GC4" t="str">
            <v>SCR-B3C</v>
          </cell>
          <cell r="GD4" t="str">
            <v>SCR-B3C</v>
          </cell>
          <cell r="GE4" t="str">
            <v>SCR-B3C</v>
          </cell>
          <cell r="GF4" t="str">
            <v>SCR-B3C</v>
          </cell>
          <cell r="GG4" t="str">
            <v>SCR-B3C</v>
          </cell>
          <cell r="GH4" t="str">
            <v>SCR-B3C</v>
          </cell>
          <cell r="GI4" t="str">
            <v>SCR-B3C</v>
          </cell>
          <cell r="GJ4" t="str">
            <v>SCR-B3C</v>
          </cell>
          <cell r="GK4" t="str">
            <v>SCR-B3C</v>
          </cell>
          <cell r="GL4" t="str">
            <v>SCR-B3D</v>
          </cell>
          <cell r="GM4" t="str">
            <v>SCR-B3D</v>
          </cell>
          <cell r="GN4" t="str">
            <v>SCR-B3D</v>
          </cell>
          <cell r="GO4" t="str">
            <v>SCR-B3D</v>
          </cell>
          <cell r="GP4" t="str">
            <v>SCR-B3D</v>
          </cell>
          <cell r="GQ4" t="str">
            <v>SCR-B3D</v>
          </cell>
          <cell r="GR4" t="str">
            <v>SCR-B3D</v>
          </cell>
          <cell r="GS4" t="str">
            <v>SCR-B3D</v>
          </cell>
          <cell r="GT4" t="str">
            <v>SCR-B3D</v>
          </cell>
        </row>
        <row r="5">
          <cell r="A5" t="str">
            <v xml:space="preserve">Cells </v>
          </cell>
          <cell r="E5" t="str">
            <v>B00</v>
          </cell>
          <cell r="F5" t="str">
            <v>A01</v>
          </cell>
          <cell r="G5" t="str">
            <v>A02</v>
          </cell>
          <cell r="J5" t="str">
            <v>A05</v>
          </cell>
          <cell r="K5" t="str">
            <v>A06</v>
          </cell>
          <cell r="L5" t="str">
            <v>A07</v>
          </cell>
          <cell r="N5" t="str">
            <v>A09</v>
          </cell>
          <cell r="O5" t="str">
            <v>A10</v>
          </cell>
          <cell r="P5" t="str">
            <v>A11</v>
          </cell>
          <cell r="Q5" t="str">
            <v>A12</v>
          </cell>
          <cell r="S5" t="str">
            <v>A14</v>
          </cell>
          <cell r="T5" t="str">
            <v>A15</v>
          </cell>
          <cell r="U5" t="str">
            <v>A16</v>
          </cell>
          <cell r="V5" t="str">
            <v>A17</v>
          </cell>
          <cell r="W5" t="str">
            <v>A18</v>
          </cell>
          <cell r="Z5" t="str">
            <v>A20</v>
          </cell>
          <cell r="AA5" t="str">
            <v>A21</v>
          </cell>
          <cell r="AB5" t="str">
            <v>B01</v>
          </cell>
          <cell r="AC5" t="str">
            <v>B02</v>
          </cell>
          <cell r="AF5" t="str">
            <v>B05</v>
          </cell>
          <cell r="AG5" t="str">
            <v>B06</v>
          </cell>
          <cell r="AH5" t="str">
            <v>B07</v>
          </cell>
          <cell r="AJ5" t="str">
            <v>B09</v>
          </cell>
          <cell r="AK5" t="str">
            <v>B10</v>
          </cell>
          <cell r="AL5" t="str">
            <v>B11</v>
          </cell>
          <cell r="AM5" t="str">
            <v>B12</v>
          </cell>
          <cell r="AO5" t="str">
            <v>B14</v>
          </cell>
          <cell r="AP5" t="str">
            <v>B15</v>
          </cell>
          <cell r="AQ5" t="str">
            <v>B16</v>
          </cell>
          <cell r="AR5" t="str">
            <v>B17</v>
          </cell>
          <cell r="AS5" t="str">
            <v>B18</v>
          </cell>
          <cell r="AV5" t="str">
            <v>B20</v>
          </cell>
          <cell r="AW5" t="str">
            <v>B21</v>
          </cell>
          <cell r="AX5" t="str">
            <v>A01A</v>
          </cell>
          <cell r="AY5" t="str">
            <v>A02A</v>
          </cell>
          <cell r="BB5" t="str">
            <v>A05A</v>
          </cell>
          <cell r="BC5" t="str">
            <v>A06A</v>
          </cell>
          <cell r="BD5" t="str">
            <v>A07A</v>
          </cell>
          <cell r="BF5" t="str">
            <v>A09A</v>
          </cell>
          <cell r="BG5" t="str">
            <v>A10A</v>
          </cell>
          <cell r="BH5" t="str">
            <v>A11A</v>
          </cell>
          <cell r="BI5" t="str">
            <v>A12A</v>
          </cell>
          <cell r="BK5" t="str">
            <v>A14A</v>
          </cell>
          <cell r="BL5" t="str">
            <v>A15A</v>
          </cell>
          <cell r="BM5" t="str">
            <v>A16A</v>
          </cell>
          <cell r="BN5" t="str">
            <v>A17A</v>
          </cell>
          <cell r="BO5" t="str">
            <v>A18A</v>
          </cell>
          <cell r="BR5" t="str">
            <v>A20A</v>
          </cell>
          <cell r="BS5" t="str">
            <v>A21A</v>
          </cell>
          <cell r="BT5" t="str">
            <v>B01B</v>
          </cell>
          <cell r="BU5" t="str">
            <v>B02B</v>
          </cell>
          <cell r="BX5" t="str">
            <v>B05B</v>
          </cell>
          <cell r="BY5" t="str">
            <v>B06B</v>
          </cell>
          <cell r="BZ5" t="str">
            <v>B07B</v>
          </cell>
          <cell r="CB5" t="str">
            <v>B09B</v>
          </cell>
          <cell r="CC5" t="str">
            <v>B10B</v>
          </cell>
          <cell r="CD5" t="str">
            <v>B11B</v>
          </cell>
          <cell r="CE5" t="str">
            <v>B12B</v>
          </cell>
          <cell r="CG5" t="str">
            <v>B14B</v>
          </cell>
          <cell r="CH5" t="str">
            <v>B15B</v>
          </cell>
          <cell r="CI5" t="str">
            <v>B16B</v>
          </cell>
          <cell r="CJ5" t="str">
            <v>B17B</v>
          </cell>
          <cell r="CK5" t="str">
            <v>B18B</v>
          </cell>
          <cell r="CN5" t="str">
            <v>B20B</v>
          </cell>
          <cell r="CO5" t="str">
            <v>B21B</v>
          </cell>
          <cell r="CP5" t="str">
            <v>A01A</v>
          </cell>
          <cell r="CQ5" t="str">
            <v>A02A</v>
          </cell>
          <cell r="CR5" t="str">
            <v>A03A</v>
          </cell>
          <cell r="CS5" t="str">
            <v>A04A</v>
          </cell>
          <cell r="CT5" t="str">
            <v>A05A</v>
          </cell>
          <cell r="CU5" t="str">
            <v>A06A</v>
          </cell>
          <cell r="CV5" t="str">
            <v>A07A</v>
          </cell>
          <cell r="CW5" t="str">
            <v>A08A</v>
          </cell>
          <cell r="CX5" t="str">
            <v>A09A</v>
          </cell>
          <cell r="CY5" t="str">
            <v>A10A</v>
          </cell>
          <cell r="CZ5" t="str">
            <v>B01B</v>
          </cell>
          <cell r="DA5" t="str">
            <v>B02B</v>
          </cell>
          <cell r="DB5" t="str">
            <v>B03B</v>
          </cell>
          <cell r="DC5" t="str">
            <v>B04B</v>
          </cell>
          <cell r="DD5" t="str">
            <v>B05B</v>
          </cell>
          <cell r="DE5" t="str">
            <v>B06B</v>
          </cell>
          <cell r="DF5" t="str">
            <v>B07B</v>
          </cell>
          <cell r="DG5" t="str">
            <v>B08B</v>
          </cell>
          <cell r="DH5" t="str">
            <v>B09B</v>
          </cell>
          <cell r="DI5" t="str">
            <v>B10B</v>
          </cell>
          <cell r="DX5" t="str">
            <v>A13</v>
          </cell>
          <cell r="DY5" t="str">
            <v>A14</v>
          </cell>
          <cell r="DZ5" t="str">
            <v>A15</v>
          </cell>
          <cell r="EA5" t="str">
            <v>A01A</v>
          </cell>
          <cell r="EB5" t="str">
            <v>A02A</v>
          </cell>
          <cell r="EC5" t="str">
            <v>A03A</v>
          </cell>
          <cell r="ED5" t="str">
            <v>A04A</v>
          </cell>
          <cell r="EE5" t="str">
            <v>A05A</v>
          </cell>
          <cell r="EF5" t="str">
            <v>A06A</v>
          </cell>
          <cell r="EG5" t="str">
            <v>A07A</v>
          </cell>
          <cell r="EH5" t="str">
            <v>A08A</v>
          </cell>
          <cell r="EI5" t="str">
            <v>A09A</v>
          </cell>
          <cell r="EJ5" t="str">
            <v>B01B</v>
          </cell>
          <cell r="EK5" t="str">
            <v>B02B</v>
          </cell>
          <cell r="EL5" t="str">
            <v>B03B</v>
          </cell>
          <cell r="EM5" t="str">
            <v>B04B</v>
          </cell>
          <cell r="EN5" t="str">
            <v>B05B</v>
          </cell>
          <cell r="EO5" t="str">
            <v>B06B</v>
          </cell>
          <cell r="EP5" t="str">
            <v>B07B</v>
          </cell>
          <cell r="EQ5" t="str">
            <v>B08B</v>
          </cell>
          <cell r="ER5" t="str">
            <v>B09B</v>
          </cell>
          <cell r="FD5" t="str">
            <v>BE_RS</v>
          </cell>
          <cell r="FE5" t="str">
            <v>ABC</v>
          </cell>
          <cell r="FF5" t="str">
            <v>B01A</v>
          </cell>
          <cell r="FG5" t="str">
            <v>B02A</v>
          </cell>
          <cell r="FJ5" t="str">
            <v>B05A</v>
          </cell>
          <cell r="FK5" t="str">
            <v>B06A</v>
          </cell>
          <cell r="FL5" t="str">
            <v>B07A</v>
          </cell>
          <cell r="FN5" t="str">
            <v>B09A</v>
          </cell>
          <cell r="FO5" t="str">
            <v>B10A</v>
          </cell>
          <cell r="FP5" t="str">
            <v>B11A</v>
          </cell>
          <cell r="FQ5" t="str">
            <v>B12A</v>
          </cell>
          <cell r="FS5" t="str">
            <v>B14A</v>
          </cell>
          <cell r="FT5" t="str">
            <v>B15A</v>
          </cell>
          <cell r="FU5" t="str">
            <v>B16A</v>
          </cell>
          <cell r="FV5" t="str">
            <v>B17A</v>
          </cell>
          <cell r="FW5" t="str">
            <v>B18A</v>
          </cell>
          <cell r="FZ5" t="str">
            <v>B20A</v>
          </cell>
          <cell r="GA5" t="str">
            <v>B21A</v>
          </cell>
          <cell r="GB5" t="str">
            <v>B01A</v>
          </cell>
          <cell r="GC5" t="str">
            <v>B02A</v>
          </cell>
          <cell r="GD5" t="str">
            <v>B03A</v>
          </cell>
          <cell r="GE5" t="str">
            <v>B04A</v>
          </cell>
          <cell r="GF5" t="str">
            <v>B05A</v>
          </cell>
          <cell r="GG5" t="str">
            <v>B06A</v>
          </cell>
          <cell r="GH5" t="str">
            <v>B07A</v>
          </cell>
          <cell r="GI5" t="str">
            <v>B08A</v>
          </cell>
          <cell r="GJ5" t="str">
            <v>B09A</v>
          </cell>
          <cell r="GK5" t="str">
            <v>B10A</v>
          </cell>
          <cell r="GL5" t="str">
            <v>B01A</v>
          </cell>
          <cell r="GM5" t="str">
            <v>B02A</v>
          </cell>
          <cell r="GN5" t="str">
            <v>B03A</v>
          </cell>
          <cell r="GO5" t="str">
            <v>B04A</v>
          </cell>
          <cell r="GP5" t="str">
            <v>B05A</v>
          </cell>
          <cell r="GQ5" t="str">
            <v>B06A</v>
          </cell>
          <cell r="GR5" t="str">
            <v>B07A</v>
          </cell>
          <cell r="GS5" t="str">
            <v>B08A</v>
          </cell>
          <cell r="GT5" t="str">
            <v>B09A</v>
          </cell>
        </row>
        <row r="6">
          <cell r="A6" t="str">
            <v>Total</v>
          </cell>
          <cell r="J6" t="str">
            <v>sum</v>
          </cell>
          <cell r="N6" t="str">
            <v>sum</v>
          </cell>
          <cell r="AF6" t="str">
            <v>sum</v>
          </cell>
          <cell r="AP6" t="str">
            <v>max</v>
          </cell>
          <cell r="AS6" t="str">
            <v>max</v>
          </cell>
          <cell r="CH6" t="str">
            <v>max</v>
          </cell>
          <cell r="CK6" t="str">
            <v>max</v>
          </cell>
        </row>
        <row r="7">
          <cell r="A7" t="str">
            <v>Key_S2</v>
          </cell>
          <cell r="B7" t="str">
            <v>Mathematical Reserve French GAAP (or outside France Reserve in local GAAP)</v>
          </cell>
          <cell r="D7" t="str">
            <v>Initial Assets Total</v>
          </cell>
          <cell r="E7" t="str">
            <v>Initial Liabilities = BE</v>
          </cell>
          <cell r="F7" t="str">
            <v>Initial Assets Interest rate Down before Shock</v>
          </cell>
          <cell r="G7" t="str">
            <v>Initial Assets Interest rate UP before Shock</v>
          </cell>
          <cell r="J7" t="str">
            <v>Initial Assets Type 1 Equity before shock</v>
          </cell>
          <cell r="K7" t="str">
            <v>Initial Assets Type 1 Equity / Strategic Participations before shock</v>
          </cell>
          <cell r="L7" t="str">
            <v>Initial Assets Type 1 Equity / Duration-based before shock</v>
          </cell>
          <cell r="N7" t="str">
            <v>Initial Assets Type 2 Equity before shock</v>
          </cell>
          <cell r="O7" t="str">
            <v>Initial Assets Type 2 Equity / Strategic Participations before shock</v>
          </cell>
          <cell r="P7" t="str">
            <v>Initial Assets Type 2 Equity / Duration-based before shock</v>
          </cell>
          <cell r="Q7" t="str">
            <v>Initial Assets Property before Shock</v>
          </cell>
          <cell r="S7" t="str">
            <v>Initial Assets Spread risk / bonds before Shock</v>
          </cell>
          <cell r="T7" t="str">
            <v>Initial Assets Spread risk / Credit derivatives before Shock</v>
          </cell>
          <cell r="U7" t="str">
            <v>Initial Assets Spread / Credit derivatives DOWN before Shock</v>
          </cell>
          <cell r="V7" t="str">
            <v>Initial Assets Spread / Credit derivatives UP before Shock</v>
          </cell>
          <cell r="W7" t="str">
            <v>Initial Assets Spread risk / Structured credit products before Shock</v>
          </cell>
          <cell r="X7" t="str">
            <v>Initial Assets Spread / Structured credit products / Underlying Assets before Shock</v>
          </cell>
          <cell r="Y7" t="str">
            <v>Initial Assets Spread / Structured credit products / Direct Shock before Shock</v>
          </cell>
          <cell r="Z7" t="str">
            <v>Initial Assets Currency before Shock</v>
          </cell>
          <cell r="AA7" t="str">
            <v>Initial Assets Illiquidity Premium before Shock</v>
          </cell>
          <cell r="AB7" t="str">
            <v xml:space="preserve">Assets after Interest rate DOWN Shock </v>
          </cell>
          <cell r="AC7" t="str">
            <v>Assets after Interest rate UP Shock</v>
          </cell>
          <cell r="AF7" t="str">
            <v>Assets after Type 1 Equity shock</v>
          </cell>
          <cell r="AG7" t="str">
            <v>Assets after Type 1 Equity / Strategic Participations shock</v>
          </cell>
          <cell r="AH7" t="str">
            <v>Assets after Type 1 Equity / Duration-based shock</v>
          </cell>
          <cell r="AJ7" t="str">
            <v>Assets after Type 2 Equity shock</v>
          </cell>
          <cell r="AK7" t="str">
            <v>Assets after Type 2 Equity / Strategic Participations shock</v>
          </cell>
          <cell r="AL7" t="str">
            <v>Assets after Type 2 Equity / Duration-based shock</v>
          </cell>
          <cell r="AM7" t="str">
            <v>Assets after Property Shock</v>
          </cell>
          <cell r="AO7" t="str">
            <v>Assets after Spread risk / bond Shock</v>
          </cell>
          <cell r="AP7" t="str">
            <v>Assets after Spread / Credit derivatives Shock</v>
          </cell>
          <cell r="AQ7" t="str">
            <v>Assets after Spread / Credit derivatives DOWN Shock</v>
          </cell>
          <cell r="AR7" t="str">
            <v>Assets after Spread / Credit derivatives UP Shock</v>
          </cell>
          <cell r="AS7" t="str">
            <v>Assets after Spread / Structured credit products Shock</v>
          </cell>
          <cell r="AT7" t="str">
            <v>Assets after Spread / Structured credit products / Underlying assets Shock</v>
          </cell>
          <cell r="AU7" t="str">
            <v>Assets after Spread / Structured credit products / Direct Shock Shock</v>
          </cell>
          <cell r="AV7" t="str">
            <v>Assets after Currency Shock</v>
          </cell>
          <cell r="AW7" t="str">
            <v>Assets after Illiquidity Premium Shock</v>
          </cell>
          <cell r="AX7" t="str">
            <v xml:space="preserve">Initial Liabilities Interest rate DOWN before Shock </v>
          </cell>
          <cell r="AY7" t="str">
            <v xml:space="preserve">Initial Liabilities Interest rate UP before Shock </v>
          </cell>
          <cell r="BB7" t="str">
            <v>Initial Liabilities Type 1 Equity before shock</v>
          </cell>
          <cell r="BC7" t="str">
            <v>Initial Liabilities Type 1 Equity / Strategic Participations before shock</v>
          </cell>
          <cell r="BD7" t="str">
            <v>Initial Liabilities Type 1 Equity / Duration-based before shock</v>
          </cell>
          <cell r="BF7" t="str">
            <v>Initial Liabilities Type 2 Equity before shock</v>
          </cell>
          <cell r="BG7" t="str">
            <v>Initial Liabilities Type 2 Equity / Strategic Participations before shock</v>
          </cell>
          <cell r="BH7" t="str">
            <v>Initial Liabilities Type 2 Equity / Duration-based before shock</v>
          </cell>
          <cell r="BI7" t="str">
            <v xml:space="preserve">Initial Liabilities Property before Shock </v>
          </cell>
          <cell r="BK7" t="str">
            <v xml:space="preserve">Initial Liabilities Spread risk / bonds before Shock </v>
          </cell>
          <cell r="BL7" t="str">
            <v xml:space="preserve">Initial Liabilities Spread / Credit derivatives before Shock </v>
          </cell>
          <cell r="BM7" t="str">
            <v>Initial Liabilities Spread / Credit derivatives DOWN before Shock</v>
          </cell>
          <cell r="BN7" t="str">
            <v>Initial Liabilities Spread / Credit derivatives UP before Shock</v>
          </cell>
          <cell r="BO7" t="str">
            <v xml:space="preserve">Initial Liabilities Spread / Structured credit products before Shock </v>
          </cell>
          <cell r="BP7" t="str">
            <v>Initial Liabilities Spread / Structured credit products / Underlying Assets before Shock</v>
          </cell>
          <cell r="BQ7" t="str">
            <v>Initial Liabilities Spread / Structured credit products / Direct Shock before Shock</v>
          </cell>
          <cell r="BR7" t="str">
            <v xml:space="preserve">Initial Liabilities Currency before Shock </v>
          </cell>
          <cell r="BS7" t="str">
            <v xml:space="preserve">Initial Liabilities Illiquidity Premium before Shock </v>
          </cell>
          <cell r="BT7" t="str">
            <v xml:space="preserve">Liabilities  after Interest rate DOWN Shock </v>
          </cell>
          <cell r="BU7" t="str">
            <v xml:space="preserve">Liabilities  after Interest rate UP Shock </v>
          </cell>
          <cell r="BX7" t="str">
            <v>Liabilities after Type 1 Equity shock</v>
          </cell>
          <cell r="BY7" t="str">
            <v>Liabilities after Type 1 Equity / Strategic Participations shock</v>
          </cell>
          <cell r="BZ7" t="str">
            <v>Liabilities after Type 1 Equity / Duration-based shock</v>
          </cell>
          <cell r="CB7" t="str">
            <v>Liabilities after Type 2 Equity shock</v>
          </cell>
          <cell r="CC7" t="str">
            <v>Liabilities after Type 2 Equity / Strategic Participations shock</v>
          </cell>
          <cell r="CD7" t="str">
            <v>Liabilities after Type 2 Equity / Duration-based shock</v>
          </cell>
          <cell r="CE7" t="str">
            <v xml:space="preserve">Liabilities  after Property Shock </v>
          </cell>
          <cell r="CG7" t="str">
            <v xml:space="preserve">Liabilities  after Spread risk / bonds Shock </v>
          </cell>
          <cell r="CH7" t="str">
            <v xml:space="preserve">Liabilities  after Spread / Credit derivatives Shock </v>
          </cell>
          <cell r="CI7" t="str">
            <v xml:space="preserve">Liabilities  after Spread / Credit derivatives DOWN Shock </v>
          </cell>
          <cell r="CJ7" t="str">
            <v xml:space="preserve">Liabilities  after Spread / Credit derivatives UP Shock </v>
          </cell>
          <cell r="CK7" t="str">
            <v xml:space="preserve">Liabilities  after Spread / Structured credit products Shock </v>
          </cell>
          <cell r="CL7" t="str">
            <v xml:space="preserve">Liabilities  after Spread / Structured credit products / Underlying Assets Shock </v>
          </cell>
          <cell r="CM7" t="str">
            <v xml:space="preserve">Liabilities  after Spread / Structured credit products / Direct Shock  Shock </v>
          </cell>
          <cell r="CN7" t="str">
            <v>Liabilities  after Currency Shock</v>
          </cell>
          <cell r="CO7" t="str">
            <v xml:space="preserve">Liabilities  after Illiquidity Premium Shock </v>
          </cell>
          <cell r="CP7" t="str">
            <v>Initial liabilities before Life mortality risk shock</v>
          </cell>
          <cell r="CQ7" t="str">
            <v>Initial liabilities before Life longevity risk shock</v>
          </cell>
          <cell r="CR7" t="str">
            <v>Initial liabilities before Life Disability risk shock</v>
          </cell>
          <cell r="CS7" t="str">
            <v>Initial liabilities before Life Lapse Up risk shock</v>
          </cell>
          <cell r="CT7" t="str">
            <v>Initial liabilities before Life Lapse Down risk shock</v>
          </cell>
          <cell r="CU7" t="str">
            <v>Initial liabilities before Life Lapse Mass non retail risk shock</v>
          </cell>
          <cell r="CV7" t="str">
            <v>Initial liabilities before Life Lapse Mass other risk shock</v>
          </cell>
          <cell r="CW7" t="str">
            <v>Initial liabilities before Life Expense risk shock</v>
          </cell>
          <cell r="CX7" t="str">
            <v>Initial liabilities before Life Revision risk shock</v>
          </cell>
          <cell r="CY7" t="str">
            <v>Initial liabilities before Life Catastrophe risk shock</v>
          </cell>
          <cell r="CZ7" t="str">
            <v xml:space="preserve">Liabilities after Life mortality risk shock </v>
          </cell>
          <cell r="DA7" t="str">
            <v xml:space="preserve">Liabilities after Life longevity risk shock </v>
          </cell>
          <cell r="DB7" t="str">
            <v xml:space="preserve">Liabilities after Life Disability risk shock </v>
          </cell>
          <cell r="DC7" t="str">
            <v xml:space="preserve">Liabilities after Life Lapse Up risk shock </v>
          </cell>
          <cell r="DD7" t="str">
            <v xml:space="preserve">Liabilities after Life Lapse Down risk shock </v>
          </cell>
          <cell r="DE7" t="str">
            <v xml:space="preserve">Liabilities after Life Lapse Mass non retail risk shock </v>
          </cell>
          <cell r="DF7" t="str">
            <v xml:space="preserve">Liabilities after Life Lapse Mass other risk shock </v>
          </cell>
          <cell r="DG7" t="str">
            <v xml:space="preserve">Liabilities after Life Expense risk shock </v>
          </cell>
          <cell r="DH7" t="str">
            <v xml:space="preserve">Liabilities after Life Revision risk shock </v>
          </cell>
          <cell r="DI7" t="str">
            <v xml:space="preserve">Liabilities after Life Catastrophe risk shock </v>
          </cell>
          <cell r="DX7" t="str">
            <v>Revision shock Used</v>
          </cell>
          <cell r="DY7" t="str">
            <v>Revision shock Standard</v>
          </cell>
          <cell r="DZ7" t="str">
            <v>Revision shock USP</v>
          </cell>
          <cell r="EA7" t="str">
            <v xml:space="preserve">Initial Liabilities SLT Health mortality risk before shock </v>
          </cell>
          <cell r="EB7" t="str">
            <v xml:space="preserve">Initial Liabilities SLT Health longevity risk before shock </v>
          </cell>
          <cell r="EC7" t="str">
            <v xml:space="preserve">Initial Liabilities SLT Health Disability risk before shock </v>
          </cell>
          <cell r="ED7" t="str">
            <v xml:space="preserve">Initial Liabilities SLT Health Lapse Up risk before shock </v>
          </cell>
          <cell r="EE7" t="str">
            <v xml:space="preserve">Initial Liabilities SLT Health Lapse Down risk before shock </v>
          </cell>
          <cell r="EF7" t="str">
            <v xml:space="preserve">Initial Liabilities SLT Health Lapse Mass non retail risk before shock </v>
          </cell>
          <cell r="EG7" t="str">
            <v xml:space="preserve">Initial Liabilities SLT Health Lapse Mass other risk before shock </v>
          </cell>
          <cell r="EH7" t="str">
            <v xml:space="preserve">Initial Liabilities SLT Health Expense risk before shock </v>
          </cell>
          <cell r="EI7" t="str">
            <v xml:space="preserve">Initial Liabilities SLT Health Revision risk before shock </v>
          </cell>
          <cell r="EJ7" t="str">
            <v xml:space="preserve">Liabilities after SLT Health mortality risk shock </v>
          </cell>
          <cell r="EK7" t="str">
            <v xml:space="preserve">Liabilities after SLT Health longevity risk shock </v>
          </cell>
          <cell r="EL7" t="str">
            <v xml:space="preserve">Liabilities after SLT Health Disability risk shock </v>
          </cell>
          <cell r="EM7" t="str">
            <v xml:space="preserve">Liabilities after SLT Health Lapse Up risk shock </v>
          </cell>
          <cell r="EN7" t="str">
            <v xml:space="preserve">Liabilities after SLT Health Lapse Down risk shock </v>
          </cell>
          <cell r="EO7" t="str">
            <v xml:space="preserve">Liabilities after SLT Health Lapse Mass non retail risk shock </v>
          </cell>
          <cell r="EP7" t="str">
            <v xml:space="preserve">Liabilities after SLT Health Lapse Mass other risk shock </v>
          </cell>
          <cell r="EQ7" t="str">
            <v xml:space="preserve">Liabilities after SLT Health Expense risk shock </v>
          </cell>
          <cell r="ER7" t="str">
            <v xml:space="preserve">Liabilities after SLT Health Revision risk shock </v>
          </cell>
          <cell r="FD7" t="str">
            <v>Initial Liabilities without FDB before Shock - Only used for CNP Assurances Market SCR Computation</v>
          </cell>
          <cell r="FE7" t="str">
            <v xml:space="preserve">Initial Liabilities without FDB before Shock </v>
          </cell>
          <cell r="FF7" t="str">
            <v xml:space="preserve">NetBeforeFDBLimit Liabilities  after Interest rate DOWN Shock </v>
          </cell>
          <cell r="FG7" t="str">
            <v xml:space="preserve">NetBeforeFDBLimit Liabilities  after Interest rate UP Shock </v>
          </cell>
          <cell r="FJ7" t="str">
            <v>NetBeforeFDBLimit Liabilities after Type 1 Equity shock</v>
          </cell>
          <cell r="FK7" t="str">
            <v>NetBeforeFDBLimit Liabilities after Type 1 Equity / Strategic Participations shock</v>
          </cell>
          <cell r="FL7" t="str">
            <v>NetBeforeFDBLimit Liabilities after Type 1 Equity / Duration-based shock</v>
          </cell>
          <cell r="FN7" t="str">
            <v>NetBeforeFDBLimit Liabilities after Type 2 Equity shock</v>
          </cell>
          <cell r="FO7" t="str">
            <v>NetBeforeFDBLimit Liabilities after Type 2 Equity / Strategic Participations shock</v>
          </cell>
          <cell r="FP7" t="str">
            <v>NetBeforeFDBLimit Liabilities after Type 2 Equity / Duration-based shock</v>
          </cell>
          <cell r="FQ7" t="str">
            <v xml:space="preserve">NetBeforeFDBLimit Liabilities  after Property Shock </v>
          </cell>
          <cell r="FS7" t="str">
            <v xml:space="preserve">NetBeforeFDBLimit Liabilities  after Spread risk / bonds Shock </v>
          </cell>
          <cell r="FT7" t="str">
            <v xml:space="preserve">NetBeforeFDBLimit Liabilities  after Spread / Credit derivatives Shock </v>
          </cell>
          <cell r="FU7" t="str">
            <v xml:space="preserve">NetBeforeFDBLimit Liabilities  after Spread / Credit derivatives DOWN Shock </v>
          </cell>
          <cell r="FV7" t="str">
            <v xml:space="preserve">NetBeforeFDBLimit Liabilities  after Spread / Credit derivatives UP Shock </v>
          </cell>
          <cell r="FW7" t="str">
            <v xml:space="preserve">NetBeforeFDBLimit Liabilities  after Spread / Structured credit products Shock </v>
          </cell>
          <cell r="FX7" t="str">
            <v xml:space="preserve">NetBeforeFDBLimit Liabilities  after Spread / Structured credit products / Underlying Assets Shock </v>
          </cell>
          <cell r="FY7" t="str">
            <v xml:space="preserve">NetBeforeFDBLimit Liabilities  after Spread / Structured credit products / Direct Shock  Shock </v>
          </cell>
          <cell r="FZ7" t="str">
            <v>NetBeforeFDBLimit Liabilities  after Currency Shock</v>
          </cell>
          <cell r="GA7" t="str">
            <v xml:space="preserve">NetBeforeFDBLimit Liabilities  after Illiquidity Premium Shock </v>
          </cell>
          <cell r="GB7" t="str">
            <v xml:space="preserve">NetBeforeFDBLimit Liabilities after Life mortality risk shock </v>
          </cell>
          <cell r="GC7" t="str">
            <v xml:space="preserve">NetBeforeFDBLimit Liabilities after Life longevity risk shock </v>
          </cell>
          <cell r="GD7" t="str">
            <v xml:space="preserve">NetBeforeFDBLimit Liabilities after Life Disability risk shock </v>
          </cell>
          <cell r="GE7" t="str">
            <v xml:space="preserve">NetBeforeFDBLimit Liabilities after Life Lapse Up risk shock </v>
          </cell>
          <cell r="GF7" t="str">
            <v xml:space="preserve">NetBeforeFDBLimit Liabilities after Life Lapse Down risk shock </v>
          </cell>
          <cell r="GG7" t="str">
            <v xml:space="preserve">NetBeforeFDBLimit Liabilities after Life Lapse Mass non retail risk shock </v>
          </cell>
          <cell r="GH7" t="str">
            <v xml:space="preserve">NetBeforeFDBLimit Liabilities after Life Lapse Mass other risk shock </v>
          </cell>
          <cell r="GI7" t="str">
            <v xml:space="preserve">NetBeforeFDBLimit Liabilities after Life Expense risk shock </v>
          </cell>
          <cell r="GJ7" t="str">
            <v xml:space="preserve">NetBeforeFDBLimit Liabilities after Life Revision risk shock </v>
          </cell>
          <cell r="GK7" t="str">
            <v xml:space="preserve">NetBeforeFDBLimit Liabilities after Life Catastrophe risk shock </v>
          </cell>
          <cell r="GL7" t="str">
            <v xml:space="preserve">NetBeforeFDBLimit Liabilities after SLT Health mortality risk shock </v>
          </cell>
          <cell r="GM7" t="str">
            <v xml:space="preserve">NetBeforeFDBLimit Liabilities after SLT Health longevity risk shock </v>
          </cell>
          <cell r="GN7" t="str">
            <v xml:space="preserve">NetBeforeFDBLimit Liabilities after SLT Health Disability risk shock </v>
          </cell>
          <cell r="GO7" t="str">
            <v xml:space="preserve">NetBeforeFDBLimit Liabilities after SLT Health Lapse Up risk shock </v>
          </cell>
          <cell r="GP7" t="str">
            <v xml:space="preserve">NetBeforeFDBLimit Liabilities after SLT Health Lapse Down risk shock </v>
          </cell>
          <cell r="GQ7" t="str">
            <v xml:space="preserve">NetBeforeFDBLimit Liabilities after SLT Health Lapse Mass non retail risk shock </v>
          </cell>
          <cell r="GR7" t="str">
            <v xml:space="preserve">NetBeforeFDBLimit Liabilities after SLT Health Lapse Mass other risk shock </v>
          </cell>
          <cell r="GS7" t="str">
            <v xml:space="preserve">NetBeforeFDBLimit Liabilities after SLT Health Expense risk shock </v>
          </cell>
          <cell r="GT7" t="str">
            <v xml:space="preserve">NetBeforeFDBLimit Liabilities after SLT Health Revision risk shock </v>
          </cell>
          <cell r="GU7" t="str">
            <v>Technical provisions for guaranteed benefits</v>
          </cell>
          <cell r="GV7" t="str">
            <v>Technical provisions Future discretionary benefits</v>
          </cell>
          <cell r="GW7" t="str">
            <v>Technical provisions for contracts without guarantees</v>
          </cell>
          <cell r="GX7" t="str">
            <v>Technical provisions for contracts with guarantees</v>
          </cell>
          <cell r="GY7" t="str">
            <v>Technical provisions for contracts without profit</v>
          </cell>
          <cell r="GZ7" t="str">
            <v>Capital-at-risk for all contracts</v>
          </cell>
          <cell r="HA7" t="str">
            <v>TP for 
non-life obligations relating to 
non-life activities</v>
          </cell>
          <cell r="HB7" t="str">
            <v>TP for 
non-life obligations relating to 
life activities</v>
          </cell>
          <cell r="HC7" t="str">
            <v>TP for 
life obligations relating to 
life activities</v>
          </cell>
          <cell r="HD7" t="str">
            <v>TP for 
life obligations relating to 
non-life activities</v>
          </cell>
        </row>
        <row r="8">
          <cell r="A8" t="str">
            <v>F_CNP_NRF_EPA_EUR_FRCE_220</v>
          </cell>
          <cell r="E8">
            <v>1068330572.1498333</v>
          </cell>
          <cell r="F8">
            <v>919961225.67180312</v>
          </cell>
          <cell r="G8">
            <v>919961225.67180312</v>
          </cell>
          <cell r="J8">
            <v>919961225.67180312</v>
          </cell>
          <cell r="K8">
            <v>919961225.67180312</v>
          </cell>
          <cell r="L8">
            <v>919961225.67180312</v>
          </cell>
          <cell r="N8">
            <v>919961225.67180312</v>
          </cell>
          <cell r="O8">
            <v>919961225.67180312</v>
          </cell>
          <cell r="P8">
            <v>919961225.67180312</v>
          </cell>
          <cell r="Q8">
            <v>919961225.67180312</v>
          </cell>
          <cell r="S8">
            <v>919961225.67180312</v>
          </cell>
          <cell r="T8">
            <v>919961225.67180312</v>
          </cell>
          <cell r="U8">
            <v>919961225.67180312</v>
          </cell>
          <cell r="V8">
            <v>919961225.67180312</v>
          </cell>
          <cell r="W8">
            <v>919961225.67180312</v>
          </cell>
          <cell r="X8">
            <v>919961225.67180312</v>
          </cell>
          <cell r="Y8">
            <v>919961225.67180312</v>
          </cell>
          <cell r="Z8">
            <v>919961225.67180312</v>
          </cell>
          <cell r="AA8">
            <v>919961225.67180312</v>
          </cell>
          <cell r="AB8">
            <v>956465713.23777223</v>
          </cell>
          <cell r="AC8">
            <v>884460855.00372124</v>
          </cell>
          <cell r="AF8">
            <v>878921044.17795241</v>
          </cell>
          <cell r="AG8">
            <v>919961225.67180312</v>
          </cell>
          <cell r="AH8">
            <v>919961225.67180312</v>
          </cell>
          <cell r="AJ8">
            <v>911989368.94229412</v>
          </cell>
          <cell r="AK8">
            <v>919961225.67180312</v>
          </cell>
          <cell r="AL8">
            <v>919961225.67180312</v>
          </cell>
          <cell r="AM8">
            <v>919535806.13179755</v>
          </cell>
          <cell r="AO8">
            <v>863843724.62326312</v>
          </cell>
          <cell r="AP8">
            <v>919961225.67180312</v>
          </cell>
          <cell r="AQ8">
            <v>919961225.67180312</v>
          </cell>
          <cell r="AR8">
            <v>919961225.67180312</v>
          </cell>
          <cell r="AS8">
            <v>919961225.67180312</v>
          </cell>
          <cell r="AT8">
            <v>919961225.67180312</v>
          </cell>
          <cell r="AU8">
            <v>919961225.67180312</v>
          </cell>
          <cell r="AV8">
            <v>914354149.6471535</v>
          </cell>
          <cell r="AW8">
            <v>918659194.38019419</v>
          </cell>
          <cell r="AX8">
            <v>1072600275.5457166</v>
          </cell>
          <cell r="AY8">
            <v>1072600275.5457166</v>
          </cell>
          <cell r="BB8">
            <v>1072600275.5457166</v>
          </cell>
          <cell r="BC8">
            <v>1072600275.5457166</v>
          </cell>
          <cell r="BD8">
            <v>1072600275.5457166</v>
          </cell>
          <cell r="BF8">
            <v>1072600275.5457166</v>
          </cell>
          <cell r="BG8">
            <v>1072600275.5457166</v>
          </cell>
          <cell r="BH8">
            <v>1072600275.5457166</v>
          </cell>
          <cell r="BI8">
            <v>1072600275.5457166</v>
          </cell>
          <cell r="BK8">
            <v>1072600275.5457166</v>
          </cell>
          <cell r="BL8">
            <v>1072600275.5457166</v>
          </cell>
          <cell r="BM8">
            <v>1072600275.5457166</v>
          </cell>
          <cell r="BN8">
            <v>1072600275.5457166</v>
          </cell>
          <cell r="BO8">
            <v>1072600275.5457166</v>
          </cell>
          <cell r="BP8">
            <v>1072600275.5457166</v>
          </cell>
          <cell r="BQ8">
            <v>1072600275.5457166</v>
          </cell>
          <cell r="BR8">
            <v>1072600275.5457166</v>
          </cell>
          <cell r="BS8">
            <v>1072600275.5457166</v>
          </cell>
          <cell r="BT8">
            <v>1230915666.6007452</v>
          </cell>
          <cell r="BU8">
            <v>964876492.1898222</v>
          </cell>
          <cell r="BX8">
            <v>1072600275.5457166</v>
          </cell>
          <cell r="BY8">
            <v>1072600275.5457166</v>
          </cell>
          <cell r="BZ8">
            <v>1072600275.5457166</v>
          </cell>
          <cell r="CB8">
            <v>1072600275.5457166</v>
          </cell>
          <cell r="CC8">
            <v>1072600275.5457166</v>
          </cell>
          <cell r="CD8">
            <v>1072600275.5457166</v>
          </cell>
          <cell r="CE8">
            <v>1072600275.5457166</v>
          </cell>
          <cell r="CG8">
            <v>1072600275.5457166</v>
          </cell>
          <cell r="CH8">
            <v>1072600275.5457166</v>
          </cell>
          <cell r="CI8">
            <v>1072600275.5457166</v>
          </cell>
          <cell r="CJ8">
            <v>1072600275.5457166</v>
          </cell>
          <cell r="CK8">
            <v>1072600275.5457166</v>
          </cell>
          <cell r="CL8">
            <v>1072600275.5457166</v>
          </cell>
          <cell r="CM8">
            <v>1072600275.5457166</v>
          </cell>
          <cell r="CN8">
            <v>1072600275.5457166</v>
          </cell>
          <cell r="CO8">
            <v>1096374887.155582</v>
          </cell>
          <cell r="FD8">
            <v>1041175094.4913008</v>
          </cell>
          <cell r="FE8">
            <v>1037867716.1979518</v>
          </cell>
          <cell r="FF8">
            <v>1219892522.6605382</v>
          </cell>
          <cell r="FG8">
            <v>971185647.09783828</v>
          </cell>
          <cell r="FJ8">
            <v>1070534213.1784167</v>
          </cell>
          <cell r="FK8">
            <v>1072600275.5457166</v>
          </cell>
          <cell r="FL8">
            <v>1072600275.5457166</v>
          </cell>
          <cell r="FN8">
            <v>1072202703.9293444</v>
          </cell>
          <cell r="FO8">
            <v>1072600275.5457166</v>
          </cell>
          <cell r="FP8">
            <v>1072600275.5457166</v>
          </cell>
          <cell r="FQ8">
            <v>1072534031.568223</v>
          </cell>
          <cell r="FS8">
            <v>1071147474.206635</v>
          </cell>
          <cell r="FT8">
            <v>1072600275.5457166</v>
          </cell>
          <cell r="FU8">
            <v>1072600275.5457166</v>
          </cell>
          <cell r="FV8">
            <v>1072600275.5457166</v>
          </cell>
          <cell r="FW8">
            <v>1072600275.5457166</v>
          </cell>
          <cell r="FX8">
            <v>1072600275.5457166</v>
          </cell>
          <cell r="FY8">
            <v>1072600275.5457166</v>
          </cell>
          <cell r="FZ8">
            <v>1072421826.5984561</v>
          </cell>
          <cell r="GA8">
            <v>1095212546.9574103</v>
          </cell>
        </row>
        <row r="9">
          <cell r="A9" t="str">
            <v>F_CNP_NRF_EPA_EUR_FRCE_270</v>
          </cell>
          <cell r="E9">
            <v>104175947055.28598</v>
          </cell>
          <cell r="F9">
            <v>105909084016.77338</v>
          </cell>
          <cell r="G9">
            <v>105909084016.77338</v>
          </cell>
          <cell r="J9">
            <v>105909084016.77338</v>
          </cell>
          <cell r="K9">
            <v>105909084016.77338</v>
          </cell>
          <cell r="L9">
            <v>105909084016.77338</v>
          </cell>
          <cell r="N9">
            <v>105909084016.77338</v>
          </cell>
          <cell r="O9">
            <v>105909084016.77338</v>
          </cell>
          <cell r="P9">
            <v>105909084016.77338</v>
          </cell>
          <cell r="Q9">
            <v>105909084016.77338</v>
          </cell>
          <cell r="S9">
            <v>105909084016.77338</v>
          </cell>
          <cell r="T9">
            <v>105909084016.77338</v>
          </cell>
          <cell r="U9">
            <v>105909084016.77338</v>
          </cell>
          <cell r="V9">
            <v>105909084016.77338</v>
          </cell>
          <cell r="W9">
            <v>105909084016.77338</v>
          </cell>
          <cell r="X9">
            <v>105909084016.77338</v>
          </cell>
          <cell r="Y9">
            <v>105909084016.77338</v>
          </cell>
          <cell r="Z9">
            <v>105909084016.77338</v>
          </cell>
          <cell r="AA9">
            <v>105909084016.77338</v>
          </cell>
          <cell r="AB9">
            <v>109816385515.44563</v>
          </cell>
          <cell r="AC9">
            <v>102092070350.57187</v>
          </cell>
          <cell r="AF9">
            <v>102230662654.72792</v>
          </cell>
          <cell r="AG9">
            <v>105909084016.77338</v>
          </cell>
          <cell r="AH9">
            <v>105909084016.77338</v>
          </cell>
          <cell r="AJ9">
            <v>105134193848.73399</v>
          </cell>
          <cell r="AK9">
            <v>105909084016.77338</v>
          </cell>
          <cell r="AL9">
            <v>105909084016.77338</v>
          </cell>
          <cell r="AM9">
            <v>105157960688.64972</v>
          </cell>
          <cell r="AO9">
            <v>102746089222.39951</v>
          </cell>
          <cell r="AP9">
            <v>105909084016.77338</v>
          </cell>
          <cell r="AQ9">
            <v>105909084016.77338</v>
          </cell>
          <cell r="AR9">
            <v>105909084016.77338</v>
          </cell>
          <cell r="AS9">
            <v>105909084016.77338</v>
          </cell>
          <cell r="AT9">
            <v>105909084016.77338</v>
          </cell>
          <cell r="AU9">
            <v>105909084016.77338</v>
          </cell>
          <cell r="AV9">
            <v>105590309189.80507</v>
          </cell>
          <cell r="AW9">
            <v>105952559677.93826</v>
          </cell>
          <cell r="AX9">
            <v>105145223495.79317</v>
          </cell>
          <cell r="AY9">
            <v>105145223495.79317</v>
          </cell>
          <cell r="BB9">
            <v>105145223495.79317</v>
          </cell>
          <cell r="BC9">
            <v>105145223495.79317</v>
          </cell>
          <cell r="BD9">
            <v>105145223495.79317</v>
          </cell>
          <cell r="BF9">
            <v>105145223495.79317</v>
          </cell>
          <cell r="BG9">
            <v>105145223495.79317</v>
          </cell>
          <cell r="BH9">
            <v>105145223495.79317</v>
          </cell>
          <cell r="BI9">
            <v>105145223495.79317</v>
          </cell>
          <cell r="BK9">
            <v>105145223495.79317</v>
          </cell>
          <cell r="BL9">
            <v>105145223495.79317</v>
          </cell>
          <cell r="BM9">
            <v>105145223495.79317</v>
          </cell>
          <cell r="BN9">
            <v>105145223495.79317</v>
          </cell>
          <cell r="BO9">
            <v>105145223495.79317</v>
          </cell>
          <cell r="BP9">
            <v>105145223495.79317</v>
          </cell>
          <cell r="BQ9">
            <v>105145223495.79317</v>
          </cell>
          <cell r="BR9">
            <v>105145223495.79317</v>
          </cell>
          <cell r="BS9">
            <v>105145223495.79317</v>
          </cell>
          <cell r="BT9">
            <v>110860120662.19624</v>
          </cell>
          <cell r="BU9">
            <v>101081315356.87564</v>
          </cell>
          <cell r="BX9">
            <v>105145223495.79317</v>
          </cell>
          <cell r="BY9">
            <v>105145223495.79317</v>
          </cell>
          <cell r="BZ9">
            <v>105145223495.79317</v>
          </cell>
          <cell r="CB9">
            <v>105145223495.79317</v>
          </cell>
          <cell r="CC9">
            <v>105145223495.79317</v>
          </cell>
          <cell r="CD9">
            <v>105145223495.79317</v>
          </cell>
          <cell r="CE9">
            <v>105145223495.79317</v>
          </cell>
          <cell r="CG9">
            <v>105145223495.79317</v>
          </cell>
          <cell r="CH9">
            <v>105145223495.79317</v>
          </cell>
          <cell r="CI9">
            <v>105145223495.79317</v>
          </cell>
          <cell r="CJ9">
            <v>105145223495.79317</v>
          </cell>
          <cell r="CK9">
            <v>105145223495.79317</v>
          </cell>
          <cell r="CL9">
            <v>105145223495.79317</v>
          </cell>
          <cell r="CM9">
            <v>105145223495.79317</v>
          </cell>
          <cell r="CN9">
            <v>105145223495.79317</v>
          </cell>
          <cell r="CO9">
            <v>106400784097.45581</v>
          </cell>
          <cell r="FD9">
            <v>87571249026.671585</v>
          </cell>
          <cell r="FE9">
            <v>87195976550.243347</v>
          </cell>
          <cell r="FF9">
            <v>109162823401.49881</v>
          </cell>
          <cell r="FG9">
            <v>101396864855.87506</v>
          </cell>
          <cell r="FJ9">
            <v>101569944773.13136</v>
          </cell>
          <cell r="FK9">
            <v>105145223495.79317</v>
          </cell>
          <cell r="FL9">
            <v>105145223495.79317</v>
          </cell>
          <cell r="FN9">
            <v>104387312836.09604</v>
          </cell>
          <cell r="FO9">
            <v>105145223495.79317</v>
          </cell>
          <cell r="FP9">
            <v>105145223495.79317</v>
          </cell>
          <cell r="FQ9">
            <v>104415325748.31589</v>
          </cell>
          <cell r="FS9">
            <v>102095071776.30856</v>
          </cell>
          <cell r="FT9">
            <v>105145223495.79317</v>
          </cell>
          <cell r="FU9">
            <v>105145223495.79317</v>
          </cell>
          <cell r="FV9">
            <v>105145223495.79317</v>
          </cell>
          <cell r="FW9">
            <v>105145223495.79317</v>
          </cell>
          <cell r="FX9">
            <v>105145223495.79317</v>
          </cell>
          <cell r="FY9">
            <v>105145223495.79317</v>
          </cell>
          <cell r="FZ9">
            <v>104833401347.37691</v>
          </cell>
          <cell r="GA9">
            <v>105201778073.06096</v>
          </cell>
        </row>
        <row r="10">
          <cell r="A10" t="str">
            <v>F_CNP_NRF_EPA_EUR_FRCE_272</v>
          </cell>
          <cell r="E10">
            <v>8454308054.6034641</v>
          </cell>
          <cell r="F10">
            <v>8884331803.9546204</v>
          </cell>
          <cell r="G10">
            <v>8884331803.9546204</v>
          </cell>
          <cell r="J10">
            <v>8884331803.9546204</v>
          </cell>
          <cell r="K10">
            <v>8884331803.9546204</v>
          </cell>
          <cell r="L10">
            <v>8884331803.9546204</v>
          </cell>
          <cell r="N10">
            <v>8884331803.9546204</v>
          </cell>
          <cell r="O10">
            <v>8884331803.9546204</v>
          </cell>
          <cell r="P10">
            <v>8884331803.9546204</v>
          </cell>
          <cell r="Q10">
            <v>8884331803.9546204</v>
          </cell>
          <cell r="S10">
            <v>8884331803.9546204</v>
          </cell>
          <cell r="T10">
            <v>8884331803.9546204</v>
          </cell>
          <cell r="U10">
            <v>8884331803.9546204</v>
          </cell>
          <cell r="V10">
            <v>8884331803.9546204</v>
          </cell>
          <cell r="W10">
            <v>8884331803.9546204</v>
          </cell>
          <cell r="X10">
            <v>8884331803.9546204</v>
          </cell>
          <cell r="Y10">
            <v>8884331803.9546204</v>
          </cell>
          <cell r="Z10">
            <v>8884331803.9546204</v>
          </cell>
          <cell r="AA10">
            <v>8884331803.9546204</v>
          </cell>
          <cell r="AB10">
            <v>9217900542.3922195</v>
          </cell>
          <cell r="AC10">
            <v>8554870251.8826761</v>
          </cell>
          <cell r="AF10">
            <v>8445936203.0017872</v>
          </cell>
          <cell r="AG10">
            <v>8884331803.9546204</v>
          </cell>
          <cell r="AH10">
            <v>8884331803.9546204</v>
          </cell>
          <cell r="AJ10">
            <v>8811577997.0524616</v>
          </cell>
          <cell r="AK10">
            <v>8884331803.9546204</v>
          </cell>
          <cell r="AL10">
            <v>8884331803.9546204</v>
          </cell>
          <cell r="AM10">
            <v>8871140749.7481899</v>
          </cell>
          <cell r="AO10">
            <v>8505379385.4678726</v>
          </cell>
          <cell r="AP10">
            <v>8884331803.9546204</v>
          </cell>
          <cell r="AQ10">
            <v>8884331803.9546204</v>
          </cell>
          <cell r="AR10">
            <v>8884331803.9546204</v>
          </cell>
          <cell r="AS10">
            <v>8884331803.9546204</v>
          </cell>
          <cell r="AT10">
            <v>8884331803.9546204</v>
          </cell>
          <cell r="AU10">
            <v>8884331803.9546204</v>
          </cell>
          <cell r="AV10">
            <v>8865427581.0401402</v>
          </cell>
          <cell r="AW10">
            <v>8884140285.3195953</v>
          </cell>
          <cell r="AX10">
            <v>8561636029.2278862</v>
          </cell>
          <cell r="AY10">
            <v>8561636029.2278862</v>
          </cell>
          <cell r="BB10">
            <v>8561636029.2278862</v>
          </cell>
          <cell r="BC10">
            <v>8561636029.2278862</v>
          </cell>
          <cell r="BD10">
            <v>8561636029.2278862</v>
          </cell>
          <cell r="BF10">
            <v>8561636029.2278862</v>
          </cell>
          <cell r="BG10">
            <v>8561636029.2278862</v>
          </cell>
          <cell r="BH10">
            <v>8561636029.2278862</v>
          </cell>
          <cell r="BI10">
            <v>8561636029.2278862</v>
          </cell>
          <cell r="BK10">
            <v>8561636029.2278862</v>
          </cell>
          <cell r="BL10">
            <v>8561636029.2278862</v>
          </cell>
          <cell r="BM10">
            <v>8561636029.2278862</v>
          </cell>
          <cell r="BN10">
            <v>8561636029.2278862</v>
          </cell>
          <cell r="BO10">
            <v>8561636029.2278862</v>
          </cell>
          <cell r="BP10">
            <v>8561636029.2278862</v>
          </cell>
          <cell r="BQ10">
            <v>8561636029.2278862</v>
          </cell>
          <cell r="BR10">
            <v>8561636029.2278862</v>
          </cell>
          <cell r="BS10">
            <v>8561636029.2278862</v>
          </cell>
          <cell r="BT10">
            <v>9027668503.0058079</v>
          </cell>
          <cell r="BU10">
            <v>8228306623.8437519</v>
          </cell>
          <cell r="BX10">
            <v>8561636029.2278862</v>
          </cell>
          <cell r="BY10">
            <v>8561636029.2278862</v>
          </cell>
          <cell r="BZ10">
            <v>8561636029.2278862</v>
          </cell>
          <cell r="CB10">
            <v>8561636029.2278862</v>
          </cell>
          <cell r="CC10">
            <v>8561636029.2278862</v>
          </cell>
          <cell r="CD10">
            <v>8561636029.2278862</v>
          </cell>
          <cell r="CE10">
            <v>8561636029.2278862</v>
          </cell>
          <cell r="CG10">
            <v>8561636029.2278862</v>
          </cell>
          <cell r="CH10">
            <v>8561636029.2278862</v>
          </cell>
          <cell r="CI10">
            <v>8561636029.2278862</v>
          </cell>
          <cell r="CJ10">
            <v>8561636029.2278862</v>
          </cell>
          <cell r="CK10">
            <v>8561636029.2278862</v>
          </cell>
          <cell r="CL10">
            <v>8561636029.2278862</v>
          </cell>
          <cell r="CM10">
            <v>8561636029.2278862</v>
          </cell>
          <cell r="CN10">
            <v>8561636029.2278862</v>
          </cell>
          <cell r="CO10">
            <v>8660582517.9528961</v>
          </cell>
          <cell r="FD10">
            <v>6988211346.9246378</v>
          </cell>
          <cell r="FE10">
            <v>6911320317.9878082</v>
          </cell>
          <cell r="FF10">
            <v>8889729278.9222183</v>
          </cell>
          <cell r="FG10">
            <v>8262803400.9619331</v>
          </cell>
          <cell r="FJ10">
            <v>8185589287.3835077</v>
          </cell>
          <cell r="FK10">
            <v>8561636029.2278862</v>
          </cell>
          <cell r="FL10">
            <v>8561636029.2278862</v>
          </cell>
          <cell r="FN10">
            <v>8496046119.5510778</v>
          </cell>
          <cell r="FO10">
            <v>8561636029.2278862</v>
          </cell>
          <cell r="FP10">
            <v>8561636029.2278862</v>
          </cell>
          <cell r="FQ10">
            <v>8549593812.9670115</v>
          </cell>
          <cell r="FS10">
            <v>8246957592.8156414</v>
          </cell>
          <cell r="FT10">
            <v>8561636029.2278862</v>
          </cell>
          <cell r="FU10">
            <v>8561636029.2278862</v>
          </cell>
          <cell r="FV10">
            <v>8561636029.2278862</v>
          </cell>
          <cell r="FW10">
            <v>8561636029.2278862</v>
          </cell>
          <cell r="FX10">
            <v>8561636029.2278862</v>
          </cell>
          <cell r="FY10">
            <v>8561636029.2278862</v>
          </cell>
          <cell r="FZ10">
            <v>8544851552.4373646</v>
          </cell>
          <cell r="GA10">
            <v>8564908656.9874029</v>
          </cell>
        </row>
        <row r="11">
          <cell r="A11" t="str">
            <v>F_CNP_NRF_EPA_EUR_FRCE_EVJ</v>
          </cell>
          <cell r="E11">
            <v>100853296986.62856</v>
          </cell>
          <cell r="F11">
            <v>102074689337.59128</v>
          </cell>
          <cell r="G11">
            <v>102074689337.59128</v>
          </cell>
          <cell r="J11">
            <v>102074689337.59128</v>
          </cell>
          <cell r="K11">
            <v>102074689337.59128</v>
          </cell>
          <cell r="L11">
            <v>102074689337.59128</v>
          </cell>
          <cell r="N11">
            <v>102074689337.59128</v>
          </cell>
          <cell r="O11">
            <v>102074689337.59128</v>
          </cell>
          <cell r="P11">
            <v>102074689337.59128</v>
          </cell>
          <cell r="Q11">
            <v>102074689337.59128</v>
          </cell>
          <cell r="S11">
            <v>102074689337.59128</v>
          </cell>
          <cell r="T11">
            <v>102074689337.59128</v>
          </cell>
          <cell r="U11">
            <v>102074689337.59128</v>
          </cell>
          <cell r="V11">
            <v>102074689337.59128</v>
          </cell>
          <cell r="W11">
            <v>102074689337.59128</v>
          </cell>
          <cell r="X11">
            <v>102074689337.59128</v>
          </cell>
          <cell r="Y11">
            <v>102074689337.59128</v>
          </cell>
          <cell r="Z11">
            <v>102074689337.59128</v>
          </cell>
          <cell r="AA11">
            <v>102074689337.59128</v>
          </cell>
          <cell r="AB11">
            <v>105793721546.202</v>
          </cell>
          <cell r="AC11">
            <v>98387072296.268692</v>
          </cell>
          <cell r="AF11">
            <v>97929172822.583008</v>
          </cell>
          <cell r="AG11">
            <v>102074689337.59128</v>
          </cell>
          <cell r="AH11">
            <v>102074689337.59128</v>
          </cell>
          <cell r="AJ11">
            <v>101319136160.17316</v>
          </cell>
          <cell r="AK11">
            <v>102074689337.59128</v>
          </cell>
          <cell r="AL11">
            <v>102074689337.59128</v>
          </cell>
          <cell r="AM11">
            <v>101341663761.8078</v>
          </cell>
          <cell r="AO11">
            <v>97837831870.28241</v>
          </cell>
          <cell r="AP11">
            <v>102074689337.59128</v>
          </cell>
          <cell r="AQ11">
            <v>102074689337.59128</v>
          </cell>
          <cell r="AR11">
            <v>102074689337.59128</v>
          </cell>
          <cell r="AS11">
            <v>102074689337.59128</v>
          </cell>
          <cell r="AT11">
            <v>102074689337.59128</v>
          </cell>
          <cell r="AU11">
            <v>102074689337.59128</v>
          </cell>
          <cell r="AV11">
            <v>101767165227.21251</v>
          </cell>
          <cell r="AW11">
            <v>102043680360.10661</v>
          </cell>
          <cell r="AX11">
            <v>100673971856.36209</v>
          </cell>
          <cell r="AY11">
            <v>100673971856.36209</v>
          </cell>
          <cell r="BB11">
            <v>100673971856.36209</v>
          </cell>
          <cell r="BC11">
            <v>100673971856.36209</v>
          </cell>
          <cell r="BD11">
            <v>100673971856.36209</v>
          </cell>
          <cell r="BF11">
            <v>100673971856.36209</v>
          </cell>
          <cell r="BG11">
            <v>100673971856.36209</v>
          </cell>
          <cell r="BH11">
            <v>100673971856.36209</v>
          </cell>
          <cell r="BI11">
            <v>100673971856.36209</v>
          </cell>
          <cell r="BK11">
            <v>100673971856.36209</v>
          </cell>
          <cell r="BL11">
            <v>100673971856.36209</v>
          </cell>
          <cell r="BM11">
            <v>100673971856.36209</v>
          </cell>
          <cell r="BN11">
            <v>100673971856.36209</v>
          </cell>
          <cell r="BO11">
            <v>100673971856.36209</v>
          </cell>
          <cell r="BP11">
            <v>100673971856.36209</v>
          </cell>
          <cell r="BQ11">
            <v>100673971856.36209</v>
          </cell>
          <cell r="BR11">
            <v>100673971856.36209</v>
          </cell>
          <cell r="BS11">
            <v>100673971856.36209</v>
          </cell>
          <cell r="BT11">
            <v>106641896777.76028</v>
          </cell>
          <cell r="BU11">
            <v>96455717417.896347</v>
          </cell>
          <cell r="BX11">
            <v>100673971856.36209</v>
          </cell>
          <cell r="BY11">
            <v>100673971856.36209</v>
          </cell>
          <cell r="BZ11">
            <v>100673971856.36209</v>
          </cell>
          <cell r="CB11">
            <v>100673971856.36209</v>
          </cell>
          <cell r="CC11">
            <v>100673971856.36209</v>
          </cell>
          <cell r="CD11">
            <v>100673971856.36209</v>
          </cell>
          <cell r="CE11">
            <v>100673971856.36209</v>
          </cell>
          <cell r="CG11">
            <v>100673971856.36209</v>
          </cell>
          <cell r="CH11">
            <v>100673971856.36209</v>
          </cell>
          <cell r="CI11">
            <v>100673971856.36209</v>
          </cell>
          <cell r="CJ11">
            <v>100673971856.36209</v>
          </cell>
          <cell r="CK11">
            <v>100673971856.36209</v>
          </cell>
          <cell r="CL11">
            <v>100673971856.36209</v>
          </cell>
          <cell r="CM11">
            <v>100673971856.36209</v>
          </cell>
          <cell r="CN11">
            <v>100673971856.36209</v>
          </cell>
          <cell r="CO11">
            <v>101995022164.30313</v>
          </cell>
          <cell r="FD11">
            <v>81875906317.927231</v>
          </cell>
          <cell r="FE11">
            <v>82071838810.86528</v>
          </cell>
          <cell r="FF11">
            <v>104354867843.8114</v>
          </cell>
          <cell r="FG11">
            <v>97131002902.174683</v>
          </cell>
          <cell r="FJ11">
            <v>96925058829.289276</v>
          </cell>
          <cell r="FK11">
            <v>100673971856.36209</v>
          </cell>
          <cell r="FL11">
            <v>100673971856.36209</v>
          </cell>
          <cell r="FN11">
            <v>99972268939.919815</v>
          </cell>
          <cell r="FO11">
            <v>100673971856.36209</v>
          </cell>
          <cell r="FP11">
            <v>100673971856.36209</v>
          </cell>
          <cell r="FQ11">
            <v>100005140500.45279</v>
          </cell>
          <cell r="FS11">
            <v>96883584491.985962</v>
          </cell>
          <cell r="FT11">
            <v>100673971856.36209</v>
          </cell>
          <cell r="FU11">
            <v>100673971856.36209</v>
          </cell>
          <cell r="FV11">
            <v>100673971856.36209</v>
          </cell>
          <cell r="FW11">
            <v>100673971856.36209</v>
          </cell>
          <cell r="FX11">
            <v>100673971856.36209</v>
          </cell>
          <cell r="FY11">
            <v>100673971856.36209</v>
          </cell>
          <cell r="FZ11">
            <v>100390411475.74054</v>
          </cell>
          <cell r="GA11">
            <v>100706455145.29135</v>
          </cell>
        </row>
        <row r="12">
          <cell r="A12" t="str">
            <v>F_CNP_NRF_EPA_EUR_FRCE_120</v>
          </cell>
          <cell r="E12">
            <v>4013914463.8508549</v>
          </cell>
          <cell r="F12">
            <v>4112663023.0968857</v>
          </cell>
          <cell r="G12">
            <v>4112663023.0968857</v>
          </cell>
          <cell r="J12">
            <v>4112663023.0968857</v>
          </cell>
          <cell r="K12">
            <v>4112663023.0968857</v>
          </cell>
          <cell r="L12">
            <v>4112663023.0968857</v>
          </cell>
          <cell r="N12">
            <v>4112663023.0968857</v>
          </cell>
          <cell r="O12">
            <v>4112663023.0968857</v>
          </cell>
          <cell r="P12">
            <v>4112663023.0968857</v>
          </cell>
          <cell r="Q12">
            <v>4112663023.0968857</v>
          </cell>
          <cell r="S12">
            <v>4112663023.0968857</v>
          </cell>
          <cell r="T12">
            <v>4112663023.0968857</v>
          </cell>
          <cell r="U12">
            <v>4112663023.0968857</v>
          </cell>
          <cell r="V12">
            <v>4112663023.0968857</v>
          </cell>
          <cell r="W12">
            <v>4112663023.0968857</v>
          </cell>
          <cell r="X12">
            <v>4112663023.0968857</v>
          </cell>
          <cell r="Y12">
            <v>4112663023.0968857</v>
          </cell>
          <cell r="Z12">
            <v>4112663023.0968857</v>
          </cell>
          <cell r="AA12">
            <v>4112663023.0968857</v>
          </cell>
          <cell r="AB12">
            <v>4273526689.1851144</v>
          </cell>
          <cell r="AC12">
            <v>3951316349.6236134</v>
          </cell>
          <cell r="AF12">
            <v>3888174608.4971867</v>
          </cell>
          <cell r="AG12">
            <v>4112663023.0968857</v>
          </cell>
          <cell r="AH12">
            <v>4112663023.0968857</v>
          </cell>
          <cell r="AJ12">
            <v>4077539697.2167048</v>
          </cell>
          <cell r="AK12">
            <v>4112663023.0968857</v>
          </cell>
          <cell r="AL12">
            <v>4112663023.0968857</v>
          </cell>
          <cell r="AM12">
            <v>4108128620.482295</v>
          </cell>
          <cell r="AO12">
            <v>3939940251.1364565</v>
          </cell>
          <cell r="AP12">
            <v>4112663023.0968857</v>
          </cell>
          <cell r="AQ12">
            <v>4112663023.0968857</v>
          </cell>
          <cell r="AR12">
            <v>4112663023.0968857</v>
          </cell>
          <cell r="AS12">
            <v>4112663023.0968857</v>
          </cell>
          <cell r="AT12">
            <v>4112663023.0968857</v>
          </cell>
          <cell r="AU12">
            <v>4112663023.0968857</v>
          </cell>
          <cell r="AV12">
            <v>4101067468.3709264</v>
          </cell>
          <cell r="AW12">
            <v>4112422073.4765701</v>
          </cell>
          <cell r="AX12">
            <v>4044492757.5610843</v>
          </cell>
          <cell r="AY12">
            <v>4044492757.5610843</v>
          </cell>
          <cell r="BB12">
            <v>4044492757.5610843</v>
          </cell>
          <cell r="BC12">
            <v>4044492757.5610843</v>
          </cell>
          <cell r="BD12">
            <v>4044492757.5610843</v>
          </cell>
          <cell r="BF12">
            <v>4044492757.5610843</v>
          </cell>
          <cell r="BG12">
            <v>4044492757.5610843</v>
          </cell>
          <cell r="BH12">
            <v>4044492757.5610843</v>
          </cell>
          <cell r="BI12">
            <v>4044492757.5610843</v>
          </cell>
          <cell r="BK12">
            <v>4044492757.5610843</v>
          </cell>
          <cell r="BL12">
            <v>4044492757.5610843</v>
          </cell>
          <cell r="BM12">
            <v>4044492757.5610843</v>
          </cell>
          <cell r="BN12">
            <v>4044492757.5610843</v>
          </cell>
          <cell r="BO12">
            <v>4044492757.5610843</v>
          </cell>
          <cell r="BP12">
            <v>4044492757.5610843</v>
          </cell>
          <cell r="BQ12">
            <v>4044492757.5610843</v>
          </cell>
          <cell r="BR12">
            <v>4044492757.5610843</v>
          </cell>
          <cell r="BS12">
            <v>4044492757.5610843</v>
          </cell>
          <cell r="BT12">
            <v>4248460088.4748058</v>
          </cell>
          <cell r="BU12">
            <v>3877685290.8677874</v>
          </cell>
          <cell r="BX12">
            <v>4044492757.5610843</v>
          </cell>
          <cell r="BY12">
            <v>4044492757.5610843</v>
          </cell>
          <cell r="BZ12">
            <v>4044492757.5610843</v>
          </cell>
          <cell r="CB12">
            <v>4044492757.5610843</v>
          </cell>
          <cell r="CC12">
            <v>4044492757.5610843</v>
          </cell>
          <cell r="CD12">
            <v>4044492757.5610843</v>
          </cell>
          <cell r="CE12">
            <v>4044492757.5610843</v>
          </cell>
          <cell r="CG12">
            <v>4044492757.5610843</v>
          </cell>
          <cell r="CH12">
            <v>4044492757.5610843</v>
          </cell>
          <cell r="CI12">
            <v>4044492757.5610843</v>
          </cell>
          <cell r="CJ12">
            <v>4044492757.5610843</v>
          </cell>
          <cell r="CK12">
            <v>4044492757.5610843</v>
          </cell>
          <cell r="CL12">
            <v>4044492757.5610843</v>
          </cell>
          <cell r="CM12">
            <v>4044492757.5610843</v>
          </cell>
          <cell r="CN12">
            <v>4044492757.5610843</v>
          </cell>
          <cell r="CO12">
            <v>4082078099.169992</v>
          </cell>
          <cell r="FD12">
            <v>3275991538.3841615</v>
          </cell>
          <cell r="FE12">
            <v>3277383603.7920818</v>
          </cell>
          <cell r="FF12">
            <v>4217661339.6562834</v>
          </cell>
          <cell r="FG12">
            <v>3880451937.1921549</v>
          </cell>
          <cell r="FJ12">
            <v>3849031899.1048889</v>
          </cell>
          <cell r="FK12">
            <v>4044492757.5610843</v>
          </cell>
          <cell r="FL12">
            <v>4044492757.5610843</v>
          </cell>
          <cell r="FN12">
            <v>4012742886.5950418</v>
          </cell>
          <cell r="FO12">
            <v>4044492757.5610843</v>
          </cell>
          <cell r="FP12">
            <v>4044492757.5610843</v>
          </cell>
          <cell r="FQ12">
            <v>4040201599.7108364</v>
          </cell>
          <cell r="FS12">
            <v>3895757988.7786279</v>
          </cell>
          <cell r="FT12">
            <v>4044492757.5610843</v>
          </cell>
          <cell r="FU12">
            <v>4044492757.5610843</v>
          </cell>
          <cell r="FV12">
            <v>4044492757.5610843</v>
          </cell>
          <cell r="FW12">
            <v>4044492757.5610843</v>
          </cell>
          <cell r="FX12">
            <v>4044492757.5610843</v>
          </cell>
          <cell r="FY12">
            <v>4044492757.5610843</v>
          </cell>
          <cell r="FZ12">
            <v>4033925893.7570171</v>
          </cell>
          <cell r="GA12">
            <v>4048677298.4265113</v>
          </cell>
        </row>
        <row r="13">
          <cell r="A13" t="str">
            <v>F_CNP_NRF_EPA_EUR_FRCE_EVC</v>
          </cell>
          <cell r="E13">
            <v>571411819.26971519</v>
          </cell>
          <cell r="F13">
            <v>353165545.48158675</v>
          </cell>
          <cell r="G13">
            <v>353165545.48158675</v>
          </cell>
          <cell r="J13">
            <v>353165545.48158675</v>
          </cell>
          <cell r="K13">
            <v>353165545.48158675</v>
          </cell>
          <cell r="L13">
            <v>353165545.48158675</v>
          </cell>
          <cell r="N13">
            <v>353165545.48158675</v>
          </cell>
          <cell r="O13">
            <v>353165545.48158675</v>
          </cell>
          <cell r="P13">
            <v>353165545.48158675</v>
          </cell>
          <cell r="Q13">
            <v>353165545.48158675</v>
          </cell>
          <cell r="S13">
            <v>353165545.48158675</v>
          </cell>
          <cell r="T13">
            <v>353165545.48158675</v>
          </cell>
          <cell r="U13">
            <v>353165545.48158675</v>
          </cell>
          <cell r="V13">
            <v>353165545.48158675</v>
          </cell>
          <cell r="W13">
            <v>353165545.48158675</v>
          </cell>
          <cell r="X13">
            <v>353165545.48158675</v>
          </cell>
          <cell r="Y13">
            <v>353165545.48158675</v>
          </cell>
          <cell r="Z13">
            <v>353165545.48158675</v>
          </cell>
          <cell r="AA13">
            <v>353165545.48158675</v>
          </cell>
          <cell r="AB13">
            <v>366169232.49327213</v>
          </cell>
          <cell r="AC13">
            <v>340242581.69368702</v>
          </cell>
          <cell r="AF13">
            <v>317870955.45432675</v>
          </cell>
          <cell r="AG13">
            <v>353165545.48158675</v>
          </cell>
          <cell r="AH13">
            <v>353165545.48158675</v>
          </cell>
          <cell r="AJ13">
            <v>352880037.56722558</v>
          </cell>
          <cell r="AK13">
            <v>353165545.48158675</v>
          </cell>
          <cell r="AL13">
            <v>353165545.48158675</v>
          </cell>
          <cell r="AM13">
            <v>347722440.60003644</v>
          </cell>
          <cell r="AO13">
            <v>339815191.01250708</v>
          </cell>
          <cell r="AP13">
            <v>353165545.48158675</v>
          </cell>
          <cell r="AQ13">
            <v>353165545.48158675</v>
          </cell>
          <cell r="AR13">
            <v>353165545.48158675</v>
          </cell>
          <cell r="AS13">
            <v>353165545.48158675</v>
          </cell>
          <cell r="AT13">
            <v>353165545.48158675</v>
          </cell>
          <cell r="AU13">
            <v>353165545.48158675</v>
          </cell>
          <cell r="AV13">
            <v>351079785.42433375</v>
          </cell>
          <cell r="AW13">
            <v>353170574.65854883</v>
          </cell>
          <cell r="AX13">
            <v>342871193.57188344</v>
          </cell>
          <cell r="AY13">
            <v>342871193.57188344</v>
          </cell>
          <cell r="BB13">
            <v>342871193.57188344</v>
          </cell>
          <cell r="BC13">
            <v>342871193.57188344</v>
          </cell>
          <cell r="BD13">
            <v>342871193.57188344</v>
          </cell>
          <cell r="BF13">
            <v>342871193.57188344</v>
          </cell>
          <cell r="BG13">
            <v>342871193.57188344</v>
          </cell>
          <cell r="BH13">
            <v>342871193.57188344</v>
          </cell>
          <cell r="BI13">
            <v>342871193.57188344</v>
          </cell>
          <cell r="BK13">
            <v>342871193.57188344</v>
          </cell>
          <cell r="BL13">
            <v>342871193.57188344</v>
          </cell>
          <cell r="BM13">
            <v>342871193.57188344</v>
          </cell>
          <cell r="BN13">
            <v>342871193.57188344</v>
          </cell>
          <cell r="BO13">
            <v>342871193.57188344</v>
          </cell>
          <cell r="BP13">
            <v>342871193.57188344</v>
          </cell>
          <cell r="BQ13">
            <v>342871193.57188344</v>
          </cell>
          <cell r="BR13">
            <v>342871193.57188344</v>
          </cell>
          <cell r="BS13">
            <v>342871193.57188344</v>
          </cell>
          <cell r="BT13">
            <v>358744773.05551112</v>
          </cell>
          <cell r="BU13">
            <v>327680536.35718155</v>
          </cell>
          <cell r="BX13">
            <v>342871193.57188344</v>
          </cell>
          <cell r="BY13">
            <v>342871193.57188344</v>
          </cell>
          <cell r="BZ13">
            <v>342871193.57188344</v>
          </cell>
          <cell r="CB13">
            <v>342871193.57188344</v>
          </cell>
          <cell r="CC13">
            <v>342871193.57188344</v>
          </cell>
          <cell r="CD13">
            <v>342871193.57188344</v>
          </cell>
          <cell r="CE13">
            <v>342871193.57188344</v>
          </cell>
          <cell r="CG13">
            <v>342871193.57188344</v>
          </cell>
          <cell r="CH13">
            <v>342871193.57188344</v>
          </cell>
          <cell r="CI13">
            <v>342871193.57188344</v>
          </cell>
          <cell r="CJ13">
            <v>342871193.57188344</v>
          </cell>
          <cell r="CK13">
            <v>342871193.57188344</v>
          </cell>
          <cell r="CL13">
            <v>342871193.57188344</v>
          </cell>
          <cell r="CM13">
            <v>342871193.57188344</v>
          </cell>
          <cell r="CN13">
            <v>342871193.57188344</v>
          </cell>
          <cell r="CO13">
            <v>344941969.7315315</v>
          </cell>
          <cell r="FD13">
            <v>247835958.1157819</v>
          </cell>
          <cell r="FE13">
            <v>465812157.80757582</v>
          </cell>
          <cell r="FF13">
            <v>355907720.46978426</v>
          </cell>
          <cell r="FG13">
            <v>330191551.19927299</v>
          </cell>
          <cell r="FJ13">
            <v>307527343.89404547</v>
          </cell>
          <cell r="FK13">
            <v>342871193.57188344</v>
          </cell>
          <cell r="FL13">
            <v>342871193.57188344</v>
          </cell>
          <cell r="FN13">
            <v>342569594.63922</v>
          </cell>
          <cell r="FO13">
            <v>342871193.57188344</v>
          </cell>
          <cell r="FP13">
            <v>342871193.57188344</v>
          </cell>
          <cell r="FQ13">
            <v>337420005.05819106</v>
          </cell>
          <cell r="FS13">
            <v>329455791.99287421</v>
          </cell>
          <cell r="FT13">
            <v>342871193.57188344</v>
          </cell>
          <cell r="FU13">
            <v>342871193.57188344</v>
          </cell>
          <cell r="FV13">
            <v>342871193.57188344</v>
          </cell>
          <cell r="FW13">
            <v>342871193.57188344</v>
          </cell>
          <cell r="FX13">
            <v>342871193.57188344</v>
          </cell>
          <cell r="FY13">
            <v>342871193.57188344</v>
          </cell>
          <cell r="FZ13">
            <v>340785544.76787376</v>
          </cell>
          <cell r="GA13">
            <v>342783852.12324142</v>
          </cell>
        </row>
        <row r="14">
          <cell r="A14" t="str">
            <v>F_CNP_NRF_EPA_EUR_FRCE_201</v>
          </cell>
          <cell r="E14">
            <v>578316683.43161058</v>
          </cell>
          <cell r="F14">
            <v>488766199.45585793</v>
          </cell>
          <cell r="G14">
            <v>488766199.45585793</v>
          </cell>
          <cell r="J14">
            <v>488766199.45585793</v>
          </cell>
          <cell r="K14">
            <v>488766199.45585793</v>
          </cell>
          <cell r="L14">
            <v>488766199.45585793</v>
          </cell>
          <cell r="N14">
            <v>488766199.45585793</v>
          </cell>
          <cell r="O14">
            <v>488766199.45585793</v>
          </cell>
          <cell r="P14">
            <v>488766199.45585793</v>
          </cell>
          <cell r="Q14">
            <v>488766199.45585793</v>
          </cell>
          <cell r="S14">
            <v>488766199.45585793</v>
          </cell>
          <cell r="T14">
            <v>488766199.45585793</v>
          </cell>
          <cell r="U14">
            <v>488766199.45585793</v>
          </cell>
          <cell r="V14">
            <v>488766199.45585793</v>
          </cell>
          <cell r="W14">
            <v>488766199.45585793</v>
          </cell>
          <cell r="X14">
            <v>488766199.45585793</v>
          </cell>
          <cell r="Y14">
            <v>488766199.45585793</v>
          </cell>
          <cell r="Z14">
            <v>488766199.45585793</v>
          </cell>
          <cell r="AA14">
            <v>488766199.45585793</v>
          </cell>
          <cell r="AB14">
            <v>507392972.7072286</v>
          </cell>
          <cell r="AC14">
            <v>470740967.35683537</v>
          </cell>
          <cell r="AF14">
            <v>446784010.18329847</v>
          </cell>
          <cell r="AG14">
            <v>488766199.45585793</v>
          </cell>
          <cell r="AH14">
            <v>488766199.45585793</v>
          </cell>
          <cell r="AJ14">
            <v>483167500.55207467</v>
          </cell>
          <cell r="AK14">
            <v>488766199.45585793</v>
          </cell>
          <cell r="AL14">
            <v>488766199.45585793</v>
          </cell>
          <cell r="AM14">
            <v>481349117.80809653</v>
          </cell>
          <cell r="AO14">
            <v>465600861.6907286</v>
          </cell>
          <cell r="AP14">
            <v>488766199.45585793</v>
          </cell>
          <cell r="AQ14">
            <v>488766199.45585793</v>
          </cell>
          <cell r="AR14">
            <v>488766199.45585793</v>
          </cell>
          <cell r="AS14">
            <v>488766199.45585793</v>
          </cell>
          <cell r="AT14">
            <v>488766199.45585793</v>
          </cell>
          <cell r="AU14">
            <v>488766199.45585793</v>
          </cell>
          <cell r="AV14">
            <v>485189399.79534775</v>
          </cell>
          <cell r="AW14">
            <v>488604457.01137275</v>
          </cell>
          <cell r="AX14">
            <v>489271557.62375474</v>
          </cell>
          <cell r="AY14">
            <v>489271557.62375474</v>
          </cell>
          <cell r="BB14">
            <v>489271557.62375474</v>
          </cell>
          <cell r="BC14">
            <v>489271557.62375474</v>
          </cell>
          <cell r="BD14">
            <v>489271557.62375474</v>
          </cell>
          <cell r="BF14">
            <v>489271557.62375474</v>
          </cell>
          <cell r="BG14">
            <v>489271557.62375474</v>
          </cell>
          <cell r="BH14">
            <v>489271557.62375474</v>
          </cell>
          <cell r="BI14">
            <v>489271557.62375474</v>
          </cell>
          <cell r="BK14">
            <v>489271557.62375474</v>
          </cell>
          <cell r="BL14">
            <v>489271557.62375474</v>
          </cell>
          <cell r="BM14">
            <v>489271557.62375474</v>
          </cell>
          <cell r="BN14">
            <v>489271557.62375474</v>
          </cell>
          <cell r="BO14">
            <v>489271557.62375474</v>
          </cell>
          <cell r="BP14">
            <v>489271557.62375474</v>
          </cell>
          <cell r="BQ14">
            <v>489271557.62375474</v>
          </cell>
          <cell r="BR14">
            <v>489271557.62375474</v>
          </cell>
          <cell r="BS14">
            <v>489271557.62375474</v>
          </cell>
          <cell r="BT14">
            <v>526188121.77307147</v>
          </cell>
          <cell r="BU14">
            <v>461474376.19975543</v>
          </cell>
          <cell r="BX14">
            <v>489271557.62375474</v>
          </cell>
          <cell r="BY14">
            <v>489271557.62375474</v>
          </cell>
          <cell r="BZ14">
            <v>489271557.62375474</v>
          </cell>
          <cell r="CB14">
            <v>489271557.62375474</v>
          </cell>
          <cell r="CC14">
            <v>489271557.62375474</v>
          </cell>
          <cell r="CD14">
            <v>489271557.62375474</v>
          </cell>
          <cell r="CE14">
            <v>489271557.62375474</v>
          </cell>
          <cell r="CG14">
            <v>489271557.62375474</v>
          </cell>
          <cell r="CH14">
            <v>489271557.62375474</v>
          </cell>
          <cell r="CI14">
            <v>489271557.62375474</v>
          </cell>
          <cell r="CJ14">
            <v>489271557.62375474</v>
          </cell>
          <cell r="CK14">
            <v>489271557.62375474</v>
          </cell>
          <cell r="CL14">
            <v>489271557.62375474</v>
          </cell>
          <cell r="CM14">
            <v>489271557.62375474</v>
          </cell>
          <cell r="CN14">
            <v>489271557.62375474</v>
          </cell>
          <cell r="CO14">
            <v>496024244.21402872</v>
          </cell>
          <cell r="FD14">
            <v>398718271.63001782</v>
          </cell>
          <cell r="FE14">
            <v>488121720.34786683</v>
          </cell>
          <cell r="FF14">
            <v>514024805.02572227</v>
          </cell>
          <cell r="FG14">
            <v>467861721.49193388</v>
          </cell>
          <cell r="FJ14">
            <v>455227733.05755997</v>
          </cell>
          <cell r="FK14">
            <v>489271557.62375474</v>
          </cell>
          <cell r="FL14">
            <v>489271557.62375474</v>
          </cell>
          <cell r="FN14">
            <v>484414991.80430573</v>
          </cell>
          <cell r="FO14">
            <v>489271557.62375474</v>
          </cell>
          <cell r="FP14">
            <v>489271557.62375474</v>
          </cell>
          <cell r="FQ14">
            <v>483018493.12549323</v>
          </cell>
          <cell r="FS14">
            <v>470636331.13300484</v>
          </cell>
          <cell r="FT14">
            <v>489271557.62375474</v>
          </cell>
          <cell r="FU14">
            <v>489271557.62375474</v>
          </cell>
          <cell r="FV14">
            <v>489271557.62375474</v>
          </cell>
          <cell r="FW14">
            <v>489271557.62375474</v>
          </cell>
          <cell r="FX14">
            <v>489271557.62375474</v>
          </cell>
          <cell r="FY14">
            <v>489271557.62375474</v>
          </cell>
          <cell r="FZ14">
            <v>486193542.90152365</v>
          </cell>
          <cell r="GA14">
            <v>490484093.40192854</v>
          </cell>
        </row>
        <row r="15">
          <cell r="A15" t="str">
            <v>F_CNP_NRF_EPA_EUR_FRCE_200</v>
          </cell>
          <cell r="E15">
            <v>15855269.481361402</v>
          </cell>
          <cell r="F15">
            <v>0</v>
          </cell>
          <cell r="G15">
            <v>0</v>
          </cell>
          <cell r="J15">
            <v>0</v>
          </cell>
          <cell r="K15">
            <v>0</v>
          </cell>
          <cell r="L15">
            <v>0</v>
          </cell>
          <cell r="N15">
            <v>0</v>
          </cell>
          <cell r="O15">
            <v>0</v>
          </cell>
          <cell r="P15">
            <v>0</v>
          </cell>
          <cell r="Q15">
            <v>0</v>
          </cell>
          <cell r="S15">
            <v>0</v>
          </cell>
          <cell r="T15">
            <v>0</v>
          </cell>
          <cell r="U15">
            <v>0</v>
          </cell>
          <cell r="V15">
            <v>0</v>
          </cell>
          <cell r="W15">
            <v>0</v>
          </cell>
          <cell r="X15">
            <v>0</v>
          </cell>
          <cell r="Y15">
            <v>0</v>
          </cell>
          <cell r="Z15">
            <v>0</v>
          </cell>
          <cell r="AA15">
            <v>0</v>
          </cell>
          <cell r="AB15">
            <v>0</v>
          </cell>
          <cell r="AC15">
            <v>0</v>
          </cell>
          <cell r="AF15">
            <v>0</v>
          </cell>
          <cell r="AG15">
            <v>0</v>
          </cell>
          <cell r="AH15">
            <v>0</v>
          </cell>
          <cell r="AJ15">
            <v>0</v>
          </cell>
          <cell r="AK15">
            <v>0</v>
          </cell>
          <cell r="AL15">
            <v>0</v>
          </cell>
          <cell r="AM15">
            <v>0</v>
          </cell>
          <cell r="AO15">
            <v>0</v>
          </cell>
          <cell r="AP15">
            <v>0</v>
          </cell>
          <cell r="AQ15">
            <v>0</v>
          </cell>
          <cell r="AR15">
            <v>0</v>
          </cell>
          <cell r="AS15">
            <v>0</v>
          </cell>
          <cell r="AT15">
            <v>0</v>
          </cell>
          <cell r="AU15">
            <v>0</v>
          </cell>
          <cell r="AV15">
            <v>0</v>
          </cell>
          <cell r="AW15">
            <v>0</v>
          </cell>
          <cell r="AX15">
            <v>0</v>
          </cell>
          <cell r="AY15">
            <v>0</v>
          </cell>
          <cell r="BB15">
            <v>0</v>
          </cell>
          <cell r="BC15">
            <v>0</v>
          </cell>
          <cell r="BD15">
            <v>0</v>
          </cell>
          <cell r="BF15">
            <v>0</v>
          </cell>
          <cell r="BG15">
            <v>0</v>
          </cell>
          <cell r="BH15">
            <v>0</v>
          </cell>
          <cell r="BI15">
            <v>0</v>
          </cell>
          <cell r="BK15">
            <v>0</v>
          </cell>
          <cell r="BL15">
            <v>0</v>
          </cell>
          <cell r="BM15">
            <v>0</v>
          </cell>
          <cell r="BN15">
            <v>0</v>
          </cell>
          <cell r="BO15">
            <v>0</v>
          </cell>
          <cell r="BP15">
            <v>0</v>
          </cell>
          <cell r="BQ15">
            <v>0</v>
          </cell>
          <cell r="BR15">
            <v>0</v>
          </cell>
          <cell r="BS15">
            <v>0</v>
          </cell>
          <cell r="BT15">
            <v>0</v>
          </cell>
          <cell r="BU15">
            <v>0</v>
          </cell>
          <cell r="BX15">
            <v>0</v>
          </cell>
          <cell r="BY15">
            <v>0</v>
          </cell>
          <cell r="BZ15">
            <v>0</v>
          </cell>
          <cell r="CB15">
            <v>0</v>
          </cell>
          <cell r="CC15">
            <v>0</v>
          </cell>
          <cell r="CD15">
            <v>0</v>
          </cell>
          <cell r="CE15">
            <v>0</v>
          </cell>
          <cell r="CG15">
            <v>0</v>
          </cell>
          <cell r="CH15">
            <v>0</v>
          </cell>
          <cell r="CI15">
            <v>0</v>
          </cell>
          <cell r="CJ15">
            <v>0</v>
          </cell>
          <cell r="CK15">
            <v>0</v>
          </cell>
          <cell r="CL15">
            <v>0</v>
          </cell>
          <cell r="CM15">
            <v>0</v>
          </cell>
          <cell r="CN15">
            <v>0</v>
          </cell>
          <cell r="CO15">
            <v>0</v>
          </cell>
          <cell r="FD15">
            <v>0</v>
          </cell>
          <cell r="FE15">
            <v>12935573.716844013</v>
          </cell>
          <cell r="FF15">
            <v>0</v>
          </cell>
          <cell r="FG15">
            <v>0</v>
          </cell>
          <cell r="FJ15">
            <v>0</v>
          </cell>
          <cell r="FK15">
            <v>0</v>
          </cell>
          <cell r="FL15">
            <v>0</v>
          </cell>
          <cell r="FN15">
            <v>0</v>
          </cell>
          <cell r="FO15">
            <v>0</v>
          </cell>
          <cell r="FP15">
            <v>0</v>
          </cell>
          <cell r="FQ15">
            <v>0</v>
          </cell>
          <cell r="FS15">
            <v>0</v>
          </cell>
          <cell r="FT15">
            <v>0</v>
          </cell>
          <cell r="FU15">
            <v>0</v>
          </cell>
          <cell r="FV15">
            <v>0</v>
          </cell>
          <cell r="FW15">
            <v>0</v>
          </cell>
          <cell r="FX15">
            <v>0</v>
          </cell>
          <cell r="FY15">
            <v>0</v>
          </cell>
          <cell r="FZ15">
            <v>0</v>
          </cell>
          <cell r="GA15">
            <v>0</v>
          </cell>
        </row>
        <row r="16">
          <cell r="A16" t="str">
            <v>F_CNP_NRF_EPA_EUR_FRCE_234</v>
          </cell>
          <cell r="E16">
            <v>0</v>
          </cell>
          <cell r="F16">
            <v>0</v>
          </cell>
          <cell r="G16">
            <v>0</v>
          </cell>
          <cell r="J16">
            <v>0</v>
          </cell>
          <cell r="K16">
            <v>0</v>
          </cell>
          <cell r="L16">
            <v>0</v>
          </cell>
          <cell r="N16">
            <v>0</v>
          </cell>
          <cell r="O16">
            <v>0</v>
          </cell>
          <cell r="P16">
            <v>0</v>
          </cell>
          <cell r="Q16">
            <v>0</v>
          </cell>
          <cell r="S16">
            <v>0</v>
          </cell>
          <cell r="T16">
            <v>0</v>
          </cell>
          <cell r="U16">
            <v>0</v>
          </cell>
          <cell r="V16">
            <v>0</v>
          </cell>
          <cell r="W16">
            <v>0</v>
          </cell>
          <cell r="X16">
            <v>0</v>
          </cell>
          <cell r="Y16">
            <v>0</v>
          </cell>
          <cell r="Z16">
            <v>0</v>
          </cell>
          <cell r="AA16">
            <v>0</v>
          </cell>
          <cell r="AB16">
            <v>0</v>
          </cell>
          <cell r="AC16">
            <v>0</v>
          </cell>
          <cell r="AF16">
            <v>0</v>
          </cell>
          <cell r="AG16">
            <v>0</v>
          </cell>
          <cell r="AH16">
            <v>0</v>
          </cell>
          <cell r="AJ16">
            <v>0</v>
          </cell>
          <cell r="AK16">
            <v>0</v>
          </cell>
          <cell r="AL16">
            <v>0</v>
          </cell>
          <cell r="AM16">
            <v>0</v>
          </cell>
          <cell r="AO16">
            <v>0</v>
          </cell>
          <cell r="AP16">
            <v>0</v>
          </cell>
          <cell r="AQ16">
            <v>0</v>
          </cell>
          <cell r="AR16">
            <v>0</v>
          </cell>
          <cell r="AS16">
            <v>0</v>
          </cell>
          <cell r="AT16">
            <v>0</v>
          </cell>
          <cell r="AU16">
            <v>0</v>
          </cell>
          <cell r="AV16">
            <v>0</v>
          </cell>
          <cell r="AW16">
            <v>0</v>
          </cell>
          <cell r="AX16">
            <v>0</v>
          </cell>
          <cell r="AY16">
            <v>0</v>
          </cell>
          <cell r="BB16">
            <v>0</v>
          </cell>
          <cell r="BC16">
            <v>0</v>
          </cell>
          <cell r="BD16">
            <v>0</v>
          </cell>
          <cell r="BF16">
            <v>0</v>
          </cell>
          <cell r="BG16">
            <v>0</v>
          </cell>
          <cell r="BH16">
            <v>0</v>
          </cell>
          <cell r="BI16">
            <v>0</v>
          </cell>
          <cell r="BK16">
            <v>0</v>
          </cell>
          <cell r="BL16">
            <v>0</v>
          </cell>
          <cell r="BM16">
            <v>0</v>
          </cell>
          <cell r="BN16">
            <v>0</v>
          </cell>
          <cell r="BO16">
            <v>0</v>
          </cell>
          <cell r="BP16">
            <v>0</v>
          </cell>
          <cell r="BQ16">
            <v>0</v>
          </cell>
          <cell r="BR16">
            <v>0</v>
          </cell>
          <cell r="BS16">
            <v>0</v>
          </cell>
          <cell r="BT16">
            <v>0</v>
          </cell>
          <cell r="BU16">
            <v>0</v>
          </cell>
          <cell r="BX16">
            <v>0</v>
          </cell>
          <cell r="BY16">
            <v>0</v>
          </cell>
          <cell r="BZ16">
            <v>0</v>
          </cell>
          <cell r="CB16">
            <v>0</v>
          </cell>
          <cell r="CC16">
            <v>0</v>
          </cell>
          <cell r="CD16">
            <v>0</v>
          </cell>
          <cell r="CE16">
            <v>0</v>
          </cell>
          <cell r="CG16">
            <v>0</v>
          </cell>
          <cell r="CH16">
            <v>0</v>
          </cell>
          <cell r="CI16">
            <v>0</v>
          </cell>
          <cell r="CJ16">
            <v>0</v>
          </cell>
          <cell r="CK16">
            <v>0</v>
          </cell>
          <cell r="CL16">
            <v>0</v>
          </cell>
          <cell r="CM16">
            <v>0</v>
          </cell>
          <cell r="CN16">
            <v>0</v>
          </cell>
          <cell r="CO16">
            <v>0</v>
          </cell>
          <cell r="FD16">
            <v>0</v>
          </cell>
          <cell r="FE16">
            <v>0</v>
          </cell>
          <cell r="FF16">
            <v>0</v>
          </cell>
          <cell r="FG16">
            <v>0</v>
          </cell>
          <cell r="FJ16">
            <v>0</v>
          </cell>
          <cell r="FK16">
            <v>0</v>
          </cell>
          <cell r="FL16">
            <v>0</v>
          </cell>
          <cell r="FN16">
            <v>0</v>
          </cell>
          <cell r="FO16">
            <v>0</v>
          </cell>
          <cell r="FP16">
            <v>0</v>
          </cell>
          <cell r="FQ16">
            <v>0</v>
          </cell>
          <cell r="FS16">
            <v>0</v>
          </cell>
          <cell r="FT16">
            <v>0</v>
          </cell>
          <cell r="FU16">
            <v>0</v>
          </cell>
          <cell r="FV16">
            <v>0</v>
          </cell>
          <cell r="FW16">
            <v>0</v>
          </cell>
          <cell r="FX16">
            <v>0</v>
          </cell>
          <cell r="FY16">
            <v>0</v>
          </cell>
          <cell r="FZ16">
            <v>0</v>
          </cell>
          <cell r="GA16">
            <v>0</v>
          </cell>
        </row>
        <row r="17">
          <cell r="A17" t="str">
            <v>F_CNP_NRF_EPA_EUR_FRCE_ETR</v>
          </cell>
          <cell r="E17">
            <v>165.24</v>
          </cell>
          <cell r="F17">
            <v>0</v>
          </cell>
          <cell r="G17">
            <v>0</v>
          </cell>
          <cell r="J17">
            <v>0</v>
          </cell>
          <cell r="K17">
            <v>0</v>
          </cell>
          <cell r="L17">
            <v>0</v>
          </cell>
          <cell r="N17">
            <v>0</v>
          </cell>
          <cell r="O17">
            <v>0</v>
          </cell>
          <cell r="P17">
            <v>0</v>
          </cell>
          <cell r="Q17">
            <v>0</v>
          </cell>
          <cell r="S17">
            <v>0</v>
          </cell>
          <cell r="T17">
            <v>0</v>
          </cell>
          <cell r="U17">
            <v>0</v>
          </cell>
          <cell r="V17">
            <v>0</v>
          </cell>
          <cell r="W17">
            <v>0</v>
          </cell>
          <cell r="X17">
            <v>0</v>
          </cell>
          <cell r="Y17">
            <v>0</v>
          </cell>
          <cell r="Z17">
            <v>0</v>
          </cell>
          <cell r="AA17">
            <v>0</v>
          </cell>
          <cell r="AB17">
            <v>0</v>
          </cell>
          <cell r="AC17">
            <v>0</v>
          </cell>
          <cell r="AF17">
            <v>0</v>
          </cell>
          <cell r="AG17">
            <v>0</v>
          </cell>
          <cell r="AH17">
            <v>0</v>
          </cell>
          <cell r="AJ17">
            <v>0</v>
          </cell>
          <cell r="AK17">
            <v>0</v>
          </cell>
          <cell r="AL17">
            <v>0</v>
          </cell>
          <cell r="AM17">
            <v>0</v>
          </cell>
          <cell r="AO17">
            <v>0</v>
          </cell>
          <cell r="AP17">
            <v>0</v>
          </cell>
          <cell r="AQ17">
            <v>0</v>
          </cell>
          <cell r="AR17">
            <v>0</v>
          </cell>
          <cell r="AS17">
            <v>0</v>
          </cell>
          <cell r="AT17">
            <v>0</v>
          </cell>
          <cell r="AU17">
            <v>0</v>
          </cell>
          <cell r="AV17">
            <v>0</v>
          </cell>
          <cell r="AW17">
            <v>0</v>
          </cell>
          <cell r="AX17">
            <v>0</v>
          </cell>
          <cell r="AY17">
            <v>0</v>
          </cell>
          <cell r="BB17">
            <v>0</v>
          </cell>
          <cell r="BC17">
            <v>0</v>
          </cell>
          <cell r="BD17">
            <v>0</v>
          </cell>
          <cell r="BF17">
            <v>0</v>
          </cell>
          <cell r="BG17">
            <v>0</v>
          </cell>
          <cell r="BH17">
            <v>0</v>
          </cell>
          <cell r="BI17">
            <v>0</v>
          </cell>
          <cell r="BK17">
            <v>0</v>
          </cell>
          <cell r="BL17">
            <v>0</v>
          </cell>
          <cell r="BM17">
            <v>0</v>
          </cell>
          <cell r="BN17">
            <v>0</v>
          </cell>
          <cell r="BO17">
            <v>0</v>
          </cell>
          <cell r="BP17">
            <v>0</v>
          </cell>
          <cell r="BQ17">
            <v>0</v>
          </cell>
          <cell r="BR17">
            <v>0</v>
          </cell>
          <cell r="BS17">
            <v>0</v>
          </cell>
          <cell r="BT17">
            <v>0</v>
          </cell>
          <cell r="BU17">
            <v>0</v>
          </cell>
          <cell r="BX17">
            <v>0</v>
          </cell>
          <cell r="BY17">
            <v>0</v>
          </cell>
          <cell r="BZ17">
            <v>0</v>
          </cell>
          <cell r="CB17">
            <v>0</v>
          </cell>
          <cell r="CC17">
            <v>0</v>
          </cell>
          <cell r="CD17">
            <v>0</v>
          </cell>
          <cell r="CE17">
            <v>0</v>
          </cell>
          <cell r="CG17">
            <v>0</v>
          </cell>
          <cell r="CH17">
            <v>0</v>
          </cell>
          <cell r="CI17">
            <v>0</v>
          </cell>
          <cell r="CJ17">
            <v>0</v>
          </cell>
          <cell r="CK17">
            <v>0</v>
          </cell>
          <cell r="CL17">
            <v>0</v>
          </cell>
          <cell r="CM17">
            <v>0</v>
          </cell>
          <cell r="CN17">
            <v>0</v>
          </cell>
          <cell r="CO17">
            <v>0</v>
          </cell>
          <cell r="FD17">
            <v>0</v>
          </cell>
          <cell r="FE17">
            <v>165.24</v>
          </cell>
          <cell r="FF17">
            <v>0</v>
          </cell>
          <cell r="FG17">
            <v>0</v>
          </cell>
          <cell r="FJ17">
            <v>0</v>
          </cell>
          <cell r="FK17">
            <v>0</v>
          </cell>
          <cell r="FL17">
            <v>0</v>
          </cell>
          <cell r="FN17">
            <v>0</v>
          </cell>
          <cell r="FO17">
            <v>0</v>
          </cell>
          <cell r="FP17">
            <v>0</v>
          </cell>
          <cell r="FQ17">
            <v>0</v>
          </cell>
          <cell r="FS17">
            <v>0</v>
          </cell>
          <cell r="FT17">
            <v>0</v>
          </cell>
          <cell r="FU17">
            <v>0</v>
          </cell>
          <cell r="FV17">
            <v>0</v>
          </cell>
          <cell r="FW17">
            <v>0</v>
          </cell>
          <cell r="FX17">
            <v>0</v>
          </cell>
          <cell r="FY17">
            <v>0</v>
          </cell>
          <cell r="FZ17">
            <v>0</v>
          </cell>
          <cell r="GA17">
            <v>0</v>
          </cell>
        </row>
        <row r="18">
          <cell r="A18" t="str">
            <v>F_CNP_NRF_EPA_UCS_FRCE_EVT</v>
          </cell>
          <cell r="E18">
            <v>10161512644.556049</v>
          </cell>
          <cell r="F18">
            <v>0</v>
          </cell>
          <cell r="G18">
            <v>0</v>
          </cell>
          <cell r="J18">
            <v>0</v>
          </cell>
          <cell r="K18">
            <v>0</v>
          </cell>
          <cell r="L18">
            <v>0</v>
          </cell>
          <cell r="N18">
            <v>0</v>
          </cell>
          <cell r="O18">
            <v>0</v>
          </cell>
          <cell r="P18">
            <v>0</v>
          </cell>
          <cell r="Q18">
            <v>0</v>
          </cell>
          <cell r="S18">
            <v>0</v>
          </cell>
          <cell r="T18">
            <v>0</v>
          </cell>
          <cell r="U18">
            <v>0</v>
          </cell>
          <cell r="V18">
            <v>0</v>
          </cell>
          <cell r="W18">
            <v>0</v>
          </cell>
          <cell r="X18">
            <v>0</v>
          </cell>
          <cell r="Y18">
            <v>0</v>
          </cell>
          <cell r="Z18">
            <v>0</v>
          </cell>
          <cell r="AA18">
            <v>0</v>
          </cell>
          <cell r="AB18">
            <v>0</v>
          </cell>
          <cell r="AC18">
            <v>0</v>
          </cell>
          <cell r="AF18">
            <v>0</v>
          </cell>
          <cell r="AG18">
            <v>0</v>
          </cell>
          <cell r="AH18">
            <v>0</v>
          </cell>
          <cell r="AJ18">
            <v>0</v>
          </cell>
          <cell r="AK18">
            <v>0</v>
          </cell>
          <cell r="AL18">
            <v>0</v>
          </cell>
          <cell r="AM18">
            <v>0</v>
          </cell>
          <cell r="AO18">
            <v>0</v>
          </cell>
          <cell r="AP18">
            <v>0</v>
          </cell>
          <cell r="AQ18">
            <v>0</v>
          </cell>
          <cell r="AR18">
            <v>0</v>
          </cell>
          <cell r="AS18">
            <v>0</v>
          </cell>
          <cell r="AT18">
            <v>0</v>
          </cell>
          <cell r="AU18">
            <v>0</v>
          </cell>
          <cell r="AV18">
            <v>0</v>
          </cell>
          <cell r="AW18">
            <v>0</v>
          </cell>
          <cell r="AX18">
            <v>0</v>
          </cell>
          <cell r="AY18">
            <v>0</v>
          </cell>
          <cell r="BB18">
            <v>0</v>
          </cell>
          <cell r="BC18">
            <v>0</v>
          </cell>
          <cell r="BD18">
            <v>0</v>
          </cell>
          <cell r="BF18">
            <v>0</v>
          </cell>
          <cell r="BG18">
            <v>0</v>
          </cell>
          <cell r="BH18">
            <v>0</v>
          </cell>
          <cell r="BI18">
            <v>0</v>
          </cell>
          <cell r="BK18">
            <v>0</v>
          </cell>
          <cell r="BL18">
            <v>0</v>
          </cell>
          <cell r="BM18">
            <v>0</v>
          </cell>
          <cell r="BN18">
            <v>0</v>
          </cell>
          <cell r="BO18">
            <v>0</v>
          </cell>
          <cell r="BP18">
            <v>0</v>
          </cell>
          <cell r="BQ18">
            <v>0</v>
          </cell>
          <cell r="BR18">
            <v>0</v>
          </cell>
          <cell r="BS18">
            <v>0</v>
          </cell>
          <cell r="BT18">
            <v>0</v>
          </cell>
          <cell r="BU18">
            <v>0</v>
          </cell>
          <cell r="BX18">
            <v>0</v>
          </cell>
          <cell r="BY18">
            <v>0</v>
          </cell>
          <cell r="BZ18">
            <v>0</v>
          </cell>
          <cell r="CB18">
            <v>0</v>
          </cell>
          <cell r="CC18">
            <v>0</v>
          </cell>
          <cell r="CD18">
            <v>0</v>
          </cell>
          <cell r="CE18">
            <v>0</v>
          </cell>
          <cell r="CG18">
            <v>0</v>
          </cell>
          <cell r="CH18">
            <v>0</v>
          </cell>
          <cell r="CI18">
            <v>0</v>
          </cell>
          <cell r="CJ18">
            <v>0</v>
          </cell>
          <cell r="CK18">
            <v>0</v>
          </cell>
          <cell r="CL18">
            <v>0</v>
          </cell>
          <cell r="CM18">
            <v>0</v>
          </cell>
          <cell r="CN18">
            <v>0</v>
          </cell>
          <cell r="CO18">
            <v>0</v>
          </cell>
          <cell r="FD18">
            <v>0</v>
          </cell>
          <cell r="FE18">
            <v>10165258859.489597</v>
          </cell>
          <cell r="FF18">
            <v>0</v>
          </cell>
          <cell r="FG18">
            <v>0</v>
          </cell>
          <cell r="FJ18">
            <v>0</v>
          </cell>
          <cell r="FK18">
            <v>0</v>
          </cell>
          <cell r="FL18">
            <v>0</v>
          </cell>
          <cell r="FN18">
            <v>0</v>
          </cell>
          <cell r="FO18">
            <v>0</v>
          </cell>
          <cell r="FP18">
            <v>0</v>
          </cell>
          <cell r="FQ18">
            <v>0</v>
          </cell>
          <cell r="FS18">
            <v>0</v>
          </cell>
          <cell r="FT18">
            <v>0</v>
          </cell>
          <cell r="FU18">
            <v>0</v>
          </cell>
          <cell r="FV18">
            <v>0</v>
          </cell>
          <cell r="FW18">
            <v>0</v>
          </cell>
          <cell r="FX18">
            <v>0</v>
          </cell>
          <cell r="FY18">
            <v>0</v>
          </cell>
          <cell r="FZ18">
            <v>0</v>
          </cell>
          <cell r="GA18">
            <v>0</v>
          </cell>
        </row>
        <row r="19">
          <cell r="A19" t="str">
            <v>F_CNP_NRF_EPA_UCS_FRCE_EVH</v>
          </cell>
          <cell r="E19">
            <v>17478096.897774912</v>
          </cell>
          <cell r="F19">
            <v>0</v>
          </cell>
          <cell r="G19">
            <v>0</v>
          </cell>
          <cell r="J19">
            <v>0</v>
          </cell>
          <cell r="K19">
            <v>0</v>
          </cell>
          <cell r="L19">
            <v>0</v>
          </cell>
          <cell r="N19">
            <v>0</v>
          </cell>
          <cell r="O19">
            <v>0</v>
          </cell>
          <cell r="P19">
            <v>0</v>
          </cell>
          <cell r="Q19">
            <v>0</v>
          </cell>
          <cell r="S19">
            <v>0</v>
          </cell>
          <cell r="T19">
            <v>0</v>
          </cell>
          <cell r="U19">
            <v>0</v>
          </cell>
          <cell r="V19">
            <v>0</v>
          </cell>
          <cell r="W19">
            <v>0</v>
          </cell>
          <cell r="X19">
            <v>0</v>
          </cell>
          <cell r="Y19">
            <v>0</v>
          </cell>
          <cell r="Z19">
            <v>0</v>
          </cell>
          <cell r="AA19">
            <v>0</v>
          </cell>
          <cell r="AB19">
            <v>0</v>
          </cell>
          <cell r="AC19">
            <v>0</v>
          </cell>
          <cell r="AF19">
            <v>0</v>
          </cell>
          <cell r="AG19">
            <v>0</v>
          </cell>
          <cell r="AH19">
            <v>0</v>
          </cell>
          <cell r="AJ19">
            <v>0</v>
          </cell>
          <cell r="AK19">
            <v>0</v>
          </cell>
          <cell r="AL19">
            <v>0</v>
          </cell>
          <cell r="AM19">
            <v>0</v>
          </cell>
          <cell r="AO19">
            <v>0</v>
          </cell>
          <cell r="AP19">
            <v>0</v>
          </cell>
          <cell r="AQ19">
            <v>0</v>
          </cell>
          <cell r="AR19">
            <v>0</v>
          </cell>
          <cell r="AS19">
            <v>0</v>
          </cell>
          <cell r="AT19">
            <v>0</v>
          </cell>
          <cell r="AU19">
            <v>0</v>
          </cell>
          <cell r="AV19">
            <v>0</v>
          </cell>
          <cell r="AW19">
            <v>0</v>
          </cell>
          <cell r="AX19">
            <v>0</v>
          </cell>
          <cell r="AY19">
            <v>0</v>
          </cell>
          <cell r="BB19">
            <v>0</v>
          </cell>
          <cell r="BC19">
            <v>0</v>
          </cell>
          <cell r="BD19">
            <v>0</v>
          </cell>
          <cell r="BF19">
            <v>0</v>
          </cell>
          <cell r="BG19">
            <v>0</v>
          </cell>
          <cell r="BH19">
            <v>0</v>
          </cell>
          <cell r="BI19">
            <v>0</v>
          </cell>
          <cell r="BK19">
            <v>0</v>
          </cell>
          <cell r="BL19">
            <v>0</v>
          </cell>
          <cell r="BM19">
            <v>0</v>
          </cell>
          <cell r="BN19">
            <v>0</v>
          </cell>
          <cell r="BO19">
            <v>0</v>
          </cell>
          <cell r="BP19">
            <v>0</v>
          </cell>
          <cell r="BQ19">
            <v>0</v>
          </cell>
          <cell r="BR19">
            <v>0</v>
          </cell>
          <cell r="BS19">
            <v>0</v>
          </cell>
          <cell r="BT19">
            <v>0</v>
          </cell>
          <cell r="BU19">
            <v>0</v>
          </cell>
          <cell r="BX19">
            <v>0</v>
          </cell>
          <cell r="BY19">
            <v>0</v>
          </cell>
          <cell r="BZ19">
            <v>0</v>
          </cell>
          <cell r="CB19">
            <v>0</v>
          </cell>
          <cell r="CC19">
            <v>0</v>
          </cell>
          <cell r="CD19">
            <v>0</v>
          </cell>
          <cell r="CE19">
            <v>0</v>
          </cell>
          <cell r="CG19">
            <v>0</v>
          </cell>
          <cell r="CH19">
            <v>0</v>
          </cell>
          <cell r="CI19">
            <v>0</v>
          </cell>
          <cell r="CJ19">
            <v>0</v>
          </cell>
          <cell r="CK19">
            <v>0</v>
          </cell>
          <cell r="CL19">
            <v>0</v>
          </cell>
          <cell r="CM19">
            <v>0</v>
          </cell>
          <cell r="CN19">
            <v>0</v>
          </cell>
          <cell r="CO19">
            <v>0</v>
          </cell>
          <cell r="FD19">
            <v>0</v>
          </cell>
          <cell r="FE19">
            <v>17486273.341319673</v>
          </cell>
          <cell r="FF19">
            <v>0</v>
          </cell>
          <cell r="FG19">
            <v>0</v>
          </cell>
          <cell r="FJ19">
            <v>0</v>
          </cell>
          <cell r="FK19">
            <v>0</v>
          </cell>
          <cell r="FL19">
            <v>0</v>
          </cell>
          <cell r="FN19">
            <v>0</v>
          </cell>
          <cell r="FO19">
            <v>0</v>
          </cell>
          <cell r="FP19">
            <v>0</v>
          </cell>
          <cell r="FQ19">
            <v>0</v>
          </cell>
          <cell r="FS19">
            <v>0</v>
          </cell>
          <cell r="FT19">
            <v>0</v>
          </cell>
          <cell r="FU19">
            <v>0</v>
          </cell>
          <cell r="FV19">
            <v>0</v>
          </cell>
          <cell r="FW19">
            <v>0</v>
          </cell>
          <cell r="FX19">
            <v>0</v>
          </cell>
          <cell r="FY19">
            <v>0</v>
          </cell>
          <cell r="FZ19">
            <v>0</v>
          </cell>
          <cell r="GA19">
            <v>0</v>
          </cell>
        </row>
        <row r="20">
          <cell r="A20" t="str">
            <v>F_CNP_NRF_EPA_UCS_FRCE_EVW</v>
          </cell>
          <cell r="E20">
            <v>15939523.0917516</v>
          </cell>
          <cell r="F20">
            <v>0</v>
          </cell>
          <cell r="G20">
            <v>0</v>
          </cell>
          <cell r="J20">
            <v>0</v>
          </cell>
          <cell r="K20">
            <v>0</v>
          </cell>
          <cell r="L20">
            <v>0</v>
          </cell>
          <cell r="N20">
            <v>0</v>
          </cell>
          <cell r="O20">
            <v>0</v>
          </cell>
          <cell r="P20">
            <v>0</v>
          </cell>
          <cell r="Q20">
            <v>0</v>
          </cell>
          <cell r="S20">
            <v>0</v>
          </cell>
          <cell r="T20">
            <v>0</v>
          </cell>
          <cell r="U20">
            <v>0</v>
          </cell>
          <cell r="V20">
            <v>0</v>
          </cell>
          <cell r="W20">
            <v>0</v>
          </cell>
          <cell r="X20">
            <v>0</v>
          </cell>
          <cell r="Y20">
            <v>0</v>
          </cell>
          <cell r="Z20">
            <v>0</v>
          </cell>
          <cell r="AA20">
            <v>0</v>
          </cell>
          <cell r="AB20">
            <v>0</v>
          </cell>
          <cell r="AC20">
            <v>0</v>
          </cell>
          <cell r="AF20">
            <v>0</v>
          </cell>
          <cell r="AG20">
            <v>0</v>
          </cell>
          <cell r="AH20">
            <v>0</v>
          </cell>
          <cell r="AJ20">
            <v>0</v>
          </cell>
          <cell r="AK20">
            <v>0</v>
          </cell>
          <cell r="AL20">
            <v>0</v>
          </cell>
          <cell r="AM20">
            <v>0</v>
          </cell>
          <cell r="AO20">
            <v>0</v>
          </cell>
          <cell r="AP20">
            <v>0</v>
          </cell>
          <cell r="AQ20">
            <v>0</v>
          </cell>
          <cell r="AR20">
            <v>0</v>
          </cell>
          <cell r="AS20">
            <v>0</v>
          </cell>
          <cell r="AT20">
            <v>0</v>
          </cell>
          <cell r="AU20">
            <v>0</v>
          </cell>
          <cell r="AV20">
            <v>0</v>
          </cell>
          <cell r="AW20">
            <v>0</v>
          </cell>
          <cell r="AX20">
            <v>0</v>
          </cell>
          <cell r="AY20">
            <v>0</v>
          </cell>
          <cell r="BB20">
            <v>0</v>
          </cell>
          <cell r="BC20">
            <v>0</v>
          </cell>
          <cell r="BD20">
            <v>0</v>
          </cell>
          <cell r="BF20">
            <v>0</v>
          </cell>
          <cell r="BG20">
            <v>0</v>
          </cell>
          <cell r="BH20">
            <v>0</v>
          </cell>
          <cell r="BI20">
            <v>0</v>
          </cell>
          <cell r="BK20">
            <v>0</v>
          </cell>
          <cell r="BL20">
            <v>0</v>
          </cell>
          <cell r="BM20">
            <v>0</v>
          </cell>
          <cell r="BN20">
            <v>0</v>
          </cell>
          <cell r="BO20">
            <v>0</v>
          </cell>
          <cell r="BP20">
            <v>0</v>
          </cell>
          <cell r="BQ20">
            <v>0</v>
          </cell>
          <cell r="BR20">
            <v>0</v>
          </cell>
          <cell r="BS20">
            <v>0</v>
          </cell>
          <cell r="BT20">
            <v>0</v>
          </cell>
          <cell r="BU20">
            <v>0</v>
          </cell>
          <cell r="BX20">
            <v>0</v>
          </cell>
          <cell r="BY20">
            <v>0</v>
          </cell>
          <cell r="BZ20">
            <v>0</v>
          </cell>
          <cell r="CB20">
            <v>0</v>
          </cell>
          <cell r="CC20">
            <v>0</v>
          </cell>
          <cell r="CD20">
            <v>0</v>
          </cell>
          <cell r="CE20">
            <v>0</v>
          </cell>
          <cell r="CG20">
            <v>0</v>
          </cell>
          <cell r="CH20">
            <v>0</v>
          </cell>
          <cell r="CI20">
            <v>0</v>
          </cell>
          <cell r="CJ20">
            <v>0</v>
          </cell>
          <cell r="CK20">
            <v>0</v>
          </cell>
          <cell r="CL20">
            <v>0</v>
          </cell>
          <cell r="CM20">
            <v>0</v>
          </cell>
          <cell r="CN20">
            <v>0</v>
          </cell>
          <cell r="CO20">
            <v>0</v>
          </cell>
          <cell r="FD20">
            <v>0</v>
          </cell>
          <cell r="FE20">
            <v>15943279.331273753</v>
          </cell>
          <cell r="FF20">
            <v>0</v>
          </cell>
          <cell r="FG20">
            <v>0</v>
          </cell>
          <cell r="FJ20">
            <v>0</v>
          </cell>
          <cell r="FK20">
            <v>0</v>
          </cell>
          <cell r="FL20">
            <v>0</v>
          </cell>
          <cell r="FN20">
            <v>0</v>
          </cell>
          <cell r="FO20">
            <v>0</v>
          </cell>
          <cell r="FP20">
            <v>0</v>
          </cell>
          <cell r="FQ20">
            <v>0</v>
          </cell>
          <cell r="FS20">
            <v>0</v>
          </cell>
          <cell r="FT20">
            <v>0</v>
          </cell>
          <cell r="FU20">
            <v>0</v>
          </cell>
          <cell r="FV20">
            <v>0</v>
          </cell>
          <cell r="FW20">
            <v>0</v>
          </cell>
          <cell r="FX20">
            <v>0</v>
          </cell>
          <cell r="FY20">
            <v>0</v>
          </cell>
          <cell r="FZ20">
            <v>0</v>
          </cell>
          <cell r="GA20">
            <v>0</v>
          </cell>
        </row>
        <row r="21">
          <cell r="A21" t="str">
            <v>F_CNP_NRF_EPA_UCS_FRCE_EVX</v>
          </cell>
          <cell r="E21">
            <v>38024918.422531076</v>
          </cell>
          <cell r="F21">
            <v>0</v>
          </cell>
          <cell r="G21">
            <v>0</v>
          </cell>
          <cell r="J21">
            <v>0</v>
          </cell>
          <cell r="K21">
            <v>0</v>
          </cell>
          <cell r="L21">
            <v>0</v>
          </cell>
          <cell r="N21">
            <v>0</v>
          </cell>
          <cell r="O21">
            <v>0</v>
          </cell>
          <cell r="P21">
            <v>0</v>
          </cell>
          <cell r="Q21">
            <v>0</v>
          </cell>
          <cell r="S21">
            <v>0</v>
          </cell>
          <cell r="T21">
            <v>0</v>
          </cell>
          <cell r="U21">
            <v>0</v>
          </cell>
          <cell r="V21">
            <v>0</v>
          </cell>
          <cell r="W21">
            <v>0</v>
          </cell>
          <cell r="X21">
            <v>0</v>
          </cell>
          <cell r="Y21">
            <v>0</v>
          </cell>
          <cell r="Z21">
            <v>0</v>
          </cell>
          <cell r="AA21">
            <v>0</v>
          </cell>
          <cell r="AB21">
            <v>0</v>
          </cell>
          <cell r="AC21">
            <v>0</v>
          </cell>
          <cell r="AF21">
            <v>0</v>
          </cell>
          <cell r="AG21">
            <v>0</v>
          </cell>
          <cell r="AH21">
            <v>0</v>
          </cell>
          <cell r="AJ21">
            <v>0</v>
          </cell>
          <cell r="AK21">
            <v>0</v>
          </cell>
          <cell r="AL21">
            <v>0</v>
          </cell>
          <cell r="AM21">
            <v>0</v>
          </cell>
          <cell r="AO21">
            <v>0</v>
          </cell>
          <cell r="AP21">
            <v>0</v>
          </cell>
          <cell r="AQ21">
            <v>0</v>
          </cell>
          <cell r="AR21">
            <v>0</v>
          </cell>
          <cell r="AS21">
            <v>0</v>
          </cell>
          <cell r="AT21">
            <v>0</v>
          </cell>
          <cell r="AU21">
            <v>0</v>
          </cell>
          <cell r="AV21">
            <v>0</v>
          </cell>
          <cell r="AW21">
            <v>0</v>
          </cell>
          <cell r="AX21">
            <v>0</v>
          </cell>
          <cell r="AY21">
            <v>0</v>
          </cell>
          <cell r="BB21">
            <v>0</v>
          </cell>
          <cell r="BC21">
            <v>0</v>
          </cell>
          <cell r="BD21">
            <v>0</v>
          </cell>
          <cell r="BF21">
            <v>0</v>
          </cell>
          <cell r="BG21">
            <v>0</v>
          </cell>
          <cell r="BH21">
            <v>0</v>
          </cell>
          <cell r="BI21">
            <v>0</v>
          </cell>
          <cell r="BK21">
            <v>0</v>
          </cell>
          <cell r="BL21">
            <v>0</v>
          </cell>
          <cell r="BM21">
            <v>0</v>
          </cell>
          <cell r="BN21">
            <v>0</v>
          </cell>
          <cell r="BO21">
            <v>0</v>
          </cell>
          <cell r="BP21">
            <v>0</v>
          </cell>
          <cell r="BQ21">
            <v>0</v>
          </cell>
          <cell r="BR21">
            <v>0</v>
          </cell>
          <cell r="BS21">
            <v>0</v>
          </cell>
          <cell r="BT21">
            <v>0</v>
          </cell>
          <cell r="BU21">
            <v>0</v>
          </cell>
          <cell r="BX21">
            <v>0</v>
          </cell>
          <cell r="BY21">
            <v>0</v>
          </cell>
          <cell r="BZ21">
            <v>0</v>
          </cell>
          <cell r="CB21">
            <v>0</v>
          </cell>
          <cell r="CC21">
            <v>0</v>
          </cell>
          <cell r="CD21">
            <v>0</v>
          </cell>
          <cell r="CE21">
            <v>0</v>
          </cell>
          <cell r="CG21">
            <v>0</v>
          </cell>
          <cell r="CH21">
            <v>0</v>
          </cell>
          <cell r="CI21">
            <v>0</v>
          </cell>
          <cell r="CJ21">
            <v>0</v>
          </cell>
          <cell r="CK21">
            <v>0</v>
          </cell>
          <cell r="CL21">
            <v>0</v>
          </cell>
          <cell r="CM21">
            <v>0</v>
          </cell>
          <cell r="CN21">
            <v>0</v>
          </cell>
          <cell r="CO21">
            <v>0</v>
          </cell>
          <cell r="FD21">
            <v>0</v>
          </cell>
          <cell r="FE21">
            <v>38038122.538011678</v>
          </cell>
          <cell r="FF21">
            <v>0</v>
          </cell>
          <cell r="FG21">
            <v>0</v>
          </cell>
          <cell r="FJ21">
            <v>0</v>
          </cell>
          <cell r="FK21">
            <v>0</v>
          </cell>
          <cell r="FL21">
            <v>0</v>
          </cell>
          <cell r="FN21">
            <v>0</v>
          </cell>
          <cell r="FO21">
            <v>0</v>
          </cell>
          <cell r="FP21">
            <v>0</v>
          </cell>
          <cell r="FQ21">
            <v>0</v>
          </cell>
          <cell r="FS21">
            <v>0</v>
          </cell>
          <cell r="FT21">
            <v>0</v>
          </cell>
          <cell r="FU21">
            <v>0</v>
          </cell>
          <cell r="FV21">
            <v>0</v>
          </cell>
          <cell r="FW21">
            <v>0</v>
          </cell>
          <cell r="FX21">
            <v>0</v>
          </cell>
          <cell r="FY21">
            <v>0</v>
          </cell>
          <cell r="FZ21">
            <v>0</v>
          </cell>
          <cell r="GA21">
            <v>0</v>
          </cell>
        </row>
        <row r="22">
          <cell r="A22" t="str">
            <v>F_CNP_NRF_EPA_UCS_FRCE_EVZ</v>
          </cell>
          <cell r="E22">
            <v>941544932.58523774</v>
          </cell>
          <cell r="F22">
            <v>0</v>
          </cell>
          <cell r="G22">
            <v>0</v>
          </cell>
          <cell r="J22">
            <v>0</v>
          </cell>
          <cell r="K22">
            <v>0</v>
          </cell>
          <cell r="L22">
            <v>0</v>
          </cell>
          <cell r="N22">
            <v>0</v>
          </cell>
          <cell r="O22">
            <v>0</v>
          </cell>
          <cell r="P22">
            <v>0</v>
          </cell>
          <cell r="Q22">
            <v>0</v>
          </cell>
          <cell r="S22">
            <v>0</v>
          </cell>
          <cell r="T22">
            <v>0</v>
          </cell>
          <cell r="U22">
            <v>0</v>
          </cell>
          <cell r="V22">
            <v>0</v>
          </cell>
          <cell r="W22">
            <v>0</v>
          </cell>
          <cell r="X22">
            <v>0</v>
          </cell>
          <cell r="Y22">
            <v>0</v>
          </cell>
          <cell r="Z22">
            <v>0</v>
          </cell>
          <cell r="AA22">
            <v>0</v>
          </cell>
          <cell r="AB22">
            <v>0</v>
          </cell>
          <cell r="AC22">
            <v>0</v>
          </cell>
          <cell r="AF22">
            <v>0</v>
          </cell>
          <cell r="AG22">
            <v>0</v>
          </cell>
          <cell r="AH22">
            <v>0</v>
          </cell>
          <cell r="AJ22">
            <v>0</v>
          </cell>
          <cell r="AK22">
            <v>0</v>
          </cell>
          <cell r="AL22">
            <v>0</v>
          </cell>
          <cell r="AM22">
            <v>0</v>
          </cell>
          <cell r="AO22">
            <v>0</v>
          </cell>
          <cell r="AP22">
            <v>0</v>
          </cell>
          <cell r="AQ22">
            <v>0</v>
          </cell>
          <cell r="AR22">
            <v>0</v>
          </cell>
          <cell r="AS22">
            <v>0</v>
          </cell>
          <cell r="AT22">
            <v>0</v>
          </cell>
          <cell r="AU22">
            <v>0</v>
          </cell>
          <cell r="AV22">
            <v>0</v>
          </cell>
          <cell r="AW22">
            <v>0</v>
          </cell>
          <cell r="AX22">
            <v>0</v>
          </cell>
          <cell r="AY22">
            <v>0</v>
          </cell>
          <cell r="BB22">
            <v>0</v>
          </cell>
          <cell r="BC22">
            <v>0</v>
          </cell>
          <cell r="BD22">
            <v>0</v>
          </cell>
          <cell r="BF22">
            <v>0</v>
          </cell>
          <cell r="BG22">
            <v>0</v>
          </cell>
          <cell r="BH22">
            <v>0</v>
          </cell>
          <cell r="BI22">
            <v>0</v>
          </cell>
          <cell r="BK22">
            <v>0</v>
          </cell>
          <cell r="BL22">
            <v>0</v>
          </cell>
          <cell r="BM22">
            <v>0</v>
          </cell>
          <cell r="BN22">
            <v>0</v>
          </cell>
          <cell r="BO22">
            <v>0</v>
          </cell>
          <cell r="BP22">
            <v>0</v>
          </cell>
          <cell r="BQ22">
            <v>0</v>
          </cell>
          <cell r="BR22">
            <v>0</v>
          </cell>
          <cell r="BS22">
            <v>0</v>
          </cell>
          <cell r="BT22">
            <v>0</v>
          </cell>
          <cell r="BU22">
            <v>0</v>
          </cell>
          <cell r="BX22">
            <v>0</v>
          </cell>
          <cell r="BY22">
            <v>0</v>
          </cell>
          <cell r="BZ22">
            <v>0</v>
          </cell>
          <cell r="CB22">
            <v>0</v>
          </cell>
          <cell r="CC22">
            <v>0</v>
          </cell>
          <cell r="CD22">
            <v>0</v>
          </cell>
          <cell r="CE22">
            <v>0</v>
          </cell>
          <cell r="CG22">
            <v>0</v>
          </cell>
          <cell r="CH22">
            <v>0</v>
          </cell>
          <cell r="CI22">
            <v>0</v>
          </cell>
          <cell r="CJ22">
            <v>0</v>
          </cell>
          <cell r="CK22">
            <v>0</v>
          </cell>
          <cell r="CL22">
            <v>0</v>
          </cell>
          <cell r="CM22">
            <v>0</v>
          </cell>
          <cell r="CN22">
            <v>0</v>
          </cell>
          <cell r="CO22">
            <v>0</v>
          </cell>
          <cell r="FD22">
            <v>0</v>
          </cell>
          <cell r="FE22">
            <v>941924587.59393632</v>
          </cell>
          <cell r="FF22">
            <v>0</v>
          </cell>
          <cell r="FG22">
            <v>0</v>
          </cell>
          <cell r="FJ22">
            <v>0</v>
          </cell>
          <cell r="FK22">
            <v>0</v>
          </cell>
          <cell r="FL22">
            <v>0</v>
          </cell>
          <cell r="FN22">
            <v>0</v>
          </cell>
          <cell r="FO22">
            <v>0</v>
          </cell>
          <cell r="FP22">
            <v>0</v>
          </cell>
          <cell r="FQ22">
            <v>0</v>
          </cell>
          <cell r="FS22">
            <v>0</v>
          </cell>
          <cell r="FT22">
            <v>0</v>
          </cell>
          <cell r="FU22">
            <v>0</v>
          </cell>
          <cell r="FV22">
            <v>0</v>
          </cell>
          <cell r="FW22">
            <v>0</v>
          </cell>
          <cell r="FX22">
            <v>0</v>
          </cell>
          <cell r="FY22">
            <v>0</v>
          </cell>
          <cell r="FZ22">
            <v>0</v>
          </cell>
          <cell r="GA22">
            <v>0</v>
          </cell>
        </row>
        <row r="23">
          <cell r="A23" t="str">
            <v>F_CNP_NRF_EPA_UCS_FRCE_232</v>
          </cell>
          <cell r="E23">
            <v>222928971.49644101</v>
          </cell>
          <cell r="F23">
            <v>0</v>
          </cell>
          <cell r="G23">
            <v>0</v>
          </cell>
          <cell r="J23">
            <v>0</v>
          </cell>
          <cell r="K23">
            <v>0</v>
          </cell>
          <cell r="L23">
            <v>0</v>
          </cell>
          <cell r="N23">
            <v>0</v>
          </cell>
          <cell r="O23">
            <v>0</v>
          </cell>
          <cell r="P23">
            <v>0</v>
          </cell>
          <cell r="Q23">
            <v>0</v>
          </cell>
          <cell r="S23">
            <v>0</v>
          </cell>
          <cell r="T23">
            <v>0</v>
          </cell>
          <cell r="U23">
            <v>0</v>
          </cell>
          <cell r="V23">
            <v>0</v>
          </cell>
          <cell r="W23">
            <v>0</v>
          </cell>
          <cell r="X23">
            <v>0</v>
          </cell>
          <cell r="Y23">
            <v>0</v>
          </cell>
          <cell r="Z23">
            <v>0</v>
          </cell>
          <cell r="AA23">
            <v>0</v>
          </cell>
          <cell r="AB23">
            <v>0</v>
          </cell>
          <cell r="AC23">
            <v>0</v>
          </cell>
          <cell r="AF23">
            <v>0</v>
          </cell>
          <cell r="AG23">
            <v>0</v>
          </cell>
          <cell r="AH23">
            <v>0</v>
          </cell>
          <cell r="AJ23">
            <v>0</v>
          </cell>
          <cell r="AK23">
            <v>0</v>
          </cell>
          <cell r="AL23">
            <v>0</v>
          </cell>
          <cell r="AM23">
            <v>0</v>
          </cell>
          <cell r="AO23">
            <v>0</v>
          </cell>
          <cell r="AP23">
            <v>0</v>
          </cell>
          <cell r="AQ23">
            <v>0</v>
          </cell>
          <cell r="AR23">
            <v>0</v>
          </cell>
          <cell r="AS23">
            <v>0</v>
          </cell>
          <cell r="AT23">
            <v>0</v>
          </cell>
          <cell r="AU23">
            <v>0</v>
          </cell>
          <cell r="AV23">
            <v>0</v>
          </cell>
          <cell r="AW23">
            <v>0</v>
          </cell>
          <cell r="AX23">
            <v>0</v>
          </cell>
          <cell r="AY23">
            <v>0</v>
          </cell>
          <cell r="BB23">
            <v>0</v>
          </cell>
          <cell r="BC23">
            <v>0</v>
          </cell>
          <cell r="BD23">
            <v>0</v>
          </cell>
          <cell r="BF23">
            <v>0</v>
          </cell>
          <cell r="BG23">
            <v>0</v>
          </cell>
          <cell r="BH23">
            <v>0</v>
          </cell>
          <cell r="BI23">
            <v>0</v>
          </cell>
          <cell r="BK23">
            <v>0</v>
          </cell>
          <cell r="BL23">
            <v>0</v>
          </cell>
          <cell r="BM23">
            <v>0</v>
          </cell>
          <cell r="BN23">
            <v>0</v>
          </cell>
          <cell r="BO23">
            <v>0</v>
          </cell>
          <cell r="BP23">
            <v>0</v>
          </cell>
          <cell r="BQ23">
            <v>0</v>
          </cell>
          <cell r="BR23">
            <v>0</v>
          </cell>
          <cell r="BS23">
            <v>0</v>
          </cell>
          <cell r="BT23">
            <v>0</v>
          </cell>
          <cell r="BU23">
            <v>0</v>
          </cell>
          <cell r="BX23">
            <v>0</v>
          </cell>
          <cell r="BY23">
            <v>0</v>
          </cell>
          <cell r="BZ23">
            <v>0</v>
          </cell>
          <cell r="CB23">
            <v>0</v>
          </cell>
          <cell r="CC23">
            <v>0</v>
          </cell>
          <cell r="CD23">
            <v>0</v>
          </cell>
          <cell r="CE23">
            <v>0</v>
          </cell>
          <cell r="CG23">
            <v>0</v>
          </cell>
          <cell r="CH23">
            <v>0</v>
          </cell>
          <cell r="CI23">
            <v>0</v>
          </cell>
          <cell r="CJ23">
            <v>0</v>
          </cell>
          <cell r="CK23">
            <v>0</v>
          </cell>
          <cell r="CL23">
            <v>0</v>
          </cell>
          <cell r="CM23">
            <v>0</v>
          </cell>
          <cell r="CN23">
            <v>0</v>
          </cell>
          <cell r="CO23">
            <v>0</v>
          </cell>
          <cell r="FD23">
            <v>0</v>
          </cell>
          <cell r="FE23">
            <v>222961593.38419241</v>
          </cell>
          <cell r="FF23">
            <v>0</v>
          </cell>
          <cell r="FG23">
            <v>0</v>
          </cell>
          <cell r="FJ23">
            <v>0</v>
          </cell>
          <cell r="FK23">
            <v>0</v>
          </cell>
          <cell r="FL23">
            <v>0</v>
          </cell>
          <cell r="FN23">
            <v>0</v>
          </cell>
          <cell r="FO23">
            <v>0</v>
          </cell>
          <cell r="FP23">
            <v>0</v>
          </cell>
          <cell r="FQ23">
            <v>0</v>
          </cell>
          <cell r="FS23">
            <v>0</v>
          </cell>
          <cell r="FT23">
            <v>0</v>
          </cell>
          <cell r="FU23">
            <v>0</v>
          </cell>
          <cell r="FV23">
            <v>0</v>
          </cell>
          <cell r="FW23">
            <v>0</v>
          </cell>
          <cell r="FX23">
            <v>0</v>
          </cell>
          <cell r="FY23">
            <v>0</v>
          </cell>
          <cell r="FZ23">
            <v>0</v>
          </cell>
          <cell r="GA23">
            <v>0</v>
          </cell>
        </row>
        <row r="24">
          <cell r="A24" t="str">
            <v>F_CNP_NRF_EPA_UCS_FRCE_252</v>
          </cell>
          <cell r="E24">
            <v>46743584.228190824</v>
          </cell>
          <cell r="F24">
            <v>0</v>
          </cell>
          <cell r="G24">
            <v>0</v>
          </cell>
          <cell r="J24">
            <v>0</v>
          </cell>
          <cell r="K24">
            <v>0</v>
          </cell>
          <cell r="L24">
            <v>0</v>
          </cell>
          <cell r="N24">
            <v>0</v>
          </cell>
          <cell r="O24">
            <v>0</v>
          </cell>
          <cell r="P24">
            <v>0</v>
          </cell>
          <cell r="Q24">
            <v>0</v>
          </cell>
          <cell r="S24">
            <v>0</v>
          </cell>
          <cell r="T24">
            <v>0</v>
          </cell>
          <cell r="U24">
            <v>0</v>
          </cell>
          <cell r="V24">
            <v>0</v>
          </cell>
          <cell r="W24">
            <v>0</v>
          </cell>
          <cell r="X24">
            <v>0</v>
          </cell>
          <cell r="Y24">
            <v>0</v>
          </cell>
          <cell r="Z24">
            <v>0</v>
          </cell>
          <cell r="AA24">
            <v>0</v>
          </cell>
          <cell r="AB24">
            <v>0</v>
          </cell>
          <cell r="AC24">
            <v>0</v>
          </cell>
          <cell r="AF24">
            <v>0</v>
          </cell>
          <cell r="AG24">
            <v>0</v>
          </cell>
          <cell r="AH24">
            <v>0</v>
          </cell>
          <cell r="AJ24">
            <v>0</v>
          </cell>
          <cell r="AK24">
            <v>0</v>
          </cell>
          <cell r="AL24">
            <v>0</v>
          </cell>
          <cell r="AM24">
            <v>0</v>
          </cell>
          <cell r="AO24">
            <v>0</v>
          </cell>
          <cell r="AP24">
            <v>0</v>
          </cell>
          <cell r="AQ24">
            <v>0</v>
          </cell>
          <cell r="AR24">
            <v>0</v>
          </cell>
          <cell r="AS24">
            <v>0</v>
          </cell>
          <cell r="AT24">
            <v>0</v>
          </cell>
          <cell r="AU24">
            <v>0</v>
          </cell>
          <cell r="AV24">
            <v>0</v>
          </cell>
          <cell r="AW24">
            <v>0</v>
          </cell>
          <cell r="AX24">
            <v>0</v>
          </cell>
          <cell r="AY24">
            <v>0</v>
          </cell>
          <cell r="BB24">
            <v>0</v>
          </cell>
          <cell r="BC24">
            <v>0</v>
          </cell>
          <cell r="BD24">
            <v>0</v>
          </cell>
          <cell r="BF24">
            <v>0</v>
          </cell>
          <cell r="BG24">
            <v>0</v>
          </cell>
          <cell r="BH24">
            <v>0</v>
          </cell>
          <cell r="BI24">
            <v>0</v>
          </cell>
          <cell r="BK24">
            <v>0</v>
          </cell>
          <cell r="BL24">
            <v>0</v>
          </cell>
          <cell r="BM24">
            <v>0</v>
          </cell>
          <cell r="BN24">
            <v>0</v>
          </cell>
          <cell r="BO24">
            <v>0</v>
          </cell>
          <cell r="BP24">
            <v>0</v>
          </cell>
          <cell r="BQ24">
            <v>0</v>
          </cell>
          <cell r="BR24">
            <v>0</v>
          </cell>
          <cell r="BS24">
            <v>0</v>
          </cell>
          <cell r="BT24">
            <v>0</v>
          </cell>
          <cell r="BU24">
            <v>0</v>
          </cell>
          <cell r="BX24">
            <v>0</v>
          </cell>
          <cell r="BY24">
            <v>0</v>
          </cell>
          <cell r="BZ24">
            <v>0</v>
          </cell>
          <cell r="CB24">
            <v>0</v>
          </cell>
          <cell r="CC24">
            <v>0</v>
          </cell>
          <cell r="CD24">
            <v>0</v>
          </cell>
          <cell r="CE24">
            <v>0</v>
          </cell>
          <cell r="CG24">
            <v>0</v>
          </cell>
          <cell r="CH24">
            <v>0</v>
          </cell>
          <cell r="CI24">
            <v>0</v>
          </cell>
          <cell r="CJ24">
            <v>0</v>
          </cell>
          <cell r="CK24">
            <v>0</v>
          </cell>
          <cell r="CL24">
            <v>0</v>
          </cell>
          <cell r="CM24">
            <v>0</v>
          </cell>
          <cell r="CN24">
            <v>0</v>
          </cell>
          <cell r="CO24">
            <v>0</v>
          </cell>
          <cell r="FD24">
            <v>0</v>
          </cell>
          <cell r="FE24">
            <v>46751605.464483269</v>
          </cell>
          <cell r="FF24">
            <v>0</v>
          </cell>
          <cell r="FG24">
            <v>0</v>
          </cell>
          <cell r="FJ24">
            <v>0</v>
          </cell>
          <cell r="FK24">
            <v>0</v>
          </cell>
          <cell r="FL24">
            <v>0</v>
          </cell>
          <cell r="FN24">
            <v>0</v>
          </cell>
          <cell r="FO24">
            <v>0</v>
          </cell>
          <cell r="FP24">
            <v>0</v>
          </cell>
          <cell r="FQ24">
            <v>0</v>
          </cell>
          <cell r="FS24">
            <v>0</v>
          </cell>
          <cell r="FT24">
            <v>0</v>
          </cell>
          <cell r="FU24">
            <v>0</v>
          </cell>
          <cell r="FV24">
            <v>0</v>
          </cell>
          <cell r="FW24">
            <v>0</v>
          </cell>
          <cell r="FX24">
            <v>0</v>
          </cell>
          <cell r="FY24">
            <v>0</v>
          </cell>
          <cell r="FZ24">
            <v>0</v>
          </cell>
          <cell r="GA24">
            <v>0</v>
          </cell>
        </row>
        <row r="25">
          <cell r="A25" t="str">
            <v>F_CNP_NRF_EPA_UCS_FRCE_256</v>
          </cell>
          <cell r="E25">
            <v>570532291.76218021</v>
          </cell>
          <cell r="F25">
            <v>0</v>
          </cell>
          <cell r="G25">
            <v>0</v>
          </cell>
          <cell r="J25">
            <v>0</v>
          </cell>
          <cell r="K25">
            <v>0</v>
          </cell>
          <cell r="L25">
            <v>0</v>
          </cell>
          <cell r="N25">
            <v>0</v>
          </cell>
          <cell r="O25">
            <v>0</v>
          </cell>
          <cell r="P25">
            <v>0</v>
          </cell>
          <cell r="Q25">
            <v>0</v>
          </cell>
          <cell r="S25">
            <v>0</v>
          </cell>
          <cell r="T25">
            <v>0</v>
          </cell>
          <cell r="U25">
            <v>0</v>
          </cell>
          <cell r="V25">
            <v>0</v>
          </cell>
          <cell r="W25">
            <v>0</v>
          </cell>
          <cell r="X25">
            <v>0</v>
          </cell>
          <cell r="Y25">
            <v>0</v>
          </cell>
          <cell r="Z25">
            <v>0</v>
          </cell>
          <cell r="AA25">
            <v>0</v>
          </cell>
          <cell r="AB25">
            <v>0</v>
          </cell>
          <cell r="AC25">
            <v>0</v>
          </cell>
          <cell r="AF25">
            <v>0</v>
          </cell>
          <cell r="AG25">
            <v>0</v>
          </cell>
          <cell r="AH25">
            <v>0</v>
          </cell>
          <cell r="AJ25">
            <v>0</v>
          </cell>
          <cell r="AK25">
            <v>0</v>
          </cell>
          <cell r="AL25">
            <v>0</v>
          </cell>
          <cell r="AM25">
            <v>0</v>
          </cell>
          <cell r="AO25">
            <v>0</v>
          </cell>
          <cell r="AP25">
            <v>0</v>
          </cell>
          <cell r="AQ25">
            <v>0</v>
          </cell>
          <cell r="AR25">
            <v>0</v>
          </cell>
          <cell r="AS25">
            <v>0</v>
          </cell>
          <cell r="AT25">
            <v>0</v>
          </cell>
          <cell r="AU25">
            <v>0</v>
          </cell>
          <cell r="AV25">
            <v>0</v>
          </cell>
          <cell r="AW25">
            <v>0</v>
          </cell>
          <cell r="AX25">
            <v>0</v>
          </cell>
          <cell r="AY25">
            <v>0</v>
          </cell>
          <cell r="BB25">
            <v>0</v>
          </cell>
          <cell r="BC25">
            <v>0</v>
          </cell>
          <cell r="BD25">
            <v>0</v>
          </cell>
          <cell r="BF25">
            <v>0</v>
          </cell>
          <cell r="BG25">
            <v>0</v>
          </cell>
          <cell r="BH25">
            <v>0</v>
          </cell>
          <cell r="BI25">
            <v>0</v>
          </cell>
          <cell r="BK25">
            <v>0</v>
          </cell>
          <cell r="BL25">
            <v>0</v>
          </cell>
          <cell r="BM25">
            <v>0</v>
          </cell>
          <cell r="BN25">
            <v>0</v>
          </cell>
          <cell r="BO25">
            <v>0</v>
          </cell>
          <cell r="BP25">
            <v>0</v>
          </cell>
          <cell r="BQ25">
            <v>0</v>
          </cell>
          <cell r="BR25">
            <v>0</v>
          </cell>
          <cell r="BS25">
            <v>0</v>
          </cell>
          <cell r="BT25">
            <v>0</v>
          </cell>
          <cell r="BU25">
            <v>0</v>
          </cell>
          <cell r="BX25">
            <v>0</v>
          </cell>
          <cell r="BY25">
            <v>0</v>
          </cell>
          <cell r="BZ25">
            <v>0</v>
          </cell>
          <cell r="CB25">
            <v>0</v>
          </cell>
          <cell r="CC25">
            <v>0</v>
          </cell>
          <cell r="CD25">
            <v>0</v>
          </cell>
          <cell r="CE25">
            <v>0</v>
          </cell>
          <cell r="CG25">
            <v>0</v>
          </cell>
          <cell r="CH25">
            <v>0</v>
          </cell>
          <cell r="CI25">
            <v>0</v>
          </cell>
          <cell r="CJ25">
            <v>0</v>
          </cell>
          <cell r="CK25">
            <v>0</v>
          </cell>
          <cell r="CL25">
            <v>0</v>
          </cell>
          <cell r="CM25">
            <v>0</v>
          </cell>
          <cell r="CN25">
            <v>0</v>
          </cell>
          <cell r="CO25">
            <v>0</v>
          </cell>
          <cell r="FD25">
            <v>0</v>
          </cell>
          <cell r="FE25">
            <v>570676939.65635085</v>
          </cell>
          <cell r="FF25">
            <v>0</v>
          </cell>
          <cell r="FG25">
            <v>0</v>
          </cell>
          <cell r="FJ25">
            <v>0</v>
          </cell>
          <cell r="FK25">
            <v>0</v>
          </cell>
          <cell r="FL25">
            <v>0</v>
          </cell>
          <cell r="FN25">
            <v>0</v>
          </cell>
          <cell r="FO25">
            <v>0</v>
          </cell>
          <cell r="FP25">
            <v>0</v>
          </cell>
          <cell r="FQ25">
            <v>0</v>
          </cell>
          <cell r="FS25">
            <v>0</v>
          </cell>
          <cell r="FT25">
            <v>0</v>
          </cell>
          <cell r="FU25">
            <v>0</v>
          </cell>
          <cell r="FV25">
            <v>0</v>
          </cell>
          <cell r="FW25">
            <v>0</v>
          </cell>
          <cell r="FX25">
            <v>0</v>
          </cell>
          <cell r="FY25">
            <v>0</v>
          </cell>
          <cell r="FZ25">
            <v>0</v>
          </cell>
          <cell r="GA25">
            <v>0</v>
          </cell>
        </row>
        <row r="26">
          <cell r="A26" t="str">
            <v>F_CNP_NRF_EPA_UCS_FRCE_259</v>
          </cell>
          <cell r="E26">
            <v>55369395.991401367</v>
          </cell>
          <cell r="F26">
            <v>0</v>
          </cell>
          <cell r="G26">
            <v>0</v>
          </cell>
          <cell r="J26">
            <v>0</v>
          </cell>
          <cell r="K26">
            <v>0</v>
          </cell>
          <cell r="L26">
            <v>0</v>
          </cell>
          <cell r="N26">
            <v>0</v>
          </cell>
          <cell r="O26">
            <v>0</v>
          </cell>
          <cell r="P26">
            <v>0</v>
          </cell>
          <cell r="Q26">
            <v>0</v>
          </cell>
          <cell r="S26">
            <v>0</v>
          </cell>
          <cell r="T26">
            <v>0</v>
          </cell>
          <cell r="U26">
            <v>0</v>
          </cell>
          <cell r="V26">
            <v>0</v>
          </cell>
          <cell r="W26">
            <v>0</v>
          </cell>
          <cell r="X26">
            <v>0</v>
          </cell>
          <cell r="Y26">
            <v>0</v>
          </cell>
          <cell r="Z26">
            <v>0</v>
          </cell>
          <cell r="AA26">
            <v>0</v>
          </cell>
          <cell r="AB26">
            <v>0</v>
          </cell>
          <cell r="AC26">
            <v>0</v>
          </cell>
          <cell r="AF26">
            <v>0</v>
          </cell>
          <cell r="AG26">
            <v>0</v>
          </cell>
          <cell r="AH26">
            <v>0</v>
          </cell>
          <cell r="AJ26">
            <v>0</v>
          </cell>
          <cell r="AK26">
            <v>0</v>
          </cell>
          <cell r="AL26">
            <v>0</v>
          </cell>
          <cell r="AM26">
            <v>0</v>
          </cell>
          <cell r="AO26">
            <v>0</v>
          </cell>
          <cell r="AP26">
            <v>0</v>
          </cell>
          <cell r="AQ26">
            <v>0</v>
          </cell>
          <cell r="AR26">
            <v>0</v>
          </cell>
          <cell r="AS26">
            <v>0</v>
          </cell>
          <cell r="AT26">
            <v>0</v>
          </cell>
          <cell r="AU26">
            <v>0</v>
          </cell>
          <cell r="AV26">
            <v>0</v>
          </cell>
          <cell r="AW26">
            <v>0</v>
          </cell>
          <cell r="AX26">
            <v>0</v>
          </cell>
          <cell r="AY26">
            <v>0</v>
          </cell>
          <cell r="BB26">
            <v>0</v>
          </cell>
          <cell r="BC26">
            <v>0</v>
          </cell>
          <cell r="BD26">
            <v>0</v>
          </cell>
          <cell r="BF26">
            <v>0</v>
          </cell>
          <cell r="BG26">
            <v>0</v>
          </cell>
          <cell r="BH26">
            <v>0</v>
          </cell>
          <cell r="BI26">
            <v>0</v>
          </cell>
          <cell r="BK26">
            <v>0</v>
          </cell>
          <cell r="BL26">
            <v>0</v>
          </cell>
          <cell r="BM26">
            <v>0</v>
          </cell>
          <cell r="BN26">
            <v>0</v>
          </cell>
          <cell r="BO26">
            <v>0</v>
          </cell>
          <cell r="BP26">
            <v>0</v>
          </cell>
          <cell r="BQ26">
            <v>0</v>
          </cell>
          <cell r="BR26">
            <v>0</v>
          </cell>
          <cell r="BS26">
            <v>0</v>
          </cell>
          <cell r="BT26">
            <v>0</v>
          </cell>
          <cell r="BU26">
            <v>0</v>
          </cell>
          <cell r="BX26">
            <v>0</v>
          </cell>
          <cell r="BY26">
            <v>0</v>
          </cell>
          <cell r="BZ26">
            <v>0</v>
          </cell>
          <cell r="CB26">
            <v>0</v>
          </cell>
          <cell r="CC26">
            <v>0</v>
          </cell>
          <cell r="CD26">
            <v>0</v>
          </cell>
          <cell r="CE26">
            <v>0</v>
          </cell>
          <cell r="CG26">
            <v>0</v>
          </cell>
          <cell r="CH26">
            <v>0</v>
          </cell>
          <cell r="CI26">
            <v>0</v>
          </cell>
          <cell r="CJ26">
            <v>0</v>
          </cell>
          <cell r="CK26">
            <v>0</v>
          </cell>
          <cell r="CL26">
            <v>0</v>
          </cell>
          <cell r="CM26">
            <v>0</v>
          </cell>
          <cell r="CN26">
            <v>0</v>
          </cell>
          <cell r="CO26">
            <v>0</v>
          </cell>
          <cell r="FD26">
            <v>0</v>
          </cell>
          <cell r="FE26">
            <v>55388427.257843465</v>
          </cell>
          <cell r="FF26">
            <v>0</v>
          </cell>
          <cell r="FG26">
            <v>0</v>
          </cell>
          <cell r="FJ26">
            <v>0</v>
          </cell>
          <cell r="FK26">
            <v>0</v>
          </cell>
          <cell r="FL26">
            <v>0</v>
          </cell>
          <cell r="FN26">
            <v>0</v>
          </cell>
          <cell r="FO26">
            <v>0</v>
          </cell>
          <cell r="FP26">
            <v>0</v>
          </cell>
          <cell r="FQ26">
            <v>0</v>
          </cell>
          <cell r="FS26">
            <v>0</v>
          </cell>
          <cell r="FT26">
            <v>0</v>
          </cell>
          <cell r="FU26">
            <v>0</v>
          </cell>
          <cell r="FV26">
            <v>0</v>
          </cell>
          <cell r="FW26">
            <v>0</v>
          </cell>
          <cell r="FX26">
            <v>0</v>
          </cell>
          <cell r="FY26">
            <v>0</v>
          </cell>
          <cell r="FZ26">
            <v>0</v>
          </cell>
          <cell r="GA26">
            <v>0</v>
          </cell>
        </row>
        <row r="27">
          <cell r="A27" t="str">
            <v>F_CNP_NRF_EPA_UCS_FRCE_605</v>
          </cell>
          <cell r="E27">
            <v>57253561.209373809</v>
          </cell>
          <cell r="F27">
            <v>0</v>
          </cell>
          <cell r="G27">
            <v>0</v>
          </cell>
          <cell r="J27">
            <v>0</v>
          </cell>
          <cell r="K27">
            <v>0</v>
          </cell>
          <cell r="L27">
            <v>0</v>
          </cell>
          <cell r="N27">
            <v>0</v>
          </cell>
          <cell r="O27">
            <v>0</v>
          </cell>
          <cell r="P27">
            <v>0</v>
          </cell>
          <cell r="Q27">
            <v>0</v>
          </cell>
          <cell r="S27">
            <v>0</v>
          </cell>
          <cell r="T27">
            <v>0</v>
          </cell>
          <cell r="U27">
            <v>0</v>
          </cell>
          <cell r="V27">
            <v>0</v>
          </cell>
          <cell r="W27">
            <v>0</v>
          </cell>
          <cell r="X27">
            <v>0</v>
          </cell>
          <cell r="Y27">
            <v>0</v>
          </cell>
          <cell r="Z27">
            <v>0</v>
          </cell>
          <cell r="AA27">
            <v>0</v>
          </cell>
          <cell r="AB27">
            <v>0</v>
          </cell>
          <cell r="AC27">
            <v>0</v>
          </cell>
          <cell r="AF27">
            <v>0</v>
          </cell>
          <cell r="AG27">
            <v>0</v>
          </cell>
          <cell r="AH27">
            <v>0</v>
          </cell>
          <cell r="AJ27">
            <v>0</v>
          </cell>
          <cell r="AK27">
            <v>0</v>
          </cell>
          <cell r="AL27">
            <v>0</v>
          </cell>
          <cell r="AM27">
            <v>0</v>
          </cell>
          <cell r="AO27">
            <v>0</v>
          </cell>
          <cell r="AP27">
            <v>0</v>
          </cell>
          <cell r="AQ27">
            <v>0</v>
          </cell>
          <cell r="AR27">
            <v>0</v>
          </cell>
          <cell r="AS27">
            <v>0</v>
          </cell>
          <cell r="AT27">
            <v>0</v>
          </cell>
          <cell r="AU27">
            <v>0</v>
          </cell>
          <cell r="AV27">
            <v>0</v>
          </cell>
          <cell r="AW27">
            <v>0</v>
          </cell>
          <cell r="AX27">
            <v>0</v>
          </cell>
          <cell r="AY27">
            <v>0</v>
          </cell>
          <cell r="BB27">
            <v>0</v>
          </cell>
          <cell r="BC27">
            <v>0</v>
          </cell>
          <cell r="BD27">
            <v>0</v>
          </cell>
          <cell r="BF27">
            <v>0</v>
          </cell>
          <cell r="BG27">
            <v>0</v>
          </cell>
          <cell r="BH27">
            <v>0</v>
          </cell>
          <cell r="BI27">
            <v>0</v>
          </cell>
          <cell r="BK27">
            <v>0</v>
          </cell>
          <cell r="BL27">
            <v>0</v>
          </cell>
          <cell r="BM27">
            <v>0</v>
          </cell>
          <cell r="BN27">
            <v>0</v>
          </cell>
          <cell r="BO27">
            <v>0</v>
          </cell>
          <cell r="BP27">
            <v>0</v>
          </cell>
          <cell r="BQ27">
            <v>0</v>
          </cell>
          <cell r="BR27">
            <v>0</v>
          </cell>
          <cell r="BS27">
            <v>0</v>
          </cell>
          <cell r="BT27">
            <v>0</v>
          </cell>
          <cell r="BU27">
            <v>0</v>
          </cell>
          <cell r="BX27">
            <v>0</v>
          </cell>
          <cell r="BY27">
            <v>0</v>
          </cell>
          <cell r="BZ27">
            <v>0</v>
          </cell>
          <cell r="CB27">
            <v>0</v>
          </cell>
          <cell r="CC27">
            <v>0</v>
          </cell>
          <cell r="CD27">
            <v>0</v>
          </cell>
          <cell r="CE27">
            <v>0</v>
          </cell>
          <cell r="CG27">
            <v>0</v>
          </cell>
          <cell r="CH27">
            <v>0</v>
          </cell>
          <cell r="CI27">
            <v>0</v>
          </cell>
          <cell r="CJ27">
            <v>0</v>
          </cell>
          <cell r="CK27">
            <v>0</v>
          </cell>
          <cell r="CL27">
            <v>0</v>
          </cell>
          <cell r="CM27">
            <v>0</v>
          </cell>
          <cell r="CN27">
            <v>0</v>
          </cell>
          <cell r="CO27">
            <v>0</v>
          </cell>
          <cell r="FD27">
            <v>0</v>
          </cell>
          <cell r="FE27">
            <v>57275535.245498806</v>
          </cell>
          <cell r="FF27">
            <v>0</v>
          </cell>
          <cell r="FG27">
            <v>0</v>
          </cell>
          <cell r="FJ27">
            <v>0</v>
          </cell>
          <cell r="FK27">
            <v>0</v>
          </cell>
          <cell r="FL27">
            <v>0</v>
          </cell>
          <cell r="FN27">
            <v>0</v>
          </cell>
          <cell r="FO27">
            <v>0</v>
          </cell>
          <cell r="FP27">
            <v>0</v>
          </cell>
          <cell r="FQ27">
            <v>0</v>
          </cell>
          <cell r="FS27">
            <v>0</v>
          </cell>
          <cell r="FT27">
            <v>0</v>
          </cell>
          <cell r="FU27">
            <v>0</v>
          </cell>
          <cell r="FV27">
            <v>0</v>
          </cell>
          <cell r="FW27">
            <v>0</v>
          </cell>
          <cell r="FX27">
            <v>0</v>
          </cell>
          <cell r="FY27">
            <v>0</v>
          </cell>
          <cell r="FZ27">
            <v>0</v>
          </cell>
          <cell r="GA27">
            <v>0</v>
          </cell>
        </row>
        <row r="28">
          <cell r="A28" t="str">
            <v>F_CNP_NRF_EPA_UCS_FRCE_606</v>
          </cell>
          <cell r="E28">
            <v>145276179.82430327</v>
          </cell>
          <cell r="F28">
            <v>0</v>
          </cell>
          <cell r="G28">
            <v>0</v>
          </cell>
          <cell r="J28">
            <v>0</v>
          </cell>
          <cell r="K28">
            <v>0</v>
          </cell>
          <cell r="L28">
            <v>0</v>
          </cell>
          <cell r="N28">
            <v>0</v>
          </cell>
          <cell r="O28">
            <v>0</v>
          </cell>
          <cell r="P28">
            <v>0</v>
          </cell>
          <cell r="Q28">
            <v>0</v>
          </cell>
          <cell r="S28">
            <v>0</v>
          </cell>
          <cell r="T28">
            <v>0</v>
          </cell>
          <cell r="U28">
            <v>0</v>
          </cell>
          <cell r="V28">
            <v>0</v>
          </cell>
          <cell r="W28">
            <v>0</v>
          </cell>
          <cell r="X28">
            <v>0</v>
          </cell>
          <cell r="Y28">
            <v>0</v>
          </cell>
          <cell r="Z28">
            <v>0</v>
          </cell>
          <cell r="AA28">
            <v>0</v>
          </cell>
          <cell r="AB28">
            <v>0</v>
          </cell>
          <cell r="AC28">
            <v>0</v>
          </cell>
          <cell r="AF28">
            <v>0</v>
          </cell>
          <cell r="AG28">
            <v>0</v>
          </cell>
          <cell r="AH28">
            <v>0</v>
          </cell>
          <cell r="AJ28">
            <v>0</v>
          </cell>
          <cell r="AK28">
            <v>0</v>
          </cell>
          <cell r="AL28">
            <v>0</v>
          </cell>
          <cell r="AM28">
            <v>0</v>
          </cell>
          <cell r="AO28">
            <v>0</v>
          </cell>
          <cell r="AP28">
            <v>0</v>
          </cell>
          <cell r="AQ28">
            <v>0</v>
          </cell>
          <cell r="AR28">
            <v>0</v>
          </cell>
          <cell r="AS28">
            <v>0</v>
          </cell>
          <cell r="AT28">
            <v>0</v>
          </cell>
          <cell r="AU28">
            <v>0</v>
          </cell>
          <cell r="AV28">
            <v>0</v>
          </cell>
          <cell r="AW28">
            <v>0</v>
          </cell>
          <cell r="AX28">
            <v>0</v>
          </cell>
          <cell r="AY28">
            <v>0</v>
          </cell>
          <cell r="BB28">
            <v>0</v>
          </cell>
          <cell r="BC28">
            <v>0</v>
          </cell>
          <cell r="BD28">
            <v>0</v>
          </cell>
          <cell r="BF28">
            <v>0</v>
          </cell>
          <cell r="BG28">
            <v>0</v>
          </cell>
          <cell r="BH28">
            <v>0</v>
          </cell>
          <cell r="BI28">
            <v>0</v>
          </cell>
          <cell r="BK28">
            <v>0</v>
          </cell>
          <cell r="BL28">
            <v>0</v>
          </cell>
          <cell r="BM28">
            <v>0</v>
          </cell>
          <cell r="BN28">
            <v>0</v>
          </cell>
          <cell r="BO28">
            <v>0</v>
          </cell>
          <cell r="BP28">
            <v>0</v>
          </cell>
          <cell r="BQ28">
            <v>0</v>
          </cell>
          <cell r="BR28">
            <v>0</v>
          </cell>
          <cell r="BS28">
            <v>0</v>
          </cell>
          <cell r="BT28">
            <v>0</v>
          </cell>
          <cell r="BU28">
            <v>0</v>
          </cell>
          <cell r="BX28">
            <v>0</v>
          </cell>
          <cell r="BY28">
            <v>0</v>
          </cell>
          <cell r="BZ28">
            <v>0</v>
          </cell>
          <cell r="CB28">
            <v>0</v>
          </cell>
          <cell r="CC28">
            <v>0</v>
          </cell>
          <cell r="CD28">
            <v>0</v>
          </cell>
          <cell r="CE28">
            <v>0</v>
          </cell>
          <cell r="CG28">
            <v>0</v>
          </cell>
          <cell r="CH28">
            <v>0</v>
          </cell>
          <cell r="CI28">
            <v>0</v>
          </cell>
          <cell r="CJ28">
            <v>0</v>
          </cell>
          <cell r="CK28">
            <v>0</v>
          </cell>
          <cell r="CL28">
            <v>0</v>
          </cell>
          <cell r="CM28">
            <v>0</v>
          </cell>
          <cell r="CN28">
            <v>0</v>
          </cell>
          <cell r="CO28">
            <v>0</v>
          </cell>
          <cell r="FD28">
            <v>0</v>
          </cell>
          <cell r="FE28">
            <v>145316778.68183896</v>
          </cell>
          <cell r="FF28">
            <v>0</v>
          </cell>
          <cell r="FG28">
            <v>0</v>
          </cell>
          <cell r="FJ28">
            <v>0</v>
          </cell>
          <cell r="FK28">
            <v>0</v>
          </cell>
          <cell r="FL28">
            <v>0</v>
          </cell>
          <cell r="FN28">
            <v>0</v>
          </cell>
          <cell r="FO28">
            <v>0</v>
          </cell>
          <cell r="FP28">
            <v>0</v>
          </cell>
          <cell r="FQ28">
            <v>0</v>
          </cell>
          <cell r="FS28">
            <v>0</v>
          </cell>
          <cell r="FT28">
            <v>0</v>
          </cell>
          <cell r="FU28">
            <v>0</v>
          </cell>
          <cell r="FV28">
            <v>0</v>
          </cell>
          <cell r="FW28">
            <v>0</v>
          </cell>
          <cell r="FX28">
            <v>0</v>
          </cell>
          <cell r="FY28">
            <v>0</v>
          </cell>
          <cell r="FZ28">
            <v>0</v>
          </cell>
          <cell r="GA28">
            <v>0</v>
          </cell>
        </row>
        <row r="29">
          <cell r="A29" t="str">
            <v>F_CNP_NRF_EPA_UCS_FRCE_251</v>
          </cell>
          <cell r="E29">
            <v>983717247.29584932</v>
          </cell>
          <cell r="F29">
            <v>0</v>
          </cell>
          <cell r="G29">
            <v>0</v>
          </cell>
          <cell r="J29">
            <v>0</v>
          </cell>
          <cell r="K29">
            <v>0</v>
          </cell>
          <cell r="L29">
            <v>0</v>
          </cell>
          <cell r="N29">
            <v>0</v>
          </cell>
          <cell r="O29">
            <v>0</v>
          </cell>
          <cell r="P29">
            <v>0</v>
          </cell>
          <cell r="Q29">
            <v>0</v>
          </cell>
          <cell r="S29">
            <v>0</v>
          </cell>
          <cell r="T29">
            <v>0</v>
          </cell>
          <cell r="U29">
            <v>0</v>
          </cell>
          <cell r="V29">
            <v>0</v>
          </cell>
          <cell r="W29">
            <v>0</v>
          </cell>
          <cell r="X29">
            <v>0</v>
          </cell>
          <cell r="Y29">
            <v>0</v>
          </cell>
          <cell r="Z29">
            <v>0</v>
          </cell>
          <cell r="AA29">
            <v>0</v>
          </cell>
          <cell r="AB29">
            <v>0</v>
          </cell>
          <cell r="AC29">
            <v>0</v>
          </cell>
          <cell r="AF29">
            <v>0</v>
          </cell>
          <cell r="AG29">
            <v>0</v>
          </cell>
          <cell r="AH29">
            <v>0</v>
          </cell>
          <cell r="AJ29">
            <v>0</v>
          </cell>
          <cell r="AK29">
            <v>0</v>
          </cell>
          <cell r="AL29">
            <v>0</v>
          </cell>
          <cell r="AM29">
            <v>0</v>
          </cell>
          <cell r="AO29">
            <v>0</v>
          </cell>
          <cell r="AP29">
            <v>0</v>
          </cell>
          <cell r="AQ29">
            <v>0</v>
          </cell>
          <cell r="AR29">
            <v>0</v>
          </cell>
          <cell r="AS29">
            <v>0</v>
          </cell>
          <cell r="AT29">
            <v>0</v>
          </cell>
          <cell r="AU29">
            <v>0</v>
          </cell>
          <cell r="AV29">
            <v>0</v>
          </cell>
          <cell r="AW29">
            <v>0</v>
          </cell>
          <cell r="AX29">
            <v>0</v>
          </cell>
          <cell r="AY29">
            <v>0</v>
          </cell>
          <cell r="BB29">
            <v>0</v>
          </cell>
          <cell r="BC29">
            <v>0</v>
          </cell>
          <cell r="BD29">
            <v>0</v>
          </cell>
          <cell r="BF29">
            <v>0</v>
          </cell>
          <cell r="BG29">
            <v>0</v>
          </cell>
          <cell r="BH29">
            <v>0</v>
          </cell>
          <cell r="BI29">
            <v>0</v>
          </cell>
          <cell r="BK29">
            <v>0</v>
          </cell>
          <cell r="BL29">
            <v>0</v>
          </cell>
          <cell r="BM29">
            <v>0</v>
          </cell>
          <cell r="BN29">
            <v>0</v>
          </cell>
          <cell r="BO29">
            <v>0</v>
          </cell>
          <cell r="BP29">
            <v>0</v>
          </cell>
          <cell r="BQ29">
            <v>0</v>
          </cell>
          <cell r="BR29">
            <v>0</v>
          </cell>
          <cell r="BS29">
            <v>0</v>
          </cell>
          <cell r="BT29">
            <v>0</v>
          </cell>
          <cell r="BU29">
            <v>0</v>
          </cell>
          <cell r="BX29">
            <v>0</v>
          </cell>
          <cell r="BY29">
            <v>0</v>
          </cell>
          <cell r="BZ29">
            <v>0</v>
          </cell>
          <cell r="CB29">
            <v>0</v>
          </cell>
          <cell r="CC29">
            <v>0</v>
          </cell>
          <cell r="CD29">
            <v>0</v>
          </cell>
          <cell r="CE29">
            <v>0</v>
          </cell>
          <cell r="CG29">
            <v>0</v>
          </cell>
          <cell r="CH29">
            <v>0</v>
          </cell>
          <cell r="CI29">
            <v>0</v>
          </cell>
          <cell r="CJ29">
            <v>0</v>
          </cell>
          <cell r="CK29">
            <v>0</v>
          </cell>
          <cell r="CL29">
            <v>0</v>
          </cell>
          <cell r="CM29">
            <v>0</v>
          </cell>
          <cell r="CN29">
            <v>0</v>
          </cell>
          <cell r="CO29">
            <v>0</v>
          </cell>
          <cell r="FD29">
            <v>0</v>
          </cell>
          <cell r="FE29">
            <v>984135540.63849485</v>
          </cell>
          <cell r="FF29">
            <v>0</v>
          </cell>
          <cell r="FG29">
            <v>0</v>
          </cell>
          <cell r="FJ29">
            <v>0</v>
          </cell>
          <cell r="FK29">
            <v>0</v>
          </cell>
          <cell r="FL29">
            <v>0</v>
          </cell>
          <cell r="FN29">
            <v>0</v>
          </cell>
          <cell r="FO29">
            <v>0</v>
          </cell>
          <cell r="FP29">
            <v>0</v>
          </cell>
          <cell r="FQ29">
            <v>0</v>
          </cell>
          <cell r="FS29">
            <v>0</v>
          </cell>
          <cell r="FT29">
            <v>0</v>
          </cell>
          <cell r="FU29">
            <v>0</v>
          </cell>
          <cell r="FV29">
            <v>0</v>
          </cell>
          <cell r="FW29">
            <v>0</v>
          </cell>
          <cell r="FX29">
            <v>0</v>
          </cell>
          <cell r="FY29">
            <v>0</v>
          </cell>
          <cell r="FZ29">
            <v>0</v>
          </cell>
          <cell r="GA29">
            <v>0</v>
          </cell>
        </row>
        <row r="30">
          <cell r="A30" t="str">
            <v>F_CNP_NRF_EPA_UCS_FRCE_250</v>
          </cell>
          <cell r="E30">
            <v>6046208947.8406324</v>
          </cell>
          <cell r="F30">
            <v>0</v>
          </cell>
          <cell r="G30">
            <v>0</v>
          </cell>
          <cell r="J30">
            <v>0</v>
          </cell>
          <cell r="K30">
            <v>0</v>
          </cell>
          <cell r="L30">
            <v>0</v>
          </cell>
          <cell r="N30">
            <v>0</v>
          </cell>
          <cell r="O30">
            <v>0</v>
          </cell>
          <cell r="P30">
            <v>0</v>
          </cell>
          <cell r="Q30">
            <v>0</v>
          </cell>
          <cell r="S30">
            <v>0</v>
          </cell>
          <cell r="T30">
            <v>0</v>
          </cell>
          <cell r="U30">
            <v>0</v>
          </cell>
          <cell r="V30">
            <v>0</v>
          </cell>
          <cell r="W30">
            <v>0</v>
          </cell>
          <cell r="X30">
            <v>0</v>
          </cell>
          <cell r="Y30">
            <v>0</v>
          </cell>
          <cell r="Z30">
            <v>0</v>
          </cell>
          <cell r="AA30">
            <v>0</v>
          </cell>
          <cell r="AB30">
            <v>0</v>
          </cell>
          <cell r="AC30">
            <v>0</v>
          </cell>
          <cell r="AF30">
            <v>0</v>
          </cell>
          <cell r="AG30">
            <v>0</v>
          </cell>
          <cell r="AH30">
            <v>0</v>
          </cell>
          <cell r="AJ30">
            <v>0</v>
          </cell>
          <cell r="AK30">
            <v>0</v>
          </cell>
          <cell r="AL30">
            <v>0</v>
          </cell>
          <cell r="AM30">
            <v>0</v>
          </cell>
          <cell r="AO30">
            <v>0</v>
          </cell>
          <cell r="AP30">
            <v>0</v>
          </cell>
          <cell r="AQ30">
            <v>0</v>
          </cell>
          <cell r="AR30">
            <v>0</v>
          </cell>
          <cell r="AS30">
            <v>0</v>
          </cell>
          <cell r="AT30">
            <v>0</v>
          </cell>
          <cell r="AU30">
            <v>0</v>
          </cell>
          <cell r="AV30">
            <v>0</v>
          </cell>
          <cell r="AW30">
            <v>0</v>
          </cell>
          <cell r="AX30">
            <v>0</v>
          </cell>
          <cell r="AY30">
            <v>0</v>
          </cell>
          <cell r="BB30">
            <v>0</v>
          </cell>
          <cell r="BC30">
            <v>0</v>
          </cell>
          <cell r="BD30">
            <v>0</v>
          </cell>
          <cell r="BF30">
            <v>0</v>
          </cell>
          <cell r="BG30">
            <v>0</v>
          </cell>
          <cell r="BH30">
            <v>0</v>
          </cell>
          <cell r="BI30">
            <v>0</v>
          </cell>
          <cell r="BK30">
            <v>0</v>
          </cell>
          <cell r="BL30">
            <v>0</v>
          </cell>
          <cell r="BM30">
            <v>0</v>
          </cell>
          <cell r="BN30">
            <v>0</v>
          </cell>
          <cell r="BO30">
            <v>0</v>
          </cell>
          <cell r="BP30">
            <v>0</v>
          </cell>
          <cell r="BQ30">
            <v>0</v>
          </cell>
          <cell r="BR30">
            <v>0</v>
          </cell>
          <cell r="BS30">
            <v>0</v>
          </cell>
          <cell r="BT30">
            <v>0</v>
          </cell>
          <cell r="BU30">
            <v>0</v>
          </cell>
          <cell r="BX30">
            <v>0</v>
          </cell>
          <cell r="BY30">
            <v>0</v>
          </cell>
          <cell r="BZ30">
            <v>0</v>
          </cell>
          <cell r="CB30">
            <v>0</v>
          </cell>
          <cell r="CC30">
            <v>0</v>
          </cell>
          <cell r="CD30">
            <v>0</v>
          </cell>
          <cell r="CE30">
            <v>0</v>
          </cell>
          <cell r="CG30">
            <v>0</v>
          </cell>
          <cell r="CH30">
            <v>0</v>
          </cell>
          <cell r="CI30">
            <v>0</v>
          </cell>
          <cell r="CJ30">
            <v>0</v>
          </cell>
          <cell r="CK30">
            <v>0</v>
          </cell>
          <cell r="CL30">
            <v>0</v>
          </cell>
          <cell r="CM30">
            <v>0</v>
          </cell>
          <cell r="CN30">
            <v>0</v>
          </cell>
          <cell r="CO30">
            <v>0</v>
          </cell>
          <cell r="FD30">
            <v>0</v>
          </cell>
          <cell r="FE30">
            <v>6048172062.7567759</v>
          </cell>
          <cell r="FF30">
            <v>0</v>
          </cell>
          <cell r="FG30">
            <v>0</v>
          </cell>
          <cell r="FJ30">
            <v>0</v>
          </cell>
          <cell r="FK30">
            <v>0</v>
          </cell>
          <cell r="FL30">
            <v>0</v>
          </cell>
          <cell r="FN30">
            <v>0</v>
          </cell>
          <cell r="FO30">
            <v>0</v>
          </cell>
          <cell r="FP30">
            <v>0</v>
          </cell>
          <cell r="FQ30">
            <v>0</v>
          </cell>
          <cell r="FS30">
            <v>0</v>
          </cell>
          <cell r="FT30">
            <v>0</v>
          </cell>
          <cell r="FU30">
            <v>0</v>
          </cell>
          <cell r="FV30">
            <v>0</v>
          </cell>
          <cell r="FW30">
            <v>0</v>
          </cell>
          <cell r="FX30">
            <v>0</v>
          </cell>
          <cell r="FY30">
            <v>0</v>
          </cell>
          <cell r="FZ30">
            <v>0</v>
          </cell>
          <cell r="GA30">
            <v>0</v>
          </cell>
        </row>
        <row r="31">
          <cell r="A31" t="str">
            <v>F_CNP_NRF_EPA_UCS_FRCE_234</v>
          </cell>
          <cell r="E31">
            <v>39098517.748182982</v>
          </cell>
          <cell r="F31">
            <v>0</v>
          </cell>
          <cell r="G31">
            <v>0</v>
          </cell>
          <cell r="J31">
            <v>0</v>
          </cell>
          <cell r="K31">
            <v>0</v>
          </cell>
          <cell r="L31">
            <v>0</v>
          </cell>
          <cell r="N31">
            <v>0</v>
          </cell>
          <cell r="O31">
            <v>0</v>
          </cell>
          <cell r="P31">
            <v>0</v>
          </cell>
          <cell r="Q31">
            <v>0</v>
          </cell>
          <cell r="S31">
            <v>0</v>
          </cell>
          <cell r="T31">
            <v>0</v>
          </cell>
          <cell r="U31">
            <v>0</v>
          </cell>
          <cell r="V31">
            <v>0</v>
          </cell>
          <cell r="W31">
            <v>0</v>
          </cell>
          <cell r="X31">
            <v>0</v>
          </cell>
          <cell r="Y31">
            <v>0</v>
          </cell>
          <cell r="Z31">
            <v>0</v>
          </cell>
          <cell r="AA31">
            <v>0</v>
          </cell>
          <cell r="AB31">
            <v>0</v>
          </cell>
          <cell r="AC31">
            <v>0</v>
          </cell>
          <cell r="AF31">
            <v>0</v>
          </cell>
          <cell r="AG31">
            <v>0</v>
          </cell>
          <cell r="AH31">
            <v>0</v>
          </cell>
          <cell r="AJ31">
            <v>0</v>
          </cell>
          <cell r="AK31">
            <v>0</v>
          </cell>
          <cell r="AL31">
            <v>0</v>
          </cell>
          <cell r="AM31">
            <v>0</v>
          </cell>
          <cell r="AO31">
            <v>0</v>
          </cell>
          <cell r="AP31">
            <v>0</v>
          </cell>
          <cell r="AQ31">
            <v>0</v>
          </cell>
          <cell r="AR31">
            <v>0</v>
          </cell>
          <cell r="AS31">
            <v>0</v>
          </cell>
          <cell r="AT31">
            <v>0</v>
          </cell>
          <cell r="AU31">
            <v>0</v>
          </cell>
          <cell r="AV31">
            <v>0</v>
          </cell>
          <cell r="AW31">
            <v>0</v>
          </cell>
          <cell r="AX31">
            <v>0</v>
          </cell>
          <cell r="AY31">
            <v>0</v>
          </cell>
          <cell r="BB31">
            <v>0</v>
          </cell>
          <cell r="BC31">
            <v>0</v>
          </cell>
          <cell r="BD31">
            <v>0</v>
          </cell>
          <cell r="BF31">
            <v>0</v>
          </cell>
          <cell r="BG31">
            <v>0</v>
          </cell>
          <cell r="BH31">
            <v>0</v>
          </cell>
          <cell r="BI31">
            <v>0</v>
          </cell>
          <cell r="BK31">
            <v>0</v>
          </cell>
          <cell r="BL31">
            <v>0</v>
          </cell>
          <cell r="BM31">
            <v>0</v>
          </cell>
          <cell r="BN31">
            <v>0</v>
          </cell>
          <cell r="BO31">
            <v>0</v>
          </cell>
          <cell r="BP31">
            <v>0</v>
          </cell>
          <cell r="BQ31">
            <v>0</v>
          </cell>
          <cell r="BR31">
            <v>0</v>
          </cell>
          <cell r="BS31">
            <v>0</v>
          </cell>
          <cell r="BT31">
            <v>0</v>
          </cell>
          <cell r="BU31">
            <v>0</v>
          </cell>
          <cell r="BX31">
            <v>0</v>
          </cell>
          <cell r="BY31">
            <v>0</v>
          </cell>
          <cell r="BZ31">
            <v>0</v>
          </cell>
          <cell r="CB31">
            <v>0</v>
          </cell>
          <cell r="CC31">
            <v>0</v>
          </cell>
          <cell r="CD31">
            <v>0</v>
          </cell>
          <cell r="CE31">
            <v>0</v>
          </cell>
          <cell r="CG31">
            <v>0</v>
          </cell>
          <cell r="CH31">
            <v>0</v>
          </cell>
          <cell r="CI31">
            <v>0</v>
          </cell>
          <cell r="CJ31">
            <v>0</v>
          </cell>
          <cell r="CK31">
            <v>0</v>
          </cell>
          <cell r="CL31">
            <v>0</v>
          </cell>
          <cell r="CM31">
            <v>0</v>
          </cell>
          <cell r="CN31">
            <v>0</v>
          </cell>
          <cell r="CO31">
            <v>0</v>
          </cell>
          <cell r="FD31">
            <v>0</v>
          </cell>
          <cell r="FE31">
            <v>39107722.574468009</v>
          </cell>
          <cell r="FF31">
            <v>0</v>
          </cell>
          <cell r="FG31">
            <v>0</v>
          </cell>
          <cell r="FJ31">
            <v>0</v>
          </cell>
          <cell r="FK31">
            <v>0</v>
          </cell>
          <cell r="FL31">
            <v>0</v>
          </cell>
          <cell r="FN31">
            <v>0</v>
          </cell>
          <cell r="FO31">
            <v>0</v>
          </cell>
          <cell r="FP31">
            <v>0</v>
          </cell>
          <cell r="FQ31">
            <v>0</v>
          </cell>
          <cell r="FS31">
            <v>0</v>
          </cell>
          <cell r="FT31">
            <v>0</v>
          </cell>
          <cell r="FU31">
            <v>0</v>
          </cell>
          <cell r="FV31">
            <v>0</v>
          </cell>
          <cell r="FW31">
            <v>0</v>
          </cell>
          <cell r="FX31">
            <v>0</v>
          </cell>
          <cell r="FY31">
            <v>0</v>
          </cell>
          <cell r="FZ31">
            <v>0</v>
          </cell>
          <cell r="GA31">
            <v>0</v>
          </cell>
        </row>
        <row r="32">
          <cell r="A32" t="str">
            <v>F_CNP_NRF_EPA_UCS_FRCE_GCE</v>
          </cell>
          <cell r="E32">
            <v>21114093.351206254</v>
          </cell>
          <cell r="F32">
            <v>0</v>
          </cell>
          <cell r="G32">
            <v>0</v>
          </cell>
          <cell r="J32">
            <v>0</v>
          </cell>
          <cell r="K32">
            <v>0</v>
          </cell>
          <cell r="L32">
            <v>0</v>
          </cell>
          <cell r="N32">
            <v>0</v>
          </cell>
          <cell r="O32">
            <v>0</v>
          </cell>
          <cell r="P32">
            <v>0</v>
          </cell>
          <cell r="Q32">
            <v>0</v>
          </cell>
          <cell r="S32">
            <v>0</v>
          </cell>
          <cell r="T32">
            <v>0</v>
          </cell>
          <cell r="U32">
            <v>0</v>
          </cell>
          <cell r="V32">
            <v>0</v>
          </cell>
          <cell r="W32">
            <v>0</v>
          </cell>
          <cell r="X32">
            <v>0</v>
          </cell>
          <cell r="Y32">
            <v>0</v>
          </cell>
          <cell r="Z32">
            <v>0</v>
          </cell>
          <cell r="AA32">
            <v>0</v>
          </cell>
          <cell r="AB32">
            <v>0</v>
          </cell>
          <cell r="AC32">
            <v>0</v>
          </cell>
          <cell r="AF32">
            <v>0</v>
          </cell>
          <cell r="AG32">
            <v>0</v>
          </cell>
          <cell r="AH32">
            <v>0</v>
          </cell>
          <cell r="AJ32">
            <v>0</v>
          </cell>
          <cell r="AK32">
            <v>0</v>
          </cell>
          <cell r="AL32">
            <v>0</v>
          </cell>
          <cell r="AM32">
            <v>0</v>
          </cell>
          <cell r="AO32">
            <v>0</v>
          </cell>
          <cell r="AP32">
            <v>0</v>
          </cell>
          <cell r="AQ32">
            <v>0</v>
          </cell>
          <cell r="AR32">
            <v>0</v>
          </cell>
          <cell r="AS32">
            <v>0</v>
          </cell>
          <cell r="AT32">
            <v>0</v>
          </cell>
          <cell r="AU32">
            <v>0</v>
          </cell>
          <cell r="AV32">
            <v>0</v>
          </cell>
          <cell r="AW32">
            <v>0</v>
          </cell>
          <cell r="AX32">
            <v>0</v>
          </cell>
          <cell r="AY32">
            <v>0</v>
          </cell>
          <cell r="BB32">
            <v>0</v>
          </cell>
          <cell r="BC32">
            <v>0</v>
          </cell>
          <cell r="BD32">
            <v>0</v>
          </cell>
          <cell r="BF32">
            <v>0</v>
          </cell>
          <cell r="BG32">
            <v>0</v>
          </cell>
          <cell r="BH32">
            <v>0</v>
          </cell>
          <cell r="BI32">
            <v>0</v>
          </cell>
          <cell r="BK32">
            <v>0</v>
          </cell>
          <cell r="BL32">
            <v>0</v>
          </cell>
          <cell r="BM32">
            <v>0</v>
          </cell>
          <cell r="BN32">
            <v>0</v>
          </cell>
          <cell r="BO32">
            <v>0</v>
          </cell>
          <cell r="BP32">
            <v>0</v>
          </cell>
          <cell r="BQ32">
            <v>0</v>
          </cell>
          <cell r="BR32">
            <v>0</v>
          </cell>
          <cell r="BS32">
            <v>0</v>
          </cell>
          <cell r="BT32">
            <v>0</v>
          </cell>
          <cell r="BU32">
            <v>0</v>
          </cell>
          <cell r="BX32">
            <v>0</v>
          </cell>
          <cell r="BY32">
            <v>0</v>
          </cell>
          <cell r="BZ32">
            <v>0</v>
          </cell>
          <cell r="CB32">
            <v>0</v>
          </cell>
          <cell r="CC32">
            <v>0</v>
          </cell>
          <cell r="CD32">
            <v>0</v>
          </cell>
          <cell r="CE32">
            <v>0</v>
          </cell>
          <cell r="CG32">
            <v>0</v>
          </cell>
          <cell r="CH32">
            <v>0</v>
          </cell>
          <cell r="CI32">
            <v>0</v>
          </cell>
          <cell r="CJ32">
            <v>0</v>
          </cell>
          <cell r="CK32">
            <v>0</v>
          </cell>
          <cell r="CL32">
            <v>0</v>
          </cell>
          <cell r="CM32">
            <v>0</v>
          </cell>
          <cell r="CN32">
            <v>0</v>
          </cell>
          <cell r="CO32">
            <v>0</v>
          </cell>
          <cell r="FD32">
            <v>0</v>
          </cell>
          <cell r="FE32">
            <v>21114093.351206254</v>
          </cell>
          <cell r="FF32">
            <v>0</v>
          </cell>
          <cell r="FG32">
            <v>0</v>
          </cell>
          <cell r="FJ32">
            <v>0</v>
          </cell>
          <cell r="FK32">
            <v>0</v>
          </cell>
          <cell r="FL32">
            <v>0</v>
          </cell>
          <cell r="FN32">
            <v>0</v>
          </cell>
          <cell r="FO32">
            <v>0</v>
          </cell>
          <cell r="FP32">
            <v>0</v>
          </cell>
          <cell r="FQ32">
            <v>0</v>
          </cell>
          <cell r="FS32">
            <v>0</v>
          </cell>
          <cell r="FT32">
            <v>0</v>
          </cell>
          <cell r="FU32">
            <v>0</v>
          </cell>
          <cell r="FV32">
            <v>0</v>
          </cell>
          <cell r="FW32">
            <v>0</v>
          </cell>
          <cell r="FX32">
            <v>0</v>
          </cell>
          <cell r="FY32">
            <v>0</v>
          </cell>
          <cell r="FZ32">
            <v>0</v>
          </cell>
          <cell r="GA32">
            <v>0</v>
          </cell>
        </row>
        <row r="33">
          <cell r="A33" t="str">
            <v>F_CNP_NRF_EPA_UCS_FRCE_GBP</v>
          </cell>
          <cell r="E33">
            <v>5183372.7464926289</v>
          </cell>
          <cell r="F33">
            <v>0</v>
          </cell>
          <cell r="G33">
            <v>0</v>
          </cell>
          <cell r="J33">
            <v>0</v>
          </cell>
          <cell r="K33">
            <v>0</v>
          </cell>
          <cell r="L33">
            <v>0</v>
          </cell>
          <cell r="N33">
            <v>0</v>
          </cell>
          <cell r="O33">
            <v>0</v>
          </cell>
          <cell r="P33">
            <v>0</v>
          </cell>
          <cell r="Q33">
            <v>0</v>
          </cell>
          <cell r="S33">
            <v>0</v>
          </cell>
          <cell r="T33">
            <v>0</v>
          </cell>
          <cell r="U33">
            <v>0</v>
          </cell>
          <cell r="V33">
            <v>0</v>
          </cell>
          <cell r="W33">
            <v>0</v>
          </cell>
          <cell r="X33">
            <v>0</v>
          </cell>
          <cell r="Y33">
            <v>0</v>
          </cell>
          <cell r="Z33">
            <v>0</v>
          </cell>
          <cell r="AA33">
            <v>0</v>
          </cell>
          <cell r="AB33">
            <v>0</v>
          </cell>
          <cell r="AC33">
            <v>0</v>
          </cell>
          <cell r="AF33">
            <v>0</v>
          </cell>
          <cell r="AG33">
            <v>0</v>
          </cell>
          <cell r="AH33">
            <v>0</v>
          </cell>
          <cell r="AJ33">
            <v>0</v>
          </cell>
          <cell r="AK33">
            <v>0</v>
          </cell>
          <cell r="AL33">
            <v>0</v>
          </cell>
          <cell r="AM33">
            <v>0</v>
          </cell>
          <cell r="AO33">
            <v>0</v>
          </cell>
          <cell r="AP33">
            <v>0</v>
          </cell>
          <cell r="AQ33">
            <v>0</v>
          </cell>
          <cell r="AR33">
            <v>0</v>
          </cell>
          <cell r="AS33">
            <v>0</v>
          </cell>
          <cell r="AT33">
            <v>0</v>
          </cell>
          <cell r="AU33">
            <v>0</v>
          </cell>
          <cell r="AV33">
            <v>0</v>
          </cell>
          <cell r="AW33">
            <v>0</v>
          </cell>
          <cell r="AX33">
            <v>0</v>
          </cell>
          <cell r="AY33">
            <v>0</v>
          </cell>
          <cell r="BB33">
            <v>0</v>
          </cell>
          <cell r="BC33">
            <v>0</v>
          </cell>
          <cell r="BD33">
            <v>0</v>
          </cell>
          <cell r="BF33">
            <v>0</v>
          </cell>
          <cell r="BG33">
            <v>0</v>
          </cell>
          <cell r="BH33">
            <v>0</v>
          </cell>
          <cell r="BI33">
            <v>0</v>
          </cell>
          <cell r="BK33">
            <v>0</v>
          </cell>
          <cell r="BL33">
            <v>0</v>
          </cell>
          <cell r="BM33">
            <v>0</v>
          </cell>
          <cell r="BN33">
            <v>0</v>
          </cell>
          <cell r="BO33">
            <v>0</v>
          </cell>
          <cell r="BP33">
            <v>0</v>
          </cell>
          <cell r="BQ33">
            <v>0</v>
          </cell>
          <cell r="BR33">
            <v>0</v>
          </cell>
          <cell r="BS33">
            <v>0</v>
          </cell>
          <cell r="BT33">
            <v>0</v>
          </cell>
          <cell r="BU33">
            <v>0</v>
          </cell>
          <cell r="BX33">
            <v>0</v>
          </cell>
          <cell r="BY33">
            <v>0</v>
          </cell>
          <cell r="BZ33">
            <v>0</v>
          </cell>
          <cell r="CB33">
            <v>0</v>
          </cell>
          <cell r="CC33">
            <v>0</v>
          </cell>
          <cell r="CD33">
            <v>0</v>
          </cell>
          <cell r="CE33">
            <v>0</v>
          </cell>
          <cell r="CG33">
            <v>0</v>
          </cell>
          <cell r="CH33">
            <v>0</v>
          </cell>
          <cell r="CI33">
            <v>0</v>
          </cell>
          <cell r="CJ33">
            <v>0</v>
          </cell>
          <cell r="CK33">
            <v>0</v>
          </cell>
          <cell r="CL33">
            <v>0</v>
          </cell>
          <cell r="CM33">
            <v>0</v>
          </cell>
          <cell r="CN33">
            <v>0</v>
          </cell>
          <cell r="CO33">
            <v>0</v>
          </cell>
          <cell r="FD33">
            <v>0</v>
          </cell>
          <cell r="FE33">
            <v>5183372.7464926289</v>
          </cell>
          <cell r="FF33">
            <v>0</v>
          </cell>
          <cell r="FG33">
            <v>0</v>
          </cell>
          <cell r="FJ33">
            <v>0</v>
          </cell>
          <cell r="FK33">
            <v>0</v>
          </cell>
          <cell r="FL33">
            <v>0</v>
          </cell>
          <cell r="FN33">
            <v>0</v>
          </cell>
          <cell r="FO33">
            <v>0</v>
          </cell>
          <cell r="FP33">
            <v>0</v>
          </cell>
          <cell r="FQ33">
            <v>0</v>
          </cell>
          <cell r="FS33">
            <v>0</v>
          </cell>
          <cell r="FT33">
            <v>0</v>
          </cell>
          <cell r="FU33">
            <v>0</v>
          </cell>
          <cell r="FV33">
            <v>0</v>
          </cell>
          <cell r="FW33">
            <v>0</v>
          </cell>
          <cell r="FX33">
            <v>0</v>
          </cell>
          <cell r="FY33">
            <v>0</v>
          </cell>
          <cell r="FZ33">
            <v>0</v>
          </cell>
          <cell r="GA33">
            <v>0</v>
          </cell>
        </row>
        <row r="34">
          <cell r="A34" t="str">
            <v>F_CNP_NRF_EPA_UCS_FRCE_GTR</v>
          </cell>
          <cell r="E34">
            <v>4134647.8491696888</v>
          </cell>
          <cell r="F34">
            <v>0</v>
          </cell>
          <cell r="G34">
            <v>0</v>
          </cell>
          <cell r="J34">
            <v>0</v>
          </cell>
          <cell r="K34">
            <v>0</v>
          </cell>
          <cell r="L34">
            <v>0</v>
          </cell>
          <cell r="N34">
            <v>0</v>
          </cell>
          <cell r="O34">
            <v>0</v>
          </cell>
          <cell r="P34">
            <v>0</v>
          </cell>
          <cell r="Q34">
            <v>0</v>
          </cell>
          <cell r="S34">
            <v>0</v>
          </cell>
          <cell r="T34">
            <v>0</v>
          </cell>
          <cell r="U34">
            <v>0</v>
          </cell>
          <cell r="V34">
            <v>0</v>
          </cell>
          <cell r="W34">
            <v>0</v>
          </cell>
          <cell r="X34">
            <v>0</v>
          </cell>
          <cell r="Y34">
            <v>0</v>
          </cell>
          <cell r="Z34">
            <v>0</v>
          </cell>
          <cell r="AA34">
            <v>0</v>
          </cell>
          <cell r="AB34">
            <v>0</v>
          </cell>
          <cell r="AC34">
            <v>0</v>
          </cell>
          <cell r="AF34">
            <v>0</v>
          </cell>
          <cell r="AG34">
            <v>0</v>
          </cell>
          <cell r="AH34">
            <v>0</v>
          </cell>
          <cell r="AJ34">
            <v>0</v>
          </cell>
          <cell r="AK34">
            <v>0</v>
          </cell>
          <cell r="AL34">
            <v>0</v>
          </cell>
          <cell r="AM34">
            <v>0</v>
          </cell>
          <cell r="AO34">
            <v>0</v>
          </cell>
          <cell r="AP34">
            <v>0</v>
          </cell>
          <cell r="AQ34">
            <v>0</v>
          </cell>
          <cell r="AR34">
            <v>0</v>
          </cell>
          <cell r="AS34">
            <v>0</v>
          </cell>
          <cell r="AT34">
            <v>0</v>
          </cell>
          <cell r="AU34">
            <v>0</v>
          </cell>
          <cell r="AV34">
            <v>0</v>
          </cell>
          <cell r="AW34">
            <v>0</v>
          </cell>
          <cell r="AX34">
            <v>0</v>
          </cell>
          <cell r="AY34">
            <v>0</v>
          </cell>
          <cell r="BB34">
            <v>0</v>
          </cell>
          <cell r="BC34">
            <v>0</v>
          </cell>
          <cell r="BD34">
            <v>0</v>
          </cell>
          <cell r="BF34">
            <v>0</v>
          </cell>
          <cell r="BG34">
            <v>0</v>
          </cell>
          <cell r="BH34">
            <v>0</v>
          </cell>
          <cell r="BI34">
            <v>0</v>
          </cell>
          <cell r="BK34">
            <v>0</v>
          </cell>
          <cell r="BL34">
            <v>0</v>
          </cell>
          <cell r="BM34">
            <v>0</v>
          </cell>
          <cell r="BN34">
            <v>0</v>
          </cell>
          <cell r="BO34">
            <v>0</v>
          </cell>
          <cell r="BP34">
            <v>0</v>
          </cell>
          <cell r="BQ34">
            <v>0</v>
          </cell>
          <cell r="BR34">
            <v>0</v>
          </cell>
          <cell r="BS34">
            <v>0</v>
          </cell>
          <cell r="BT34">
            <v>0</v>
          </cell>
          <cell r="BU34">
            <v>0</v>
          </cell>
          <cell r="BX34">
            <v>0</v>
          </cell>
          <cell r="BY34">
            <v>0</v>
          </cell>
          <cell r="BZ34">
            <v>0</v>
          </cell>
          <cell r="CB34">
            <v>0</v>
          </cell>
          <cell r="CC34">
            <v>0</v>
          </cell>
          <cell r="CD34">
            <v>0</v>
          </cell>
          <cell r="CE34">
            <v>0</v>
          </cell>
          <cell r="CG34">
            <v>0</v>
          </cell>
          <cell r="CH34">
            <v>0</v>
          </cell>
          <cell r="CI34">
            <v>0</v>
          </cell>
          <cell r="CJ34">
            <v>0</v>
          </cell>
          <cell r="CK34">
            <v>0</v>
          </cell>
          <cell r="CL34">
            <v>0</v>
          </cell>
          <cell r="CM34">
            <v>0</v>
          </cell>
          <cell r="CN34">
            <v>0</v>
          </cell>
          <cell r="CO34">
            <v>0</v>
          </cell>
          <cell r="FD34">
            <v>0</v>
          </cell>
          <cell r="FE34">
            <v>4134647.8491696888</v>
          </cell>
          <cell r="FF34">
            <v>0</v>
          </cell>
          <cell r="FG34">
            <v>0</v>
          </cell>
          <cell r="FJ34">
            <v>0</v>
          </cell>
          <cell r="FK34">
            <v>0</v>
          </cell>
          <cell r="FL34">
            <v>0</v>
          </cell>
          <cell r="FN34">
            <v>0</v>
          </cell>
          <cell r="FO34">
            <v>0</v>
          </cell>
          <cell r="FP34">
            <v>0</v>
          </cell>
          <cell r="FQ34">
            <v>0</v>
          </cell>
          <cell r="FS34">
            <v>0</v>
          </cell>
          <cell r="FT34">
            <v>0</v>
          </cell>
          <cell r="FU34">
            <v>0</v>
          </cell>
          <cell r="FV34">
            <v>0</v>
          </cell>
          <cell r="FW34">
            <v>0</v>
          </cell>
          <cell r="FX34">
            <v>0</v>
          </cell>
          <cell r="FY34">
            <v>0</v>
          </cell>
          <cell r="FZ34">
            <v>0</v>
          </cell>
          <cell r="GA34">
            <v>0</v>
          </cell>
        </row>
        <row r="35">
          <cell r="A35" t="str">
            <v>F_CNP_NRF_EPA_UCS_FRCE_249</v>
          </cell>
        </row>
        <row r="36">
          <cell r="A36" t="str">
            <v>F_CNP_NRF_RET_IND_FRCE_201</v>
          </cell>
          <cell r="E36">
            <v>718533014.21131992</v>
          </cell>
          <cell r="F36">
            <v>438669107.765921</v>
          </cell>
          <cell r="G36">
            <v>438669107.765921</v>
          </cell>
          <cell r="J36">
            <v>438669107.765921</v>
          </cell>
          <cell r="K36">
            <v>438669107.765921</v>
          </cell>
          <cell r="L36">
            <v>438669107.765921</v>
          </cell>
          <cell r="N36">
            <v>438669107.765921</v>
          </cell>
          <cell r="O36">
            <v>438669107.765921</v>
          </cell>
          <cell r="P36">
            <v>438669107.765921</v>
          </cell>
          <cell r="Q36">
            <v>438669107.765921</v>
          </cell>
          <cell r="S36">
            <v>438669107.765921</v>
          </cell>
          <cell r="T36">
            <v>438669107.765921</v>
          </cell>
          <cell r="U36">
            <v>438669107.765921</v>
          </cell>
          <cell r="V36">
            <v>438669107.765921</v>
          </cell>
          <cell r="W36">
            <v>438669107.765921</v>
          </cell>
          <cell r="X36">
            <v>438669107.765921</v>
          </cell>
          <cell r="Y36">
            <v>438669107.765921</v>
          </cell>
          <cell r="Z36">
            <v>438669107.765921</v>
          </cell>
          <cell r="AA36">
            <v>438669107.765921</v>
          </cell>
          <cell r="AB36">
            <v>447168792.79981762</v>
          </cell>
          <cell r="AC36">
            <v>429954626.9239611</v>
          </cell>
          <cell r="AF36">
            <v>402065749.300955</v>
          </cell>
          <cell r="AG36">
            <v>438669107.765921</v>
          </cell>
          <cell r="AH36">
            <v>438669107.765921</v>
          </cell>
          <cell r="AJ36">
            <v>433744199.36161333</v>
          </cell>
          <cell r="AK36">
            <v>438669107.765921</v>
          </cell>
          <cell r="AL36">
            <v>438669107.765921</v>
          </cell>
          <cell r="AM36">
            <v>431821245.59957337</v>
          </cell>
          <cell r="AO36">
            <v>418496350.03700352</v>
          </cell>
          <cell r="AP36">
            <v>438669107.765921</v>
          </cell>
          <cell r="AQ36">
            <v>438669107.765921</v>
          </cell>
          <cell r="AR36">
            <v>438669107.765921</v>
          </cell>
          <cell r="AS36">
            <v>438669107.765921</v>
          </cell>
          <cell r="AT36">
            <v>438669107.765921</v>
          </cell>
          <cell r="AU36">
            <v>438669107.765921</v>
          </cell>
          <cell r="AV36">
            <v>435481798.87268138</v>
          </cell>
          <cell r="AW36">
            <v>437165090.11690491</v>
          </cell>
          <cell r="AX36">
            <v>473582345.28932744</v>
          </cell>
          <cell r="AY36">
            <v>473582345.28932744</v>
          </cell>
          <cell r="BB36">
            <v>473582345.28932744</v>
          </cell>
          <cell r="BC36">
            <v>473582345.28932744</v>
          </cell>
          <cell r="BD36">
            <v>473582345.28932744</v>
          </cell>
          <cell r="BF36">
            <v>473582345.28932744</v>
          </cell>
          <cell r="BG36">
            <v>473582345.28932744</v>
          </cell>
          <cell r="BH36">
            <v>473582345.28932744</v>
          </cell>
          <cell r="BI36">
            <v>473582345.28932744</v>
          </cell>
          <cell r="BK36">
            <v>473582345.28932744</v>
          </cell>
          <cell r="BL36">
            <v>473582345.28932744</v>
          </cell>
          <cell r="BM36">
            <v>473582345.28932744</v>
          </cell>
          <cell r="BN36">
            <v>473582345.28932744</v>
          </cell>
          <cell r="BO36">
            <v>473582345.28932744</v>
          </cell>
          <cell r="BP36">
            <v>473582345.28932744</v>
          </cell>
          <cell r="BQ36">
            <v>473582345.28932744</v>
          </cell>
          <cell r="BR36">
            <v>473582345.28932744</v>
          </cell>
          <cell r="BS36">
            <v>473582345.28932744</v>
          </cell>
          <cell r="BT36">
            <v>505722626.12231672</v>
          </cell>
          <cell r="BU36">
            <v>444407904.40284008</v>
          </cell>
          <cell r="BX36">
            <v>473582345.28932744</v>
          </cell>
          <cell r="BY36">
            <v>473582345.28932744</v>
          </cell>
          <cell r="BZ36">
            <v>473582345.28932744</v>
          </cell>
          <cell r="CB36">
            <v>473582345.28932744</v>
          </cell>
          <cell r="CC36">
            <v>473582345.28932744</v>
          </cell>
          <cell r="CD36">
            <v>473582345.28932744</v>
          </cell>
          <cell r="CE36">
            <v>473582345.28932744</v>
          </cell>
          <cell r="CG36">
            <v>473582345.28932744</v>
          </cell>
          <cell r="CH36">
            <v>473582345.28932744</v>
          </cell>
          <cell r="CI36">
            <v>473582345.28932744</v>
          </cell>
          <cell r="CJ36">
            <v>473582345.28932744</v>
          </cell>
          <cell r="CK36">
            <v>473582345.28932744</v>
          </cell>
          <cell r="CL36">
            <v>473582345.28932744</v>
          </cell>
          <cell r="CM36">
            <v>473582345.28932744</v>
          </cell>
          <cell r="CN36">
            <v>473582345.28932744</v>
          </cell>
          <cell r="CO36">
            <v>479747149.22282284</v>
          </cell>
          <cell r="FD36">
            <v>443767363.89354515</v>
          </cell>
          <cell r="FE36">
            <v>672711250.82590628</v>
          </cell>
          <cell r="FF36">
            <v>498977159.56619304</v>
          </cell>
          <cell r="FG36">
            <v>451739204.72112322</v>
          </cell>
          <cell r="FJ36">
            <v>458575586.06464678</v>
          </cell>
          <cell r="FK36">
            <v>473582345.28932744</v>
          </cell>
          <cell r="FL36">
            <v>473582345.28932744</v>
          </cell>
          <cell r="FN36">
            <v>471074810.01119506</v>
          </cell>
          <cell r="FO36">
            <v>473582345.28932744</v>
          </cell>
          <cell r="FP36">
            <v>473582345.28932744</v>
          </cell>
          <cell r="FQ36">
            <v>470333213.89536566</v>
          </cell>
          <cell r="FS36">
            <v>465421767.81114495</v>
          </cell>
          <cell r="FT36">
            <v>473582345.28932744</v>
          </cell>
          <cell r="FU36">
            <v>473582345.28932744</v>
          </cell>
          <cell r="FV36">
            <v>473582345.28932744</v>
          </cell>
          <cell r="FW36">
            <v>473582345.28932744</v>
          </cell>
          <cell r="FX36">
            <v>473582345.28932744</v>
          </cell>
          <cell r="FY36">
            <v>473582345.28932744</v>
          </cell>
          <cell r="FZ36">
            <v>471995015.90301365</v>
          </cell>
          <cell r="GA36">
            <v>476917240.2582348</v>
          </cell>
        </row>
        <row r="37">
          <cell r="A37" t="str">
            <v>F_CNP_NRF_RET_IND_FRCE_294</v>
          </cell>
          <cell r="E37">
            <v>174824072.19783142</v>
          </cell>
          <cell r="F37">
            <v>0</v>
          </cell>
          <cell r="G37">
            <v>0</v>
          </cell>
          <cell r="J37">
            <v>0</v>
          </cell>
          <cell r="K37">
            <v>0</v>
          </cell>
          <cell r="L37">
            <v>0</v>
          </cell>
          <cell r="N37">
            <v>0</v>
          </cell>
          <cell r="O37">
            <v>0</v>
          </cell>
          <cell r="P37">
            <v>0</v>
          </cell>
          <cell r="Q37">
            <v>0</v>
          </cell>
          <cell r="S37">
            <v>0</v>
          </cell>
          <cell r="T37">
            <v>0</v>
          </cell>
          <cell r="U37">
            <v>0</v>
          </cell>
          <cell r="V37">
            <v>0</v>
          </cell>
          <cell r="W37">
            <v>0</v>
          </cell>
          <cell r="X37">
            <v>0</v>
          </cell>
          <cell r="Y37">
            <v>0</v>
          </cell>
          <cell r="Z37">
            <v>0</v>
          </cell>
          <cell r="AA37">
            <v>0</v>
          </cell>
          <cell r="AB37">
            <v>0</v>
          </cell>
          <cell r="AC37">
            <v>0</v>
          </cell>
          <cell r="AF37">
            <v>0</v>
          </cell>
          <cell r="AG37">
            <v>0</v>
          </cell>
          <cell r="AH37">
            <v>0</v>
          </cell>
          <cell r="AJ37">
            <v>0</v>
          </cell>
          <cell r="AK37">
            <v>0</v>
          </cell>
          <cell r="AL37">
            <v>0</v>
          </cell>
          <cell r="AM37">
            <v>0</v>
          </cell>
          <cell r="AO37">
            <v>0</v>
          </cell>
          <cell r="AP37">
            <v>0</v>
          </cell>
          <cell r="AQ37">
            <v>0</v>
          </cell>
          <cell r="AR37">
            <v>0</v>
          </cell>
          <cell r="AS37">
            <v>0</v>
          </cell>
          <cell r="AT37">
            <v>0</v>
          </cell>
          <cell r="AU37">
            <v>0</v>
          </cell>
          <cell r="AV37">
            <v>0</v>
          </cell>
          <cell r="AW37">
            <v>0</v>
          </cell>
          <cell r="AX37">
            <v>0</v>
          </cell>
          <cell r="AY37">
            <v>0</v>
          </cell>
          <cell r="BB37">
            <v>0</v>
          </cell>
          <cell r="BC37">
            <v>0</v>
          </cell>
          <cell r="BD37">
            <v>0</v>
          </cell>
          <cell r="BF37">
            <v>0</v>
          </cell>
          <cell r="BG37">
            <v>0</v>
          </cell>
          <cell r="BH37">
            <v>0</v>
          </cell>
          <cell r="BI37">
            <v>0</v>
          </cell>
          <cell r="BK37">
            <v>0</v>
          </cell>
          <cell r="BL37">
            <v>0</v>
          </cell>
          <cell r="BM37">
            <v>0</v>
          </cell>
          <cell r="BN37">
            <v>0</v>
          </cell>
          <cell r="BO37">
            <v>0</v>
          </cell>
          <cell r="BP37">
            <v>0</v>
          </cell>
          <cell r="BQ37">
            <v>0</v>
          </cell>
          <cell r="BR37">
            <v>0</v>
          </cell>
          <cell r="BS37">
            <v>0</v>
          </cell>
          <cell r="BT37">
            <v>0</v>
          </cell>
          <cell r="BU37">
            <v>0</v>
          </cell>
          <cell r="BX37">
            <v>0</v>
          </cell>
          <cell r="BY37">
            <v>0</v>
          </cell>
          <cell r="BZ37">
            <v>0</v>
          </cell>
          <cell r="CB37">
            <v>0</v>
          </cell>
          <cell r="CC37">
            <v>0</v>
          </cell>
          <cell r="CD37">
            <v>0</v>
          </cell>
          <cell r="CE37">
            <v>0</v>
          </cell>
          <cell r="CG37">
            <v>0</v>
          </cell>
          <cell r="CH37">
            <v>0</v>
          </cell>
          <cell r="CI37">
            <v>0</v>
          </cell>
          <cell r="CJ37">
            <v>0</v>
          </cell>
          <cell r="CK37">
            <v>0</v>
          </cell>
          <cell r="CL37">
            <v>0</v>
          </cell>
          <cell r="CM37">
            <v>0</v>
          </cell>
          <cell r="CN37">
            <v>0</v>
          </cell>
          <cell r="CO37">
            <v>0</v>
          </cell>
          <cell r="FD37">
            <v>0</v>
          </cell>
          <cell r="FE37">
            <v>170045592.24456263</v>
          </cell>
          <cell r="FF37">
            <v>0</v>
          </cell>
          <cell r="FG37">
            <v>0</v>
          </cell>
          <cell r="FJ37">
            <v>0</v>
          </cell>
          <cell r="FK37">
            <v>0</v>
          </cell>
          <cell r="FL37">
            <v>0</v>
          </cell>
          <cell r="FN37">
            <v>0</v>
          </cell>
          <cell r="FO37">
            <v>0</v>
          </cell>
          <cell r="FP37">
            <v>0</v>
          </cell>
          <cell r="FQ37">
            <v>0</v>
          </cell>
          <cell r="FS37">
            <v>0</v>
          </cell>
          <cell r="FT37">
            <v>0</v>
          </cell>
          <cell r="FU37">
            <v>0</v>
          </cell>
          <cell r="FV37">
            <v>0</v>
          </cell>
          <cell r="FW37">
            <v>0</v>
          </cell>
          <cell r="FX37">
            <v>0</v>
          </cell>
          <cell r="FY37">
            <v>0</v>
          </cell>
          <cell r="FZ37">
            <v>0</v>
          </cell>
          <cell r="GA37">
            <v>0</v>
          </cell>
        </row>
        <row r="38">
          <cell r="A38" t="str">
            <v>F_CNP_NRF_RET_IND_FRCE_295</v>
          </cell>
          <cell r="E38">
            <v>410780349.95904523</v>
          </cell>
          <cell r="F38">
            <v>0</v>
          </cell>
          <cell r="G38">
            <v>0</v>
          </cell>
          <cell r="J38">
            <v>0</v>
          </cell>
          <cell r="K38">
            <v>0</v>
          </cell>
          <cell r="L38">
            <v>0</v>
          </cell>
          <cell r="N38">
            <v>0</v>
          </cell>
          <cell r="O38">
            <v>0</v>
          </cell>
          <cell r="P38">
            <v>0</v>
          </cell>
          <cell r="Q38">
            <v>0</v>
          </cell>
          <cell r="S38">
            <v>0</v>
          </cell>
          <cell r="T38">
            <v>0</v>
          </cell>
          <cell r="U38">
            <v>0</v>
          </cell>
          <cell r="V38">
            <v>0</v>
          </cell>
          <cell r="W38">
            <v>0</v>
          </cell>
          <cell r="X38">
            <v>0</v>
          </cell>
          <cell r="Y38">
            <v>0</v>
          </cell>
          <cell r="Z38">
            <v>0</v>
          </cell>
          <cell r="AA38">
            <v>0</v>
          </cell>
          <cell r="AB38">
            <v>0</v>
          </cell>
          <cell r="AC38">
            <v>0</v>
          </cell>
          <cell r="AF38">
            <v>0</v>
          </cell>
          <cell r="AG38">
            <v>0</v>
          </cell>
          <cell r="AH38">
            <v>0</v>
          </cell>
          <cell r="AJ38">
            <v>0</v>
          </cell>
          <cell r="AK38">
            <v>0</v>
          </cell>
          <cell r="AL38">
            <v>0</v>
          </cell>
          <cell r="AM38">
            <v>0</v>
          </cell>
          <cell r="AO38">
            <v>0</v>
          </cell>
          <cell r="AP38">
            <v>0</v>
          </cell>
          <cell r="AQ38">
            <v>0</v>
          </cell>
          <cell r="AR38">
            <v>0</v>
          </cell>
          <cell r="AS38">
            <v>0</v>
          </cell>
          <cell r="AT38">
            <v>0</v>
          </cell>
          <cell r="AU38">
            <v>0</v>
          </cell>
          <cell r="AV38">
            <v>0</v>
          </cell>
          <cell r="AW38">
            <v>0</v>
          </cell>
          <cell r="AX38">
            <v>0</v>
          </cell>
          <cell r="AY38">
            <v>0</v>
          </cell>
          <cell r="BB38">
            <v>0</v>
          </cell>
          <cell r="BC38">
            <v>0</v>
          </cell>
          <cell r="BD38">
            <v>0</v>
          </cell>
          <cell r="BF38">
            <v>0</v>
          </cell>
          <cell r="BG38">
            <v>0</v>
          </cell>
          <cell r="BH38">
            <v>0</v>
          </cell>
          <cell r="BI38">
            <v>0</v>
          </cell>
          <cell r="BK38">
            <v>0</v>
          </cell>
          <cell r="BL38">
            <v>0</v>
          </cell>
          <cell r="BM38">
            <v>0</v>
          </cell>
          <cell r="BN38">
            <v>0</v>
          </cell>
          <cell r="BO38">
            <v>0</v>
          </cell>
          <cell r="BP38">
            <v>0</v>
          </cell>
          <cell r="BQ38">
            <v>0</v>
          </cell>
          <cell r="BR38">
            <v>0</v>
          </cell>
          <cell r="BS38">
            <v>0</v>
          </cell>
          <cell r="BT38">
            <v>0</v>
          </cell>
          <cell r="BU38">
            <v>0</v>
          </cell>
          <cell r="BX38">
            <v>0</v>
          </cell>
          <cell r="BY38">
            <v>0</v>
          </cell>
          <cell r="BZ38">
            <v>0</v>
          </cell>
          <cell r="CB38">
            <v>0</v>
          </cell>
          <cell r="CC38">
            <v>0</v>
          </cell>
          <cell r="CD38">
            <v>0</v>
          </cell>
          <cell r="CE38">
            <v>0</v>
          </cell>
          <cell r="CG38">
            <v>0</v>
          </cell>
          <cell r="CH38">
            <v>0</v>
          </cell>
          <cell r="CI38">
            <v>0</v>
          </cell>
          <cell r="CJ38">
            <v>0</v>
          </cell>
          <cell r="CK38">
            <v>0</v>
          </cell>
          <cell r="CL38">
            <v>0</v>
          </cell>
          <cell r="CM38">
            <v>0</v>
          </cell>
          <cell r="CN38">
            <v>0</v>
          </cell>
          <cell r="CO38">
            <v>0</v>
          </cell>
          <cell r="FD38">
            <v>0</v>
          </cell>
          <cell r="FE38">
            <v>399504135.82745141</v>
          </cell>
          <cell r="FF38">
            <v>0</v>
          </cell>
          <cell r="FG38">
            <v>0</v>
          </cell>
          <cell r="FJ38">
            <v>0</v>
          </cell>
          <cell r="FK38">
            <v>0</v>
          </cell>
          <cell r="FL38">
            <v>0</v>
          </cell>
          <cell r="FN38">
            <v>0</v>
          </cell>
          <cell r="FO38">
            <v>0</v>
          </cell>
          <cell r="FP38">
            <v>0</v>
          </cell>
          <cell r="FQ38">
            <v>0</v>
          </cell>
          <cell r="FS38">
            <v>0</v>
          </cell>
          <cell r="FT38">
            <v>0</v>
          </cell>
          <cell r="FU38">
            <v>0</v>
          </cell>
          <cell r="FV38">
            <v>0</v>
          </cell>
          <cell r="FW38">
            <v>0</v>
          </cell>
          <cell r="FX38">
            <v>0</v>
          </cell>
          <cell r="FY38">
            <v>0</v>
          </cell>
          <cell r="FZ38">
            <v>0</v>
          </cell>
          <cell r="GA38">
            <v>0</v>
          </cell>
        </row>
        <row r="39">
          <cell r="A39" t="str">
            <v>F_CNP_NRF_RET_IND_FRCE_270</v>
          </cell>
          <cell r="E39">
            <v>2741492616.2901402</v>
          </cell>
          <cell r="F39">
            <v>3284101137.2197862</v>
          </cell>
          <cell r="G39">
            <v>3284101137.2197862</v>
          </cell>
          <cell r="J39">
            <v>3284101137.2197862</v>
          </cell>
          <cell r="K39">
            <v>3284101137.2197862</v>
          </cell>
          <cell r="L39">
            <v>3284101137.2197862</v>
          </cell>
          <cell r="N39">
            <v>3284101137.2197862</v>
          </cell>
          <cell r="O39">
            <v>3284101137.2197862</v>
          </cell>
          <cell r="P39">
            <v>3284101137.2197862</v>
          </cell>
          <cell r="Q39">
            <v>3284101137.2197862</v>
          </cell>
          <cell r="S39">
            <v>3284101137.2197862</v>
          </cell>
          <cell r="T39">
            <v>3284101137.2197862</v>
          </cell>
          <cell r="U39">
            <v>3284101137.2197862</v>
          </cell>
          <cell r="V39">
            <v>3284101137.2197862</v>
          </cell>
          <cell r="W39">
            <v>3284101137.2197862</v>
          </cell>
          <cell r="X39">
            <v>3284101137.2197862</v>
          </cell>
          <cell r="Y39">
            <v>3284101137.2197862</v>
          </cell>
          <cell r="Z39">
            <v>3284101137.2197862</v>
          </cell>
          <cell r="AA39">
            <v>3284101137.2197862</v>
          </cell>
          <cell r="AB39">
            <v>3596056193.0140719</v>
          </cell>
          <cell r="AC39">
            <v>2996259532.4852057</v>
          </cell>
          <cell r="AF39">
            <v>2752520147.1172338</v>
          </cell>
          <cell r="AG39">
            <v>3284101137.2197862</v>
          </cell>
          <cell r="AH39">
            <v>3284101137.2197862</v>
          </cell>
          <cell r="AJ39">
            <v>3149853038.5840693</v>
          </cell>
          <cell r="AK39">
            <v>3284101137.2197862</v>
          </cell>
          <cell r="AL39">
            <v>3284101137.2197862</v>
          </cell>
          <cell r="AM39">
            <v>3179005474.8003659</v>
          </cell>
          <cell r="AO39">
            <v>2934495427.4916778</v>
          </cell>
          <cell r="AP39">
            <v>3284101137.2197862</v>
          </cell>
          <cell r="AQ39">
            <v>3284101137.2197862</v>
          </cell>
          <cell r="AR39">
            <v>3284101137.2197862</v>
          </cell>
          <cell r="AS39">
            <v>3284101137.2197862</v>
          </cell>
          <cell r="AT39">
            <v>3284101137.2197862</v>
          </cell>
          <cell r="AU39">
            <v>3284101137.2197862</v>
          </cell>
          <cell r="AV39">
            <v>3229676709.493093</v>
          </cell>
          <cell r="AW39">
            <v>3239747370.4715905</v>
          </cell>
          <cell r="AX39">
            <v>3198398957.5163155</v>
          </cell>
          <cell r="AY39">
            <v>3198398957.5163155</v>
          </cell>
          <cell r="BB39">
            <v>3198398957.5163155</v>
          </cell>
          <cell r="BC39">
            <v>3198398957.5163155</v>
          </cell>
          <cell r="BD39">
            <v>3198398957.5163155</v>
          </cell>
          <cell r="BF39">
            <v>3198398957.5163155</v>
          </cell>
          <cell r="BG39">
            <v>3198398957.5163155</v>
          </cell>
          <cell r="BH39">
            <v>3198398957.5163155</v>
          </cell>
          <cell r="BI39">
            <v>3198398957.5163155</v>
          </cell>
          <cell r="BK39">
            <v>3198398957.5163155</v>
          </cell>
          <cell r="BL39">
            <v>3198398957.5163155</v>
          </cell>
          <cell r="BM39">
            <v>3198398957.5163155</v>
          </cell>
          <cell r="BN39">
            <v>3198398957.5163155</v>
          </cell>
          <cell r="BO39">
            <v>3198398957.5163155</v>
          </cell>
          <cell r="BP39">
            <v>3198398957.5163155</v>
          </cell>
          <cell r="BQ39">
            <v>3198398957.5163155</v>
          </cell>
          <cell r="BR39">
            <v>3198398957.5163155</v>
          </cell>
          <cell r="BS39">
            <v>3198398957.5163155</v>
          </cell>
          <cell r="BT39">
            <v>3360813201.4618578</v>
          </cell>
          <cell r="BU39">
            <v>3167882533.8565764</v>
          </cell>
          <cell r="BX39">
            <v>3198398957.5163155</v>
          </cell>
          <cell r="BY39">
            <v>3198398957.5163155</v>
          </cell>
          <cell r="BZ39">
            <v>3198398957.5163155</v>
          </cell>
          <cell r="CB39">
            <v>3198398957.5163155</v>
          </cell>
          <cell r="CC39">
            <v>3198398957.5163155</v>
          </cell>
          <cell r="CD39">
            <v>3198398957.5163155</v>
          </cell>
          <cell r="CE39">
            <v>3198398957.5163155</v>
          </cell>
          <cell r="CG39">
            <v>3198398957.5163155</v>
          </cell>
          <cell r="CH39">
            <v>3198398957.5163155</v>
          </cell>
          <cell r="CI39">
            <v>3198398957.5163155</v>
          </cell>
          <cell r="CJ39">
            <v>3198398957.5163155</v>
          </cell>
          <cell r="CK39">
            <v>3198398957.5163155</v>
          </cell>
          <cell r="CL39">
            <v>3198398957.5163155</v>
          </cell>
          <cell r="CM39">
            <v>3198398957.5163155</v>
          </cell>
          <cell r="CN39">
            <v>3198398957.5163155</v>
          </cell>
          <cell r="CO39">
            <v>3244832471.4238396</v>
          </cell>
          <cell r="FD39">
            <v>1513870734.769443</v>
          </cell>
          <cell r="FE39">
            <v>911215842.50789595</v>
          </cell>
          <cell r="FF39">
            <v>3506578489.1421652</v>
          </cell>
          <cell r="FG39">
            <v>2924129419.5594583</v>
          </cell>
          <cell r="FJ39">
            <v>2689485977.4710112</v>
          </cell>
          <cell r="FK39">
            <v>3198398957.5163155</v>
          </cell>
          <cell r="FL39">
            <v>3198398957.5163155</v>
          </cell>
          <cell r="FN39">
            <v>3068296088.4083228</v>
          </cell>
          <cell r="FO39">
            <v>3198398957.5163155</v>
          </cell>
          <cell r="FP39">
            <v>3198398957.5163155</v>
          </cell>
          <cell r="FQ39">
            <v>3097694362.2345395</v>
          </cell>
          <cell r="FS39">
            <v>2868970546.0492945</v>
          </cell>
          <cell r="FT39">
            <v>3198398957.5163155</v>
          </cell>
          <cell r="FU39">
            <v>3198398957.5163155</v>
          </cell>
          <cell r="FV39">
            <v>3198398957.5163155</v>
          </cell>
          <cell r="FW39">
            <v>3198398957.5163155</v>
          </cell>
          <cell r="FX39">
            <v>3198398957.5163155</v>
          </cell>
          <cell r="FY39">
            <v>3198398957.5163155</v>
          </cell>
          <cell r="FZ39">
            <v>3145755457.397264</v>
          </cell>
          <cell r="GA39">
            <v>3157094448.2805037</v>
          </cell>
        </row>
        <row r="40">
          <cell r="A40" t="str">
            <v>F_CNP_NRF_RET_IND_FRCE_EVJ</v>
          </cell>
          <cell r="E40">
            <v>1915193079.0864496</v>
          </cell>
          <cell r="F40">
            <v>2469920102.4268441</v>
          </cell>
          <cell r="G40">
            <v>2469920102.4268441</v>
          </cell>
          <cell r="J40">
            <v>2469920102.4268441</v>
          </cell>
          <cell r="K40">
            <v>2469920102.4268441</v>
          </cell>
          <cell r="L40">
            <v>2469920102.4268441</v>
          </cell>
          <cell r="N40">
            <v>2469920102.4268441</v>
          </cell>
          <cell r="O40">
            <v>2469920102.4268441</v>
          </cell>
          <cell r="P40">
            <v>2469920102.4268441</v>
          </cell>
          <cell r="Q40">
            <v>2469920102.4268441</v>
          </cell>
          <cell r="S40">
            <v>2469920102.4268441</v>
          </cell>
          <cell r="T40">
            <v>2469920102.4268441</v>
          </cell>
          <cell r="U40">
            <v>2469920102.4268441</v>
          </cell>
          <cell r="V40">
            <v>2469920102.4268441</v>
          </cell>
          <cell r="W40">
            <v>2469920102.4268441</v>
          </cell>
          <cell r="X40">
            <v>2469920102.4268441</v>
          </cell>
          <cell r="Y40">
            <v>2469920102.4268441</v>
          </cell>
          <cell r="Z40">
            <v>2469920102.4268441</v>
          </cell>
          <cell r="AA40">
            <v>2469920102.4268441</v>
          </cell>
          <cell r="AB40">
            <v>2720379853.6715288</v>
          </cell>
          <cell r="AC40">
            <v>2256761512.5900545</v>
          </cell>
          <cell r="AF40">
            <v>2333301134.2382731</v>
          </cell>
          <cell r="AG40">
            <v>2469920102.4268441</v>
          </cell>
          <cell r="AH40">
            <v>2469920102.4268441</v>
          </cell>
          <cell r="AJ40">
            <v>2441708002.8607364</v>
          </cell>
          <cell r="AK40">
            <v>2469920102.4268441</v>
          </cell>
          <cell r="AL40">
            <v>2469920102.4268441</v>
          </cell>
          <cell r="AM40">
            <v>2446401042.4953899</v>
          </cell>
          <cell r="AO40">
            <v>2368981403.2978411</v>
          </cell>
          <cell r="AP40">
            <v>2469920102.4268441</v>
          </cell>
          <cell r="AQ40">
            <v>2469920102.4268441</v>
          </cell>
          <cell r="AR40">
            <v>2469920102.4268441</v>
          </cell>
          <cell r="AS40">
            <v>2469920102.4268441</v>
          </cell>
          <cell r="AT40">
            <v>2469920102.4268441</v>
          </cell>
          <cell r="AU40">
            <v>2469920102.4268441</v>
          </cell>
          <cell r="AV40">
            <v>2458758462.3970909</v>
          </cell>
          <cell r="AW40">
            <v>2497354305.9845166</v>
          </cell>
          <cell r="AX40">
            <v>2372486472.4721775</v>
          </cell>
          <cell r="AY40">
            <v>2372486472.4721775</v>
          </cell>
          <cell r="BB40">
            <v>2372486472.4721775</v>
          </cell>
          <cell r="BC40">
            <v>2372486472.4721775</v>
          </cell>
          <cell r="BD40">
            <v>2372486472.4721775</v>
          </cell>
          <cell r="BF40">
            <v>2372486472.4721775</v>
          </cell>
          <cell r="BG40">
            <v>2372486472.4721775</v>
          </cell>
          <cell r="BH40">
            <v>2372486472.4721775</v>
          </cell>
          <cell r="BI40">
            <v>2372486472.4721775</v>
          </cell>
          <cell r="BK40">
            <v>2372486472.4721775</v>
          </cell>
          <cell r="BL40">
            <v>2372486472.4721775</v>
          </cell>
          <cell r="BM40">
            <v>2372486472.4721775</v>
          </cell>
          <cell r="BN40">
            <v>2372486472.4721775</v>
          </cell>
          <cell r="BO40">
            <v>2372486472.4721775</v>
          </cell>
          <cell r="BP40">
            <v>2372486472.4721775</v>
          </cell>
          <cell r="BQ40">
            <v>2372486472.4721775</v>
          </cell>
          <cell r="BR40">
            <v>2372486472.4721775</v>
          </cell>
          <cell r="BS40">
            <v>2372486472.4721775</v>
          </cell>
          <cell r="BT40">
            <v>2777851547.2228279</v>
          </cell>
          <cell r="BU40">
            <v>2095130163.7550886</v>
          </cell>
          <cell r="BX40">
            <v>2372486472.4721775</v>
          </cell>
          <cell r="BY40">
            <v>2372486472.4721775</v>
          </cell>
          <cell r="BZ40">
            <v>2372486472.4721775</v>
          </cell>
          <cell r="CB40">
            <v>2372486472.4721775</v>
          </cell>
          <cell r="CC40">
            <v>2372486472.4721775</v>
          </cell>
          <cell r="CD40">
            <v>2372486472.4721775</v>
          </cell>
          <cell r="CE40">
            <v>2372486472.4721775</v>
          </cell>
          <cell r="CG40">
            <v>2372486472.4721775</v>
          </cell>
          <cell r="CH40">
            <v>2372486472.4721775</v>
          </cell>
          <cell r="CI40">
            <v>2372486472.4721775</v>
          </cell>
          <cell r="CJ40">
            <v>2372486472.4721775</v>
          </cell>
          <cell r="CK40">
            <v>2372486472.4721775</v>
          </cell>
          <cell r="CL40">
            <v>2372486472.4721775</v>
          </cell>
          <cell r="CM40">
            <v>2372486472.4721775</v>
          </cell>
          <cell r="CN40">
            <v>2372486472.4721775</v>
          </cell>
          <cell r="CO40">
            <v>2431841940.4353976</v>
          </cell>
          <cell r="FD40">
            <v>2341677938.5577092</v>
          </cell>
          <cell r="FE40">
            <v>1936243173.1747248</v>
          </cell>
          <cell r="FF40">
            <v>2604279119.7997799</v>
          </cell>
          <cell r="FG40">
            <v>2176020146.5760856</v>
          </cell>
          <cell r="FJ40">
            <v>2263018667.2260704</v>
          </cell>
          <cell r="FK40">
            <v>2372486472.4721775</v>
          </cell>
          <cell r="FL40">
            <v>2372486472.4721775</v>
          </cell>
          <cell r="FN40">
            <v>2347964688.6174588</v>
          </cell>
          <cell r="FO40">
            <v>2372486472.4721775</v>
          </cell>
          <cell r="FP40">
            <v>2372486472.4721775</v>
          </cell>
          <cell r="FQ40">
            <v>2353206374.0296388</v>
          </cell>
          <cell r="FS40">
            <v>2297137524.3120074</v>
          </cell>
          <cell r="FT40">
            <v>2372486472.4721775</v>
          </cell>
          <cell r="FU40">
            <v>2372486472.4721775</v>
          </cell>
          <cell r="FV40">
            <v>2372486472.4721775</v>
          </cell>
          <cell r="FW40">
            <v>2372486472.4721775</v>
          </cell>
          <cell r="FX40">
            <v>2372486472.4721775</v>
          </cell>
          <cell r="FY40">
            <v>2372486472.4721775</v>
          </cell>
          <cell r="FZ40">
            <v>2362973597.0673194</v>
          </cell>
          <cell r="GA40">
            <v>2402086183.9131618</v>
          </cell>
        </row>
        <row r="41">
          <cell r="A41" t="str">
            <v>F_CNP_NRF_RET_IND_FRCE_208</v>
          </cell>
          <cell r="E41">
            <v>1661075949.6401575</v>
          </cell>
          <cell r="F41">
            <v>1592824022.0498791</v>
          </cell>
          <cell r="G41">
            <v>1592824022.0498791</v>
          </cell>
          <cell r="J41">
            <v>1592824022.0498791</v>
          </cell>
          <cell r="K41">
            <v>1592824022.0498791</v>
          </cell>
          <cell r="L41">
            <v>1592824022.0498791</v>
          </cell>
          <cell r="N41">
            <v>1592824022.0498791</v>
          </cell>
          <cell r="O41">
            <v>1592824022.0498791</v>
          </cell>
          <cell r="P41">
            <v>1592824022.0498791</v>
          </cell>
          <cell r="Q41">
            <v>1592824022.0498791</v>
          </cell>
          <cell r="S41">
            <v>1592824022.0498791</v>
          </cell>
          <cell r="T41">
            <v>1592824022.0498791</v>
          </cell>
          <cell r="U41">
            <v>1592824022.0498791</v>
          </cell>
          <cell r="V41">
            <v>1592824022.0498791</v>
          </cell>
          <cell r="W41">
            <v>1592824022.0498791</v>
          </cell>
          <cell r="X41">
            <v>1592824022.0498791</v>
          </cell>
          <cell r="Y41">
            <v>1592824022.0498791</v>
          </cell>
          <cell r="Z41">
            <v>1592824022.0498791</v>
          </cell>
          <cell r="AA41">
            <v>1592824022.0498791</v>
          </cell>
          <cell r="AB41">
            <v>1640588242.9630651</v>
          </cell>
          <cell r="AC41">
            <v>1546735235.5482104</v>
          </cell>
          <cell r="AF41">
            <v>1459691611.0541153</v>
          </cell>
          <cell r="AG41">
            <v>1592824022.0498791</v>
          </cell>
          <cell r="AH41">
            <v>1592824022.0498791</v>
          </cell>
          <cell r="AJ41">
            <v>1578096812.5526125</v>
          </cell>
          <cell r="AK41">
            <v>1592824022.0498791</v>
          </cell>
          <cell r="AL41">
            <v>1592824022.0498791</v>
          </cell>
          <cell r="AM41">
            <v>1588792180.6438241</v>
          </cell>
          <cell r="AO41">
            <v>1511676421.8017919</v>
          </cell>
          <cell r="AP41">
            <v>1592824022.0498791</v>
          </cell>
          <cell r="AQ41">
            <v>1592824022.0498791</v>
          </cell>
          <cell r="AR41">
            <v>1592824022.0498791</v>
          </cell>
          <cell r="AS41">
            <v>1592824022.0498791</v>
          </cell>
          <cell r="AT41">
            <v>1592824022.0498791</v>
          </cell>
          <cell r="AU41">
            <v>1592824022.0498791</v>
          </cell>
          <cell r="AV41">
            <v>1586973772.0320251</v>
          </cell>
          <cell r="AW41">
            <v>1592695923.4096532</v>
          </cell>
          <cell r="AX41">
            <v>1598671708.0161119</v>
          </cell>
          <cell r="AY41">
            <v>1598671708.0161119</v>
          </cell>
          <cell r="BB41">
            <v>1598671708.0161119</v>
          </cell>
          <cell r="BC41">
            <v>1598671708.0161119</v>
          </cell>
          <cell r="BD41">
            <v>1598671708.0161119</v>
          </cell>
          <cell r="BF41">
            <v>1598671708.0161119</v>
          </cell>
          <cell r="BG41">
            <v>1598671708.0161119</v>
          </cell>
          <cell r="BH41">
            <v>1598671708.0161119</v>
          </cell>
          <cell r="BI41">
            <v>1598671708.0161119</v>
          </cell>
          <cell r="BK41">
            <v>1598671708.0161119</v>
          </cell>
          <cell r="BL41">
            <v>1598671708.0161119</v>
          </cell>
          <cell r="BM41">
            <v>1598671708.0161119</v>
          </cell>
          <cell r="BN41">
            <v>1598671708.0161119</v>
          </cell>
          <cell r="BO41">
            <v>1598671708.0161119</v>
          </cell>
          <cell r="BP41">
            <v>1598671708.0161119</v>
          </cell>
          <cell r="BQ41">
            <v>1598671708.0161119</v>
          </cell>
          <cell r="BR41">
            <v>1598671708.0161119</v>
          </cell>
          <cell r="BS41">
            <v>1598671708.0161119</v>
          </cell>
          <cell r="BT41">
            <v>1696855517.1767843</v>
          </cell>
          <cell r="BU41">
            <v>1532024629.1487756</v>
          </cell>
          <cell r="BX41">
            <v>1598671708.0161119</v>
          </cell>
          <cell r="BY41">
            <v>1598671708.0161119</v>
          </cell>
          <cell r="BZ41">
            <v>1598671708.0161119</v>
          </cell>
          <cell r="CB41">
            <v>1598671708.0161119</v>
          </cell>
          <cell r="CC41">
            <v>1598671708.0161119</v>
          </cell>
          <cell r="CD41">
            <v>1598671708.0161119</v>
          </cell>
          <cell r="CE41">
            <v>1598671708.0161119</v>
          </cell>
          <cell r="CG41">
            <v>1598671708.0161119</v>
          </cell>
          <cell r="CH41">
            <v>1598671708.0161119</v>
          </cell>
          <cell r="CI41">
            <v>1598671708.0161119</v>
          </cell>
          <cell r="CJ41">
            <v>1598671708.0161119</v>
          </cell>
          <cell r="CK41">
            <v>1598671708.0161119</v>
          </cell>
          <cell r="CL41">
            <v>1598671708.0161119</v>
          </cell>
          <cell r="CM41">
            <v>1598671708.0161119</v>
          </cell>
          <cell r="CN41">
            <v>1598671708.0161119</v>
          </cell>
          <cell r="CO41">
            <v>1616621143.0783851</v>
          </cell>
          <cell r="FD41">
            <v>1093622226.8555048</v>
          </cell>
          <cell r="FE41">
            <v>1135067252.0488563</v>
          </cell>
          <cell r="FF41">
            <v>1657198483.7955115</v>
          </cell>
          <cell r="FG41">
            <v>1545048735.6921439</v>
          </cell>
          <cell r="FJ41">
            <v>1477035113.8304915</v>
          </cell>
          <cell r="FK41">
            <v>1598671708.0161119</v>
          </cell>
          <cell r="FL41">
            <v>1598671708.0161119</v>
          </cell>
          <cell r="FN41">
            <v>1585089668.4168105</v>
          </cell>
          <cell r="FO41">
            <v>1598671708.0161119</v>
          </cell>
          <cell r="FP41">
            <v>1598671708.0161119</v>
          </cell>
          <cell r="FQ41">
            <v>1594899031.6870861</v>
          </cell>
          <cell r="FS41">
            <v>1524832320.4478691</v>
          </cell>
          <cell r="FT41">
            <v>1598671708.0161119</v>
          </cell>
          <cell r="FU41">
            <v>1598671708.0161119</v>
          </cell>
          <cell r="FV41">
            <v>1598671708.0161119</v>
          </cell>
          <cell r="FW41">
            <v>1598671708.0161119</v>
          </cell>
          <cell r="FX41">
            <v>1598671708.0161119</v>
          </cell>
          <cell r="FY41">
            <v>1598671708.0161119</v>
          </cell>
          <cell r="FZ41">
            <v>1593229516.7827616</v>
          </cell>
          <cell r="GA41">
            <v>1600896463.751123</v>
          </cell>
        </row>
        <row r="42">
          <cell r="A42" t="str">
            <v>F_CNP_NRF_RET_IND_FRCE_209</v>
          </cell>
          <cell r="E42">
            <v>1805645482.560679</v>
          </cell>
          <cell r="F42">
            <v>1712828738.2547829</v>
          </cell>
          <cell r="G42">
            <v>1712828738.2547829</v>
          </cell>
          <cell r="J42">
            <v>1712828738.2547829</v>
          </cell>
          <cell r="K42">
            <v>1712828738.2547829</v>
          </cell>
          <cell r="L42">
            <v>1712828738.2547829</v>
          </cell>
          <cell r="N42">
            <v>1712828738.2547829</v>
          </cell>
          <cell r="O42">
            <v>1712828738.2547829</v>
          </cell>
          <cell r="P42">
            <v>1712828738.2547829</v>
          </cell>
          <cell r="Q42">
            <v>1712828738.2547829</v>
          </cell>
          <cell r="S42">
            <v>1712828738.2547829</v>
          </cell>
          <cell r="T42">
            <v>1712828738.2547829</v>
          </cell>
          <cell r="U42">
            <v>1712828738.2547829</v>
          </cell>
          <cell r="V42">
            <v>1712828738.2547829</v>
          </cell>
          <cell r="W42">
            <v>1712828738.2547829</v>
          </cell>
          <cell r="X42">
            <v>1712828738.2547829</v>
          </cell>
          <cell r="Y42">
            <v>1712828738.2547829</v>
          </cell>
          <cell r="Z42">
            <v>1712828738.2547829</v>
          </cell>
          <cell r="AA42">
            <v>1712828738.2547829</v>
          </cell>
          <cell r="AB42">
            <v>1767206284.5431557</v>
          </cell>
          <cell r="AC42">
            <v>1660068603.0495272</v>
          </cell>
          <cell r="AF42">
            <v>1616290082.3286345</v>
          </cell>
          <cell r="AG42">
            <v>1712828738.2547829</v>
          </cell>
          <cell r="AH42">
            <v>1712828738.2547829</v>
          </cell>
          <cell r="AJ42">
            <v>1702643775.7069066</v>
          </cell>
          <cell r="AK42">
            <v>1712828738.2547829</v>
          </cell>
          <cell r="AL42">
            <v>1712828738.2547829</v>
          </cell>
          <cell r="AM42">
            <v>1709391507.826844</v>
          </cell>
          <cell r="AO42">
            <v>1620485560.5863354</v>
          </cell>
          <cell r="AP42">
            <v>1712828738.2547829</v>
          </cell>
          <cell r="AQ42">
            <v>1712828738.2547829</v>
          </cell>
          <cell r="AR42">
            <v>1712828738.2547829</v>
          </cell>
          <cell r="AS42">
            <v>1712828738.2547829</v>
          </cell>
          <cell r="AT42">
            <v>1712828738.2547829</v>
          </cell>
          <cell r="AU42">
            <v>1712828738.2547829</v>
          </cell>
          <cell r="AV42">
            <v>1708247629.3659036</v>
          </cell>
          <cell r="AW42">
            <v>1712703718.6964576</v>
          </cell>
          <cell r="AX42">
            <v>1732590429.558388</v>
          </cell>
          <cell r="AY42">
            <v>1732590429.558388</v>
          </cell>
          <cell r="BB42">
            <v>1732590429.558388</v>
          </cell>
          <cell r="BC42">
            <v>1732590429.558388</v>
          </cell>
          <cell r="BD42">
            <v>1732590429.558388</v>
          </cell>
          <cell r="BF42">
            <v>1732590429.558388</v>
          </cell>
          <cell r="BG42">
            <v>1732590429.558388</v>
          </cell>
          <cell r="BH42">
            <v>1732590429.558388</v>
          </cell>
          <cell r="BI42">
            <v>1732590429.558388</v>
          </cell>
          <cell r="BK42">
            <v>1732590429.558388</v>
          </cell>
          <cell r="BL42">
            <v>1732590429.558388</v>
          </cell>
          <cell r="BM42">
            <v>1732590429.558388</v>
          </cell>
          <cell r="BN42">
            <v>1732590429.558388</v>
          </cell>
          <cell r="BO42">
            <v>1732590429.558388</v>
          </cell>
          <cell r="BP42">
            <v>1732590429.558388</v>
          </cell>
          <cell r="BQ42">
            <v>1732590429.558388</v>
          </cell>
          <cell r="BR42">
            <v>1732590429.558388</v>
          </cell>
          <cell r="BS42">
            <v>1732590429.558388</v>
          </cell>
          <cell r="BT42">
            <v>1841434242.933032</v>
          </cell>
          <cell r="BU42">
            <v>1656012016.8685462</v>
          </cell>
          <cell r="BX42">
            <v>1732590429.558388</v>
          </cell>
          <cell r="BY42">
            <v>1732590429.558388</v>
          </cell>
          <cell r="BZ42">
            <v>1732590429.558388</v>
          </cell>
          <cell r="CB42">
            <v>1732590429.558388</v>
          </cell>
          <cell r="CC42">
            <v>1732590429.558388</v>
          </cell>
          <cell r="CD42">
            <v>1732590429.558388</v>
          </cell>
          <cell r="CE42">
            <v>1732590429.558388</v>
          </cell>
          <cell r="CG42">
            <v>1732590429.558388</v>
          </cell>
          <cell r="CH42">
            <v>1732590429.558388</v>
          </cell>
          <cell r="CI42">
            <v>1732590429.558388</v>
          </cell>
          <cell r="CJ42">
            <v>1732590429.558388</v>
          </cell>
          <cell r="CK42">
            <v>1732590429.558388</v>
          </cell>
          <cell r="CL42">
            <v>1732590429.558388</v>
          </cell>
          <cell r="CM42">
            <v>1732590429.558388</v>
          </cell>
          <cell r="CN42">
            <v>1732590429.558388</v>
          </cell>
          <cell r="CO42">
            <v>1752471048.3008294</v>
          </cell>
          <cell r="FD42">
            <v>1244761676.0739386</v>
          </cell>
          <cell r="FE42">
            <v>1278663699.1389945</v>
          </cell>
          <cell r="FF42">
            <v>1796154860.1916957</v>
          </cell>
          <cell r="FG42">
            <v>1673030597.2883215</v>
          </cell>
          <cell r="FJ42">
            <v>1644179587.0321164</v>
          </cell>
          <cell r="FK42">
            <v>1732590429.558388</v>
          </cell>
          <cell r="FL42">
            <v>1732590429.558388</v>
          </cell>
          <cell r="FN42">
            <v>1723218857.3114269</v>
          </cell>
          <cell r="FO42">
            <v>1732590429.558388</v>
          </cell>
          <cell r="FP42">
            <v>1732590429.558388</v>
          </cell>
          <cell r="FQ42">
            <v>1729345049.7494886</v>
          </cell>
          <cell r="FS42">
            <v>1648052775.7415152</v>
          </cell>
          <cell r="FT42">
            <v>1732590429.558388</v>
          </cell>
          <cell r="FU42">
            <v>1732590429.558388</v>
          </cell>
          <cell r="FV42">
            <v>1732590429.558388</v>
          </cell>
          <cell r="FW42">
            <v>1732590429.558388</v>
          </cell>
          <cell r="FX42">
            <v>1732590429.558388</v>
          </cell>
          <cell r="FY42">
            <v>1732590429.558388</v>
          </cell>
          <cell r="FZ42">
            <v>1728328132.0907485</v>
          </cell>
          <cell r="GA42">
            <v>1734761655.941071</v>
          </cell>
        </row>
        <row r="43">
          <cell r="A43" t="str">
            <v>F_CNP_NRF_RET_IND_FRCE_234</v>
          </cell>
          <cell r="E43">
            <v>490734.64408823394</v>
          </cell>
          <cell r="F43">
            <v>0</v>
          </cell>
          <cell r="G43">
            <v>0</v>
          </cell>
          <cell r="J43">
            <v>0</v>
          </cell>
          <cell r="K43">
            <v>0</v>
          </cell>
          <cell r="L43">
            <v>0</v>
          </cell>
          <cell r="N43">
            <v>0</v>
          </cell>
          <cell r="O43">
            <v>0</v>
          </cell>
          <cell r="P43">
            <v>0</v>
          </cell>
          <cell r="Q43">
            <v>0</v>
          </cell>
          <cell r="S43">
            <v>0</v>
          </cell>
          <cell r="T43">
            <v>0</v>
          </cell>
          <cell r="U43">
            <v>0</v>
          </cell>
          <cell r="V43">
            <v>0</v>
          </cell>
          <cell r="W43">
            <v>0</v>
          </cell>
          <cell r="X43">
            <v>0</v>
          </cell>
          <cell r="Y43">
            <v>0</v>
          </cell>
          <cell r="Z43">
            <v>0</v>
          </cell>
          <cell r="AA43">
            <v>0</v>
          </cell>
          <cell r="AB43">
            <v>0</v>
          </cell>
          <cell r="AC43">
            <v>0</v>
          </cell>
          <cell r="AF43">
            <v>0</v>
          </cell>
          <cell r="AG43">
            <v>0</v>
          </cell>
          <cell r="AH43">
            <v>0</v>
          </cell>
          <cell r="AJ43">
            <v>0</v>
          </cell>
          <cell r="AK43">
            <v>0</v>
          </cell>
          <cell r="AL43">
            <v>0</v>
          </cell>
          <cell r="AM43">
            <v>0</v>
          </cell>
          <cell r="AO43">
            <v>0</v>
          </cell>
          <cell r="AP43">
            <v>0</v>
          </cell>
          <cell r="AQ43">
            <v>0</v>
          </cell>
          <cell r="AR43">
            <v>0</v>
          </cell>
          <cell r="AS43">
            <v>0</v>
          </cell>
          <cell r="AT43">
            <v>0</v>
          </cell>
          <cell r="AU43">
            <v>0</v>
          </cell>
          <cell r="AV43">
            <v>0</v>
          </cell>
          <cell r="AW43">
            <v>0</v>
          </cell>
          <cell r="AX43">
            <v>0</v>
          </cell>
          <cell r="AY43">
            <v>0</v>
          </cell>
          <cell r="BB43">
            <v>0</v>
          </cell>
          <cell r="BC43">
            <v>0</v>
          </cell>
          <cell r="BD43">
            <v>0</v>
          </cell>
          <cell r="BF43">
            <v>0</v>
          </cell>
          <cell r="BG43">
            <v>0</v>
          </cell>
          <cell r="BH43">
            <v>0</v>
          </cell>
          <cell r="BI43">
            <v>0</v>
          </cell>
          <cell r="BK43">
            <v>0</v>
          </cell>
          <cell r="BL43">
            <v>0</v>
          </cell>
          <cell r="BM43">
            <v>0</v>
          </cell>
          <cell r="BN43">
            <v>0</v>
          </cell>
          <cell r="BO43">
            <v>0</v>
          </cell>
          <cell r="BP43">
            <v>0</v>
          </cell>
          <cell r="BQ43">
            <v>0</v>
          </cell>
          <cell r="BR43">
            <v>0</v>
          </cell>
          <cell r="BS43">
            <v>0</v>
          </cell>
          <cell r="BT43">
            <v>0</v>
          </cell>
          <cell r="BU43">
            <v>0</v>
          </cell>
          <cell r="BX43">
            <v>0</v>
          </cell>
          <cell r="BY43">
            <v>0</v>
          </cell>
          <cell r="BZ43">
            <v>0</v>
          </cell>
          <cell r="CB43">
            <v>0</v>
          </cell>
          <cell r="CC43">
            <v>0</v>
          </cell>
          <cell r="CD43">
            <v>0</v>
          </cell>
          <cell r="CE43">
            <v>0</v>
          </cell>
          <cell r="CG43">
            <v>0</v>
          </cell>
          <cell r="CH43">
            <v>0</v>
          </cell>
          <cell r="CI43">
            <v>0</v>
          </cell>
          <cell r="CJ43">
            <v>0</v>
          </cell>
          <cell r="CK43">
            <v>0</v>
          </cell>
          <cell r="CL43">
            <v>0</v>
          </cell>
          <cell r="CM43">
            <v>0</v>
          </cell>
          <cell r="CN43">
            <v>0</v>
          </cell>
          <cell r="CO43">
            <v>0</v>
          </cell>
          <cell r="FD43">
            <v>0</v>
          </cell>
          <cell r="FE43">
            <v>447137.1692367408</v>
          </cell>
          <cell r="FF43">
            <v>0</v>
          </cell>
          <cell r="FG43">
            <v>0</v>
          </cell>
          <cell r="FJ43">
            <v>0</v>
          </cell>
          <cell r="FK43">
            <v>0</v>
          </cell>
          <cell r="FL43">
            <v>0</v>
          </cell>
          <cell r="FN43">
            <v>0</v>
          </cell>
          <cell r="FO43">
            <v>0</v>
          </cell>
          <cell r="FP43">
            <v>0</v>
          </cell>
          <cell r="FQ43">
            <v>0</v>
          </cell>
          <cell r="FS43">
            <v>0</v>
          </cell>
          <cell r="FT43">
            <v>0</v>
          </cell>
          <cell r="FU43">
            <v>0</v>
          </cell>
          <cell r="FV43">
            <v>0</v>
          </cell>
          <cell r="FW43">
            <v>0</v>
          </cell>
          <cell r="FX43">
            <v>0</v>
          </cell>
          <cell r="FY43">
            <v>0</v>
          </cell>
          <cell r="FZ43">
            <v>0</v>
          </cell>
          <cell r="GA43">
            <v>0</v>
          </cell>
        </row>
        <row r="44">
          <cell r="A44" t="str">
            <v>F_CNP_NRF_RET_IND_FRCE_272</v>
          </cell>
          <cell r="E44">
            <v>2567725.4495960386</v>
          </cell>
          <cell r="F44">
            <v>2865791.1200839174</v>
          </cell>
          <cell r="G44">
            <v>2865791.1200839174</v>
          </cell>
          <cell r="J44">
            <v>2865791.1200839174</v>
          </cell>
          <cell r="K44">
            <v>2865791.1200839174</v>
          </cell>
          <cell r="L44">
            <v>2865791.1200839174</v>
          </cell>
          <cell r="N44">
            <v>2865791.1200839174</v>
          </cell>
          <cell r="O44">
            <v>2865791.1200839174</v>
          </cell>
          <cell r="P44">
            <v>2865791.1200839174</v>
          </cell>
          <cell r="Q44">
            <v>2865791.1200839174</v>
          </cell>
          <cell r="S44">
            <v>2865791.1200839174</v>
          </cell>
          <cell r="T44">
            <v>2865791.1200839174</v>
          </cell>
          <cell r="U44">
            <v>2865791.1200839174</v>
          </cell>
          <cell r="V44">
            <v>2865791.1200839174</v>
          </cell>
          <cell r="W44">
            <v>2865791.1200839174</v>
          </cell>
          <cell r="X44">
            <v>2865791.1200839174</v>
          </cell>
          <cell r="Y44">
            <v>2865791.1200839174</v>
          </cell>
          <cell r="Z44">
            <v>2865791.1200839174</v>
          </cell>
          <cell r="AA44">
            <v>2865791.1200839174</v>
          </cell>
          <cell r="AB44">
            <v>2870440.986498809</v>
          </cell>
          <cell r="AC44">
            <v>2850602.6569869625</v>
          </cell>
          <cell r="AF44">
            <v>2866634.1009673835</v>
          </cell>
          <cell r="AG44">
            <v>2865791.1200839174</v>
          </cell>
          <cell r="AH44">
            <v>2865791.1200839174</v>
          </cell>
          <cell r="AJ44">
            <v>2866187.6688039326</v>
          </cell>
          <cell r="AK44">
            <v>2865791.1200839174</v>
          </cell>
          <cell r="AL44">
            <v>2865791.1200839174</v>
          </cell>
          <cell r="AM44">
            <v>2865794.0133132362</v>
          </cell>
          <cell r="AO44">
            <v>2863766.7019166527</v>
          </cell>
          <cell r="AP44">
            <v>2865791.1200839174</v>
          </cell>
          <cell r="AQ44">
            <v>2865791.1200839174</v>
          </cell>
          <cell r="AR44">
            <v>2865791.1200839174</v>
          </cell>
          <cell r="AS44">
            <v>2865791.1200839174</v>
          </cell>
          <cell r="AT44">
            <v>2865791.1200839174</v>
          </cell>
          <cell r="AU44">
            <v>2865791.1200839174</v>
          </cell>
          <cell r="AV44">
            <v>2865820.1116475519</v>
          </cell>
          <cell r="AW44">
            <v>2868985.7098581335</v>
          </cell>
          <cell r="AX44">
            <v>2898610.6484025549</v>
          </cell>
          <cell r="AY44">
            <v>2898610.6484025549</v>
          </cell>
          <cell r="BB44">
            <v>2898610.6484025549</v>
          </cell>
          <cell r="BC44">
            <v>2898610.6484025549</v>
          </cell>
          <cell r="BD44">
            <v>2898610.6484025549</v>
          </cell>
          <cell r="BF44">
            <v>2898610.6484025549</v>
          </cell>
          <cell r="BG44">
            <v>2898610.6484025549</v>
          </cell>
          <cell r="BH44">
            <v>2898610.6484025549</v>
          </cell>
          <cell r="BI44">
            <v>2898610.6484025549</v>
          </cell>
          <cell r="BK44">
            <v>2898610.6484025549</v>
          </cell>
          <cell r="BL44">
            <v>2898610.6484025549</v>
          </cell>
          <cell r="BM44">
            <v>2898610.6484025549</v>
          </cell>
          <cell r="BN44">
            <v>2898610.6484025549</v>
          </cell>
          <cell r="BO44">
            <v>2898610.6484025549</v>
          </cell>
          <cell r="BP44">
            <v>2898610.6484025549</v>
          </cell>
          <cell r="BQ44">
            <v>2898610.6484025549</v>
          </cell>
          <cell r="BR44">
            <v>2898610.6484025549</v>
          </cell>
          <cell r="BS44">
            <v>2898610.6484025549</v>
          </cell>
          <cell r="BT44">
            <v>2913851.6783663719</v>
          </cell>
          <cell r="BU44">
            <v>2874339.6877780156</v>
          </cell>
          <cell r="BX44">
            <v>2898610.6484025549</v>
          </cell>
          <cell r="BY44">
            <v>2898610.6484025549</v>
          </cell>
          <cell r="BZ44">
            <v>2898610.6484025549</v>
          </cell>
          <cell r="CB44">
            <v>2898610.6484025549</v>
          </cell>
          <cell r="CC44">
            <v>2898610.6484025549</v>
          </cell>
          <cell r="CD44">
            <v>2898610.6484025549</v>
          </cell>
          <cell r="CE44">
            <v>2898610.6484025549</v>
          </cell>
          <cell r="CG44">
            <v>2898610.6484025549</v>
          </cell>
          <cell r="CH44">
            <v>2898610.6484025549</v>
          </cell>
          <cell r="CI44">
            <v>2898610.6484025549</v>
          </cell>
          <cell r="CJ44">
            <v>2898610.6484025549</v>
          </cell>
          <cell r="CK44">
            <v>2898610.6484025549</v>
          </cell>
          <cell r="CL44">
            <v>2898610.6484025549</v>
          </cell>
          <cell r="CM44">
            <v>2898610.6484025549</v>
          </cell>
          <cell r="CN44">
            <v>2898610.6484025549</v>
          </cell>
          <cell r="CO44">
            <v>2903282.8485347051</v>
          </cell>
          <cell r="FD44">
            <v>2882075.6689038505</v>
          </cell>
          <cell r="FE44">
            <v>2620363.5503540277</v>
          </cell>
          <cell r="FF44">
            <v>2912997.4501607455</v>
          </cell>
          <cell r="FG44">
            <v>2876139.0131115802</v>
          </cell>
          <cell r="FJ44">
            <v>2897194.8459446006</v>
          </cell>
          <cell r="FK44">
            <v>2898610.6484025549</v>
          </cell>
          <cell r="FL44">
            <v>2898610.6484025549</v>
          </cell>
          <cell r="FN44">
            <v>2898666.5137692364</v>
          </cell>
          <cell r="FO44">
            <v>2898610.6484025549</v>
          </cell>
          <cell r="FP44">
            <v>2898610.6484025549</v>
          </cell>
          <cell r="FQ44">
            <v>2898211.4298541555</v>
          </cell>
          <cell r="FS44">
            <v>2894316.4092906243</v>
          </cell>
          <cell r="FT44">
            <v>2898610.6484025549</v>
          </cell>
          <cell r="FU44">
            <v>2898610.6484025549</v>
          </cell>
          <cell r="FV44">
            <v>2898610.6484025549</v>
          </cell>
          <cell r="FW44">
            <v>2898610.6484025549</v>
          </cell>
          <cell r="FX44">
            <v>2898610.6484025549</v>
          </cell>
          <cell r="FY44">
            <v>2898610.6484025549</v>
          </cell>
          <cell r="FZ44">
            <v>2898492.8593422393</v>
          </cell>
          <cell r="GA44">
            <v>2902694.3862172901</v>
          </cell>
        </row>
        <row r="45">
          <cell r="A45" t="str">
            <v>F_CNP_NRF_RET_IND_FRCE_250</v>
          </cell>
          <cell r="E45">
            <v>468402080.0449549</v>
          </cell>
          <cell r="F45">
            <v>0</v>
          </cell>
          <cell r="G45">
            <v>0</v>
          </cell>
          <cell r="J45">
            <v>0</v>
          </cell>
          <cell r="K45">
            <v>0</v>
          </cell>
          <cell r="L45">
            <v>0</v>
          </cell>
          <cell r="N45">
            <v>0</v>
          </cell>
          <cell r="O45">
            <v>0</v>
          </cell>
          <cell r="P45">
            <v>0</v>
          </cell>
          <cell r="Q45">
            <v>0</v>
          </cell>
          <cell r="S45">
            <v>0</v>
          </cell>
          <cell r="T45">
            <v>0</v>
          </cell>
          <cell r="U45">
            <v>0</v>
          </cell>
          <cell r="V45">
            <v>0</v>
          </cell>
          <cell r="W45">
            <v>0</v>
          </cell>
          <cell r="X45">
            <v>0</v>
          </cell>
          <cell r="Y45">
            <v>0</v>
          </cell>
          <cell r="Z45">
            <v>0</v>
          </cell>
          <cell r="AA45">
            <v>0</v>
          </cell>
          <cell r="AB45">
            <v>0</v>
          </cell>
          <cell r="AC45">
            <v>0</v>
          </cell>
          <cell r="AF45">
            <v>0</v>
          </cell>
          <cell r="AG45">
            <v>0</v>
          </cell>
          <cell r="AH45">
            <v>0</v>
          </cell>
          <cell r="AJ45">
            <v>0</v>
          </cell>
          <cell r="AK45">
            <v>0</v>
          </cell>
          <cell r="AL45">
            <v>0</v>
          </cell>
          <cell r="AM45">
            <v>0</v>
          </cell>
          <cell r="AO45">
            <v>0</v>
          </cell>
          <cell r="AP45">
            <v>0</v>
          </cell>
          <cell r="AQ45">
            <v>0</v>
          </cell>
          <cell r="AR45">
            <v>0</v>
          </cell>
          <cell r="AS45">
            <v>0</v>
          </cell>
          <cell r="AT45">
            <v>0</v>
          </cell>
          <cell r="AU45">
            <v>0</v>
          </cell>
          <cell r="AV45">
            <v>0</v>
          </cell>
          <cell r="AW45">
            <v>0</v>
          </cell>
          <cell r="AX45">
            <v>0</v>
          </cell>
          <cell r="AY45">
            <v>0</v>
          </cell>
          <cell r="BB45">
            <v>0</v>
          </cell>
          <cell r="BC45">
            <v>0</v>
          </cell>
          <cell r="BD45">
            <v>0</v>
          </cell>
          <cell r="BF45">
            <v>0</v>
          </cell>
          <cell r="BG45">
            <v>0</v>
          </cell>
          <cell r="BH45">
            <v>0</v>
          </cell>
          <cell r="BI45">
            <v>0</v>
          </cell>
          <cell r="BK45">
            <v>0</v>
          </cell>
          <cell r="BL45">
            <v>0</v>
          </cell>
          <cell r="BM45">
            <v>0</v>
          </cell>
          <cell r="BN45">
            <v>0</v>
          </cell>
          <cell r="BO45">
            <v>0</v>
          </cell>
          <cell r="BP45">
            <v>0</v>
          </cell>
          <cell r="BQ45">
            <v>0</v>
          </cell>
          <cell r="BR45">
            <v>0</v>
          </cell>
          <cell r="BS45">
            <v>0</v>
          </cell>
          <cell r="BT45">
            <v>0</v>
          </cell>
          <cell r="BU45">
            <v>0</v>
          </cell>
          <cell r="BX45">
            <v>0</v>
          </cell>
          <cell r="BY45">
            <v>0</v>
          </cell>
          <cell r="BZ45">
            <v>0</v>
          </cell>
          <cell r="CB45">
            <v>0</v>
          </cell>
          <cell r="CC45">
            <v>0</v>
          </cell>
          <cell r="CD45">
            <v>0</v>
          </cell>
          <cell r="CE45">
            <v>0</v>
          </cell>
          <cell r="CG45">
            <v>0</v>
          </cell>
          <cell r="CH45">
            <v>0</v>
          </cell>
          <cell r="CI45">
            <v>0</v>
          </cell>
          <cell r="CJ45">
            <v>0</v>
          </cell>
          <cell r="CK45">
            <v>0</v>
          </cell>
          <cell r="CL45">
            <v>0</v>
          </cell>
          <cell r="CM45">
            <v>0</v>
          </cell>
          <cell r="CN45">
            <v>0</v>
          </cell>
          <cell r="CO45">
            <v>0</v>
          </cell>
          <cell r="FD45">
            <v>0</v>
          </cell>
          <cell r="FE45">
            <v>468587173.62214035</v>
          </cell>
          <cell r="FF45">
            <v>0</v>
          </cell>
          <cell r="FG45">
            <v>0</v>
          </cell>
          <cell r="FJ45">
            <v>0</v>
          </cell>
          <cell r="FK45">
            <v>0</v>
          </cell>
          <cell r="FL45">
            <v>0</v>
          </cell>
          <cell r="FN45">
            <v>0</v>
          </cell>
          <cell r="FO45">
            <v>0</v>
          </cell>
          <cell r="FP45">
            <v>0</v>
          </cell>
          <cell r="FQ45">
            <v>0</v>
          </cell>
          <cell r="FS45">
            <v>0</v>
          </cell>
          <cell r="FT45">
            <v>0</v>
          </cell>
          <cell r="FU45">
            <v>0</v>
          </cell>
          <cell r="FV45">
            <v>0</v>
          </cell>
          <cell r="FW45">
            <v>0</v>
          </cell>
          <cell r="FX45">
            <v>0</v>
          </cell>
          <cell r="FY45">
            <v>0</v>
          </cell>
          <cell r="FZ45">
            <v>0</v>
          </cell>
          <cell r="GA45">
            <v>0</v>
          </cell>
        </row>
        <row r="46">
          <cell r="A46" t="str">
            <v>F_CNP_NRF_RET_IND_FRCE_120</v>
          </cell>
          <cell r="E46">
            <v>0</v>
          </cell>
          <cell r="F46">
            <v>0</v>
          </cell>
          <cell r="G46">
            <v>0</v>
          </cell>
          <cell r="J46">
            <v>0</v>
          </cell>
          <cell r="K46">
            <v>0</v>
          </cell>
          <cell r="L46">
            <v>0</v>
          </cell>
          <cell r="N46">
            <v>0</v>
          </cell>
          <cell r="O46">
            <v>0</v>
          </cell>
          <cell r="P46">
            <v>0</v>
          </cell>
          <cell r="Q46">
            <v>0</v>
          </cell>
          <cell r="S46">
            <v>0</v>
          </cell>
          <cell r="T46">
            <v>0</v>
          </cell>
          <cell r="U46">
            <v>0</v>
          </cell>
          <cell r="V46">
            <v>0</v>
          </cell>
          <cell r="W46">
            <v>0</v>
          </cell>
          <cell r="X46">
            <v>0</v>
          </cell>
          <cell r="Y46">
            <v>0</v>
          </cell>
          <cell r="Z46">
            <v>0</v>
          </cell>
          <cell r="AA46">
            <v>0</v>
          </cell>
          <cell r="AB46">
            <v>0</v>
          </cell>
          <cell r="AC46">
            <v>0</v>
          </cell>
          <cell r="AF46">
            <v>0</v>
          </cell>
          <cell r="AG46">
            <v>0</v>
          </cell>
          <cell r="AH46">
            <v>0</v>
          </cell>
          <cell r="AJ46">
            <v>0</v>
          </cell>
          <cell r="AK46">
            <v>0</v>
          </cell>
          <cell r="AL46">
            <v>0</v>
          </cell>
          <cell r="AM46">
            <v>0</v>
          </cell>
          <cell r="AO46">
            <v>0</v>
          </cell>
          <cell r="AP46">
            <v>0</v>
          </cell>
          <cell r="AQ46">
            <v>0</v>
          </cell>
          <cell r="AR46">
            <v>0</v>
          </cell>
          <cell r="AS46">
            <v>0</v>
          </cell>
          <cell r="AT46">
            <v>0</v>
          </cell>
          <cell r="AU46">
            <v>0</v>
          </cell>
          <cell r="AV46">
            <v>0</v>
          </cell>
          <cell r="AW46">
            <v>0</v>
          </cell>
          <cell r="AX46">
            <v>0</v>
          </cell>
          <cell r="AY46">
            <v>0</v>
          </cell>
          <cell r="BB46">
            <v>0</v>
          </cell>
          <cell r="BC46">
            <v>0</v>
          </cell>
          <cell r="BD46">
            <v>0</v>
          </cell>
          <cell r="BF46">
            <v>0</v>
          </cell>
          <cell r="BG46">
            <v>0</v>
          </cell>
          <cell r="BH46">
            <v>0</v>
          </cell>
          <cell r="BI46">
            <v>0</v>
          </cell>
          <cell r="BK46">
            <v>0</v>
          </cell>
          <cell r="BL46">
            <v>0</v>
          </cell>
          <cell r="BM46">
            <v>0</v>
          </cell>
          <cell r="BN46">
            <v>0</v>
          </cell>
          <cell r="BO46">
            <v>0</v>
          </cell>
          <cell r="BP46">
            <v>0</v>
          </cell>
          <cell r="BQ46">
            <v>0</v>
          </cell>
          <cell r="BR46">
            <v>0</v>
          </cell>
          <cell r="BS46">
            <v>0</v>
          </cell>
          <cell r="BT46">
            <v>0</v>
          </cell>
          <cell r="BU46">
            <v>0</v>
          </cell>
          <cell r="BX46">
            <v>0</v>
          </cell>
          <cell r="BY46">
            <v>0</v>
          </cell>
          <cell r="BZ46">
            <v>0</v>
          </cell>
          <cell r="CB46">
            <v>0</v>
          </cell>
          <cell r="CC46">
            <v>0</v>
          </cell>
          <cell r="CD46">
            <v>0</v>
          </cell>
          <cell r="CE46">
            <v>0</v>
          </cell>
          <cell r="CG46">
            <v>0</v>
          </cell>
          <cell r="CH46">
            <v>0</v>
          </cell>
          <cell r="CI46">
            <v>0</v>
          </cell>
          <cell r="CJ46">
            <v>0</v>
          </cell>
          <cell r="CK46">
            <v>0</v>
          </cell>
          <cell r="CL46">
            <v>0</v>
          </cell>
          <cell r="CM46">
            <v>0</v>
          </cell>
          <cell r="CN46">
            <v>0</v>
          </cell>
          <cell r="CO46">
            <v>0</v>
          </cell>
          <cell r="FD46">
            <v>0</v>
          </cell>
          <cell r="FE46">
            <v>0</v>
          </cell>
          <cell r="FF46">
            <v>0</v>
          </cell>
          <cell r="FG46">
            <v>0</v>
          </cell>
          <cell r="FJ46">
            <v>0</v>
          </cell>
          <cell r="FK46">
            <v>0</v>
          </cell>
          <cell r="FL46">
            <v>0</v>
          </cell>
          <cell r="FN46">
            <v>0</v>
          </cell>
          <cell r="FO46">
            <v>0</v>
          </cell>
          <cell r="FP46">
            <v>0</v>
          </cell>
          <cell r="FQ46">
            <v>0</v>
          </cell>
          <cell r="FS46">
            <v>0</v>
          </cell>
          <cell r="FT46">
            <v>0</v>
          </cell>
          <cell r="FU46">
            <v>0</v>
          </cell>
          <cell r="FV46">
            <v>0</v>
          </cell>
          <cell r="FW46">
            <v>0</v>
          </cell>
          <cell r="FX46">
            <v>0</v>
          </cell>
          <cell r="FY46">
            <v>0</v>
          </cell>
          <cell r="FZ46">
            <v>0</v>
          </cell>
          <cell r="GA46">
            <v>0</v>
          </cell>
        </row>
        <row r="47">
          <cell r="A47" t="str">
            <v>F_CNP_NRF_RET_IND_FRCE_ETR</v>
          </cell>
          <cell r="E47">
            <v>0</v>
          </cell>
          <cell r="F47">
            <v>0</v>
          </cell>
          <cell r="G47">
            <v>0</v>
          </cell>
          <cell r="J47">
            <v>0</v>
          </cell>
          <cell r="K47">
            <v>0</v>
          </cell>
          <cell r="L47">
            <v>0</v>
          </cell>
          <cell r="N47">
            <v>0</v>
          </cell>
          <cell r="O47">
            <v>0</v>
          </cell>
          <cell r="P47">
            <v>0</v>
          </cell>
          <cell r="Q47">
            <v>0</v>
          </cell>
          <cell r="S47">
            <v>0</v>
          </cell>
          <cell r="T47">
            <v>0</v>
          </cell>
          <cell r="U47">
            <v>0</v>
          </cell>
          <cell r="V47">
            <v>0</v>
          </cell>
          <cell r="W47">
            <v>0</v>
          </cell>
          <cell r="X47">
            <v>0</v>
          </cell>
          <cell r="Y47">
            <v>0</v>
          </cell>
          <cell r="Z47">
            <v>0</v>
          </cell>
          <cell r="AA47">
            <v>0</v>
          </cell>
          <cell r="AB47">
            <v>0</v>
          </cell>
          <cell r="AC47">
            <v>0</v>
          </cell>
          <cell r="AF47">
            <v>0</v>
          </cell>
          <cell r="AG47">
            <v>0</v>
          </cell>
          <cell r="AH47">
            <v>0</v>
          </cell>
          <cell r="AJ47">
            <v>0</v>
          </cell>
          <cell r="AK47">
            <v>0</v>
          </cell>
          <cell r="AL47">
            <v>0</v>
          </cell>
          <cell r="AM47">
            <v>0</v>
          </cell>
          <cell r="AO47">
            <v>0</v>
          </cell>
          <cell r="AP47">
            <v>0</v>
          </cell>
          <cell r="AQ47">
            <v>0</v>
          </cell>
          <cell r="AR47">
            <v>0</v>
          </cell>
          <cell r="AS47">
            <v>0</v>
          </cell>
          <cell r="AT47">
            <v>0</v>
          </cell>
          <cell r="AU47">
            <v>0</v>
          </cell>
          <cell r="AV47">
            <v>0</v>
          </cell>
          <cell r="AW47">
            <v>0</v>
          </cell>
          <cell r="AX47">
            <v>0</v>
          </cell>
          <cell r="AY47">
            <v>0</v>
          </cell>
          <cell r="BB47">
            <v>0</v>
          </cell>
          <cell r="BC47">
            <v>0</v>
          </cell>
          <cell r="BD47">
            <v>0</v>
          </cell>
          <cell r="BF47">
            <v>0</v>
          </cell>
          <cell r="BG47">
            <v>0</v>
          </cell>
          <cell r="BH47">
            <v>0</v>
          </cell>
          <cell r="BI47">
            <v>0</v>
          </cell>
          <cell r="BK47">
            <v>0</v>
          </cell>
          <cell r="BL47">
            <v>0</v>
          </cell>
          <cell r="BM47">
            <v>0</v>
          </cell>
          <cell r="BN47">
            <v>0</v>
          </cell>
          <cell r="BO47">
            <v>0</v>
          </cell>
          <cell r="BP47">
            <v>0</v>
          </cell>
          <cell r="BQ47">
            <v>0</v>
          </cell>
          <cell r="BR47">
            <v>0</v>
          </cell>
          <cell r="BS47">
            <v>0</v>
          </cell>
          <cell r="BT47">
            <v>0</v>
          </cell>
          <cell r="BU47">
            <v>0</v>
          </cell>
          <cell r="BX47">
            <v>0</v>
          </cell>
          <cell r="BY47">
            <v>0</v>
          </cell>
          <cell r="BZ47">
            <v>0</v>
          </cell>
          <cell r="CB47">
            <v>0</v>
          </cell>
          <cell r="CC47">
            <v>0</v>
          </cell>
          <cell r="CD47">
            <v>0</v>
          </cell>
          <cell r="CE47">
            <v>0</v>
          </cell>
          <cell r="CG47">
            <v>0</v>
          </cell>
          <cell r="CH47">
            <v>0</v>
          </cell>
          <cell r="CI47">
            <v>0</v>
          </cell>
          <cell r="CJ47">
            <v>0</v>
          </cell>
          <cell r="CK47">
            <v>0</v>
          </cell>
          <cell r="CL47">
            <v>0</v>
          </cell>
          <cell r="CM47">
            <v>0</v>
          </cell>
          <cell r="CN47">
            <v>0</v>
          </cell>
          <cell r="CO47">
            <v>0</v>
          </cell>
          <cell r="FD47">
            <v>0</v>
          </cell>
          <cell r="FE47">
            <v>0</v>
          </cell>
          <cell r="FF47">
            <v>0</v>
          </cell>
          <cell r="FG47">
            <v>0</v>
          </cell>
          <cell r="FJ47">
            <v>0</v>
          </cell>
          <cell r="FK47">
            <v>0</v>
          </cell>
          <cell r="FL47">
            <v>0</v>
          </cell>
          <cell r="FN47">
            <v>0</v>
          </cell>
          <cell r="FO47">
            <v>0</v>
          </cell>
          <cell r="FP47">
            <v>0</v>
          </cell>
          <cell r="FQ47">
            <v>0</v>
          </cell>
          <cell r="FS47">
            <v>0</v>
          </cell>
          <cell r="FT47">
            <v>0</v>
          </cell>
          <cell r="FU47">
            <v>0</v>
          </cell>
          <cell r="FV47">
            <v>0</v>
          </cell>
          <cell r="FW47">
            <v>0</v>
          </cell>
          <cell r="FX47">
            <v>0</v>
          </cell>
          <cell r="FY47">
            <v>0</v>
          </cell>
          <cell r="FZ47">
            <v>0</v>
          </cell>
          <cell r="GA47">
            <v>0</v>
          </cell>
        </row>
        <row r="48">
          <cell r="A48" t="str">
            <v>F_CNP_RFF_RET_IND_FRCE_EVA</v>
          </cell>
          <cell r="E48">
            <v>790460482.31344402</v>
          </cell>
          <cell r="F48">
            <v>692782129.58012056</v>
          </cell>
          <cell r="G48">
            <v>692782129.58012056</v>
          </cell>
          <cell r="J48">
            <v>692782129.58012056</v>
          </cell>
          <cell r="K48">
            <v>692782129.58012056</v>
          </cell>
          <cell r="L48">
            <v>692782129.58012056</v>
          </cell>
          <cell r="N48">
            <v>692782129.58012056</v>
          </cell>
          <cell r="O48">
            <v>692782129.58012056</v>
          </cell>
          <cell r="P48">
            <v>692782129.58012056</v>
          </cell>
          <cell r="Q48">
            <v>692782129.58012056</v>
          </cell>
          <cell r="S48">
            <v>692782129.58012056</v>
          </cell>
          <cell r="T48">
            <v>692782129.58012056</v>
          </cell>
          <cell r="U48">
            <v>692782129.58012056</v>
          </cell>
          <cell r="V48">
            <v>692782129.58012056</v>
          </cell>
          <cell r="W48">
            <v>692782129.58012056</v>
          </cell>
          <cell r="X48">
            <v>692782129.58012056</v>
          </cell>
          <cell r="Y48">
            <v>692782129.58012056</v>
          </cell>
          <cell r="Z48">
            <v>692782129.58012056</v>
          </cell>
          <cell r="AA48">
            <v>692782129.58012056</v>
          </cell>
          <cell r="AB48">
            <v>759016917.84694815</v>
          </cell>
          <cell r="AC48">
            <v>641349458.58757138</v>
          </cell>
          <cell r="AF48">
            <v>674807115.07132411</v>
          </cell>
          <cell r="AG48">
            <v>692782129.58012056</v>
          </cell>
          <cell r="AH48">
            <v>692782129.58012056</v>
          </cell>
          <cell r="AJ48">
            <v>690099288.89565587</v>
          </cell>
          <cell r="AK48">
            <v>692782129.58012056</v>
          </cell>
          <cell r="AL48">
            <v>692782129.58012056</v>
          </cell>
          <cell r="AM48">
            <v>697585402.63819444</v>
          </cell>
          <cell r="AO48">
            <v>674649664.05137801</v>
          </cell>
          <cell r="AP48">
            <v>692782129.58012056</v>
          </cell>
          <cell r="AQ48">
            <v>692782129.58012056</v>
          </cell>
          <cell r="AR48">
            <v>692782129.58012056</v>
          </cell>
          <cell r="AS48">
            <v>692782129.58012056</v>
          </cell>
          <cell r="AT48">
            <v>692782129.58012056</v>
          </cell>
          <cell r="AU48">
            <v>692782129.58012056</v>
          </cell>
          <cell r="AV48">
            <v>692254300.12883532</v>
          </cell>
          <cell r="AW48">
            <v>697565498.6691823</v>
          </cell>
          <cell r="AX48">
            <v>763910710.06513262</v>
          </cell>
          <cell r="AY48">
            <v>763910710.06513262</v>
          </cell>
          <cell r="BB48">
            <v>763910710.06513262</v>
          </cell>
          <cell r="BC48">
            <v>763910710.06513262</v>
          </cell>
          <cell r="BD48">
            <v>763910710.06513262</v>
          </cell>
          <cell r="BF48">
            <v>763910710.06513262</v>
          </cell>
          <cell r="BG48">
            <v>763910710.06513262</v>
          </cell>
          <cell r="BH48">
            <v>763910710.06513262</v>
          </cell>
          <cell r="BI48">
            <v>763910710.06513262</v>
          </cell>
          <cell r="BK48">
            <v>763910710.06513262</v>
          </cell>
          <cell r="BL48">
            <v>763910710.06513262</v>
          </cell>
          <cell r="BM48">
            <v>763910710.06513262</v>
          </cell>
          <cell r="BN48">
            <v>763910710.06513262</v>
          </cell>
          <cell r="BO48">
            <v>763910710.06513262</v>
          </cell>
          <cell r="BP48">
            <v>763910710.06513262</v>
          </cell>
          <cell r="BQ48">
            <v>763910710.06513262</v>
          </cell>
          <cell r="BR48">
            <v>763910710.06513262</v>
          </cell>
          <cell r="BS48">
            <v>763910710.06513262</v>
          </cell>
          <cell r="BT48">
            <v>796364805.71054566</v>
          </cell>
          <cell r="BU48">
            <v>741109379.61657774</v>
          </cell>
          <cell r="BX48">
            <v>763910710.06513262</v>
          </cell>
          <cell r="BY48">
            <v>763910710.06513262</v>
          </cell>
          <cell r="BZ48">
            <v>763910710.06513262</v>
          </cell>
          <cell r="CB48">
            <v>763910710.06513262</v>
          </cell>
          <cell r="CC48">
            <v>763910710.06513262</v>
          </cell>
          <cell r="CD48">
            <v>763910710.06513262</v>
          </cell>
          <cell r="CE48">
            <v>763910710.06513262</v>
          </cell>
          <cell r="CG48">
            <v>763910710.06513262</v>
          </cell>
          <cell r="CH48">
            <v>763910710.06513262</v>
          </cell>
          <cell r="CI48">
            <v>763910710.06513262</v>
          </cell>
          <cell r="CJ48">
            <v>763910710.06513262</v>
          </cell>
          <cell r="CK48">
            <v>763910710.06513262</v>
          </cell>
          <cell r="CL48">
            <v>763910710.06513262</v>
          </cell>
          <cell r="CM48">
            <v>763910710.06513262</v>
          </cell>
          <cell r="CN48">
            <v>763910710.06513262</v>
          </cell>
          <cell r="CO48">
            <v>771568955.07908916</v>
          </cell>
          <cell r="FD48">
            <v>555096629.70892918</v>
          </cell>
          <cell r="FE48">
            <v>636138913.5893544</v>
          </cell>
          <cell r="FF48">
            <v>747972067.41434729</v>
          </cell>
          <cell r="FG48">
            <v>644865726.28867805</v>
          </cell>
          <cell r="FJ48">
            <v>731516200.69129062</v>
          </cell>
          <cell r="FK48">
            <v>763910710.06513262</v>
          </cell>
          <cell r="FL48">
            <v>763910710.06513262</v>
          </cell>
          <cell r="FN48">
            <v>800975718.00821865</v>
          </cell>
          <cell r="FO48">
            <v>763910710.06513262</v>
          </cell>
          <cell r="FP48">
            <v>763910710.06513262</v>
          </cell>
          <cell r="FQ48">
            <v>678988875.67001355</v>
          </cell>
          <cell r="FS48">
            <v>666335478.94245505</v>
          </cell>
          <cell r="FT48">
            <v>763910710.06513262</v>
          </cell>
          <cell r="FU48">
            <v>763910710.06513262</v>
          </cell>
          <cell r="FV48">
            <v>763910710.06513262</v>
          </cell>
          <cell r="FW48">
            <v>763910710.06513262</v>
          </cell>
          <cell r="FX48">
            <v>763910710.06513262</v>
          </cell>
          <cell r="FY48">
            <v>763910710.06513262</v>
          </cell>
          <cell r="FZ48">
            <v>679050446.6588819</v>
          </cell>
          <cell r="GA48">
            <v>680838193.67246413</v>
          </cell>
        </row>
        <row r="49">
          <cell r="A49" t="str">
            <v>F_CNP_RFF_RET_IND_FRCE_EVQ</v>
          </cell>
          <cell r="E49">
            <v>8235766.5299999993</v>
          </cell>
          <cell r="F49">
            <v>0</v>
          </cell>
          <cell r="G49">
            <v>0</v>
          </cell>
          <cell r="J49">
            <v>0</v>
          </cell>
          <cell r="K49">
            <v>0</v>
          </cell>
          <cell r="L49">
            <v>0</v>
          </cell>
          <cell r="N49">
            <v>0</v>
          </cell>
          <cell r="O49">
            <v>0</v>
          </cell>
          <cell r="P49">
            <v>0</v>
          </cell>
          <cell r="Q49">
            <v>0</v>
          </cell>
          <cell r="S49">
            <v>0</v>
          </cell>
          <cell r="T49">
            <v>0</v>
          </cell>
          <cell r="U49">
            <v>0</v>
          </cell>
          <cell r="V49">
            <v>0</v>
          </cell>
          <cell r="W49">
            <v>0</v>
          </cell>
          <cell r="X49">
            <v>0</v>
          </cell>
          <cell r="Y49">
            <v>0</v>
          </cell>
          <cell r="Z49">
            <v>0</v>
          </cell>
          <cell r="AA49">
            <v>0</v>
          </cell>
          <cell r="AB49">
            <v>0</v>
          </cell>
          <cell r="AC49">
            <v>0</v>
          </cell>
          <cell r="AF49">
            <v>0</v>
          </cell>
          <cell r="AG49">
            <v>0</v>
          </cell>
          <cell r="AH49">
            <v>0</v>
          </cell>
          <cell r="AJ49">
            <v>0</v>
          </cell>
          <cell r="AK49">
            <v>0</v>
          </cell>
          <cell r="AL49">
            <v>0</v>
          </cell>
          <cell r="AM49">
            <v>0</v>
          </cell>
          <cell r="AO49">
            <v>0</v>
          </cell>
          <cell r="AP49">
            <v>0</v>
          </cell>
          <cell r="AQ49">
            <v>0</v>
          </cell>
          <cell r="AR49">
            <v>0</v>
          </cell>
          <cell r="AS49">
            <v>0</v>
          </cell>
          <cell r="AT49">
            <v>0</v>
          </cell>
          <cell r="AU49">
            <v>0</v>
          </cell>
          <cell r="AV49">
            <v>0</v>
          </cell>
          <cell r="AW49">
            <v>0</v>
          </cell>
          <cell r="AX49">
            <v>0</v>
          </cell>
          <cell r="AY49">
            <v>0</v>
          </cell>
          <cell r="BB49">
            <v>0</v>
          </cell>
          <cell r="BC49">
            <v>0</v>
          </cell>
          <cell r="BD49">
            <v>0</v>
          </cell>
          <cell r="BF49">
            <v>0</v>
          </cell>
          <cell r="BG49">
            <v>0</v>
          </cell>
          <cell r="BH49">
            <v>0</v>
          </cell>
          <cell r="BI49">
            <v>0</v>
          </cell>
          <cell r="BK49">
            <v>0</v>
          </cell>
          <cell r="BL49">
            <v>0</v>
          </cell>
          <cell r="BM49">
            <v>0</v>
          </cell>
          <cell r="BN49">
            <v>0</v>
          </cell>
          <cell r="BO49">
            <v>0</v>
          </cell>
          <cell r="BP49">
            <v>0</v>
          </cell>
          <cell r="BQ49">
            <v>0</v>
          </cell>
          <cell r="BR49">
            <v>0</v>
          </cell>
          <cell r="BS49">
            <v>0</v>
          </cell>
          <cell r="BT49">
            <v>0</v>
          </cell>
          <cell r="BU49">
            <v>0</v>
          </cell>
          <cell r="BX49">
            <v>0</v>
          </cell>
          <cell r="BY49">
            <v>0</v>
          </cell>
          <cell r="BZ49">
            <v>0</v>
          </cell>
          <cell r="CB49">
            <v>0</v>
          </cell>
          <cell r="CC49">
            <v>0</v>
          </cell>
          <cell r="CD49">
            <v>0</v>
          </cell>
          <cell r="CE49">
            <v>0</v>
          </cell>
          <cell r="CG49">
            <v>0</v>
          </cell>
          <cell r="CH49">
            <v>0</v>
          </cell>
          <cell r="CI49">
            <v>0</v>
          </cell>
          <cell r="CJ49">
            <v>0</v>
          </cell>
          <cell r="CK49">
            <v>0</v>
          </cell>
          <cell r="CL49">
            <v>0</v>
          </cell>
          <cell r="CM49">
            <v>0</v>
          </cell>
          <cell r="CN49">
            <v>0</v>
          </cell>
          <cell r="CO49">
            <v>0</v>
          </cell>
          <cell r="FD49">
            <v>0</v>
          </cell>
          <cell r="FE49">
            <v>8235766.5299999993</v>
          </cell>
          <cell r="FF49">
            <v>0</v>
          </cell>
          <cell r="FG49">
            <v>0</v>
          </cell>
          <cell r="FJ49">
            <v>0</v>
          </cell>
          <cell r="FK49">
            <v>0</v>
          </cell>
          <cell r="FL49">
            <v>0</v>
          </cell>
          <cell r="FN49">
            <v>0</v>
          </cell>
          <cell r="FO49">
            <v>0</v>
          </cell>
          <cell r="FP49">
            <v>0</v>
          </cell>
          <cell r="FQ49">
            <v>0</v>
          </cell>
          <cell r="FS49">
            <v>0</v>
          </cell>
          <cell r="FT49">
            <v>0</v>
          </cell>
          <cell r="FU49">
            <v>0</v>
          </cell>
          <cell r="FV49">
            <v>0</v>
          </cell>
          <cell r="FW49">
            <v>0</v>
          </cell>
          <cell r="FX49">
            <v>0</v>
          </cell>
          <cell r="FY49">
            <v>0</v>
          </cell>
          <cell r="FZ49">
            <v>0</v>
          </cell>
          <cell r="GA49">
            <v>0</v>
          </cell>
        </row>
        <row r="50">
          <cell r="A50" t="str">
            <v>F_CNP_RFF_RET_IND_FRCE_070</v>
          </cell>
          <cell r="E50">
            <v>239582347.16</v>
          </cell>
          <cell r="F50">
            <v>0</v>
          </cell>
          <cell r="G50">
            <v>0</v>
          </cell>
          <cell r="J50">
            <v>0</v>
          </cell>
          <cell r="K50">
            <v>0</v>
          </cell>
          <cell r="L50">
            <v>0</v>
          </cell>
          <cell r="N50">
            <v>0</v>
          </cell>
          <cell r="O50">
            <v>0</v>
          </cell>
          <cell r="P50">
            <v>0</v>
          </cell>
          <cell r="Q50">
            <v>0</v>
          </cell>
          <cell r="S50">
            <v>0</v>
          </cell>
          <cell r="T50">
            <v>0</v>
          </cell>
          <cell r="U50">
            <v>0</v>
          </cell>
          <cell r="V50">
            <v>0</v>
          </cell>
          <cell r="W50">
            <v>0</v>
          </cell>
          <cell r="X50">
            <v>0</v>
          </cell>
          <cell r="Y50">
            <v>0</v>
          </cell>
          <cell r="Z50">
            <v>0</v>
          </cell>
          <cell r="AA50">
            <v>0</v>
          </cell>
          <cell r="AB50">
            <v>0</v>
          </cell>
          <cell r="AC50">
            <v>0</v>
          </cell>
          <cell r="AF50">
            <v>0</v>
          </cell>
          <cell r="AG50">
            <v>0</v>
          </cell>
          <cell r="AH50">
            <v>0</v>
          </cell>
          <cell r="AJ50">
            <v>0</v>
          </cell>
          <cell r="AK50">
            <v>0</v>
          </cell>
          <cell r="AL50">
            <v>0</v>
          </cell>
          <cell r="AM50">
            <v>0</v>
          </cell>
          <cell r="AO50">
            <v>0</v>
          </cell>
          <cell r="AP50">
            <v>0</v>
          </cell>
          <cell r="AQ50">
            <v>0</v>
          </cell>
          <cell r="AR50">
            <v>0</v>
          </cell>
          <cell r="AS50">
            <v>0</v>
          </cell>
          <cell r="AT50">
            <v>0</v>
          </cell>
          <cell r="AU50">
            <v>0</v>
          </cell>
          <cell r="AV50">
            <v>0</v>
          </cell>
          <cell r="AW50">
            <v>0</v>
          </cell>
          <cell r="AX50">
            <v>0</v>
          </cell>
          <cell r="AY50">
            <v>0</v>
          </cell>
          <cell r="BB50">
            <v>0</v>
          </cell>
          <cell r="BC50">
            <v>0</v>
          </cell>
          <cell r="BD50">
            <v>0</v>
          </cell>
          <cell r="BF50">
            <v>0</v>
          </cell>
          <cell r="BG50">
            <v>0</v>
          </cell>
          <cell r="BH50">
            <v>0</v>
          </cell>
          <cell r="BI50">
            <v>0</v>
          </cell>
          <cell r="BK50">
            <v>0</v>
          </cell>
          <cell r="BL50">
            <v>0</v>
          </cell>
          <cell r="BM50">
            <v>0</v>
          </cell>
          <cell r="BN50">
            <v>0</v>
          </cell>
          <cell r="BO50">
            <v>0</v>
          </cell>
          <cell r="BP50">
            <v>0</v>
          </cell>
          <cell r="BQ50">
            <v>0</v>
          </cell>
          <cell r="BR50">
            <v>0</v>
          </cell>
          <cell r="BS50">
            <v>0</v>
          </cell>
          <cell r="BT50">
            <v>0</v>
          </cell>
          <cell r="BU50">
            <v>0</v>
          </cell>
          <cell r="BX50">
            <v>0</v>
          </cell>
          <cell r="BY50">
            <v>0</v>
          </cell>
          <cell r="BZ50">
            <v>0</v>
          </cell>
          <cell r="CB50">
            <v>0</v>
          </cell>
          <cell r="CC50">
            <v>0</v>
          </cell>
          <cell r="CD50">
            <v>0</v>
          </cell>
          <cell r="CE50">
            <v>0</v>
          </cell>
          <cell r="CG50">
            <v>0</v>
          </cell>
          <cell r="CH50">
            <v>0</v>
          </cell>
          <cell r="CI50">
            <v>0</v>
          </cell>
          <cell r="CJ50">
            <v>0</v>
          </cell>
          <cell r="CK50">
            <v>0</v>
          </cell>
          <cell r="CL50">
            <v>0</v>
          </cell>
          <cell r="CM50">
            <v>0</v>
          </cell>
          <cell r="CN50">
            <v>0</v>
          </cell>
          <cell r="CO50">
            <v>0</v>
          </cell>
          <cell r="FD50">
            <v>0</v>
          </cell>
          <cell r="FE50">
            <v>239582347.16</v>
          </cell>
          <cell r="FF50">
            <v>0</v>
          </cell>
          <cell r="FG50">
            <v>0</v>
          </cell>
          <cell r="FJ50">
            <v>0</v>
          </cell>
          <cell r="FK50">
            <v>0</v>
          </cell>
          <cell r="FL50">
            <v>0</v>
          </cell>
          <cell r="FN50">
            <v>0</v>
          </cell>
          <cell r="FO50">
            <v>0</v>
          </cell>
          <cell r="FP50">
            <v>0</v>
          </cell>
          <cell r="FQ50">
            <v>0</v>
          </cell>
          <cell r="FS50">
            <v>0</v>
          </cell>
          <cell r="FT50">
            <v>0</v>
          </cell>
          <cell r="FU50">
            <v>0</v>
          </cell>
          <cell r="FV50">
            <v>0</v>
          </cell>
          <cell r="FW50">
            <v>0</v>
          </cell>
          <cell r="FX50">
            <v>0</v>
          </cell>
          <cell r="FY50">
            <v>0</v>
          </cell>
          <cell r="FZ50">
            <v>0</v>
          </cell>
          <cell r="GA50">
            <v>0</v>
          </cell>
        </row>
        <row r="51">
          <cell r="A51" t="str">
            <v>F_CNP_RFF_RET_IND_FRCE_700</v>
          </cell>
          <cell r="E51">
            <v>38232049.020000003</v>
          </cell>
          <cell r="F51">
            <v>0</v>
          </cell>
          <cell r="G51">
            <v>0</v>
          </cell>
          <cell r="J51">
            <v>0</v>
          </cell>
          <cell r="K51">
            <v>0</v>
          </cell>
          <cell r="L51">
            <v>0</v>
          </cell>
          <cell r="N51">
            <v>0</v>
          </cell>
          <cell r="O51">
            <v>0</v>
          </cell>
          <cell r="P51">
            <v>0</v>
          </cell>
          <cell r="Q51">
            <v>0</v>
          </cell>
          <cell r="S51">
            <v>0</v>
          </cell>
          <cell r="T51">
            <v>0</v>
          </cell>
          <cell r="U51">
            <v>0</v>
          </cell>
          <cell r="V51">
            <v>0</v>
          </cell>
          <cell r="W51">
            <v>0</v>
          </cell>
          <cell r="X51">
            <v>0</v>
          </cell>
          <cell r="Y51">
            <v>0</v>
          </cell>
          <cell r="Z51">
            <v>0</v>
          </cell>
          <cell r="AA51">
            <v>0</v>
          </cell>
          <cell r="AB51">
            <v>0</v>
          </cell>
          <cell r="AC51">
            <v>0</v>
          </cell>
          <cell r="AF51">
            <v>0</v>
          </cell>
          <cell r="AG51">
            <v>0</v>
          </cell>
          <cell r="AH51">
            <v>0</v>
          </cell>
          <cell r="AJ51">
            <v>0</v>
          </cell>
          <cell r="AK51">
            <v>0</v>
          </cell>
          <cell r="AL51">
            <v>0</v>
          </cell>
          <cell r="AM51">
            <v>0</v>
          </cell>
          <cell r="AO51">
            <v>0</v>
          </cell>
          <cell r="AP51">
            <v>0</v>
          </cell>
          <cell r="AQ51">
            <v>0</v>
          </cell>
          <cell r="AR51">
            <v>0</v>
          </cell>
          <cell r="AS51">
            <v>0</v>
          </cell>
          <cell r="AT51">
            <v>0</v>
          </cell>
          <cell r="AU51">
            <v>0</v>
          </cell>
          <cell r="AV51">
            <v>0</v>
          </cell>
          <cell r="AW51">
            <v>0</v>
          </cell>
          <cell r="AX51">
            <v>0</v>
          </cell>
          <cell r="AY51">
            <v>0</v>
          </cell>
          <cell r="BB51">
            <v>0</v>
          </cell>
          <cell r="BC51">
            <v>0</v>
          </cell>
          <cell r="BD51">
            <v>0</v>
          </cell>
          <cell r="BF51">
            <v>0</v>
          </cell>
          <cell r="BG51">
            <v>0</v>
          </cell>
          <cell r="BH51">
            <v>0</v>
          </cell>
          <cell r="BI51">
            <v>0</v>
          </cell>
          <cell r="BK51">
            <v>0</v>
          </cell>
          <cell r="BL51">
            <v>0</v>
          </cell>
          <cell r="BM51">
            <v>0</v>
          </cell>
          <cell r="BN51">
            <v>0</v>
          </cell>
          <cell r="BO51">
            <v>0</v>
          </cell>
          <cell r="BP51">
            <v>0</v>
          </cell>
          <cell r="BQ51">
            <v>0</v>
          </cell>
          <cell r="BR51">
            <v>0</v>
          </cell>
          <cell r="BS51">
            <v>0</v>
          </cell>
          <cell r="BT51">
            <v>0</v>
          </cell>
          <cell r="BU51">
            <v>0</v>
          </cell>
          <cell r="BX51">
            <v>0</v>
          </cell>
          <cell r="BY51">
            <v>0</v>
          </cell>
          <cell r="BZ51">
            <v>0</v>
          </cell>
          <cell r="CB51">
            <v>0</v>
          </cell>
          <cell r="CC51">
            <v>0</v>
          </cell>
          <cell r="CD51">
            <v>0</v>
          </cell>
          <cell r="CE51">
            <v>0</v>
          </cell>
          <cell r="CG51">
            <v>0</v>
          </cell>
          <cell r="CH51">
            <v>0</v>
          </cell>
          <cell r="CI51">
            <v>0</v>
          </cell>
          <cell r="CJ51">
            <v>0</v>
          </cell>
          <cell r="CK51">
            <v>0</v>
          </cell>
          <cell r="CL51">
            <v>0</v>
          </cell>
          <cell r="CM51">
            <v>0</v>
          </cell>
          <cell r="CN51">
            <v>0</v>
          </cell>
          <cell r="CO51">
            <v>0</v>
          </cell>
          <cell r="FD51">
            <v>0</v>
          </cell>
          <cell r="FE51">
            <v>38232049.020000003</v>
          </cell>
          <cell r="FF51">
            <v>0</v>
          </cell>
          <cell r="FG51">
            <v>0</v>
          </cell>
          <cell r="FJ51">
            <v>0</v>
          </cell>
          <cell r="FK51">
            <v>0</v>
          </cell>
          <cell r="FL51">
            <v>0</v>
          </cell>
          <cell r="FN51">
            <v>0</v>
          </cell>
          <cell r="FO51">
            <v>0</v>
          </cell>
          <cell r="FP51">
            <v>0</v>
          </cell>
          <cell r="FQ51">
            <v>0</v>
          </cell>
          <cell r="FS51">
            <v>0</v>
          </cell>
          <cell r="FT51">
            <v>0</v>
          </cell>
          <cell r="FU51">
            <v>0</v>
          </cell>
          <cell r="FV51">
            <v>0</v>
          </cell>
          <cell r="FW51">
            <v>0</v>
          </cell>
          <cell r="FX51">
            <v>0</v>
          </cell>
          <cell r="FY51">
            <v>0</v>
          </cell>
          <cell r="FZ51">
            <v>0</v>
          </cell>
          <cell r="GA51">
            <v>0</v>
          </cell>
        </row>
        <row r="52">
          <cell r="A52" t="str">
            <v>F_CNP_RFF_RET_IND_FRCE_701</v>
          </cell>
          <cell r="E52">
            <v>-164.86999999999875</v>
          </cell>
          <cell r="F52">
            <v>0</v>
          </cell>
          <cell r="G52">
            <v>0</v>
          </cell>
          <cell r="J52">
            <v>0</v>
          </cell>
          <cell r="K52">
            <v>0</v>
          </cell>
          <cell r="L52">
            <v>0</v>
          </cell>
          <cell r="N52">
            <v>0</v>
          </cell>
          <cell r="O52">
            <v>0</v>
          </cell>
          <cell r="P52">
            <v>0</v>
          </cell>
          <cell r="Q52">
            <v>0</v>
          </cell>
          <cell r="S52">
            <v>0</v>
          </cell>
          <cell r="T52">
            <v>0</v>
          </cell>
          <cell r="U52">
            <v>0</v>
          </cell>
          <cell r="V52">
            <v>0</v>
          </cell>
          <cell r="W52">
            <v>0</v>
          </cell>
          <cell r="X52">
            <v>0</v>
          </cell>
          <cell r="Y52">
            <v>0</v>
          </cell>
          <cell r="Z52">
            <v>0</v>
          </cell>
          <cell r="AA52">
            <v>0</v>
          </cell>
          <cell r="AB52">
            <v>0</v>
          </cell>
          <cell r="AC52">
            <v>0</v>
          </cell>
          <cell r="AF52">
            <v>0</v>
          </cell>
          <cell r="AG52">
            <v>0</v>
          </cell>
          <cell r="AH52">
            <v>0</v>
          </cell>
          <cell r="AJ52">
            <v>0</v>
          </cell>
          <cell r="AK52">
            <v>0</v>
          </cell>
          <cell r="AL52">
            <v>0</v>
          </cell>
          <cell r="AM52">
            <v>0</v>
          </cell>
          <cell r="AO52">
            <v>0</v>
          </cell>
          <cell r="AP52">
            <v>0</v>
          </cell>
          <cell r="AQ52">
            <v>0</v>
          </cell>
          <cell r="AR52">
            <v>0</v>
          </cell>
          <cell r="AS52">
            <v>0</v>
          </cell>
          <cell r="AT52">
            <v>0</v>
          </cell>
          <cell r="AU52">
            <v>0</v>
          </cell>
          <cell r="AV52">
            <v>0</v>
          </cell>
          <cell r="AW52">
            <v>0</v>
          </cell>
          <cell r="AX52">
            <v>0</v>
          </cell>
          <cell r="AY52">
            <v>0</v>
          </cell>
          <cell r="BB52">
            <v>0</v>
          </cell>
          <cell r="BC52">
            <v>0</v>
          </cell>
          <cell r="BD52">
            <v>0</v>
          </cell>
          <cell r="BF52">
            <v>0</v>
          </cell>
          <cell r="BG52">
            <v>0</v>
          </cell>
          <cell r="BH52">
            <v>0</v>
          </cell>
          <cell r="BI52">
            <v>0</v>
          </cell>
          <cell r="BK52">
            <v>0</v>
          </cell>
          <cell r="BL52">
            <v>0</v>
          </cell>
          <cell r="BM52">
            <v>0</v>
          </cell>
          <cell r="BN52">
            <v>0</v>
          </cell>
          <cell r="BO52">
            <v>0</v>
          </cell>
          <cell r="BP52">
            <v>0</v>
          </cell>
          <cell r="BQ52">
            <v>0</v>
          </cell>
          <cell r="BR52">
            <v>0</v>
          </cell>
          <cell r="BS52">
            <v>0</v>
          </cell>
          <cell r="BT52">
            <v>0</v>
          </cell>
          <cell r="BU52">
            <v>0</v>
          </cell>
          <cell r="BX52">
            <v>0</v>
          </cell>
          <cell r="BY52">
            <v>0</v>
          </cell>
          <cell r="BZ52">
            <v>0</v>
          </cell>
          <cell r="CB52">
            <v>0</v>
          </cell>
          <cell r="CC52">
            <v>0</v>
          </cell>
          <cell r="CD52">
            <v>0</v>
          </cell>
          <cell r="CE52">
            <v>0</v>
          </cell>
          <cell r="CG52">
            <v>0</v>
          </cell>
          <cell r="CH52">
            <v>0</v>
          </cell>
          <cell r="CI52">
            <v>0</v>
          </cell>
          <cell r="CJ52">
            <v>0</v>
          </cell>
          <cell r="CK52">
            <v>0</v>
          </cell>
          <cell r="CL52">
            <v>0</v>
          </cell>
          <cell r="CM52">
            <v>0</v>
          </cell>
          <cell r="CN52">
            <v>0</v>
          </cell>
          <cell r="CO52">
            <v>0</v>
          </cell>
          <cell r="FD52">
            <v>0</v>
          </cell>
          <cell r="FE52">
            <v>-164.86999999999875</v>
          </cell>
          <cell r="FF52">
            <v>0</v>
          </cell>
          <cell r="FG52">
            <v>0</v>
          </cell>
          <cell r="FJ52">
            <v>0</v>
          </cell>
          <cell r="FK52">
            <v>0</v>
          </cell>
          <cell r="FL52">
            <v>0</v>
          </cell>
          <cell r="FN52">
            <v>0</v>
          </cell>
          <cell r="FO52">
            <v>0</v>
          </cell>
          <cell r="FP52">
            <v>0</v>
          </cell>
          <cell r="FQ52">
            <v>0</v>
          </cell>
          <cell r="FS52">
            <v>0</v>
          </cell>
          <cell r="FT52">
            <v>0</v>
          </cell>
          <cell r="FU52">
            <v>0</v>
          </cell>
          <cell r="FV52">
            <v>0</v>
          </cell>
          <cell r="FW52">
            <v>0</v>
          </cell>
          <cell r="FX52">
            <v>0</v>
          </cell>
          <cell r="FY52">
            <v>0</v>
          </cell>
          <cell r="FZ52">
            <v>0</v>
          </cell>
          <cell r="GA52">
            <v>0</v>
          </cell>
        </row>
        <row r="53">
          <cell r="A53" t="str">
            <v>F_CNP_RFF_RET_IND_FRCE_702</v>
          </cell>
          <cell r="E53">
            <v>18474561.739999998</v>
          </cell>
          <cell r="F53">
            <v>0</v>
          </cell>
          <cell r="G53">
            <v>0</v>
          </cell>
          <cell r="J53">
            <v>0</v>
          </cell>
          <cell r="K53">
            <v>0</v>
          </cell>
          <cell r="L53">
            <v>0</v>
          </cell>
          <cell r="N53">
            <v>0</v>
          </cell>
          <cell r="O53">
            <v>0</v>
          </cell>
          <cell r="P53">
            <v>0</v>
          </cell>
          <cell r="Q53">
            <v>0</v>
          </cell>
          <cell r="S53">
            <v>0</v>
          </cell>
          <cell r="T53">
            <v>0</v>
          </cell>
          <cell r="U53">
            <v>0</v>
          </cell>
          <cell r="V53">
            <v>0</v>
          </cell>
          <cell r="W53">
            <v>0</v>
          </cell>
          <cell r="X53">
            <v>0</v>
          </cell>
          <cell r="Y53">
            <v>0</v>
          </cell>
          <cell r="Z53">
            <v>0</v>
          </cell>
          <cell r="AA53">
            <v>0</v>
          </cell>
          <cell r="AB53">
            <v>0</v>
          </cell>
          <cell r="AC53">
            <v>0</v>
          </cell>
          <cell r="AF53">
            <v>0</v>
          </cell>
          <cell r="AG53">
            <v>0</v>
          </cell>
          <cell r="AH53">
            <v>0</v>
          </cell>
          <cell r="AJ53">
            <v>0</v>
          </cell>
          <cell r="AK53">
            <v>0</v>
          </cell>
          <cell r="AL53">
            <v>0</v>
          </cell>
          <cell r="AM53">
            <v>0</v>
          </cell>
          <cell r="AO53">
            <v>0</v>
          </cell>
          <cell r="AP53">
            <v>0</v>
          </cell>
          <cell r="AQ53">
            <v>0</v>
          </cell>
          <cell r="AR53">
            <v>0</v>
          </cell>
          <cell r="AS53">
            <v>0</v>
          </cell>
          <cell r="AT53">
            <v>0</v>
          </cell>
          <cell r="AU53">
            <v>0</v>
          </cell>
          <cell r="AV53">
            <v>0</v>
          </cell>
          <cell r="AW53">
            <v>0</v>
          </cell>
          <cell r="AX53">
            <v>0</v>
          </cell>
          <cell r="AY53">
            <v>0</v>
          </cell>
          <cell r="BB53">
            <v>0</v>
          </cell>
          <cell r="BC53">
            <v>0</v>
          </cell>
          <cell r="BD53">
            <v>0</v>
          </cell>
          <cell r="BF53">
            <v>0</v>
          </cell>
          <cell r="BG53">
            <v>0</v>
          </cell>
          <cell r="BH53">
            <v>0</v>
          </cell>
          <cell r="BI53">
            <v>0</v>
          </cell>
          <cell r="BK53">
            <v>0</v>
          </cell>
          <cell r="BL53">
            <v>0</v>
          </cell>
          <cell r="BM53">
            <v>0</v>
          </cell>
          <cell r="BN53">
            <v>0</v>
          </cell>
          <cell r="BO53">
            <v>0</v>
          </cell>
          <cell r="BP53">
            <v>0</v>
          </cell>
          <cell r="BQ53">
            <v>0</v>
          </cell>
          <cell r="BR53">
            <v>0</v>
          </cell>
          <cell r="BS53">
            <v>0</v>
          </cell>
          <cell r="BT53">
            <v>0</v>
          </cell>
          <cell r="BU53">
            <v>0</v>
          </cell>
          <cell r="BX53">
            <v>0</v>
          </cell>
          <cell r="BY53">
            <v>0</v>
          </cell>
          <cell r="BZ53">
            <v>0</v>
          </cell>
          <cell r="CB53">
            <v>0</v>
          </cell>
          <cell r="CC53">
            <v>0</v>
          </cell>
          <cell r="CD53">
            <v>0</v>
          </cell>
          <cell r="CE53">
            <v>0</v>
          </cell>
          <cell r="CG53">
            <v>0</v>
          </cell>
          <cell r="CH53">
            <v>0</v>
          </cell>
          <cell r="CI53">
            <v>0</v>
          </cell>
          <cell r="CJ53">
            <v>0</v>
          </cell>
          <cell r="CK53">
            <v>0</v>
          </cell>
          <cell r="CL53">
            <v>0</v>
          </cell>
          <cell r="CM53">
            <v>0</v>
          </cell>
          <cell r="CN53">
            <v>0</v>
          </cell>
          <cell r="CO53">
            <v>0</v>
          </cell>
          <cell r="FD53">
            <v>0</v>
          </cell>
          <cell r="FE53">
            <v>18474561.739999998</v>
          </cell>
          <cell r="FF53">
            <v>0</v>
          </cell>
          <cell r="FG53">
            <v>0</v>
          </cell>
          <cell r="FJ53">
            <v>0</v>
          </cell>
          <cell r="FK53">
            <v>0</v>
          </cell>
          <cell r="FL53">
            <v>0</v>
          </cell>
          <cell r="FN53">
            <v>0</v>
          </cell>
          <cell r="FO53">
            <v>0</v>
          </cell>
          <cell r="FP53">
            <v>0</v>
          </cell>
          <cell r="FQ53">
            <v>0</v>
          </cell>
          <cell r="FS53">
            <v>0</v>
          </cell>
          <cell r="FT53">
            <v>0</v>
          </cell>
          <cell r="FU53">
            <v>0</v>
          </cell>
          <cell r="FV53">
            <v>0</v>
          </cell>
          <cell r="FW53">
            <v>0</v>
          </cell>
          <cell r="FX53">
            <v>0</v>
          </cell>
          <cell r="FY53">
            <v>0</v>
          </cell>
          <cell r="FZ53">
            <v>0</v>
          </cell>
          <cell r="GA53">
            <v>0</v>
          </cell>
        </row>
        <row r="54">
          <cell r="A54" t="str">
            <v>F_CNP_RFF_RET_IND_FRCE_EVV</v>
          </cell>
          <cell r="E54">
            <v>2459153.58</v>
          </cell>
          <cell r="F54">
            <v>0</v>
          </cell>
          <cell r="G54">
            <v>0</v>
          </cell>
          <cell r="J54">
            <v>0</v>
          </cell>
          <cell r="K54">
            <v>0</v>
          </cell>
          <cell r="L54">
            <v>0</v>
          </cell>
          <cell r="N54">
            <v>0</v>
          </cell>
          <cell r="O54">
            <v>0</v>
          </cell>
          <cell r="P54">
            <v>0</v>
          </cell>
          <cell r="Q54">
            <v>0</v>
          </cell>
          <cell r="S54">
            <v>0</v>
          </cell>
          <cell r="T54">
            <v>0</v>
          </cell>
          <cell r="U54">
            <v>0</v>
          </cell>
          <cell r="V54">
            <v>0</v>
          </cell>
          <cell r="W54">
            <v>0</v>
          </cell>
          <cell r="X54">
            <v>0</v>
          </cell>
          <cell r="Y54">
            <v>0</v>
          </cell>
          <cell r="Z54">
            <v>0</v>
          </cell>
          <cell r="AA54">
            <v>0</v>
          </cell>
          <cell r="AB54">
            <v>0</v>
          </cell>
          <cell r="AC54">
            <v>0</v>
          </cell>
          <cell r="AF54">
            <v>0</v>
          </cell>
          <cell r="AG54">
            <v>0</v>
          </cell>
          <cell r="AH54">
            <v>0</v>
          </cell>
          <cell r="AJ54">
            <v>0</v>
          </cell>
          <cell r="AK54">
            <v>0</v>
          </cell>
          <cell r="AL54">
            <v>0</v>
          </cell>
          <cell r="AM54">
            <v>0</v>
          </cell>
          <cell r="AO54">
            <v>0</v>
          </cell>
          <cell r="AP54">
            <v>0</v>
          </cell>
          <cell r="AQ54">
            <v>0</v>
          </cell>
          <cell r="AR54">
            <v>0</v>
          </cell>
          <cell r="AS54">
            <v>0</v>
          </cell>
          <cell r="AT54">
            <v>0</v>
          </cell>
          <cell r="AU54">
            <v>0</v>
          </cell>
          <cell r="AV54">
            <v>0</v>
          </cell>
          <cell r="AW54">
            <v>0</v>
          </cell>
          <cell r="AX54">
            <v>0</v>
          </cell>
          <cell r="AY54">
            <v>0</v>
          </cell>
          <cell r="BB54">
            <v>0</v>
          </cell>
          <cell r="BC54">
            <v>0</v>
          </cell>
          <cell r="BD54">
            <v>0</v>
          </cell>
          <cell r="BF54">
            <v>0</v>
          </cell>
          <cell r="BG54">
            <v>0</v>
          </cell>
          <cell r="BH54">
            <v>0</v>
          </cell>
          <cell r="BI54">
            <v>0</v>
          </cell>
          <cell r="BK54">
            <v>0</v>
          </cell>
          <cell r="BL54">
            <v>0</v>
          </cell>
          <cell r="BM54">
            <v>0</v>
          </cell>
          <cell r="BN54">
            <v>0</v>
          </cell>
          <cell r="BO54">
            <v>0</v>
          </cell>
          <cell r="BP54">
            <v>0</v>
          </cell>
          <cell r="BQ54">
            <v>0</v>
          </cell>
          <cell r="BR54">
            <v>0</v>
          </cell>
          <cell r="BS54">
            <v>0</v>
          </cell>
          <cell r="BT54">
            <v>0</v>
          </cell>
          <cell r="BU54">
            <v>0</v>
          </cell>
          <cell r="BX54">
            <v>0</v>
          </cell>
          <cell r="BY54">
            <v>0</v>
          </cell>
          <cell r="BZ54">
            <v>0</v>
          </cell>
          <cell r="CB54">
            <v>0</v>
          </cell>
          <cell r="CC54">
            <v>0</v>
          </cell>
          <cell r="CD54">
            <v>0</v>
          </cell>
          <cell r="CE54">
            <v>0</v>
          </cell>
          <cell r="CG54">
            <v>0</v>
          </cell>
          <cell r="CH54">
            <v>0</v>
          </cell>
          <cell r="CI54">
            <v>0</v>
          </cell>
          <cell r="CJ54">
            <v>0</v>
          </cell>
          <cell r="CK54">
            <v>0</v>
          </cell>
          <cell r="CL54">
            <v>0</v>
          </cell>
          <cell r="CM54">
            <v>0</v>
          </cell>
          <cell r="CN54">
            <v>0</v>
          </cell>
          <cell r="CO54">
            <v>0</v>
          </cell>
          <cell r="FD54">
            <v>0</v>
          </cell>
          <cell r="FE54">
            <v>2459153.58</v>
          </cell>
          <cell r="FF54">
            <v>0</v>
          </cell>
          <cell r="FG54">
            <v>0</v>
          </cell>
          <cell r="FJ54">
            <v>0</v>
          </cell>
          <cell r="FK54">
            <v>0</v>
          </cell>
          <cell r="FL54">
            <v>0</v>
          </cell>
          <cell r="FN54">
            <v>0</v>
          </cell>
          <cell r="FO54">
            <v>0</v>
          </cell>
          <cell r="FP54">
            <v>0</v>
          </cell>
          <cell r="FQ54">
            <v>0</v>
          </cell>
          <cell r="FS54">
            <v>0</v>
          </cell>
          <cell r="FT54">
            <v>0</v>
          </cell>
          <cell r="FU54">
            <v>0</v>
          </cell>
          <cell r="FV54">
            <v>0</v>
          </cell>
          <cell r="FW54">
            <v>0</v>
          </cell>
          <cell r="FX54">
            <v>0</v>
          </cell>
          <cell r="FY54">
            <v>0</v>
          </cell>
          <cell r="FZ54">
            <v>0</v>
          </cell>
          <cell r="GA54">
            <v>0</v>
          </cell>
        </row>
        <row r="55">
          <cell r="A55" t="str">
            <v>F_CNP_RFF_RET_IND_FRCE_EVU</v>
          </cell>
          <cell r="E55">
            <v>119605609.98716314</v>
          </cell>
          <cell r="F55">
            <v>0</v>
          </cell>
          <cell r="G55">
            <v>0</v>
          </cell>
          <cell r="J55">
            <v>0</v>
          </cell>
          <cell r="K55">
            <v>0</v>
          </cell>
          <cell r="L55">
            <v>0</v>
          </cell>
          <cell r="N55">
            <v>0</v>
          </cell>
          <cell r="O55">
            <v>0</v>
          </cell>
          <cell r="P55">
            <v>0</v>
          </cell>
          <cell r="Q55">
            <v>0</v>
          </cell>
          <cell r="S55">
            <v>0</v>
          </cell>
          <cell r="T55">
            <v>0</v>
          </cell>
          <cell r="U55">
            <v>0</v>
          </cell>
          <cell r="V55">
            <v>0</v>
          </cell>
          <cell r="W55">
            <v>0</v>
          </cell>
          <cell r="X55">
            <v>0</v>
          </cell>
          <cell r="Y55">
            <v>0</v>
          </cell>
          <cell r="Z55">
            <v>0</v>
          </cell>
          <cell r="AA55">
            <v>0</v>
          </cell>
          <cell r="AB55">
            <v>0</v>
          </cell>
          <cell r="AC55">
            <v>0</v>
          </cell>
          <cell r="AF55">
            <v>0</v>
          </cell>
          <cell r="AG55">
            <v>0</v>
          </cell>
          <cell r="AH55">
            <v>0</v>
          </cell>
          <cell r="AJ55">
            <v>0</v>
          </cell>
          <cell r="AK55">
            <v>0</v>
          </cell>
          <cell r="AL55">
            <v>0</v>
          </cell>
          <cell r="AM55">
            <v>0</v>
          </cell>
          <cell r="AO55">
            <v>0</v>
          </cell>
          <cell r="AP55">
            <v>0</v>
          </cell>
          <cell r="AQ55">
            <v>0</v>
          </cell>
          <cell r="AR55">
            <v>0</v>
          </cell>
          <cell r="AS55">
            <v>0</v>
          </cell>
          <cell r="AT55">
            <v>0</v>
          </cell>
          <cell r="AU55">
            <v>0</v>
          </cell>
          <cell r="AV55">
            <v>0</v>
          </cell>
          <cell r="AW55">
            <v>0</v>
          </cell>
          <cell r="AX55">
            <v>0</v>
          </cell>
          <cell r="AY55">
            <v>0</v>
          </cell>
          <cell r="BB55">
            <v>0</v>
          </cell>
          <cell r="BC55">
            <v>0</v>
          </cell>
          <cell r="BD55">
            <v>0</v>
          </cell>
          <cell r="BF55">
            <v>0</v>
          </cell>
          <cell r="BG55">
            <v>0</v>
          </cell>
          <cell r="BH55">
            <v>0</v>
          </cell>
          <cell r="BI55">
            <v>0</v>
          </cell>
          <cell r="BK55">
            <v>0</v>
          </cell>
          <cell r="BL55">
            <v>0</v>
          </cell>
          <cell r="BM55">
            <v>0</v>
          </cell>
          <cell r="BN55">
            <v>0</v>
          </cell>
          <cell r="BO55">
            <v>0</v>
          </cell>
          <cell r="BP55">
            <v>0</v>
          </cell>
          <cell r="BQ55">
            <v>0</v>
          </cell>
          <cell r="BR55">
            <v>0</v>
          </cell>
          <cell r="BS55">
            <v>0</v>
          </cell>
          <cell r="BT55">
            <v>0</v>
          </cell>
          <cell r="BU55">
            <v>0</v>
          </cell>
          <cell r="BX55">
            <v>0</v>
          </cell>
          <cell r="BY55">
            <v>0</v>
          </cell>
          <cell r="BZ55">
            <v>0</v>
          </cell>
          <cell r="CB55">
            <v>0</v>
          </cell>
          <cell r="CC55">
            <v>0</v>
          </cell>
          <cell r="CD55">
            <v>0</v>
          </cell>
          <cell r="CE55">
            <v>0</v>
          </cell>
          <cell r="CG55">
            <v>0</v>
          </cell>
          <cell r="CH55">
            <v>0</v>
          </cell>
          <cell r="CI55">
            <v>0</v>
          </cell>
          <cell r="CJ55">
            <v>0</v>
          </cell>
          <cell r="CK55">
            <v>0</v>
          </cell>
          <cell r="CL55">
            <v>0</v>
          </cell>
          <cell r="CM55">
            <v>0</v>
          </cell>
          <cell r="CN55">
            <v>0</v>
          </cell>
          <cell r="CO55">
            <v>0</v>
          </cell>
          <cell r="FD55">
            <v>0</v>
          </cell>
          <cell r="FE55">
            <v>119235553.23170613</v>
          </cell>
          <cell r="FF55">
            <v>0</v>
          </cell>
          <cell r="FG55">
            <v>0</v>
          </cell>
          <cell r="FJ55">
            <v>0</v>
          </cell>
          <cell r="FK55">
            <v>0</v>
          </cell>
          <cell r="FL55">
            <v>0</v>
          </cell>
          <cell r="FN55">
            <v>0</v>
          </cell>
          <cell r="FO55">
            <v>0</v>
          </cell>
          <cell r="FP55">
            <v>0</v>
          </cell>
          <cell r="FQ55">
            <v>0</v>
          </cell>
          <cell r="FS55">
            <v>0</v>
          </cell>
          <cell r="FT55">
            <v>0</v>
          </cell>
          <cell r="FU55">
            <v>0</v>
          </cell>
          <cell r="FV55">
            <v>0</v>
          </cell>
          <cell r="FW55">
            <v>0</v>
          </cell>
          <cell r="FX55">
            <v>0</v>
          </cell>
          <cell r="FY55">
            <v>0</v>
          </cell>
          <cell r="FZ55">
            <v>0</v>
          </cell>
          <cell r="GA55">
            <v>0</v>
          </cell>
        </row>
        <row r="56">
          <cell r="A56" t="str">
            <v>F_CNP_RFF_RET_IND_FRCE_750</v>
          </cell>
          <cell r="E56">
            <v>5904399.8100000005</v>
          </cell>
          <cell r="F56">
            <v>0</v>
          </cell>
          <cell r="G56">
            <v>0</v>
          </cell>
          <cell r="J56">
            <v>0</v>
          </cell>
          <cell r="K56">
            <v>0</v>
          </cell>
          <cell r="L56">
            <v>0</v>
          </cell>
          <cell r="N56">
            <v>0</v>
          </cell>
          <cell r="O56">
            <v>0</v>
          </cell>
          <cell r="P56">
            <v>0</v>
          </cell>
          <cell r="Q56">
            <v>0</v>
          </cell>
          <cell r="S56">
            <v>0</v>
          </cell>
          <cell r="T56">
            <v>0</v>
          </cell>
          <cell r="U56">
            <v>0</v>
          </cell>
          <cell r="V56">
            <v>0</v>
          </cell>
          <cell r="W56">
            <v>0</v>
          </cell>
          <cell r="X56">
            <v>0</v>
          </cell>
          <cell r="Y56">
            <v>0</v>
          </cell>
          <cell r="Z56">
            <v>0</v>
          </cell>
          <cell r="AA56">
            <v>0</v>
          </cell>
          <cell r="AB56">
            <v>0</v>
          </cell>
          <cell r="AC56">
            <v>0</v>
          </cell>
          <cell r="AF56">
            <v>0</v>
          </cell>
          <cell r="AG56">
            <v>0</v>
          </cell>
          <cell r="AH56">
            <v>0</v>
          </cell>
          <cell r="AJ56">
            <v>0</v>
          </cell>
          <cell r="AK56">
            <v>0</v>
          </cell>
          <cell r="AL56">
            <v>0</v>
          </cell>
          <cell r="AM56">
            <v>0</v>
          </cell>
          <cell r="AO56">
            <v>0</v>
          </cell>
          <cell r="AP56">
            <v>0</v>
          </cell>
          <cell r="AQ56">
            <v>0</v>
          </cell>
          <cell r="AR56">
            <v>0</v>
          </cell>
          <cell r="AS56">
            <v>0</v>
          </cell>
          <cell r="AT56">
            <v>0</v>
          </cell>
          <cell r="AU56">
            <v>0</v>
          </cell>
          <cell r="AV56">
            <v>0</v>
          </cell>
          <cell r="AW56">
            <v>0</v>
          </cell>
          <cell r="AX56">
            <v>0</v>
          </cell>
          <cell r="AY56">
            <v>0</v>
          </cell>
          <cell r="BB56">
            <v>0</v>
          </cell>
          <cell r="BC56">
            <v>0</v>
          </cell>
          <cell r="BD56">
            <v>0</v>
          </cell>
          <cell r="BF56">
            <v>0</v>
          </cell>
          <cell r="BG56">
            <v>0</v>
          </cell>
          <cell r="BH56">
            <v>0</v>
          </cell>
          <cell r="BI56">
            <v>0</v>
          </cell>
          <cell r="BK56">
            <v>0</v>
          </cell>
          <cell r="BL56">
            <v>0</v>
          </cell>
          <cell r="BM56">
            <v>0</v>
          </cell>
          <cell r="BN56">
            <v>0</v>
          </cell>
          <cell r="BO56">
            <v>0</v>
          </cell>
          <cell r="BP56">
            <v>0</v>
          </cell>
          <cell r="BQ56">
            <v>0</v>
          </cell>
          <cell r="BR56">
            <v>0</v>
          </cell>
          <cell r="BS56">
            <v>0</v>
          </cell>
          <cell r="BT56">
            <v>0</v>
          </cell>
          <cell r="BU56">
            <v>0</v>
          </cell>
          <cell r="BX56">
            <v>0</v>
          </cell>
          <cell r="BY56">
            <v>0</v>
          </cell>
          <cell r="BZ56">
            <v>0</v>
          </cell>
          <cell r="CB56">
            <v>0</v>
          </cell>
          <cell r="CC56">
            <v>0</v>
          </cell>
          <cell r="CD56">
            <v>0</v>
          </cell>
          <cell r="CE56">
            <v>0</v>
          </cell>
          <cell r="CG56">
            <v>0</v>
          </cell>
          <cell r="CH56">
            <v>0</v>
          </cell>
          <cell r="CI56">
            <v>0</v>
          </cell>
          <cell r="CJ56">
            <v>0</v>
          </cell>
          <cell r="CK56">
            <v>0</v>
          </cell>
          <cell r="CL56">
            <v>0</v>
          </cell>
          <cell r="CM56">
            <v>0</v>
          </cell>
          <cell r="CN56">
            <v>0</v>
          </cell>
          <cell r="CO56">
            <v>0</v>
          </cell>
          <cell r="FD56">
            <v>0</v>
          </cell>
          <cell r="FE56">
            <v>5904399.8100000005</v>
          </cell>
          <cell r="FF56">
            <v>0</v>
          </cell>
          <cell r="FG56">
            <v>0</v>
          </cell>
          <cell r="FJ56">
            <v>0</v>
          </cell>
          <cell r="FK56">
            <v>0</v>
          </cell>
          <cell r="FL56">
            <v>0</v>
          </cell>
          <cell r="FN56">
            <v>0</v>
          </cell>
          <cell r="FO56">
            <v>0</v>
          </cell>
          <cell r="FP56">
            <v>0</v>
          </cell>
          <cell r="FQ56">
            <v>0</v>
          </cell>
          <cell r="FS56">
            <v>0</v>
          </cell>
          <cell r="FT56">
            <v>0</v>
          </cell>
          <cell r="FU56">
            <v>0</v>
          </cell>
          <cell r="FV56">
            <v>0</v>
          </cell>
          <cell r="FW56">
            <v>0</v>
          </cell>
          <cell r="FX56">
            <v>0</v>
          </cell>
          <cell r="FY56">
            <v>0</v>
          </cell>
          <cell r="FZ56">
            <v>0</v>
          </cell>
          <cell r="GA56">
            <v>0</v>
          </cell>
        </row>
        <row r="57">
          <cell r="A57" t="str">
            <v>F_CNP_RFF_RET_IND_FRCE_751</v>
          </cell>
          <cell r="E57">
            <v>0</v>
          </cell>
          <cell r="F57">
            <v>0</v>
          </cell>
          <cell r="G57">
            <v>0</v>
          </cell>
          <cell r="J57">
            <v>0</v>
          </cell>
          <cell r="K57">
            <v>0</v>
          </cell>
          <cell r="L57">
            <v>0</v>
          </cell>
          <cell r="N57">
            <v>0</v>
          </cell>
          <cell r="O57">
            <v>0</v>
          </cell>
          <cell r="P57">
            <v>0</v>
          </cell>
          <cell r="Q57">
            <v>0</v>
          </cell>
          <cell r="S57">
            <v>0</v>
          </cell>
          <cell r="T57">
            <v>0</v>
          </cell>
          <cell r="U57">
            <v>0</v>
          </cell>
          <cell r="V57">
            <v>0</v>
          </cell>
          <cell r="W57">
            <v>0</v>
          </cell>
          <cell r="X57">
            <v>0</v>
          </cell>
          <cell r="Y57">
            <v>0</v>
          </cell>
          <cell r="Z57">
            <v>0</v>
          </cell>
          <cell r="AA57">
            <v>0</v>
          </cell>
          <cell r="AB57">
            <v>0</v>
          </cell>
          <cell r="AC57">
            <v>0</v>
          </cell>
          <cell r="AF57">
            <v>0</v>
          </cell>
          <cell r="AG57">
            <v>0</v>
          </cell>
          <cell r="AH57">
            <v>0</v>
          </cell>
          <cell r="AJ57">
            <v>0</v>
          </cell>
          <cell r="AK57">
            <v>0</v>
          </cell>
          <cell r="AL57">
            <v>0</v>
          </cell>
          <cell r="AM57">
            <v>0</v>
          </cell>
          <cell r="AO57">
            <v>0</v>
          </cell>
          <cell r="AP57">
            <v>0</v>
          </cell>
          <cell r="AQ57">
            <v>0</v>
          </cell>
          <cell r="AR57">
            <v>0</v>
          </cell>
          <cell r="AS57">
            <v>0</v>
          </cell>
          <cell r="AT57">
            <v>0</v>
          </cell>
          <cell r="AU57">
            <v>0</v>
          </cell>
          <cell r="AV57">
            <v>0</v>
          </cell>
          <cell r="AW57">
            <v>0</v>
          </cell>
          <cell r="AX57">
            <v>0</v>
          </cell>
          <cell r="AY57">
            <v>0</v>
          </cell>
          <cell r="BB57">
            <v>0</v>
          </cell>
          <cell r="BC57">
            <v>0</v>
          </cell>
          <cell r="BD57">
            <v>0</v>
          </cell>
          <cell r="BF57">
            <v>0</v>
          </cell>
          <cell r="BG57">
            <v>0</v>
          </cell>
          <cell r="BH57">
            <v>0</v>
          </cell>
          <cell r="BI57">
            <v>0</v>
          </cell>
          <cell r="BK57">
            <v>0</v>
          </cell>
          <cell r="BL57">
            <v>0</v>
          </cell>
          <cell r="BM57">
            <v>0</v>
          </cell>
          <cell r="BN57">
            <v>0</v>
          </cell>
          <cell r="BO57">
            <v>0</v>
          </cell>
          <cell r="BP57">
            <v>0</v>
          </cell>
          <cell r="BQ57">
            <v>0</v>
          </cell>
          <cell r="BR57">
            <v>0</v>
          </cell>
          <cell r="BS57">
            <v>0</v>
          </cell>
          <cell r="BT57">
            <v>0</v>
          </cell>
          <cell r="BU57">
            <v>0</v>
          </cell>
          <cell r="BX57">
            <v>0</v>
          </cell>
          <cell r="BY57">
            <v>0</v>
          </cell>
          <cell r="BZ57">
            <v>0</v>
          </cell>
          <cell r="CB57">
            <v>0</v>
          </cell>
          <cell r="CC57">
            <v>0</v>
          </cell>
          <cell r="CD57">
            <v>0</v>
          </cell>
          <cell r="CE57">
            <v>0</v>
          </cell>
          <cell r="CG57">
            <v>0</v>
          </cell>
          <cell r="CH57">
            <v>0</v>
          </cell>
          <cell r="CI57">
            <v>0</v>
          </cell>
          <cell r="CJ57">
            <v>0</v>
          </cell>
          <cell r="CK57">
            <v>0</v>
          </cell>
          <cell r="CL57">
            <v>0</v>
          </cell>
          <cell r="CM57">
            <v>0</v>
          </cell>
          <cell r="CN57">
            <v>0</v>
          </cell>
          <cell r="CO57">
            <v>0</v>
          </cell>
          <cell r="FD57">
            <v>0</v>
          </cell>
          <cell r="FE57">
            <v>0</v>
          </cell>
          <cell r="FF57">
            <v>0</v>
          </cell>
          <cell r="FG57">
            <v>0</v>
          </cell>
          <cell r="FJ57">
            <v>0</v>
          </cell>
          <cell r="FK57">
            <v>0</v>
          </cell>
          <cell r="FL57">
            <v>0</v>
          </cell>
          <cell r="FN57">
            <v>0</v>
          </cell>
          <cell r="FO57">
            <v>0</v>
          </cell>
          <cell r="FP57">
            <v>0</v>
          </cell>
          <cell r="FQ57">
            <v>0</v>
          </cell>
          <cell r="FS57">
            <v>0</v>
          </cell>
          <cell r="FT57">
            <v>0</v>
          </cell>
          <cell r="FU57">
            <v>0</v>
          </cell>
          <cell r="FV57">
            <v>0</v>
          </cell>
          <cell r="FW57">
            <v>0</v>
          </cell>
          <cell r="FX57">
            <v>0</v>
          </cell>
          <cell r="FY57">
            <v>0</v>
          </cell>
          <cell r="FZ57">
            <v>0</v>
          </cell>
          <cell r="GA57">
            <v>0</v>
          </cell>
        </row>
        <row r="58">
          <cell r="A58" t="str">
            <v>F_CNP_RFF_RET_IND_FRCE_752</v>
          </cell>
          <cell r="E58">
            <v>1514917.42</v>
          </cell>
          <cell r="F58">
            <v>0</v>
          </cell>
          <cell r="G58">
            <v>0</v>
          </cell>
          <cell r="J58">
            <v>0</v>
          </cell>
          <cell r="K58">
            <v>0</v>
          </cell>
          <cell r="L58">
            <v>0</v>
          </cell>
          <cell r="N58">
            <v>0</v>
          </cell>
          <cell r="O58">
            <v>0</v>
          </cell>
          <cell r="P58">
            <v>0</v>
          </cell>
          <cell r="Q58">
            <v>0</v>
          </cell>
          <cell r="S58">
            <v>0</v>
          </cell>
          <cell r="T58">
            <v>0</v>
          </cell>
          <cell r="U58">
            <v>0</v>
          </cell>
          <cell r="V58">
            <v>0</v>
          </cell>
          <cell r="W58">
            <v>0</v>
          </cell>
          <cell r="X58">
            <v>0</v>
          </cell>
          <cell r="Y58">
            <v>0</v>
          </cell>
          <cell r="Z58">
            <v>0</v>
          </cell>
          <cell r="AA58">
            <v>0</v>
          </cell>
          <cell r="AB58">
            <v>0</v>
          </cell>
          <cell r="AC58">
            <v>0</v>
          </cell>
          <cell r="AF58">
            <v>0</v>
          </cell>
          <cell r="AG58">
            <v>0</v>
          </cell>
          <cell r="AH58">
            <v>0</v>
          </cell>
          <cell r="AJ58">
            <v>0</v>
          </cell>
          <cell r="AK58">
            <v>0</v>
          </cell>
          <cell r="AL58">
            <v>0</v>
          </cell>
          <cell r="AM58">
            <v>0</v>
          </cell>
          <cell r="AO58">
            <v>0</v>
          </cell>
          <cell r="AP58">
            <v>0</v>
          </cell>
          <cell r="AQ58">
            <v>0</v>
          </cell>
          <cell r="AR58">
            <v>0</v>
          </cell>
          <cell r="AS58">
            <v>0</v>
          </cell>
          <cell r="AT58">
            <v>0</v>
          </cell>
          <cell r="AU58">
            <v>0</v>
          </cell>
          <cell r="AV58">
            <v>0</v>
          </cell>
          <cell r="AW58">
            <v>0</v>
          </cell>
          <cell r="AX58">
            <v>0</v>
          </cell>
          <cell r="AY58">
            <v>0</v>
          </cell>
          <cell r="BB58">
            <v>0</v>
          </cell>
          <cell r="BC58">
            <v>0</v>
          </cell>
          <cell r="BD58">
            <v>0</v>
          </cell>
          <cell r="BF58">
            <v>0</v>
          </cell>
          <cell r="BG58">
            <v>0</v>
          </cell>
          <cell r="BH58">
            <v>0</v>
          </cell>
          <cell r="BI58">
            <v>0</v>
          </cell>
          <cell r="BK58">
            <v>0</v>
          </cell>
          <cell r="BL58">
            <v>0</v>
          </cell>
          <cell r="BM58">
            <v>0</v>
          </cell>
          <cell r="BN58">
            <v>0</v>
          </cell>
          <cell r="BO58">
            <v>0</v>
          </cell>
          <cell r="BP58">
            <v>0</v>
          </cell>
          <cell r="BQ58">
            <v>0</v>
          </cell>
          <cell r="BR58">
            <v>0</v>
          </cell>
          <cell r="BS58">
            <v>0</v>
          </cell>
          <cell r="BT58">
            <v>0</v>
          </cell>
          <cell r="BU58">
            <v>0</v>
          </cell>
          <cell r="BX58">
            <v>0</v>
          </cell>
          <cell r="BY58">
            <v>0</v>
          </cell>
          <cell r="BZ58">
            <v>0</v>
          </cell>
          <cell r="CB58">
            <v>0</v>
          </cell>
          <cell r="CC58">
            <v>0</v>
          </cell>
          <cell r="CD58">
            <v>0</v>
          </cell>
          <cell r="CE58">
            <v>0</v>
          </cell>
          <cell r="CG58">
            <v>0</v>
          </cell>
          <cell r="CH58">
            <v>0</v>
          </cell>
          <cell r="CI58">
            <v>0</v>
          </cell>
          <cell r="CJ58">
            <v>0</v>
          </cell>
          <cell r="CK58">
            <v>0</v>
          </cell>
          <cell r="CL58">
            <v>0</v>
          </cell>
          <cell r="CM58">
            <v>0</v>
          </cell>
          <cell r="CN58">
            <v>0</v>
          </cell>
          <cell r="CO58">
            <v>0</v>
          </cell>
          <cell r="FD58">
            <v>0</v>
          </cell>
          <cell r="FE58">
            <v>1514917.42</v>
          </cell>
          <cell r="FF58">
            <v>0</v>
          </cell>
          <cell r="FG58">
            <v>0</v>
          </cell>
          <cell r="FJ58">
            <v>0</v>
          </cell>
          <cell r="FK58">
            <v>0</v>
          </cell>
          <cell r="FL58">
            <v>0</v>
          </cell>
          <cell r="FN58">
            <v>0</v>
          </cell>
          <cell r="FO58">
            <v>0</v>
          </cell>
          <cell r="FP58">
            <v>0</v>
          </cell>
          <cell r="FQ58">
            <v>0</v>
          </cell>
          <cell r="FS58">
            <v>0</v>
          </cell>
          <cell r="FT58">
            <v>0</v>
          </cell>
          <cell r="FU58">
            <v>0</v>
          </cell>
          <cell r="FV58">
            <v>0</v>
          </cell>
          <cell r="FW58">
            <v>0</v>
          </cell>
          <cell r="FX58">
            <v>0</v>
          </cell>
          <cell r="FY58">
            <v>0</v>
          </cell>
          <cell r="FZ58">
            <v>0</v>
          </cell>
          <cell r="GA58">
            <v>0</v>
          </cell>
        </row>
        <row r="59">
          <cell r="A59" t="str">
            <v>F_CNP_NRF_RET_COL_FRCE_102</v>
          </cell>
          <cell r="E59">
            <v>1278081.2429430913</v>
          </cell>
          <cell r="F59">
            <v>0</v>
          </cell>
          <cell r="G59">
            <v>0</v>
          </cell>
          <cell r="J59">
            <v>0</v>
          </cell>
          <cell r="K59">
            <v>0</v>
          </cell>
          <cell r="L59">
            <v>0</v>
          </cell>
          <cell r="N59">
            <v>0</v>
          </cell>
          <cell r="O59">
            <v>0</v>
          </cell>
          <cell r="P59">
            <v>0</v>
          </cell>
          <cell r="Q59">
            <v>0</v>
          </cell>
          <cell r="S59">
            <v>0</v>
          </cell>
          <cell r="T59">
            <v>0</v>
          </cell>
          <cell r="U59">
            <v>0</v>
          </cell>
          <cell r="V59">
            <v>0</v>
          </cell>
          <cell r="W59">
            <v>0</v>
          </cell>
          <cell r="X59">
            <v>0</v>
          </cell>
          <cell r="Y59">
            <v>0</v>
          </cell>
          <cell r="Z59">
            <v>0</v>
          </cell>
          <cell r="AA59">
            <v>0</v>
          </cell>
          <cell r="AB59">
            <v>0</v>
          </cell>
          <cell r="AC59">
            <v>0</v>
          </cell>
          <cell r="AF59">
            <v>0</v>
          </cell>
          <cell r="AG59">
            <v>0</v>
          </cell>
          <cell r="AH59">
            <v>0</v>
          </cell>
          <cell r="AJ59">
            <v>0</v>
          </cell>
          <cell r="AK59">
            <v>0</v>
          </cell>
          <cell r="AL59">
            <v>0</v>
          </cell>
          <cell r="AM59">
            <v>0</v>
          </cell>
          <cell r="AO59">
            <v>0</v>
          </cell>
          <cell r="AP59">
            <v>0</v>
          </cell>
          <cell r="AQ59">
            <v>0</v>
          </cell>
          <cell r="AR59">
            <v>0</v>
          </cell>
          <cell r="AS59">
            <v>0</v>
          </cell>
          <cell r="AT59">
            <v>0</v>
          </cell>
          <cell r="AU59">
            <v>0</v>
          </cell>
          <cell r="AV59">
            <v>0</v>
          </cell>
          <cell r="AW59">
            <v>0</v>
          </cell>
          <cell r="AX59">
            <v>0</v>
          </cell>
          <cell r="AY59">
            <v>0</v>
          </cell>
          <cell r="BB59">
            <v>0</v>
          </cell>
          <cell r="BC59">
            <v>0</v>
          </cell>
          <cell r="BD59">
            <v>0</v>
          </cell>
          <cell r="BF59">
            <v>0</v>
          </cell>
          <cell r="BG59">
            <v>0</v>
          </cell>
          <cell r="BH59">
            <v>0</v>
          </cell>
          <cell r="BI59">
            <v>0</v>
          </cell>
          <cell r="BK59">
            <v>0</v>
          </cell>
          <cell r="BL59">
            <v>0</v>
          </cell>
          <cell r="BM59">
            <v>0</v>
          </cell>
          <cell r="BN59">
            <v>0</v>
          </cell>
          <cell r="BO59">
            <v>0</v>
          </cell>
          <cell r="BP59">
            <v>0</v>
          </cell>
          <cell r="BQ59">
            <v>0</v>
          </cell>
          <cell r="BR59">
            <v>0</v>
          </cell>
          <cell r="BS59">
            <v>0</v>
          </cell>
          <cell r="BT59">
            <v>0</v>
          </cell>
          <cell r="BU59">
            <v>0</v>
          </cell>
          <cell r="BX59">
            <v>0</v>
          </cell>
          <cell r="BY59">
            <v>0</v>
          </cell>
          <cell r="BZ59">
            <v>0</v>
          </cell>
          <cell r="CB59">
            <v>0</v>
          </cell>
          <cell r="CC59">
            <v>0</v>
          </cell>
          <cell r="CD59">
            <v>0</v>
          </cell>
          <cell r="CE59">
            <v>0</v>
          </cell>
          <cell r="CG59">
            <v>0</v>
          </cell>
          <cell r="CH59">
            <v>0</v>
          </cell>
          <cell r="CI59">
            <v>0</v>
          </cell>
          <cell r="CJ59">
            <v>0</v>
          </cell>
          <cell r="CK59">
            <v>0</v>
          </cell>
          <cell r="CL59">
            <v>0</v>
          </cell>
          <cell r="CM59">
            <v>0</v>
          </cell>
          <cell r="CN59">
            <v>0</v>
          </cell>
          <cell r="CO59">
            <v>0</v>
          </cell>
          <cell r="FD59">
            <v>0</v>
          </cell>
          <cell r="FE59">
            <v>867787.98758295679</v>
          </cell>
          <cell r="FF59">
            <v>0</v>
          </cell>
          <cell r="FG59">
            <v>0</v>
          </cell>
          <cell r="FJ59">
            <v>0</v>
          </cell>
          <cell r="FK59">
            <v>0</v>
          </cell>
          <cell r="FL59">
            <v>0</v>
          </cell>
          <cell r="FN59">
            <v>0</v>
          </cell>
          <cell r="FO59">
            <v>0</v>
          </cell>
          <cell r="FP59">
            <v>0</v>
          </cell>
          <cell r="FQ59">
            <v>0</v>
          </cell>
          <cell r="FS59">
            <v>0</v>
          </cell>
          <cell r="FT59">
            <v>0</v>
          </cell>
          <cell r="FU59">
            <v>0</v>
          </cell>
          <cell r="FV59">
            <v>0</v>
          </cell>
          <cell r="FW59">
            <v>0</v>
          </cell>
          <cell r="FX59">
            <v>0</v>
          </cell>
          <cell r="FY59">
            <v>0</v>
          </cell>
          <cell r="FZ59">
            <v>0</v>
          </cell>
          <cell r="GA59">
            <v>0</v>
          </cell>
        </row>
        <row r="60">
          <cell r="A60" t="str">
            <v>F_CNP_NRF_RET_COL_FRCE_125</v>
          </cell>
          <cell r="E60">
            <v>244432935.83983308</v>
          </cell>
          <cell r="F60">
            <v>0</v>
          </cell>
          <cell r="G60">
            <v>0</v>
          </cell>
          <cell r="J60">
            <v>0</v>
          </cell>
          <cell r="K60">
            <v>0</v>
          </cell>
          <cell r="L60">
            <v>0</v>
          </cell>
          <cell r="N60">
            <v>0</v>
          </cell>
          <cell r="O60">
            <v>0</v>
          </cell>
          <cell r="P60">
            <v>0</v>
          </cell>
          <cell r="Q60">
            <v>0</v>
          </cell>
          <cell r="S60">
            <v>0</v>
          </cell>
          <cell r="T60">
            <v>0</v>
          </cell>
          <cell r="U60">
            <v>0</v>
          </cell>
          <cell r="V60">
            <v>0</v>
          </cell>
          <cell r="W60">
            <v>0</v>
          </cell>
          <cell r="X60">
            <v>0</v>
          </cell>
          <cell r="Y60">
            <v>0</v>
          </cell>
          <cell r="Z60">
            <v>0</v>
          </cell>
          <cell r="AA60">
            <v>0</v>
          </cell>
          <cell r="AB60">
            <v>0</v>
          </cell>
          <cell r="AC60">
            <v>0</v>
          </cell>
          <cell r="AF60">
            <v>0</v>
          </cell>
          <cell r="AG60">
            <v>0</v>
          </cell>
          <cell r="AH60">
            <v>0</v>
          </cell>
          <cell r="AJ60">
            <v>0</v>
          </cell>
          <cell r="AK60">
            <v>0</v>
          </cell>
          <cell r="AL60">
            <v>0</v>
          </cell>
          <cell r="AM60">
            <v>0</v>
          </cell>
          <cell r="AO60">
            <v>0</v>
          </cell>
          <cell r="AP60">
            <v>0</v>
          </cell>
          <cell r="AQ60">
            <v>0</v>
          </cell>
          <cell r="AR60">
            <v>0</v>
          </cell>
          <cell r="AS60">
            <v>0</v>
          </cell>
          <cell r="AT60">
            <v>0</v>
          </cell>
          <cell r="AU60">
            <v>0</v>
          </cell>
          <cell r="AV60">
            <v>0</v>
          </cell>
          <cell r="AW60">
            <v>0</v>
          </cell>
          <cell r="AX60">
            <v>0</v>
          </cell>
          <cell r="AY60">
            <v>0</v>
          </cell>
          <cell r="BB60">
            <v>0</v>
          </cell>
          <cell r="BC60">
            <v>0</v>
          </cell>
          <cell r="BD60">
            <v>0</v>
          </cell>
          <cell r="BF60">
            <v>0</v>
          </cell>
          <cell r="BG60">
            <v>0</v>
          </cell>
          <cell r="BH60">
            <v>0</v>
          </cell>
          <cell r="BI60">
            <v>0</v>
          </cell>
          <cell r="BK60">
            <v>0</v>
          </cell>
          <cell r="BL60">
            <v>0</v>
          </cell>
          <cell r="BM60">
            <v>0</v>
          </cell>
          <cell r="BN60">
            <v>0</v>
          </cell>
          <cell r="BO60">
            <v>0</v>
          </cell>
          <cell r="BP60">
            <v>0</v>
          </cell>
          <cell r="BQ60">
            <v>0</v>
          </cell>
          <cell r="BR60">
            <v>0</v>
          </cell>
          <cell r="BS60">
            <v>0</v>
          </cell>
          <cell r="BT60">
            <v>0</v>
          </cell>
          <cell r="BU60">
            <v>0</v>
          </cell>
          <cell r="BX60">
            <v>0</v>
          </cell>
          <cell r="BY60">
            <v>0</v>
          </cell>
          <cell r="BZ60">
            <v>0</v>
          </cell>
          <cell r="CB60">
            <v>0</v>
          </cell>
          <cell r="CC60">
            <v>0</v>
          </cell>
          <cell r="CD60">
            <v>0</v>
          </cell>
          <cell r="CE60">
            <v>0</v>
          </cell>
          <cell r="CG60">
            <v>0</v>
          </cell>
          <cell r="CH60">
            <v>0</v>
          </cell>
          <cell r="CI60">
            <v>0</v>
          </cell>
          <cell r="CJ60">
            <v>0</v>
          </cell>
          <cell r="CK60">
            <v>0</v>
          </cell>
          <cell r="CL60">
            <v>0</v>
          </cell>
          <cell r="CM60">
            <v>0</v>
          </cell>
          <cell r="CN60">
            <v>0</v>
          </cell>
          <cell r="CO60">
            <v>0</v>
          </cell>
          <cell r="FD60">
            <v>0</v>
          </cell>
          <cell r="FE60">
            <v>165964383.45577657</v>
          </cell>
          <cell r="FF60">
            <v>0</v>
          </cell>
          <cell r="FG60">
            <v>0</v>
          </cell>
          <cell r="FJ60">
            <v>0</v>
          </cell>
          <cell r="FK60">
            <v>0</v>
          </cell>
          <cell r="FL60">
            <v>0</v>
          </cell>
          <cell r="FN60">
            <v>0</v>
          </cell>
          <cell r="FO60">
            <v>0</v>
          </cell>
          <cell r="FP60">
            <v>0</v>
          </cell>
          <cell r="FQ60">
            <v>0</v>
          </cell>
          <cell r="FS60">
            <v>0</v>
          </cell>
          <cell r="FT60">
            <v>0</v>
          </cell>
          <cell r="FU60">
            <v>0</v>
          </cell>
          <cell r="FV60">
            <v>0</v>
          </cell>
          <cell r="FW60">
            <v>0</v>
          </cell>
          <cell r="FX60">
            <v>0</v>
          </cell>
          <cell r="FY60">
            <v>0</v>
          </cell>
          <cell r="FZ60">
            <v>0</v>
          </cell>
          <cell r="GA60">
            <v>0</v>
          </cell>
        </row>
        <row r="61">
          <cell r="A61" t="str">
            <v>F_CNP_NRF_RET_COL_FRCE_127</v>
          </cell>
          <cell r="E61">
            <v>313883172.68658209</v>
          </cell>
          <cell r="F61">
            <v>0</v>
          </cell>
          <cell r="G61">
            <v>0</v>
          </cell>
          <cell r="J61">
            <v>0</v>
          </cell>
          <cell r="K61">
            <v>0</v>
          </cell>
          <cell r="L61">
            <v>0</v>
          </cell>
          <cell r="N61">
            <v>0</v>
          </cell>
          <cell r="O61">
            <v>0</v>
          </cell>
          <cell r="P61">
            <v>0</v>
          </cell>
          <cell r="Q61">
            <v>0</v>
          </cell>
          <cell r="S61">
            <v>0</v>
          </cell>
          <cell r="T61">
            <v>0</v>
          </cell>
          <cell r="U61">
            <v>0</v>
          </cell>
          <cell r="V61">
            <v>0</v>
          </cell>
          <cell r="W61">
            <v>0</v>
          </cell>
          <cell r="X61">
            <v>0</v>
          </cell>
          <cell r="Y61">
            <v>0</v>
          </cell>
          <cell r="Z61">
            <v>0</v>
          </cell>
          <cell r="AA61">
            <v>0</v>
          </cell>
          <cell r="AB61">
            <v>0</v>
          </cell>
          <cell r="AC61">
            <v>0</v>
          </cell>
          <cell r="AF61">
            <v>0</v>
          </cell>
          <cell r="AG61">
            <v>0</v>
          </cell>
          <cell r="AH61">
            <v>0</v>
          </cell>
          <cell r="AJ61">
            <v>0</v>
          </cell>
          <cell r="AK61">
            <v>0</v>
          </cell>
          <cell r="AL61">
            <v>0</v>
          </cell>
          <cell r="AM61">
            <v>0</v>
          </cell>
          <cell r="AO61">
            <v>0</v>
          </cell>
          <cell r="AP61">
            <v>0</v>
          </cell>
          <cell r="AQ61">
            <v>0</v>
          </cell>
          <cell r="AR61">
            <v>0</v>
          </cell>
          <cell r="AS61">
            <v>0</v>
          </cell>
          <cell r="AT61">
            <v>0</v>
          </cell>
          <cell r="AU61">
            <v>0</v>
          </cell>
          <cell r="AV61">
            <v>0</v>
          </cell>
          <cell r="AW61">
            <v>0</v>
          </cell>
          <cell r="AX61">
            <v>0</v>
          </cell>
          <cell r="AY61">
            <v>0</v>
          </cell>
          <cell r="BB61">
            <v>0</v>
          </cell>
          <cell r="BC61">
            <v>0</v>
          </cell>
          <cell r="BD61">
            <v>0</v>
          </cell>
          <cell r="BF61">
            <v>0</v>
          </cell>
          <cell r="BG61">
            <v>0</v>
          </cell>
          <cell r="BH61">
            <v>0</v>
          </cell>
          <cell r="BI61">
            <v>0</v>
          </cell>
          <cell r="BK61">
            <v>0</v>
          </cell>
          <cell r="BL61">
            <v>0</v>
          </cell>
          <cell r="BM61">
            <v>0</v>
          </cell>
          <cell r="BN61">
            <v>0</v>
          </cell>
          <cell r="BO61">
            <v>0</v>
          </cell>
          <cell r="BP61">
            <v>0</v>
          </cell>
          <cell r="BQ61">
            <v>0</v>
          </cell>
          <cell r="BR61">
            <v>0</v>
          </cell>
          <cell r="BS61">
            <v>0</v>
          </cell>
          <cell r="BT61">
            <v>0</v>
          </cell>
          <cell r="BU61">
            <v>0</v>
          </cell>
          <cell r="BX61">
            <v>0</v>
          </cell>
          <cell r="BY61">
            <v>0</v>
          </cell>
          <cell r="BZ61">
            <v>0</v>
          </cell>
          <cell r="CB61">
            <v>0</v>
          </cell>
          <cell r="CC61">
            <v>0</v>
          </cell>
          <cell r="CD61">
            <v>0</v>
          </cell>
          <cell r="CE61">
            <v>0</v>
          </cell>
          <cell r="CG61">
            <v>0</v>
          </cell>
          <cell r="CH61">
            <v>0</v>
          </cell>
          <cell r="CI61">
            <v>0</v>
          </cell>
          <cell r="CJ61">
            <v>0</v>
          </cell>
          <cell r="CK61">
            <v>0</v>
          </cell>
          <cell r="CL61">
            <v>0</v>
          </cell>
          <cell r="CM61">
            <v>0</v>
          </cell>
          <cell r="CN61">
            <v>0</v>
          </cell>
          <cell r="CO61">
            <v>0</v>
          </cell>
          <cell r="FD61">
            <v>0</v>
          </cell>
          <cell r="FE61">
            <v>213119508.8464115</v>
          </cell>
          <cell r="FF61">
            <v>0</v>
          </cell>
          <cell r="FG61">
            <v>0</v>
          </cell>
          <cell r="FJ61">
            <v>0</v>
          </cell>
          <cell r="FK61">
            <v>0</v>
          </cell>
          <cell r="FL61">
            <v>0</v>
          </cell>
          <cell r="FN61">
            <v>0</v>
          </cell>
          <cell r="FO61">
            <v>0</v>
          </cell>
          <cell r="FP61">
            <v>0</v>
          </cell>
          <cell r="FQ61">
            <v>0</v>
          </cell>
          <cell r="FS61">
            <v>0</v>
          </cell>
          <cell r="FT61">
            <v>0</v>
          </cell>
          <cell r="FU61">
            <v>0</v>
          </cell>
          <cell r="FV61">
            <v>0</v>
          </cell>
          <cell r="FW61">
            <v>0</v>
          </cell>
          <cell r="FX61">
            <v>0</v>
          </cell>
          <cell r="FY61">
            <v>0</v>
          </cell>
          <cell r="FZ61">
            <v>0</v>
          </cell>
          <cell r="GA61">
            <v>0</v>
          </cell>
        </row>
        <row r="62">
          <cell r="A62" t="str">
            <v>F_CNP_NRF_RET_COL_FRCE_129</v>
          </cell>
          <cell r="E62">
            <v>228108458.42914677</v>
          </cell>
          <cell r="F62">
            <v>0</v>
          </cell>
          <cell r="G62">
            <v>0</v>
          </cell>
          <cell r="J62">
            <v>0</v>
          </cell>
          <cell r="K62">
            <v>0</v>
          </cell>
          <cell r="L62">
            <v>0</v>
          </cell>
          <cell r="N62">
            <v>0</v>
          </cell>
          <cell r="O62">
            <v>0</v>
          </cell>
          <cell r="P62">
            <v>0</v>
          </cell>
          <cell r="Q62">
            <v>0</v>
          </cell>
          <cell r="S62">
            <v>0</v>
          </cell>
          <cell r="T62">
            <v>0</v>
          </cell>
          <cell r="U62">
            <v>0</v>
          </cell>
          <cell r="V62">
            <v>0</v>
          </cell>
          <cell r="W62">
            <v>0</v>
          </cell>
          <cell r="X62">
            <v>0</v>
          </cell>
          <cell r="Y62">
            <v>0</v>
          </cell>
          <cell r="Z62">
            <v>0</v>
          </cell>
          <cell r="AA62">
            <v>0</v>
          </cell>
          <cell r="AB62">
            <v>0</v>
          </cell>
          <cell r="AC62">
            <v>0</v>
          </cell>
          <cell r="AF62">
            <v>0</v>
          </cell>
          <cell r="AG62">
            <v>0</v>
          </cell>
          <cell r="AH62">
            <v>0</v>
          </cell>
          <cell r="AJ62">
            <v>0</v>
          </cell>
          <cell r="AK62">
            <v>0</v>
          </cell>
          <cell r="AL62">
            <v>0</v>
          </cell>
          <cell r="AM62">
            <v>0</v>
          </cell>
          <cell r="AO62">
            <v>0</v>
          </cell>
          <cell r="AP62">
            <v>0</v>
          </cell>
          <cell r="AQ62">
            <v>0</v>
          </cell>
          <cell r="AR62">
            <v>0</v>
          </cell>
          <cell r="AS62">
            <v>0</v>
          </cell>
          <cell r="AT62">
            <v>0</v>
          </cell>
          <cell r="AU62">
            <v>0</v>
          </cell>
          <cell r="AV62">
            <v>0</v>
          </cell>
          <cell r="AW62">
            <v>0</v>
          </cell>
          <cell r="AX62">
            <v>0</v>
          </cell>
          <cell r="AY62">
            <v>0</v>
          </cell>
          <cell r="BB62">
            <v>0</v>
          </cell>
          <cell r="BC62">
            <v>0</v>
          </cell>
          <cell r="BD62">
            <v>0</v>
          </cell>
          <cell r="BF62">
            <v>0</v>
          </cell>
          <cell r="BG62">
            <v>0</v>
          </cell>
          <cell r="BH62">
            <v>0</v>
          </cell>
          <cell r="BI62">
            <v>0</v>
          </cell>
          <cell r="BK62">
            <v>0</v>
          </cell>
          <cell r="BL62">
            <v>0</v>
          </cell>
          <cell r="BM62">
            <v>0</v>
          </cell>
          <cell r="BN62">
            <v>0</v>
          </cell>
          <cell r="BO62">
            <v>0</v>
          </cell>
          <cell r="BP62">
            <v>0</v>
          </cell>
          <cell r="BQ62">
            <v>0</v>
          </cell>
          <cell r="BR62">
            <v>0</v>
          </cell>
          <cell r="BS62">
            <v>0</v>
          </cell>
          <cell r="BT62">
            <v>0</v>
          </cell>
          <cell r="BU62">
            <v>0</v>
          </cell>
          <cell r="BX62">
            <v>0</v>
          </cell>
          <cell r="BY62">
            <v>0</v>
          </cell>
          <cell r="BZ62">
            <v>0</v>
          </cell>
          <cell r="CB62">
            <v>0</v>
          </cell>
          <cell r="CC62">
            <v>0</v>
          </cell>
          <cell r="CD62">
            <v>0</v>
          </cell>
          <cell r="CE62">
            <v>0</v>
          </cell>
          <cell r="CG62">
            <v>0</v>
          </cell>
          <cell r="CH62">
            <v>0</v>
          </cell>
          <cell r="CI62">
            <v>0</v>
          </cell>
          <cell r="CJ62">
            <v>0</v>
          </cell>
          <cell r="CK62">
            <v>0</v>
          </cell>
          <cell r="CL62">
            <v>0</v>
          </cell>
          <cell r="CM62">
            <v>0</v>
          </cell>
          <cell r="CN62">
            <v>0</v>
          </cell>
          <cell r="CO62">
            <v>0</v>
          </cell>
          <cell r="FD62">
            <v>0</v>
          </cell>
          <cell r="FE62">
            <v>228108458.42914677</v>
          </cell>
          <cell r="FF62">
            <v>0</v>
          </cell>
          <cell r="FG62">
            <v>0</v>
          </cell>
          <cell r="FJ62">
            <v>0</v>
          </cell>
          <cell r="FK62">
            <v>0</v>
          </cell>
          <cell r="FL62">
            <v>0</v>
          </cell>
          <cell r="FN62">
            <v>0</v>
          </cell>
          <cell r="FO62">
            <v>0</v>
          </cell>
          <cell r="FP62">
            <v>0</v>
          </cell>
          <cell r="FQ62">
            <v>0</v>
          </cell>
          <cell r="FS62">
            <v>0</v>
          </cell>
          <cell r="FT62">
            <v>0</v>
          </cell>
          <cell r="FU62">
            <v>0</v>
          </cell>
          <cell r="FV62">
            <v>0</v>
          </cell>
          <cell r="FW62">
            <v>0</v>
          </cell>
          <cell r="FX62">
            <v>0</v>
          </cell>
          <cell r="FY62">
            <v>0</v>
          </cell>
          <cell r="FZ62">
            <v>0</v>
          </cell>
          <cell r="GA62">
            <v>0</v>
          </cell>
        </row>
        <row r="63">
          <cell r="A63" t="str">
            <v>F_CNP_NRF_RET_COL_FRCE_131</v>
          </cell>
          <cell r="E63">
            <v>65424304.456373565</v>
          </cell>
          <cell r="F63">
            <v>0</v>
          </cell>
          <cell r="G63">
            <v>0</v>
          </cell>
          <cell r="J63">
            <v>0</v>
          </cell>
          <cell r="K63">
            <v>0</v>
          </cell>
          <cell r="L63">
            <v>0</v>
          </cell>
          <cell r="N63">
            <v>0</v>
          </cell>
          <cell r="O63">
            <v>0</v>
          </cell>
          <cell r="P63">
            <v>0</v>
          </cell>
          <cell r="Q63">
            <v>0</v>
          </cell>
          <cell r="S63">
            <v>0</v>
          </cell>
          <cell r="T63">
            <v>0</v>
          </cell>
          <cell r="U63">
            <v>0</v>
          </cell>
          <cell r="V63">
            <v>0</v>
          </cell>
          <cell r="W63">
            <v>0</v>
          </cell>
          <cell r="X63">
            <v>0</v>
          </cell>
          <cell r="Y63">
            <v>0</v>
          </cell>
          <cell r="Z63">
            <v>0</v>
          </cell>
          <cell r="AA63">
            <v>0</v>
          </cell>
          <cell r="AB63">
            <v>0</v>
          </cell>
          <cell r="AC63">
            <v>0</v>
          </cell>
          <cell r="AF63">
            <v>0</v>
          </cell>
          <cell r="AG63">
            <v>0</v>
          </cell>
          <cell r="AH63">
            <v>0</v>
          </cell>
          <cell r="AJ63">
            <v>0</v>
          </cell>
          <cell r="AK63">
            <v>0</v>
          </cell>
          <cell r="AL63">
            <v>0</v>
          </cell>
          <cell r="AM63">
            <v>0</v>
          </cell>
          <cell r="AO63">
            <v>0</v>
          </cell>
          <cell r="AP63">
            <v>0</v>
          </cell>
          <cell r="AQ63">
            <v>0</v>
          </cell>
          <cell r="AR63">
            <v>0</v>
          </cell>
          <cell r="AS63">
            <v>0</v>
          </cell>
          <cell r="AT63">
            <v>0</v>
          </cell>
          <cell r="AU63">
            <v>0</v>
          </cell>
          <cell r="AV63">
            <v>0</v>
          </cell>
          <cell r="AW63">
            <v>0</v>
          </cell>
          <cell r="AX63">
            <v>0</v>
          </cell>
          <cell r="AY63">
            <v>0</v>
          </cell>
          <cell r="BB63">
            <v>0</v>
          </cell>
          <cell r="BC63">
            <v>0</v>
          </cell>
          <cell r="BD63">
            <v>0</v>
          </cell>
          <cell r="BF63">
            <v>0</v>
          </cell>
          <cell r="BG63">
            <v>0</v>
          </cell>
          <cell r="BH63">
            <v>0</v>
          </cell>
          <cell r="BI63">
            <v>0</v>
          </cell>
          <cell r="BK63">
            <v>0</v>
          </cell>
          <cell r="BL63">
            <v>0</v>
          </cell>
          <cell r="BM63">
            <v>0</v>
          </cell>
          <cell r="BN63">
            <v>0</v>
          </cell>
          <cell r="BO63">
            <v>0</v>
          </cell>
          <cell r="BP63">
            <v>0</v>
          </cell>
          <cell r="BQ63">
            <v>0</v>
          </cell>
          <cell r="BR63">
            <v>0</v>
          </cell>
          <cell r="BS63">
            <v>0</v>
          </cell>
          <cell r="BT63">
            <v>0</v>
          </cell>
          <cell r="BU63">
            <v>0</v>
          </cell>
          <cell r="BX63">
            <v>0</v>
          </cell>
          <cell r="BY63">
            <v>0</v>
          </cell>
          <cell r="BZ63">
            <v>0</v>
          </cell>
          <cell r="CB63">
            <v>0</v>
          </cell>
          <cell r="CC63">
            <v>0</v>
          </cell>
          <cell r="CD63">
            <v>0</v>
          </cell>
          <cell r="CE63">
            <v>0</v>
          </cell>
          <cell r="CG63">
            <v>0</v>
          </cell>
          <cell r="CH63">
            <v>0</v>
          </cell>
          <cell r="CI63">
            <v>0</v>
          </cell>
          <cell r="CJ63">
            <v>0</v>
          </cell>
          <cell r="CK63">
            <v>0</v>
          </cell>
          <cell r="CL63">
            <v>0</v>
          </cell>
          <cell r="CM63">
            <v>0</v>
          </cell>
          <cell r="CN63">
            <v>0</v>
          </cell>
          <cell r="CO63">
            <v>0</v>
          </cell>
          <cell r="FD63">
            <v>0</v>
          </cell>
          <cell r="FE63">
            <v>65424304.456373565</v>
          </cell>
          <cell r="FF63">
            <v>0</v>
          </cell>
          <cell r="FG63">
            <v>0</v>
          </cell>
          <cell r="FJ63">
            <v>0</v>
          </cell>
          <cell r="FK63">
            <v>0</v>
          </cell>
          <cell r="FL63">
            <v>0</v>
          </cell>
          <cell r="FN63">
            <v>0</v>
          </cell>
          <cell r="FO63">
            <v>0</v>
          </cell>
          <cell r="FP63">
            <v>0</v>
          </cell>
          <cell r="FQ63">
            <v>0</v>
          </cell>
          <cell r="FS63">
            <v>0</v>
          </cell>
          <cell r="FT63">
            <v>0</v>
          </cell>
          <cell r="FU63">
            <v>0</v>
          </cell>
          <cell r="FV63">
            <v>0</v>
          </cell>
          <cell r="FW63">
            <v>0</v>
          </cell>
          <cell r="FX63">
            <v>0</v>
          </cell>
          <cell r="FY63">
            <v>0</v>
          </cell>
          <cell r="FZ63">
            <v>0</v>
          </cell>
          <cell r="GA63">
            <v>0</v>
          </cell>
        </row>
        <row r="64">
          <cell r="A64" t="str">
            <v>F_CNP_NRF_RET_COL_FRCE_132</v>
          </cell>
          <cell r="E64">
            <v>447242080.31051338</v>
          </cell>
          <cell r="F64">
            <v>0</v>
          </cell>
          <cell r="G64">
            <v>0</v>
          </cell>
          <cell r="J64">
            <v>0</v>
          </cell>
          <cell r="K64">
            <v>0</v>
          </cell>
          <cell r="L64">
            <v>0</v>
          </cell>
          <cell r="N64">
            <v>0</v>
          </cell>
          <cell r="O64">
            <v>0</v>
          </cell>
          <cell r="P64">
            <v>0</v>
          </cell>
          <cell r="Q64">
            <v>0</v>
          </cell>
          <cell r="S64">
            <v>0</v>
          </cell>
          <cell r="T64">
            <v>0</v>
          </cell>
          <cell r="U64">
            <v>0</v>
          </cell>
          <cell r="V64">
            <v>0</v>
          </cell>
          <cell r="W64">
            <v>0</v>
          </cell>
          <cell r="X64">
            <v>0</v>
          </cell>
          <cell r="Y64">
            <v>0</v>
          </cell>
          <cell r="Z64">
            <v>0</v>
          </cell>
          <cell r="AA64">
            <v>0</v>
          </cell>
          <cell r="AB64">
            <v>0</v>
          </cell>
          <cell r="AC64">
            <v>0</v>
          </cell>
          <cell r="AF64">
            <v>0</v>
          </cell>
          <cell r="AG64">
            <v>0</v>
          </cell>
          <cell r="AH64">
            <v>0</v>
          </cell>
          <cell r="AJ64">
            <v>0</v>
          </cell>
          <cell r="AK64">
            <v>0</v>
          </cell>
          <cell r="AL64">
            <v>0</v>
          </cell>
          <cell r="AM64">
            <v>0</v>
          </cell>
          <cell r="AO64">
            <v>0</v>
          </cell>
          <cell r="AP64">
            <v>0</v>
          </cell>
          <cell r="AQ64">
            <v>0</v>
          </cell>
          <cell r="AR64">
            <v>0</v>
          </cell>
          <cell r="AS64">
            <v>0</v>
          </cell>
          <cell r="AT64">
            <v>0</v>
          </cell>
          <cell r="AU64">
            <v>0</v>
          </cell>
          <cell r="AV64">
            <v>0</v>
          </cell>
          <cell r="AW64">
            <v>0</v>
          </cell>
          <cell r="AX64">
            <v>0</v>
          </cell>
          <cell r="AY64">
            <v>0</v>
          </cell>
          <cell r="BB64">
            <v>0</v>
          </cell>
          <cell r="BC64">
            <v>0</v>
          </cell>
          <cell r="BD64">
            <v>0</v>
          </cell>
          <cell r="BF64">
            <v>0</v>
          </cell>
          <cell r="BG64">
            <v>0</v>
          </cell>
          <cell r="BH64">
            <v>0</v>
          </cell>
          <cell r="BI64">
            <v>0</v>
          </cell>
          <cell r="BK64">
            <v>0</v>
          </cell>
          <cell r="BL64">
            <v>0</v>
          </cell>
          <cell r="BM64">
            <v>0</v>
          </cell>
          <cell r="BN64">
            <v>0</v>
          </cell>
          <cell r="BO64">
            <v>0</v>
          </cell>
          <cell r="BP64">
            <v>0</v>
          </cell>
          <cell r="BQ64">
            <v>0</v>
          </cell>
          <cell r="BR64">
            <v>0</v>
          </cell>
          <cell r="BS64">
            <v>0</v>
          </cell>
          <cell r="BT64">
            <v>0</v>
          </cell>
          <cell r="BU64">
            <v>0</v>
          </cell>
          <cell r="BX64">
            <v>0</v>
          </cell>
          <cell r="BY64">
            <v>0</v>
          </cell>
          <cell r="BZ64">
            <v>0</v>
          </cell>
          <cell r="CB64">
            <v>0</v>
          </cell>
          <cell r="CC64">
            <v>0</v>
          </cell>
          <cell r="CD64">
            <v>0</v>
          </cell>
          <cell r="CE64">
            <v>0</v>
          </cell>
          <cell r="CG64">
            <v>0</v>
          </cell>
          <cell r="CH64">
            <v>0</v>
          </cell>
          <cell r="CI64">
            <v>0</v>
          </cell>
          <cell r="CJ64">
            <v>0</v>
          </cell>
          <cell r="CK64">
            <v>0</v>
          </cell>
          <cell r="CL64">
            <v>0</v>
          </cell>
          <cell r="CM64">
            <v>0</v>
          </cell>
          <cell r="CN64">
            <v>0</v>
          </cell>
          <cell r="CO64">
            <v>0</v>
          </cell>
          <cell r="FD64">
            <v>0</v>
          </cell>
          <cell r="FE64">
            <v>447242080.31051338</v>
          </cell>
          <cell r="FF64">
            <v>0</v>
          </cell>
          <cell r="FG64">
            <v>0</v>
          </cell>
          <cell r="FJ64">
            <v>0</v>
          </cell>
          <cell r="FK64">
            <v>0</v>
          </cell>
          <cell r="FL64">
            <v>0</v>
          </cell>
          <cell r="FN64">
            <v>0</v>
          </cell>
          <cell r="FO64">
            <v>0</v>
          </cell>
          <cell r="FP64">
            <v>0</v>
          </cell>
          <cell r="FQ64">
            <v>0</v>
          </cell>
          <cell r="FS64">
            <v>0</v>
          </cell>
          <cell r="FT64">
            <v>0</v>
          </cell>
          <cell r="FU64">
            <v>0</v>
          </cell>
          <cell r="FV64">
            <v>0</v>
          </cell>
          <cell r="FW64">
            <v>0</v>
          </cell>
          <cell r="FX64">
            <v>0</v>
          </cell>
          <cell r="FY64">
            <v>0</v>
          </cell>
          <cell r="FZ64">
            <v>0</v>
          </cell>
          <cell r="GA64">
            <v>0</v>
          </cell>
        </row>
        <row r="65">
          <cell r="A65" t="str">
            <v>F_CNP_NRF_RET_COL_FRCE_155</v>
          </cell>
          <cell r="E65">
            <v>0</v>
          </cell>
          <cell r="F65">
            <v>0</v>
          </cell>
          <cell r="G65">
            <v>0</v>
          </cell>
          <cell r="J65">
            <v>0</v>
          </cell>
          <cell r="K65">
            <v>0</v>
          </cell>
          <cell r="L65">
            <v>0</v>
          </cell>
          <cell r="N65">
            <v>0</v>
          </cell>
          <cell r="O65">
            <v>0</v>
          </cell>
          <cell r="P65">
            <v>0</v>
          </cell>
          <cell r="Q65">
            <v>0</v>
          </cell>
          <cell r="S65">
            <v>0</v>
          </cell>
          <cell r="T65">
            <v>0</v>
          </cell>
          <cell r="U65">
            <v>0</v>
          </cell>
          <cell r="V65">
            <v>0</v>
          </cell>
          <cell r="W65">
            <v>0</v>
          </cell>
          <cell r="X65">
            <v>0</v>
          </cell>
          <cell r="Y65">
            <v>0</v>
          </cell>
          <cell r="Z65">
            <v>0</v>
          </cell>
          <cell r="AA65">
            <v>0</v>
          </cell>
          <cell r="AB65">
            <v>0</v>
          </cell>
          <cell r="AC65">
            <v>0</v>
          </cell>
          <cell r="AF65">
            <v>0</v>
          </cell>
          <cell r="AG65">
            <v>0</v>
          </cell>
          <cell r="AH65">
            <v>0</v>
          </cell>
          <cell r="AJ65">
            <v>0</v>
          </cell>
          <cell r="AK65">
            <v>0</v>
          </cell>
          <cell r="AL65">
            <v>0</v>
          </cell>
          <cell r="AM65">
            <v>0</v>
          </cell>
          <cell r="AO65">
            <v>0</v>
          </cell>
          <cell r="AP65">
            <v>0</v>
          </cell>
          <cell r="AQ65">
            <v>0</v>
          </cell>
          <cell r="AR65">
            <v>0</v>
          </cell>
          <cell r="AS65">
            <v>0</v>
          </cell>
          <cell r="AT65">
            <v>0</v>
          </cell>
          <cell r="AU65">
            <v>0</v>
          </cell>
          <cell r="AV65">
            <v>0</v>
          </cell>
          <cell r="AW65">
            <v>0</v>
          </cell>
          <cell r="AX65">
            <v>0</v>
          </cell>
          <cell r="AY65">
            <v>0</v>
          </cell>
          <cell r="BB65">
            <v>0</v>
          </cell>
          <cell r="BC65">
            <v>0</v>
          </cell>
          <cell r="BD65">
            <v>0</v>
          </cell>
          <cell r="BF65">
            <v>0</v>
          </cell>
          <cell r="BG65">
            <v>0</v>
          </cell>
          <cell r="BH65">
            <v>0</v>
          </cell>
          <cell r="BI65">
            <v>0</v>
          </cell>
          <cell r="BK65">
            <v>0</v>
          </cell>
          <cell r="BL65">
            <v>0</v>
          </cell>
          <cell r="BM65">
            <v>0</v>
          </cell>
          <cell r="BN65">
            <v>0</v>
          </cell>
          <cell r="BO65">
            <v>0</v>
          </cell>
          <cell r="BP65">
            <v>0</v>
          </cell>
          <cell r="BQ65">
            <v>0</v>
          </cell>
          <cell r="BR65">
            <v>0</v>
          </cell>
          <cell r="BS65">
            <v>0</v>
          </cell>
          <cell r="BT65">
            <v>0</v>
          </cell>
          <cell r="BU65">
            <v>0</v>
          </cell>
          <cell r="BX65">
            <v>0</v>
          </cell>
          <cell r="BY65">
            <v>0</v>
          </cell>
          <cell r="BZ65">
            <v>0</v>
          </cell>
          <cell r="CB65">
            <v>0</v>
          </cell>
          <cell r="CC65">
            <v>0</v>
          </cell>
          <cell r="CD65">
            <v>0</v>
          </cell>
          <cell r="CE65">
            <v>0</v>
          </cell>
          <cell r="CG65">
            <v>0</v>
          </cell>
          <cell r="CH65">
            <v>0</v>
          </cell>
          <cell r="CI65">
            <v>0</v>
          </cell>
          <cell r="CJ65">
            <v>0</v>
          </cell>
          <cell r="CK65">
            <v>0</v>
          </cell>
          <cell r="CL65">
            <v>0</v>
          </cell>
          <cell r="CM65">
            <v>0</v>
          </cell>
          <cell r="CN65">
            <v>0</v>
          </cell>
          <cell r="CO65">
            <v>0</v>
          </cell>
          <cell r="FD65">
            <v>0</v>
          </cell>
          <cell r="FE65">
            <v>0</v>
          </cell>
          <cell r="FF65">
            <v>0</v>
          </cell>
          <cell r="FG65">
            <v>0</v>
          </cell>
          <cell r="FJ65">
            <v>0</v>
          </cell>
          <cell r="FK65">
            <v>0</v>
          </cell>
          <cell r="FL65">
            <v>0</v>
          </cell>
          <cell r="FN65">
            <v>0</v>
          </cell>
          <cell r="FO65">
            <v>0</v>
          </cell>
          <cell r="FP65">
            <v>0</v>
          </cell>
          <cell r="FQ65">
            <v>0</v>
          </cell>
          <cell r="FS65">
            <v>0</v>
          </cell>
          <cell r="FT65">
            <v>0</v>
          </cell>
          <cell r="FU65">
            <v>0</v>
          </cell>
          <cell r="FV65">
            <v>0</v>
          </cell>
          <cell r="FW65">
            <v>0</v>
          </cell>
          <cell r="FX65">
            <v>0</v>
          </cell>
          <cell r="FY65">
            <v>0</v>
          </cell>
          <cell r="FZ65">
            <v>0</v>
          </cell>
          <cell r="GA65">
            <v>0</v>
          </cell>
        </row>
        <row r="66">
          <cell r="A66" t="str">
            <v>F_CNP_NRF_RET_COL_FRCE_201</v>
          </cell>
          <cell r="E66">
            <v>1015637868.1432855</v>
          </cell>
          <cell r="F66">
            <v>933318075.16705239</v>
          </cell>
          <cell r="G66">
            <v>933318075.16705239</v>
          </cell>
          <cell r="J66">
            <v>933318075.16705239</v>
          </cell>
          <cell r="K66">
            <v>933318075.16705239</v>
          </cell>
          <cell r="L66">
            <v>933318075.16705239</v>
          </cell>
          <cell r="N66">
            <v>933318075.16705239</v>
          </cell>
          <cell r="O66">
            <v>933318075.16705239</v>
          </cell>
          <cell r="P66">
            <v>933318075.16705239</v>
          </cell>
          <cell r="Q66">
            <v>933318075.16705239</v>
          </cell>
          <cell r="S66">
            <v>933318075.16705239</v>
          </cell>
          <cell r="T66">
            <v>933318075.16705239</v>
          </cell>
          <cell r="U66">
            <v>933318075.16705239</v>
          </cell>
          <cell r="V66">
            <v>933318075.16705239</v>
          </cell>
          <cell r="W66">
            <v>933318075.16705239</v>
          </cell>
          <cell r="X66">
            <v>933318075.16705239</v>
          </cell>
          <cell r="Y66">
            <v>933318075.16705239</v>
          </cell>
          <cell r="Z66">
            <v>933318075.16705239</v>
          </cell>
          <cell r="AA66">
            <v>933318075.16705239</v>
          </cell>
          <cell r="AB66">
            <v>1002067224.5165641</v>
          </cell>
          <cell r="AC66">
            <v>866312972.66300595</v>
          </cell>
          <cell r="AF66">
            <v>793415268.92135918</v>
          </cell>
          <cell r="AG66">
            <v>933318075.16705239</v>
          </cell>
          <cell r="AH66">
            <v>933318075.16705239</v>
          </cell>
          <cell r="AJ66">
            <v>914846444.20292211</v>
          </cell>
          <cell r="AK66">
            <v>933318075.16705239</v>
          </cell>
          <cell r="AL66">
            <v>933318075.16705239</v>
          </cell>
          <cell r="AM66">
            <v>909050172.22164607</v>
          </cell>
          <cell r="AO66">
            <v>855799898.76041067</v>
          </cell>
          <cell r="AP66">
            <v>933318075.16705239</v>
          </cell>
          <cell r="AQ66">
            <v>933318075.16705239</v>
          </cell>
          <cell r="AR66">
            <v>933318075.16705239</v>
          </cell>
          <cell r="AS66">
            <v>933318075.16705239</v>
          </cell>
          <cell r="AT66">
            <v>933318075.16705239</v>
          </cell>
          <cell r="AU66">
            <v>933318075.16705239</v>
          </cell>
          <cell r="AV66">
            <v>927060815.69820201</v>
          </cell>
          <cell r="AW66">
            <v>933983934.86284363</v>
          </cell>
          <cell r="AX66">
            <v>871776972.11120927</v>
          </cell>
          <cell r="AY66">
            <v>871776972.11120927</v>
          </cell>
          <cell r="BB66">
            <v>871776972.11120927</v>
          </cell>
          <cell r="BC66">
            <v>871776972.11120927</v>
          </cell>
          <cell r="BD66">
            <v>871776972.11120927</v>
          </cell>
          <cell r="BF66">
            <v>871776972.11120927</v>
          </cell>
          <cell r="BG66">
            <v>871776972.11120927</v>
          </cell>
          <cell r="BH66">
            <v>871776972.11120927</v>
          </cell>
          <cell r="BI66">
            <v>871776972.11120927</v>
          </cell>
          <cell r="BK66">
            <v>871776972.11120927</v>
          </cell>
          <cell r="BL66">
            <v>871776972.11120927</v>
          </cell>
          <cell r="BM66">
            <v>871776972.11120927</v>
          </cell>
          <cell r="BN66">
            <v>871776972.11120927</v>
          </cell>
          <cell r="BO66">
            <v>871776972.11120927</v>
          </cell>
          <cell r="BP66">
            <v>871776972.11120927</v>
          </cell>
          <cell r="BQ66">
            <v>871776972.11120927</v>
          </cell>
          <cell r="BR66">
            <v>871776972.11120927</v>
          </cell>
          <cell r="BS66">
            <v>871776972.11120927</v>
          </cell>
          <cell r="BT66">
            <v>971190066.8060106</v>
          </cell>
          <cell r="BU66">
            <v>785529145.94920576</v>
          </cell>
          <cell r="BX66">
            <v>871776972.11120927</v>
          </cell>
          <cell r="BY66">
            <v>871776972.11120927</v>
          </cell>
          <cell r="BZ66">
            <v>871776972.11120927</v>
          </cell>
          <cell r="CB66">
            <v>871776972.11120927</v>
          </cell>
          <cell r="CC66">
            <v>871776972.11120927</v>
          </cell>
          <cell r="CD66">
            <v>871776972.11120927</v>
          </cell>
          <cell r="CE66">
            <v>871776972.11120927</v>
          </cell>
          <cell r="CG66">
            <v>871776972.11120927</v>
          </cell>
          <cell r="CH66">
            <v>871776972.11120927</v>
          </cell>
          <cell r="CI66">
            <v>871776972.11120927</v>
          </cell>
          <cell r="CJ66">
            <v>871776972.11120927</v>
          </cell>
          <cell r="CK66">
            <v>871776972.11120927</v>
          </cell>
          <cell r="CL66">
            <v>871776972.11120927</v>
          </cell>
          <cell r="CM66">
            <v>871776972.11120927</v>
          </cell>
          <cell r="CN66">
            <v>871776972.11120927</v>
          </cell>
          <cell r="CO66">
            <v>888641264.61467195</v>
          </cell>
          <cell r="FD66">
            <v>842497328.04106939</v>
          </cell>
          <cell r="FE66">
            <v>689594927.22040522</v>
          </cell>
          <cell r="FF66">
            <v>959655058.44504392</v>
          </cell>
          <cell r="FG66">
            <v>799291203.66287541</v>
          </cell>
          <cell r="FJ66">
            <v>837408587.37493098</v>
          </cell>
          <cell r="FK66">
            <v>871776972.11120927</v>
          </cell>
          <cell r="FL66">
            <v>871776972.11120927</v>
          </cell>
          <cell r="FN66">
            <v>866051298.8849479</v>
          </cell>
          <cell r="FO66">
            <v>871776972.11120927</v>
          </cell>
          <cell r="FP66">
            <v>871776972.11120927</v>
          </cell>
          <cell r="FQ66">
            <v>865124651.94620371</v>
          </cell>
          <cell r="FS66">
            <v>852505800.53007078</v>
          </cell>
          <cell r="FT66">
            <v>871776972.11120927</v>
          </cell>
          <cell r="FU66">
            <v>871776972.11120927</v>
          </cell>
          <cell r="FV66">
            <v>871776972.11120927</v>
          </cell>
          <cell r="FW66">
            <v>871776972.11120927</v>
          </cell>
          <cell r="FX66">
            <v>871776972.11120927</v>
          </cell>
          <cell r="FY66">
            <v>871776972.11120927</v>
          </cell>
          <cell r="FZ66">
            <v>869835017.03241992</v>
          </cell>
          <cell r="GA66">
            <v>884584583.06665432</v>
          </cell>
        </row>
        <row r="67">
          <cell r="A67" t="str">
            <v>F_CNP_NRF_RET_COL_FRCE_202</v>
          </cell>
          <cell r="E67">
            <v>60450909.324901834</v>
          </cell>
          <cell r="F67">
            <v>0</v>
          </cell>
          <cell r="G67">
            <v>0</v>
          </cell>
          <cell r="J67">
            <v>0</v>
          </cell>
          <cell r="K67">
            <v>0</v>
          </cell>
          <cell r="L67">
            <v>0</v>
          </cell>
          <cell r="N67">
            <v>0</v>
          </cell>
          <cell r="O67">
            <v>0</v>
          </cell>
          <cell r="P67">
            <v>0</v>
          </cell>
          <cell r="Q67">
            <v>0</v>
          </cell>
          <cell r="S67">
            <v>0</v>
          </cell>
          <cell r="T67">
            <v>0</v>
          </cell>
          <cell r="U67">
            <v>0</v>
          </cell>
          <cell r="V67">
            <v>0</v>
          </cell>
          <cell r="W67">
            <v>0</v>
          </cell>
          <cell r="X67">
            <v>0</v>
          </cell>
          <cell r="Y67">
            <v>0</v>
          </cell>
          <cell r="Z67">
            <v>0</v>
          </cell>
          <cell r="AA67">
            <v>0</v>
          </cell>
          <cell r="AB67">
            <v>0</v>
          </cell>
          <cell r="AC67">
            <v>0</v>
          </cell>
          <cell r="AF67">
            <v>0</v>
          </cell>
          <cell r="AG67">
            <v>0</v>
          </cell>
          <cell r="AH67">
            <v>0</v>
          </cell>
          <cell r="AJ67">
            <v>0</v>
          </cell>
          <cell r="AK67">
            <v>0</v>
          </cell>
          <cell r="AL67">
            <v>0</v>
          </cell>
          <cell r="AM67">
            <v>0</v>
          </cell>
          <cell r="AO67">
            <v>0</v>
          </cell>
          <cell r="AP67">
            <v>0</v>
          </cell>
          <cell r="AQ67">
            <v>0</v>
          </cell>
          <cell r="AR67">
            <v>0</v>
          </cell>
          <cell r="AS67">
            <v>0</v>
          </cell>
          <cell r="AT67">
            <v>0</v>
          </cell>
          <cell r="AU67">
            <v>0</v>
          </cell>
          <cell r="AV67">
            <v>0</v>
          </cell>
          <cell r="AW67">
            <v>0</v>
          </cell>
          <cell r="AX67">
            <v>0</v>
          </cell>
          <cell r="AY67">
            <v>0</v>
          </cell>
          <cell r="BB67">
            <v>0</v>
          </cell>
          <cell r="BC67">
            <v>0</v>
          </cell>
          <cell r="BD67">
            <v>0</v>
          </cell>
          <cell r="BF67">
            <v>0</v>
          </cell>
          <cell r="BG67">
            <v>0</v>
          </cell>
          <cell r="BH67">
            <v>0</v>
          </cell>
          <cell r="BI67">
            <v>0</v>
          </cell>
          <cell r="BK67">
            <v>0</v>
          </cell>
          <cell r="BL67">
            <v>0</v>
          </cell>
          <cell r="BM67">
            <v>0</v>
          </cell>
          <cell r="BN67">
            <v>0</v>
          </cell>
          <cell r="BO67">
            <v>0</v>
          </cell>
          <cell r="BP67">
            <v>0</v>
          </cell>
          <cell r="BQ67">
            <v>0</v>
          </cell>
          <cell r="BR67">
            <v>0</v>
          </cell>
          <cell r="BS67">
            <v>0</v>
          </cell>
          <cell r="BT67">
            <v>0</v>
          </cell>
          <cell r="BU67">
            <v>0</v>
          </cell>
          <cell r="BX67">
            <v>0</v>
          </cell>
          <cell r="BY67">
            <v>0</v>
          </cell>
          <cell r="BZ67">
            <v>0</v>
          </cell>
          <cell r="CB67">
            <v>0</v>
          </cell>
          <cell r="CC67">
            <v>0</v>
          </cell>
          <cell r="CD67">
            <v>0</v>
          </cell>
          <cell r="CE67">
            <v>0</v>
          </cell>
          <cell r="CG67">
            <v>0</v>
          </cell>
          <cell r="CH67">
            <v>0</v>
          </cell>
          <cell r="CI67">
            <v>0</v>
          </cell>
          <cell r="CJ67">
            <v>0</v>
          </cell>
          <cell r="CK67">
            <v>0</v>
          </cell>
          <cell r="CL67">
            <v>0</v>
          </cell>
          <cell r="CM67">
            <v>0</v>
          </cell>
          <cell r="CN67">
            <v>0</v>
          </cell>
          <cell r="CO67">
            <v>0</v>
          </cell>
          <cell r="FD67">
            <v>0</v>
          </cell>
          <cell r="FE67">
            <v>47531100.460247733</v>
          </cell>
          <cell r="FF67">
            <v>0</v>
          </cell>
          <cell r="FG67">
            <v>0</v>
          </cell>
          <cell r="FJ67">
            <v>0</v>
          </cell>
          <cell r="FK67">
            <v>0</v>
          </cell>
          <cell r="FL67">
            <v>0</v>
          </cell>
          <cell r="FN67">
            <v>0</v>
          </cell>
          <cell r="FO67">
            <v>0</v>
          </cell>
          <cell r="FP67">
            <v>0</v>
          </cell>
          <cell r="FQ67">
            <v>0</v>
          </cell>
          <cell r="FS67">
            <v>0</v>
          </cell>
          <cell r="FT67">
            <v>0</v>
          </cell>
          <cell r="FU67">
            <v>0</v>
          </cell>
          <cell r="FV67">
            <v>0</v>
          </cell>
          <cell r="FW67">
            <v>0</v>
          </cell>
          <cell r="FX67">
            <v>0</v>
          </cell>
          <cell r="FY67">
            <v>0</v>
          </cell>
          <cell r="FZ67">
            <v>0</v>
          </cell>
          <cell r="GA67">
            <v>0</v>
          </cell>
        </row>
        <row r="68">
          <cell r="A68" t="str">
            <v>F_CNP_NRF_RET_COL_FRCE_211</v>
          </cell>
          <cell r="E68">
            <v>2662731366.1269026</v>
          </cell>
          <cell r="F68">
            <v>0</v>
          </cell>
          <cell r="G68">
            <v>0</v>
          </cell>
          <cell r="J68">
            <v>0</v>
          </cell>
          <cell r="K68">
            <v>0</v>
          </cell>
          <cell r="L68">
            <v>0</v>
          </cell>
          <cell r="N68">
            <v>0</v>
          </cell>
          <cell r="O68">
            <v>0</v>
          </cell>
          <cell r="P68">
            <v>0</v>
          </cell>
          <cell r="Q68">
            <v>0</v>
          </cell>
          <cell r="S68">
            <v>0</v>
          </cell>
          <cell r="T68">
            <v>0</v>
          </cell>
          <cell r="U68">
            <v>0</v>
          </cell>
          <cell r="V68">
            <v>0</v>
          </cell>
          <cell r="W68">
            <v>0</v>
          </cell>
          <cell r="X68">
            <v>0</v>
          </cell>
          <cell r="Y68">
            <v>0</v>
          </cell>
          <cell r="Z68">
            <v>0</v>
          </cell>
          <cell r="AA68">
            <v>0</v>
          </cell>
          <cell r="AB68">
            <v>0</v>
          </cell>
          <cell r="AC68">
            <v>0</v>
          </cell>
          <cell r="AF68">
            <v>0</v>
          </cell>
          <cell r="AG68">
            <v>0</v>
          </cell>
          <cell r="AH68">
            <v>0</v>
          </cell>
          <cell r="AJ68">
            <v>0</v>
          </cell>
          <cell r="AK68">
            <v>0</v>
          </cell>
          <cell r="AL68">
            <v>0</v>
          </cell>
          <cell r="AM68">
            <v>0</v>
          </cell>
          <cell r="AO68">
            <v>0</v>
          </cell>
          <cell r="AP68">
            <v>0</v>
          </cell>
          <cell r="AQ68">
            <v>0</v>
          </cell>
          <cell r="AR68">
            <v>0</v>
          </cell>
          <cell r="AS68">
            <v>0</v>
          </cell>
          <cell r="AT68">
            <v>0</v>
          </cell>
          <cell r="AU68">
            <v>0</v>
          </cell>
          <cell r="AV68">
            <v>0</v>
          </cell>
          <cell r="AW68">
            <v>0</v>
          </cell>
          <cell r="AX68">
            <v>0</v>
          </cell>
          <cell r="AY68">
            <v>0</v>
          </cell>
          <cell r="BB68">
            <v>0</v>
          </cell>
          <cell r="BC68">
            <v>0</v>
          </cell>
          <cell r="BD68">
            <v>0</v>
          </cell>
          <cell r="BF68">
            <v>0</v>
          </cell>
          <cell r="BG68">
            <v>0</v>
          </cell>
          <cell r="BH68">
            <v>0</v>
          </cell>
          <cell r="BI68">
            <v>0</v>
          </cell>
          <cell r="BK68">
            <v>0</v>
          </cell>
          <cell r="BL68">
            <v>0</v>
          </cell>
          <cell r="BM68">
            <v>0</v>
          </cell>
          <cell r="BN68">
            <v>0</v>
          </cell>
          <cell r="BO68">
            <v>0</v>
          </cell>
          <cell r="BP68">
            <v>0</v>
          </cell>
          <cell r="BQ68">
            <v>0</v>
          </cell>
          <cell r="BR68">
            <v>0</v>
          </cell>
          <cell r="BS68">
            <v>0</v>
          </cell>
          <cell r="BT68">
            <v>0</v>
          </cell>
          <cell r="BU68">
            <v>0</v>
          </cell>
          <cell r="BX68">
            <v>0</v>
          </cell>
          <cell r="BY68">
            <v>0</v>
          </cell>
          <cell r="BZ68">
            <v>0</v>
          </cell>
          <cell r="CB68">
            <v>0</v>
          </cell>
          <cell r="CC68">
            <v>0</v>
          </cell>
          <cell r="CD68">
            <v>0</v>
          </cell>
          <cell r="CE68">
            <v>0</v>
          </cell>
          <cell r="CG68">
            <v>0</v>
          </cell>
          <cell r="CH68">
            <v>0</v>
          </cell>
          <cell r="CI68">
            <v>0</v>
          </cell>
          <cell r="CJ68">
            <v>0</v>
          </cell>
          <cell r="CK68">
            <v>0</v>
          </cell>
          <cell r="CL68">
            <v>0</v>
          </cell>
          <cell r="CM68">
            <v>0</v>
          </cell>
          <cell r="CN68">
            <v>0</v>
          </cell>
          <cell r="CO68">
            <v>0</v>
          </cell>
          <cell r="FD68">
            <v>0</v>
          </cell>
          <cell r="FE68">
            <v>1807933812.0668821</v>
          </cell>
          <cell r="FF68">
            <v>0</v>
          </cell>
          <cell r="FG68">
            <v>0</v>
          </cell>
          <cell r="FJ68">
            <v>0</v>
          </cell>
          <cell r="FK68">
            <v>0</v>
          </cell>
          <cell r="FL68">
            <v>0</v>
          </cell>
          <cell r="FN68">
            <v>0</v>
          </cell>
          <cell r="FO68">
            <v>0</v>
          </cell>
          <cell r="FP68">
            <v>0</v>
          </cell>
          <cell r="FQ68">
            <v>0</v>
          </cell>
          <cell r="FS68">
            <v>0</v>
          </cell>
          <cell r="FT68">
            <v>0</v>
          </cell>
          <cell r="FU68">
            <v>0</v>
          </cell>
          <cell r="FV68">
            <v>0</v>
          </cell>
          <cell r="FW68">
            <v>0</v>
          </cell>
          <cell r="FX68">
            <v>0</v>
          </cell>
          <cell r="FY68">
            <v>0</v>
          </cell>
          <cell r="FZ68">
            <v>0</v>
          </cell>
          <cell r="GA68">
            <v>0</v>
          </cell>
        </row>
        <row r="69">
          <cell r="A69" t="str">
            <v>F_CNP_NRF_RET_COL_FRCE_217</v>
          </cell>
          <cell r="E69">
            <v>0</v>
          </cell>
          <cell r="F69">
            <v>0</v>
          </cell>
          <cell r="G69">
            <v>0</v>
          </cell>
          <cell r="J69">
            <v>0</v>
          </cell>
          <cell r="K69">
            <v>0</v>
          </cell>
          <cell r="L69">
            <v>0</v>
          </cell>
          <cell r="N69">
            <v>0</v>
          </cell>
          <cell r="O69">
            <v>0</v>
          </cell>
          <cell r="P69">
            <v>0</v>
          </cell>
          <cell r="Q69">
            <v>0</v>
          </cell>
          <cell r="S69">
            <v>0</v>
          </cell>
          <cell r="T69">
            <v>0</v>
          </cell>
          <cell r="U69">
            <v>0</v>
          </cell>
          <cell r="V69">
            <v>0</v>
          </cell>
          <cell r="W69">
            <v>0</v>
          </cell>
          <cell r="X69">
            <v>0</v>
          </cell>
          <cell r="Y69">
            <v>0</v>
          </cell>
          <cell r="Z69">
            <v>0</v>
          </cell>
          <cell r="AA69">
            <v>0</v>
          </cell>
          <cell r="AB69">
            <v>0</v>
          </cell>
          <cell r="AC69">
            <v>0</v>
          </cell>
          <cell r="AF69">
            <v>0</v>
          </cell>
          <cell r="AG69">
            <v>0</v>
          </cell>
          <cell r="AH69">
            <v>0</v>
          </cell>
          <cell r="AJ69">
            <v>0</v>
          </cell>
          <cell r="AK69">
            <v>0</v>
          </cell>
          <cell r="AL69">
            <v>0</v>
          </cell>
          <cell r="AM69">
            <v>0</v>
          </cell>
          <cell r="AO69">
            <v>0</v>
          </cell>
          <cell r="AP69">
            <v>0</v>
          </cell>
          <cell r="AQ69">
            <v>0</v>
          </cell>
          <cell r="AR69">
            <v>0</v>
          </cell>
          <cell r="AS69">
            <v>0</v>
          </cell>
          <cell r="AT69">
            <v>0</v>
          </cell>
          <cell r="AU69">
            <v>0</v>
          </cell>
          <cell r="AV69">
            <v>0</v>
          </cell>
          <cell r="AW69">
            <v>0</v>
          </cell>
          <cell r="AX69">
            <v>0</v>
          </cell>
          <cell r="AY69">
            <v>0</v>
          </cell>
          <cell r="BB69">
            <v>0</v>
          </cell>
          <cell r="BC69">
            <v>0</v>
          </cell>
          <cell r="BD69">
            <v>0</v>
          </cell>
          <cell r="BF69">
            <v>0</v>
          </cell>
          <cell r="BG69">
            <v>0</v>
          </cell>
          <cell r="BH69">
            <v>0</v>
          </cell>
          <cell r="BI69">
            <v>0</v>
          </cell>
          <cell r="BK69">
            <v>0</v>
          </cell>
          <cell r="BL69">
            <v>0</v>
          </cell>
          <cell r="BM69">
            <v>0</v>
          </cell>
          <cell r="BN69">
            <v>0</v>
          </cell>
          <cell r="BO69">
            <v>0</v>
          </cell>
          <cell r="BP69">
            <v>0</v>
          </cell>
          <cell r="BQ69">
            <v>0</v>
          </cell>
          <cell r="BR69">
            <v>0</v>
          </cell>
          <cell r="BS69">
            <v>0</v>
          </cell>
          <cell r="BT69">
            <v>0</v>
          </cell>
          <cell r="BU69">
            <v>0</v>
          </cell>
          <cell r="BX69">
            <v>0</v>
          </cell>
          <cell r="BY69">
            <v>0</v>
          </cell>
          <cell r="BZ69">
            <v>0</v>
          </cell>
          <cell r="CB69">
            <v>0</v>
          </cell>
          <cell r="CC69">
            <v>0</v>
          </cell>
          <cell r="CD69">
            <v>0</v>
          </cell>
          <cell r="CE69">
            <v>0</v>
          </cell>
          <cell r="CG69">
            <v>0</v>
          </cell>
          <cell r="CH69">
            <v>0</v>
          </cell>
          <cell r="CI69">
            <v>0</v>
          </cell>
          <cell r="CJ69">
            <v>0</v>
          </cell>
          <cell r="CK69">
            <v>0</v>
          </cell>
          <cell r="CL69">
            <v>0</v>
          </cell>
          <cell r="CM69">
            <v>0</v>
          </cell>
          <cell r="CN69">
            <v>0</v>
          </cell>
          <cell r="CO69">
            <v>0</v>
          </cell>
          <cell r="FD69">
            <v>0</v>
          </cell>
          <cell r="FE69">
            <v>0</v>
          </cell>
          <cell r="FF69">
            <v>0</v>
          </cell>
          <cell r="FG69">
            <v>0</v>
          </cell>
          <cell r="FJ69">
            <v>0</v>
          </cell>
          <cell r="FK69">
            <v>0</v>
          </cell>
          <cell r="FL69">
            <v>0</v>
          </cell>
          <cell r="FN69">
            <v>0</v>
          </cell>
          <cell r="FO69">
            <v>0</v>
          </cell>
          <cell r="FP69">
            <v>0</v>
          </cell>
          <cell r="FQ69">
            <v>0</v>
          </cell>
          <cell r="FS69">
            <v>0</v>
          </cell>
          <cell r="FT69">
            <v>0</v>
          </cell>
          <cell r="FU69">
            <v>0</v>
          </cell>
          <cell r="FV69">
            <v>0</v>
          </cell>
          <cell r="FW69">
            <v>0</v>
          </cell>
          <cell r="FX69">
            <v>0</v>
          </cell>
          <cell r="FY69">
            <v>0</v>
          </cell>
          <cell r="FZ69">
            <v>0</v>
          </cell>
          <cell r="GA69">
            <v>0</v>
          </cell>
        </row>
        <row r="70">
          <cell r="A70" t="str">
            <v>F_CNP_NRF_RET_COL_FRCE_235</v>
          </cell>
          <cell r="E70">
            <v>19312748.037302986</v>
          </cell>
          <cell r="F70">
            <v>0</v>
          </cell>
          <cell r="G70">
            <v>0</v>
          </cell>
          <cell r="J70">
            <v>0</v>
          </cell>
          <cell r="K70">
            <v>0</v>
          </cell>
          <cell r="L70">
            <v>0</v>
          </cell>
          <cell r="N70">
            <v>0</v>
          </cell>
          <cell r="O70">
            <v>0</v>
          </cell>
          <cell r="P70">
            <v>0</v>
          </cell>
          <cell r="Q70">
            <v>0</v>
          </cell>
          <cell r="S70">
            <v>0</v>
          </cell>
          <cell r="T70">
            <v>0</v>
          </cell>
          <cell r="U70">
            <v>0</v>
          </cell>
          <cell r="V70">
            <v>0</v>
          </cell>
          <cell r="W70">
            <v>0</v>
          </cell>
          <cell r="X70">
            <v>0</v>
          </cell>
          <cell r="Y70">
            <v>0</v>
          </cell>
          <cell r="Z70">
            <v>0</v>
          </cell>
          <cell r="AA70">
            <v>0</v>
          </cell>
          <cell r="AB70">
            <v>0</v>
          </cell>
          <cell r="AC70">
            <v>0</v>
          </cell>
          <cell r="AF70">
            <v>0</v>
          </cell>
          <cell r="AG70">
            <v>0</v>
          </cell>
          <cell r="AH70">
            <v>0</v>
          </cell>
          <cell r="AJ70">
            <v>0</v>
          </cell>
          <cell r="AK70">
            <v>0</v>
          </cell>
          <cell r="AL70">
            <v>0</v>
          </cell>
          <cell r="AM70">
            <v>0</v>
          </cell>
          <cell r="AO70">
            <v>0</v>
          </cell>
          <cell r="AP70">
            <v>0</v>
          </cell>
          <cell r="AQ70">
            <v>0</v>
          </cell>
          <cell r="AR70">
            <v>0</v>
          </cell>
          <cell r="AS70">
            <v>0</v>
          </cell>
          <cell r="AT70">
            <v>0</v>
          </cell>
          <cell r="AU70">
            <v>0</v>
          </cell>
          <cell r="AV70">
            <v>0</v>
          </cell>
          <cell r="AW70">
            <v>0</v>
          </cell>
          <cell r="AX70">
            <v>0</v>
          </cell>
          <cell r="AY70">
            <v>0</v>
          </cell>
          <cell r="BB70">
            <v>0</v>
          </cell>
          <cell r="BC70">
            <v>0</v>
          </cell>
          <cell r="BD70">
            <v>0</v>
          </cell>
          <cell r="BF70">
            <v>0</v>
          </cell>
          <cell r="BG70">
            <v>0</v>
          </cell>
          <cell r="BH70">
            <v>0</v>
          </cell>
          <cell r="BI70">
            <v>0</v>
          </cell>
          <cell r="BK70">
            <v>0</v>
          </cell>
          <cell r="BL70">
            <v>0</v>
          </cell>
          <cell r="BM70">
            <v>0</v>
          </cell>
          <cell r="BN70">
            <v>0</v>
          </cell>
          <cell r="BO70">
            <v>0</v>
          </cell>
          <cell r="BP70">
            <v>0</v>
          </cell>
          <cell r="BQ70">
            <v>0</v>
          </cell>
          <cell r="BR70">
            <v>0</v>
          </cell>
          <cell r="BS70">
            <v>0</v>
          </cell>
          <cell r="BT70">
            <v>0</v>
          </cell>
          <cell r="BU70">
            <v>0</v>
          </cell>
          <cell r="BX70">
            <v>0</v>
          </cell>
          <cell r="BY70">
            <v>0</v>
          </cell>
          <cell r="BZ70">
            <v>0</v>
          </cell>
          <cell r="CB70">
            <v>0</v>
          </cell>
          <cell r="CC70">
            <v>0</v>
          </cell>
          <cell r="CD70">
            <v>0</v>
          </cell>
          <cell r="CE70">
            <v>0</v>
          </cell>
          <cell r="CG70">
            <v>0</v>
          </cell>
          <cell r="CH70">
            <v>0</v>
          </cell>
          <cell r="CI70">
            <v>0</v>
          </cell>
          <cell r="CJ70">
            <v>0</v>
          </cell>
          <cell r="CK70">
            <v>0</v>
          </cell>
          <cell r="CL70">
            <v>0</v>
          </cell>
          <cell r="CM70">
            <v>0</v>
          </cell>
          <cell r="CN70">
            <v>0</v>
          </cell>
          <cell r="CO70">
            <v>0</v>
          </cell>
          <cell r="FD70">
            <v>0</v>
          </cell>
          <cell r="FE70">
            <v>13112915.040827412</v>
          </cell>
          <cell r="FF70">
            <v>0</v>
          </cell>
          <cell r="FG70">
            <v>0</v>
          </cell>
          <cell r="FJ70">
            <v>0</v>
          </cell>
          <cell r="FK70">
            <v>0</v>
          </cell>
          <cell r="FL70">
            <v>0</v>
          </cell>
          <cell r="FN70">
            <v>0</v>
          </cell>
          <cell r="FO70">
            <v>0</v>
          </cell>
          <cell r="FP70">
            <v>0</v>
          </cell>
          <cell r="FQ70">
            <v>0</v>
          </cell>
          <cell r="FS70">
            <v>0</v>
          </cell>
          <cell r="FT70">
            <v>0</v>
          </cell>
          <cell r="FU70">
            <v>0</v>
          </cell>
          <cell r="FV70">
            <v>0</v>
          </cell>
          <cell r="FW70">
            <v>0</v>
          </cell>
          <cell r="FX70">
            <v>0</v>
          </cell>
          <cell r="FY70">
            <v>0</v>
          </cell>
          <cell r="FZ70">
            <v>0</v>
          </cell>
          <cell r="GA70">
            <v>0</v>
          </cell>
        </row>
        <row r="71">
          <cell r="A71" t="str">
            <v>F_CNP_NRF_RET_COL_FRCE_237</v>
          </cell>
          <cell r="E71">
            <v>132441077.77122767</v>
          </cell>
          <cell r="F71">
            <v>0</v>
          </cell>
          <cell r="G71">
            <v>0</v>
          </cell>
          <cell r="J71">
            <v>0</v>
          </cell>
          <cell r="K71">
            <v>0</v>
          </cell>
          <cell r="L71">
            <v>0</v>
          </cell>
          <cell r="N71">
            <v>0</v>
          </cell>
          <cell r="O71">
            <v>0</v>
          </cell>
          <cell r="P71">
            <v>0</v>
          </cell>
          <cell r="Q71">
            <v>0</v>
          </cell>
          <cell r="S71">
            <v>0</v>
          </cell>
          <cell r="T71">
            <v>0</v>
          </cell>
          <cell r="U71">
            <v>0</v>
          </cell>
          <cell r="V71">
            <v>0</v>
          </cell>
          <cell r="W71">
            <v>0</v>
          </cell>
          <cell r="X71">
            <v>0</v>
          </cell>
          <cell r="Y71">
            <v>0</v>
          </cell>
          <cell r="Z71">
            <v>0</v>
          </cell>
          <cell r="AA71">
            <v>0</v>
          </cell>
          <cell r="AB71">
            <v>0</v>
          </cell>
          <cell r="AC71">
            <v>0</v>
          </cell>
          <cell r="AF71">
            <v>0</v>
          </cell>
          <cell r="AG71">
            <v>0</v>
          </cell>
          <cell r="AH71">
            <v>0</v>
          </cell>
          <cell r="AJ71">
            <v>0</v>
          </cell>
          <cell r="AK71">
            <v>0</v>
          </cell>
          <cell r="AL71">
            <v>0</v>
          </cell>
          <cell r="AM71">
            <v>0</v>
          </cell>
          <cell r="AO71">
            <v>0</v>
          </cell>
          <cell r="AP71">
            <v>0</v>
          </cell>
          <cell r="AQ71">
            <v>0</v>
          </cell>
          <cell r="AR71">
            <v>0</v>
          </cell>
          <cell r="AS71">
            <v>0</v>
          </cell>
          <cell r="AT71">
            <v>0</v>
          </cell>
          <cell r="AU71">
            <v>0</v>
          </cell>
          <cell r="AV71">
            <v>0</v>
          </cell>
          <cell r="AW71">
            <v>0</v>
          </cell>
          <cell r="AX71">
            <v>0</v>
          </cell>
          <cell r="AY71">
            <v>0</v>
          </cell>
          <cell r="BB71">
            <v>0</v>
          </cell>
          <cell r="BC71">
            <v>0</v>
          </cell>
          <cell r="BD71">
            <v>0</v>
          </cell>
          <cell r="BF71">
            <v>0</v>
          </cell>
          <cell r="BG71">
            <v>0</v>
          </cell>
          <cell r="BH71">
            <v>0</v>
          </cell>
          <cell r="BI71">
            <v>0</v>
          </cell>
          <cell r="BK71">
            <v>0</v>
          </cell>
          <cell r="BL71">
            <v>0</v>
          </cell>
          <cell r="BM71">
            <v>0</v>
          </cell>
          <cell r="BN71">
            <v>0</v>
          </cell>
          <cell r="BO71">
            <v>0</v>
          </cell>
          <cell r="BP71">
            <v>0</v>
          </cell>
          <cell r="BQ71">
            <v>0</v>
          </cell>
          <cell r="BR71">
            <v>0</v>
          </cell>
          <cell r="BS71">
            <v>0</v>
          </cell>
          <cell r="BT71">
            <v>0</v>
          </cell>
          <cell r="BU71">
            <v>0</v>
          </cell>
          <cell r="BX71">
            <v>0</v>
          </cell>
          <cell r="BY71">
            <v>0</v>
          </cell>
          <cell r="BZ71">
            <v>0</v>
          </cell>
          <cell r="CB71">
            <v>0</v>
          </cell>
          <cell r="CC71">
            <v>0</v>
          </cell>
          <cell r="CD71">
            <v>0</v>
          </cell>
          <cell r="CE71">
            <v>0</v>
          </cell>
          <cell r="CG71">
            <v>0</v>
          </cell>
          <cell r="CH71">
            <v>0</v>
          </cell>
          <cell r="CI71">
            <v>0</v>
          </cell>
          <cell r="CJ71">
            <v>0</v>
          </cell>
          <cell r="CK71">
            <v>0</v>
          </cell>
          <cell r="CL71">
            <v>0</v>
          </cell>
          <cell r="CM71">
            <v>0</v>
          </cell>
          <cell r="CN71">
            <v>0</v>
          </cell>
          <cell r="CO71">
            <v>0</v>
          </cell>
          <cell r="FD71">
            <v>0</v>
          </cell>
          <cell r="FE71">
            <v>89924468.406840563</v>
          </cell>
          <cell r="FF71">
            <v>0</v>
          </cell>
          <cell r="FG71">
            <v>0</v>
          </cell>
          <cell r="FJ71">
            <v>0</v>
          </cell>
          <cell r="FK71">
            <v>0</v>
          </cell>
          <cell r="FL71">
            <v>0</v>
          </cell>
          <cell r="FN71">
            <v>0</v>
          </cell>
          <cell r="FO71">
            <v>0</v>
          </cell>
          <cell r="FP71">
            <v>0</v>
          </cell>
          <cell r="FQ71">
            <v>0</v>
          </cell>
          <cell r="FS71">
            <v>0</v>
          </cell>
          <cell r="FT71">
            <v>0</v>
          </cell>
          <cell r="FU71">
            <v>0</v>
          </cell>
          <cell r="FV71">
            <v>0</v>
          </cell>
          <cell r="FW71">
            <v>0</v>
          </cell>
          <cell r="FX71">
            <v>0</v>
          </cell>
          <cell r="FY71">
            <v>0</v>
          </cell>
          <cell r="FZ71">
            <v>0</v>
          </cell>
          <cell r="GA71">
            <v>0</v>
          </cell>
        </row>
        <row r="72">
          <cell r="A72" t="str">
            <v>F_CNP_NRF_RET_COL_FRCE_242</v>
          </cell>
          <cell r="E72">
            <v>425257516.99515831</v>
          </cell>
          <cell r="F72">
            <v>0</v>
          </cell>
          <cell r="G72">
            <v>0</v>
          </cell>
          <cell r="J72">
            <v>0</v>
          </cell>
          <cell r="K72">
            <v>0</v>
          </cell>
          <cell r="L72">
            <v>0</v>
          </cell>
          <cell r="N72">
            <v>0</v>
          </cell>
          <cell r="O72">
            <v>0</v>
          </cell>
          <cell r="P72">
            <v>0</v>
          </cell>
          <cell r="Q72">
            <v>0</v>
          </cell>
          <cell r="S72">
            <v>0</v>
          </cell>
          <cell r="T72">
            <v>0</v>
          </cell>
          <cell r="U72">
            <v>0</v>
          </cell>
          <cell r="V72">
            <v>0</v>
          </cell>
          <cell r="W72">
            <v>0</v>
          </cell>
          <cell r="X72">
            <v>0</v>
          </cell>
          <cell r="Y72">
            <v>0</v>
          </cell>
          <cell r="Z72">
            <v>0</v>
          </cell>
          <cell r="AA72">
            <v>0</v>
          </cell>
          <cell r="AB72">
            <v>0</v>
          </cell>
          <cell r="AC72">
            <v>0</v>
          </cell>
          <cell r="AF72">
            <v>0</v>
          </cell>
          <cell r="AG72">
            <v>0</v>
          </cell>
          <cell r="AH72">
            <v>0</v>
          </cell>
          <cell r="AJ72">
            <v>0</v>
          </cell>
          <cell r="AK72">
            <v>0</v>
          </cell>
          <cell r="AL72">
            <v>0</v>
          </cell>
          <cell r="AM72">
            <v>0</v>
          </cell>
          <cell r="AO72">
            <v>0</v>
          </cell>
          <cell r="AP72">
            <v>0</v>
          </cell>
          <cell r="AQ72">
            <v>0</v>
          </cell>
          <cell r="AR72">
            <v>0</v>
          </cell>
          <cell r="AS72">
            <v>0</v>
          </cell>
          <cell r="AT72">
            <v>0</v>
          </cell>
          <cell r="AU72">
            <v>0</v>
          </cell>
          <cell r="AV72">
            <v>0</v>
          </cell>
          <cell r="AW72">
            <v>0</v>
          </cell>
          <cell r="AX72">
            <v>0</v>
          </cell>
          <cell r="AY72">
            <v>0</v>
          </cell>
          <cell r="BB72">
            <v>0</v>
          </cell>
          <cell r="BC72">
            <v>0</v>
          </cell>
          <cell r="BD72">
            <v>0</v>
          </cell>
          <cell r="BF72">
            <v>0</v>
          </cell>
          <cell r="BG72">
            <v>0</v>
          </cell>
          <cell r="BH72">
            <v>0</v>
          </cell>
          <cell r="BI72">
            <v>0</v>
          </cell>
          <cell r="BK72">
            <v>0</v>
          </cell>
          <cell r="BL72">
            <v>0</v>
          </cell>
          <cell r="BM72">
            <v>0</v>
          </cell>
          <cell r="BN72">
            <v>0</v>
          </cell>
          <cell r="BO72">
            <v>0</v>
          </cell>
          <cell r="BP72">
            <v>0</v>
          </cell>
          <cell r="BQ72">
            <v>0</v>
          </cell>
          <cell r="BR72">
            <v>0</v>
          </cell>
          <cell r="BS72">
            <v>0</v>
          </cell>
          <cell r="BT72">
            <v>0</v>
          </cell>
          <cell r="BU72">
            <v>0</v>
          </cell>
          <cell r="BX72">
            <v>0</v>
          </cell>
          <cell r="BY72">
            <v>0</v>
          </cell>
          <cell r="BZ72">
            <v>0</v>
          </cell>
          <cell r="CB72">
            <v>0</v>
          </cell>
          <cell r="CC72">
            <v>0</v>
          </cell>
          <cell r="CD72">
            <v>0</v>
          </cell>
          <cell r="CE72">
            <v>0</v>
          </cell>
          <cell r="CG72">
            <v>0</v>
          </cell>
          <cell r="CH72">
            <v>0</v>
          </cell>
          <cell r="CI72">
            <v>0</v>
          </cell>
          <cell r="CJ72">
            <v>0</v>
          </cell>
          <cell r="CK72">
            <v>0</v>
          </cell>
          <cell r="CL72">
            <v>0</v>
          </cell>
          <cell r="CM72">
            <v>0</v>
          </cell>
          <cell r="CN72">
            <v>0</v>
          </cell>
          <cell r="CO72">
            <v>0</v>
          </cell>
          <cell r="FD72">
            <v>0</v>
          </cell>
          <cell r="FE72">
            <v>425257516.99515831</v>
          </cell>
          <cell r="FF72">
            <v>0</v>
          </cell>
          <cell r="FG72">
            <v>0</v>
          </cell>
          <cell r="FJ72">
            <v>0</v>
          </cell>
          <cell r="FK72">
            <v>0</v>
          </cell>
          <cell r="FL72">
            <v>0</v>
          </cell>
          <cell r="FN72">
            <v>0</v>
          </cell>
          <cell r="FO72">
            <v>0</v>
          </cell>
          <cell r="FP72">
            <v>0</v>
          </cell>
          <cell r="FQ72">
            <v>0</v>
          </cell>
          <cell r="FS72">
            <v>0</v>
          </cell>
          <cell r="FT72">
            <v>0</v>
          </cell>
          <cell r="FU72">
            <v>0</v>
          </cell>
          <cell r="FV72">
            <v>0</v>
          </cell>
          <cell r="FW72">
            <v>0</v>
          </cell>
          <cell r="FX72">
            <v>0</v>
          </cell>
          <cell r="FY72">
            <v>0</v>
          </cell>
          <cell r="FZ72">
            <v>0</v>
          </cell>
          <cell r="GA72">
            <v>0</v>
          </cell>
        </row>
        <row r="73">
          <cell r="A73" t="str">
            <v>F_CNP_NRF_RET_COL_FRCE_277</v>
          </cell>
          <cell r="E73">
            <v>483533839.19707954</v>
          </cell>
          <cell r="F73">
            <v>0</v>
          </cell>
          <cell r="G73">
            <v>0</v>
          </cell>
          <cell r="J73">
            <v>0</v>
          </cell>
          <cell r="K73">
            <v>0</v>
          </cell>
          <cell r="L73">
            <v>0</v>
          </cell>
          <cell r="N73">
            <v>0</v>
          </cell>
          <cell r="O73">
            <v>0</v>
          </cell>
          <cell r="P73">
            <v>0</v>
          </cell>
          <cell r="Q73">
            <v>0</v>
          </cell>
          <cell r="S73">
            <v>0</v>
          </cell>
          <cell r="T73">
            <v>0</v>
          </cell>
          <cell r="U73">
            <v>0</v>
          </cell>
          <cell r="V73">
            <v>0</v>
          </cell>
          <cell r="W73">
            <v>0</v>
          </cell>
          <cell r="X73">
            <v>0</v>
          </cell>
          <cell r="Y73">
            <v>0</v>
          </cell>
          <cell r="Z73">
            <v>0</v>
          </cell>
          <cell r="AA73">
            <v>0</v>
          </cell>
          <cell r="AB73">
            <v>0</v>
          </cell>
          <cell r="AC73">
            <v>0</v>
          </cell>
          <cell r="AF73">
            <v>0</v>
          </cell>
          <cell r="AG73">
            <v>0</v>
          </cell>
          <cell r="AH73">
            <v>0</v>
          </cell>
          <cell r="AJ73">
            <v>0</v>
          </cell>
          <cell r="AK73">
            <v>0</v>
          </cell>
          <cell r="AL73">
            <v>0</v>
          </cell>
          <cell r="AM73">
            <v>0</v>
          </cell>
          <cell r="AO73">
            <v>0</v>
          </cell>
          <cell r="AP73">
            <v>0</v>
          </cell>
          <cell r="AQ73">
            <v>0</v>
          </cell>
          <cell r="AR73">
            <v>0</v>
          </cell>
          <cell r="AS73">
            <v>0</v>
          </cell>
          <cell r="AT73">
            <v>0</v>
          </cell>
          <cell r="AU73">
            <v>0</v>
          </cell>
          <cell r="AV73">
            <v>0</v>
          </cell>
          <cell r="AW73">
            <v>0</v>
          </cell>
          <cell r="AX73">
            <v>0</v>
          </cell>
          <cell r="AY73">
            <v>0</v>
          </cell>
          <cell r="BB73">
            <v>0</v>
          </cell>
          <cell r="BC73">
            <v>0</v>
          </cell>
          <cell r="BD73">
            <v>0</v>
          </cell>
          <cell r="BF73">
            <v>0</v>
          </cell>
          <cell r="BG73">
            <v>0</v>
          </cell>
          <cell r="BH73">
            <v>0</v>
          </cell>
          <cell r="BI73">
            <v>0</v>
          </cell>
          <cell r="BK73">
            <v>0</v>
          </cell>
          <cell r="BL73">
            <v>0</v>
          </cell>
          <cell r="BM73">
            <v>0</v>
          </cell>
          <cell r="BN73">
            <v>0</v>
          </cell>
          <cell r="BO73">
            <v>0</v>
          </cell>
          <cell r="BP73">
            <v>0</v>
          </cell>
          <cell r="BQ73">
            <v>0</v>
          </cell>
          <cell r="BR73">
            <v>0</v>
          </cell>
          <cell r="BS73">
            <v>0</v>
          </cell>
          <cell r="BT73">
            <v>0</v>
          </cell>
          <cell r="BU73">
            <v>0</v>
          </cell>
          <cell r="BX73">
            <v>0</v>
          </cell>
          <cell r="BY73">
            <v>0</v>
          </cell>
          <cell r="BZ73">
            <v>0</v>
          </cell>
          <cell r="CB73">
            <v>0</v>
          </cell>
          <cell r="CC73">
            <v>0</v>
          </cell>
          <cell r="CD73">
            <v>0</v>
          </cell>
          <cell r="CE73">
            <v>0</v>
          </cell>
          <cell r="CG73">
            <v>0</v>
          </cell>
          <cell r="CH73">
            <v>0</v>
          </cell>
          <cell r="CI73">
            <v>0</v>
          </cell>
          <cell r="CJ73">
            <v>0</v>
          </cell>
          <cell r="CK73">
            <v>0</v>
          </cell>
          <cell r="CL73">
            <v>0</v>
          </cell>
          <cell r="CM73">
            <v>0</v>
          </cell>
          <cell r="CN73">
            <v>0</v>
          </cell>
          <cell r="CO73">
            <v>0</v>
          </cell>
          <cell r="FD73">
            <v>0</v>
          </cell>
          <cell r="FE73">
            <v>385736459.1516493</v>
          </cell>
          <cell r="FF73">
            <v>0</v>
          </cell>
          <cell r="FG73">
            <v>0</v>
          </cell>
          <cell r="FJ73">
            <v>0</v>
          </cell>
          <cell r="FK73">
            <v>0</v>
          </cell>
          <cell r="FL73">
            <v>0</v>
          </cell>
          <cell r="FN73">
            <v>0</v>
          </cell>
          <cell r="FO73">
            <v>0</v>
          </cell>
          <cell r="FP73">
            <v>0</v>
          </cell>
          <cell r="FQ73">
            <v>0</v>
          </cell>
          <cell r="FS73">
            <v>0</v>
          </cell>
          <cell r="FT73">
            <v>0</v>
          </cell>
          <cell r="FU73">
            <v>0</v>
          </cell>
          <cell r="FV73">
            <v>0</v>
          </cell>
          <cell r="FW73">
            <v>0</v>
          </cell>
          <cell r="FX73">
            <v>0</v>
          </cell>
          <cell r="FY73">
            <v>0</v>
          </cell>
          <cell r="FZ73">
            <v>0</v>
          </cell>
          <cell r="GA73">
            <v>0</v>
          </cell>
        </row>
        <row r="74">
          <cell r="A74" t="str">
            <v>F_CNP_NRF_RET_COL_FRCE_272</v>
          </cell>
          <cell r="E74">
            <v>100458387.33652489</v>
          </cell>
          <cell r="F74">
            <v>0</v>
          </cell>
          <cell r="G74">
            <v>0</v>
          </cell>
          <cell r="J74">
            <v>0</v>
          </cell>
          <cell r="K74">
            <v>0</v>
          </cell>
          <cell r="L74">
            <v>0</v>
          </cell>
          <cell r="N74">
            <v>0</v>
          </cell>
          <cell r="O74">
            <v>0</v>
          </cell>
          <cell r="P74">
            <v>0</v>
          </cell>
          <cell r="Q74">
            <v>0</v>
          </cell>
          <cell r="S74">
            <v>0</v>
          </cell>
          <cell r="T74">
            <v>0</v>
          </cell>
          <cell r="U74">
            <v>0</v>
          </cell>
          <cell r="V74">
            <v>0</v>
          </cell>
          <cell r="W74">
            <v>0</v>
          </cell>
          <cell r="X74">
            <v>0</v>
          </cell>
          <cell r="Y74">
            <v>0</v>
          </cell>
          <cell r="Z74">
            <v>0</v>
          </cell>
          <cell r="AA74">
            <v>0</v>
          </cell>
          <cell r="AB74">
            <v>0</v>
          </cell>
          <cell r="AC74">
            <v>0</v>
          </cell>
          <cell r="AF74">
            <v>0</v>
          </cell>
          <cell r="AG74">
            <v>0</v>
          </cell>
          <cell r="AH74">
            <v>0</v>
          </cell>
          <cell r="AJ74">
            <v>0</v>
          </cell>
          <cell r="AK74">
            <v>0</v>
          </cell>
          <cell r="AL74">
            <v>0</v>
          </cell>
          <cell r="AM74">
            <v>0</v>
          </cell>
          <cell r="AO74">
            <v>0</v>
          </cell>
          <cell r="AP74">
            <v>0</v>
          </cell>
          <cell r="AQ74">
            <v>0</v>
          </cell>
          <cell r="AR74">
            <v>0</v>
          </cell>
          <cell r="AS74">
            <v>0</v>
          </cell>
          <cell r="AT74">
            <v>0</v>
          </cell>
          <cell r="AU74">
            <v>0</v>
          </cell>
          <cell r="AV74">
            <v>0</v>
          </cell>
          <cell r="AW74">
            <v>0</v>
          </cell>
          <cell r="AX74">
            <v>0</v>
          </cell>
          <cell r="AY74">
            <v>0</v>
          </cell>
          <cell r="BB74">
            <v>0</v>
          </cell>
          <cell r="BC74">
            <v>0</v>
          </cell>
          <cell r="BD74">
            <v>0</v>
          </cell>
          <cell r="BF74">
            <v>0</v>
          </cell>
          <cell r="BG74">
            <v>0</v>
          </cell>
          <cell r="BH74">
            <v>0</v>
          </cell>
          <cell r="BI74">
            <v>0</v>
          </cell>
          <cell r="BK74">
            <v>0</v>
          </cell>
          <cell r="BL74">
            <v>0</v>
          </cell>
          <cell r="BM74">
            <v>0</v>
          </cell>
          <cell r="BN74">
            <v>0</v>
          </cell>
          <cell r="BO74">
            <v>0</v>
          </cell>
          <cell r="BP74">
            <v>0</v>
          </cell>
          <cell r="BQ74">
            <v>0</v>
          </cell>
          <cell r="BR74">
            <v>0</v>
          </cell>
          <cell r="BS74">
            <v>0</v>
          </cell>
          <cell r="BT74">
            <v>0</v>
          </cell>
          <cell r="BU74">
            <v>0</v>
          </cell>
          <cell r="BX74">
            <v>0</v>
          </cell>
          <cell r="BY74">
            <v>0</v>
          </cell>
          <cell r="BZ74">
            <v>0</v>
          </cell>
          <cell r="CB74">
            <v>0</v>
          </cell>
          <cell r="CC74">
            <v>0</v>
          </cell>
          <cell r="CD74">
            <v>0</v>
          </cell>
          <cell r="CE74">
            <v>0</v>
          </cell>
          <cell r="CG74">
            <v>0</v>
          </cell>
          <cell r="CH74">
            <v>0</v>
          </cell>
          <cell r="CI74">
            <v>0</v>
          </cell>
          <cell r="CJ74">
            <v>0</v>
          </cell>
          <cell r="CK74">
            <v>0</v>
          </cell>
          <cell r="CL74">
            <v>0</v>
          </cell>
          <cell r="CM74">
            <v>0</v>
          </cell>
          <cell r="CN74">
            <v>0</v>
          </cell>
          <cell r="CO74">
            <v>0</v>
          </cell>
          <cell r="FD74">
            <v>0</v>
          </cell>
          <cell r="FE74">
            <v>68208951.7109624</v>
          </cell>
          <cell r="FF74">
            <v>0</v>
          </cell>
          <cell r="FG74">
            <v>0</v>
          </cell>
          <cell r="FJ74">
            <v>0</v>
          </cell>
          <cell r="FK74">
            <v>0</v>
          </cell>
          <cell r="FL74">
            <v>0</v>
          </cell>
          <cell r="FN74">
            <v>0</v>
          </cell>
          <cell r="FO74">
            <v>0</v>
          </cell>
          <cell r="FP74">
            <v>0</v>
          </cell>
          <cell r="FQ74">
            <v>0</v>
          </cell>
          <cell r="FS74">
            <v>0</v>
          </cell>
          <cell r="FT74">
            <v>0</v>
          </cell>
          <cell r="FU74">
            <v>0</v>
          </cell>
          <cell r="FV74">
            <v>0</v>
          </cell>
          <cell r="FW74">
            <v>0</v>
          </cell>
          <cell r="FX74">
            <v>0</v>
          </cell>
          <cell r="FY74">
            <v>0</v>
          </cell>
          <cell r="FZ74">
            <v>0</v>
          </cell>
          <cell r="GA74">
            <v>0</v>
          </cell>
        </row>
        <row r="75">
          <cell r="A75" t="str">
            <v>F_CNP_NRF_RET_COL_FRCE_702</v>
          </cell>
          <cell r="E75">
            <v>10994781.444800347</v>
          </cell>
          <cell r="F75">
            <v>0</v>
          </cell>
          <cell r="G75">
            <v>0</v>
          </cell>
          <cell r="J75">
            <v>0</v>
          </cell>
          <cell r="K75">
            <v>0</v>
          </cell>
          <cell r="L75">
            <v>0</v>
          </cell>
          <cell r="N75">
            <v>0</v>
          </cell>
          <cell r="O75">
            <v>0</v>
          </cell>
          <cell r="P75">
            <v>0</v>
          </cell>
          <cell r="Q75">
            <v>0</v>
          </cell>
          <cell r="S75">
            <v>0</v>
          </cell>
          <cell r="T75">
            <v>0</v>
          </cell>
          <cell r="U75">
            <v>0</v>
          </cell>
          <cell r="V75">
            <v>0</v>
          </cell>
          <cell r="W75">
            <v>0</v>
          </cell>
          <cell r="X75">
            <v>0</v>
          </cell>
          <cell r="Y75">
            <v>0</v>
          </cell>
          <cell r="Z75">
            <v>0</v>
          </cell>
          <cell r="AA75">
            <v>0</v>
          </cell>
          <cell r="AB75">
            <v>0</v>
          </cell>
          <cell r="AC75">
            <v>0</v>
          </cell>
          <cell r="AF75">
            <v>0</v>
          </cell>
          <cell r="AG75">
            <v>0</v>
          </cell>
          <cell r="AH75">
            <v>0</v>
          </cell>
          <cell r="AJ75">
            <v>0</v>
          </cell>
          <cell r="AK75">
            <v>0</v>
          </cell>
          <cell r="AL75">
            <v>0</v>
          </cell>
          <cell r="AM75">
            <v>0</v>
          </cell>
          <cell r="AO75">
            <v>0</v>
          </cell>
          <cell r="AP75">
            <v>0</v>
          </cell>
          <cell r="AQ75">
            <v>0</v>
          </cell>
          <cell r="AR75">
            <v>0</v>
          </cell>
          <cell r="AS75">
            <v>0</v>
          </cell>
          <cell r="AT75">
            <v>0</v>
          </cell>
          <cell r="AU75">
            <v>0</v>
          </cell>
          <cell r="AV75">
            <v>0</v>
          </cell>
          <cell r="AW75">
            <v>0</v>
          </cell>
          <cell r="AX75">
            <v>0</v>
          </cell>
          <cell r="AY75">
            <v>0</v>
          </cell>
          <cell r="BB75">
            <v>0</v>
          </cell>
          <cell r="BC75">
            <v>0</v>
          </cell>
          <cell r="BD75">
            <v>0</v>
          </cell>
          <cell r="BF75">
            <v>0</v>
          </cell>
          <cell r="BG75">
            <v>0</v>
          </cell>
          <cell r="BH75">
            <v>0</v>
          </cell>
          <cell r="BI75">
            <v>0</v>
          </cell>
          <cell r="BK75">
            <v>0</v>
          </cell>
          <cell r="BL75">
            <v>0</v>
          </cell>
          <cell r="BM75">
            <v>0</v>
          </cell>
          <cell r="BN75">
            <v>0</v>
          </cell>
          <cell r="BO75">
            <v>0</v>
          </cell>
          <cell r="BP75">
            <v>0</v>
          </cell>
          <cell r="BQ75">
            <v>0</v>
          </cell>
          <cell r="BR75">
            <v>0</v>
          </cell>
          <cell r="BS75">
            <v>0</v>
          </cell>
          <cell r="BT75">
            <v>0</v>
          </cell>
          <cell r="BU75">
            <v>0</v>
          </cell>
          <cell r="BX75">
            <v>0</v>
          </cell>
          <cell r="BY75">
            <v>0</v>
          </cell>
          <cell r="BZ75">
            <v>0</v>
          </cell>
          <cell r="CB75">
            <v>0</v>
          </cell>
          <cell r="CC75">
            <v>0</v>
          </cell>
          <cell r="CD75">
            <v>0</v>
          </cell>
          <cell r="CE75">
            <v>0</v>
          </cell>
          <cell r="CG75">
            <v>0</v>
          </cell>
          <cell r="CH75">
            <v>0</v>
          </cell>
          <cell r="CI75">
            <v>0</v>
          </cell>
          <cell r="CJ75">
            <v>0</v>
          </cell>
          <cell r="CK75">
            <v>0</v>
          </cell>
          <cell r="CL75">
            <v>0</v>
          </cell>
          <cell r="CM75">
            <v>0</v>
          </cell>
          <cell r="CN75">
            <v>0</v>
          </cell>
          <cell r="CO75">
            <v>0</v>
          </cell>
          <cell r="FD75">
            <v>0</v>
          </cell>
          <cell r="FE75">
            <v>10994781.444800347</v>
          </cell>
          <cell r="FF75">
            <v>0</v>
          </cell>
          <cell r="FG75">
            <v>0</v>
          </cell>
          <cell r="FJ75">
            <v>0</v>
          </cell>
          <cell r="FK75">
            <v>0</v>
          </cell>
          <cell r="FL75">
            <v>0</v>
          </cell>
          <cell r="FN75">
            <v>0</v>
          </cell>
          <cell r="FO75">
            <v>0</v>
          </cell>
          <cell r="FP75">
            <v>0</v>
          </cell>
          <cell r="FQ75">
            <v>0</v>
          </cell>
          <cell r="FS75">
            <v>0</v>
          </cell>
          <cell r="FT75">
            <v>0</v>
          </cell>
          <cell r="FU75">
            <v>0</v>
          </cell>
          <cell r="FV75">
            <v>0</v>
          </cell>
          <cell r="FW75">
            <v>0</v>
          </cell>
          <cell r="FX75">
            <v>0</v>
          </cell>
          <cell r="FY75">
            <v>0</v>
          </cell>
          <cell r="FZ75">
            <v>0</v>
          </cell>
          <cell r="GA75">
            <v>0</v>
          </cell>
        </row>
        <row r="76">
          <cell r="A76" t="str">
            <v>F_CNP_NRF_RET_COL_FRCE_210</v>
          </cell>
          <cell r="E76">
            <v>21386840.77928672</v>
          </cell>
          <cell r="F76">
            <v>0</v>
          </cell>
          <cell r="G76">
            <v>0</v>
          </cell>
          <cell r="J76">
            <v>0</v>
          </cell>
          <cell r="K76">
            <v>0</v>
          </cell>
          <cell r="L76">
            <v>0</v>
          </cell>
          <cell r="N76">
            <v>0</v>
          </cell>
          <cell r="O76">
            <v>0</v>
          </cell>
          <cell r="P76">
            <v>0</v>
          </cell>
          <cell r="Q76">
            <v>0</v>
          </cell>
          <cell r="S76">
            <v>0</v>
          </cell>
          <cell r="T76">
            <v>0</v>
          </cell>
          <cell r="U76">
            <v>0</v>
          </cell>
          <cell r="V76">
            <v>0</v>
          </cell>
          <cell r="W76">
            <v>0</v>
          </cell>
          <cell r="X76">
            <v>0</v>
          </cell>
          <cell r="Y76">
            <v>0</v>
          </cell>
          <cell r="Z76">
            <v>0</v>
          </cell>
          <cell r="AA76">
            <v>0</v>
          </cell>
          <cell r="AB76">
            <v>0</v>
          </cell>
          <cell r="AC76">
            <v>0</v>
          </cell>
          <cell r="AF76">
            <v>0</v>
          </cell>
          <cell r="AG76">
            <v>0</v>
          </cell>
          <cell r="AH76">
            <v>0</v>
          </cell>
          <cell r="AJ76">
            <v>0</v>
          </cell>
          <cell r="AK76">
            <v>0</v>
          </cell>
          <cell r="AL76">
            <v>0</v>
          </cell>
          <cell r="AM76">
            <v>0</v>
          </cell>
          <cell r="AO76">
            <v>0</v>
          </cell>
          <cell r="AP76">
            <v>0</v>
          </cell>
          <cell r="AQ76">
            <v>0</v>
          </cell>
          <cell r="AR76">
            <v>0</v>
          </cell>
          <cell r="AS76">
            <v>0</v>
          </cell>
          <cell r="AT76">
            <v>0</v>
          </cell>
          <cell r="AU76">
            <v>0</v>
          </cell>
          <cell r="AV76">
            <v>0</v>
          </cell>
          <cell r="AW76">
            <v>0</v>
          </cell>
          <cell r="AX76">
            <v>0</v>
          </cell>
          <cell r="AY76">
            <v>0</v>
          </cell>
          <cell r="BB76">
            <v>0</v>
          </cell>
          <cell r="BC76">
            <v>0</v>
          </cell>
          <cell r="BD76">
            <v>0</v>
          </cell>
          <cell r="BF76">
            <v>0</v>
          </cell>
          <cell r="BG76">
            <v>0</v>
          </cell>
          <cell r="BH76">
            <v>0</v>
          </cell>
          <cell r="BI76">
            <v>0</v>
          </cell>
          <cell r="BK76">
            <v>0</v>
          </cell>
          <cell r="BL76">
            <v>0</v>
          </cell>
          <cell r="BM76">
            <v>0</v>
          </cell>
          <cell r="BN76">
            <v>0</v>
          </cell>
          <cell r="BO76">
            <v>0</v>
          </cell>
          <cell r="BP76">
            <v>0</v>
          </cell>
          <cell r="BQ76">
            <v>0</v>
          </cell>
          <cell r="BR76">
            <v>0</v>
          </cell>
          <cell r="BS76">
            <v>0</v>
          </cell>
          <cell r="BT76">
            <v>0</v>
          </cell>
          <cell r="BU76">
            <v>0</v>
          </cell>
          <cell r="BX76">
            <v>0</v>
          </cell>
          <cell r="BY76">
            <v>0</v>
          </cell>
          <cell r="BZ76">
            <v>0</v>
          </cell>
          <cell r="CB76">
            <v>0</v>
          </cell>
          <cell r="CC76">
            <v>0</v>
          </cell>
          <cell r="CD76">
            <v>0</v>
          </cell>
          <cell r="CE76">
            <v>0</v>
          </cell>
          <cell r="CG76">
            <v>0</v>
          </cell>
          <cell r="CH76">
            <v>0</v>
          </cell>
          <cell r="CI76">
            <v>0</v>
          </cell>
          <cell r="CJ76">
            <v>0</v>
          </cell>
          <cell r="CK76">
            <v>0</v>
          </cell>
          <cell r="CL76">
            <v>0</v>
          </cell>
          <cell r="CM76">
            <v>0</v>
          </cell>
          <cell r="CN76">
            <v>0</v>
          </cell>
          <cell r="CO76">
            <v>0</v>
          </cell>
          <cell r="FD76">
            <v>0</v>
          </cell>
          <cell r="FE76">
            <v>21386840.77928672</v>
          </cell>
          <cell r="FF76">
            <v>0</v>
          </cell>
          <cell r="FG76">
            <v>0</v>
          </cell>
          <cell r="FJ76">
            <v>0</v>
          </cell>
          <cell r="FK76">
            <v>0</v>
          </cell>
          <cell r="FL76">
            <v>0</v>
          </cell>
          <cell r="FN76">
            <v>0</v>
          </cell>
          <cell r="FO76">
            <v>0</v>
          </cell>
          <cell r="FP76">
            <v>0</v>
          </cell>
          <cell r="FQ76">
            <v>0</v>
          </cell>
          <cell r="FS76">
            <v>0</v>
          </cell>
          <cell r="FT76">
            <v>0</v>
          </cell>
          <cell r="FU76">
            <v>0</v>
          </cell>
          <cell r="FV76">
            <v>0</v>
          </cell>
          <cell r="FW76">
            <v>0</v>
          </cell>
          <cell r="FX76">
            <v>0</v>
          </cell>
          <cell r="FY76">
            <v>0</v>
          </cell>
          <cell r="FZ76">
            <v>0</v>
          </cell>
          <cell r="GA76">
            <v>0</v>
          </cell>
        </row>
        <row r="77">
          <cell r="A77" t="str">
            <v>F_CNP_NRF_RET_COL_FRCE_120</v>
          </cell>
          <cell r="E77">
            <v>775754.72016178595</v>
          </cell>
          <cell r="F77">
            <v>0</v>
          </cell>
          <cell r="G77">
            <v>0</v>
          </cell>
          <cell r="J77">
            <v>0</v>
          </cell>
          <cell r="K77">
            <v>0</v>
          </cell>
          <cell r="L77">
            <v>0</v>
          </cell>
          <cell r="N77">
            <v>0</v>
          </cell>
          <cell r="O77">
            <v>0</v>
          </cell>
          <cell r="P77">
            <v>0</v>
          </cell>
          <cell r="Q77">
            <v>0</v>
          </cell>
          <cell r="S77">
            <v>0</v>
          </cell>
          <cell r="T77">
            <v>0</v>
          </cell>
          <cell r="U77">
            <v>0</v>
          </cell>
          <cell r="V77">
            <v>0</v>
          </cell>
          <cell r="W77">
            <v>0</v>
          </cell>
          <cell r="X77">
            <v>0</v>
          </cell>
          <cell r="Y77">
            <v>0</v>
          </cell>
          <cell r="Z77">
            <v>0</v>
          </cell>
          <cell r="AA77">
            <v>0</v>
          </cell>
          <cell r="AB77">
            <v>0</v>
          </cell>
          <cell r="AC77">
            <v>0</v>
          </cell>
          <cell r="AF77">
            <v>0</v>
          </cell>
          <cell r="AG77">
            <v>0</v>
          </cell>
          <cell r="AH77">
            <v>0</v>
          </cell>
          <cell r="AJ77">
            <v>0</v>
          </cell>
          <cell r="AK77">
            <v>0</v>
          </cell>
          <cell r="AL77">
            <v>0</v>
          </cell>
          <cell r="AM77">
            <v>0</v>
          </cell>
          <cell r="AO77">
            <v>0</v>
          </cell>
          <cell r="AP77">
            <v>0</v>
          </cell>
          <cell r="AQ77">
            <v>0</v>
          </cell>
          <cell r="AR77">
            <v>0</v>
          </cell>
          <cell r="AS77">
            <v>0</v>
          </cell>
          <cell r="AT77">
            <v>0</v>
          </cell>
          <cell r="AU77">
            <v>0</v>
          </cell>
          <cell r="AV77">
            <v>0</v>
          </cell>
          <cell r="AW77">
            <v>0</v>
          </cell>
          <cell r="AX77">
            <v>0</v>
          </cell>
          <cell r="AY77">
            <v>0</v>
          </cell>
          <cell r="BB77">
            <v>0</v>
          </cell>
          <cell r="BC77">
            <v>0</v>
          </cell>
          <cell r="BD77">
            <v>0</v>
          </cell>
          <cell r="BF77">
            <v>0</v>
          </cell>
          <cell r="BG77">
            <v>0</v>
          </cell>
          <cell r="BH77">
            <v>0</v>
          </cell>
          <cell r="BI77">
            <v>0</v>
          </cell>
          <cell r="BK77">
            <v>0</v>
          </cell>
          <cell r="BL77">
            <v>0</v>
          </cell>
          <cell r="BM77">
            <v>0</v>
          </cell>
          <cell r="BN77">
            <v>0</v>
          </cell>
          <cell r="BO77">
            <v>0</v>
          </cell>
          <cell r="BP77">
            <v>0</v>
          </cell>
          <cell r="BQ77">
            <v>0</v>
          </cell>
          <cell r="BR77">
            <v>0</v>
          </cell>
          <cell r="BS77">
            <v>0</v>
          </cell>
          <cell r="BT77">
            <v>0</v>
          </cell>
          <cell r="BU77">
            <v>0</v>
          </cell>
          <cell r="BX77">
            <v>0</v>
          </cell>
          <cell r="BY77">
            <v>0</v>
          </cell>
          <cell r="BZ77">
            <v>0</v>
          </cell>
          <cell r="CB77">
            <v>0</v>
          </cell>
          <cell r="CC77">
            <v>0</v>
          </cell>
          <cell r="CD77">
            <v>0</v>
          </cell>
          <cell r="CE77">
            <v>0</v>
          </cell>
          <cell r="CG77">
            <v>0</v>
          </cell>
          <cell r="CH77">
            <v>0</v>
          </cell>
          <cell r="CI77">
            <v>0</v>
          </cell>
          <cell r="CJ77">
            <v>0</v>
          </cell>
          <cell r="CK77">
            <v>0</v>
          </cell>
          <cell r="CL77">
            <v>0</v>
          </cell>
          <cell r="CM77">
            <v>0</v>
          </cell>
          <cell r="CN77">
            <v>0</v>
          </cell>
          <cell r="CO77">
            <v>0</v>
          </cell>
          <cell r="FD77">
            <v>0</v>
          </cell>
          <cell r="FE77">
            <v>775754.72016178595</v>
          </cell>
          <cell r="FF77">
            <v>0</v>
          </cell>
          <cell r="FG77">
            <v>0</v>
          </cell>
          <cell r="FJ77">
            <v>0</v>
          </cell>
          <cell r="FK77">
            <v>0</v>
          </cell>
          <cell r="FL77">
            <v>0</v>
          </cell>
          <cell r="FN77">
            <v>0</v>
          </cell>
          <cell r="FO77">
            <v>0</v>
          </cell>
          <cell r="FP77">
            <v>0</v>
          </cell>
          <cell r="FQ77">
            <v>0</v>
          </cell>
          <cell r="FS77">
            <v>0</v>
          </cell>
          <cell r="FT77">
            <v>0</v>
          </cell>
          <cell r="FU77">
            <v>0</v>
          </cell>
          <cell r="FV77">
            <v>0</v>
          </cell>
          <cell r="FW77">
            <v>0</v>
          </cell>
          <cell r="FX77">
            <v>0</v>
          </cell>
          <cell r="FY77">
            <v>0</v>
          </cell>
          <cell r="FZ77">
            <v>0</v>
          </cell>
          <cell r="GA77">
            <v>0</v>
          </cell>
        </row>
        <row r="78">
          <cell r="A78" t="str">
            <v>F_CNP_NRF_RET_COL_FRCE_233</v>
          </cell>
          <cell r="E78">
            <v>670648859.008255</v>
          </cell>
          <cell r="F78">
            <v>0</v>
          </cell>
          <cell r="G78">
            <v>0</v>
          </cell>
          <cell r="J78">
            <v>0</v>
          </cell>
          <cell r="K78">
            <v>0</v>
          </cell>
          <cell r="L78">
            <v>0</v>
          </cell>
          <cell r="N78">
            <v>0</v>
          </cell>
          <cell r="O78">
            <v>0</v>
          </cell>
          <cell r="P78">
            <v>0</v>
          </cell>
          <cell r="Q78">
            <v>0</v>
          </cell>
          <cell r="S78">
            <v>0</v>
          </cell>
          <cell r="T78">
            <v>0</v>
          </cell>
          <cell r="U78">
            <v>0</v>
          </cell>
          <cell r="V78">
            <v>0</v>
          </cell>
          <cell r="W78">
            <v>0</v>
          </cell>
          <cell r="X78">
            <v>0</v>
          </cell>
          <cell r="Y78">
            <v>0</v>
          </cell>
          <cell r="Z78">
            <v>0</v>
          </cell>
          <cell r="AA78">
            <v>0</v>
          </cell>
          <cell r="AB78">
            <v>0</v>
          </cell>
          <cell r="AC78">
            <v>0</v>
          </cell>
          <cell r="AF78">
            <v>0</v>
          </cell>
          <cell r="AG78">
            <v>0</v>
          </cell>
          <cell r="AH78">
            <v>0</v>
          </cell>
          <cell r="AJ78">
            <v>0</v>
          </cell>
          <cell r="AK78">
            <v>0</v>
          </cell>
          <cell r="AL78">
            <v>0</v>
          </cell>
          <cell r="AM78">
            <v>0</v>
          </cell>
          <cell r="AO78">
            <v>0</v>
          </cell>
          <cell r="AP78">
            <v>0</v>
          </cell>
          <cell r="AQ78">
            <v>0</v>
          </cell>
          <cell r="AR78">
            <v>0</v>
          </cell>
          <cell r="AS78">
            <v>0</v>
          </cell>
          <cell r="AT78">
            <v>0</v>
          </cell>
          <cell r="AU78">
            <v>0</v>
          </cell>
          <cell r="AV78">
            <v>0</v>
          </cell>
          <cell r="AW78">
            <v>0</v>
          </cell>
          <cell r="AX78">
            <v>0</v>
          </cell>
          <cell r="AY78">
            <v>0</v>
          </cell>
          <cell r="BB78">
            <v>0</v>
          </cell>
          <cell r="BC78">
            <v>0</v>
          </cell>
          <cell r="BD78">
            <v>0</v>
          </cell>
          <cell r="BF78">
            <v>0</v>
          </cell>
          <cell r="BG78">
            <v>0</v>
          </cell>
          <cell r="BH78">
            <v>0</v>
          </cell>
          <cell r="BI78">
            <v>0</v>
          </cell>
          <cell r="BK78">
            <v>0</v>
          </cell>
          <cell r="BL78">
            <v>0</v>
          </cell>
          <cell r="BM78">
            <v>0</v>
          </cell>
          <cell r="BN78">
            <v>0</v>
          </cell>
          <cell r="BO78">
            <v>0</v>
          </cell>
          <cell r="BP78">
            <v>0</v>
          </cell>
          <cell r="BQ78">
            <v>0</v>
          </cell>
          <cell r="BR78">
            <v>0</v>
          </cell>
          <cell r="BS78">
            <v>0</v>
          </cell>
          <cell r="BT78">
            <v>0</v>
          </cell>
          <cell r="BU78">
            <v>0</v>
          </cell>
          <cell r="BX78">
            <v>0</v>
          </cell>
          <cell r="BY78">
            <v>0</v>
          </cell>
          <cell r="BZ78">
            <v>0</v>
          </cell>
          <cell r="CB78">
            <v>0</v>
          </cell>
          <cell r="CC78">
            <v>0</v>
          </cell>
          <cell r="CD78">
            <v>0</v>
          </cell>
          <cell r="CE78">
            <v>0</v>
          </cell>
          <cell r="CG78">
            <v>0</v>
          </cell>
          <cell r="CH78">
            <v>0</v>
          </cell>
          <cell r="CI78">
            <v>0</v>
          </cell>
          <cell r="CJ78">
            <v>0</v>
          </cell>
          <cell r="CK78">
            <v>0</v>
          </cell>
          <cell r="CL78">
            <v>0</v>
          </cell>
          <cell r="CM78">
            <v>0</v>
          </cell>
          <cell r="CN78">
            <v>0</v>
          </cell>
          <cell r="CO78">
            <v>0</v>
          </cell>
          <cell r="FD78">
            <v>0</v>
          </cell>
          <cell r="FE78">
            <v>670648859.008255</v>
          </cell>
          <cell r="FF78">
            <v>0</v>
          </cell>
          <cell r="FG78">
            <v>0</v>
          </cell>
          <cell r="FJ78">
            <v>0</v>
          </cell>
          <cell r="FK78">
            <v>0</v>
          </cell>
          <cell r="FL78">
            <v>0</v>
          </cell>
          <cell r="FN78">
            <v>0</v>
          </cell>
          <cell r="FO78">
            <v>0</v>
          </cell>
          <cell r="FP78">
            <v>0</v>
          </cell>
          <cell r="FQ78">
            <v>0</v>
          </cell>
          <cell r="FS78">
            <v>0</v>
          </cell>
          <cell r="FT78">
            <v>0</v>
          </cell>
          <cell r="FU78">
            <v>0</v>
          </cell>
          <cell r="FV78">
            <v>0</v>
          </cell>
          <cell r="FW78">
            <v>0</v>
          </cell>
          <cell r="FX78">
            <v>0</v>
          </cell>
          <cell r="FY78">
            <v>0</v>
          </cell>
          <cell r="FZ78">
            <v>0</v>
          </cell>
          <cell r="GA78">
            <v>0</v>
          </cell>
        </row>
        <row r="79">
          <cell r="A79" t="str">
            <v>F_CNP_NRF_RET_COL_FRCE_234</v>
          </cell>
          <cell r="E79">
            <v>1091315853.4813507</v>
          </cell>
          <cell r="F79">
            <v>0</v>
          </cell>
          <cell r="G79">
            <v>0</v>
          </cell>
          <cell r="J79">
            <v>0</v>
          </cell>
          <cell r="K79">
            <v>0</v>
          </cell>
          <cell r="L79">
            <v>0</v>
          </cell>
          <cell r="N79">
            <v>0</v>
          </cell>
          <cell r="O79">
            <v>0</v>
          </cell>
          <cell r="P79">
            <v>0</v>
          </cell>
          <cell r="Q79">
            <v>0</v>
          </cell>
          <cell r="S79">
            <v>0</v>
          </cell>
          <cell r="T79">
            <v>0</v>
          </cell>
          <cell r="U79">
            <v>0</v>
          </cell>
          <cell r="V79">
            <v>0</v>
          </cell>
          <cell r="W79">
            <v>0</v>
          </cell>
          <cell r="X79">
            <v>0</v>
          </cell>
          <cell r="Y79">
            <v>0</v>
          </cell>
          <cell r="Z79">
            <v>0</v>
          </cell>
          <cell r="AA79">
            <v>0</v>
          </cell>
          <cell r="AB79">
            <v>0</v>
          </cell>
          <cell r="AC79">
            <v>0</v>
          </cell>
          <cell r="AF79">
            <v>0</v>
          </cell>
          <cell r="AG79">
            <v>0</v>
          </cell>
          <cell r="AH79">
            <v>0</v>
          </cell>
          <cell r="AJ79">
            <v>0</v>
          </cell>
          <cell r="AK79">
            <v>0</v>
          </cell>
          <cell r="AL79">
            <v>0</v>
          </cell>
          <cell r="AM79">
            <v>0</v>
          </cell>
          <cell r="AO79">
            <v>0</v>
          </cell>
          <cell r="AP79">
            <v>0</v>
          </cell>
          <cell r="AQ79">
            <v>0</v>
          </cell>
          <cell r="AR79">
            <v>0</v>
          </cell>
          <cell r="AS79">
            <v>0</v>
          </cell>
          <cell r="AT79">
            <v>0</v>
          </cell>
          <cell r="AU79">
            <v>0</v>
          </cell>
          <cell r="AV79">
            <v>0</v>
          </cell>
          <cell r="AW79">
            <v>0</v>
          </cell>
          <cell r="AX79">
            <v>0</v>
          </cell>
          <cell r="AY79">
            <v>0</v>
          </cell>
          <cell r="BB79">
            <v>0</v>
          </cell>
          <cell r="BC79">
            <v>0</v>
          </cell>
          <cell r="BD79">
            <v>0</v>
          </cell>
          <cell r="BF79">
            <v>0</v>
          </cell>
          <cell r="BG79">
            <v>0</v>
          </cell>
          <cell r="BH79">
            <v>0</v>
          </cell>
          <cell r="BI79">
            <v>0</v>
          </cell>
          <cell r="BK79">
            <v>0</v>
          </cell>
          <cell r="BL79">
            <v>0</v>
          </cell>
          <cell r="BM79">
            <v>0</v>
          </cell>
          <cell r="BN79">
            <v>0</v>
          </cell>
          <cell r="BO79">
            <v>0</v>
          </cell>
          <cell r="BP79">
            <v>0</v>
          </cell>
          <cell r="BQ79">
            <v>0</v>
          </cell>
          <cell r="BR79">
            <v>0</v>
          </cell>
          <cell r="BS79">
            <v>0</v>
          </cell>
          <cell r="BT79">
            <v>0</v>
          </cell>
          <cell r="BU79">
            <v>0</v>
          </cell>
          <cell r="BX79">
            <v>0</v>
          </cell>
          <cell r="BY79">
            <v>0</v>
          </cell>
          <cell r="BZ79">
            <v>0</v>
          </cell>
          <cell r="CB79">
            <v>0</v>
          </cell>
          <cell r="CC79">
            <v>0</v>
          </cell>
          <cell r="CD79">
            <v>0</v>
          </cell>
          <cell r="CE79">
            <v>0</v>
          </cell>
          <cell r="CG79">
            <v>0</v>
          </cell>
          <cell r="CH79">
            <v>0</v>
          </cell>
          <cell r="CI79">
            <v>0</v>
          </cell>
          <cell r="CJ79">
            <v>0</v>
          </cell>
          <cell r="CK79">
            <v>0</v>
          </cell>
          <cell r="CL79">
            <v>0</v>
          </cell>
          <cell r="CM79">
            <v>0</v>
          </cell>
          <cell r="CN79">
            <v>0</v>
          </cell>
          <cell r="CO79">
            <v>0</v>
          </cell>
          <cell r="FD79">
            <v>0</v>
          </cell>
          <cell r="FE79">
            <v>1091315853.4813507</v>
          </cell>
          <cell r="FF79">
            <v>0</v>
          </cell>
          <cell r="FG79">
            <v>0</v>
          </cell>
          <cell r="FJ79">
            <v>0</v>
          </cell>
          <cell r="FK79">
            <v>0</v>
          </cell>
          <cell r="FL79">
            <v>0</v>
          </cell>
          <cell r="FN79">
            <v>0</v>
          </cell>
          <cell r="FO79">
            <v>0</v>
          </cell>
          <cell r="FP79">
            <v>0</v>
          </cell>
          <cell r="FQ79">
            <v>0</v>
          </cell>
          <cell r="FS79">
            <v>0</v>
          </cell>
          <cell r="FT79">
            <v>0</v>
          </cell>
          <cell r="FU79">
            <v>0</v>
          </cell>
          <cell r="FV79">
            <v>0</v>
          </cell>
          <cell r="FW79">
            <v>0</v>
          </cell>
          <cell r="FX79">
            <v>0</v>
          </cell>
          <cell r="FY79">
            <v>0</v>
          </cell>
          <cell r="FZ79">
            <v>0</v>
          </cell>
          <cell r="GA79">
            <v>0</v>
          </cell>
        </row>
        <row r="80">
          <cell r="A80" t="str">
            <v>F_CNP_NRF_RET_COL_FRCE_239</v>
          </cell>
          <cell r="E80">
            <v>109473589.86360149</v>
          </cell>
          <cell r="F80">
            <v>0</v>
          </cell>
          <cell r="G80">
            <v>0</v>
          </cell>
          <cell r="J80">
            <v>0</v>
          </cell>
          <cell r="K80">
            <v>0</v>
          </cell>
          <cell r="L80">
            <v>0</v>
          </cell>
          <cell r="N80">
            <v>0</v>
          </cell>
          <cell r="O80">
            <v>0</v>
          </cell>
          <cell r="P80">
            <v>0</v>
          </cell>
          <cell r="Q80">
            <v>0</v>
          </cell>
          <cell r="S80">
            <v>0</v>
          </cell>
          <cell r="T80">
            <v>0</v>
          </cell>
          <cell r="U80">
            <v>0</v>
          </cell>
          <cell r="V80">
            <v>0</v>
          </cell>
          <cell r="W80">
            <v>0</v>
          </cell>
          <cell r="X80">
            <v>0</v>
          </cell>
          <cell r="Y80">
            <v>0</v>
          </cell>
          <cell r="Z80">
            <v>0</v>
          </cell>
          <cell r="AA80">
            <v>0</v>
          </cell>
          <cell r="AB80">
            <v>0</v>
          </cell>
          <cell r="AC80">
            <v>0</v>
          </cell>
          <cell r="AF80">
            <v>0</v>
          </cell>
          <cell r="AG80">
            <v>0</v>
          </cell>
          <cell r="AH80">
            <v>0</v>
          </cell>
          <cell r="AJ80">
            <v>0</v>
          </cell>
          <cell r="AK80">
            <v>0</v>
          </cell>
          <cell r="AL80">
            <v>0</v>
          </cell>
          <cell r="AM80">
            <v>0</v>
          </cell>
          <cell r="AO80">
            <v>0</v>
          </cell>
          <cell r="AP80">
            <v>0</v>
          </cell>
          <cell r="AQ80">
            <v>0</v>
          </cell>
          <cell r="AR80">
            <v>0</v>
          </cell>
          <cell r="AS80">
            <v>0</v>
          </cell>
          <cell r="AT80">
            <v>0</v>
          </cell>
          <cell r="AU80">
            <v>0</v>
          </cell>
          <cell r="AV80">
            <v>0</v>
          </cell>
          <cell r="AW80">
            <v>0</v>
          </cell>
          <cell r="AX80">
            <v>0</v>
          </cell>
          <cell r="AY80">
            <v>0</v>
          </cell>
          <cell r="BB80">
            <v>0</v>
          </cell>
          <cell r="BC80">
            <v>0</v>
          </cell>
          <cell r="BD80">
            <v>0</v>
          </cell>
          <cell r="BF80">
            <v>0</v>
          </cell>
          <cell r="BG80">
            <v>0</v>
          </cell>
          <cell r="BH80">
            <v>0</v>
          </cell>
          <cell r="BI80">
            <v>0</v>
          </cell>
          <cell r="BK80">
            <v>0</v>
          </cell>
          <cell r="BL80">
            <v>0</v>
          </cell>
          <cell r="BM80">
            <v>0</v>
          </cell>
          <cell r="BN80">
            <v>0</v>
          </cell>
          <cell r="BO80">
            <v>0</v>
          </cell>
          <cell r="BP80">
            <v>0</v>
          </cell>
          <cell r="BQ80">
            <v>0</v>
          </cell>
          <cell r="BR80">
            <v>0</v>
          </cell>
          <cell r="BS80">
            <v>0</v>
          </cell>
          <cell r="BT80">
            <v>0</v>
          </cell>
          <cell r="BU80">
            <v>0</v>
          </cell>
          <cell r="BX80">
            <v>0</v>
          </cell>
          <cell r="BY80">
            <v>0</v>
          </cell>
          <cell r="BZ80">
            <v>0</v>
          </cell>
          <cell r="CB80">
            <v>0</v>
          </cell>
          <cell r="CC80">
            <v>0</v>
          </cell>
          <cell r="CD80">
            <v>0</v>
          </cell>
          <cell r="CE80">
            <v>0</v>
          </cell>
          <cell r="CG80">
            <v>0</v>
          </cell>
          <cell r="CH80">
            <v>0</v>
          </cell>
          <cell r="CI80">
            <v>0</v>
          </cell>
          <cell r="CJ80">
            <v>0</v>
          </cell>
          <cell r="CK80">
            <v>0</v>
          </cell>
          <cell r="CL80">
            <v>0</v>
          </cell>
          <cell r="CM80">
            <v>0</v>
          </cell>
          <cell r="CN80">
            <v>0</v>
          </cell>
          <cell r="CO80">
            <v>0</v>
          </cell>
          <cell r="FD80">
            <v>0</v>
          </cell>
          <cell r="FE80">
            <v>109473589.86360149</v>
          </cell>
          <cell r="FF80">
            <v>0</v>
          </cell>
          <cell r="FG80">
            <v>0</v>
          </cell>
          <cell r="FJ80">
            <v>0</v>
          </cell>
          <cell r="FK80">
            <v>0</v>
          </cell>
          <cell r="FL80">
            <v>0</v>
          </cell>
          <cell r="FN80">
            <v>0</v>
          </cell>
          <cell r="FO80">
            <v>0</v>
          </cell>
          <cell r="FP80">
            <v>0</v>
          </cell>
          <cell r="FQ80">
            <v>0</v>
          </cell>
          <cell r="FS80">
            <v>0</v>
          </cell>
          <cell r="FT80">
            <v>0</v>
          </cell>
          <cell r="FU80">
            <v>0</v>
          </cell>
          <cell r="FV80">
            <v>0</v>
          </cell>
          <cell r="FW80">
            <v>0</v>
          </cell>
          <cell r="FX80">
            <v>0</v>
          </cell>
          <cell r="FY80">
            <v>0</v>
          </cell>
          <cell r="FZ80">
            <v>0</v>
          </cell>
          <cell r="GA80">
            <v>0</v>
          </cell>
        </row>
        <row r="81">
          <cell r="A81" t="str">
            <v>F_CNP_NRF_RET_COL_FRCE_128</v>
          </cell>
          <cell r="E81">
            <v>0</v>
          </cell>
          <cell r="F81">
            <v>0</v>
          </cell>
          <cell r="G81">
            <v>0</v>
          </cell>
          <cell r="J81">
            <v>0</v>
          </cell>
          <cell r="K81">
            <v>0</v>
          </cell>
          <cell r="L81">
            <v>0</v>
          </cell>
          <cell r="N81">
            <v>0</v>
          </cell>
          <cell r="O81">
            <v>0</v>
          </cell>
          <cell r="P81">
            <v>0</v>
          </cell>
          <cell r="Q81">
            <v>0</v>
          </cell>
          <cell r="S81">
            <v>0</v>
          </cell>
          <cell r="T81">
            <v>0</v>
          </cell>
          <cell r="U81">
            <v>0</v>
          </cell>
          <cell r="V81">
            <v>0</v>
          </cell>
          <cell r="W81">
            <v>0</v>
          </cell>
          <cell r="X81">
            <v>0</v>
          </cell>
          <cell r="Y81">
            <v>0</v>
          </cell>
          <cell r="Z81">
            <v>0</v>
          </cell>
          <cell r="AA81">
            <v>0</v>
          </cell>
          <cell r="AB81">
            <v>0</v>
          </cell>
          <cell r="AC81">
            <v>0</v>
          </cell>
          <cell r="AF81">
            <v>0</v>
          </cell>
          <cell r="AG81">
            <v>0</v>
          </cell>
          <cell r="AH81">
            <v>0</v>
          </cell>
          <cell r="AJ81">
            <v>0</v>
          </cell>
          <cell r="AK81">
            <v>0</v>
          </cell>
          <cell r="AL81">
            <v>0</v>
          </cell>
          <cell r="AM81">
            <v>0</v>
          </cell>
          <cell r="AO81">
            <v>0</v>
          </cell>
          <cell r="AP81">
            <v>0</v>
          </cell>
          <cell r="AQ81">
            <v>0</v>
          </cell>
          <cell r="AR81">
            <v>0</v>
          </cell>
          <cell r="AS81">
            <v>0</v>
          </cell>
          <cell r="AT81">
            <v>0</v>
          </cell>
          <cell r="AU81">
            <v>0</v>
          </cell>
          <cell r="AV81">
            <v>0</v>
          </cell>
          <cell r="AW81">
            <v>0</v>
          </cell>
          <cell r="AX81">
            <v>0</v>
          </cell>
          <cell r="AY81">
            <v>0</v>
          </cell>
          <cell r="BB81">
            <v>0</v>
          </cell>
          <cell r="BC81">
            <v>0</v>
          </cell>
          <cell r="BD81">
            <v>0</v>
          </cell>
          <cell r="BF81">
            <v>0</v>
          </cell>
          <cell r="BG81">
            <v>0</v>
          </cell>
          <cell r="BH81">
            <v>0</v>
          </cell>
          <cell r="BI81">
            <v>0</v>
          </cell>
          <cell r="BK81">
            <v>0</v>
          </cell>
          <cell r="BL81">
            <v>0</v>
          </cell>
          <cell r="BM81">
            <v>0</v>
          </cell>
          <cell r="BN81">
            <v>0</v>
          </cell>
          <cell r="BO81">
            <v>0</v>
          </cell>
          <cell r="BP81">
            <v>0</v>
          </cell>
          <cell r="BQ81">
            <v>0</v>
          </cell>
          <cell r="BR81">
            <v>0</v>
          </cell>
          <cell r="BS81">
            <v>0</v>
          </cell>
          <cell r="BT81">
            <v>0</v>
          </cell>
          <cell r="BU81">
            <v>0</v>
          </cell>
          <cell r="BX81">
            <v>0</v>
          </cell>
          <cell r="BY81">
            <v>0</v>
          </cell>
          <cell r="BZ81">
            <v>0</v>
          </cell>
          <cell r="CB81">
            <v>0</v>
          </cell>
          <cell r="CC81">
            <v>0</v>
          </cell>
          <cell r="CD81">
            <v>0</v>
          </cell>
          <cell r="CE81">
            <v>0</v>
          </cell>
          <cell r="CG81">
            <v>0</v>
          </cell>
          <cell r="CH81">
            <v>0</v>
          </cell>
          <cell r="CI81">
            <v>0</v>
          </cell>
          <cell r="CJ81">
            <v>0</v>
          </cell>
          <cell r="CK81">
            <v>0</v>
          </cell>
          <cell r="CL81">
            <v>0</v>
          </cell>
          <cell r="CM81">
            <v>0</v>
          </cell>
          <cell r="CN81">
            <v>0</v>
          </cell>
          <cell r="CO81">
            <v>0</v>
          </cell>
          <cell r="FD81">
            <v>0</v>
          </cell>
          <cell r="FE81">
            <v>0</v>
          </cell>
          <cell r="FF81">
            <v>0</v>
          </cell>
          <cell r="FG81">
            <v>0</v>
          </cell>
          <cell r="FJ81">
            <v>0</v>
          </cell>
          <cell r="FK81">
            <v>0</v>
          </cell>
          <cell r="FL81">
            <v>0</v>
          </cell>
          <cell r="FN81">
            <v>0</v>
          </cell>
          <cell r="FO81">
            <v>0</v>
          </cell>
          <cell r="FP81">
            <v>0</v>
          </cell>
          <cell r="FQ81">
            <v>0</v>
          </cell>
          <cell r="FS81">
            <v>0</v>
          </cell>
          <cell r="FT81">
            <v>0</v>
          </cell>
          <cell r="FU81">
            <v>0</v>
          </cell>
          <cell r="FV81">
            <v>0</v>
          </cell>
          <cell r="FW81">
            <v>0</v>
          </cell>
          <cell r="FX81">
            <v>0</v>
          </cell>
          <cell r="FY81">
            <v>0</v>
          </cell>
          <cell r="FZ81">
            <v>0</v>
          </cell>
          <cell r="GA81">
            <v>0</v>
          </cell>
        </row>
        <row r="82">
          <cell r="A82" t="str">
            <v>F_CNP_NRF_RET_COL_FRCE_300</v>
          </cell>
          <cell r="E82">
            <v>270507.4486826536</v>
          </cell>
          <cell r="F82">
            <v>0</v>
          </cell>
          <cell r="G82">
            <v>0</v>
          </cell>
          <cell r="J82">
            <v>0</v>
          </cell>
          <cell r="K82">
            <v>0</v>
          </cell>
          <cell r="L82">
            <v>0</v>
          </cell>
          <cell r="N82">
            <v>0</v>
          </cell>
          <cell r="O82">
            <v>0</v>
          </cell>
          <cell r="P82">
            <v>0</v>
          </cell>
          <cell r="Q82">
            <v>0</v>
          </cell>
          <cell r="S82">
            <v>0</v>
          </cell>
          <cell r="T82">
            <v>0</v>
          </cell>
          <cell r="U82">
            <v>0</v>
          </cell>
          <cell r="V82">
            <v>0</v>
          </cell>
          <cell r="W82">
            <v>0</v>
          </cell>
          <cell r="X82">
            <v>0</v>
          </cell>
          <cell r="Y82">
            <v>0</v>
          </cell>
          <cell r="Z82">
            <v>0</v>
          </cell>
          <cell r="AA82">
            <v>0</v>
          </cell>
          <cell r="AB82">
            <v>0</v>
          </cell>
          <cell r="AC82">
            <v>0</v>
          </cell>
          <cell r="AF82">
            <v>0</v>
          </cell>
          <cell r="AG82">
            <v>0</v>
          </cell>
          <cell r="AH82">
            <v>0</v>
          </cell>
          <cell r="AJ82">
            <v>0</v>
          </cell>
          <cell r="AK82">
            <v>0</v>
          </cell>
          <cell r="AL82">
            <v>0</v>
          </cell>
          <cell r="AM82">
            <v>0</v>
          </cell>
          <cell r="AO82">
            <v>0</v>
          </cell>
          <cell r="AP82">
            <v>0</v>
          </cell>
          <cell r="AQ82">
            <v>0</v>
          </cell>
          <cell r="AR82">
            <v>0</v>
          </cell>
          <cell r="AS82">
            <v>0</v>
          </cell>
          <cell r="AT82">
            <v>0</v>
          </cell>
          <cell r="AU82">
            <v>0</v>
          </cell>
          <cell r="AV82">
            <v>0</v>
          </cell>
          <cell r="AW82">
            <v>0</v>
          </cell>
          <cell r="AX82">
            <v>0</v>
          </cell>
          <cell r="AY82">
            <v>0</v>
          </cell>
          <cell r="BB82">
            <v>0</v>
          </cell>
          <cell r="BC82">
            <v>0</v>
          </cell>
          <cell r="BD82">
            <v>0</v>
          </cell>
          <cell r="BF82">
            <v>0</v>
          </cell>
          <cell r="BG82">
            <v>0</v>
          </cell>
          <cell r="BH82">
            <v>0</v>
          </cell>
          <cell r="BI82">
            <v>0</v>
          </cell>
          <cell r="BK82">
            <v>0</v>
          </cell>
          <cell r="BL82">
            <v>0</v>
          </cell>
          <cell r="BM82">
            <v>0</v>
          </cell>
          <cell r="BN82">
            <v>0</v>
          </cell>
          <cell r="BO82">
            <v>0</v>
          </cell>
          <cell r="BP82">
            <v>0</v>
          </cell>
          <cell r="BQ82">
            <v>0</v>
          </cell>
          <cell r="BR82">
            <v>0</v>
          </cell>
          <cell r="BS82">
            <v>0</v>
          </cell>
          <cell r="BT82">
            <v>0</v>
          </cell>
          <cell r="BU82">
            <v>0</v>
          </cell>
          <cell r="BX82">
            <v>0</v>
          </cell>
          <cell r="BY82">
            <v>0</v>
          </cell>
          <cell r="BZ82">
            <v>0</v>
          </cell>
          <cell r="CB82">
            <v>0</v>
          </cell>
          <cell r="CC82">
            <v>0</v>
          </cell>
          <cell r="CD82">
            <v>0</v>
          </cell>
          <cell r="CE82">
            <v>0</v>
          </cell>
          <cell r="CG82">
            <v>0</v>
          </cell>
          <cell r="CH82">
            <v>0</v>
          </cell>
          <cell r="CI82">
            <v>0</v>
          </cell>
          <cell r="CJ82">
            <v>0</v>
          </cell>
          <cell r="CK82">
            <v>0</v>
          </cell>
          <cell r="CL82">
            <v>0</v>
          </cell>
          <cell r="CM82">
            <v>0</v>
          </cell>
          <cell r="CN82">
            <v>0</v>
          </cell>
          <cell r="CO82">
            <v>0</v>
          </cell>
          <cell r="FD82">
            <v>0</v>
          </cell>
          <cell r="FE82">
            <v>270507.4486826536</v>
          </cell>
          <cell r="FF82">
            <v>0</v>
          </cell>
          <cell r="FG82">
            <v>0</v>
          </cell>
          <cell r="FJ82">
            <v>0</v>
          </cell>
          <cell r="FK82">
            <v>0</v>
          </cell>
          <cell r="FL82">
            <v>0</v>
          </cell>
          <cell r="FN82">
            <v>0</v>
          </cell>
          <cell r="FO82">
            <v>0</v>
          </cell>
          <cell r="FP82">
            <v>0</v>
          </cell>
          <cell r="FQ82">
            <v>0</v>
          </cell>
          <cell r="FS82">
            <v>0</v>
          </cell>
          <cell r="FT82">
            <v>0</v>
          </cell>
          <cell r="FU82">
            <v>0</v>
          </cell>
          <cell r="FV82">
            <v>0</v>
          </cell>
          <cell r="FW82">
            <v>0</v>
          </cell>
          <cell r="FX82">
            <v>0</v>
          </cell>
          <cell r="FY82">
            <v>0</v>
          </cell>
          <cell r="FZ82">
            <v>0</v>
          </cell>
          <cell r="GA82">
            <v>0</v>
          </cell>
        </row>
        <row r="83">
          <cell r="A83" t="str">
            <v>F_CNP_NRF_RET_COL_FRCE_752</v>
          </cell>
          <cell r="E83">
            <v>-61913117.614579909</v>
          </cell>
          <cell r="F83">
            <v>0</v>
          </cell>
          <cell r="G83">
            <v>0</v>
          </cell>
          <cell r="J83">
            <v>0</v>
          </cell>
          <cell r="K83">
            <v>0</v>
          </cell>
          <cell r="L83">
            <v>0</v>
          </cell>
          <cell r="N83">
            <v>0</v>
          </cell>
          <cell r="O83">
            <v>0</v>
          </cell>
          <cell r="P83">
            <v>0</v>
          </cell>
          <cell r="Q83">
            <v>0</v>
          </cell>
          <cell r="S83">
            <v>0</v>
          </cell>
          <cell r="T83">
            <v>0</v>
          </cell>
          <cell r="U83">
            <v>0</v>
          </cell>
          <cell r="V83">
            <v>0</v>
          </cell>
          <cell r="W83">
            <v>0</v>
          </cell>
          <cell r="X83">
            <v>0</v>
          </cell>
          <cell r="Y83">
            <v>0</v>
          </cell>
          <cell r="Z83">
            <v>0</v>
          </cell>
          <cell r="AA83">
            <v>0</v>
          </cell>
          <cell r="AB83">
            <v>0</v>
          </cell>
          <cell r="AC83">
            <v>0</v>
          </cell>
          <cell r="AF83">
            <v>0</v>
          </cell>
          <cell r="AG83">
            <v>0</v>
          </cell>
          <cell r="AH83">
            <v>0</v>
          </cell>
          <cell r="AJ83">
            <v>0</v>
          </cell>
          <cell r="AK83">
            <v>0</v>
          </cell>
          <cell r="AL83">
            <v>0</v>
          </cell>
          <cell r="AM83">
            <v>0</v>
          </cell>
          <cell r="AO83">
            <v>0</v>
          </cell>
          <cell r="AP83">
            <v>0</v>
          </cell>
          <cell r="AQ83">
            <v>0</v>
          </cell>
          <cell r="AR83">
            <v>0</v>
          </cell>
          <cell r="AS83">
            <v>0</v>
          </cell>
          <cell r="AT83">
            <v>0</v>
          </cell>
          <cell r="AU83">
            <v>0</v>
          </cell>
          <cell r="AV83">
            <v>0</v>
          </cell>
          <cell r="AW83">
            <v>0</v>
          </cell>
          <cell r="AX83">
            <v>0</v>
          </cell>
          <cell r="AY83">
            <v>0</v>
          </cell>
          <cell r="BB83">
            <v>0</v>
          </cell>
          <cell r="BC83">
            <v>0</v>
          </cell>
          <cell r="BD83">
            <v>0</v>
          </cell>
          <cell r="BF83">
            <v>0</v>
          </cell>
          <cell r="BG83">
            <v>0</v>
          </cell>
          <cell r="BH83">
            <v>0</v>
          </cell>
          <cell r="BI83">
            <v>0</v>
          </cell>
          <cell r="BK83">
            <v>0</v>
          </cell>
          <cell r="BL83">
            <v>0</v>
          </cell>
          <cell r="BM83">
            <v>0</v>
          </cell>
          <cell r="BN83">
            <v>0</v>
          </cell>
          <cell r="BO83">
            <v>0</v>
          </cell>
          <cell r="BP83">
            <v>0</v>
          </cell>
          <cell r="BQ83">
            <v>0</v>
          </cell>
          <cell r="BR83">
            <v>0</v>
          </cell>
          <cell r="BS83">
            <v>0</v>
          </cell>
          <cell r="BT83">
            <v>0</v>
          </cell>
          <cell r="BU83">
            <v>0</v>
          </cell>
          <cell r="BX83">
            <v>0</v>
          </cell>
          <cell r="BY83">
            <v>0</v>
          </cell>
          <cell r="BZ83">
            <v>0</v>
          </cell>
          <cell r="CB83">
            <v>0</v>
          </cell>
          <cell r="CC83">
            <v>0</v>
          </cell>
          <cell r="CD83">
            <v>0</v>
          </cell>
          <cell r="CE83">
            <v>0</v>
          </cell>
          <cell r="CG83">
            <v>0</v>
          </cell>
          <cell r="CH83">
            <v>0</v>
          </cell>
          <cell r="CI83">
            <v>0</v>
          </cell>
          <cell r="CJ83">
            <v>0</v>
          </cell>
          <cell r="CK83">
            <v>0</v>
          </cell>
          <cell r="CL83">
            <v>0</v>
          </cell>
          <cell r="CM83">
            <v>0</v>
          </cell>
          <cell r="CN83">
            <v>0</v>
          </cell>
          <cell r="CO83">
            <v>0</v>
          </cell>
          <cell r="FD83">
            <v>0</v>
          </cell>
          <cell r="FE83">
            <v>-61913117.614579909</v>
          </cell>
          <cell r="FF83">
            <v>0</v>
          </cell>
          <cell r="FG83">
            <v>0</v>
          </cell>
          <cell r="FJ83">
            <v>0</v>
          </cell>
          <cell r="FK83">
            <v>0</v>
          </cell>
          <cell r="FL83">
            <v>0</v>
          </cell>
          <cell r="FN83">
            <v>0</v>
          </cell>
          <cell r="FO83">
            <v>0</v>
          </cell>
          <cell r="FP83">
            <v>0</v>
          </cell>
          <cell r="FQ83">
            <v>0</v>
          </cell>
          <cell r="FS83">
            <v>0</v>
          </cell>
          <cell r="FT83">
            <v>0</v>
          </cell>
          <cell r="FU83">
            <v>0</v>
          </cell>
          <cell r="FV83">
            <v>0</v>
          </cell>
          <cell r="FW83">
            <v>0</v>
          </cell>
          <cell r="FX83">
            <v>0</v>
          </cell>
          <cell r="FY83">
            <v>0</v>
          </cell>
          <cell r="FZ83">
            <v>0</v>
          </cell>
          <cell r="GA83">
            <v>0</v>
          </cell>
        </row>
        <row r="84">
          <cell r="A84" t="str">
            <v>F_CNP_NRF_RET_COL_FRCE_CIP</v>
          </cell>
          <cell r="E84">
            <v>0</v>
          </cell>
          <cell r="F84">
            <v>0</v>
          </cell>
          <cell r="G84">
            <v>0</v>
          </cell>
          <cell r="J84">
            <v>0</v>
          </cell>
          <cell r="K84">
            <v>0</v>
          </cell>
          <cell r="L84">
            <v>0</v>
          </cell>
          <cell r="N84">
            <v>0</v>
          </cell>
          <cell r="O84">
            <v>0</v>
          </cell>
          <cell r="P84">
            <v>0</v>
          </cell>
          <cell r="Q84">
            <v>0</v>
          </cell>
          <cell r="S84">
            <v>0</v>
          </cell>
          <cell r="T84">
            <v>0</v>
          </cell>
          <cell r="U84">
            <v>0</v>
          </cell>
          <cell r="V84">
            <v>0</v>
          </cell>
          <cell r="W84">
            <v>0</v>
          </cell>
          <cell r="X84">
            <v>0</v>
          </cell>
          <cell r="Y84">
            <v>0</v>
          </cell>
          <cell r="Z84">
            <v>0</v>
          </cell>
          <cell r="AA84">
            <v>0</v>
          </cell>
          <cell r="AB84">
            <v>0</v>
          </cell>
          <cell r="AC84">
            <v>0</v>
          </cell>
          <cell r="AF84">
            <v>0</v>
          </cell>
          <cell r="AG84">
            <v>0</v>
          </cell>
          <cell r="AH84">
            <v>0</v>
          </cell>
          <cell r="AJ84">
            <v>0</v>
          </cell>
          <cell r="AK84">
            <v>0</v>
          </cell>
          <cell r="AL84">
            <v>0</v>
          </cell>
          <cell r="AM84">
            <v>0</v>
          </cell>
          <cell r="AO84">
            <v>0</v>
          </cell>
          <cell r="AP84">
            <v>0</v>
          </cell>
          <cell r="AQ84">
            <v>0</v>
          </cell>
          <cell r="AR84">
            <v>0</v>
          </cell>
          <cell r="AS84">
            <v>0</v>
          </cell>
          <cell r="AT84">
            <v>0</v>
          </cell>
          <cell r="AU84">
            <v>0</v>
          </cell>
          <cell r="AV84">
            <v>0</v>
          </cell>
          <cell r="AW84">
            <v>0</v>
          </cell>
          <cell r="AX84">
            <v>0</v>
          </cell>
          <cell r="AY84">
            <v>0</v>
          </cell>
          <cell r="BB84">
            <v>0</v>
          </cell>
          <cell r="BC84">
            <v>0</v>
          </cell>
          <cell r="BD84">
            <v>0</v>
          </cell>
          <cell r="BF84">
            <v>0</v>
          </cell>
          <cell r="BG84">
            <v>0</v>
          </cell>
          <cell r="BH84">
            <v>0</v>
          </cell>
          <cell r="BI84">
            <v>0</v>
          </cell>
          <cell r="BK84">
            <v>0</v>
          </cell>
          <cell r="BL84">
            <v>0</v>
          </cell>
          <cell r="BM84">
            <v>0</v>
          </cell>
          <cell r="BN84">
            <v>0</v>
          </cell>
          <cell r="BO84">
            <v>0</v>
          </cell>
          <cell r="BP84">
            <v>0</v>
          </cell>
          <cell r="BQ84">
            <v>0</v>
          </cell>
          <cell r="BR84">
            <v>0</v>
          </cell>
          <cell r="BS84">
            <v>0</v>
          </cell>
          <cell r="BT84">
            <v>0</v>
          </cell>
          <cell r="BU84">
            <v>0</v>
          </cell>
          <cell r="BX84">
            <v>0</v>
          </cell>
          <cell r="BY84">
            <v>0</v>
          </cell>
          <cell r="BZ84">
            <v>0</v>
          </cell>
          <cell r="CB84">
            <v>0</v>
          </cell>
          <cell r="CC84">
            <v>0</v>
          </cell>
          <cell r="CD84">
            <v>0</v>
          </cell>
          <cell r="CE84">
            <v>0</v>
          </cell>
          <cell r="CG84">
            <v>0</v>
          </cell>
          <cell r="CH84">
            <v>0</v>
          </cell>
          <cell r="CI84">
            <v>0</v>
          </cell>
          <cell r="CJ84">
            <v>0</v>
          </cell>
          <cell r="CK84">
            <v>0</v>
          </cell>
          <cell r="CL84">
            <v>0</v>
          </cell>
          <cell r="CM84">
            <v>0</v>
          </cell>
          <cell r="CN84">
            <v>0</v>
          </cell>
          <cell r="CO84">
            <v>0</v>
          </cell>
          <cell r="FD84">
            <v>0</v>
          </cell>
          <cell r="FE84">
            <v>0</v>
          </cell>
          <cell r="FF84">
            <v>0</v>
          </cell>
          <cell r="FG84">
            <v>0</v>
          </cell>
          <cell r="FJ84">
            <v>0</v>
          </cell>
          <cell r="FK84">
            <v>0</v>
          </cell>
          <cell r="FL84">
            <v>0</v>
          </cell>
          <cell r="FN84">
            <v>0</v>
          </cell>
          <cell r="FO84">
            <v>0</v>
          </cell>
          <cell r="FP84">
            <v>0</v>
          </cell>
          <cell r="FQ84">
            <v>0</v>
          </cell>
          <cell r="FS84">
            <v>0</v>
          </cell>
          <cell r="FT84">
            <v>0</v>
          </cell>
          <cell r="FU84">
            <v>0</v>
          </cell>
          <cell r="FV84">
            <v>0</v>
          </cell>
          <cell r="FW84">
            <v>0</v>
          </cell>
          <cell r="FX84">
            <v>0</v>
          </cell>
          <cell r="FY84">
            <v>0</v>
          </cell>
          <cell r="FZ84">
            <v>0</v>
          </cell>
          <cell r="GA84">
            <v>0</v>
          </cell>
        </row>
        <row r="85">
          <cell r="A85" t="str">
            <v>F_CNP_RFF_RET_COL_FRCE_035</v>
          </cell>
          <cell r="E85">
            <v>4882359395.9533234</v>
          </cell>
          <cell r="F85">
            <v>5180027761.6886606</v>
          </cell>
          <cell r="G85">
            <v>5180027761.6886606</v>
          </cell>
          <cell r="J85">
            <v>5180027761.6886606</v>
          </cell>
          <cell r="K85">
            <v>5180027761.6886606</v>
          </cell>
          <cell r="L85">
            <v>5180027761.6886606</v>
          </cell>
          <cell r="N85">
            <v>5180027761.6886606</v>
          </cell>
          <cell r="O85">
            <v>5180027761.6886606</v>
          </cell>
          <cell r="P85">
            <v>5180027761.6886606</v>
          </cell>
          <cell r="Q85">
            <v>5180027761.6886606</v>
          </cell>
          <cell r="S85">
            <v>5180027761.6886606</v>
          </cell>
          <cell r="T85">
            <v>5180027761.6886606</v>
          </cell>
          <cell r="U85">
            <v>5180027761.6886606</v>
          </cell>
          <cell r="V85">
            <v>5180027761.6886606</v>
          </cell>
          <cell r="W85">
            <v>5180027761.6886606</v>
          </cell>
          <cell r="X85">
            <v>5180027761.6886606</v>
          </cell>
          <cell r="Y85">
            <v>5180027761.6886606</v>
          </cell>
          <cell r="Z85">
            <v>5180027761.6886606</v>
          </cell>
          <cell r="AA85">
            <v>5180027761.6886606</v>
          </cell>
          <cell r="AB85">
            <v>5546312101.2489281</v>
          </cell>
          <cell r="AC85">
            <v>4854695266.4505148</v>
          </cell>
          <cell r="AF85">
            <v>4944146668.8271694</v>
          </cell>
          <cell r="AG85">
            <v>5180027761.6886606</v>
          </cell>
          <cell r="AH85">
            <v>5180027761.6886606</v>
          </cell>
          <cell r="AJ85">
            <v>5173722705.2584887</v>
          </cell>
          <cell r="AK85">
            <v>5180027761.6886606</v>
          </cell>
          <cell r="AL85">
            <v>5180027761.6886606</v>
          </cell>
          <cell r="AM85">
            <v>5139536159.1731443</v>
          </cell>
          <cell r="AO85">
            <v>4992075535.5393724</v>
          </cell>
          <cell r="AP85">
            <v>5180027761.6886606</v>
          </cell>
          <cell r="AQ85">
            <v>5180027761.6886606</v>
          </cell>
          <cell r="AR85">
            <v>5180027761.6886606</v>
          </cell>
          <cell r="AS85">
            <v>5180027761.6886606</v>
          </cell>
          <cell r="AT85">
            <v>5180027761.6886606</v>
          </cell>
          <cell r="AU85">
            <v>5180027761.6886606</v>
          </cell>
          <cell r="AV85">
            <v>5171952068.5183935</v>
          </cell>
          <cell r="AW85">
            <v>5177364058.6921501</v>
          </cell>
          <cell r="AX85">
            <v>4797429287.2103596</v>
          </cell>
          <cell r="AY85">
            <v>4797429287.2103596</v>
          </cell>
          <cell r="BB85">
            <v>4797429287.2103596</v>
          </cell>
          <cell r="BC85">
            <v>4797429287.2103596</v>
          </cell>
          <cell r="BD85">
            <v>4797429287.2103596</v>
          </cell>
          <cell r="BF85">
            <v>4797429287.2103596</v>
          </cell>
          <cell r="BG85">
            <v>4797429287.2103596</v>
          </cell>
          <cell r="BH85">
            <v>4797429287.2103596</v>
          </cell>
          <cell r="BI85">
            <v>4797429287.2103596</v>
          </cell>
          <cell r="BK85">
            <v>4797429287.2103596</v>
          </cell>
          <cell r="BL85">
            <v>4797429287.2103596</v>
          </cell>
          <cell r="BM85">
            <v>4797429287.2103596</v>
          </cell>
          <cell r="BN85">
            <v>4797429287.2103596</v>
          </cell>
          <cell r="BO85">
            <v>4797429287.2103596</v>
          </cell>
          <cell r="BP85">
            <v>4797429287.2103596</v>
          </cell>
          <cell r="BQ85">
            <v>4797429287.2103596</v>
          </cell>
          <cell r="BR85">
            <v>4797429287.2103596</v>
          </cell>
          <cell r="BS85">
            <v>4797429287.2103596</v>
          </cell>
          <cell r="BT85">
            <v>5506384468.4609642</v>
          </cell>
          <cell r="BU85">
            <v>4214668969.7915769</v>
          </cell>
          <cell r="BX85">
            <v>4797429287.2103596</v>
          </cell>
          <cell r="BY85">
            <v>4797429287.2103596</v>
          </cell>
          <cell r="BZ85">
            <v>4797429287.2103596</v>
          </cell>
          <cell r="CB85">
            <v>4797429287.2103596</v>
          </cell>
          <cell r="CC85">
            <v>4797429287.2103596</v>
          </cell>
          <cell r="CD85">
            <v>4797429287.2103596</v>
          </cell>
          <cell r="CE85">
            <v>4797429287.2103596</v>
          </cell>
          <cell r="CG85">
            <v>4797429287.2103596</v>
          </cell>
          <cell r="CH85">
            <v>4797429287.2103596</v>
          </cell>
          <cell r="CI85">
            <v>4797429287.2103596</v>
          </cell>
          <cell r="CJ85">
            <v>4797429287.2103596</v>
          </cell>
          <cell r="CK85">
            <v>4797429287.2103596</v>
          </cell>
          <cell r="CL85">
            <v>4797429287.2103596</v>
          </cell>
          <cell r="CM85">
            <v>4797429287.2103596</v>
          </cell>
          <cell r="CN85">
            <v>4797429287.2103596</v>
          </cell>
          <cell r="CO85">
            <v>4917591812.2816296</v>
          </cell>
          <cell r="FD85">
            <v>4280926567.9450264</v>
          </cell>
          <cell r="FE85">
            <v>4360777049.956851</v>
          </cell>
          <cell r="FF85">
            <v>5312056923.6927366</v>
          </cell>
          <cell r="FG85">
            <v>4401226375.2344713</v>
          </cell>
          <cell r="FJ85">
            <v>4654930642.3661327</v>
          </cell>
          <cell r="FK85">
            <v>4797429287.2103596</v>
          </cell>
          <cell r="FL85">
            <v>4797429287.2103596</v>
          </cell>
          <cell r="FN85">
            <v>4793252516.9042158</v>
          </cell>
          <cell r="FO85">
            <v>4797429287.2103596</v>
          </cell>
          <cell r="FP85">
            <v>4797429287.2103596</v>
          </cell>
          <cell r="FQ85">
            <v>4767296746.1852579</v>
          </cell>
          <cell r="FS85">
            <v>4689470308.4418211</v>
          </cell>
          <cell r="FT85">
            <v>4797429287.2103596</v>
          </cell>
          <cell r="FU85">
            <v>4797429287.2103596</v>
          </cell>
          <cell r="FV85">
            <v>4797429287.2103596</v>
          </cell>
          <cell r="FW85">
            <v>4797429287.2103596</v>
          </cell>
          <cell r="FX85">
            <v>4797429287.2103596</v>
          </cell>
          <cell r="FY85">
            <v>4797429287.2103596</v>
          </cell>
          <cell r="FZ85">
            <v>4792105838.5921392</v>
          </cell>
          <cell r="GA85">
            <v>4843689668.5892696</v>
          </cell>
        </row>
        <row r="86">
          <cell r="A86" t="str">
            <v>F_CNP_RFF_RET_COL_FRCE_031</v>
          </cell>
          <cell r="E86">
            <v>99020193.322029889</v>
          </cell>
          <cell r="F86">
            <v>99880713.955061838</v>
          </cell>
          <cell r="G86">
            <v>99880713.955061838</v>
          </cell>
          <cell r="J86">
            <v>99880713.955061838</v>
          </cell>
          <cell r="K86">
            <v>99880713.955061838</v>
          </cell>
          <cell r="L86">
            <v>99880713.955061838</v>
          </cell>
          <cell r="N86">
            <v>99880713.955061838</v>
          </cell>
          <cell r="O86">
            <v>99880713.955061838</v>
          </cell>
          <cell r="P86">
            <v>99880713.955061838</v>
          </cell>
          <cell r="Q86">
            <v>99880713.955061838</v>
          </cell>
          <cell r="S86">
            <v>99880713.955061838</v>
          </cell>
          <cell r="T86">
            <v>99880713.955061838</v>
          </cell>
          <cell r="U86">
            <v>99880713.955061838</v>
          </cell>
          <cell r="V86">
            <v>99880713.955061838</v>
          </cell>
          <cell r="W86">
            <v>99880713.955061838</v>
          </cell>
          <cell r="X86">
            <v>99880713.955061838</v>
          </cell>
          <cell r="Y86">
            <v>99880713.955061838</v>
          </cell>
          <cell r="Z86">
            <v>99880713.955061838</v>
          </cell>
          <cell r="AA86">
            <v>99880713.955061838</v>
          </cell>
          <cell r="AB86">
            <v>105830820.00181423</v>
          </cell>
          <cell r="AC86">
            <v>94367182.646651179</v>
          </cell>
          <cell r="AF86">
            <v>95641655.254160464</v>
          </cell>
          <cell r="AG86">
            <v>99880713.955061838</v>
          </cell>
          <cell r="AH86">
            <v>99880713.955061838</v>
          </cell>
          <cell r="AJ86">
            <v>99880940.964581817</v>
          </cell>
          <cell r="AK86">
            <v>99880713.955061838</v>
          </cell>
          <cell r="AL86">
            <v>99880713.955061838</v>
          </cell>
          <cell r="AM86">
            <v>99880981.067346498</v>
          </cell>
          <cell r="AO86">
            <v>96699166.854548857</v>
          </cell>
          <cell r="AP86">
            <v>99880713.955061838</v>
          </cell>
          <cell r="AQ86">
            <v>99880713.955061838</v>
          </cell>
          <cell r="AR86">
            <v>99880713.955061838</v>
          </cell>
          <cell r="AS86">
            <v>99880713.955061838</v>
          </cell>
          <cell r="AT86">
            <v>99880713.955061838</v>
          </cell>
          <cell r="AU86">
            <v>99880713.955061838</v>
          </cell>
          <cell r="AV86">
            <v>97848703.043695599</v>
          </cell>
          <cell r="AW86">
            <v>99875054.982649103</v>
          </cell>
          <cell r="AX86">
            <v>96589082.4134918</v>
          </cell>
          <cell r="AY86">
            <v>96589082.4134918</v>
          </cell>
          <cell r="BB86">
            <v>96589082.4134918</v>
          </cell>
          <cell r="BC86">
            <v>96589082.4134918</v>
          </cell>
          <cell r="BD86">
            <v>96589082.4134918</v>
          </cell>
          <cell r="BF86">
            <v>96589082.4134918</v>
          </cell>
          <cell r="BG86">
            <v>96589082.4134918</v>
          </cell>
          <cell r="BH86">
            <v>96589082.4134918</v>
          </cell>
          <cell r="BI86">
            <v>96589082.4134918</v>
          </cell>
          <cell r="BK86">
            <v>96589082.4134918</v>
          </cell>
          <cell r="BL86">
            <v>96589082.4134918</v>
          </cell>
          <cell r="BM86">
            <v>96589082.4134918</v>
          </cell>
          <cell r="BN86">
            <v>96589082.4134918</v>
          </cell>
          <cell r="BO86">
            <v>96589082.4134918</v>
          </cell>
          <cell r="BP86">
            <v>96589082.4134918</v>
          </cell>
          <cell r="BQ86">
            <v>96589082.4134918</v>
          </cell>
          <cell r="BR86">
            <v>96589082.4134918</v>
          </cell>
          <cell r="BS86">
            <v>96589082.4134918</v>
          </cell>
          <cell r="BT86">
            <v>109263920.42194088</v>
          </cell>
          <cell r="BU86">
            <v>85787577.556345806</v>
          </cell>
          <cell r="BX86">
            <v>96589082.4134918</v>
          </cell>
          <cell r="BY86">
            <v>96589082.4134918</v>
          </cell>
          <cell r="BZ86">
            <v>96589082.4134918</v>
          </cell>
          <cell r="CB86">
            <v>96589082.4134918</v>
          </cell>
          <cell r="CC86">
            <v>96589082.4134918</v>
          </cell>
          <cell r="CD86">
            <v>96589082.4134918</v>
          </cell>
          <cell r="CE86">
            <v>96589082.4134918</v>
          </cell>
          <cell r="CG86">
            <v>96589082.4134918</v>
          </cell>
          <cell r="CH86">
            <v>96589082.4134918</v>
          </cell>
          <cell r="CI86">
            <v>96589082.4134918</v>
          </cell>
          <cell r="CJ86">
            <v>96589082.4134918</v>
          </cell>
          <cell r="CK86">
            <v>96589082.4134918</v>
          </cell>
          <cell r="CL86">
            <v>96589082.4134918</v>
          </cell>
          <cell r="CM86">
            <v>96589082.4134918</v>
          </cell>
          <cell r="CN86">
            <v>96589082.4134918</v>
          </cell>
          <cell r="CO86">
            <v>99638379.413329393</v>
          </cell>
          <cell r="FD86">
            <v>79046069.049750417</v>
          </cell>
          <cell r="FE86">
            <v>85221566.716361895</v>
          </cell>
          <cell r="FF86">
            <v>103134653.19958462</v>
          </cell>
          <cell r="FG86">
            <v>90874613.188410848</v>
          </cell>
          <cell r="FJ86">
            <v>92635022.723963886</v>
          </cell>
          <cell r="FK86">
            <v>96589082.4134918</v>
          </cell>
          <cell r="FL86">
            <v>96589082.4134918</v>
          </cell>
          <cell r="FN86">
            <v>96585139.951240122</v>
          </cell>
          <cell r="FO86">
            <v>96589082.4134918</v>
          </cell>
          <cell r="FP86">
            <v>96589082.4134918</v>
          </cell>
          <cell r="FQ86">
            <v>96584443.488660187</v>
          </cell>
          <cell r="FS86">
            <v>93643543.241728604</v>
          </cell>
          <cell r="FT86">
            <v>96589082.4134918</v>
          </cell>
          <cell r="FU86">
            <v>96589082.4134918</v>
          </cell>
          <cell r="FV86">
            <v>96589082.4134918</v>
          </cell>
          <cell r="FW86">
            <v>96589082.4134918</v>
          </cell>
          <cell r="FX86">
            <v>96589082.4134918</v>
          </cell>
          <cell r="FY86">
            <v>96589082.4134918</v>
          </cell>
          <cell r="FZ86">
            <v>94699340.243942082</v>
          </cell>
          <cell r="GA86">
            <v>96687347.710996047</v>
          </cell>
        </row>
        <row r="87">
          <cell r="A87" t="str">
            <v>F_CNP_RFF_RET_COL_FRCE_201</v>
          </cell>
        </row>
        <row r="88">
          <cell r="A88" t="str">
            <v>F_CNP_RFF_RET_COL_FRCE_034</v>
          </cell>
          <cell r="E88">
            <v>459821339.36083335</v>
          </cell>
          <cell r="F88">
            <v>0</v>
          </cell>
          <cell r="G88">
            <v>0</v>
          </cell>
          <cell r="J88">
            <v>0</v>
          </cell>
          <cell r="K88">
            <v>0</v>
          </cell>
          <cell r="L88">
            <v>0</v>
          </cell>
          <cell r="N88">
            <v>0</v>
          </cell>
          <cell r="O88">
            <v>0</v>
          </cell>
          <cell r="P88">
            <v>0</v>
          </cell>
          <cell r="Q88">
            <v>0</v>
          </cell>
          <cell r="S88">
            <v>0</v>
          </cell>
          <cell r="T88">
            <v>0</v>
          </cell>
          <cell r="U88">
            <v>0</v>
          </cell>
          <cell r="V88">
            <v>0</v>
          </cell>
          <cell r="W88">
            <v>0</v>
          </cell>
          <cell r="X88">
            <v>0</v>
          </cell>
          <cell r="Y88">
            <v>0</v>
          </cell>
          <cell r="Z88">
            <v>0</v>
          </cell>
          <cell r="AA88">
            <v>0</v>
          </cell>
          <cell r="AB88">
            <v>0</v>
          </cell>
          <cell r="AC88">
            <v>0</v>
          </cell>
          <cell r="AF88">
            <v>0</v>
          </cell>
          <cell r="AG88">
            <v>0</v>
          </cell>
          <cell r="AH88">
            <v>0</v>
          </cell>
          <cell r="AJ88">
            <v>0</v>
          </cell>
          <cell r="AK88">
            <v>0</v>
          </cell>
          <cell r="AL88">
            <v>0</v>
          </cell>
          <cell r="AM88">
            <v>0</v>
          </cell>
          <cell r="AO88">
            <v>0</v>
          </cell>
          <cell r="AP88">
            <v>0</v>
          </cell>
          <cell r="AQ88">
            <v>0</v>
          </cell>
          <cell r="AR88">
            <v>0</v>
          </cell>
          <cell r="AS88">
            <v>0</v>
          </cell>
          <cell r="AT88">
            <v>0</v>
          </cell>
          <cell r="AU88">
            <v>0</v>
          </cell>
          <cell r="AV88">
            <v>0</v>
          </cell>
          <cell r="AW88">
            <v>0</v>
          </cell>
          <cell r="AX88">
            <v>0</v>
          </cell>
          <cell r="AY88">
            <v>0</v>
          </cell>
          <cell r="BB88">
            <v>0</v>
          </cell>
          <cell r="BC88">
            <v>0</v>
          </cell>
          <cell r="BD88">
            <v>0</v>
          </cell>
          <cell r="BF88">
            <v>0</v>
          </cell>
          <cell r="BG88">
            <v>0</v>
          </cell>
          <cell r="BH88">
            <v>0</v>
          </cell>
          <cell r="BI88">
            <v>0</v>
          </cell>
          <cell r="BK88">
            <v>0</v>
          </cell>
          <cell r="BL88">
            <v>0</v>
          </cell>
          <cell r="BM88">
            <v>0</v>
          </cell>
          <cell r="BN88">
            <v>0</v>
          </cell>
          <cell r="BO88">
            <v>0</v>
          </cell>
          <cell r="BP88">
            <v>0</v>
          </cell>
          <cell r="BQ88">
            <v>0</v>
          </cell>
          <cell r="BR88">
            <v>0</v>
          </cell>
          <cell r="BS88">
            <v>0</v>
          </cell>
          <cell r="BT88">
            <v>0</v>
          </cell>
          <cell r="BU88">
            <v>0</v>
          </cell>
          <cell r="BX88">
            <v>0</v>
          </cell>
          <cell r="BY88">
            <v>0</v>
          </cell>
          <cell r="BZ88">
            <v>0</v>
          </cell>
          <cell r="CB88">
            <v>0</v>
          </cell>
          <cell r="CC88">
            <v>0</v>
          </cell>
          <cell r="CD88">
            <v>0</v>
          </cell>
          <cell r="CE88">
            <v>0</v>
          </cell>
          <cell r="CG88">
            <v>0</v>
          </cell>
          <cell r="CH88">
            <v>0</v>
          </cell>
          <cell r="CI88">
            <v>0</v>
          </cell>
          <cell r="CJ88">
            <v>0</v>
          </cell>
          <cell r="CK88">
            <v>0</v>
          </cell>
          <cell r="CL88">
            <v>0</v>
          </cell>
          <cell r="CM88">
            <v>0</v>
          </cell>
          <cell r="CN88">
            <v>0</v>
          </cell>
          <cell r="CO88">
            <v>0</v>
          </cell>
          <cell r="FD88">
            <v>0</v>
          </cell>
          <cell r="FE88">
            <v>451570241.75221443</v>
          </cell>
          <cell r="FF88">
            <v>0</v>
          </cell>
          <cell r="FG88">
            <v>0</v>
          </cell>
          <cell r="FJ88">
            <v>0</v>
          </cell>
          <cell r="FK88">
            <v>0</v>
          </cell>
          <cell r="FL88">
            <v>0</v>
          </cell>
          <cell r="FN88">
            <v>0</v>
          </cell>
          <cell r="FO88">
            <v>0</v>
          </cell>
          <cell r="FP88">
            <v>0</v>
          </cell>
          <cell r="FQ88">
            <v>0</v>
          </cell>
          <cell r="FS88">
            <v>0</v>
          </cell>
          <cell r="FT88">
            <v>0</v>
          </cell>
          <cell r="FU88">
            <v>0</v>
          </cell>
          <cell r="FV88">
            <v>0</v>
          </cell>
          <cell r="FW88">
            <v>0</v>
          </cell>
          <cell r="FX88">
            <v>0</v>
          </cell>
          <cell r="FY88">
            <v>0</v>
          </cell>
          <cell r="FZ88">
            <v>0</v>
          </cell>
          <cell r="GA88">
            <v>0</v>
          </cell>
        </row>
        <row r="89">
          <cell r="A89" t="str">
            <v>F_CNP_RFF_RET_COL_FRCE_211</v>
          </cell>
        </row>
        <row r="90">
          <cell r="A90" t="str">
            <v>F_CNP_RFF_RET_COL_FRCE_040</v>
          </cell>
          <cell r="E90">
            <v>116510900.60302636</v>
          </cell>
          <cell r="F90">
            <v>118681520.22947669</v>
          </cell>
          <cell r="G90">
            <v>118681520.22947669</v>
          </cell>
          <cell r="J90">
            <v>118681520.22947669</v>
          </cell>
          <cell r="K90">
            <v>118681520.22947669</v>
          </cell>
          <cell r="L90">
            <v>118681520.22947669</v>
          </cell>
          <cell r="N90">
            <v>118681520.22947669</v>
          </cell>
          <cell r="O90">
            <v>118681520.22947669</v>
          </cell>
          <cell r="P90">
            <v>118681520.22947669</v>
          </cell>
          <cell r="Q90">
            <v>118681520.22947669</v>
          </cell>
          <cell r="S90">
            <v>118681520.22947669</v>
          </cell>
          <cell r="T90">
            <v>118681520.22947669</v>
          </cell>
          <cell r="U90">
            <v>118681520.22947669</v>
          </cell>
          <cell r="V90">
            <v>118681520.22947669</v>
          </cell>
          <cell r="W90">
            <v>118681520.22947669</v>
          </cell>
          <cell r="X90">
            <v>118681520.22947669</v>
          </cell>
          <cell r="Y90">
            <v>118681520.22947669</v>
          </cell>
          <cell r="Z90">
            <v>118681520.22947669</v>
          </cell>
          <cell r="AA90">
            <v>118681520.22947669</v>
          </cell>
          <cell r="AB90">
            <v>119742084.11080278</v>
          </cell>
          <cell r="AC90">
            <v>117194971.05832139</v>
          </cell>
          <cell r="AF90">
            <v>118684113.41590627</v>
          </cell>
          <cell r="AG90">
            <v>118681520.22947669</v>
          </cell>
          <cell r="AH90">
            <v>118681520.22947669</v>
          </cell>
          <cell r="AJ90">
            <v>118681887.94381854</v>
          </cell>
          <cell r="AK90">
            <v>118681520.22947669</v>
          </cell>
          <cell r="AL90">
            <v>118681520.22947669</v>
          </cell>
          <cell r="AM90">
            <v>118681952.90304017</v>
          </cell>
          <cell r="AO90">
            <v>116303071.18013519</v>
          </cell>
          <cell r="AP90">
            <v>118681520.22947669</v>
          </cell>
          <cell r="AQ90">
            <v>118681520.22947669</v>
          </cell>
          <cell r="AR90">
            <v>118681520.22947669</v>
          </cell>
          <cell r="AS90">
            <v>118681520.22947669</v>
          </cell>
          <cell r="AT90">
            <v>118681520.22947669</v>
          </cell>
          <cell r="AU90">
            <v>118681520.22947669</v>
          </cell>
          <cell r="AV90">
            <v>118681675.88997886</v>
          </cell>
          <cell r="AW90">
            <v>118655355.49741025</v>
          </cell>
          <cell r="AX90">
            <v>113854223.2275757</v>
          </cell>
          <cell r="AY90">
            <v>113854223.2275757</v>
          </cell>
          <cell r="BB90">
            <v>113854223.2275757</v>
          </cell>
          <cell r="BC90">
            <v>113854223.2275757</v>
          </cell>
          <cell r="BD90">
            <v>113854223.2275757</v>
          </cell>
          <cell r="BF90">
            <v>113854223.2275757</v>
          </cell>
          <cell r="BG90">
            <v>113854223.2275757</v>
          </cell>
          <cell r="BH90">
            <v>113854223.2275757</v>
          </cell>
          <cell r="BI90">
            <v>113854223.2275757</v>
          </cell>
          <cell r="BK90">
            <v>113854223.2275757</v>
          </cell>
          <cell r="BL90">
            <v>113854223.2275757</v>
          </cell>
          <cell r="BM90">
            <v>113854223.2275757</v>
          </cell>
          <cell r="BN90">
            <v>113854223.2275757</v>
          </cell>
          <cell r="BO90">
            <v>113854223.2275757</v>
          </cell>
          <cell r="BP90">
            <v>113854223.2275757</v>
          </cell>
          <cell r="BQ90">
            <v>113854223.2275757</v>
          </cell>
          <cell r="BR90">
            <v>113854223.2275757</v>
          </cell>
          <cell r="BS90">
            <v>113854223.2275757</v>
          </cell>
          <cell r="BT90">
            <v>130434575.50408898</v>
          </cell>
          <cell r="BU90">
            <v>99724436.674992844</v>
          </cell>
          <cell r="BX90">
            <v>113854223.2275757</v>
          </cell>
          <cell r="BY90">
            <v>113854223.2275757</v>
          </cell>
          <cell r="BZ90">
            <v>113854223.2275757</v>
          </cell>
          <cell r="CB90">
            <v>113854223.2275757</v>
          </cell>
          <cell r="CC90">
            <v>113854223.2275757</v>
          </cell>
          <cell r="CD90">
            <v>113854223.2275757</v>
          </cell>
          <cell r="CE90">
            <v>113854223.2275757</v>
          </cell>
          <cell r="CG90">
            <v>113854223.2275757</v>
          </cell>
          <cell r="CH90">
            <v>113854223.2275757</v>
          </cell>
          <cell r="CI90">
            <v>113854223.2275757</v>
          </cell>
          <cell r="CJ90">
            <v>113854223.2275757</v>
          </cell>
          <cell r="CK90">
            <v>113854223.2275757</v>
          </cell>
          <cell r="CL90">
            <v>113854223.2275757</v>
          </cell>
          <cell r="CM90">
            <v>113854223.2275757</v>
          </cell>
          <cell r="CN90">
            <v>113854223.2275757</v>
          </cell>
          <cell r="CO90">
            <v>117843104.06528898</v>
          </cell>
          <cell r="FD90">
            <v>103402636.7867422</v>
          </cell>
          <cell r="FE90">
            <v>101553812.80723429</v>
          </cell>
          <cell r="FF90">
            <v>117660298.8600077</v>
          </cell>
          <cell r="FG90">
            <v>110928443.25044088</v>
          </cell>
          <cell r="FJ90">
            <v>113809187.49686599</v>
          </cell>
          <cell r="FK90">
            <v>113854223.2275757</v>
          </cell>
          <cell r="FL90">
            <v>113854223.2275757</v>
          </cell>
          <cell r="FN90">
            <v>113847837.15217091</v>
          </cell>
          <cell r="FO90">
            <v>113854223.2275757</v>
          </cell>
          <cell r="FP90">
            <v>113854223.2275757</v>
          </cell>
          <cell r="FQ90">
            <v>113846709.00882594</v>
          </cell>
          <cell r="FS90">
            <v>112661012.52706407</v>
          </cell>
          <cell r="FT90">
            <v>113854223.2275757</v>
          </cell>
          <cell r="FU90">
            <v>113854223.2275757</v>
          </cell>
          <cell r="FV90">
            <v>113854223.2275757</v>
          </cell>
          <cell r="FW90">
            <v>113854223.2275757</v>
          </cell>
          <cell r="FX90">
            <v>113854223.2275757</v>
          </cell>
          <cell r="FY90">
            <v>113854223.2275757</v>
          </cell>
          <cell r="FZ90">
            <v>113851519.87991917</v>
          </cell>
          <cell r="GA90">
            <v>114308643.10379949</v>
          </cell>
        </row>
        <row r="91">
          <cell r="A91" t="str">
            <v>F_CNP_RFF_RET_COL_FRCE_048</v>
          </cell>
          <cell r="E91">
            <v>304267715.41866016</v>
          </cell>
          <cell r="F91">
            <v>303720572.02806574</v>
          </cell>
          <cell r="G91">
            <v>303720572.02806574</v>
          </cell>
          <cell r="J91">
            <v>303720572.02806574</v>
          </cell>
          <cell r="K91">
            <v>303720572.02806574</v>
          </cell>
          <cell r="L91">
            <v>303720572.02806574</v>
          </cell>
          <cell r="N91">
            <v>303720572.02806574</v>
          </cell>
          <cell r="O91">
            <v>303720572.02806574</v>
          </cell>
          <cell r="P91">
            <v>303720572.02806574</v>
          </cell>
          <cell r="Q91">
            <v>303720572.02806574</v>
          </cell>
          <cell r="S91">
            <v>303720572.02806574</v>
          </cell>
          <cell r="T91">
            <v>303720572.02806574</v>
          </cell>
          <cell r="U91">
            <v>303720572.02806574</v>
          </cell>
          <cell r="V91">
            <v>303720572.02806574</v>
          </cell>
          <cell r="W91">
            <v>303720572.02806574</v>
          </cell>
          <cell r="X91">
            <v>303720572.02806574</v>
          </cell>
          <cell r="Y91">
            <v>303720572.02806574</v>
          </cell>
          <cell r="Z91">
            <v>303720572.02806574</v>
          </cell>
          <cell r="AA91">
            <v>303720572.02806574</v>
          </cell>
          <cell r="AB91">
            <v>323380627.78662121</v>
          </cell>
          <cell r="AC91">
            <v>285741898.13710529</v>
          </cell>
          <cell r="AF91">
            <v>291347364.23340505</v>
          </cell>
          <cell r="AG91">
            <v>303720572.02806574</v>
          </cell>
          <cell r="AH91">
            <v>303720572.02806574</v>
          </cell>
          <cell r="AJ91">
            <v>303426514.51909393</v>
          </cell>
          <cell r="AK91">
            <v>303720572.02806574</v>
          </cell>
          <cell r="AL91">
            <v>303720572.02806574</v>
          </cell>
          <cell r="AM91">
            <v>303721613.45362699</v>
          </cell>
          <cell r="AO91">
            <v>291181434.52205253</v>
          </cell>
          <cell r="AP91">
            <v>303720572.02806574</v>
          </cell>
          <cell r="AQ91">
            <v>303720572.02806574</v>
          </cell>
          <cell r="AR91">
            <v>303720572.02806574</v>
          </cell>
          <cell r="AS91">
            <v>303720572.02806574</v>
          </cell>
          <cell r="AT91">
            <v>303720572.02806574</v>
          </cell>
          <cell r="AU91">
            <v>303720572.02806574</v>
          </cell>
          <cell r="AV91">
            <v>302253077.19919199</v>
          </cell>
          <cell r="AW91">
            <v>303664093.72779381</v>
          </cell>
          <cell r="AX91">
            <v>290627344.52939105</v>
          </cell>
          <cell r="AY91">
            <v>290627344.52939105</v>
          </cell>
          <cell r="BB91">
            <v>290627344.52939105</v>
          </cell>
          <cell r="BC91">
            <v>290627344.52939105</v>
          </cell>
          <cell r="BD91">
            <v>290627344.52939105</v>
          </cell>
          <cell r="BF91">
            <v>290627344.52939105</v>
          </cell>
          <cell r="BG91">
            <v>290627344.52939105</v>
          </cell>
          <cell r="BH91">
            <v>290627344.52939105</v>
          </cell>
          <cell r="BI91">
            <v>290627344.52939105</v>
          </cell>
          <cell r="BK91">
            <v>290627344.52939105</v>
          </cell>
          <cell r="BL91">
            <v>290627344.52939105</v>
          </cell>
          <cell r="BM91">
            <v>290627344.52939105</v>
          </cell>
          <cell r="BN91">
            <v>290627344.52939105</v>
          </cell>
          <cell r="BO91">
            <v>290627344.52939105</v>
          </cell>
          <cell r="BP91">
            <v>290627344.52939105</v>
          </cell>
          <cell r="BQ91">
            <v>290627344.52939105</v>
          </cell>
          <cell r="BR91">
            <v>290627344.52939105</v>
          </cell>
          <cell r="BS91">
            <v>290627344.52939105</v>
          </cell>
          <cell r="BT91">
            <v>330657924.35681343</v>
          </cell>
          <cell r="BU91">
            <v>256513259.43007532</v>
          </cell>
          <cell r="BX91">
            <v>290627344.52939105</v>
          </cell>
          <cell r="BY91">
            <v>290627344.52939105</v>
          </cell>
          <cell r="BZ91">
            <v>290627344.52939105</v>
          </cell>
          <cell r="CB91">
            <v>290627344.52939105</v>
          </cell>
          <cell r="CC91">
            <v>290627344.52939105</v>
          </cell>
          <cell r="CD91">
            <v>290627344.52939105</v>
          </cell>
          <cell r="CE91">
            <v>290627344.52939105</v>
          </cell>
          <cell r="CG91">
            <v>290627344.52939105</v>
          </cell>
          <cell r="CH91">
            <v>290627344.52939105</v>
          </cell>
          <cell r="CI91">
            <v>290627344.52939105</v>
          </cell>
          <cell r="CJ91">
            <v>290627344.52939105</v>
          </cell>
          <cell r="CK91">
            <v>290627344.52939105</v>
          </cell>
          <cell r="CL91">
            <v>290627344.52939105</v>
          </cell>
          <cell r="CM91">
            <v>290627344.52939105</v>
          </cell>
          <cell r="CN91">
            <v>290627344.52939105</v>
          </cell>
          <cell r="CO91">
            <v>300257852.38188976</v>
          </cell>
          <cell r="FD91">
            <v>249648948.17832544</v>
          </cell>
          <cell r="FE91">
            <v>266708840.84725264</v>
          </cell>
          <cell r="FF91">
            <v>316475633.16512209</v>
          </cell>
          <cell r="FG91">
            <v>270082053.12590384</v>
          </cell>
          <cell r="FJ91">
            <v>280156544.57671893</v>
          </cell>
          <cell r="FK91">
            <v>290627344.52939105</v>
          </cell>
          <cell r="FL91">
            <v>290627344.52939105</v>
          </cell>
          <cell r="FN91">
            <v>290370544.53674465</v>
          </cell>
          <cell r="FO91">
            <v>290627344.52939105</v>
          </cell>
          <cell r="FP91">
            <v>290627344.52939105</v>
          </cell>
          <cell r="FQ91">
            <v>290609258.14709443</v>
          </cell>
          <cell r="FS91">
            <v>280058144.82709944</v>
          </cell>
          <cell r="FT91">
            <v>290627344.52939105</v>
          </cell>
          <cell r="FU91">
            <v>290627344.52939105</v>
          </cell>
          <cell r="FV91">
            <v>290627344.52939105</v>
          </cell>
          <cell r="FW91">
            <v>290627344.52939105</v>
          </cell>
          <cell r="FX91">
            <v>290627344.52939105</v>
          </cell>
          <cell r="FY91">
            <v>290627344.52939105</v>
          </cell>
          <cell r="FZ91">
            <v>289402712.69470537</v>
          </cell>
          <cell r="GA91">
            <v>291608218.53131151</v>
          </cell>
        </row>
        <row r="92">
          <cell r="A92" t="str">
            <v>F_CNP_RFF_RET_COL_FRCE_049</v>
          </cell>
          <cell r="E92">
            <v>121272094.70267771</v>
          </cell>
          <cell r="F92">
            <v>118760997.57889073</v>
          </cell>
          <cell r="G92">
            <v>118760997.57889073</v>
          </cell>
          <cell r="J92">
            <v>118760997.57889073</v>
          </cell>
          <cell r="K92">
            <v>118760997.57889073</v>
          </cell>
          <cell r="L92">
            <v>118760997.57889073</v>
          </cell>
          <cell r="N92">
            <v>118760997.57889073</v>
          </cell>
          <cell r="O92">
            <v>118760997.57889073</v>
          </cell>
          <cell r="P92">
            <v>118760997.57889073</v>
          </cell>
          <cell r="Q92">
            <v>118760997.57889073</v>
          </cell>
          <cell r="S92">
            <v>118760997.57889073</v>
          </cell>
          <cell r="T92">
            <v>118760997.57889073</v>
          </cell>
          <cell r="U92">
            <v>118760997.57889073</v>
          </cell>
          <cell r="V92">
            <v>118760997.57889073</v>
          </cell>
          <cell r="W92">
            <v>118760997.57889073</v>
          </cell>
          <cell r="X92">
            <v>118760997.57889073</v>
          </cell>
          <cell r="Y92">
            <v>118760997.57889073</v>
          </cell>
          <cell r="Z92">
            <v>118760997.57889073</v>
          </cell>
          <cell r="AA92">
            <v>118760997.57889073</v>
          </cell>
          <cell r="AB92">
            <v>126543633.47935764</v>
          </cell>
          <cell r="AC92">
            <v>111660066.73439462</v>
          </cell>
          <cell r="AF92">
            <v>114556240.92106611</v>
          </cell>
          <cell r="AG92">
            <v>118760997.57889073</v>
          </cell>
          <cell r="AH92">
            <v>118760997.57889073</v>
          </cell>
          <cell r="AJ92">
            <v>118761127.80995075</v>
          </cell>
          <cell r="AK92">
            <v>118760997.57889073</v>
          </cell>
          <cell r="AL92">
            <v>118760997.57889073</v>
          </cell>
          <cell r="AM92">
            <v>118761150.81614694</v>
          </cell>
          <cell r="AO92">
            <v>113611871.06501156</v>
          </cell>
          <cell r="AP92">
            <v>118760997.57889073</v>
          </cell>
          <cell r="AQ92">
            <v>118760997.57889073</v>
          </cell>
          <cell r="AR92">
            <v>118760997.57889073</v>
          </cell>
          <cell r="AS92">
            <v>118760997.57889073</v>
          </cell>
          <cell r="AT92">
            <v>118760997.57889073</v>
          </cell>
          <cell r="AU92">
            <v>118760997.57889073</v>
          </cell>
          <cell r="AV92">
            <v>117612718.44665284</v>
          </cell>
          <cell r="AW92">
            <v>118744796.02350964</v>
          </cell>
          <cell r="AX92">
            <v>109127341.9874019</v>
          </cell>
          <cell r="AY92">
            <v>109127341.9874019</v>
          </cell>
          <cell r="BB92">
            <v>109127341.9874019</v>
          </cell>
          <cell r="BC92">
            <v>109127341.9874019</v>
          </cell>
          <cell r="BD92">
            <v>109127341.9874019</v>
          </cell>
          <cell r="BF92">
            <v>109127341.9874019</v>
          </cell>
          <cell r="BG92">
            <v>109127341.9874019</v>
          </cell>
          <cell r="BH92">
            <v>109127341.9874019</v>
          </cell>
          <cell r="BI92">
            <v>109127341.9874019</v>
          </cell>
          <cell r="BK92">
            <v>109127341.9874019</v>
          </cell>
          <cell r="BL92">
            <v>109127341.9874019</v>
          </cell>
          <cell r="BM92">
            <v>109127341.9874019</v>
          </cell>
          <cell r="BN92">
            <v>109127341.9874019</v>
          </cell>
          <cell r="BO92">
            <v>109127341.9874019</v>
          </cell>
          <cell r="BP92">
            <v>109127341.9874019</v>
          </cell>
          <cell r="BQ92">
            <v>109127341.9874019</v>
          </cell>
          <cell r="BR92">
            <v>109127341.9874019</v>
          </cell>
          <cell r="BS92">
            <v>109127341.9874019</v>
          </cell>
          <cell r="BT92">
            <v>122829949.03456607</v>
          </cell>
          <cell r="BU92">
            <v>97449971.71435827</v>
          </cell>
          <cell r="BX92">
            <v>109127341.9874019</v>
          </cell>
          <cell r="BY92">
            <v>109127341.9874019</v>
          </cell>
          <cell r="BZ92">
            <v>109127341.9874019</v>
          </cell>
          <cell r="CB92">
            <v>109127341.9874019</v>
          </cell>
          <cell r="CC92">
            <v>109127341.9874019</v>
          </cell>
          <cell r="CD92">
            <v>109127341.9874019</v>
          </cell>
          <cell r="CE92">
            <v>109127341.9874019</v>
          </cell>
          <cell r="CG92">
            <v>109127341.9874019</v>
          </cell>
          <cell r="CH92">
            <v>109127341.9874019</v>
          </cell>
          <cell r="CI92">
            <v>109127341.9874019</v>
          </cell>
          <cell r="CJ92">
            <v>109127341.9874019</v>
          </cell>
          <cell r="CK92">
            <v>109127341.9874019</v>
          </cell>
          <cell r="CL92">
            <v>109127341.9874019</v>
          </cell>
          <cell r="CM92">
            <v>109127341.9874019</v>
          </cell>
          <cell r="CN92">
            <v>109127341.9874019</v>
          </cell>
          <cell r="CO92">
            <v>112423898.40343012</v>
          </cell>
          <cell r="FD92">
            <v>85455705.39755334</v>
          </cell>
          <cell r="FE92">
            <v>106179486.06271932</v>
          </cell>
          <cell r="FF92">
            <v>118328481.9743908</v>
          </cell>
          <cell r="FG92">
            <v>101417716.19118565</v>
          </cell>
          <cell r="FJ92">
            <v>105627596.59282979</v>
          </cell>
          <cell r="FK92">
            <v>109127341.9874019</v>
          </cell>
          <cell r="FL92">
            <v>109127341.9874019</v>
          </cell>
          <cell r="FN92">
            <v>109125080.27151342</v>
          </cell>
          <cell r="FO92">
            <v>109127341.9874019</v>
          </cell>
          <cell r="FP92">
            <v>109127341.9874019</v>
          </cell>
          <cell r="FQ92">
            <v>109124680.72412851</v>
          </cell>
          <cell r="FS92">
            <v>104904426.41646565</v>
          </cell>
          <cell r="FT92">
            <v>109127341.9874019</v>
          </cell>
          <cell r="FU92">
            <v>109127341.9874019</v>
          </cell>
          <cell r="FV92">
            <v>109127341.9874019</v>
          </cell>
          <cell r="FW92">
            <v>109127341.9874019</v>
          </cell>
          <cell r="FX92">
            <v>109127341.9874019</v>
          </cell>
          <cell r="FY92">
            <v>109127341.9874019</v>
          </cell>
          <cell r="FZ92">
            <v>108170370.80988041</v>
          </cell>
          <cell r="GA92">
            <v>109408713.53743757</v>
          </cell>
        </row>
        <row r="93">
          <cell r="A93" t="str">
            <v>F_CNP_RFF_RET_COL_FRCE_050</v>
          </cell>
          <cell r="E93">
            <v>130255756.88205783</v>
          </cell>
          <cell r="F93">
            <v>136390397.78889537</v>
          </cell>
          <cell r="G93">
            <v>136390397.78889537</v>
          </cell>
          <cell r="J93">
            <v>136390397.78889537</v>
          </cell>
          <cell r="K93">
            <v>136390397.78889537</v>
          </cell>
          <cell r="L93">
            <v>136390397.78889537</v>
          </cell>
          <cell r="N93">
            <v>136390397.78889537</v>
          </cell>
          <cell r="O93">
            <v>136390397.78889537</v>
          </cell>
          <cell r="P93">
            <v>136390397.78889537</v>
          </cell>
          <cell r="Q93">
            <v>136390397.78889537</v>
          </cell>
          <cell r="S93">
            <v>136390397.78889537</v>
          </cell>
          <cell r="T93">
            <v>136390397.78889537</v>
          </cell>
          <cell r="U93">
            <v>136390397.78889537</v>
          </cell>
          <cell r="V93">
            <v>136390397.78889537</v>
          </cell>
          <cell r="W93">
            <v>136390397.78889537</v>
          </cell>
          <cell r="X93">
            <v>136390397.78889537</v>
          </cell>
          <cell r="Y93">
            <v>136390397.78889537</v>
          </cell>
          <cell r="Z93">
            <v>136390397.78889537</v>
          </cell>
          <cell r="AA93">
            <v>136390397.78889537</v>
          </cell>
          <cell r="AB93">
            <v>144410637.30612022</v>
          </cell>
          <cell r="AC93">
            <v>129083933.41392568</v>
          </cell>
          <cell r="AF93">
            <v>129691286.51594965</v>
          </cell>
          <cell r="AG93">
            <v>136390397.78889537</v>
          </cell>
          <cell r="AH93">
            <v>136390397.78889537</v>
          </cell>
          <cell r="AJ93">
            <v>136390761.44701689</v>
          </cell>
          <cell r="AK93">
            <v>136390397.78889537</v>
          </cell>
          <cell r="AL93">
            <v>136390397.78889537</v>
          </cell>
          <cell r="AM93">
            <v>135452495.55258304</v>
          </cell>
          <cell r="AO93">
            <v>132422724.31247345</v>
          </cell>
          <cell r="AP93">
            <v>136390397.78889537</v>
          </cell>
          <cell r="AQ93">
            <v>136390397.78889537</v>
          </cell>
          <cell r="AR93">
            <v>136390397.78889537</v>
          </cell>
          <cell r="AS93">
            <v>136390397.78889537</v>
          </cell>
          <cell r="AT93">
            <v>136390397.78889537</v>
          </cell>
          <cell r="AU93">
            <v>136390397.78889537</v>
          </cell>
          <cell r="AV93">
            <v>133109367.30990267</v>
          </cell>
          <cell r="AW93">
            <v>136375508.60034263</v>
          </cell>
          <cell r="AX93">
            <v>127784550.38613045</v>
          </cell>
          <cell r="AY93">
            <v>127784550.38613045</v>
          </cell>
          <cell r="BB93">
            <v>127784550.38613045</v>
          </cell>
          <cell r="BC93">
            <v>127784550.38613045</v>
          </cell>
          <cell r="BD93">
            <v>127784550.38613045</v>
          </cell>
          <cell r="BF93">
            <v>127784550.38613045</v>
          </cell>
          <cell r="BG93">
            <v>127784550.38613045</v>
          </cell>
          <cell r="BH93">
            <v>127784550.38613045</v>
          </cell>
          <cell r="BI93">
            <v>127784550.38613045</v>
          </cell>
          <cell r="BK93">
            <v>127784550.38613045</v>
          </cell>
          <cell r="BL93">
            <v>127784550.38613045</v>
          </cell>
          <cell r="BM93">
            <v>127784550.38613045</v>
          </cell>
          <cell r="BN93">
            <v>127784550.38613045</v>
          </cell>
          <cell r="BO93">
            <v>127784550.38613045</v>
          </cell>
          <cell r="BP93">
            <v>127784550.38613045</v>
          </cell>
          <cell r="BQ93">
            <v>127784550.38613045</v>
          </cell>
          <cell r="BR93">
            <v>127784550.38613045</v>
          </cell>
          <cell r="BS93">
            <v>127784550.38613045</v>
          </cell>
          <cell r="BT93">
            <v>144310785.86235943</v>
          </cell>
          <cell r="BU93">
            <v>113700882.20450701</v>
          </cell>
          <cell r="BX93">
            <v>127784550.38613045</v>
          </cell>
          <cell r="BY93">
            <v>127784550.38613045</v>
          </cell>
          <cell r="BZ93">
            <v>127784550.38613045</v>
          </cell>
          <cell r="CB93">
            <v>127784550.38613045</v>
          </cell>
          <cell r="CC93">
            <v>127784550.38613045</v>
          </cell>
          <cell r="CD93">
            <v>127784550.38613045</v>
          </cell>
          <cell r="CE93">
            <v>127784550.38613045</v>
          </cell>
          <cell r="CG93">
            <v>127784550.38613045</v>
          </cell>
          <cell r="CH93">
            <v>127784550.38613045</v>
          </cell>
          <cell r="CI93">
            <v>127784550.38613045</v>
          </cell>
          <cell r="CJ93">
            <v>127784550.38613045</v>
          </cell>
          <cell r="CK93">
            <v>127784550.38613045</v>
          </cell>
          <cell r="CL93">
            <v>127784550.38613045</v>
          </cell>
          <cell r="CM93">
            <v>127784550.38613045</v>
          </cell>
          <cell r="CN93">
            <v>127784550.38613045</v>
          </cell>
          <cell r="CO93">
            <v>131760411.87033106</v>
          </cell>
          <cell r="FD93">
            <v>103065139.74503069</v>
          </cell>
          <cell r="FE93">
            <v>109276780.97109111</v>
          </cell>
          <cell r="FF93">
            <v>138041084.74245042</v>
          </cell>
          <cell r="FG93">
            <v>119666641.18952607</v>
          </cell>
          <cell r="FJ93">
            <v>121772643.44009027</v>
          </cell>
          <cell r="FK93">
            <v>127784550.38613045</v>
          </cell>
          <cell r="FL93">
            <v>127784550.38613045</v>
          </cell>
          <cell r="FN93">
            <v>127778234.75488877</v>
          </cell>
          <cell r="FO93">
            <v>127784550.38613045</v>
          </cell>
          <cell r="FP93">
            <v>127784550.38613045</v>
          </cell>
          <cell r="FQ93">
            <v>126920910.05598092</v>
          </cell>
          <cell r="FS93">
            <v>124295418.09149761</v>
          </cell>
          <cell r="FT93">
            <v>127784550.38613045</v>
          </cell>
          <cell r="FU93">
            <v>127784550.38613045</v>
          </cell>
          <cell r="FV93">
            <v>127784550.38613045</v>
          </cell>
          <cell r="FW93">
            <v>127784550.38613045</v>
          </cell>
          <cell r="FX93">
            <v>127784550.38613045</v>
          </cell>
          <cell r="FY93">
            <v>127784550.38613045</v>
          </cell>
          <cell r="FZ93">
            <v>124832737.85883325</v>
          </cell>
          <cell r="GA93">
            <v>128043130.13130468</v>
          </cell>
        </row>
        <row r="94">
          <cell r="A94" t="str">
            <v>F_CNP_RFF_RET_COL_FRCE_051</v>
          </cell>
          <cell r="E94">
            <v>0</v>
          </cell>
          <cell r="F94">
            <v>0</v>
          </cell>
          <cell r="G94">
            <v>0</v>
          </cell>
          <cell r="J94">
            <v>0</v>
          </cell>
          <cell r="K94">
            <v>0</v>
          </cell>
          <cell r="L94">
            <v>0</v>
          </cell>
          <cell r="N94">
            <v>0</v>
          </cell>
          <cell r="O94">
            <v>0</v>
          </cell>
          <cell r="P94">
            <v>0</v>
          </cell>
          <cell r="Q94">
            <v>0</v>
          </cell>
          <cell r="S94">
            <v>0</v>
          </cell>
          <cell r="T94">
            <v>0</v>
          </cell>
          <cell r="U94">
            <v>0</v>
          </cell>
          <cell r="V94">
            <v>0</v>
          </cell>
          <cell r="W94">
            <v>0</v>
          </cell>
          <cell r="X94">
            <v>0</v>
          </cell>
          <cell r="Y94">
            <v>0</v>
          </cell>
          <cell r="Z94">
            <v>0</v>
          </cell>
          <cell r="AA94">
            <v>0</v>
          </cell>
          <cell r="AB94">
            <v>0</v>
          </cell>
          <cell r="AC94">
            <v>0</v>
          </cell>
          <cell r="AF94">
            <v>0</v>
          </cell>
          <cell r="AG94">
            <v>0</v>
          </cell>
          <cell r="AH94">
            <v>0</v>
          </cell>
          <cell r="AJ94">
            <v>0</v>
          </cell>
          <cell r="AK94">
            <v>0</v>
          </cell>
          <cell r="AL94">
            <v>0</v>
          </cell>
          <cell r="AM94">
            <v>0</v>
          </cell>
          <cell r="AO94">
            <v>0</v>
          </cell>
          <cell r="AP94">
            <v>0</v>
          </cell>
          <cell r="AQ94">
            <v>0</v>
          </cell>
          <cell r="AR94">
            <v>0</v>
          </cell>
          <cell r="AS94">
            <v>0</v>
          </cell>
          <cell r="AT94">
            <v>0</v>
          </cell>
          <cell r="AU94">
            <v>0</v>
          </cell>
          <cell r="AV94">
            <v>0</v>
          </cell>
          <cell r="AW94">
            <v>0</v>
          </cell>
          <cell r="AX94">
            <v>0</v>
          </cell>
          <cell r="AY94">
            <v>0</v>
          </cell>
          <cell r="BB94">
            <v>0</v>
          </cell>
          <cell r="BC94">
            <v>0</v>
          </cell>
          <cell r="BD94">
            <v>0</v>
          </cell>
          <cell r="BF94">
            <v>0</v>
          </cell>
          <cell r="BG94">
            <v>0</v>
          </cell>
          <cell r="BH94">
            <v>0</v>
          </cell>
          <cell r="BI94">
            <v>0</v>
          </cell>
          <cell r="BK94">
            <v>0</v>
          </cell>
          <cell r="BL94">
            <v>0</v>
          </cell>
          <cell r="BM94">
            <v>0</v>
          </cell>
          <cell r="BN94">
            <v>0</v>
          </cell>
          <cell r="BO94">
            <v>0</v>
          </cell>
          <cell r="BP94">
            <v>0</v>
          </cell>
          <cell r="BQ94">
            <v>0</v>
          </cell>
          <cell r="BR94">
            <v>0</v>
          </cell>
          <cell r="BS94">
            <v>0</v>
          </cell>
          <cell r="BT94">
            <v>0</v>
          </cell>
          <cell r="BU94">
            <v>0</v>
          </cell>
          <cell r="BX94">
            <v>0</v>
          </cell>
          <cell r="BY94">
            <v>0</v>
          </cell>
          <cell r="BZ94">
            <v>0</v>
          </cell>
          <cell r="CB94">
            <v>0</v>
          </cell>
          <cell r="CC94">
            <v>0</v>
          </cell>
          <cell r="CD94">
            <v>0</v>
          </cell>
          <cell r="CE94">
            <v>0</v>
          </cell>
          <cell r="CG94">
            <v>0</v>
          </cell>
          <cell r="CH94">
            <v>0</v>
          </cell>
          <cell r="CI94">
            <v>0</v>
          </cell>
          <cell r="CJ94">
            <v>0</v>
          </cell>
          <cell r="CK94">
            <v>0</v>
          </cell>
          <cell r="CL94">
            <v>0</v>
          </cell>
          <cell r="CM94">
            <v>0</v>
          </cell>
          <cell r="CN94">
            <v>0</v>
          </cell>
          <cell r="CO94">
            <v>0</v>
          </cell>
          <cell r="FD94">
            <v>0</v>
          </cell>
          <cell r="FE94">
            <v>0</v>
          </cell>
          <cell r="FF94">
            <v>0</v>
          </cell>
          <cell r="FG94">
            <v>0</v>
          </cell>
          <cell r="FJ94">
            <v>0</v>
          </cell>
          <cell r="FK94">
            <v>0</v>
          </cell>
          <cell r="FL94">
            <v>0</v>
          </cell>
          <cell r="FN94">
            <v>0</v>
          </cell>
          <cell r="FO94">
            <v>0</v>
          </cell>
          <cell r="FP94">
            <v>0</v>
          </cell>
          <cell r="FQ94">
            <v>0</v>
          </cell>
          <cell r="FS94">
            <v>0</v>
          </cell>
          <cell r="FT94">
            <v>0</v>
          </cell>
          <cell r="FU94">
            <v>0</v>
          </cell>
          <cell r="FV94">
            <v>0</v>
          </cell>
          <cell r="FW94">
            <v>0</v>
          </cell>
          <cell r="FX94">
            <v>0</v>
          </cell>
          <cell r="FY94">
            <v>0</v>
          </cell>
          <cell r="FZ94">
            <v>0</v>
          </cell>
          <cell r="GA94">
            <v>0</v>
          </cell>
        </row>
        <row r="95">
          <cell r="A95" t="str">
            <v>F_CNP_RFF_RET_COL_FRCE_052</v>
          </cell>
          <cell r="E95">
            <v>715993772.54005432</v>
          </cell>
          <cell r="F95">
            <v>717380383.14973927</v>
          </cell>
          <cell r="G95">
            <v>717380383.14973927</v>
          </cell>
          <cell r="J95">
            <v>717380383.14973927</v>
          </cell>
          <cell r="K95">
            <v>717380383.14973927</v>
          </cell>
          <cell r="L95">
            <v>717380383.14973927</v>
          </cell>
          <cell r="N95">
            <v>717380383.14973927</v>
          </cell>
          <cell r="O95">
            <v>717380383.14973927</v>
          </cell>
          <cell r="P95">
            <v>717380383.14973927</v>
          </cell>
          <cell r="Q95">
            <v>717380383.14973927</v>
          </cell>
          <cell r="S95">
            <v>717380383.14973927</v>
          </cell>
          <cell r="T95">
            <v>717380383.14973927</v>
          </cell>
          <cell r="U95">
            <v>717380383.14973927</v>
          </cell>
          <cell r="V95">
            <v>717380383.14973927</v>
          </cell>
          <cell r="W95">
            <v>717380383.14973927</v>
          </cell>
          <cell r="X95">
            <v>717380383.14973927</v>
          </cell>
          <cell r="Y95">
            <v>717380383.14973927</v>
          </cell>
          <cell r="Z95">
            <v>717380383.14973927</v>
          </cell>
          <cell r="AA95">
            <v>717380383.14973927</v>
          </cell>
          <cell r="AB95">
            <v>773651526.09497797</v>
          </cell>
          <cell r="AC95">
            <v>667055739.68566728</v>
          </cell>
          <cell r="AF95">
            <v>689074903.75695586</v>
          </cell>
          <cell r="AG95">
            <v>717380383.14973927</v>
          </cell>
          <cell r="AH95">
            <v>717380383.14973927</v>
          </cell>
          <cell r="AJ95">
            <v>717382226.09048235</v>
          </cell>
          <cell r="AK95">
            <v>717380383.14973927</v>
          </cell>
          <cell r="AL95">
            <v>717380383.14973927</v>
          </cell>
          <cell r="AM95">
            <v>717382551.65840983</v>
          </cell>
          <cell r="AO95">
            <v>688939081.09606922</v>
          </cell>
          <cell r="AP95">
            <v>717380383.14973927</v>
          </cell>
          <cell r="AQ95">
            <v>717380383.14973927</v>
          </cell>
          <cell r="AR95">
            <v>717380383.14973927</v>
          </cell>
          <cell r="AS95">
            <v>717380383.14973927</v>
          </cell>
          <cell r="AT95">
            <v>717380383.14973927</v>
          </cell>
          <cell r="AU95">
            <v>717380383.14973927</v>
          </cell>
          <cell r="AV95">
            <v>709181806.5638423</v>
          </cell>
          <cell r="AW95">
            <v>717235161.56006229</v>
          </cell>
          <cell r="AX95">
            <v>690930103.6095711</v>
          </cell>
          <cell r="AY95">
            <v>690930103.6095711</v>
          </cell>
          <cell r="BB95">
            <v>690930103.6095711</v>
          </cell>
          <cell r="BC95">
            <v>690930103.6095711</v>
          </cell>
          <cell r="BD95">
            <v>690930103.6095711</v>
          </cell>
          <cell r="BF95">
            <v>690930103.6095711</v>
          </cell>
          <cell r="BG95">
            <v>690930103.6095711</v>
          </cell>
          <cell r="BH95">
            <v>690930103.6095711</v>
          </cell>
          <cell r="BI95">
            <v>690930103.6095711</v>
          </cell>
          <cell r="BK95">
            <v>690930103.6095711</v>
          </cell>
          <cell r="BL95">
            <v>690930103.6095711</v>
          </cell>
          <cell r="BM95">
            <v>690930103.6095711</v>
          </cell>
          <cell r="BN95">
            <v>690930103.6095711</v>
          </cell>
          <cell r="BO95">
            <v>690930103.6095711</v>
          </cell>
          <cell r="BP95">
            <v>690930103.6095711</v>
          </cell>
          <cell r="BQ95">
            <v>690930103.6095711</v>
          </cell>
          <cell r="BR95">
            <v>690930103.6095711</v>
          </cell>
          <cell r="BS95">
            <v>690930103.6095711</v>
          </cell>
          <cell r="BT95">
            <v>779791607.77347541</v>
          </cell>
          <cell r="BU95">
            <v>615202274.33081555</v>
          </cell>
          <cell r="BX95">
            <v>690930103.6095711</v>
          </cell>
          <cell r="BY95">
            <v>690930103.6095711</v>
          </cell>
          <cell r="BZ95">
            <v>690930103.6095711</v>
          </cell>
          <cell r="CB95">
            <v>690930103.6095711</v>
          </cell>
          <cell r="CC95">
            <v>690930103.6095711</v>
          </cell>
          <cell r="CD95">
            <v>690930103.6095711</v>
          </cell>
          <cell r="CE95">
            <v>690930103.6095711</v>
          </cell>
          <cell r="CG95">
            <v>690930103.6095711</v>
          </cell>
          <cell r="CH95">
            <v>690930103.6095711</v>
          </cell>
          <cell r="CI95">
            <v>690930103.6095711</v>
          </cell>
          <cell r="CJ95">
            <v>690930103.6095711</v>
          </cell>
          <cell r="CK95">
            <v>690930103.6095711</v>
          </cell>
          <cell r="CL95">
            <v>690930103.6095711</v>
          </cell>
          <cell r="CM95">
            <v>690930103.6095711</v>
          </cell>
          <cell r="CN95">
            <v>690930103.6095711</v>
          </cell>
          <cell r="CO95">
            <v>712308295.41505396</v>
          </cell>
          <cell r="FD95">
            <v>554180857.32711911</v>
          </cell>
          <cell r="FE95">
            <v>628229302.26234603</v>
          </cell>
          <cell r="FF95">
            <v>762433176.92755389</v>
          </cell>
          <cell r="FG95">
            <v>634736090.42258477</v>
          </cell>
          <cell r="FJ95">
            <v>666488577.85959029</v>
          </cell>
          <cell r="FK95">
            <v>690930103.6095711</v>
          </cell>
          <cell r="FL95">
            <v>690930103.6095711</v>
          </cell>
          <cell r="FN95">
            <v>690898097.35576856</v>
          </cell>
          <cell r="FO95">
            <v>690930103.6095711</v>
          </cell>
          <cell r="FP95">
            <v>690930103.6095711</v>
          </cell>
          <cell r="FQ95">
            <v>690892443.23489845</v>
          </cell>
          <cell r="FS95">
            <v>666372034.26434469</v>
          </cell>
          <cell r="FT95">
            <v>690930103.6095711</v>
          </cell>
          <cell r="FU95">
            <v>690930103.6095711</v>
          </cell>
          <cell r="FV95">
            <v>690930103.6095711</v>
          </cell>
          <cell r="FW95">
            <v>690930103.6095711</v>
          </cell>
          <cell r="FX95">
            <v>690930103.6095711</v>
          </cell>
          <cell r="FY95">
            <v>690930103.6095711</v>
          </cell>
          <cell r="FZ95">
            <v>683922707.75119925</v>
          </cell>
          <cell r="GA95">
            <v>693452140.86166179</v>
          </cell>
        </row>
        <row r="96">
          <cell r="A96" t="str">
            <v>F_CNP_NRF_RIS_IND_FRCE_201</v>
          </cell>
          <cell r="E96">
            <v>-226516376.62315059</v>
          </cell>
          <cell r="F96">
            <v>0</v>
          </cell>
          <cell r="G96">
            <v>0</v>
          </cell>
          <cell r="J96">
            <v>0</v>
          </cell>
          <cell r="K96">
            <v>0</v>
          </cell>
          <cell r="L96">
            <v>0</v>
          </cell>
          <cell r="N96">
            <v>0</v>
          </cell>
          <cell r="O96">
            <v>0</v>
          </cell>
          <cell r="P96">
            <v>0</v>
          </cell>
          <cell r="Q96">
            <v>0</v>
          </cell>
          <cell r="S96">
            <v>0</v>
          </cell>
          <cell r="T96">
            <v>0</v>
          </cell>
          <cell r="U96">
            <v>0</v>
          </cell>
          <cell r="V96">
            <v>0</v>
          </cell>
          <cell r="W96">
            <v>0</v>
          </cell>
          <cell r="X96">
            <v>0</v>
          </cell>
          <cell r="Y96">
            <v>0</v>
          </cell>
          <cell r="Z96">
            <v>0</v>
          </cell>
          <cell r="AA96">
            <v>0</v>
          </cell>
          <cell r="AB96">
            <v>0</v>
          </cell>
          <cell r="AC96">
            <v>0</v>
          </cell>
          <cell r="AF96">
            <v>0</v>
          </cell>
          <cell r="AG96">
            <v>0</v>
          </cell>
          <cell r="AH96">
            <v>0</v>
          </cell>
          <cell r="AJ96">
            <v>0</v>
          </cell>
          <cell r="AK96">
            <v>0</v>
          </cell>
          <cell r="AL96">
            <v>0</v>
          </cell>
          <cell r="AM96">
            <v>0</v>
          </cell>
          <cell r="AO96">
            <v>0</v>
          </cell>
          <cell r="AP96">
            <v>0</v>
          </cell>
          <cell r="AQ96">
            <v>0</v>
          </cell>
          <cell r="AR96">
            <v>0</v>
          </cell>
          <cell r="AS96">
            <v>0</v>
          </cell>
          <cell r="AT96">
            <v>0</v>
          </cell>
          <cell r="AU96">
            <v>0</v>
          </cell>
          <cell r="AV96">
            <v>0</v>
          </cell>
          <cell r="AW96">
            <v>0</v>
          </cell>
          <cell r="AX96">
            <v>0</v>
          </cell>
          <cell r="AY96">
            <v>0</v>
          </cell>
          <cell r="BB96">
            <v>0</v>
          </cell>
          <cell r="BC96">
            <v>0</v>
          </cell>
          <cell r="BD96">
            <v>0</v>
          </cell>
          <cell r="BF96">
            <v>0</v>
          </cell>
          <cell r="BG96">
            <v>0</v>
          </cell>
          <cell r="BH96">
            <v>0</v>
          </cell>
          <cell r="BI96">
            <v>0</v>
          </cell>
          <cell r="BK96">
            <v>0</v>
          </cell>
          <cell r="BL96">
            <v>0</v>
          </cell>
          <cell r="BM96">
            <v>0</v>
          </cell>
          <cell r="BN96">
            <v>0</v>
          </cell>
          <cell r="BO96">
            <v>0</v>
          </cell>
          <cell r="BP96">
            <v>0</v>
          </cell>
          <cell r="BQ96">
            <v>0</v>
          </cell>
          <cell r="BR96">
            <v>0</v>
          </cell>
          <cell r="BS96">
            <v>0</v>
          </cell>
          <cell r="BT96">
            <v>0</v>
          </cell>
          <cell r="BU96">
            <v>0</v>
          </cell>
          <cell r="BX96">
            <v>0</v>
          </cell>
          <cell r="BY96">
            <v>0</v>
          </cell>
          <cell r="BZ96">
            <v>0</v>
          </cell>
          <cell r="CB96">
            <v>0</v>
          </cell>
          <cell r="CC96">
            <v>0</v>
          </cell>
          <cell r="CD96">
            <v>0</v>
          </cell>
          <cell r="CE96">
            <v>0</v>
          </cell>
          <cell r="CG96">
            <v>0</v>
          </cell>
          <cell r="CH96">
            <v>0</v>
          </cell>
          <cell r="CI96">
            <v>0</v>
          </cell>
          <cell r="CJ96">
            <v>0</v>
          </cell>
          <cell r="CK96">
            <v>0</v>
          </cell>
          <cell r="CL96">
            <v>0</v>
          </cell>
          <cell r="CM96">
            <v>0</v>
          </cell>
          <cell r="CN96">
            <v>0</v>
          </cell>
          <cell r="CO96">
            <v>0</v>
          </cell>
          <cell r="FD96">
            <v>0</v>
          </cell>
          <cell r="FE96">
            <v>-255967050.45232126</v>
          </cell>
          <cell r="FF96">
            <v>0</v>
          </cell>
          <cell r="FG96">
            <v>0</v>
          </cell>
          <cell r="FJ96">
            <v>0</v>
          </cell>
          <cell r="FK96">
            <v>0</v>
          </cell>
          <cell r="FL96">
            <v>0</v>
          </cell>
          <cell r="FN96">
            <v>0</v>
          </cell>
          <cell r="FO96">
            <v>0</v>
          </cell>
          <cell r="FP96">
            <v>0</v>
          </cell>
          <cell r="FQ96">
            <v>0</v>
          </cell>
          <cell r="FS96">
            <v>0</v>
          </cell>
          <cell r="FT96">
            <v>0</v>
          </cell>
          <cell r="FU96">
            <v>0</v>
          </cell>
          <cell r="FV96">
            <v>0</v>
          </cell>
          <cell r="FW96">
            <v>0</v>
          </cell>
          <cell r="FX96">
            <v>0</v>
          </cell>
          <cell r="FY96">
            <v>0</v>
          </cell>
          <cell r="FZ96">
            <v>0</v>
          </cell>
          <cell r="GA96">
            <v>0</v>
          </cell>
        </row>
        <row r="97">
          <cell r="A97" t="str">
            <v>F_CNP_NRF_RIS_IND_FRCE_272</v>
          </cell>
          <cell r="E97">
            <v>182804362.07341814</v>
          </cell>
          <cell r="F97">
            <v>0</v>
          </cell>
          <cell r="G97">
            <v>0</v>
          </cell>
          <cell r="J97">
            <v>0</v>
          </cell>
          <cell r="K97">
            <v>0</v>
          </cell>
          <cell r="L97">
            <v>0</v>
          </cell>
          <cell r="N97">
            <v>0</v>
          </cell>
          <cell r="O97">
            <v>0</v>
          </cell>
          <cell r="P97">
            <v>0</v>
          </cell>
          <cell r="Q97">
            <v>0</v>
          </cell>
          <cell r="S97">
            <v>0</v>
          </cell>
          <cell r="T97">
            <v>0</v>
          </cell>
          <cell r="U97">
            <v>0</v>
          </cell>
          <cell r="V97">
            <v>0</v>
          </cell>
          <cell r="W97">
            <v>0</v>
          </cell>
          <cell r="X97">
            <v>0</v>
          </cell>
          <cell r="Y97">
            <v>0</v>
          </cell>
          <cell r="Z97">
            <v>0</v>
          </cell>
          <cell r="AA97">
            <v>0</v>
          </cell>
          <cell r="AB97">
            <v>0</v>
          </cell>
          <cell r="AC97">
            <v>0</v>
          </cell>
          <cell r="AF97">
            <v>0</v>
          </cell>
          <cell r="AG97">
            <v>0</v>
          </cell>
          <cell r="AH97">
            <v>0</v>
          </cell>
          <cell r="AJ97">
            <v>0</v>
          </cell>
          <cell r="AK97">
            <v>0</v>
          </cell>
          <cell r="AL97">
            <v>0</v>
          </cell>
          <cell r="AM97">
            <v>0</v>
          </cell>
          <cell r="AO97">
            <v>0</v>
          </cell>
          <cell r="AP97">
            <v>0</v>
          </cell>
          <cell r="AQ97">
            <v>0</v>
          </cell>
          <cell r="AR97">
            <v>0</v>
          </cell>
          <cell r="AS97">
            <v>0</v>
          </cell>
          <cell r="AT97">
            <v>0</v>
          </cell>
          <cell r="AU97">
            <v>0</v>
          </cell>
          <cell r="AV97">
            <v>0</v>
          </cell>
          <cell r="AW97">
            <v>0</v>
          </cell>
          <cell r="AX97">
            <v>0</v>
          </cell>
          <cell r="AY97">
            <v>0</v>
          </cell>
          <cell r="BB97">
            <v>0</v>
          </cell>
          <cell r="BC97">
            <v>0</v>
          </cell>
          <cell r="BD97">
            <v>0</v>
          </cell>
          <cell r="BF97">
            <v>0</v>
          </cell>
          <cell r="BG97">
            <v>0</v>
          </cell>
          <cell r="BH97">
            <v>0</v>
          </cell>
          <cell r="BI97">
            <v>0</v>
          </cell>
          <cell r="BK97">
            <v>0</v>
          </cell>
          <cell r="BL97">
            <v>0</v>
          </cell>
          <cell r="BM97">
            <v>0</v>
          </cell>
          <cell r="BN97">
            <v>0</v>
          </cell>
          <cell r="BO97">
            <v>0</v>
          </cell>
          <cell r="BP97">
            <v>0</v>
          </cell>
          <cell r="BQ97">
            <v>0</v>
          </cell>
          <cell r="BR97">
            <v>0</v>
          </cell>
          <cell r="BS97">
            <v>0</v>
          </cell>
          <cell r="BT97">
            <v>0</v>
          </cell>
          <cell r="BU97">
            <v>0</v>
          </cell>
          <cell r="BX97">
            <v>0</v>
          </cell>
          <cell r="BY97">
            <v>0</v>
          </cell>
          <cell r="BZ97">
            <v>0</v>
          </cell>
          <cell r="CB97">
            <v>0</v>
          </cell>
          <cell r="CC97">
            <v>0</v>
          </cell>
          <cell r="CD97">
            <v>0</v>
          </cell>
          <cell r="CE97">
            <v>0</v>
          </cell>
          <cell r="CG97">
            <v>0</v>
          </cell>
          <cell r="CH97">
            <v>0</v>
          </cell>
          <cell r="CI97">
            <v>0</v>
          </cell>
          <cell r="CJ97">
            <v>0</v>
          </cell>
          <cell r="CK97">
            <v>0</v>
          </cell>
          <cell r="CL97">
            <v>0</v>
          </cell>
          <cell r="CM97">
            <v>0</v>
          </cell>
          <cell r="CN97">
            <v>0</v>
          </cell>
          <cell r="CO97">
            <v>0</v>
          </cell>
          <cell r="FD97">
            <v>0</v>
          </cell>
          <cell r="FE97">
            <v>149041393.63431424</v>
          </cell>
          <cell r="FF97">
            <v>0</v>
          </cell>
          <cell r="FG97">
            <v>0</v>
          </cell>
          <cell r="FJ97">
            <v>0</v>
          </cell>
          <cell r="FK97">
            <v>0</v>
          </cell>
          <cell r="FL97">
            <v>0</v>
          </cell>
          <cell r="FN97">
            <v>0</v>
          </cell>
          <cell r="FO97">
            <v>0</v>
          </cell>
          <cell r="FP97">
            <v>0</v>
          </cell>
          <cell r="FQ97">
            <v>0</v>
          </cell>
          <cell r="FS97">
            <v>0</v>
          </cell>
          <cell r="FT97">
            <v>0</v>
          </cell>
          <cell r="FU97">
            <v>0</v>
          </cell>
          <cell r="FV97">
            <v>0</v>
          </cell>
          <cell r="FW97">
            <v>0</v>
          </cell>
          <cell r="FX97">
            <v>0</v>
          </cell>
          <cell r="FY97">
            <v>0</v>
          </cell>
          <cell r="FZ97">
            <v>0</v>
          </cell>
          <cell r="GA97">
            <v>0</v>
          </cell>
        </row>
        <row r="98">
          <cell r="A98" t="str">
            <v>F_CNP_NRF_RIS_IND_FRCE_EVJ</v>
          </cell>
          <cell r="E98">
            <v>8257394.1269257665</v>
          </cell>
          <cell r="F98">
            <v>0</v>
          </cell>
          <cell r="G98">
            <v>0</v>
          </cell>
          <cell r="J98">
            <v>0</v>
          </cell>
          <cell r="K98">
            <v>0</v>
          </cell>
          <cell r="L98">
            <v>0</v>
          </cell>
          <cell r="N98">
            <v>0</v>
          </cell>
          <cell r="O98">
            <v>0</v>
          </cell>
          <cell r="P98">
            <v>0</v>
          </cell>
          <cell r="Q98">
            <v>0</v>
          </cell>
          <cell r="S98">
            <v>0</v>
          </cell>
          <cell r="T98">
            <v>0</v>
          </cell>
          <cell r="U98">
            <v>0</v>
          </cell>
          <cell r="V98">
            <v>0</v>
          </cell>
          <cell r="W98">
            <v>0</v>
          </cell>
          <cell r="X98">
            <v>0</v>
          </cell>
          <cell r="Y98">
            <v>0</v>
          </cell>
          <cell r="Z98">
            <v>0</v>
          </cell>
          <cell r="AA98">
            <v>0</v>
          </cell>
          <cell r="AB98">
            <v>0</v>
          </cell>
          <cell r="AC98">
            <v>0</v>
          </cell>
          <cell r="AF98">
            <v>0</v>
          </cell>
          <cell r="AG98">
            <v>0</v>
          </cell>
          <cell r="AH98">
            <v>0</v>
          </cell>
          <cell r="AJ98">
            <v>0</v>
          </cell>
          <cell r="AK98">
            <v>0</v>
          </cell>
          <cell r="AL98">
            <v>0</v>
          </cell>
          <cell r="AM98">
            <v>0</v>
          </cell>
          <cell r="AO98">
            <v>0</v>
          </cell>
          <cell r="AP98">
            <v>0</v>
          </cell>
          <cell r="AQ98">
            <v>0</v>
          </cell>
          <cell r="AR98">
            <v>0</v>
          </cell>
          <cell r="AS98">
            <v>0</v>
          </cell>
          <cell r="AT98">
            <v>0</v>
          </cell>
          <cell r="AU98">
            <v>0</v>
          </cell>
          <cell r="AV98">
            <v>0</v>
          </cell>
          <cell r="AW98">
            <v>0</v>
          </cell>
          <cell r="AX98">
            <v>0</v>
          </cell>
          <cell r="AY98">
            <v>0</v>
          </cell>
          <cell r="BB98">
            <v>0</v>
          </cell>
          <cell r="BC98">
            <v>0</v>
          </cell>
          <cell r="BD98">
            <v>0</v>
          </cell>
          <cell r="BF98">
            <v>0</v>
          </cell>
          <cell r="BG98">
            <v>0</v>
          </cell>
          <cell r="BH98">
            <v>0</v>
          </cell>
          <cell r="BI98">
            <v>0</v>
          </cell>
          <cell r="BK98">
            <v>0</v>
          </cell>
          <cell r="BL98">
            <v>0</v>
          </cell>
          <cell r="BM98">
            <v>0</v>
          </cell>
          <cell r="BN98">
            <v>0</v>
          </cell>
          <cell r="BO98">
            <v>0</v>
          </cell>
          <cell r="BP98">
            <v>0</v>
          </cell>
          <cell r="BQ98">
            <v>0</v>
          </cell>
          <cell r="BR98">
            <v>0</v>
          </cell>
          <cell r="BS98">
            <v>0</v>
          </cell>
          <cell r="BT98">
            <v>0</v>
          </cell>
          <cell r="BU98">
            <v>0</v>
          </cell>
          <cell r="BX98">
            <v>0</v>
          </cell>
          <cell r="BY98">
            <v>0</v>
          </cell>
          <cell r="BZ98">
            <v>0</v>
          </cell>
          <cell r="CB98">
            <v>0</v>
          </cell>
          <cell r="CC98">
            <v>0</v>
          </cell>
          <cell r="CD98">
            <v>0</v>
          </cell>
          <cell r="CE98">
            <v>0</v>
          </cell>
          <cell r="CG98">
            <v>0</v>
          </cell>
          <cell r="CH98">
            <v>0</v>
          </cell>
          <cell r="CI98">
            <v>0</v>
          </cell>
          <cell r="CJ98">
            <v>0</v>
          </cell>
          <cell r="CK98">
            <v>0</v>
          </cell>
          <cell r="CL98">
            <v>0</v>
          </cell>
          <cell r="CM98">
            <v>0</v>
          </cell>
          <cell r="CN98">
            <v>0</v>
          </cell>
          <cell r="CO98">
            <v>0</v>
          </cell>
          <cell r="FD98">
            <v>0</v>
          </cell>
          <cell r="FE98">
            <v>8096186.3720857343</v>
          </cell>
          <cell r="FF98">
            <v>0</v>
          </cell>
          <cell r="FG98">
            <v>0</v>
          </cell>
          <cell r="FJ98">
            <v>0</v>
          </cell>
          <cell r="FK98">
            <v>0</v>
          </cell>
          <cell r="FL98">
            <v>0</v>
          </cell>
          <cell r="FN98">
            <v>0</v>
          </cell>
          <cell r="FO98">
            <v>0</v>
          </cell>
          <cell r="FP98">
            <v>0</v>
          </cell>
          <cell r="FQ98">
            <v>0</v>
          </cell>
          <cell r="FS98">
            <v>0</v>
          </cell>
          <cell r="FT98">
            <v>0</v>
          </cell>
          <cell r="FU98">
            <v>0</v>
          </cell>
          <cell r="FV98">
            <v>0</v>
          </cell>
          <cell r="FW98">
            <v>0</v>
          </cell>
          <cell r="FX98">
            <v>0</v>
          </cell>
          <cell r="FY98">
            <v>0</v>
          </cell>
          <cell r="FZ98">
            <v>0</v>
          </cell>
          <cell r="GA98">
            <v>0</v>
          </cell>
        </row>
        <row r="99">
          <cell r="A99" t="str">
            <v>F_CNP_NRF_RIS_IND_FRCE_ECF</v>
          </cell>
          <cell r="E99">
            <v>23631389.337359998</v>
          </cell>
          <cell r="F99">
            <v>0</v>
          </cell>
          <cell r="G99">
            <v>0</v>
          </cell>
          <cell r="J99">
            <v>0</v>
          </cell>
          <cell r="K99">
            <v>0</v>
          </cell>
          <cell r="L99">
            <v>0</v>
          </cell>
          <cell r="N99">
            <v>0</v>
          </cell>
          <cell r="O99">
            <v>0</v>
          </cell>
          <cell r="P99">
            <v>0</v>
          </cell>
          <cell r="Q99">
            <v>0</v>
          </cell>
          <cell r="S99">
            <v>0</v>
          </cell>
          <cell r="T99">
            <v>0</v>
          </cell>
          <cell r="U99">
            <v>0</v>
          </cell>
          <cell r="V99">
            <v>0</v>
          </cell>
          <cell r="W99">
            <v>0</v>
          </cell>
          <cell r="X99">
            <v>0</v>
          </cell>
          <cell r="Y99">
            <v>0</v>
          </cell>
          <cell r="Z99">
            <v>0</v>
          </cell>
          <cell r="AA99">
            <v>0</v>
          </cell>
          <cell r="AB99">
            <v>0</v>
          </cell>
          <cell r="AC99">
            <v>0</v>
          </cell>
          <cell r="AF99">
            <v>0</v>
          </cell>
          <cell r="AG99">
            <v>0</v>
          </cell>
          <cell r="AH99">
            <v>0</v>
          </cell>
          <cell r="AJ99">
            <v>0</v>
          </cell>
          <cell r="AK99">
            <v>0</v>
          </cell>
          <cell r="AL99">
            <v>0</v>
          </cell>
          <cell r="AM99">
            <v>0</v>
          </cell>
          <cell r="AO99">
            <v>0</v>
          </cell>
          <cell r="AP99">
            <v>0</v>
          </cell>
          <cell r="AQ99">
            <v>0</v>
          </cell>
          <cell r="AR99">
            <v>0</v>
          </cell>
          <cell r="AS99">
            <v>0</v>
          </cell>
          <cell r="AT99">
            <v>0</v>
          </cell>
          <cell r="AU99">
            <v>0</v>
          </cell>
          <cell r="AV99">
            <v>0</v>
          </cell>
          <cell r="AW99">
            <v>0</v>
          </cell>
          <cell r="AX99">
            <v>0</v>
          </cell>
          <cell r="AY99">
            <v>0</v>
          </cell>
          <cell r="BB99">
            <v>0</v>
          </cell>
          <cell r="BC99">
            <v>0</v>
          </cell>
          <cell r="BD99">
            <v>0</v>
          </cell>
          <cell r="BF99">
            <v>0</v>
          </cell>
          <cell r="BG99">
            <v>0</v>
          </cell>
          <cell r="BH99">
            <v>0</v>
          </cell>
          <cell r="BI99">
            <v>0</v>
          </cell>
          <cell r="BK99">
            <v>0</v>
          </cell>
          <cell r="BL99">
            <v>0</v>
          </cell>
          <cell r="BM99">
            <v>0</v>
          </cell>
          <cell r="BN99">
            <v>0</v>
          </cell>
          <cell r="BO99">
            <v>0</v>
          </cell>
          <cell r="BP99">
            <v>0</v>
          </cell>
          <cell r="BQ99">
            <v>0</v>
          </cell>
          <cell r="BR99">
            <v>0</v>
          </cell>
          <cell r="BS99">
            <v>0</v>
          </cell>
          <cell r="BT99">
            <v>0</v>
          </cell>
          <cell r="BU99">
            <v>0</v>
          </cell>
          <cell r="BX99">
            <v>0</v>
          </cell>
          <cell r="BY99">
            <v>0</v>
          </cell>
          <cell r="BZ99">
            <v>0</v>
          </cell>
          <cell r="CB99">
            <v>0</v>
          </cell>
          <cell r="CC99">
            <v>0</v>
          </cell>
          <cell r="CD99">
            <v>0</v>
          </cell>
          <cell r="CE99">
            <v>0</v>
          </cell>
          <cell r="CG99">
            <v>0</v>
          </cell>
          <cell r="CH99">
            <v>0</v>
          </cell>
          <cell r="CI99">
            <v>0</v>
          </cell>
          <cell r="CJ99">
            <v>0</v>
          </cell>
          <cell r="CK99">
            <v>0</v>
          </cell>
          <cell r="CL99">
            <v>0</v>
          </cell>
          <cell r="CM99">
            <v>0</v>
          </cell>
          <cell r="CN99">
            <v>0</v>
          </cell>
          <cell r="CO99">
            <v>0</v>
          </cell>
          <cell r="FD99">
            <v>0</v>
          </cell>
          <cell r="FE99">
            <v>23631389.337359998</v>
          </cell>
          <cell r="FF99">
            <v>0</v>
          </cell>
          <cell r="FG99">
            <v>0</v>
          </cell>
          <cell r="FJ99">
            <v>0</v>
          </cell>
          <cell r="FK99">
            <v>0</v>
          </cell>
          <cell r="FL99">
            <v>0</v>
          </cell>
          <cell r="FN99">
            <v>0</v>
          </cell>
          <cell r="FO99">
            <v>0</v>
          </cell>
          <cell r="FP99">
            <v>0</v>
          </cell>
          <cell r="FQ99">
            <v>0</v>
          </cell>
          <cell r="FS99">
            <v>0</v>
          </cell>
          <cell r="FT99">
            <v>0</v>
          </cell>
          <cell r="FU99">
            <v>0</v>
          </cell>
          <cell r="FV99">
            <v>0</v>
          </cell>
          <cell r="FW99">
            <v>0</v>
          </cell>
          <cell r="FX99">
            <v>0</v>
          </cell>
          <cell r="FY99">
            <v>0</v>
          </cell>
          <cell r="FZ99">
            <v>0</v>
          </cell>
          <cell r="GA99">
            <v>0</v>
          </cell>
        </row>
        <row r="100">
          <cell r="A100" t="str">
            <v>F_CNP_NRF_RIS_COL_FRCE_101</v>
          </cell>
          <cell r="E100">
            <v>31348208.956576824</v>
          </cell>
          <cell r="F100">
            <v>0</v>
          </cell>
          <cell r="G100">
            <v>0</v>
          </cell>
          <cell r="J100">
            <v>0</v>
          </cell>
          <cell r="K100">
            <v>0</v>
          </cell>
          <cell r="L100">
            <v>0</v>
          </cell>
          <cell r="N100">
            <v>0</v>
          </cell>
          <cell r="O100">
            <v>0</v>
          </cell>
          <cell r="P100">
            <v>0</v>
          </cell>
          <cell r="Q100">
            <v>0</v>
          </cell>
          <cell r="S100">
            <v>0</v>
          </cell>
          <cell r="T100">
            <v>0</v>
          </cell>
          <cell r="U100">
            <v>0</v>
          </cell>
          <cell r="V100">
            <v>0</v>
          </cell>
          <cell r="W100">
            <v>0</v>
          </cell>
          <cell r="X100">
            <v>0</v>
          </cell>
          <cell r="Y100">
            <v>0</v>
          </cell>
          <cell r="Z100">
            <v>0</v>
          </cell>
          <cell r="AA100">
            <v>0</v>
          </cell>
          <cell r="AB100">
            <v>0</v>
          </cell>
          <cell r="AC100">
            <v>0</v>
          </cell>
          <cell r="AF100">
            <v>0</v>
          </cell>
          <cell r="AG100">
            <v>0</v>
          </cell>
          <cell r="AH100">
            <v>0</v>
          </cell>
          <cell r="AJ100">
            <v>0</v>
          </cell>
          <cell r="AK100">
            <v>0</v>
          </cell>
          <cell r="AL100">
            <v>0</v>
          </cell>
          <cell r="AM100">
            <v>0</v>
          </cell>
          <cell r="AO100">
            <v>0</v>
          </cell>
          <cell r="AP100">
            <v>0</v>
          </cell>
          <cell r="AQ100">
            <v>0</v>
          </cell>
          <cell r="AR100">
            <v>0</v>
          </cell>
          <cell r="AS100">
            <v>0</v>
          </cell>
          <cell r="AT100">
            <v>0</v>
          </cell>
          <cell r="AU100">
            <v>0</v>
          </cell>
          <cell r="AV100">
            <v>0</v>
          </cell>
          <cell r="AW100">
            <v>0</v>
          </cell>
          <cell r="AX100">
            <v>0</v>
          </cell>
          <cell r="AY100">
            <v>0</v>
          </cell>
          <cell r="BB100">
            <v>0</v>
          </cell>
          <cell r="BC100">
            <v>0</v>
          </cell>
          <cell r="BD100">
            <v>0</v>
          </cell>
          <cell r="BF100">
            <v>0</v>
          </cell>
          <cell r="BG100">
            <v>0</v>
          </cell>
          <cell r="BH100">
            <v>0</v>
          </cell>
          <cell r="BI100">
            <v>0</v>
          </cell>
          <cell r="BK100">
            <v>0</v>
          </cell>
          <cell r="BL100">
            <v>0</v>
          </cell>
          <cell r="BM100">
            <v>0</v>
          </cell>
          <cell r="BN100">
            <v>0</v>
          </cell>
          <cell r="BO100">
            <v>0</v>
          </cell>
          <cell r="BP100">
            <v>0</v>
          </cell>
          <cell r="BQ100">
            <v>0</v>
          </cell>
          <cell r="BR100">
            <v>0</v>
          </cell>
          <cell r="BS100">
            <v>0</v>
          </cell>
          <cell r="BT100">
            <v>0</v>
          </cell>
          <cell r="BU100">
            <v>0</v>
          </cell>
          <cell r="BX100">
            <v>0</v>
          </cell>
          <cell r="BY100">
            <v>0</v>
          </cell>
          <cell r="BZ100">
            <v>0</v>
          </cell>
          <cell r="CB100">
            <v>0</v>
          </cell>
          <cell r="CC100">
            <v>0</v>
          </cell>
          <cell r="CD100">
            <v>0</v>
          </cell>
          <cell r="CE100">
            <v>0</v>
          </cell>
          <cell r="CG100">
            <v>0</v>
          </cell>
          <cell r="CH100">
            <v>0</v>
          </cell>
          <cell r="CI100">
            <v>0</v>
          </cell>
          <cell r="CJ100">
            <v>0</v>
          </cell>
          <cell r="CK100">
            <v>0</v>
          </cell>
          <cell r="CL100">
            <v>0</v>
          </cell>
          <cell r="CM100">
            <v>0</v>
          </cell>
          <cell r="CN100">
            <v>0</v>
          </cell>
          <cell r="CO100">
            <v>0</v>
          </cell>
          <cell r="FD100">
            <v>0</v>
          </cell>
          <cell r="FE100">
            <v>22162833.469478235</v>
          </cell>
          <cell r="FF100">
            <v>0</v>
          </cell>
          <cell r="FG100">
            <v>0</v>
          </cell>
          <cell r="FJ100">
            <v>0</v>
          </cell>
          <cell r="FK100">
            <v>0</v>
          </cell>
          <cell r="FL100">
            <v>0</v>
          </cell>
          <cell r="FN100">
            <v>0</v>
          </cell>
          <cell r="FO100">
            <v>0</v>
          </cell>
          <cell r="FP100">
            <v>0</v>
          </cell>
          <cell r="FQ100">
            <v>0</v>
          </cell>
          <cell r="FS100">
            <v>0</v>
          </cell>
          <cell r="FT100">
            <v>0</v>
          </cell>
          <cell r="FU100">
            <v>0</v>
          </cell>
          <cell r="FV100">
            <v>0</v>
          </cell>
          <cell r="FW100">
            <v>0</v>
          </cell>
          <cell r="FX100">
            <v>0</v>
          </cell>
          <cell r="FY100">
            <v>0</v>
          </cell>
          <cell r="FZ100">
            <v>0</v>
          </cell>
          <cell r="GA100">
            <v>0</v>
          </cell>
        </row>
        <row r="101">
          <cell r="A101" t="str">
            <v>F_CNP_NRF_RIS_COL_FRCE_102</v>
          </cell>
          <cell r="E101">
            <v>35605751.85345865</v>
          </cell>
          <cell r="F101">
            <v>0</v>
          </cell>
          <cell r="G101">
            <v>0</v>
          </cell>
          <cell r="J101">
            <v>0</v>
          </cell>
          <cell r="K101">
            <v>0</v>
          </cell>
          <cell r="L101">
            <v>0</v>
          </cell>
          <cell r="N101">
            <v>0</v>
          </cell>
          <cell r="O101">
            <v>0</v>
          </cell>
          <cell r="P101">
            <v>0</v>
          </cell>
          <cell r="Q101">
            <v>0</v>
          </cell>
          <cell r="S101">
            <v>0</v>
          </cell>
          <cell r="T101">
            <v>0</v>
          </cell>
          <cell r="U101">
            <v>0</v>
          </cell>
          <cell r="V101">
            <v>0</v>
          </cell>
          <cell r="W101">
            <v>0</v>
          </cell>
          <cell r="X101">
            <v>0</v>
          </cell>
          <cell r="Y101">
            <v>0</v>
          </cell>
          <cell r="Z101">
            <v>0</v>
          </cell>
          <cell r="AA101">
            <v>0</v>
          </cell>
          <cell r="AB101">
            <v>0</v>
          </cell>
          <cell r="AC101">
            <v>0</v>
          </cell>
          <cell r="AF101">
            <v>0</v>
          </cell>
          <cell r="AG101">
            <v>0</v>
          </cell>
          <cell r="AH101">
            <v>0</v>
          </cell>
          <cell r="AJ101">
            <v>0</v>
          </cell>
          <cell r="AK101">
            <v>0</v>
          </cell>
          <cell r="AL101">
            <v>0</v>
          </cell>
          <cell r="AM101">
            <v>0</v>
          </cell>
          <cell r="AO101">
            <v>0</v>
          </cell>
          <cell r="AP101">
            <v>0</v>
          </cell>
          <cell r="AQ101">
            <v>0</v>
          </cell>
          <cell r="AR101">
            <v>0</v>
          </cell>
          <cell r="AS101">
            <v>0</v>
          </cell>
          <cell r="AT101">
            <v>0</v>
          </cell>
          <cell r="AU101">
            <v>0</v>
          </cell>
          <cell r="AV101">
            <v>0</v>
          </cell>
          <cell r="AW101">
            <v>0</v>
          </cell>
          <cell r="AX101">
            <v>0</v>
          </cell>
          <cell r="AY101">
            <v>0</v>
          </cell>
          <cell r="BB101">
            <v>0</v>
          </cell>
          <cell r="BC101">
            <v>0</v>
          </cell>
          <cell r="BD101">
            <v>0</v>
          </cell>
          <cell r="BF101">
            <v>0</v>
          </cell>
          <cell r="BG101">
            <v>0</v>
          </cell>
          <cell r="BH101">
            <v>0</v>
          </cell>
          <cell r="BI101">
            <v>0</v>
          </cell>
          <cell r="BK101">
            <v>0</v>
          </cell>
          <cell r="BL101">
            <v>0</v>
          </cell>
          <cell r="BM101">
            <v>0</v>
          </cell>
          <cell r="BN101">
            <v>0</v>
          </cell>
          <cell r="BO101">
            <v>0</v>
          </cell>
          <cell r="BP101">
            <v>0</v>
          </cell>
          <cell r="BQ101">
            <v>0</v>
          </cell>
          <cell r="BR101">
            <v>0</v>
          </cell>
          <cell r="BS101">
            <v>0</v>
          </cell>
          <cell r="BT101">
            <v>0</v>
          </cell>
          <cell r="BU101">
            <v>0</v>
          </cell>
          <cell r="BX101">
            <v>0</v>
          </cell>
          <cell r="BY101">
            <v>0</v>
          </cell>
          <cell r="BZ101">
            <v>0</v>
          </cell>
          <cell r="CB101">
            <v>0</v>
          </cell>
          <cell r="CC101">
            <v>0</v>
          </cell>
          <cell r="CD101">
            <v>0</v>
          </cell>
          <cell r="CE101">
            <v>0</v>
          </cell>
          <cell r="CG101">
            <v>0</v>
          </cell>
          <cell r="CH101">
            <v>0</v>
          </cell>
          <cell r="CI101">
            <v>0</v>
          </cell>
          <cell r="CJ101">
            <v>0</v>
          </cell>
          <cell r="CK101">
            <v>0</v>
          </cell>
          <cell r="CL101">
            <v>0</v>
          </cell>
          <cell r="CM101">
            <v>0</v>
          </cell>
          <cell r="CN101">
            <v>0</v>
          </cell>
          <cell r="CO101">
            <v>0</v>
          </cell>
          <cell r="FD101">
            <v>0</v>
          </cell>
          <cell r="FE101">
            <v>25281628.274723761</v>
          </cell>
          <cell r="FF101">
            <v>0</v>
          </cell>
          <cell r="FG101">
            <v>0</v>
          </cell>
          <cell r="FJ101">
            <v>0</v>
          </cell>
          <cell r="FK101">
            <v>0</v>
          </cell>
          <cell r="FL101">
            <v>0</v>
          </cell>
          <cell r="FN101">
            <v>0</v>
          </cell>
          <cell r="FO101">
            <v>0</v>
          </cell>
          <cell r="FP101">
            <v>0</v>
          </cell>
          <cell r="FQ101">
            <v>0</v>
          </cell>
          <cell r="FS101">
            <v>0</v>
          </cell>
          <cell r="FT101">
            <v>0</v>
          </cell>
          <cell r="FU101">
            <v>0</v>
          </cell>
          <cell r="FV101">
            <v>0</v>
          </cell>
          <cell r="FW101">
            <v>0</v>
          </cell>
          <cell r="FX101">
            <v>0</v>
          </cell>
          <cell r="FY101">
            <v>0</v>
          </cell>
          <cell r="FZ101">
            <v>0</v>
          </cell>
          <cell r="GA101">
            <v>0</v>
          </cell>
        </row>
        <row r="102">
          <cell r="A102" t="str">
            <v>F_CNP_NRF_RIS_COL_FRCE_152</v>
          </cell>
          <cell r="E102">
            <v>7554131.6646308266</v>
          </cell>
          <cell r="F102">
            <v>0</v>
          </cell>
          <cell r="G102">
            <v>0</v>
          </cell>
          <cell r="J102">
            <v>0</v>
          </cell>
          <cell r="K102">
            <v>0</v>
          </cell>
          <cell r="L102">
            <v>0</v>
          </cell>
          <cell r="N102">
            <v>0</v>
          </cell>
          <cell r="O102">
            <v>0</v>
          </cell>
          <cell r="P102">
            <v>0</v>
          </cell>
          <cell r="Q102">
            <v>0</v>
          </cell>
          <cell r="S102">
            <v>0</v>
          </cell>
          <cell r="T102">
            <v>0</v>
          </cell>
          <cell r="U102">
            <v>0</v>
          </cell>
          <cell r="V102">
            <v>0</v>
          </cell>
          <cell r="W102">
            <v>0</v>
          </cell>
          <cell r="X102">
            <v>0</v>
          </cell>
          <cell r="Y102">
            <v>0</v>
          </cell>
          <cell r="Z102">
            <v>0</v>
          </cell>
          <cell r="AA102">
            <v>0</v>
          </cell>
          <cell r="AB102">
            <v>0</v>
          </cell>
          <cell r="AC102">
            <v>0</v>
          </cell>
          <cell r="AF102">
            <v>0</v>
          </cell>
          <cell r="AG102">
            <v>0</v>
          </cell>
          <cell r="AH102">
            <v>0</v>
          </cell>
          <cell r="AJ102">
            <v>0</v>
          </cell>
          <cell r="AK102">
            <v>0</v>
          </cell>
          <cell r="AL102">
            <v>0</v>
          </cell>
          <cell r="AM102">
            <v>0</v>
          </cell>
          <cell r="AO102">
            <v>0</v>
          </cell>
          <cell r="AP102">
            <v>0</v>
          </cell>
          <cell r="AQ102">
            <v>0</v>
          </cell>
          <cell r="AR102">
            <v>0</v>
          </cell>
          <cell r="AS102">
            <v>0</v>
          </cell>
          <cell r="AT102">
            <v>0</v>
          </cell>
          <cell r="AU102">
            <v>0</v>
          </cell>
          <cell r="AV102">
            <v>0</v>
          </cell>
          <cell r="AW102">
            <v>0</v>
          </cell>
          <cell r="AX102">
            <v>0</v>
          </cell>
          <cell r="AY102">
            <v>0</v>
          </cell>
          <cell r="BB102">
            <v>0</v>
          </cell>
          <cell r="BC102">
            <v>0</v>
          </cell>
          <cell r="BD102">
            <v>0</v>
          </cell>
          <cell r="BF102">
            <v>0</v>
          </cell>
          <cell r="BG102">
            <v>0</v>
          </cell>
          <cell r="BH102">
            <v>0</v>
          </cell>
          <cell r="BI102">
            <v>0</v>
          </cell>
          <cell r="BK102">
            <v>0</v>
          </cell>
          <cell r="BL102">
            <v>0</v>
          </cell>
          <cell r="BM102">
            <v>0</v>
          </cell>
          <cell r="BN102">
            <v>0</v>
          </cell>
          <cell r="BO102">
            <v>0</v>
          </cell>
          <cell r="BP102">
            <v>0</v>
          </cell>
          <cell r="BQ102">
            <v>0</v>
          </cell>
          <cell r="BR102">
            <v>0</v>
          </cell>
          <cell r="BS102">
            <v>0</v>
          </cell>
          <cell r="BT102">
            <v>0</v>
          </cell>
          <cell r="BU102">
            <v>0</v>
          </cell>
          <cell r="BX102">
            <v>0</v>
          </cell>
          <cell r="BY102">
            <v>0</v>
          </cell>
          <cell r="BZ102">
            <v>0</v>
          </cell>
          <cell r="CB102">
            <v>0</v>
          </cell>
          <cell r="CC102">
            <v>0</v>
          </cell>
          <cell r="CD102">
            <v>0</v>
          </cell>
          <cell r="CE102">
            <v>0</v>
          </cell>
          <cell r="CG102">
            <v>0</v>
          </cell>
          <cell r="CH102">
            <v>0</v>
          </cell>
          <cell r="CI102">
            <v>0</v>
          </cell>
          <cell r="CJ102">
            <v>0</v>
          </cell>
          <cell r="CK102">
            <v>0</v>
          </cell>
          <cell r="CL102">
            <v>0</v>
          </cell>
          <cell r="CM102">
            <v>0</v>
          </cell>
          <cell r="CN102">
            <v>0</v>
          </cell>
          <cell r="CO102">
            <v>0</v>
          </cell>
          <cell r="FD102">
            <v>0</v>
          </cell>
          <cell r="FE102">
            <v>-11139662.564169532</v>
          </cell>
          <cell r="FF102">
            <v>0</v>
          </cell>
          <cell r="FG102">
            <v>0</v>
          </cell>
          <cell r="FJ102">
            <v>0</v>
          </cell>
          <cell r="FK102">
            <v>0</v>
          </cell>
          <cell r="FL102">
            <v>0</v>
          </cell>
          <cell r="FN102">
            <v>0</v>
          </cell>
          <cell r="FO102">
            <v>0</v>
          </cell>
          <cell r="FP102">
            <v>0</v>
          </cell>
          <cell r="FQ102">
            <v>0</v>
          </cell>
          <cell r="FS102">
            <v>0</v>
          </cell>
          <cell r="FT102">
            <v>0</v>
          </cell>
          <cell r="FU102">
            <v>0</v>
          </cell>
          <cell r="FV102">
            <v>0</v>
          </cell>
          <cell r="FW102">
            <v>0</v>
          </cell>
          <cell r="FX102">
            <v>0</v>
          </cell>
          <cell r="FY102">
            <v>0</v>
          </cell>
          <cell r="FZ102">
            <v>0</v>
          </cell>
          <cell r="GA102">
            <v>0</v>
          </cell>
        </row>
        <row r="103">
          <cell r="A103" t="str">
            <v>F_CNP_NRF_RIS_COL_FRCE_153</v>
          </cell>
          <cell r="E103">
            <v>0</v>
          </cell>
          <cell r="F103">
            <v>0</v>
          </cell>
          <cell r="G103">
            <v>0</v>
          </cell>
          <cell r="J103">
            <v>0</v>
          </cell>
          <cell r="K103">
            <v>0</v>
          </cell>
          <cell r="L103">
            <v>0</v>
          </cell>
          <cell r="N103">
            <v>0</v>
          </cell>
          <cell r="O103">
            <v>0</v>
          </cell>
          <cell r="P103">
            <v>0</v>
          </cell>
          <cell r="Q103">
            <v>0</v>
          </cell>
          <cell r="S103">
            <v>0</v>
          </cell>
          <cell r="T103">
            <v>0</v>
          </cell>
          <cell r="U103">
            <v>0</v>
          </cell>
          <cell r="V103">
            <v>0</v>
          </cell>
          <cell r="W103">
            <v>0</v>
          </cell>
          <cell r="X103">
            <v>0</v>
          </cell>
          <cell r="Y103">
            <v>0</v>
          </cell>
          <cell r="Z103">
            <v>0</v>
          </cell>
          <cell r="AA103">
            <v>0</v>
          </cell>
          <cell r="AB103">
            <v>0</v>
          </cell>
          <cell r="AC103">
            <v>0</v>
          </cell>
          <cell r="AF103">
            <v>0</v>
          </cell>
          <cell r="AG103">
            <v>0</v>
          </cell>
          <cell r="AH103">
            <v>0</v>
          </cell>
          <cell r="AJ103">
            <v>0</v>
          </cell>
          <cell r="AK103">
            <v>0</v>
          </cell>
          <cell r="AL103">
            <v>0</v>
          </cell>
          <cell r="AM103">
            <v>0</v>
          </cell>
          <cell r="AO103">
            <v>0</v>
          </cell>
          <cell r="AP103">
            <v>0</v>
          </cell>
          <cell r="AQ103">
            <v>0</v>
          </cell>
          <cell r="AR103">
            <v>0</v>
          </cell>
          <cell r="AS103">
            <v>0</v>
          </cell>
          <cell r="AT103">
            <v>0</v>
          </cell>
          <cell r="AU103">
            <v>0</v>
          </cell>
          <cell r="AV103">
            <v>0</v>
          </cell>
          <cell r="AW103">
            <v>0</v>
          </cell>
          <cell r="AX103">
            <v>0</v>
          </cell>
          <cell r="AY103">
            <v>0</v>
          </cell>
          <cell r="BB103">
            <v>0</v>
          </cell>
          <cell r="BC103">
            <v>0</v>
          </cell>
          <cell r="BD103">
            <v>0</v>
          </cell>
          <cell r="BF103">
            <v>0</v>
          </cell>
          <cell r="BG103">
            <v>0</v>
          </cell>
          <cell r="BH103">
            <v>0</v>
          </cell>
          <cell r="BI103">
            <v>0</v>
          </cell>
          <cell r="BK103">
            <v>0</v>
          </cell>
          <cell r="BL103">
            <v>0</v>
          </cell>
          <cell r="BM103">
            <v>0</v>
          </cell>
          <cell r="BN103">
            <v>0</v>
          </cell>
          <cell r="BO103">
            <v>0</v>
          </cell>
          <cell r="BP103">
            <v>0</v>
          </cell>
          <cell r="BQ103">
            <v>0</v>
          </cell>
          <cell r="BR103">
            <v>0</v>
          </cell>
          <cell r="BS103">
            <v>0</v>
          </cell>
          <cell r="BT103">
            <v>0</v>
          </cell>
          <cell r="BU103">
            <v>0</v>
          </cell>
          <cell r="BX103">
            <v>0</v>
          </cell>
          <cell r="BY103">
            <v>0</v>
          </cell>
          <cell r="BZ103">
            <v>0</v>
          </cell>
          <cell r="CB103">
            <v>0</v>
          </cell>
          <cell r="CC103">
            <v>0</v>
          </cell>
          <cell r="CD103">
            <v>0</v>
          </cell>
          <cell r="CE103">
            <v>0</v>
          </cell>
          <cell r="CG103">
            <v>0</v>
          </cell>
          <cell r="CH103">
            <v>0</v>
          </cell>
          <cell r="CI103">
            <v>0</v>
          </cell>
          <cell r="CJ103">
            <v>0</v>
          </cell>
          <cell r="CK103">
            <v>0</v>
          </cell>
          <cell r="CL103">
            <v>0</v>
          </cell>
          <cell r="CM103">
            <v>0</v>
          </cell>
          <cell r="CN103">
            <v>0</v>
          </cell>
          <cell r="CO103">
            <v>0</v>
          </cell>
          <cell r="FD103">
            <v>0</v>
          </cell>
          <cell r="FE103">
            <v>0</v>
          </cell>
          <cell r="FF103">
            <v>0</v>
          </cell>
          <cell r="FG103">
            <v>0</v>
          </cell>
          <cell r="FJ103">
            <v>0</v>
          </cell>
          <cell r="FK103">
            <v>0</v>
          </cell>
          <cell r="FL103">
            <v>0</v>
          </cell>
          <cell r="FN103">
            <v>0</v>
          </cell>
          <cell r="FO103">
            <v>0</v>
          </cell>
          <cell r="FP103">
            <v>0</v>
          </cell>
          <cell r="FQ103">
            <v>0</v>
          </cell>
          <cell r="FS103">
            <v>0</v>
          </cell>
          <cell r="FT103">
            <v>0</v>
          </cell>
          <cell r="FU103">
            <v>0</v>
          </cell>
          <cell r="FV103">
            <v>0</v>
          </cell>
          <cell r="FW103">
            <v>0</v>
          </cell>
          <cell r="FX103">
            <v>0</v>
          </cell>
          <cell r="FY103">
            <v>0</v>
          </cell>
          <cell r="FZ103">
            <v>0</v>
          </cell>
          <cell r="GA103">
            <v>0</v>
          </cell>
        </row>
        <row r="104">
          <cell r="A104" t="str">
            <v>F_CNP_NRF_RIS_COL_FRCE_201</v>
          </cell>
          <cell r="E104">
            <v>322645061.71353728</v>
          </cell>
          <cell r="F104">
            <v>0</v>
          </cell>
          <cell r="G104">
            <v>0</v>
          </cell>
          <cell r="J104">
            <v>0</v>
          </cell>
          <cell r="K104">
            <v>0</v>
          </cell>
          <cell r="L104">
            <v>0</v>
          </cell>
          <cell r="N104">
            <v>0</v>
          </cell>
          <cell r="O104">
            <v>0</v>
          </cell>
          <cell r="P104">
            <v>0</v>
          </cell>
          <cell r="Q104">
            <v>0</v>
          </cell>
          <cell r="S104">
            <v>0</v>
          </cell>
          <cell r="T104">
            <v>0</v>
          </cell>
          <cell r="U104">
            <v>0</v>
          </cell>
          <cell r="V104">
            <v>0</v>
          </cell>
          <cell r="W104">
            <v>0</v>
          </cell>
          <cell r="X104">
            <v>0</v>
          </cell>
          <cell r="Y104">
            <v>0</v>
          </cell>
          <cell r="Z104">
            <v>0</v>
          </cell>
          <cell r="AA104">
            <v>0</v>
          </cell>
          <cell r="AB104">
            <v>0</v>
          </cell>
          <cell r="AC104">
            <v>0</v>
          </cell>
          <cell r="AF104">
            <v>0</v>
          </cell>
          <cell r="AG104">
            <v>0</v>
          </cell>
          <cell r="AH104">
            <v>0</v>
          </cell>
          <cell r="AJ104">
            <v>0</v>
          </cell>
          <cell r="AK104">
            <v>0</v>
          </cell>
          <cell r="AL104">
            <v>0</v>
          </cell>
          <cell r="AM104">
            <v>0</v>
          </cell>
          <cell r="AO104">
            <v>0</v>
          </cell>
          <cell r="AP104">
            <v>0</v>
          </cell>
          <cell r="AQ104">
            <v>0</v>
          </cell>
          <cell r="AR104">
            <v>0</v>
          </cell>
          <cell r="AS104">
            <v>0</v>
          </cell>
          <cell r="AT104">
            <v>0</v>
          </cell>
          <cell r="AU104">
            <v>0</v>
          </cell>
          <cell r="AV104">
            <v>0</v>
          </cell>
          <cell r="AW104">
            <v>0</v>
          </cell>
          <cell r="AX104">
            <v>0</v>
          </cell>
          <cell r="AY104">
            <v>0</v>
          </cell>
          <cell r="BB104">
            <v>0</v>
          </cell>
          <cell r="BC104">
            <v>0</v>
          </cell>
          <cell r="BD104">
            <v>0</v>
          </cell>
          <cell r="BF104">
            <v>0</v>
          </cell>
          <cell r="BG104">
            <v>0</v>
          </cell>
          <cell r="BH104">
            <v>0</v>
          </cell>
          <cell r="BI104">
            <v>0</v>
          </cell>
          <cell r="BK104">
            <v>0</v>
          </cell>
          <cell r="BL104">
            <v>0</v>
          </cell>
          <cell r="BM104">
            <v>0</v>
          </cell>
          <cell r="BN104">
            <v>0</v>
          </cell>
          <cell r="BO104">
            <v>0</v>
          </cell>
          <cell r="BP104">
            <v>0</v>
          </cell>
          <cell r="BQ104">
            <v>0</v>
          </cell>
          <cell r="BR104">
            <v>0</v>
          </cell>
          <cell r="BS104">
            <v>0</v>
          </cell>
          <cell r="BT104">
            <v>0</v>
          </cell>
          <cell r="BU104">
            <v>0</v>
          </cell>
          <cell r="BX104">
            <v>0</v>
          </cell>
          <cell r="BY104">
            <v>0</v>
          </cell>
          <cell r="BZ104">
            <v>0</v>
          </cell>
          <cell r="CB104">
            <v>0</v>
          </cell>
          <cell r="CC104">
            <v>0</v>
          </cell>
          <cell r="CD104">
            <v>0</v>
          </cell>
          <cell r="CE104">
            <v>0</v>
          </cell>
          <cell r="CG104">
            <v>0</v>
          </cell>
          <cell r="CH104">
            <v>0</v>
          </cell>
          <cell r="CI104">
            <v>0</v>
          </cell>
          <cell r="CJ104">
            <v>0</v>
          </cell>
          <cell r="CK104">
            <v>0</v>
          </cell>
          <cell r="CL104">
            <v>0</v>
          </cell>
          <cell r="CM104">
            <v>0</v>
          </cell>
          <cell r="CN104">
            <v>0</v>
          </cell>
          <cell r="CO104">
            <v>0</v>
          </cell>
          <cell r="FD104">
            <v>0</v>
          </cell>
          <cell r="FE104">
            <v>238356768.25658119</v>
          </cell>
          <cell r="FF104">
            <v>0</v>
          </cell>
          <cell r="FG104">
            <v>0</v>
          </cell>
          <cell r="FJ104">
            <v>0</v>
          </cell>
          <cell r="FK104">
            <v>0</v>
          </cell>
          <cell r="FL104">
            <v>0</v>
          </cell>
          <cell r="FN104">
            <v>0</v>
          </cell>
          <cell r="FO104">
            <v>0</v>
          </cell>
          <cell r="FP104">
            <v>0</v>
          </cell>
          <cell r="FQ104">
            <v>0</v>
          </cell>
          <cell r="FS104">
            <v>0</v>
          </cell>
          <cell r="FT104">
            <v>0</v>
          </cell>
          <cell r="FU104">
            <v>0</v>
          </cell>
          <cell r="FV104">
            <v>0</v>
          </cell>
          <cell r="FW104">
            <v>0</v>
          </cell>
          <cell r="FX104">
            <v>0</v>
          </cell>
          <cell r="FY104">
            <v>0</v>
          </cell>
          <cell r="FZ104">
            <v>0</v>
          </cell>
          <cell r="GA104">
            <v>0</v>
          </cell>
        </row>
        <row r="105">
          <cell r="A105" t="str">
            <v>F_CNP_NRF_RIS_COL_FRCE_211</v>
          </cell>
          <cell r="E105">
            <v>3343742.8331649257</v>
          </cell>
          <cell r="F105">
            <v>0</v>
          </cell>
          <cell r="G105">
            <v>0</v>
          </cell>
          <cell r="J105">
            <v>0</v>
          </cell>
          <cell r="K105">
            <v>0</v>
          </cell>
          <cell r="L105">
            <v>0</v>
          </cell>
          <cell r="N105">
            <v>0</v>
          </cell>
          <cell r="O105">
            <v>0</v>
          </cell>
          <cell r="P105">
            <v>0</v>
          </cell>
          <cell r="Q105">
            <v>0</v>
          </cell>
          <cell r="S105">
            <v>0</v>
          </cell>
          <cell r="T105">
            <v>0</v>
          </cell>
          <cell r="U105">
            <v>0</v>
          </cell>
          <cell r="V105">
            <v>0</v>
          </cell>
          <cell r="W105">
            <v>0</v>
          </cell>
          <cell r="X105">
            <v>0</v>
          </cell>
          <cell r="Y105">
            <v>0</v>
          </cell>
          <cell r="Z105">
            <v>0</v>
          </cell>
          <cell r="AA105">
            <v>0</v>
          </cell>
          <cell r="AB105">
            <v>0</v>
          </cell>
          <cell r="AC105">
            <v>0</v>
          </cell>
          <cell r="AF105">
            <v>0</v>
          </cell>
          <cell r="AG105">
            <v>0</v>
          </cell>
          <cell r="AH105">
            <v>0</v>
          </cell>
          <cell r="AJ105">
            <v>0</v>
          </cell>
          <cell r="AK105">
            <v>0</v>
          </cell>
          <cell r="AL105">
            <v>0</v>
          </cell>
          <cell r="AM105">
            <v>0</v>
          </cell>
          <cell r="AO105">
            <v>0</v>
          </cell>
          <cell r="AP105">
            <v>0</v>
          </cell>
          <cell r="AQ105">
            <v>0</v>
          </cell>
          <cell r="AR105">
            <v>0</v>
          </cell>
          <cell r="AS105">
            <v>0</v>
          </cell>
          <cell r="AT105">
            <v>0</v>
          </cell>
          <cell r="AU105">
            <v>0</v>
          </cell>
          <cell r="AV105">
            <v>0</v>
          </cell>
          <cell r="AW105">
            <v>0</v>
          </cell>
          <cell r="AX105">
            <v>0</v>
          </cell>
          <cell r="AY105">
            <v>0</v>
          </cell>
          <cell r="BB105">
            <v>0</v>
          </cell>
          <cell r="BC105">
            <v>0</v>
          </cell>
          <cell r="BD105">
            <v>0</v>
          </cell>
          <cell r="BF105">
            <v>0</v>
          </cell>
          <cell r="BG105">
            <v>0</v>
          </cell>
          <cell r="BH105">
            <v>0</v>
          </cell>
          <cell r="BI105">
            <v>0</v>
          </cell>
          <cell r="BK105">
            <v>0</v>
          </cell>
          <cell r="BL105">
            <v>0</v>
          </cell>
          <cell r="BM105">
            <v>0</v>
          </cell>
          <cell r="BN105">
            <v>0</v>
          </cell>
          <cell r="BO105">
            <v>0</v>
          </cell>
          <cell r="BP105">
            <v>0</v>
          </cell>
          <cell r="BQ105">
            <v>0</v>
          </cell>
          <cell r="BR105">
            <v>0</v>
          </cell>
          <cell r="BS105">
            <v>0</v>
          </cell>
          <cell r="BT105">
            <v>0</v>
          </cell>
          <cell r="BU105">
            <v>0</v>
          </cell>
          <cell r="BX105">
            <v>0</v>
          </cell>
          <cell r="BY105">
            <v>0</v>
          </cell>
          <cell r="BZ105">
            <v>0</v>
          </cell>
          <cell r="CB105">
            <v>0</v>
          </cell>
          <cell r="CC105">
            <v>0</v>
          </cell>
          <cell r="CD105">
            <v>0</v>
          </cell>
          <cell r="CE105">
            <v>0</v>
          </cell>
          <cell r="CG105">
            <v>0</v>
          </cell>
          <cell r="CH105">
            <v>0</v>
          </cell>
          <cell r="CI105">
            <v>0</v>
          </cell>
          <cell r="CJ105">
            <v>0</v>
          </cell>
          <cell r="CK105">
            <v>0</v>
          </cell>
          <cell r="CL105">
            <v>0</v>
          </cell>
          <cell r="CM105">
            <v>0</v>
          </cell>
          <cell r="CN105">
            <v>0</v>
          </cell>
          <cell r="CO105">
            <v>0</v>
          </cell>
          <cell r="FD105">
            <v>0</v>
          </cell>
          <cell r="FE105">
            <v>2351392.8386769178</v>
          </cell>
          <cell r="FF105">
            <v>0</v>
          </cell>
          <cell r="FG105">
            <v>0</v>
          </cell>
          <cell r="FJ105">
            <v>0</v>
          </cell>
          <cell r="FK105">
            <v>0</v>
          </cell>
          <cell r="FL105">
            <v>0</v>
          </cell>
          <cell r="FN105">
            <v>0</v>
          </cell>
          <cell r="FO105">
            <v>0</v>
          </cell>
          <cell r="FP105">
            <v>0</v>
          </cell>
          <cell r="FQ105">
            <v>0</v>
          </cell>
          <cell r="FS105">
            <v>0</v>
          </cell>
          <cell r="FT105">
            <v>0</v>
          </cell>
          <cell r="FU105">
            <v>0</v>
          </cell>
          <cell r="FV105">
            <v>0</v>
          </cell>
          <cell r="FW105">
            <v>0</v>
          </cell>
          <cell r="FX105">
            <v>0</v>
          </cell>
          <cell r="FY105">
            <v>0</v>
          </cell>
          <cell r="FZ105">
            <v>0</v>
          </cell>
          <cell r="GA105">
            <v>0</v>
          </cell>
        </row>
        <row r="106">
          <cell r="A106" t="str">
            <v>F_CNP_NRF_ASS_EMP_FRCE_152</v>
          </cell>
          <cell r="E106">
            <v>-13873267.427451618</v>
          </cell>
          <cell r="F106">
            <v>0</v>
          </cell>
          <cell r="G106">
            <v>0</v>
          </cell>
          <cell r="J106">
            <v>0</v>
          </cell>
          <cell r="K106">
            <v>0</v>
          </cell>
          <cell r="L106">
            <v>0</v>
          </cell>
          <cell r="N106">
            <v>0</v>
          </cell>
          <cell r="O106">
            <v>0</v>
          </cell>
          <cell r="P106">
            <v>0</v>
          </cell>
          <cell r="Q106">
            <v>0</v>
          </cell>
          <cell r="S106">
            <v>0</v>
          </cell>
          <cell r="T106">
            <v>0</v>
          </cell>
          <cell r="U106">
            <v>0</v>
          </cell>
          <cell r="V106">
            <v>0</v>
          </cell>
          <cell r="W106">
            <v>0</v>
          </cell>
          <cell r="X106">
            <v>0</v>
          </cell>
          <cell r="Y106">
            <v>0</v>
          </cell>
          <cell r="Z106">
            <v>0</v>
          </cell>
          <cell r="AA106">
            <v>0</v>
          </cell>
          <cell r="AB106">
            <v>0</v>
          </cell>
          <cell r="AC106">
            <v>0</v>
          </cell>
          <cell r="AF106">
            <v>0</v>
          </cell>
          <cell r="AG106">
            <v>0</v>
          </cell>
          <cell r="AH106">
            <v>0</v>
          </cell>
          <cell r="AJ106">
            <v>0</v>
          </cell>
          <cell r="AK106">
            <v>0</v>
          </cell>
          <cell r="AL106">
            <v>0</v>
          </cell>
          <cell r="AM106">
            <v>0</v>
          </cell>
          <cell r="AO106">
            <v>0</v>
          </cell>
          <cell r="AP106">
            <v>0</v>
          </cell>
          <cell r="AQ106">
            <v>0</v>
          </cell>
          <cell r="AR106">
            <v>0</v>
          </cell>
          <cell r="AS106">
            <v>0</v>
          </cell>
          <cell r="AT106">
            <v>0</v>
          </cell>
          <cell r="AU106">
            <v>0</v>
          </cell>
          <cell r="AV106">
            <v>0</v>
          </cell>
          <cell r="AW106">
            <v>0</v>
          </cell>
          <cell r="AX106">
            <v>0</v>
          </cell>
          <cell r="AY106">
            <v>0</v>
          </cell>
          <cell r="BB106">
            <v>0</v>
          </cell>
          <cell r="BC106">
            <v>0</v>
          </cell>
          <cell r="BD106">
            <v>0</v>
          </cell>
          <cell r="BF106">
            <v>0</v>
          </cell>
          <cell r="BG106">
            <v>0</v>
          </cell>
          <cell r="BH106">
            <v>0</v>
          </cell>
          <cell r="BI106">
            <v>0</v>
          </cell>
          <cell r="BK106">
            <v>0</v>
          </cell>
          <cell r="BL106">
            <v>0</v>
          </cell>
          <cell r="BM106">
            <v>0</v>
          </cell>
          <cell r="BN106">
            <v>0</v>
          </cell>
          <cell r="BO106">
            <v>0</v>
          </cell>
          <cell r="BP106">
            <v>0</v>
          </cell>
          <cell r="BQ106">
            <v>0</v>
          </cell>
          <cell r="BR106">
            <v>0</v>
          </cell>
          <cell r="BS106">
            <v>0</v>
          </cell>
          <cell r="BT106">
            <v>0</v>
          </cell>
          <cell r="BU106">
            <v>0</v>
          </cell>
          <cell r="BX106">
            <v>0</v>
          </cell>
          <cell r="BY106">
            <v>0</v>
          </cell>
          <cell r="BZ106">
            <v>0</v>
          </cell>
          <cell r="CB106">
            <v>0</v>
          </cell>
          <cell r="CC106">
            <v>0</v>
          </cell>
          <cell r="CD106">
            <v>0</v>
          </cell>
          <cell r="CE106">
            <v>0</v>
          </cell>
          <cell r="CG106">
            <v>0</v>
          </cell>
          <cell r="CH106">
            <v>0</v>
          </cell>
          <cell r="CI106">
            <v>0</v>
          </cell>
          <cell r="CJ106">
            <v>0</v>
          </cell>
          <cell r="CK106">
            <v>0</v>
          </cell>
          <cell r="CL106">
            <v>0</v>
          </cell>
          <cell r="CM106">
            <v>0</v>
          </cell>
          <cell r="CN106">
            <v>0</v>
          </cell>
          <cell r="CO106">
            <v>0</v>
          </cell>
          <cell r="FD106">
            <v>0</v>
          </cell>
          <cell r="FE106">
            <v>-21391453.215884149</v>
          </cell>
          <cell r="FF106">
            <v>0</v>
          </cell>
          <cell r="FG106">
            <v>0</v>
          </cell>
          <cell r="FJ106">
            <v>0</v>
          </cell>
          <cell r="FK106">
            <v>0</v>
          </cell>
          <cell r="FL106">
            <v>0</v>
          </cell>
          <cell r="FN106">
            <v>0</v>
          </cell>
          <cell r="FO106">
            <v>0</v>
          </cell>
          <cell r="FP106">
            <v>0</v>
          </cell>
          <cell r="FQ106">
            <v>0</v>
          </cell>
          <cell r="FS106">
            <v>0</v>
          </cell>
          <cell r="FT106">
            <v>0</v>
          </cell>
          <cell r="FU106">
            <v>0</v>
          </cell>
          <cell r="FV106">
            <v>0</v>
          </cell>
          <cell r="FW106">
            <v>0</v>
          </cell>
          <cell r="FX106">
            <v>0</v>
          </cell>
          <cell r="FY106">
            <v>0</v>
          </cell>
          <cell r="FZ106">
            <v>0</v>
          </cell>
          <cell r="GA106">
            <v>0</v>
          </cell>
        </row>
        <row r="107">
          <cell r="A107" t="str">
            <v>F_CNP_NRF_ASS_EMP_FRCE_201</v>
          </cell>
          <cell r="E107">
            <v>-292753898.32890099</v>
          </cell>
          <cell r="F107">
            <v>0</v>
          </cell>
          <cell r="G107">
            <v>0</v>
          </cell>
          <cell r="J107">
            <v>0</v>
          </cell>
          <cell r="K107">
            <v>0</v>
          </cell>
          <cell r="L107">
            <v>0</v>
          </cell>
          <cell r="N107">
            <v>0</v>
          </cell>
          <cell r="O107">
            <v>0</v>
          </cell>
          <cell r="P107">
            <v>0</v>
          </cell>
          <cell r="Q107">
            <v>0</v>
          </cell>
          <cell r="S107">
            <v>0</v>
          </cell>
          <cell r="T107">
            <v>0</v>
          </cell>
          <cell r="U107">
            <v>0</v>
          </cell>
          <cell r="V107">
            <v>0</v>
          </cell>
          <cell r="W107">
            <v>0</v>
          </cell>
          <cell r="X107">
            <v>0</v>
          </cell>
          <cell r="Y107">
            <v>0</v>
          </cell>
          <cell r="Z107">
            <v>0</v>
          </cell>
          <cell r="AA107">
            <v>0</v>
          </cell>
          <cell r="AB107">
            <v>0</v>
          </cell>
          <cell r="AC107">
            <v>0</v>
          </cell>
          <cell r="AF107">
            <v>0</v>
          </cell>
          <cell r="AG107">
            <v>0</v>
          </cell>
          <cell r="AH107">
            <v>0</v>
          </cell>
          <cell r="AJ107">
            <v>0</v>
          </cell>
          <cell r="AK107">
            <v>0</v>
          </cell>
          <cell r="AL107">
            <v>0</v>
          </cell>
          <cell r="AM107">
            <v>0</v>
          </cell>
          <cell r="AO107">
            <v>0</v>
          </cell>
          <cell r="AP107">
            <v>0</v>
          </cell>
          <cell r="AQ107">
            <v>0</v>
          </cell>
          <cell r="AR107">
            <v>0</v>
          </cell>
          <cell r="AS107">
            <v>0</v>
          </cell>
          <cell r="AT107">
            <v>0</v>
          </cell>
          <cell r="AU107">
            <v>0</v>
          </cell>
          <cell r="AV107">
            <v>0</v>
          </cell>
          <cell r="AW107">
            <v>0</v>
          </cell>
          <cell r="AX107">
            <v>0</v>
          </cell>
          <cell r="AY107">
            <v>0</v>
          </cell>
          <cell r="BB107">
            <v>0</v>
          </cell>
          <cell r="BC107">
            <v>0</v>
          </cell>
          <cell r="BD107">
            <v>0</v>
          </cell>
          <cell r="BF107">
            <v>0</v>
          </cell>
          <cell r="BG107">
            <v>0</v>
          </cell>
          <cell r="BH107">
            <v>0</v>
          </cell>
          <cell r="BI107">
            <v>0</v>
          </cell>
          <cell r="BK107">
            <v>0</v>
          </cell>
          <cell r="BL107">
            <v>0</v>
          </cell>
          <cell r="BM107">
            <v>0</v>
          </cell>
          <cell r="BN107">
            <v>0</v>
          </cell>
          <cell r="BO107">
            <v>0</v>
          </cell>
          <cell r="BP107">
            <v>0</v>
          </cell>
          <cell r="BQ107">
            <v>0</v>
          </cell>
          <cell r="BR107">
            <v>0</v>
          </cell>
          <cell r="BS107">
            <v>0</v>
          </cell>
          <cell r="BT107">
            <v>0</v>
          </cell>
          <cell r="BU107">
            <v>0</v>
          </cell>
          <cell r="BX107">
            <v>0</v>
          </cell>
          <cell r="BY107">
            <v>0</v>
          </cell>
          <cell r="BZ107">
            <v>0</v>
          </cell>
          <cell r="CB107">
            <v>0</v>
          </cell>
          <cell r="CC107">
            <v>0</v>
          </cell>
          <cell r="CD107">
            <v>0</v>
          </cell>
          <cell r="CE107">
            <v>0</v>
          </cell>
          <cell r="CG107">
            <v>0</v>
          </cell>
          <cell r="CH107">
            <v>0</v>
          </cell>
          <cell r="CI107">
            <v>0</v>
          </cell>
          <cell r="CJ107">
            <v>0</v>
          </cell>
          <cell r="CK107">
            <v>0</v>
          </cell>
          <cell r="CL107">
            <v>0</v>
          </cell>
          <cell r="CM107">
            <v>0</v>
          </cell>
          <cell r="CN107">
            <v>0</v>
          </cell>
          <cell r="CO107">
            <v>0</v>
          </cell>
          <cell r="FD107">
            <v>0</v>
          </cell>
          <cell r="FE107">
            <v>-1086457677.6864462</v>
          </cell>
          <cell r="FF107">
            <v>0</v>
          </cell>
          <cell r="FG107">
            <v>0</v>
          </cell>
          <cell r="FJ107">
            <v>0</v>
          </cell>
          <cell r="FK107">
            <v>0</v>
          </cell>
          <cell r="FL107">
            <v>0</v>
          </cell>
          <cell r="FN107">
            <v>0</v>
          </cell>
          <cell r="FO107">
            <v>0</v>
          </cell>
          <cell r="FP107">
            <v>0</v>
          </cell>
          <cell r="FQ107">
            <v>0</v>
          </cell>
          <cell r="FS107">
            <v>0</v>
          </cell>
          <cell r="FT107">
            <v>0</v>
          </cell>
          <cell r="FU107">
            <v>0</v>
          </cell>
          <cell r="FV107">
            <v>0</v>
          </cell>
          <cell r="FW107">
            <v>0</v>
          </cell>
          <cell r="FX107">
            <v>0</v>
          </cell>
          <cell r="FY107">
            <v>0</v>
          </cell>
          <cell r="FZ107">
            <v>0</v>
          </cell>
          <cell r="GA107">
            <v>0</v>
          </cell>
        </row>
        <row r="108">
          <cell r="A108" t="str">
            <v>F_CNP_NRF_ASS_EMP_FRCE_235</v>
          </cell>
          <cell r="E108">
            <v>0</v>
          </cell>
          <cell r="F108">
            <v>0</v>
          </cell>
          <cell r="G108">
            <v>0</v>
          </cell>
          <cell r="J108">
            <v>0</v>
          </cell>
          <cell r="K108">
            <v>0</v>
          </cell>
          <cell r="L108">
            <v>0</v>
          </cell>
          <cell r="N108">
            <v>0</v>
          </cell>
          <cell r="O108">
            <v>0</v>
          </cell>
          <cell r="P108">
            <v>0</v>
          </cell>
          <cell r="Q108">
            <v>0</v>
          </cell>
          <cell r="S108">
            <v>0</v>
          </cell>
          <cell r="T108">
            <v>0</v>
          </cell>
          <cell r="U108">
            <v>0</v>
          </cell>
          <cell r="V108">
            <v>0</v>
          </cell>
          <cell r="W108">
            <v>0</v>
          </cell>
          <cell r="X108">
            <v>0</v>
          </cell>
          <cell r="Y108">
            <v>0</v>
          </cell>
          <cell r="Z108">
            <v>0</v>
          </cell>
          <cell r="AA108">
            <v>0</v>
          </cell>
          <cell r="AB108">
            <v>0</v>
          </cell>
          <cell r="AC108">
            <v>0</v>
          </cell>
          <cell r="AF108">
            <v>0</v>
          </cell>
          <cell r="AG108">
            <v>0</v>
          </cell>
          <cell r="AH108">
            <v>0</v>
          </cell>
          <cell r="AJ108">
            <v>0</v>
          </cell>
          <cell r="AK108">
            <v>0</v>
          </cell>
          <cell r="AL108">
            <v>0</v>
          </cell>
          <cell r="AM108">
            <v>0</v>
          </cell>
          <cell r="AO108">
            <v>0</v>
          </cell>
          <cell r="AP108">
            <v>0</v>
          </cell>
          <cell r="AQ108">
            <v>0</v>
          </cell>
          <cell r="AR108">
            <v>0</v>
          </cell>
          <cell r="AS108">
            <v>0</v>
          </cell>
          <cell r="AT108">
            <v>0</v>
          </cell>
          <cell r="AU108">
            <v>0</v>
          </cell>
          <cell r="AV108">
            <v>0</v>
          </cell>
          <cell r="AW108">
            <v>0</v>
          </cell>
          <cell r="AX108">
            <v>0</v>
          </cell>
          <cell r="AY108">
            <v>0</v>
          </cell>
          <cell r="BB108">
            <v>0</v>
          </cell>
          <cell r="BC108">
            <v>0</v>
          </cell>
          <cell r="BD108">
            <v>0</v>
          </cell>
          <cell r="BF108">
            <v>0</v>
          </cell>
          <cell r="BG108">
            <v>0</v>
          </cell>
          <cell r="BH108">
            <v>0</v>
          </cell>
          <cell r="BI108">
            <v>0</v>
          </cell>
          <cell r="BK108">
            <v>0</v>
          </cell>
          <cell r="BL108">
            <v>0</v>
          </cell>
          <cell r="BM108">
            <v>0</v>
          </cell>
          <cell r="BN108">
            <v>0</v>
          </cell>
          <cell r="BO108">
            <v>0</v>
          </cell>
          <cell r="BP108">
            <v>0</v>
          </cell>
          <cell r="BQ108">
            <v>0</v>
          </cell>
          <cell r="BR108">
            <v>0</v>
          </cell>
          <cell r="BS108">
            <v>0</v>
          </cell>
          <cell r="BT108">
            <v>0</v>
          </cell>
          <cell r="BU108">
            <v>0</v>
          </cell>
          <cell r="BX108">
            <v>0</v>
          </cell>
          <cell r="BY108">
            <v>0</v>
          </cell>
          <cell r="BZ108">
            <v>0</v>
          </cell>
          <cell r="CB108">
            <v>0</v>
          </cell>
          <cell r="CC108">
            <v>0</v>
          </cell>
          <cell r="CD108">
            <v>0</v>
          </cell>
          <cell r="CE108">
            <v>0</v>
          </cell>
          <cell r="CG108">
            <v>0</v>
          </cell>
          <cell r="CH108">
            <v>0</v>
          </cell>
          <cell r="CI108">
            <v>0</v>
          </cell>
          <cell r="CJ108">
            <v>0</v>
          </cell>
          <cell r="CK108">
            <v>0</v>
          </cell>
          <cell r="CL108">
            <v>0</v>
          </cell>
          <cell r="CM108">
            <v>0</v>
          </cell>
          <cell r="CN108">
            <v>0</v>
          </cell>
          <cell r="CO108">
            <v>0</v>
          </cell>
          <cell r="FD108">
            <v>0</v>
          </cell>
          <cell r="FE108">
            <v>0</v>
          </cell>
          <cell r="FF108">
            <v>0</v>
          </cell>
          <cell r="FG108">
            <v>0</v>
          </cell>
          <cell r="FJ108">
            <v>0</v>
          </cell>
          <cell r="FK108">
            <v>0</v>
          </cell>
          <cell r="FL108">
            <v>0</v>
          </cell>
          <cell r="FN108">
            <v>0</v>
          </cell>
          <cell r="FO108">
            <v>0</v>
          </cell>
          <cell r="FP108">
            <v>0</v>
          </cell>
          <cell r="FQ108">
            <v>0</v>
          </cell>
          <cell r="FS108">
            <v>0</v>
          </cell>
          <cell r="FT108">
            <v>0</v>
          </cell>
          <cell r="FU108">
            <v>0</v>
          </cell>
          <cell r="FV108">
            <v>0</v>
          </cell>
          <cell r="FW108">
            <v>0</v>
          </cell>
          <cell r="FX108">
            <v>0</v>
          </cell>
          <cell r="FY108">
            <v>0</v>
          </cell>
          <cell r="FZ108">
            <v>0</v>
          </cell>
          <cell r="GA108">
            <v>0</v>
          </cell>
        </row>
        <row r="109">
          <cell r="A109" t="str">
            <v>F_CNP_NRF_ASS_EMP_FRCE_253</v>
          </cell>
          <cell r="E109">
            <v>-546583.49340623815</v>
          </cell>
          <cell r="F109">
            <v>0</v>
          </cell>
          <cell r="G109">
            <v>0</v>
          </cell>
          <cell r="J109">
            <v>0</v>
          </cell>
          <cell r="K109">
            <v>0</v>
          </cell>
          <cell r="L109">
            <v>0</v>
          </cell>
          <cell r="N109">
            <v>0</v>
          </cell>
          <cell r="O109">
            <v>0</v>
          </cell>
          <cell r="P109">
            <v>0</v>
          </cell>
          <cell r="Q109">
            <v>0</v>
          </cell>
          <cell r="S109">
            <v>0</v>
          </cell>
          <cell r="T109">
            <v>0</v>
          </cell>
          <cell r="U109">
            <v>0</v>
          </cell>
          <cell r="V109">
            <v>0</v>
          </cell>
          <cell r="W109">
            <v>0</v>
          </cell>
          <cell r="X109">
            <v>0</v>
          </cell>
          <cell r="Y109">
            <v>0</v>
          </cell>
          <cell r="Z109">
            <v>0</v>
          </cell>
          <cell r="AA109">
            <v>0</v>
          </cell>
          <cell r="AB109">
            <v>0</v>
          </cell>
          <cell r="AC109">
            <v>0</v>
          </cell>
          <cell r="AF109">
            <v>0</v>
          </cell>
          <cell r="AG109">
            <v>0</v>
          </cell>
          <cell r="AH109">
            <v>0</v>
          </cell>
          <cell r="AJ109">
            <v>0</v>
          </cell>
          <cell r="AK109">
            <v>0</v>
          </cell>
          <cell r="AL109">
            <v>0</v>
          </cell>
          <cell r="AM109">
            <v>0</v>
          </cell>
          <cell r="AO109">
            <v>0</v>
          </cell>
          <cell r="AP109">
            <v>0</v>
          </cell>
          <cell r="AQ109">
            <v>0</v>
          </cell>
          <cell r="AR109">
            <v>0</v>
          </cell>
          <cell r="AS109">
            <v>0</v>
          </cell>
          <cell r="AT109">
            <v>0</v>
          </cell>
          <cell r="AU109">
            <v>0</v>
          </cell>
          <cell r="AV109">
            <v>0</v>
          </cell>
          <cell r="AW109">
            <v>0</v>
          </cell>
          <cell r="AX109">
            <v>0</v>
          </cell>
          <cell r="AY109">
            <v>0</v>
          </cell>
          <cell r="BB109">
            <v>0</v>
          </cell>
          <cell r="BC109">
            <v>0</v>
          </cell>
          <cell r="BD109">
            <v>0</v>
          </cell>
          <cell r="BF109">
            <v>0</v>
          </cell>
          <cell r="BG109">
            <v>0</v>
          </cell>
          <cell r="BH109">
            <v>0</v>
          </cell>
          <cell r="BI109">
            <v>0</v>
          </cell>
          <cell r="BK109">
            <v>0</v>
          </cell>
          <cell r="BL109">
            <v>0</v>
          </cell>
          <cell r="BM109">
            <v>0</v>
          </cell>
          <cell r="BN109">
            <v>0</v>
          </cell>
          <cell r="BO109">
            <v>0</v>
          </cell>
          <cell r="BP109">
            <v>0</v>
          </cell>
          <cell r="BQ109">
            <v>0</v>
          </cell>
          <cell r="BR109">
            <v>0</v>
          </cell>
          <cell r="BS109">
            <v>0</v>
          </cell>
          <cell r="BT109">
            <v>0</v>
          </cell>
          <cell r="BU109">
            <v>0</v>
          </cell>
          <cell r="BX109">
            <v>0</v>
          </cell>
          <cell r="BY109">
            <v>0</v>
          </cell>
          <cell r="BZ109">
            <v>0</v>
          </cell>
          <cell r="CB109">
            <v>0</v>
          </cell>
          <cell r="CC109">
            <v>0</v>
          </cell>
          <cell r="CD109">
            <v>0</v>
          </cell>
          <cell r="CE109">
            <v>0</v>
          </cell>
          <cell r="CG109">
            <v>0</v>
          </cell>
          <cell r="CH109">
            <v>0</v>
          </cell>
          <cell r="CI109">
            <v>0</v>
          </cell>
          <cell r="CJ109">
            <v>0</v>
          </cell>
          <cell r="CK109">
            <v>0</v>
          </cell>
          <cell r="CL109">
            <v>0</v>
          </cell>
          <cell r="CM109">
            <v>0</v>
          </cell>
          <cell r="CN109">
            <v>0</v>
          </cell>
          <cell r="CO109">
            <v>0</v>
          </cell>
          <cell r="FD109">
            <v>0</v>
          </cell>
          <cell r="FE109">
            <v>-2358511.6556894886</v>
          </cell>
          <cell r="FF109">
            <v>0</v>
          </cell>
          <cell r="FG109">
            <v>0</v>
          </cell>
          <cell r="FJ109">
            <v>0</v>
          </cell>
          <cell r="FK109">
            <v>0</v>
          </cell>
          <cell r="FL109">
            <v>0</v>
          </cell>
          <cell r="FN109">
            <v>0</v>
          </cell>
          <cell r="FO109">
            <v>0</v>
          </cell>
          <cell r="FP109">
            <v>0</v>
          </cell>
          <cell r="FQ109">
            <v>0</v>
          </cell>
          <cell r="FS109">
            <v>0</v>
          </cell>
          <cell r="FT109">
            <v>0</v>
          </cell>
          <cell r="FU109">
            <v>0</v>
          </cell>
          <cell r="FV109">
            <v>0</v>
          </cell>
          <cell r="FW109">
            <v>0</v>
          </cell>
          <cell r="FX109">
            <v>0</v>
          </cell>
          <cell r="FY109">
            <v>0</v>
          </cell>
          <cell r="FZ109">
            <v>0</v>
          </cell>
          <cell r="GA109">
            <v>0</v>
          </cell>
        </row>
        <row r="110">
          <cell r="A110" t="str">
            <v>F_CNP_NRF_ASS_EMP_FRCE_254</v>
          </cell>
          <cell r="E110">
            <v>-116139905.90249902</v>
          </cell>
          <cell r="F110">
            <v>0</v>
          </cell>
          <cell r="G110">
            <v>0</v>
          </cell>
          <cell r="J110">
            <v>0</v>
          </cell>
          <cell r="K110">
            <v>0</v>
          </cell>
          <cell r="L110">
            <v>0</v>
          </cell>
          <cell r="N110">
            <v>0</v>
          </cell>
          <cell r="O110">
            <v>0</v>
          </cell>
          <cell r="P110">
            <v>0</v>
          </cell>
          <cell r="Q110">
            <v>0</v>
          </cell>
          <cell r="S110">
            <v>0</v>
          </cell>
          <cell r="T110">
            <v>0</v>
          </cell>
          <cell r="U110">
            <v>0</v>
          </cell>
          <cell r="V110">
            <v>0</v>
          </cell>
          <cell r="W110">
            <v>0</v>
          </cell>
          <cell r="X110">
            <v>0</v>
          </cell>
          <cell r="Y110">
            <v>0</v>
          </cell>
          <cell r="Z110">
            <v>0</v>
          </cell>
          <cell r="AA110">
            <v>0</v>
          </cell>
          <cell r="AB110">
            <v>0</v>
          </cell>
          <cell r="AC110">
            <v>0</v>
          </cell>
          <cell r="AF110">
            <v>0</v>
          </cell>
          <cell r="AG110">
            <v>0</v>
          </cell>
          <cell r="AH110">
            <v>0</v>
          </cell>
          <cell r="AJ110">
            <v>0</v>
          </cell>
          <cell r="AK110">
            <v>0</v>
          </cell>
          <cell r="AL110">
            <v>0</v>
          </cell>
          <cell r="AM110">
            <v>0</v>
          </cell>
          <cell r="AO110">
            <v>0</v>
          </cell>
          <cell r="AP110">
            <v>0</v>
          </cell>
          <cell r="AQ110">
            <v>0</v>
          </cell>
          <cell r="AR110">
            <v>0</v>
          </cell>
          <cell r="AS110">
            <v>0</v>
          </cell>
          <cell r="AT110">
            <v>0</v>
          </cell>
          <cell r="AU110">
            <v>0</v>
          </cell>
          <cell r="AV110">
            <v>0</v>
          </cell>
          <cell r="AW110">
            <v>0</v>
          </cell>
          <cell r="AX110">
            <v>0</v>
          </cell>
          <cell r="AY110">
            <v>0</v>
          </cell>
          <cell r="BB110">
            <v>0</v>
          </cell>
          <cell r="BC110">
            <v>0</v>
          </cell>
          <cell r="BD110">
            <v>0</v>
          </cell>
          <cell r="BF110">
            <v>0</v>
          </cell>
          <cell r="BG110">
            <v>0</v>
          </cell>
          <cell r="BH110">
            <v>0</v>
          </cell>
          <cell r="BI110">
            <v>0</v>
          </cell>
          <cell r="BK110">
            <v>0</v>
          </cell>
          <cell r="BL110">
            <v>0</v>
          </cell>
          <cell r="BM110">
            <v>0</v>
          </cell>
          <cell r="BN110">
            <v>0</v>
          </cell>
          <cell r="BO110">
            <v>0</v>
          </cell>
          <cell r="BP110">
            <v>0</v>
          </cell>
          <cell r="BQ110">
            <v>0</v>
          </cell>
          <cell r="BR110">
            <v>0</v>
          </cell>
          <cell r="BS110">
            <v>0</v>
          </cell>
          <cell r="BT110">
            <v>0</v>
          </cell>
          <cell r="BU110">
            <v>0</v>
          </cell>
          <cell r="BX110">
            <v>0</v>
          </cell>
          <cell r="BY110">
            <v>0</v>
          </cell>
          <cell r="BZ110">
            <v>0</v>
          </cell>
          <cell r="CB110">
            <v>0</v>
          </cell>
          <cell r="CC110">
            <v>0</v>
          </cell>
          <cell r="CD110">
            <v>0</v>
          </cell>
          <cell r="CE110">
            <v>0</v>
          </cell>
          <cell r="CG110">
            <v>0</v>
          </cell>
          <cell r="CH110">
            <v>0</v>
          </cell>
          <cell r="CI110">
            <v>0</v>
          </cell>
          <cell r="CJ110">
            <v>0</v>
          </cell>
          <cell r="CK110">
            <v>0</v>
          </cell>
          <cell r="CL110">
            <v>0</v>
          </cell>
          <cell r="CM110">
            <v>0</v>
          </cell>
          <cell r="CN110">
            <v>0</v>
          </cell>
          <cell r="CO110">
            <v>0</v>
          </cell>
          <cell r="FD110">
            <v>0</v>
          </cell>
          <cell r="FE110">
            <v>-501144518.7535882</v>
          </cell>
          <cell r="FF110">
            <v>0</v>
          </cell>
          <cell r="FG110">
            <v>0</v>
          </cell>
          <cell r="FJ110">
            <v>0</v>
          </cell>
          <cell r="FK110">
            <v>0</v>
          </cell>
          <cell r="FL110">
            <v>0</v>
          </cell>
          <cell r="FN110">
            <v>0</v>
          </cell>
          <cell r="FO110">
            <v>0</v>
          </cell>
          <cell r="FP110">
            <v>0</v>
          </cell>
          <cell r="FQ110">
            <v>0</v>
          </cell>
          <cell r="FS110">
            <v>0</v>
          </cell>
          <cell r="FT110">
            <v>0</v>
          </cell>
          <cell r="FU110">
            <v>0</v>
          </cell>
          <cell r="FV110">
            <v>0</v>
          </cell>
          <cell r="FW110">
            <v>0</v>
          </cell>
          <cell r="FX110">
            <v>0</v>
          </cell>
          <cell r="FY110">
            <v>0</v>
          </cell>
          <cell r="FZ110">
            <v>0</v>
          </cell>
          <cell r="GA110">
            <v>0</v>
          </cell>
        </row>
        <row r="111">
          <cell r="A111" t="str">
            <v>F_CNP_NRF_ASS_EMP_INTR_201</v>
          </cell>
          <cell r="E111">
            <v>145293894.6402289</v>
          </cell>
          <cell r="F111">
            <v>0</v>
          </cell>
          <cell r="G111">
            <v>0</v>
          </cell>
          <cell r="J111">
            <v>0</v>
          </cell>
          <cell r="K111">
            <v>0</v>
          </cell>
          <cell r="L111">
            <v>0</v>
          </cell>
          <cell r="N111">
            <v>0</v>
          </cell>
          <cell r="O111">
            <v>0</v>
          </cell>
          <cell r="P111">
            <v>0</v>
          </cell>
          <cell r="Q111">
            <v>0</v>
          </cell>
          <cell r="S111">
            <v>0</v>
          </cell>
          <cell r="T111">
            <v>0</v>
          </cell>
          <cell r="U111">
            <v>0</v>
          </cell>
          <cell r="V111">
            <v>0</v>
          </cell>
          <cell r="W111">
            <v>0</v>
          </cell>
          <cell r="X111">
            <v>0</v>
          </cell>
          <cell r="Y111">
            <v>0</v>
          </cell>
          <cell r="Z111">
            <v>0</v>
          </cell>
          <cell r="AA111">
            <v>0</v>
          </cell>
          <cell r="AB111">
            <v>0</v>
          </cell>
          <cell r="AC111">
            <v>0</v>
          </cell>
          <cell r="AF111">
            <v>0</v>
          </cell>
          <cell r="AG111">
            <v>0</v>
          </cell>
          <cell r="AH111">
            <v>0</v>
          </cell>
          <cell r="AJ111">
            <v>0</v>
          </cell>
          <cell r="AK111">
            <v>0</v>
          </cell>
          <cell r="AL111">
            <v>0</v>
          </cell>
          <cell r="AM111">
            <v>0</v>
          </cell>
          <cell r="AO111">
            <v>0</v>
          </cell>
          <cell r="AP111">
            <v>0</v>
          </cell>
          <cell r="AQ111">
            <v>0</v>
          </cell>
          <cell r="AR111">
            <v>0</v>
          </cell>
          <cell r="AS111">
            <v>0</v>
          </cell>
          <cell r="AT111">
            <v>0</v>
          </cell>
          <cell r="AU111">
            <v>0</v>
          </cell>
          <cell r="AV111">
            <v>0</v>
          </cell>
          <cell r="AW111">
            <v>0</v>
          </cell>
          <cell r="AX111">
            <v>0</v>
          </cell>
          <cell r="AY111">
            <v>0</v>
          </cell>
          <cell r="BB111">
            <v>0</v>
          </cell>
          <cell r="BC111">
            <v>0</v>
          </cell>
          <cell r="BD111">
            <v>0</v>
          </cell>
          <cell r="BF111">
            <v>0</v>
          </cell>
          <cell r="BG111">
            <v>0</v>
          </cell>
          <cell r="BH111">
            <v>0</v>
          </cell>
          <cell r="BI111">
            <v>0</v>
          </cell>
          <cell r="BK111">
            <v>0</v>
          </cell>
          <cell r="BL111">
            <v>0</v>
          </cell>
          <cell r="BM111">
            <v>0</v>
          </cell>
          <cell r="BN111">
            <v>0</v>
          </cell>
          <cell r="BO111">
            <v>0</v>
          </cell>
          <cell r="BP111">
            <v>0</v>
          </cell>
          <cell r="BQ111">
            <v>0</v>
          </cell>
          <cell r="BR111">
            <v>0</v>
          </cell>
          <cell r="BS111">
            <v>0</v>
          </cell>
          <cell r="BT111">
            <v>0</v>
          </cell>
          <cell r="BU111">
            <v>0</v>
          </cell>
          <cell r="BX111">
            <v>0</v>
          </cell>
          <cell r="BY111">
            <v>0</v>
          </cell>
          <cell r="BZ111">
            <v>0</v>
          </cell>
          <cell r="CB111">
            <v>0</v>
          </cell>
          <cell r="CC111">
            <v>0</v>
          </cell>
          <cell r="CD111">
            <v>0</v>
          </cell>
          <cell r="CE111">
            <v>0</v>
          </cell>
          <cell r="CG111">
            <v>0</v>
          </cell>
          <cell r="CH111">
            <v>0</v>
          </cell>
          <cell r="CI111">
            <v>0</v>
          </cell>
          <cell r="CJ111">
            <v>0</v>
          </cell>
          <cell r="CK111">
            <v>0</v>
          </cell>
          <cell r="CL111">
            <v>0</v>
          </cell>
          <cell r="CM111">
            <v>0</v>
          </cell>
          <cell r="CN111">
            <v>0</v>
          </cell>
          <cell r="CO111">
            <v>0</v>
          </cell>
          <cell r="FD111">
            <v>0</v>
          </cell>
          <cell r="FE111">
            <v>126572699.26871262</v>
          </cell>
          <cell r="FF111">
            <v>0</v>
          </cell>
          <cell r="FG111">
            <v>0</v>
          </cell>
          <cell r="FJ111">
            <v>0</v>
          </cell>
          <cell r="FK111">
            <v>0</v>
          </cell>
          <cell r="FL111">
            <v>0</v>
          </cell>
          <cell r="FN111">
            <v>0</v>
          </cell>
          <cell r="FO111">
            <v>0</v>
          </cell>
          <cell r="FP111">
            <v>0</v>
          </cell>
          <cell r="FQ111">
            <v>0</v>
          </cell>
          <cell r="FS111">
            <v>0</v>
          </cell>
          <cell r="FT111">
            <v>0</v>
          </cell>
          <cell r="FU111">
            <v>0</v>
          </cell>
          <cell r="FV111">
            <v>0</v>
          </cell>
          <cell r="FW111">
            <v>0</v>
          </cell>
          <cell r="FX111">
            <v>0</v>
          </cell>
          <cell r="FY111">
            <v>0</v>
          </cell>
          <cell r="FZ111">
            <v>0</v>
          </cell>
          <cell r="GA111">
            <v>0</v>
          </cell>
        </row>
        <row r="112">
          <cell r="A112" t="str">
            <v>F_CNP_NRF_CPT_PRP_FRCE_198</v>
          </cell>
          <cell r="E112">
            <v>0</v>
          </cell>
          <cell r="F112">
            <v>0</v>
          </cell>
          <cell r="G112">
            <v>0</v>
          </cell>
          <cell r="J112">
            <v>0</v>
          </cell>
          <cell r="K112">
            <v>0</v>
          </cell>
          <cell r="L112">
            <v>0</v>
          </cell>
          <cell r="N112">
            <v>0</v>
          </cell>
          <cell r="O112">
            <v>0</v>
          </cell>
          <cell r="P112">
            <v>0</v>
          </cell>
          <cell r="Q112">
            <v>0</v>
          </cell>
          <cell r="S112">
            <v>0</v>
          </cell>
          <cell r="T112">
            <v>0</v>
          </cell>
          <cell r="U112">
            <v>0</v>
          </cell>
          <cell r="V112">
            <v>0</v>
          </cell>
          <cell r="W112">
            <v>0</v>
          </cell>
          <cell r="X112">
            <v>0</v>
          </cell>
          <cell r="Y112">
            <v>0</v>
          </cell>
          <cell r="Z112">
            <v>0</v>
          </cell>
          <cell r="AA112">
            <v>0</v>
          </cell>
          <cell r="AB112">
            <v>0</v>
          </cell>
          <cell r="AC112">
            <v>0</v>
          </cell>
          <cell r="AF112">
            <v>0</v>
          </cell>
          <cell r="AG112">
            <v>0</v>
          </cell>
          <cell r="AH112">
            <v>0</v>
          </cell>
          <cell r="AJ112">
            <v>0</v>
          </cell>
          <cell r="AK112">
            <v>0</v>
          </cell>
          <cell r="AL112">
            <v>0</v>
          </cell>
          <cell r="AM112">
            <v>0</v>
          </cell>
          <cell r="AO112">
            <v>0</v>
          </cell>
          <cell r="AP112">
            <v>0</v>
          </cell>
          <cell r="AQ112">
            <v>0</v>
          </cell>
          <cell r="AR112">
            <v>0</v>
          </cell>
          <cell r="AS112">
            <v>0</v>
          </cell>
          <cell r="AT112">
            <v>0</v>
          </cell>
          <cell r="AU112">
            <v>0</v>
          </cell>
          <cell r="AV112">
            <v>0</v>
          </cell>
          <cell r="AW112">
            <v>0</v>
          </cell>
          <cell r="AX112">
            <v>0</v>
          </cell>
          <cell r="AY112">
            <v>0</v>
          </cell>
          <cell r="BB112">
            <v>0</v>
          </cell>
          <cell r="BC112">
            <v>0</v>
          </cell>
          <cell r="BD112">
            <v>0</v>
          </cell>
          <cell r="BF112">
            <v>0</v>
          </cell>
          <cell r="BG112">
            <v>0</v>
          </cell>
          <cell r="BH112">
            <v>0</v>
          </cell>
          <cell r="BI112">
            <v>0</v>
          </cell>
          <cell r="BK112">
            <v>0</v>
          </cell>
          <cell r="BL112">
            <v>0</v>
          </cell>
          <cell r="BM112">
            <v>0</v>
          </cell>
          <cell r="BN112">
            <v>0</v>
          </cell>
          <cell r="BO112">
            <v>0</v>
          </cell>
          <cell r="BP112">
            <v>0</v>
          </cell>
          <cell r="BQ112">
            <v>0</v>
          </cell>
          <cell r="BR112">
            <v>0</v>
          </cell>
          <cell r="BS112">
            <v>0</v>
          </cell>
          <cell r="BT112">
            <v>0</v>
          </cell>
          <cell r="BU112">
            <v>0</v>
          </cell>
          <cell r="BX112">
            <v>0</v>
          </cell>
          <cell r="BY112">
            <v>0</v>
          </cell>
          <cell r="BZ112">
            <v>0</v>
          </cell>
          <cell r="CB112">
            <v>0</v>
          </cell>
          <cell r="CC112">
            <v>0</v>
          </cell>
          <cell r="CD112">
            <v>0</v>
          </cell>
          <cell r="CE112">
            <v>0</v>
          </cell>
          <cell r="CG112">
            <v>0</v>
          </cell>
          <cell r="CH112">
            <v>0</v>
          </cell>
          <cell r="CI112">
            <v>0</v>
          </cell>
          <cell r="CJ112">
            <v>0</v>
          </cell>
          <cell r="CK112">
            <v>0</v>
          </cell>
          <cell r="CL112">
            <v>0</v>
          </cell>
          <cell r="CM112">
            <v>0</v>
          </cell>
          <cell r="CN112">
            <v>0</v>
          </cell>
          <cell r="CO112">
            <v>0</v>
          </cell>
          <cell r="FD112">
            <v>0</v>
          </cell>
          <cell r="FE112">
            <v>0</v>
          </cell>
          <cell r="FF112">
            <v>0</v>
          </cell>
          <cell r="FG112">
            <v>0</v>
          </cell>
          <cell r="FJ112">
            <v>0</v>
          </cell>
          <cell r="FK112">
            <v>0</v>
          </cell>
          <cell r="FL112">
            <v>0</v>
          </cell>
          <cell r="FN112">
            <v>0</v>
          </cell>
          <cell r="FO112">
            <v>0</v>
          </cell>
          <cell r="FP112">
            <v>0</v>
          </cell>
          <cell r="FQ112">
            <v>0</v>
          </cell>
          <cell r="FS112">
            <v>0</v>
          </cell>
          <cell r="FT112">
            <v>0</v>
          </cell>
          <cell r="FU112">
            <v>0</v>
          </cell>
          <cell r="FV112">
            <v>0</v>
          </cell>
          <cell r="FW112">
            <v>0</v>
          </cell>
          <cell r="FX112">
            <v>0</v>
          </cell>
          <cell r="FY112">
            <v>0</v>
          </cell>
          <cell r="FZ112">
            <v>0</v>
          </cell>
          <cell r="GA112">
            <v>0</v>
          </cell>
        </row>
        <row r="113">
          <cell r="A113" t="str">
            <v>F_CNP_NRF_CPT_PRP_FRCE_199</v>
          </cell>
          <cell r="E113">
            <v>0</v>
          </cell>
          <cell r="F113">
            <v>0</v>
          </cell>
          <cell r="G113">
            <v>0</v>
          </cell>
          <cell r="J113">
            <v>0</v>
          </cell>
          <cell r="K113">
            <v>0</v>
          </cell>
          <cell r="L113">
            <v>0</v>
          </cell>
          <cell r="N113">
            <v>0</v>
          </cell>
          <cell r="O113">
            <v>0</v>
          </cell>
          <cell r="P113">
            <v>0</v>
          </cell>
          <cell r="Q113">
            <v>0</v>
          </cell>
          <cell r="S113">
            <v>0</v>
          </cell>
          <cell r="T113">
            <v>0</v>
          </cell>
          <cell r="U113">
            <v>0</v>
          </cell>
          <cell r="V113">
            <v>0</v>
          </cell>
          <cell r="W113">
            <v>0</v>
          </cell>
          <cell r="X113">
            <v>0</v>
          </cell>
          <cell r="Y113">
            <v>0</v>
          </cell>
          <cell r="Z113">
            <v>0</v>
          </cell>
          <cell r="AA113">
            <v>0</v>
          </cell>
          <cell r="AB113">
            <v>0</v>
          </cell>
          <cell r="AC113">
            <v>0</v>
          </cell>
          <cell r="AF113">
            <v>0</v>
          </cell>
          <cell r="AG113">
            <v>0</v>
          </cell>
          <cell r="AH113">
            <v>0</v>
          </cell>
          <cell r="AJ113">
            <v>0</v>
          </cell>
          <cell r="AK113">
            <v>0</v>
          </cell>
          <cell r="AL113">
            <v>0</v>
          </cell>
          <cell r="AM113">
            <v>0</v>
          </cell>
          <cell r="AO113">
            <v>0</v>
          </cell>
          <cell r="AP113">
            <v>0</v>
          </cell>
          <cell r="AQ113">
            <v>0</v>
          </cell>
          <cell r="AR113">
            <v>0</v>
          </cell>
          <cell r="AS113">
            <v>0</v>
          </cell>
          <cell r="AT113">
            <v>0</v>
          </cell>
          <cell r="AU113">
            <v>0</v>
          </cell>
          <cell r="AV113">
            <v>0</v>
          </cell>
          <cell r="AW113">
            <v>0</v>
          </cell>
          <cell r="AX113">
            <v>0</v>
          </cell>
          <cell r="AY113">
            <v>0</v>
          </cell>
          <cell r="BB113">
            <v>0</v>
          </cell>
          <cell r="BC113">
            <v>0</v>
          </cell>
          <cell r="BD113">
            <v>0</v>
          </cell>
          <cell r="BF113">
            <v>0</v>
          </cell>
          <cell r="BG113">
            <v>0</v>
          </cell>
          <cell r="BH113">
            <v>0</v>
          </cell>
          <cell r="BI113">
            <v>0</v>
          </cell>
          <cell r="BK113">
            <v>0</v>
          </cell>
          <cell r="BL113">
            <v>0</v>
          </cell>
          <cell r="BM113">
            <v>0</v>
          </cell>
          <cell r="BN113">
            <v>0</v>
          </cell>
          <cell r="BO113">
            <v>0</v>
          </cell>
          <cell r="BP113">
            <v>0</v>
          </cell>
          <cell r="BQ113">
            <v>0</v>
          </cell>
          <cell r="BR113">
            <v>0</v>
          </cell>
          <cell r="BS113">
            <v>0</v>
          </cell>
          <cell r="BT113">
            <v>0</v>
          </cell>
          <cell r="BU113">
            <v>0</v>
          </cell>
          <cell r="BX113">
            <v>0</v>
          </cell>
          <cell r="BY113">
            <v>0</v>
          </cell>
          <cell r="BZ113">
            <v>0</v>
          </cell>
          <cell r="CB113">
            <v>0</v>
          </cell>
          <cell r="CC113">
            <v>0</v>
          </cell>
          <cell r="CD113">
            <v>0</v>
          </cell>
          <cell r="CE113">
            <v>0</v>
          </cell>
          <cell r="CG113">
            <v>0</v>
          </cell>
          <cell r="CH113">
            <v>0</v>
          </cell>
          <cell r="CI113">
            <v>0</v>
          </cell>
          <cell r="CJ113">
            <v>0</v>
          </cell>
          <cell r="CK113">
            <v>0</v>
          </cell>
          <cell r="CL113">
            <v>0</v>
          </cell>
          <cell r="CM113">
            <v>0</v>
          </cell>
          <cell r="CN113">
            <v>0</v>
          </cell>
          <cell r="CO113">
            <v>0</v>
          </cell>
          <cell r="FD113">
            <v>0</v>
          </cell>
          <cell r="FE113">
            <v>0</v>
          </cell>
          <cell r="FF113">
            <v>0</v>
          </cell>
          <cell r="FG113">
            <v>0</v>
          </cell>
          <cell r="FJ113">
            <v>0</v>
          </cell>
          <cell r="FK113">
            <v>0</v>
          </cell>
          <cell r="FL113">
            <v>0</v>
          </cell>
          <cell r="FN113">
            <v>0</v>
          </cell>
          <cell r="FO113">
            <v>0</v>
          </cell>
          <cell r="FP113">
            <v>0</v>
          </cell>
          <cell r="FQ113">
            <v>0</v>
          </cell>
          <cell r="FS113">
            <v>0</v>
          </cell>
          <cell r="FT113">
            <v>0</v>
          </cell>
          <cell r="FU113">
            <v>0</v>
          </cell>
          <cell r="FV113">
            <v>0</v>
          </cell>
          <cell r="FW113">
            <v>0</v>
          </cell>
          <cell r="FX113">
            <v>0</v>
          </cell>
          <cell r="FY113">
            <v>0</v>
          </cell>
          <cell r="FZ113">
            <v>0</v>
          </cell>
          <cell r="GA113">
            <v>0</v>
          </cell>
        </row>
        <row r="114">
          <cell r="A114" t="str">
            <v>F_CNP_NRF_CPT_PRP_FRCE_200</v>
          </cell>
          <cell r="E114">
            <v>0</v>
          </cell>
          <cell r="F114">
            <v>0</v>
          </cell>
          <cell r="G114">
            <v>0</v>
          </cell>
          <cell r="J114">
            <v>0</v>
          </cell>
          <cell r="K114">
            <v>0</v>
          </cell>
          <cell r="L114">
            <v>0</v>
          </cell>
          <cell r="N114">
            <v>0</v>
          </cell>
          <cell r="O114">
            <v>0</v>
          </cell>
          <cell r="P114">
            <v>0</v>
          </cell>
          <cell r="Q114">
            <v>0</v>
          </cell>
          <cell r="S114">
            <v>0</v>
          </cell>
          <cell r="T114">
            <v>0</v>
          </cell>
          <cell r="U114">
            <v>0</v>
          </cell>
          <cell r="V114">
            <v>0</v>
          </cell>
          <cell r="W114">
            <v>0</v>
          </cell>
          <cell r="X114">
            <v>0</v>
          </cell>
          <cell r="Y114">
            <v>0</v>
          </cell>
          <cell r="Z114">
            <v>0</v>
          </cell>
          <cell r="AA114">
            <v>0</v>
          </cell>
          <cell r="AB114">
            <v>0</v>
          </cell>
          <cell r="AC114">
            <v>0</v>
          </cell>
          <cell r="AF114">
            <v>0</v>
          </cell>
          <cell r="AG114">
            <v>0</v>
          </cell>
          <cell r="AH114">
            <v>0</v>
          </cell>
          <cell r="AJ114">
            <v>0</v>
          </cell>
          <cell r="AK114">
            <v>0</v>
          </cell>
          <cell r="AL114">
            <v>0</v>
          </cell>
          <cell r="AM114">
            <v>0</v>
          </cell>
          <cell r="AO114">
            <v>0</v>
          </cell>
          <cell r="AP114">
            <v>0</v>
          </cell>
          <cell r="AQ114">
            <v>0</v>
          </cell>
          <cell r="AR114">
            <v>0</v>
          </cell>
          <cell r="AS114">
            <v>0</v>
          </cell>
          <cell r="AT114">
            <v>0</v>
          </cell>
          <cell r="AU114">
            <v>0</v>
          </cell>
          <cell r="AV114">
            <v>0</v>
          </cell>
          <cell r="AW114">
            <v>0</v>
          </cell>
          <cell r="AX114">
            <v>0</v>
          </cell>
          <cell r="AY114">
            <v>0</v>
          </cell>
          <cell r="BB114">
            <v>0</v>
          </cell>
          <cell r="BC114">
            <v>0</v>
          </cell>
          <cell r="BD114">
            <v>0</v>
          </cell>
          <cell r="BF114">
            <v>0</v>
          </cell>
          <cell r="BG114">
            <v>0</v>
          </cell>
          <cell r="BH114">
            <v>0</v>
          </cell>
          <cell r="BI114">
            <v>0</v>
          </cell>
          <cell r="BK114">
            <v>0</v>
          </cell>
          <cell r="BL114">
            <v>0</v>
          </cell>
          <cell r="BM114">
            <v>0</v>
          </cell>
          <cell r="BN114">
            <v>0</v>
          </cell>
          <cell r="BO114">
            <v>0</v>
          </cell>
          <cell r="BP114">
            <v>0</v>
          </cell>
          <cell r="BQ114">
            <v>0</v>
          </cell>
          <cell r="BR114">
            <v>0</v>
          </cell>
          <cell r="BS114">
            <v>0</v>
          </cell>
          <cell r="BT114">
            <v>0</v>
          </cell>
          <cell r="BU114">
            <v>0</v>
          </cell>
          <cell r="BX114">
            <v>0</v>
          </cell>
          <cell r="BY114">
            <v>0</v>
          </cell>
          <cell r="BZ114">
            <v>0</v>
          </cell>
          <cell r="CB114">
            <v>0</v>
          </cell>
          <cell r="CC114">
            <v>0</v>
          </cell>
          <cell r="CD114">
            <v>0</v>
          </cell>
          <cell r="CE114">
            <v>0</v>
          </cell>
          <cell r="CG114">
            <v>0</v>
          </cell>
          <cell r="CH114">
            <v>0</v>
          </cell>
          <cell r="CI114">
            <v>0</v>
          </cell>
          <cell r="CJ114">
            <v>0</v>
          </cell>
          <cell r="CK114">
            <v>0</v>
          </cell>
          <cell r="CL114">
            <v>0</v>
          </cell>
          <cell r="CM114">
            <v>0</v>
          </cell>
          <cell r="CN114">
            <v>0</v>
          </cell>
          <cell r="CO114">
            <v>0</v>
          </cell>
          <cell r="FD114">
            <v>0</v>
          </cell>
          <cell r="FE114">
            <v>0</v>
          </cell>
          <cell r="FF114">
            <v>0</v>
          </cell>
          <cell r="FG114">
            <v>0</v>
          </cell>
          <cell r="FJ114">
            <v>0</v>
          </cell>
          <cell r="FK114">
            <v>0</v>
          </cell>
          <cell r="FL114">
            <v>0</v>
          </cell>
          <cell r="FN114">
            <v>0</v>
          </cell>
          <cell r="FO114">
            <v>0</v>
          </cell>
          <cell r="FP114">
            <v>0</v>
          </cell>
          <cell r="FQ114">
            <v>0</v>
          </cell>
          <cell r="FS114">
            <v>0</v>
          </cell>
          <cell r="FT114">
            <v>0</v>
          </cell>
          <cell r="FU114">
            <v>0</v>
          </cell>
          <cell r="FV114">
            <v>0</v>
          </cell>
          <cell r="FW114">
            <v>0</v>
          </cell>
          <cell r="FX114">
            <v>0</v>
          </cell>
          <cell r="FY114">
            <v>0</v>
          </cell>
          <cell r="FZ114">
            <v>0</v>
          </cell>
          <cell r="GA114">
            <v>0</v>
          </cell>
        </row>
        <row r="115">
          <cell r="A115" t="str">
            <v>F_CNP_NRF_CPT_PRP_FRCE_201</v>
          </cell>
          <cell r="E115">
            <v>2850248002.9096546</v>
          </cell>
          <cell r="F115">
            <v>0</v>
          </cell>
          <cell r="G115">
            <v>0</v>
          </cell>
          <cell r="J115">
            <v>0</v>
          </cell>
          <cell r="K115">
            <v>0</v>
          </cell>
          <cell r="L115">
            <v>0</v>
          </cell>
          <cell r="N115">
            <v>0</v>
          </cell>
          <cell r="O115">
            <v>0</v>
          </cell>
          <cell r="P115">
            <v>0</v>
          </cell>
          <cell r="Q115">
            <v>0</v>
          </cell>
          <cell r="S115">
            <v>0</v>
          </cell>
          <cell r="T115">
            <v>0</v>
          </cell>
          <cell r="U115">
            <v>0</v>
          </cell>
          <cell r="V115">
            <v>0</v>
          </cell>
          <cell r="W115">
            <v>0</v>
          </cell>
          <cell r="X115">
            <v>0</v>
          </cell>
          <cell r="Y115">
            <v>0</v>
          </cell>
          <cell r="Z115">
            <v>0</v>
          </cell>
          <cell r="AA115">
            <v>0</v>
          </cell>
          <cell r="AB115">
            <v>0</v>
          </cell>
          <cell r="AC115">
            <v>0</v>
          </cell>
          <cell r="AF115">
            <v>0</v>
          </cell>
          <cell r="AG115">
            <v>0</v>
          </cell>
          <cell r="AH115">
            <v>0</v>
          </cell>
          <cell r="AJ115">
            <v>0</v>
          </cell>
          <cell r="AK115">
            <v>0</v>
          </cell>
          <cell r="AL115">
            <v>0</v>
          </cell>
          <cell r="AM115">
            <v>0</v>
          </cell>
          <cell r="AO115">
            <v>0</v>
          </cell>
          <cell r="AP115">
            <v>0</v>
          </cell>
          <cell r="AQ115">
            <v>0</v>
          </cell>
          <cell r="AR115">
            <v>0</v>
          </cell>
          <cell r="AS115">
            <v>0</v>
          </cell>
          <cell r="AT115">
            <v>0</v>
          </cell>
          <cell r="AU115">
            <v>0</v>
          </cell>
          <cell r="AV115">
            <v>0</v>
          </cell>
          <cell r="AW115">
            <v>0</v>
          </cell>
          <cell r="AX115">
            <v>0</v>
          </cell>
          <cell r="AY115">
            <v>0</v>
          </cell>
          <cell r="BB115">
            <v>0</v>
          </cell>
          <cell r="BC115">
            <v>0</v>
          </cell>
          <cell r="BD115">
            <v>0</v>
          </cell>
          <cell r="BF115">
            <v>0</v>
          </cell>
          <cell r="BG115">
            <v>0</v>
          </cell>
          <cell r="BH115">
            <v>0</v>
          </cell>
          <cell r="BI115">
            <v>0</v>
          </cell>
          <cell r="BK115">
            <v>0</v>
          </cell>
          <cell r="BL115">
            <v>0</v>
          </cell>
          <cell r="BM115">
            <v>0</v>
          </cell>
          <cell r="BN115">
            <v>0</v>
          </cell>
          <cell r="BO115">
            <v>0</v>
          </cell>
          <cell r="BP115">
            <v>0</v>
          </cell>
          <cell r="BQ115">
            <v>0</v>
          </cell>
          <cell r="BR115">
            <v>0</v>
          </cell>
          <cell r="BS115">
            <v>0</v>
          </cell>
          <cell r="BT115">
            <v>0</v>
          </cell>
          <cell r="BU115">
            <v>0</v>
          </cell>
          <cell r="BX115">
            <v>0</v>
          </cell>
          <cell r="BY115">
            <v>0</v>
          </cell>
          <cell r="BZ115">
            <v>0</v>
          </cell>
          <cell r="CB115">
            <v>0</v>
          </cell>
          <cell r="CC115">
            <v>0</v>
          </cell>
          <cell r="CD115">
            <v>0</v>
          </cell>
          <cell r="CE115">
            <v>0</v>
          </cell>
          <cell r="CG115">
            <v>0</v>
          </cell>
          <cell r="CH115">
            <v>0</v>
          </cell>
          <cell r="CI115">
            <v>0</v>
          </cell>
          <cell r="CJ115">
            <v>0</v>
          </cell>
          <cell r="CK115">
            <v>0</v>
          </cell>
          <cell r="CL115">
            <v>0</v>
          </cell>
          <cell r="CM115">
            <v>0</v>
          </cell>
          <cell r="CN115">
            <v>0</v>
          </cell>
          <cell r="CO115">
            <v>0</v>
          </cell>
          <cell r="FD115">
            <v>0</v>
          </cell>
          <cell r="FE115">
            <v>2850248002.9096546</v>
          </cell>
          <cell r="FF115">
            <v>0</v>
          </cell>
          <cell r="FG115">
            <v>0</v>
          </cell>
          <cell r="FJ115">
            <v>0</v>
          </cell>
          <cell r="FK115">
            <v>0</v>
          </cell>
          <cell r="FL115">
            <v>0</v>
          </cell>
          <cell r="FN115">
            <v>0</v>
          </cell>
          <cell r="FO115">
            <v>0</v>
          </cell>
          <cell r="FP115">
            <v>0</v>
          </cell>
          <cell r="FQ115">
            <v>0</v>
          </cell>
          <cell r="FS115">
            <v>0</v>
          </cell>
          <cell r="FT115">
            <v>0</v>
          </cell>
          <cell r="FU115">
            <v>0</v>
          </cell>
          <cell r="FV115">
            <v>0</v>
          </cell>
          <cell r="FW115">
            <v>0</v>
          </cell>
          <cell r="FX115">
            <v>0</v>
          </cell>
          <cell r="FY115">
            <v>0</v>
          </cell>
          <cell r="FZ115">
            <v>0</v>
          </cell>
          <cell r="GA115">
            <v>0</v>
          </cell>
        </row>
        <row r="116">
          <cell r="A116" t="str">
            <v>F_CNP_NRF_CPT_PRP_FRCE_TS_</v>
          </cell>
          <cell r="E116">
            <v>0</v>
          </cell>
          <cell r="F116">
            <v>0</v>
          </cell>
          <cell r="G116">
            <v>0</v>
          </cell>
          <cell r="J116">
            <v>0</v>
          </cell>
          <cell r="K116">
            <v>0</v>
          </cell>
          <cell r="L116">
            <v>0</v>
          </cell>
          <cell r="N116">
            <v>0</v>
          </cell>
          <cell r="O116">
            <v>0</v>
          </cell>
          <cell r="P116">
            <v>0</v>
          </cell>
          <cell r="Q116">
            <v>0</v>
          </cell>
          <cell r="S116">
            <v>0</v>
          </cell>
          <cell r="T116">
            <v>0</v>
          </cell>
          <cell r="U116">
            <v>0</v>
          </cell>
          <cell r="V116">
            <v>0</v>
          </cell>
          <cell r="W116">
            <v>0</v>
          </cell>
          <cell r="X116">
            <v>0</v>
          </cell>
          <cell r="Y116">
            <v>0</v>
          </cell>
          <cell r="Z116">
            <v>0</v>
          </cell>
          <cell r="AA116">
            <v>0</v>
          </cell>
          <cell r="AB116">
            <v>0</v>
          </cell>
          <cell r="AC116">
            <v>0</v>
          </cell>
          <cell r="AF116">
            <v>0</v>
          </cell>
          <cell r="AG116">
            <v>0</v>
          </cell>
          <cell r="AH116">
            <v>0</v>
          </cell>
          <cell r="AJ116">
            <v>0</v>
          </cell>
          <cell r="AK116">
            <v>0</v>
          </cell>
          <cell r="AL116">
            <v>0</v>
          </cell>
          <cell r="AM116">
            <v>0</v>
          </cell>
          <cell r="AO116">
            <v>0</v>
          </cell>
          <cell r="AP116">
            <v>0</v>
          </cell>
          <cell r="AQ116">
            <v>0</v>
          </cell>
          <cell r="AR116">
            <v>0</v>
          </cell>
          <cell r="AS116">
            <v>0</v>
          </cell>
          <cell r="AT116">
            <v>0</v>
          </cell>
          <cell r="AU116">
            <v>0</v>
          </cell>
          <cell r="AV116">
            <v>0</v>
          </cell>
          <cell r="AW116">
            <v>0</v>
          </cell>
          <cell r="AX116">
            <v>0</v>
          </cell>
          <cell r="AY116">
            <v>0</v>
          </cell>
          <cell r="BB116">
            <v>0</v>
          </cell>
          <cell r="BC116">
            <v>0</v>
          </cell>
          <cell r="BD116">
            <v>0</v>
          </cell>
          <cell r="BF116">
            <v>0</v>
          </cell>
          <cell r="BG116">
            <v>0</v>
          </cell>
          <cell r="BH116">
            <v>0</v>
          </cell>
          <cell r="BI116">
            <v>0</v>
          </cell>
          <cell r="BK116">
            <v>0</v>
          </cell>
          <cell r="BL116">
            <v>0</v>
          </cell>
          <cell r="BM116">
            <v>0</v>
          </cell>
          <cell r="BN116">
            <v>0</v>
          </cell>
          <cell r="BO116">
            <v>0</v>
          </cell>
          <cell r="BP116">
            <v>0</v>
          </cell>
          <cell r="BQ116">
            <v>0</v>
          </cell>
          <cell r="BR116">
            <v>0</v>
          </cell>
          <cell r="BS116">
            <v>0</v>
          </cell>
          <cell r="BT116">
            <v>0</v>
          </cell>
          <cell r="BU116">
            <v>0</v>
          </cell>
          <cell r="BX116">
            <v>0</v>
          </cell>
          <cell r="BY116">
            <v>0</v>
          </cell>
          <cell r="BZ116">
            <v>0</v>
          </cell>
          <cell r="CB116">
            <v>0</v>
          </cell>
          <cell r="CC116">
            <v>0</v>
          </cell>
          <cell r="CD116">
            <v>0</v>
          </cell>
          <cell r="CE116">
            <v>0</v>
          </cell>
          <cell r="CG116">
            <v>0</v>
          </cell>
          <cell r="CH116">
            <v>0</v>
          </cell>
          <cell r="CI116">
            <v>0</v>
          </cell>
          <cell r="CJ116">
            <v>0</v>
          </cell>
          <cell r="CK116">
            <v>0</v>
          </cell>
          <cell r="CL116">
            <v>0</v>
          </cell>
          <cell r="CM116">
            <v>0</v>
          </cell>
          <cell r="CN116">
            <v>0</v>
          </cell>
          <cell r="CO116">
            <v>0</v>
          </cell>
          <cell r="FD116">
            <v>0</v>
          </cell>
          <cell r="FE116">
            <v>0</v>
          </cell>
          <cell r="FF116">
            <v>0</v>
          </cell>
          <cell r="FG116">
            <v>0</v>
          </cell>
          <cell r="FJ116">
            <v>0</v>
          </cell>
          <cell r="FK116">
            <v>0</v>
          </cell>
          <cell r="FL116">
            <v>0</v>
          </cell>
          <cell r="FN116">
            <v>0</v>
          </cell>
          <cell r="FO116">
            <v>0</v>
          </cell>
          <cell r="FP116">
            <v>0</v>
          </cell>
          <cell r="FQ116">
            <v>0</v>
          </cell>
          <cell r="FS116">
            <v>0</v>
          </cell>
          <cell r="FT116">
            <v>0</v>
          </cell>
          <cell r="FU116">
            <v>0</v>
          </cell>
          <cell r="FV116">
            <v>0</v>
          </cell>
          <cell r="FW116">
            <v>0</v>
          </cell>
          <cell r="FX116">
            <v>0</v>
          </cell>
          <cell r="FY116">
            <v>0</v>
          </cell>
          <cell r="FZ116">
            <v>0</v>
          </cell>
          <cell r="GA116">
            <v>0</v>
          </cell>
        </row>
        <row r="117">
          <cell r="A117" t="str">
            <v>F_CNP_NRF_CPT_PRP_FRCE_AUE</v>
          </cell>
          <cell r="E117">
            <v>0</v>
          </cell>
          <cell r="F117">
            <v>0</v>
          </cell>
          <cell r="G117">
            <v>0</v>
          </cell>
          <cell r="J117">
            <v>0</v>
          </cell>
          <cell r="K117">
            <v>0</v>
          </cell>
          <cell r="L117">
            <v>0</v>
          </cell>
          <cell r="N117">
            <v>0</v>
          </cell>
          <cell r="O117">
            <v>0</v>
          </cell>
          <cell r="P117">
            <v>0</v>
          </cell>
          <cell r="Q117">
            <v>0</v>
          </cell>
          <cell r="S117">
            <v>0</v>
          </cell>
          <cell r="T117">
            <v>0</v>
          </cell>
          <cell r="U117">
            <v>0</v>
          </cell>
          <cell r="V117">
            <v>0</v>
          </cell>
          <cell r="W117">
            <v>0</v>
          </cell>
          <cell r="X117">
            <v>0</v>
          </cell>
          <cell r="Y117">
            <v>0</v>
          </cell>
          <cell r="Z117">
            <v>0</v>
          </cell>
          <cell r="AA117">
            <v>0</v>
          </cell>
          <cell r="AB117">
            <v>0</v>
          </cell>
          <cell r="AC117">
            <v>0</v>
          </cell>
          <cell r="AF117">
            <v>0</v>
          </cell>
          <cell r="AG117">
            <v>0</v>
          </cell>
          <cell r="AH117">
            <v>0</v>
          </cell>
          <cell r="AJ117">
            <v>0</v>
          </cell>
          <cell r="AK117">
            <v>0</v>
          </cell>
          <cell r="AL117">
            <v>0</v>
          </cell>
          <cell r="AM117">
            <v>0</v>
          </cell>
          <cell r="AO117">
            <v>0</v>
          </cell>
          <cell r="AP117">
            <v>0</v>
          </cell>
          <cell r="AQ117">
            <v>0</v>
          </cell>
          <cell r="AR117">
            <v>0</v>
          </cell>
          <cell r="AS117">
            <v>0</v>
          </cell>
          <cell r="AT117">
            <v>0</v>
          </cell>
          <cell r="AU117">
            <v>0</v>
          </cell>
          <cell r="AV117">
            <v>0</v>
          </cell>
          <cell r="AW117">
            <v>0</v>
          </cell>
          <cell r="AX117">
            <v>0</v>
          </cell>
          <cell r="AY117">
            <v>0</v>
          </cell>
          <cell r="BB117">
            <v>0</v>
          </cell>
          <cell r="BC117">
            <v>0</v>
          </cell>
          <cell r="BD117">
            <v>0</v>
          </cell>
          <cell r="BF117">
            <v>0</v>
          </cell>
          <cell r="BG117">
            <v>0</v>
          </cell>
          <cell r="BH117">
            <v>0</v>
          </cell>
          <cell r="BI117">
            <v>0</v>
          </cell>
          <cell r="BK117">
            <v>0</v>
          </cell>
          <cell r="BL117">
            <v>0</v>
          </cell>
          <cell r="BM117">
            <v>0</v>
          </cell>
          <cell r="BN117">
            <v>0</v>
          </cell>
          <cell r="BO117">
            <v>0</v>
          </cell>
          <cell r="BP117">
            <v>0</v>
          </cell>
          <cell r="BQ117">
            <v>0</v>
          </cell>
          <cell r="BR117">
            <v>0</v>
          </cell>
          <cell r="BS117">
            <v>0</v>
          </cell>
          <cell r="BT117">
            <v>0</v>
          </cell>
          <cell r="BU117">
            <v>0</v>
          </cell>
          <cell r="BX117">
            <v>0</v>
          </cell>
          <cell r="BY117">
            <v>0</v>
          </cell>
          <cell r="BZ117">
            <v>0</v>
          </cell>
          <cell r="CB117">
            <v>0</v>
          </cell>
          <cell r="CC117">
            <v>0</v>
          </cell>
          <cell r="CD117">
            <v>0</v>
          </cell>
          <cell r="CE117">
            <v>0</v>
          </cell>
          <cell r="CG117">
            <v>0</v>
          </cell>
          <cell r="CH117">
            <v>0</v>
          </cell>
          <cell r="CI117">
            <v>0</v>
          </cell>
          <cell r="CJ117">
            <v>0</v>
          </cell>
          <cell r="CK117">
            <v>0</v>
          </cell>
          <cell r="CL117">
            <v>0</v>
          </cell>
          <cell r="CM117">
            <v>0</v>
          </cell>
          <cell r="CN117">
            <v>0</v>
          </cell>
          <cell r="CO117">
            <v>0</v>
          </cell>
          <cell r="FD117">
            <v>0</v>
          </cell>
          <cell r="FE117">
            <v>0</v>
          </cell>
          <cell r="FF117">
            <v>0</v>
          </cell>
          <cell r="FG117">
            <v>0</v>
          </cell>
          <cell r="FJ117">
            <v>0</v>
          </cell>
          <cell r="FK117">
            <v>0</v>
          </cell>
          <cell r="FL117">
            <v>0</v>
          </cell>
          <cell r="FN117">
            <v>0</v>
          </cell>
          <cell r="FO117">
            <v>0</v>
          </cell>
          <cell r="FP117">
            <v>0</v>
          </cell>
          <cell r="FQ117">
            <v>0</v>
          </cell>
          <cell r="FS117">
            <v>0</v>
          </cell>
          <cell r="FT117">
            <v>0</v>
          </cell>
          <cell r="FU117">
            <v>0</v>
          </cell>
          <cell r="FV117">
            <v>0</v>
          </cell>
          <cell r="FW117">
            <v>0</v>
          </cell>
          <cell r="FX117">
            <v>0</v>
          </cell>
          <cell r="FY117">
            <v>0</v>
          </cell>
          <cell r="FZ117">
            <v>0</v>
          </cell>
          <cell r="GA117">
            <v>0</v>
          </cell>
        </row>
        <row r="118">
          <cell r="A118" t="str">
            <v>F_CNP_NRF_CPT_PRP_FRCE_PPE</v>
          </cell>
          <cell r="E118">
            <v>0</v>
          </cell>
          <cell r="F118">
            <v>0</v>
          </cell>
          <cell r="G118">
            <v>0</v>
          </cell>
          <cell r="J118">
            <v>0</v>
          </cell>
          <cell r="K118">
            <v>0</v>
          </cell>
          <cell r="L118">
            <v>0</v>
          </cell>
          <cell r="N118">
            <v>0</v>
          </cell>
          <cell r="O118">
            <v>0</v>
          </cell>
          <cell r="P118">
            <v>0</v>
          </cell>
          <cell r="Q118">
            <v>0</v>
          </cell>
          <cell r="S118">
            <v>0</v>
          </cell>
          <cell r="T118">
            <v>0</v>
          </cell>
          <cell r="U118">
            <v>0</v>
          </cell>
          <cell r="V118">
            <v>0</v>
          </cell>
          <cell r="W118">
            <v>0</v>
          </cell>
          <cell r="X118">
            <v>0</v>
          </cell>
          <cell r="Y118">
            <v>0</v>
          </cell>
          <cell r="Z118">
            <v>0</v>
          </cell>
          <cell r="AA118">
            <v>0</v>
          </cell>
          <cell r="AB118">
            <v>0</v>
          </cell>
          <cell r="AC118">
            <v>0</v>
          </cell>
          <cell r="AF118">
            <v>0</v>
          </cell>
          <cell r="AG118">
            <v>0</v>
          </cell>
          <cell r="AH118">
            <v>0</v>
          </cell>
          <cell r="AJ118">
            <v>0</v>
          </cell>
          <cell r="AK118">
            <v>0</v>
          </cell>
          <cell r="AL118">
            <v>0</v>
          </cell>
          <cell r="AM118">
            <v>0</v>
          </cell>
          <cell r="AO118">
            <v>0</v>
          </cell>
          <cell r="AP118">
            <v>0</v>
          </cell>
          <cell r="AQ118">
            <v>0</v>
          </cell>
          <cell r="AR118">
            <v>0</v>
          </cell>
          <cell r="AS118">
            <v>0</v>
          </cell>
          <cell r="AT118">
            <v>0</v>
          </cell>
          <cell r="AU118">
            <v>0</v>
          </cell>
          <cell r="AV118">
            <v>0</v>
          </cell>
          <cell r="AW118">
            <v>0</v>
          </cell>
          <cell r="AX118">
            <v>0</v>
          </cell>
          <cell r="AY118">
            <v>0</v>
          </cell>
          <cell r="BB118">
            <v>0</v>
          </cell>
          <cell r="BC118">
            <v>0</v>
          </cell>
          <cell r="BD118">
            <v>0</v>
          </cell>
          <cell r="BF118">
            <v>0</v>
          </cell>
          <cell r="BG118">
            <v>0</v>
          </cell>
          <cell r="BH118">
            <v>0</v>
          </cell>
          <cell r="BI118">
            <v>0</v>
          </cell>
          <cell r="BK118">
            <v>0</v>
          </cell>
          <cell r="BL118">
            <v>0</v>
          </cell>
          <cell r="BM118">
            <v>0</v>
          </cell>
          <cell r="BN118">
            <v>0</v>
          </cell>
          <cell r="BO118">
            <v>0</v>
          </cell>
          <cell r="BP118">
            <v>0</v>
          </cell>
          <cell r="BQ118">
            <v>0</v>
          </cell>
          <cell r="BR118">
            <v>0</v>
          </cell>
          <cell r="BS118">
            <v>0</v>
          </cell>
          <cell r="BT118">
            <v>0</v>
          </cell>
          <cell r="BU118">
            <v>0</v>
          </cell>
          <cell r="BX118">
            <v>0</v>
          </cell>
          <cell r="BY118">
            <v>0</v>
          </cell>
          <cell r="BZ118">
            <v>0</v>
          </cell>
          <cell r="CB118">
            <v>0</v>
          </cell>
          <cell r="CC118">
            <v>0</v>
          </cell>
          <cell r="CD118">
            <v>0</v>
          </cell>
          <cell r="CE118">
            <v>0</v>
          </cell>
          <cell r="CG118">
            <v>0</v>
          </cell>
          <cell r="CH118">
            <v>0</v>
          </cell>
          <cell r="CI118">
            <v>0</v>
          </cell>
          <cell r="CJ118">
            <v>0</v>
          </cell>
          <cell r="CK118">
            <v>0</v>
          </cell>
          <cell r="CL118">
            <v>0</v>
          </cell>
          <cell r="CM118">
            <v>0</v>
          </cell>
          <cell r="CN118">
            <v>0</v>
          </cell>
          <cell r="CO118">
            <v>0</v>
          </cell>
          <cell r="FD118">
            <v>0</v>
          </cell>
          <cell r="FE118">
            <v>0</v>
          </cell>
          <cell r="FF118">
            <v>0</v>
          </cell>
          <cell r="FG118">
            <v>0</v>
          </cell>
          <cell r="FJ118">
            <v>0</v>
          </cell>
          <cell r="FK118">
            <v>0</v>
          </cell>
          <cell r="FL118">
            <v>0</v>
          </cell>
          <cell r="FN118">
            <v>0</v>
          </cell>
          <cell r="FO118">
            <v>0</v>
          </cell>
          <cell r="FP118">
            <v>0</v>
          </cell>
          <cell r="FQ118">
            <v>0</v>
          </cell>
          <cell r="FS118">
            <v>0</v>
          </cell>
          <cell r="FT118">
            <v>0</v>
          </cell>
          <cell r="FU118">
            <v>0</v>
          </cell>
          <cell r="FV118">
            <v>0</v>
          </cell>
          <cell r="FW118">
            <v>0</v>
          </cell>
          <cell r="FX118">
            <v>0</v>
          </cell>
          <cell r="FY118">
            <v>0</v>
          </cell>
          <cell r="FZ118">
            <v>0</v>
          </cell>
          <cell r="GA118">
            <v>0</v>
          </cell>
        </row>
        <row r="119">
          <cell r="A119" t="str">
            <v>F_CNP_NRF_CPT_PRP_FRCE_IPS</v>
          </cell>
          <cell r="E119">
            <v>0</v>
          </cell>
          <cell r="F119">
            <v>0</v>
          </cell>
          <cell r="G119">
            <v>0</v>
          </cell>
          <cell r="J119">
            <v>0</v>
          </cell>
          <cell r="K119">
            <v>0</v>
          </cell>
          <cell r="L119">
            <v>0</v>
          </cell>
          <cell r="N119">
            <v>0</v>
          </cell>
          <cell r="O119">
            <v>0</v>
          </cell>
          <cell r="P119">
            <v>0</v>
          </cell>
          <cell r="Q119">
            <v>0</v>
          </cell>
          <cell r="S119">
            <v>0</v>
          </cell>
          <cell r="T119">
            <v>0</v>
          </cell>
          <cell r="U119">
            <v>0</v>
          </cell>
          <cell r="V119">
            <v>0</v>
          </cell>
          <cell r="W119">
            <v>0</v>
          </cell>
          <cell r="X119">
            <v>0</v>
          </cell>
          <cell r="Y119">
            <v>0</v>
          </cell>
          <cell r="Z119">
            <v>0</v>
          </cell>
          <cell r="AA119">
            <v>0</v>
          </cell>
          <cell r="AB119">
            <v>0</v>
          </cell>
          <cell r="AC119">
            <v>0</v>
          </cell>
          <cell r="AF119">
            <v>0</v>
          </cell>
          <cell r="AG119">
            <v>0</v>
          </cell>
          <cell r="AH119">
            <v>0</v>
          </cell>
          <cell r="AJ119">
            <v>0</v>
          </cell>
          <cell r="AK119">
            <v>0</v>
          </cell>
          <cell r="AL119">
            <v>0</v>
          </cell>
          <cell r="AM119">
            <v>0</v>
          </cell>
          <cell r="AO119">
            <v>0</v>
          </cell>
          <cell r="AP119">
            <v>0</v>
          </cell>
          <cell r="AQ119">
            <v>0</v>
          </cell>
          <cell r="AR119">
            <v>0</v>
          </cell>
          <cell r="AS119">
            <v>0</v>
          </cell>
          <cell r="AT119">
            <v>0</v>
          </cell>
          <cell r="AU119">
            <v>0</v>
          </cell>
          <cell r="AV119">
            <v>0</v>
          </cell>
          <cell r="AW119">
            <v>0</v>
          </cell>
          <cell r="AX119">
            <v>0</v>
          </cell>
          <cell r="AY119">
            <v>0</v>
          </cell>
          <cell r="BB119">
            <v>0</v>
          </cell>
          <cell r="BC119">
            <v>0</v>
          </cell>
          <cell r="BD119">
            <v>0</v>
          </cell>
          <cell r="BF119">
            <v>0</v>
          </cell>
          <cell r="BG119">
            <v>0</v>
          </cell>
          <cell r="BH119">
            <v>0</v>
          </cell>
          <cell r="BI119">
            <v>0</v>
          </cell>
          <cell r="BK119">
            <v>0</v>
          </cell>
          <cell r="BL119">
            <v>0</v>
          </cell>
          <cell r="BM119">
            <v>0</v>
          </cell>
          <cell r="BN119">
            <v>0</v>
          </cell>
          <cell r="BO119">
            <v>0</v>
          </cell>
          <cell r="BP119">
            <v>0</v>
          </cell>
          <cell r="BQ119">
            <v>0</v>
          </cell>
          <cell r="BR119">
            <v>0</v>
          </cell>
          <cell r="BS119">
            <v>0</v>
          </cell>
          <cell r="BT119">
            <v>0</v>
          </cell>
          <cell r="BU119">
            <v>0</v>
          </cell>
          <cell r="BX119">
            <v>0</v>
          </cell>
          <cell r="BY119">
            <v>0</v>
          </cell>
          <cell r="BZ119">
            <v>0</v>
          </cell>
          <cell r="CB119">
            <v>0</v>
          </cell>
          <cell r="CC119">
            <v>0</v>
          </cell>
          <cell r="CD119">
            <v>0</v>
          </cell>
          <cell r="CE119">
            <v>0</v>
          </cell>
          <cell r="CG119">
            <v>0</v>
          </cell>
          <cell r="CH119">
            <v>0</v>
          </cell>
          <cell r="CI119">
            <v>0</v>
          </cell>
          <cell r="CJ119">
            <v>0</v>
          </cell>
          <cell r="CK119">
            <v>0</v>
          </cell>
          <cell r="CL119">
            <v>0</v>
          </cell>
          <cell r="CM119">
            <v>0</v>
          </cell>
          <cell r="CN119">
            <v>0</v>
          </cell>
          <cell r="CO119">
            <v>0</v>
          </cell>
          <cell r="FD119">
            <v>0</v>
          </cell>
          <cell r="FE119">
            <v>0</v>
          </cell>
          <cell r="FF119">
            <v>0</v>
          </cell>
          <cell r="FG119">
            <v>0</v>
          </cell>
          <cell r="FJ119">
            <v>0</v>
          </cell>
          <cell r="FK119">
            <v>0</v>
          </cell>
          <cell r="FL119">
            <v>0</v>
          </cell>
          <cell r="FN119">
            <v>0</v>
          </cell>
          <cell r="FO119">
            <v>0</v>
          </cell>
          <cell r="FP119">
            <v>0</v>
          </cell>
          <cell r="FQ119">
            <v>0</v>
          </cell>
          <cell r="FS119">
            <v>0</v>
          </cell>
          <cell r="FT119">
            <v>0</v>
          </cell>
          <cell r="FU119">
            <v>0</v>
          </cell>
          <cell r="FV119">
            <v>0</v>
          </cell>
          <cell r="FW119">
            <v>0</v>
          </cell>
          <cell r="FX119">
            <v>0</v>
          </cell>
          <cell r="FY119">
            <v>0</v>
          </cell>
          <cell r="FZ119">
            <v>0</v>
          </cell>
          <cell r="GA119">
            <v>0</v>
          </cell>
        </row>
        <row r="120">
          <cell r="A120" t="str">
            <v>F_CNP_NRF_CPT_PRP_FRCE_IPF</v>
          </cell>
          <cell r="E120">
            <v>0</v>
          </cell>
          <cell r="F120">
            <v>0</v>
          </cell>
          <cell r="G120">
            <v>0</v>
          </cell>
          <cell r="J120">
            <v>0</v>
          </cell>
          <cell r="K120">
            <v>0</v>
          </cell>
          <cell r="L120">
            <v>0</v>
          </cell>
          <cell r="N120">
            <v>0</v>
          </cell>
          <cell r="O120">
            <v>0</v>
          </cell>
          <cell r="P120">
            <v>0</v>
          </cell>
          <cell r="Q120">
            <v>0</v>
          </cell>
          <cell r="S120">
            <v>0</v>
          </cell>
          <cell r="T120">
            <v>0</v>
          </cell>
          <cell r="U120">
            <v>0</v>
          </cell>
          <cell r="V120">
            <v>0</v>
          </cell>
          <cell r="W120">
            <v>0</v>
          </cell>
          <cell r="X120">
            <v>0</v>
          </cell>
          <cell r="Y120">
            <v>0</v>
          </cell>
          <cell r="Z120">
            <v>0</v>
          </cell>
          <cell r="AA120">
            <v>0</v>
          </cell>
          <cell r="AB120">
            <v>0</v>
          </cell>
          <cell r="AC120">
            <v>0</v>
          </cell>
          <cell r="AF120">
            <v>0</v>
          </cell>
          <cell r="AG120">
            <v>0</v>
          </cell>
          <cell r="AH120">
            <v>0</v>
          </cell>
          <cell r="AJ120">
            <v>0</v>
          </cell>
          <cell r="AK120">
            <v>0</v>
          </cell>
          <cell r="AL120">
            <v>0</v>
          </cell>
          <cell r="AM120">
            <v>0</v>
          </cell>
          <cell r="AO120">
            <v>0</v>
          </cell>
          <cell r="AP120">
            <v>0</v>
          </cell>
          <cell r="AQ120">
            <v>0</v>
          </cell>
          <cell r="AR120">
            <v>0</v>
          </cell>
          <cell r="AS120">
            <v>0</v>
          </cell>
          <cell r="AT120">
            <v>0</v>
          </cell>
          <cell r="AU120">
            <v>0</v>
          </cell>
          <cell r="AV120">
            <v>0</v>
          </cell>
          <cell r="AW120">
            <v>0</v>
          </cell>
          <cell r="AX120">
            <v>0</v>
          </cell>
          <cell r="AY120">
            <v>0</v>
          </cell>
          <cell r="BB120">
            <v>0</v>
          </cell>
          <cell r="BC120">
            <v>0</v>
          </cell>
          <cell r="BD120">
            <v>0</v>
          </cell>
          <cell r="BF120">
            <v>0</v>
          </cell>
          <cell r="BG120">
            <v>0</v>
          </cell>
          <cell r="BH120">
            <v>0</v>
          </cell>
          <cell r="BI120">
            <v>0</v>
          </cell>
          <cell r="BK120">
            <v>0</v>
          </cell>
          <cell r="BL120">
            <v>0</v>
          </cell>
          <cell r="BM120">
            <v>0</v>
          </cell>
          <cell r="BN120">
            <v>0</v>
          </cell>
          <cell r="BO120">
            <v>0</v>
          </cell>
          <cell r="BP120">
            <v>0</v>
          </cell>
          <cell r="BQ120">
            <v>0</v>
          </cell>
          <cell r="BR120">
            <v>0</v>
          </cell>
          <cell r="BS120">
            <v>0</v>
          </cell>
          <cell r="BT120">
            <v>0</v>
          </cell>
          <cell r="BU120">
            <v>0</v>
          </cell>
          <cell r="BX120">
            <v>0</v>
          </cell>
          <cell r="BY120">
            <v>0</v>
          </cell>
          <cell r="BZ120">
            <v>0</v>
          </cell>
          <cell r="CB120">
            <v>0</v>
          </cell>
          <cell r="CC120">
            <v>0</v>
          </cell>
          <cell r="CD120">
            <v>0</v>
          </cell>
          <cell r="CE120">
            <v>0</v>
          </cell>
          <cell r="CG120">
            <v>0</v>
          </cell>
          <cell r="CH120">
            <v>0</v>
          </cell>
          <cell r="CI120">
            <v>0</v>
          </cell>
          <cell r="CJ120">
            <v>0</v>
          </cell>
          <cell r="CK120">
            <v>0</v>
          </cell>
          <cell r="CL120">
            <v>0</v>
          </cell>
          <cell r="CM120">
            <v>0</v>
          </cell>
          <cell r="CN120">
            <v>0</v>
          </cell>
          <cell r="CO120">
            <v>0</v>
          </cell>
          <cell r="FD120">
            <v>0</v>
          </cell>
          <cell r="FE120">
            <v>0</v>
          </cell>
          <cell r="FF120">
            <v>0</v>
          </cell>
          <cell r="FG120">
            <v>0</v>
          </cell>
          <cell r="FJ120">
            <v>0</v>
          </cell>
          <cell r="FK120">
            <v>0</v>
          </cell>
          <cell r="FL120">
            <v>0</v>
          </cell>
          <cell r="FN120">
            <v>0</v>
          </cell>
          <cell r="FO120">
            <v>0</v>
          </cell>
          <cell r="FP120">
            <v>0</v>
          </cell>
          <cell r="FQ120">
            <v>0</v>
          </cell>
          <cell r="FS120">
            <v>0</v>
          </cell>
          <cell r="FT120">
            <v>0</v>
          </cell>
          <cell r="FU120">
            <v>0</v>
          </cell>
          <cell r="FV120">
            <v>0</v>
          </cell>
          <cell r="FW120">
            <v>0</v>
          </cell>
          <cell r="FX120">
            <v>0</v>
          </cell>
          <cell r="FY120">
            <v>0</v>
          </cell>
          <cell r="FZ120">
            <v>0</v>
          </cell>
          <cell r="GA120">
            <v>0</v>
          </cell>
        </row>
        <row r="121">
          <cell r="A121" t="str">
            <v>F_CNP_NRF_CPT_PRP_FRCE_IPG</v>
          </cell>
          <cell r="E121">
            <v>0</v>
          </cell>
          <cell r="F121">
            <v>0</v>
          </cell>
          <cell r="G121">
            <v>0</v>
          </cell>
          <cell r="J121">
            <v>0</v>
          </cell>
          <cell r="K121">
            <v>0</v>
          </cell>
          <cell r="L121">
            <v>0</v>
          </cell>
          <cell r="N121">
            <v>0</v>
          </cell>
          <cell r="O121">
            <v>0</v>
          </cell>
          <cell r="P121">
            <v>0</v>
          </cell>
          <cell r="Q121">
            <v>0</v>
          </cell>
          <cell r="S121">
            <v>0</v>
          </cell>
          <cell r="T121">
            <v>0</v>
          </cell>
          <cell r="U121">
            <v>0</v>
          </cell>
          <cell r="V121">
            <v>0</v>
          </cell>
          <cell r="W121">
            <v>0</v>
          </cell>
          <cell r="X121">
            <v>0</v>
          </cell>
          <cell r="Y121">
            <v>0</v>
          </cell>
          <cell r="Z121">
            <v>0</v>
          </cell>
          <cell r="AA121">
            <v>0</v>
          </cell>
          <cell r="AB121">
            <v>0</v>
          </cell>
          <cell r="AC121">
            <v>0</v>
          </cell>
          <cell r="AF121">
            <v>0</v>
          </cell>
          <cell r="AG121">
            <v>0</v>
          </cell>
          <cell r="AH121">
            <v>0</v>
          </cell>
          <cell r="AJ121">
            <v>0</v>
          </cell>
          <cell r="AK121">
            <v>0</v>
          </cell>
          <cell r="AL121">
            <v>0</v>
          </cell>
          <cell r="AM121">
            <v>0</v>
          </cell>
          <cell r="AO121">
            <v>0</v>
          </cell>
          <cell r="AP121">
            <v>0</v>
          </cell>
          <cell r="AQ121">
            <v>0</v>
          </cell>
          <cell r="AR121">
            <v>0</v>
          </cell>
          <cell r="AS121">
            <v>0</v>
          </cell>
          <cell r="AT121">
            <v>0</v>
          </cell>
          <cell r="AU121">
            <v>0</v>
          </cell>
          <cell r="AV121">
            <v>0</v>
          </cell>
          <cell r="AW121">
            <v>0</v>
          </cell>
          <cell r="AX121">
            <v>0</v>
          </cell>
          <cell r="AY121">
            <v>0</v>
          </cell>
          <cell r="BB121">
            <v>0</v>
          </cell>
          <cell r="BC121">
            <v>0</v>
          </cell>
          <cell r="BD121">
            <v>0</v>
          </cell>
          <cell r="BF121">
            <v>0</v>
          </cell>
          <cell r="BG121">
            <v>0</v>
          </cell>
          <cell r="BH121">
            <v>0</v>
          </cell>
          <cell r="BI121">
            <v>0</v>
          </cell>
          <cell r="BK121">
            <v>0</v>
          </cell>
          <cell r="BL121">
            <v>0</v>
          </cell>
          <cell r="BM121">
            <v>0</v>
          </cell>
          <cell r="BN121">
            <v>0</v>
          </cell>
          <cell r="BO121">
            <v>0</v>
          </cell>
          <cell r="BP121">
            <v>0</v>
          </cell>
          <cell r="BQ121">
            <v>0</v>
          </cell>
          <cell r="BR121">
            <v>0</v>
          </cell>
          <cell r="BS121">
            <v>0</v>
          </cell>
          <cell r="BT121">
            <v>0</v>
          </cell>
          <cell r="BU121">
            <v>0</v>
          </cell>
          <cell r="BX121">
            <v>0</v>
          </cell>
          <cell r="BY121">
            <v>0</v>
          </cell>
          <cell r="BZ121">
            <v>0</v>
          </cell>
          <cell r="CB121">
            <v>0</v>
          </cell>
          <cell r="CC121">
            <v>0</v>
          </cell>
          <cell r="CD121">
            <v>0</v>
          </cell>
          <cell r="CE121">
            <v>0</v>
          </cell>
          <cell r="CG121">
            <v>0</v>
          </cell>
          <cell r="CH121">
            <v>0</v>
          </cell>
          <cell r="CI121">
            <v>0</v>
          </cell>
          <cell r="CJ121">
            <v>0</v>
          </cell>
          <cell r="CK121">
            <v>0</v>
          </cell>
          <cell r="CL121">
            <v>0</v>
          </cell>
          <cell r="CM121">
            <v>0</v>
          </cell>
          <cell r="CN121">
            <v>0</v>
          </cell>
          <cell r="CO121">
            <v>0</v>
          </cell>
          <cell r="FD121">
            <v>0</v>
          </cell>
          <cell r="FE121">
            <v>0</v>
          </cell>
          <cell r="FF121">
            <v>0</v>
          </cell>
          <cell r="FG121">
            <v>0</v>
          </cell>
          <cell r="FJ121">
            <v>0</v>
          </cell>
          <cell r="FK121">
            <v>0</v>
          </cell>
          <cell r="FL121">
            <v>0</v>
          </cell>
          <cell r="FN121">
            <v>0</v>
          </cell>
          <cell r="FO121">
            <v>0</v>
          </cell>
          <cell r="FP121">
            <v>0</v>
          </cell>
          <cell r="FQ121">
            <v>0</v>
          </cell>
          <cell r="FS121">
            <v>0</v>
          </cell>
          <cell r="FT121">
            <v>0</v>
          </cell>
          <cell r="FU121">
            <v>0</v>
          </cell>
          <cell r="FV121">
            <v>0</v>
          </cell>
          <cell r="FW121">
            <v>0</v>
          </cell>
          <cell r="FX121">
            <v>0</v>
          </cell>
          <cell r="FY121">
            <v>0</v>
          </cell>
          <cell r="FZ121">
            <v>0</v>
          </cell>
          <cell r="GA121">
            <v>0</v>
          </cell>
        </row>
        <row r="122">
          <cell r="A122" t="str">
            <v>F_CNP_NRF_CPT_PRP_FRCE_SUC</v>
          </cell>
          <cell r="E122">
            <v>0</v>
          </cell>
          <cell r="F122">
            <v>0</v>
          </cell>
          <cell r="G122">
            <v>0</v>
          </cell>
          <cell r="J122">
            <v>0</v>
          </cell>
          <cell r="K122">
            <v>0</v>
          </cell>
          <cell r="L122">
            <v>0</v>
          </cell>
          <cell r="N122">
            <v>0</v>
          </cell>
          <cell r="O122">
            <v>0</v>
          </cell>
          <cell r="P122">
            <v>0</v>
          </cell>
          <cell r="Q122">
            <v>0</v>
          </cell>
          <cell r="S122">
            <v>0</v>
          </cell>
          <cell r="T122">
            <v>0</v>
          </cell>
          <cell r="U122">
            <v>0</v>
          </cell>
          <cell r="V122">
            <v>0</v>
          </cell>
          <cell r="W122">
            <v>0</v>
          </cell>
          <cell r="X122">
            <v>0</v>
          </cell>
          <cell r="Y122">
            <v>0</v>
          </cell>
          <cell r="Z122">
            <v>0</v>
          </cell>
          <cell r="AA122">
            <v>0</v>
          </cell>
          <cell r="AB122">
            <v>0</v>
          </cell>
          <cell r="AC122">
            <v>0</v>
          </cell>
          <cell r="AF122">
            <v>0</v>
          </cell>
          <cell r="AG122">
            <v>0</v>
          </cell>
          <cell r="AH122">
            <v>0</v>
          </cell>
          <cell r="AJ122">
            <v>0</v>
          </cell>
          <cell r="AK122">
            <v>0</v>
          </cell>
          <cell r="AL122">
            <v>0</v>
          </cell>
          <cell r="AM122">
            <v>0</v>
          </cell>
          <cell r="AO122">
            <v>0</v>
          </cell>
          <cell r="AP122">
            <v>0</v>
          </cell>
          <cell r="AQ122">
            <v>0</v>
          </cell>
          <cell r="AR122">
            <v>0</v>
          </cell>
          <cell r="AS122">
            <v>0</v>
          </cell>
          <cell r="AT122">
            <v>0</v>
          </cell>
          <cell r="AU122">
            <v>0</v>
          </cell>
          <cell r="AV122">
            <v>0</v>
          </cell>
          <cell r="AW122">
            <v>0</v>
          </cell>
          <cell r="AX122">
            <v>0</v>
          </cell>
          <cell r="AY122">
            <v>0</v>
          </cell>
          <cell r="BB122">
            <v>0</v>
          </cell>
          <cell r="BC122">
            <v>0</v>
          </cell>
          <cell r="BD122">
            <v>0</v>
          </cell>
          <cell r="BF122">
            <v>0</v>
          </cell>
          <cell r="BG122">
            <v>0</v>
          </cell>
          <cell r="BH122">
            <v>0</v>
          </cell>
          <cell r="BI122">
            <v>0</v>
          </cell>
          <cell r="BK122">
            <v>0</v>
          </cell>
          <cell r="BL122">
            <v>0</v>
          </cell>
          <cell r="BM122">
            <v>0</v>
          </cell>
          <cell r="BN122">
            <v>0</v>
          </cell>
          <cell r="BO122">
            <v>0</v>
          </cell>
          <cell r="BP122">
            <v>0</v>
          </cell>
          <cell r="BQ122">
            <v>0</v>
          </cell>
          <cell r="BR122">
            <v>0</v>
          </cell>
          <cell r="BS122">
            <v>0</v>
          </cell>
          <cell r="BT122">
            <v>0</v>
          </cell>
          <cell r="BU122">
            <v>0</v>
          </cell>
          <cell r="BX122">
            <v>0</v>
          </cell>
          <cell r="BY122">
            <v>0</v>
          </cell>
          <cell r="BZ122">
            <v>0</v>
          </cell>
          <cell r="CB122">
            <v>0</v>
          </cell>
          <cell r="CC122">
            <v>0</v>
          </cell>
          <cell r="CD122">
            <v>0</v>
          </cell>
          <cell r="CE122">
            <v>0</v>
          </cell>
          <cell r="CG122">
            <v>0</v>
          </cell>
          <cell r="CH122">
            <v>0</v>
          </cell>
          <cell r="CI122">
            <v>0</v>
          </cell>
          <cell r="CJ122">
            <v>0</v>
          </cell>
          <cell r="CK122">
            <v>0</v>
          </cell>
          <cell r="CL122">
            <v>0</v>
          </cell>
          <cell r="CM122">
            <v>0</v>
          </cell>
          <cell r="CN122">
            <v>0</v>
          </cell>
          <cell r="CO122">
            <v>0</v>
          </cell>
          <cell r="FD122">
            <v>0</v>
          </cell>
          <cell r="FE122">
            <v>0</v>
          </cell>
          <cell r="FF122">
            <v>0</v>
          </cell>
          <cell r="FG122">
            <v>0</v>
          </cell>
          <cell r="FJ122">
            <v>0</v>
          </cell>
          <cell r="FK122">
            <v>0</v>
          </cell>
          <cell r="FL122">
            <v>0</v>
          </cell>
          <cell r="FN122">
            <v>0</v>
          </cell>
          <cell r="FO122">
            <v>0</v>
          </cell>
          <cell r="FP122">
            <v>0</v>
          </cell>
          <cell r="FQ122">
            <v>0</v>
          </cell>
          <cell r="FS122">
            <v>0</v>
          </cell>
          <cell r="FT122">
            <v>0</v>
          </cell>
          <cell r="FU122">
            <v>0</v>
          </cell>
          <cell r="FV122">
            <v>0</v>
          </cell>
          <cell r="FW122">
            <v>0</v>
          </cell>
          <cell r="FX122">
            <v>0</v>
          </cell>
          <cell r="FY122">
            <v>0</v>
          </cell>
          <cell r="FZ122">
            <v>0</v>
          </cell>
          <cell r="GA122">
            <v>0</v>
          </cell>
        </row>
        <row r="123">
          <cell r="A123" t="str">
            <v>F_IAM_NRF_RET_IND_FRCE_401</v>
          </cell>
          <cell r="E123">
            <v>11218112.525958372</v>
          </cell>
          <cell r="F123">
            <v>0</v>
          </cell>
          <cell r="G123">
            <v>0</v>
          </cell>
          <cell r="J123">
            <v>0</v>
          </cell>
          <cell r="K123">
            <v>0</v>
          </cell>
          <cell r="L123">
            <v>0</v>
          </cell>
          <cell r="N123">
            <v>0</v>
          </cell>
          <cell r="O123">
            <v>0</v>
          </cell>
          <cell r="P123">
            <v>0</v>
          </cell>
          <cell r="Q123">
            <v>0</v>
          </cell>
          <cell r="S123">
            <v>0</v>
          </cell>
          <cell r="T123">
            <v>0</v>
          </cell>
          <cell r="U123">
            <v>0</v>
          </cell>
          <cell r="V123">
            <v>0</v>
          </cell>
          <cell r="W123">
            <v>0</v>
          </cell>
          <cell r="X123">
            <v>0</v>
          </cell>
          <cell r="Y123">
            <v>0</v>
          </cell>
          <cell r="Z123">
            <v>0</v>
          </cell>
          <cell r="AA123">
            <v>0</v>
          </cell>
          <cell r="AB123">
            <v>0</v>
          </cell>
          <cell r="AC123">
            <v>0</v>
          </cell>
          <cell r="AF123">
            <v>0</v>
          </cell>
          <cell r="AG123">
            <v>0</v>
          </cell>
          <cell r="AH123">
            <v>0</v>
          </cell>
          <cell r="AJ123">
            <v>0</v>
          </cell>
          <cell r="AK123">
            <v>0</v>
          </cell>
          <cell r="AL123">
            <v>0</v>
          </cell>
          <cell r="AM123">
            <v>0</v>
          </cell>
          <cell r="AO123">
            <v>0</v>
          </cell>
          <cell r="AP123">
            <v>0</v>
          </cell>
          <cell r="AQ123">
            <v>0</v>
          </cell>
          <cell r="AR123">
            <v>0</v>
          </cell>
          <cell r="AS123">
            <v>0</v>
          </cell>
          <cell r="AT123">
            <v>0</v>
          </cell>
          <cell r="AU123">
            <v>0</v>
          </cell>
          <cell r="AV123">
            <v>0</v>
          </cell>
          <cell r="AW123">
            <v>0</v>
          </cell>
          <cell r="AX123">
            <v>0</v>
          </cell>
          <cell r="AY123">
            <v>0</v>
          </cell>
          <cell r="BB123">
            <v>0</v>
          </cell>
          <cell r="BC123">
            <v>0</v>
          </cell>
          <cell r="BD123">
            <v>0</v>
          </cell>
          <cell r="BF123">
            <v>0</v>
          </cell>
          <cell r="BG123">
            <v>0</v>
          </cell>
          <cell r="BH123">
            <v>0</v>
          </cell>
          <cell r="BI123">
            <v>0</v>
          </cell>
          <cell r="BK123">
            <v>0</v>
          </cell>
          <cell r="BL123">
            <v>0</v>
          </cell>
          <cell r="BM123">
            <v>0</v>
          </cell>
          <cell r="BN123">
            <v>0</v>
          </cell>
          <cell r="BO123">
            <v>0</v>
          </cell>
          <cell r="BP123">
            <v>0</v>
          </cell>
          <cell r="BQ123">
            <v>0</v>
          </cell>
          <cell r="BR123">
            <v>0</v>
          </cell>
          <cell r="BS123">
            <v>0</v>
          </cell>
          <cell r="BT123">
            <v>0</v>
          </cell>
          <cell r="BU123">
            <v>0</v>
          </cell>
          <cell r="BX123">
            <v>0</v>
          </cell>
          <cell r="BY123">
            <v>0</v>
          </cell>
          <cell r="BZ123">
            <v>0</v>
          </cell>
          <cell r="CB123">
            <v>0</v>
          </cell>
          <cell r="CC123">
            <v>0</v>
          </cell>
          <cell r="CD123">
            <v>0</v>
          </cell>
          <cell r="CE123">
            <v>0</v>
          </cell>
          <cell r="CG123">
            <v>0</v>
          </cell>
          <cell r="CH123">
            <v>0</v>
          </cell>
          <cell r="CI123">
            <v>0</v>
          </cell>
          <cell r="CJ123">
            <v>0</v>
          </cell>
          <cell r="CK123">
            <v>0</v>
          </cell>
          <cell r="CL123">
            <v>0</v>
          </cell>
          <cell r="CM123">
            <v>0</v>
          </cell>
          <cell r="CN123">
            <v>0</v>
          </cell>
          <cell r="CO123">
            <v>0</v>
          </cell>
          <cell r="FD123">
            <v>0</v>
          </cell>
          <cell r="FE123">
            <v>10500586.623644697</v>
          </cell>
          <cell r="FF123">
            <v>0</v>
          </cell>
          <cell r="FG123">
            <v>0</v>
          </cell>
          <cell r="FJ123">
            <v>0</v>
          </cell>
          <cell r="FK123">
            <v>0</v>
          </cell>
          <cell r="FL123">
            <v>0</v>
          </cell>
          <cell r="FN123">
            <v>0</v>
          </cell>
          <cell r="FO123">
            <v>0</v>
          </cell>
          <cell r="FP123">
            <v>0</v>
          </cell>
          <cell r="FQ123">
            <v>0</v>
          </cell>
          <cell r="FS123">
            <v>0</v>
          </cell>
          <cell r="FT123">
            <v>0</v>
          </cell>
          <cell r="FU123">
            <v>0</v>
          </cell>
          <cell r="FV123">
            <v>0</v>
          </cell>
          <cell r="FW123">
            <v>0</v>
          </cell>
          <cell r="FX123">
            <v>0</v>
          </cell>
          <cell r="FY123">
            <v>0</v>
          </cell>
          <cell r="FZ123">
            <v>0</v>
          </cell>
          <cell r="GA123">
            <v>0</v>
          </cell>
        </row>
        <row r="124">
          <cell r="A124" t="str">
            <v>F_IAM_NRF_RIS_COL_FRCE_401</v>
          </cell>
          <cell r="E124">
            <v>3608814172.0338116</v>
          </cell>
          <cell r="F124">
            <v>0</v>
          </cell>
          <cell r="G124">
            <v>0</v>
          </cell>
          <cell r="J124">
            <v>0</v>
          </cell>
          <cell r="K124">
            <v>0</v>
          </cell>
          <cell r="L124">
            <v>0</v>
          </cell>
          <cell r="N124">
            <v>0</v>
          </cell>
          <cell r="O124">
            <v>0</v>
          </cell>
          <cell r="P124">
            <v>0</v>
          </cell>
          <cell r="Q124">
            <v>0</v>
          </cell>
          <cell r="S124">
            <v>0</v>
          </cell>
          <cell r="T124">
            <v>0</v>
          </cell>
          <cell r="U124">
            <v>0</v>
          </cell>
          <cell r="V124">
            <v>0</v>
          </cell>
          <cell r="W124">
            <v>0</v>
          </cell>
          <cell r="X124">
            <v>0</v>
          </cell>
          <cell r="Y124">
            <v>0</v>
          </cell>
          <cell r="Z124">
            <v>0</v>
          </cell>
          <cell r="AA124">
            <v>0</v>
          </cell>
          <cell r="AB124">
            <v>0</v>
          </cell>
          <cell r="AC124">
            <v>0</v>
          </cell>
          <cell r="AF124">
            <v>0</v>
          </cell>
          <cell r="AG124">
            <v>0</v>
          </cell>
          <cell r="AH124">
            <v>0</v>
          </cell>
          <cell r="AJ124">
            <v>0</v>
          </cell>
          <cell r="AK124">
            <v>0</v>
          </cell>
          <cell r="AL124">
            <v>0</v>
          </cell>
          <cell r="AM124">
            <v>0</v>
          </cell>
          <cell r="AO124">
            <v>0</v>
          </cell>
          <cell r="AP124">
            <v>0</v>
          </cell>
          <cell r="AQ124">
            <v>0</v>
          </cell>
          <cell r="AR124">
            <v>0</v>
          </cell>
          <cell r="AS124">
            <v>0</v>
          </cell>
          <cell r="AT124">
            <v>0</v>
          </cell>
          <cell r="AU124">
            <v>0</v>
          </cell>
          <cell r="AV124">
            <v>0</v>
          </cell>
          <cell r="AW124">
            <v>0</v>
          </cell>
          <cell r="AX124">
            <v>0</v>
          </cell>
          <cell r="AY124">
            <v>0</v>
          </cell>
          <cell r="BB124">
            <v>0</v>
          </cell>
          <cell r="BC124">
            <v>0</v>
          </cell>
          <cell r="BD124">
            <v>0</v>
          </cell>
          <cell r="BF124">
            <v>0</v>
          </cell>
          <cell r="BG124">
            <v>0</v>
          </cell>
          <cell r="BH124">
            <v>0</v>
          </cell>
          <cell r="BI124">
            <v>0</v>
          </cell>
          <cell r="BK124">
            <v>0</v>
          </cell>
          <cell r="BL124">
            <v>0</v>
          </cell>
          <cell r="BM124">
            <v>0</v>
          </cell>
          <cell r="BN124">
            <v>0</v>
          </cell>
          <cell r="BO124">
            <v>0</v>
          </cell>
          <cell r="BP124">
            <v>0</v>
          </cell>
          <cell r="BQ124">
            <v>0</v>
          </cell>
          <cell r="BR124">
            <v>0</v>
          </cell>
          <cell r="BS124">
            <v>0</v>
          </cell>
          <cell r="BT124">
            <v>0</v>
          </cell>
          <cell r="BU124">
            <v>0</v>
          </cell>
          <cell r="BX124">
            <v>0</v>
          </cell>
          <cell r="BY124">
            <v>0</v>
          </cell>
          <cell r="BZ124">
            <v>0</v>
          </cell>
          <cell r="CB124">
            <v>0</v>
          </cell>
          <cell r="CC124">
            <v>0</v>
          </cell>
          <cell r="CD124">
            <v>0</v>
          </cell>
          <cell r="CE124">
            <v>0</v>
          </cell>
          <cell r="CG124">
            <v>0</v>
          </cell>
          <cell r="CH124">
            <v>0</v>
          </cell>
          <cell r="CI124">
            <v>0</v>
          </cell>
          <cell r="CJ124">
            <v>0</v>
          </cell>
          <cell r="CK124">
            <v>0</v>
          </cell>
          <cell r="CL124">
            <v>0</v>
          </cell>
          <cell r="CM124">
            <v>0</v>
          </cell>
          <cell r="CN124">
            <v>0</v>
          </cell>
          <cell r="CO124">
            <v>0</v>
          </cell>
          <cell r="FD124">
            <v>0</v>
          </cell>
          <cell r="FE124">
            <v>3304312891.2590122</v>
          </cell>
          <cell r="FF124">
            <v>0</v>
          </cell>
          <cell r="FG124">
            <v>0</v>
          </cell>
          <cell r="FJ124">
            <v>0</v>
          </cell>
          <cell r="FK124">
            <v>0</v>
          </cell>
          <cell r="FL124">
            <v>0</v>
          </cell>
          <cell r="FN124">
            <v>0</v>
          </cell>
          <cell r="FO124">
            <v>0</v>
          </cell>
          <cell r="FP124">
            <v>0</v>
          </cell>
          <cell r="FQ124">
            <v>0</v>
          </cell>
          <cell r="FS124">
            <v>0</v>
          </cell>
          <cell r="FT124">
            <v>0</v>
          </cell>
          <cell r="FU124">
            <v>0</v>
          </cell>
          <cell r="FV124">
            <v>0</v>
          </cell>
          <cell r="FW124">
            <v>0</v>
          </cell>
          <cell r="FX124">
            <v>0</v>
          </cell>
          <cell r="FY124">
            <v>0</v>
          </cell>
          <cell r="FZ124">
            <v>0</v>
          </cell>
          <cell r="GA124">
            <v>0</v>
          </cell>
        </row>
        <row r="125">
          <cell r="A125" t="str">
            <v>F_IAM_NRF_RIS_IND_FRCE_401</v>
          </cell>
          <cell r="E125">
            <v>-596199.75067133119</v>
          </cell>
          <cell r="F125">
            <v>0</v>
          </cell>
          <cell r="G125">
            <v>0</v>
          </cell>
          <cell r="J125">
            <v>0</v>
          </cell>
          <cell r="K125">
            <v>0</v>
          </cell>
          <cell r="L125">
            <v>0</v>
          </cell>
          <cell r="N125">
            <v>0</v>
          </cell>
          <cell r="O125">
            <v>0</v>
          </cell>
          <cell r="P125">
            <v>0</v>
          </cell>
          <cell r="Q125">
            <v>0</v>
          </cell>
          <cell r="S125">
            <v>0</v>
          </cell>
          <cell r="T125">
            <v>0</v>
          </cell>
          <cell r="U125">
            <v>0</v>
          </cell>
          <cell r="V125">
            <v>0</v>
          </cell>
          <cell r="W125">
            <v>0</v>
          </cell>
          <cell r="X125">
            <v>0</v>
          </cell>
          <cell r="Y125">
            <v>0</v>
          </cell>
          <cell r="Z125">
            <v>0</v>
          </cell>
          <cell r="AA125">
            <v>0</v>
          </cell>
          <cell r="AB125">
            <v>0</v>
          </cell>
          <cell r="AC125">
            <v>0</v>
          </cell>
          <cell r="AF125">
            <v>0</v>
          </cell>
          <cell r="AG125">
            <v>0</v>
          </cell>
          <cell r="AH125">
            <v>0</v>
          </cell>
          <cell r="AJ125">
            <v>0</v>
          </cell>
          <cell r="AK125">
            <v>0</v>
          </cell>
          <cell r="AL125">
            <v>0</v>
          </cell>
          <cell r="AM125">
            <v>0</v>
          </cell>
          <cell r="AO125">
            <v>0</v>
          </cell>
          <cell r="AP125">
            <v>0</v>
          </cell>
          <cell r="AQ125">
            <v>0</v>
          </cell>
          <cell r="AR125">
            <v>0</v>
          </cell>
          <cell r="AS125">
            <v>0</v>
          </cell>
          <cell r="AT125">
            <v>0</v>
          </cell>
          <cell r="AU125">
            <v>0</v>
          </cell>
          <cell r="AV125">
            <v>0</v>
          </cell>
          <cell r="AW125">
            <v>0</v>
          </cell>
          <cell r="AX125">
            <v>0</v>
          </cell>
          <cell r="AY125">
            <v>0</v>
          </cell>
          <cell r="BB125">
            <v>0</v>
          </cell>
          <cell r="BC125">
            <v>0</v>
          </cell>
          <cell r="BD125">
            <v>0</v>
          </cell>
          <cell r="BF125">
            <v>0</v>
          </cell>
          <cell r="BG125">
            <v>0</v>
          </cell>
          <cell r="BH125">
            <v>0</v>
          </cell>
          <cell r="BI125">
            <v>0</v>
          </cell>
          <cell r="BK125">
            <v>0</v>
          </cell>
          <cell r="BL125">
            <v>0</v>
          </cell>
          <cell r="BM125">
            <v>0</v>
          </cell>
          <cell r="BN125">
            <v>0</v>
          </cell>
          <cell r="BO125">
            <v>0</v>
          </cell>
          <cell r="BP125">
            <v>0</v>
          </cell>
          <cell r="BQ125">
            <v>0</v>
          </cell>
          <cell r="BR125">
            <v>0</v>
          </cell>
          <cell r="BS125">
            <v>0</v>
          </cell>
          <cell r="BT125">
            <v>0</v>
          </cell>
          <cell r="BU125">
            <v>0</v>
          </cell>
          <cell r="BX125">
            <v>0</v>
          </cell>
          <cell r="BY125">
            <v>0</v>
          </cell>
          <cell r="BZ125">
            <v>0</v>
          </cell>
          <cell r="CB125">
            <v>0</v>
          </cell>
          <cell r="CC125">
            <v>0</v>
          </cell>
          <cell r="CD125">
            <v>0</v>
          </cell>
          <cell r="CE125">
            <v>0</v>
          </cell>
          <cell r="CG125">
            <v>0</v>
          </cell>
          <cell r="CH125">
            <v>0</v>
          </cell>
          <cell r="CI125">
            <v>0</v>
          </cell>
          <cell r="CJ125">
            <v>0</v>
          </cell>
          <cell r="CK125">
            <v>0</v>
          </cell>
          <cell r="CL125">
            <v>0</v>
          </cell>
          <cell r="CM125">
            <v>0</v>
          </cell>
          <cell r="CN125">
            <v>0</v>
          </cell>
          <cell r="CO125">
            <v>0</v>
          </cell>
          <cell r="FD125">
            <v>0</v>
          </cell>
          <cell r="FE125">
            <v>-671477.44723256526</v>
          </cell>
          <cell r="FF125">
            <v>0</v>
          </cell>
          <cell r="FG125">
            <v>0</v>
          </cell>
          <cell r="FJ125">
            <v>0</v>
          </cell>
          <cell r="FK125">
            <v>0</v>
          </cell>
          <cell r="FL125">
            <v>0</v>
          </cell>
          <cell r="FN125">
            <v>0</v>
          </cell>
          <cell r="FO125">
            <v>0</v>
          </cell>
          <cell r="FP125">
            <v>0</v>
          </cell>
          <cell r="FQ125">
            <v>0</v>
          </cell>
          <cell r="FS125">
            <v>0</v>
          </cell>
          <cell r="FT125">
            <v>0</v>
          </cell>
          <cell r="FU125">
            <v>0</v>
          </cell>
          <cell r="FV125">
            <v>0</v>
          </cell>
          <cell r="FW125">
            <v>0</v>
          </cell>
          <cell r="FX125">
            <v>0</v>
          </cell>
          <cell r="FY125">
            <v>0</v>
          </cell>
          <cell r="FZ125">
            <v>0</v>
          </cell>
          <cell r="GA125">
            <v>0</v>
          </cell>
        </row>
        <row r="126">
          <cell r="A126" t="str">
            <v>F_IAM_NRF_ASS_EMP_FRCE_401</v>
          </cell>
          <cell r="E126">
            <v>357436474.20358622</v>
          </cell>
          <cell r="F126">
            <v>0</v>
          </cell>
          <cell r="G126">
            <v>0</v>
          </cell>
          <cell r="J126">
            <v>0</v>
          </cell>
          <cell r="K126">
            <v>0</v>
          </cell>
          <cell r="L126">
            <v>0</v>
          </cell>
          <cell r="N126">
            <v>0</v>
          </cell>
          <cell r="O126">
            <v>0</v>
          </cell>
          <cell r="P126">
            <v>0</v>
          </cell>
          <cell r="Q126">
            <v>0</v>
          </cell>
          <cell r="S126">
            <v>0</v>
          </cell>
          <cell r="T126">
            <v>0</v>
          </cell>
          <cell r="U126">
            <v>0</v>
          </cell>
          <cell r="V126">
            <v>0</v>
          </cell>
          <cell r="W126">
            <v>0</v>
          </cell>
          <cell r="X126">
            <v>0</v>
          </cell>
          <cell r="Y126">
            <v>0</v>
          </cell>
          <cell r="Z126">
            <v>0</v>
          </cell>
          <cell r="AA126">
            <v>0</v>
          </cell>
          <cell r="AB126">
            <v>0</v>
          </cell>
          <cell r="AC126">
            <v>0</v>
          </cell>
          <cell r="AF126">
            <v>0</v>
          </cell>
          <cell r="AG126">
            <v>0</v>
          </cell>
          <cell r="AH126">
            <v>0</v>
          </cell>
          <cell r="AJ126">
            <v>0</v>
          </cell>
          <cell r="AK126">
            <v>0</v>
          </cell>
          <cell r="AL126">
            <v>0</v>
          </cell>
          <cell r="AM126">
            <v>0</v>
          </cell>
          <cell r="AO126">
            <v>0</v>
          </cell>
          <cell r="AP126">
            <v>0</v>
          </cell>
          <cell r="AQ126">
            <v>0</v>
          </cell>
          <cell r="AR126">
            <v>0</v>
          </cell>
          <cell r="AS126">
            <v>0</v>
          </cell>
          <cell r="AT126">
            <v>0</v>
          </cell>
          <cell r="AU126">
            <v>0</v>
          </cell>
          <cell r="AV126">
            <v>0</v>
          </cell>
          <cell r="AW126">
            <v>0</v>
          </cell>
          <cell r="AX126">
            <v>0</v>
          </cell>
          <cell r="AY126">
            <v>0</v>
          </cell>
          <cell r="BB126">
            <v>0</v>
          </cell>
          <cell r="BC126">
            <v>0</v>
          </cell>
          <cell r="BD126">
            <v>0</v>
          </cell>
          <cell r="BF126">
            <v>0</v>
          </cell>
          <cell r="BG126">
            <v>0</v>
          </cell>
          <cell r="BH126">
            <v>0</v>
          </cell>
          <cell r="BI126">
            <v>0</v>
          </cell>
          <cell r="BK126">
            <v>0</v>
          </cell>
          <cell r="BL126">
            <v>0</v>
          </cell>
          <cell r="BM126">
            <v>0</v>
          </cell>
          <cell r="BN126">
            <v>0</v>
          </cell>
          <cell r="BO126">
            <v>0</v>
          </cell>
          <cell r="BP126">
            <v>0</v>
          </cell>
          <cell r="BQ126">
            <v>0</v>
          </cell>
          <cell r="BR126">
            <v>0</v>
          </cell>
          <cell r="BS126">
            <v>0</v>
          </cell>
          <cell r="BT126">
            <v>0</v>
          </cell>
          <cell r="BU126">
            <v>0</v>
          </cell>
          <cell r="BX126">
            <v>0</v>
          </cell>
          <cell r="BY126">
            <v>0</v>
          </cell>
          <cell r="BZ126">
            <v>0</v>
          </cell>
          <cell r="CB126">
            <v>0</v>
          </cell>
          <cell r="CC126">
            <v>0</v>
          </cell>
          <cell r="CD126">
            <v>0</v>
          </cell>
          <cell r="CE126">
            <v>0</v>
          </cell>
          <cell r="CG126">
            <v>0</v>
          </cell>
          <cell r="CH126">
            <v>0</v>
          </cell>
          <cell r="CI126">
            <v>0</v>
          </cell>
          <cell r="CJ126">
            <v>0</v>
          </cell>
          <cell r="CK126">
            <v>0</v>
          </cell>
          <cell r="CL126">
            <v>0</v>
          </cell>
          <cell r="CM126">
            <v>0</v>
          </cell>
          <cell r="CN126">
            <v>0</v>
          </cell>
          <cell r="CO126">
            <v>0</v>
          </cell>
          <cell r="FD126">
            <v>0</v>
          </cell>
          <cell r="FE126">
            <v>101162684.01505093</v>
          </cell>
          <cell r="FF126">
            <v>0</v>
          </cell>
          <cell r="FG126">
            <v>0</v>
          </cell>
          <cell r="FJ126">
            <v>0</v>
          </cell>
          <cell r="FK126">
            <v>0</v>
          </cell>
          <cell r="FL126">
            <v>0</v>
          </cell>
          <cell r="FN126">
            <v>0</v>
          </cell>
          <cell r="FO126">
            <v>0</v>
          </cell>
          <cell r="FP126">
            <v>0</v>
          </cell>
          <cell r="FQ126">
            <v>0</v>
          </cell>
          <cell r="FS126">
            <v>0</v>
          </cell>
          <cell r="FT126">
            <v>0</v>
          </cell>
          <cell r="FU126">
            <v>0</v>
          </cell>
          <cell r="FV126">
            <v>0</v>
          </cell>
          <cell r="FW126">
            <v>0</v>
          </cell>
          <cell r="FX126">
            <v>0</v>
          </cell>
          <cell r="FY126">
            <v>0</v>
          </cell>
          <cell r="FZ126">
            <v>0</v>
          </cell>
          <cell r="GA126">
            <v>0</v>
          </cell>
        </row>
        <row r="127">
          <cell r="A127" t="str">
            <v>F_IAM_NRF_ASS_EMP_FRCE_434</v>
          </cell>
          <cell r="E127">
            <v>696435519.57145166</v>
          </cell>
          <cell r="F127">
            <v>0</v>
          </cell>
          <cell r="G127">
            <v>0</v>
          </cell>
          <cell r="J127">
            <v>0</v>
          </cell>
          <cell r="K127">
            <v>0</v>
          </cell>
          <cell r="L127">
            <v>0</v>
          </cell>
          <cell r="N127">
            <v>0</v>
          </cell>
          <cell r="O127">
            <v>0</v>
          </cell>
          <cell r="P127">
            <v>0</v>
          </cell>
          <cell r="Q127">
            <v>0</v>
          </cell>
          <cell r="S127">
            <v>0</v>
          </cell>
          <cell r="T127">
            <v>0</v>
          </cell>
          <cell r="U127">
            <v>0</v>
          </cell>
          <cell r="V127">
            <v>0</v>
          </cell>
          <cell r="W127">
            <v>0</v>
          </cell>
          <cell r="X127">
            <v>0</v>
          </cell>
          <cell r="Y127">
            <v>0</v>
          </cell>
          <cell r="Z127">
            <v>0</v>
          </cell>
          <cell r="AA127">
            <v>0</v>
          </cell>
          <cell r="AB127">
            <v>0</v>
          </cell>
          <cell r="AC127">
            <v>0</v>
          </cell>
          <cell r="AF127">
            <v>0</v>
          </cell>
          <cell r="AG127">
            <v>0</v>
          </cell>
          <cell r="AH127">
            <v>0</v>
          </cell>
          <cell r="AJ127">
            <v>0</v>
          </cell>
          <cell r="AK127">
            <v>0</v>
          </cell>
          <cell r="AL127">
            <v>0</v>
          </cell>
          <cell r="AM127">
            <v>0</v>
          </cell>
          <cell r="AO127">
            <v>0</v>
          </cell>
          <cell r="AP127">
            <v>0</v>
          </cell>
          <cell r="AQ127">
            <v>0</v>
          </cell>
          <cell r="AR127">
            <v>0</v>
          </cell>
          <cell r="AS127">
            <v>0</v>
          </cell>
          <cell r="AT127">
            <v>0</v>
          </cell>
          <cell r="AU127">
            <v>0</v>
          </cell>
          <cell r="AV127">
            <v>0</v>
          </cell>
          <cell r="AW127">
            <v>0</v>
          </cell>
          <cell r="AX127">
            <v>0</v>
          </cell>
          <cell r="AY127">
            <v>0</v>
          </cell>
          <cell r="BB127">
            <v>0</v>
          </cell>
          <cell r="BC127">
            <v>0</v>
          </cell>
          <cell r="BD127">
            <v>0</v>
          </cell>
          <cell r="BF127">
            <v>0</v>
          </cell>
          <cell r="BG127">
            <v>0</v>
          </cell>
          <cell r="BH127">
            <v>0</v>
          </cell>
          <cell r="BI127">
            <v>0</v>
          </cell>
          <cell r="BK127">
            <v>0</v>
          </cell>
          <cell r="BL127">
            <v>0</v>
          </cell>
          <cell r="BM127">
            <v>0</v>
          </cell>
          <cell r="BN127">
            <v>0</v>
          </cell>
          <cell r="BO127">
            <v>0</v>
          </cell>
          <cell r="BP127">
            <v>0</v>
          </cell>
          <cell r="BQ127">
            <v>0</v>
          </cell>
          <cell r="BR127">
            <v>0</v>
          </cell>
          <cell r="BS127">
            <v>0</v>
          </cell>
          <cell r="BT127">
            <v>0</v>
          </cell>
          <cell r="BU127">
            <v>0</v>
          </cell>
          <cell r="BX127">
            <v>0</v>
          </cell>
          <cell r="BY127">
            <v>0</v>
          </cell>
          <cell r="BZ127">
            <v>0</v>
          </cell>
          <cell r="CB127">
            <v>0</v>
          </cell>
          <cell r="CC127">
            <v>0</v>
          </cell>
          <cell r="CD127">
            <v>0</v>
          </cell>
          <cell r="CE127">
            <v>0</v>
          </cell>
          <cell r="CG127">
            <v>0</v>
          </cell>
          <cell r="CH127">
            <v>0</v>
          </cell>
          <cell r="CI127">
            <v>0</v>
          </cell>
          <cell r="CJ127">
            <v>0</v>
          </cell>
          <cell r="CK127">
            <v>0</v>
          </cell>
          <cell r="CL127">
            <v>0</v>
          </cell>
          <cell r="CM127">
            <v>0</v>
          </cell>
          <cell r="CN127">
            <v>0</v>
          </cell>
          <cell r="CO127">
            <v>0</v>
          </cell>
          <cell r="FD127">
            <v>0</v>
          </cell>
          <cell r="FE127">
            <v>522591241.32696241</v>
          </cell>
          <cell r="FF127">
            <v>0</v>
          </cell>
          <cell r="FG127">
            <v>0</v>
          </cell>
          <cell r="FJ127">
            <v>0</v>
          </cell>
          <cell r="FK127">
            <v>0</v>
          </cell>
          <cell r="FL127">
            <v>0</v>
          </cell>
          <cell r="FN127">
            <v>0</v>
          </cell>
          <cell r="FO127">
            <v>0</v>
          </cell>
          <cell r="FP127">
            <v>0</v>
          </cell>
          <cell r="FQ127">
            <v>0</v>
          </cell>
          <cell r="FS127">
            <v>0</v>
          </cell>
          <cell r="FT127">
            <v>0</v>
          </cell>
          <cell r="FU127">
            <v>0</v>
          </cell>
          <cell r="FV127">
            <v>0</v>
          </cell>
          <cell r="FW127">
            <v>0</v>
          </cell>
          <cell r="FX127">
            <v>0</v>
          </cell>
          <cell r="FY127">
            <v>0</v>
          </cell>
          <cell r="FZ127">
            <v>0</v>
          </cell>
          <cell r="GA127">
            <v>0</v>
          </cell>
        </row>
        <row r="128">
          <cell r="A128" t="str">
            <v>F_IAM_NRF_ASS_EMP_INTR_401</v>
          </cell>
          <cell r="E128">
            <v>103740368.14234459</v>
          </cell>
          <cell r="F128">
            <v>0</v>
          </cell>
          <cell r="G128">
            <v>0</v>
          </cell>
          <cell r="J128">
            <v>0</v>
          </cell>
          <cell r="K128">
            <v>0</v>
          </cell>
          <cell r="L128">
            <v>0</v>
          </cell>
          <cell r="N128">
            <v>0</v>
          </cell>
          <cell r="O128">
            <v>0</v>
          </cell>
          <cell r="P128">
            <v>0</v>
          </cell>
          <cell r="Q128">
            <v>0</v>
          </cell>
          <cell r="S128">
            <v>0</v>
          </cell>
          <cell r="T128">
            <v>0</v>
          </cell>
          <cell r="U128">
            <v>0</v>
          </cell>
          <cell r="V128">
            <v>0</v>
          </cell>
          <cell r="W128">
            <v>0</v>
          </cell>
          <cell r="X128">
            <v>0</v>
          </cell>
          <cell r="Y128">
            <v>0</v>
          </cell>
          <cell r="Z128">
            <v>0</v>
          </cell>
          <cell r="AA128">
            <v>0</v>
          </cell>
          <cell r="AB128">
            <v>0</v>
          </cell>
          <cell r="AC128">
            <v>0</v>
          </cell>
          <cell r="AF128">
            <v>0</v>
          </cell>
          <cell r="AG128">
            <v>0</v>
          </cell>
          <cell r="AH128">
            <v>0</v>
          </cell>
          <cell r="AJ128">
            <v>0</v>
          </cell>
          <cell r="AK128">
            <v>0</v>
          </cell>
          <cell r="AL128">
            <v>0</v>
          </cell>
          <cell r="AM128">
            <v>0</v>
          </cell>
          <cell r="AO128">
            <v>0</v>
          </cell>
          <cell r="AP128">
            <v>0</v>
          </cell>
          <cell r="AQ128">
            <v>0</v>
          </cell>
          <cell r="AR128">
            <v>0</v>
          </cell>
          <cell r="AS128">
            <v>0</v>
          </cell>
          <cell r="AT128">
            <v>0</v>
          </cell>
          <cell r="AU128">
            <v>0</v>
          </cell>
          <cell r="AV128">
            <v>0</v>
          </cell>
          <cell r="AW128">
            <v>0</v>
          </cell>
          <cell r="AX128">
            <v>0</v>
          </cell>
          <cell r="AY128">
            <v>0</v>
          </cell>
          <cell r="BB128">
            <v>0</v>
          </cell>
          <cell r="BC128">
            <v>0</v>
          </cell>
          <cell r="BD128">
            <v>0</v>
          </cell>
          <cell r="BF128">
            <v>0</v>
          </cell>
          <cell r="BG128">
            <v>0</v>
          </cell>
          <cell r="BH128">
            <v>0</v>
          </cell>
          <cell r="BI128">
            <v>0</v>
          </cell>
          <cell r="BK128">
            <v>0</v>
          </cell>
          <cell r="BL128">
            <v>0</v>
          </cell>
          <cell r="BM128">
            <v>0</v>
          </cell>
          <cell r="BN128">
            <v>0</v>
          </cell>
          <cell r="BO128">
            <v>0</v>
          </cell>
          <cell r="BP128">
            <v>0</v>
          </cell>
          <cell r="BQ128">
            <v>0</v>
          </cell>
          <cell r="BR128">
            <v>0</v>
          </cell>
          <cell r="BS128">
            <v>0</v>
          </cell>
          <cell r="BT128">
            <v>0</v>
          </cell>
          <cell r="BU128">
            <v>0</v>
          </cell>
          <cell r="BX128">
            <v>0</v>
          </cell>
          <cell r="BY128">
            <v>0</v>
          </cell>
          <cell r="BZ128">
            <v>0</v>
          </cell>
          <cell r="CB128">
            <v>0</v>
          </cell>
          <cell r="CC128">
            <v>0</v>
          </cell>
          <cell r="CD128">
            <v>0</v>
          </cell>
          <cell r="CE128">
            <v>0</v>
          </cell>
          <cell r="CG128">
            <v>0</v>
          </cell>
          <cell r="CH128">
            <v>0</v>
          </cell>
          <cell r="CI128">
            <v>0</v>
          </cell>
          <cell r="CJ128">
            <v>0</v>
          </cell>
          <cell r="CK128">
            <v>0</v>
          </cell>
          <cell r="CL128">
            <v>0</v>
          </cell>
          <cell r="CM128">
            <v>0</v>
          </cell>
          <cell r="CN128">
            <v>0</v>
          </cell>
          <cell r="CO128">
            <v>0</v>
          </cell>
          <cell r="FD128">
            <v>0</v>
          </cell>
          <cell r="FE128">
            <v>-74701561.171174526</v>
          </cell>
          <cell r="FF128">
            <v>0</v>
          </cell>
          <cell r="FG128">
            <v>0</v>
          </cell>
          <cell r="FJ128">
            <v>0</v>
          </cell>
          <cell r="FK128">
            <v>0</v>
          </cell>
          <cell r="FL128">
            <v>0</v>
          </cell>
          <cell r="FN128">
            <v>0</v>
          </cell>
          <cell r="FO128">
            <v>0</v>
          </cell>
          <cell r="FP128">
            <v>0</v>
          </cell>
          <cell r="FQ128">
            <v>0</v>
          </cell>
          <cell r="FS128">
            <v>0</v>
          </cell>
          <cell r="FT128">
            <v>0</v>
          </cell>
          <cell r="FU128">
            <v>0</v>
          </cell>
          <cell r="FV128">
            <v>0</v>
          </cell>
          <cell r="FW128">
            <v>0</v>
          </cell>
          <cell r="FX128">
            <v>0</v>
          </cell>
          <cell r="FY128">
            <v>0</v>
          </cell>
          <cell r="FZ128">
            <v>0</v>
          </cell>
          <cell r="GA128">
            <v>0</v>
          </cell>
        </row>
        <row r="129">
          <cell r="A129" t="str">
            <v>F_IAM_NRF_CPT_PRP_FRCE_401</v>
          </cell>
          <cell r="E129">
            <v>22253577.810000002</v>
          </cell>
          <cell r="F129">
            <v>0</v>
          </cell>
          <cell r="G129">
            <v>0</v>
          </cell>
          <cell r="J129">
            <v>0</v>
          </cell>
          <cell r="K129">
            <v>0</v>
          </cell>
          <cell r="L129">
            <v>0</v>
          </cell>
          <cell r="N129">
            <v>0</v>
          </cell>
          <cell r="O129">
            <v>0</v>
          </cell>
          <cell r="P129">
            <v>0</v>
          </cell>
          <cell r="Q129">
            <v>0</v>
          </cell>
          <cell r="S129">
            <v>0</v>
          </cell>
          <cell r="T129">
            <v>0</v>
          </cell>
          <cell r="U129">
            <v>0</v>
          </cell>
          <cell r="V129">
            <v>0</v>
          </cell>
          <cell r="W129">
            <v>0</v>
          </cell>
          <cell r="X129">
            <v>0</v>
          </cell>
          <cell r="Y129">
            <v>0</v>
          </cell>
          <cell r="Z129">
            <v>0</v>
          </cell>
          <cell r="AA129">
            <v>0</v>
          </cell>
          <cell r="AB129">
            <v>0</v>
          </cell>
          <cell r="AC129">
            <v>0</v>
          </cell>
          <cell r="AF129">
            <v>0</v>
          </cell>
          <cell r="AG129">
            <v>0</v>
          </cell>
          <cell r="AH129">
            <v>0</v>
          </cell>
          <cell r="AJ129">
            <v>0</v>
          </cell>
          <cell r="AK129">
            <v>0</v>
          </cell>
          <cell r="AL129">
            <v>0</v>
          </cell>
          <cell r="AM129">
            <v>0</v>
          </cell>
          <cell r="AO129">
            <v>0</v>
          </cell>
          <cell r="AP129">
            <v>0</v>
          </cell>
          <cell r="AQ129">
            <v>0</v>
          </cell>
          <cell r="AR129">
            <v>0</v>
          </cell>
          <cell r="AS129">
            <v>0</v>
          </cell>
          <cell r="AT129">
            <v>0</v>
          </cell>
          <cell r="AU129">
            <v>0</v>
          </cell>
          <cell r="AV129">
            <v>0</v>
          </cell>
          <cell r="AW129">
            <v>0</v>
          </cell>
          <cell r="AX129">
            <v>0</v>
          </cell>
          <cell r="AY129">
            <v>0</v>
          </cell>
          <cell r="BB129">
            <v>0</v>
          </cell>
          <cell r="BC129">
            <v>0</v>
          </cell>
          <cell r="BD129">
            <v>0</v>
          </cell>
          <cell r="BF129">
            <v>0</v>
          </cell>
          <cell r="BG129">
            <v>0</v>
          </cell>
          <cell r="BH129">
            <v>0</v>
          </cell>
          <cell r="BI129">
            <v>0</v>
          </cell>
          <cell r="BK129">
            <v>0</v>
          </cell>
          <cell r="BL129">
            <v>0</v>
          </cell>
          <cell r="BM129">
            <v>0</v>
          </cell>
          <cell r="BN129">
            <v>0</v>
          </cell>
          <cell r="BO129">
            <v>0</v>
          </cell>
          <cell r="BP129">
            <v>0</v>
          </cell>
          <cell r="BQ129">
            <v>0</v>
          </cell>
          <cell r="BR129">
            <v>0</v>
          </cell>
          <cell r="BS129">
            <v>0</v>
          </cell>
          <cell r="BT129">
            <v>0</v>
          </cell>
          <cell r="BU129">
            <v>0</v>
          </cell>
          <cell r="BX129">
            <v>0</v>
          </cell>
          <cell r="BY129">
            <v>0</v>
          </cell>
          <cell r="BZ129">
            <v>0</v>
          </cell>
          <cell r="CB129">
            <v>0</v>
          </cell>
          <cell r="CC129">
            <v>0</v>
          </cell>
          <cell r="CD129">
            <v>0</v>
          </cell>
          <cell r="CE129">
            <v>0</v>
          </cell>
          <cell r="CG129">
            <v>0</v>
          </cell>
          <cell r="CH129">
            <v>0</v>
          </cell>
          <cell r="CI129">
            <v>0</v>
          </cell>
          <cell r="CJ129">
            <v>0</v>
          </cell>
          <cell r="CK129">
            <v>0</v>
          </cell>
          <cell r="CL129">
            <v>0</v>
          </cell>
          <cell r="CM129">
            <v>0</v>
          </cell>
          <cell r="CN129">
            <v>0</v>
          </cell>
          <cell r="CO129">
            <v>0</v>
          </cell>
          <cell r="FD129">
            <v>0</v>
          </cell>
          <cell r="FE129">
            <v>22253577.810000002</v>
          </cell>
          <cell r="FF129">
            <v>0</v>
          </cell>
          <cell r="FG129">
            <v>0</v>
          </cell>
          <cell r="FJ129">
            <v>0</v>
          </cell>
          <cell r="FK129">
            <v>0</v>
          </cell>
          <cell r="FL129">
            <v>0</v>
          </cell>
          <cell r="FN129">
            <v>0</v>
          </cell>
          <cell r="FO129">
            <v>0</v>
          </cell>
          <cell r="FP129">
            <v>0</v>
          </cell>
          <cell r="FQ129">
            <v>0</v>
          </cell>
          <cell r="FS129">
            <v>0</v>
          </cell>
          <cell r="FT129">
            <v>0</v>
          </cell>
          <cell r="FU129">
            <v>0</v>
          </cell>
          <cell r="FV129">
            <v>0</v>
          </cell>
          <cell r="FW129">
            <v>0</v>
          </cell>
          <cell r="FX129">
            <v>0</v>
          </cell>
          <cell r="FY129">
            <v>0</v>
          </cell>
          <cell r="FZ129">
            <v>0</v>
          </cell>
          <cell r="GA129">
            <v>0</v>
          </cell>
        </row>
        <row r="130">
          <cell r="A130" t="str">
            <v>F_IAM_NRF_xxxxxxx_FRCE_434</v>
          </cell>
          <cell r="E130">
            <v>0</v>
          </cell>
          <cell r="F130">
            <v>0</v>
          </cell>
          <cell r="G130">
            <v>0</v>
          </cell>
          <cell r="J130">
            <v>0</v>
          </cell>
          <cell r="K130">
            <v>0</v>
          </cell>
          <cell r="L130">
            <v>0</v>
          </cell>
          <cell r="N130">
            <v>0</v>
          </cell>
          <cell r="O130">
            <v>0</v>
          </cell>
          <cell r="P130">
            <v>0</v>
          </cell>
          <cell r="Q130">
            <v>0</v>
          </cell>
          <cell r="S130">
            <v>0</v>
          </cell>
          <cell r="T130">
            <v>0</v>
          </cell>
          <cell r="U130">
            <v>0</v>
          </cell>
          <cell r="V130">
            <v>0</v>
          </cell>
          <cell r="W130">
            <v>0</v>
          </cell>
          <cell r="X130">
            <v>0</v>
          </cell>
          <cell r="Y130">
            <v>0</v>
          </cell>
          <cell r="Z130">
            <v>0</v>
          </cell>
          <cell r="AA130">
            <v>0</v>
          </cell>
          <cell r="AB130">
            <v>0</v>
          </cell>
          <cell r="AC130">
            <v>0</v>
          </cell>
          <cell r="AF130">
            <v>0</v>
          </cell>
          <cell r="AG130">
            <v>0</v>
          </cell>
          <cell r="AH130">
            <v>0</v>
          </cell>
          <cell r="AJ130">
            <v>0</v>
          </cell>
          <cell r="AK130">
            <v>0</v>
          </cell>
          <cell r="AL130">
            <v>0</v>
          </cell>
          <cell r="AM130">
            <v>0</v>
          </cell>
          <cell r="AO130">
            <v>0</v>
          </cell>
          <cell r="AP130">
            <v>0</v>
          </cell>
          <cell r="AQ130">
            <v>0</v>
          </cell>
          <cell r="AR130">
            <v>0</v>
          </cell>
          <cell r="AS130">
            <v>0</v>
          </cell>
          <cell r="AT130">
            <v>0</v>
          </cell>
          <cell r="AU130">
            <v>0</v>
          </cell>
          <cell r="AV130">
            <v>0</v>
          </cell>
          <cell r="AW130">
            <v>0</v>
          </cell>
          <cell r="AX130">
            <v>0</v>
          </cell>
          <cell r="AY130">
            <v>0</v>
          </cell>
          <cell r="BB130">
            <v>0</v>
          </cell>
          <cell r="BC130">
            <v>0</v>
          </cell>
          <cell r="BD130">
            <v>0</v>
          </cell>
          <cell r="BF130">
            <v>0</v>
          </cell>
          <cell r="BG130">
            <v>0</v>
          </cell>
          <cell r="BH130">
            <v>0</v>
          </cell>
          <cell r="BI130">
            <v>0</v>
          </cell>
          <cell r="BK130">
            <v>0</v>
          </cell>
          <cell r="BL130">
            <v>0</v>
          </cell>
          <cell r="BM130">
            <v>0</v>
          </cell>
          <cell r="BN130">
            <v>0</v>
          </cell>
          <cell r="BO130">
            <v>0</v>
          </cell>
          <cell r="BP130">
            <v>0</v>
          </cell>
          <cell r="BQ130">
            <v>0</v>
          </cell>
          <cell r="BR130">
            <v>0</v>
          </cell>
          <cell r="BS130">
            <v>0</v>
          </cell>
          <cell r="BT130">
            <v>0</v>
          </cell>
          <cell r="BU130">
            <v>0</v>
          </cell>
          <cell r="BX130">
            <v>0</v>
          </cell>
          <cell r="BY130">
            <v>0</v>
          </cell>
          <cell r="BZ130">
            <v>0</v>
          </cell>
          <cell r="CB130">
            <v>0</v>
          </cell>
          <cell r="CC130">
            <v>0</v>
          </cell>
          <cell r="CD130">
            <v>0</v>
          </cell>
          <cell r="CE130">
            <v>0</v>
          </cell>
          <cell r="CG130">
            <v>0</v>
          </cell>
          <cell r="CH130">
            <v>0</v>
          </cell>
          <cell r="CI130">
            <v>0</v>
          </cell>
          <cell r="CJ130">
            <v>0</v>
          </cell>
          <cell r="CK130">
            <v>0</v>
          </cell>
          <cell r="CL130">
            <v>0</v>
          </cell>
          <cell r="CM130">
            <v>0</v>
          </cell>
          <cell r="CN130">
            <v>0</v>
          </cell>
          <cell r="CO130">
            <v>0</v>
          </cell>
          <cell r="FD130">
            <v>0</v>
          </cell>
          <cell r="FE130">
            <v>0</v>
          </cell>
          <cell r="FF130">
            <v>0</v>
          </cell>
          <cell r="FG130">
            <v>0</v>
          </cell>
          <cell r="FJ130">
            <v>0</v>
          </cell>
          <cell r="FK130">
            <v>0</v>
          </cell>
          <cell r="FL130">
            <v>0</v>
          </cell>
          <cell r="FN130">
            <v>0</v>
          </cell>
          <cell r="FO130">
            <v>0</v>
          </cell>
          <cell r="FP130">
            <v>0</v>
          </cell>
          <cell r="FQ130">
            <v>0</v>
          </cell>
          <cell r="FS130">
            <v>0</v>
          </cell>
          <cell r="FT130">
            <v>0</v>
          </cell>
          <cell r="FU130">
            <v>0</v>
          </cell>
          <cell r="FV130">
            <v>0</v>
          </cell>
          <cell r="FW130">
            <v>0</v>
          </cell>
          <cell r="FX130">
            <v>0</v>
          </cell>
          <cell r="FY130">
            <v>0</v>
          </cell>
          <cell r="FZ130">
            <v>0</v>
          </cell>
          <cell r="GA130">
            <v>0</v>
          </cell>
        </row>
        <row r="131">
          <cell r="A131" t="str">
            <v>F_CAU_NRF_ASS_EMP_FRCE_AUF</v>
          </cell>
          <cell r="E131">
            <v>0</v>
          </cell>
          <cell r="F131">
            <v>0</v>
          </cell>
          <cell r="G131">
            <v>0</v>
          </cell>
          <cell r="J131">
            <v>0</v>
          </cell>
          <cell r="K131">
            <v>0</v>
          </cell>
          <cell r="L131">
            <v>0</v>
          </cell>
          <cell r="N131">
            <v>0</v>
          </cell>
          <cell r="O131">
            <v>0</v>
          </cell>
          <cell r="P131">
            <v>0</v>
          </cell>
          <cell r="Q131">
            <v>0</v>
          </cell>
          <cell r="S131">
            <v>0</v>
          </cell>
          <cell r="T131">
            <v>0</v>
          </cell>
          <cell r="U131">
            <v>0</v>
          </cell>
          <cell r="V131">
            <v>0</v>
          </cell>
          <cell r="W131">
            <v>0</v>
          </cell>
          <cell r="X131">
            <v>0</v>
          </cell>
          <cell r="Y131">
            <v>0</v>
          </cell>
          <cell r="Z131">
            <v>0</v>
          </cell>
          <cell r="AA131">
            <v>0</v>
          </cell>
          <cell r="AB131">
            <v>0</v>
          </cell>
          <cell r="AC131">
            <v>0</v>
          </cell>
          <cell r="AF131">
            <v>0</v>
          </cell>
          <cell r="AG131">
            <v>0</v>
          </cell>
          <cell r="AH131">
            <v>0</v>
          </cell>
          <cell r="AJ131">
            <v>0</v>
          </cell>
          <cell r="AK131">
            <v>0</v>
          </cell>
          <cell r="AL131">
            <v>0</v>
          </cell>
          <cell r="AM131">
            <v>0</v>
          </cell>
          <cell r="AO131">
            <v>0</v>
          </cell>
          <cell r="AP131">
            <v>0</v>
          </cell>
          <cell r="AQ131">
            <v>0</v>
          </cell>
          <cell r="AR131">
            <v>0</v>
          </cell>
          <cell r="AS131">
            <v>0</v>
          </cell>
          <cell r="AT131">
            <v>0</v>
          </cell>
          <cell r="AU131">
            <v>0</v>
          </cell>
          <cell r="AV131">
            <v>0</v>
          </cell>
          <cell r="AW131">
            <v>0</v>
          </cell>
          <cell r="AX131">
            <v>0</v>
          </cell>
          <cell r="AY131">
            <v>0</v>
          </cell>
          <cell r="BB131">
            <v>0</v>
          </cell>
          <cell r="BC131">
            <v>0</v>
          </cell>
          <cell r="BD131">
            <v>0</v>
          </cell>
          <cell r="BF131">
            <v>0</v>
          </cell>
          <cell r="BG131">
            <v>0</v>
          </cell>
          <cell r="BH131">
            <v>0</v>
          </cell>
          <cell r="BI131">
            <v>0</v>
          </cell>
          <cell r="BK131">
            <v>0</v>
          </cell>
          <cell r="BL131">
            <v>0</v>
          </cell>
          <cell r="BM131">
            <v>0</v>
          </cell>
          <cell r="BN131">
            <v>0</v>
          </cell>
          <cell r="BO131">
            <v>0</v>
          </cell>
          <cell r="BP131">
            <v>0</v>
          </cell>
          <cell r="BQ131">
            <v>0</v>
          </cell>
          <cell r="BR131">
            <v>0</v>
          </cell>
          <cell r="BS131">
            <v>0</v>
          </cell>
          <cell r="BT131">
            <v>0</v>
          </cell>
          <cell r="BU131">
            <v>0</v>
          </cell>
          <cell r="BX131">
            <v>0</v>
          </cell>
          <cell r="BY131">
            <v>0</v>
          </cell>
          <cell r="BZ131">
            <v>0</v>
          </cell>
          <cell r="CB131">
            <v>0</v>
          </cell>
          <cell r="CC131">
            <v>0</v>
          </cell>
          <cell r="CD131">
            <v>0</v>
          </cell>
          <cell r="CE131">
            <v>0</v>
          </cell>
          <cell r="CG131">
            <v>0</v>
          </cell>
          <cell r="CH131">
            <v>0</v>
          </cell>
          <cell r="CI131">
            <v>0</v>
          </cell>
          <cell r="CJ131">
            <v>0</v>
          </cell>
          <cell r="CK131">
            <v>0</v>
          </cell>
          <cell r="CL131">
            <v>0</v>
          </cell>
          <cell r="CM131">
            <v>0</v>
          </cell>
          <cell r="CN131">
            <v>0</v>
          </cell>
          <cell r="CO131">
            <v>0</v>
          </cell>
          <cell r="FD131">
            <v>0</v>
          </cell>
          <cell r="FE131">
            <v>0</v>
          </cell>
          <cell r="FF131">
            <v>0</v>
          </cell>
          <cell r="FG131">
            <v>0</v>
          </cell>
          <cell r="FJ131">
            <v>0</v>
          </cell>
          <cell r="FK131">
            <v>0</v>
          </cell>
          <cell r="FL131">
            <v>0</v>
          </cell>
          <cell r="FN131">
            <v>0</v>
          </cell>
          <cell r="FO131">
            <v>0</v>
          </cell>
          <cell r="FP131">
            <v>0</v>
          </cell>
          <cell r="FQ131">
            <v>0</v>
          </cell>
          <cell r="FS131">
            <v>0</v>
          </cell>
          <cell r="FT131">
            <v>0</v>
          </cell>
          <cell r="FU131">
            <v>0</v>
          </cell>
          <cell r="FV131">
            <v>0</v>
          </cell>
          <cell r="FW131">
            <v>0</v>
          </cell>
          <cell r="FX131">
            <v>0</v>
          </cell>
          <cell r="FY131">
            <v>0</v>
          </cell>
          <cell r="FZ131">
            <v>0</v>
          </cell>
          <cell r="GA131">
            <v>0</v>
          </cell>
        </row>
        <row r="132">
          <cell r="A132" t="str">
            <v>F_CAU_NRF_CPT_PRP_FRCE_AUF</v>
          </cell>
          <cell r="E132">
            <v>0</v>
          </cell>
          <cell r="F132">
            <v>0</v>
          </cell>
          <cell r="G132">
            <v>0</v>
          </cell>
          <cell r="J132">
            <v>0</v>
          </cell>
          <cell r="K132">
            <v>0</v>
          </cell>
          <cell r="L132">
            <v>0</v>
          </cell>
          <cell r="N132">
            <v>0</v>
          </cell>
          <cell r="O132">
            <v>0</v>
          </cell>
          <cell r="P132">
            <v>0</v>
          </cell>
          <cell r="Q132">
            <v>0</v>
          </cell>
          <cell r="S132">
            <v>0</v>
          </cell>
          <cell r="T132">
            <v>0</v>
          </cell>
          <cell r="U132">
            <v>0</v>
          </cell>
          <cell r="V132">
            <v>0</v>
          </cell>
          <cell r="W132">
            <v>0</v>
          </cell>
          <cell r="X132">
            <v>0</v>
          </cell>
          <cell r="Y132">
            <v>0</v>
          </cell>
          <cell r="Z132">
            <v>0</v>
          </cell>
          <cell r="AA132">
            <v>0</v>
          </cell>
          <cell r="AB132">
            <v>0</v>
          </cell>
          <cell r="AC132">
            <v>0</v>
          </cell>
          <cell r="AF132">
            <v>0</v>
          </cell>
          <cell r="AG132">
            <v>0</v>
          </cell>
          <cell r="AH132">
            <v>0</v>
          </cell>
          <cell r="AJ132">
            <v>0</v>
          </cell>
          <cell r="AK132">
            <v>0</v>
          </cell>
          <cell r="AL132">
            <v>0</v>
          </cell>
          <cell r="AM132">
            <v>0</v>
          </cell>
          <cell r="AO132">
            <v>0</v>
          </cell>
          <cell r="AP132">
            <v>0</v>
          </cell>
          <cell r="AQ132">
            <v>0</v>
          </cell>
          <cell r="AR132">
            <v>0</v>
          </cell>
          <cell r="AS132">
            <v>0</v>
          </cell>
          <cell r="AT132">
            <v>0</v>
          </cell>
          <cell r="AU132">
            <v>0</v>
          </cell>
          <cell r="AV132">
            <v>0</v>
          </cell>
          <cell r="AW132">
            <v>0</v>
          </cell>
          <cell r="AX132">
            <v>0</v>
          </cell>
          <cell r="AY132">
            <v>0</v>
          </cell>
          <cell r="BB132">
            <v>0</v>
          </cell>
          <cell r="BC132">
            <v>0</v>
          </cell>
          <cell r="BD132">
            <v>0</v>
          </cell>
          <cell r="BF132">
            <v>0</v>
          </cell>
          <cell r="BG132">
            <v>0</v>
          </cell>
          <cell r="BH132">
            <v>0</v>
          </cell>
          <cell r="BI132">
            <v>0</v>
          </cell>
          <cell r="BK132">
            <v>0</v>
          </cell>
          <cell r="BL132">
            <v>0</v>
          </cell>
          <cell r="BM132">
            <v>0</v>
          </cell>
          <cell r="BN132">
            <v>0</v>
          </cell>
          <cell r="BO132">
            <v>0</v>
          </cell>
          <cell r="BP132">
            <v>0</v>
          </cell>
          <cell r="BQ132">
            <v>0</v>
          </cell>
          <cell r="BR132">
            <v>0</v>
          </cell>
          <cell r="BS132">
            <v>0</v>
          </cell>
          <cell r="BT132">
            <v>0</v>
          </cell>
          <cell r="BU132">
            <v>0</v>
          </cell>
          <cell r="BX132">
            <v>0</v>
          </cell>
          <cell r="BY132">
            <v>0</v>
          </cell>
          <cell r="BZ132">
            <v>0</v>
          </cell>
          <cell r="CB132">
            <v>0</v>
          </cell>
          <cell r="CC132">
            <v>0</v>
          </cell>
          <cell r="CD132">
            <v>0</v>
          </cell>
          <cell r="CE132">
            <v>0</v>
          </cell>
          <cell r="CG132">
            <v>0</v>
          </cell>
          <cell r="CH132">
            <v>0</v>
          </cell>
          <cell r="CI132">
            <v>0</v>
          </cell>
          <cell r="CJ132">
            <v>0</v>
          </cell>
          <cell r="CK132">
            <v>0</v>
          </cell>
          <cell r="CL132">
            <v>0</v>
          </cell>
          <cell r="CM132">
            <v>0</v>
          </cell>
          <cell r="CN132">
            <v>0</v>
          </cell>
          <cell r="CO132">
            <v>0</v>
          </cell>
          <cell r="FD132">
            <v>0</v>
          </cell>
          <cell r="FE132">
            <v>0</v>
          </cell>
          <cell r="FF132">
            <v>0</v>
          </cell>
          <cell r="FG132">
            <v>0</v>
          </cell>
          <cell r="FJ132">
            <v>0</v>
          </cell>
          <cell r="FK132">
            <v>0</v>
          </cell>
          <cell r="FL132">
            <v>0</v>
          </cell>
          <cell r="FN132">
            <v>0</v>
          </cell>
          <cell r="FO132">
            <v>0</v>
          </cell>
          <cell r="FP132">
            <v>0</v>
          </cell>
          <cell r="FQ132">
            <v>0</v>
          </cell>
          <cell r="FS132">
            <v>0</v>
          </cell>
          <cell r="FT132">
            <v>0</v>
          </cell>
          <cell r="FU132">
            <v>0</v>
          </cell>
          <cell r="FV132">
            <v>0</v>
          </cell>
          <cell r="FW132">
            <v>0</v>
          </cell>
          <cell r="FX132">
            <v>0</v>
          </cell>
          <cell r="FY132">
            <v>0</v>
          </cell>
          <cell r="FZ132">
            <v>0</v>
          </cell>
          <cell r="GA132">
            <v>0</v>
          </cell>
        </row>
        <row r="133">
          <cell r="A133" t="str">
            <v>F_BPP_NRF_RIS_IND_FRCE_AFP</v>
          </cell>
          <cell r="E133">
            <v>0</v>
          </cell>
          <cell r="F133">
            <v>0</v>
          </cell>
          <cell r="G133">
            <v>0</v>
          </cell>
          <cell r="J133">
            <v>0</v>
          </cell>
          <cell r="K133">
            <v>0</v>
          </cell>
          <cell r="L133">
            <v>0</v>
          </cell>
          <cell r="N133">
            <v>0</v>
          </cell>
          <cell r="O133">
            <v>0</v>
          </cell>
          <cell r="P133">
            <v>0</v>
          </cell>
          <cell r="Q133">
            <v>0</v>
          </cell>
          <cell r="S133">
            <v>0</v>
          </cell>
          <cell r="T133">
            <v>0</v>
          </cell>
          <cell r="U133">
            <v>0</v>
          </cell>
          <cell r="V133">
            <v>0</v>
          </cell>
          <cell r="W133">
            <v>0</v>
          </cell>
          <cell r="X133">
            <v>0</v>
          </cell>
          <cell r="Y133">
            <v>0</v>
          </cell>
          <cell r="Z133">
            <v>0</v>
          </cell>
          <cell r="AA133">
            <v>0</v>
          </cell>
          <cell r="AB133">
            <v>0</v>
          </cell>
          <cell r="AC133">
            <v>0</v>
          </cell>
          <cell r="AF133">
            <v>0</v>
          </cell>
          <cell r="AG133">
            <v>0</v>
          </cell>
          <cell r="AH133">
            <v>0</v>
          </cell>
          <cell r="AJ133">
            <v>0</v>
          </cell>
          <cell r="AK133">
            <v>0</v>
          </cell>
          <cell r="AL133">
            <v>0</v>
          </cell>
          <cell r="AM133">
            <v>0</v>
          </cell>
          <cell r="AO133">
            <v>0</v>
          </cell>
          <cell r="AP133">
            <v>0</v>
          </cell>
          <cell r="AQ133">
            <v>0</v>
          </cell>
          <cell r="AR133">
            <v>0</v>
          </cell>
          <cell r="AS133">
            <v>0</v>
          </cell>
          <cell r="AT133">
            <v>0</v>
          </cell>
          <cell r="AU133">
            <v>0</v>
          </cell>
          <cell r="AV133">
            <v>0</v>
          </cell>
          <cell r="AW133">
            <v>0</v>
          </cell>
          <cell r="AX133">
            <v>0</v>
          </cell>
          <cell r="AY133">
            <v>0</v>
          </cell>
          <cell r="BB133">
            <v>0</v>
          </cell>
          <cell r="BC133">
            <v>0</v>
          </cell>
          <cell r="BD133">
            <v>0</v>
          </cell>
          <cell r="BF133">
            <v>0</v>
          </cell>
          <cell r="BG133">
            <v>0</v>
          </cell>
          <cell r="BH133">
            <v>0</v>
          </cell>
          <cell r="BI133">
            <v>0</v>
          </cell>
          <cell r="BK133">
            <v>0</v>
          </cell>
          <cell r="BL133">
            <v>0</v>
          </cell>
          <cell r="BM133">
            <v>0</v>
          </cell>
          <cell r="BN133">
            <v>0</v>
          </cell>
          <cell r="BO133">
            <v>0</v>
          </cell>
          <cell r="BP133">
            <v>0</v>
          </cell>
          <cell r="BQ133">
            <v>0</v>
          </cell>
          <cell r="BR133">
            <v>0</v>
          </cell>
          <cell r="BS133">
            <v>0</v>
          </cell>
          <cell r="BT133">
            <v>0</v>
          </cell>
          <cell r="BU133">
            <v>0</v>
          </cell>
          <cell r="BX133">
            <v>0</v>
          </cell>
          <cell r="BY133">
            <v>0</v>
          </cell>
          <cell r="BZ133">
            <v>0</v>
          </cell>
          <cell r="CB133">
            <v>0</v>
          </cell>
          <cell r="CC133">
            <v>0</v>
          </cell>
          <cell r="CD133">
            <v>0</v>
          </cell>
          <cell r="CE133">
            <v>0</v>
          </cell>
          <cell r="CG133">
            <v>0</v>
          </cell>
          <cell r="CH133">
            <v>0</v>
          </cell>
          <cell r="CI133">
            <v>0</v>
          </cell>
          <cell r="CJ133">
            <v>0</v>
          </cell>
          <cell r="CK133">
            <v>0</v>
          </cell>
          <cell r="CL133">
            <v>0</v>
          </cell>
          <cell r="CM133">
            <v>0</v>
          </cell>
          <cell r="CN133">
            <v>0</v>
          </cell>
          <cell r="CO133">
            <v>0</v>
          </cell>
          <cell r="FD133">
            <v>0</v>
          </cell>
          <cell r="FE133">
            <v>0</v>
          </cell>
          <cell r="FF133">
            <v>0</v>
          </cell>
          <cell r="FG133">
            <v>0</v>
          </cell>
          <cell r="FJ133">
            <v>0</v>
          </cell>
          <cell r="FK133">
            <v>0</v>
          </cell>
          <cell r="FL133">
            <v>0</v>
          </cell>
          <cell r="FN133">
            <v>0</v>
          </cell>
          <cell r="FO133">
            <v>0</v>
          </cell>
          <cell r="FP133">
            <v>0</v>
          </cell>
          <cell r="FQ133">
            <v>0</v>
          </cell>
          <cell r="FS133">
            <v>0</v>
          </cell>
          <cell r="FT133">
            <v>0</v>
          </cell>
          <cell r="FU133">
            <v>0</v>
          </cell>
          <cell r="FV133">
            <v>0</v>
          </cell>
          <cell r="FW133">
            <v>0</v>
          </cell>
          <cell r="FX133">
            <v>0</v>
          </cell>
          <cell r="FY133">
            <v>0</v>
          </cell>
          <cell r="FZ133">
            <v>0</v>
          </cell>
          <cell r="GA133">
            <v>0</v>
          </cell>
        </row>
        <row r="134">
          <cell r="A134" t="str">
            <v>F_BPP_NRF_RIS_COL_FRCE_AFP</v>
          </cell>
          <cell r="E134">
            <v>0</v>
          </cell>
          <cell r="F134">
            <v>0</v>
          </cell>
          <cell r="G134">
            <v>0</v>
          </cell>
          <cell r="J134">
            <v>0</v>
          </cell>
          <cell r="K134">
            <v>0</v>
          </cell>
          <cell r="L134">
            <v>0</v>
          </cell>
          <cell r="N134">
            <v>0</v>
          </cell>
          <cell r="O134">
            <v>0</v>
          </cell>
          <cell r="P134">
            <v>0</v>
          </cell>
          <cell r="Q134">
            <v>0</v>
          </cell>
          <cell r="S134">
            <v>0</v>
          </cell>
          <cell r="T134">
            <v>0</v>
          </cell>
          <cell r="U134">
            <v>0</v>
          </cell>
          <cell r="V134">
            <v>0</v>
          </cell>
          <cell r="W134">
            <v>0</v>
          </cell>
          <cell r="X134">
            <v>0</v>
          </cell>
          <cell r="Y134">
            <v>0</v>
          </cell>
          <cell r="Z134">
            <v>0</v>
          </cell>
          <cell r="AA134">
            <v>0</v>
          </cell>
          <cell r="AB134">
            <v>0</v>
          </cell>
          <cell r="AC134">
            <v>0</v>
          </cell>
          <cell r="AF134">
            <v>0</v>
          </cell>
          <cell r="AG134">
            <v>0</v>
          </cell>
          <cell r="AH134">
            <v>0</v>
          </cell>
          <cell r="AJ134">
            <v>0</v>
          </cell>
          <cell r="AK134">
            <v>0</v>
          </cell>
          <cell r="AL134">
            <v>0</v>
          </cell>
          <cell r="AM134">
            <v>0</v>
          </cell>
          <cell r="AO134">
            <v>0</v>
          </cell>
          <cell r="AP134">
            <v>0</v>
          </cell>
          <cell r="AQ134">
            <v>0</v>
          </cell>
          <cell r="AR134">
            <v>0</v>
          </cell>
          <cell r="AS134">
            <v>0</v>
          </cell>
          <cell r="AT134">
            <v>0</v>
          </cell>
          <cell r="AU134">
            <v>0</v>
          </cell>
          <cell r="AV134">
            <v>0</v>
          </cell>
          <cell r="AW134">
            <v>0</v>
          </cell>
          <cell r="AX134">
            <v>0</v>
          </cell>
          <cell r="AY134">
            <v>0</v>
          </cell>
          <cell r="BB134">
            <v>0</v>
          </cell>
          <cell r="BC134">
            <v>0</v>
          </cell>
          <cell r="BD134">
            <v>0</v>
          </cell>
          <cell r="BF134">
            <v>0</v>
          </cell>
          <cell r="BG134">
            <v>0</v>
          </cell>
          <cell r="BH134">
            <v>0</v>
          </cell>
          <cell r="BI134">
            <v>0</v>
          </cell>
          <cell r="BK134">
            <v>0</v>
          </cell>
          <cell r="BL134">
            <v>0</v>
          </cell>
          <cell r="BM134">
            <v>0</v>
          </cell>
          <cell r="BN134">
            <v>0</v>
          </cell>
          <cell r="BO134">
            <v>0</v>
          </cell>
          <cell r="BP134">
            <v>0</v>
          </cell>
          <cell r="BQ134">
            <v>0</v>
          </cell>
          <cell r="BR134">
            <v>0</v>
          </cell>
          <cell r="BS134">
            <v>0</v>
          </cell>
          <cell r="BT134">
            <v>0</v>
          </cell>
          <cell r="BU134">
            <v>0</v>
          </cell>
          <cell r="BX134">
            <v>0</v>
          </cell>
          <cell r="BY134">
            <v>0</v>
          </cell>
          <cell r="BZ134">
            <v>0</v>
          </cell>
          <cell r="CB134">
            <v>0</v>
          </cell>
          <cell r="CC134">
            <v>0</v>
          </cell>
          <cell r="CD134">
            <v>0</v>
          </cell>
          <cell r="CE134">
            <v>0</v>
          </cell>
          <cell r="CG134">
            <v>0</v>
          </cell>
          <cell r="CH134">
            <v>0</v>
          </cell>
          <cell r="CI134">
            <v>0</v>
          </cell>
          <cell r="CJ134">
            <v>0</v>
          </cell>
          <cell r="CK134">
            <v>0</v>
          </cell>
          <cell r="CL134">
            <v>0</v>
          </cell>
          <cell r="CM134">
            <v>0</v>
          </cell>
          <cell r="CN134">
            <v>0</v>
          </cell>
          <cell r="CO134">
            <v>0</v>
          </cell>
          <cell r="FD134">
            <v>0</v>
          </cell>
          <cell r="FE134">
            <v>0</v>
          </cell>
          <cell r="FF134">
            <v>0</v>
          </cell>
          <cell r="FG134">
            <v>0</v>
          </cell>
          <cell r="FJ134">
            <v>0</v>
          </cell>
          <cell r="FK134">
            <v>0</v>
          </cell>
          <cell r="FL134">
            <v>0</v>
          </cell>
          <cell r="FN134">
            <v>0</v>
          </cell>
          <cell r="FO134">
            <v>0</v>
          </cell>
          <cell r="FP134">
            <v>0</v>
          </cell>
          <cell r="FQ134">
            <v>0</v>
          </cell>
          <cell r="FS134">
            <v>0</v>
          </cell>
          <cell r="FT134">
            <v>0</v>
          </cell>
          <cell r="FU134">
            <v>0</v>
          </cell>
          <cell r="FV134">
            <v>0</v>
          </cell>
          <cell r="FW134">
            <v>0</v>
          </cell>
          <cell r="FX134">
            <v>0</v>
          </cell>
          <cell r="FY134">
            <v>0</v>
          </cell>
          <cell r="FZ134">
            <v>0</v>
          </cell>
          <cell r="GA134">
            <v>0</v>
          </cell>
        </row>
        <row r="135">
          <cell r="A135" t="str">
            <v>F_BPP_NRF_ASS_EMP_FRCE_AFP</v>
          </cell>
          <cell r="E135">
            <v>0</v>
          </cell>
          <cell r="F135">
            <v>0</v>
          </cell>
          <cell r="G135">
            <v>0</v>
          </cell>
          <cell r="J135">
            <v>0</v>
          </cell>
          <cell r="K135">
            <v>0</v>
          </cell>
          <cell r="L135">
            <v>0</v>
          </cell>
          <cell r="N135">
            <v>0</v>
          </cell>
          <cell r="O135">
            <v>0</v>
          </cell>
          <cell r="P135">
            <v>0</v>
          </cell>
          <cell r="Q135">
            <v>0</v>
          </cell>
          <cell r="S135">
            <v>0</v>
          </cell>
          <cell r="T135">
            <v>0</v>
          </cell>
          <cell r="U135">
            <v>0</v>
          </cell>
          <cell r="V135">
            <v>0</v>
          </cell>
          <cell r="W135">
            <v>0</v>
          </cell>
          <cell r="X135">
            <v>0</v>
          </cell>
          <cell r="Y135">
            <v>0</v>
          </cell>
          <cell r="Z135">
            <v>0</v>
          </cell>
          <cell r="AA135">
            <v>0</v>
          </cell>
          <cell r="AB135">
            <v>0</v>
          </cell>
          <cell r="AC135">
            <v>0</v>
          </cell>
          <cell r="AF135">
            <v>0</v>
          </cell>
          <cell r="AG135">
            <v>0</v>
          </cell>
          <cell r="AH135">
            <v>0</v>
          </cell>
          <cell r="AJ135">
            <v>0</v>
          </cell>
          <cell r="AK135">
            <v>0</v>
          </cell>
          <cell r="AL135">
            <v>0</v>
          </cell>
          <cell r="AM135">
            <v>0</v>
          </cell>
          <cell r="AO135">
            <v>0</v>
          </cell>
          <cell r="AP135">
            <v>0</v>
          </cell>
          <cell r="AQ135">
            <v>0</v>
          </cell>
          <cell r="AR135">
            <v>0</v>
          </cell>
          <cell r="AS135">
            <v>0</v>
          </cell>
          <cell r="AT135">
            <v>0</v>
          </cell>
          <cell r="AU135">
            <v>0</v>
          </cell>
          <cell r="AV135">
            <v>0</v>
          </cell>
          <cell r="AW135">
            <v>0</v>
          </cell>
          <cell r="AX135">
            <v>0</v>
          </cell>
          <cell r="AY135">
            <v>0</v>
          </cell>
          <cell r="BB135">
            <v>0</v>
          </cell>
          <cell r="BC135">
            <v>0</v>
          </cell>
          <cell r="BD135">
            <v>0</v>
          </cell>
          <cell r="BF135">
            <v>0</v>
          </cell>
          <cell r="BG135">
            <v>0</v>
          </cell>
          <cell r="BH135">
            <v>0</v>
          </cell>
          <cell r="BI135">
            <v>0</v>
          </cell>
          <cell r="BK135">
            <v>0</v>
          </cell>
          <cell r="BL135">
            <v>0</v>
          </cell>
          <cell r="BM135">
            <v>0</v>
          </cell>
          <cell r="BN135">
            <v>0</v>
          </cell>
          <cell r="BO135">
            <v>0</v>
          </cell>
          <cell r="BP135">
            <v>0</v>
          </cell>
          <cell r="BQ135">
            <v>0</v>
          </cell>
          <cell r="BR135">
            <v>0</v>
          </cell>
          <cell r="BS135">
            <v>0</v>
          </cell>
          <cell r="BT135">
            <v>0</v>
          </cell>
          <cell r="BU135">
            <v>0</v>
          </cell>
          <cell r="BX135">
            <v>0</v>
          </cell>
          <cell r="BY135">
            <v>0</v>
          </cell>
          <cell r="BZ135">
            <v>0</v>
          </cell>
          <cell r="CB135">
            <v>0</v>
          </cell>
          <cell r="CC135">
            <v>0</v>
          </cell>
          <cell r="CD135">
            <v>0</v>
          </cell>
          <cell r="CE135">
            <v>0</v>
          </cell>
          <cell r="CG135">
            <v>0</v>
          </cell>
          <cell r="CH135">
            <v>0</v>
          </cell>
          <cell r="CI135">
            <v>0</v>
          </cell>
          <cell r="CJ135">
            <v>0</v>
          </cell>
          <cell r="CK135">
            <v>0</v>
          </cell>
          <cell r="CL135">
            <v>0</v>
          </cell>
          <cell r="CM135">
            <v>0</v>
          </cell>
          <cell r="CN135">
            <v>0</v>
          </cell>
          <cell r="CO135">
            <v>0</v>
          </cell>
          <cell r="FD135">
            <v>0</v>
          </cell>
          <cell r="FE135">
            <v>0</v>
          </cell>
          <cell r="FF135">
            <v>0</v>
          </cell>
          <cell r="FG135">
            <v>0</v>
          </cell>
          <cell r="FJ135">
            <v>0</v>
          </cell>
          <cell r="FK135">
            <v>0</v>
          </cell>
          <cell r="FL135">
            <v>0</v>
          </cell>
          <cell r="FN135">
            <v>0</v>
          </cell>
          <cell r="FO135">
            <v>0</v>
          </cell>
          <cell r="FP135">
            <v>0</v>
          </cell>
          <cell r="FQ135">
            <v>0</v>
          </cell>
          <cell r="FS135">
            <v>0</v>
          </cell>
          <cell r="FT135">
            <v>0</v>
          </cell>
          <cell r="FU135">
            <v>0</v>
          </cell>
          <cell r="FV135">
            <v>0</v>
          </cell>
          <cell r="FW135">
            <v>0</v>
          </cell>
          <cell r="FX135">
            <v>0</v>
          </cell>
          <cell r="FY135">
            <v>0</v>
          </cell>
          <cell r="FZ135">
            <v>0</v>
          </cell>
          <cell r="GA135">
            <v>0</v>
          </cell>
        </row>
        <row r="136">
          <cell r="A136" t="str">
            <v>F_BPP_NRF_CPT_PRP_FRCE_AFP</v>
          </cell>
          <cell r="E136">
            <v>0</v>
          </cell>
          <cell r="F136">
            <v>0</v>
          </cell>
          <cell r="G136">
            <v>0</v>
          </cell>
          <cell r="J136">
            <v>0</v>
          </cell>
          <cell r="K136">
            <v>0</v>
          </cell>
          <cell r="L136">
            <v>0</v>
          </cell>
          <cell r="N136">
            <v>0</v>
          </cell>
          <cell r="O136">
            <v>0</v>
          </cell>
          <cell r="P136">
            <v>0</v>
          </cell>
          <cell r="Q136">
            <v>0</v>
          </cell>
          <cell r="S136">
            <v>0</v>
          </cell>
          <cell r="T136">
            <v>0</v>
          </cell>
          <cell r="U136">
            <v>0</v>
          </cell>
          <cell r="V136">
            <v>0</v>
          </cell>
          <cell r="W136">
            <v>0</v>
          </cell>
          <cell r="X136">
            <v>0</v>
          </cell>
          <cell r="Y136">
            <v>0</v>
          </cell>
          <cell r="Z136">
            <v>0</v>
          </cell>
          <cell r="AA136">
            <v>0</v>
          </cell>
          <cell r="AB136">
            <v>0</v>
          </cell>
          <cell r="AC136">
            <v>0</v>
          </cell>
          <cell r="AF136">
            <v>0</v>
          </cell>
          <cell r="AG136">
            <v>0</v>
          </cell>
          <cell r="AH136">
            <v>0</v>
          </cell>
          <cell r="AJ136">
            <v>0</v>
          </cell>
          <cell r="AK136">
            <v>0</v>
          </cell>
          <cell r="AL136">
            <v>0</v>
          </cell>
          <cell r="AM136">
            <v>0</v>
          </cell>
          <cell r="AO136">
            <v>0</v>
          </cell>
          <cell r="AP136">
            <v>0</v>
          </cell>
          <cell r="AQ136">
            <v>0</v>
          </cell>
          <cell r="AR136">
            <v>0</v>
          </cell>
          <cell r="AS136">
            <v>0</v>
          </cell>
          <cell r="AT136">
            <v>0</v>
          </cell>
          <cell r="AU136">
            <v>0</v>
          </cell>
          <cell r="AV136">
            <v>0</v>
          </cell>
          <cell r="AW136">
            <v>0</v>
          </cell>
          <cell r="AX136">
            <v>0</v>
          </cell>
          <cell r="AY136">
            <v>0</v>
          </cell>
          <cell r="BB136">
            <v>0</v>
          </cell>
          <cell r="BC136">
            <v>0</v>
          </cell>
          <cell r="BD136">
            <v>0</v>
          </cell>
          <cell r="BF136">
            <v>0</v>
          </cell>
          <cell r="BG136">
            <v>0</v>
          </cell>
          <cell r="BH136">
            <v>0</v>
          </cell>
          <cell r="BI136">
            <v>0</v>
          </cell>
          <cell r="BK136">
            <v>0</v>
          </cell>
          <cell r="BL136">
            <v>0</v>
          </cell>
          <cell r="BM136">
            <v>0</v>
          </cell>
          <cell r="BN136">
            <v>0</v>
          </cell>
          <cell r="BO136">
            <v>0</v>
          </cell>
          <cell r="BP136">
            <v>0</v>
          </cell>
          <cell r="BQ136">
            <v>0</v>
          </cell>
          <cell r="BR136">
            <v>0</v>
          </cell>
          <cell r="BS136">
            <v>0</v>
          </cell>
          <cell r="BT136">
            <v>0</v>
          </cell>
          <cell r="BU136">
            <v>0</v>
          </cell>
          <cell r="BX136">
            <v>0</v>
          </cell>
          <cell r="BY136">
            <v>0</v>
          </cell>
          <cell r="BZ136">
            <v>0</v>
          </cell>
          <cell r="CB136">
            <v>0</v>
          </cell>
          <cell r="CC136">
            <v>0</v>
          </cell>
          <cell r="CD136">
            <v>0</v>
          </cell>
          <cell r="CE136">
            <v>0</v>
          </cell>
          <cell r="CG136">
            <v>0</v>
          </cell>
          <cell r="CH136">
            <v>0</v>
          </cell>
          <cell r="CI136">
            <v>0</v>
          </cell>
          <cell r="CJ136">
            <v>0</v>
          </cell>
          <cell r="CK136">
            <v>0</v>
          </cell>
          <cell r="CL136">
            <v>0</v>
          </cell>
          <cell r="CM136">
            <v>0</v>
          </cell>
          <cell r="CN136">
            <v>0</v>
          </cell>
          <cell r="CO136">
            <v>0</v>
          </cell>
          <cell r="FD136">
            <v>0</v>
          </cell>
          <cell r="FE136">
            <v>0</v>
          </cell>
          <cell r="FF136">
            <v>0</v>
          </cell>
          <cell r="FG136">
            <v>0</v>
          </cell>
          <cell r="FJ136">
            <v>0</v>
          </cell>
          <cell r="FK136">
            <v>0</v>
          </cell>
          <cell r="FL136">
            <v>0</v>
          </cell>
          <cell r="FN136">
            <v>0</v>
          </cell>
          <cell r="FO136">
            <v>0</v>
          </cell>
          <cell r="FP136">
            <v>0</v>
          </cell>
          <cell r="FQ136">
            <v>0</v>
          </cell>
          <cell r="FS136">
            <v>0</v>
          </cell>
          <cell r="FT136">
            <v>0</v>
          </cell>
          <cell r="FU136">
            <v>0</v>
          </cell>
          <cell r="FV136">
            <v>0</v>
          </cell>
          <cell r="FW136">
            <v>0</v>
          </cell>
          <cell r="FX136">
            <v>0</v>
          </cell>
          <cell r="FY136">
            <v>0</v>
          </cell>
          <cell r="FZ136">
            <v>0</v>
          </cell>
          <cell r="GA136">
            <v>0</v>
          </cell>
        </row>
        <row r="137">
          <cell r="A137" t="str">
            <v>F_ITV_NRF_EPA_EUR_FRCE_ITA</v>
          </cell>
          <cell r="E137">
            <v>635497329.90656209</v>
          </cell>
          <cell r="F137">
            <v>657464882.54210162</v>
          </cell>
          <cell r="G137">
            <v>657464882.54210162</v>
          </cell>
          <cell r="J137">
            <v>657464882.54210162</v>
          </cell>
          <cell r="K137">
            <v>657464882.54210162</v>
          </cell>
          <cell r="L137">
            <v>657464882.54210162</v>
          </cell>
          <cell r="N137">
            <v>657464882.54210162</v>
          </cell>
          <cell r="O137">
            <v>657464882.54210162</v>
          </cell>
          <cell r="P137">
            <v>657464882.54210162</v>
          </cell>
          <cell r="Q137">
            <v>657464882.54210162</v>
          </cell>
          <cell r="S137">
            <v>657464882.54210162</v>
          </cell>
          <cell r="T137">
            <v>657464882.54210162</v>
          </cell>
          <cell r="U137">
            <v>657464882.54210162</v>
          </cell>
          <cell r="V137">
            <v>657464882.54210162</v>
          </cell>
          <cell r="W137">
            <v>657464882.54210162</v>
          </cell>
          <cell r="X137">
            <v>657464882.54210162</v>
          </cell>
          <cell r="Y137">
            <v>657464882.54210162</v>
          </cell>
          <cell r="Z137">
            <v>657464882.54210162</v>
          </cell>
          <cell r="AA137">
            <v>657464882.54210162</v>
          </cell>
          <cell r="AB137">
            <v>684880392.09801137</v>
          </cell>
          <cell r="AC137">
            <v>630415918.30412972</v>
          </cell>
          <cell r="AF137">
            <v>629117521.0273155</v>
          </cell>
          <cell r="AG137">
            <v>657464882.54210162</v>
          </cell>
          <cell r="AH137">
            <v>657464882.54210162</v>
          </cell>
          <cell r="AJ137">
            <v>655798770.72314954</v>
          </cell>
          <cell r="AK137">
            <v>657464882.54210162</v>
          </cell>
          <cell r="AL137">
            <v>657464882.54210162</v>
          </cell>
          <cell r="AM137">
            <v>657464882.45448387</v>
          </cell>
          <cell r="AO137">
            <v>616867746.6502068</v>
          </cell>
          <cell r="AP137">
            <v>657464882.54210162</v>
          </cell>
          <cell r="AQ137">
            <v>657464882.54210162</v>
          </cell>
          <cell r="AR137">
            <v>657464882.54210162</v>
          </cell>
          <cell r="AS137">
            <v>657464882.54210162</v>
          </cell>
          <cell r="AT137">
            <v>657464882.54210162</v>
          </cell>
          <cell r="AU137">
            <v>657464882.54210162</v>
          </cell>
          <cell r="AV137">
            <v>654372528.83800173</v>
          </cell>
          <cell r="AW137">
            <v>657429356.91999686</v>
          </cell>
          <cell r="AX137">
            <v>633607586.24081159</v>
          </cell>
          <cell r="AY137">
            <v>633607586.24081159</v>
          </cell>
          <cell r="BB137">
            <v>633607586.24081159</v>
          </cell>
          <cell r="BC137">
            <v>633607586.24081159</v>
          </cell>
          <cell r="BD137">
            <v>633607586.24081159</v>
          </cell>
          <cell r="BF137">
            <v>633607586.24081159</v>
          </cell>
          <cell r="BG137">
            <v>633607586.24081159</v>
          </cell>
          <cell r="BH137">
            <v>633607586.24081159</v>
          </cell>
          <cell r="BI137">
            <v>633607586.24081159</v>
          </cell>
          <cell r="BK137">
            <v>633607586.24081159</v>
          </cell>
          <cell r="BL137">
            <v>633607586.24081159</v>
          </cell>
          <cell r="BM137">
            <v>633607586.24081159</v>
          </cell>
          <cell r="BN137">
            <v>633607586.24081159</v>
          </cell>
          <cell r="BO137">
            <v>633607586.24081159</v>
          </cell>
          <cell r="BP137">
            <v>633607586.24081159</v>
          </cell>
          <cell r="BQ137">
            <v>633607586.24081159</v>
          </cell>
          <cell r="BR137">
            <v>633607586.24081159</v>
          </cell>
          <cell r="BS137">
            <v>633607586.24081159</v>
          </cell>
          <cell r="BT137">
            <v>665092595.34535229</v>
          </cell>
          <cell r="BU137">
            <v>605866494.36767626</v>
          </cell>
          <cell r="BX137">
            <v>633607586.24081159</v>
          </cell>
          <cell r="BY137">
            <v>633607586.24081159</v>
          </cell>
          <cell r="BZ137">
            <v>633607586.24081159</v>
          </cell>
          <cell r="CB137">
            <v>633607586.24081159</v>
          </cell>
          <cell r="CC137">
            <v>633607586.24081159</v>
          </cell>
          <cell r="CD137">
            <v>633607586.24081159</v>
          </cell>
          <cell r="CE137">
            <v>633607586.24081159</v>
          </cell>
          <cell r="CG137">
            <v>633607586.24081159</v>
          </cell>
          <cell r="CH137">
            <v>633607586.24081159</v>
          </cell>
          <cell r="CI137">
            <v>633607586.24081159</v>
          </cell>
          <cell r="CJ137">
            <v>633607586.24081159</v>
          </cell>
          <cell r="CK137">
            <v>633607586.24081159</v>
          </cell>
          <cell r="CL137">
            <v>633607586.24081159</v>
          </cell>
          <cell r="CM137">
            <v>633607586.24081159</v>
          </cell>
          <cell r="CN137">
            <v>633607586.24081159</v>
          </cell>
          <cell r="CO137">
            <v>640141416.17103791</v>
          </cell>
          <cell r="FD137">
            <v>508323010.44699609</v>
          </cell>
          <cell r="FE137">
            <v>508794975.32548136</v>
          </cell>
          <cell r="FF137">
            <v>661335617.55274296</v>
          </cell>
          <cell r="FG137">
            <v>606857750.46889734</v>
          </cell>
          <cell r="FJ137">
            <v>608267931.91777158</v>
          </cell>
          <cell r="FK137">
            <v>633607586.24081159</v>
          </cell>
          <cell r="FL137">
            <v>633607586.24081159</v>
          </cell>
          <cell r="FN137">
            <v>632080068.0769546</v>
          </cell>
          <cell r="FO137">
            <v>633607586.24081159</v>
          </cell>
          <cell r="FP137">
            <v>633607586.24081159</v>
          </cell>
          <cell r="FQ137">
            <v>633607587.76246428</v>
          </cell>
          <cell r="FS137">
            <v>598386876.12526023</v>
          </cell>
          <cell r="FT137">
            <v>633607586.24081159</v>
          </cell>
          <cell r="FU137">
            <v>633607586.24081159</v>
          </cell>
          <cell r="FV137">
            <v>633607586.24081159</v>
          </cell>
          <cell r="FW137">
            <v>633607586.24081159</v>
          </cell>
          <cell r="FX137">
            <v>633607586.24081159</v>
          </cell>
          <cell r="FY137">
            <v>633607586.24081159</v>
          </cell>
          <cell r="FZ137">
            <v>630767827.72097933</v>
          </cell>
          <cell r="GA137">
            <v>634224521.09529042</v>
          </cell>
        </row>
        <row r="138">
          <cell r="A138" t="str">
            <v>F_ITV_NRF_CPT_PRP_FRCE_ITF</v>
          </cell>
          <cell r="E138">
            <v>0</v>
          </cell>
          <cell r="F138">
            <v>0</v>
          </cell>
          <cell r="G138">
            <v>0</v>
          </cell>
          <cell r="J138">
            <v>0</v>
          </cell>
          <cell r="K138">
            <v>0</v>
          </cell>
          <cell r="L138">
            <v>0</v>
          </cell>
          <cell r="N138">
            <v>0</v>
          </cell>
          <cell r="O138">
            <v>0</v>
          </cell>
          <cell r="P138">
            <v>0</v>
          </cell>
          <cell r="Q138">
            <v>0</v>
          </cell>
          <cell r="S138">
            <v>0</v>
          </cell>
          <cell r="T138">
            <v>0</v>
          </cell>
          <cell r="U138">
            <v>0</v>
          </cell>
          <cell r="V138">
            <v>0</v>
          </cell>
          <cell r="W138">
            <v>0</v>
          </cell>
          <cell r="X138">
            <v>0</v>
          </cell>
          <cell r="Y138">
            <v>0</v>
          </cell>
          <cell r="Z138">
            <v>0</v>
          </cell>
          <cell r="AA138">
            <v>0</v>
          </cell>
          <cell r="AB138">
            <v>0</v>
          </cell>
          <cell r="AC138">
            <v>0</v>
          </cell>
          <cell r="AF138">
            <v>0</v>
          </cell>
          <cell r="AG138">
            <v>0</v>
          </cell>
          <cell r="AH138">
            <v>0</v>
          </cell>
          <cell r="AJ138">
            <v>0</v>
          </cell>
          <cell r="AK138">
            <v>0</v>
          </cell>
          <cell r="AL138">
            <v>0</v>
          </cell>
          <cell r="AM138">
            <v>0</v>
          </cell>
          <cell r="AO138">
            <v>0</v>
          </cell>
          <cell r="AP138">
            <v>0</v>
          </cell>
          <cell r="AQ138">
            <v>0</v>
          </cell>
          <cell r="AR138">
            <v>0</v>
          </cell>
          <cell r="AS138">
            <v>0</v>
          </cell>
          <cell r="AT138">
            <v>0</v>
          </cell>
          <cell r="AU138">
            <v>0</v>
          </cell>
          <cell r="AV138">
            <v>0</v>
          </cell>
          <cell r="AW138">
            <v>0</v>
          </cell>
          <cell r="AX138">
            <v>0</v>
          </cell>
          <cell r="AY138">
            <v>0</v>
          </cell>
          <cell r="BB138">
            <v>0</v>
          </cell>
          <cell r="BC138">
            <v>0</v>
          </cell>
          <cell r="BD138">
            <v>0</v>
          </cell>
          <cell r="BF138">
            <v>0</v>
          </cell>
          <cell r="BG138">
            <v>0</v>
          </cell>
          <cell r="BH138">
            <v>0</v>
          </cell>
          <cell r="BI138">
            <v>0</v>
          </cell>
          <cell r="BK138">
            <v>0</v>
          </cell>
          <cell r="BL138">
            <v>0</v>
          </cell>
          <cell r="BM138">
            <v>0</v>
          </cell>
          <cell r="BN138">
            <v>0</v>
          </cell>
          <cell r="BO138">
            <v>0</v>
          </cell>
          <cell r="BP138">
            <v>0</v>
          </cell>
          <cell r="BQ138">
            <v>0</v>
          </cell>
          <cell r="BR138">
            <v>0</v>
          </cell>
          <cell r="BS138">
            <v>0</v>
          </cell>
          <cell r="BT138">
            <v>0</v>
          </cell>
          <cell r="BU138">
            <v>0</v>
          </cell>
          <cell r="BX138">
            <v>0</v>
          </cell>
          <cell r="BY138">
            <v>0</v>
          </cell>
          <cell r="BZ138">
            <v>0</v>
          </cell>
          <cell r="CB138">
            <v>0</v>
          </cell>
          <cell r="CC138">
            <v>0</v>
          </cell>
          <cell r="CD138">
            <v>0</v>
          </cell>
          <cell r="CE138">
            <v>0</v>
          </cell>
          <cell r="CG138">
            <v>0</v>
          </cell>
          <cell r="CH138">
            <v>0</v>
          </cell>
          <cell r="CI138">
            <v>0</v>
          </cell>
          <cell r="CJ138">
            <v>0</v>
          </cell>
          <cell r="CK138">
            <v>0</v>
          </cell>
          <cell r="CL138">
            <v>0</v>
          </cell>
          <cell r="CM138">
            <v>0</v>
          </cell>
          <cell r="CN138">
            <v>0</v>
          </cell>
          <cell r="CO138">
            <v>0</v>
          </cell>
          <cell r="FD138">
            <v>0</v>
          </cell>
          <cell r="FE138">
            <v>0</v>
          </cell>
          <cell r="FF138">
            <v>0</v>
          </cell>
          <cell r="FG138">
            <v>0</v>
          </cell>
          <cell r="FJ138">
            <v>0</v>
          </cell>
          <cell r="FK138">
            <v>0</v>
          </cell>
          <cell r="FL138">
            <v>0</v>
          </cell>
          <cell r="FN138">
            <v>0</v>
          </cell>
          <cell r="FO138">
            <v>0</v>
          </cell>
          <cell r="FP138">
            <v>0</v>
          </cell>
          <cell r="FQ138">
            <v>0</v>
          </cell>
          <cell r="FS138">
            <v>0</v>
          </cell>
          <cell r="FT138">
            <v>0</v>
          </cell>
          <cell r="FU138">
            <v>0</v>
          </cell>
          <cell r="FV138">
            <v>0</v>
          </cell>
          <cell r="FW138">
            <v>0</v>
          </cell>
          <cell r="FX138">
            <v>0</v>
          </cell>
          <cell r="FY138">
            <v>0</v>
          </cell>
          <cell r="FZ138">
            <v>0</v>
          </cell>
          <cell r="GA138">
            <v>0</v>
          </cell>
        </row>
        <row r="139">
          <cell r="A139" t="str">
            <v>F_PVP_NRF_EPA_EUR_FRCE_PVA</v>
          </cell>
          <cell r="E139">
            <v>1933432473.5180213</v>
          </cell>
          <cell r="F139">
            <v>1917802158.4138956</v>
          </cell>
          <cell r="G139">
            <v>1917802158.4138956</v>
          </cell>
          <cell r="J139">
            <v>1917802158.4138956</v>
          </cell>
          <cell r="K139">
            <v>1917802158.4138956</v>
          </cell>
          <cell r="L139">
            <v>1917802158.4138956</v>
          </cell>
          <cell r="N139">
            <v>1917802158.4138956</v>
          </cell>
          <cell r="O139">
            <v>1917802158.4138956</v>
          </cell>
          <cell r="P139">
            <v>1917802158.4138956</v>
          </cell>
          <cell r="Q139">
            <v>1917802158.4138956</v>
          </cell>
          <cell r="S139">
            <v>1917802158.4138956</v>
          </cell>
          <cell r="T139">
            <v>1917802158.4138956</v>
          </cell>
          <cell r="U139">
            <v>1917802158.4138956</v>
          </cell>
          <cell r="V139">
            <v>1917802158.4138956</v>
          </cell>
          <cell r="W139">
            <v>1917802158.4138956</v>
          </cell>
          <cell r="X139">
            <v>1917802158.4138956</v>
          </cell>
          <cell r="Y139">
            <v>1917802158.4138956</v>
          </cell>
          <cell r="Z139">
            <v>1917802158.4138956</v>
          </cell>
          <cell r="AA139">
            <v>1917802158.4138956</v>
          </cell>
          <cell r="AB139">
            <v>1988218788.2083318</v>
          </cell>
          <cell r="AC139">
            <v>1846448340.4671559</v>
          </cell>
          <cell r="AF139">
            <v>1820848775.1774116</v>
          </cell>
          <cell r="AG139">
            <v>1917802158.4138956</v>
          </cell>
          <cell r="AH139">
            <v>1917802158.4138956</v>
          </cell>
          <cell r="AJ139">
            <v>1908862230.1133223</v>
          </cell>
          <cell r="AK139">
            <v>1917802158.4138956</v>
          </cell>
          <cell r="AL139">
            <v>1917802158.4138956</v>
          </cell>
          <cell r="AM139">
            <v>1917802154.2348382</v>
          </cell>
          <cell r="AO139">
            <v>1826123084.2583959</v>
          </cell>
          <cell r="AP139">
            <v>1917802158.4138956</v>
          </cell>
          <cell r="AQ139">
            <v>1917802158.4138956</v>
          </cell>
          <cell r="AR139">
            <v>1917802158.4138956</v>
          </cell>
          <cell r="AS139">
            <v>1917802158.4138956</v>
          </cell>
          <cell r="AT139">
            <v>1917802158.4138956</v>
          </cell>
          <cell r="AU139">
            <v>1917802158.4138956</v>
          </cell>
          <cell r="AV139">
            <v>1916560401.0755122</v>
          </cell>
          <cell r="AW139">
            <v>1917812289.0357728</v>
          </cell>
          <cell r="AX139">
            <v>1891726394.4337497</v>
          </cell>
          <cell r="AY139">
            <v>1891726394.4337497</v>
          </cell>
          <cell r="BB139">
            <v>1891726394.4337497</v>
          </cell>
          <cell r="BC139">
            <v>1891726394.4337497</v>
          </cell>
          <cell r="BD139">
            <v>1891726394.4337497</v>
          </cell>
          <cell r="BF139">
            <v>1891726394.4337497</v>
          </cell>
          <cell r="BG139">
            <v>1891726394.4337497</v>
          </cell>
          <cell r="BH139">
            <v>1891726394.4337497</v>
          </cell>
          <cell r="BI139">
            <v>1891726394.4337497</v>
          </cell>
          <cell r="BK139">
            <v>1891726394.4337497</v>
          </cell>
          <cell r="BL139">
            <v>1891726394.4337497</v>
          </cell>
          <cell r="BM139">
            <v>1891726394.4337497</v>
          </cell>
          <cell r="BN139">
            <v>1891726394.4337497</v>
          </cell>
          <cell r="BO139">
            <v>1891726394.4337497</v>
          </cell>
          <cell r="BP139">
            <v>1891726394.4337497</v>
          </cell>
          <cell r="BQ139">
            <v>1891726394.4337497</v>
          </cell>
          <cell r="BR139">
            <v>1891726394.4337497</v>
          </cell>
          <cell r="BS139">
            <v>1891726394.4337497</v>
          </cell>
          <cell r="BT139">
            <v>1991571768.8783829</v>
          </cell>
          <cell r="BU139">
            <v>1805252017.5559278</v>
          </cell>
          <cell r="BX139">
            <v>1891726394.4337497</v>
          </cell>
          <cell r="BY139">
            <v>1891726394.4337497</v>
          </cell>
          <cell r="BZ139">
            <v>1891726394.4337497</v>
          </cell>
          <cell r="CB139">
            <v>1891726394.4337497</v>
          </cell>
          <cell r="CC139">
            <v>1891726394.4337497</v>
          </cell>
          <cell r="CD139">
            <v>1891726394.4337497</v>
          </cell>
          <cell r="CE139">
            <v>1891726394.4337497</v>
          </cell>
          <cell r="CG139">
            <v>1891726394.4337497</v>
          </cell>
          <cell r="CH139">
            <v>1891726394.4337497</v>
          </cell>
          <cell r="CI139">
            <v>1891726394.4337497</v>
          </cell>
          <cell r="CJ139">
            <v>1891726394.4337497</v>
          </cell>
          <cell r="CK139">
            <v>1891726394.4337497</v>
          </cell>
          <cell r="CL139">
            <v>1891726394.4337497</v>
          </cell>
          <cell r="CM139">
            <v>1891726394.4337497</v>
          </cell>
          <cell r="CN139">
            <v>1891726394.4337497</v>
          </cell>
          <cell r="CO139">
            <v>1911807392.6948955</v>
          </cell>
          <cell r="FD139">
            <v>1553938777.0625684</v>
          </cell>
          <cell r="FE139">
            <v>1588863788.3155351</v>
          </cell>
          <cell r="FF139">
            <v>1961370348.919719</v>
          </cell>
          <cell r="FG139">
            <v>1821756598.4163449</v>
          </cell>
          <cell r="FJ139">
            <v>1795130105.7200198</v>
          </cell>
          <cell r="FK139">
            <v>1891726394.4337497</v>
          </cell>
          <cell r="FL139">
            <v>1891726394.4337497</v>
          </cell>
          <cell r="FN139">
            <v>1882807354.8722792</v>
          </cell>
          <cell r="FO139">
            <v>1891726394.4337497</v>
          </cell>
          <cell r="FP139">
            <v>1891726394.4337497</v>
          </cell>
          <cell r="FQ139">
            <v>1891726430.277319</v>
          </cell>
          <cell r="FS139">
            <v>1800505560.0894854</v>
          </cell>
          <cell r="FT139">
            <v>1891726394.4337497</v>
          </cell>
          <cell r="FU139">
            <v>1891726394.4337497</v>
          </cell>
          <cell r="FV139">
            <v>1891726394.4337497</v>
          </cell>
          <cell r="FW139">
            <v>1891726394.4337497</v>
          </cell>
          <cell r="FX139">
            <v>1891726394.4337497</v>
          </cell>
          <cell r="FY139">
            <v>1891726394.4337497</v>
          </cell>
          <cell r="FZ139">
            <v>1890488004.4616933</v>
          </cell>
          <cell r="GA139">
            <v>1891550419.7288718</v>
          </cell>
        </row>
        <row r="140">
          <cell r="A140" t="str">
            <v>F_PVP_NRF_EPA_EUR_FRCE_PVI</v>
          </cell>
          <cell r="E140">
            <v>5408380757.6491051</v>
          </cell>
          <cell r="F140">
            <v>5621703590.4530611</v>
          </cell>
          <cell r="G140">
            <v>5621703590.4530611</v>
          </cell>
          <cell r="J140">
            <v>5621703590.4530611</v>
          </cell>
          <cell r="K140">
            <v>5621703590.4530611</v>
          </cell>
          <cell r="L140">
            <v>5621703590.4530611</v>
          </cell>
          <cell r="N140">
            <v>5621703590.4530611</v>
          </cell>
          <cell r="O140">
            <v>5621703590.4530611</v>
          </cell>
          <cell r="P140">
            <v>5621703590.4530611</v>
          </cell>
          <cell r="Q140">
            <v>5621703590.4530611</v>
          </cell>
          <cell r="S140">
            <v>5621703590.4530611</v>
          </cell>
          <cell r="T140">
            <v>5621703590.4530611</v>
          </cell>
          <cell r="U140">
            <v>5621703590.4530611</v>
          </cell>
          <cell r="V140">
            <v>5621703590.4530611</v>
          </cell>
          <cell r="W140">
            <v>5621703590.4530611</v>
          </cell>
          <cell r="X140">
            <v>5621703590.4530611</v>
          </cell>
          <cell r="Y140">
            <v>5621703590.4530611</v>
          </cell>
          <cell r="Z140">
            <v>5621703590.4530611</v>
          </cell>
          <cell r="AA140">
            <v>5621703590.4530611</v>
          </cell>
          <cell r="AB140">
            <v>5799425580.6119156</v>
          </cell>
          <cell r="AC140">
            <v>5439389726.6611147</v>
          </cell>
          <cell r="AF140">
            <v>5423507448.3146858</v>
          </cell>
          <cell r="AG140">
            <v>5621703590.4530611</v>
          </cell>
          <cell r="AH140">
            <v>5621703590.4530611</v>
          </cell>
          <cell r="AJ140">
            <v>5570776614.9261236</v>
          </cell>
          <cell r="AK140">
            <v>5621703590.4530611</v>
          </cell>
          <cell r="AL140">
            <v>5621703590.4530611</v>
          </cell>
          <cell r="AM140">
            <v>5621703584.0458279</v>
          </cell>
          <cell r="AO140">
            <v>5369424161.3130426</v>
          </cell>
          <cell r="AP140">
            <v>5621703590.4530611</v>
          </cell>
          <cell r="AQ140">
            <v>5621703590.4530611</v>
          </cell>
          <cell r="AR140">
            <v>5621703590.4530611</v>
          </cell>
          <cell r="AS140">
            <v>5621703590.4530611</v>
          </cell>
          <cell r="AT140">
            <v>5621703590.4530611</v>
          </cell>
          <cell r="AU140">
            <v>5621703590.4530611</v>
          </cell>
          <cell r="AV140">
            <v>5618274115.6720247</v>
          </cell>
          <cell r="AW140">
            <v>5621116420.0665884</v>
          </cell>
          <cell r="AX140">
            <v>5348651110.708744</v>
          </cell>
          <cell r="AY140">
            <v>5348651110.708744</v>
          </cell>
          <cell r="BB140">
            <v>5348651110.708744</v>
          </cell>
          <cell r="BC140">
            <v>5348651110.708744</v>
          </cell>
          <cell r="BD140">
            <v>5348651110.708744</v>
          </cell>
          <cell r="BF140">
            <v>5348651110.708744</v>
          </cell>
          <cell r="BG140">
            <v>5348651110.708744</v>
          </cell>
          <cell r="BH140">
            <v>5348651110.708744</v>
          </cell>
          <cell r="BI140">
            <v>5348651110.708744</v>
          </cell>
          <cell r="BK140">
            <v>5348651110.708744</v>
          </cell>
          <cell r="BL140">
            <v>5348651110.708744</v>
          </cell>
          <cell r="BM140">
            <v>5348651110.708744</v>
          </cell>
          <cell r="BN140">
            <v>5348651110.708744</v>
          </cell>
          <cell r="BO140">
            <v>5348651110.708744</v>
          </cell>
          <cell r="BP140">
            <v>5348651110.708744</v>
          </cell>
          <cell r="BQ140">
            <v>5348651110.708744</v>
          </cell>
          <cell r="BR140">
            <v>5348651110.708744</v>
          </cell>
          <cell r="BS140">
            <v>5348651110.708744</v>
          </cell>
          <cell r="BT140">
            <v>5636161187.5461302</v>
          </cell>
          <cell r="BU140">
            <v>5147186684.9339819</v>
          </cell>
          <cell r="BX140">
            <v>5348651110.708744</v>
          </cell>
          <cell r="BY140">
            <v>5348651110.708744</v>
          </cell>
          <cell r="BZ140">
            <v>5348651110.708744</v>
          </cell>
          <cell r="CB140">
            <v>5348651110.708744</v>
          </cell>
          <cell r="CC140">
            <v>5348651110.708744</v>
          </cell>
          <cell r="CD140">
            <v>5348651110.708744</v>
          </cell>
          <cell r="CE140">
            <v>5348651110.708744</v>
          </cell>
          <cell r="CG140">
            <v>5348651110.708744</v>
          </cell>
          <cell r="CH140">
            <v>5348651110.708744</v>
          </cell>
          <cell r="CI140">
            <v>5348651110.708744</v>
          </cell>
          <cell r="CJ140">
            <v>5348651110.708744</v>
          </cell>
          <cell r="CK140">
            <v>5348651110.708744</v>
          </cell>
          <cell r="CL140">
            <v>5348651110.708744</v>
          </cell>
          <cell r="CM140">
            <v>5348651110.708744</v>
          </cell>
          <cell r="CN140">
            <v>5348651110.708744</v>
          </cell>
          <cell r="CO140">
            <v>5408935362.4790668</v>
          </cell>
          <cell r="FD140">
            <v>4303013670.4875746</v>
          </cell>
          <cell r="FE140">
            <v>4373547382.2695265</v>
          </cell>
          <cell r="FF140">
            <v>5538669640.249649</v>
          </cell>
          <cell r="FG140">
            <v>5172436887.7537546</v>
          </cell>
          <cell r="FJ140">
            <v>5200114181.0250683</v>
          </cell>
          <cell r="FK140">
            <v>5348651110.708744</v>
          </cell>
          <cell r="FL140">
            <v>5348651110.708744</v>
          </cell>
          <cell r="FN140">
            <v>5309618524.4931002</v>
          </cell>
          <cell r="FO140">
            <v>5348651110.708744</v>
          </cell>
          <cell r="FP140">
            <v>5348651110.708744</v>
          </cell>
          <cell r="FQ140">
            <v>5348651221.9828329</v>
          </cell>
          <cell r="FS140">
            <v>5163537037.1376314</v>
          </cell>
          <cell r="FT140">
            <v>5348651110.708744</v>
          </cell>
          <cell r="FU140">
            <v>5348651110.708744</v>
          </cell>
          <cell r="FV140">
            <v>5348651110.708744</v>
          </cell>
          <cell r="FW140">
            <v>5348651110.708744</v>
          </cell>
          <cell r="FX140">
            <v>5348651110.708744</v>
          </cell>
          <cell r="FY140">
            <v>5348651110.708744</v>
          </cell>
          <cell r="FZ140">
            <v>5346005441.3597841</v>
          </cell>
          <cell r="GA140">
            <v>5358848504.2945337</v>
          </cell>
        </row>
        <row r="141">
          <cell r="A141" t="str">
            <v>F_PVP_NRF_CPT_PRP_FRCE_PVF</v>
          </cell>
          <cell r="E141">
            <v>0</v>
          </cell>
          <cell r="F141">
            <v>0</v>
          </cell>
          <cell r="G141">
            <v>0</v>
          </cell>
          <cell r="J141">
            <v>0</v>
          </cell>
          <cell r="K141">
            <v>0</v>
          </cell>
          <cell r="L141">
            <v>0</v>
          </cell>
          <cell r="N141">
            <v>0</v>
          </cell>
          <cell r="O141">
            <v>0</v>
          </cell>
          <cell r="P141">
            <v>0</v>
          </cell>
          <cell r="Q141">
            <v>0</v>
          </cell>
          <cell r="S141">
            <v>0</v>
          </cell>
          <cell r="T141">
            <v>0</v>
          </cell>
          <cell r="U141">
            <v>0</v>
          </cell>
          <cell r="V141">
            <v>0</v>
          </cell>
          <cell r="W141">
            <v>0</v>
          </cell>
          <cell r="X141">
            <v>0</v>
          </cell>
          <cell r="Y141">
            <v>0</v>
          </cell>
          <cell r="Z141">
            <v>0</v>
          </cell>
          <cell r="AA141">
            <v>0</v>
          </cell>
          <cell r="AB141">
            <v>0</v>
          </cell>
          <cell r="AC141">
            <v>0</v>
          </cell>
          <cell r="AF141">
            <v>0</v>
          </cell>
          <cell r="AG141">
            <v>0</v>
          </cell>
          <cell r="AH141">
            <v>0</v>
          </cell>
          <cell r="AJ141">
            <v>0</v>
          </cell>
          <cell r="AK141">
            <v>0</v>
          </cell>
          <cell r="AL141">
            <v>0</v>
          </cell>
          <cell r="AM141">
            <v>0</v>
          </cell>
          <cell r="AO141">
            <v>0</v>
          </cell>
          <cell r="AP141">
            <v>0</v>
          </cell>
          <cell r="AQ141">
            <v>0</v>
          </cell>
          <cell r="AR141">
            <v>0</v>
          </cell>
          <cell r="AS141">
            <v>0</v>
          </cell>
          <cell r="AT141">
            <v>0</v>
          </cell>
          <cell r="AU141">
            <v>0</v>
          </cell>
          <cell r="AV141">
            <v>0</v>
          </cell>
          <cell r="AW141">
            <v>0</v>
          </cell>
          <cell r="AX141">
            <v>0</v>
          </cell>
          <cell r="AY141">
            <v>0</v>
          </cell>
          <cell r="BB141">
            <v>0</v>
          </cell>
          <cell r="BC141">
            <v>0</v>
          </cell>
          <cell r="BD141">
            <v>0</v>
          </cell>
          <cell r="BF141">
            <v>0</v>
          </cell>
          <cell r="BG141">
            <v>0</v>
          </cell>
          <cell r="BH141">
            <v>0</v>
          </cell>
          <cell r="BI141">
            <v>0</v>
          </cell>
          <cell r="BK141">
            <v>0</v>
          </cell>
          <cell r="BL141">
            <v>0</v>
          </cell>
          <cell r="BM141">
            <v>0</v>
          </cell>
          <cell r="BN141">
            <v>0</v>
          </cell>
          <cell r="BO141">
            <v>0</v>
          </cell>
          <cell r="BP141">
            <v>0</v>
          </cell>
          <cell r="BQ141">
            <v>0</v>
          </cell>
          <cell r="BR141">
            <v>0</v>
          </cell>
          <cell r="BS141">
            <v>0</v>
          </cell>
          <cell r="BT141">
            <v>0</v>
          </cell>
          <cell r="BU141">
            <v>0</v>
          </cell>
          <cell r="BX141">
            <v>0</v>
          </cell>
          <cell r="BY141">
            <v>0</v>
          </cell>
          <cell r="BZ141">
            <v>0</v>
          </cell>
          <cell r="CB141">
            <v>0</v>
          </cell>
          <cell r="CC141">
            <v>0</v>
          </cell>
          <cell r="CD141">
            <v>0</v>
          </cell>
          <cell r="CE141">
            <v>0</v>
          </cell>
          <cell r="CG141">
            <v>0</v>
          </cell>
          <cell r="CH141">
            <v>0</v>
          </cell>
          <cell r="CI141">
            <v>0</v>
          </cell>
          <cell r="CJ141">
            <v>0</v>
          </cell>
          <cell r="CK141">
            <v>0</v>
          </cell>
          <cell r="CL141">
            <v>0</v>
          </cell>
          <cell r="CM141">
            <v>0</v>
          </cell>
          <cell r="CN141">
            <v>0</v>
          </cell>
          <cell r="CO141">
            <v>0</v>
          </cell>
          <cell r="FD141">
            <v>0</v>
          </cell>
          <cell r="FE141">
            <v>0</v>
          </cell>
          <cell r="FF141">
            <v>0</v>
          </cell>
          <cell r="FG141">
            <v>0</v>
          </cell>
          <cell r="FJ141">
            <v>0</v>
          </cell>
          <cell r="FK141">
            <v>0</v>
          </cell>
          <cell r="FL141">
            <v>0</v>
          </cell>
          <cell r="FN141">
            <v>0</v>
          </cell>
          <cell r="FO141">
            <v>0</v>
          </cell>
          <cell r="FP141">
            <v>0</v>
          </cell>
          <cell r="FQ141">
            <v>0</v>
          </cell>
          <cell r="FS141">
            <v>0</v>
          </cell>
          <cell r="FT141">
            <v>0</v>
          </cell>
          <cell r="FU141">
            <v>0</v>
          </cell>
          <cell r="FV141">
            <v>0</v>
          </cell>
          <cell r="FW141">
            <v>0</v>
          </cell>
          <cell r="FX141">
            <v>0</v>
          </cell>
          <cell r="FY141">
            <v>0</v>
          </cell>
          <cell r="FZ141">
            <v>0</v>
          </cell>
          <cell r="GA141">
            <v>0</v>
          </cell>
        </row>
        <row r="142">
          <cell r="A142" t="str">
            <v>F_MFP_NRF_RIS_COL_FRCE_MFP</v>
          </cell>
          <cell r="E142">
            <v>0</v>
          </cell>
          <cell r="F142">
            <v>0</v>
          </cell>
          <cell r="G142">
            <v>0</v>
          </cell>
          <cell r="J142">
            <v>0</v>
          </cell>
          <cell r="K142">
            <v>0</v>
          </cell>
          <cell r="L142">
            <v>0</v>
          </cell>
          <cell r="N142">
            <v>0</v>
          </cell>
          <cell r="O142">
            <v>0</v>
          </cell>
          <cell r="P142">
            <v>0</v>
          </cell>
          <cell r="Q142">
            <v>0</v>
          </cell>
          <cell r="S142">
            <v>0</v>
          </cell>
          <cell r="T142">
            <v>0</v>
          </cell>
          <cell r="U142">
            <v>0</v>
          </cell>
          <cell r="V142">
            <v>0</v>
          </cell>
          <cell r="W142">
            <v>0</v>
          </cell>
          <cell r="X142">
            <v>0</v>
          </cell>
          <cell r="Y142">
            <v>0</v>
          </cell>
          <cell r="Z142">
            <v>0</v>
          </cell>
          <cell r="AA142">
            <v>0</v>
          </cell>
          <cell r="AB142">
            <v>0</v>
          </cell>
          <cell r="AC142">
            <v>0</v>
          </cell>
          <cell r="AF142">
            <v>0</v>
          </cell>
          <cell r="AG142">
            <v>0</v>
          </cell>
          <cell r="AH142">
            <v>0</v>
          </cell>
          <cell r="AJ142">
            <v>0</v>
          </cell>
          <cell r="AK142">
            <v>0</v>
          </cell>
          <cell r="AL142">
            <v>0</v>
          </cell>
          <cell r="AM142">
            <v>0</v>
          </cell>
          <cell r="AO142">
            <v>0</v>
          </cell>
          <cell r="AP142">
            <v>0</v>
          </cell>
          <cell r="AQ142">
            <v>0</v>
          </cell>
          <cell r="AR142">
            <v>0</v>
          </cell>
          <cell r="AS142">
            <v>0</v>
          </cell>
          <cell r="AT142">
            <v>0</v>
          </cell>
          <cell r="AU142">
            <v>0</v>
          </cell>
          <cell r="AV142">
            <v>0</v>
          </cell>
          <cell r="AW142">
            <v>0</v>
          </cell>
          <cell r="AX142">
            <v>0</v>
          </cell>
          <cell r="AY142">
            <v>0</v>
          </cell>
          <cell r="BB142">
            <v>0</v>
          </cell>
          <cell r="BC142">
            <v>0</v>
          </cell>
          <cell r="BD142">
            <v>0</v>
          </cell>
          <cell r="BF142">
            <v>0</v>
          </cell>
          <cell r="BG142">
            <v>0</v>
          </cell>
          <cell r="BH142">
            <v>0</v>
          </cell>
          <cell r="BI142">
            <v>0</v>
          </cell>
          <cell r="BK142">
            <v>0</v>
          </cell>
          <cell r="BL142">
            <v>0</v>
          </cell>
          <cell r="BM142">
            <v>0</v>
          </cell>
          <cell r="BN142">
            <v>0</v>
          </cell>
          <cell r="BO142">
            <v>0</v>
          </cell>
          <cell r="BP142">
            <v>0</v>
          </cell>
          <cell r="BQ142">
            <v>0</v>
          </cell>
          <cell r="BR142">
            <v>0</v>
          </cell>
          <cell r="BS142">
            <v>0</v>
          </cell>
          <cell r="BT142">
            <v>0</v>
          </cell>
          <cell r="BU142">
            <v>0</v>
          </cell>
          <cell r="BX142">
            <v>0</v>
          </cell>
          <cell r="BY142">
            <v>0</v>
          </cell>
          <cell r="BZ142">
            <v>0</v>
          </cell>
          <cell r="CB142">
            <v>0</v>
          </cell>
          <cell r="CC142">
            <v>0</v>
          </cell>
          <cell r="CD142">
            <v>0</v>
          </cell>
          <cell r="CE142">
            <v>0</v>
          </cell>
          <cell r="CG142">
            <v>0</v>
          </cell>
          <cell r="CH142">
            <v>0</v>
          </cell>
          <cell r="CI142">
            <v>0</v>
          </cell>
          <cell r="CJ142">
            <v>0</v>
          </cell>
          <cell r="CK142">
            <v>0</v>
          </cell>
          <cell r="CL142">
            <v>0</v>
          </cell>
          <cell r="CM142">
            <v>0</v>
          </cell>
          <cell r="CN142">
            <v>0</v>
          </cell>
          <cell r="CO142">
            <v>0</v>
          </cell>
          <cell r="FD142">
            <v>0</v>
          </cell>
          <cell r="FE142">
            <v>0</v>
          </cell>
          <cell r="FF142">
            <v>0</v>
          </cell>
          <cell r="FG142">
            <v>0</v>
          </cell>
          <cell r="FJ142">
            <v>0</v>
          </cell>
          <cell r="FK142">
            <v>0</v>
          </cell>
          <cell r="FL142">
            <v>0</v>
          </cell>
          <cell r="FN142">
            <v>0</v>
          </cell>
          <cell r="FO142">
            <v>0</v>
          </cell>
          <cell r="FP142">
            <v>0</v>
          </cell>
          <cell r="FQ142">
            <v>0</v>
          </cell>
          <cell r="FS142">
            <v>0</v>
          </cell>
          <cell r="FT142">
            <v>0</v>
          </cell>
          <cell r="FU142">
            <v>0</v>
          </cell>
          <cell r="FV142">
            <v>0</v>
          </cell>
          <cell r="FW142">
            <v>0</v>
          </cell>
          <cell r="FX142">
            <v>0</v>
          </cell>
          <cell r="FY142">
            <v>0</v>
          </cell>
          <cell r="FZ142">
            <v>0</v>
          </cell>
          <cell r="GA142">
            <v>0</v>
          </cell>
        </row>
        <row r="143">
          <cell r="A143" t="str">
            <v>F_MFP_NRF_ASS_EMP_FRCE_MFP</v>
          </cell>
          <cell r="E143">
            <v>0</v>
          </cell>
          <cell r="F143">
            <v>0</v>
          </cell>
          <cell r="G143">
            <v>0</v>
          </cell>
          <cell r="J143">
            <v>0</v>
          </cell>
          <cell r="K143">
            <v>0</v>
          </cell>
          <cell r="L143">
            <v>0</v>
          </cell>
          <cell r="N143">
            <v>0</v>
          </cell>
          <cell r="O143">
            <v>0</v>
          </cell>
          <cell r="P143">
            <v>0</v>
          </cell>
          <cell r="Q143">
            <v>0</v>
          </cell>
          <cell r="S143">
            <v>0</v>
          </cell>
          <cell r="T143">
            <v>0</v>
          </cell>
          <cell r="U143">
            <v>0</v>
          </cell>
          <cell r="V143">
            <v>0</v>
          </cell>
          <cell r="W143">
            <v>0</v>
          </cell>
          <cell r="X143">
            <v>0</v>
          </cell>
          <cell r="Y143">
            <v>0</v>
          </cell>
          <cell r="Z143">
            <v>0</v>
          </cell>
          <cell r="AA143">
            <v>0</v>
          </cell>
          <cell r="AB143">
            <v>0</v>
          </cell>
          <cell r="AC143">
            <v>0</v>
          </cell>
          <cell r="AF143">
            <v>0</v>
          </cell>
          <cell r="AG143">
            <v>0</v>
          </cell>
          <cell r="AH143">
            <v>0</v>
          </cell>
          <cell r="AJ143">
            <v>0</v>
          </cell>
          <cell r="AK143">
            <v>0</v>
          </cell>
          <cell r="AL143">
            <v>0</v>
          </cell>
          <cell r="AM143">
            <v>0</v>
          </cell>
          <cell r="AO143">
            <v>0</v>
          </cell>
          <cell r="AP143">
            <v>0</v>
          </cell>
          <cell r="AQ143">
            <v>0</v>
          </cell>
          <cell r="AR143">
            <v>0</v>
          </cell>
          <cell r="AS143">
            <v>0</v>
          </cell>
          <cell r="AT143">
            <v>0</v>
          </cell>
          <cell r="AU143">
            <v>0</v>
          </cell>
          <cell r="AV143">
            <v>0</v>
          </cell>
          <cell r="AW143">
            <v>0</v>
          </cell>
          <cell r="AX143">
            <v>0</v>
          </cell>
          <cell r="AY143">
            <v>0</v>
          </cell>
          <cell r="BB143">
            <v>0</v>
          </cell>
          <cell r="BC143">
            <v>0</v>
          </cell>
          <cell r="BD143">
            <v>0</v>
          </cell>
          <cell r="BF143">
            <v>0</v>
          </cell>
          <cell r="BG143">
            <v>0</v>
          </cell>
          <cell r="BH143">
            <v>0</v>
          </cell>
          <cell r="BI143">
            <v>0</v>
          </cell>
          <cell r="BK143">
            <v>0</v>
          </cell>
          <cell r="BL143">
            <v>0</v>
          </cell>
          <cell r="BM143">
            <v>0</v>
          </cell>
          <cell r="BN143">
            <v>0</v>
          </cell>
          <cell r="BO143">
            <v>0</v>
          </cell>
          <cell r="BP143">
            <v>0</v>
          </cell>
          <cell r="BQ143">
            <v>0</v>
          </cell>
          <cell r="BR143">
            <v>0</v>
          </cell>
          <cell r="BS143">
            <v>0</v>
          </cell>
          <cell r="BT143">
            <v>0</v>
          </cell>
          <cell r="BU143">
            <v>0</v>
          </cell>
          <cell r="BX143">
            <v>0</v>
          </cell>
          <cell r="BY143">
            <v>0</v>
          </cell>
          <cell r="BZ143">
            <v>0</v>
          </cell>
          <cell r="CB143">
            <v>0</v>
          </cell>
          <cell r="CC143">
            <v>0</v>
          </cell>
          <cell r="CD143">
            <v>0</v>
          </cell>
          <cell r="CE143">
            <v>0</v>
          </cell>
          <cell r="CG143">
            <v>0</v>
          </cell>
          <cell r="CH143">
            <v>0</v>
          </cell>
          <cell r="CI143">
            <v>0</v>
          </cell>
          <cell r="CJ143">
            <v>0</v>
          </cell>
          <cell r="CK143">
            <v>0</v>
          </cell>
          <cell r="CL143">
            <v>0</v>
          </cell>
          <cell r="CM143">
            <v>0</v>
          </cell>
          <cell r="CN143">
            <v>0</v>
          </cell>
          <cell r="CO143">
            <v>0</v>
          </cell>
          <cell r="FD143">
            <v>0</v>
          </cell>
          <cell r="FE143">
            <v>0</v>
          </cell>
          <cell r="FF143">
            <v>0</v>
          </cell>
          <cell r="FG143">
            <v>0</v>
          </cell>
          <cell r="FJ143">
            <v>0</v>
          </cell>
          <cell r="FK143">
            <v>0</v>
          </cell>
          <cell r="FL143">
            <v>0</v>
          </cell>
          <cell r="FN143">
            <v>0</v>
          </cell>
          <cell r="FO143">
            <v>0</v>
          </cell>
          <cell r="FP143">
            <v>0</v>
          </cell>
          <cell r="FQ143">
            <v>0</v>
          </cell>
          <cell r="FS143">
            <v>0</v>
          </cell>
          <cell r="FT143">
            <v>0</v>
          </cell>
          <cell r="FU143">
            <v>0</v>
          </cell>
          <cell r="FV143">
            <v>0</v>
          </cell>
          <cell r="FW143">
            <v>0</v>
          </cell>
          <cell r="FX143">
            <v>0</v>
          </cell>
          <cell r="FY143">
            <v>0</v>
          </cell>
          <cell r="FZ143">
            <v>0</v>
          </cell>
          <cell r="GA143">
            <v>0</v>
          </cell>
        </row>
        <row r="144">
          <cell r="A144" t="str">
            <v>F_MFP_NRF_CPT_PRP_FRCE_MFP</v>
          </cell>
          <cell r="E144">
            <v>0</v>
          </cell>
          <cell r="F144">
            <v>0</v>
          </cell>
          <cell r="G144">
            <v>0</v>
          </cell>
          <cell r="J144">
            <v>0</v>
          </cell>
          <cell r="K144">
            <v>0</v>
          </cell>
          <cell r="L144">
            <v>0</v>
          </cell>
          <cell r="N144">
            <v>0</v>
          </cell>
          <cell r="O144">
            <v>0</v>
          </cell>
          <cell r="P144">
            <v>0</v>
          </cell>
          <cell r="Q144">
            <v>0</v>
          </cell>
          <cell r="S144">
            <v>0</v>
          </cell>
          <cell r="T144">
            <v>0</v>
          </cell>
          <cell r="U144">
            <v>0</v>
          </cell>
          <cell r="V144">
            <v>0</v>
          </cell>
          <cell r="W144">
            <v>0</v>
          </cell>
          <cell r="X144">
            <v>0</v>
          </cell>
          <cell r="Y144">
            <v>0</v>
          </cell>
          <cell r="Z144">
            <v>0</v>
          </cell>
          <cell r="AA144">
            <v>0</v>
          </cell>
          <cell r="AB144">
            <v>0</v>
          </cell>
          <cell r="AC144">
            <v>0</v>
          </cell>
          <cell r="AF144">
            <v>0</v>
          </cell>
          <cell r="AG144">
            <v>0</v>
          </cell>
          <cell r="AH144">
            <v>0</v>
          </cell>
          <cell r="AJ144">
            <v>0</v>
          </cell>
          <cell r="AK144">
            <v>0</v>
          </cell>
          <cell r="AL144">
            <v>0</v>
          </cell>
          <cell r="AM144">
            <v>0</v>
          </cell>
          <cell r="AO144">
            <v>0</v>
          </cell>
          <cell r="AP144">
            <v>0</v>
          </cell>
          <cell r="AQ144">
            <v>0</v>
          </cell>
          <cell r="AR144">
            <v>0</v>
          </cell>
          <cell r="AS144">
            <v>0</v>
          </cell>
          <cell r="AT144">
            <v>0</v>
          </cell>
          <cell r="AU144">
            <v>0</v>
          </cell>
          <cell r="AV144">
            <v>0</v>
          </cell>
          <cell r="AW144">
            <v>0</v>
          </cell>
          <cell r="AX144">
            <v>0</v>
          </cell>
          <cell r="AY144">
            <v>0</v>
          </cell>
          <cell r="BB144">
            <v>0</v>
          </cell>
          <cell r="BC144">
            <v>0</v>
          </cell>
          <cell r="BD144">
            <v>0</v>
          </cell>
          <cell r="BF144">
            <v>0</v>
          </cell>
          <cell r="BG144">
            <v>0</v>
          </cell>
          <cell r="BH144">
            <v>0</v>
          </cell>
          <cell r="BI144">
            <v>0</v>
          </cell>
          <cell r="BK144">
            <v>0</v>
          </cell>
          <cell r="BL144">
            <v>0</v>
          </cell>
          <cell r="BM144">
            <v>0</v>
          </cell>
          <cell r="BN144">
            <v>0</v>
          </cell>
          <cell r="BO144">
            <v>0</v>
          </cell>
          <cell r="BP144">
            <v>0</v>
          </cell>
          <cell r="BQ144">
            <v>0</v>
          </cell>
          <cell r="BR144">
            <v>0</v>
          </cell>
          <cell r="BS144">
            <v>0</v>
          </cell>
          <cell r="BT144">
            <v>0</v>
          </cell>
          <cell r="BU144">
            <v>0</v>
          </cell>
          <cell r="BX144">
            <v>0</v>
          </cell>
          <cell r="BY144">
            <v>0</v>
          </cell>
          <cell r="BZ144">
            <v>0</v>
          </cell>
          <cell r="CB144">
            <v>0</v>
          </cell>
          <cell r="CC144">
            <v>0</v>
          </cell>
          <cell r="CD144">
            <v>0</v>
          </cell>
          <cell r="CE144">
            <v>0</v>
          </cell>
          <cell r="CG144">
            <v>0</v>
          </cell>
          <cell r="CH144">
            <v>0</v>
          </cell>
          <cell r="CI144">
            <v>0</v>
          </cell>
          <cell r="CJ144">
            <v>0</v>
          </cell>
          <cell r="CK144">
            <v>0</v>
          </cell>
          <cell r="CL144">
            <v>0</v>
          </cell>
          <cell r="CM144">
            <v>0</v>
          </cell>
          <cell r="CN144">
            <v>0</v>
          </cell>
          <cell r="CO144">
            <v>0</v>
          </cell>
          <cell r="FD144">
            <v>0</v>
          </cell>
          <cell r="FE144">
            <v>0</v>
          </cell>
          <cell r="FF144">
            <v>0</v>
          </cell>
          <cell r="FG144">
            <v>0</v>
          </cell>
          <cell r="FJ144">
            <v>0</v>
          </cell>
          <cell r="FK144">
            <v>0</v>
          </cell>
          <cell r="FL144">
            <v>0</v>
          </cell>
          <cell r="FN144">
            <v>0</v>
          </cell>
          <cell r="FO144">
            <v>0</v>
          </cell>
          <cell r="FP144">
            <v>0</v>
          </cell>
          <cell r="FQ144">
            <v>0</v>
          </cell>
          <cell r="FS144">
            <v>0</v>
          </cell>
          <cell r="FT144">
            <v>0</v>
          </cell>
          <cell r="FU144">
            <v>0</v>
          </cell>
          <cell r="FV144">
            <v>0</v>
          </cell>
          <cell r="FW144">
            <v>0</v>
          </cell>
          <cell r="FX144">
            <v>0</v>
          </cell>
          <cell r="FY144">
            <v>0</v>
          </cell>
          <cell r="FZ144">
            <v>0</v>
          </cell>
          <cell r="GA144">
            <v>0</v>
          </cell>
        </row>
        <row r="145">
          <cell r="A145" t="str">
            <v>F_IAM_NRF_CPT_PRP_FRCE_IPS</v>
          </cell>
          <cell r="E145">
            <v>0</v>
          </cell>
          <cell r="F145">
            <v>0</v>
          </cell>
          <cell r="G145">
            <v>0</v>
          </cell>
          <cell r="J145">
            <v>0</v>
          </cell>
          <cell r="K145">
            <v>0</v>
          </cell>
          <cell r="L145">
            <v>0</v>
          </cell>
          <cell r="N145">
            <v>0</v>
          </cell>
          <cell r="O145">
            <v>0</v>
          </cell>
          <cell r="P145">
            <v>0</v>
          </cell>
          <cell r="Q145">
            <v>0</v>
          </cell>
          <cell r="S145">
            <v>0</v>
          </cell>
          <cell r="T145">
            <v>0</v>
          </cell>
          <cell r="U145">
            <v>0</v>
          </cell>
          <cell r="V145">
            <v>0</v>
          </cell>
          <cell r="W145">
            <v>0</v>
          </cell>
          <cell r="X145">
            <v>0</v>
          </cell>
          <cell r="Y145">
            <v>0</v>
          </cell>
          <cell r="Z145">
            <v>0</v>
          </cell>
          <cell r="AA145">
            <v>0</v>
          </cell>
          <cell r="AB145">
            <v>0</v>
          </cell>
          <cell r="AC145">
            <v>0</v>
          </cell>
          <cell r="AF145">
            <v>0</v>
          </cell>
          <cell r="AG145">
            <v>0</v>
          </cell>
          <cell r="AH145">
            <v>0</v>
          </cell>
          <cell r="AJ145">
            <v>0</v>
          </cell>
          <cell r="AK145">
            <v>0</v>
          </cell>
          <cell r="AL145">
            <v>0</v>
          </cell>
          <cell r="AM145">
            <v>0</v>
          </cell>
          <cell r="AO145">
            <v>0</v>
          </cell>
          <cell r="AP145">
            <v>0</v>
          </cell>
          <cell r="AQ145">
            <v>0</v>
          </cell>
          <cell r="AR145">
            <v>0</v>
          </cell>
          <cell r="AS145">
            <v>0</v>
          </cell>
          <cell r="AT145">
            <v>0</v>
          </cell>
          <cell r="AU145">
            <v>0</v>
          </cell>
          <cell r="AV145">
            <v>0</v>
          </cell>
          <cell r="AW145">
            <v>0</v>
          </cell>
          <cell r="AX145">
            <v>0</v>
          </cell>
          <cell r="AY145">
            <v>0</v>
          </cell>
          <cell r="BB145">
            <v>0</v>
          </cell>
          <cell r="BC145">
            <v>0</v>
          </cell>
          <cell r="BD145">
            <v>0</v>
          </cell>
          <cell r="BF145">
            <v>0</v>
          </cell>
          <cell r="BG145">
            <v>0</v>
          </cell>
          <cell r="BH145">
            <v>0</v>
          </cell>
          <cell r="BI145">
            <v>0</v>
          </cell>
          <cell r="BK145">
            <v>0</v>
          </cell>
          <cell r="BL145">
            <v>0</v>
          </cell>
          <cell r="BM145">
            <v>0</v>
          </cell>
          <cell r="BN145">
            <v>0</v>
          </cell>
          <cell r="BO145">
            <v>0</v>
          </cell>
          <cell r="BP145">
            <v>0</v>
          </cell>
          <cell r="BQ145">
            <v>0</v>
          </cell>
          <cell r="BR145">
            <v>0</v>
          </cell>
          <cell r="BS145">
            <v>0</v>
          </cell>
          <cell r="BT145">
            <v>0</v>
          </cell>
          <cell r="BU145">
            <v>0</v>
          </cell>
          <cell r="BX145">
            <v>0</v>
          </cell>
          <cell r="BY145">
            <v>0</v>
          </cell>
          <cell r="BZ145">
            <v>0</v>
          </cell>
          <cell r="CB145">
            <v>0</v>
          </cell>
          <cell r="CC145">
            <v>0</v>
          </cell>
          <cell r="CD145">
            <v>0</v>
          </cell>
          <cell r="CE145">
            <v>0</v>
          </cell>
          <cell r="CG145">
            <v>0</v>
          </cell>
          <cell r="CH145">
            <v>0</v>
          </cell>
          <cell r="CI145">
            <v>0</v>
          </cell>
          <cell r="CJ145">
            <v>0</v>
          </cell>
          <cell r="CK145">
            <v>0</v>
          </cell>
          <cell r="CL145">
            <v>0</v>
          </cell>
          <cell r="CM145">
            <v>0</v>
          </cell>
          <cell r="CN145">
            <v>0</v>
          </cell>
          <cell r="CO145">
            <v>0</v>
          </cell>
          <cell r="FD145">
            <v>0</v>
          </cell>
          <cell r="FE145">
            <v>0</v>
          </cell>
          <cell r="FF145">
            <v>0</v>
          </cell>
          <cell r="FG145">
            <v>0</v>
          </cell>
          <cell r="FJ145">
            <v>0</v>
          </cell>
          <cell r="FK145">
            <v>0</v>
          </cell>
          <cell r="FL145">
            <v>0</v>
          </cell>
          <cell r="FN145">
            <v>0</v>
          </cell>
          <cell r="FO145">
            <v>0</v>
          </cell>
          <cell r="FP145">
            <v>0</v>
          </cell>
          <cell r="FQ145">
            <v>0</v>
          </cell>
          <cell r="FS145">
            <v>0</v>
          </cell>
          <cell r="FT145">
            <v>0</v>
          </cell>
          <cell r="FU145">
            <v>0</v>
          </cell>
          <cell r="FV145">
            <v>0</v>
          </cell>
          <cell r="FW145">
            <v>0</v>
          </cell>
          <cell r="FX145">
            <v>0</v>
          </cell>
          <cell r="FY145">
            <v>0</v>
          </cell>
          <cell r="FZ145">
            <v>0</v>
          </cell>
          <cell r="GA145">
            <v>0</v>
          </cell>
        </row>
        <row r="146">
          <cell r="A146" t="str">
            <v>F_CNP_NRF_ASS_EMP_FRCE_ECS</v>
          </cell>
          <cell r="E146">
            <v>74298021.112920001</v>
          </cell>
          <cell r="F146">
            <v>0</v>
          </cell>
          <cell r="G146">
            <v>0</v>
          </cell>
          <cell r="J146">
            <v>0</v>
          </cell>
          <cell r="K146">
            <v>0</v>
          </cell>
          <cell r="L146">
            <v>0</v>
          </cell>
          <cell r="N146">
            <v>0</v>
          </cell>
          <cell r="O146">
            <v>0</v>
          </cell>
          <cell r="P146">
            <v>0</v>
          </cell>
          <cell r="Q146">
            <v>0</v>
          </cell>
          <cell r="S146">
            <v>0</v>
          </cell>
          <cell r="T146">
            <v>0</v>
          </cell>
          <cell r="U146">
            <v>0</v>
          </cell>
          <cell r="V146">
            <v>0</v>
          </cell>
          <cell r="W146">
            <v>0</v>
          </cell>
          <cell r="X146">
            <v>0</v>
          </cell>
          <cell r="Y146">
            <v>0</v>
          </cell>
          <cell r="Z146">
            <v>0</v>
          </cell>
          <cell r="AA146">
            <v>0</v>
          </cell>
          <cell r="AB146">
            <v>0</v>
          </cell>
          <cell r="AC146">
            <v>0</v>
          </cell>
          <cell r="AF146">
            <v>0</v>
          </cell>
          <cell r="AG146">
            <v>0</v>
          </cell>
          <cell r="AH146">
            <v>0</v>
          </cell>
          <cell r="AJ146">
            <v>0</v>
          </cell>
          <cell r="AK146">
            <v>0</v>
          </cell>
          <cell r="AL146">
            <v>0</v>
          </cell>
          <cell r="AM146">
            <v>0</v>
          </cell>
          <cell r="AO146">
            <v>0</v>
          </cell>
          <cell r="AP146">
            <v>0</v>
          </cell>
          <cell r="AQ146">
            <v>0</v>
          </cell>
          <cell r="AR146">
            <v>0</v>
          </cell>
          <cell r="AS146">
            <v>0</v>
          </cell>
          <cell r="AT146">
            <v>0</v>
          </cell>
          <cell r="AU146">
            <v>0</v>
          </cell>
          <cell r="AV146">
            <v>0</v>
          </cell>
          <cell r="AW146">
            <v>0</v>
          </cell>
          <cell r="AX146">
            <v>0</v>
          </cell>
          <cell r="AY146">
            <v>0</v>
          </cell>
          <cell r="BB146">
            <v>0</v>
          </cell>
          <cell r="BC146">
            <v>0</v>
          </cell>
          <cell r="BD146">
            <v>0</v>
          </cell>
          <cell r="BF146">
            <v>0</v>
          </cell>
          <cell r="BG146">
            <v>0</v>
          </cell>
          <cell r="BH146">
            <v>0</v>
          </cell>
          <cell r="BI146">
            <v>0</v>
          </cell>
          <cell r="BK146">
            <v>0</v>
          </cell>
          <cell r="BL146">
            <v>0</v>
          </cell>
          <cell r="BM146">
            <v>0</v>
          </cell>
          <cell r="BN146">
            <v>0</v>
          </cell>
          <cell r="BO146">
            <v>0</v>
          </cell>
          <cell r="BP146">
            <v>0</v>
          </cell>
          <cell r="BQ146">
            <v>0</v>
          </cell>
          <cell r="BR146">
            <v>0</v>
          </cell>
          <cell r="BS146">
            <v>0</v>
          </cell>
          <cell r="BT146">
            <v>0</v>
          </cell>
          <cell r="BU146">
            <v>0</v>
          </cell>
          <cell r="BX146">
            <v>0</v>
          </cell>
          <cell r="BY146">
            <v>0</v>
          </cell>
          <cell r="BZ146">
            <v>0</v>
          </cell>
          <cell r="CB146">
            <v>0</v>
          </cell>
          <cell r="CC146">
            <v>0</v>
          </cell>
          <cell r="CD146">
            <v>0</v>
          </cell>
          <cell r="CE146">
            <v>0</v>
          </cell>
          <cell r="CG146">
            <v>0</v>
          </cell>
          <cell r="CH146">
            <v>0</v>
          </cell>
          <cell r="CI146">
            <v>0</v>
          </cell>
          <cell r="CJ146">
            <v>0</v>
          </cell>
          <cell r="CK146">
            <v>0</v>
          </cell>
          <cell r="CL146">
            <v>0</v>
          </cell>
          <cell r="CM146">
            <v>0</v>
          </cell>
          <cell r="CN146">
            <v>0</v>
          </cell>
          <cell r="CO146">
            <v>0</v>
          </cell>
          <cell r="FD146">
            <v>0</v>
          </cell>
          <cell r="FE146">
            <v>74298021.112920001</v>
          </cell>
          <cell r="FF146">
            <v>0</v>
          </cell>
          <cell r="FG146">
            <v>0</v>
          </cell>
          <cell r="FJ146">
            <v>0</v>
          </cell>
          <cell r="FK146">
            <v>0</v>
          </cell>
          <cell r="FL146">
            <v>0</v>
          </cell>
          <cell r="FN146">
            <v>0</v>
          </cell>
          <cell r="FO146">
            <v>0</v>
          </cell>
          <cell r="FP146">
            <v>0</v>
          </cell>
          <cell r="FQ146">
            <v>0</v>
          </cell>
          <cell r="FS146">
            <v>0</v>
          </cell>
          <cell r="FT146">
            <v>0</v>
          </cell>
          <cell r="FU146">
            <v>0</v>
          </cell>
          <cell r="FV146">
            <v>0</v>
          </cell>
          <cell r="FW146">
            <v>0</v>
          </cell>
          <cell r="FX146">
            <v>0</v>
          </cell>
          <cell r="FY146">
            <v>0</v>
          </cell>
          <cell r="FZ146">
            <v>0</v>
          </cell>
          <cell r="GA146">
            <v>0</v>
          </cell>
        </row>
        <row r="147">
          <cell r="A147" t="str">
            <v>F_CNP_NRF_ASS_EMP_ITAS_301</v>
          </cell>
          <cell r="E147">
            <v>0</v>
          </cell>
          <cell r="F147">
            <v>0</v>
          </cell>
          <cell r="G147">
            <v>0</v>
          </cell>
          <cell r="J147">
            <v>0</v>
          </cell>
          <cell r="K147">
            <v>0</v>
          </cell>
          <cell r="L147">
            <v>0</v>
          </cell>
          <cell r="N147">
            <v>0</v>
          </cell>
          <cell r="O147">
            <v>0</v>
          </cell>
          <cell r="P147">
            <v>0</v>
          </cell>
          <cell r="Q147">
            <v>0</v>
          </cell>
          <cell r="S147">
            <v>0</v>
          </cell>
          <cell r="T147">
            <v>0</v>
          </cell>
          <cell r="U147">
            <v>0</v>
          </cell>
          <cell r="V147">
            <v>0</v>
          </cell>
          <cell r="W147">
            <v>0</v>
          </cell>
          <cell r="X147">
            <v>0</v>
          </cell>
          <cell r="Y147">
            <v>0</v>
          </cell>
          <cell r="Z147">
            <v>0</v>
          </cell>
          <cell r="AA147">
            <v>0</v>
          </cell>
          <cell r="AB147">
            <v>0</v>
          </cell>
          <cell r="AC147">
            <v>0</v>
          </cell>
          <cell r="AF147">
            <v>0</v>
          </cell>
          <cell r="AG147">
            <v>0</v>
          </cell>
          <cell r="AH147">
            <v>0</v>
          </cell>
          <cell r="AJ147">
            <v>0</v>
          </cell>
          <cell r="AK147">
            <v>0</v>
          </cell>
          <cell r="AL147">
            <v>0</v>
          </cell>
          <cell r="AM147">
            <v>0</v>
          </cell>
          <cell r="AO147">
            <v>0</v>
          </cell>
          <cell r="AP147">
            <v>0</v>
          </cell>
          <cell r="AQ147">
            <v>0</v>
          </cell>
          <cell r="AR147">
            <v>0</v>
          </cell>
          <cell r="AS147">
            <v>0</v>
          </cell>
          <cell r="AT147">
            <v>0</v>
          </cell>
          <cell r="AU147">
            <v>0</v>
          </cell>
          <cell r="AV147">
            <v>0</v>
          </cell>
          <cell r="AW147">
            <v>0</v>
          </cell>
          <cell r="AX147">
            <v>0</v>
          </cell>
          <cell r="AY147">
            <v>0</v>
          </cell>
          <cell r="BB147">
            <v>0</v>
          </cell>
          <cell r="BC147">
            <v>0</v>
          </cell>
          <cell r="BD147">
            <v>0</v>
          </cell>
          <cell r="BF147">
            <v>0</v>
          </cell>
          <cell r="BG147">
            <v>0</v>
          </cell>
          <cell r="BH147">
            <v>0</v>
          </cell>
          <cell r="BI147">
            <v>0</v>
          </cell>
          <cell r="BK147">
            <v>0</v>
          </cell>
          <cell r="BL147">
            <v>0</v>
          </cell>
          <cell r="BM147">
            <v>0</v>
          </cell>
          <cell r="BN147">
            <v>0</v>
          </cell>
          <cell r="BO147">
            <v>0</v>
          </cell>
          <cell r="BP147">
            <v>0</v>
          </cell>
          <cell r="BQ147">
            <v>0</v>
          </cell>
          <cell r="BR147">
            <v>0</v>
          </cell>
          <cell r="BS147">
            <v>0</v>
          </cell>
          <cell r="BT147">
            <v>0</v>
          </cell>
          <cell r="BU147">
            <v>0</v>
          </cell>
          <cell r="BX147">
            <v>0</v>
          </cell>
          <cell r="BY147">
            <v>0</v>
          </cell>
          <cell r="BZ147">
            <v>0</v>
          </cell>
          <cell r="CB147">
            <v>0</v>
          </cell>
          <cell r="CC147">
            <v>0</v>
          </cell>
          <cell r="CD147">
            <v>0</v>
          </cell>
          <cell r="CE147">
            <v>0</v>
          </cell>
          <cell r="CG147">
            <v>0</v>
          </cell>
          <cell r="CH147">
            <v>0</v>
          </cell>
          <cell r="CI147">
            <v>0</v>
          </cell>
          <cell r="CJ147">
            <v>0</v>
          </cell>
          <cell r="CK147">
            <v>0</v>
          </cell>
          <cell r="CL147">
            <v>0</v>
          </cell>
          <cell r="CM147">
            <v>0</v>
          </cell>
          <cell r="CN147">
            <v>0</v>
          </cell>
          <cell r="CO147">
            <v>0</v>
          </cell>
          <cell r="FD147">
            <v>0</v>
          </cell>
          <cell r="FE147">
            <v>0</v>
          </cell>
          <cell r="FF147">
            <v>0</v>
          </cell>
          <cell r="FG147">
            <v>0</v>
          </cell>
          <cell r="FJ147">
            <v>0</v>
          </cell>
          <cell r="FK147">
            <v>0</v>
          </cell>
          <cell r="FL147">
            <v>0</v>
          </cell>
          <cell r="FN147">
            <v>0</v>
          </cell>
          <cell r="FO147">
            <v>0</v>
          </cell>
          <cell r="FP147">
            <v>0</v>
          </cell>
          <cell r="FQ147">
            <v>0</v>
          </cell>
          <cell r="FS147">
            <v>0</v>
          </cell>
          <cell r="FT147">
            <v>0</v>
          </cell>
          <cell r="FU147">
            <v>0</v>
          </cell>
          <cell r="FV147">
            <v>0</v>
          </cell>
          <cell r="FW147">
            <v>0</v>
          </cell>
          <cell r="FX147">
            <v>0</v>
          </cell>
          <cell r="FY147">
            <v>0</v>
          </cell>
          <cell r="FZ147">
            <v>0</v>
          </cell>
          <cell r="GA147">
            <v>0</v>
          </cell>
        </row>
        <row r="148">
          <cell r="A148" t="str">
            <v>F_FIL_NRF_IRD_IRD_FRCE_AUT</v>
          </cell>
          <cell r="E148">
            <v>0</v>
          </cell>
          <cell r="F148">
            <v>0</v>
          </cell>
          <cell r="G148">
            <v>0</v>
          </cell>
          <cell r="J148">
            <v>0</v>
          </cell>
          <cell r="K148">
            <v>0</v>
          </cell>
          <cell r="L148">
            <v>0</v>
          </cell>
          <cell r="N148">
            <v>0</v>
          </cell>
          <cell r="O148">
            <v>0</v>
          </cell>
          <cell r="P148">
            <v>0</v>
          </cell>
          <cell r="Q148">
            <v>0</v>
          </cell>
          <cell r="S148">
            <v>0</v>
          </cell>
          <cell r="T148">
            <v>0</v>
          </cell>
          <cell r="U148">
            <v>0</v>
          </cell>
          <cell r="V148">
            <v>0</v>
          </cell>
          <cell r="W148">
            <v>0</v>
          </cell>
          <cell r="X148">
            <v>0</v>
          </cell>
          <cell r="Y148">
            <v>0</v>
          </cell>
          <cell r="Z148">
            <v>0</v>
          </cell>
          <cell r="AA148">
            <v>0</v>
          </cell>
          <cell r="AB148">
            <v>0</v>
          </cell>
          <cell r="AC148">
            <v>0</v>
          </cell>
          <cell r="AF148">
            <v>0</v>
          </cell>
          <cell r="AG148">
            <v>0</v>
          </cell>
          <cell r="AH148">
            <v>0</v>
          </cell>
          <cell r="AJ148">
            <v>0</v>
          </cell>
          <cell r="AK148">
            <v>0</v>
          </cell>
          <cell r="AL148">
            <v>0</v>
          </cell>
          <cell r="AM148">
            <v>0</v>
          </cell>
          <cell r="AO148">
            <v>0</v>
          </cell>
          <cell r="AP148">
            <v>0</v>
          </cell>
          <cell r="AQ148">
            <v>0</v>
          </cell>
          <cell r="AR148">
            <v>0</v>
          </cell>
          <cell r="AS148">
            <v>0</v>
          </cell>
          <cell r="AT148">
            <v>0</v>
          </cell>
          <cell r="AU148">
            <v>0</v>
          </cell>
          <cell r="AV148">
            <v>0</v>
          </cell>
          <cell r="AW148">
            <v>0</v>
          </cell>
          <cell r="AX148">
            <v>0</v>
          </cell>
          <cell r="AY148">
            <v>0</v>
          </cell>
          <cell r="BB148">
            <v>0</v>
          </cell>
          <cell r="BC148">
            <v>0</v>
          </cell>
          <cell r="BD148">
            <v>0</v>
          </cell>
          <cell r="BF148">
            <v>0</v>
          </cell>
          <cell r="BG148">
            <v>0</v>
          </cell>
          <cell r="BH148">
            <v>0</v>
          </cell>
          <cell r="BI148">
            <v>0</v>
          </cell>
          <cell r="BK148">
            <v>0</v>
          </cell>
          <cell r="BL148">
            <v>0</v>
          </cell>
          <cell r="BM148">
            <v>0</v>
          </cell>
          <cell r="BN148">
            <v>0</v>
          </cell>
          <cell r="BO148">
            <v>0</v>
          </cell>
          <cell r="BP148">
            <v>0</v>
          </cell>
          <cell r="BQ148">
            <v>0</v>
          </cell>
          <cell r="BR148">
            <v>0</v>
          </cell>
          <cell r="BS148">
            <v>0</v>
          </cell>
          <cell r="BT148">
            <v>0</v>
          </cell>
          <cell r="BU148">
            <v>0</v>
          </cell>
          <cell r="BX148">
            <v>0</v>
          </cell>
          <cell r="BY148">
            <v>0</v>
          </cell>
          <cell r="BZ148">
            <v>0</v>
          </cell>
          <cell r="CB148">
            <v>0</v>
          </cell>
          <cell r="CC148">
            <v>0</v>
          </cell>
          <cell r="CD148">
            <v>0</v>
          </cell>
          <cell r="CE148">
            <v>0</v>
          </cell>
          <cell r="CG148">
            <v>0</v>
          </cell>
          <cell r="CH148">
            <v>0</v>
          </cell>
          <cell r="CI148">
            <v>0</v>
          </cell>
          <cell r="CJ148">
            <v>0</v>
          </cell>
          <cell r="CK148">
            <v>0</v>
          </cell>
          <cell r="CL148">
            <v>0</v>
          </cell>
          <cell r="CM148">
            <v>0</v>
          </cell>
          <cell r="CN148">
            <v>0</v>
          </cell>
          <cell r="CO148">
            <v>0</v>
          </cell>
          <cell r="FD148">
            <v>0</v>
          </cell>
          <cell r="FE148">
            <v>0</v>
          </cell>
          <cell r="FF148">
            <v>0</v>
          </cell>
          <cell r="FG148">
            <v>0</v>
          </cell>
          <cell r="FJ148">
            <v>0</v>
          </cell>
          <cell r="FK148">
            <v>0</v>
          </cell>
          <cell r="FL148">
            <v>0</v>
          </cell>
          <cell r="FN148">
            <v>0</v>
          </cell>
          <cell r="FO148">
            <v>0</v>
          </cell>
          <cell r="FP148">
            <v>0</v>
          </cell>
          <cell r="FQ148">
            <v>0</v>
          </cell>
          <cell r="FS148">
            <v>0</v>
          </cell>
          <cell r="FT148">
            <v>0</v>
          </cell>
          <cell r="FU148">
            <v>0</v>
          </cell>
          <cell r="FV148">
            <v>0</v>
          </cell>
          <cell r="FW148">
            <v>0</v>
          </cell>
          <cell r="FX148">
            <v>0</v>
          </cell>
          <cell r="FY148">
            <v>0</v>
          </cell>
          <cell r="FZ148">
            <v>0</v>
          </cell>
          <cell r="GA148">
            <v>0</v>
          </cell>
        </row>
        <row r="149">
          <cell r="A149" t="str">
            <v>F_GAR_NRF_IRD_IRD_FRCE_SWL</v>
          </cell>
          <cell r="E149">
            <v>0</v>
          </cell>
          <cell r="F149">
            <v>0</v>
          </cell>
          <cell r="G149">
            <v>0</v>
          </cell>
          <cell r="J149">
            <v>0</v>
          </cell>
          <cell r="K149">
            <v>0</v>
          </cell>
          <cell r="L149">
            <v>0</v>
          </cell>
          <cell r="N149">
            <v>0</v>
          </cell>
          <cell r="O149">
            <v>0</v>
          </cell>
          <cell r="P149">
            <v>0</v>
          </cell>
          <cell r="Q149">
            <v>0</v>
          </cell>
          <cell r="S149">
            <v>0</v>
          </cell>
          <cell r="T149">
            <v>0</v>
          </cell>
          <cell r="U149">
            <v>0</v>
          </cell>
          <cell r="V149">
            <v>0</v>
          </cell>
          <cell r="W149">
            <v>0</v>
          </cell>
          <cell r="X149">
            <v>0</v>
          </cell>
          <cell r="Y149">
            <v>0</v>
          </cell>
          <cell r="Z149">
            <v>0</v>
          </cell>
          <cell r="AA149">
            <v>0</v>
          </cell>
          <cell r="AB149">
            <v>0</v>
          </cell>
          <cell r="AC149">
            <v>0</v>
          </cell>
          <cell r="AF149">
            <v>0</v>
          </cell>
          <cell r="AG149">
            <v>0</v>
          </cell>
          <cell r="AH149">
            <v>0</v>
          </cell>
          <cell r="AJ149">
            <v>0</v>
          </cell>
          <cell r="AK149">
            <v>0</v>
          </cell>
          <cell r="AL149">
            <v>0</v>
          </cell>
          <cell r="AM149">
            <v>0</v>
          </cell>
          <cell r="AO149">
            <v>0</v>
          </cell>
          <cell r="AP149">
            <v>0</v>
          </cell>
          <cell r="AQ149">
            <v>0</v>
          </cell>
          <cell r="AR149">
            <v>0</v>
          </cell>
          <cell r="AS149">
            <v>0</v>
          </cell>
          <cell r="AT149">
            <v>0</v>
          </cell>
          <cell r="AU149">
            <v>0</v>
          </cell>
          <cell r="AV149">
            <v>0</v>
          </cell>
          <cell r="AW149">
            <v>0</v>
          </cell>
          <cell r="AX149">
            <v>0</v>
          </cell>
          <cell r="AY149">
            <v>0</v>
          </cell>
          <cell r="BB149">
            <v>0</v>
          </cell>
          <cell r="BC149">
            <v>0</v>
          </cell>
          <cell r="BD149">
            <v>0</v>
          </cell>
          <cell r="BF149">
            <v>0</v>
          </cell>
          <cell r="BG149">
            <v>0</v>
          </cell>
          <cell r="BH149">
            <v>0</v>
          </cell>
          <cell r="BI149">
            <v>0</v>
          </cell>
          <cell r="BK149">
            <v>0</v>
          </cell>
          <cell r="BL149">
            <v>0</v>
          </cell>
          <cell r="BM149">
            <v>0</v>
          </cell>
          <cell r="BN149">
            <v>0</v>
          </cell>
          <cell r="BO149">
            <v>0</v>
          </cell>
          <cell r="BP149">
            <v>0</v>
          </cell>
          <cell r="BQ149">
            <v>0</v>
          </cell>
          <cell r="BR149">
            <v>0</v>
          </cell>
          <cell r="BS149">
            <v>0</v>
          </cell>
          <cell r="BT149">
            <v>0</v>
          </cell>
          <cell r="BU149">
            <v>0</v>
          </cell>
          <cell r="BX149">
            <v>0</v>
          </cell>
          <cell r="BY149">
            <v>0</v>
          </cell>
          <cell r="BZ149">
            <v>0</v>
          </cell>
          <cell r="CB149">
            <v>0</v>
          </cell>
          <cell r="CC149">
            <v>0</v>
          </cell>
          <cell r="CD149">
            <v>0</v>
          </cell>
          <cell r="CE149">
            <v>0</v>
          </cell>
          <cell r="CG149">
            <v>0</v>
          </cell>
          <cell r="CH149">
            <v>0</v>
          </cell>
          <cell r="CI149">
            <v>0</v>
          </cell>
          <cell r="CJ149">
            <v>0</v>
          </cell>
          <cell r="CK149">
            <v>0</v>
          </cell>
          <cell r="CL149">
            <v>0</v>
          </cell>
          <cell r="CM149">
            <v>0</v>
          </cell>
          <cell r="CN149">
            <v>0</v>
          </cell>
          <cell r="CO149">
            <v>0</v>
          </cell>
          <cell r="FD149">
            <v>0</v>
          </cell>
          <cell r="FE149">
            <v>0</v>
          </cell>
          <cell r="FF149">
            <v>0</v>
          </cell>
          <cell r="FG149">
            <v>0</v>
          </cell>
          <cell r="FJ149">
            <v>0</v>
          </cell>
          <cell r="FK149">
            <v>0</v>
          </cell>
          <cell r="FL149">
            <v>0</v>
          </cell>
          <cell r="FN149">
            <v>0</v>
          </cell>
          <cell r="FO149">
            <v>0</v>
          </cell>
          <cell r="FP149">
            <v>0</v>
          </cell>
          <cell r="FQ149">
            <v>0</v>
          </cell>
          <cell r="FS149">
            <v>0</v>
          </cell>
          <cell r="FT149">
            <v>0</v>
          </cell>
          <cell r="FU149">
            <v>0</v>
          </cell>
          <cell r="FV149">
            <v>0</v>
          </cell>
          <cell r="FW149">
            <v>0</v>
          </cell>
          <cell r="FX149">
            <v>0</v>
          </cell>
          <cell r="FY149">
            <v>0</v>
          </cell>
          <cell r="FZ149">
            <v>0</v>
          </cell>
          <cell r="GA149">
            <v>0</v>
          </cell>
        </row>
        <row r="150">
          <cell r="A150">
            <v>0</v>
          </cell>
        </row>
        <row r="151">
          <cell r="A151">
            <v>0</v>
          </cell>
        </row>
        <row r="152">
          <cell r="A152">
            <v>0</v>
          </cell>
        </row>
        <row r="153">
          <cell r="A153">
            <v>0</v>
          </cell>
        </row>
        <row r="154">
          <cell r="A154">
            <v>0</v>
          </cell>
        </row>
        <row r="155">
          <cell r="A155">
            <v>0</v>
          </cell>
        </row>
        <row r="156">
          <cell r="A156">
            <v>0</v>
          </cell>
        </row>
        <row r="157">
          <cell r="A157">
            <v>0</v>
          </cell>
        </row>
        <row r="158">
          <cell r="A158">
            <v>0</v>
          </cell>
        </row>
        <row r="159">
          <cell r="A159">
            <v>0</v>
          </cell>
        </row>
        <row r="160">
          <cell r="A160">
            <v>0</v>
          </cell>
        </row>
        <row r="161">
          <cell r="A161">
            <v>0</v>
          </cell>
        </row>
        <row r="162">
          <cell r="A162">
            <v>0</v>
          </cell>
        </row>
        <row r="163">
          <cell r="A163">
            <v>0</v>
          </cell>
        </row>
        <row r="164">
          <cell r="A164">
            <v>0</v>
          </cell>
        </row>
        <row r="165">
          <cell r="A165" t="str">
            <v>I_CAI_NRF_CPT_PRP_INTR_B01</v>
          </cell>
        </row>
        <row r="166">
          <cell r="A166" t="str">
            <v>I_CAI_NRF_EPA_EUR_INTR_B02</v>
          </cell>
        </row>
        <row r="167">
          <cell r="A167" t="str">
            <v>I_CAI_NRF_RIS_IND_INTR_B03</v>
          </cell>
        </row>
        <row r="168">
          <cell r="A168" t="str">
            <v>I_CAI_NRF_ASS_EMP_INTR_B04</v>
          </cell>
        </row>
        <row r="169">
          <cell r="A169" t="str">
            <v>I_CAI_NRF_RIS_IND_INTR_B05</v>
          </cell>
        </row>
        <row r="170">
          <cell r="A170" t="str">
            <v>I_CAI_NRF_RET_IND_INTR_B06</v>
          </cell>
        </row>
        <row r="171">
          <cell r="A171" t="str">
            <v>I_CAI_NRF_RET_IND_INTR_B07</v>
          </cell>
        </row>
        <row r="172">
          <cell r="A172" t="str">
            <v>I_CAI_NRF_RIS_IND_INTR_B08</v>
          </cell>
        </row>
        <row r="173">
          <cell r="A173" t="str">
            <v>I_CAI_NRF_IRD_IRD_INTR_B09</v>
          </cell>
        </row>
        <row r="174">
          <cell r="A174" t="str">
            <v>I_CAI_NRF_IRD_IRD_INTR_B10</v>
          </cell>
        </row>
        <row r="175">
          <cell r="A175" t="str">
            <v>I_CAI_NRF_IRD_IRD_INTR_B11</v>
          </cell>
        </row>
        <row r="176">
          <cell r="A176" t="str">
            <v>I_CAI_NRF_IRD_IRD_INTR_B12</v>
          </cell>
        </row>
        <row r="177">
          <cell r="A177" t="str">
            <v>I_CAI_NRF_IRD_IRD_INTR_B13</v>
          </cell>
        </row>
        <row r="178">
          <cell r="A178" t="str">
            <v>I_CAI_NRF_IRD_IRD_INTR_B14</v>
          </cell>
        </row>
        <row r="179">
          <cell r="A179" t="str">
            <v>I_CAI_NRF_IRD_IRD_INTR_B15</v>
          </cell>
        </row>
        <row r="180">
          <cell r="A180" t="str">
            <v>I_CAI_NRF_IRD_IRD_INTR_B16</v>
          </cell>
        </row>
        <row r="181">
          <cell r="A181" t="str">
            <v>I_CAI_NRF_IRD_IRD_INTR_B17</v>
          </cell>
        </row>
        <row r="182">
          <cell r="A182" t="str">
            <v>I_BVP_NRF_CPT_PRP_INTR_S11</v>
          </cell>
        </row>
        <row r="183">
          <cell r="A183" t="str">
            <v>I_BVP_NRF_ASS_EMP_INTR_S12</v>
          </cell>
        </row>
        <row r="184">
          <cell r="A184" t="str">
            <v>I_BVP_NRF_RIS_IND_INTR_S13</v>
          </cell>
        </row>
        <row r="185">
          <cell r="A185" t="str">
            <v>I_BVP_NRF_EPA_UCS_INTR_S14</v>
          </cell>
        </row>
        <row r="186">
          <cell r="A186" t="str">
            <v>I_BVP_NRF_EPA_UCS_INTR_S15</v>
          </cell>
        </row>
        <row r="187">
          <cell r="A187" t="str">
            <v>I_BVP_NRF_EPA_EUR_INTR_S16</v>
          </cell>
        </row>
        <row r="188">
          <cell r="A188" t="str">
            <v>I_BVP_NRF_EPA_EUR_INTR_S17</v>
          </cell>
        </row>
        <row r="189">
          <cell r="A189" t="str">
            <v>I_BVP_NRF_RIS_COL_INTR_S18</v>
          </cell>
        </row>
        <row r="190">
          <cell r="A190" t="str">
            <v>I_BVP_NRF_RIS_IND_INTR_S19</v>
          </cell>
        </row>
        <row r="191">
          <cell r="A191" t="str">
            <v>I_BVP_NRF_RIS_IND_INTR_S20</v>
          </cell>
        </row>
        <row r="192">
          <cell r="A192" t="str">
            <v>I_BVP_NRF_RIS_IND_INTR_S21</v>
          </cell>
        </row>
        <row r="193">
          <cell r="A193" t="str">
            <v>I_BVP_NRF_RET_COL_INTR_S22</v>
          </cell>
        </row>
        <row r="194">
          <cell r="A194" t="str">
            <v>I_BVP_NRF_RET_IND_INTR_S23</v>
          </cell>
        </row>
        <row r="195">
          <cell r="A195" t="str">
            <v>I_BVP_NRF_CPT_PRP_INTR_P01</v>
          </cell>
        </row>
        <row r="196">
          <cell r="A196" t="str">
            <v>I_BVP_NRF_ASS_EMP_INTR_P02</v>
          </cell>
        </row>
        <row r="197">
          <cell r="A197" t="str">
            <v>I_BVP_NRF_RIS_IND_INTR_P03</v>
          </cell>
        </row>
        <row r="198">
          <cell r="A198" t="str">
            <v>I_BVP_NRF_EPA_EUR_INTR_P04</v>
          </cell>
        </row>
        <row r="199">
          <cell r="A199" t="str">
            <v>I_BVP_NRF_EPA_UCS_INTR_P05</v>
          </cell>
        </row>
        <row r="200">
          <cell r="A200" t="str">
            <v>I_BVP_NRF_EPA_EUR_INTR_P06</v>
          </cell>
        </row>
        <row r="201">
          <cell r="A201" t="str">
            <v>I_BVP_NRF_CPT_PRP_INTR_I21</v>
          </cell>
        </row>
        <row r="202">
          <cell r="A202" t="str">
            <v>I_BVP_NRF_ASS_EMP_INTR_I22</v>
          </cell>
        </row>
        <row r="203">
          <cell r="A203" t="str">
            <v>I_BVP_NRF_EPA_EUR_INTR_I23</v>
          </cell>
        </row>
        <row r="204">
          <cell r="A204" t="str">
            <v>I_BVP_NRF_EPA_UCS_INTR_I24</v>
          </cell>
        </row>
        <row r="205">
          <cell r="A205" t="str">
            <v>I_BVP_NRF_EPA_EUR_INTR_I25</v>
          </cell>
        </row>
        <row r="206">
          <cell r="A206" t="str">
            <v>I_VID_NRF_CPT_PRP_INTR_S01</v>
          </cell>
        </row>
        <row r="207">
          <cell r="A207" t="str">
            <v>I_VID_NRF_IRD_IRD_INTR_S02</v>
          </cell>
        </row>
        <row r="208">
          <cell r="A208" t="str">
            <v>I_VID_NRF_EPA_UCS_INTR_S03</v>
          </cell>
        </row>
        <row r="209">
          <cell r="A209" t="str">
            <v>I_VID_NRF_EPA_EUR_INTR_S04</v>
          </cell>
        </row>
        <row r="210">
          <cell r="A210" t="str">
            <v>I_VID_NRF_EPA_EUR_INTR_S05</v>
          </cell>
        </row>
        <row r="211">
          <cell r="A211" t="str">
            <v>I_VID_NRF_RIS_COL_INTR_S06</v>
          </cell>
        </row>
        <row r="212">
          <cell r="A212" t="str">
            <v>I_VID_NRF_RIS_IND_INTR_S07</v>
          </cell>
        </row>
        <row r="213">
          <cell r="A213" t="str">
            <v>I_VID_NRF_RET_COL_INTR_S08</v>
          </cell>
        </row>
        <row r="214">
          <cell r="A214" t="str">
            <v>I_VID_NRF_RET_IND_INTR_S09</v>
          </cell>
        </row>
        <row r="215">
          <cell r="A215" t="str">
            <v>I_VID_NRF_CPT_PRP_INTR_S25</v>
          </cell>
        </row>
        <row r="216">
          <cell r="A216" t="str">
            <v>I_VID_NRF_EPA_UCS_INTR_S27</v>
          </cell>
        </row>
        <row r="217">
          <cell r="A217" t="str">
            <v>I_VID_NRF_EPA_EUR_INTR_S28</v>
          </cell>
        </row>
        <row r="218">
          <cell r="A218" t="str">
            <v>I_VID_NRF_EPA_EUR_INTR_S29</v>
          </cell>
        </row>
        <row r="219">
          <cell r="A219" t="str">
            <v>I_VID_NRF_RIS_COL_INTR_S30</v>
          </cell>
        </row>
        <row r="220">
          <cell r="A220" t="str">
            <v>I_VID_NRF_RIS_IND_INTR_S31</v>
          </cell>
        </row>
        <row r="221">
          <cell r="A221" t="str">
            <v>I_VID_NRF_RET_COL_INTR_S32</v>
          </cell>
        </row>
        <row r="222">
          <cell r="A222" t="str">
            <v>I_VID_NRF_RET_IND_INTR_S33</v>
          </cell>
        </row>
        <row r="223">
          <cell r="A223" t="str">
            <v>I_VIT_NRF_CPT_PRP_INTR_I01</v>
          </cell>
        </row>
        <row r="224">
          <cell r="A224" t="str">
            <v>I_VIT_NRF_EPA_EUR_INTR_I02</v>
          </cell>
        </row>
        <row r="225">
          <cell r="A225" t="str">
            <v>I_VIT_NRF_EPA_EUR_INTR_I03</v>
          </cell>
        </row>
        <row r="226">
          <cell r="A226" t="str">
            <v>I_VIT_NRF_EPA_EUR_INTR_I04</v>
          </cell>
        </row>
        <row r="227">
          <cell r="A227" t="str">
            <v>I_VIT_NRF_EPA_UCS_INTR_I05</v>
          </cell>
        </row>
        <row r="228">
          <cell r="A228" t="str">
            <v>I_VIT_NRF_EPA_UCS_INTR_I06</v>
          </cell>
        </row>
        <row r="229">
          <cell r="A229" t="str">
            <v>I_VIT_NRF_ASS_EMP_INTR_I07</v>
          </cell>
        </row>
        <row r="230">
          <cell r="A230" t="str">
            <v>I_VIT_NRF_RIS_IND_INTR_I08</v>
          </cell>
        </row>
        <row r="231">
          <cell r="A231" t="str">
            <v>I_VIT_NRF_RIS_IND_INTR_I09</v>
          </cell>
        </row>
        <row r="232">
          <cell r="A232" t="str">
            <v>I_VIT_NRF_RIS_COL_INTR_I10</v>
          </cell>
        </row>
        <row r="233">
          <cell r="A233" t="str">
            <v>I_VIT_NRF_RET_IND_INTR_I11</v>
          </cell>
        </row>
        <row r="234">
          <cell r="A234" t="str">
            <v>I_LKC_NRF_CPT_PRP_INTR_C01</v>
          </cell>
        </row>
        <row r="235">
          <cell r="A235" t="str">
            <v>I_LKC_NRF_EPA_UCS_INTR_C02</v>
          </cell>
        </row>
        <row r="236">
          <cell r="A236" t="str">
            <v>I_LKC_NRF_EPA_UCS_INTR_C03</v>
          </cell>
        </row>
        <row r="237">
          <cell r="A237" t="str">
            <v>I_LKC_NRF_EPA_UCS_INTR_C04</v>
          </cell>
        </row>
        <row r="238">
          <cell r="A238" t="str">
            <v>I_LKC_NRF_EPA_EUR_INTR_C05</v>
          </cell>
        </row>
        <row r="239">
          <cell r="A239" t="str">
            <v>I_LKC_NRF_EPA_EUR_INTR_C06</v>
          </cell>
        </row>
        <row r="240">
          <cell r="A240" t="str">
            <v>I_LKC_NRF_RIS_IND_INTR_C07</v>
          </cell>
        </row>
        <row r="241">
          <cell r="A241" t="str">
            <v>I_LKC_NRF_RIS_COL_INTR_C08</v>
          </cell>
        </row>
        <row r="242">
          <cell r="A242" t="str">
            <v>I_LKC_NRF_IRD_IRD_INTR_C09</v>
          </cell>
        </row>
        <row r="243">
          <cell r="A243" t="str">
            <v>I_LKC_NRF_IRD_IRD_INTR_C10</v>
          </cell>
        </row>
        <row r="244">
          <cell r="A244" t="str">
            <v>I_LKI_NRF_CPT_PRP_INTR_C11</v>
          </cell>
        </row>
        <row r="245">
          <cell r="A245" t="str">
            <v>I_LKI_NRF_IRD_IRD_INTR_C12</v>
          </cell>
        </row>
        <row r="246">
          <cell r="A246" t="str">
            <v>I_LKI_NRF_IRD_IRD_INTR_C13</v>
          </cell>
        </row>
        <row r="247">
          <cell r="A247" t="str">
            <v>I_LKI_NRF_IRD_IRD_INTR_C14</v>
          </cell>
        </row>
        <row r="248">
          <cell r="A248" t="str">
            <v>I_LKI_NRF_IRD_IRD_INTR_C15</v>
          </cell>
        </row>
        <row r="249">
          <cell r="A249" t="str">
            <v>I_LKI_NRF_IRD_IRD_INTR_C16</v>
          </cell>
        </row>
        <row r="250">
          <cell r="A250" t="str">
            <v>I_LKI_NRF_IRD_IRD_INTR_C17</v>
          </cell>
        </row>
        <row r="251">
          <cell r="A251" t="str">
            <v>I_LKI_NRF_IRD_IRD_INTR_C18</v>
          </cell>
        </row>
        <row r="252">
          <cell r="A252" t="str">
            <v>I_LKI_NRF_IRD_IRD_INTR_C19</v>
          </cell>
        </row>
        <row r="253">
          <cell r="A253" t="str">
            <v>I_LKI_NRF_IRD_IRD_INTR_C20</v>
          </cell>
        </row>
        <row r="254">
          <cell r="A254" t="str">
            <v>I_EUL_NRF_CPT_PRP_INTR_E01</v>
          </cell>
        </row>
        <row r="255">
          <cell r="A255" t="str">
            <v>I_EUL_NRF_RIS_COL_INTR_E02</v>
          </cell>
        </row>
        <row r="256">
          <cell r="A256" t="str">
            <v>I_EUL_NRF_RIS_COL_INTR_E03</v>
          </cell>
        </row>
        <row r="257">
          <cell r="A257" t="str">
            <v>I_CAI_NRF_CPT_PRP_INTR_TCX</v>
          </cell>
        </row>
        <row r="258">
          <cell r="A258" t="str">
            <v>I_BVP_NRF_CPT_PRP_INTR_TBV</v>
          </cell>
        </row>
        <row r="259">
          <cell r="A259" t="str">
            <v>I_VID_NRF_CPT_PRP_INTR_TVD</v>
          </cell>
        </row>
        <row r="260">
          <cell r="A260" t="str">
            <v>I_VIT_NRF_CPT_PRP_INTR_TVT</v>
          </cell>
        </row>
        <row r="261">
          <cell r="A261" t="str">
            <v>I_LKC_NRF_CPT_PRP_INTR_TLC</v>
          </cell>
        </row>
        <row r="262">
          <cell r="A262" t="str">
            <v>I_LKI_NRF_CPT_PRP_INTR_TLI</v>
          </cell>
        </row>
        <row r="263">
          <cell r="A263" t="str">
            <v>I_EUL_NRF_CPT_PRP_INTR_TEU</v>
          </cell>
        </row>
        <row r="264">
          <cell r="A264" t="str">
            <v>I_EUL_NRF_RET_COL_INTR_E04</v>
          </cell>
        </row>
        <row r="265">
          <cell r="A265" t="str">
            <v>I_EUL_NRF_CPT_PRP_INTR_E05</v>
          </cell>
        </row>
        <row r="266">
          <cell r="A266" t="str">
            <v>I_BVP_NRF_EPA_EUR_INTR_S24</v>
          </cell>
        </row>
        <row r="267">
          <cell r="A267" t="str">
            <v>I_VID_NRF_EPA_EUR_INTR_S10</v>
          </cell>
        </row>
        <row r="268">
          <cell r="A268" t="str">
            <v>I_VID_NRF_EPA_EUR_INTR_S34</v>
          </cell>
        </row>
        <row r="269">
          <cell r="A269">
            <v>0</v>
          </cell>
        </row>
        <row r="270">
          <cell r="A270">
            <v>0</v>
          </cell>
        </row>
        <row r="271">
          <cell r="A271">
            <v>0</v>
          </cell>
        </row>
        <row r="272">
          <cell r="A272">
            <v>0</v>
          </cell>
        </row>
        <row r="273">
          <cell r="A273">
            <v>0</v>
          </cell>
        </row>
        <row r="274">
          <cell r="A274">
            <v>0</v>
          </cell>
        </row>
        <row r="275">
          <cell r="A275">
            <v>0</v>
          </cell>
        </row>
        <row r="276">
          <cell r="A276">
            <v>0</v>
          </cell>
        </row>
        <row r="277">
          <cell r="A277">
            <v>0</v>
          </cell>
        </row>
        <row r="278">
          <cell r="A278">
            <v>0</v>
          </cell>
        </row>
        <row r="279">
          <cell r="A279">
            <v>0</v>
          </cell>
        </row>
        <row r="280">
          <cell r="A280">
            <v>0</v>
          </cell>
        </row>
        <row r="281">
          <cell r="A281">
            <v>0</v>
          </cell>
        </row>
        <row r="282">
          <cell r="A282">
            <v>0</v>
          </cell>
        </row>
        <row r="283">
          <cell r="A283">
            <v>0</v>
          </cell>
        </row>
        <row r="284">
          <cell r="F284" t="str">
            <v>end</v>
          </cell>
          <cell r="G284" t="str">
            <v>end</v>
          </cell>
          <cell r="H284" t="str">
            <v>end</v>
          </cell>
          <cell r="I284" t="str">
            <v>end</v>
          </cell>
          <cell r="J284" t="str">
            <v>end</v>
          </cell>
          <cell r="K284" t="str">
            <v>end</v>
          </cell>
          <cell r="L284" t="str">
            <v>end</v>
          </cell>
          <cell r="M284" t="str">
            <v>end</v>
          </cell>
          <cell r="N284" t="str">
            <v>end</v>
          </cell>
          <cell r="O284" t="str">
            <v>end</v>
          </cell>
          <cell r="P284" t="str">
            <v>end</v>
          </cell>
          <cell r="Q284" t="str">
            <v>end</v>
          </cell>
          <cell r="R284" t="str">
            <v>end</v>
          </cell>
          <cell r="S284" t="str">
            <v>end</v>
          </cell>
          <cell r="T284" t="str">
            <v>end</v>
          </cell>
          <cell r="U284" t="str">
            <v>end</v>
          </cell>
          <cell r="V284" t="str">
            <v>end</v>
          </cell>
          <cell r="W284" t="str">
            <v>end</v>
          </cell>
          <cell r="X284" t="str">
            <v>end</v>
          </cell>
          <cell r="Y284" t="str">
            <v>end</v>
          </cell>
          <cell r="Z284" t="str">
            <v>end</v>
          </cell>
          <cell r="AA284" t="str">
            <v>end</v>
          </cell>
          <cell r="AB284" t="str">
            <v>end</v>
          </cell>
          <cell r="AC284" t="str">
            <v>end</v>
          </cell>
          <cell r="AD284" t="str">
            <v>end</v>
          </cell>
          <cell r="AE284" t="str">
            <v>end</v>
          </cell>
          <cell r="AF284" t="str">
            <v>end</v>
          </cell>
          <cell r="AG284" t="str">
            <v>end</v>
          </cell>
          <cell r="AH284" t="str">
            <v>end</v>
          </cell>
          <cell r="AI284" t="str">
            <v>end</v>
          </cell>
          <cell r="AJ284" t="str">
            <v>end</v>
          </cell>
          <cell r="AK284" t="str">
            <v>end</v>
          </cell>
          <cell r="AL284" t="str">
            <v>end</v>
          </cell>
          <cell r="AM284" t="str">
            <v>end</v>
          </cell>
          <cell r="AN284" t="str">
            <v>end</v>
          </cell>
          <cell r="AO284" t="str">
            <v>end</v>
          </cell>
          <cell r="AP284" t="str">
            <v>end</v>
          </cell>
          <cell r="AQ284" t="str">
            <v>end</v>
          </cell>
          <cell r="AR284" t="str">
            <v>end</v>
          </cell>
          <cell r="AS284" t="str">
            <v>end</v>
          </cell>
          <cell r="AT284" t="str">
            <v>end</v>
          </cell>
          <cell r="AU284" t="str">
            <v>end</v>
          </cell>
          <cell r="AV284" t="str">
            <v>end</v>
          </cell>
          <cell r="AW284" t="str">
            <v>end</v>
          </cell>
          <cell r="AX284" t="str">
            <v>end</v>
          </cell>
          <cell r="AY284" t="str">
            <v>end</v>
          </cell>
          <cell r="AZ284" t="str">
            <v>end</v>
          </cell>
          <cell r="BA284" t="str">
            <v>end</v>
          </cell>
          <cell r="BB284" t="str">
            <v>end</v>
          </cell>
          <cell r="BC284" t="str">
            <v>end</v>
          </cell>
          <cell r="BD284" t="str">
            <v>end</v>
          </cell>
          <cell r="BE284" t="str">
            <v>end</v>
          </cell>
          <cell r="BF284" t="str">
            <v>end</v>
          </cell>
          <cell r="BG284" t="str">
            <v>end</v>
          </cell>
          <cell r="BH284" t="str">
            <v>end</v>
          </cell>
          <cell r="BI284" t="str">
            <v>end</v>
          </cell>
          <cell r="BJ284" t="str">
            <v>end</v>
          </cell>
          <cell r="BK284" t="str">
            <v>end</v>
          </cell>
          <cell r="BL284" t="str">
            <v>end</v>
          </cell>
          <cell r="BM284" t="str">
            <v>end</v>
          </cell>
          <cell r="BN284" t="str">
            <v>end</v>
          </cell>
          <cell r="BO284" t="str">
            <v>end</v>
          </cell>
          <cell r="BP284" t="str">
            <v>end</v>
          </cell>
          <cell r="BQ284" t="str">
            <v>end</v>
          </cell>
          <cell r="BR284" t="str">
            <v>end</v>
          </cell>
          <cell r="BS284" t="str">
            <v>end</v>
          </cell>
          <cell r="BT284" t="str">
            <v>end</v>
          </cell>
          <cell r="BU284" t="str">
            <v>end</v>
          </cell>
          <cell r="BV284" t="str">
            <v>end</v>
          </cell>
          <cell r="BW284" t="str">
            <v>end</v>
          </cell>
          <cell r="BX284" t="str">
            <v>end</v>
          </cell>
          <cell r="BY284" t="str">
            <v>end</v>
          </cell>
          <cell r="BZ284" t="str">
            <v>end</v>
          </cell>
          <cell r="CA284" t="str">
            <v>end</v>
          </cell>
          <cell r="CB284" t="str">
            <v>end</v>
          </cell>
          <cell r="CC284" t="str">
            <v>end</v>
          </cell>
          <cell r="CD284" t="str">
            <v>end</v>
          </cell>
          <cell r="CE284" t="str">
            <v>end</v>
          </cell>
          <cell r="CF284" t="str">
            <v>end</v>
          </cell>
          <cell r="CG284" t="str">
            <v>end</v>
          </cell>
          <cell r="CH284" t="str">
            <v>end</v>
          </cell>
          <cell r="CI284" t="str">
            <v>end</v>
          </cell>
          <cell r="CJ284" t="str">
            <v>end</v>
          </cell>
          <cell r="CK284" t="str">
            <v>end</v>
          </cell>
          <cell r="CL284" t="str">
            <v>end</v>
          </cell>
          <cell r="CM284" t="str">
            <v>end</v>
          </cell>
          <cell r="CN284" t="str">
            <v>end</v>
          </cell>
          <cell r="CO284" t="str">
            <v>end</v>
          </cell>
          <cell r="FD284" t="str">
            <v>end</v>
          </cell>
          <cell r="FF284" t="str">
            <v>end</v>
          </cell>
          <cell r="FG284" t="str">
            <v>end</v>
          </cell>
          <cell r="FH284" t="str">
            <v>end</v>
          </cell>
          <cell r="FI284" t="str">
            <v>end</v>
          </cell>
          <cell r="FJ284" t="str">
            <v>end</v>
          </cell>
          <cell r="FK284" t="str">
            <v>end</v>
          </cell>
          <cell r="FL284" t="str">
            <v>end</v>
          </cell>
          <cell r="FM284" t="str">
            <v>end</v>
          </cell>
          <cell r="FN284" t="str">
            <v>end</v>
          </cell>
          <cell r="FO284" t="str">
            <v>end</v>
          </cell>
          <cell r="FP284" t="str">
            <v>end</v>
          </cell>
          <cell r="FQ284" t="str">
            <v>end</v>
          </cell>
          <cell r="FR284" t="str">
            <v>end</v>
          </cell>
          <cell r="FS284" t="str">
            <v>end</v>
          </cell>
          <cell r="FT284" t="str">
            <v>end</v>
          </cell>
          <cell r="FU284" t="str">
            <v>end</v>
          </cell>
          <cell r="FV284" t="str">
            <v>end</v>
          </cell>
          <cell r="FW284" t="str">
            <v>end</v>
          </cell>
          <cell r="FX284" t="str">
            <v>end</v>
          </cell>
          <cell r="FY284" t="str">
            <v>end</v>
          </cell>
          <cell r="FZ284" t="str">
            <v>end</v>
          </cell>
          <cell r="GA284" t="str">
            <v>end</v>
          </cell>
        </row>
      </sheetData>
      <sheetData sheetId="16"/>
      <sheetData sheetId="17">
        <row r="2">
          <cell r="A2" t="str">
            <v>Key</v>
          </cell>
          <cell r="B2" t="str">
            <v/>
          </cell>
          <cell r="C2" t="str">
            <v/>
          </cell>
          <cell r="D2" t="str">
            <v/>
          </cell>
          <cell r="E2" t="str">
            <v>SCR-B3AB00</v>
          </cell>
          <cell r="F2" t="str">
            <v>SCR-B3AA01</v>
          </cell>
          <cell r="G2" t="str">
            <v>SCR-B3AA02</v>
          </cell>
          <cell r="J2" t="str">
            <v>SCR-B3AA05</v>
          </cell>
          <cell r="K2" t="str">
            <v>SCR-B3AA06</v>
          </cell>
          <cell r="L2" t="str">
            <v>SCR-B3AA07</v>
          </cell>
          <cell r="N2" t="str">
            <v>SCR-B3AA09</v>
          </cell>
          <cell r="O2" t="str">
            <v>SCR-B3AA10</v>
          </cell>
          <cell r="P2" t="str">
            <v>SCR-B3AA11</v>
          </cell>
          <cell r="Q2" t="str">
            <v>SCR-B3AA12</v>
          </cell>
          <cell r="S2" t="str">
            <v>SCR-B3AA14</v>
          </cell>
          <cell r="T2" t="str">
            <v>SCR-B3AA15</v>
          </cell>
          <cell r="U2" t="str">
            <v>SCR-B3AA16</v>
          </cell>
          <cell r="V2" t="str">
            <v>SCR-B3AA17</v>
          </cell>
          <cell r="W2" t="str">
            <v>SCR-B3AA18</v>
          </cell>
          <cell r="X2" t="str">
            <v>SCR-B3A</v>
          </cell>
          <cell r="Y2" t="str">
            <v>SCR-B3A</v>
          </cell>
          <cell r="Z2" t="str">
            <v>SCR-B3AA20</v>
          </cell>
          <cell r="AA2" t="str">
            <v>SCR-B3AA21</v>
          </cell>
          <cell r="AB2" t="str">
            <v>SCR-B3AB01</v>
          </cell>
          <cell r="AC2" t="str">
            <v>SCR-B3AB02</v>
          </cell>
          <cell r="AF2" t="str">
            <v>SCR-B3AB05</v>
          </cell>
          <cell r="AG2" t="str">
            <v>SCR-B3AB06</v>
          </cell>
          <cell r="AH2" t="str">
            <v>SCR-B3AB07</v>
          </cell>
          <cell r="AJ2" t="str">
            <v>SCR-B3AB09</v>
          </cell>
          <cell r="AK2" t="str">
            <v>SCR-B3AB10</v>
          </cell>
          <cell r="AL2" t="str">
            <v>SCR-B3AB11</v>
          </cell>
          <cell r="AM2" t="str">
            <v>SCR-B3AB12</v>
          </cell>
          <cell r="AO2" t="str">
            <v>SCR-B3AB14</v>
          </cell>
          <cell r="AP2" t="str">
            <v>SCR-B3AB15</v>
          </cell>
          <cell r="AQ2" t="str">
            <v>SCR-B3AB16</v>
          </cell>
          <cell r="AR2" t="str">
            <v>SCR-B3AB17</v>
          </cell>
          <cell r="AS2" t="str">
            <v>SCR-B3AB18</v>
          </cell>
          <cell r="AT2" t="str">
            <v>SCR-B3A</v>
          </cell>
          <cell r="AU2" t="str">
            <v>SCR-B3A</v>
          </cell>
          <cell r="AV2" t="str">
            <v>SCR-B3AB20</v>
          </cell>
          <cell r="AW2" t="str">
            <v>SCR-B3AB21</v>
          </cell>
          <cell r="AX2" t="str">
            <v>SCR-B3AA01A</v>
          </cell>
          <cell r="AY2" t="str">
            <v>SCR-B3AA02A</v>
          </cell>
          <cell r="BB2" t="str">
            <v>SCR-B3AA05A</v>
          </cell>
          <cell r="BC2" t="str">
            <v>SCR-B3AA06A</v>
          </cell>
          <cell r="BD2" t="str">
            <v>SCR-B3AA07A</v>
          </cell>
          <cell r="BF2" t="str">
            <v>SCR-B3AA09A</v>
          </cell>
          <cell r="BG2" t="str">
            <v>SCR-B3AA10A</v>
          </cell>
          <cell r="BH2" t="str">
            <v>SCR-B3AA11A</v>
          </cell>
          <cell r="BI2" t="str">
            <v>SCR-B3AA12A</v>
          </cell>
          <cell r="BK2" t="str">
            <v>SCR-B3AA14A</v>
          </cell>
          <cell r="BL2" t="str">
            <v>SCR-B3AA15A</v>
          </cell>
          <cell r="BM2" t="str">
            <v>SCR-B3AA16A</v>
          </cell>
          <cell r="BN2" t="str">
            <v>SCR-B3AA17A</v>
          </cell>
          <cell r="BO2" t="str">
            <v>SCR-B3AA18A</v>
          </cell>
          <cell r="BP2" t="str">
            <v>SCR-B3A</v>
          </cell>
          <cell r="BQ2" t="str">
            <v>SCR-B3A</v>
          </cell>
          <cell r="BR2" t="str">
            <v>SCR-B3AA20A</v>
          </cell>
          <cell r="BS2" t="str">
            <v>SCR-B3AA21A</v>
          </cell>
          <cell r="BT2" t="str">
            <v>SCR-B3AB01B</v>
          </cell>
          <cell r="BU2" t="str">
            <v>SCR-B3AB02B</v>
          </cell>
          <cell r="BX2" t="str">
            <v>SCR-B3AB05B</v>
          </cell>
          <cell r="BY2" t="str">
            <v>SCR-B3AB06B</v>
          </cell>
          <cell r="BZ2" t="str">
            <v>SCR-B3AB07B</v>
          </cell>
          <cell r="CB2" t="str">
            <v>SCR-B3AB09B</v>
          </cell>
          <cell r="CC2" t="str">
            <v>SCR-B3AB10B</v>
          </cell>
          <cell r="CD2" t="str">
            <v>SCR-B3AB11B</v>
          </cell>
          <cell r="CE2" t="str">
            <v>SCR-B3AB12B</v>
          </cell>
          <cell r="CG2" t="str">
            <v>SCR-B3AB14B</v>
          </cell>
          <cell r="CH2" t="str">
            <v>SCR-B3AB15B</v>
          </cell>
          <cell r="CI2" t="str">
            <v>SCR-B3AB16B</v>
          </cell>
          <cell r="CJ2" t="str">
            <v>SCR-B3AB17B</v>
          </cell>
          <cell r="CK2" t="str">
            <v>SCR-B3AB18B</v>
          </cell>
          <cell r="CL2" t="str">
            <v>SCR-B3A</v>
          </cell>
          <cell r="CM2" t="str">
            <v>SCR-B3A</v>
          </cell>
          <cell r="CN2" t="str">
            <v>SCR-B3AB20B</v>
          </cell>
          <cell r="CO2" t="str">
            <v>SCR-B3AB21B</v>
          </cell>
          <cell r="CP2" t="str">
            <v>SCR-B3CA01A</v>
          </cell>
          <cell r="CQ2" t="str">
            <v>SCR-B3CA02A</v>
          </cell>
          <cell r="CR2" t="str">
            <v>SCR-B3CA03A</v>
          </cell>
          <cell r="CS2" t="str">
            <v>SCR-B3CA04A</v>
          </cell>
          <cell r="CT2" t="str">
            <v>SCR-B3CA05A</v>
          </cell>
          <cell r="CU2" t="str">
            <v>SCR-B3CA06A</v>
          </cell>
          <cell r="CV2" t="str">
            <v>SCR-B3CA07A</v>
          </cell>
          <cell r="CW2" t="str">
            <v>SCR-B3CA08A</v>
          </cell>
          <cell r="CX2" t="str">
            <v>SCR-B3CA09A</v>
          </cell>
          <cell r="CY2" t="str">
            <v>SCR-B3CA10A</v>
          </cell>
          <cell r="CZ2" t="str">
            <v>SCR-B3CB01B</v>
          </cell>
          <cell r="DA2" t="str">
            <v>SCR-B3CB02B</v>
          </cell>
          <cell r="DB2" t="str">
            <v>SCR-B3CB03B</v>
          </cell>
          <cell r="DC2" t="str">
            <v>SCR-B3CB04B</v>
          </cell>
          <cell r="DD2" t="str">
            <v>SCR-B3CB05B</v>
          </cell>
          <cell r="DE2" t="str">
            <v>SCR-B3CB06B</v>
          </cell>
          <cell r="DF2" t="str">
            <v>SCR-B3CB07B</v>
          </cell>
          <cell r="DG2" t="str">
            <v>SCR-B3CB08B</v>
          </cell>
          <cell r="DH2" t="str">
            <v>SCR-B3CB09B</v>
          </cell>
          <cell r="DI2" t="str">
            <v>SCR-B3CB10B</v>
          </cell>
          <cell r="DX2" t="str">
            <v>SCR-B3CA13</v>
          </cell>
          <cell r="DY2" t="str">
            <v>SCR-B3CA14</v>
          </cell>
          <cell r="DZ2" t="str">
            <v>SCR-B3CA15</v>
          </cell>
          <cell r="EA2" t="str">
            <v>SCR-B3DA01A</v>
          </cell>
          <cell r="EB2" t="str">
            <v>SCR-B3DA02A</v>
          </cell>
          <cell r="EC2" t="str">
            <v>SCR-B3DA03A</v>
          </cell>
          <cell r="ED2" t="str">
            <v>SCR-B3DA04A</v>
          </cell>
          <cell r="EE2" t="str">
            <v>SCR-B3DA05A</v>
          </cell>
          <cell r="EF2" t="str">
            <v>SCR-B3DA06A</v>
          </cell>
          <cell r="EG2" t="str">
            <v>SCR-B3DA07A</v>
          </cell>
          <cell r="EH2" t="str">
            <v>SCR-B3DA08A</v>
          </cell>
          <cell r="EI2" t="str">
            <v>SCR-B3DA09A</v>
          </cell>
          <cell r="EJ2" t="str">
            <v>SCR-B3DB01B</v>
          </cell>
          <cell r="EK2" t="str">
            <v>SCR-B3DB02B</v>
          </cell>
          <cell r="EL2" t="str">
            <v>SCR-B3DB03B</v>
          </cell>
          <cell r="EM2" t="str">
            <v>SCR-B3DB04B</v>
          </cell>
          <cell r="EN2" t="str">
            <v>SCR-B3DB05B</v>
          </cell>
          <cell r="EO2" t="str">
            <v>SCR-B3DB06B</v>
          </cell>
          <cell r="EP2" t="str">
            <v>SCR-B3DB07B</v>
          </cell>
          <cell r="EQ2" t="str">
            <v>SCR-B3DB08B</v>
          </cell>
          <cell r="ER2" t="str">
            <v>SCR-B3DB09B</v>
          </cell>
          <cell r="FD2" t="str">
            <v>SCR-B3ABE_RS</v>
          </cell>
          <cell r="FE2" t="str">
            <v>SCR-B3AABC</v>
          </cell>
          <cell r="FF2" t="str">
            <v>SCR-B3AB01A</v>
          </cell>
          <cell r="FG2" t="str">
            <v>SCR-B3AB02A</v>
          </cell>
          <cell r="FJ2" t="str">
            <v>SCR-B3AB05A</v>
          </cell>
          <cell r="FK2" t="str">
            <v>SCR-B3AB06A</v>
          </cell>
          <cell r="FL2" t="str">
            <v>SCR-B3AB07A</v>
          </cell>
          <cell r="FN2" t="str">
            <v>SCR-B3AB09A</v>
          </cell>
          <cell r="FO2" t="str">
            <v>SCR-B3AB10A</v>
          </cell>
          <cell r="FP2" t="str">
            <v>SCR-B3AB11A</v>
          </cell>
          <cell r="FQ2" t="str">
            <v>SCR-B3AB12A</v>
          </cell>
          <cell r="FS2" t="str">
            <v>SCR-B3AB14A</v>
          </cell>
          <cell r="FT2" t="str">
            <v>SCR-B3AB15A</v>
          </cell>
          <cell r="FU2" t="str">
            <v>SCR-B3AB16A</v>
          </cell>
          <cell r="FV2" t="str">
            <v>SCR-B3AB17A</v>
          </cell>
          <cell r="FW2" t="str">
            <v>SCR-B3AB18A</v>
          </cell>
          <cell r="FX2" t="str">
            <v>SCR-B3A</v>
          </cell>
          <cell r="FY2" t="str">
            <v>SCR-B3A</v>
          </cell>
          <cell r="FZ2" t="str">
            <v>SCR-B3AB20A</v>
          </cell>
          <cell r="GA2" t="str">
            <v>SCR-B3AB21A</v>
          </cell>
          <cell r="GB2" t="str">
            <v>SCR-B3CB01A</v>
          </cell>
          <cell r="GC2" t="str">
            <v>SCR-B3CB02A</v>
          </cell>
          <cell r="GD2" t="str">
            <v>SCR-B3CB03A</v>
          </cell>
          <cell r="GE2" t="str">
            <v>SCR-B3CB04A</v>
          </cell>
          <cell r="GF2" t="str">
            <v>SCR-B3CB05A</v>
          </cell>
          <cell r="GG2" t="str">
            <v>SCR-B3CB06A</v>
          </cell>
          <cell r="GH2" t="str">
            <v>SCR-B3CB07A</v>
          </cell>
          <cell r="GI2" t="str">
            <v>SCR-B3CB08A</v>
          </cell>
          <cell r="GJ2" t="str">
            <v>SCR-B3CB09A</v>
          </cell>
          <cell r="GK2" t="str">
            <v>SCR-B3CB10A</v>
          </cell>
          <cell r="GL2" t="str">
            <v>SCR-B3DB01A</v>
          </cell>
          <cell r="GM2" t="str">
            <v>SCR-B3DB02A</v>
          </cell>
          <cell r="GN2" t="str">
            <v>SCR-B3DB03A</v>
          </cell>
          <cell r="GO2" t="str">
            <v>SCR-B3DB04A</v>
          </cell>
          <cell r="GP2" t="str">
            <v>SCR-B3DB05A</v>
          </cell>
          <cell r="GQ2" t="str">
            <v>SCR-B3DB06A</v>
          </cell>
          <cell r="GR2" t="str">
            <v>SCR-B3DB07A</v>
          </cell>
          <cell r="GS2" t="str">
            <v>SCR-B3DB08A</v>
          </cell>
          <cell r="GT2" t="str">
            <v>SCR-B3DB09A</v>
          </cell>
        </row>
        <row r="3">
          <cell r="A3" t="str">
            <v>NumCol</v>
          </cell>
          <cell r="B3">
            <v>2</v>
          </cell>
          <cell r="C3">
            <v>3</v>
          </cell>
          <cell r="D3">
            <v>4</v>
          </cell>
          <cell r="E3">
            <v>5</v>
          </cell>
          <cell r="F3">
            <v>6</v>
          </cell>
          <cell r="G3">
            <v>7</v>
          </cell>
          <cell r="H3">
            <v>8</v>
          </cell>
          <cell r="I3">
            <v>9</v>
          </cell>
          <cell r="J3">
            <v>10</v>
          </cell>
          <cell r="K3">
            <v>11</v>
          </cell>
          <cell r="L3">
            <v>12</v>
          </cell>
          <cell r="M3">
            <v>13</v>
          </cell>
          <cell r="N3">
            <v>14</v>
          </cell>
          <cell r="O3">
            <v>15</v>
          </cell>
          <cell r="P3">
            <v>16</v>
          </cell>
          <cell r="Q3">
            <v>17</v>
          </cell>
          <cell r="R3">
            <v>18</v>
          </cell>
          <cell r="S3">
            <v>19</v>
          </cell>
          <cell r="T3">
            <v>20</v>
          </cell>
          <cell r="U3">
            <v>21</v>
          </cell>
          <cell r="V3">
            <v>22</v>
          </cell>
          <cell r="W3">
            <v>23</v>
          </cell>
          <cell r="X3">
            <v>24</v>
          </cell>
          <cell r="Y3">
            <v>25</v>
          </cell>
          <cell r="Z3">
            <v>26</v>
          </cell>
          <cell r="AA3">
            <v>27</v>
          </cell>
          <cell r="AB3">
            <v>28</v>
          </cell>
          <cell r="AC3">
            <v>29</v>
          </cell>
          <cell r="AD3">
            <v>30</v>
          </cell>
          <cell r="AE3">
            <v>31</v>
          </cell>
          <cell r="AF3">
            <v>32</v>
          </cell>
          <cell r="AG3">
            <v>33</v>
          </cell>
          <cell r="AH3">
            <v>34</v>
          </cell>
          <cell r="AI3">
            <v>35</v>
          </cell>
          <cell r="AJ3">
            <v>36</v>
          </cell>
          <cell r="AK3">
            <v>37</v>
          </cell>
          <cell r="AL3">
            <v>38</v>
          </cell>
          <cell r="AM3">
            <v>39</v>
          </cell>
          <cell r="AN3">
            <v>40</v>
          </cell>
          <cell r="AO3">
            <v>41</v>
          </cell>
          <cell r="AP3">
            <v>42</v>
          </cell>
          <cell r="AQ3">
            <v>43</v>
          </cell>
          <cell r="AR3">
            <v>44</v>
          </cell>
          <cell r="AS3">
            <v>45</v>
          </cell>
          <cell r="AT3">
            <v>46</v>
          </cell>
          <cell r="AU3">
            <v>47</v>
          </cell>
          <cell r="AV3">
            <v>48</v>
          </cell>
          <cell r="AW3">
            <v>49</v>
          </cell>
          <cell r="AX3">
            <v>50</v>
          </cell>
          <cell r="AY3">
            <v>51</v>
          </cell>
          <cell r="AZ3">
            <v>52</v>
          </cell>
          <cell r="BA3">
            <v>53</v>
          </cell>
          <cell r="BB3">
            <v>54</v>
          </cell>
          <cell r="BC3">
            <v>55</v>
          </cell>
          <cell r="BD3">
            <v>56</v>
          </cell>
          <cell r="BE3">
            <v>57</v>
          </cell>
          <cell r="BF3">
            <v>58</v>
          </cell>
          <cell r="BG3">
            <v>59</v>
          </cell>
          <cell r="BH3">
            <v>60</v>
          </cell>
          <cell r="BI3">
            <v>61</v>
          </cell>
          <cell r="BJ3">
            <v>62</v>
          </cell>
          <cell r="BK3">
            <v>63</v>
          </cell>
          <cell r="BL3">
            <v>64</v>
          </cell>
          <cell r="BM3">
            <v>65</v>
          </cell>
          <cell r="BN3">
            <v>66</v>
          </cell>
          <cell r="BO3">
            <v>67</v>
          </cell>
          <cell r="BP3">
            <v>68</v>
          </cell>
          <cell r="BQ3">
            <v>69</v>
          </cell>
          <cell r="BR3">
            <v>70</v>
          </cell>
          <cell r="BS3">
            <v>71</v>
          </cell>
          <cell r="BT3">
            <v>72</v>
          </cell>
          <cell r="BU3">
            <v>73</v>
          </cell>
          <cell r="BV3">
            <v>74</v>
          </cell>
          <cell r="BW3">
            <v>75</v>
          </cell>
          <cell r="BX3">
            <v>76</v>
          </cell>
          <cell r="BY3">
            <v>77</v>
          </cell>
          <cell r="BZ3">
            <v>78</v>
          </cell>
          <cell r="CA3">
            <v>79</v>
          </cell>
          <cell r="CB3">
            <v>80</v>
          </cell>
          <cell r="CC3">
            <v>81</v>
          </cell>
          <cell r="CD3">
            <v>82</v>
          </cell>
          <cell r="CE3">
            <v>83</v>
          </cell>
          <cell r="CF3">
            <v>84</v>
          </cell>
          <cell r="CG3">
            <v>85</v>
          </cell>
          <cell r="CH3">
            <v>86</v>
          </cell>
          <cell r="CI3">
            <v>87</v>
          </cell>
          <cell r="CJ3">
            <v>88</v>
          </cell>
          <cell r="CK3">
            <v>89</v>
          </cell>
          <cell r="CL3">
            <v>90</v>
          </cell>
          <cell r="CM3">
            <v>91</v>
          </cell>
          <cell r="CN3">
            <v>92</v>
          </cell>
          <cell r="CO3">
            <v>93</v>
          </cell>
          <cell r="CP3">
            <v>94</v>
          </cell>
          <cell r="CQ3">
            <v>95</v>
          </cell>
          <cell r="CR3">
            <v>96</v>
          </cell>
          <cell r="CS3">
            <v>97</v>
          </cell>
          <cell r="CT3">
            <v>98</v>
          </cell>
          <cell r="CU3">
            <v>99</v>
          </cell>
          <cell r="CV3">
            <v>100</v>
          </cell>
          <cell r="CW3">
            <v>101</v>
          </cell>
          <cell r="CX3">
            <v>102</v>
          </cell>
          <cell r="CY3">
            <v>103</v>
          </cell>
          <cell r="CZ3">
            <v>104</v>
          </cell>
          <cell r="DA3">
            <v>105</v>
          </cell>
          <cell r="DB3">
            <v>106</v>
          </cell>
          <cell r="DC3">
            <v>107</v>
          </cell>
          <cell r="DD3">
            <v>108</v>
          </cell>
          <cell r="DE3">
            <v>109</v>
          </cell>
          <cell r="DF3">
            <v>110</v>
          </cell>
          <cell r="DG3">
            <v>111</v>
          </cell>
          <cell r="DH3">
            <v>112</v>
          </cell>
          <cell r="DI3">
            <v>113</v>
          </cell>
          <cell r="DJ3">
            <v>114</v>
          </cell>
          <cell r="DK3">
            <v>115</v>
          </cell>
          <cell r="DL3">
            <v>116</v>
          </cell>
          <cell r="DM3">
            <v>117</v>
          </cell>
          <cell r="DN3">
            <v>118</v>
          </cell>
          <cell r="DO3">
            <v>119</v>
          </cell>
          <cell r="DP3">
            <v>120</v>
          </cell>
          <cell r="DQ3">
            <v>121</v>
          </cell>
          <cell r="DR3">
            <v>122</v>
          </cell>
          <cell r="DS3">
            <v>123</v>
          </cell>
          <cell r="DT3">
            <v>124</v>
          </cell>
          <cell r="DU3">
            <v>125</v>
          </cell>
          <cell r="DV3">
            <v>126</v>
          </cell>
          <cell r="DW3">
            <v>127</v>
          </cell>
          <cell r="DX3">
            <v>128</v>
          </cell>
          <cell r="DY3">
            <v>129</v>
          </cell>
          <cell r="DZ3">
            <v>130</v>
          </cell>
          <cell r="EA3">
            <v>131</v>
          </cell>
          <cell r="EB3">
            <v>132</v>
          </cell>
          <cell r="EC3">
            <v>133</v>
          </cell>
          <cell r="ED3">
            <v>134</v>
          </cell>
          <cell r="EE3">
            <v>135</v>
          </cell>
          <cell r="EF3">
            <v>136</v>
          </cell>
          <cell r="EG3">
            <v>137</v>
          </cell>
          <cell r="EH3">
            <v>138</v>
          </cell>
          <cell r="EI3">
            <v>139</v>
          </cell>
          <cell r="EJ3">
            <v>140</v>
          </cell>
          <cell r="EK3">
            <v>141</v>
          </cell>
          <cell r="EL3">
            <v>142</v>
          </cell>
          <cell r="EM3">
            <v>143</v>
          </cell>
          <cell r="EN3">
            <v>144</v>
          </cell>
          <cell r="EO3">
            <v>145</v>
          </cell>
          <cell r="EP3">
            <v>146</v>
          </cell>
          <cell r="EQ3">
            <v>147</v>
          </cell>
          <cell r="ER3">
            <v>148</v>
          </cell>
          <cell r="ES3">
            <v>149</v>
          </cell>
          <cell r="ET3">
            <v>150</v>
          </cell>
          <cell r="EU3">
            <v>151</v>
          </cell>
          <cell r="EV3">
            <v>152</v>
          </cell>
          <cell r="EW3">
            <v>153</v>
          </cell>
          <cell r="EX3">
            <v>154</v>
          </cell>
          <cell r="EY3">
            <v>155</v>
          </cell>
          <cell r="EZ3">
            <v>156</v>
          </cell>
          <cell r="FA3">
            <v>157</v>
          </cell>
          <cell r="FB3">
            <v>158</v>
          </cell>
          <cell r="FC3">
            <v>159</v>
          </cell>
          <cell r="FD3">
            <v>160</v>
          </cell>
          <cell r="FE3">
            <v>161</v>
          </cell>
          <cell r="FF3">
            <v>162</v>
          </cell>
          <cell r="FG3">
            <v>163</v>
          </cell>
          <cell r="FH3">
            <v>164</v>
          </cell>
          <cell r="FI3">
            <v>165</v>
          </cell>
          <cell r="FJ3">
            <v>166</v>
          </cell>
          <cell r="FK3">
            <v>167</v>
          </cell>
          <cell r="FL3">
            <v>168</v>
          </cell>
          <cell r="FM3">
            <v>169</v>
          </cell>
          <cell r="FN3">
            <v>170</v>
          </cell>
          <cell r="FO3">
            <v>171</v>
          </cell>
          <cell r="FP3">
            <v>172</v>
          </cell>
          <cell r="FQ3">
            <v>173</v>
          </cell>
          <cell r="FR3">
            <v>174</v>
          </cell>
          <cell r="FS3">
            <v>175</v>
          </cell>
          <cell r="FT3">
            <v>176</v>
          </cell>
          <cell r="FU3">
            <v>177</v>
          </cell>
          <cell r="FV3">
            <v>178</v>
          </cell>
          <cell r="FW3">
            <v>179</v>
          </cell>
          <cell r="FX3">
            <v>180</v>
          </cell>
          <cell r="FY3">
            <v>181</v>
          </cell>
          <cell r="FZ3">
            <v>182</v>
          </cell>
          <cell r="GA3">
            <v>183</v>
          </cell>
          <cell r="GB3">
            <v>184</v>
          </cell>
          <cell r="GC3">
            <v>185</v>
          </cell>
          <cell r="GD3">
            <v>186</v>
          </cell>
          <cell r="GE3">
            <v>187</v>
          </cell>
          <cell r="GF3">
            <v>188</v>
          </cell>
          <cell r="GG3">
            <v>189</v>
          </cell>
          <cell r="GH3">
            <v>190</v>
          </cell>
          <cell r="GI3">
            <v>191</v>
          </cell>
          <cell r="GJ3">
            <v>192</v>
          </cell>
          <cell r="GK3">
            <v>193</v>
          </cell>
          <cell r="GL3">
            <v>194</v>
          </cell>
          <cell r="GM3">
            <v>195</v>
          </cell>
          <cell r="GN3">
            <v>196</v>
          </cell>
          <cell r="GO3">
            <v>197</v>
          </cell>
          <cell r="GP3">
            <v>198</v>
          </cell>
          <cell r="GQ3">
            <v>199</v>
          </cell>
          <cell r="GR3">
            <v>200</v>
          </cell>
          <cell r="GS3">
            <v>201</v>
          </cell>
          <cell r="GT3">
            <v>202</v>
          </cell>
          <cell r="GU3">
            <v>203</v>
          </cell>
          <cell r="GV3">
            <v>204</v>
          </cell>
          <cell r="GW3">
            <v>205</v>
          </cell>
          <cell r="GX3">
            <v>206</v>
          </cell>
          <cell r="GY3">
            <v>207</v>
          </cell>
          <cell r="GZ3">
            <v>208</v>
          </cell>
          <cell r="HA3">
            <v>209</v>
          </cell>
          <cell r="HB3">
            <v>210</v>
          </cell>
          <cell r="HC3">
            <v>211</v>
          </cell>
          <cell r="HD3">
            <v>212</v>
          </cell>
        </row>
        <row r="4">
          <cell r="A4" t="str">
            <v>Templates</v>
          </cell>
          <cell r="E4" t="str">
            <v>SCR-B3A</v>
          </cell>
          <cell r="F4" t="str">
            <v>SCR-B3A</v>
          </cell>
          <cell r="G4" t="str">
            <v>SCR-B3A</v>
          </cell>
          <cell r="J4" t="str">
            <v>SCR-B3A</v>
          </cell>
          <cell r="K4" t="str">
            <v>SCR-B3A</v>
          </cell>
          <cell r="L4" t="str">
            <v>SCR-B3A</v>
          </cell>
          <cell r="N4" t="str">
            <v>SCR-B3A</v>
          </cell>
          <cell r="O4" t="str">
            <v>SCR-B3A</v>
          </cell>
          <cell r="P4" t="str">
            <v>SCR-B3A</v>
          </cell>
          <cell r="Q4" t="str">
            <v>SCR-B3A</v>
          </cell>
          <cell r="S4" t="str">
            <v>SCR-B3A</v>
          </cell>
          <cell r="T4" t="str">
            <v>SCR-B3A</v>
          </cell>
          <cell r="U4" t="str">
            <v>SCR-B3A</v>
          </cell>
          <cell r="V4" t="str">
            <v>SCR-B3A</v>
          </cell>
          <cell r="W4" t="str">
            <v>SCR-B3A</v>
          </cell>
          <cell r="X4" t="str">
            <v>SCR-B3A</v>
          </cell>
          <cell r="Y4" t="str">
            <v>SCR-B3A</v>
          </cell>
          <cell r="Z4" t="str">
            <v>SCR-B3A</v>
          </cell>
          <cell r="AA4" t="str">
            <v>SCR-B3A</v>
          </cell>
          <cell r="AB4" t="str">
            <v>SCR-B3A</v>
          </cell>
          <cell r="AC4" t="str">
            <v>SCR-B3A</v>
          </cell>
          <cell r="AF4" t="str">
            <v>SCR-B3A</v>
          </cell>
          <cell r="AG4" t="str">
            <v>SCR-B3A</v>
          </cell>
          <cell r="AH4" t="str">
            <v>SCR-B3A</v>
          </cell>
          <cell r="AJ4" t="str">
            <v>SCR-B3A</v>
          </cell>
          <cell r="AK4" t="str">
            <v>SCR-B3A</v>
          </cell>
          <cell r="AL4" t="str">
            <v>SCR-B3A</v>
          </cell>
          <cell r="AM4" t="str">
            <v>SCR-B3A</v>
          </cell>
          <cell r="AO4" t="str">
            <v>SCR-B3A</v>
          </cell>
          <cell r="AP4" t="str">
            <v>SCR-B3A</v>
          </cell>
          <cell r="AQ4" t="str">
            <v>SCR-B3A</v>
          </cell>
          <cell r="AR4" t="str">
            <v>SCR-B3A</v>
          </cell>
          <cell r="AS4" t="str">
            <v>SCR-B3A</v>
          </cell>
          <cell r="AT4" t="str">
            <v>SCR-B3A</v>
          </cell>
          <cell r="AU4" t="str">
            <v>SCR-B3A</v>
          </cell>
          <cell r="AV4" t="str">
            <v>SCR-B3A</v>
          </cell>
          <cell r="AW4" t="str">
            <v>SCR-B3A</v>
          </cell>
          <cell r="AX4" t="str">
            <v>SCR-B3A</v>
          </cell>
          <cell r="AY4" t="str">
            <v>SCR-B3A</v>
          </cell>
          <cell r="BB4" t="str">
            <v>SCR-B3A</v>
          </cell>
          <cell r="BC4" t="str">
            <v>SCR-B3A</v>
          </cell>
          <cell r="BD4" t="str">
            <v>SCR-B3A</v>
          </cell>
          <cell r="BF4" t="str">
            <v>SCR-B3A</v>
          </cell>
          <cell r="BG4" t="str">
            <v>SCR-B3A</v>
          </cell>
          <cell r="BH4" t="str">
            <v>SCR-B3A</v>
          </cell>
          <cell r="BI4" t="str">
            <v>SCR-B3A</v>
          </cell>
          <cell r="BK4" t="str">
            <v>SCR-B3A</v>
          </cell>
          <cell r="BL4" t="str">
            <v>SCR-B3A</v>
          </cell>
          <cell r="BM4" t="str">
            <v>SCR-B3A</v>
          </cell>
          <cell r="BN4" t="str">
            <v>SCR-B3A</v>
          </cell>
          <cell r="BO4" t="str">
            <v>SCR-B3A</v>
          </cell>
          <cell r="BP4" t="str">
            <v>SCR-B3A</v>
          </cell>
          <cell r="BQ4" t="str">
            <v>SCR-B3A</v>
          </cell>
          <cell r="BR4" t="str">
            <v>SCR-B3A</v>
          </cell>
          <cell r="BS4" t="str">
            <v>SCR-B3A</v>
          </cell>
          <cell r="BT4" t="str">
            <v>SCR-B3A</v>
          </cell>
          <cell r="BU4" t="str">
            <v>SCR-B3A</v>
          </cell>
          <cell r="BX4" t="str">
            <v>SCR-B3A</v>
          </cell>
          <cell r="BY4" t="str">
            <v>SCR-B3A</v>
          </cell>
          <cell r="BZ4" t="str">
            <v>SCR-B3A</v>
          </cell>
          <cell r="CB4" t="str">
            <v>SCR-B3A</v>
          </cell>
          <cell r="CC4" t="str">
            <v>SCR-B3A</v>
          </cell>
          <cell r="CD4" t="str">
            <v>SCR-B3A</v>
          </cell>
          <cell r="CE4" t="str">
            <v>SCR-B3A</v>
          </cell>
          <cell r="CG4" t="str">
            <v>SCR-B3A</v>
          </cell>
          <cell r="CH4" t="str">
            <v>SCR-B3A</v>
          </cell>
          <cell r="CI4" t="str">
            <v>SCR-B3A</v>
          </cell>
          <cell r="CJ4" t="str">
            <v>SCR-B3A</v>
          </cell>
          <cell r="CK4" t="str">
            <v>SCR-B3A</v>
          </cell>
          <cell r="CL4" t="str">
            <v>SCR-B3A</v>
          </cell>
          <cell r="CM4" t="str">
            <v>SCR-B3A</v>
          </cell>
          <cell r="CN4" t="str">
            <v>SCR-B3A</v>
          </cell>
          <cell r="CO4" t="str">
            <v>SCR-B3A</v>
          </cell>
          <cell r="CP4" t="str">
            <v>SCR-B3C</v>
          </cell>
          <cell r="CQ4" t="str">
            <v>SCR-B3C</v>
          </cell>
          <cell r="CR4" t="str">
            <v>SCR-B3C</v>
          </cell>
          <cell r="CS4" t="str">
            <v>SCR-B3C</v>
          </cell>
          <cell r="CT4" t="str">
            <v>SCR-B3C</v>
          </cell>
          <cell r="CU4" t="str">
            <v>SCR-B3C</v>
          </cell>
          <cell r="CV4" t="str">
            <v>SCR-B3C</v>
          </cell>
          <cell r="CW4" t="str">
            <v>SCR-B3C</v>
          </cell>
          <cell r="CX4" t="str">
            <v>SCR-B3C</v>
          </cell>
          <cell r="CY4" t="str">
            <v>SCR-B3C</v>
          </cell>
          <cell r="CZ4" t="str">
            <v>SCR-B3C</v>
          </cell>
          <cell r="DA4" t="str">
            <v>SCR-B3C</v>
          </cell>
          <cell r="DB4" t="str">
            <v>SCR-B3C</v>
          </cell>
          <cell r="DC4" t="str">
            <v>SCR-B3C</v>
          </cell>
          <cell r="DD4" t="str">
            <v>SCR-B3C</v>
          </cell>
          <cell r="DE4" t="str">
            <v>SCR-B3C</v>
          </cell>
          <cell r="DF4" t="str">
            <v>SCR-B3C</v>
          </cell>
          <cell r="DG4" t="str">
            <v>SCR-B3C</v>
          </cell>
          <cell r="DH4" t="str">
            <v>SCR-B3C</v>
          </cell>
          <cell r="DI4" t="str">
            <v>SCR-B3C</v>
          </cell>
          <cell r="DX4" t="str">
            <v>SCR-B3C</v>
          </cell>
          <cell r="DY4" t="str">
            <v>SCR-B3C</v>
          </cell>
          <cell r="DZ4" t="str">
            <v>SCR-B3C</v>
          </cell>
          <cell r="EA4" t="str">
            <v>SCR-B3D</v>
          </cell>
          <cell r="EB4" t="str">
            <v>SCR-B3D</v>
          </cell>
          <cell r="EC4" t="str">
            <v>SCR-B3D</v>
          </cell>
          <cell r="ED4" t="str">
            <v>SCR-B3D</v>
          </cell>
          <cell r="EE4" t="str">
            <v>SCR-B3D</v>
          </cell>
          <cell r="EF4" t="str">
            <v>SCR-B3D</v>
          </cell>
          <cell r="EG4" t="str">
            <v>SCR-B3D</v>
          </cell>
          <cell r="EH4" t="str">
            <v>SCR-B3D</v>
          </cell>
          <cell r="EI4" t="str">
            <v>SCR-B3D</v>
          </cell>
          <cell r="EJ4" t="str">
            <v>SCR-B3D</v>
          </cell>
          <cell r="EK4" t="str">
            <v>SCR-B3D</v>
          </cell>
          <cell r="EL4" t="str">
            <v>SCR-B3D</v>
          </cell>
          <cell r="EM4" t="str">
            <v>SCR-B3D</v>
          </cell>
          <cell r="EN4" t="str">
            <v>SCR-B3D</v>
          </cell>
          <cell r="EO4" t="str">
            <v>SCR-B3D</v>
          </cell>
          <cell r="EP4" t="str">
            <v>SCR-B3D</v>
          </cell>
          <cell r="EQ4" t="str">
            <v>SCR-B3D</v>
          </cell>
          <cell r="ER4" t="str">
            <v>SCR-B3D</v>
          </cell>
          <cell r="FD4" t="str">
            <v>SCR-B3A</v>
          </cell>
          <cell r="FE4" t="str">
            <v>SCR-B3A</v>
          </cell>
          <cell r="FF4" t="str">
            <v>SCR-B3A</v>
          </cell>
          <cell r="FG4" t="str">
            <v>SCR-B3A</v>
          </cell>
          <cell r="FJ4" t="str">
            <v>SCR-B3A</v>
          </cell>
          <cell r="FK4" t="str">
            <v>SCR-B3A</v>
          </cell>
          <cell r="FL4" t="str">
            <v>SCR-B3A</v>
          </cell>
          <cell r="FN4" t="str">
            <v>SCR-B3A</v>
          </cell>
          <cell r="FO4" t="str">
            <v>SCR-B3A</v>
          </cell>
          <cell r="FP4" t="str">
            <v>SCR-B3A</v>
          </cell>
          <cell r="FQ4" t="str">
            <v>SCR-B3A</v>
          </cell>
          <cell r="FS4" t="str">
            <v>SCR-B3A</v>
          </cell>
          <cell r="FT4" t="str">
            <v>SCR-B3A</v>
          </cell>
          <cell r="FU4" t="str">
            <v>SCR-B3A</v>
          </cell>
          <cell r="FV4" t="str">
            <v>SCR-B3A</v>
          </cell>
          <cell r="FW4" t="str">
            <v>SCR-B3A</v>
          </cell>
          <cell r="FX4" t="str">
            <v>SCR-B3A</v>
          </cell>
          <cell r="FY4" t="str">
            <v>SCR-B3A</v>
          </cell>
          <cell r="FZ4" t="str">
            <v>SCR-B3A</v>
          </cell>
          <cell r="GA4" t="str">
            <v>SCR-B3A</v>
          </cell>
          <cell r="GB4" t="str">
            <v>SCR-B3C</v>
          </cell>
          <cell r="GC4" t="str">
            <v>SCR-B3C</v>
          </cell>
          <cell r="GD4" t="str">
            <v>SCR-B3C</v>
          </cell>
          <cell r="GE4" t="str">
            <v>SCR-B3C</v>
          </cell>
          <cell r="GF4" t="str">
            <v>SCR-B3C</v>
          </cell>
          <cell r="GG4" t="str">
            <v>SCR-B3C</v>
          </cell>
          <cell r="GH4" t="str">
            <v>SCR-B3C</v>
          </cell>
          <cell r="GI4" t="str">
            <v>SCR-B3C</v>
          </cell>
          <cell r="GJ4" t="str">
            <v>SCR-B3C</v>
          </cell>
          <cell r="GK4" t="str">
            <v>SCR-B3C</v>
          </cell>
          <cell r="GL4" t="str">
            <v>SCR-B3D</v>
          </cell>
          <cell r="GM4" t="str">
            <v>SCR-B3D</v>
          </cell>
          <cell r="GN4" t="str">
            <v>SCR-B3D</v>
          </cell>
          <cell r="GO4" t="str">
            <v>SCR-B3D</v>
          </cell>
          <cell r="GP4" t="str">
            <v>SCR-B3D</v>
          </cell>
          <cell r="GQ4" t="str">
            <v>SCR-B3D</v>
          </cell>
          <cell r="GR4" t="str">
            <v>SCR-B3D</v>
          </cell>
          <cell r="GS4" t="str">
            <v>SCR-B3D</v>
          </cell>
          <cell r="GT4" t="str">
            <v>SCR-B3D</v>
          </cell>
        </row>
        <row r="5">
          <cell r="A5" t="str">
            <v xml:space="preserve">Cells </v>
          </cell>
          <cell r="E5" t="str">
            <v>B00</v>
          </cell>
          <cell r="F5" t="str">
            <v>A01</v>
          </cell>
          <cell r="G5" t="str">
            <v>A02</v>
          </cell>
          <cell r="J5" t="str">
            <v>A05</v>
          </cell>
          <cell r="K5" t="str">
            <v>A06</v>
          </cell>
          <cell r="L5" t="str">
            <v>A07</v>
          </cell>
          <cell r="N5" t="str">
            <v>A09</v>
          </cell>
          <cell r="O5" t="str">
            <v>A10</v>
          </cell>
          <cell r="P5" t="str">
            <v>A11</v>
          </cell>
          <cell r="Q5" t="str">
            <v>A12</v>
          </cell>
          <cell r="S5" t="str">
            <v>A14</v>
          </cell>
          <cell r="T5" t="str">
            <v>A15</v>
          </cell>
          <cell r="U5" t="str">
            <v>A16</v>
          </cell>
          <cell r="V5" t="str">
            <v>A17</v>
          </cell>
          <cell r="W5" t="str">
            <v>A18</v>
          </cell>
          <cell r="Z5" t="str">
            <v>A20</v>
          </cell>
          <cell r="AA5" t="str">
            <v>A21</v>
          </cell>
          <cell r="AB5" t="str">
            <v>B01</v>
          </cell>
          <cell r="AC5" t="str">
            <v>B02</v>
          </cell>
          <cell r="AF5" t="str">
            <v>B05</v>
          </cell>
          <cell r="AG5" t="str">
            <v>B06</v>
          </cell>
          <cell r="AH5" t="str">
            <v>B07</v>
          </cell>
          <cell r="AJ5" t="str">
            <v>B09</v>
          </cell>
          <cell r="AK5" t="str">
            <v>B10</v>
          </cell>
          <cell r="AL5" t="str">
            <v>B11</v>
          </cell>
          <cell r="AM5" t="str">
            <v>B12</v>
          </cell>
          <cell r="AO5" t="str">
            <v>B14</v>
          </cell>
          <cell r="AP5" t="str">
            <v>B15</v>
          </cell>
          <cell r="AQ5" t="str">
            <v>B16</v>
          </cell>
          <cell r="AR5" t="str">
            <v>B17</v>
          </cell>
          <cell r="AS5" t="str">
            <v>B18</v>
          </cell>
          <cell r="AV5" t="str">
            <v>B20</v>
          </cell>
          <cell r="AW5" t="str">
            <v>B21</v>
          </cell>
          <cell r="AX5" t="str">
            <v>A01A</v>
          </cell>
          <cell r="AY5" t="str">
            <v>A02A</v>
          </cell>
          <cell r="BB5" t="str">
            <v>A05A</v>
          </cell>
          <cell r="BC5" t="str">
            <v>A06A</v>
          </cell>
          <cell r="BD5" t="str">
            <v>A07A</v>
          </cell>
          <cell r="BF5" t="str">
            <v>A09A</v>
          </cell>
          <cell r="BG5" t="str">
            <v>A10A</v>
          </cell>
          <cell r="BH5" t="str">
            <v>A11A</v>
          </cell>
          <cell r="BI5" t="str">
            <v>A12A</v>
          </cell>
          <cell r="BK5" t="str">
            <v>A14A</v>
          </cell>
          <cell r="BL5" t="str">
            <v>A15A</v>
          </cell>
          <cell r="BM5" t="str">
            <v>A16A</v>
          </cell>
          <cell r="BN5" t="str">
            <v>A17A</v>
          </cell>
          <cell r="BO5" t="str">
            <v>A18A</v>
          </cell>
          <cell r="BR5" t="str">
            <v>A20A</v>
          </cell>
          <cell r="BS5" t="str">
            <v>A21A</v>
          </cell>
          <cell r="BT5" t="str">
            <v>B01B</v>
          </cell>
          <cell r="BU5" t="str">
            <v>B02B</v>
          </cell>
          <cell r="BX5" t="str">
            <v>B05B</v>
          </cell>
          <cell r="BY5" t="str">
            <v>B06B</v>
          </cell>
          <cell r="BZ5" t="str">
            <v>B07B</v>
          </cell>
          <cell r="CB5" t="str">
            <v>B09B</v>
          </cell>
          <cell r="CC5" t="str">
            <v>B10B</v>
          </cell>
          <cell r="CD5" t="str">
            <v>B11B</v>
          </cell>
          <cell r="CE5" t="str">
            <v>B12B</v>
          </cell>
          <cell r="CG5" t="str">
            <v>B14B</v>
          </cell>
          <cell r="CH5" t="str">
            <v>B15B</v>
          </cell>
          <cell r="CI5" t="str">
            <v>B16B</v>
          </cell>
          <cell r="CJ5" t="str">
            <v>B17B</v>
          </cell>
          <cell r="CK5" t="str">
            <v>B18B</v>
          </cell>
          <cell r="CN5" t="str">
            <v>B20B</v>
          </cell>
          <cell r="CO5" t="str">
            <v>B21B</v>
          </cell>
          <cell r="CP5" t="str">
            <v>A01A</v>
          </cell>
          <cell r="CQ5" t="str">
            <v>A02A</v>
          </cell>
          <cell r="CR5" t="str">
            <v>A03A</v>
          </cell>
          <cell r="CS5" t="str">
            <v>A04A</v>
          </cell>
          <cell r="CT5" t="str">
            <v>A05A</v>
          </cell>
          <cell r="CU5" t="str">
            <v>A06A</v>
          </cell>
          <cell r="CV5" t="str">
            <v>A07A</v>
          </cell>
          <cell r="CW5" t="str">
            <v>A08A</v>
          </cell>
          <cell r="CX5" t="str">
            <v>A09A</v>
          </cell>
          <cell r="CY5" t="str">
            <v>A10A</v>
          </cell>
          <cell r="CZ5" t="str">
            <v>B01B</v>
          </cell>
          <cell r="DA5" t="str">
            <v>B02B</v>
          </cell>
          <cell r="DB5" t="str">
            <v>B03B</v>
          </cell>
          <cell r="DC5" t="str">
            <v>B04B</v>
          </cell>
          <cell r="DD5" t="str">
            <v>B05B</v>
          </cell>
          <cell r="DE5" t="str">
            <v>B06B</v>
          </cell>
          <cell r="DF5" t="str">
            <v>B07B</v>
          </cell>
          <cell r="DG5" t="str">
            <v>B08B</v>
          </cell>
          <cell r="DH5" t="str">
            <v>B09B</v>
          </cell>
          <cell r="DI5" t="str">
            <v>B10B</v>
          </cell>
          <cell r="DX5" t="str">
            <v>A13</v>
          </cell>
          <cell r="DY5" t="str">
            <v>A14</v>
          </cell>
          <cell r="DZ5" t="str">
            <v>A15</v>
          </cell>
          <cell r="EA5" t="str">
            <v>A01A</v>
          </cell>
          <cell r="EB5" t="str">
            <v>A02A</v>
          </cell>
          <cell r="EC5" t="str">
            <v>A03A</v>
          </cell>
          <cell r="ED5" t="str">
            <v>A04A</v>
          </cell>
          <cell r="EE5" t="str">
            <v>A05A</v>
          </cell>
          <cell r="EF5" t="str">
            <v>A06A</v>
          </cell>
          <cell r="EG5" t="str">
            <v>A07A</v>
          </cell>
          <cell r="EH5" t="str">
            <v>A08A</v>
          </cell>
          <cell r="EI5" t="str">
            <v>A09A</v>
          </cell>
          <cell r="EJ5" t="str">
            <v>B01B</v>
          </cell>
          <cell r="EK5" t="str">
            <v>B02B</v>
          </cell>
          <cell r="EL5" t="str">
            <v>B03B</v>
          </cell>
          <cell r="EM5" t="str">
            <v>B04B</v>
          </cell>
          <cell r="EN5" t="str">
            <v>B05B</v>
          </cell>
          <cell r="EO5" t="str">
            <v>B06B</v>
          </cell>
          <cell r="EP5" t="str">
            <v>B07B</v>
          </cell>
          <cell r="EQ5" t="str">
            <v>B08B</v>
          </cell>
          <cell r="ER5" t="str">
            <v>B09B</v>
          </cell>
          <cell r="FD5" t="str">
            <v>BE_RS</v>
          </cell>
          <cell r="FE5" t="str">
            <v>ABC</v>
          </cell>
          <cell r="FF5" t="str">
            <v>B01A</v>
          </cell>
          <cell r="FG5" t="str">
            <v>B02A</v>
          </cell>
          <cell r="FJ5" t="str">
            <v>B05A</v>
          </cell>
          <cell r="FK5" t="str">
            <v>B06A</v>
          </cell>
          <cell r="FL5" t="str">
            <v>B07A</v>
          </cell>
          <cell r="FN5" t="str">
            <v>B09A</v>
          </cell>
          <cell r="FO5" t="str">
            <v>B10A</v>
          </cell>
          <cell r="FP5" t="str">
            <v>B11A</v>
          </cell>
          <cell r="FQ5" t="str">
            <v>B12A</v>
          </cell>
          <cell r="FS5" t="str">
            <v>B14A</v>
          </cell>
          <cell r="FT5" t="str">
            <v>B15A</v>
          </cell>
          <cell r="FU5" t="str">
            <v>B16A</v>
          </cell>
          <cell r="FV5" t="str">
            <v>B17A</v>
          </cell>
          <cell r="FW5" t="str">
            <v>B18A</v>
          </cell>
          <cell r="FZ5" t="str">
            <v>B20A</v>
          </cell>
          <cell r="GA5" t="str">
            <v>B21A</v>
          </cell>
          <cell r="GB5" t="str">
            <v>B01A</v>
          </cell>
          <cell r="GC5" t="str">
            <v>B02A</v>
          </cell>
          <cell r="GD5" t="str">
            <v>B03A</v>
          </cell>
          <cell r="GE5" t="str">
            <v>B04A</v>
          </cell>
          <cell r="GF5" t="str">
            <v>B05A</v>
          </cell>
          <cell r="GG5" t="str">
            <v>B06A</v>
          </cell>
          <cell r="GH5" t="str">
            <v>B07A</v>
          </cell>
          <cell r="GI5" t="str">
            <v>B08A</v>
          </cell>
          <cell r="GJ5" t="str">
            <v>B09A</v>
          </cell>
          <cell r="GK5" t="str">
            <v>B10A</v>
          </cell>
          <cell r="GL5" t="str">
            <v>B01A</v>
          </cell>
          <cell r="GM5" t="str">
            <v>B02A</v>
          </cell>
          <cell r="GN5" t="str">
            <v>B03A</v>
          </cell>
          <cell r="GO5" t="str">
            <v>B04A</v>
          </cell>
          <cell r="GP5" t="str">
            <v>B05A</v>
          </cell>
          <cell r="GQ5" t="str">
            <v>B06A</v>
          </cell>
          <cell r="GR5" t="str">
            <v>B07A</v>
          </cell>
          <cell r="GS5" t="str">
            <v>B08A</v>
          </cell>
          <cell r="GT5" t="str">
            <v>B09A</v>
          </cell>
        </row>
        <row r="6">
          <cell r="A6" t="str">
            <v>Total</v>
          </cell>
          <cell r="J6" t="str">
            <v>sum</v>
          </cell>
          <cell r="N6" t="str">
            <v>sum</v>
          </cell>
          <cell r="AF6" t="str">
            <v>sum</v>
          </cell>
          <cell r="AP6" t="str">
            <v>max</v>
          </cell>
          <cell r="AS6" t="str">
            <v>max</v>
          </cell>
          <cell r="CH6" t="str">
            <v>max</v>
          </cell>
          <cell r="CK6" t="str">
            <v>max</v>
          </cell>
        </row>
        <row r="7">
          <cell r="A7" t="str">
            <v>Key_S2</v>
          </cell>
          <cell r="B7" t="str">
            <v>Mathematical Reserve French GAAP (or outside France Reserve in local GAAP)</v>
          </cell>
          <cell r="D7" t="str">
            <v>Initial Assets Total</v>
          </cell>
          <cell r="E7" t="str">
            <v>Initial Liabilities = BE</v>
          </cell>
          <cell r="F7" t="str">
            <v>Initial Assets Interest rate Down before Shock</v>
          </cell>
          <cell r="G7" t="str">
            <v>Initial Assets Interest rate UP before Shock</v>
          </cell>
          <cell r="J7" t="str">
            <v>Initial Assets Type 1 Equity before shock</v>
          </cell>
          <cell r="K7" t="str">
            <v>Initial Assets Type 1 Equity / Strategic Participations before shock</v>
          </cell>
          <cell r="L7" t="str">
            <v>Initial Assets Type 1 Equity / Duration-based before shock</v>
          </cell>
          <cell r="N7" t="str">
            <v>Initial Assets Type 2 Equity before shock</v>
          </cell>
          <cell r="O7" t="str">
            <v>Initial Assets Type 2 Equity / Strategic Participations before shock</v>
          </cell>
          <cell r="P7" t="str">
            <v>Initial Assets Type 2 Equity / Duration-based before shock</v>
          </cell>
          <cell r="Q7" t="str">
            <v>Initial Assets Property before Shock</v>
          </cell>
          <cell r="S7" t="str">
            <v>Initial Assets Spread risk / bonds before Shock</v>
          </cell>
          <cell r="T7" t="str">
            <v>Initial Assets Spread risk / Credit derivatives before Shock</v>
          </cell>
          <cell r="U7" t="str">
            <v>Initial Assets Spread / Credit derivatives DOWN before Shock</v>
          </cell>
          <cell r="V7" t="str">
            <v>Initial Assets Spread / Credit derivatives UP before Shock</v>
          </cell>
          <cell r="W7" t="str">
            <v>Initial Assets Spread risk / Structured credit products before Shock</v>
          </cell>
          <cell r="X7" t="str">
            <v>Initial Assets Spread / Structured credit products / Underlying Assets before Shock</v>
          </cell>
          <cell r="Y7" t="str">
            <v>Initial Assets Spread / Structured credit products / Direct Shock before Shock</v>
          </cell>
          <cell r="Z7" t="str">
            <v>Initial Assets Currency before Shock</v>
          </cell>
          <cell r="AA7" t="str">
            <v>Initial Assets Illiquidity Premium before Shock</v>
          </cell>
          <cell r="AB7" t="str">
            <v xml:space="preserve">Assets after Interest rate DOWN Shock </v>
          </cell>
          <cell r="AC7" t="str">
            <v>Assets after Interest rate UP Shock</v>
          </cell>
          <cell r="AF7" t="str">
            <v>Assets after Type 1 Equity shock</v>
          </cell>
          <cell r="AG7" t="str">
            <v>Assets after Type 1 Equity / Strategic Participations shock</v>
          </cell>
          <cell r="AH7" t="str">
            <v>Assets after Type 1 Equity / Duration-based shock</v>
          </cell>
          <cell r="AJ7" t="str">
            <v>Assets after Type 2 Equity shock</v>
          </cell>
          <cell r="AK7" t="str">
            <v>Assets after Type 2 Equity / Strategic Participations shock</v>
          </cell>
          <cell r="AL7" t="str">
            <v>Assets after Type 2 Equity / Duration-based shock</v>
          </cell>
          <cell r="AM7" t="str">
            <v>Assets after Property Shock</v>
          </cell>
          <cell r="AO7" t="str">
            <v>Assets after Spread risk / bond Shock</v>
          </cell>
          <cell r="AP7" t="str">
            <v>Assets after Spread / Credit derivatives Shock</v>
          </cell>
          <cell r="AQ7" t="str">
            <v>Assets after Spread / Credit derivatives DOWN Shock</v>
          </cell>
          <cell r="AR7" t="str">
            <v>Assets after Spread / Credit derivatives UP Shock</v>
          </cell>
          <cell r="AS7" t="str">
            <v>Assets after Spread / Structured credit products Shock</v>
          </cell>
          <cell r="AT7" t="str">
            <v>Assets after Spread / Structured credit products / Underlying assets Shock</v>
          </cell>
          <cell r="AU7" t="str">
            <v>Assets after Spread / Structured credit products / Direct Shock Shock</v>
          </cell>
          <cell r="AV7" t="str">
            <v>Assets after Currency Shock</v>
          </cell>
          <cell r="AW7" t="str">
            <v>Assets after Illiquidity Premium Shock</v>
          </cell>
          <cell r="AX7" t="str">
            <v xml:space="preserve">Initial Liabilities Interest rate DOWN before Shock </v>
          </cell>
          <cell r="AY7" t="str">
            <v xml:space="preserve">Initial Liabilities Interest rate UP before Shock </v>
          </cell>
          <cell r="BB7" t="str">
            <v>Initial Liabilities Type 1 Equity before shock</v>
          </cell>
          <cell r="BC7" t="str">
            <v>Initial Liabilities Type 1 Equity / Strategic Participations before shock</v>
          </cell>
          <cell r="BD7" t="str">
            <v>Initial Liabilities Type 1 Equity / Duration-based before shock</v>
          </cell>
          <cell r="BF7" t="str">
            <v>Initial Liabilities Type 2 Equity before shock</v>
          </cell>
          <cell r="BG7" t="str">
            <v>Initial Liabilities Type 2 Equity / Strategic Participations before shock</v>
          </cell>
          <cell r="BH7" t="str">
            <v>Initial Liabilities Type 2 Equity / Duration-based before shock</v>
          </cell>
          <cell r="BI7" t="str">
            <v xml:space="preserve">Initial Liabilities Property before Shock </v>
          </cell>
          <cell r="BK7" t="str">
            <v xml:space="preserve">Initial Liabilities Spread risk / bonds before Shock </v>
          </cell>
          <cell r="BL7" t="str">
            <v xml:space="preserve">Initial Liabilities Spread / Credit derivatives before Shock </v>
          </cell>
          <cell r="BM7" t="str">
            <v>Initial Liabilities Spread / Credit derivatives DOWN before Shock</v>
          </cell>
          <cell r="BN7" t="str">
            <v>Initial Liabilities Spread / Credit derivatives UP before Shock</v>
          </cell>
          <cell r="BO7" t="str">
            <v xml:space="preserve">Initial Liabilities Spread / Structured credit products before Shock </v>
          </cell>
          <cell r="BP7" t="str">
            <v>Initial Liabilities Spread / Structured credit products / Underlying Assets before Shock</v>
          </cell>
          <cell r="BQ7" t="str">
            <v>Initial Liabilities Spread / Structured credit products / Direct Shock before Shock</v>
          </cell>
          <cell r="BR7" t="str">
            <v xml:space="preserve">Initial Liabilities Currency before Shock </v>
          </cell>
          <cell r="BS7" t="str">
            <v xml:space="preserve">Initial Liabilities Illiquidity Premium before Shock </v>
          </cell>
          <cell r="BT7" t="str">
            <v xml:space="preserve">Liabilities  after Interest rate DOWN Shock </v>
          </cell>
          <cell r="BU7" t="str">
            <v xml:space="preserve">Liabilities  after Interest rate UP Shock </v>
          </cell>
          <cell r="BX7" t="str">
            <v>Liabilities after Type 1 Equity shock</v>
          </cell>
          <cell r="BY7" t="str">
            <v>Liabilities after Type 1 Equity / Strategic Participations shock</v>
          </cell>
          <cell r="BZ7" t="str">
            <v>Liabilities after Type 1 Equity / Duration-based shock</v>
          </cell>
          <cell r="CB7" t="str">
            <v>Liabilities after Type 2 Equity shock</v>
          </cell>
          <cell r="CC7" t="str">
            <v>Liabilities after Type 2 Equity / Strategic Participations shock</v>
          </cell>
          <cell r="CD7" t="str">
            <v>Liabilities after Type 2 Equity / Duration-based shock</v>
          </cell>
          <cell r="CE7" t="str">
            <v xml:space="preserve">Liabilities  after Property Shock </v>
          </cell>
          <cell r="CG7" t="str">
            <v xml:space="preserve">Liabilities  after Spread risk / bonds Shock </v>
          </cell>
          <cell r="CH7" t="str">
            <v xml:space="preserve">Liabilities  after Spread / Credit derivatives Shock </v>
          </cell>
          <cell r="CI7" t="str">
            <v xml:space="preserve">Liabilities  after Spread / Credit derivatives DOWN Shock </v>
          </cell>
          <cell r="CJ7" t="str">
            <v xml:space="preserve">Liabilities  after Spread / Credit derivatives UP Shock </v>
          </cell>
          <cell r="CK7" t="str">
            <v xml:space="preserve">Liabilities  after Spread / Structured credit products Shock </v>
          </cell>
          <cell r="CL7" t="str">
            <v xml:space="preserve">Liabilities  after Spread / Structured credit products / Underlying Assets Shock </v>
          </cell>
          <cell r="CM7" t="str">
            <v xml:space="preserve">Liabilities  after Spread / Structured credit products / Direct Shock  Shock </v>
          </cell>
          <cell r="CN7" t="str">
            <v>Liabilities  after Currency Shock</v>
          </cell>
          <cell r="CO7" t="str">
            <v xml:space="preserve">Liabilities  after Illiquidity Premium Shock </v>
          </cell>
          <cell r="CP7" t="str">
            <v>Initial liabilities before Life mortality risk shock</v>
          </cell>
          <cell r="CQ7" t="str">
            <v>Initial liabilities before Life longevity risk shock</v>
          </cell>
          <cell r="CR7" t="str">
            <v>Initial liabilities before Life Disability risk shock</v>
          </cell>
          <cell r="CS7" t="str">
            <v>Initial liabilities before Life Lapse Up risk shock</v>
          </cell>
          <cell r="CT7" t="str">
            <v>Initial liabilities before Life Lapse Down risk shock</v>
          </cell>
          <cell r="CU7" t="str">
            <v>Initial liabilities before Life Lapse Mass non retail risk shock</v>
          </cell>
          <cell r="CV7" t="str">
            <v>Initial liabilities before Life Lapse Mass other risk shock</v>
          </cell>
          <cell r="CW7" t="str">
            <v>Initial liabilities before Life Expense risk shock</v>
          </cell>
          <cell r="CX7" t="str">
            <v>Initial liabilities before Life Revision risk shock</v>
          </cell>
          <cell r="CY7" t="str">
            <v>Initial liabilities before Life Catastrophe risk shock</v>
          </cell>
          <cell r="CZ7" t="str">
            <v xml:space="preserve">Liabilities after Life mortality risk shock </v>
          </cell>
          <cell r="DA7" t="str">
            <v xml:space="preserve">Liabilities after Life longevity risk shock </v>
          </cell>
          <cell r="DB7" t="str">
            <v xml:space="preserve">Liabilities after Life Disability risk shock </v>
          </cell>
          <cell r="DC7" t="str">
            <v xml:space="preserve">Liabilities after Life Lapse Up risk shock </v>
          </cell>
          <cell r="DD7" t="str">
            <v xml:space="preserve">Liabilities after Life Lapse Down risk shock </v>
          </cell>
          <cell r="DE7" t="str">
            <v xml:space="preserve">Liabilities after Life Lapse Mass non retail risk shock </v>
          </cell>
          <cell r="DF7" t="str">
            <v xml:space="preserve">Liabilities after Life Lapse Mass other risk shock </v>
          </cell>
          <cell r="DG7" t="str">
            <v xml:space="preserve">Liabilities after Life Expense risk shock </v>
          </cell>
          <cell r="DH7" t="str">
            <v xml:space="preserve">Liabilities after Life Revision risk shock </v>
          </cell>
          <cell r="DI7" t="str">
            <v xml:space="preserve">Liabilities after Life Catastrophe risk shock </v>
          </cell>
          <cell r="DX7" t="str">
            <v>Revision shock Used</v>
          </cell>
          <cell r="DY7" t="str">
            <v>Revision shock Standard</v>
          </cell>
          <cell r="DZ7" t="str">
            <v>Revision shock USP</v>
          </cell>
          <cell r="EA7" t="str">
            <v xml:space="preserve">Initial Liabilities SLT Health mortality risk before shock </v>
          </cell>
          <cell r="EB7" t="str">
            <v xml:space="preserve">Initial Liabilities SLT Health longevity risk before shock </v>
          </cell>
          <cell r="EC7" t="str">
            <v xml:space="preserve">Initial Liabilities SLT Health Disability risk before shock </v>
          </cell>
          <cell r="ED7" t="str">
            <v xml:space="preserve">Initial Liabilities SLT Health Lapse Up risk before shock </v>
          </cell>
          <cell r="EE7" t="str">
            <v xml:space="preserve">Initial Liabilities SLT Health Lapse Down risk before shock </v>
          </cell>
          <cell r="EF7" t="str">
            <v xml:space="preserve">Initial Liabilities SLT Health Lapse Mass non retail risk before shock </v>
          </cell>
          <cell r="EG7" t="str">
            <v xml:space="preserve">Initial Liabilities SLT Health Lapse Mass other risk before shock </v>
          </cell>
          <cell r="EH7" t="str">
            <v xml:space="preserve">Initial Liabilities SLT Health Expense risk before shock </v>
          </cell>
          <cell r="EI7" t="str">
            <v xml:space="preserve">Initial Liabilities SLT Health Revision risk before shock </v>
          </cell>
          <cell r="EJ7" t="str">
            <v xml:space="preserve">Liabilities after SLT Health mortality risk shock </v>
          </cell>
          <cell r="EK7" t="str">
            <v xml:space="preserve">Liabilities after SLT Health longevity risk shock </v>
          </cell>
          <cell r="EL7" t="str">
            <v xml:space="preserve">Liabilities after SLT Health Disability risk shock </v>
          </cell>
          <cell r="EM7" t="str">
            <v xml:space="preserve">Liabilities after SLT Health Lapse Up risk shock </v>
          </cell>
          <cell r="EN7" t="str">
            <v xml:space="preserve">Liabilities after SLT Health Lapse Down risk shock </v>
          </cell>
          <cell r="EO7" t="str">
            <v xml:space="preserve">Liabilities after SLT Health Lapse Mass non retail risk shock </v>
          </cell>
          <cell r="EP7" t="str">
            <v xml:space="preserve">Liabilities after SLT Health Lapse Mass other risk shock </v>
          </cell>
          <cell r="EQ7" t="str">
            <v xml:space="preserve">Liabilities after SLT Health Expense risk shock </v>
          </cell>
          <cell r="ER7" t="str">
            <v xml:space="preserve">Liabilities after SLT Health Revision risk shock </v>
          </cell>
          <cell r="FD7" t="str">
            <v>FDB gross of reinsurance</v>
          </cell>
          <cell r="FE7" t="str">
            <v xml:space="preserve">Initial Liabilities without FDB before Shock </v>
          </cell>
          <cell r="FF7" t="str">
            <v xml:space="preserve">NetBeforeFDBLimit Liabilities  after Interest rate DOWN Shock </v>
          </cell>
          <cell r="FG7" t="str">
            <v xml:space="preserve">NetBeforeFDBLimit Liabilities  after Interest rate UP Shock </v>
          </cell>
          <cell r="FJ7" t="str">
            <v>NetBeforeFDBLimit Liabilities after Type 1 Equity shock</v>
          </cell>
          <cell r="FK7" t="str">
            <v>NetBeforeFDBLimit Liabilities after Type 1 Equity / Strategic Participations shock</v>
          </cell>
          <cell r="FL7" t="str">
            <v>NetBeforeFDBLimit Liabilities after Type 1 Equity / Duration-based shock</v>
          </cell>
          <cell r="FN7" t="str">
            <v>NetBeforeFDBLimit Liabilities after Type 2 Equity shock</v>
          </cell>
          <cell r="FO7" t="str">
            <v>NetBeforeFDBLimit Liabilities after Type 2 Equity / Strategic Participations shock</v>
          </cell>
          <cell r="FP7" t="str">
            <v>NetBeforeFDBLimit Liabilities after Type 2 Equity / Duration-based shock</v>
          </cell>
          <cell r="FQ7" t="str">
            <v xml:space="preserve">NetBeforeFDBLimit Liabilities  after Property Shock </v>
          </cell>
          <cell r="FS7" t="str">
            <v xml:space="preserve">NetBeforeFDBLimit Liabilities  after Spread risk / bonds Shock </v>
          </cell>
          <cell r="FT7" t="str">
            <v xml:space="preserve">NetBeforeFDBLimit Liabilities  after Spread / Credit derivatives Shock </v>
          </cell>
          <cell r="FU7" t="str">
            <v xml:space="preserve">NetBeforeFDBLimit Liabilities  after Spread / Credit derivatives DOWN Shock </v>
          </cell>
          <cell r="FV7" t="str">
            <v xml:space="preserve">NetBeforeFDBLimit Liabilities  after Spread / Credit derivatives UP Shock </v>
          </cell>
          <cell r="FW7" t="str">
            <v xml:space="preserve">NetBeforeFDBLimit Liabilities  after Spread / Structured credit products Shock </v>
          </cell>
          <cell r="FX7" t="str">
            <v xml:space="preserve">NetBeforeFDBLimit Liabilities  after Spread / Structured credit products / Underlying Assets Shock </v>
          </cell>
          <cell r="FY7" t="str">
            <v xml:space="preserve">NetBeforeFDBLimit Liabilities  after Spread / Structured credit products / Direct Shock  Shock </v>
          </cell>
          <cell r="FZ7" t="str">
            <v>NetBeforeFDBLimit Liabilities  after Currency Shock</v>
          </cell>
          <cell r="GA7" t="str">
            <v xml:space="preserve">NetBeforeFDBLimit Liabilities  after Illiquidity Premium Shock </v>
          </cell>
          <cell r="GB7" t="str">
            <v xml:space="preserve">NetBeforeFDBLimit Liabilities after Life mortality risk shock </v>
          </cell>
          <cell r="GC7" t="str">
            <v xml:space="preserve">NetBeforeFDBLimit Liabilities after Life longevity risk shock </v>
          </cell>
          <cell r="GD7" t="str">
            <v xml:space="preserve">NetBeforeFDBLimit Liabilities after Life Disability risk shock </v>
          </cell>
          <cell r="GE7" t="str">
            <v xml:space="preserve">NetBeforeFDBLimit Liabilities after Life Lapse Up risk shock </v>
          </cell>
          <cell r="GF7" t="str">
            <v xml:space="preserve">NetBeforeFDBLimit Liabilities after Life Lapse Down risk shock </v>
          </cell>
          <cell r="GG7" t="str">
            <v xml:space="preserve">NetBeforeFDBLimit Liabilities after Life Lapse Mass non retail risk shock </v>
          </cell>
          <cell r="GH7" t="str">
            <v xml:space="preserve">NetBeforeFDBLimit Liabilities after Life Lapse Mass other risk shock </v>
          </cell>
          <cell r="GI7" t="str">
            <v xml:space="preserve">NetBeforeFDBLimit Liabilities after Life Expense risk shock </v>
          </cell>
          <cell r="GJ7" t="str">
            <v xml:space="preserve">NetBeforeFDBLimit Liabilities after Life Revision risk shock </v>
          </cell>
          <cell r="GK7" t="str">
            <v xml:space="preserve">NetBeforeFDBLimit Liabilities after Life Catastrophe risk shock </v>
          </cell>
          <cell r="GL7" t="str">
            <v xml:space="preserve">NetBeforeFDBLimit Liabilities after SLT Health mortality risk shock </v>
          </cell>
          <cell r="GM7" t="str">
            <v xml:space="preserve">NetBeforeFDBLimit Liabilities after SLT Health longevity risk shock </v>
          </cell>
          <cell r="GN7" t="str">
            <v xml:space="preserve">NetBeforeFDBLimit Liabilities after SLT Health Disability risk shock </v>
          </cell>
          <cell r="GO7" t="str">
            <v xml:space="preserve">NetBeforeFDBLimit Liabilities after SLT Health Lapse Up risk shock </v>
          </cell>
          <cell r="GP7" t="str">
            <v xml:space="preserve">NetBeforeFDBLimit Liabilities after SLT Health Lapse Down risk shock </v>
          </cell>
          <cell r="GQ7" t="str">
            <v xml:space="preserve">NetBeforeFDBLimit Liabilities after SLT Health Lapse Mass non retail risk shock </v>
          </cell>
          <cell r="GR7" t="str">
            <v xml:space="preserve">NetBeforeFDBLimit Liabilities after SLT Health Lapse Mass other risk shock </v>
          </cell>
          <cell r="GS7" t="str">
            <v xml:space="preserve">NetBeforeFDBLimit Liabilities after SLT Health Expense risk shock </v>
          </cell>
          <cell r="GT7" t="str">
            <v xml:space="preserve">NetBeforeFDBLimit Liabilities after SLT Health Revision risk shock </v>
          </cell>
          <cell r="GU7" t="str">
            <v>Technical provisions for guaranteed benefits</v>
          </cell>
          <cell r="GV7" t="str">
            <v>Technical provisions Future discretionary benefits</v>
          </cell>
          <cell r="GW7" t="str">
            <v>Technical provisions for contracts without guarantees</v>
          </cell>
          <cell r="GX7" t="str">
            <v>Technical provisions for contracts with guarantees</v>
          </cell>
          <cell r="GY7" t="str">
            <v>Technical provisions for contracts without profit</v>
          </cell>
          <cell r="GZ7" t="str">
            <v>Capital-at-risk for all contracts</v>
          </cell>
          <cell r="HA7" t="str">
            <v>TP for 
non-life obligations relating to 
non-life activities</v>
          </cell>
          <cell r="HB7" t="str">
            <v>TP for 
non-life obligations relating to 
life activities</v>
          </cell>
          <cell r="HC7" t="str">
            <v>TP for 
life obligations relating to 
life activities</v>
          </cell>
          <cell r="HD7" t="str">
            <v>TP for 
life obligations relating to 
non-life activities</v>
          </cell>
        </row>
        <row r="8">
          <cell r="A8" t="str">
            <v>F_CNP_NRF_EPA_EUR_FRCE_220</v>
          </cell>
          <cell r="B8">
            <v>940043633.88257003</v>
          </cell>
          <cell r="D8">
            <v>1088734985.96627</v>
          </cell>
          <cell r="E8">
            <v>1229005872.2243299</v>
          </cell>
          <cell r="F8">
            <v>1088734985.96627</v>
          </cell>
          <cell r="G8">
            <v>1088734985.96627</v>
          </cell>
          <cell r="H8">
            <v>0</v>
          </cell>
          <cell r="I8">
            <v>0</v>
          </cell>
          <cell r="J8">
            <v>1088734985.96627</v>
          </cell>
          <cell r="K8">
            <v>1088734985.96627</v>
          </cell>
          <cell r="L8">
            <v>1088734985.96627</v>
          </cell>
          <cell r="M8">
            <v>0</v>
          </cell>
          <cell r="N8">
            <v>1088734985.96627</v>
          </cell>
          <cell r="O8">
            <v>1088734985.96627</v>
          </cell>
          <cell r="P8">
            <v>1088734985.96627</v>
          </cell>
          <cell r="Q8">
            <v>1088734985.96627</v>
          </cell>
          <cell r="R8">
            <v>0</v>
          </cell>
          <cell r="S8">
            <v>1088734985.96627</v>
          </cell>
          <cell r="T8">
            <v>1088734985.96627</v>
          </cell>
          <cell r="U8">
            <v>1088734985.96627</v>
          </cell>
          <cell r="V8">
            <v>1088734985.96627</v>
          </cell>
          <cell r="W8">
            <v>1088734985.96627</v>
          </cell>
          <cell r="X8">
            <v>1088734985.96627</v>
          </cell>
          <cell r="Y8">
            <v>1088734985.96627</v>
          </cell>
          <cell r="Z8">
            <v>1088734985.96627</v>
          </cell>
          <cell r="AA8">
            <v>1088734985.96627</v>
          </cell>
          <cell r="AB8">
            <v>1102660480.0113099</v>
          </cell>
          <cell r="AC8">
            <v>1037210802.4463499</v>
          </cell>
          <cell r="AD8">
            <v>0</v>
          </cell>
          <cell r="AE8">
            <v>0</v>
          </cell>
          <cell r="AF8">
            <v>1058762284.2765</v>
          </cell>
          <cell r="AG8">
            <v>1058762284.2765</v>
          </cell>
          <cell r="AH8">
            <v>1058762284.2765</v>
          </cell>
          <cell r="AI8">
            <v>0</v>
          </cell>
          <cell r="AJ8">
            <v>1082314478.3847198</v>
          </cell>
          <cell r="AK8">
            <v>1082314478.3847198</v>
          </cell>
          <cell r="AL8">
            <v>1082314478.3847198</v>
          </cell>
          <cell r="AM8">
            <v>1088734985.96627</v>
          </cell>
          <cell r="AN8">
            <v>0</v>
          </cell>
          <cell r="AO8">
            <v>1031849682.26626</v>
          </cell>
          <cell r="AP8">
            <v>1031849682.26626</v>
          </cell>
          <cell r="AQ8">
            <v>1031849682.26626</v>
          </cell>
          <cell r="AR8">
            <v>1031849682.26626</v>
          </cell>
          <cell r="AS8">
            <v>1031849682.26626</v>
          </cell>
          <cell r="AT8">
            <v>1031849682.26626</v>
          </cell>
          <cell r="AU8">
            <v>1031849682.26626</v>
          </cell>
          <cell r="AV8">
            <v>1084721318.1395001</v>
          </cell>
          <cell r="AW8">
            <v>1088734985.96627</v>
          </cell>
          <cell r="AX8">
            <v>1229005872.2243299</v>
          </cell>
          <cell r="AY8">
            <v>1229005872.2243299</v>
          </cell>
          <cell r="AZ8">
            <v>0</v>
          </cell>
          <cell r="BA8">
            <v>0</v>
          </cell>
          <cell r="BB8">
            <v>1229005872.2243299</v>
          </cell>
          <cell r="BC8">
            <v>1229005872.2243299</v>
          </cell>
          <cell r="BD8">
            <v>1229005872.2243299</v>
          </cell>
          <cell r="BE8">
            <v>0</v>
          </cell>
          <cell r="BF8">
            <v>1229005872.2243299</v>
          </cell>
          <cell r="BG8">
            <v>1229005872.2243299</v>
          </cell>
          <cell r="BH8">
            <v>1229005872.2243299</v>
          </cell>
          <cell r="BI8">
            <v>1229005872.2243299</v>
          </cell>
          <cell r="BJ8">
            <v>0</v>
          </cell>
          <cell r="BK8">
            <v>1229005872.2243299</v>
          </cell>
          <cell r="BL8">
            <v>1229005872.2243299</v>
          </cell>
          <cell r="BM8">
            <v>1229005872.2243299</v>
          </cell>
          <cell r="BN8">
            <v>1229005872.2243299</v>
          </cell>
          <cell r="BO8">
            <v>1229005872.2243299</v>
          </cell>
          <cell r="BP8">
            <v>1229005872.2243299</v>
          </cell>
          <cell r="BQ8">
            <v>1229005872.2243299</v>
          </cell>
          <cell r="BR8">
            <v>1229005872.2243299</v>
          </cell>
          <cell r="BS8">
            <v>1229005872.2243299</v>
          </cell>
          <cell r="BT8">
            <v>1329412205.84828</v>
          </cell>
          <cell r="BU8">
            <v>1065167033.3441999</v>
          </cell>
          <cell r="BV8">
            <v>0</v>
          </cell>
          <cell r="BW8">
            <v>0</v>
          </cell>
          <cell r="BX8">
            <v>1229005872.2243299</v>
          </cell>
          <cell r="BY8">
            <v>1229005872.2243299</v>
          </cell>
          <cell r="BZ8">
            <v>1229005872.2243299</v>
          </cell>
          <cell r="CA8">
            <v>0</v>
          </cell>
          <cell r="CB8">
            <v>1229005872.2243299</v>
          </cell>
          <cell r="CC8">
            <v>1229005872.2243299</v>
          </cell>
          <cell r="CD8">
            <v>1229005872.2243299</v>
          </cell>
          <cell r="CE8">
            <v>1229005872.2243299</v>
          </cell>
          <cell r="CF8">
            <v>0</v>
          </cell>
          <cell r="CG8">
            <v>1229005872.2243299</v>
          </cell>
          <cell r="CH8">
            <v>1229005872.2243299</v>
          </cell>
          <cell r="CI8">
            <v>1229005872.2243299</v>
          </cell>
          <cell r="CJ8">
            <v>1229005872.2243299</v>
          </cell>
          <cell r="CK8">
            <v>1229005872.2243299</v>
          </cell>
          <cell r="CL8">
            <v>1229005872.2243299</v>
          </cell>
          <cell r="CM8">
            <v>1229005872.2243299</v>
          </cell>
          <cell r="CN8">
            <v>1229005872.2243299</v>
          </cell>
          <cell r="CO8">
            <v>1197212894.4249499</v>
          </cell>
          <cell r="CP8">
            <v>1229005872.2243299</v>
          </cell>
          <cell r="CQ8">
            <v>1229005872.2243299</v>
          </cell>
          <cell r="CR8">
            <v>1229005872.2243299</v>
          </cell>
          <cell r="CS8">
            <v>1229005872.2243299</v>
          </cell>
          <cell r="CT8">
            <v>1229005872.2243299</v>
          </cell>
          <cell r="CU8">
            <v>1229005872.2243299</v>
          </cell>
          <cell r="CV8">
            <v>1229005872.2243299</v>
          </cell>
          <cell r="CW8">
            <v>1229005872.2243299</v>
          </cell>
          <cell r="CX8">
            <v>1229005872.2243299</v>
          </cell>
          <cell r="CY8">
            <v>1229005872.2243299</v>
          </cell>
          <cell r="CZ8">
            <v>1229005872.2243299</v>
          </cell>
          <cell r="DA8">
            <v>1237522863.6828399</v>
          </cell>
          <cell r="DB8">
            <v>1229005872.2243299</v>
          </cell>
          <cell r="DC8">
            <v>1236389322.7899299</v>
          </cell>
          <cell r="DD8">
            <v>1229005872.2243299</v>
          </cell>
          <cell r="DE8">
            <v>1162535541.48913</v>
          </cell>
          <cell r="DF8">
            <v>1295476202.9595299</v>
          </cell>
          <cell r="DG8">
            <v>1237247261.97</v>
          </cell>
          <cell r="DH8">
            <v>1229005872.2243299</v>
          </cell>
          <cell r="DI8">
            <v>1229005872.2243299</v>
          </cell>
          <cell r="DJ8">
            <v>0</v>
          </cell>
          <cell r="DK8">
            <v>0</v>
          </cell>
          <cell r="DL8">
            <v>0</v>
          </cell>
          <cell r="DM8">
            <v>0</v>
          </cell>
          <cell r="DN8">
            <v>0</v>
          </cell>
          <cell r="DO8">
            <v>0</v>
          </cell>
          <cell r="DP8">
            <v>0</v>
          </cell>
          <cell r="DQ8">
            <v>0</v>
          </cell>
          <cell r="DR8">
            <v>0</v>
          </cell>
          <cell r="DS8">
            <v>0</v>
          </cell>
          <cell r="DT8">
            <v>0</v>
          </cell>
          <cell r="DU8">
            <v>0</v>
          </cell>
          <cell r="DV8">
            <v>0</v>
          </cell>
          <cell r="DW8">
            <v>0</v>
          </cell>
          <cell r="DX8" t="str">
            <v/>
          </cell>
          <cell r="DY8" t="str">
            <v/>
          </cell>
          <cell r="DZ8" t="str">
            <v/>
          </cell>
          <cell r="EA8">
            <v>1229005872.2243299</v>
          </cell>
          <cell r="EB8">
            <v>1229005872.2243299</v>
          </cell>
          <cell r="EC8">
            <v>1229005872.2243299</v>
          </cell>
          <cell r="ED8">
            <v>1229005872.2243299</v>
          </cell>
          <cell r="EE8">
            <v>1229005872.2243299</v>
          </cell>
          <cell r="EF8">
            <v>1229005872.2243299</v>
          </cell>
          <cell r="EG8">
            <v>1229005872.2243299</v>
          </cell>
          <cell r="EH8">
            <v>1229005872.2243299</v>
          </cell>
          <cell r="EI8">
            <v>1229005872.2243299</v>
          </cell>
          <cell r="EJ8">
            <v>1229005872.2243299</v>
          </cell>
          <cell r="EK8">
            <v>1229005872.2243299</v>
          </cell>
          <cell r="EL8">
            <v>1229005872.2243299</v>
          </cell>
          <cell r="EM8">
            <v>1229005872.2243299</v>
          </cell>
          <cell r="EN8">
            <v>1229005872.2243299</v>
          </cell>
          <cell r="EO8">
            <v>1162535541.48913</v>
          </cell>
          <cell r="EP8">
            <v>1295476202.9595299</v>
          </cell>
          <cell r="EQ8">
            <v>1229005872.2243299</v>
          </cell>
          <cell r="ER8">
            <v>1229005872.2243299</v>
          </cell>
          <cell r="ES8">
            <v>0</v>
          </cell>
          <cell r="ET8">
            <v>0</v>
          </cell>
          <cell r="EU8">
            <v>0</v>
          </cell>
          <cell r="EV8">
            <v>0</v>
          </cell>
          <cell r="EW8">
            <v>0</v>
          </cell>
          <cell r="EX8">
            <v>0</v>
          </cell>
          <cell r="EY8">
            <v>0</v>
          </cell>
          <cell r="EZ8">
            <v>0</v>
          </cell>
          <cell r="FA8">
            <v>0</v>
          </cell>
          <cell r="FB8">
            <v>0</v>
          </cell>
          <cell r="FC8">
            <v>0</v>
          </cell>
          <cell r="FD8">
            <v>66470326.319919825</v>
          </cell>
          <cell r="FE8">
            <v>1162535541.48913</v>
          </cell>
          <cell r="FF8">
            <v>1315232870.5872002</v>
          </cell>
          <cell r="FG8">
            <v>1075673715.3921399</v>
          </cell>
          <cell r="FH8">
            <v>0</v>
          </cell>
          <cell r="FI8">
            <v>0</v>
          </cell>
          <cell r="FJ8">
            <v>1227710889.96088</v>
          </cell>
          <cell r="FK8">
            <v>1227710889.96088</v>
          </cell>
          <cell r="FL8">
            <v>1227710889.96088</v>
          </cell>
          <cell r="FM8">
            <v>0</v>
          </cell>
          <cell r="FN8">
            <v>1228402371.6775899</v>
          </cell>
          <cell r="FO8">
            <v>1228402371.6775899</v>
          </cell>
          <cell r="FP8">
            <v>1228402371.6775899</v>
          </cell>
          <cell r="FQ8">
            <v>1229005872.2243299</v>
          </cell>
          <cell r="FR8">
            <v>0</v>
          </cell>
          <cell r="FS8">
            <v>1228039508.8721299</v>
          </cell>
          <cell r="FT8">
            <v>1228039508.8721299</v>
          </cell>
          <cell r="FU8">
            <v>1228039508.8721299</v>
          </cell>
          <cell r="FV8">
            <v>1228039508.8721299</v>
          </cell>
          <cell r="FW8">
            <v>1228039508.8721299</v>
          </cell>
          <cell r="FX8">
            <v>1228039508.8721299</v>
          </cell>
          <cell r="FY8">
            <v>1228039508.8721299</v>
          </cell>
          <cell r="FZ8">
            <v>1228775294.92033</v>
          </cell>
          <cell r="GA8">
            <v>1196576046.8005199</v>
          </cell>
          <cell r="GB8">
            <v>1229005872.2243299</v>
          </cell>
          <cell r="GC8">
            <v>1246452857.61321</v>
          </cell>
          <cell r="GD8">
            <v>1229005872.2243299</v>
          </cell>
          <cell r="GE8">
            <v>1230195365.24277</v>
          </cell>
          <cell r="GF8">
            <v>1229005872.2243299</v>
          </cell>
          <cell r="GG8">
            <v>1229005872.2243299</v>
          </cell>
          <cell r="GH8">
            <v>1229005872.2243299</v>
          </cell>
          <cell r="GI8">
            <v>1236839588.9016101</v>
          </cell>
          <cell r="GJ8">
            <v>1229005872.2243299</v>
          </cell>
          <cell r="GK8">
            <v>1229005872.2243299</v>
          </cell>
          <cell r="GL8">
            <v>1229005872.2243299</v>
          </cell>
          <cell r="GM8">
            <v>1229005872.2243299</v>
          </cell>
          <cell r="GN8">
            <v>1229005872.2243299</v>
          </cell>
          <cell r="GO8">
            <v>1229005872.2243299</v>
          </cell>
          <cell r="GP8">
            <v>1229005872.2243299</v>
          </cell>
          <cell r="GQ8">
            <v>1229005872.2243299</v>
          </cell>
          <cell r="GR8">
            <v>1229005872.2243299</v>
          </cell>
          <cell r="GS8">
            <v>1229005872.2243299</v>
          </cell>
          <cell r="GT8">
            <v>1229005872.2243299</v>
          </cell>
          <cell r="GU8" t="str">
            <v/>
          </cell>
          <cell r="GV8" t="str">
            <v/>
          </cell>
          <cell r="GW8" t="str">
            <v/>
          </cell>
          <cell r="GX8" t="str">
            <v/>
          </cell>
          <cell r="GY8" t="str">
            <v/>
          </cell>
          <cell r="GZ8">
            <v>0</v>
          </cell>
        </row>
        <row r="9">
          <cell r="A9" t="str">
            <v>F_CNP_NRF_EPA_EUR_FRCE_270</v>
          </cell>
          <cell r="B9">
            <v>101018636289.32507</v>
          </cell>
          <cell r="D9">
            <v>113757979371.84874</v>
          </cell>
          <cell r="E9">
            <v>111774279193.01753</v>
          </cell>
          <cell r="F9">
            <v>113757979371.84874</v>
          </cell>
          <cell r="G9">
            <v>113757979371.84874</v>
          </cell>
          <cell r="H9">
            <v>0</v>
          </cell>
          <cell r="I9">
            <v>0</v>
          </cell>
          <cell r="J9">
            <v>113757979371.84874</v>
          </cell>
          <cell r="K9">
            <v>113757979371.84874</v>
          </cell>
          <cell r="L9">
            <v>113757979371.84874</v>
          </cell>
          <cell r="M9">
            <v>0</v>
          </cell>
          <cell r="N9">
            <v>113757979371.84874</v>
          </cell>
          <cell r="O9">
            <v>113757979371.84874</v>
          </cell>
          <cell r="P9">
            <v>113757979371.84874</v>
          </cell>
          <cell r="Q9">
            <v>113757979371.84874</v>
          </cell>
          <cell r="R9">
            <v>0</v>
          </cell>
          <cell r="S9">
            <v>113757979371.84874</v>
          </cell>
          <cell r="T9">
            <v>113757979371.84874</v>
          </cell>
          <cell r="U9">
            <v>113757979371.84874</v>
          </cell>
          <cell r="V9">
            <v>113757979371.84874</v>
          </cell>
          <cell r="W9">
            <v>113757979371.84874</v>
          </cell>
          <cell r="X9">
            <v>113757979371.84874</v>
          </cell>
          <cell r="Y9">
            <v>113757979371.84874</v>
          </cell>
          <cell r="Z9">
            <v>113757979371.84874</v>
          </cell>
          <cell r="AA9">
            <v>113757979371.84874</v>
          </cell>
          <cell r="AB9">
            <v>114827446885.70575</v>
          </cell>
          <cell r="AC9">
            <v>109531437538.89746</v>
          </cell>
          <cell r="AD9">
            <v>0</v>
          </cell>
          <cell r="AE9">
            <v>0</v>
          </cell>
          <cell r="AF9">
            <v>110087550727.34799</v>
          </cell>
          <cell r="AG9">
            <v>110087550727.34799</v>
          </cell>
          <cell r="AH9">
            <v>110087550727.34799</v>
          </cell>
          <cell r="AI9">
            <v>0</v>
          </cell>
          <cell r="AJ9">
            <v>112567287619.22496</v>
          </cell>
          <cell r="AK9">
            <v>112567287619.22496</v>
          </cell>
          <cell r="AL9">
            <v>112567287619.22496</v>
          </cell>
          <cell r="AM9">
            <v>113017725364.54713</v>
          </cell>
          <cell r="AN9">
            <v>0</v>
          </cell>
          <cell r="AO9">
            <v>110030534507.92258</v>
          </cell>
          <cell r="AP9">
            <v>110030534507.92258</v>
          </cell>
          <cell r="AQ9">
            <v>110030534507.92258</v>
          </cell>
          <cell r="AR9">
            <v>110030534507.92258</v>
          </cell>
          <cell r="AS9">
            <v>110030534507.92258</v>
          </cell>
          <cell r="AT9">
            <v>110030534507.92258</v>
          </cell>
          <cell r="AU9">
            <v>110030534507.92258</v>
          </cell>
          <cell r="AV9">
            <v>113230817603.53316</v>
          </cell>
          <cell r="AW9">
            <v>113757979371.84874</v>
          </cell>
          <cell r="AX9">
            <v>111774279193.01753</v>
          </cell>
          <cell r="AY9">
            <v>111774279193.01753</v>
          </cell>
          <cell r="AZ9">
            <v>0</v>
          </cell>
          <cell r="BA9">
            <v>0</v>
          </cell>
          <cell r="BB9">
            <v>111774279193.01753</v>
          </cell>
          <cell r="BC9">
            <v>111774279193.01753</v>
          </cell>
          <cell r="BD9">
            <v>111774279193.01753</v>
          </cell>
          <cell r="BE9">
            <v>0</v>
          </cell>
          <cell r="BF9">
            <v>111774279193.01753</v>
          </cell>
          <cell r="BG9">
            <v>111774279193.01753</v>
          </cell>
          <cell r="BH9">
            <v>111774279193.01753</v>
          </cell>
          <cell r="BI9">
            <v>111774279193.01753</v>
          </cell>
          <cell r="BJ9">
            <v>0</v>
          </cell>
          <cell r="BK9">
            <v>111774279193.01753</v>
          </cell>
          <cell r="BL9">
            <v>111774279193.01753</v>
          </cell>
          <cell r="BM9">
            <v>111774279193.01753</v>
          </cell>
          <cell r="BN9">
            <v>111774279193.01753</v>
          </cell>
          <cell r="BO9">
            <v>111774279193.01753</v>
          </cell>
          <cell r="BP9">
            <v>111774279193.01753</v>
          </cell>
          <cell r="BQ9">
            <v>111774279193.01753</v>
          </cell>
          <cell r="BR9">
            <v>111774279193.01753</v>
          </cell>
          <cell r="BS9">
            <v>111774279193.01753</v>
          </cell>
          <cell r="BT9">
            <v>114877410730.08398</v>
          </cell>
          <cell r="BU9">
            <v>104214753505.41643</v>
          </cell>
          <cell r="BV9">
            <v>0</v>
          </cell>
          <cell r="BW9">
            <v>0</v>
          </cell>
          <cell r="BX9">
            <v>111774279193.01753</v>
          </cell>
          <cell r="BY9">
            <v>111774279193.01753</v>
          </cell>
          <cell r="BZ9">
            <v>111774279193.01753</v>
          </cell>
          <cell r="CA9">
            <v>0</v>
          </cell>
          <cell r="CB9">
            <v>111774279193.01753</v>
          </cell>
          <cell r="CC9">
            <v>111774279193.01753</v>
          </cell>
          <cell r="CD9">
            <v>111774279193.01753</v>
          </cell>
          <cell r="CE9">
            <v>111774279193.01753</v>
          </cell>
          <cell r="CF9">
            <v>0</v>
          </cell>
          <cell r="CG9">
            <v>111774279193.01753</v>
          </cell>
          <cell r="CH9">
            <v>111774279193.01753</v>
          </cell>
          <cell r="CI9">
            <v>111774279193.01753</v>
          </cell>
          <cell r="CJ9">
            <v>111774279193.01753</v>
          </cell>
          <cell r="CK9">
            <v>111774279193.01753</v>
          </cell>
          <cell r="CL9">
            <v>111774279193.01753</v>
          </cell>
          <cell r="CM9">
            <v>111774279193.01753</v>
          </cell>
          <cell r="CN9">
            <v>111774279193.01753</v>
          </cell>
          <cell r="CO9">
            <v>109958073495.04781</v>
          </cell>
          <cell r="CP9">
            <v>111774279193.01753</v>
          </cell>
          <cell r="CQ9">
            <v>111774279193.01753</v>
          </cell>
          <cell r="CR9">
            <v>111774279193.01753</v>
          </cell>
          <cell r="CS9">
            <v>111774279193.01753</v>
          </cell>
          <cell r="CT9">
            <v>111774279193.01753</v>
          </cell>
          <cell r="CU9">
            <v>111774279193.01753</v>
          </cell>
          <cell r="CV9">
            <v>111774279193.01753</v>
          </cell>
          <cell r="CW9">
            <v>111774279193.01753</v>
          </cell>
          <cell r="CX9">
            <v>111774279193.01753</v>
          </cell>
          <cell r="CY9">
            <v>111774279193.01753</v>
          </cell>
          <cell r="CZ9">
            <v>112302791028.35837</v>
          </cell>
          <cell r="DA9">
            <v>111775320795.87343</v>
          </cell>
          <cell r="DB9">
            <v>111774279193.01753</v>
          </cell>
          <cell r="DC9">
            <v>114560618190.11221</v>
          </cell>
          <cell r="DD9">
            <v>111774279193.01753</v>
          </cell>
          <cell r="DE9">
            <v>91835122448.4897</v>
          </cell>
          <cell r="DF9">
            <v>131713435937.54536</v>
          </cell>
          <cell r="DG9">
            <v>112273614090.61588</v>
          </cell>
          <cell r="DH9">
            <v>111774279193.01753</v>
          </cell>
          <cell r="DI9">
            <v>111782329183.18692</v>
          </cell>
          <cell r="DJ9">
            <v>0</v>
          </cell>
          <cell r="DK9">
            <v>0</v>
          </cell>
          <cell r="DL9">
            <v>0</v>
          </cell>
          <cell r="DM9">
            <v>0</v>
          </cell>
          <cell r="DN9">
            <v>0</v>
          </cell>
          <cell r="DO9">
            <v>0</v>
          </cell>
          <cell r="DP9">
            <v>0</v>
          </cell>
          <cell r="DQ9">
            <v>0</v>
          </cell>
          <cell r="DR9">
            <v>0</v>
          </cell>
          <cell r="DS9">
            <v>0</v>
          </cell>
          <cell r="DT9">
            <v>0</v>
          </cell>
          <cell r="DU9">
            <v>0</v>
          </cell>
          <cell r="DV9">
            <v>0</v>
          </cell>
          <cell r="DW9">
            <v>0</v>
          </cell>
          <cell r="DX9" t="str">
            <v/>
          </cell>
          <cell r="DY9" t="str">
            <v/>
          </cell>
          <cell r="DZ9" t="str">
            <v/>
          </cell>
          <cell r="EA9">
            <v>111774279193.01753</v>
          </cell>
          <cell r="EB9">
            <v>111774279193.01753</v>
          </cell>
          <cell r="EC9">
            <v>111774279193.01753</v>
          </cell>
          <cell r="ED9">
            <v>111774279193.01753</v>
          </cell>
          <cell r="EE9">
            <v>111774279193.01753</v>
          </cell>
          <cell r="EF9">
            <v>111774279193.01753</v>
          </cell>
          <cell r="EG9">
            <v>111774279193.01753</v>
          </cell>
          <cell r="EH9">
            <v>111774279193.01753</v>
          </cell>
          <cell r="EI9">
            <v>111774279193.01753</v>
          </cell>
          <cell r="EJ9">
            <v>111774279193.01753</v>
          </cell>
          <cell r="EK9">
            <v>111774447554.58151</v>
          </cell>
          <cell r="EL9">
            <v>111774279193.01753</v>
          </cell>
          <cell r="EM9">
            <v>111774619907.80846</v>
          </cell>
          <cell r="EN9">
            <v>111774279193.01753</v>
          </cell>
          <cell r="EO9">
            <v>91835122448.4897</v>
          </cell>
          <cell r="EP9">
            <v>131713435937.54536</v>
          </cell>
          <cell r="EQ9">
            <v>111774474555.38922</v>
          </cell>
          <cell r="ER9">
            <v>111774279193.01753</v>
          </cell>
          <cell r="ES9">
            <v>0</v>
          </cell>
          <cell r="ET9">
            <v>0</v>
          </cell>
          <cell r="EU9">
            <v>0</v>
          </cell>
          <cell r="EV9">
            <v>0</v>
          </cell>
          <cell r="EW9">
            <v>0</v>
          </cell>
          <cell r="EX9">
            <v>0</v>
          </cell>
          <cell r="EY9">
            <v>0</v>
          </cell>
          <cell r="EZ9">
            <v>0</v>
          </cell>
          <cell r="FA9">
            <v>0</v>
          </cell>
          <cell r="FB9">
            <v>0</v>
          </cell>
          <cell r="FC9">
            <v>0</v>
          </cell>
          <cell r="FD9">
            <v>19939156744.527832</v>
          </cell>
          <cell r="FE9">
            <v>91835122448.4897</v>
          </cell>
          <cell r="FF9">
            <v>113273923081.70148</v>
          </cell>
          <cell r="FG9">
            <v>107172420474.54437</v>
          </cell>
          <cell r="FH9">
            <v>0</v>
          </cell>
          <cell r="FI9">
            <v>0</v>
          </cell>
          <cell r="FJ9">
            <v>108540654285.45314</v>
          </cell>
          <cell r="FK9">
            <v>108540654285.45314</v>
          </cell>
          <cell r="FL9">
            <v>108540654285.45314</v>
          </cell>
          <cell r="FM9">
            <v>0</v>
          </cell>
          <cell r="FN9">
            <v>110709051955.00917</v>
          </cell>
          <cell r="FO9">
            <v>110709051955.00917</v>
          </cell>
          <cell r="FP9">
            <v>110709051955.00917</v>
          </cell>
          <cell r="FQ9">
            <v>111138178973.08594</v>
          </cell>
          <cell r="FR9">
            <v>0</v>
          </cell>
          <cell r="FS9">
            <v>108217535959.64897</v>
          </cell>
          <cell r="FT9">
            <v>108217535959.64897</v>
          </cell>
          <cell r="FU9">
            <v>108217535959.64897</v>
          </cell>
          <cell r="FV9">
            <v>108217535959.64897</v>
          </cell>
          <cell r="FW9">
            <v>108217535959.64897</v>
          </cell>
          <cell r="FX9">
            <v>108217535959.64897</v>
          </cell>
          <cell r="FY9">
            <v>108217535959.64897</v>
          </cell>
          <cell r="FZ9">
            <v>111304647500.78534</v>
          </cell>
          <cell r="GA9">
            <v>109902371474.34235</v>
          </cell>
          <cell r="GB9">
            <v>111828715481.62813</v>
          </cell>
          <cell r="GC9">
            <v>111779347987.46832</v>
          </cell>
          <cell r="GD9">
            <v>111774279193.01753</v>
          </cell>
          <cell r="GE9">
            <v>112233312677.06798</v>
          </cell>
          <cell r="GF9">
            <v>111774279198.28528</v>
          </cell>
          <cell r="GG9">
            <v>111774279193.01753</v>
          </cell>
          <cell r="GH9">
            <v>111774279193.01753</v>
          </cell>
          <cell r="GI9">
            <v>112261200035.51712</v>
          </cell>
          <cell r="GJ9">
            <v>111774279193.01753</v>
          </cell>
          <cell r="GK9">
            <v>111776939536.5439</v>
          </cell>
          <cell r="GL9">
            <v>111774279193.01753</v>
          </cell>
          <cell r="GM9">
            <v>111774575140.99066</v>
          </cell>
          <cell r="GN9">
            <v>111774279193.01753</v>
          </cell>
          <cell r="GO9">
            <v>111774401532.3752</v>
          </cell>
          <cell r="GP9">
            <v>111774282390.01971</v>
          </cell>
          <cell r="GQ9">
            <v>111774279193.01753</v>
          </cell>
          <cell r="GR9">
            <v>111774279193.01753</v>
          </cell>
          <cell r="GS9">
            <v>111774479335.77235</v>
          </cell>
          <cell r="GT9">
            <v>111774279193.01753</v>
          </cell>
          <cell r="GU9" t="str">
            <v/>
          </cell>
          <cell r="GZ9">
            <v>0</v>
          </cell>
        </row>
        <row r="10">
          <cell r="A10" t="str">
            <v>F_CNP_NRF_EPA_EUR_FRCE_272</v>
          </cell>
          <cell r="B10">
            <v>8496432421.5794601</v>
          </cell>
          <cell r="D10">
            <v>9513270771.9813766</v>
          </cell>
          <cell r="E10">
            <v>9274937021.0886574</v>
          </cell>
          <cell r="F10">
            <v>9513270771.9813766</v>
          </cell>
          <cell r="G10">
            <v>9513270771.9813766</v>
          </cell>
          <cell r="H10">
            <v>0</v>
          </cell>
          <cell r="I10">
            <v>0</v>
          </cell>
          <cell r="J10">
            <v>9513270771.9813766</v>
          </cell>
          <cell r="K10">
            <v>9513270771.9813766</v>
          </cell>
          <cell r="L10">
            <v>9513270771.9813766</v>
          </cell>
          <cell r="M10">
            <v>0</v>
          </cell>
          <cell r="N10">
            <v>9513270771.9813766</v>
          </cell>
          <cell r="O10">
            <v>9513270771.9813766</v>
          </cell>
          <cell r="P10">
            <v>9513270771.9813766</v>
          </cell>
          <cell r="Q10">
            <v>9513270771.9813766</v>
          </cell>
          <cell r="R10">
            <v>0</v>
          </cell>
          <cell r="S10">
            <v>9513270771.9813766</v>
          </cell>
          <cell r="T10">
            <v>9513270771.9813766</v>
          </cell>
          <cell r="U10">
            <v>9513270771.9813766</v>
          </cell>
          <cell r="V10">
            <v>9513270771.9813766</v>
          </cell>
          <cell r="W10">
            <v>9513270771.9813766</v>
          </cell>
          <cell r="X10">
            <v>9513270771.9813766</v>
          </cell>
          <cell r="Y10">
            <v>9513270771.9813766</v>
          </cell>
          <cell r="Z10">
            <v>9513270771.9813766</v>
          </cell>
          <cell r="AA10">
            <v>9513270771.9813766</v>
          </cell>
          <cell r="AB10">
            <v>9597909279.4153481</v>
          </cell>
          <cell r="AC10">
            <v>9150788566.505455</v>
          </cell>
          <cell r="AD10">
            <v>0</v>
          </cell>
          <cell r="AE10">
            <v>0</v>
          </cell>
          <cell r="AF10">
            <v>9131264311.095911</v>
          </cell>
          <cell r="AG10">
            <v>9131264311.095911</v>
          </cell>
          <cell r="AH10">
            <v>9131264311.095911</v>
          </cell>
          <cell r="AI10">
            <v>0</v>
          </cell>
          <cell r="AJ10">
            <v>9448625738.2786407</v>
          </cell>
          <cell r="AK10">
            <v>9448625738.2786407</v>
          </cell>
          <cell r="AL10">
            <v>9448625738.2786407</v>
          </cell>
          <cell r="AM10">
            <v>9504341920.5660839</v>
          </cell>
          <cell r="AN10">
            <v>0</v>
          </cell>
          <cell r="AO10">
            <v>9097901173.7725258</v>
          </cell>
          <cell r="AP10">
            <v>9097901173.7725258</v>
          </cell>
          <cell r="AQ10">
            <v>9097901173.7725258</v>
          </cell>
          <cell r="AR10">
            <v>9097901173.7725258</v>
          </cell>
          <cell r="AS10">
            <v>9097901173.7725258</v>
          </cell>
          <cell r="AT10">
            <v>9097901173.7725258</v>
          </cell>
          <cell r="AU10">
            <v>9097901173.7725258</v>
          </cell>
          <cell r="AV10">
            <v>9488276450.3209591</v>
          </cell>
          <cell r="AW10">
            <v>9513270771.9813766</v>
          </cell>
          <cell r="AX10">
            <v>9274937021.0886574</v>
          </cell>
          <cell r="AY10">
            <v>9274937021.0886574</v>
          </cell>
          <cell r="AZ10">
            <v>0</v>
          </cell>
          <cell r="BA10">
            <v>0</v>
          </cell>
          <cell r="BB10">
            <v>9274937021.0886574</v>
          </cell>
          <cell r="BC10">
            <v>9274937021.0886574</v>
          </cell>
          <cell r="BD10">
            <v>9274937021.0886574</v>
          </cell>
          <cell r="BE10">
            <v>0</v>
          </cell>
          <cell r="BF10">
            <v>9274937021.0886574</v>
          </cell>
          <cell r="BG10">
            <v>9274937021.0886574</v>
          </cell>
          <cell r="BH10">
            <v>9274937021.0886574</v>
          </cell>
          <cell r="BI10">
            <v>9274937021.0886574</v>
          </cell>
          <cell r="BJ10">
            <v>0</v>
          </cell>
          <cell r="BK10">
            <v>9274937021.0886574</v>
          </cell>
          <cell r="BL10">
            <v>9274937021.0886574</v>
          </cell>
          <cell r="BM10">
            <v>9274937021.0886574</v>
          </cell>
          <cell r="BN10">
            <v>9274937021.0886574</v>
          </cell>
          <cell r="BO10">
            <v>9274937021.0886574</v>
          </cell>
          <cell r="BP10">
            <v>9274937021.0886574</v>
          </cell>
          <cell r="BQ10">
            <v>9274937021.0886574</v>
          </cell>
          <cell r="BR10">
            <v>9274937021.0886574</v>
          </cell>
          <cell r="BS10">
            <v>9274937021.0886574</v>
          </cell>
          <cell r="BT10">
            <v>9549359982.8686752</v>
          </cell>
          <cell r="BU10">
            <v>8641806858.4127846</v>
          </cell>
          <cell r="BV10">
            <v>0</v>
          </cell>
          <cell r="BW10">
            <v>0</v>
          </cell>
          <cell r="BX10">
            <v>9274937021.0886574</v>
          </cell>
          <cell r="BY10">
            <v>9274937021.0886574</v>
          </cell>
          <cell r="BZ10">
            <v>9274937021.0886574</v>
          </cell>
          <cell r="CA10">
            <v>0</v>
          </cell>
          <cell r="CB10">
            <v>9274937021.0886574</v>
          </cell>
          <cell r="CC10">
            <v>9274937021.0886574</v>
          </cell>
          <cell r="CD10">
            <v>9274937021.0886574</v>
          </cell>
          <cell r="CE10">
            <v>9274937021.0886574</v>
          </cell>
          <cell r="CF10">
            <v>0</v>
          </cell>
          <cell r="CG10">
            <v>9274937021.0886574</v>
          </cell>
          <cell r="CH10">
            <v>9274937021.0886574</v>
          </cell>
          <cell r="CI10">
            <v>9274937021.0886574</v>
          </cell>
          <cell r="CJ10">
            <v>9274937021.0886574</v>
          </cell>
          <cell r="CK10">
            <v>9274937021.0886574</v>
          </cell>
          <cell r="CL10">
            <v>9274937021.0886574</v>
          </cell>
          <cell r="CM10">
            <v>9274937021.0886574</v>
          </cell>
          <cell r="CN10">
            <v>9274937021.0886574</v>
          </cell>
          <cell r="CO10">
            <v>8877348870.2805901</v>
          </cell>
          <cell r="CP10">
            <v>9274937021.0886574</v>
          </cell>
          <cell r="CQ10">
            <v>9274937021.0886574</v>
          </cell>
          <cell r="CR10">
            <v>9274937021.0886574</v>
          </cell>
          <cell r="CS10">
            <v>9274937021.0886574</v>
          </cell>
          <cell r="CT10">
            <v>9274937021.0886574</v>
          </cell>
          <cell r="CU10">
            <v>9274937021.0886574</v>
          </cell>
          <cell r="CV10">
            <v>9274937021.0886574</v>
          </cell>
          <cell r="CW10">
            <v>9274937021.0886574</v>
          </cell>
          <cell r="CX10">
            <v>9274937021.0886574</v>
          </cell>
          <cell r="CY10">
            <v>9274937021.0886574</v>
          </cell>
          <cell r="CZ10">
            <v>9319187389.6883278</v>
          </cell>
          <cell r="DA10">
            <v>9275278960.9828377</v>
          </cell>
          <cell r="DB10">
            <v>9274937021.0886574</v>
          </cell>
          <cell r="DC10">
            <v>9526899647.9094467</v>
          </cell>
          <cell r="DD10">
            <v>9275293911.2711182</v>
          </cell>
          <cell r="DE10">
            <v>7543303616.4692078</v>
          </cell>
          <cell r="DF10">
            <v>11006629483.466187</v>
          </cell>
          <cell r="DG10">
            <v>9379743588.8443489</v>
          </cell>
          <cell r="DH10">
            <v>9274937021.0886574</v>
          </cell>
          <cell r="DI10">
            <v>9275990518.0070381</v>
          </cell>
          <cell r="DJ10">
            <v>0</v>
          </cell>
          <cell r="DK10">
            <v>0</v>
          </cell>
          <cell r="DL10">
            <v>0</v>
          </cell>
          <cell r="DM10">
            <v>0</v>
          </cell>
          <cell r="DN10">
            <v>0</v>
          </cell>
          <cell r="DO10">
            <v>0</v>
          </cell>
          <cell r="DP10">
            <v>0</v>
          </cell>
          <cell r="DQ10">
            <v>0</v>
          </cell>
          <cell r="DR10">
            <v>0</v>
          </cell>
          <cell r="DS10">
            <v>0</v>
          </cell>
          <cell r="DT10">
            <v>0</v>
          </cell>
          <cell r="DU10">
            <v>0</v>
          </cell>
          <cell r="DV10">
            <v>0</v>
          </cell>
          <cell r="DW10">
            <v>0</v>
          </cell>
          <cell r="DX10" t="str">
            <v/>
          </cell>
          <cell r="DY10" t="str">
            <v/>
          </cell>
          <cell r="DZ10" t="str">
            <v/>
          </cell>
          <cell r="EA10">
            <v>9274937021.0886574</v>
          </cell>
          <cell r="EB10">
            <v>9274937021.0886574</v>
          </cell>
          <cell r="EC10">
            <v>9274937021.0886574</v>
          </cell>
          <cell r="ED10">
            <v>9274937021.0886574</v>
          </cell>
          <cell r="EE10">
            <v>9274937021.0886574</v>
          </cell>
          <cell r="EF10">
            <v>9274937021.0886574</v>
          </cell>
          <cell r="EG10">
            <v>9274937021.0886574</v>
          </cell>
          <cell r="EH10">
            <v>9274937021.0886574</v>
          </cell>
          <cell r="EI10">
            <v>9274937021.0886574</v>
          </cell>
          <cell r="EJ10">
            <v>9274945804.2026081</v>
          </cell>
          <cell r="EK10">
            <v>9274937021.0886574</v>
          </cell>
          <cell r="EL10">
            <v>9274937021.0886574</v>
          </cell>
          <cell r="EM10">
            <v>9274984457.2359962</v>
          </cell>
          <cell r="EN10">
            <v>9274937021.0886574</v>
          </cell>
          <cell r="EO10">
            <v>7543244558.7111282</v>
          </cell>
          <cell r="EP10">
            <v>11006629483.466187</v>
          </cell>
          <cell r="EQ10">
            <v>9274955687.6365776</v>
          </cell>
          <cell r="ER10">
            <v>9274937021.0886574</v>
          </cell>
          <cell r="ES10">
            <v>0</v>
          </cell>
          <cell r="ET10">
            <v>0</v>
          </cell>
          <cell r="EU10">
            <v>0</v>
          </cell>
          <cell r="EV10">
            <v>0</v>
          </cell>
          <cell r="EW10">
            <v>0</v>
          </cell>
          <cell r="EX10">
            <v>0</v>
          </cell>
          <cell r="EY10">
            <v>0</v>
          </cell>
          <cell r="EZ10">
            <v>0</v>
          </cell>
          <cell r="FA10">
            <v>0</v>
          </cell>
          <cell r="FB10">
            <v>0</v>
          </cell>
          <cell r="FC10">
            <v>0</v>
          </cell>
          <cell r="FD10">
            <v>1731692462.3775291</v>
          </cell>
          <cell r="FE10">
            <v>7543244558.7111282</v>
          </cell>
          <cell r="FF10">
            <v>9417813602.6718292</v>
          </cell>
          <cell r="FG10">
            <v>8853801413.0513477</v>
          </cell>
          <cell r="FH10">
            <v>0</v>
          </cell>
          <cell r="FI10">
            <v>0</v>
          </cell>
          <cell r="FJ10">
            <v>9003691909.3501148</v>
          </cell>
          <cell r="FK10">
            <v>9003691909.3501148</v>
          </cell>
          <cell r="FL10">
            <v>9003691909.3501148</v>
          </cell>
          <cell r="FM10">
            <v>0</v>
          </cell>
          <cell r="FN10">
            <v>9227061137.0346165</v>
          </cell>
          <cell r="FO10">
            <v>9227061137.0346165</v>
          </cell>
          <cell r="FP10">
            <v>9227061137.0346165</v>
          </cell>
          <cell r="FQ10">
            <v>9268818580.8411388</v>
          </cell>
          <cell r="FR10">
            <v>0</v>
          </cell>
          <cell r="FS10">
            <v>8917160968.8432026</v>
          </cell>
          <cell r="FT10">
            <v>8917160968.8432026</v>
          </cell>
          <cell r="FU10">
            <v>8917160968.8432026</v>
          </cell>
          <cell r="FV10">
            <v>8917160968.8432026</v>
          </cell>
          <cell r="FW10">
            <v>8917160968.8432026</v>
          </cell>
          <cell r="FX10">
            <v>8917160968.8432026</v>
          </cell>
          <cell r="FY10">
            <v>8917160968.8432026</v>
          </cell>
          <cell r="FZ10">
            <v>9257336419.5765381</v>
          </cell>
          <cell r="GA10">
            <v>8865774943.5373878</v>
          </cell>
          <cell r="GB10">
            <v>9283063288.3333206</v>
          </cell>
          <cell r="GC10">
            <v>9276994714.9645576</v>
          </cell>
          <cell r="GD10">
            <v>9274937021.0886574</v>
          </cell>
          <cell r="GE10">
            <v>9344884105.8784008</v>
          </cell>
          <cell r="GF10">
            <v>9276912883.7984085</v>
          </cell>
          <cell r="GG10">
            <v>9274971572.2600975</v>
          </cell>
          <cell r="GH10">
            <v>9274937021.0886574</v>
          </cell>
          <cell r="GI10">
            <v>9371615590.4596176</v>
          </cell>
          <cell r="GJ10">
            <v>9274937021.0886574</v>
          </cell>
          <cell r="GK10">
            <v>9275150760.5218449</v>
          </cell>
          <cell r="GL10">
            <v>9274938327.210207</v>
          </cell>
          <cell r="GM10">
            <v>9274937021.0886574</v>
          </cell>
          <cell r="GN10">
            <v>9274937021.0886574</v>
          </cell>
          <cell r="GO10">
            <v>9274949274.1614571</v>
          </cell>
          <cell r="GP10">
            <v>9274937021.0886574</v>
          </cell>
          <cell r="GQ10">
            <v>9274937021.0886574</v>
          </cell>
          <cell r="GR10">
            <v>9274937021.0886574</v>
          </cell>
          <cell r="GS10">
            <v>9274954198.27421</v>
          </cell>
          <cell r="GT10">
            <v>9274937021.0886574</v>
          </cell>
          <cell r="GU10">
            <v>0</v>
          </cell>
          <cell r="GZ10">
            <v>0</v>
          </cell>
        </row>
        <row r="11">
          <cell r="A11" t="str">
            <v>F_CNP_NRF_EPA_EUR_FRCE_EVJ</v>
          </cell>
          <cell r="B11">
            <v>98622368817.676132</v>
          </cell>
          <cell r="D11">
            <v>109500266703.21196</v>
          </cell>
          <cell r="E11">
            <v>107464024755.62355</v>
          </cell>
          <cell r="F11">
            <v>109500266703.21196</v>
          </cell>
          <cell r="G11">
            <v>109500266703.21196</v>
          </cell>
          <cell r="H11">
            <v>0</v>
          </cell>
          <cell r="I11">
            <v>0</v>
          </cell>
          <cell r="J11">
            <v>109500266703.21196</v>
          </cell>
          <cell r="K11">
            <v>109500266703.21196</v>
          </cell>
          <cell r="L11">
            <v>109500266703.21196</v>
          </cell>
          <cell r="M11">
            <v>0</v>
          </cell>
          <cell r="N11">
            <v>109500266703.21196</v>
          </cell>
          <cell r="O11">
            <v>109500266703.21196</v>
          </cell>
          <cell r="P11">
            <v>109500266703.21196</v>
          </cell>
          <cell r="Q11">
            <v>109500266703.21196</v>
          </cell>
          <cell r="R11">
            <v>0</v>
          </cell>
          <cell r="S11">
            <v>109500266703.21196</v>
          </cell>
          <cell r="T11">
            <v>109500266703.21196</v>
          </cell>
          <cell r="U11">
            <v>109500266703.21196</v>
          </cell>
          <cell r="V11">
            <v>109500266703.21196</v>
          </cell>
          <cell r="W11">
            <v>109500266703.21196</v>
          </cell>
          <cell r="X11">
            <v>109500266703.21196</v>
          </cell>
          <cell r="Y11">
            <v>109500266703.21196</v>
          </cell>
          <cell r="Z11">
            <v>109500266703.21196</v>
          </cell>
          <cell r="AA11">
            <v>109500266703.21196</v>
          </cell>
          <cell r="AB11">
            <v>110182639354.66176</v>
          </cell>
          <cell r="AC11">
            <v>105948690955.26363</v>
          </cell>
          <cell r="AD11">
            <v>0</v>
          </cell>
          <cell r="AE11">
            <v>0</v>
          </cell>
          <cell r="AF11">
            <v>105480522409.62381</v>
          </cell>
          <cell r="AG11">
            <v>105480522409.62381</v>
          </cell>
          <cell r="AH11">
            <v>105480522409.62381</v>
          </cell>
          <cell r="AI11">
            <v>0</v>
          </cell>
          <cell r="AJ11">
            <v>108282555130.93109</v>
          </cell>
          <cell r="AK11">
            <v>108282555130.93109</v>
          </cell>
          <cell r="AL11">
            <v>108282555130.93109</v>
          </cell>
          <cell r="AM11">
            <v>108808366046.42184</v>
          </cell>
          <cell r="AN11">
            <v>0</v>
          </cell>
          <cell r="AO11">
            <v>105719843702.71683</v>
          </cell>
          <cell r="AP11">
            <v>105719843702.71683</v>
          </cell>
          <cell r="AQ11">
            <v>105719843702.71683</v>
          </cell>
          <cell r="AR11">
            <v>105719843702.71683</v>
          </cell>
          <cell r="AS11">
            <v>105719843702.71683</v>
          </cell>
          <cell r="AT11">
            <v>105719843702.71683</v>
          </cell>
          <cell r="AU11">
            <v>105719843702.71683</v>
          </cell>
          <cell r="AV11">
            <v>109015135631.58115</v>
          </cell>
          <cell r="AW11">
            <v>109500266703.21196</v>
          </cell>
          <cell r="AX11">
            <v>107464024755.62355</v>
          </cell>
          <cell r="AY11">
            <v>107464024755.62355</v>
          </cell>
          <cell r="AZ11">
            <v>0</v>
          </cell>
          <cell r="BA11">
            <v>0</v>
          </cell>
          <cell r="BB11">
            <v>107464024755.62355</v>
          </cell>
          <cell r="BC11">
            <v>107464024755.62355</v>
          </cell>
          <cell r="BD11">
            <v>107464024755.62355</v>
          </cell>
          <cell r="BE11">
            <v>0</v>
          </cell>
          <cell r="BF11">
            <v>107464024755.62355</v>
          </cell>
          <cell r="BG11">
            <v>107464024755.62355</v>
          </cell>
          <cell r="BH11">
            <v>107464024755.62355</v>
          </cell>
          <cell r="BI11">
            <v>107464024755.62355</v>
          </cell>
          <cell r="BJ11">
            <v>0</v>
          </cell>
          <cell r="BK11">
            <v>107464024755.62355</v>
          </cell>
          <cell r="BL11">
            <v>107464024755.62355</v>
          </cell>
          <cell r="BM11">
            <v>107464024755.62355</v>
          </cell>
          <cell r="BN11">
            <v>107464024755.62355</v>
          </cell>
          <cell r="BO11">
            <v>107464024755.62355</v>
          </cell>
          <cell r="BP11">
            <v>107464024755.62355</v>
          </cell>
          <cell r="BQ11">
            <v>107464024755.62355</v>
          </cell>
          <cell r="BR11">
            <v>107464024755.62355</v>
          </cell>
          <cell r="BS11">
            <v>107464024755.62355</v>
          </cell>
          <cell r="BT11">
            <v>110888536327.32024</v>
          </cell>
          <cell r="BU11">
            <v>99438281389.075058</v>
          </cell>
          <cell r="BV11">
            <v>0</v>
          </cell>
          <cell r="BW11">
            <v>0</v>
          </cell>
          <cell r="BX11">
            <v>107464024755.62355</v>
          </cell>
          <cell r="BY11">
            <v>107464024755.62355</v>
          </cell>
          <cell r="BZ11">
            <v>107464024755.62355</v>
          </cell>
          <cell r="CA11">
            <v>0</v>
          </cell>
          <cell r="CB11">
            <v>107464024755.62355</v>
          </cell>
          <cell r="CC11">
            <v>107464024755.62355</v>
          </cell>
          <cell r="CD11">
            <v>107464024755.62355</v>
          </cell>
          <cell r="CE11">
            <v>107464024755.62355</v>
          </cell>
          <cell r="CF11">
            <v>0</v>
          </cell>
          <cell r="CG11">
            <v>107464024755.62355</v>
          </cell>
          <cell r="CH11">
            <v>107464024755.62355</v>
          </cell>
          <cell r="CI11">
            <v>107464024755.62355</v>
          </cell>
          <cell r="CJ11">
            <v>107464024755.62355</v>
          </cell>
          <cell r="CK11">
            <v>107464024755.62355</v>
          </cell>
          <cell r="CL11">
            <v>107464024755.62355</v>
          </cell>
          <cell r="CM11">
            <v>107464024755.62355</v>
          </cell>
          <cell r="CN11">
            <v>107464024755.62355</v>
          </cell>
          <cell r="CO11">
            <v>106084578457.92604</v>
          </cell>
          <cell r="CP11">
            <v>107464024755.62355</v>
          </cell>
          <cell r="CQ11">
            <v>107464024755.62355</v>
          </cell>
          <cell r="CR11">
            <v>107464024755.62355</v>
          </cell>
          <cell r="CS11">
            <v>107464024755.62355</v>
          </cell>
          <cell r="CT11">
            <v>107464024755.62355</v>
          </cell>
          <cell r="CU11">
            <v>107464024755.62355</v>
          </cell>
          <cell r="CV11">
            <v>107464024755.62355</v>
          </cell>
          <cell r="CW11">
            <v>107464024755.62355</v>
          </cell>
          <cell r="CX11">
            <v>107464024755.62355</v>
          </cell>
          <cell r="CY11">
            <v>107464024755.62355</v>
          </cell>
          <cell r="CZ11">
            <v>107987559602.73907</v>
          </cell>
          <cell r="DA11">
            <v>107580011097.09175</v>
          </cell>
          <cell r="DB11">
            <v>107464024755.62355</v>
          </cell>
          <cell r="DC11">
            <v>109922788440.40477</v>
          </cell>
          <cell r="DD11">
            <v>107464024755.62355</v>
          </cell>
          <cell r="DE11">
            <v>88434049634.729004</v>
          </cell>
          <cell r="DF11">
            <v>126493999876.5181</v>
          </cell>
          <cell r="DG11">
            <v>107832837878.31941</v>
          </cell>
          <cell r="DH11">
            <v>107464024755.62355</v>
          </cell>
          <cell r="DI11">
            <v>107476144123.64023</v>
          </cell>
          <cell r="DJ11">
            <v>0</v>
          </cell>
          <cell r="DK11">
            <v>0</v>
          </cell>
          <cell r="DL11">
            <v>0</v>
          </cell>
          <cell r="DM11">
            <v>0</v>
          </cell>
          <cell r="DN11">
            <v>0</v>
          </cell>
          <cell r="DO11">
            <v>0</v>
          </cell>
          <cell r="DP11">
            <v>0</v>
          </cell>
          <cell r="DQ11">
            <v>0</v>
          </cell>
          <cell r="DR11">
            <v>0</v>
          </cell>
          <cell r="DS11">
            <v>0</v>
          </cell>
          <cell r="DT11">
            <v>0</v>
          </cell>
          <cell r="DU11">
            <v>0</v>
          </cell>
          <cell r="DV11">
            <v>0</v>
          </cell>
          <cell r="DW11">
            <v>0</v>
          </cell>
          <cell r="DX11" t="str">
            <v/>
          </cell>
          <cell r="DY11" t="str">
            <v/>
          </cell>
          <cell r="DZ11" t="str">
            <v/>
          </cell>
          <cell r="EA11">
            <v>107464024755.62355</v>
          </cell>
          <cell r="EB11">
            <v>107464024755.62355</v>
          </cell>
          <cell r="EC11">
            <v>107464024755.62355</v>
          </cell>
          <cell r="ED11">
            <v>107464024755.62355</v>
          </cell>
          <cell r="EE11">
            <v>107464024755.62355</v>
          </cell>
          <cell r="EF11">
            <v>107464024755.62355</v>
          </cell>
          <cell r="EG11">
            <v>107464024755.62355</v>
          </cell>
          <cell r="EH11">
            <v>107464024755.62355</v>
          </cell>
          <cell r="EI11">
            <v>107464024755.62355</v>
          </cell>
          <cell r="EJ11">
            <v>107464024755.62355</v>
          </cell>
          <cell r="EK11">
            <v>107464024755.62355</v>
          </cell>
          <cell r="EL11">
            <v>107464024755.62355</v>
          </cell>
          <cell r="EM11">
            <v>107464024755.62355</v>
          </cell>
          <cell r="EN11">
            <v>107464024755.62355</v>
          </cell>
          <cell r="EO11">
            <v>88434049634.729004</v>
          </cell>
          <cell r="EP11">
            <v>126493999876.5181</v>
          </cell>
          <cell r="EQ11">
            <v>107464024755.62355</v>
          </cell>
          <cell r="ER11">
            <v>107464024755.62355</v>
          </cell>
          <cell r="ES11">
            <v>0</v>
          </cell>
          <cell r="ET11">
            <v>0</v>
          </cell>
          <cell r="EU11">
            <v>0</v>
          </cell>
          <cell r="EV11">
            <v>0</v>
          </cell>
          <cell r="EW11">
            <v>0</v>
          </cell>
          <cell r="EX11">
            <v>0</v>
          </cell>
          <cell r="EY11">
            <v>0</v>
          </cell>
          <cell r="EZ11">
            <v>0</v>
          </cell>
          <cell r="FA11">
            <v>0</v>
          </cell>
          <cell r="FB11">
            <v>0</v>
          </cell>
          <cell r="FC11">
            <v>0</v>
          </cell>
          <cell r="FD11">
            <v>19029975120.894592</v>
          </cell>
          <cell r="FE11">
            <v>88434049634.729004</v>
          </cell>
          <cell r="FF11">
            <v>109083375751.67123</v>
          </cell>
          <cell r="FG11">
            <v>103000088816.74039</v>
          </cell>
          <cell r="FH11">
            <v>0</v>
          </cell>
          <cell r="FI11">
            <v>0</v>
          </cell>
          <cell r="FJ11">
            <v>104108839481.36269</v>
          </cell>
          <cell r="FK11">
            <v>104108839481.36269</v>
          </cell>
          <cell r="FL11">
            <v>104108839481.36269</v>
          </cell>
          <cell r="FM11">
            <v>0</v>
          </cell>
          <cell r="FN11">
            <v>106435356504.81442</v>
          </cell>
          <cell r="FO11">
            <v>106435356504.81442</v>
          </cell>
          <cell r="FP11">
            <v>106435356504.81442</v>
          </cell>
          <cell r="FQ11">
            <v>106923855308.34102</v>
          </cell>
          <cell r="FR11">
            <v>0</v>
          </cell>
          <cell r="FS11">
            <v>104015691257.73259</v>
          </cell>
          <cell r="FT11">
            <v>104015691257.73259</v>
          </cell>
          <cell r="FU11">
            <v>104015691257.73259</v>
          </cell>
          <cell r="FV11">
            <v>104015691257.73259</v>
          </cell>
          <cell r="FW11">
            <v>104015691257.73259</v>
          </cell>
          <cell r="FX11">
            <v>104015691257.73259</v>
          </cell>
          <cell r="FY11">
            <v>104015691257.73259</v>
          </cell>
          <cell r="FZ11">
            <v>107063190008.20364</v>
          </cell>
          <cell r="GA11">
            <v>106043962015.01637</v>
          </cell>
          <cell r="GB11">
            <v>107617921763.64101</v>
          </cell>
          <cell r="GC11">
            <v>107636364006.13544</v>
          </cell>
          <cell r="GD11">
            <v>107464024755.62355</v>
          </cell>
          <cell r="GE11">
            <v>108000070527.73334</v>
          </cell>
          <cell r="GF11">
            <v>107585867093.34756</v>
          </cell>
          <cell r="GG11">
            <v>107464024755.62355</v>
          </cell>
          <cell r="GH11">
            <v>107464024755.62355</v>
          </cell>
          <cell r="GI11">
            <v>107822225781.65466</v>
          </cell>
          <cell r="GJ11">
            <v>107464024755.62355</v>
          </cell>
          <cell r="GK11">
            <v>107469782371.2415</v>
          </cell>
          <cell r="GL11">
            <v>107464024755.62355</v>
          </cell>
          <cell r="GM11">
            <v>107464024755.62355</v>
          </cell>
          <cell r="GN11">
            <v>107464024755.62355</v>
          </cell>
          <cell r="GO11">
            <v>107464024755.62355</v>
          </cell>
          <cell r="GP11">
            <v>107464024755.62355</v>
          </cell>
          <cell r="GQ11">
            <v>107464024755.62355</v>
          </cell>
          <cell r="GR11">
            <v>107464024755.62355</v>
          </cell>
          <cell r="GS11">
            <v>107464024755.62355</v>
          </cell>
          <cell r="GT11">
            <v>107464024755.62355</v>
          </cell>
          <cell r="GU11">
            <v>0</v>
          </cell>
          <cell r="GZ11">
            <v>0</v>
          </cell>
        </row>
        <row r="12">
          <cell r="A12" t="str">
            <v>F_CNP_NRF_EPA_EUR_FRCE_120</v>
          </cell>
          <cell r="B12">
            <v>3723386155.7736502</v>
          </cell>
          <cell r="D12">
            <v>4253281280.1446691</v>
          </cell>
          <cell r="E12">
            <v>4209870966.8730807</v>
          </cell>
          <cell r="F12">
            <v>4253281280.1446691</v>
          </cell>
          <cell r="G12">
            <v>4253281280.1446691</v>
          </cell>
          <cell r="H12">
            <v>0</v>
          </cell>
          <cell r="I12">
            <v>0</v>
          </cell>
          <cell r="J12">
            <v>4253281280.1446691</v>
          </cell>
          <cell r="K12">
            <v>4253281280.1446691</v>
          </cell>
          <cell r="L12">
            <v>4253281280.1446691</v>
          </cell>
          <cell r="M12">
            <v>0</v>
          </cell>
          <cell r="N12">
            <v>4253281280.1446691</v>
          </cell>
          <cell r="O12">
            <v>4253281280.1446691</v>
          </cell>
          <cell r="P12">
            <v>4253281280.1446691</v>
          </cell>
          <cell r="Q12">
            <v>4253281280.1446691</v>
          </cell>
          <cell r="R12">
            <v>0</v>
          </cell>
          <cell r="S12">
            <v>4253281280.1446691</v>
          </cell>
          <cell r="T12">
            <v>4253281280.1446691</v>
          </cell>
          <cell r="U12">
            <v>4253281280.1446691</v>
          </cell>
          <cell r="V12">
            <v>4253281280.1446691</v>
          </cell>
          <cell r="W12">
            <v>4253281280.1446691</v>
          </cell>
          <cell r="X12">
            <v>4253281280.1446691</v>
          </cell>
          <cell r="Y12">
            <v>4253281280.1446691</v>
          </cell>
          <cell r="Z12">
            <v>4253281280.1446691</v>
          </cell>
          <cell r="AA12">
            <v>4253281280.1446691</v>
          </cell>
          <cell r="AB12">
            <v>4296152634.0165586</v>
          </cell>
          <cell r="AC12">
            <v>4079726150.96101</v>
          </cell>
          <cell r="AD12">
            <v>0</v>
          </cell>
          <cell r="AE12">
            <v>0</v>
          </cell>
          <cell r="AF12">
            <v>4072969873.2856903</v>
          </cell>
          <cell r="AG12">
            <v>4072969873.2856903</v>
          </cell>
          <cell r="AH12">
            <v>4072969873.2856903</v>
          </cell>
          <cell r="AI12">
            <v>0</v>
          </cell>
          <cell r="AJ12">
            <v>4229441615.7093801</v>
          </cell>
          <cell r="AK12">
            <v>4229441615.7093801</v>
          </cell>
          <cell r="AL12">
            <v>4229441615.7093801</v>
          </cell>
          <cell r="AM12">
            <v>4253281280.1446691</v>
          </cell>
          <cell r="AN12">
            <v>0</v>
          </cell>
          <cell r="AO12">
            <v>4066883689.0369806</v>
          </cell>
          <cell r="AP12">
            <v>4066883689.0369806</v>
          </cell>
          <cell r="AQ12">
            <v>4066883689.0369806</v>
          </cell>
          <cell r="AR12">
            <v>4066883689.0369806</v>
          </cell>
          <cell r="AS12">
            <v>4066883689.0369806</v>
          </cell>
          <cell r="AT12">
            <v>4066883689.0369806</v>
          </cell>
          <cell r="AU12">
            <v>4066883689.0369806</v>
          </cell>
          <cell r="AV12">
            <v>4242529506.6349902</v>
          </cell>
          <cell r="AW12">
            <v>4253281280.1446691</v>
          </cell>
          <cell r="AX12">
            <v>4209870966.8730807</v>
          </cell>
          <cell r="AY12">
            <v>4209870966.8730807</v>
          </cell>
          <cell r="AZ12">
            <v>0</v>
          </cell>
          <cell r="BA12">
            <v>0</v>
          </cell>
          <cell r="BB12">
            <v>4209870966.8730807</v>
          </cell>
          <cell r="BC12">
            <v>4209870966.8730807</v>
          </cell>
          <cell r="BD12">
            <v>4209870966.8730807</v>
          </cell>
          <cell r="BE12">
            <v>0</v>
          </cell>
          <cell r="BF12">
            <v>4209870966.8730807</v>
          </cell>
          <cell r="BG12">
            <v>4209870966.8730807</v>
          </cell>
          <cell r="BH12">
            <v>4209870966.8730807</v>
          </cell>
          <cell r="BI12">
            <v>4209870966.8730807</v>
          </cell>
          <cell r="BJ12">
            <v>0</v>
          </cell>
          <cell r="BK12">
            <v>4209870966.8730807</v>
          </cell>
          <cell r="BL12">
            <v>4209870966.8730807</v>
          </cell>
          <cell r="BM12">
            <v>4209870966.8730807</v>
          </cell>
          <cell r="BN12">
            <v>4209870966.8730807</v>
          </cell>
          <cell r="BO12">
            <v>4209870966.8730807</v>
          </cell>
          <cell r="BP12">
            <v>4209870966.8730807</v>
          </cell>
          <cell r="BQ12">
            <v>4209870966.8730807</v>
          </cell>
          <cell r="BR12">
            <v>4209870966.8730807</v>
          </cell>
          <cell r="BS12">
            <v>4209870966.8730807</v>
          </cell>
          <cell r="BT12">
            <v>4319370486.3186493</v>
          </cell>
          <cell r="BU12">
            <v>3959490446.57446</v>
          </cell>
          <cell r="BV12">
            <v>0</v>
          </cell>
          <cell r="BW12">
            <v>0</v>
          </cell>
          <cell r="BX12">
            <v>4209870966.8730807</v>
          </cell>
          <cell r="BY12">
            <v>4209870966.8730807</v>
          </cell>
          <cell r="BZ12">
            <v>4209870966.8730807</v>
          </cell>
          <cell r="CA12">
            <v>0</v>
          </cell>
          <cell r="CB12">
            <v>4209870966.8730807</v>
          </cell>
          <cell r="CC12">
            <v>4209870966.8730807</v>
          </cell>
          <cell r="CD12">
            <v>4209870966.8730807</v>
          </cell>
          <cell r="CE12">
            <v>4209870966.8730807</v>
          </cell>
          <cell r="CF12">
            <v>0</v>
          </cell>
          <cell r="CG12">
            <v>4209870966.8730807</v>
          </cell>
          <cell r="CH12">
            <v>4209870966.8730807</v>
          </cell>
          <cell r="CI12">
            <v>4209870966.8730807</v>
          </cell>
          <cell r="CJ12">
            <v>4209870966.8730807</v>
          </cell>
          <cell r="CK12">
            <v>4209870966.8730807</v>
          </cell>
          <cell r="CL12">
            <v>4209870966.8730807</v>
          </cell>
          <cell r="CM12">
            <v>4209870966.8730807</v>
          </cell>
          <cell r="CN12">
            <v>4209870966.8730807</v>
          </cell>
          <cell r="CO12">
            <v>4087990341.6501307</v>
          </cell>
          <cell r="CP12">
            <v>4209870966.8730807</v>
          </cell>
          <cell r="CQ12">
            <v>4209870966.8730807</v>
          </cell>
          <cell r="CR12">
            <v>4209870966.8730807</v>
          </cell>
          <cell r="CS12">
            <v>4209870966.8730807</v>
          </cell>
          <cell r="CT12">
            <v>4209870966.8730807</v>
          </cell>
          <cell r="CU12">
            <v>4209870966.8730807</v>
          </cell>
          <cell r="CV12">
            <v>4209870966.8730807</v>
          </cell>
          <cell r="CW12">
            <v>4209870966.8730807</v>
          </cell>
          <cell r="CX12">
            <v>4209870966.8730807</v>
          </cell>
          <cell r="CY12">
            <v>4209870966.8730807</v>
          </cell>
          <cell r="CZ12">
            <v>4238544415.2733502</v>
          </cell>
          <cell r="DA12">
            <v>4209870966.8730807</v>
          </cell>
          <cell r="DB12">
            <v>4209870966.8730807</v>
          </cell>
          <cell r="DC12">
            <v>4233554855.7613101</v>
          </cell>
          <cell r="DD12">
            <v>4209870966.8730807</v>
          </cell>
          <cell r="DE12">
            <v>3295236626.2016802</v>
          </cell>
          <cell r="DF12">
            <v>5124505307.5444813</v>
          </cell>
          <cell r="DG12">
            <v>4237888179.1032605</v>
          </cell>
          <cell r="DH12">
            <v>4209870966.8730807</v>
          </cell>
          <cell r="DI12">
            <v>4210350968.7963405</v>
          </cell>
          <cell r="DJ12">
            <v>0</v>
          </cell>
          <cell r="DK12">
            <v>0</v>
          </cell>
          <cell r="DL12">
            <v>0</v>
          </cell>
          <cell r="DM12">
            <v>0</v>
          </cell>
          <cell r="DN12">
            <v>0</v>
          </cell>
          <cell r="DO12">
            <v>0</v>
          </cell>
          <cell r="DP12">
            <v>0</v>
          </cell>
          <cell r="DQ12">
            <v>0</v>
          </cell>
          <cell r="DR12">
            <v>0</v>
          </cell>
          <cell r="DS12">
            <v>0</v>
          </cell>
          <cell r="DT12">
            <v>0</v>
          </cell>
          <cell r="DU12">
            <v>0</v>
          </cell>
          <cell r="DV12">
            <v>0</v>
          </cell>
          <cell r="DW12">
            <v>0</v>
          </cell>
          <cell r="DX12" t="str">
            <v/>
          </cell>
          <cell r="DY12" t="str">
            <v/>
          </cell>
          <cell r="DZ12" t="str">
            <v/>
          </cell>
          <cell r="EA12">
            <v>4209870966.8730807</v>
          </cell>
          <cell r="EB12">
            <v>4209870966.8730807</v>
          </cell>
          <cell r="EC12">
            <v>4209870966.8730807</v>
          </cell>
          <cell r="ED12">
            <v>4209870966.8730807</v>
          </cell>
          <cell r="EE12">
            <v>4209870966.8730807</v>
          </cell>
          <cell r="EF12">
            <v>4209870966.8730807</v>
          </cell>
          <cell r="EG12">
            <v>4209870966.8730807</v>
          </cell>
          <cell r="EH12">
            <v>4209870966.8730807</v>
          </cell>
          <cell r="EI12">
            <v>4209870966.8730807</v>
          </cell>
          <cell r="EJ12">
            <v>4209870966.8730807</v>
          </cell>
          <cell r="EK12">
            <v>4209870966.8730807</v>
          </cell>
          <cell r="EL12">
            <v>4209870966.8730807</v>
          </cell>
          <cell r="EM12">
            <v>4209870966.8730807</v>
          </cell>
          <cell r="EN12">
            <v>4209870966.8730807</v>
          </cell>
          <cell r="EO12">
            <v>3295236626.2016802</v>
          </cell>
          <cell r="EP12">
            <v>5124505307.5444813</v>
          </cell>
          <cell r="EQ12">
            <v>4209870966.8730807</v>
          </cell>
          <cell r="ER12">
            <v>4209870966.8730807</v>
          </cell>
          <cell r="ES12">
            <v>0</v>
          </cell>
          <cell r="ET12">
            <v>0</v>
          </cell>
          <cell r="EU12">
            <v>0</v>
          </cell>
          <cell r="EV12">
            <v>0</v>
          </cell>
          <cell r="EW12">
            <v>0</v>
          </cell>
          <cell r="EX12">
            <v>0</v>
          </cell>
          <cell r="EY12">
            <v>0</v>
          </cell>
          <cell r="EZ12">
            <v>0</v>
          </cell>
          <cell r="FA12">
            <v>0</v>
          </cell>
          <cell r="FB12">
            <v>0</v>
          </cell>
          <cell r="FC12">
            <v>0</v>
          </cell>
          <cell r="FD12">
            <v>914634340.67140055</v>
          </cell>
          <cell r="FE12">
            <v>3295236626.2016802</v>
          </cell>
          <cell r="FF12">
            <v>4269506409.5250096</v>
          </cell>
          <cell r="FG12">
            <v>4015001766.5983992</v>
          </cell>
          <cell r="FH12">
            <v>0</v>
          </cell>
          <cell r="FI12">
            <v>0</v>
          </cell>
          <cell r="FJ12">
            <v>4070309433.31569</v>
          </cell>
          <cell r="FK12">
            <v>4070309433.31569</v>
          </cell>
          <cell r="FL12">
            <v>4070309433.31569</v>
          </cell>
          <cell r="FM12">
            <v>0</v>
          </cell>
          <cell r="FN12">
            <v>4189936404.6245995</v>
          </cell>
          <cell r="FO12">
            <v>4189936404.6245995</v>
          </cell>
          <cell r="FP12">
            <v>4189936404.6245995</v>
          </cell>
          <cell r="FQ12">
            <v>4209870966.8730807</v>
          </cell>
          <cell r="FR12">
            <v>0</v>
          </cell>
          <cell r="FS12">
            <v>4050179104.0778699</v>
          </cell>
          <cell r="FT12">
            <v>4050179104.0778699</v>
          </cell>
          <cell r="FU12">
            <v>4050179104.0778699</v>
          </cell>
          <cell r="FV12">
            <v>4050179104.0778699</v>
          </cell>
          <cell r="FW12">
            <v>4050179104.0778699</v>
          </cell>
          <cell r="FX12">
            <v>4050179104.0778699</v>
          </cell>
          <cell r="FY12">
            <v>4050179104.0778699</v>
          </cell>
          <cell r="FZ12">
            <v>4201207257.23769</v>
          </cell>
          <cell r="GA12">
            <v>4080797767.0727396</v>
          </cell>
          <cell r="GB12">
            <v>4214289339.5368905</v>
          </cell>
          <cell r="GC12">
            <v>4213893626.2207599</v>
          </cell>
          <cell r="GD12">
            <v>4209870966.8730807</v>
          </cell>
          <cell r="GE12">
            <v>4213765308.7561498</v>
          </cell>
          <cell r="GF12">
            <v>4209870966.8730807</v>
          </cell>
          <cell r="GG12">
            <v>4209870966.8730807</v>
          </cell>
          <cell r="GH12">
            <v>4209870966.8730807</v>
          </cell>
          <cell r="GI12">
            <v>4239046136.15693</v>
          </cell>
          <cell r="GJ12">
            <v>4209870966.8730807</v>
          </cell>
          <cell r="GK12">
            <v>4209934644.2000008</v>
          </cell>
          <cell r="GL12">
            <v>4209870966.8730807</v>
          </cell>
          <cell r="GM12">
            <v>4209870966.8730807</v>
          </cell>
          <cell r="GN12">
            <v>4209870966.8730807</v>
          </cell>
          <cell r="GO12">
            <v>4209870966.8730807</v>
          </cell>
          <cell r="GP12">
            <v>4209870966.8730807</v>
          </cell>
          <cell r="GQ12">
            <v>4209870966.8730807</v>
          </cell>
          <cell r="GR12">
            <v>4209870966.8730807</v>
          </cell>
          <cell r="GS12">
            <v>4209870966.8730807</v>
          </cell>
          <cell r="GT12">
            <v>4209870966.8730807</v>
          </cell>
          <cell r="GU12">
            <v>0</v>
          </cell>
          <cell r="GZ12">
            <v>0</v>
          </cell>
        </row>
        <row r="13">
          <cell r="A13" t="str">
            <v>F_CNP_NRF_EPA_EUR_FRCE_EVC</v>
          </cell>
          <cell r="B13">
            <v>650403673.34981</v>
          </cell>
          <cell r="D13">
            <v>901897199.05465007</v>
          </cell>
          <cell r="E13">
            <v>910496761.65267003</v>
          </cell>
          <cell r="F13">
            <v>901897199.05465007</v>
          </cell>
          <cell r="G13">
            <v>901897199.05465007</v>
          </cell>
          <cell r="H13">
            <v>0</v>
          </cell>
          <cell r="I13">
            <v>0</v>
          </cell>
          <cell r="J13">
            <v>901897199.05465007</v>
          </cell>
          <cell r="K13">
            <v>901897199.05465007</v>
          </cell>
          <cell r="L13">
            <v>901897199.05465007</v>
          </cell>
          <cell r="M13">
            <v>0</v>
          </cell>
          <cell r="N13">
            <v>901897199.05465007</v>
          </cell>
          <cell r="O13">
            <v>901897199.05465007</v>
          </cell>
          <cell r="P13">
            <v>901897199.05465007</v>
          </cell>
          <cell r="Q13">
            <v>901897199.05465007</v>
          </cell>
          <cell r="R13">
            <v>0</v>
          </cell>
          <cell r="S13">
            <v>901897199.05465007</v>
          </cell>
          <cell r="T13">
            <v>901897199.05465007</v>
          </cell>
          <cell r="U13">
            <v>901897199.05465007</v>
          </cell>
          <cell r="V13">
            <v>901897199.05465007</v>
          </cell>
          <cell r="W13">
            <v>901897199.05465007</v>
          </cell>
          <cell r="X13">
            <v>901897199.05465007</v>
          </cell>
          <cell r="Y13">
            <v>901897199.05465007</v>
          </cell>
          <cell r="Z13">
            <v>901897199.05465007</v>
          </cell>
          <cell r="AA13">
            <v>901897199.05465007</v>
          </cell>
          <cell r="AB13">
            <v>900512316.50922</v>
          </cell>
          <cell r="AC13">
            <v>896833031.44471002</v>
          </cell>
          <cell r="AD13">
            <v>0</v>
          </cell>
          <cell r="AE13">
            <v>0</v>
          </cell>
          <cell r="AF13">
            <v>835225969.27956009</v>
          </cell>
          <cell r="AG13">
            <v>835225969.27956009</v>
          </cell>
          <cell r="AH13">
            <v>835225969.27956009</v>
          </cell>
          <cell r="AI13">
            <v>0</v>
          </cell>
          <cell r="AJ13">
            <v>894097323.01371002</v>
          </cell>
          <cell r="AK13">
            <v>894097323.01371002</v>
          </cell>
          <cell r="AL13">
            <v>894097323.01371002</v>
          </cell>
          <cell r="AM13">
            <v>887691311.87932992</v>
          </cell>
          <cell r="AN13">
            <v>0</v>
          </cell>
          <cell r="AO13">
            <v>849996258.81226003</v>
          </cell>
          <cell r="AP13">
            <v>849996258.81226003</v>
          </cell>
          <cell r="AQ13">
            <v>849996258.81226003</v>
          </cell>
          <cell r="AR13">
            <v>849996258.81226003</v>
          </cell>
          <cell r="AS13">
            <v>849996258.81226003</v>
          </cell>
          <cell r="AT13">
            <v>849996258.81226003</v>
          </cell>
          <cell r="AU13">
            <v>849996258.81226003</v>
          </cell>
          <cell r="AV13">
            <v>892837088.35869002</v>
          </cell>
          <cell r="AW13">
            <v>901897199.05465007</v>
          </cell>
          <cell r="AX13">
            <v>910496761.65267003</v>
          </cell>
          <cell r="AY13">
            <v>910496761.65267003</v>
          </cell>
          <cell r="AZ13">
            <v>0</v>
          </cell>
          <cell r="BA13">
            <v>0</v>
          </cell>
          <cell r="BB13">
            <v>910496761.65267003</v>
          </cell>
          <cell r="BC13">
            <v>910496761.65267003</v>
          </cell>
          <cell r="BD13">
            <v>910496761.65267003</v>
          </cell>
          <cell r="BE13">
            <v>0</v>
          </cell>
          <cell r="BF13">
            <v>910496761.65267003</v>
          </cell>
          <cell r="BG13">
            <v>910496761.65267003</v>
          </cell>
          <cell r="BH13">
            <v>910496761.65267003</v>
          </cell>
          <cell r="BI13">
            <v>910496761.65267003</v>
          </cell>
          <cell r="BJ13">
            <v>0</v>
          </cell>
          <cell r="BK13">
            <v>910496761.65267003</v>
          </cell>
          <cell r="BL13">
            <v>910496761.65267003</v>
          </cell>
          <cell r="BM13">
            <v>910496761.65267003</v>
          </cell>
          <cell r="BN13">
            <v>910496761.65267003</v>
          </cell>
          <cell r="BO13">
            <v>910496761.65267003</v>
          </cell>
          <cell r="BP13">
            <v>910496761.65267003</v>
          </cell>
          <cell r="BQ13">
            <v>910496761.65267003</v>
          </cell>
          <cell r="BR13">
            <v>910496761.65267003</v>
          </cell>
          <cell r="BS13">
            <v>910496761.65267003</v>
          </cell>
          <cell r="BT13">
            <v>919905781.86250997</v>
          </cell>
          <cell r="BU13">
            <v>887222096.98096001</v>
          </cell>
          <cell r="BV13">
            <v>0</v>
          </cell>
          <cell r="BW13">
            <v>0</v>
          </cell>
          <cell r="BX13">
            <v>910496761.65267003</v>
          </cell>
          <cell r="BY13">
            <v>910496761.65267003</v>
          </cell>
          <cell r="BZ13">
            <v>910496761.65267003</v>
          </cell>
          <cell r="CA13">
            <v>0</v>
          </cell>
          <cell r="CB13">
            <v>910496761.65267003</v>
          </cell>
          <cell r="CC13">
            <v>910496761.65267003</v>
          </cell>
          <cell r="CD13">
            <v>910496761.65267003</v>
          </cell>
          <cell r="CE13">
            <v>910496761.65267003</v>
          </cell>
          <cell r="CF13">
            <v>0</v>
          </cell>
          <cell r="CG13">
            <v>910496761.65267003</v>
          </cell>
          <cell r="CH13">
            <v>910496761.65267003</v>
          </cell>
          <cell r="CI13">
            <v>910496761.65267003</v>
          </cell>
          <cell r="CJ13">
            <v>910496761.65267003</v>
          </cell>
          <cell r="CK13">
            <v>910496761.65267003</v>
          </cell>
          <cell r="CL13">
            <v>910496761.65267003</v>
          </cell>
          <cell r="CM13">
            <v>910496761.65267003</v>
          </cell>
          <cell r="CN13">
            <v>910496761.65267003</v>
          </cell>
          <cell r="CO13">
            <v>905517463.73479009</v>
          </cell>
          <cell r="CP13">
            <v>910496761.65267003</v>
          </cell>
          <cell r="CQ13">
            <v>910496761.65267003</v>
          </cell>
          <cell r="CR13">
            <v>910496761.65267003</v>
          </cell>
          <cell r="CS13">
            <v>910496761.65267003</v>
          </cell>
          <cell r="CT13">
            <v>910496761.65267003</v>
          </cell>
          <cell r="CU13">
            <v>910496761.65267003</v>
          </cell>
          <cell r="CV13">
            <v>910496761.65267003</v>
          </cell>
          <cell r="CW13">
            <v>910496761.65267003</v>
          </cell>
          <cell r="CX13">
            <v>910496761.65267003</v>
          </cell>
          <cell r="CY13">
            <v>910496761.65267003</v>
          </cell>
          <cell r="CZ13">
            <v>910496761.65267003</v>
          </cell>
          <cell r="DA13">
            <v>910496761.65267003</v>
          </cell>
          <cell r="DB13">
            <v>910496761.65267003</v>
          </cell>
          <cell r="DC13">
            <v>910496761.65267003</v>
          </cell>
          <cell r="DD13">
            <v>911120088.13090003</v>
          </cell>
          <cell r="DE13">
            <v>618861623.78118002</v>
          </cell>
          <cell r="DF13">
            <v>1202131899.5241599</v>
          </cell>
          <cell r="DG13">
            <v>911089079.26371002</v>
          </cell>
          <cell r="DH13">
            <v>910496761.65267003</v>
          </cell>
          <cell r="DI13">
            <v>910496761.65267003</v>
          </cell>
          <cell r="DJ13">
            <v>0</v>
          </cell>
          <cell r="DK13">
            <v>0</v>
          </cell>
          <cell r="DL13">
            <v>0</v>
          </cell>
          <cell r="DM13">
            <v>0</v>
          </cell>
          <cell r="DN13">
            <v>0</v>
          </cell>
          <cell r="DO13">
            <v>0</v>
          </cell>
          <cell r="DP13">
            <v>0</v>
          </cell>
          <cell r="DQ13">
            <v>0</v>
          </cell>
          <cell r="DR13">
            <v>0</v>
          </cell>
          <cell r="DS13">
            <v>0</v>
          </cell>
          <cell r="DT13">
            <v>0</v>
          </cell>
          <cell r="DU13">
            <v>0</v>
          </cell>
          <cell r="DV13">
            <v>0</v>
          </cell>
          <cell r="DW13">
            <v>0</v>
          </cell>
          <cell r="DX13" t="str">
            <v/>
          </cell>
          <cell r="DY13" t="str">
            <v/>
          </cell>
          <cell r="DZ13" t="str">
            <v/>
          </cell>
          <cell r="EA13">
            <v>910496761.65267003</v>
          </cell>
          <cell r="EB13">
            <v>910496761.65267003</v>
          </cell>
          <cell r="EC13">
            <v>910496761.65267003</v>
          </cell>
          <cell r="ED13">
            <v>910496761.65267003</v>
          </cell>
          <cell r="EE13">
            <v>910496761.65267003</v>
          </cell>
          <cell r="EF13">
            <v>910496761.65267003</v>
          </cell>
          <cell r="EG13">
            <v>910496761.65267003</v>
          </cell>
          <cell r="EH13">
            <v>910496761.65267003</v>
          </cell>
          <cell r="EI13">
            <v>910496761.65267003</v>
          </cell>
          <cell r="EJ13">
            <v>910496761.65267003</v>
          </cell>
          <cell r="EK13">
            <v>910496761.65267003</v>
          </cell>
          <cell r="EL13">
            <v>910496761.65267003</v>
          </cell>
          <cell r="EM13">
            <v>910496761.65267003</v>
          </cell>
          <cell r="EN13">
            <v>910496761.65267003</v>
          </cell>
          <cell r="EO13">
            <v>618861623.78118002</v>
          </cell>
          <cell r="EP13">
            <v>1202131899.5241599</v>
          </cell>
          <cell r="EQ13">
            <v>910496761.65267003</v>
          </cell>
          <cell r="ER13">
            <v>910496761.65267003</v>
          </cell>
          <cell r="ES13">
            <v>0</v>
          </cell>
          <cell r="ET13">
            <v>0</v>
          </cell>
          <cell r="EU13">
            <v>0</v>
          </cell>
          <cell r="EV13">
            <v>0</v>
          </cell>
          <cell r="EW13">
            <v>0</v>
          </cell>
          <cell r="EX13">
            <v>0</v>
          </cell>
          <cell r="EY13">
            <v>0</v>
          </cell>
          <cell r="EZ13">
            <v>0</v>
          </cell>
          <cell r="FA13">
            <v>0</v>
          </cell>
          <cell r="FB13">
            <v>0</v>
          </cell>
          <cell r="FC13">
            <v>0</v>
          </cell>
          <cell r="FD13">
            <v>291635137.81131995</v>
          </cell>
          <cell r="FE13">
            <v>618861623.78118002</v>
          </cell>
          <cell r="FF13">
            <v>911259567.61795998</v>
          </cell>
          <cell r="FG13">
            <v>902594135.61260009</v>
          </cell>
          <cell r="FH13">
            <v>0</v>
          </cell>
          <cell r="FI13">
            <v>0</v>
          </cell>
          <cell r="FJ13">
            <v>839204275.11071992</v>
          </cell>
          <cell r="FK13">
            <v>839204275.11071992</v>
          </cell>
          <cell r="FL13">
            <v>839204275.11071992</v>
          </cell>
          <cell r="FM13">
            <v>0</v>
          </cell>
          <cell r="FN13">
            <v>902501424.44194996</v>
          </cell>
          <cell r="FO13">
            <v>902501424.44194996</v>
          </cell>
          <cell r="FP13">
            <v>902501424.44194996</v>
          </cell>
          <cell r="FQ13">
            <v>896112157.18615007</v>
          </cell>
          <cell r="FR13">
            <v>0</v>
          </cell>
          <cell r="FS13">
            <v>860068298.64039993</v>
          </cell>
          <cell r="FT13">
            <v>860068298.64039993</v>
          </cell>
          <cell r="FU13">
            <v>860068298.64039993</v>
          </cell>
          <cell r="FV13">
            <v>860068298.64039993</v>
          </cell>
          <cell r="FW13">
            <v>860068298.64039993</v>
          </cell>
          <cell r="FX13">
            <v>860068298.64039993</v>
          </cell>
          <cell r="FY13">
            <v>860068298.64039993</v>
          </cell>
          <cell r="FZ13">
            <v>901389548.06787002</v>
          </cell>
          <cell r="GA13">
            <v>905106706.96464992</v>
          </cell>
          <cell r="GB13">
            <v>910496761.65530002</v>
          </cell>
          <cell r="GC13">
            <v>910496761.65267003</v>
          </cell>
          <cell r="GD13">
            <v>910496761.65267003</v>
          </cell>
          <cell r="GE13">
            <v>910496761.65267003</v>
          </cell>
          <cell r="GF13">
            <v>932663908.29163003</v>
          </cell>
          <cell r="GG13">
            <v>910496761.65267003</v>
          </cell>
          <cell r="GH13">
            <v>910496761.65267003</v>
          </cell>
          <cell r="GI13">
            <v>911114189.9411099</v>
          </cell>
          <cell r="GJ13">
            <v>910496761.65267003</v>
          </cell>
          <cell r="GK13">
            <v>910496761.65267003</v>
          </cell>
          <cell r="GL13">
            <v>910496761.65267003</v>
          </cell>
          <cell r="GM13">
            <v>910496761.65267003</v>
          </cell>
          <cell r="GN13">
            <v>910496761.65267003</v>
          </cell>
          <cell r="GO13">
            <v>910496761.65267003</v>
          </cell>
          <cell r="GP13">
            <v>910496761.65267003</v>
          </cell>
          <cell r="GQ13">
            <v>910496761.65267003</v>
          </cell>
          <cell r="GR13">
            <v>910496761.65267003</v>
          </cell>
          <cell r="GS13">
            <v>910496761.65267003</v>
          </cell>
          <cell r="GT13">
            <v>910496761.65267003</v>
          </cell>
          <cell r="GU13">
            <v>0</v>
          </cell>
          <cell r="GZ13">
            <v>0</v>
          </cell>
        </row>
        <row r="14">
          <cell r="A14" t="str">
            <v>F_CNP_NRF_EPA_EUR_FRCE_201</v>
          </cell>
          <cell r="B14">
            <v>557246517.15701985</v>
          </cell>
          <cell r="D14">
            <v>668288898.98794997</v>
          </cell>
          <cell r="E14">
            <v>680268923.11801994</v>
          </cell>
          <cell r="F14">
            <v>668288898.98794997</v>
          </cell>
          <cell r="G14">
            <v>668288898.98794997</v>
          </cell>
          <cell r="H14">
            <v>0</v>
          </cell>
          <cell r="I14">
            <v>0</v>
          </cell>
          <cell r="J14">
            <v>668288898.98794997</v>
          </cell>
          <cell r="K14">
            <v>668288898.98794997</v>
          </cell>
          <cell r="L14">
            <v>668288898.98794997</v>
          </cell>
          <cell r="M14">
            <v>0</v>
          </cell>
          <cell r="N14">
            <v>668288898.98794997</v>
          </cell>
          <cell r="O14">
            <v>668288898.98794997</v>
          </cell>
          <cell r="P14">
            <v>668288898.98794997</v>
          </cell>
          <cell r="Q14">
            <v>668288898.98794997</v>
          </cell>
          <cell r="R14">
            <v>0</v>
          </cell>
          <cell r="S14">
            <v>668288898.98794997</v>
          </cell>
          <cell r="T14">
            <v>668288898.98794997</v>
          </cell>
          <cell r="U14">
            <v>668288898.98794997</v>
          </cell>
          <cell r="V14">
            <v>668288898.98794997</v>
          </cell>
          <cell r="W14">
            <v>668288898.98794997</v>
          </cell>
          <cell r="X14">
            <v>668288898.98794997</v>
          </cell>
          <cell r="Y14">
            <v>668288898.98794997</v>
          </cell>
          <cell r="Z14">
            <v>668288898.98794997</v>
          </cell>
          <cell r="AA14">
            <v>668288898.98794997</v>
          </cell>
          <cell r="AB14">
            <v>673982617.15161991</v>
          </cell>
          <cell r="AC14">
            <v>644608353.54903972</v>
          </cell>
          <cell r="AD14">
            <v>0</v>
          </cell>
          <cell r="AE14">
            <v>0</v>
          </cell>
          <cell r="AF14">
            <v>617129982.63850021</v>
          </cell>
          <cell r="AG14">
            <v>617129982.63850021</v>
          </cell>
          <cell r="AH14">
            <v>617129982.63850021</v>
          </cell>
          <cell r="AI14">
            <v>0</v>
          </cell>
          <cell r="AJ14">
            <v>656031479.41060984</v>
          </cell>
          <cell r="AK14">
            <v>656031479.41060984</v>
          </cell>
          <cell r="AL14">
            <v>656031479.41060984</v>
          </cell>
          <cell r="AM14">
            <v>655779540.88867986</v>
          </cell>
          <cell r="AN14">
            <v>0</v>
          </cell>
          <cell r="AO14">
            <v>638114711.20000994</v>
          </cell>
          <cell r="AP14">
            <v>638114711.20000994</v>
          </cell>
          <cell r="AQ14">
            <v>638114711.20000994</v>
          </cell>
          <cell r="AR14">
            <v>638114711.20000994</v>
          </cell>
          <cell r="AS14">
            <v>638114711.20000994</v>
          </cell>
          <cell r="AT14">
            <v>638114711.20000994</v>
          </cell>
          <cell r="AU14">
            <v>638114711.20000994</v>
          </cell>
          <cell r="AV14">
            <v>660304614.89028001</v>
          </cell>
          <cell r="AW14">
            <v>668288898.98794997</v>
          </cell>
          <cell r="AX14">
            <v>680268923.11801994</v>
          </cell>
          <cell r="AY14">
            <v>680268923.11801994</v>
          </cell>
          <cell r="AZ14">
            <v>0</v>
          </cell>
          <cell r="BA14">
            <v>0</v>
          </cell>
          <cell r="BB14">
            <v>680268923.11801994</v>
          </cell>
          <cell r="BC14">
            <v>680268923.11801994</v>
          </cell>
          <cell r="BD14">
            <v>680268923.11801994</v>
          </cell>
          <cell r="BE14">
            <v>0</v>
          </cell>
          <cell r="BF14">
            <v>680268923.11801994</v>
          </cell>
          <cell r="BG14">
            <v>680268923.11801994</v>
          </cell>
          <cell r="BH14">
            <v>680268923.11801994</v>
          </cell>
          <cell r="BI14">
            <v>680268923.11801994</v>
          </cell>
          <cell r="BJ14">
            <v>0</v>
          </cell>
          <cell r="BK14">
            <v>680268923.11801994</v>
          </cell>
          <cell r="BL14">
            <v>680268923.11801994</v>
          </cell>
          <cell r="BM14">
            <v>680268923.11801994</v>
          </cell>
          <cell r="BN14">
            <v>680268923.11801994</v>
          </cell>
          <cell r="BO14">
            <v>680268923.11801994</v>
          </cell>
          <cell r="BP14">
            <v>680268923.11801994</v>
          </cell>
          <cell r="BQ14">
            <v>680268923.11801994</v>
          </cell>
          <cell r="BR14">
            <v>680268923.11801994</v>
          </cell>
          <cell r="BS14">
            <v>680268923.11801994</v>
          </cell>
          <cell r="BT14">
            <v>703920716.61932993</v>
          </cell>
          <cell r="BU14">
            <v>632901061.07838988</v>
          </cell>
          <cell r="BV14">
            <v>0</v>
          </cell>
          <cell r="BW14">
            <v>0</v>
          </cell>
          <cell r="BX14">
            <v>680268923.11801994</v>
          </cell>
          <cell r="BY14">
            <v>680268923.11801994</v>
          </cell>
          <cell r="BZ14">
            <v>680268923.11801994</v>
          </cell>
          <cell r="CA14">
            <v>0</v>
          </cell>
          <cell r="CB14">
            <v>680268923.11801994</v>
          </cell>
          <cell r="CC14">
            <v>680268923.11801994</v>
          </cell>
          <cell r="CD14">
            <v>680268923.11801994</v>
          </cell>
          <cell r="CE14">
            <v>680268923.11801994</v>
          </cell>
          <cell r="CF14">
            <v>0</v>
          </cell>
          <cell r="CG14">
            <v>680268923.11801994</v>
          </cell>
          <cell r="CH14">
            <v>680268923.11801994</v>
          </cell>
          <cell r="CI14">
            <v>680268923.11801994</v>
          </cell>
          <cell r="CJ14">
            <v>680268923.11801994</v>
          </cell>
          <cell r="CK14">
            <v>680268923.11801994</v>
          </cell>
          <cell r="CL14">
            <v>680268923.11801994</v>
          </cell>
          <cell r="CM14">
            <v>680268923.11801994</v>
          </cell>
          <cell r="CN14">
            <v>680268923.11801994</v>
          </cell>
          <cell r="CO14">
            <v>649761720.12375998</v>
          </cell>
          <cell r="CP14">
            <v>680268923.11801994</v>
          </cell>
          <cell r="CQ14">
            <v>680268923.11801994</v>
          </cell>
          <cell r="CR14">
            <v>680268923.11801994</v>
          </cell>
          <cell r="CS14">
            <v>680268923.11801994</v>
          </cell>
          <cell r="CT14">
            <v>680268923.11801994</v>
          </cell>
          <cell r="CU14">
            <v>680268923.11801994</v>
          </cell>
          <cell r="CV14">
            <v>680268923.11801994</v>
          </cell>
          <cell r="CW14">
            <v>680268923.11801994</v>
          </cell>
          <cell r="CX14">
            <v>680268923.11801994</v>
          </cell>
          <cell r="CY14">
            <v>680268923.11801994</v>
          </cell>
          <cell r="CZ14">
            <v>681319334.61108994</v>
          </cell>
          <cell r="DA14">
            <v>685256430.51960003</v>
          </cell>
          <cell r="DB14">
            <v>680268923.11801994</v>
          </cell>
          <cell r="DC14">
            <v>697586379.8800199</v>
          </cell>
          <cell r="DD14">
            <v>680540925.9567498</v>
          </cell>
          <cell r="DE14">
            <v>540000565.69458008</v>
          </cell>
          <cell r="DF14">
            <v>820566577.02703977</v>
          </cell>
          <cell r="DG14">
            <v>688587258.17696965</v>
          </cell>
          <cell r="DH14">
            <v>680268923.11801994</v>
          </cell>
          <cell r="DI14">
            <v>680269063.31770992</v>
          </cell>
          <cell r="DJ14">
            <v>0</v>
          </cell>
          <cell r="DK14">
            <v>0</v>
          </cell>
          <cell r="DL14">
            <v>0</v>
          </cell>
          <cell r="DM14">
            <v>0</v>
          </cell>
          <cell r="DN14">
            <v>0</v>
          </cell>
          <cell r="DO14">
            <v>0</v>
          </cell>
          <cell r="DP14">
            <v>0</v>
          </cell>
          <cell r="DQ14">
            <v>0</v>
          </cell>
          <cell r="DR14">
            <v>0</v>
          </cell>
          <cell r="DS14">
            <v>0</v>
          </cell>
          <cell r="DT14">
            <v>0</v>
          </cell>
          <cell r="DU14">
            <v>0</v>
          </cell>
          <cell r="DV14">
            <v>0</v>
          </cell>
          <cell r="DW14">
            <v>0</v>
          </cell>
          <cell r="DX14" t="str">
            <v/>
          </cell>
          <cell r="DY14" t="str">
            <v/>
          </cell>
          <cell r="DZ14" t="str">
            <v/>
          </cell>
          <cell r="EA14">
            <v>680268923.11801994</v>
          </cell>
          <cell r="EB14">
            <v>680268923.11801994</v>
          </cell>
          <cell r="EC14">
            <v>680268923.11801994</v>
          </cell>
          <cell r="ED14">
            <v>680268923.11801994</v>
          </cell>
          <cell r="EE14">
            <v>680268923.11801994</v>
          </cell>
          <cell r="EF14">
            <v>680268923.11801994</v>
          </cell>
          <cell r="EG14">
            <v>680268923.11801994</v>
          </cell>
          <cell r="EH14">
            <v>680268923.11801994</v>
          </cell>
          <cell r="EI14">
            <v>680268923.11801994</v>
          </cell>
          <cell r="EJ14">
            <v>680268923.11801994</v>
          </cell>
          <cell r="EK14">
            <v>680268923.11801994</v>
          </cell>
          <cell r="EL14">
            <v>680268923.11801994</v>
          </cell>
          <cell r="EM14">
            <v>680268923.11801994</v>
          </cell>
          <cell r="EN14">
            <v>680268923.11801994</v>
          </cell>
          <cell r="EO14">
            <v>539971269.20900011</v>
          </cell>
          <cell r="EP14">
            <v>820566577.02703977</v>
          </cell>
          <cell r="EQ14">
            <v>680268923.11801994</v>
          </cell>
          <cell r="ER14">
            <v>680268923.11801994</v>
          </cell>
          <cell r="ES14">
            <v>0</v>
          </cell>
          <cell r="ET14">
            <v>0</v>
          </cell>
          <cell r="EU14">
            <v>0</v>
          </cell>
          <cell r="EV14">
            <v>0</v>
          </cell>
          <cell r="EW14">
            <v>0</v>
          </cell>
          <cell r="EX14">
            <v>0</v>
          </cell>
          <cell r="EY14">
            <v>0</v>
          </cell>
          <cell r="EZ14">
            <v>0</v>
          </cell>
          <cell r="FA14">
            <v>0</v>
          </cell>
          <cell r="FB14">
            <v>0</v>
          </cell>
          <cell r="FC14">
            <v>0</v>
          </cell>
          <cell r="FD14">
            <v>140297653.57909012</v>
          </cell>
          <cell r="FE14">
            <v>539971269.20900011</v>
          </cell>
          <cell r="FF14">
            <v>697769855.52324998</v>
          </cell>
          <cell r="FG14">
            <v>641820210.98824978</v>
          </cell>
          <cell r="FH14">
            <v>0</v>
          </cell>
          <cell r="FI14">
            <v>0</v>
          </cell>
          <cell r="FJ14">
            <v>634871381.62109017</v>
          </cell>
          <cell r="FK14">
            <v>634871381.62109017</v>
          </cell>
          <cell r="FL14">
            <v>634871381.62109017</v>
          </cell>
          <cell r="FM14">
            <v>0</v>
          </cell>
          <cell r="FN14">
            <v>669093707.28781033</v>
          </cell>
          <cell r="FO14">
            <v>669093707.28781033</v>
          </cell>
          <cell r="FP14">
            <v>669093707.28781033</v>
          </cell>
          <cell r="FQ14">
            <v>669509070.49101985</v>
          </cell>
          <cell r="FR14">
            <v>0</v>
          </cell>
          <cell r="FS14">
            <v>654593491.30875993</v>
          </cell>
          <cell r="FT14">
            <v>654593491.30875993</v>
          </cell>
          <cell r="FU14">
            <v>654593491.30875993</v>
          </cell>
          <cell r="FV14">
            <v>654593491.30875993</v>
          </cell>
          <cell r="FW14">
            <v>654593491.30875993</v>
          </cell>
          <cell r="FX14">
            <v>654593491.30875993</v>
          </cell>
          <cell r="FY14">
            <v>654593491.30875993</v>
          </cell>
          <cell r="FZ14">
            <v>673318662.30856013</v>
          </cell>
          <cell r="GA14">
            <v>647880495.99272978</v>
          </cell>
          <cell r="GB14">
            <v>680656555.39470971</v>
          </cell>
          <cell r="GC14">
            <v>685416404.92888033</v>
          </cell>
          <cell r="GD14">
            <v>680268923.11801994</v>
          </cell>
          <cell r="GE14">
            <v>683763469.22949994</v>
          </cell>
          <cell r="GF14">
            <v>680877809.96746004</v>
          </cell>
          <cell r="GG14">
            <v>680275306.93409991</v>
          </cell>
          <cell r="GH14">
            <v>680268923.11801994</v>
          </cell>
          <cell r="GI14">
            <v>688974275.98126948</v>
          </cell>
          <cell r="GJ14">
            <v>680268923.11801994</v>
          </cell>
          <cell r="GK14">
            <v>680268948.36602998</v>
          </cell>
          <cell r="GL14">
            <v>680268923.11801994</v>
          </cell>
          <cell r="GM14">
            <v>680268923.11801994</v>
          </cell>
          <cell r="GN14">
            <v>680268923.11801994</v>
          </cell>
          <cell r="GO14">
            <v>680268923.11801994</v>
          </cell>
          <cell r="GP14">
            <v>680268923.11801994</v>
          </cell>
          <cell r="GQ14">
            <v>680268923.11801994</v>
          </cell>
          <cell r="GR14">
            <v>680268923.11801994</v>
          </cell>
          <cell r="GS14">
            <v>680268923.11801994</v>
          </cell>
          <cell r="GT14">
            <v>680268923.11801994</v>
          </cell>
          <cell r="GU14">
            <v>0</v>
          </cell>
          <cell r="GZ14">
            <v>54670547.792950012</v>
          </cell>
        </row>
        <row r="15">
          <cell r="A15" t="str">
            <v>F_CNP_NRF_EPA_EUR_FRCE_200</v>
          </cell>
          <cell r="B15">
            <v>23017.905579999999</v>
          </cell>
          <cell r="D15">
            <v>25776.350590000002</v>
          </cell>
          <cell r="E15">
            <v>25347.988949999999</v>
          </cell>
          <cell r="F15">
            <v>25776.350590000002</v>
          </cell>
          <cell r="G15">
            <v>25776.350590000002</v>
          </cell>
          <cell r="H15">
            <v>0</v>
          </cell>
          <cell r="I15">
            <v>0</v>
          </cell>
          <cell r="J15">
            <v>25776.350590000002</v>
          </cell>
          <cell r="K15">
            <v>25776.350590000002</v>
          </cell>
          <cell r="L15">
            <v>25776.350590000002</v>
          </cell>
          <cell r="M15">
            <v>0</v>
          </cell>
          <cell r="N15">
            <v>25776.350590000002</v>
          </cell>
          <cell r="O15">
            <v>25776.350590000002</v>
          </cell>
          <cell r="P15">
            <v>25776.350590000002</v>
          </cell>
          <cell r="Q15">
            <v>25776.350590000002</v>
          </cell>
          <cell r="R15">
            <v>0</v>
          </cell>
          <cell r="S15">
            <v>25776.350590000002</v>
          </cell>
          <cell r="T15">
            <v>25776.350590000002</v>
          </cell>
          <cell r="U15">
            <v>25776.350590000002</v>
          </cell>
          <cell r="V15">
            <v>25776.350590000002</v>
          </cell>
          <cell r="W15">
            <v>25776.350590000002</v>
          </cell>
          <cell r="X15">
            <v>25776.350590000002</v>
          </cell>
          <cell r="Y15">
            <v>25776.350590000002</v>
          </cell>
          <cell r="Z15">
            <v>25776.350590000002</v>
          </cell>
          <cell r="AA15">
            <v>25776.350590000002</v>
          </cell>
          <cell r="AB15">
            <v>25984.69052</v>
          </cell>
          <cell r="AC15">
            <v>24865.215230000002</v>
          </cell>
          <cell r="AD15">
            <v>0</v>
          </cell>
          <cell r="AE15">
            <v>0</v>
          </cell>
          <cell r="AF15">
            <v>24876.12687</v>
          </cell>
          <cell r="AG15">
            <v>24876.12687</v>
          </cell>
          <cell r="AH15">
            <v>24876.12687</v>
          </cell>
          <cell r="AI15">
            <v>0</v>
          </cell>
          <cell r="AJ15">
            <v>25505.163099999998</v>
          </cell>
          <cell r="AK15">
            <v>25505.163099999998</v>
          </cell>
          <cell r="AL15">
            <v>25505.163099999998</v>
          </cell>
          <cell r="AM15">
            <v>25619.323759999999</v>
          </cell>
          <cell r="AN15">
            <v>0</v>
          </cell>
          <cell r="AO15">
            <v>24892.422409999999</v>
          </cell>
          <cell r="AP15">
            <v>24892.422409999999</v>
          </cell>
          <cell r="AQ15">
            <v>24892.422409999999</v>
          </cell>
          <cell r="AR15">
            <v>24892.422409999999</v>
          </cell>
          <cell r="AS15">
            <v>24892.422409999999</v>
          </cell>
          <cell r="AT15">
            <v>24892.422409999999</v>
          </cell>
          <cell r="AU15">
            <v>24892.422409999999</v>
          </cell>
          <cell r="AV15">
            <v>25662.05026</v>
          </cell>
          <cell r="AW15">
            <v>25776.350590000002</v>
          </cell>
          <cell r="AX15">
            <v>25347.988949999999</v>
          </cell>
          <cell r="AY15">
            <v>25347.988949999999</v>
          </cell>
          <cell r="AZ15">
            <v>0</v>
          </cell>
          <cell r="BA15">
            <v>0</v>
          </cell>
          <cell r="BB15">
            <v>25347.988949999999</v>
          </cell>
          <cell r="BC15">
            <v>25347.988949999999</v>
          </cell>
          <cell r="BD15">
            <v>25347.988949999999</v>
          </cell>
          <cell r="BE15">
            <v>0</v>
          </cell>
          <cell r="BF15">
            <v>25347.988949999999</v>
          </cell>
          <cell r="BG15">
            <v>25347.988949999999</v>
          </cell>
          <cell r="BH15">
            <v>25347.988949999999</v>
          </cell>
          <cell r="BI15">
            <v>25347.988949999999</v>
          </cell>
          <cell r="BJ15">
            <v>0</v>
          </cell>
          <cell r="BK15">
            <v>25347.988949999999</v>
          </cell>
          <cell r="BL15">
            <v>25347.988949999999</v>
          </cell>
          <cell r="BM15">
            <v>25347.988949999999</v>
          </cell>
          <cell r="BN15">
            <v>25347.988949999999</v>
          </cell>
          <cell r="BO15">
            <v>25347.988949999999</v>
          </cell>
          <cell r="BP15">
            <v>25347.988949999999</v>
          </cell>
          <cell r="BQ15">
            <v>25347.988949999999</v>
          </cell>
          <cell r="BR15">
            <v>25347.988949999999</v>
          </cell>
          <cell r="BS15">
            <v>25347.988949999999</v>
          </cell>
          <cell r="BT15">
            <v>26115.902439999998</v>
          </cell>
          <cell r="BU15">
            <v>23526.007079999999</v>
          </cell>
          <cell r="BV15">
            <v>0</v>
          </cell>
          <cell r="BW15">
            <v>0</v>
          </cell>
          <cell r="BX15">
            <v>25347.988949999999</v>
          </cell>
          <cell r="BY15">
            <v>25347.988949999999</v>
          </cell>
          <cell r="BZ15">
            <v>25347.988949999999</v>
          </cell>
          <cell r="CA15">
            <v>0</v>
          </cell>
          <cell r="CB15">
            <v>25347.988949999999</v>
          </cell>
          <cell r="CC15">
            <v>25347.988949999999</v>
          </cell>
          <cell r="CD15">
            <v>25347.988949999999</v>
          </cell>
          <cell r="CE15">
            <v>25347.988949999999</v>
          </cell>
          <cell r="CF15">
            <v>0</v>
          </cell>
          <cell r="CG15">
            <v>25347.988949999999</v>
          </cell>
          <cell r="CH15">
            <v>25347.988949999999</v>
          </cell>
          <cell r="CI15">
            <v>25347.988949999999</v>
          </cell>
          <cell r="CJ15">
            <v>25347.988949999999</v>
          </cell>
          <cell r="CK15">
            <v>25347.988949999999</v>
          </cell>
          <cell r="CL15">
            <v>25347.988949999999</v>
          </cell>
          <cell r="CM15">
            <v>25347.988949999999</v>
          </cell>
          <cell r="CN15">
            <v>25347.988949999999</v>
          </cell>
          <cell r="CO15">
            <v>24994.072089999998</v>
          </cell>
          <cell r="CP15">
            <v>25347.988949999999</v>
          </cell>
          <cell r="CQ15">
            <v>25347.988949999999</v>
          </cell>
          <cell r="CR15">
            <v>25347.988949999999</v>
          </cell>
          <cell r="CS15">
            <v>25347.988949999999</v>
          </cell>
          <cell r="CT15">
            <v>25347.988949999999</v>
          </cell>
          <cell r="CU15">
            <v>25347.988949999999</v>
          </cell>
          <cell r="CV15">
            <v>25347.988949999999</v>
          </cell>
          <cell r="CW15">
            <v>25347.988949999999</v>
          </cell>
          <cell r="CX15">
            <v>25347.988949999999</v>
          </cell>
          <cell r="CY15">
            <v>25347.988949999999</v>
          </cell>
          <cell r="CZ15">
            <v>25466.038069999999</v>
          </cell>
          <cell r="DA15">
            <v>25347.988949999999</v>
          </cell>
          <cell r="DB15">
            <v>25347.988949999999</v>
          </cell>
          <cell r="DC15">
            <v>26006.5154</v>
          </cell>
          <cell r="DD15">
            <v>25347.988949999999</v>
          </cell>
          <cell r="DE15">
            <v>20805.89042</v>
          </cell>
          <cell r="DF15">
            <v>29890.087479999998</v>
          </cell>
          <cell r="DG15">
            <v>25443.995479999998</v>
          </cell>
          <cell r="DH15">
            <v>25347.988949999999</v>
          </cell>
          <cell r="DI15">
            <v>25350.360840000001</v>
          </cell>
          <cell r="DJ15">
            <v>0</v>
          </cell>
          <cell r="DK15">
            <v>0</v>
          </cell>
          <cell r="DL15">
            <v>0</v>
          </cell>
          <cell r="DM15">
            <v>0</v>
          </cell>
          <cell r="DN15">
            <v>0</v>
          </cell>
          <cell r="DO15">
            <v>0</v>
          </cell>
          <cell r="DP15">
            <v>0</v>
          </cell>
          <cell r="DQ15">
            <v>0</v>
          </cell>
          <cell r="DR15">
            <v>0</v>
          </cell>
          <cell r="DS15">
            <v>0</v>
          </cell>
          <cell r="DT15">
            <v>0</v>
          </cell>
          <cell r="DU15">
            <v>0</v>
          </cell>
          <cell r="DV15">
            <v>0</v>
          </cell>
          <cell r="DW15">
            <v>0</v>
          </cell>
          <cell r="DX15" t="str">
            <v/>
          </cell>
          <cell r="DY15" t="str">
            <v/>
          </cell>
          <cell r="DZ15" t="str">
            <v/>
          </cell>
          <cell r="EA15">
            <v>25347.988949999999</v>
          </cell>
          <cell r="EB15">
            <v>25347.988949999999</v>
          </cell>
          <cell r="EC15">
            <v>25347.988949999999</v>
          </cell>
          <cell r="ED15">
            <v>25347.988949999999</v>
          </cell>
          <cell r="EE15">
            <v>25347.988949999999</v>
          </cell>
          <cell r="EF15">
            <v>25347.988949999999</v>
          </cell>
          <cell r="EG15">
            <v>25347.988949999999</v>
          </cell>
          <cell r="EH15">
            <v>25347.988949999999</v>
          </cell>
          <cell r="EI15">
            <v>25347.988949999999</v>
          </cell>
          <cell r="EJ15">
            <v>25347.988949999999</v>
          </cell>
          <cell r="EK15">
            <v>25347.988949999999</v>
          </cell>
          <cell r="EL15">
            <v>25347.988949999999</v>
          </cell>
          <cell r="EM15">
            <v>25347.988949999999</v>
          </cell>
          <cell r="EN15">
            <v>25347.988949999999</v>
          </cell>
          <cell r="EO15">
            <v>20805.89042</v>
          </cell>
          <cell r="EP15">
            <v>29890.087479999998</v>
          </cell>
          <cell r="EQ15">
            <v>25347.988949999999</v>
          </cell>
          <cell r="ER15">
            <v>25347.988949999999</v>
          </cell>
          <cell r="ES15">
            <v>0</v>
          </cell>
          <cell r="ET15">
            <v>0</v>
          </cell>
          <cell r="EU15">
            <v>0</v>
          </cell>
          <cell r="EV15">
            <v>0</v>
          </cell>
          <cell r="EW15">
            <v>0</v>
          </cell>
          <cell r="EX15">
            <v>0</v>
          </cell>
          <cell r="EY15">
            <v>0</v>
          </cell>
          <cell r="EZ15">
            <v>0</v>
          </cell>
          <cell r="FA15">
            <v>0</v>
          </cell>
          <cell r="FB15">
            <v>0</v>
          </cell>
          <cell r="FC15">
            <v>0</v>
          </cell>
          <cell r="FD15">
            <v>4542.0985299999993</v>
          </cell>
          <cell r="FE15">
            <v>20805.89042</v>
          </cell>
          <cell r="FF15">
            <v>25719.495040000002</v>
          </cell>
          <cell r="FG15">
            <v>24280.989529999999</v>
          </cell>
          <cell r="FH15">
            <v>0</v>
          </cell>
          <cell r="FI15">
            <v>0</v>
          </cell>
          <cell r="FJ15">
            <v>24588.08898</v>
          </cell>
          <cell r="FK15">
            <v>24588.08898</v>
          </cell>
          <cell r="FL15">
            <v>24588.08898</v>
          </cell>
          <cell r="FM15">
            <v>0</v>
          </cell>
          <cell r="FN15">
            <v>25114.02864</v>
          </cell>
          <cell r="FO15">
            <v>25114.02864</v>
          </cell>
          <cell r="FP15">
            <v>25114.02864</v>
          </cell>
          <cell r="FQ15">
            <v>25219.368770000001</v>
          </cell>
          <cell r="FR15">
            <v>0</v>
          </cell>
          <cell r="FS15">
            <v>24535.44311</v>
          </cell>
          <cell r="FT15">
            <v>24535.44311</v>
          </cell>
          <cell r="FU15">
            <v>24535.44311</v>
          </cell>
          <cell r="FV15">
            <v>24535.44311</v>
          </cell>
          <cell r="FW15">
            <v>24535.44311</v>
          </cell>
          <cell r="FX15">
            <v>24535.44311</v>
          </cell>
          <cell r="FY15">
            <v>24535.44311</v>
          </cell>
          <cell r="FZ15">
            <v>25250.725910000001</v>
          </cell>
          <cell r="GA15">
            <v>24983.227680000004</v>
          </cell>
          <cell r="GB15">
            <v>25359.213619999999</v>
          </cell>
          <cell r="GC15">
            <v>25347.988949999999</v>
          </cell>
          <cell r="GD15">
            <v>25347.988949999999</v>
          </cell>
          <cell r="GE15">
            <v>25455.71285</v>
          </cell>
          <cell r="GF15">
            <v>25347.988949999999</v>
          </cell>
          <cell r="GG15">
            <v>25347.988949999999</v>
          </cell>
          <cell r="GH15">
            <v>25347.988949999999</v>
          </cell>
          <cell r="GI15">
            <v>25440.17224</v>
          </cell>
          <cell r="GJ15">
            <v>25347.988949999999</v>
          </cell>
          <cell r="GK15">
            <v>25348.354899999998</v>
          </cell>
          <cell r="GL15">
            <v>25347.988949999999</v>
          </cell>
          <cell r="GM15">
            <v>25347.988949999999</v>
          </cell>
          <cell r="GN15">
            <v>25347.988949999999</v>
          </cell>
          <cell r="GO15">
            <v>25347.988949999999</v>
          </cell>
          <cell r="GP15">
            <v>25347.988949999999</v>
          </cell>
          <cell r="GQ15">
            <v>25347.988949999999</v>
          </cell>
          <cell r="GR15">
            <v>25347.988949999999</v>
          </cell>
          <cell r="GS15">
            <v>25347.988949999999</v>
          </cell>
          <cell r="GT15">
            <v>25347.988949999999</v>
          </cell>
          <cell r="GU15">
            <v>0</v>
          </cell>
          <cell r="GZ15">
            <v>5.0652099999999995</v>
          </cell>
        </row>
        <row r="16">
          <cell r="A16" t="str">
            <v>F_CNP_NRF_EPA_EUR_FRCE_234</v>
          </cell>
          <cell r="B16">
            <v>0</v>
          </cell>
          <cell r="D16">
            <v>0</v>
          </cell>
          <cell r="E16">
            <v>0</v>
          </cell>
          <cell r="F16">
            <v>0</v>
          </cell>
          <cell r="G16">
            <v>0</v>
          </cell>
          <cell r="H16">
            <v>0</v>
          </cell>
          <cell r="I16">
            <v>0</v>
          </cell>
          <cell r="J16">
            <v>0</v>
          </cell>
          <cell r="K16">
            <v>0</v>
          </cell>
          <cell r="L16">
            <v>0</v>
          </cell>
          <cell r="M16">
            <v>0</v>
          </cell>
          <cell r="N16">
            <v>0</v>
          </cell>
          <cell r="O16">
            <v>0</v>
          </cell>
          <cell r="P16">
            <v>0</v>
          </cell>
          <cell r="Q16">
            <v>0</v>
          </cell>
          <cell r="R16">
            <v>0</v>
          </cell>
          <cell r="S16">
            <v>0</v>
          </cell>
          <cell r="T16">
            <v>0</v>
          </cell>
          <cell r="U16">
            <v>0</v>
          </cell>
          <cell r="V16">
            <v>0</v>
          </cell>
          <cell r="W16">
            <v>0</v>
          </cell>
          <cell r="X16">
            <v>0</v>
          </cell>
          <cell r="Y16">
            <v>0</v>
          </cell>
          <cell r="Z16">
            <v>0</v>
          </cell>
          <cell r="AA16">
            <v>0</v>
          </cell>
          <cell r="AB16">
            <v>0</v>
          </cell>
          <cell r="AC16">
            <v>0</v>
          </cell>
          <cell r="AD16">
            <v>0</v>
          </cell>
          <cell r="AE16">
            <v>0</v>
          </cell>
          <cell r="AF16">
            <v>0</v>
          </cell>
          <cell r="AG16">
            <v>0</v>
          </cell>
          <cell r="AH16">
            <v>0</v>
          </cell>
          <cell r="AI16">
            <v>0</v>
          </cell>
          <cell r="AJ16">
            <v>0</v>
          </cell>
          <cell r="AK16">
            <v>0</v>
          </cell>
          <cell r="AL16">
            <v>0</v>
          </cell>
          <cell r="AM16">
            <v>0</v>
          </cell>
          <cell r="AN16">
            <v>0</v>
          </cell>
          <cell r="AO16">
            <v>0</v>
          </cell>
          <cell r="AP16">
            <v>0</v>
          </cell>
          <cell r="AQ16">
            <v>0</v>
          </cell>
          <cell r="AR16">
            <v>0</v>
          </cell>
          <cell r="AS16">
            <v>0</v>
          </cell>
          <cell r="AT16">
            <v>0</v>
          </cell>
          <cell r="AU16">
            <v>0</v>
          </cell>
          <cell r="AV16">
            <v>0</v>
          </cell>
          <cell r="AW16">
            <v>0</v>
          </cell>
          <cell r="AX16">
            <v>0</v>
          </cell>
          <cell r="AY16">
            <v>0</v>
          </cell>
          <cell r="AZ16">
            <v>0</v>
          </cell>
          <cell r="BA16">
            <v>0</v>
          </cell>
          <cell r="BB16">
            <v>0</v>
          </cell>
          <cell r="BC16">
            <v>0</v>
          </cell>
          <cell r="BD16">
            <v>0</v>
          </cell>
          <cell r="BE16">
            <v>0</v>
          </cell>
          <cell r="BF16">
            <v>0</v>
          </cell>
          <cell r="BG16">
            <v>0</v>
          </cell>
          <cell r="BH16">
            <v>0</v>
          </cell>
          <cell r="BI16">
            <v>0</v>
          </cell>
          <cell r="BJ16">
            <v>0</v>
          </cell>
          <cell r="BK16">
            <v>0</v>
          </cell>
          <cell r="BL16">
            <v>0</v>
          </cell>
          <cell r="BM16">
            <v>0</v>
          </cell>
          <cell r="BN16">
            <v>0</v>
          </cell>
          <cell r="BO16">
            <v>0</v>
          </cell>
          <cell r="BP16">
            <v>0</v>
          </cell>
          <cell r="BQ16">
            <v>0</v>
          </cell>
          <cell r="BR16">
            <v>0</v>
          </cell>
          <cell r="BS16">
            <v>0</v>
          </cell>
          <cell r="BT16">
            <v>0</v>
          </cell>
          <cell r="BU16">
            <v>0</v>
          </cell>
          <cell r="BV16">
            <v>0</v>
          </cell>
          <cell r="BW16">
            <v>0</v>
          </cell>
          <cell r="BX16">
            <v>0</v>
          </cell>
          <cell r="BY16">
            <v>0</v>
          </cell>
          <cell r="BZ16">
            <v>0</v>
          </cell>
          <cell r="CA16">
            <v>0</v>
          </cell>
          <cell r="CB16">
            <v>0</v>
          </cell>
          <cell r="CC16">
            <v>0</v>
          </cell>
          <cell r="CD16">
            <v>0</v>
          </cell>
          <cell r="CE16">
            <v>0</v>
          </cell>
          <cell r="CF16">
            <v>0</v>
          </cell>
          <cell r="CG16">
            <v>0</v>
          </cell>
          <cell r="CH16">
            <v>0</v>
          </cell>
          <cell r="CI16">
            <v>0</v>
          </cell>
          <cell r="CJ16">
            <v>0</v>
          </cell>
          <cell r="CK16">
            <v>0</v>
          </cell>
          <cell r="CL16">
            <v>0</v>
          </cell>
          <cell r="CM16">
            <v>0</v>
          </cell>
          <cell r="CN16">
            <v>0</v>
          </cell>
          <cell r="CO16">
            <v>0</v>
          </cell>
          <cell r="CP16">
            <v>0</v>
          </cell>
          <cell r="CQ16">
            <v>0</v>
          </cell>
          <cell r="CR16">
            <v>0</v>
          </cell>
          <cell r="CS16">
            <v>0</v>
          </cell>
          <cell r="CT16">
            <v>0</v>
          </cell>
          <cell r="CU16">
            <v>0</v>
          </cell>
          <cell r="CV16">
            <v>0</v>
          </cell>
          <cell r="CW16">
            <v>0</v>
          </cell>
          <cell r="CX16">
            <v>0</v>
          </cell>
          <cell r="CY16">
            <v>0</v>
          </cell>
          <cell r="CZ16">
            <v>0</v>
          </cell>
          <cell r="DA16">
            <v>0</v>
          </cell>
          <cell r="DB16">
            <v>0</v>
          </cell>
          <cell r="DC16">
            <v>0</v>
          </cell>
          <cell r="DD16">
            <v>0</v>
          </cell>
          <cell r="DE16">
            <v>0</v>
          </cell>
          <cell r="DF16">
            <v>0</v>
          </cell>
          <cell r="DG16">
            <v>0</v>
          </cell>
          <cell r="DH16">
            <v>0</v>
          </cell>
          <cell r="DI16">
            <v>0</v>
          </cell>
          <cell r="DJ16">
            <v>0</v>
          </cell>
          <cell r="DK16">
            <v>0</v>
          </cell>
          <cell r="DL16">
            <v>0</v>
          </cell>
          <cell r="DM16">
            <v>0</v>
          </cell>
          <cell r="DN16">
            <v>0</v>
          </cell>
          <cell r="DO16">
            <v>0</v>
          </cell>
          <cell r="DP16">
            <v>0</v>
          </cell>
          <cell r="DQ16">
            <v>0</v>
          </cell>
          <cell r="DR16">
            <v>0</v>
          </cell>
          <cell r="DS16">
            <v>0</v>
          </cell>
          <cell r="DT16">
            <v>0</v>
          </cell>
          <cell r="DU16">
            <v>0</v>
          </cell>
          <cell r="DV16">
            <v>0</v>
          </cell>
          <cell r="DW16">
            <v>0</v>
          </cell>
          <cell r="DX16" t="str">
            <v/>
          </cell>
          <cell r="DY16" t="str">
            <v/>
          </cell>
          <cell r="DZ16" t="str">
            <v/>
          </cell>
          <cell r="EA16">
            <v>0</v>
          </cell>
          <cell r="EB16">
            <v>0</v>
          </cell>
          <cell r="EC16">
            <v>0</v>
          </cell>
          <cell r="ED16">
            <v>0</v>
          </cell>
          <cell r="EE16">
            <v>0</v>
          </cell>
          <cell r="EF16">
            <v>0</v>
          </cell>
          <cell r="EG16">
            <v>0</v>
          </cell>
          <cell r="EH16">
            <v>0</v>
          </cell>
          <cell r="EI16">
            <v>0</v>
          </cell>
          <cell r="EJ16">
            <v>0</v>
          </cell>
          <cell r="EK16">
            <v>0</v>
          </cell>
          <cell r="EL16">
            <v>0</v>
          </cell>
          <cell r="EM16">
            <v>0</v>
          </cell>
          <cell r="EN16">
            <v>0</v>
          </cell>
          <cell r="EO16">
            <v>0</v>
          </cell>
          <cell r="EP16">
            <v>0</v>
          </cell>
          <cell r="EQ16">
            <v>0</v>
          </cell>
          <cell r="ER16">
            <v>0</v>
          </cell>
          <cell r="ES16">
            <v>0</v>
          </cell>
          <cell r="ET16">
            <v>0</v>
          </cell>
          <cell r="EU16">
            <v>0</v>
          </cell>
          <cell r="EV16">
            <v>0</v>
          </cell>
          <cell r="EW16">
            <v>0</v>
          </cell>
          <cell r="EX16">
            <v>0</v>
          </cell>
          <cell r="EY16">
            <v>0</v>
          </cell>
          <cell r="EZ16">
            <v>0</v>
          </cell>
          <cell r="FA16">
            <v>0</v>
          </cell>
          <cell r="FB16">
            <v>0</v>
          </cell>
          <cell r="FC16">
            <v>0</v>
          </cell>
          <cell r="FD16">
            <v>0</v>
          </cell>
          <cell r="FE16">
            <v>0</v>
          </cell>
          <cell r="FF16">
            <v>0</v>
          </cell>
          <cell r="FG16">
            <v>0</v>
          </cell>
          <cell r="FH16">
            <v>0</v>
          </cell>
          <cell r="FI16">
            <v>0</v>
          </cell>
          <cell r="FJ16">
            <v>0</v>
          </cell>
          <cell r="FK16">
            <v>0</v>
          </cell>
          <cell r="FL16">
            <v>0</v>
          </cell>
          <cell r="FM16">
            <v>0</v>
          </cell>
          <cell r="FN16">
            <v>0</v>
          </cell>
          <cell r="FO16">
            <v>0</v>
          </cell>
          <cell r="FP16">
            <v>0</v>
          </cell>
          <cell r="FQ16">
            <v>0</v>
          </cell>
          <cell r="FR16">
            <v>0</v>
          </cell>
          <cell r="FS16">
            <v>0</v>
          </cell>
          <cell r="FT16">
            <v>0</v>
          </cell>
          <cell r="FU16">
            <v>0</v>
          </cell>
          <cell r="FV16">
            <v>0</v>
          </cell>
          <cell r="FW16">
            <v>0</v>
          </cell>
          <cell r="FX16">
            <v>0</v>
          </cell>
          <cell r="FY16">
            <v>0</v>
          </cell>
          <cell r="FZ16">
            <v>0</v>
          </cell>
          <cell r="GA16">
            <v>0</v>
          </cell>
          <cell r="GB16">
            <v>0</v>
          </cell>
          <cell r="GC16">
            <v>0</v>
          </cell>
          <cell r="GD16">
            <v>0</v>
          </cell>
          <cell r="GE16">
            <v>0</v>
          </cell>
          <cell r="GF16">
            <v>0</v>
          </cell>
          <cell r="GG16">
            <v>0</v>
          </cell>
          <cell r="GH16">
            <v>0</v>
          </cell>
          <cell r="GI16">
            <v>0</v>
          </cell>
          <cell r="GJ16">
            <v>0</v>
          </cell>
          <cell r="GK16">
            <v>0</v>
          </cell>
          <cell r="GL16">
            <v>0</v>
          </cell>
          <cell r="GM16">
            <v>0</v>
          </cell>
          <cell r="GN16">
            <v>0</v>
          </cell>
          <cell r="GO16">
            <v>0</v>
          </cell>
          <cell r="GP16">
            <v>0</v>
          </cell>
          <cell r="GQ16">
            <v>0</v>
          </cell>
          <cell r="GR16">
            <v>0</v>
          </cell>
          <cell r="GS16">
            <v>0</v>
          </cell>
          <cell r="GT16">
            <v>0</v>
          </cell>
          <cell r="GU16">
            <v>0</v>
          </cell>
          <cell r="GZ16">
            <v>0</v>
          </cell>
        </row>
        <row r="17">
          <cell r="A17" t="str">
            <v>F_CNP_NRF_EPA_EUR_FRCE_ETR</v>
          </cell>
          <cell r="B17">
            <v>3210.27</v>
          </cell>
          <cell r="D17">
            <v>3210.27</v>
          </cell>
          <cell r="E17">
            <v>3210.27</v>
          </cell>
          <cell r="F17">
            <v>3210.27</v>
          </cell>
          <cell r="G17">
            <v>3210.27</v>
          </cell>
          <cell r="H17">
            <v>0</v>
          </cell>
          <cell r="I17">
            <v>0</v>
          </cell>
          <cell r="J17">
            <v>3210.27</v>
          </cell>
          <cell r="K17">
            <v>3210.27</v>
          </cell>
          <cell r="L17">
            <v>3210.27</v>
          </cell>
          <cell r="M17">
            <v>0</v>
          </cell>
          <cell r="N17">
            <v>3210.27</v>
          </cell>
          <cell r="O17">
            <v>3210.27</v>
          </cell>
          <cell r="P17">
            <v>3210.27</v>
          </cell>
          <cell r="Q17">
            <v>3210.27</v>
          </cell>
          <cell r="R17">
            <v>0</v>
          </cell>
          <cell r="S17">
            <v>3210.27</v>
          </cell>
          <cell r="T17">
            <v>3210.27</v>
          </cell>
          <cell r="U17">
            <v>3210.27</v>
          </cell>
          <cell r="V17">
            <v>3210.27</v>
          </cell>
          <cell r="W17">
            <v>3210.27</v>
          </cell>
          <cell r="X17">
            <v>3210.27</v>
          </cell>
          <cell r="Y17">
            <v>3210.27</v>
          </cell>
          <cell r="Z17">
            <v>3210.27</v>
          </cell>
          <cell r="AA17">
            <v>3210.27</v>
          </cell>
          <cell r="AB17">
            <v>3210.27</v>
          </cell>
          <cell r="AC17">
            <v>3210.27</v>
          </cell>
          <cell r="AD17">
            <v>0</v>
          </cell>
          <cell r="AE17">
            <v>0</v>
          </cell>
          <cell r="AF17">
            <v>3210.27</v>
          </cell>
          <cell r="AG17">
            <v>3210.27</v>
          </cell>
          <cell r="AH17">
            <v>3210.27</v>
          </cell>
          <cell r="AI17">
            <v>0</v>
          </cell>
          <cell r="AJ17">
            <v>3210.27</v>
          </cell>
          <cell r="AK17">
            <v>3210.27</v>
          </cell>
          <cell r="AL17">
            <v>3210.27</v>
          </cell>
          <cell r="AM17">
            <v>3210.27</v>
          </cell>
          <cell r="AN17">
            <v>0</v>
          </cell>
          <cell r="AO17">
            <v>3210.27</v>
          </cell>
          <cell r="AP17">
            <v>3210.27</v>
          </cell>
          <cell r="AQ17">
            <v>3210.27</v>
          </cell>
          <cell r="AR17">
            <v>3210.27</v>
          </cell>
          <cell r="AS17">
            <v>3210.27</v>
          </cell>
          <cell r="AT17">
            <v>3210.27</v>
          </cell>
          <cell r="AU17">
            <v>3210.27</v>
          </cell>
          <cell r="AV17">
            <v>3210.27</v>
          </cell>
          <cell r="AW17">
            <v>3210.27</v>
          </cell>
          <cell r="AX17">
            <v>3210.27</v>
          </cell>
          <cell r="AY17">
            <v>3210.27</v>
          </cell>
          <cell r="AZ17">
            <v>0</v>
          </cell>
          <cell r="BA17">
            <v>0</v>
          </cell>
          <cell r="BB17">
            <v>3210.27</v>
          </cell>
          <cell r="BC17">
            <v>3210.27</v>
          </cell>
          <cell r="BD17">
            <v>3210.27</v>
          </cell>
          <cell r="BE17">
            <v>0</v>
          </cell>
          <cell r="BF17">
            <v>3210.27</v>
          </cell>
          <cell r="BG17">
            <v>3210.27</v>
          </cell>
          <cell r="BH17">
            <v>3210.27</v>
          </cell>
          <cell r="BI17">
            <v>3210.27</v>
          </cell>
          <cell r="BJ17">
            <v>0</v>
          </cell>
          <cell r="BK17">
            <v>3210.27</v>
          </cell>
          <cell r="BL17">
            <v>3210.27</v>
          </cell>
          <cell r="BM17">
            <v>3210.27</v>
          </cell>
          <cell r="BN17">
            <v>3210.27</v>
          </cell>
          <cell r="BO17">
            <v>3210.27</v>
          </cell>
          <cell r="BP17">
            <v>3210.27</v>
          </cell>
          <cell r="BQ17">
            <v>3210.27</v>
          </cell>
          <cell r="BR17">
            <v>3210.27</v>
          </cell>
          <cell r="BS17">
            <v>3210.27</v>
          </cell>
          <cell r="BT17">
            <v>3210.27</v>
          </cell>
          <cell r="BU17">
            <v>3210.27</v>
          </cell>
          <cell r="BV17">
            <v>0</v>
          </cell>
          <cell r="BW17">
            <v>0</v>
          </cell>
          <cell r="BX17">
            <v>3210.27</v>
          </cell>
          <cell r="BY17">
            <v>3210.27</v>
          </cell>
          <cell r="BZ17">
            <v>3210.27</v>
          </cell>
          <cell r="CA17">
            <v>0</v>
          </cell>
          <cell r="CB17">
            <v>3210.27</v>
          </cell>
          <cell r="CC17">
            <v>3210.27</v>
          </cell>
          <cell r="CD17">
            <v>3210.27</v>
          </cell>
          <cell r="CE17">
            <v>3210.27</v>
          </cell>
          <cell r="CF17">
            <v>0</v>
          </cell>
          <cell r="CG17">
            <v>3210.27</v>
          </cell>
          <cell r="CH17">
            <v>3210.27</v>
          </cell>
          <cell r="CI17">
            <v>3210.27</v>
          </cell>
          <cell r="CJ17">
            <v>3210.27</v>
          </cell>
          <cell r="CK17">
            <v>3210.27</v>
          </cell>
          <cell r="CL17">
            <v>3210.27</v>
          </cell>
          <cell r="CM17">
            <v>3210.27</v>
          </cell>
          <cell r="CN17">
            <v>3210.27</v>
          </cell>
          <cell r="CO17">
            <v>3210.27</v>
          </cell>
          <cell r="CP17">
            <v>3210.27</v>
          </cell>
          <cell r="CQ17">
            <v>3210.27</v>
          </cell>
          <cell r="CR17">
            <v>3210.27</v>
          </cell>
          <cell r="CS17">
            <v>3210.27</v>
          </cell>
          <cell r="CT17">
            <v>3210.27</v>
          </cell>
          <cell r="CU17">
            <v>3210.27</v>
          </cell>
          <cell r="CV17">
            <v>3210.27</v>
          </cell>
          <cell r="CW17">
            <v>3210.27</v>
          </cell>
          <cell r="CX17">
            <v>3210.27</v>
          </cell>
          <cell r="CY17">
            <v>3210.27</v>
          </cell>
          <cell r="CZ17">
            <v>3210.27</v>
          </cell>
          <cell r="DA17">
            <v>3210.27</v>
          </cell>
          <cell r="DB17">
            <v>3210.27</v>
          </cell>
          <cell r="DC17">
            <v>3210.27</v>
          </cell>
          <cell r="DD17">
            <v>3210.27</v>
          </cell>
          <cell r="DE17">
            <v>3210.27</v>
          </cell>
          <cell r="DF17">
            <v>3210.27</v>
          </cell>
          <cell r="DG17">
            <v>3210.27</v>
          </cell>
          <cell r="DH17">
            <v>3210.27</v>
          </cell>
          <cell r="DI17">
            <v>3210.27</v>
          </cell>
          <cell r="DJ17">
            <v>0</v>
          </cell>
          <cell r="DK17">
            <v>0</v>
          </cell>
          <cell r="DL17">
            <v>0</v>
          </cell>
          <cell r="DM17">
            <v>0</v>
          </cell>
          <cell r="DN17">
            <v>0</v>
          </cell>
          <cell r="DO17">
            <v>0</v>
          </cell>
          <cell r="DP17">
            <v>0</v>
          </cell>
          <cell r="DQ17">
            <v>0</v>
          </cell>
          <cell r="DR17">
            <v>0</v>
          </cell>
          <cell r="DS17">
            <v>0</v>
          </cell>
          <cell r="DT17">
            <v>0</v>
          </cell>
          <cell r="DU17">
            <v>0</v>
          </cell>
          <cell r="DV17">
            <v>0</v>
          </cell>
          <cell r="DW17">
            <v>0</v>
          </cell>
          <cell r="DX17" t="str">
            <v/>
          </cell>
          <cell r="DY17" t="str">
            <v/>
          </cell>
          <cell r="DZ17" t="str">
            <v/>
          </cell>
          <cell r="EA17">
            <v>3210.27</v>
          </cell>
          <cell r="EB17">
            <v>3210.27</v>
          </cell>
          <cell r="EC17">
            <v>3210.27</v>
          </cell>
          <cell r="ED17">
            <v>3210.27</v>
          </cell>
          <cell r="EE17">
            <v>3210.27</v>
          </cell>
          <cell r="EF17">
            <v>3210.27</v>
          </cell>
          <cell r="EG17">
            <v>3210.27</v>
          </cell>
          <cell r="EH17">
            <v>3210.27</v>
          </cell>
          <cell r="EI17">
            <v>3210.27</v>
          </cell>
          <cell r="EJ17">
            <v>3210.27</v>
          </cell>
          <cell r="EK17">
            <v>3210.27</v>
          </cell>
          <cell r="EL17">
            <v>3210.27</v>
          </cell>
          <cell r="EM17">
            <v>3210.27</v>
          </cell>
          <cell r="EN17">
            <v>3210.27</v>
          </cell>
          <cell r="EO17">
            <v>3210.27</v>
          </cell>
          <cell r="EP17">
            <v>3210.27</v>
          </cell>
          <cell r="EQ17">
            <v>3210.27</v>
          </cell>
          <cell r="ER17">
            <v>3210.27</v>
          </cell>
          <cell r="ES17">
            <v>0</v>
          </cell>
          <cell r="ET17">
            <v>0</v>
          </cell>
          <cell r="EU17">
            <v>0</v>
          </cell>
          <cell r="EV17">
            <v>0</v>
          </cell>
          <cell r="EW17">
            <v>0</v>
          </cell>
          <cell r="EX17">
            <v>0</v>
          </cell>
          <cell r="EY17">
            <v>0</v>
          </cell>
          <cell r="EZ17">
            <v>0</v>
          </cell>
          <cell r="FA17">
            <v>0</v>
          </cell>
          <cell r="FB17">
            <v>0</v>
          </cell>
          <cell r="FC17">
            <v>0</v>
          </cell>
          <cell r="FD17">
            <v>0</v>
          </cell>
          <cell r="FE17">
            <v>3210.27</v>
          </cell>
          <cell r="FF17">
            <v>3210.27</v>
          </cell>
          <cell r="FG17">
            <v>3210.27</v>
          </cell>
          <cell r="FH17">
            <v>0</v>
          </cell>
          <cell r="FI17">
            <v>0</v>
          </cell>
          <cell r="FJ17">
            <v>3210.27</v>
          </cell>
          <cell r="FK17">
            <v>3210.27</v>
          </cell>
          <cell r="FL17">
            <v>3210.27</v>
          </cell>
          <cell r="FM17">
            <v>0</v>
          </cell>
          <cell r="FN17">
            <v>3210.27</v>
          </cell>
          <cell r="FO17">
            <v>3210.27</v>
          </cell>
          <cell r="FP17">
            <v>3210.27</v>
          </cell>
          <cell r="FQ17">
            <v>3210.27</v>
          </cell>
          <cell r="FR17">
            <v>0</v>
          </cell>
          <cell r="FS17">
            <v>3210.27</v>
          </cell>
          <cell r="FT17">
            <v>3210.27</v>
          </cell>
          <cell r="FU17">
            <v>3210.27</v>
          </cell>
          <cell r="FV17">
            <v>3210.27</v>
          </cell>
          <cell r="FW17">
            <v>3210.27</v>
          </cell>
          <cell r="FX17">
            <v>3210.27</v>
          </cell>
          <cell r="FY17">
            <v>3210.27</v>
          </cell>
          <cell r="FZ17">
            <v>3210.27</v>
          </cell>
          <cell r="GA17">
            <v>3210.27</v>
          </cell>
          <cell r="GB17">
            <v>3210.27</v>
          </cell>
          <cell r="GC17">
            <v>3210.27</v>
          </cell>
          <cell r="GD17">
            <v>3210.27</v>
          </cell>
          <cell r="GE17">
            <v>3210.27</v>
          </cell>
          <cell r="GF17">
            <v>3210.27</v>
          </cell>
          <cell r="GG17">
            <v>3210.27</v>
          </cell>
          <cell r="GH17">
            <v>3210.27</v>
          </cell>
          <cell r="GI17">
            <v>3210.27</v>
          </cell>
          <cell r="GJ17">
            <v>3210.27</v>
          </cell>
          <cell r="GK17">
            <v>3210.27</v>
          </cell>
          <cell r="GL17">
            <v>3210.27</v>
          </cell>
          <cell r="GM17">
            <v>3210.27</v>
          </cell>
          <cell r="GN17">
            <v>3210.27</v>
          </cell>
          <cell r="GO17">
            <v>3210.27</v>
          </cell>
          <cell r="GP17">
            <v>3210.27</v>
          </cell>
          <cell r="GQ17">
            <v>3210.27</v>
          </cell>
          <cell r="GR17">
            <v>3210.27</v>
          </cell>
          <cell r="GS17">
            <v>3210.27</v>
          </cell>
          <cell r="GT17">
            <v>3210.27</v>
          </cell>
          <cell r="GU17">
            <v>0</v>
          </cell>
          <cell r="GZ17">
            <v>0</v>
          </cell>
        </row>
        <row r="18">
          <cell r="A18" t="str">
            <v>F_CNP_NRF_EPA_UCS_FRCE_EVT</v>
          </cell>
          <cell r="B18">
            <v>11582567009.930002</v>
          </cell>
          <cell r="D18">
            <v>11581974797.318539</v>
          </cell>
          <cell r="E18">
            <v>11004476350.215219</v>
          </cell>
          <cell r="F18">
            <v>11581974797.318539</v>
          </cell>
          <cell r="G18">
            <v>11581974797.318539</v>
          </cell>
          <cell r="H18">
            <v>0</v>
          </cell>
          <cell r="I18">
            <v>0</v>
          </cell>
          <cell r="J18">
            <v>11581974797.318539</v>
          </cell>
          <cell r="K18">
            <v>11581974797.318539</v>
          </cell>
          <cell r="L18">
            <v>11581974797.318539</v>
          </cell>
          <cell r="M18">
            <v>0</v>
          </cell>
          <cell r="N18">
            <v>11581974797.318539</v>
          </cell>
          <cell r="O18">
            <v>11581974797.318539</v>
          </cell>
          <cell r="P18">
            <v>11581974797.318539</v>
          </cell>
          <cell r="Q18">
            <v>11581974797.318539</v>
          </cell>
          <cell r="R18">
            <v>0</v>
          </cell>
          <cell r="S18">
            <v>11581974797.318539</v>
          </cell>
          <cell r="T18">
            <v>11581974797.318539</v>
          </cell>
          <cell r="U18">
            <v>11581974797.318539</v>
          </cell>
          <cell r="V18">
            <v>11581974797.318539</v>
          </cell>
          <cell r="W18">
            <v>11581974797.318539</v>
          </cell>
          <cell r="X18">
            <v>11581974797.318539</v>
          </cell>
          <cell r="Y18">
            <v>11581974797.318539</v>
          </cell>
          <cell r="Z18">
            <v>11581974797.318539</v>
          </cell>
          <cell r="AA18">
            <v>11581974797.318539</v>
          </cell>
          <cell r="AB18">
            <v>11606458262.107599</v>
          </cell>
          <cell r="AC18">
            <v>11434550124.491711</v>
          </cell>
          <cell r="AD18">
            <v>0</v>
          </cell>
          <cell r="AE18">
            <v>0</v>
          </cell>
          <cell r="AF18">
            <v>9297996467.0496311</v>
          </cell>
          <cell r="AG18">
            <v>9297996467.0496311</v>
          </cell>
          <cell r="AH18">
            <v>9297996467.0496311</v>
          </cell>
          <cell r="AI18">
            <v>0</v>
          </cell>
          <cell r="AJ18">
            <v>10158939776.548479</v>
          </cell>
          <cell r="AK18">
            <v>10158939776.548479</v>
          </cell>
          <cell r="AL18">
            <v>10158939776.548479</v>
          </cell>
          <cell r="AM18">
            <v>11448821274.595951</v>
          </cell>
          <cell r="AN18">
            <v>0</v>
          </cell>
          <cell r="AO18">
            <v>11124923096.95661</v>
          </cell>
          <cell r="AP18">
            <v>11124923096.95661</v>
          </cell>
          <cell r="AQ18">
            <v>11124923096.95661</v>
          </cell>
          <cell r="AR18">
            <v>11124923096.95661</v>
          </cell>
          <cell r="AS18">
            <v>11124923096.95661</v>
          </cell>
          <cell r="AT18">
            <v>11124923096.95661</v>
          </cell>
          <cell r="AU18">
            <v>11124923096.95661</v>
          </cell>
          <cell r="AV18">
            <v>11057054622.960649</v>
          </cell>
          <cell r="AW18">
            <v>11581974797.318539</v>
          </cell>
          <cell r="AX18">
            <v>11004476350.215219</v>
          </cell>
          <cell r="AY18">
            <v>11004476350.215219</v>
          </cell>
          <cell r="AZ18">
            <v>0</v>
          </cell>
          <cell r="BA18">
            <v>0</v>
          </cell>
          <cell r="BB18">
            <v>11004476350.215219</v>
          </cell>
          <cell r="BC18">
            <v>11004476350.215219</v>
          </cell>
          <cell r="BD18">
            <v>11004476350.215219</v>
          </cell>
          <cell r="BE18">
            <v>0</v>
          </cell>
          <cell r="BF18">
            <v>11004476350.215219</v>
          </cell>
          <cell r="BG18">
            <v>11004476350.215219</v>
          </cell>
          <cell r="BH18">
            <v>11004476350.215219</v>
          </cell>
          <cell r="BI18">
            <v>11004476350.215219</v>
          </cell>
          <cell r="BJ18">
            <v>0</v>
          </cell>
          <cell r="BK18">
            <v>11004476350.215219</v>
          </cell>
          <cell r="BL18">
            <v>11004476350.215219</v>
          </cell>
          <cell r="BM18">
            <v>11004476350.215219</v>
          </cell>
          <cell r="BN18">
            <v>11004476350.215219</v>
          </cell>
          <cell r="BO18">
            <v>11004476350.215219</v>
          </cell>
          <cell r="BP18">
            <v>11004476350.215219</v>
          </cell>
          <cell r="BQ18">
            <v>11004476350.215219</v>
          </cell>
          <cell r="BR18">
            <v>11004476350.215219</v>
          </cell>
          <cell r="BS18">
            <v>11004476350.215219</v>
          </cell>
          <cell r="BT18">
            <v>11027402867.548271</v>
          </cell>
          <cell r="BU18">
            <v>10866426679.744337</v>
          </cell>
          <cell r="BV18">
            <v>0</v>
          </cell>
          <cell r="BW18">
            <v>0</v>
          </cell>
          <cell r="BX18">
            <v>8865739832.4094601</v>
          </cell>
          <cell r="BY18">
            <v>8865739832.4094601</v>
          </cell>
          <cell r="BZ18">
            <v>8865739832.4094601</v>
          </cell>
          <cell r="CA18">
            <v>0</v>
          </cell>
          <cell r="CB18">
            <v>9671934550.3536777</v>
          </cell>
          <cell r="CC18">
            <v>9671934550.3536777</v>
          </cell>
          <cell r="CD18">
            <v>9671934550.3536777</v>
          </cell>
          <cell r="CE18">
            <v>10879790307.431709</v>
          </cell>
          <cell r="CF18">
            <v>0</v>
          </cell>
          <cell r="CG18">
            <v>10576489391.82749</v>
          </cell>
          <cell r="CH18">
            <v>10576489391.82749</v>
          </cell>
          <cell r="CI18">
            <v>10576489391.82749</v>
          </cell>
          <cell r="CJ18">
            <v>10576489391.82749</v>
          </cell>
          <cell r="CK18">
            <v>10576489391.82749</v>
          </cell>
          <cell r="CL18">
            <v>10576489391.82749</v>
          </cell>
          <cell r="CM18">
            <v>10576489391.82749</v>
          </cell>
          <cell r="CN18">
            <v>10512936799.118469</v>
          </cell>
          <cell r="CO18">
            <v>10845591592.514479</v>
          </cell>
          <cell r="CP18">
            <v>11004476350.215219</v>
          </cell>
          <cell r="CQ18">
            <v>11004476350.215219</v>
          </cell>
          <cell r="CR18">
            <v>11004476350.215219</v>
          </cell>
          <cell r="CS18">
            <v>11004476350.215219</v>
          </cell>
          <cell r="CT18">
            <v>11004476350.215219</v>
          </cell>
          <cell r="CU18">
            <v>11004476350.215219</v>
          </cell>
          <cell r="CV18">
            <v>11004476350.215219</v>
          </cell>
          <cell r="CW18">
            <v>11004476350.215219</v>
          </cell>
          <cell r="CX18">
            <v>11004476350.215219</v>
          </cell>
          <cell r="CY18">
            <v>11004476350.215219</v>
          </cell>
          <cell r="CZ18">
            <v>11020414757.78236</v>
          </cell>
          <cell r="DA18">
            <v>11004492008.278851</v>
          </cell>
          <cell r="DB18">
            <v>11004476350.215219</v>
          </cell>
          <cell r="DC18">
            <v>11067201951.792639</v>
          </cell>
          <cell r="DD18">
            <v>11004476350.215219</v>
          </cell>
          <cell r="DE18">
            <v>11238251155.62488</v>
          </cell>
          <cell r="DF18">
            <v>11004476350.215219</v>
          </cell>
          <cell r="DG18">
            <v>11049272263.15987</v>
          </cell>
          <cell r="DH18">
            <v>11004476350.215219</v>
          </cell>
          <cell r="DI18">
            <v>11005348624.62188</v>
          </cell>
          <cell r="DJ18">
            <v>0</v>
          </cell>
          <cell r="DK18">
            <v>0</v>
          </cell>
          <cell r="DL18">
            <v>0</v>
          </cell>
          <cell r="DM18">
            <v>0</v>
          </cell>
          <cell r="DN18">
            <v>0</v>
          </cell>
          <cell r="DO18">
            <v>0</v>
          </cell>
          <cell r="DP18">
            <v>0</v>
          </cell>
          <cell r="DQ18">
            <v>0</v>
          </cell>
          <cell r="DR18">
            <v>0</v>
          </cell>
          <cell r="DS18">
            <v>0</v>
          </cell>
          <cell r="DT18">
            <v>0</v>
          </cell>
          <cell r="DU18">
            <v>0</v>
          </cell>
          <cell r="DV18">
            <v>0</v>
          </cell>
          <cell r="DW18">
            <v>0</v>
          </cell>
          <cell r="DX18" t="str">
            <v/>
          </cell>
          <cell r="DY18" t="str">
            <v/>
          </cell>
          <cell r="DZ18" t="str">
            <v/>
          </cell>
          <cell r="EA18">
            <v>11004476350.215219</v>
          </cell>
          <cell r="EB18">
            <v>11004476350.215219</v>
          </cell>
          <cell r="EC18">
            <v>11004476350.215219</v>
          </cell>
          <cell r="ED18">
            <v>11004476350.215219</v>
          </cell>
          <cell r="EE18">
            <v>11004476350.215219</v>
          </cell>
          <cell r="EF18">
            <v>11004476350.215219</v>
          </cell>
          <cell r="EG18">
            <v>11004476350.215219</v>
          </cell>
          <cell r="EH18">
            <v>11004476350.215219</v>
          </cell>
          <cell r="EI18">
            <v>11004476350.215219</v>
          </cell>
          <cell r="EJ18">
            <v>11004476350.215219</v>
          </cell>
          <cell r="EK18">
            <v>11004476350.215219</v>
          </cell>
          <cell r="EL18">
            <v>11004476350.215219</v>
          </cell>
          <cell r="EM18">
            <v>11004476350.215219</v>
          </cell>
          <cell r="EN18">
            <v>11004476350.215219</v>
          </cell>
          <cell r="EO18">
            <v>11004476350.215219</v>
          </cell>
          <cell r="EP18">
            <v>11004476350.215219</v>
          </cell>
          <cell r="EQ18">
            <v>11004476350.215219</v>
          </cell>
          <cell r="ER18">
            <v>11004476350.215219</v>
          </cell>
          <cell r="ES18">
            <v>0</v>
          </cell>
          <cell r="ET18">
            <v>0</v>
          </cell>
          <cell r="EU18">
            <v>0</v>
          </cell>
          <cell r="EV18">
            <v>0</v>
          </cell>
          <cell r="EW18">
            <v>0</v>
          </cell>
          <cell r="EX18">
            <v>0</v>
          </cell>
          <cell r="EY18">
            <v>0</v>
          </cell>
          <cell r="EZ18">
            <v>0</v>
          </cell>
          <cell r="FA18">
            <v>0</v>
          </cell>
          <cell r="FB18">
            <v>0</v>
          </cell>
          <cell r="FC18">
            <v>0</v>
          </cell>
          <cell r="FD18">
            <v>0</v>
          </cell>
          <cell r="FE18">
            <v>11004476350.215219</v>
          </cell>
          <cell r="FF18">
            <v>11027402867.548271</v>
          </cell>
          <cell r="FG18">
            <v>10866426679.744337</v>
          </cell>
          <cell r="FH18">
            <v>0</v>
          </cell>
          <cell r="FI18">
            <v>0</v>
          </cell>
          <cell r="FJ18">
            <v>8865739832.4094601</v>
          </cell>
          <cell r="FK18">
            <v>8865739832.4094601</v>
          </cell>
          <cell r="FL18">
            <v>8865739832.4094601</v>
          </cell>
          <cell r="FM18">
            <v>0</v>
          </cell>
          <cell r="FN18">
            <v>9671934550.3536777</v>
          </cell>
          <cell r="FO18">
            <v>9671934550.3536777</v>
          </cell>
          <cell r="FP18">
            <v>9671934550.3536777</v>
          </cell>
          <cell r="FQ18">
            <v>10879790307.431709</v>
          </cell>
          <cell r="FR18">
            <v>0</v>
          </cell>
          <cell r="FS18">
            <v>10576489391.82749</v>
          </cell>
          <cell r="FT18">
            <v>10576489391.82749</v>
          </cell>
          <cell r="FU18">
            <v>10576489391.82749</v>
          </cell>
          <cell r="FV18">
            <v>10576489391.82749</v>
          </cell>
          <cell r="FW18">
            <v>10576489391.82749</v>
          </cell>
          <cell r="FX18">
            <v>10576489391.82749</v>
          </cell>
          <cell r="FY18">
            <v>10576489391.82749</v>
          </cell>
          <cell r="FZ18">
            <v>10512936799.118469</v>
          </cell>
          <cell r="GA18">
            <v>10845591592.514479</v>
          </cell>
          <cell r="GB18">
            <v>11020414757.78236</v>
          </cell>
          <cell r="GC18">
            <v>11004492008.278851</v>
          </cell>
          <cell r="GD18">
            <v>11004476350.215219</v>
          </cell>
          <cell r="GE18">
            <v>11067201951.792639</v>
          </cell>
          <cell r="GF18">
            <v>11004476350.215219</v>
          </cell>
          <cell r="GG18">
            <v>11238251155.62488</v>
          </cell>
          <cell r="GH18">
            <v>11004476350.215219</v>
          </cell>
          <cell r="GI18">
            <v>11049272263.15987</v>
          </cell>
          <cell r="GJ18">
            <v>11004476350.215219</v>
          </cell>
          <cell r="GK18">
            <v>11005348624.62188</v>
          </cell>
          <cell r="GL18">
            <v>11004476350.215219</v>
          </cell>
          <cell r="GM18">
            <v>11004476350.215219</v>
          </cell>
          <cell r="GN18">
            <v>11004476350.215219</v>
          </cell>
          <cell r="GO18">
            <v>11004476350.215219</v>
          </cell>
          <cell r="GP18">
            <v>11004476350.215219</v>
          </cell>
          <cell r="GQ18">
            <v>11004476350.215219</v>
          </cell>
          <cell r="GR18">
            <v>11004476350.215219</v>
          </cell>
          <cell r="GS18">
            <v>11004476350.215219</v>
          </cell>
          <cell r="GT18">
            <v>11004476350.215219</v>
          </cell>
          <cell r="GU18">
            <v>0</v>
          </cell>
          <cell r="GZ18">
            <v>0</v>
          </cell>
        </row>
        <row r="19">
          <cell r="A19" t="str">
            <v>F_CNP_NRF_EPA_UCS_FRCE_EVH</v>
          </cell>
          <cell r="B19">
            <v>17656262.300000001</v>
          </cell>
          <cell r="D19">
            <v>17659904.796190001</v>
          </cell>
          <cell r="E19">
            <v>16823213.281160001</v>
          </cell>
          <cell r="F19">
            <v>17659904.796190001</v>
          </cell>
          <cell r="G19">
            <v>17659904.796190001</v>
          </cell>
          <cell r="H19">
            <v>0</v>
          </cell>
          <cell r="I19">
            <v>0</v>
          </cell>
          <cell r="J19">
            <v>17659904.796190001</v>
          </cell>
          <cell r="K19">
            <v>17659904.796190001</v>
          </cell>
          <cell r="L19">
            <v>17659904.796190001</v>
          </cell>
          <cell r="M19">
            <v>0</v>
          </cell>
          <cell r="N19">
            <v>17659904.796190001</v>
          </cell>
          <cell r="O19">
            <v>17659904.796190001</v>
          </cell>
          <cell r="P19">
            <v>17659904.796190001</v>
          </cell>
          <cell r="Q19">
            <v>17659904.796190001</v>
          </cell>
          <cell r="R19">
            <v>0</v>
          </cell>
          <cell r="S19">
            <v>17659904.796190001</v>
          </cell>
          <cell r="T19">
            <v>17659904.796190001</v>
          </cell>
          <cell r="U19">
            <v>17659904.796190001</v>
          </cell>
          <cell r="V19">
            <v>17659904.796190001</v>
          </cell>
          <cell r="W19">
            <v>17659904.796190001</v>
          </cell>
          <cell r="X19">
            <v>17659904.796190001</v>
          </cell>
          <cell r="Y19">
            <v>17659904.796190001</v>
          </cell>
          <cell r="Z19">
            <v>17659904.796190001</v>
          </cell>
          <cell r="AA19">
            <v>17659904.796190001</v>
          </cell>
          <cell r="AB19">
            <v>17697243.776810002</v>
          </cell>
          <cell r="AC19">
            <v>17435071.988680001</v>
          </cell>
          <cell r="AD19">
            <v>0</v>
          </cell>
          <cell r="AE19">
            <v>0</v>
          </cell>
          <cell r="AF19">
            <v>14176680.170919999</v>
          </cell>
          <cell r="AG19">
            <v>14176680.170919999</v>
          </cell>
          <cell r="AH19">
            <v>14176680.170919999</v>
          </cell>
          <cell r="AI19">
            <v>0</v>
          </cell>
          <cell r="AJ19">
            <v>15489678.13907</v>
          </cell>
          <cell r="AK19">
            <v>15489678.13907</v>
          </cell>
          <cell r="AL19">
            <v>15489678.13907</v>
          </cell>
          <cell r="AM19">
            <v>17456836.480140001</v>
          </cell>
          <cell r="AN19">
            <v>0</v>
          </cell>
          <cell r="AO19">
            <v>16962869.384130001</v>
          </cell>
          <cell r="AP19">
            <v>16962869.384130001</v>
          </cell>
          <cell r="AQ19">
            <v>16962869.384130001</v>
          </cell>
          <cell r="AR19">
            <v>16962869.384130001</v>
          </cell>
          <cell r="AS19">
            <v>16962869.384130001</v>
          </cell>
          <cell r="AT19">
            <v>16962869.384130001</v>
          </cell>
          <cell r="AU19">
            <v>16962869.384130001</v>
          </cell>
          <cell r="AV19">
            <v>16859365.272</v>
          </cell>
          <cell r="AW19">
            <v>17659904.796190001</v>
          </cell>
          <cell r="AX19">
            <v>16823213.281160001</v>
          </cell>
          <cell r="AY19">
            <v>16823213.281160001</v>
          </cell>
          <cell r="AZ19">
            <v>0</v>
          </cell>
          <cell r="BA19">
            <v>0</v>
          </cell>
          <cell r="BB19">
            <v>16823213.281160001</v>
          </cell>
          <cell r="BC19">
            <v>16823213.281160001</v>
          </cell>
          <cell r="BD19">
            <v>16823213.281160001</v>
          </cell>
          <cell r="BE19">
            <v>0</v>
          </cell>
          <cell r="BF19">
            <v>16823213.281160001</v>
          </cell>
          <cell r="BG19">
            <v>16823213.281160001</v>
          </cell>
          <cell r="BH19">
            <v>16823213.281160001</v>
          </cell>
          <cell r="BI19">
            <v>16823213.281160001</v>
          </cell>
          <cell r="BJ19">
            <v>0</v>
          </cell>
          <cell r="BK19">
            <v>16823213.281160001</v>
          </cell>
          <cell r="BL19">
            <v>16823213.281160001</v>
          </cell>
          <cell r="BM19">
            <v>16823213.281160001</v>
          </cell>
          <cell r="BN19">
            <v>16823213.281160001</v>
          </cell>
          <cell r="BO19">
            <v>16823213.281160001</v>
          </cell>
          <cell r="BP19">
            <v>16823213.281160001</v>
          </cell>
          <cell r="BQ19">
            <v>16823213.281160001</v>
          </cell>
          <cell r="BR19">
            <v>16823213.281160001</v>
          </cell>
          <cell r="BS19">
            <v>16823213.281160001</v>
          </cell>
          <cell r="BT19">
            <v>16858202.76915</v>
          </cell>
          <cell r="BU19">
            <v>16612527.2839</v>
          </cell>
          <cell r="BV19">
            <v>0</v>
          </cell>
          <cell r="BW19">
            <v>0</v>
          </cell>
          <cell r="BX19">
            <v>13559161.898539999</v>
          </cell>
          <cell r="BY19">
            <v>13559161.898539999</v>
          </cell>
          <cell r="BZ19">
            <v>13559161.898539999</v>
          </cell>
          <cell r="CA19">
            <v>0</v>
          </cell>
          <cell r="CB19">
            <v>14789542.63099</v>
          </cell>
          <cell r="CC19">
            <v>14789542.63099</v>
          </cell>
          <cell r="CD19">
            <v>14789542.63099</v>
          </cell>
          <cell r="CE19">
            <v>16632922.293880001</v>
          </cell>
          <cell r="CF19">
            <v>0</v>
          </cell>
          <cell r="CG19">
            <v>16170037.12125</v>
          </cell>
          <cell r="CH19">
            <v>16170037.12125</v>
          </cell>
          <cell r="CI19">
            <v>16170037.12125</v>
          </cell>
          <cell r="CJ19">
            <v>16170037.12125</v>
          </cell>
          <cell r="CK19">
            <v>16170037.12125</v>
          </cell>
          <cell r="CL19">
            <v>16170037.12125</v>
          </cell>
          <cell r="CM19">
            <v>16170037.12125</v>
          </cell>
          <cell r="CN19">
            <v>16073045.781579999</v>
          </cell>
          <cell r="CO19">
            <v>16548686.02517</v>
          </cell>
          <cell r="CP19">
            <v>16823213.281160001</v>
          </cell>
          <cell r="CQ19">
            <v>16823213.281160001</v>
          </cell>
          <cell r="CR19">
            <v>16823213.281160001</v>
          </cell>
          <cell r="CS19">
            <v>16823213.281160001</v>
          </cell>
          <cell r="CT19">
            <v>16823213.281160001</v>
          </cell>
          <cell r="CU19">
            <v>16823213.281160001</v>
          </cell>
          <cell r="CV19">
            <v>16823213.281160001</v>
          </cell>
          <cell r="CW19">
            <v>16823213.281160001</v>
          </cell>
          <cell r="CX19">
            <v>16823213.281160001</v>
          </cell>
          <cell r="CY19">
            <v>16823213.281160001</v>
          </cell>
          <cell r="CZ19">
            <v>16842769.716800001</v>
          </cell>
          <cell r="DA19">
            <v>16823213.281160001</v>
          </cell>
          <cell r="DB19">
            <v>16823213.281160001</v>
          </cell>
          <cell r="DC19">
            <v>16944348.160530001</v>
          </cell>
          <cell r="DD19">
            <v>16823213.281160001</v>
          </cell>
          <cell r="DE19">
            <v>17162288.958379999</v>
          </cell>
          <cell r="DF19">
            <v>16823213.281160001</v>
          </cell>
          <cell r="DG19">
            <v>16896193.15949</v>
          </cell>
          <cell r="DH19">
            <v>16823213.281160001</v>
          </cell>
          <cell r="DI19">
            <v>16824478.474440001</v>
          </cell>
          <cell r="DJ19">
            <v>0</v>
          </cell>
          <cell r="DK19">
            <v>0</v>
          </cell>
          <cell r="DL19">
            <v>0</v>
          </cell>
          <cell r="DM19">
            <v>0</v>
          </cell>
          <cell r="DN19">
            <v>0</v>
          </cell>
          <cell r="DO19">
            <v>0</v>
          </cell>
          <cell r="DP19">
            <v>0</v>
          </cell>
          <cell r="DQ19">
            <v>0</v>
          </cell>
          <cell r="DR19">
            <v>0</v>
          </cell>
          <cell r="DS19">
            <v>0</v>
          </cell>
          <cell r="DT19">
            <v>0</v>
          </cell>
          <cell r="DU19">
            <v>0</v>
          </cell>
          <cell r="DV19">
            <v>0</v>
          </cell>
          <cell r="DW19">
            <v>0</v>
          </cell>
          <cell r="DX19" t="str">
            <v/>
          </cell>
          <cell r="DY19" t="str">
            <v/>
          </cell>
          <cell r="DZ19" t="str">
            <v/>
          </cell>
          <cell r="EA19">
            <v>16823213.281160001</v>
          </cell>
          <cell r="EB19">
            <v>16823213.281160001</v>
          </cell>
          <cell r="EC19">
            <v>16823213.281160001</v>
          </cell>
          <cell r="ED19">
            <v>16823213.281160001</v>
          </cell>
          <cell r="EE19">
            <v>16823213.281160001</v>
          </cell>
          <cell r="EF19">
            <v>16823213.281160001</v>
          </cell>
          <cell r="EG19">
            <v>16823213.281160001</v>
          </cell>
          <cell r="EH19">
            <v>16823213.281160001</v>
          </cell>
          <cell r="EI19">
            <v>16823213.281160001</v>
          </cell>
          <cell r="EJ19">
            <v>16823213.281160001</v>
          </cell>
          <cell r="EK19">
            <v>16823213.281160001</v>
          </cell>
          <cell r="EL19">
            <v>16823213.281160001</v>
          </cell>
          <cell r="EM19">
            <v>16823213.281160001</v>
          </cell>
          <cell r="EN19">
            <v>16823213.281160001</v>
          </cell>
          <cell r="EO19">
            <v>16823213.281160001</v>
          </cell>
          <cell r="EP19">
            <v>16823213.281160001</v>
          </cell>
          <cell r="EQ19">
            <v>16823213.281160001</v>
          </cell>
          <cell r="ER19">
            <v>16823213.281160001</v>
          </cell>
          <cell r="ES19">
            <v>0</v>
          </cell>
          <cell r="ET19">
            <v>0</v>
          </cell>
          <cell r="EU19">
            <v>0</v>
          </cell>
          <cell r="EV19">
            <v>0</v>
          </cell>
          <cell r="EW19">
            <v>0</v>
          </cell>
          <cell r="EX19">
            <v>0</v>
          </cell>
          <cell r="EY19">
            <v>0</v>
          </cell>
          <cell r="EZ19">
            <v>0</v>
          </cell>
          <cell r="FA19">
            <v>0</v>
          </cell>
          <cell r="FB19">
            <v>0</v>
          </cell>
          <cell r="FC19">
            <v>0</v>
          </cell>
          <cell r="FD19">
            <v>0</v>
          </cell>
          <cell r="FE19">
            <v>16823213.281160001</v>
          </cell>
          <cell r="FF19">
            <v>16858202.76915</v>
          </cell>
          <cell r="FG19">
            <v>16612527.2839</v>
          </cell>
          <cell r="FH19">
            <v>0</v>
          </cell>
          <cell r="FI19">
            <v>0</v>
          </cell>
          <cell r="FJ19">
            <v>13559161.898539999</v>
          </cell>
          <cell r="FK19">
            <v>13559161.898539999</v>
          </cell>
          <cell r="FL19">
            <v>13559161.898539999</v>
          </cell>
          <cell r="FM19">
            <v>0</v>
          </cell>
          <cell r="FN19">
            <v>14789542.63099</v>
          </cell>
          <cell r="FO19">
            <v>14789542.63099</v>
          </cell>
          <cell r="FP19">
            <v>14789542.63099</v>
          </cell>
          <cell r="FQ19">
            <v>16632922.293880001</v>
          </cell>
          <cell r="FR19">
            <v>0</v>
          </cell>
          <cell r="FS19">
            <v>16170037.12125</v>
          </cell>
          <cell r="FT19">
            <v>16170037.12125</v>
          </cell>
          <cell r="FU19">
            <v>16170037.12125</v>
          </cell>
          <cell r="FV19">
            <v>16170037.12125</v>
          </cell>
          <cell r="FW19">
            <v>16170037.12125</v>
          </cell>
          <cell r="FX19">
            <v>16170037.12125</v>
          </cell>
          <cell r="FY19">
            <v>16170037.12125</v>
          </cell>
          <cell r="FZ19">
            <v>16073045.781579999</v>
          </cell>
          <cell r="GA19">
            <v>16548686.02517</v>
          </cell>
          <cell r="GB19">
            <v>16842769.716800001</v>
          </cell>
          <cell r="GC19">
            <v>16823213.281160001</v>
          </cell>
          <cell r="GD19">
            <v>16823213.281160001</v>
          </cell>
          <cell r="GE19">
            <v>16944348.160530001</v>
          </cell>
          <cell r="GF19">
            <v>16823213.281160001</v>
          </cell>
          <cell r="GG19">
            <v>17162288.958379999</v>
          </cell>
          <cell r="GH19">
            <v>16823213.281160001</v>
          </cell>
          <cell r="GI19">
            <v>16896193.15949</v>
          </cell>
          <cell r="GJ19">
            <v>16823213.281160001</v>
          </cell>
          <cell r="GK19">
            <v>16824478.474440001</v>
          </cell>
          <cell r="GL19">
            <v>16823213.281160001</v>
          </cell>
          <cell r="GM19">
            <v>16823213.281160001</v>
          </cell>
          <cell r="GN19">
            <v>16823213.281160001</v>
          </cell>
          <cell r="GO19">
            <v>16823213.281160001</v>
          </cell>
          <cell r="GP19">
            <v>16823213.281160001</v>
          </cell>
          <cell r="GQ19">
            <v>16823213.281160001</v>
          </cell>
          <cell r="GR19">
            <v>16823213.281160001</v>
          </cell>
          <cell r="GS19">
            <v>16823213.281160001</v>
          </cell>
          <cell r="GT19">
            <v>16823213.281160001</v>
          </cell>
          <cell r="GU19">
            <v>0</v>
          </cell>
          <cell r="GZ19">
            <v>0</v>
          </cell>
        </row>
        <row r="20">
          <cell r="A20" t="str">
            <v>F_CNP_NRF_EPA_UCS_FRCE_EVW</v>
          </cell>
          <cell r="B20">
            <v>14978904.17</v>
          </cell>
          <cell r="D20">
            <v>14913314.896910001</v>
          </cell>
          <cell r="E20">
            <v>14407537.51309</v>
          </cell>
          <cell r="F20">
            <v>14913314.896910001</v>
          </cell>
          <cell r="G20">
            <v>14913314.896910001</v>
          </cell>
          <cell r="H20">
            <v>0</v>
          </cell>
          <cell r="I20">
            <v>0</v>
          </cell>
          <cell r="J20">
            <v>14913314.896910001</v>
          </cell>
          <cell r="K20">
            <v>14913314.896910001</v>
          </cell>
          <cell r="L20">
            <v>14913314.896910001</v>
          </cell>
          <cell r="M20">
            <v>0</v>
          </cell>
          <cell r="N20">
            <v>14913314.896910001</v>
          </cell>
          <cell r="O20">
            <v>14913314.896910001</v>
          </cell>
          <cell r="P20">
            <v>14913314.896910001</v>
          </cell>
          <cell r="Q20">
            <v>14913314.896910001</v>
          </cell>
          <cell r="R20">
            <v>0</v>
          </cell>
          <cell r="S20">
            <v>14913314.896910001</v>
          </cell>
          <cell r="T20">
            <v>14913314.896910001</v>
          </cell>
          <cell r="U20">
            <v>14913314.896910001</v>
          </cell>
          <cell r="V20">
            <v>14913314.896910001</v>
          </cell>
          <cell r="W20">
            <v>14913314.896910001</v>
          </cell>
          <cell r="X20">
            <v>14913314.896910001</v>
          </cell>
          <cell r="Y20">
            <v>14913314.896910001</v>
          </cell>
          <cell r="Z20">
            <v>14913314.896910001</v>
          </cell>
          <cell r="AA20">
            <v>14913314.896910001</v>
          </cell>
          <cell r="AB20">
            <v>14944846.655889999</v>
          </cell>
          <cell r="AC20">
            <v>14723449.63373</v>
          </cell>
          <cell r="AD20">
            <v>0</v>
          </cell>
          <cell r="AE20">
            <v>0</v>
          </cell>
          <cell r="AF20">
            <v>11971825.337029999</v>
          </cell>
          <cell r="AG20">
            <v>11971825.337029999</v>
          </cell>
          <cell r="AH20">
            <v>11971825.337029999</v>
          </cell>
          <cell r="AI20">
            <v>0</v>
          </cell>
          <cell r="AJ20">
            <v>13080616.82456</v>
          </cell>
          <cell r="AK20">
            <v>13080616.82456</v>
          </cell>
          <cell r="AL20">
            <v>13080616.82456</v>
          </cell>
          <cell r="AM20">
            <v>14741829.157369999</v>
          </cell>
          <cell r="AN20">
            <v>0</v>
          </cell>
          <cell r="AO20">
            <v>14324687.22845</v>
          </cell>
          <cell r="AP20">
            <v>14324687.22845</v>
          </cell>
          <cell r="AQ20">
            <v>14324687.22845</v>
          </cell>
          <cell r="AR20">
            <v>14324687.22845</v>
          </cell>
          <cell r="AS20">
            <v>14324687.22845</v>
          </cell>
          <cell r="AT20">
            <v>14324687.22845</v>
          </cell>
          <cell r="AU20">
            <v>14324687.22845</v>
          </cell>
          <cell r="AV20">
            <v>14237280.78864</v>
          </cell>
          <cell r="AW20">
            <v>14913314.896910001</v>
          </cell>
          <cell r="AX20">
            <v>14407537.51309</v>
          </cell>
          <cell r="AY20">
            <v>14407537.51309</v>
          </cell>
          <cell r="AZ20">
            <v>0</v>
          </cell>
          <cell r="BA20">
            <v>0</v>
          </cell>
          <cell r="BB20">
            <v>14407537.51309</v>
          </cell>
          <cell r="BC20">
            <v>14407537.51309</v>
          </cell>
          <cell r="BD20">
            <v>14407537.51309</v>
          </cell>
          <cell r="BE20">
            <v>0</v>
          </cell>
          <cell r="BF20">
            <v>14407537.51309</v>
          </cell>
          <cell r="BG20">
            <v>14407537.51309</v>
          </cell>
          <cell r="BH20">
            <v>14407537.51309</v>
          </cell>
          <cell r="BI20">
            <v>14407537.51309</v>
          </cell>
          <cell r="BJ20">
            <v>0</v>
          </cell>
          <cell r="BK20">
            <v>14407537.51309</v>
          </cell>
          <cell r="BL20">
            <v>14407537.51309</v>
          </cell>
          <cell r="BM20">
            <v>14407537.51309</v>
          </cell>
          <cell r="BN20">
            <v>14407537.51309</v>
          </cell>
          <cell r="BO20">
            <v>14407537.51309</v>
          </cell>
          <cell r="BP20">
            <v>14407537.51309</v>
          </cell>
          <cell r="BQ20">
            <v>14407537.51309</v>
          </cell>
          <cell r="BR20">
            <v>14407537.51309</v>
          </cell>
          <cell r="BS20">
            <v>14407537.51309</v>
          </cell>
          <cell r="BT20">
            <v>14437854.00341</v>
          </cell>
          <cell r="BU20">
            <v>14224989.861609999</v>
          </cell>
          <cell r="BV20">
            <v>0</v>
          </cell>
          <cell r="BW20">
            <v>0</v>
          </cell>
          <cell r="BX20">
            <v>11579415.965500001</v>
          </cell>
          <cell r="BY20">
            <v>11579415.965500001</v>
          </cell>
          <cell r="BZ20">
            <v>11579415.965500001</v>
          </cell>
          <cell r="CA20">
            <v>0</v>
          </cell>
          <cell r="CB20">
            <v>12645473.467879999</v>
          </cell>
          <cell r="CC20">
            <v>12645473.467879999</v>
          </cell>
          <cell r="CD20">
            <v>12645473.467879999</v>
          </cell>
          <cell r="CE20">
            <v>14242661.01888</v>
          </cell>
          <cell r="CF20">
            <v>0</v>
          </cell>
          <cell r="CG20">
            <v>13841596.198009999</v>
          </cell>
          <cell r="CH20">
            <v>13841596.198009999</v>
          </cell>
          <cell r="CI20">
            <v>13841596.198009999</v>
          </cell>
          <cell r="CJ20">
            <v>13841596.198009999</v>
          </cell>
          <cell r="CK20">
            <v>13841596.198009999</v>
          </cell>
          <cell r="CL20">
            <v>13841596.198009999</v>
          </cell>
          <cell r="CM20">
            <v>13841596.198009999</v>
          </cell>
          <cell r="CN20">
            <v>13757558.494969999</v>
          </cell>
          <cell r="CO20">
            <v>14338539.88095</v>
          </cell>
          <cell r="CP20">
            <v>14407537.51309</v>
          </cell>
          <cell r="CQ20">
            <v>14407537.51309</v>
          </cell>
          <cell r="CR20">
            <v>14407537.51309</v>
          </cell>
          <cell r="CS20">
            <v>14407537.51309</v>
          </cell>
          <cell r="CT20">
            <v>14407537.51309</v>
          </cell>
          <cell r="CU20">
            <v>14407537.51309</v>
          </cell>
          <cell r="CV20">
            <v>14407537.51309</v>
          </cell>
          <cell r="CW20">
            <v>14407537.51309</v>
          </cell>
          <cell r="CX20">
            <v>14407537.51309</v>
          </cell>
          <cell r="CY20">
            <v>14407537.51309</v>
          </cell>
          <cell r="CZ20">
            <v>14419447.047010001</v>
          </cell>
          <cell r="DA20">
            <v>14407537.51309</v>
          </cell>
          <cell r="DB20">
            <v>14407537.51309</v>
          </cell>
          <cell r="DC20">
            <v>14528369.85413</v>
          </cell>
          <cell r="DD20">
            <v>14407537.51309</v>
          </cell>
          <cell r="DE20">
            <v>14644331.042309999</v>
          </cell>
          <cell r="DF20">
            <v>14407537.51309</v>
          </cell>
          <cell r="DG20">
            <v>14424287.0427</v>
          </cell>
          <cell r="DH20">
            <v>14407537.51309</v>
          </cell>
          <cell r="DI20">
            <v>14408421.048909999</v>
          </cell>
          <cell r="DJ20">
            <v>0</v>
          </cell>
          <cell r="DK20">
            <v>0</v>
          </cell>
          <cell r="DL20">
            <v>0</v>
          </cell>
          <cell r="DM20">
            <v>0</v>
          </cell>
          <cell r="DN20">
            <v>0</v>
          </cell>
          <cell r="DO20">
            <v>0</v>
          </cell>
          <cell r="DP20">
            <v>0</v>
          </cell>
          <cell r="DQ20">
            <v>0</v>
          </cell>
          <cell r="DR20">
            <v>0</v>
          </cell>
          <cell r="DS20">
            <v>0</v>
          </cell>
          <cell r="DT20">
            <v>0</v>
          </cell>
          <cell r="DU20">
            <v>0</v>
          </cell>
          <cell r="DV20">
            <v>0</v>
          </cell>
          <cell r="DW20">
            <v>0</v>
          </cell>
          <cell r="DX20" t="str">
            <v/>
          </cell>
          <cell r="DY20" t="str">
            <v/>
          </cell>
          <cell r="DZ20" t="str">
            <v/>
          </cell>
          <cell r="EA20">
            <v>14407537.51309</v>
          </cell>
          <cell r="EB20">
            <v>14407537.51309</v>
          </cell>
          <cell r="EC20">
            <v>14407537.51309</v>
          </cell>
          <cell r="ED20">
            <v>14407537.51309</v>
          </cell>
          <cell r="EE20">
            <v>14407537.51309</v>
          </cell>
          <cell r="EF20">
            <v>14407537.51309</v>
          </cell>
          <cell r="EG20">
            <v>14407537.51309</v>
          </cell>
          <cell r="EH20">
            <v>14407537.51309</v>
          </cell>
          <cell r="EI20">
            <v>14407537.51309</v>
          </cell>
          <cell r="EJ20">
            <v>14407537.51309</v>
          </cell>
          <cell r="EK20">
            <v>14407537.51309</v>
          </cell>
          <cell r="EL20">
            <v>14407537.51309</v>
          </cell>
          <cell r="EM20">
            <v>14407537.51309</v>
          </cell>
          <cell r="EN20">
            <v>14407537.51309</v>
          </cell>
          <cell r="EO20">
            <v>14407537.51309</v>
          </cell>
          <cell r="EP20">
            <v>14407537.51309</v>
          </cell>
          <cell r="EQ20">
            <v>14407537.51309</v>
          </cell>
          <cell r="ER20">
            <v>14407537.51309</v>
          </cell>
          <cell r="ES20">
            <v>0</v>
          </cell>
          <cell r="ET20">
            <v>0</v>
          </cell>
          <cell r="EU20">
            <v>0</v>
          </cell>
          <cell r="EV20">
            <v>0</v>
          </cell>
          <cell r="EW20">
            <v>0</v>
          </cell>
          <cell r="EX20">
            <v>0</v>
          </cell>
          <cell r="EY20">
            <v>0</v>
          </cell>
          <cell r="EZ20">
            <v>0</v>
          </cell>
          <cell r="FA20">
            <v>0</v>
          </cell>
          <cell r="FB20">
            <v>0</v>
          </cell>
          <cell r="FC20">
            <v>0</v>
          </cell>
          <cell r="FD20">
            <v>0</v>
          </cell>
          <cell r="FE20">
            <v>14407537.51309</v>
          </cell>
          <cell r="FF20">
            <v>14437854.00341</v>
          </cell>
          <cell r="FG20">
            <v>14224989.861609999</v>
          </cell>
          <cell r="FH20">
            <v>0</v>
          </cell>
          <cell r="FI20">
            <v>0</v>
          </cell>
          <cell r="FJ20">
            <v>11579415.965500001</v>
          </cell>
          <cell r="FK20">
            <v>11579415.965500001</v>
          </cell>
          <cell r="FL20">
            <v>11579415.965500001</v>
          </cell>
          <cell r="FM20">
            <v>0</v>
          </cell>
          <cell r="FN20">
            <v>12645473.467879999</v>
          </cell>
          <cell r="FO20">
            <v>12645473.467879999</v>
          </cell>
          <cell r="FP20">
            <v>12645473.467879999</v>
          </cell>
          <cell r="FQ20">
            <v>14242661.01888</v>
          </cell>
          <cell r="FR20">
            <v>0</v>
          </cell>
          <cell r="FS20">
            <v>13841596.198009999</v>
          </cell>
          <cell r="FT20">
            <v>13841596.198009999</v>
          </cell>
          <cell r="FU20">
            <v>13841596.198009999</v>
          </cell>
          <cell r="FV20">
            <v>13841596.198009999</v>
          </cell>
          <cell r="FW20">
            <v>13841596.198009999</v>
          </cell>
          <cell r="FX20">
            <v>13841596.198009999</v>
          </cell>
          <cell r="FY20">
            <v>13841596.198009999</v>
          </cell>
          <cell r="FZ20">
            <v>13757558.494969999</v>
          </cell>
          <cell r="GA20">
            <v>14338539.88095</v>
          </cell>
          <cell r="GB20">
            <v>14419447.047010001</v>
          </cell>
          <cell r="GC20">
            <v>14407537.51309</v>
          </cell>
          <cell r="GD20">
            <v>14407537.51309</v>
          </cell>
          <cell r="GE20">
            <v>14528369.85413</v>
          </cell>
          <cell r="GF20">
            <v>14407537.51309</v>
          </cell>
          <cell r="GG20">
            <v>14644331.042309999</v>
          </cell>
          <cell r="GH20">
            <v>14407537.51309</v>
          </cell>
          <cell r="GI20">
            <v>14424287.0427</v>
          </cell>
          <cell r="GJ20">
            <v>14407537.51309</v>
          </cell>
          <cell r="GK20">
            <v>14408421.048909999</v>
          </cell>
          <cell r="GL20">
            <v>14407537.51309</v>
          </cell>
          <cell r="GM20">
            <v>14407537.51309</v>
          </cell>
          <cell r="GN20">
            <v>14407537.51309</v>
          </cell>
          <cell r="GO20">
            <v>14407537.51309</v>
          </cell>
          <cell r="GP20">
            <v>14407537.51309</v>
          </cell>
          <cell r="GQ20">
            <v>14407537.51309</v>
          </cell>
          <cell r="GR20">
            <v>14407537.51309</v>
          </cell>
          <cell r="GS20">
            <v>14407537.51309</v>
          </cell>
          <cell r="GT20">
            <v>14407537.51309</v>
          </cell>
          <cell r="GU20">
            <v>0</v>
          </cell>
          <cell r="GZ20">
            <v>0</v>
          </cell>
        </row>
        <row r="21">
          <cell r="A21" t="str">
            <v>F_CNP_NRF_EPA_UCS_FRCE_EVX</v>
          </cell>
          <cell r="B21">
            <v>37837523.230000004</v>
          </cell>
          <cell r="D21">
            <v>37777875.112769999</v>
          </cell>
          <cell r="E21">
            <v>35452844.221640006</v>
          </cell>
          <cell r="F21">
            <v>37777875.112769999</v>
          </cell>
          <cell r="G21">
            <v>37777875.112769999</v>
          </cell>
          <cell r="H21">
            <v>0</v>
          </cell>
          <cell r="I21">
            <v>0</v>
          </cell>
          <cell r="J21">
            <v>37777875.112769999</v>
          </cell>
          <cell r="K21">
            <v>37777875.112769999</v>
          </cell>
          <cell r="L21">
            <v>37777875.112769999</v>
          </cell>
          <cell r="M21">
            <v>0</v>
          </cell>
          <cell r="N21">
            <v>37777875.112769999</v>
          </cell>
          <cell r="O21">
            <v>37777875.112769999</v>
          </cell>
          <cell r="P21">
            <v>37777875.112769999</v>
          </cell>
          <cell r="Q21">
            <v>37777875.112769999</v>
          </cell>
          <cell r="R21">
            <v>0</v>
          </cell>
          <cell r="S21">
            <v>37777875.112769999</v>
          </cell>
          <cell r="T21">
            <v>37777875.112769999</v>
          </cell>
          <cell r="U21">
            <v>37777875.112769999</v>
          </cell>
          <cell r="V21">
            <v>37777875.112769999</v>
          </cell>
          <cell r="W21">
            <v>37777875.112769999</v>
          </cell>
          <cell r="X21">
            <v>37777875.112769999</v>
          </cell>
          <cell r="Y21">
            <v>37777875.112769999</v>
          </cell>
          <cell r="Z21">
            <v>37777875.112769999</v>
          </cell>
          <cell r="AA21">
            <v>37777875.112769999</v>
          </cell>
          <cell r="AB21">
            <v>37857750.23584</v>
          </cell>
          <cell r="AC21">
            <v>37296915.255930007</v>
          </cell>
          <cell r="AD21">
            <v>0</v>
          </cell>
          <cell r="AE21">
            <v>0</v>
          </cell>
          <cell r="AF21">
            <v>30326599.399009999</v>
          </cell>
          <cell r="AG21">
            <v>30326599.399009999</v>
          </cell>
          <cell r="AH21">
            <v>30326599.399009999</v>
          </cell>
          <cell r="AI21">
            <v>0</v>
          </cell>
          <cell r="AJ21">
            <v>33135350.19658</v>
          </cell>
          <cell r="AK21">
            <v>33135350.19658</v>
          </cell>
          <cell r="AL21">
            <v>33135350.19658</v>
          </cell>
          <cell r="AM21">
            <v>37343473.606909998</v>
          </cell>
          <cell r="AN21">
            <v>0</v>
          </cell>
          <cell r="AO21">
            <v>36286784.663819999</v>
          </cell>
          <cell r="AP21">
            <v>36286784.663819999</v>
          </cell>
          <cell r="AQ21">
            <v>36286784.663819999</v>
          </cell>
          <cell r="AR21">
            <v>36286784.663819999</v>
          </cell>
          <cell r="AS21">
            <v>36286784.663819999</v>
          </cell>
          <cell r="AT21">
            <v>36286784.663819999</v>
          </cell>
          <cell r="AU21">
            <v>36286784.663819999</v>
          </cell>
          <cell r="AV21">
            <v>36065369.816019997</v>
          </cell>
          <cell r="AW21">
            <v>37777875.112769999</v>
          </cell>
          <cell r="AX21">
            <v>35452844.221640006</v>
          </cell>
          <cell r="AY21">
            <v>35452844.221640006</v>
          </cell>
          <cell r="AZ21">
            <v>0</v>
          </cell>
          <cell r="BA21">
            <v>0</v>
          </cell>
          <cell r="BB21">
            <v>35452844.221640006</v>
          </cell>
          <cell r="BC21">
            <v>35452844.221640006</v>
          </cell>
          <cell r="BD21">
            <v>35452844.221640006</v>
          </cell>
          <cell r="BE21">
            <v>0</v>
          </cell>
          <cell r="BF21">
            <v>35452844.221640006</v>
          </cell>
          <cell r="BG21">
            <v>35452844.221640006</v>
          </cell>
          <cell r="BH21">
            <v>35452844.221640006</v>
          </cell>
          <cell r="BI21">
            <v>35452844.221640006</v>
          </cell>
          <cell r="BJ21">
            <v>0</v>
          </cell>
          <cell r="BK21">
            <v>35452844.221640006</v>
          </cell>
          <cell r="BL21">
            <v>35452844.221640006</v>
          </cell>
          <cell r="BM21">
            <v>35452844.221640006</v>
          </cell>
          <cell r="BN21">
            <v>35452844.221640006</v>
          </cell>
          <cell r="BO21">
            <v>35452844.221640006</v>
          </cell>
          <cell r="BP21">
            <v>35452844.221640006</v>
          </cell>
          <cell r="BQ21">
            <v>35452844.221640006</v>
          </cell>
          <cell r="BR21">
            <v>35452844.221640006</v>
          </cell>
          <cell r="BS21">
            <v>35452844.221640006</v>
          </cell>
          <cell r="BT21">
            <v>35527327.870829999</v>
          </cell>
          <cell r="BU21">
            <v>35004348.544679999</v>
          </cell>
          <cell r="BV21">
            <v>0</v>
          </cell>
          <cell r="BW21">
            <v>0</v>
          </cell>
          <cell r="BX21">
            <v>28504518.326340001</v>
          </cell>
          <cell r="BY21">
            <v>28504518.326340001</v>
          </cell>
          <cell r="BZ21">
            <v>28504518.326340001</v>
          </cell>
          <cell r="CA21">
            <v>0</v>
          </cell>
          <cell r="CB21">
            <v>31123682.593970001</v>
          </cell>
          <cell r="CC21">
            <v>31123682.593970001</v>
          </cell>
          <cell r="CD21">
            <v>31123682.593970001</v>
          </cell>
          <cell r="CE21">
            <v>35047764.26506</v>
          </cell>
          <cell r="CF21">
            <v>0</v>
          </cell>
          <cell r="CG21">
            <v>34062400.360019997</v>
          </cell>
          <cell r="CH21">
            <v>34062400.360019997</v>
          </cell>
          <cell r="CI21">
            <v>34062400.360019997</v>
          </cell>
          <cell r="CJ21">
            <v>34062400.360019997</v>
          </cell>
          <cell r="CK21">
            <v>34062400.360019997</v>
          </cell>
          <cell r="CL21">
            <v>34062400.360019997</v>
          </cell>
          <cell r="CM21">
            <v>34062400.360019997</v>
          </cell>
          <cell r="CN21">
            <v>33855930.587689996</v>
          </cell>
          <cell r="CO21">
            <v>35227915.651630007</v>
          </cell>
          <cell r="CP21">
            <v>35452844.221640006</v>
          </cell>
          <cell r="CQ21">
            <v>35452844.221640006</v>
          </cell>
          <cell r="CR21">
            <v>35452844.221640006</v>
          </cell>
          <cell r="CS21">
            <v>35452844.221640006</v>
          </cell>
          <cell r="CT21">
            <v>35452844.221640006</v>
          </cell>
          <cell r="CU21">
            <v>35452844.221640006</v>
          </cell>
          <cell r="CV21">
            <v>35452844.221640006</v>
          </cell>
          <cell r="CW21">
            <v>35452844.221640006</v>
          </cell>
          <cell r="CX21">
            <v>35452844.221640006</v>
          </cell>
          <cell r="CY21">
            <v>35452844.221640006</v>
          </cell>
          <cell r="CZ21">
            <v>35499905.979329996</v>
          </cell>
          <cell r="DA21">
            <v>35452844.221640006</v>
          </cell>
          <cell r="DB21">
            <v>35452844.221640006</v>
          </cell>
          <cell r="DC21">
            <v>35873781.607720003</v>
          </cell>
          <cell r="DD21">
            <v>35452844.221640006</v>
          </cell>
          <cell r="DE21">
            <v>36425966.394900002</v>
          </cell>
          <cell r="DF21">
            <v>35452844.221640006</v>
          </cell>
          <cell r="DG21">
            <v>35513040.953220002</v>
          </cell>
          <cell r="DH21">
            <v>35452844.221640006</v>
          </cell>
          <cell r="DI21">
            <v>35456475.197240002</v>
          </cell>
          <cell r="DJ21">
            <v>0</v>
          </cell>
          <cell r="DK21">
            <v>0</v>
          </cell>
          <cell r="DL21">
            <v>0</v>
          </cell>
          <cell r="DM21">
            <v>0</v>
          </cell>
          <cell r="DN21">
            <v>0</v>
          </cell>
          <cell r="DO21">
            <v>0</v>
          </cell>
          <cell r="DP21">
            <v>0</v>
          </cell>
          <cell r="DQ21">
            <v>0</v>
          </cell>
          <cell r="DR21">
            <v>0</v>
          </cell>
          <cell r="DS21">
            <v>0</v>
          </cell>
          <cell r="DT21">
            <v>0</v>
          </cell>
          <cell r="DU21">
            <v>0</v>
          </cell>
          <cell r="DV21">
            <v>0</v>
          </cell>
          <cell r="DW21">
            <v>0</v>
          </cell>
          <cell r="DX21" t="str">
            <v/>
          </cell>
          <cell r="DY21" t="str">
            <v/>
          </cell>
          <cell r="DZ21" t="str">
            <v/>
          </cell>
          <cell r="EA21">
            <v>35452844.221640006</v>
          </cell>
          <cell r="EB21">
            <v>35452844.221640006</v>
          </cell>
          <cell r="EC21">
            <v>35452844.221640006</v>
          </cell>
          <cell r="ED21">
            <v>35452844.221640006</v>
          </cell>
          <cell r="EE21">
            <v>35452844.221640006</v>
          </cell>
          <cell r="EF21">
            <v>35452844.221640006</v>
          </cell>
          <cell r="EG21">
            <v>35452844.221640006</v>
          </cell>
          <cell r="EH21">
            <v>35452844.221640006</v>
          </cell>
          <cell r="EI21">
            <v>35452844.221640006</v>
          </cell>
          <cell r="EJ21">
            <v>35452844.221640006</v>
          </cell>
          <cell r="EK21">
            <v>35452844.221640006</v>
          </cell>
          <cell r="EL21">
            <v>35452844.221640006</v>
          </cell>
          <cell r="EM21">
            <v>35452844.221640006</v>
          </cell>
          <cell r="EN21">
            <v>35452844.221640006</v>
          </cell>
          <cell r="EO21">
            <v>35452844.221640006</v>
          </cell>
          <cell r="EP21">
            <v>35452844.221640006</v>
          </cell>
          <cell r="EQ21">
            <v>35452844.221640006</v>
          </cell>
          <cell r="ER21">
            <v>35452844.221640006</v>
          </cell>
          <cell r="ES21">
            <v>0</v>
          </cell>
          <cell r="ET21">
            <v>0</v>
          </cell>
          <cell r="EU21">
            <v>0</v>
          </cell>
          <cell r="EV21">
            <v>0</v>
          </cell>
          <cell r="EW21">
            <v>0</v>
          </cell>
          <cell r="EX21">
            <v>0</v>
          </cell>
          <cell r="EY21">
            <v>0</v>
          </cell>
          <cell r="EZ21">
            <v>0</v>
          </cell>
          <cell r="FA21">
            <v>0</v>
          </cell>
          <cell r="FB21">
            <v>0</v>
          </cell>
          <cell r="FC21">
            <v>0</v>
          </cell>
          <cell r="FD21">
            <v>0</v>
          </cell>
          <cell r="FE21">
            <v>35452844.221640006</v>
          </cell>
          <cell r="FF21">
            <v>35527327.870829999</v>
          </cell>
          <cell r="FG21">
            <v>35004348.544679999</v>
          </cell>
          <cell r="FH21">
            <v>0</v>
          </cell>
          <cell r="FI21">
            <v>0</v>
          </cell>
          <cell r="FJ21">
            <v>28504518.326340001</v>
          </cell>
          <cell r="FK21">
            <v>28504518.326340001</v>
          </cell>
          <cell r="FL21">
            <v>28504518.326340001</v>
          </cell>
          <cell r="FM21">
            <v>0</v>
          </cell>
          <cell r="FN21">
            <v>31123682.593970001</v>
          </cell>
          <cell r="FO21">
            <v>31123682.593970001</v>
          </cell>
          <cell r="FP21">
            <v>31123682.593970001</v>
          </cell>
          <cell r="FQ21">
            <v>35047764.26506</v>
          </cell>
          <cell r="FR21">
            <v>0</v>
          </cell>
          <cell r="FS21">
            <v>34062400.360019997</v>
          </cell>
          <cell r="FT21">
            <v>34062400.360019997</v>
          </cell>
          <cell r="FU21">
            <v>34062400.360019997</v>
          </cell>
          <cell r="FV21">
            <v>34062400.360019997</v>
          </cell>
          <cell r="FW21">
            <v>34062400.360019997</v>
          </cell>
          <cell r="FX21">
            <v>34062400.360019997</v>
          </cell>
          <cell r="FY21">
            <v>34062400.360019997</v>
          </cell>
          <cell r="FZ21">
            <v>33855930.587689996</v>
          </cell>
          <cell r="GA21">
            <v>35227915.651630007</v>
          </cell>
          <cell r="GB21">
            <v>35499905.979329996</v>
          </cell>
          <cell r="GC21">
            <v>35452844.221640006</v>
          </cell>
          <cell r="GD21">
            <v>35452844.221640006</v>
          </cell>
          <cell r="GE21">
            <v>35873781.607720003</v>
          </cell>
          <cell r="GF21">
            <v>35452844.221640006</v>
          </cell>
          <cell r="GG21">
            <v>36425966.394900002</v>
          </cell>
          <cell r="GH21">
            <v>35452844.221640006</v>
          </cell>
          <cell r="GI21">
            <v>35513040.953220002</v>
          </cell>
          <cell r="GJ21">
            <v>35452844.221640006</v>
          </cell>
          <cell r="GK21">
            <v>35456475.197240002</v>
          </cell>
          <cell r="GL21">
            <v>35452844.221640006</v>
          </cell>
          <cell r="GM21">
            <v>35452844.221640006</v>
          </cell>
          <cell r="GN21">
            <v>35452844.221640006</v>
          </cell>
          <cell r="GO21">
            <v>35452844.221640006</v>
          </cell>
          <cell r="GP21">
            <v>35452844.221640006</v>
          </cell>
          <cell r="GQ21">
            <v>35452844.221640006</v>
          </cell>
          <cell r="GR21">
            <v>35452844.221640006</v>
          </cell>
          <cell r="GS21">
            <v>35452844.221640006</v>
          </cell>
          <cell r="GT21">
            <v>35452844.221640006</v>
          </cell>
          <cell r="GU21">
            <v>0</v>
          </cell>
          <cell r="GZ21">
            <v>0</v>
          </cell>
        </row>
        <row r="22">
          <cell r="A22" t="str">
            <v>F_CNP_NRF_EPA_UCS_FRCE_EVZ</v>
          </cell>
          <cell r="B22">
            <v>1269815752.23</v>
          </cell>
          <cell r="D22">
            <v>1270167787.1177599</v>
          </cell>
          <cell r="E22">
            <v>1166322521.5642099</v>
          </cell>
          <cell r="F22">
            <v>1270167787.1177599</v>
          </cell>
          <cell r="G22">
            <v>1270167787.1177599</v>
          </cell>
          <cell r="H22">
            <v>0</v>
          </cell>
          <cell r="I22">
            <v>0</v>
          </cell>
          <cell r="J22">
            <v>1270167787.1177599</v>
          </cell>
          <cell r="K22">
            <v>1270167787.1177599</v>
          </cell>
          <cell r="L22">
            <v>1270167787.1177599</v>
          </cell>
          <cell r="M22">
            <v>0</v>
          </cell>
          <cell r="N22">
            <v>1270167787.1177599</v>
          </cell>
          <cell r="O22">
            <v>1270167787.1177599</v>
          </cell>
          <cell r="P22">
            <v>1270167787.1177599</v>
          </cell>
          <cell r="Q22">
            <v>1270167787.1177599</v>
          </cell>
          <cell r="R22">
            <v>0</v>
          </cell>
          <cell r="S22">
            <v>1270167787.1177599</v>
          </cell>
          <cell r="T22">
            <v>1270167787.1177599</v>
          </cell>
          <cell r="U22">
            <v>1270167787.1177599</v>
          </cell>
          <cell r="V22">
            <v>1270167787.1177599</v>
          </cell>
          <cell r="W22">
            <v>1270167787.1177599</v>
          </cell>
          <cell r="X22">
            <v>1270167787.1177599</v>
          </cell>
          <cell r="Y22">
            <v>1270167787.1177599</v>
          </cell>
          <cell r="Z22">
            <v>1270167787.1177599</v>
          </cell>
          <cell r="AA22">
            <v>1270167787.1177599</v>
          </cell>
          <cell r="AB22">
            <v>1272853348.4534202</v>
          </cell>
          <cell r="AC22">
            <v>1253996955.0262799</v>
          </cell>
          <cell r="AD22">
            <v>0</v>
          </cell>
          <cell r="AE22">
            <v>0</v>
          </cell>
          <cell r="AF22">
            <v>1019640996.7257099</v>
          </cell>
          <cell r="AG22">
            <v>1019640996.7257099</v>
          </cell>
          <cell r="AH22">
            <v>1019640996.7257099</v>
          </cell>
          <cell r="AI22">
            <v>0</v>
          </cell>
          <cell r="AJ22">
            <v>1114076815.7075901</v>
          </cell>
          <cell r="AK22">
            <v>1114076815.7075901</v>
          </cell>
          <cell r="AL22">
            <v>1114076815.7075901</v>
          </cell>
          <cell r="AM22">
            <v>1255562340.0221801</v>
          </cell>
          <cell r="AN22">
            <v>0</v>
          </cell>
          <cell r="AO22">
            <v>1220034345.0379999</v>
          </cell>
          <cell r="AP22">
            <v>1220034345.0379999</v>
          </cell>
          <cell r="AQ22">
            <v>1220034345.0379999</v>
          </cell>
          <cell r="AR22">
            <v>1220034345.0379999</v>
          </cell>
          <cell r="AS22">
            <v>1220034345.0379999</v>
          </cell>
          <cell r="AT22">
            <v>1220034345.0379999</v>
          </cell>
          <cell r="AU22">
            <v>1220034345.0379999</v>
          </cell>
          <cell r="AV22">
            <v>1212589935.1147699</v>
          </cell>
          <cell r="AW22">
            <v>1270167787.1177599</v>
          </cell>
          <cell r="AX22">
            <v>1166322521.5642099</v>
          </cell>
          <cell r="AY22">
            <v>1166322521.5642099</v>
          </cell>
          <cell r="AZ22">
            <v>0</v>
          </cell>
          <cell r="BA22">
            <v>0</v>
          </cell>
          <cell r="BB22">
            <v>1166322521.5642099</v>
          </cell>
          <cell r="BC22">
            <v>1166322521.5642099</v>
          </cell>
          <cell r="BD22">
            <v>1166322521.5642099</v>
          </cell>
          <cell r="BE22">
            <v>0</v>
          </cell>
          <cell r="BF22">
            <v>1166322521.5642099</v>
          </cell>
          <cell r="BG22">
            <v>1166322521.5642099</v>
          </cell>
          <cell r="BH22">
            <v>1166322521.5642099</v>
          </cell>
          <cell r="BI22">
            <v>1166322521.5642099</v>
          </cell>
          <cell r="BJ22">
            <v>0</v>
          </cell>
          <cell r="BK22">
            <v>1166322521.5642099</v>
          </cell>
          <cell r="BL22">
            <v>1166322521.5642099</v>
          </cell>
          <cell r="BM22">
            <v>1166322521.5642099</v>
          </cell>
          <cell r="BN22">
            <v>1166322521.5642099</v>
          </cell>
          <cell r="BO22">
            <v>1166322521.5642099</v>
          </cell>
          <cell r="BP22">
            <v>1166322521.5642099</v>
          </cell>
          <cell r="BQ22">
            <v>1166322521.5642099</v>
          </cell>
          <cell r="BR22">
            <v>1166322521.5642099</v>
          </cell>
          <cell r="BS22">
            <v>1166322521.5642099</v>
          </cell>
          <cell r="BT22">
            <v>1168766614.93556</v>
          </cell>
          <cell r="BU22">
            <v>1151605659.9725699</v>
          </cell>
          <cell r="BV22">
            <v>0</v>
          </cell>
          <cell r="BW22">
            <v>0</v>
          </cell>
          <cell r="BX22">
            <v>938321326.26988006</v>
          </cell>
          <cell r="BY22">
            <v>938321326.26988006</v>
          </cell>
          <cell r="BZ22">
            <v>938321326.26988006</v>
          </cell>
          <cell r="CA22">
            <v>0</v>
          </cell>
          <cell r="CB22">
            <v>1024266152.7843699</v>
          </cell>
          <cell r="CC22">
            <v>1024266152.7843699</v>
          </cell>
          <cell r="CD22">
            <v>1024266152.7843699</v>
          </cell>
          <cell r="CE22">
            <v>1153030298.3847699</v>
          </cell>
          <cell r="CF22">
            <v>0</v>
          </cell>
          <cell r="CG22">
            <v>1120696727.4560699</v>
          </cell>
          <cell r="CH22">
            <v>1120696727.4560699</v>
          </cell>
          <cell r="CI22">
            <v>1120696727.4560699</v>
          </cell>
          <cell r="CJ22">
            <v>1120696727.4560699</v>
          </cell>
          <cell r="CK22">
            <v>1120696727.4560699</v>
          </cell>
          <cell r="CL22">
            <v>1120696727.4560699</v>
          </cell>
          <cell r="CM22">
            <v>1120696727.4560699</v>
          </cell>
          <cell r="CN22">
            <v>1113921667.3166199</v>
          </cell>
          <cell r="CO22">
            <v>1155962688.01578</v>
          </cell>
          <cell r="CP22">
            <v>1166322521.5642099</v>
          </cell>
          <cell r="CQ22">
            <v>1166322521.5642099</v>
          </cell>
          <cell r="CR22">
            <v>1166322521.5642099</v>
          </cell>
          <cell r="CS22">
            <v>1166322521.5642099</v>
          </cell>
          <cell r="CT22">
            <v>1166322521.5642099</v>
          </cell>
          <cell r="CU22">
            <v>1166322521.5642099</v>
          </cell>
          <cell r="CV22">
            <v>1166322521.5642099</v>
          </cell>
          <cell r="CW22">
            <v>1166322521.5642099</v>
          </cell>
          <cell r="CX22">
            <v>1166322521.5642099</v>
          </cell>
          <cell r="CY22">
            <v>1166322521.5642099</v>
          </cell>
          <cell r="CZ22">
            <v>1168807618.9734302</v>
          </cell>
          <cell r="DA22">
            <v>1166322521.5642099</v>
          </cell>
          <cell r="DB22">
            <v>1166322521.5642099</v>
          </cell>
          <cell r="DC22">
            <v>1178311132.73716</v>
          </cell>
          <cell r="DD22">
            <v>1166322521.5642099</v>
          </cell>
          <cell r="DE22">
            <v>1207915646.56282</v>
          </cell>
          <cell r="DF22">
            <v>1166322521.5642099</v>
          </cell>
          <cell r="DG22">
            <v>1169145272.98276</v>
          </cell>
          <cell r="DH22">
            <v>1166322521.5642099</v>
          </cell>
          <cell r="DI22">
            <v>1166477716.3880801</v>
          </cell>
          <cell r="DJ22">
            <v>0</v>
          </cell>
          <cell r="DK22">
            <v>0</v>
          </cell>
          <cell r="DL22">
            <v>0</v>
          </cell>
          <cell r="DM22">
            <v>0</v>
          </cell>
          <cell r="DN22">
            <v>0</v>
          </cell>
          <cell r="DO22">
            <v>0</v>
          </cell>
          <cell r="DP22">
            <v>0</v>
          </cell>
          <cell r="DQ22">
            <v>0</v>
          </cell>
          <cell r="DR22">
            <v>0</v>
          </cell>
          <cell r="DS22">
            <v>0</v>
          </cell>
          <cell r="DT22">
            <v>0</v>
          </cell>
          <cell r="DU22">
            <v>0</v>
          </cell>
          <cell r="DV22">
            <v>0</v>
          </cell>
          <cell r="DW22">
            <v>0</v>
          </cell>
          <cell r="DX22" t="str">
            <v/>
          </cell>
          <cell r="DY22" t="str">
            <v/>
          </cell>
          <cell r="DZ22" t="str">
            <v/>
          </cell>
          <cell r="EA22">
            <v>1166322521.5642099</v>
          </cell>
          <cell r="EB22">
            <v>1166322521.5642099</v>
          </cell>
          <cell r="EC22">
            <v>1166322521.5642099</v>
          </cell>
          <cell r="ED22">
            <v>1166322521.5642099</v>
          </cell>
          <cell r="EE22">
            <v>1166322521.5642099</v>
          </cell>
          <cell r="EF22">
            <v>1166322521.5642099</v>
          </cell>
          <cell r="EG22">
            <v>1166322521.5642099</v>
          </cell>
          <cell r="EH22">
            <v>1166322521.5642099</v>
          </cell>
          <cell r="EI22">
            <v>1166322521.5642099</v>
          </cell>
          <cell r="EJ22">
            <v>1166322521.5642099</v>
          </cell>
          <cell r="EK22">
            <v>1166322521.5642099</v>
          </cell>
          <cell r="EL22">
            <v>1166322521.5642099</v>
          </cell>
          <cell r="EM22">
            <v>1166322521.5642099</v>
          </cell>
          <cell r="EN22">
            <v>1166322521.5642099</v>
          </cell>
          <cell r="EO22">
            <v>1166322521.5642099</v>
          </cell>
          <cell r="EP22">
            <v>1166322521.5642099</v>
          </cell>
          <cell r="EQ22">
            <v>1166322521.5642099</v>
          </cell>
          <cell r="ER22">
            <v>1166322521.5642099</v>
          </cell>
          <cell r="ES22">
            <v>0</v>
          </cell>
          <cell r="ET22">
            <v>0</v>
          </cell>
          <cell r="EU22">
            <v>0</v>
          </cell>
          <cell r="EV22">
            <v>0</v>
          </cell>
          <cell r="EW22">
            <v>0</v>
          </cell>
          <cell r="EX22">
            <v>0</v>
          </cell>
          <cell r="EY22">
            <v>0</v>
          </cell>
          <cell r="EZ22">
            <v>0</v>
          </cell>
          <cell r="FA22">
            <v>0</v>
          </cell>
          <cell r="FB22">
            <v>0</v>
          </cell>
          <cell r="FC22">
            <v>0</v>
          </cell>
          <cell r="FD22">
            <v>0</v>
          </cell>
          <cell r="FE22">
            <v>1166322521.5642099</v>
          </cell>
          <cell r="FF22">
            <v>1168766614.93556</v>
          </cell>
          <cell r="FG22">
            <v>1151605659.9725699</v>
          </cell>
          <cell r="FH22">
            <v>0</v>
          </cell>
          <cell r="FI22">
            <v>0</v>
          </cell>
          <cell r="FJ22">
            <v>938321326.26988006</v>
          </cell>
          <cell r="FK22">
            <v>938321326.26988006</v>
          </cell>
          <cell r="FL22">
            <v>938321326.26988006</v>
          </cell>
          <cell r="FM22">
            <v>0</v>
          </cell>
          <cell r="FN22">
            <v>1024266152.7843699</v>
          </cell>
          <cell r="FO22">
            <v>1024266152.7843699</v>
          </cell>
          <cell r="FP22">
            <v>1024266152.7843699</v>
          </cell>
          <cell r="FQ22">
            <v>1153030298.3847699</v>
          </cell>
          <cell r="FR22">
            <v>0</v>
          </cell>
          <cell r="FS22">
            <v>1120696727.4560699</v>
          </cell>
          <cell r="FT22">
            <v>1120696727.4560699</v>
          </cell>
          <cell r="FU22">
            <v>1120696727.4560699</v>
          </cell>
          <cell r="FV22">
            <v>1120696727.4560699</v>
          </cell>
          <cell r="FW22">
            <v>1120696727.4560699</v>
          </cell>
          <cell r="FX22">
            <v>1120696727.4560699</v>
          </cell>
          <cell r="FY22">
            <v>1120696727.4560699</v>
          </cell>
          <cell r="FZ22">
            <v>1113921667.3166199</v>
          </cell>
          <cell r="GA22">
            <v>1155962688.01578</v>
          </cell>
          <cell r="GB22">
            <v>1168807618.9734302</v>
          </cell>
          <cell r="GC22">
            <v>1166322521.5642099</v>
          </cell>
          <cell r="GD22">
            <v>1166322521.5642099</v>
          </cell>
          <cell r="GE22">
            <v>1178311132.73716</v>
          </cell>
          <cell r="GF22">
            <v>1166322521.5642099</v>
          </cell>
          <cell r="GG22">
            <v>1207915646.56282</v>
          </cell>
          <cell r="GH22">
            <v>1166322521.5642099</v>
          </cell>
          <cell r="GI22">
            <v>1169145272.98276</v>
          </cell>
          <cell r="GJ22">
            <v>1166322521.5642099</v>
          </cell>
          <cell r="GK22">
            <v>1166477716.3880801</v>
          </cell>
          <cell r="GL22">
            <v>1166322521.5642099</v>
          </cell>
          <cell r="GM22">
            <v>1166322521.5642099</v>
          </cell>
          <cell r="GN22">
            <v>1166322521.5642099</v>
          </cell>
          <cell r="GO22">
            <v>1166322521.5642099</v>
          </cell>
          <cell r="GP22">
            <v>1166322521.5642099</v>
          </cell>
          <cell r="GQ22">
            <v>1166322521.5642099</v>
          </cell>
          <cell r="GR22">
            <v>1166322521.5642099</v>
          </cell>
          <cell r="GS22">
            <v>1166322521.5642099</v>
          </cell>
          <cell r="GT22">
            <v>1166322521.5642099</v>
          </cell>
          <cell r="GU22">
            <v>0</v>
          </cell>
          <cell r="GZ22">
            <v>0</v>
          </cell>
        </row>
        <row r="23">
          <cell r="A23" t="str">
            <v>F_CNP_NRF_EPA_UCS_FRCE_232</v>
          </cell>
          <cell r="B23">
            <v>216557228.32000002</v>
          </cell>
          <cell r="D23">
            <v>215641981.06891</v>
          </cell>
          <cell r="E23">
            <v>216298174.56687003</v>
          </cell>
          <cell r="F23">
            <v>215641981.06891</v>
          </cell>
          <cell r="G23">
            <v>215641981.06891</v>
          </cell>
          <cell r="H23">
            <v>0</v>
          </cell>
          <cell r="I23">
            <v>0</v>
          </cell>
          <cell r="J23">
            <v>215641981.06891</v>
          </cell>
          <cell r="K23">
            <v>215641981.06891</v>
          </cell>
          <cell r="L23">
            <v>215641981.06891</v>
          </cell>
          <cell r="M23">
            <v>0</v>
          </cell>
          <cell r="N23">
            <v>215641981.06891</v>
          </cell>
          <cell r="O23">
            <v>215641981.06891</v>
          </cell>
          <cell r="P23">
            <v>215641981.06891</v>
          </cell>
          <cell r="Q23">
            <v>215641981.06891</v>
          </cell>
          <cell r="R23">
            <v>0</v>
          </cell>
          <cell r="S23">
            <v>215641981.06891</v>
          </cell>
          <cell r="T23">
            <v>215641981.06891</v>
          </cell>
          <cell r="U23">
            <v>215641981.06891</v>
          </cell>
          <cell r="V23">
            <v>215641981.06891</v>
          </cell>
          <cell r="W23">
            <v>215641981.06891</v>
          </cell>
          <cell r="X23">
            <v>215641981.06891</v>
          </cell>
          <cell r="Y23">
            <v>215641981.06891</v>
          </cell>
          <cell r="Z23">
            <v>215641981.06891</v>
          </cell>
          <cell r="AA23">
            <v>215641981.06891</v>
          </cell>
          <cell r="AB23">
            <v>216108543.95635998</v>
          </cell>
          <cell r="AC23">
            <v>212843279.06821001</v>
          </cell>
          <cell r="AD23">
            <v>0</v>
          </cell>
          <cell r="AE23">
            <v>0</v>
          </cell>
          <cell r="AF23">
            <v>164913448.65090999</v>
          </cell>
          <cell r="AG23">
            <v>164913448.65090999</v>
          </cell>
          <cell r="AH23">
            <v>164913448.65090999</v>
          </cell>
          <cell r="AI23">
            <v>0</v>
          </cell>
          <cell r="AJ23">
            <v>200019153.78068</v>
          </cell>
          <cell r="AK23">
            <v>200019153.78068</v>
          </cell>
          <cell r="AL23">
            <v>200019153.78068</v>
          </cell>
          <cell r="AM23">
            <v>215641978.41467002</v>
          </cell>
          <cell r="AN23">
            <v>0</v>
          </cell>
          <cell r="AO23">
            <v>207253464.19786999</v>
          </cell>
          <cell r="AP23">
            <v>207253464.19786999</v>
          </cell>
          <cell r="AQ23">
            <v>207253464.19786999</v>
          </cell>
          <cell r="AR23">
            <v>207253464.19786999</v>
          </cell>
          <cell r="AS23">
            <v>207253464.19786999</v>
          </cell>
          <cell r="AT23">
            <v>207253464.19786999</v>
          </cell>
          <cell r="AU23">
            <v>207253464.19786999</v>
          </cell>
          <cell r="AV23">
            <v>206412019.4052</v>
          </cell>
          <cell r="AW23">
            <v>215641981.06891</v>
          </cell>
          <cell r="AX23">
            <v>216298174.56687003</v>
          </cell>
          <cell r="AY23">
            <v>216298174.56687003</v>
          </cell>
          <cell r="AZ23">
            <v>0</v>
          </cell>
          <cell r="BA23">
            <v>0</v>
          </cell>
          <cell r="BB23">
            <v>216298174.56687003</v>
          </cell>
          <cell r="BC23">
            <v>216298174.56687003</v>
          </cell>
          <cell r="BD23">
            <v>216298174.56687003</v>
          </cell>
          <cell r="BE23">
            <v>0</v>
          </cell>
          <cell r="BF23">
            <v>216298174.56687003</v>
          </cell>
          <cell r="BG23">
            <v>216298174.56687003</v>
          </cell>
          <cell r="BH23">
            <v>216298174.56687003</v>
          </cell>
          <cell r="BI23">
            <v>216298174.56687003</v>
          </cell>
          <cell r="BJ23">
            <v>0</v>
          </cell>
          <cell r="BK23">
            <v>216298174.56687003</v>
          </cell>
          <cell r="BL23">
            <v>216298174.56687003</v>
          </cell>
          <cell r="BM23">
            <v>216298174.56687003</v>
          </cell>
          <cell r="BN23">
            <v>216298174.56687003</v>
          </cell>
          <cell r="BO23">
            <v>216298174.56687003</v>
          </cell>
          <cell r="BP23">
            <v>216298174.56687003</v>
          </cell>
          <cell r="BQ23">
            <v>216298174.56687003</v>
          </cell>
          <cell r="BR23">
            <v>216298174.56687003</v>
          </cell>
          <cell r="BS23">
            <v>216298174.56687003</v>
          </cell>
          <cell r="BT23">
            <v>216751499.18516999</v>
          </cell>
          <cell r="BU23">
            <v>213579381.69322002</v>
          </cell>
          <cell r="BV23">
            <v>0</v>
          </cell>
          <cell r="BW23">
            <v>0</v>
          </cell>
          <cell r="BX23">
            <v>166993827.00296998</v>
          </cell>
          <cell r="BY23">
            <v>166993827.00296998</v>
          </cell>
          <cell r="BZ23">
            <v>166993827.00296998</v>
          </cell>
          <cell r="CA23">
            <v>0</v>
          </cell>
          <cell r="CB23">
            <v>201176116.75719002</v>
          </cell>
          <cell r="CC23">
            <v>201176116.75719002</v>
          </cell>
          <cell r="CD23">
            <v>201176116.75719002</v>
          </cell>
          <cell r="CE23">
            <v>216298172.02550003</v>
          </cell>
          <cell r="CF23">
            <v>0</v>
          </cell>
          <cell r="CG23">
            <v>208144773.79881001</v>
          </cell>
          <cell r="CH23">
            <v>208144773.79881001</v>
          </cell>
          <cell r="CI23">
            <v>208144773.79881001</v>
          </cell>
          <cell r="CJ23">
            <v>208144773.79881001</v>
          </cell>
          <cell r="CK23">
            <v>208144773.79881001</v>
          </cell>
          <cell r="CL23">
            <v>208144773.79881001</v>
          </cell>
          <cell r="CM23">
            <v>208144773.79881001</v>
          </cell>
          <cell r="CN23">
            <v>207334724.84729001</v>
          </cell>
          <cell r="CO23">
            <v>209643518.66192004</v>
          </cell>
          <cell r="CP23">
            <v>216298174.56687003</v>
          </cell>
          <cell r="CQ23">
            <v>216298174.56687003</v>
          </cell>
          <cell r="CR23">
            <v>216298174.56687003</v>
          </cell>
          <cell r="CS23">
            <v>216298174.56687003</v>
          </cell>
          <cell r="CT23">
            <v>216298174.56687003</v>
          </cell>
          <cell r="CU23">
            <v>216298174.56687003</v>
          </cell>
          <cell r="CV23">
            <v>216298174.56687003</v>
          </cell>
          <cell r="CW23">
            <v>216298174.56687003</v>
          </cell>
          <cell r="CX23">
            <v>216298174.56687003</v>
          </cell>
          <cell r="CY23">
            <v>216298174.56687003</v>
          </cell>
          <cell r="CZ23">
            <v>216392099.53277004</v>
          </cell>
          <cell r="DA23">
            <v>216455218.23336002</v>
          </cell>
          <cell r="DB23">
            <v>216298174.56687003</v>
          </cell>
          <cell r="DC23">
            <v>216580462.30100003</v>
          </cell>
          <cell r="DD23">
            <v>216322071.05835003</v>
          </cell>
          <cell r="DE23">
            <v>217234241.05696002</v>
          </cell>
          <cell r="DF23">
            <v>216298174.56687003</v>
          </cell>
          <cell r="DG23">
            <v>217800393.50383002</v>
          </cell>
          <cell r="DH23">
            <v>216298174.56687003</v>
          </cell>
          <cell r="DI23">
            <v>216302275.79885003</v>
          </cell>
          <cell r="DJ23">
            <v>0</v>
          </cell>
          <cell r="DK23">
            <v>0</v>
          </cell>
          <cell r="DL23">
            <v>0</v>
          </cell>
          <cell r="DM23">
            <v>0</v>
          </cell>
          <cell r="DN23">
            <v>0</v>
          </cell>
          <cell r="DO23">
            <v>0</v>
          </cell>
          <cell r="DP23">
            <v>0</v>
          </cell>
          <cell r="DQ23">
            <v>0</v>
          </cell>
          <cell r="DR23">
            <v>0</v>
          </cell>
          <cell r="DS23">
            <v>0</v>
          </cell>
          <cell r="DT23">
            <v>0</v>
          </cell>
          <cell r="DU23">
            <v>0</v>
          </cell>
          <cell r="DV23">
            <v>0</v>
          </cell>
          <cell r="DW23">
            <v>0</v>
          </cell>
          <cell r="DX23" t="str">
            <v/>
          </cell>
          <cell r="DY23" t="str">
            <v/>
          </cell>
          <cell r="DZ23" t="str">
            <v/>
          </cell>
          <cell r="EA23">
            <v>216298174.56687003</v>
          </cell>
          <cell r="EB23">
            <v>216298174.56687003</v>
          </cell>
          <cell r="EC23">
            <v>216298174.56687003</v>
          </cell>
          <cell r="ED23">
            <v>216298174.56687003</v>
          </cell>
          <cell r="EE23">
            <v>216298174.56687003</v>
          </cell>
          <cell r="EF23">
            <v>216298174.56687003</v>
          </cell>
          <cell r="EG23">
            <v>216298174.56687003</v>
          </cell>
          <cell r="EH23">
            <v>216298174.56687003</v>
          </cell>
          <cell r="EI23">
            <v>216298174.56687003</v>
          </cell>
          <cell r="EJ23">
            <v>216298174.56687003</v>
          </cell>
          <cell r="EK23">
            <v>216298174.56687003</v>
          </cell>
          <cell r="EL23">
            <v>216298174.56687003</v>
          </cell>
          <cell r="EM23">
            <v>216298174.56687003</v>
          </cell>
          <cell r="EN23">
            <v>216298174.56687003</v>
          </cell>
          <cell r="EO23">
            <v>216298174.56687003</v>
          </cell>
          <cell r="EP23">
            <v>216298174.56687003</v>
          </cell>
          <cell r="EQ23">
            <v>216298174.56687003</v>
          </cell>
          <cell r="ER23">
            <v>216298174.56687003</v>
          </cell>
          <cell r="ES23">
            <v>0</v>
          </cell>
          <cell r="ET23">
            <v>0</v>
          </cell>
          <cell r="EU23">
            <v>0</v>
          </cell>
          <cell r="EV23">
            <v>0</v>
          </cell>
          <cell r="EW23">
            <v>0</v>
          </cell>
          <cell r="EX23">
            <v>0</v>
          </cell>
          <cell r="EY23">
            <v>0</v>
          </cell>
          <cell r="EZ23">
            <v>0</v>
          </cell>
          <cell r="FA23">
            <v>0</v>
          </cell>
          <cell r="FB23">
            <v>0</v>
          </cell>
          <cell r="FC23">
            <v>0</v>
          </cell>
          <cell r="FD23">
            <v>0</v>
          </cell>
          <cell r="FE23">
            <v>216298174.56687003</v>
          </cell>
          <cell r="FF23">
            <v>216751499.18516999</v>
          </cell>
          <cell r="FG23">
            <v>213579381.69322002</v>
          </cell>
          <cell r="FH23">
            <v>0</v>
          </cell>
          <cell r="FI23">
            <v>0</v>
          </cell>
          <cell r="FJ23">
            <v>166993827.00296998</v>
          </cell>
          <cell r="FK23">
            <v>166993827.00296998</v>
          </cell>
          <cell r="FL23">
            <v>166993827.00296998</v>
          </cell>
          <cell r="FM23">
            <v>0</v>
          </cell>
          <cell r="FN23">
            <v>201176116.75719002</v>
          </cell>
          <cell r="FO23">
            <v>201176116.75719002</v>
          </cell>
          <cell r="FP23">
            <v>201176116.75719002</v>
          </cell>
          <cell r="FQ23">
            <v>216298172.02550003</v>
          </cell>
          <cell r="FR23">
            <v>0</v>
          </cell>
          <cell r="FS23">
            <v>208144773.79881001</v>
          </cell>
          <cell r="FT23">
            <v>208144773.79881001</v>
          </cell>
          <cell r="FU23">
            <v>208144773.79881001</v>
          </cell>
          <cell r="FV23">
            <v>208144773.79881001</v>
          </cell>
          <cell r="FW23">
            <v>208144773.79881001</v>
          </cell>
          <cell r="FX23">
            <v>208144773.79881001</v>
          </cell>
          <cell r="FY23">
            <v>208144773.79881001</v>
          </cell>
          <cell r="FZ23">
            <v>207334724.84729001</v>
          </cell>
          <cell r="GA23">
            <v>209643518.66192004</v>
          </cell>
          <cell r="GB23">
            <v>216392099.53277004</v>
          </cell>
          <cell r="GC23">
            <v>216455218.23336002</v>
          </cell>
          <cell r="GD23">
            <v>216298174.56687003</v>
          </cell>
          <cell r="GE23">
            <v>216580462.30100003</v>
          </cell>
          <cell r="GF23">
            <v>216322071.05835003</v>
          </cell>
          <cell r="GG23">
            <v>217234241.05696002</v>
          </cell>
          <cell r="GH23">
            <v>216298174.56687003</v>
          </cell>
          <cell r="GI23">
            <v>217800393.50383002</v>
          </cell>
          <cell r="GJ23">
            <v>216298174.56687003</v>
          </cell>
          <cell r="GK23">
            <v>216302275.79885003</v>
          </cell>
          <cell r="GL23">
            <v>216298174.56687003</v>
          </cell>
          <cell r="GM23">
            <v>216298174.56687003</v>
          </cell>
          <cell r="GN23">
            <v>216298174.56687003</v>
          </cell>
          <cell r="GO23">
            <v>216298174.56687003</v>
          </cell>
          <cell r="GP23">
            <v>216298174.56687003</v>
          </cell>
          <cell r="GQ23">
            <v>216298174.56687003</v>
          </cell>
          <cell r="GR23">
            <v>216298174.56687003</v>
          </cell>
          <cell r="GS23">
            <v>216298174.56687003</v>
          </cell>
          <cell r="GT23">
            <v>216298174.56687003</v>
          </cell>
          <cell r="GU23">
            <v>0</v>
          </cell>
          <cell r="GZ23">
            <v>0</v>
          </cell>
        </row>
        <row r="24">
          <cell r="A24" t="str">
            <v>F_CNP_NRF_EPA_UCS_FRCE_252</v>
          </cell>
          <cell r="B24">
            <v>45896742.120000005</v>
          </cell>
          <cell r="D24">
            <v>45803141.381630003</v>
          </cell>
          <cell r="E24">
            <v>47138383.03937</v>
          </cell>
          <cell r="F24">
            <v>45803141.381630003</v>
          </cell>
          <cell r="G24">
            <v>45803141.381630003</v>
          </cell>
          <cell r="H24">
            <v>0</v>
          </cell>
          <cell r="I24">
            <v>0</v>
          </cell>
          <cell r="J24">
            <v>45803141.381630003</v>
          </cell>
          <cell r="K24">
            <v>45803141.381630003</v>
          </cell>
          <cell r="L24">
            <v>45803141.381630003</v>
          </cell>
          <cell r="M24">
            <v>0</v>
          </cell>
          <cell r="N24">
            <v>45803141.381630003</v>
          </cell>
          <cell r="O24">
            <v>45803141.381630003</v>
          </cell>
          <cell r="P24">
            <v>45803141.381630003</v>
          </cell>
          <cell r="Q24">
            <v>45803141.381630003</v>
          </cell>
          <cell r="R24">
            <v>0</v>
          </cell>
          <cell r="S24">
            <v>45803141.381630003</v>
          </cell>
          <cell r="T24">
            <v>45803141.381630003</v>
          </cell>
          <cell r="U24">
            <v>45803141.381630003</v>
          </cell>
          <cell r="V24">
            <v>45803141.381630003</v>
          </cell>
          <cell r="W24">
            <v>45803141.381630003</v>
          </cell>
          <cell r="X24">
            <v>45803141.381630003</v>
          </cell>
          <cell r="Y24">
            <v>45803141.381630003</v>
          </cell>
          <cell r="Z24">
            <v>45803141.381630003</v>
          </cell>
          <cell r="AA24">
            <v>45803141.381630003</v>
          </cell>
          <cell r="AB24">
            <v>45896083.736469999</v>
          </cell>
          <cell r="AC24">
            <v>45237116.83924</v>
          </cell>
          <cell r="AD24">
            <v>0</v>
          </cell>
          <cell r="AE24">
            <v>0</v>
          </cell>
          <cell r="AF24">
            <v>35999568.888590001</v>
          </cell>
          <cell r="AG24">
            <v>35999568.888590001</v>
          </cell>
          <cell r="AH24">
            <v>35999568.888590001</v>
          </cell>
          <cell r="AI24">
            <v>0</v>
          </cell>
          <cell r="AJ24">
            <v>41637270.366119996</v>
          </cell>
          <cell r="AK24">
            <v>41637270.366119996</v>
          </cell>
          <cell r="AL24">
            <v>41637270.366119996</v>
          </cell>
          <cell r="AM24">
            <v>45803140.16071</v>
          </cell>
          <cell r="AN24">
            <v>0</v>
          </cell>
          <cell r="AO24">
            <v>44189324.648320004</v>
          </cell>
          <cell r="AP24">
            <v>44189324.648320004</v>
          </cell>
          <cell r="AQ24">
            <v>44189324.648320004</v>
          </cell>
          <cell r="AR24">
            <v>44189324.648320004</v>
          </cell>
          <cell r="AS24">
            <v>44189324.648320004</v>
          </cell>
          <cell r="AT24">
            <v>44189324.648320004</v>
          </cell>
          <cell r="AU24">
            <v>44189324.648320004</v>
          </cell>
          <cell r="AV24">
            <v>43883322.174429998</v>
          </cell>
          <cell r="AW24">
            <v>45803141.381630003</v>
          </cell>
          <cell r="AX24">
            <v>47138383.03937</v>
          </cell>
          <cell r="AY24">
            <v>47138383.03937</v>
          </cell>
          <cell r="AZ24">
            <v>0</v>
          </cell>
          <cell r="BA24">
            <v>0</v>
          </cell>
          <cell r="BB24">
            <v>47138383.03937</v>
          </cell>
          <cell r="BC24">
            <v>47138383.03937</v>
          </cell>
          <cell r="BD24">
            <v>47138383.03937</v>
          </cell>
          <cell r="BE24">
            <v>0</v>
          </cell>
          <cell r="BF24">
            <v>47138383.03937</v>
          </cell>
          <cell r="BG24">
            <v>47138383.03937</v>
          </cell>
          <cell r="BH24">
            <v>47138383.03937</v>
          </cell>
          <cell r="BI24">
            <v>47138383.03937</v>
          </cell>
          <cell r="BJ24">
            <v>0</v>
          </cell>
          <cell r="BK24">
            <v>47138383.03937</v>
          </cell>
          <cell r="BL24">
            <v>47138383.03937</v>
          </cell>
          <cell r="BM24">
            <v>47138383.03937</v>
          </cell>
          <cell r="BN24">
            <v>47138383.03937</v>
          </cell>
          <cell r="BO24">
            <v>47138383.03937</v>
          </cell>
          <cell r="BP24">
            <v>47138383.03937</v>
          </cell>
          <cell r="BQ24">
            <v>47138383.03937</v>
          </cell>
          <cell r="BR24">
            <v>47138383.03937</v>
          </cell>
          <cell r="BS24">
            <v>47138383.03937</v>
          </cell>
          <cell r="BT24">
            <v>47224888.021589994</v>
          </cell>
          <cell r="BU24">
            <v>46611562.485029995</v>
          </cell>
          <cell r="BV24">
            <v>0</v>
          </cell>
          <cell r="BW24">
            <v>0</v>
          </cell>
          <cell r="BX24">
            <v>38013825.024769999</v>
          </cell>
          <cell r="BY24">
            <v>38013825.024769999</v>
          </cell>
          <cell r="BZ24">
            <v>38013825.024769999</v>
          </cell>
          <cell r="CA24">
            <v>0</v>
          </cell>
          <cell r="CB24">
            <v>43261048.373160005</v>
          </cell>
          <cell r="CC24">
            <v>43261048.373160005</v>
          </cell>
          <cell r="CD24">
            <v>43261048.373160005</v>
          </cell>
          <cell r="CE24">
            <v>47138381.903009996</v>
          </cell>
          <cell r="CF24">
            <v>0</v>
          </cell>
          <cell r="CG24">
            <v>45636342.445720002</v>
          </cell>
          <cell r="CH24">
            <v>45636342.445720002</v>
          </cell>
          <cell r="CI24">
            <v>45636342.445720002</v>
          </cell>
          <cell r="CJ24">
            <v>45636342.445720002</v>
          </cell>
          <cell r="CK24">
            <v>45636342.445720002</v>
          </cell>
          <cell r="CL24">
            <v>45636342.445720002</v>
          </cell>
          <cell r="CM24">
            <v>45636342.445720002</v>
          </cell>
          <cell r="CN24">
            <v>45351534.30336</v>
          </cell>
          <cell r="CO24">
            <v>42869811.224610001</v>
          </cell>
          <cell r="CP24">
            <v>47138383.03937</v>
          </cell>
          <cell r="CQ24">
            <v>47138383.03937</v>
          </cell>
          <cell r="CR24">
            <v>47138383.03937</v>
          </cell>
          <cell r="CS24">
            <v>47138383.03937</v>
          </cell>
          <cell r="CT24">
            <v>47138383.03937</v>
          </cell>
          <cell r="CU24">
            <v>47138383.03937</v>
          </cell>
          <cell r="CV24">
            <v>47138383.03937</v>
          </cell>
          <cell r="CW24">
            <v>47138383.03937</v>
          </cell>
          <cell r="CX24">
            <v>47138383.03937</v>
          </cell>
          <cell r="CY24">
            <v>47138383.03937</v>
          </cell>
          <cell r="CZ24">
            <v>47138383.03937</v>
          </cell>
          <cell r="DA24">
            <v>47227877.270919994</v>
          </cell>
          <cell r="DB24">
            <v>47138383.03937</v>
          </cell>
          <cell r="DC24">
            <v>47138383.03937</v>
          </cell>
          <cell r="DD24">
            <v>47210778.85345</v>
          </cell>
          <cell r="DE24">
            <v>47138383.03937</v>
          </cell>
          <cell r="DF24">
            <v>47138383.03937</v>
          </cell>
          <cell r="DG24">
            <v>48039409.343349993</v>
          </cell>
          <cell r="DH24">
            <v>47138383.03937</v>
          </cell>
          <cell r="DI24">
            <v>47138383.03937</v>
          </cell>
          <cell r="DJ24">
            <v>0</v>
          </cell>
          <cell r="DK24">
            <v>0</v>
          </cell>
          <cell r="DL24">
            <v>0</v>
          </cell>
          <cell r="DM24">
            <v>0</v>
          </cell>
          <cell r="DN24">
            <v>0</v>
          </cell>
          <cell r="DO24">
            <v>0</v>
          </cell>
          <cell r="DP24">
            <v>0</v>
          </cell>
          <cell r="DQ24">
            <v>0</v>
          </cell>
          <cell r="DR24">
            <v>0</v>
          </cell>
          <cell r="DS24">
            <v>0</v>
          </cell>
          <cell r="DT24">
            <v>0</v>
          </cell>
          <cell r="DU24">
            <v>0</v>
          </cell>
          <cell r="DV24">
            <v>0</v>
          </cell>
          <cell r="DW24">
            <v>0</v>
          </cell>
          <cell r="DX24" t="str">
            <v/>
          </cell>
          <cell r="DY24" t="str">
            <v/>
          </cell>
          <cell r="DZ24" t="str">
            <v/>
          </cell>
          <cell r="EA24">
            <v>47138383.03937</v>
          </cell>
          <cell r="EB24">
            <v>47138383.03937</v>
          </cell>
          <cell r="EC24">
            <v>47138383.03937</v>
          </cell>
          <cell r="ED24">
            <v>47138383.03937</v>
          </cell>
          <cell r="EE24">
            <v>47138383.03937</v>
          </cell>
          <cell r="EF24">
            <v>47138383.03937</v>
          </cell>
          <cell r="EG24">
            <v>47138383.03937</v>
          </cell>
          <cell r="EH24">
            <v>47138383.03937</v>
          </cell>
          <cell r="EI24">
            <v>47138383.03937</v>
          </cell>
          <cell r="EJ24">
            <v>47138383.03937</v>
          </cell>
          <cell r="EK24">
            <v>47138383.03937</v>
          </cell>
          <cell r="EL24">
            <v>47138383.03937</v>
          </cell>
          <cell r="EM24">
            <v>47138383.03937</v>
          </cell>
          <cell r="EN24">
            <v>47138383.03937</v>
          </cell>
          <cell r="EO24">
            <v>47138383.03937</v>
          </cell>
          <cell r="EP24">
            <v>47138383.03937</v>
          </cell>
          <cell r="EQ24">
            <v>47138383.03937</v>
          </cell>
          <cell r="ER24">
            <v>47138383.03937</v>
          </cell>
          <cell r="ES24">
            <v>0</v>
          </cell>
          <cell r="ET24">
            <v>0</v>
          </cell>
          <cell r="EU24">
            <v>0</v>
          </cell>
          <cell r="EV24">
            <v>0</v>
          </cell>
          <cell r="EW24">
            <v>0</v>
          </cell>
          <cell r="EX24">
            <v>0</v>
          </cell>
          <cell r="EY24">
            <v>0</v>
          </cell>
          <cell r="EZ24">
            <v>0</v>
          </cell>
          <cell r="FA24">
            <v>0</v>
          </cell>
          <cell r="FB24">
            <v>0</v>
          </cell>
          <cell r="FC24">
            <v>0</v>
          </cell>
          <cell r="FD24">
            <v>0</v>
          </cell>
          <cell r="FE24">
            <v>47138383.03937</v>
          </cell>
          <cell r="FF24">
            <v>47224888.021589994</v>
          </cell>
          <cell r="FG24">
            <v>46611562.485029995</v>
          </cell>
          <cell r="FH24">
            <v>0</v>
          </cell>
          <cell r="FI24">
            <v>0</v>
          </cell>
          <cell r="FJ24">
            <v>38013825.024769999</v>
          </cell>
          <cell r="FK24">
            <v>38013825.024769999</v>
          </cell>
          <cell r="FL24">
            <v>38013825.024769999</v>
          </cell>
          <cell r="FM24">
            <v>0</v>
          </cell>
          <cell r="FN24">
            <v>43261048.373160005</v>
          </cell>
          <cell r="FO24">
            <v>43261048.373160005</v>
          </cell>
          <cell r="FP24">
            <v>43261048.373160005</v>
          </cell>
          <cell r="FQ24">
            <v>47138381.903009996</v>
          </cell>
          <cell r="FR24">
            <v>0</v>
          </cell>
          <cell r="FS24">
            <v>45636342.445720002</v>
          </cell>
          <cell r="FT24">
            <v>45636342.445720002</v>
          </cell>
          <cell r="FU24">
            <v>45636342.445720002</v>
          </cell>
          <cell r="FV24">
            <v>45636342.445720002</v>
          </cell>
          <cell r="FW24">
            <v>45636342.445720002</v>
          </cell>
          <cell r="FX24">
            <v>45636342.445720002</v>
          </cell>
          <cell r="FY24">
            <v>45636342.445720002</v>
          </cell>
          <cell r="FZ24">
            <v>45351534.30336</v>
          </cell>
          <cell r="GA24">
            <v>42869811.224610001</v>
          </cell>
          <cell r="GB24">
            <v>47138383.03937</v>
          </cell>
          <cell r="GC24">
            <v>47227877.270919994</v>
          </cell>
          <cell r="GD24">
            <v>47138383.03937</v>
          </cell>
          <cell r="GE24">
            <v>47138383.03937</v>
          </cell>
          <cell r="GF24">
            <v>47210778.85345</v>
          </cell>
          <cell r="GG24">
            <v>47138383.03937</v>
          </cell>
          <cell r="GH24">
            <v>47138383.03937</v>
          </cell>
          <cell r="GI24">
            <v>48039409.343349993</v>
          </cell>
          <cell r="GJ24">
            <v>47138383.03937</v>
          </cell>
          <cell r="GK24">
            <v>47138383.03937</v>
          </cell>
          <cell r="GL24">
            <v>47138383.03937</v>
          </cell>
          <cell r="GM24">
            <v>47138383.03937</v>
          </cell>
          <cell r="GN24">
            <v>47138383.03937</v>
          </cell>
          <cell r="GO24">
            <v>47138383.03937</v>
          </cell>
          <cell r="GP24">
            <v>47138383.03937</v>
          </cell>
          <cell r="GQ24">
            <v>47138383.03937</v>
          </cell>
          <cell r="GR24">
            <v>47138383.03937</v>
          </cell>
          <cell r="GS24">
            <v>47138383.03937</v>
          </cell>
          <cell r="GT24">
            <v>47138383.03937</v>
          </cell>
          <cell r="GU24">
            <v>0</v>
          </cell>
          <cell r="GZ24">
            <v>0</v>
          </cell>
        </row>
        <row r="25">
          <cell r="A25" t="str">
            <v>F_CNP_NRF_EPA_UCS_FRCE_256</v>
          </cell>
          <cell r="B25">
            <v>479960103.79000008</v>
          </cell>
          <cell r="D25">
            <v>480101603.94237</v>
          </cell>
          <cell r="E25">
            <v>569444298.94698</v>
          </cell>
          <cell r="F25">
            <v>480101603.94237</v>
          </cell>
          <cell r="G25">
            <v>480101603.94237</v>
          </cell>
          <cell r="H25">
            <v>0</v>
          </cell>
          <cell r="I25">
            <v>0</v>
          </cell>
          <cell r="J25">
            <v>480101603.94237</v>
          </cell>
          <cell r="K25">
            <v>480101603.94237</v>
          </cell>
          <cell r="L25">
            <v>480101603.94237</v>
          </cell>
          <cell r="M25">
            <v>0</v>
          </cell>
          <cell r="N25">
            <v>480101603.94237</v>
          </cell>
          <cell r="O25">
            <v>480101603.94237</v>
          </cell>
          <cell r="P25">
            <v>480101603.94237</v>
          </cell>
          <cell r="Q25">
            <v>480101603.94237</v>
          </cell>
          <cell r="R25">
            <v>0</v>
          </cell>
          <cell r="S25">
            <v>480101603.94237</v>
          </cell>
          <cell r="T25">
            <v>480101603.94237</v>
          </cell>
          <cell r="U25">
            <v>480101603.94237</v>
          </cell>
          <cell r="V25">
            <v>480101603.94237</v>
          </cell>
          <cell r="W25">
            <v>480101603.94237</v>
          </cell>
          <cell r="X25">
            <v>480101603.94237</v>
          </cell>
          <cell r="Y25">
            <v>480101603.94237</v>
          </cell>
          <cell r="Z25">
            <v>480101603.94237</v>
          </cell>
          <cell r="AA25">
            <v>480101603.94237</v>
          </cell>
          <cell r="AB25">
            <v>481151280.03749996</v>
          </cell>
          <cell r="AC25">
            <v>473709013.15384996</v>
          </cell>
          <cell r="AD25">
            <v>0</v>
          </cell>
          <cell r="AE25">
            <v>0</v>
          </cell>
          <cell r="AF25">
            <v>369381623.19617999</v>
          </cell>
          <cell r="AG25">
            <v>369381623.19617999</v>
          </cell>
          <cell r="AH25">
            <v>369381623.19617999</v>
          </cell>
          <cell r="AI25">
            <v>0</v>
          </cell>
          <cell r="AJ25">
            <v>433052922.58759999</v>
          </cell>
          <cell r="AK25">
            <v>433052922.58759999</v>
          </cell>
          <cell r="AL25">
            <v>433052922.58759999</v>
          </cell>
          <cell r="AM25">
            <v>480101590.15348011</v>
          </cell>
          <cell r="AN25">
            <v>0</v>
          </cell>
          <cell r="AO25">
            <v>461875415.44434994</v>
          </cell>
          <cell r="AP25">
            <v>461875415.44434994</v>
          </cell>
          <cell r="AQ25">
            <v>461875415.44434994</v>
          </cell>
          <cell r="AR25">
            <v>461875415.44434994</v>
          </cell>
          <cell r="AS25">
            <v>461875415.44434994</v>
          </cell>
          <cell r="AT25">
            <v>461875415.44434994</v>
          </cell>
          <cell r="AU25">
            <v>461875415.44434994</v>
          </cell>
          <cell r="AV25">
            <v>458419472.45343</v>
          </cell>
          <cell r="AW25">
            <v>480101603.94237</v>
          </cell>
          <cell r="AX25">
            <v>569444298.94698</v>
          </cell>
          <cell r="AY25">
            <v>569444298.94698</v>
          </cell>
          <cell r="AZ25">
            <v>0</v>
          </cell>
          <cell r="BA25">
            <v>0</v>
          </cell>
          <cell r="BB25">
            <v>569444298.94698</v>
          </cell>
          <cell r="BC25">
            <v>569444298.94698</v>
          </cell>
          <cell r="BD25">
            <v>569444298.94698</v>
          </cell>
          <cell r="BE25">
            <v>0</v>
          </cell>
          <cell r="BF25">
            <v>569444298.94698</v>
          </cell>
          <cell r="BG25">
            <v>569444298.94698</v>
          </cell>
          <cell r="BH25">
            <v>569444298.94698</v>
          </cell>
          <cell r="BI25">
            <v>569444298.94698</v>
          </cell>
          <cell r="BJ25">
            <v>0</v>
          </cell>
          <cell r="BK25">
            <v>569444298.94698</v>
          </cell>
          <cell r="BL25">
            <v>569444298.94698</v>
          </cell>
          <cell r="BM25">
            <v>569444298.94698</v>
          </cell>
          <cell r="BN25">
            <v>569444298.94698</v>
          </cell>
          <cell r="BO25">
            <v>569444298.94698</v>
          </cell>
          <cell r="BP25">
            <v>569444298.94698</v>
          </cell>
          <cell r="BQ25">
            <v>569444298.94698</v>
          </cell>
          <cell r="BR25">
            <v>569444298.94698</v>
          </cell>
          <cell r="BS25">
            <v>569444298.94698</v>
          </cell>
          <cell r="BT25">
            <v>570368558.65228999</v>
          </cell>
          <cell r="BU25">
            <v>563816184.22391999</v>
          </cell>
          <cell r="BV25">
            <v>0</v>
          </cell>
          <cell r="BW25">
            <v>0</v>
          </cell>
          <cell r="BX25">
            <v>471972087.09255993</v>
          </cell>
          <cell r="BY25">
            <v>471972087.09255993</v>
          </cell>
          <cell r="BZ25">
            <v>471972087.09255993</v>
          </cell>
          <cell r="CA25">
            <v>0</v>
          </cell>
          <cell r="CB25">
            <v>528025431.61102998</v>
          </cell>
          <cell r="CC25">
            <v>528025431.61102998</v>
          </cell>
          <cell r="CD25">
            <v>528025431.61102998</v>
          </cell>
          <cell r="CE25">
            <v>569444286.8088001</v>
          </cell>
          <cell r="CF25">
            <v>0</v>
          </cell>
          <cell r="CG25">
            <v>553398970.48710978</v>
          </cell>
          <cell r="CH25">
            <v>553398970.48710978</v>
          </cell>
          <cell r="CI25">
            <v>553398970.48710978</v>
          </cell>
          <cell r="CJ25">
            <v>553398970.48710978</v>
          </cell>
          <cell r="CK25">
            <v>553398970.48710978</v>
          </cell>
          <cell r="CL25">
            <v>553398970.48710978</v>
          </cell>
          <cell r="CM25">
            <v>553398970.48710978</v>
          </cell>
          <cell r="CN25">
            <v>550356509.64336991</v>
          </cell>
          <cell r="CO25">
            <v>421136062.29542017</v>
          </cell>
          <cell r="CP25">
            <v>569444298.94698</v>
          </cell>
          <cell r="CQ25">
            <v>569444298.94698</v>
          </cell>
          <cell r="CR25">
            <v>569444298.94698</v>
          </cell>
          <cell r="CS25">
            <v>569444298.94698</v>
          </cell>
          <cell r="CT25">
            <v>569444298.94698</v>
          </cell>
          <cell r="CU25">
            <v>569444298.94698</v>
          </cell>
          <cell r="CV25">
            <v>569444298.94698</v>
          </cell>
          <cell r="CW25">
            <v>569444298.94698</v>
          </cell>
          <cell r="CX25">
            <v>569444298.94698</v>
          </cell>
          <cell r="CY25">
            <v>569444298.94698</v>
          </cell>
          <cell r="CZ25">
            <v>569455957.61881995</v>
          </cell>
          <cell r="DA25">
            <v>573107963.64057982</v>
          </cell>
          <cell r="DB25">
            <v>569444298.94698</v>
          </cell>
          <cell r="DC25">
            <v>569522652.50778997</v>
          </cell>
          <cell r="DD25">
            <v>574599029.32458985</v>
          </cell>
          <cell r="DE25">
            <v>569619309.10023999</v>
          </cell>
          <cell r="DF25">
            <v>569444298.94698</v>
          </cell>
          <cell r="DG25">
            <v>609440722.91640019</v>
          </cell>
          <cell r="DH25">
            <v>569444298.94698</v>
          </cell>
          <cell r="DI25">
            <v>569444952.53644001</v>
          </cell>
          <cell r="DJ25">
            <v>0</v>
          </cell>
          <cell r="DK25">
            <v>0</v>
          </cell>
          <cell r="DL25">
            <v>0</v>
          </cell>
          <cell r="DM25">
            <v>0</v>
          </cell>
          <cell r="DN25">
            <v>0</v>
          </cell>
          <cell r="DO25">
            <v>0</v>
          </cell>
          <cell r="DP25">
            <v>0</v>
          </cell>
          <cell r="DQ25">
            <v>0</v>
          </cell>
          <cell r="DR25">
            <v>0</v>
          </cell>
          <cell r="DS25">
            <v>0</v>
          </cell>
          <cell r="DT25">
            <v>0</v>
          </cell>
          <cell r="DU25">
            <v>0</v>
          </cell>
          <cell r="DV25">
            <v>0</v>
          </cell>
          <cell r="DW25">
            <v>0</v>
          </cell>
          <cell r="DX25" t="str">
            <v/>
          </cell>
          <cell r="DY25" t="str">
            <v/>
          </cell>
          <cell r="DZ25" t="str">
            <v/>
          </cell>
          <cell r="EA25">
            <v>569444298.94698</v>
          </cell>
          <cell r="EB25">
            <v>569444298.94698</v>
          </cell>
          <cell r="EC25">
            <v>569444298.94698</v>
          </cell>
          <cell r="ED25">
            <v>569444298.94698</v>
          </cell>
          <cell r="EE25">
            <v>569444298.94698</v>
          </cell>
          <cell r="EF25">
            <v>569444298.94698</v>
          </cell>
          <cell r="EG25">
            <v>569444298.94698</v>
          </cell>
          <cell r="EH25">
            <v>569444298.94698</v>
          </cell>
          <cell r="EI25">
            <v>569444298.94698</v>
          </cell>
          <cell r="EJ25">
            <v>569444298.94698</v>
          </cell>
          <cell r="EK25">
            <v>569444298.94698</v>
          </cell>
          <cell r="EL25">
            <v>569444298.94698</v>
          </cell>
          <cell r="EM25">
            <v>569444298.94698</v>
          </cell>
          <cell r="EN25">
            <v>569444298.94698</v>
          </cell>
          <cell r="EO25">
            <v>569444298.94698</v>
          </cell>
          <cell r="EP25">
            <v>569444298.94698</v>
          </cell>
          <cell r="EQ25">
            <v>569444298.94698</v>
          </cell>
          <cell r="ER25">
            <v>569444298.94698</v>
          </cell>
          <cell r="ES25">
            <v>0</v>
          </cell>
          <cell r="ET25">
            <v>0</v>
          </cell>
          <cell r="EU25">
            <v>0</v>
          </cell>
          <cell r="EV25">
            <v>0</v>
          </cell>
          <cell r="EW25">
            <v>0</v>
          </cell>
          <cell r="EX25">
            <v>0</v>
          </cell>
          <cell r="EY25">
            <v>0</v>
          </cell>
          <cell r="EZ25">
            <v>0</v>
          </cell>
          <cell r="FA25">
            <v>0</v>
          </cell>
          <cell r="FB25">
            <v>0</v>
          </cell>
          <cell r="FC25">
            <v>0</v>
          </cell>
          <cell r="FD25">
            <v>0</v>
          </cell>
          <cell r="FE25">
            <v>569444298.94698</v>
          </cell>
          <cell r="FF25">
            <v>570368558.65228999</v>
          </cell>
          <cell r="FG25">
            <v>563816184.22391999</v>
          </cell>
          <cell r="FH25">
            <v>0</v>
          </cell>
          <cell r="FI25">
            <v>0</v>
          </cell>
          <cell r="FJ25">
            <v>471972087.09255993</v>
          </cell>
          <cell r="FK25">
            <v>471972087.09255993</v>
          </cell>
          <cell r="FL25">
            <v>471972087.09255993</v>
          </cell>
          <cell r="FM25">
            <v>0</v>
          </cell>
          <cell r="FN25">
            <v>528025431.61102998</v>
          </cell>
          <cell r="FO25">
            <v>528025431.61102998</v>
          </cell>
          <cell r="FP25">
            <v>528025431.61102998</v>
          </cell>
          <cell r="FQ25">
            <v>569444286.8088001</v>
          </cell>
          <cell r="FR25">
            <v>0</v>
          </cell>
          <cell r="FS25">
            <v>553398970.48710978</v>
          </cell>
          <cell r="FT25">
            <v>553398970.48710978</v>
          </cell>
          <cell r="FU25">
            <v>553398970.48710978</v>
          </cell>
          <cell r="FV25">
            <v>553398970.48710978</v>
          </cell>
          <cell r="FW25">
            <v>553398970.48710978</v>
          </cell>
          <cell r="FX25">
            <v>553398970.48710978</v>
          </cell>
          <cell r="FY25">
            <v>553398970.48710978</v>
          </cell>
          <cell r="FZ25">
            <v>550356509.64336991</v>
          </cell>
          <cell r="GA25">
            <v>421136062.29542017</v>
          </cell>
          <cell r="GB25">
            <v>569455957.61881995</v>
          </cell>
          <cell r="GC25">
            <v>573107963.64057982</v>
          </cell>
          <cell r="GD25">
            <v>569444298.94698</v>
          </cell>
          <cell r="GE25">
            <v>569522652.50778997</v>
          </cell>
          <cell r="GF25">
            <v>574599029.32458985</v>
          </cell>
          <cell r="GG25">
            <v>569619309.10023999</v>
          </cell>
          <cell r="GH25">
            <v>569444298.94698</v>
          </cell>
          <cell r="GI25">
            <v>609440722.91640019</v>
          </cell>
          <cell r="GJ25">
            <v>569444298.94698</v>
          </cell>
          <cell r="GK25">
            <v>569444952.53644001</v>
          </cell>
          <cell r="GL25">
            <v>569444298.94698</v>
          </cell>
          <cell r="GM25">
            <v>569444298.94698</v>
          </cell>
          <cell r="GN25">
            <v>569444298.94698</v>
          </cell>
          <cell r="GO25">
            <v>569444298.94698</v>
          </cell>
          <cell r="GP25">
            <v>569444298.94698</v>
          </cell>
          <cell r="GQ25">
            <v>569444298.94698</v>
          </cell>
          <cell r="GR25">
            <v>569444298.94698</v>
          </cell>
          <cell r="GS25">
            <v>569444298.94698</v>
          </cell>
          <cell r="GT25">
            <v>569444298.94698</v>
          </cell>
          <cell r="GU25">
            <v>0</v>
          </cell>
          <cell r="GZ25">
            <v>0</v>
          </cell>
        </row>
        <row r="26">
          <cell r="A26" t="str">
            <v>F_CNP_NRF_EPA_UCS_FRCE_259</v>
          </cell>
          <cell r="B26">
            <v>86362951.420000017</v>
          </cell>
          <cell r="D26">
            <v>86497270.509799987</v>
          </cell>
          <cell r="E26">
            <v>81426555.981000006</v>
          </cell>
          <cell r="F26">
            <v>86497270.509799987</v>
          </cell>
          <cell r="G26">
            <v>86497270.509799987</v>
          </cell>
          <cell r="H26">
            <v>0</v>
          </cell>
          <cell r="I26">
            <v>0</v>
          </cell>
          <cell r="J26">
            <v>86497270.509799987</v>
          </cell>
          <cell r="K26">
            <v>86497270.509799987</v>
          </cell>
          <cell r="L26">
            <v>86497270.509799987</v>
          </cell>
          <cell r="M26">
            <v>0</v>
          </cell>
          <cell r="N26">
            <v>86497270.509799987</v>
          </cell>
          <cell r="O26">
            <v>86497270.509799987</v>
          </cell>
          <cell r="P26">
            <v>86497270.509799987</v>
          </cell>
          <cell r="Q26">
            <v>86497270.509799987</v>
          </cell>
          <cell r="R26">
            <v>0</v>
          </cell>
          <cell r="S26">
            <v>86497270.509799987</v>
          </cell>
          <cell r="T26">
            <v>86497270.509799987</v>
          </cell>
          <cell r="U26">
            <v>86497270.509799987</v>
          </cell>
          <cell r="V26">
            <v>86497270.509799987</v>
          </cell>
          <cell r="W26">
            <v>86497270.509799987</v>
          </cell>
          <cell r="X26">
            <v>86497270.509799987</v>
          </cell>
          <cell r="Y26">
            <v>86497270.509799987</v>
          </cell>
          <cell r="Z26">
            <v>86497270.509799987</v>
          </cell>
          <cell r="AA26">
            <v>86497270.509799987</v>
          </cell>
          <cell r="AB26">
            <v>86687094.063950002</v>
          </cell>
          <cell r="AC26">
            <v>85341233.630120009</v>
          </cell>
          <cell r="AD26">
            <v>0</v>
          </cell>
          <cell r="AE26">
            <v>0</v>
          </cell>
          <cell r="AF26">
            <v>66474655.95990999</v>
          </cell>
          <cell r="AG26">
            <v>66474655.95990999</v>
          </cell>
          <cell r="AH26">
            <v>66474655.95990999</v>
          </cell>
          <cell r="AI26">
            <v>0</v>
          </cell>
          <cell r="AJ26">
            <v>77988981.33803001</v>
          </cell>
          <cell r="AK26">
            <v>77988981.33803001</v>
          </cell>
          <cell r="AL26">
            <v>77988981.33803001</v>
          </cell>
          <cell r="AM26">
            <v>86497268.016210005</v>
          </cell>
          <cell r="AN26">
            <v>0</v>
          </cell>
          <cell r="AO26">
            <v>83201244.412009999</v>
          </cell>
          <cell r="AP26">
            <v>83201244.412009999</v>
          </cell>
          <cell r="AQ26">
            <v>83201244.412009999</v>
          </cell>
          <cell r="AR26">
            <v>83201244.412009999</v>
          </cell>
          <cell r="AS26">
            <v>83201244.412009999</v>
          </cell>
          <cell r="AT26">
            <v>83201244.412009999</v>
          </cell>
          <cell r="AU26">
            <v>83201244.412009999</v>
          </cell>
          <cell r="AV26">
            <v>82576271.261200011</v>
          </cell>
          <cell r="AW26">
            <v>86497270.509799987</v>
          </cell>
          <cell r="AX26">
            <v>81426555.981000006</v>
          </cell>
          <cell r="AY26">
            <v>81426555.981000006</v>
          </cell>
          <cell r="AZ26">
            <v>0</v>
          </cell>
          <cell r="BA26">
            <v>0</v>
          </cell>
          <cell r="BB26">
            <v>81426555.981000006</v>
          </cell>
          <cell r="BC26">
            <v>81426555.981000006</v>
          </cell>
          <cell r="BD26">
            <v>81426555.981000006</v>
          </cell>
          <cell r="BE26">
            <v>0</v>
          </cell>
          <cell r="BF26">
            <v>81426555.981000006</v>
          </cell>
          <cell r="BG26">
            <v>81426555.981000006</v>
          </cell>
          <cell r="BH26">
            <v>81426555.981000006</v>
          </cell>
          <cell r="BI26">
            <v>81426555.981000006</v>
          </cell>
          <cell r="BJ26">
            <v>0</v>
          </cell>
          <cell r="BK26">
            <v>81426555.981000006</v>
          </cell>
          <cell r="BL26">
            <v>81426555.981000006</v>
          </cell>
          <cell r="BM26">
            <v>81426555.981000006</v>
          </cell>
          <cell r="BN26">
            <v>81426555.981000006</v>
          </cell>
          <cell r="BO26">
            <v>81426555.981000006</v>
          </cell>
          <cell r="BP26">
            <v>81426555.981000006</v>
          </cell>
          <cell r="BQ26">
            <v>81426555.981000006</v>
          </cell>
          <cell r="BR26">
            <v>81426555.981000006</v>
          </cell>
          <cell r="BS26">
            <v>81426555.981000006</v>
          </cell>
          <cell r="BT26">
            <v>81585693.051149994</v>
          </cell>
          <cell r="BU26">
            <v>80457402.018270016</v>
          </cell>
          <cell r="BV26">
            <v>0</v>
          </cell>
          <cell r="BW26">
            <v>0</v>
          </cell>
          <cell r="BX26">
            <v>64640715.779349998</v>
          </cell>
          <cell r="BY26">
            <v>64640715.779349998</v>
          </cell>
          <cell r="BZ26">
            <v>64640715.779349998</v>
          </cell>
          <cell r="CA26">
            <v>0</v>
          </cell>
          <cell r="CB26">
            <v>74293697.359450012</v>
          </cell>
          <cell r="CC26">
            <v>74293697.359450012</v>
          </cell>
          <cell r="CD26">
            <v>74293697.359450012</v>
          </cell>
          <cell r="CE26">
            <v>81426553.890520006</v>
          </cell>
          <cell r="CF26">
            <v>0</v>
          </cell>
          <cell r="CG26">
            <v>78663357.747869998</v>
          </cell>
          <cell r="CH26">
            <v>78663357.747869998</v>
          </cell>
          <cell r="CI26">
            <v>78663357.747869998</v>
          </cell>
          <cell r="CJ26">
            <v>78663357.747869998</v>
          </cell>
          <cell r="CK26">
            <v>78663357.747869998</v>
          </cell>
          <cell r="CL26">
            <v>78663357.747869998</v>
          </cell>
          <cell r="CM26">
            <v>78663357.747869998</v>
          </cell>
          <cell r="CN26">
            <v>78139416.429079995</v>
          </cell>
          <cell r="CO26">
            <v>72514268.621059999</v>
          </cell>
          <cell r="CP26">
            <v>81426555.981000006</v>
          </cell>
          <cell r="CQ26">
            <v>81426555.981000006</v>
          </cell>
          <cell r="CR26">
            <v>81426555.981000006</v>
          </cell>
          <cell r="CS26">
            <v>81426555.981000006</v>
          </cell>
          <cell r="CT26">
            <v>81426555.981000006</v>
          </cell>
          <cell r="CU26">
            <v>81426555.981000006</v>
          </cell>
          <cell r="CV26">
            <v>81426555.981000006</v>
          </cell>
          <cell r="CW26">
            <v>81426555.981000006</v>
          </cell>
          <cell r="CX26">
            <v>81426555.981000006</v>
          </cell>
          <cell r="CY26">
            <v>81426555.981000006</v>
          </cell>
          <cell r="CZ26">
            <v>81505234.748050004</v>
          </cell>
          <cell r="DA26">
            <v>81431315.349110007</v>
          </cell>
          <cell r="DB26">
            <v>81426555.981000006</v>
          </cell>
          <cell r="DC26">
            <v>83233948.951729998</v>
          </cell>
          <cell r="DD26">
            <v>81435086.680710003</v>
          </cell>
          <cell r="DE26">
            <v>83691732.536680013</v>
          </cell>
          <cell r="DF26">
            <v>81426555.981000006</v>
          </cell>
          <cell r="DG26">
            <v>83793948.22409001</v>
          </cell>
          <cell r="DH26">
            <v>81426555.981000006</v>
          </cell>
          <cell r="DI26">
            <v>81435015.895610005</v>
          </cell>
          <cell r="DJ26">
            <v>0</v>
          </cell>
          <cell r="DK26">
            <v>0</v>
          </cell>
          <cell r="DL26">
            <v>0</v>
          </cell>
          <cell r="DM26">
            <v>0</v>
          </cell>
          <cell r="DN26">
            <v>0</v>
          </cell>
          <cell r="DO26">
            <v>0</v>
          </cell>
          <cell r="DP26">
            <v>0</v>
          </cell>
          <cell r="DQ26">
            <v>0</v>
          </cell>
          <cell r="DR26">
            <v>0</v>
          </cell>
          <cell r="DS26">
            <v>0</v>
          </cell>
          <cell r="DT26">
            <v>0</v>
          </cell>
          <cell r="DU26">
            <v>0</v>
          </cell>
          <cell r="DV26">
            <v>0</v>
          </cell>
          <cell r="DW26">
            <v>0</v>
          </cell>
          <cell r="DX26" t="str">
            <v/>
          </cell>
          <cell r="DY26" t="str">
            <v/>
          </cell>
          <cell r="DZ26" t="str">
            <v/>
          </cell>
          <cell r="EA26">
            <v>81426555.981000006</v>
          </cell>
          <cell r="EB26">
            <v>81426555.981000006</v>
          </cell>
          <cell r="EC26">
            <v>81426555.981000006</v>
          </cell>
          <cell r="ED26">
            <v>81426555.981000006</v>
          </cell>
          <cell r="EE26">
            <v>81426555.981000006</v>
          </cell>
          <cell r="EF26">
            <v>81426555.981000006</v>
          </cell>
          <cell r="EG26">
            <v>81426555.981000006</v>
          </cell>
          <cell r="EH26">
            <v>81426555.981000006</v>
          </cell>
          <cell r="EI26">
            <v>81426555.981000006</v>
          </cell>
          <cell r="EJ26">
            <v>81426555.981000006</v>
          </cell>
          <cell r="EK26">
            <v>81426555.981000006</v>
          </cell>
          <cell r="EL26">
            <v>81426555.981000006</v>
          </cell>
          <cell r="EM26">
            <v>81426555.981000006</v>
          </cell>
          <cell r="EN26">
            <v>81426555.981000006</v>
          </cell>
          <cell r="EO26">
            <v>81426555.981000006</v>
          </cell>
          <cell r="EP26">
            <v>81426555.981000006</v>
          </cell>
          <cell r="EQ26">
            <v>81426555.981000006</v>
          </cell>
          <cell r="ER26">
            <v>81426555.981000006</v>
          </cell>
          <cell r="ES26">
            <v>0</v>
          </cell>
          <cell r="ET26">
            <v>0</v>
          </cell>
          <cell r="EU26">
            <v>0</v>
          </cell>
          <cell r="EV26">
            <v>0</v>
          </cell>
          <cell r="EW26">
            <v>0</v>
          </cell>
          <cell r="EX26">
            <v>0</v>
          </cell>
          <cell r="EY26">
            <v>0</v>
          </cell>
          <cell r="EZ26">
            <v>0</v>
          </cell>
          <cell r="FA26">
            <v>0</v>
          </cell>
          <cell r="FB26">
            <v>0</v>
          </cell>
          <cell r="FC26">
            <v>0</v>
          </cell>
          <cell r="FD26">
            <v>0</v>
          </cell>
          <cell r="FE26">
            <v>81426555.981000006</v>
          </cell>
          <cell r="FF26">
            <v>81585693.051149994</v>
          </cell>
          <cell r="FG26">
            <v>80457402.018270016</v>
          </cell>
          <cell r="FH26">
            <v>0</v>
          </cell>
          <cell r="FI26">
            <v>0</v>
          </cell>
          <cell r="FJ26">
            <v>64640715.779349998</v>
          </cell>
          <cell r="FK26">
            <v>64640715.779349998</v>
          </cell>
          <cell r="FL26">
            <v>64640715.779349998</v>
          </cell>
          <cell r="FM26">
            <v>0</v>
          </cell>
          <cell r="FN26">
            <v>74293697.359450012</v>
          </cell>
          <cell r="FO26">
            <v>74293697.359450012</v>
          </cell>
          <cell r="FP26">
            <v>74293697.359450012</v>
          </cell>
          <cell r="FQ26">
            <v>81426553.890520006</v>
          </cell>
          <cell r="FR26">
            <v>0</v>
          </cell>
          <cell r="FS26">
            <v>78663357.747869998</v>
          </cell>
          <cell r="FT26">
            <v>78663357.747869998</v>
          </cell>
          <cell r="FU26">
            <v>78663357.747869998</v>
          </cell>
          <cell r="FV26">
            <v>78663357.747869998</v>
          </cell>
          <cell r="FW26">
            <v>78663357.747869998</v>
          </cell>
          <cell r="FX26">
            <v>78663357.747869998</v>
          </cell>
          <cell r="FY26">
            <v>78663357.747869998</v>
          </cell>
          <cell r="FZ26">
            <v>78139416.429079995</v>
          </cell>
          <cell r="GA26">
            <v>72514268.621059999</v>
          </cell>
          <cell r="GB26">
            <v>81505234.748050004</v>
          </cell>
          <cell r="GC26">
            <v>81431315.349110007</v>
          </cell>
          <cell r="GD26">
            <v>81426555.981000006</v>
          </cell>
          <cell r="GE26">
            <v>83233948.951729998</v>
          </cell>
          <cell r="GF26">
            <v>81435086.680710003</v>
          </cell>
          <cell r="GG26">
            <v>83691732.536680013</v>
          </cell>
          <cell r="GH26">
            <v>81426555.981000006</v>
          </cell>
          <cell r="GI26">
            <v>83793948.22409001</v>
          </cell>
          <cell r="GJ26">
            <v>81426555.981000006</v>
          </cell>
          <cell r="GK26">
            <v>81435015.895610005</v>
          </cell>
          <cell r="GL26">
            <v>81426555.981000006</v>
          </cell>
          <cell r="GM26">
            <v>81426555.981000006</v>
          </cell>
          <cell r="GN26">
            <v>81426555.981000006</v>
          </cell>
          <cell r="GO26">
            <v>81426555.981000006</v>
          </cell>
          <cell r="GP26">
            <v>81426555.981000006</v>
          </cell>
          <cell r="GQ26">
            <v>81426555.981000006</v>
          </cell>
          <cell r="GR26">
            <v>81426555.981000006</v>
          </cell>
          <cell r="GS26">
            <v>81426555.981000006</v>
          </cell>
          <cell r="GT26">
            <v>81426555.981000006</v>
          </cell>
          <cell r="GU26">
            <v>0</v>
          </cell>
          <cell r="GZ26">
            <v>0</v>
          </cell>
        </row>
        <row r="27">
          <cell r="A27" t="str">
            <v>F_CNP_NRF_EPA_UCS_FRCE_605</v>
          </cell>
          <cell r="B27">
            <v>72286070.659999996</v>
          </cell>
          <cell r="D27">
            <v>72433019.28373</v>
          </cell>
          <cell r="E27">
            <v>62007619.074680008</v>
          </cell>
          <cell r="F27">
            <v>72433019.28373</v>
          </cell>
          <cell r="G27">
            <v>72433019.28373</v>
          </cell>
          <cell r="H27">
            <v>0</v>
          </cell>
          <cell r="I27">
            <v>0</v>
          </cell>
          <cell r="J27">
            <v>72433019.28373</v>
          </cell>
          <cell r="K27">
            <v>72433019.28373</v>
          </cell>
          <cell r="L27">
            <v>72433019.28373</v>
          </cell>
          <cell r="M27">
            <v>0</v>
          </cell>
          <cell r="N27">
            <v>72433019.28373</v>
          </cell>
          <cell r="O27">
            <v>72433019.28373</v>
          </cell>
          <cell r="P27">
            <v>72433019.28373</v>
          </cell>
          <cell r="Q27">
            <v>72433019.28373</v>
          </cell>
          <cell r="R27">
            <v>0</v>
          </cell>
          <cell r="S27">
            <v>72433019.28373</v>
          </cell>
          <cell r="T27">
            <v>72433019.28373</v>
          </cell>
          <cell r="U27">
            <v>72433019.28373</v>
          </cell>
          <cell r="V27">
            <v>72433019.28373</v>
          </cell>
          <cell r="W27">
            <v>72433019.28373</v>
          </cell>
          <cell r="X27">
            <v>72433019.28373</v>
          </cell>
          <cell r="Y27">
            <v>72433019.28373</v>
          </cell>
          <cell r="Z27">
            <v>72433019.28373</v>
          </cell>
          <cell r="AA27">
            <v>72433019.28373</v>
          </cell>
          <cell r="AB27">
            <v>72592194.717479989</v>
          </cell>
          <cell r="AC27">
            <v>71463631.299309984</v>
          </cell>
          <cell r="AD27">
            <v>0</v>
          </cell>
          <cell r="AE27">
            <v>0</v>
          </cell>
          <cell r="AF27">
            <v>55643172.750610009</v>
          </cell>
          <cell r="AG27">
            <v>55643172.750610009</v>
          </cell>
          <cell r="AH27">
            <v>55643172.750610009</v>
          </cell>
          <cell r="AI27">
            <v>0</v>
          </cell>
          <cell r="AJ27">
            <v>65298443.073580004</v>
          </cell>
          <cell r="AK27">
            <v>65298443.073580004</v>
          </cell>
          <cell r="AL27">
            <v>65298443.073580004</v>
          </cell>
          <cell r="AM27">
            <v>72433017.192769989</v>
          </cell>
          <cell r="AN27">
            <v>0</v>
          </cell>
          <cell r="AO27">
            <v>69669155.838440016</v>
          </cell>
          <cell r="AP27">
            <v>69669155.838440016</v>
          </cell>
          <cell r="AQ27">
            <v>69669155.838440016</v>
          </cell>
          <cell r="AR27">
            <v>69669155.838440016</v>
          </cell>
          <cell r="AS27">
            <v>69669155.838440016</v>
          </cell>
          <cell r="AT27">
            <v>69669155.838440016</v>
          </cell>
          <cell r="AU27">
            <v>69669155.838440016</v>
          </cell>
          <cell r="AV27">
            <v>69145088.252879992</v>
          </cell>
          <cell r="AW27">
            <v>72433019.28373</v>
          </cell>
          <cell r="AX27">
            <v>62007619.074680008</v>
          </cell>
          <cell r="AY27">
            <v>62007619.074680008</v>
          </cell>
          <cell r="AZ27">
            <v>0</v>
          </cell>
          <cell r="BA27">
            <v>0</v>
          </cell>
          <cell r="BB27">
            <v>62007619.074680008</v>
          </cell>
          <cell r="BC27">
            <v>62007619.074680008</v>
          </cell>
          <cell r="BD27">
            <v>62007619.074680008</v>
          </cell>
          <cell r="BE27">
            <v>0</v>
          </cell>
          <cell r="BF27">
            <v>62007619.074680008</v>
          </cell>
          <cell r="BG27">
            <v>62007619.074680008</v>
          </cell>
          <cell r="BH27">
            <v>62007619.074680008</v>
          </cell>
          <cell r="BI27">
            <v>62007619.074680008</v>
          </cell>
          <cell r="BJ27">
            <v>0</v>
          </cell>
          <cell r="BK27">
            <v>62007619.074680008</v>
          </cell>
          <cell r="BL27">
            <v>62007619.074680008</v>
          </cell>
          <cell r="BM27">
            <v>62007619.074680008</v>
          </cell>
          <cell r="BN27">
            <v>62007619.074680008</v>
          </cell>
          <cell r="BO27">
            <v>62007619.074680008</v>
          </cell>
          <cell r="BP27">
            <v>62007619.074680008</v>
          </cell>
          <cell r="BQ27">
            <v>62007619.074680008</v>
          </cell>
          <cell r="BR27">
            <v>62007619.074680008</v>
          </cell>
          <cell r="BS27">
            <v>62007619.074680008</v>
          </cell>
          <cell r="BT27">
            <v>62141922.113510005</v>
          </cell>
          <cell r="BU27">
            <v>61189705.474270001</v>
          </cell>
          <cell r="BV27">
            <v>0</v>
          </cell>
          <cell r="BW27">
            <v>0</v>
          </cell>
          <cell r="BX27">
            <v>47841316.166510001</v>
          </cell>
          <cell r="BY27">
            <v>47841316.166510001</v>
          </cell>
          <cell r="BZ27">
            <v>47841316.166510001</v>
          </cell>
          <cell r="CA27">
            <v>0</v>
          </cell>
          <cell r="CB27">
            <v>55987875.681360006</v>
          </cell>
          <cell r="CC27">
            <v>55987875.681360006</v>
          </cell>
          <cell r="CD27">
            <v>55987875.681360006</v>
          </cell>
          <cell r="CE27">
            <v>62007617.310440004</v>
          </cell>
          <cell r="CF27">
            <v>0</v>
          </cell>
          <cell r="CG27">
            <v>59675630.709079996</v>
          </cell>
          <cell r="CH27">
            <v>59675630.709079996</v>
          </cell>
          <cell r="CI27">
            <v>59675630.709079996</v>
          </cell>
          <cell r="CJ27">
            <v>59675630.709079996</v>
          </cell>
          <cell r="CK27">
            <v>59675630.709079996</v>
          </cell>
          <cell r="CL27">
            <v>59675630.709079996</v>
          </cell>
          <cell r="CM27">
            <v>59675630.709079996</v>
          </cell>
          <cell r="CN27">
            <v>59233452.744580001</v>
          </cell>
          <cell r="CO27">
            <v>61099366.059549987</v>
          </cell>
          <cell r="CP27">
            <v>62007619.074680008</v>
          </cell>
          <cell r="CQ27">
            <v>62007619.074680008</v>
          </cell>
          <cell r="CR27">
            <v>62007619.074680008</v>
          </cell>
          <cell r="CS27">
            <v>62007619.074680008</v>
          </cell>
          <cell r="CT27">
            <v>62007619.074680008</v>
          </cell>
          <cell r="CU27">
            <v>62007619.074680008</v>
          </cell>
          <cell r="CV27">
            <v>62007619.074680008</v>
          </cell>
          <cell r="CW27">
            <v>62007619.074680008</v>
          </cell>
          <cell r="CX27">
            <v>62007619.074680008</v>
          </cell>
          <cell r="CY27">
            <v>62007619.074680008</v>
          </cell>
          <cell r="CZ27">
            <v>62375939.783440001</v>
          </cell>
          <cell r="DA27">
            <v>62007619.074680008</v>
          </cell>
          <cell r="DB27">
            <v>62007619.074680008</v>
          </cell>
          <cell r="DC27">
            <v>62926883.917159997</v>
          </cell>
          <cell r="DD27">
            <v>62007619.074680008</v>
          </cell>
          <cell r="DE27">
            <v>66152127.432650007</v>
          </cell>
          <cell r="DF27">
            <v>62007619.074680008</v>
          </cell>
          <cell r="DG27">
            <v>62257696.737509996</v>
          </cell>
          <cell r="DH27">
            <v>62007619.074680008</v>
          </cell>
          <cell r="DI27">
            <v>62023097.079820007</v>
          </cell>
          <cell r="DJ27">
            <v>0</v>
          </cell>
          <cell r="DK27">
            <v>0</v>
          </cell>
          <cell r="DL27">
            <v>0</v>
          </cell>
          <cell r="DM27">
            <v>0</v>
          </cell>
          <cell r="DN27">
            <v>0</v>
          </cell>
          <cell r="DO27">
            <v>0</v>
          </cell>
          <cell r="DP27">
            <v>0</v>
          </cell>
          <cell r="DQ27">
            <v>0</v>
          </cell>
          <cell r="DR27">
            <v>0</v>
          </cell>
          <cell r="DS27">
            <v>0</v>
          </cell>
          <cell r="DT27">
            <v>0</v>
          </cell>
          <cell r="DU27">
            <v>0</v>
          </cell>
          <cell r="DV27">
            <v>0</v>
          </cell>
          <cell r="DW27">
            <v>0</v>
          </cell>
          <cell r="DX27" t="str">
            <v/>
          </cell>
          <cell r="DY27" t="str">
            <v/>
          </cell>
          <cell r="DZ27" t="str">
            <v/>
          </cell>
          <cell r="EA27">
            <v>62007619.074680008</v>
          </cell>
          <cell r="EB27">
            <v>62007619.074680008</v>
          </cell>
          <cell r="EC27">
            <v>62007619.074680008</v>
          </cell>
          <cell r="ED27">
            <v>62007619.074680008</v>
          </cell>
          <cell r="EE27">
            <v>62007619.074680008</v>
          </cell>
          <cell r="EF27">
            <v>62007619.074680008</v>
          </cell>
          <cell r="EG27">
            <v>62007619.074680008</v>
          </cell>
          <cell r="EH27">
            <v>62007619.074680008</v>
          </cell>
          <cell r="EI27">
            <v>62007619.074680008</v>
          </cell>
          <cell r="EJ27">
            <v>62007619.074680008</v>
          </cell>
          <cell r="EK27">
            <v>62007619.074680008</v>
          </cell>
          <cell r="EL27">
            <v>62007619.074680008</v>
          </cell>
          <cell r="EM27">
            <v>62007619.074680008</v>
          </cell>
          <cell r="EN27">
            <v>62007619.074680008</v>
          </cell>
          <cell r="EO27">
            <v>62007619.074680008</v>
          </cell>
          <cell r="EP27">
            <v>62007619.074680008</v>
          </cell>
          <cell r="EQ27">
            <v>62007619.074680008</v>
          </cell>
          <cell r="ER27">
            <v>62007619.074680008</v>
          </cell>
          <cell r="ES27">
            <v>0</v>
          </cell>
          <cell r="ET27">
            <v>0</v>
          </cell>
          <cell r="EU27">
            <v>0</v>
          </cell>
          <cell r="EV27">
            <v>0</v>
          </cell>
          <cell r="EW27">
            <v>0</v>
          </cell>
          <cell r="EX27">
            <v>0</v>
          </cell>
          <cell r="EY27">
            <v>0</v>
          </cell>
          <cell r="EZ27">
            <v>0</v>
          </cell>
          <cell r="FA27">
            <v>0</v>
          </cell>
          <cell r="FB27">
            <v>0</v>
          </cell>
          <cell r="FC27">
            <v>0</v>
          </cell>
          <cell r="FD27">
            <v>0</v>
          </cell>
          <cell r="FE27">
            <v>62007619.074680008</v>
          </cell>
          <cell r="FF27">
            <v>62141922.113510005</v>
          </cell>
          <cell r="FG27">
            <v>61189705.474270001</v>
          </cell>
          <cell r="FH27">
            <v>0</v>
          </cell>
          <cell r="FI27">
            <v>0</v>
          </cell>
          <cell r="FJ27">
            <v>47841316.166510001</v>
          </cell>
          <cell r="FK27">
            <v>47841316.166510001</v>
          </cell>
          <cell r="FL27">
            <v>47841316.166510001</v>
          </cell>
          <cell r="FM27">
            <v>0</v>
          </cell>
          <cell r="FN27">
            <v>55987875.681360006</v>
          </cell>
          <cell r="FO27">
            <v>55987875.681360006</v>
          </cell>
          <cell r="FP27">
            <v>55987875.681360006</v>
          </cell>
          <cell r="FQ27">
            <v>62007617.310440004</v>
          </cell>
          <cell r="FR27">
            <v>0</v>
          </cell>
          <cell r="FS27">
            <v>59675630.709079996</v>
          </cell>
          <cell r="FT27">
            <v>59675630.709079996</v>
          </cell>
          <cell r="FU27">
            <v>59675630.709079996</v>
          </cell>
          <cell r="FV27">
            <v>59675630.709079996</v>
          </cell>
          <cell r="FW27">
            <v>59675630.709079996</v>
          </cell>
          <cell r="FX27">
            <v>59675630.709079996</v>
          </cell>
          <cell r="FY27">
            <v>59675630.709079996</v>
          </cell>
          <cell r="FZ27">
            <v>59233452.744580001</v>
          </cell>
          <cell r="GA27">
            <v>61099366.059549987</v>
          </cell>
          <cell r="GB27">
            <v>62375939.783440001</v>
          </cell>
          <cell r="GC27">
            <v>62007619.074680008</v>
          </cell>
          <cell r="GD27">
            <v>62007619.074680008</v>
          </cell>
          <cell r="GE27">
            <v>62926883.917159997</v>
          </cell>
          <cell r="GF27">
            <v>62007619.074680008</v>
          </cell>
          <cell r="GG27">
            <v>66152127.432650007</v>
          </cell>
          <cell r="GH27">
            <v>62007619.074680008</v>
          </cell>
          <cell r="GI27">
            <v>62257696.737509996</v>
          </cell>
          <cell r="GJ27">
            <v>62007619.074680008</v>
          </cell>
          <cell r="GK27">
            <v>62023097.079820007</v>
          </cell>
          <cell r="GL27">
            <v>62007619.074680008</v>
          </cell>
          <cell r="GM27">
            <v>62007619.074680008</v>
          </cell>
          <cell r="GN27">
            <v>62007619.074680008</v>
          </cell>
          <cell r="GO27">
            <v>62007619.074680008</v>
          </cell>
          <cell r="GP27">
            <v>62007619.074680008</v>
          </cell>
          <cell r="GQ27">
            <v>62007619.074680008</v>
          </cell>
          <cell r="GR27">
            <v>62007619.074680008</v>
          </cell>
          <cell r="GS27">
            <v>62007619.074680008</v>
          </cell>
          <cell r="GT27">
            <v>62007619.074680008</v>
          </cell>
          <cell r="GU27">
            <v>0</v>
          </cell>
          <cell r="GZ27">
            <v>0</v>
          </cell>
        </row>
        <row r="28">
          <cell r="A28" t="str">
            <v>F_CNP_NRF_EPA_UCS_FRCE_606</v>
          </cell>
          <cell r="B28">
            <v>146132629.93000001</v>
          </cell>
          <cell r="D28">
            <v>145919089.69828001</v>
          </cell>
          <cell r="E28">
            <v>132017804.88705</v>
          </cell>
          <cell r="F28">
            <v>145919089.69828001</v>
          </cell>
          <cell r="G28">
            <v>145919089.69828001</v>
          </cell>
          <cell r="H28">
            <v>0</v>
          </cell>
          <cell r="I28">
            <v>0</v>
          </cell>
          <cell r="J28">
            <v>145919089.69828001</v>
          </cell>
          <cell r="K28">
            <v>145919089.69828001</v>
          </cell>
          <cell r="L28">
            <v>145919089.69828001</v>
          </cell>
          <cell r="M28">
            <v>0</v>
          </cell>
          <cell r="N28">
            <v>145919089.69828001</v>
          </cell>
          <cell r="O28">
            <v>145919089.69828001</v>
          </cell>
          <cell r="P28">
            <v>145919089.69828001</v>
          </cell>
          <cell r="Q28">
            <v>145919089.69828001</v>
          </cell>
          <cell r="R28">
            <v>0</v>
          </cell>
          <cell r="S28">
            <v>145919089.69828001</v>
          </cell>
          <cell r="T28">
            <v>145919089.69828001</v>
          </cell>
          <cell r="U28">
            <v>145919089.69828001</v>
          </cell>
          <cell r="V28">
            <v>145919089.69828001</v>
          </cell>
          <cell r="W28">
            <v>145919089.69828001</v>
          </cell>
          <cell r="X28">
            <v>145919089.69828001</v>
          </cell>
          <cell r="Y28">
            <v>145919089.69828001</v>
          </cell>
          <cell r="Z28">
            <v>145919089.69828001</v>
          </cell>
          <cell r="AA28">
            <v>145919089.69828001</v>
          </cell>
          <cell r="AB28">
            <v>146239318.06061998</v>
          </cell>
          <cell r="AC28">
            <v>143968879.66343999</v>
          </cell>
          <cell r="AD28">
            <v>0</v>
          </cell>
          <cell r="AE28">
            <v>0</v>
          </cell>
          <cell r="AF28">
            <v>112141358.13976</v>
          </cell>
          <cell r="AG28">
            <v>112141358.13976</v>
          </cell>
          <cell r="AH28">
            <v>112141358.13976</v>
          </cell>
          <cell r="AI28">
            <v>0</v>
          </cell>
          <cell r="AJ28">
            <v>131565783.97029999</v>
          </cell>
          <cell r="AK28">
            <v>131565783.97029999</v>
          </cell>
          <cell r="AL28">
            <v>131565783.97029999</v>
          </cell>
          <cell r="AM28">
            <v>145919085.49164999</v>
          </cell>
          <cell r="AN28">
            <v>0</v>
          </cell>
          <cell r="AO28">
            <v>140358762.65211999</v>
          </cell>
          <cell r="AP28">
            <v>140358762.65211999</v>
          </cell>
          <cell r="AQ28">
            <v>140358762.65211999</v>
          </cell>
          <cell r="AR28">
            <v>140358762.65211999</v>
          </cell>
          <cell r="AS28">
            <v>140358762.65211999</v>
          </cell>
          <cell r="AT28">
            <v>140358762.65211999</v>
          </cell>
          <cell r="AU28">
            <v>140358762.65211999</v>
          </cell>
          <cell r="AV28">
            <v>139304446.03213999</v>
          </cell>
          <cell r="AW28">
            <v>145919089.69828001</v>
          </cell>
          <cell r="AX28">
            <v>132017804.88705</v>
          </cell>
          <cell r="AY28">
            <v>132017804.88705</v>
          </cell>
          <cell r="AZ28">
            <v>0</v>
          </cell>
          <cell r="BA28">
            <v>0</v>
          </cell>
          <cell r="BB28">
            <v>132017804.88705</v>
          </cell>
          <cell r="BC28">
            <v>132017804.88705</v>
          </cell>
          <cell r="BD28">
            <v>132017804.88705</v>
          </cell>
          <cell r="BE28">
            <v>0</v>
          </cell>
          <cell r="BF28">
            <v>132017804.88705</v>
          </cell>
          <cell r="BG28">
            <v>132017804.88705</v>
          </cell>
          <cell r="BH28">
            <v>132017804.88705</v>
          </cell>
          <cell r="BI28">
            <v>132017804.88705</v>
          </cell>
          <cell r="BJ28">
            <v>0</v>
          </cell>
          <cell r="BK28">
            <v>132017804.88705</v>
          </cell>
          <cell r="BL28">
            <v>132017804.88705</v>
          </cell>
          <cell r="BM28">
            <v>132017804.88705</v>
          </cell>
          <cell r="BN28">
            <v>132017804.88705</v>
          </cell>
          <cell r="BO28">
            <v>132017804.88705</v>
          </cell>
          <cell r="BP28">
            <v>132017804.88705</v>
          </cell>
          <cell r="BQ28">
            <v>132017804.88705</v>
          </cell>
          <cell r="BR28">
            <v>132017804.88705</v>
          </cell>
          <cell r="BS28">
            <v>132017804.88705</v>
          </cell>
          <cell r="BT28">
            <v>132301216.6126</v>
          </cell>
          <cell r="BU28">
            <v>130291810.39613</v>
          </cell>
          <cell r="BV28">
            <v>0</v>
          </cell>
          <cell r="BW28">
            <v>0</v>
          </cell>
          <cell r="BX28">
            <v>102123496.72758999</v>
          </cell>
          <cell r="BY28">
            <v>102123496.72758999</v>
          </cell>
          <cell r="BZ28">
            <v>102123496.72758999</v>
          </cell>
          <cell r="CA28">
            <v>0</v>
          </cell>
          <cell r="CB28">
            <v>119314697.92642</v>
          </cell>
          <cell r="CC28">
            <v>119314697.92642</v>
          </cell>
          <cell r="CD28">
            <v>119314697.92642</v>
          </cell>
          <cell r="CE28">
            <v>132017801.16406</v>
          </cell>
          <cell r="CF28">
            <v>0</v>
          </cell>
          <cell r="CG28">
            <v>127096748.34316</v>
          </cell>
          <cell r="CH28">
            <v>127096748.34316</v>
          </cell>
          <cell r="CI28">
            <v>127096748.34316</v>
          </cell>
          <cell r="CJ28">
            <v>127096748.34316</v>
          </cell>
          <cell r="CK28">
            <v>127096748.34316</v>
          </cell>
          <cell r="CL28">
            <v>127096748.34316</v>
          </cell>
          <cell r="CM28">
            <v>127096748.34316</v>
          </cell>
          <cell r="CN28">
            <v>126163646.43989</v>
          </cell>
          <cell r="CO28">
            <v>129142780.24276</v>
          </cell>
          <cell r="CP28">
            <v>132017804.88705</v>
          </cell>
          <cell r="CQ28">
            <v>132017804.88705</v>
          </cell>
          <cell r="CR28">
            <v>132017804.88705</v>
          </cell>
          <cell r="CS28">
            <v>132017804.88705</v>
          </cell>
          <cell r="CT28">
            <v>132017804.88705</v>
          </cell>
          <cell r="CU28">
            <v>132017804.88705</v>
          </cell>
          <cell r="CV28">
            <v>132017804.88705</v>
          </cell>
          <cell r="CW28">
            <v>132017804.88705</v>
          </cell>
          <cell r="CX28">
            <v>132017804.88705</v>
          </cell>
          <cell r="CY28">
            <v>132017804.88705</v>
          </cell>
          <cell r="CZ28">
            <v>132358193.92288998</v>
          </cell>
          <cell r="DA28">
            <v>132017804.88705</v>
          </cell>
          <cell r="DB28">
            <v>132017804.88705</v>
          </cell>
          <cell r="DC28">
            <v>135343816.25563002</v>
          </cell>
          <cell r="DD28">
            <v>132017804.88705</v>
          </cell>
          <cell r="DE28">
            <v>137986863.53262001</v>
          </cell>
          <cell r="DF28">
            <v>132017804.88705</v>
          </cell>
          <cell r="DG28">
            <v>132780278.65426999</v>
          </cell>
          <cell r="DH28">
            <v>132017804.88705</v>
          </cell>
          <cell r="DI28">
            <v>132040096.82690001</v>
          </cell>
          <cell r="DJ28">
            <v>0</v>
          </cell>
          <cell r="DK28">
            <v>0</v>
          </cell>
          <cell r="DL28">
            <v>0</v>
          </cell>
          <cell r="DM28">
            <v>0</v>
          </cell>
          <cell r="DN28">
            <v>0</v>
          </cell>
          <cell r="DO28">
            <v>0</v>
          </cell>
          <cell r="DP28">
            <v>0</v>
          </cell>
          <cell r="DQ28">
            <v>0</v>
          </cell>
          <cell r="DR28">
            <v>0</v>
          </cell>
          <cell r="DS28">
            <v>0</v>
          </cell>
          <cell r="DT28">
            <v>0</v>
          </cell>
          <cell r="DU28">
            <v>0</v>
          </cell>
          <cell r="DV28">
            <v>0</v>
          </cell>
          <cell r="DW28">
            <v>0</v>
          </cell>
          <cell r="DX28" t="str">
            <v/>
          </cell>
          <cell r="DY28" t="str">
            <v/>
          </cell>
          <cell r="DZ28" t="str">
            <v/>
          </cell>
          <cell r="EA28">
            <v>132017804.88705</v>
          </cell>
          <cell r="EB28">
            <v>132017804.88705</v>
          </cell>
          <cell r="EC28">
            <v>132017804.88705</v>
          </cell>
          <cell r="ED28">
            <v>132017804.88705</v>
          </cell>
          <cell r="EE28">
            <v>132017804.88705</v>
          </cell>
          <cell r="EF28">
            <v>132017804.88705</v>
          </cell>
          <cell r="EG28">
            <v>132017804.88705</v>
          </cell>
          <cell r="EH28">
            <v>132017804.88705</v>
          </cell>
          <cell r="EI28">
            <v>132017804.88705</v>
          </cell>
          <cell r="EJ28">
            <v>132017804.88705</v>
          </cell>
          <cell r="EK28">
            <v>132017804.88705</v>
          </cell>
          <cell r="EL28">
            <v>132017804.88705</v>
          </cell>
          <cell r="EM28">
            <v>132017804.88705</v>
          </cell>
          <cell r="EN28">
            <v>132017804.88705</v>
          </cell>
          <cell r="EO28">
            <v>132017804.88705</v>
          </cell>
          <cell r="EP28">
            <v>132017804.88705</v>
          </cell>
          <cell r="EQ28">
            <v>132017804.88705</v>
          </cell>
          <cell r="ER28">
            <v>132017804.88705</v>
          </cell>
          <cell r="ES28">
            <v>0</v>
          </cell>
          <cell r="ET28">
            <v>0</v>
          </cell>
          <cell r="EU28">
            <v>0</v>
          </cell>
          <cell r="EV28">
            <v>0</v>
          </cell>
          <cell r="EW28">
            <v>0</v>
          </cell>
          <cell r="EX28">
            <v>0</v>
          </cell>
          <cell r="EY28">
            <v>0</v>
          </cell>
          <cell r="EZ28">
            <v>0</v>
          </cell>
          <cell r="FA28">
            <v>0</v>
          </cell>
          <cell r="FB28">
            <v>0</v>
          </cell>
          <cell r="FC28">
            <v>0</v>
          </cell>
          <cell r="FD28">
            <v>0</v>
          </cell>
          <cell r="FE28">
            <v>132017804.88705</v>
          </cell>
          <cell r="FF28">
            <v>132301216.6126</v>
          </cell>
          <cell r="FG28">
            <v>130291810.39613</v>
          </cell>
          <cell r="FH28">
            <v>0</v>
          </cell>
          <cell r="FI28">
            <v>0</v>
          </cell>
          <cell r="FJ28">
            <v>102123496.72758999</v>
          </cell>
          <cell r="FK28">
            <v>102123496.72758999</v>
          </cell>
          <cell r="FL28">
            <v>102123496.72758999</v>
          </cell>
          <cell r="FM28">
            <v>0</v>
          </cell>
          <cell r="FN28">
            <v>119314697.92642</v>
          </cell>
          <cell r="FO28">
            <v>119314697.92642</v>
          </cell>
          <cell r="FP28">
            <v>119314697.92642</v>
          </cell>
          <cell r="FQ28">
            <v>132017801.16406</v>
          </cell>
          <cell r="FR28">
            <v>0</v>
          </cell>
          <cell r="FS28">
            <v>127096748.34316</v>
          </cell>
          <cell r="FT28">
            <v>127096748.34316</v>
          </cell>
          <cell r="FU28">
            <v>127096748.34316</v>
          </cell>
          <cell r="FV28">
            <v>127096748.34316</v>
          </cell>
          <cell r="FW28">
            <v>127096748.34316</v>
          </cell>
          <cell r="FX28">
            <v>127096748.34316</v>
          </cell>
          <cell r="FY28">
            <v>127096748.34316</v>
          </cell>
          <cell r="FZ28">
            <v>126163646.43989</v>
          </cell>
          <cell r="GA28">
            <v>129142780.24276</v>
          </cell>
          <cell r="GB28">
            <v>132358193.92288998</v>
          </cell>
          <cell r="GC28">
            <v>132017804.88705</v>
          </cell>
          <cell r="GD28">
            <v>132017804.88705</v>
          </cell>
          <cell r="GE28">
            <v>135343816.25563002</v>
          </cell>
          <cell r="GF28">
            <v>132017804.88705</v>
          </cell>
          <cell r="GG28">
            <v>137986863.53262001</v>
          </cell>
          <cell r="GH28">
            <v>132017804.88705</v>
          </cell>
          <cell r="GI28">
            <v>132780278.65426999</v>
          </cell>
          <cell r="GJ28">
            <v>132017804.88705</v>
          </cell>
          <cell r="GK28">
            <v>132040096.82690001</v>
          </cell>
          <cell r="GL28">
            <v>132017804.88705</v>
          </cell>
          <cell r="GM28">
            <v>132017804.88705</v>
          </cell>
          <cell r="GN28">
            <v>132017804.88705</v>
          </cell>
          <cell r="GO28">
            <v>132017804.88705</v>
          </cell>
          <cell r="GP28">
            <v>132017804.88705</v>
          </cell>
          <cell r="GQ28">
            <v>132017804.88705</v>
          </cell>
          <cell r="GR28">
            <v>132017804.88705</v>
          </cell>
          <cell r="GS28">
            <v>132017804.88705</v>
          </cell>
          <cell r="GT28">
            <v>132017804.88705</v>
          </cell>
          <cell r="GU28">
            <v>0</v>
          </cell>
          <cell r="GZ28">
            <v>0</v>
          </cell>
        </row>
        <row r="29">
          <cell r="A29" t="str">
            <v>F_CNP_NRF_EPA_UCS_FRCE_251</v>
          </cell>
          <cell r="B29">
            <v>1949228334.9499998</v>
          </cell>
          <cell r="D29">
            <v>1950046491.7837896</v>
          </cell>
          <cell r="E29">
            <v>1856856286.1392598</v>
          </cell>
          <cell r="F29">
            <v>1950046491.7837896</v>
          </cell>
          <cell r="G29">
            <v>1950046491.7837896</v>
          </cell>
          <cell r="H29">
            <v>0</v>
          </cell>
          <cell r="I29">
            <v>0</v>
          </cell>
          <cell r="J29">
            <v>1950046491.7837896</v>
          </cell>
          <cell r="K29">
            <v>1950046491.7837896</v>
          </cell>
          <cell r="L29">
            <v>1950046491.7837896</v>
          </cell>
          <cell r="M29">
            <v>0</v>
          </cell>
          <cell r="N29">
            <v>1950046491.7837896</v>
          </cell>
          <cell r="O29">
            <v>1950046491.7837896</v>
          </cell>
          <cell r="P29">
            <v>1950046491.7837896</v>
          </cell>
          <cell r="Q29">
            <v>1950046491.7837896</v>
          </cell>
          <cell r="R29">
            <v>0</v>
          </cell>
          <cell r="S29">
            <v>1950046491.7837896</v>
          </cell>
          <cell r="T29">
            <v>1950046491.7837896</v>
          </cell>
          <cell r="U29">
            <v>1950046491.7837896</v>
          </cell>
          <cell r="V29">
            <v>1950046491.7837896</v>
          </cell>
          <cell r="W29">
            <v>1950046491.7837896</v>
          </cell>
          <cell r="X29">
            <v>1950046491.7837896</v>
          </cell>
          <cell r="Y29">
            <v>1950046491.7837896</v>
          </cell>
          <cell r="Z29">
            <v>1950046491.7837896</v>
          </cell>
          <cell r="AA29">
            <v>1950046491.7837896</v>
          </cell>
          <cell r="AB29">
            <v>1954535349.9410703</v>
          </cell>
          <cell r="AC29">
            <v>1923214942.65273</v>
          </cell>
          <cell r="AD29">
            <v>0</v>
          </cell>
          <cell r="AE29">
            <v>0</v>
          </cell>
          <cell r="AF29">
            <v>1458605508.4735599</v>
          </cell>
          <cell r="AG29">
            <v>1458605508.4735599</v>
          </cell>
          <cell r="AH29">
            <v>1458605508.4735599</v>
          </cell>
          <cell r="AI29">
            <v>0</v>
          </cell>
          <cell r="AJ29">
            <v>1811519852.3251503</v>
          </cell>
          <cell r="AK29">
            <v>1811519852.3251503</v>
          </cell>
          <cell r="AL29">
            <v>1811519852.3251503</v>
          </cell>
          <cell r="AM29">
            <v>1950046473.9867401</v>
          </cell>
          <cell r="AN29">
            <v>0</v>
          </cell>
          <cell r="AO29">
            <v>1868699605.9820502</v>
          </cell>
          <cell r="AP29">
            <v>1868699605.9820502</v>
          </cell>
          <cell r="AQ29">
            <v>1868699605.9820502</v>
          </cell>
          <cell r="AR29">
            <v>1868699605.9820502</v>
          </cell>
          <cell r="AS29">
            <v>1868699605.9820502</v>
          </cell>
          <cell r="AT29">
            <v>1868699605.9820502</v>
          </cell>
          <cell r="AU29">
            <v>1868699605.9820502</v>
          </cell>
          <cell r="AV29">
            <v>1862151339.2958596</v>
          </cell>
          <cell r="AW29">
            <v>1950046491.7837896</v>
          </cell>
          <cell r="AX29">
            <v>1856856286.1392598</v>
          </cell>
          <cell r="AY29">
            <v>1856856286.1392598</v>
          </cell>
          <cell r="AZ29">
            <v>0</v>
          </cell>
          <cell r="BA29">
            <v>0</v>
          </cell>
          <cell r="BB29">
            <v>1856856286.1392598</v>
          </cell>
          <cell r="BC29">
            <v>1856856286.1392598</v>
          </cell>
          <cell r="BD29">
            <v>1856856286.1392598</v>
          </cell>
          <cell r="BE29">
            <v>0</v>
          </cell>
          <cell r="BF29">
            <v>1856856286.1392598</v>
          </cell>
          <cell r="BG29">
            <v>1856856286.1392598</v>
          </cell>
          <cell r="BH29">
            <v>1856856286.1392598</v>
          </cell>
          <cell r="BI29">
            <v>1856856286.1392598</v>
          </cell>
          <cell r="BJ29">
            <v>0</v>
          </cell>
          <cell r="BK29">
            <v>1856856286.1392598</v>
          </cell>
          <cell r="BL29">
            <v>1856856286.1392598</v>
          </cell>
          <cell r="BM29">
            <v>1856856286.1392598</v>
          </cell>
          <cell r="BN29">
            <v>1856856286.1392598</v>
          </cell>
          <cell r="BO29">
            <v>1856856286.1392598</v>
          </cell>
          <cell r="BP29">
            <v>1856856286.1392598</v>
          </cell>
          <cell r="BQ29">
            <v>1856856286.1392598</v>
          </cell>
          <cell r="BR29">
            <v>1856856286.1392598</v>
          </cell>
          <cell r="BS29">
            <v>1856856286.1392598</v>
          </cell>
          <cell r="BT29">
            <v>1861077716.9175103</v>
          </cell>
          <cell r="BU29">
            <v>1831629319.53671</v>
          </cell>
          <cell r="BV29">
            <v>0</v>
          </cell>
          <cell r="BW29">
            <v>0</v>
          </cell>
          <cell r="BX29">
            <v>1394875462.2814202</v>
          </cell>
          <cell r="BY29">
            <v>1394875462.2814202</v>
          </cell>
          <cell r="BZ29">
            <v>1394875462.2814202</v>
          </cell>
          <cell r="CA29">
            <v>0</v>
          </cell>
          <cell r="CB29">
            <v>1726634254.6138103</v>
          </cell>
          <cell r="CC29">
            <v>1726634254.6138103</v>
          </cell>
          <cell r="CD29">
            <v>1726634254.6138103</v>
          </cell>
          <cell r="CE29">
            <v>1856856269.4091301</v>
          </cell>
          <cell r="CF29">
            <v>0</v>
          </cell>
          <cell r="CG29">
            <v>1780386139.7427199</v>
          </cell>
          <cell r="CH29">
            <v>1780386139.7427199</v>
          </cell>
          <cell r="CI29">
            <v>1780386139.7427199</v>
          </cell>
          <cell r="CJ29">
            <v>1780386139.7427199</v>
          </cell>
          <cell r="CK29">
            <v>1780386139.7427199</v>
          </cell>
          <cell r="CL29">
            <v>1780386139.7427199</v>
          </cell>
          <cell r="CM29">
            <v>1780386139.7427199</v>
          </cell>
          <cell r="CN29">
            <v>1774230437.3808599</v>
          </cell>
          <cell r="CO29">
            <v>1821579999.1031799</v>
          </cell>
          <cell r="CP29">
            <v>1856856286.1392598</v>
          </cell>
          <cell r="CQ29">
            <v>1856856286.1392598</v>
          </cell>
          <cell r="CR29">
            <v>1856856286.1392598</v>
          </cell>
          <cell r="CS29">
            <v>1856856286.1392598</v>
          </cell>
          <cell r="CT29">
            <v>1856856286.1392598</v>
          </cell>
          <cell r="CU29">
            <v>1856856286.1392598</v>
          </cell>
          <cell r="CV29">
            <v>1856856286.1392598</v>
          </cell>
          <cell r="CW29">
            <v>1856856286.1392598</v>
          </cell>
          <cell r="CX29">
            <v>1856856286.1392598</v>
          </cell>
          <cell r="CY29">
            <v>1856856286.1392598</v>
          </cell>
          <cell r="CZ29">
            <v>1859022269.2149196</v>
          </cell>
          <cell r="DA29">
            <v>1857233839.5295801</v>
          </cell>
          <cell r="DB29">
            <v>1856856286.1392598</v>
          </cell>
          <cell r="DC29">
            <v>1870485034.7984002</v>
          </cell>
          <cell r="DD29">
            <v>1856856286.1392598</v>
          </cell>
          <cell r="DE29">
            <v>1891979122.84552</v>
          </cell>
          <cell r="DF29">
            <v>1856856286.1392598</v>
          </cell>
          <cell r="DG29">
            <v>1866289879.9648597</v>
          </cell>
          <cell r="DH29">
            <v>1856856286.1392598</v>
          </cell>
          <cell r="DI29">
            <v>1856987346.6068096</v>
          </cell>
          <cell r="DJ29">
            <v>0</v>
          </cell>
          <cell r="DK29">
            <v>0</v>
          </cell>
          <cell r="DL29">
            <v>0</v>
          </cell>
          <cell r="DM29">
            <v>0</v>
          </cell>
          <cell r="DN29">
            <v>0</v>
          </cell>
          <cell r="DO29">
            <v>0</v>
          </cell>
          <cell r="DP29">
            <v>0</v>
          </cell>
          <cell r="DQ29">
            <v>0</v>
          </cell>
          <cell r="DR29">
            <v>0</v>
          </cell>
          <cell r="DS29">
            <v>0</v>
          </cell>
          <cell r="DT29">
            <v>0</v>
          </cell>
          <cell r="DU29">
            <v>0</v>
          </cell>
          <cell r="DV29">
            <v>0</v>
          </cell>
          <cell r="DW29">
            <v>0</v>
          </cell>
          <cell r="DX29" t="str">
            <v/>
          </cell>
          <cell r="DY29" t="str">
            <v/>
          </cell>
          <cell r="DZ29" t="str">
            <v/>
          </cell>
          <cell r="EA29">
            <v>1856856286.1392598</v>
          </cell>
          <cell r="EB29">
            <v>1856856286.1392598</v>
          </cell>
          <cell r="EC29">
            <v>1856856286.1392598</v>
          </cell>
          <cell r="ED29">
            <v>1856856286.1392598</v>
          </cell>
          <cell r="EE29">
            <v>1856856286.1392598</v>
          </cell>
          <cell r="EF29">
            <v>1856856286.1392598</v>
          </cell>
          <cell r="EG29">
            <v>1856856286.1392598</v>
          </cell>
          <cell r="EH29">
            <v>1856856286.1392598</v>
          </cell>
          <cell r="EI29">
            <v>1856856286.1392598</v>
          </cell>
          <cell r="EJ29">
            <v>1856856286.1392598</v>
          </cell>
          <cell r="EK29">
            <v>1856856286.1392598</v>
          </cell>
          <cell r="EL29">
            <v>1856856286.1392598</v>
          </cell>
          <cell r="EM29">
            <v>1856856286.1392598</v>
          </cell>
          <cell r="EN29">
            <v>1856856286.1392598</v>
          </cell>
          <cell r="EO29">
            <v>1856856286.1392598</v>
          </cell>
          <cell r="EP29">
            <v>1856856286.1392598</v>
          </cell>
          <cell r="EQ29">
            <v>1856856286.1392598</v>
          </cell>
          <cell r="ER29">
            <v>1856856286.1392598</v>
          </cell>
          <cell r="ES29">
            <v>0</v>
          </cell>
          <cell r="ET29">
            <v>0</v>
          </cell>
          <cell r="EU29">
            <v>0</v>
          </cell>
          <cell r="EV29">
            <v>0</v>
          </cell>
          <cell r="EW29">
            <v>0</v>
          </cell>
          <cell r="EX29">
            <v>0</v>
          </cell>
          <cell r="EY29">
            <v>0</v>
          </cell>
          <cell r="EZ29">
            <v>0</v>
          </cell>
          <cell r="FA29">
            <v>0</v>
          </cell>
          <cell r="FB29">
            <v>0</v>
          </cell>
          <cell r="FC29">
            <v>0</v>
          </cell>
          <cell r="FD29">
            <v>0</v>
          </cell>
          <cell r="FE29">
            <v>1856856286.1392598</v>
          </cell>
          <cell r="FF29">
            <v>1861077716.9175103</v>
          </cell>
          <cell r="FG29">
            <v>1831629319.53671</v>
          </cell>
          <cell r="FH29">
            <v>0</v>
          </cell>
          <cell r="FI29">
            <v>0</v>
          </cell>
          <cell r="FJ29">
            <v>1394875462.2814202</v>
          </cell>
          <cell r="FK29">
            <v>1394875462.2814202</v>
          </cell>
          <cell r="FL29">
            <v>1394875462.2814202</v>
          </cell>
          <cell r="FM29">
            <v>0</v>
          </cell>
          <cell r="FN29">
            <v>1726634254.6138103</v>
          </cell>
          <cell r="FO29">
            <v>1726634254.6138103</v>
          </cell>
          <cell r="FP29">
            <v>1726634254.6138103</v>
          </cell>
          <cell r="FQ29">
            <v>1856856269.4091301</v>
          </cell>
          <cell r="FR29">
            <v>0</v>
          </cell>
          <cell r="FS29">
            <v>1780386139.7427199</v>
          </cell>
          <cell r="FT29">
            <v>1780386139.7427199</v>
          </cell>
          <cell r="FU29">
            <v>1780386139.7427199</v>
          </cell>
          <cell r="FV29">
            <v>1780386139.7427199</v>
          </cell>
          <cell r="FW29">
            <v>1780386139.7427199</v>
          </cell>
          <cell r="FX29">
            <v>1780386139.7427199</v>
          </cell>
          <cell r="FY29">
            <v>1780386139.7427199</v>
          </cell>
          <cell r="FZ29">
            <v>1774230437.3808599</v>
          </cell>
          <cell r="GA29">
            <v>1821579999.1031799</v>
          </cell>
          <cell r="GB29">
            <v>1859022269.2149196</v>
          </cell>
          <cell r="GC29">
            <v>1857233839.5295801</v>
          </cell>
          <cell r="GD29">
            <v>1856856286.1392598</v>
          </cell>
          <cell r="GE29">
            <v>1870485034.7984002</v>
          </cell>
          <cell r="GF29">
            <v>1856856286.1392598</v>
          </cell>
          <cell r="GG29">
            <v>1891979122.84552</v>
          </cell>
          <cell r="GH29">
            <v>1856856286.1392598</v>
          </cell>
          <cell r="GI29">
            <v>1866289879.9648597</v>
          </cell>
          <cell r="GJ29">
            <v>1856856286.1392598</v>
          </cell>
          <cell r="GK29">
            <v>1856987346.6068096</v>
          </cell>
          <cell r="GL29">
            <v>1856856286.1392598</v>
          </cell>
          <cell r="GM29">
            <v>1856856286.1392598</v>
          </cell>
          <cell r="GN29">
            <v>1856856286.1392598</v>
          </cell>
          <cell r="GO29">
            <v>1856856286.1392598</v>
          </cell>
          <cell r="GP29">
            <v>1856856286.1392598</v>
          </cell>
          <cell r="GQ29">
            <v>1856856286.1392598</v>
          </cell>
          <cell r="GR29">
            <v>1856856286.1392598</v>
          </cell>
          <cell r="GS29">
            <v>1856856286.1392598</v>
          </cell>
          <cell r="GT29">
            <v>1856856286.1392598</v>
          </cell>
          <cell r="GU29">
            <v>0</v>
          </cell>
          <cell r="GZ29">
            <v>0</v>
          </cell>
        </row>
        <row r="30">
          <cell r="A30" t="str">
            <v>F_CNP_NRF_EPA_UCS_FRCE_250</v>
          </cell>
          <cell r="B30">
            <v>5887641192.2599993</v>
          </cell>
          <cell r="D30">
            <v>5881693539.8474798</v>
          </cell>
          <cell r="E30">
            <v>5721809582.8245592</v>
          </cell>
          <cell r="F30">
            <v>5881693539.8474798</v>
          </cell>
          <cell r="G30">
            <v>5881693539.8474798</v>
          </cell>
          <cell r="H30">
            <v>0</v>
          </cell>
          <cell r="I30">
            <v>0</v>
          </cell>
          <cell r="J30">
            <v>5881693539.8474798</v>
          </cell>
          <cell r="K30">
            <v>5881693539.8474798</v>
          </cell>
          <cell r="L30">
            <v>5881693539.8474798</v>
          </cell>
          <cell r="M30">
            <v>0</v>
          </cell>
          <cell r="N30">
            <v>5881693539.8474798</v>
          </cell>
          <cell r="O30">
            <v>5881693539.8474798</v>
          </cell>
          <cell r="P30">
            <v>5881693539.8474798</v>
          </cell>
          <cell r="Q30">
            <v>5881693539.8474798</v>
          </cell>
          <cell r="R30">
            <v>0</v>
          </cell>
          <cell r="S30">
            <v>5881693539.8474798</v>
          </cell>
          <cell r="T30">
            <v>5881693539.8474798</v>
          </cell>
          <cell r="U30">
            <v>5881693539.8474798</v>
          </cell>
          <cell r="V30">
            <v>5881693539.8474798</v>
          </cell>
          <cell r="W30">
            <v>5881693539.8474798</v>
          </cell>
          <cell r="X30">
            <v>5881693539.8474798</v>
          </cell>
          <cell r="Y30">
            <v>5881693539.8474798</v>
          </cell>
          <cell r="Z30">
            <v>5881693539.8474798</v>
          </cell>
          <cell r="AA30">
            <v>5881693539.8474798</v>
          </cell>
          <cell r="AB30">
            <v>5895295521.1244993</v>
          </cell>
          <cell r="AC30">
            <v>5800389516.6845798</v>
          </cell>
          <cell r="AD30">
            <v>0</v>
          </cell>
          <cell r="AE30">
            <v>0</v>
          </cell>
          <cell r="AF30">
            <v>4392546238.0130596</v>
          </cell>
          <cell r="AG30">
            <v>4392546238.0130596</v>
          </cell>
          <cell r="AH30">
            <v>4392546238.0130596</v>
          </cell>
          <cell r="AI30">
            <v>0</v>
          </cell>
          <cell r="AJ30">
            <v>5461934955.8656301</v>
          </cell>
          <cell r="AK30">
            <v>5461934955.8656301</v>
          </cell>
          <cell r="AL30">
            <v>5461934955.8656301</v>
          </cell>
          <cell r="AM30">
            <v>5881693485.9194193</v>
          </cell>
          <cell r="AN30">
            <v>0</v>
          </cell>
          <cell r="AO30">
            <v>5635199047.9163094</v>
          </cell>
          <cell r="AP30">
            <v>5635199047.9163094</v>
          </cell>
          <cell r="AQ30">
            <v>5635199047.9163094</v>
          </cell>
          <cell r="AR30">
            <v>5635199047.9163094</v>
          </cell>
          <cell r="AS30">
            <v>5635199047.9163094</v>
          </cell>
          <cell r="AT30">
            <v>5635199047.9163094</v>
          </cell>
          <cell r="AU30">
            <v>5635199047.9163094</v>
          </cell>
          <cell r="AV30">
            <v>5615356718.8404093</v>
          </cell>
          <cell r="AW30">
            <v>5881693539.8474798</v>
          </cell>
          <cell r="AX30">
            <v>5721809582.8245592</v>
          </cell>
          <cell r="AY30">
            <v>5721809582.8245592</v>
          </cell>
          <cell r="AZ30">
            <v>0</v>
          </cell>
          <cell r="BA30">
            <v>0</v>
          </cell>
          <cell r="BB30">
            <v>5721809582.8245592</v>
          </cell>
          <cell r="BC30">
            <v>5721809582.8245592</v>
          </cell>
          <cell r="BD30">
            <v>5721809582.8245592</v>
          </cell>
          <cell r="BE30">
            <v>0</v>
          </cell>
          <cell r="BF30">
            <v>5721809582.8245592</v>
          </cell>
          <cell r="BG30">
            <v>5721809582.8245592</v>
          </cell>
          <cell r="BH30">
            <v>5721809582.8245592</v>
          </cell>
          <cell r="BI30">
            <v>5721809582.8245592</v>
          </cell>
          <cell r="BJ30">
            <v>0</v>
          </cell>
          <cell r="BK30">
            <v>5721809582.8245592</v>
          </cell>
          <cell r="BL30">
            <v>5721809582.8245592</v>
          </cell>
          <cell r="BM30">
            <v>5721809582.8245592</v>
          </cell>
          <cell r="BN30">
            <v>5721809582.8245592</v>
          </cell>
          <cell r="BO30">
            <v>5721809582.8245592</v>
          </cell>
          <cell r="BP30">
            <v>5721809582.8245592</v>
          </cell>
          <cell r="BQ30">
            <v>5721809582.8245592</v>
          </cell>
          <cell r="BR30">
            <v>5721809582.8245592</v>
          </cell>
          <cell r="BS30">
            <v>5721809582.8245592</v>
          </cell>
          <cell r="BT30">
            <v>5734593427.955801</v>
          </cell>
          <cell r="BU30">
            <v>5645395817.9754496</v>
          </cell>
          <cell r="BV30">
            <v>0</v>
          </cell>
          <cell r="BW30">
            <v>0</v>
          </cell>
          <cell r="BX30">
            <v>4322221043.8841696</v>
          </cell>
          <cell r="BY30">
            <v>4322221043.8841696</v>
          </cell>
          <cell r="BZ30">
            <v>4322221043.8841696</v>
          </cell>
          <cell r="CA30">
            <v>0</v>
          </cell>
          <cell r="CB30">
            <v>5327298017.7793102</v>
          </cell>
          <cell r="CC30">
            <v>5327298017.7793102</v>
          </cell>
          <cell r="CD30">
            <v>5327298017.7793102</v>
          </cell>
          <cell r="CE30">
            <v>5721809532.1401892</v>
          </cell>
          <cell r="CF30">
            <v>0</v>
          </cell>
          <cell r="CG30">
            <v>5490141049.0362892</v>
          </cell>
          <cell r="CH30">
            <v>5490141049.0362892</v>
          </cell>
          <cell r="CI30">
            <v>5490141049.0362892</v>
          </cell>
          <cell r="CJ30">
            <v>5490141049.0362892</v>
          </cell>
          <cell r="CK30">
            <v>5490141049.0362892</v>
          </cell>
          <cell r="CL30">
            <v>5490141049.0362892</v>
          </cell>
          <cell r="CM30">
            <v>5490141049.0362892</v>
          </cell>
          <cell r="CN30">
            <v>5471492160.8081207</v>
          </cell>
          <cell r="CO30">
            <v>5528401126.6800699</v>
          </cell>
          <cell r="CP30">
            <v>5721809582.8245592</v>
          </cell>
          <cell r="CQ30">
            <v>5721809582.8245592</v>
          </cell>
          <cell r="CR30">
            <v>5721809582.8245592</v>
          </cell>
          <cell r="CS30">
            <v>5721809582.8245592</v>
          </cell>
          <cell r="CT30">
            <v>5721809582.8245592</v>
          </cell>
          <cell r="CU30">
            <v>5721809582.8245592</v>
          </cell>
          <cell r="CV30">
            <v>5721809582.8245592</v>
          </cell>
          <cell r="CW30">
            <v>5721809582.8245592</v>
          </cell>
          <cell r="CX30">
            <v>5721809582.8245592</v>
          </cell>
          <cell r="CY30">
            <v>5721809582.8245592</v>
          </cell>
          <cell r="CZ30">
            <v>5727586637.2694798</v>
          </cell>
          <cell r="DA30">
            <v>5721809582.8245592</v>
          </cell>
          <cell r="DB30">
            <v>5721809582.8245592</v>
          </cell>
          <cell r="DC30">
            <v>5754597465.5062208</v>
          </cell>
          <cell r="DD30">
            <v>5721809582.8245592</v>
          </cell>
          <cell r="DE30">
            <v>5789359697.8415499</v>
          </cell>
          <cell r="DF30">
            <v>5721809582.8245592</v>
          </cell>
          <cell r="DG30">
            <v>5777523721.6359301</v>
          </cell>
          <cell r="DH30">
            <v>5721809582.8245592</v>
          </cell>
          <cell r="DI30">
            <v>5722070274.2319698</v>
          </cell>
          <cell r="DJ30">
            <v>0</v>
          </cell>
          <cell r="DK30">
            <v>0</v>
          </cell>
          <cell r="DL30">
            <v>0</v>
          </cell>
          <cell r="DM30">
            <v>0</v>
          </cell>
          <cell r="DN30">
            <v>0</v>
          </cell>
          <cell r="DO30">
            <v>0</v>
          </cell>
          <cell r="DP30">
            <v>0</v>
          </cell>
          <cell r="DQ30">
            <v>0</v>
          </cell>
          <cell r="DR30">
            <v>0</v>
          </cell>
          <cell r="DS30">
            <v>0</v>
          </cell>
          <cell r="DT30">
            <v>0</v>
          </cell>
          <cell r="DU30">
            <v>0</v>
          </cell>
          <cell r="DV30">
            <v>0</v>
          </cell>
          <cell r="DW30">
            <v>0</v>
          </cell>
          <cell r="DX30" t="str">
            <v/>
          </cell>
          <cell r="DY30" t="str">
            <v/>
          </cell>
          <cell r="DZ30" t="str">
            <v/>
          </cell>
          <cell r="EA30">
            <v>5721809582.8245592</v>
          </cell>
          <cell r="EB30">
            <v>5721809582.8245592</v>
          </cell>
          <cell r="EC30">
            <v>5721809582.8245592</v>
          </cell>
          <cell r="ED30">
            <v>5721809582.8245592</v>
          </cell>
          <cell r="EE30">
            <v>5721809582.8245592</v>
          </cell>
          <cell r="EF30">
            <v>5721809582.8245592</v>
          </cell>
          <cell r="EG30">
            <v>5721809582.8245592</v>
          </cell>
          <cell r="EH30">
            <v>5721809582.8245592</v>
          </cell>
          <cell r="EI30">
            <v>5721809582.8245592</v>
          </cell>
          <cell r="EJ30">
            <v>5721809582.8245592</v>
          </cell>
          <cell r="EK30">
            <v>5721809582.8245592</v>
          </cell>
          <cell r="EL30">
            <v>5721809582.8245592</v>
          </cell>
          <cell r="EM30">
            <v>5721809582.8245592</v>
          </cell>
          <cell r="EN30">
            <v>5721809582.8245592</v>
          </cell>
          <cell r="EO30">
            <v>5721809582.8245592</v>
          </cell>
          <cell r="EP30">
            <v>5721809582.8245592</v>
          </cell>
          <cell r="EQ30">
            <v>5721809582.8245592</v>
          </cell>
          <cell r="ER30">
            <v>5721809582.8245592</v>
          </cell>
          <cell r="ES30">
            <v>0</v>
          </cell>
          <cell r="ET30">
            <v>0</v>
          </cell>
          <cell r="EU30">
            <v>0</v>
          </cell>
          <cell r="EV30">
            <v>0</v>
          </cell>
          <cell r="EW30">
            <v>0</v>
          </cell>
          <cell r="EX30">
            <v>0</v>
          </cell>
          <cell r="EY30">
            <v>0</v>
          </cell>
          <cell r="EZ30">
            <v>0</v>
          </cell>
          <cell r="FA30">
            <v>0</v>
          </cell>
          <cell r="FB30">
            <v>0</v>
          </cell>
          <cell r="FC30">
            <v>0</v>
          </cell>
          <cell r="FD30">
            <v>0</v>
          </cell>
          <cell r="FE30">
            <v>5721809582.8245592</v>
          </cell>
          <cell r="FF30">
            <v>5734593427.955801</v>
          </cell>
          <cell r="FG30">
            <v>5645395817.9754496</v>
          </cell>
          <cell r="FH30">
            <v>0</v>
          </cell>
          <cell r="FI30">
            <v>0</v>
          </cell>
          <cell r="FJ30">
            <v>4322221043.8841696</v>
          </cell>
          <cell r="FK30">
            <v>4322221043.8841696</v>
          </cell>
          <cell r="FL30">
            <v>4322221043.8841696</v>
          </cell>
          <cell r="FM30">
            <v>0</v>
          </cell>
          <cell r="FN30">
            <v>5327298017.7793102</v>
          </cell>
          <cell r="FO30">
            <v>5327298017.7793102</v>
          </cell>
          <cell r="FP30">
            <v>5327298017.7793102</v>
          </cell>
          <cell r="FQ30">
            <v>5721809532.1401892</v>
          </cell>
          <cell r="FR30">
            <v>0</v>
          </cell>
          <cell r="FS30">
            <v>5490141049.0362892</v>
          </cell>
          <cell r="FT30">
            <v>5490141049.0362892</v>
          </cell>
          <cell r="FU30">
            <v>5490141049.0362892</v>
          </cell>
          <cell r="FV30">
            <v>5490141049.0362892</v>
          </cell>
          <cell r="FW30">
            <v>5490141049.0362892</v>
          </cell>
          <cell r="FX30">
            <v>5490141049.0362892</v>
          </cell>
          <cell r="FY30">
            <v>5490141049.0362892</v>
          </cell>
          <cell r="FZ30">
            <v>5471492160.8081207</v>
          </cell>
          <cell r="GA30">
            <v>5528401126.6800699</v>
          </cell>
          <cell r="GB30">
            <v>5727586637.2694798</v>
          </cell>
          <cell r="GC30">
            <v>5721809582.8245592</v>
          </cell>
          <cell r="GD30">
            <v>5721809582.8245592</v>
          </cell>
          <cell r="GE30">
            <v>5754597465.5062208</v>
          </cell>
          <cell r="GF30">
            <v>5721809582.8245592</v>
          </cell>
          <cell r="GG30">
            <v>5789359697.8415499</v>
          </cell>
          <cell r="GH30">
            <v>5721809582.8245592</v>
          </cell>
          <cell r="GI30">
            <v>5777523721.6359301</v>
          </cell>
          <cell r="GJ30">
            <v>5721809582.8245592</v>
          </cell>
          <cell r="GK30">
            <v>5722070274.2319698</v>
          </cell>
          <cell r="GL30">
            <v>5721809582.8245592</v>
          </cell>
          <cell r="GM30">
            <v>5721809582.8245592</v>
          </cell>
          <cell r="GN30">
            <v>5721809582.8245592</v>
          </cell>
          <cell r="GO30">
            <v>5721809582.8245592</v>
          </cell>
          <cell r="GP30">
            <v>5721809582.8245592</v>
          </cell>
          <cell r="GQ30">
            <v>5721809582.8245592</v>
          </cell>
          <cell r="GR30">
            <v>5721809582.8245592</v>
          </cell>
          <cell r="GS30">
            <v>5721809582.8245592</v>
          </cell>
          <cell r="GT30">
            <v>5721809582.8245592</v>
          </cell>
          <cell r="GU30">
            <v>0</v>
          </cell>
          <cell r="GZ30">
            <v>0</v>
          </cell>
        </row>
        <row r="31">
          <cell r="A31" t="str">
            <v>F_CNP_NRF_EPA_UCS_FRCE_234</v>
          </cell>
          <cell r="B31">
            <v>18573267.270000003</v>
          </cell>
          <cell r="D31">
            <v>18570606.067329995</v>
          </cell>
          <cell r="E31">
            <v>18329456.731689997</v>
          </cell>
          <cell r="F31">
            <v>18570606.067329995</v>
          </cell>
          <cell r="G31">
            <v>18570606.067329995</v>
          </cell>
          <cell r="H31">
            <v>0</v>
          </cell>
          <cell r="I31">
            <v>0</v>
          </cell>
          <cell r="J31">
            <v>18570606.067329995</v>
          </cell>
          <cell r="K31">
            <v>18570606.067329995</v>
          </cell>
          <cell r="L31">
            <v>18570606.067329995</v>
          </cell>
          <cell r="M31">
            <v>0</v>
          </cell>
          <cell r="N31">
            <v>18570606.067329995</v>
          </cell>
          <cell r="O31">
            <v>18570606.067329995</v>
          </cell>
          <cell r="P31">
            <v>18570606.067329995</v>
          </cell>
          <cell r="Q31">
            <v>18570606.067329995</v>
          </cell>
          <cell r="R31">
            <v>0</v>
          </cell>
          <cell r="S31">
            <v>18570606.067329995</v>
          </cell>
          <cell r="T31">
            <v>18570606.067329995</v>
          </cell>
          <cell r="U31">
            <v>18570606.067329995</v>
          </cell>
          <cell r="V31">
            <v>18570606.067329995</v>
          </cell>
          <cell r="W31">
            <v>18570606.067329995</v>
          </cell>
          <cell r="X31">
            <v>18570606.067329995</v>
          </cell>
          <cell r="Y31">
            <v>18570606.067329995</v>
          </cell>
          <cell r="Z31">
            <v>18570606.067329995</v>
          </cell>
          <cell r="AA31">
            <v>18570606.067329995</v>
          </cell>
          <cell r="AB31">
            <v>18610887.444150001</v>
          </cell>
          <cell r="AC31">
            <v>18325351.781039998</v>
          </cell>
          <cell r="AD31">
            <v>0</v>
          </cell>
          <cell r="AE31">
            <v>0</v>
          </cell>
          <cell r="AF31">
            <v>14319978.909219999</v>
          </cell>
          <cell r="AG31">
            <v>14319978.909219999</v>
          </cell>
          <cell r="AH31">
            <v>14319978.909219999</v>
          </cell>
          <cell r="AI31">
            <v>0</v>
          </cell>
          <cell r="AJ31">
            <v>16772089.137430001</v>
          </cell>
          <cell r="AK31">
            <v>16772089.137430001</v>
          </cell>
          <cell r="AL31">
            <v>16772089.137430001</v>
          </cell>
          <cell r="AM31">
            <v>18570438.353799995</v>
          </cell>
          <cell r="AN31">
            <v>0</v>
          </cell>
          <cell r="AO31">
            <v>17870733.71212</v>
          </cell>
          <cell r="AP31">
            <v>17870733.71212</v>
          </cell>
          <cell r="AQ31">
            <v>17870733.71212</v>
          </cell>
          <cell r="AR31">
            <v>17870733.71212</v>
          </cell>
          <cell r="AS31">
            <v>17870733.71212</v>
          </cell>
          <cell r="AT31">
            <v>17870733.71212</v>
          </cell>
          <cell r="AU31">
            <v>17870733.71212</v>
          </cell>
          <cell r="AV31">
            <v>17739097.929639999</v>
          </cell>
          <cell r="AW31">
            <v>18570606.067329995</v>
          </cell>
          <cell r="AX31">
            <v>18329456.731689997</v>
          </cell>
          <cell r="AY31">
            <v>18329456.731689997</v>
          </cell>
          <cell r="AZ31">
            <v>0</v>
          </cell>
          <cell r="BA31">
            <v>0</v>
          </cell>
          <cell r="BB31">
            <v>18329456.731689997</v>
          </cell>
          <cell r="BC31">
            <v>18329456.731689997</v>
          </cell>
          <cell r="BD31">
            <v>18329456.731689997</v>
          </cell>
          <cell r="BE31">
            <v>0</v>
          </cell>
          <cell r="BF31">
            <v>18329456.731689997</v>
          </cell>
          <cell r="BG31">
            <v>18329456.731689997</v>
          </cell>
          <cell r="BH31">
            <v>18329456.731689997</v>
          </cell>
          <cell r="BI31">
            <v>18329456.731689997</v>
          </cell>
          <cell r="BJ31">
            <v>0</v>
          </cell>
          <cell r="BK31">
            <v>18329456.731689997</v>
          </cell>
          <cell r="BL31">
            <v>18329456.731689997</v>
          </cell>
          <cell r="BM31">
            <v>18329456.731689997</v>
          </cell>
          <cell r="BN31">
            <v>18329456.731689997</v>
          </cell>
          <cell r="BO31">
            <v>18329456.731689997</v>
          </cell>
          <cell r="BP31">
            <v>18329456.731689997</v>
          </cell>
          <cell r="BQ31">
            <v>18329456.731689997</v>
          </cell>
          <cell r="BR31">
            <v>18329456.731689997</v>
          </cell>
          <cell r="BS31">
            <v>18329456.731689997</v>
          </cell>
          <cell r="BT31">
            <v>18366392.171820004</v>
          </cell>
          <cell r="BU31">
            <v>18104567.087770004</v>
          </cell>
          <cell r="BV31">
            <v>0</v>
          </cell>
          <cell r="BW31">
            <v>0</v>
          </cell>
          <cell r="BX31">
            <v>14431745.558440002</v>
          </cell>
          <cell r="BY31">
            <v>14431745.558440002</v>
          </cell>
          <cell r="BZ31">
            <v>14431745.558440002</v>
          </cell>
          <cell r="CA31">
            <v>0</v>
          </cell>
          <cell r="CB31">
            <v>16680639.69101</v>
          </cell>
          <cell r="CC31">
            <v>16680639.69101</v>
          </cell>
          <cell r="CD31">
            <v>16680639.69101</v>
          </cell>
          <cell r="CE31">
            <v>18329291.863150001</v>
          </cell>
          <cell r="CF31">
            <v>0</v>
          </cell>
          <cell r="CG31">
            <v>17687685.447459999</v>
          </cell>
          <cell r="CH31">
            <v>17687685.447459999</v>
          </cell>
          <cell r="CI31">
            <v>17687685.447459999</v>
          </cell>
          <cell r="CJ31">
            <v>17687685.447459999</v>
          </cell>
          <cell r="CK31">
            <v>17687685.447459999</v>
          </cell>
          <cell r="CL31">
            <v>17687685.447459999</v>
          </cell>
          <cell r="CM31">
            <v>17687685.447459999</v>
          </cell>
          <cell r="CN31">
            <v>17567033.114090003</v>
          </cell>
          <cell r="CO31">
            <v>17046369.426889997</v>
          </cell>
          <cell r="CP31">
            <v>18329456.731689997</v>
          </cell>
          <cell r="CQ31">
            <v>18329456.731689997</v>
          </cell>
          <cell r="CR31">
            <v>18329456.731689997</v>
          </cell>
          <cell r="CS31">
            <v>18329456.731689997</v>
          </cell>
          <cell r="CT31">
            <v>18329456.731689997</v>
          </cell>
          <cell r="CU31">
            <v>18329456.731689997</v>
          </cell>
          <cell r="CV31">
            <v>18329456.731689997</v>
          </cell>
          <cell r="CW31">
            <v>18329456.731689997</v>
          </cell>
          <cell r="CX31">
            <v>18329456.731689997</v>
          </cell>
          <cell r="CY31">
            <v>18329456.731689997</v>
          </cell>
          <cell r="CZ31">
            <v>18373508.19325</v>
          </cell>
          <cell r="DA31">
            <v>18353419.349810001</v>
          </cell>
          <cell r="DB31">
            <v>18329456.731689997</v>
          </cell>
          <cell r="DC31">
            <v>18502993.685299993</v>
          </cell>
          <cell r="DD31">
            <v>18371778.001649998</v>
          </cell>
          <cell r="DE31">
            <v>18774602.170299999</v>
          </cell>
          <cell r="DF31">
            <v>18329456.731689997</v>
          </cell>
          <cell r="DG31">
            <v>18704696.481320001</v>
          </cell>
          <cell r="DH31">
            <v>18329456.731689997</v>
          </cell>
          <cell r="DI31">
            <v>18331119.156119995</v>
          </cell>
          <cell r="DJ31">
            <v>0</v>
          </cell>
          <cell r="DK31">
            <v>0</v>
          </cell>
          <cell r="DL31">
            <v>0</v>
          </cell>
          <cell r="DM31">
            <v>0</v>
          </cell>
          <cell r="DN31">
            <v>0</v>
          </cell>
          <cell r="DO31">
            <v>0</v>
          </cell>
          <cell r="DP31">
            <v>0</v>
          </cell>
          <cell r="DQ31">
            <v>0</v>
          </cell>
          <cell r="DR31">
            <v>0</v>
          </cell>
          <cell r="DS31">
            <v>0</v>
          </cell>
          <cell r="DT31">
            <v>0</v>
          </cell>
          <cell r="DU31">
            <v>0</v>
          </cell>
          <cell r="DV31">
            <v>0</v>
          </cell>
          <cell r="DW31">
            <v>0</v>
          </cell>
          <cell r="DX31" t="str">
            <v/>
          </cell>
          <cell r="DY31" t="str">
            <v/>
          </cell>
          <cell r="DZ31" t="str">
            <v/>
          </cell>
          <cell r="EA31">
            <v>18329456.731689997</v>
          </cell>
          <cell r="EB31">
            <v>18329456.731689997</v>
          </cell>
          <cell r="EC31">
            <v>18329456.731689997</v>
          </cell>
          <cell r="ED31">
            <v>18329456.731689997</v>
          </cell>
          <cell r="EE31">
            <v>18329456.731689997</v>
          </cell>
          <cell r="EF31">
            <v>18329456.731689997</v>
          </cell>
          <cell r="EG31">
            <v>18329456.731689997</v>
          </cell>
          <cell r="EH31">
            <v>18329456.731689997</v>
          </cell>
          <cell r="EI31">
            <v>18329456.731689997</v>
          </cell>
          <cell r="EJ31">
            <v>18329456.731689997</v>
          </cell>
          <cell r="EK31">
            <v>18329456.731689997</v>
          </cell>
          <cell r="EL31">
            <v>18329456.731689997</v>
          </cell>
          <cell r="EM31">
            <v>18329456.731689997</v>
          </cell>
          <cell r="EN31">
            <v>18329456.731689997</v>
          </cell>
          <cell r="EO31">
            <v>18329456.731689997</v>
          </cell>
          <cell r="EP31">
            <v>18329456.731689997</v>
          </cell>
          <cell r="EQ31">
            <v>18329456.731689997</v>
          </cell>
          <cell r="ER31">
            <v>18329456.731689997</v>
          </cell>
          <cell r="ES31">
            <v>0</v>
          </cell>
          <cell r="ET31">
            <v>0</v>
          </cell>
          <cell r="EU31">
            <v>0</v>
          </cell>
          <cell r="EV31">
            <v>0</v>
          </cell>
          <cell r="EW31">
            <v>0</v>
          </cell>
          <cell r="EX31">
            <v>0</v>
          </cell>
          <cell r="EY31">
            <v>0</v>
          </cell>
          <cell r="EZ31">
            <v>0</v>
          </cell>
          <cell r="FA31">
            <v>0</v>
          </cell>
          <cell r="FB31">
            <v>0</v>
          </cell>
          <cell r="FC31">
            <v>0</v>
          </cell>
          <cell r="FD31">
            <v>0</v>
          </cell>
          <cell r="FE31">
            <v>18329456.731689997</v>
          </cell>
          <cell r="FF31">
            <v>18366392.171820004</v>
          </cell>
          <cell r="FG31">
            <v>18104567.087770004</v>
          </cell>
          <cell r="FH31">
            <v>0</v>
          </cell>
          <cell r="FI31">
            <v>0</v>
          </cell>
          <cell r="FJ31">
            <v>14431745.558440002</v>
          </cell>
          <cell r="FK31">
            <v>14431745.558440002</v>
          </cell>
          <cell r="FL31">
            <v>14431745.558440002</v>
          </cell>
          <cell r="FM31">
            <v>0</v>
          </cell>
          <cell r="FN31">
            <v>16680639.69101</v>
          </cell>
          <cell r="FO31">
            <v>16680639.69101</v>
          </cell>
          <cell r="FP31">
            <v>16680639.69101</v>
          </cell>
          <cell r="FQ31">
            <v>18329291.863150001</v>
          </cell>
          <cell r="FR31">
            <v>0</v>
          </cell>
          <cell r="FS31">
            <v>17687685.447459999</v>
          </cell>
          <cell r="FT31">
            <v>17687685.447459999</v>
          </cell>
          <cell r="FU31">
            <v>17687685.447459999</v>
          </cell>
          <cell r="FV31">
            <v>17687685.447459999</v>
          </cell>
          <cell r="FW31">
            <v>17687685.447459999</v>
          </cell>
          <cell r="FX31">
            <v>17687685.447459999</v>
          </cell>
          <cell r="FY31">
            <v>17687685.447459999</v>
          </cell>
          <cell r="FZ31">
            <v>17567033.114090003</v>
          </cell>
          <cell r="GA31">
            <v>17046369.426889997</v>
          </cell>
          <cell r="GB31">
            <v>18373508.19325</v>
          </cell>
          <cell r="GC31">
            <v>18353419.349810001</v>
          </cell>
          <cell r="GD31">
            <v>18329456.731689997</v>
          </cell>
          <cell r="GE31">
            <v>18502993.685299993</v>
          </cell>
          <cell r="GF31">
            <v>18371778.001649998</v>
          </cell>
          <cell r="GG31">
            <v>18774602.170299999</v>
          </cell>
          <cell r="GH31">
            <v>18329456.731689997</v>
          </cell>
          <cell r="GI31">
            <v>18704696.481320001</v>
          </cell>
          <cell r="GJ31">
            <v>18329456.731689997</v>
          </cell>
          <cell r="GK31">
            <v>18331119.156119995</v>
          </cell>
          <cell r="GL31">
            <v>18329456.731689997</v>
          </cell>
          <cell r="GM31">
            <v>18329456.731689997</v>
          </cell>
          <cell r="GN31">
            <v>18329456.731689997</v>
          </cell>
          <cell r="GO31">
            <v>18329456.731689997</v>
          </cell>
          <cell r="GP31">
            <v>18329456.731689997</v>
          </cell>
          <cell r="GQ31">
            <v>18329456.731689997</v>
          </cell>
          <cell r="GR31">
            <v>18329456.731689997</v>
          </cell>
          <cell r="GS31">
            <v>18329456.731689997</v>
          </cell>
          <cell r="GT31">
            <v>18329456.731689997</v>
          </cell>
          <cell r="GU31">
            <v>0</v>
          </cell>
          <cell r="GZ31">
            <v>0</v>
          </cell>
        </row>
        <row r="32">
          <cell r="A32" t="str">
            <v>F_CNP_NRF_EPA_UCS_FRCE_GCE</v>
          </cell>
          <cell r="B32">
            <v>0</v>
          </cell>
          <cell r="D32">
            <v>0</v>
          </cell>
          <cell r="E32">
            <v>0</v>
          </cell>
          <cell r="F32">
            <v>0</v>
          </cell>
          <cell r="G32">
            <v>0</v>
          </cell>
          <cell r="H32">
            <v>0</v>
          </cell>
          <cell r="I32">
            <v>0</v>
          </cell>
          <cell r="J32">
            <v>0</v>
          </cell>
          <cell r="K32">
            <v>0</v>
          </cell>
          <cell r="L32">
            <v>0</v>
          </cell>
          <cell r="M32">
            <v>0</v>
          </cell>
          <cell r="N32">
            <v>0</v>
          </cell>
          <cell r="O32">
            <v>0</v>
          </cell>
          <cell r="P32">
            <v>0</v>
          </cell>
          <cell r="Q32">
            <v>0</v>
          </cell>
          <cell r="R32">
            <v>0</v>
          </cell>
          <cell r="S32">
            <v>0</v>
          </cell>
          <cell r="T32">
            <v>0</v>
          </cell>
          <cell r="U32">
            <v>0</v>
          </cell>
          <cell r="V32">
            <v>0</v>
          </cell>
          <cell r="W32">
            <v>0</v>
          </cell>
          <cell r="X32">
            <v>0</v>
          </cell>
          <cell r="Y32">
            <v>0</v>
          </cell>
          <cell r="Z32">
            <v>0</v>
          </cell>
          <cell r="AA32">
            <v>0</v>
          </cell>
          <cell r="AB32">
            <v>0</v>
          </cell>
          <cell r="AC32">
            <v>0</v>
          </cell>
          <cell r="AD32">
            <v>0</v>
          </cell>
          <cell r="AE32">
            <v>0</v>
          </cell>
          <cell r="AF32">
            <v>0</v>
          </cell>
          <cell r="AG32">
            <v>0</v>
          </cell>
          <cell r="AH32">
            <v>0</v>
          </cell>
          <cell r="AI32">
            <v>0</v>
          </cell>
          <cell r="AJ32">
            <v>0</v>
          </cell>
          <cell r="AK32">
            <v>0</v>
          </cell>
          <cell r="AL32">
            <v>0</v>
          </cell>
          <cell r="AM32">
            <v>0</v>
          </cell>
          <cell r="AN32">
            <v>0</v>
          </cell>
          <cell r="AO32">
            <v>0</v>
          </cell>
          <cell r="AP32">
            <v>0</v>
          </cell>
          <cell r="AQ32">
            <v>0</v>
          </cell>
          <cell r="AR32">
            <v>0</v>
          </cell>
          <cell r="AS32">
            <v>0</v>
          </cell>
          <cell r="AT32">
            <v>0</v>
          </cell>
          <cell r="AU32">
            <v>0</v>
          </cell>
          <cell r="AV32">
            <v>0</v>
          </cell>
          <cell r="AW32">
            <v>0</v>
          </cell>
          <cell r="AX32">
            <v>0</v>
          </cell>
          <cell r="AY32">
            <v>0</v>
          </cell>
          <cell r="AZ32">
            <v>0</v>
          </cell>
          <cell r="BA32">
            <v>0</v>
          </cell>
          <cell r="BB32">
            <v>0</v>
          </cell>
          <cell r="BC32">
            <v>0</v>
          </cell>
          <cell r="BD32">
            <v>0</v>
          </cell>
          <cell r="BE32">
            <v>0</v>
          </cell>
          <cell r="BF32">
            <v>0</v>
          </cell>
          <cell r="BG32">
            <v>0</v>
          </cell>
          <cell r="BH32">
            <v>0</v>
          </cell>
          <cell r="BI32">
            <v>0</v>
          </cell>
          <cell r="BJ32">
            <v>0</v>
          </cell>
          <cell r="BK32">
            <v>0</v>
          </cell>
          <cell r="BL32">
            <v>0</v>
          </cell>
          <cell r="BM32">
            <v>0</v>
          </cell>
          <cell r="BN32">
            <v>0</v>
          </cell>
          <cell r="BO32">
            <v>0</v>
          </cell>
          <cell r="BP32">
            <v>0</v>
          </cell>
          <cell r="BQ32">
            <v>0</v>
          </cell>
          <cell r="BR32">
            <v>0</v>
          </cell>
          <cell r="BS32">
            <v>0</v>
          </cell>
          <cell r="BT32">
            <v>0</v>
          </cell>
          <cell r="BU32">
            <v>0</v>
          </cell>
          <cell r="BV32">
            <v>0</v>
          </cell>
          <cell r="BW32">
            <v>0</v>
          </cell>
          <cell r="BX32">
            <v>0</v>
          </cell>
          <cell r="BY32">
            <v>0</v>
          </cell>
          <cell r="BZ32">
            <v>0</v>
          </cell>
          <cell r="CA32">
            <v>0</v>
          </cell>
          <cell r="CB32">
            <v>0</v>
          </cell>
          <cell r="CC32">
            <v>0</v>
          </cell>
          <cell r="CD32">
            <v>0</v>
          </cell>
          <cell r="CE32">
            <v>0</v>
          </cell>
          <cell r="CF32">
            <v>0</v>
          </cell>
          <cell r="CG32">
            <v>0</v>
          </cell>
          <cell r="CH32">
            <v>0</v>
          </cell>
          <cell r="CI32">
            <v>0</v>
          </cell>
          <cell r="CJ32">
            <v>0</v>
          </cell>
          <cell r="CK32">
            <v>0</v>
          </cell>
          <cell r="CL32">
            <v>0</v>
          </cell>
          <cell r="CM32">
            <v>0</v>
          </cell>
          <cell r="CN32">
            <v>0</v>
          </cell>
          <cell r="CO32">
            <v>0</v>
          </cell>
          <cell r="CP32">
            <v>0</v>
          </cell>
          <cell r="CQ32">
            <v>0</v>
          </cell>
          <cell r="CR32">
            <v>0</v>
          </cell>
          <cell r="CS32">
            <v>0</v>
          </cell>
          <cell r="CT32">
            <v>0</v>
          </cell>
          <cell r="CU32">
            <v>0</v>
          </cell>
          <cell r="CV32">
            <v>0</v>
          </cell>
          <cell r="CW32">
            <v>0</v>
          </cell>
          <cell r="CX32">
            <v>0</v>
          </cell>
          <cell r="CY32">
            <v>0</v>
          </cell>
          <cell r="CZ32">
            <v>0</v>
          </cell>
          <cell r="DA32">
            <v>0</v>
          </cell>
          <cell r="DB32">
            <v>0</v>
          </cell>
          <cell r="DC32">
            <v>0</v>
          </cell>
          <cell r="DD32">
            <v>0</v>
          </cell>
          <cell r="DE32">
            <v>0</v>
          </cell>
          <cell r="DF32">
            <v>0</v>
          </cell>
          <cell r="DG32">
            <v>0</v>
          </cell>
          <cell r="DH32">
            <v>0</v>
          </cell>
          <cell r="DI32">
            <v>0</v>
          </cell>
          <cell r="DJ32">
            <v>0</v>
          </cell>
          <cell r="DK32">
            <v>0</v>
          </cell>
          <cell r="DL32">
            <v>0</v>
          </cell>
          <cell r="DM32">
            <v>0</v>
          </cell>
          <cell r="DN32">
            <v>0</v>
          </cell>
          <cell r="DO32">
            <v>0</v>
          </cell>
          <cell r="DP32">
            <v>0</v>
          </cell>
          <cell r="DQ32">
            <v>0</v>
          </cell>
          <cell r="DR32">
            <v>0</v>
          </cell>
          <cell r="DS32">
            <v>0</v>
          </cell>
          <cell r="DT32">
            <v>0</v>
          </cell>
          <cell r="DU32">
            <v>0</v>
          </cell>
          <cell r="DV32">
            <v>0</v>
          </cell>
          <cell r="DW32">
            <v>0</v>
          </cell>
          <cell r="DX32" t="str">
            <v/>
          </cell>
          <cell r="DY32" t="str">
            <v/>
          </cell>
          <cell r="DZ32" t="str">
            <v/>
          </cell>
          <cell r="EA32">
            <v>0</v>
          </cell>
          <cell r="EB32">
            <v>0</v>
          </cell>
          <cell r="EC32">
            <v>0</v>
          </cell>
          <cell r="ED32">
            <v>0</v>
          </cell>
          <cell r="EE32">
            <v>0</v>
          </cell>
          <cell r="EF32">
            <v>0</v>
          </cell>
          <cell r="EG32">
            <v>0</v>
          </cell>
          <cell r="EH32">
            <v>0</v>
          </cell>
          <cell r="EI32">
            <v>0</v>
          </cell>
          <cell r="EJ32">
            <v>0</v>
          </cell>
          <cell r="EK32">
            <v>0</v>
          </cell>
          <cell r="EL32">
            <v>0</v>
          </cell>
          <cell r="EM32">
            <v>0</v>
          </cell>
          <cell r="EN32">
            <v>0</v>
          </cell>
          <cell r="EO32">
            <v>0</v>
          </cell>
          <cell r="EP32">
            <v>0</v>
          </cell>
          <cell r="EQ32">
            <v>0</v>
          </cell>
          <cell r="ER32">
            <v>0</v>
          </cell>
          <cell r="ES32">
            <v>0</v>
          </cell>
          <cell r="ET32">
            <v>0</v>
          </cell>
          <cell r="EU32">
            <v>0</v>
          </cell>
          <cell r="EV32">
            <v>0</v>
          </cell>
          <cell r="EW32">
            <v>0</v>
          </cell>
          <cell r="EX32">
            <v>0</v>
          </cell>
          <cell r="EY32">
            <v>0</v>
          </cell>
          <cell r="EZ32">
            <v>0</v>
          </cell>
          <cell r="FA32">
            <v>0</v>
          </cell>
          <cell r="FB32">
            <v>0</v>
          </cell>
          <cell r="FC32">
            <v>0</v>
          </cell>
          <cell r="FD32">
            <v>0</v>
          </cell>
          <cell r="FE32">
            <v>0</v>
          </cell>
          <cell r="FF32">
            <v>0</v>
          </cell>
          <cell r="FG32">
            <v>0</v>
          </cell>
          <cell r="FH32">
            <v>0</v>
          </cell>
          <cell r="FI32">
            <v>0</v>
          </cell>
          <cell r="FJ32">
            <v>0</v>
          </cell>
          <cell r="FK32">
            <v>0</v>
          </cell>
          <cell r="FL32">
            <v>0</v>
          </cell>
          <cell r="FM32">
            <v>0</v>
          </cell>
          <cell r="FN32">
            <v>0</v>
          </cell>
          <cell r="FO32">
            <v>0</v>
          </cell>
          <cell r="FP32">
            <v>0</v>
          </cell>
          <cell r="FQ32">
            <v>0</v>
          </cell>
          <cell r="FR32">
            <v>0</v>
          </cell>
          <cell r="FS32">
            <v>0</v>
          </cell>
          <cell r="FT32">
            <v>0</v>
          </cell>
          <cell r="FU32">
            <v>0</v>
          </cell>
          <cell r="FV32">
            <v>0</v>
          </cell>
          <cell r="FW32">
            <v>0</v>
          </cell>
          <cell r="FX32">
            <v>0</v>
          </cell>
          <cell r="FY32">
            <v>0</v>
          </cell>
          <cell r="FZ32">
            <v>0</v>
          </cell>
          <cell r="GA32">
            <v>0</v>
          </cell>
          <cell r="GB32">
            <v>0</v>
          </cell>
          <cell r="GC32">
            <v>0</v>
          </cell>
          <cell r="GD32">
            <v>0</v>
          </cell>
          <cell r="GE32">
            <v>0</v>
          </cell>
          <cell r="GF32">
            <v>0</v>
          </cell>
          <cell r="GG32">
            <v>0</v>
          </cell>
          <cell r="GH32">
            <v>0</v>
          </cell>
          <cell r="GI32">
            <v>0</v>
          </cell>
          <cell r="GJ32">
            <v>0</v>
          </cell>
          <cell r="GK32">
            <v>0</v>
          </cell>
          <cell r="GL32">
            <v>0</v>
          </cell>
          <cell r="GM32">
            <v>0</v>
          </cell>
          <cell r="GN32">
            <v>0</v>
          </cell>
          <cell r="GO32">
            <v>0</v>
          </cell>
          <cell r="GP32">
            <v>0</v>
          </cell>
          <cell r="GQ32">
            <v>0</v>
          </cell>
          <cell r="GR32">
            <v>0</v>
          </cell>
          <cell r="GS32">
            <v>0</v>
          </cell>
          <cell r="GT32">
            <v>0</v>
          </cell>
          <cell r="GU32">
            <v>0</v>
          </cell>
          <cell r="GZ32">
            <v>0</v>
          </cell>
        </row>
        <row r="33">
          <cell r="A33" t="str">
            <v>F_CNP_NRF_EPA_UCS_FRCE_GBP</v>
          </cell>
          <cell r="B33">
            <v>0</v>
          </cell>
          <cell r="D33">
            <v>0</v>
          </cell>
          <cell r="E33">
            <v>0</v>
          </cell>
          <cell r="F33">
            <v>0</v>
          </cell>
          <cell r="G33">
            <v>0</v>
          </cell>
          <cell r="H33">
            <v>0</v>
          </cell>
          <cell r="I33">
            <v>0</v>
          </cell>
          <cell r="J33">
            <v>0</v>
          </cell>
          <cell r="K33">
            <v>0</v>
          </cell>
          <cell r="L33">
            <v>0</v>
          </cell>
          <cell r="M33">
            <v>0</v>
          </cell>
          <cell r="N33">
            <v>0</v>
          </cell>
          <cell r="O33">
            <v>0</v>
          </cell>
          <cell r="P33">
            <v>0</v>
          </cell>
          <cell r="Q33">
            <v>0</v>
          </cell>
          <cell r="R33">
            <v>0</v>
          </cell>
          <cell r="S33">
            <v>0</v>
          </cell>
          <cell r="T33">
            <v>0</v>
          </cell>
          <cell r="U33">
            <v>0</v>
          </cell>
          <cell r="V33">
            <v>0</v>
          </cell>
          <cell r="W33">
            <v>0</v>
          </cell>
          <cell r="X33">
            <v>0</v>
          </cell>
          <cell r="Y33">
            <v>0</v>
          </cell>
          <cell r="Z33">
            <v>0</v>
          </cell>
          <cell r="AA33">
            <v>0</v>
          </cell>
          <cell r="AB33">
            <v>0</v>
          </cell>
          <cell r="AC33">
            <v>0</v>
          </cell>
          <cell r="AD33">
            <v>0</v>
          </cell>
          <cell r="AE33">
            <v>0</v>
          </cell>
          <cell r="AF33">
            <v>0</v>
          </cell>
          <cell r="AG33">
            <v>0</v>
          </cell>
          <cell r="AH33">
            <v>0</v>
          </cell>
          <cell r="AI33">
            <v>0</v>
          </cell>
          <cell r="AJ33">
            <v>0</v>
          </cell>
          <cell r="AK33">
            <v>0</v>
          </cell>
          <cell r="AL33">
            <v>0</v>
          </cell>
          <cell r="AM33">
            <v>0</v>
          </cell>
          <cell r="AN33">
            <v>0</v>
          </cell>
          <cell r="AO33">
            <v>0</v>
          </cell>
          <cell r="AP33">
            <v>0</v>
          </cell>
          <cell r="AQ33">
            <v>0</v>
          </cell>
          <cell r="AR33">
            <v>0</v>
          </cell>
          <cell r="AS33">
            <v>0</v>
          </cell>
          <cell r="AT33">
            <v>0</v>
          </cell>
          <cell r="AU33">
            <v>0</v>
          </cell>
          <cell r="AV33">
            <v>0</v>
          </cell>
          <cell r="AW33">
            <v>0</v>
          </cell>
          <cell r="AX33">
            <v>0</v>
          </cell>
          <cell r="AY33">
            <v>0</v>
          </cell>
          <cell r="AZ33">
            <v>0</v>
          </cell>
          <cell r="BA33">
            <v>0</v>
          </cell>
          <cell r="BB33">
            <v>0</v>
          </cell>
          <cell r="BC33">
            <v>0</v>
          </cell>
          <cell r="BD33">
            <v>0</v>
          </cell>
          <cell r="BE33">
            <v>0</v>
          </cell>
          <cell r="BF33">
            <v>0</v>
          </cell>
          <cell r="BG33">
            <v>0</v>
          </cell>
          <cell r="BH33">
            <v>0</v>
          </cell>
          <cell r="BI33">
            <v>0</v>
          </cell>
          <cell r="BJ33">
            <v>0</v>
          </cell>
          <cell r="BK33">
            <v>0</v>
          </cell>
          <cell r="BL33">
            <v>0</v>
          </cell>
          <cell r="BM33">
            <v>0</v>
          </cell>
          <cell r="BN33">
            <v>0</v>
          </cell>
          <cell r="BO33">
            <v>0</v>
          </cell>
          <cell r="BP33">
            <v>0</v>
          </cell>
          <cell r="BQ33">
            <v>0</v>
          </cell>
          <cell r="BR33">
            <v>0</v>
          </cell>
          <cell r="BS33">
            <v>0</v>
          </cell>
          <cell r="BT33">
            <v>0</v>
          </cell>
          <cell r="BU33">
            <v>0</v>
          </cell>
          <cell r="BV33">
            <v>0</v>
          </cell>
          <cell r="BW33">
            <v>0</v>
          </cell>
          <cell r="BX33">
            <v>0</v>
          </cell>
          <cell r="BY33">
            <v>0</v>
          </cell>
          <cell r="BZ33">
            <v>0</v>
          </cell>
          <cell r="CA33">
            <v>0</v>
          </cell>
          <cell r="CB33">
            <v>0</v>
          </cell>
          <cell r="CC33">
            <v>0</v>
          </cell>
          <cell r="CD33">
            <v>0</v>
          </cell>
          <cell r="CE33">
            <v>0</v>
          </cell>
          <cell r="CF33">
            <v>0</v>
          </cell>
          <cell r="CG33">
            <v>0</v>
          </cell>
          <cell r="CH33">
            <v>0</v>
          </cell>
          <cell r="CI33">
            <v>0</v>
          </cell>
          <cell r="CJ33">
            <v>0</v>
          </cell>
          <cell r="CK33">
            <v>0</v>
          </cell>
          <cell r="CL33">
            <v>0</v>
          </cell>
          <cell r="CM33">
            <v>0</v>
          </cell>
          <cell r="CN33">
            <v>0</v>
          </cell>
          <cell r="CO33">
            <v>0</v>
          </cell>
          <cell r="CP33">
            <v>0</v>
          </cell>
          <cell r="CQ33">
            <v>0</v>
          </cell>
          <cell r="CR33">
            <v>0</v>
          </cell>
          <cell r="CS33">
            <v>0</v>
          </cell>
          <cell r="CT33">
            <v>0</v>
          </cell>
          <cell r="CU33">
            <v>0</v>
          </cell>
          <cell r="CV33">
            <v>0</v>
          </cell>
          <cell r="CW33">
            <v>0</v>
          </cell>
          <cell r="CX33">
            <v>0</v>
          </cell>
          <cell r="CY33">
            <v>0</v>
          </cell>
          <cell r="CZ33">
            <v>0</v>
          </cell>
          <cell r="DA33">
            <v>0</v>
          </cell>
          <cell r="DB33">
            <v>0</v>
          </cell>
          <cell r="DC33">
            <v>0</v>
          </cell>
          <cell r="DD33">
            <v>0</v>
          </cell>
          <cell r="DE33">
            <v>0</v>
          </cell>
          <cell r="DF33">
            <v>0</v>
          </cell>
          <cell r="DG33">
            <v>0</v>
          </cell>
          <cell r="DH33">
            <v>0</v>
          </cell>
          <cell r="DI33">
            <v>0</v>
          </cell>
          <cell r="DJ33">
            <v>0</v>
          </cell>
          <cell r="DK33">
            <v>0</v>
          </cell>
          <cell r="DL33">
            <v>0</v>
          </cell>
          <cell r="DM33">
            <v>0</v>
          </cell>
          <cell r="DN33">
            <v>0</v>
          </cell>
          <cell r="DO33">
            <v>0</v>
          </cell>
          <cell r="DP33">
            <v>0</v>
          </cell>
          <cell r="DQ33">
            <v>0</v>
          </cell>
          <cell r="DR33">
            <v>0</v>
          </cell>
          <cell r="DS33">
            <v>0</v>
          </cell>
          <cell r="DT33">
            <v>0</v>
          </cell>
          <cell r="DU33">
            <v>0</v>
          </cell>
          <cell r="DV33">
            <v>0</v>
          </cell>
          <cell r="DW33">
            <v>0</v>
          </cell>
          <cell r="DX33" t="str">
            <v/>
          </cell>
          <cell r="DY33" t="str">
            <v/>
          </cell>
          <cell r="DZ33" t="str">
            <v/>
          </cell>
          <cell r="EA33">
            <v>0</v>
          </cell>
          <cell r="EB33">
            <v>0</v>
          </cell>
          <cell r="EC33">
            <v>0</v>
          </cell>
          <cell r="ED33">
            <v>0</v>
          </cell>
          <cell r="EE33">
            <v>0</v>
          </cell>
          <cell r="EF33">
            <v>0</v>
          </cell>
          <cell r="EG33">
            <v>0</v>
          </cell>
          <cell r="EH33">
            <v>0</v>
          </cell>
          <cell r="EI33">
            <v>0</v>
          </cell>
          <cell r="EJ33">
            <v>0</v>
          </cell>
          <cell r="EK33">
            <v>0</v>
          </cell>
          <cell r="EL33">
            <v>0</v>
          </cell>
          <cell r="EM33">
            <v>0</v>
          </cell>
          <cell r="EN33">
            <v>0</v>
          </cell>
          <cell r="EO33">
            <v>0</v>
          </cell>
          <cell r="EP33">
            <v>0</v>
          </cell>
          <cell r="EQ33">
            <v>0</v>
          </cell>
          <cell r="ER33">
            <v>0</v>
          </cell>
          <cell r="ES33">
            <v>0</v>
          </cell>
          <cell r="ET33">
            <v>0</v>
          </cell>
          <cell r="EU33">
            <v>0</v>
          </cell>
          <cell r="EV33">
            <v>0</v>
          </cell>
          <cell r="EW33">
            <v>0</v>
          </cell>
          <cell r="EX33">
            <v>0</v>
          </cell>
          <cell r="EY33">
            <v>0</v>
          </cell>
          <cell r="EZ33">
            <v>0</v>
          </cell>
          <cell r="FA33">
            <v>0</v>
          </cell>
          <cell r="FB33">
            <v>0</v>
          </cell>
          <cell r="FC33">
            <v>0</v>
          </cell>
          <cell r="FD33">
            <v>0</v>
          </cell>
          <cell r="FE33">
            <v>0</v>
          </cell>
          <cell r="FF33">
            <v>0</v>
          </cell>
          <cell r="FG33">
            <v>0</v>
          </cell>
          <cell r="FH33">
            <v>0</v>
          </cell>
          <cell r="FI33">
            <v>0</v>
          </cell>
          <cell r="FJ33">
            <v>0</v>
          </cell>
          <cell r="FK33">
            <v>0</v>
          </cell>
          <cell r="FL33">
            <v>0</v>
          </cell>
          <cell r="FM33">
            <v>0</v>
          </cell>
          <cell r="FN33">
            <v>0</v>
          </cell>
          <cell r="FO33">
            <v>0</v>
          </cell>
          <cell r="FP33">
            <v>0</v>
          </cell>
          <cell r="FQ33">
            <v>0</v>
          </cell>
          <cell r="FR33">
            <v>0</v>
          </cell>
          <cell r="FS33">
            <v>0</v>
          </cell>
          <cell r="FT33">
            <v>0</v>
          </cell>
          <cell r="FU33">
            <v>0</v>
          </cell>
          <cell r="FV33">
            <v>0</v>
          </cell>
          <cell r="FW33">
            <v>0</v>
          </cell>
          <cell r="FX33">
            <v>0</v>
          </cell>
          <cell r="FY33">
            <v>0</v>
          </cell>
          <cell r="FZ33">
            <v>0</v>
          </cell>
          <cell r="GA33">
            <v>0</v>
          </cell>
          <cell r="GB33">
            <v>0</v>
          </cell>
          <cell r="GC33">
            <v>0</v>
          </cell>
          <cell r="GD33">
            <v>0</v>
          </cell>
          <cell r="GE33">
            <v>0</v>
          </cell>
          <cell r="GF33">
            <v>0</v>
          </cell>
          <cell r="GG33">
            <v>0</v>
          </cell>
          <cell r="GH33">
            <v>0</v>
          </cell>
          <cell r="GI33">
            <v>0</v>
          </cell>
          <cell r="GJ33">
            <v>0</v>
          </cell>
          <cell r="GK33">
            <v>0</v>
          </cell>
          <cell r="GL33">
            <v>0</v>
          </cell>
          <cell r="GM33">
            <v>0</v>
          </cell>
          <cell r="GN33">
            <v>0</v>
          </cell>
          <cell r="GO33">
            <v>0</v>
          </cell>
          <cell r="GP33">
            <v>0</v>
          </cell>
          <cell r="GQ33">
            <v>0</v>
          </cell>
          <cell r="GR33">
            <v>0</v>
          </cell>
          <cell r="GS33">
            <v>0</v>
          </cell>
          <cell r="GT33">
            <v>0</v>
          </cell>
          <cell r="GU33">
            <v>0</v>
          </cell>
          <cell r="GZ33">
            <v>0</v>
          </cell>
        </row>
        <row r="34">
          <cell r="A34" t="str">
            <v>F_CNP_NRF_EPA_UCS_FRCE_GTR</v>
          </cell>
          <cell r="B34">
            <v>0</v>
          </cell>
          <cell r="D34">
            <v>0</v>
          </cell>
          <cell r="E34">
            <v>0</v>
          </cell>
          <cell r="F34">
            <v>0</v>
          </cell>
          <cell r="G34">
            <v>0</v>
          </cell>
          <cell r="H34">
            <v>0</v>
          </cell>
          <cell r="I34">
            <v>0</v>
          </cell>
          <cell r="J34">
            <v>0</v>
          </cell>
          <cell r="K34">
            <v>0</v>
          </cell>
          <cell r="L34">
            <v>0</v>
          </cell>
          <cell r="M34">
            <v>0</v>
          </cell>
          <cell r="N34">
            <v>0</v>
          </cell>
          <cell r="O34">
            <v>0</v>
          </cell>
          <cell r="P34">
            <v>0</v>
          </cell>
          <cell r="Q34">
            <v>0</v>
          </cell>
          <cell r="R34">
            <v>0</v>
          </cell>
          <cell r="S34">
            <v>0</v>
          </cell>
          <cell r="T34">
            <v>0</v>
          </cell>
          <cell r="U34">
            <v>0</v>
          </cell>
          <cell r="V34">
            <v>0</v>
          </cell>
          <cell r="W34">
            <v>0</v>
          </cell>
          <cell r="X34">
            <v>0</v>
          </cell>
          <cell r="Y34">
            <v>0</v>
          </cell>
          <cell r="Z34">
            <v>0</v>
          </cell>
          <cell r="AA34">
            <v>0</v>
          </cell>
          <cell r="AB34">
            <v>0</v>
          </cell>
          <cell r="AC34">
            <v>0</v>
          </cell>
          <cell r="AD34">
            <v>0</v>
          </cell>
          <cell r="AE34">
            <v>0</v>
          </cell>
          <cell r="AF34">
            <v>0</v>
          </cell>
          <cell r="AG34">
            <v>0</v>
          </cell>
          <cell r="AH34">
            <v>0</v>
          </cell>
          <cell r="AI34">
            <v>0</v>
          </cell>
          <cell r="AJ34">
            <v>0</v>
          </cell>
          <cell r="AK34">
            <v>0</v>
          </cell>
          <cell r="AL34">
            <v>0</v>
          </cell>
          <cell r="AM34">
            <v>0</v>
          </cell>
          <cell r="AN34">
            <v>0</v>
          </cell>
          <cell r="AO34">
            <v>0</v>
          </cell>
          <cell r="AP34">
            <v>0</v>
          </cell>
          <cell r="AQ34">
            <v>0</v>
          </cell>
          <cell r="AR34">
            <v>0</v>
          </cell>
          <cell r="AS34">
            <v>0</v>
          </cell>
          <cell r="AT34">
            <v>0</v>
          </cell>
          <cell r="AU34">
            <v>0</v>
          </cell>
          <cell r="AV34">
            <v>0</v>
          </cell>
          <cell r="AW34">
            <v>0</v>
          </cell>
          <cell r="AX34">
            <v>0</v>
          </cell>
          <cell r="AY34">
            <v>0</v>
          </cell>
          <cell r="AZ34">
            <v>0</v>
          </cell>
          <cell r="BA34">
            <v>0</v>
          </cell>
          <cell r="BB34">
            <v>0</v>
          </cell>
          <cell r="BC34">
            <v>0</v>
          </cell>
          <cell r="BD34">
            <v>0</v>
          </cell>
          <cell r="BE34">
            <v>0</v>
          </cell>
          <cell r="BF34">
            <v>0</v>
          </cell>
          <cell r="BG34">
            <v>0</v>
          </cell>
          <cell r="BH34">
            <v>0</v>
          </cell>
          <cell r="BI34">
            <v>0</v>
          </cell>
          <cell r="BJ34">
            <v>0</v>
          </cell>
          <cell r="BK34">
            <v>0</v>
          </cell>
          <cell r="BL34">
            <v>0</v>
          </cell>
          <cell r="BM34">
            <v>0</v>
          </cell>
          <cell r="BN34">
            <v>0</v>
          </cell>
          <cell r="BO34">
            <v>0</v>
          </cell>
          <cell r="BP34">
            <v>0</v>
          </cell>
          <cell r="BQ34">
            <v>0</v>
          </cell>
          <cell r="BR34">
            <v>0</v>
          </cell>
          <cell r="BS34">
            <v>0</v>
          </cell>
          <cell r="BT34">
            <v>0</v>
          </cell>
          <cell r="BU34">
            <v>0</v>
          </cell>
          <cell r="BV34">
            <v>0</v>
          </cell>
          <cell r="BW34">
            <v>0</v>
          </cell>
          <cell r="BX34">
            <v>0</v>
          </cell>
          <cell r="BY34">
            <v>0</v>
          </cell>
          <cell r="BZ34">
            <v>0</v>
          </cell>
          <cell r="CA34">
            <v>0</v>
          </cell>
          <cell r="CB34">
            <v>0</v>
          </cell>
          <cell r="CC34">
            <v>0</v>
          </cell>
          <cell r="CD34">
            <v>0</v>
          </cell>
          <cell r="CE34">
            <v>0</v>
          </cell>
          <cell r="CF34">
            <v>0</v>
          </cell>
          <cell r="CG34">
            <v>0</v>
          </cell>
          <cell r="CH34">
            <v>0</v>
          </cell>
          <cell r="CI34">
            <v>0</v>
          </cell>
          <cell r="CJ34">
            <v>0</v>
          </cell>
          <cell r="CK34">
            <v>0</v>
          </cell>
          <cell r="CL34">
            <v>0</v>
          </cell>
          <cell r="CM34">
            <v>0</v>
          </cell>
          <cell r="CN34">
            <v>0</v>
          </cell>
          <cell r="CO34">
            <v>0</v>
          </cell>
          <cell r="CP34">
            <v>0</v>
          </cell>
          <cell r="CQ34">
            <v>0</v>
          </cell>
          <cell r="CR34">
            <v>0</v>
          </cell>
          <cell r="CS34">
            <v>0</v>
          </cell>
          <cell r="CT34">
            <v>0</v>
          </cell>
          <cell r="CU34">
            <v>0</v>
          </cell>
          <cell r="CV34">
            <v>0</v>
          </cell>
          <cell r="CW34">
            <v>0</v>
          </cell>
          <cell r="CX34">
            <v>0</v>
          </cell>
          <cell r="CY34">
            <v>0</v>
          </cell>
          <cell r="CZ34">
            <v>0</v>
          </cell>
          <cell r="DA34">
            <v>0</v>
          </cell>
          <cell r="DB34">
            <v>0</v>
          </cell>
          <cell r="DC34">
            <v>0</v>
          </cell>
          <cell r="DD34">
            <v>0</v>
          </cell>
          <cell r="DE34">
            <v>0</v>
          </cell>
          <cell r="DF34">
            <v>0</v>
          </cell>
          <cell r="DG34">
            <v>0</v>
          </cell>
          <cell r="DH34">
            <v>0</v>
          </cell>
          <cell r="DI34">
            <v>0</v>
          </cell>
          <cell r="DJ34">
            <v>0</v>
          </cell>
          <cell r="DK34">
            <v>0</v>
          </cell>
          <cell r="DL34">
            <v>0</v>
          </cell>
          <cell r="DM34">
            <v>0</v>
          </cell>
          <cell r="DN34">
            <v>0</v>
          </cell>
          <cell r="DO34">
            <v>0</v>
          </cell>
          <cell r="DP34">
            <v>0</v>
          </cell>
          <cell r="DQ34">
            <v>0</v>
          </cell>
          <cell r="DR34">
            <v>0</v>
          </cell>
          <cell r="DS34">
            <v>0</v>
          </cell>
          <cell r="DT34">
            <v>0</v>
          </cell>
          <cell r="DU34">
            <v>0</v>
          </cell>
          <cell r="DV34">
            <v>0</v>
          </cell>
          <cell r="DW34">
            <v>0</v>
          </cell>
          <cell r="DX34" t="str">
            <v/>
          </cell>
          <cell r="DY34" t="str">
            <v/>
          </cell>
          <cell r="DZ34" t="str">
            <v/>
          </cell>
          <cell r="EA34">
            <v>0</v>
          </cell>
          <cell r="EB34">
            <v>0</v>
          </cell>
          <cell r="EC34">
            <v>0</v>
          </cell>
          <cell r="ED34">
            <v>0</v>
          </cell>
          <cell r="EE34">
            <v>0</v>
          </cell>
          <cell r="EF34">
            <v>0</v>
          </cell>
          <cell r="EG34">
            <v>0</v>
          </cell>
          <cell r="EH34">
            <v>0</v>
          </cell>
          <cell r="EI34">
            <v>0</v>
          </cell>
          <cell r="EJ34">
            <v>0</v>
          </cell>
          <cell r="EK34">
            <v>0</v>
          </cell>
          <cell r="EL34">
            <v>0</v>
          </cell>
          <cell r="EM34">
            <v>0</v>
          </cell>
          <cell r="EN34">
            <v>0</v>
          </cell>
          <cell r="EO34">
            <v>0</v>
          </cell>
          <cell r="EP34">
            <v>0</v>
          </cell>
          <cell r="EQ34">
            <v>0</v>
          </cell>
          <cell r="ER34">
            <v>0</v>
          </cell>
          <cell r="ES34">
            <v>0</v>
          </cell>
          <cell r="ET34">
            <v>0</v>
          </cell>
          <cell r="EU34">
            <v>0</v>
          </cell>
          <cell r="EV34">
            <v>0</v>
          </cell>
          <cell r="EW34">
            <v>0</v>
          </cell>
          <cell r="EX34">
            <v>0</v>
          </cell>
          <cell r="EY34">
            <v>0</v>
          </cell>
          <cell r="EZ34">
            <v>0</v>
          </cell>
          <cell r="FA34">
            <v>0</v>
          </cell>
          <cell r="FB34">
            <v>0</v>
          </cell>
          <cell r="FC34">
            <v>0</v>
          </cell>
          <cell r="FD34">
            <v>0</v>
          </cell>
          <cell r="FE34">
            <v>0</v>
          </cell>
          <cell r="FF34">
            <v>0</v>
          </cell>
          <cell r="FG34">
            <v>0</v>
          </cell>
          <cell r="FH34">
            <v>0</v>
          </cell>
          <cell r="FI34">
            <v>0</v>
          </cell>
          <cell r="FJ34">
            <v>0</v>
          </cell>
          <cell r="FK34">
            <v>0</v>
          </cell>
          <cell r="FL34">
            <v>0</v>
          </cell>
          <cell r="FM34">
            <v>0</v>
          </cell>
          <cell r="FN34">
            <v>0</v>
          </cell>
          <cell r="FO34">
            <v>0</v>
          </cell>
          <cell r="FP34">
            <v>0</v>
          </cell>
          <cell r="FQ34">
            <v>0</v>
          </cell>
          <cell r="FR34">
            <v>0</v>
          </cell>
          <cell r="FS34">
            <v>0</v>
          </cell>
          <cell r="FT34">
            <v>0</v>
          </cell>
          <cell r="FU34">
            <v>0</v>
          </cell>
          <cell r="FV34">
            <v>0</v>
          </cell>
          <cell r="FW34">
            <v>0</v>
          </cell>
          <cell r="FX34">
            <v>0</v>
          </cell>
          <cell r="FY34">
            <v>0</v>
          </cell>
          <cell r="FZ34">
            <v>0</v>
          </cell>
          <cell r="GA34">
            <v>0</v>
          </cell>
          <cell r="GB34">
            <v>0</v>
          </cell>
          <cell r="GC34">
            <v>0</v>
          </cell>
          <cell r="GD34">
            <v>0</v>
          </cell>
          <cell r="GE34">
            <v>0</v>
          </cell>
          <cell r="GF34">
            <v>0</v>
          </cell>
          <cell r="GG34">
            <v>0</v>
          </cell>
          <cell r="GH34">
            <v>0</v>
          </cell>
          <cell r="GI34">
            <v>0</v>
          </cell>
          <cell r="GJ34">
            <v>0</v>
          </cell>
          <cell r="GK34">
            <v>0</v>
          </cell>
          <cell r="GL34">
            <v>0</v>
          </cell>
          <cell r="GM34">
            <v>0</v>
          </cell>
          <cell r="GN34">
            <v>0</v>
          </cell>
          <cell r="GO34">
            <v>0</v>
          </cell>
          <cell r="GP34">
            <v>0</v>
          </cell>
          <cell r="GQ34">
            <v>0</v>
          </cell>
          <cell r="GR34">
            <v>0</v>
          </cell>
          <cell r="GS34">
            <v>0</v>
          </cell>
          <cell r="GT34">
            <v>0</v>
          </cell>
          <cell r="GU34">
            <v>0</v>
          </cell>
          <cell r="GZ34">
            <v>0</v>
          </cell>
        </row>
        <row r="35">
          <cell r="A35" t="str">
            <v>F_CNP_NRF_EPA_UCS_FRCE_249</v>
          </cell>
          <cell r="B35">
            <v>1775256.2</v>
          </cell>
          <cell r="D35">
            <v>1783956.52287</v>
          </cell>
          <cell r="E35">
            <v>1694941.38335</v>
          </cell>
          <cell r="F35">
            <v>1783956.52287</v>
          </cell>
          <cell r="G35">
            <v>1783956.52287</v>
          </cell>
          <cell r="H35">
            <v>0</v>
          </cell>
          <cell r="I35">
            <v>0</v>
          </cell>
          <cell r="J35">
            <v>1783956.52287</v>
          </cell>
          <cell r="K35">
            <v>1783956.52287</v>
          </cell>
          <cell r="L35">
            <v>1783956.52287</v>
          </cell>
          <cell r="M35">
            <v>0</v>
          </cell>
          <cell r="N35">
            <v>1783956.52287</v>
          </cell>
          <cell r="O35">
            <v>1783956.52287</v>
          </cell>
          <cell r="P35">
            <v>1783956.52287</v>
          </cell>
          <cell r="Q35">
            <v>1783956.52287</v>
          </cell>
          <cell r="R35">
            <v>0</v>
          </cell>
          <cell r="S35">
            <v>1783956.52287</v>
          </cell>
          <cell r="T35">
            <v>1783956.52287</v>
          </cell>
          <cell r="U35">
            <v>1783956.52287</v>
          </cell>
          <cell r="V35">
            <v>1783956.52287</v>
          </cell>
          <cell r="W35">
            <v>1783956.52287</v>
          </cell>
          <cell r="X35">
            <v>1783956.52287</v>
          </cell>
          <cell r="Y35">
            <v>1783956.52287</v>
          </cell>
          <cell r="Z35">
            <v>1783956.52287</v>
          </cell>
          <cell r="AA35">
            <v>1783956.52287</v>
          </cell>
          <cell r="AB35">
            <v>1793378.9475799999</v>
          </cell>
          <cell r="AC35">
            <v>1740075.6495999999</v>
          </cell>
          <cell r="AD35">
            <v>0</v>
          </cell>
          <cell r="AE35">
            <v>0</v>
          </cell>
          <cell r="AF35">
            <v>853520.20970000001</v>
          </cell>
          <cell r="AG35">
            <v>853520.20970000001</v>
          </cell>
          <cell r="AH35">
            <v>853520.20970000001</v>
          </cell>
          <cell r="AI35">
            <v>0</v>
          </cell>
          <cell r="AJ35">
            <v>1405270.36115</v>
          </cell>
          <cell r="AK35">
            <v>1405270.36115</v>
          </cell>
          <cell r="AL35">
            <v>1405270.36115</v>
          </cell>
          <cell r="AM35">
            <v>1783956.5064900001</v>
          </cell>
          <cell r="AN35">
            <v>0</v>
          </cell>
          <cell r="AO35">
            <v>1667374.5899</v>
          </cell>
          <cell r="AP35">
            <v>1667374.5899</v>
          </cell>
          <cell r="AQ35">
            <v>1667374.5899</v>
          </cell>
          <cell r="AR35">
            <v>1667374.5899</v>
          </cell>
          <cell r="AS35">
            <v>1667374.5899</v>
          </cell>
          <cell r="AT35">
            <v>1667374.5899</v>
          </cell>
          <cell r="AU35">
            <v>1667374.5899</v>
          </cell>
          <cell r="AV35">
            <v>1602270.10243</v>
          </cell>
          <cell r="AW35">
            <v>1783956.52287</v>
          </cell>
          <cell r="AX35">
            <v>1694941.38335</v>
          </cell>
          <cell r="AY35">
            <v>1694941.38335</v>
          </cell>
          <cell r="AZ35">
            <v>0</v>
          </cell>
          <cell r="BA35">
            <v>0</v>
          </cell>
          <cell r="BB35">
            <v>1694941.38335</v>
          </cell>
          <cell r="BC35">
            <v>1694941.38335</v>
          </cell>
          <cell r="BD35">
            <v>1694941.38335</v>
          </cell>
          <cell r="BE35">
            <v>0</v>
          </cell>
          <cell r="BF35">
            <v>1694941.38335</v>
          </cell>
          <cell r="BG35">
            <v>1694941.38335</v>
          </cell>
          <cell r="BH35">
            <v>1694941.38335</v>
          </cell>
          <cell r="BI35">
            <v>1694941.38335</v>
          </cell>
          <cell r="BJ35">
            <v>0</v>
          </cell>
          <cell r="BK35">
            <v>1694941.38335</v>
          </cell>
          <cell r="BL35">
            <v>1694941.38335</v>
          </cell>
          <cell r="BM35">
            <v>1694941.38335</v>
          </cell>
          <cell r="BN35">
            <v>1694941.38335</v>
          </cell>
          <cell r="BO35">
            <v>1694941.38335</v>
          </cell>
          <cell r="BP35">
            <v>1694941.38335</v>
          </cell>
          <cell r="BQ35">
            <v>1694941.38335</v>
          </cell>
          <cell r="BR35">
            <v>1694941.38335</v>
          </cell>
          <cell r="BS35">
            <v>1694941.38335</v>
          </cell>
          <cell r="BT35">
            <v>1698835.6540999999</v>
          </cell>
          <cell r="BU35">
            <v>1671663.89592</v>
          </cell>
          <cell r="BV35">
            <v>0</v>
          </cell>
          <cell r="BW35">
            <v>0</v>
          </cell>
          <cell r="BX35">
            <v>1268595.1549500001</v>
          </cell>
          <cell r="BY35">
            <v>1268595.1549500001</v>
          </cell>
          <cell r="BZ35">
            <v>1268595.1549500001</v>
          </cell>
          <cell r="CA35">
            <v>0</v>
          </cell>
          <cell r="CB35">
            <v>1574763.7194999999</v>
          </cell>
          <cell r="CC35">
            <v>1574763.7194999999</v>
          </cell>
          <cell r="CD35">
            <v>1574763.7194999999</v>
          </cell>
          <cell r="CE35">
            <v>1694941.36791</v>
          </cell>
          <cell r="CF35">
            <v>0</v>
          </cell>
          <cell r="CG35">
            <v>1624369.56008</v>
          </cell>
          <cell r="CH35">
            <v>1624369.56008</v>
          </cell>
          <cell r="CI35">
            <v>1624369.56008</v>
          </cell>
          <cell r="CJ35">
            <v>1624369.56008</v>
          </cell>
          <cell r="CK35">
            <v>1624369.56008</v>
          </cell>
          <cell r="CL35">
            <v>1624369.56008</v>
          </cell>
          <cell r="CM35">
            <v>1624369.56008</v>
          </cell>
          <cell r="CN35">
            <v>1618688.6642499999</v>
          </cell>
          <cell r="CO35">
            <v>1681674.49954</v>
          </cell>
          <cell r="CP35">
            <v>1694941.38335</v>
          </cell>
          <cell r="CQ35">
            <v>1694941.38335</v>
          </cell>
          <cell r="CR35">
            <v>1694941.38335</v>
          </cell>
          <cell r="CS35">
            <v>1694941.38335</v>
          </cell>
          <cell r="CT35">
            <v>1694941.38335</v>
          </cell>
          <cell r="CU35">
            <v>1694941.38335</v>
          </cell>
          <cell r="CV35">
            <v>1694941.38335</v>
          </cell>
          <cell r="CW35">
            <v>1694941.38335</v>
          </cell>
          <cell r="CX35">
            <v>1694941.38335</v>
          </cell>
          <cell r="CY35">
            <v>1694941.38335</v>
          </cell>
          <cell r="CZ35">
            <v>1697148.9880900001</v>
          </cell>
          <cell r="DA35">
            <v>1694941.38335</v>
          </cell>
          <cell r="DB35">
            <v>1694941.38335</v>
          </cell>
          <cell r="DC35">
            <v>1700854.5699100001</v>
          </cell>
          <cell r="DD35">
            <v>1694941.38335</v>
          </cell>
          <cell r="DE35">
            <v>1726626.44725</v>
          </cell>
          <cell r="DF35">
            <v>1695563.88335</v>
          </cell>
          <cell r="DG35">
            <v>1698882.4289599999</v>
          </cell>
          <cell r="DH35">
            <v>1694941.38335</v>
          </cell>
          <cell r="DI35">
            <v>1695061.9389299999</v>
          </cell>
          <cell r="DJ35">
            <v>0</v>
          </cell>
          <cell r="DK35">
            <v>0</v>
          </cell>
          <cell r="DL35">
            <v>0</v>
          </cell>
          <cell r="DM35">
            <v>0</v>
          </cell>
          <cell r="DN35">
            <v>0</v>
          </cell>
          <cell r="DO35">
            <v>0</v>
          </cell>
          <cell r="DP35">
            <v>0</v>
          </cell>
          <cell r="DQ35">
            <v>0</v>
          </cell>
          <cell r="DR35">
            <v>0</v>
          </cell>
          <cell r="DS35">
            <v>0</v>
          </cell>
          <cell r="DT35">
            <v>0</v>
          </cell>
          <cell r="DU35">
            <v>0</v>
          </cell>
          <cell r="DV35">
            <v>0</v>
          </cell>
          <cell r="DW35">
            <v>0</v>
          </cell>
          <cell r="DX35" t="str">
            <v/>
          </cell>
          <cell r="DY35" t="str">
            <v/>
          </cell>
          <cell r="DZ35" t="str">
            <v/>
          </cell>
          <cell r="EA35">
            <v>1694941.38335</v>
          </cell>
          <cell r="EB35">
            <v>1694941.38335</v>
          </cell>
          <cell r="EC35">
            <v>1694941.38335</v>
          </cell>
          <cell r="ED35">
            <v>1694941.38335</v>
          </cell>
          <cell r="EE35">
            <v>1694941.38335</v>
          </cell>
          <cell r="EF35">
            <v>1694941.38335</v>
          </cell>
          <cell r="EG35">
            <v>1694941.38335</v>
          </cell>
          <cell r="EH35">
            <v>1694941.38335</v>
          </cell>
          <cell r="EI35">
            <v>1694941.38335</v>
          </cell>
          <cell r="EJ35">
            <v>1694941.38335</v>
          </cell>
          <cell r="EK35">
            <v>1694941.38335</v>
          </cell>
          <cell r="EL35">
            <v>1694941.38335</v>
          </cell>
          <cell r="EM35">
            <v>1694941.38335</v>
          </cell>
          <cell r="EN35">
            <v>1694941.38335</v>
          </cell>
          <cell r="EO35">
            <v>1694318.88335</v>
          </cell>
          <cell r="EP35">
            <v>1695563.88335</v>
          </cell>
          <cell r="EQ35">
            <v>1694941.38335</v>
          </cell>
          <cell r="ER35">
            <v>1694941.38335</v>
          </cell>
          <cell r="ES35">
            <v>0</v>
          </cell>
          <cell r="ET35">
            <v>0</v>
          </cell>
          <cell r="EU35">
            <v>0</v>
          </cell>
          <cell r="EV35">
            <v>0</v>
          </cell>
          <cell r="EW35">
            <v>0</v>
          </cell>
          <cell r="EX35">
            <v>0</v>
          </cell>
          <cell r="EY35">
            <v>0</v>
          </cell>
          <cell r="EZ35">
            <v>0</v>
          </cell>
          <cell r="FA35">
            <v>0</v>
          </cell>
          <cell r="FB35">
            <v>0</v>
          </cell>
          <cell r="FC35">
            <v>0</v>
          </cell>
          <cell r="FD35">
            <v>622.5</v>
          </cell>
          <cell r="FE35">
            <v>1694318.88335</v>
          </cell>
          <cell r="FF35">
            <v>1704126.8855999999</v>
          </cell>
          <cell r="FG35">
            <v>1652476.68086</v>
          </cell>
          <cell r="FH35">
            <v>0</v>
          </cell>
          <cell r="FI35">
            <v>0</v>
          </cell>
          <cell r="FJ35">
            <v>790442.63615000003</v>
          </cell>
          <cell r="FK35">
            <v>790442.63615000003</v>
          </cell>
          <cell r="FL35">
            <v>790442.63615000003</v>
          </cell>
          <cell r="FM35">
            <v>0</v>
          </cell>
          <cell r="FN35">
            <v>1323566.6272400001</v>
          </cell>
          <cell r="FO35">
            <v>1323566.6272400001</v>
          </cell>
          <cell r="FP35">
            <v>1323566.6272400001</v>
          </cell>
          <cell r="FQ35">
            <v>1694941.36791</v>
          </cell>
          <cell r="FR35">
            <v>0</v>
          </cell>
          <cell r="FS35">
            <v>1582652.9336600001</v>
          </cell>
          <cell r="FT35">
            <v>1582652.9336600001</v>
          </cell>
          <cell r="FU35">
            <v>1582652.9336600001</v>
          </cell>
          <cell r="FV35">
            <v>1582652.9336600001</v>
          </cell>
          <cell r="FW35">
            <v>1582652.9336600001</v>
          </cell>
          <cell r="FX35">
            <v>1582652.9336600001</v>
          </cell>
          <cell r="FY35">
            <v>1582652.9336600001</v>
          </cell>
          <cell r="FZ35">
            <v>1517894.06171</v>
          </cell>
          <cell r="GA35">
            <v>1681674.49954</v>
          </cell>
          <cell r="GB35">
            <v>1697148.9880900001</v>
          </cell>
          <cell r="GC35">
            <v>1694941.38335</v>
          </cell>
          <cell r="GD35">
            <v>1694941.38335</v>
          </cell>
          <cell r="GE35">
            <v>1700854.5699100001</v>
          </cell>
          <cell r="GF35">
            <v>1694941.38335</v>
          </cell>
          <cell r="GG35">
            <v>1727248.94725</v>
          </cell>
          <cell r="GH35">
            <v>1694941.38335</v>
          </cell>
          <cell r="GI35">
            <v>1698882.4289599999</v>
          </cell>
          <cell r="GJ35">
            <v>1694941.38335</v>
          </cell>
          <cell r="GK35">
            <v>1695061.9389299999</v>
          </cell>
          <cell r="GL35">
            <v>1694941.38335</v>
          </cell>
          <cell r="GM35">
            <v>1694941.38335</v>
          </cell>
          <cell r="GN35">
            <v>1694941.38335</v>
          </cell>
          <cell r="GO35">
            <v>1694941.38335</v>
          </cell>
          <cell r="GP35">
            <v>1694941.38335</v>
          </cell>
          <cell r="GQ35">
            <v>1694941.38335</v>
          </cell>
          <cell r="GR35">
            <v>1694941.38335</v>
          </cell>
          <cell r="GS35">
            <v>1694941.38335</v>
          </cell>
          <cell r="GT35">
            <v>1694941.38335</v>
          </cell>
          <cell r="GU35">
            <v>0</v>
          </cell>
          <cell r="GZ35">
            <v>0</v>
          </cell>
        </row>
        <row r="36">
          <cell r="A36" t="str">
            <v>F_CNP_NRF_RET_IND_FRCE_201</v>
          </cell>
          <cell r="B36">
            <v>468946674.08256006</v>
          </cell>
          <cell r="D36">
            <v>553731925.35730982</v>
          </cell>
          <cell r="E36">
            <v>539029700.50677991</v>
          </cell>
          <cell r="F36">
            <v>553731925.35730982</v>
          </cell>
          <cell r="G36">
            <v>553731925.35730982</v>
          </cell>
          <cell r="H36">
            <v>0</v>
          </cell>
          <cell r="I36">
            <v>0</v>
          </cell>
          <cell r="J36">
            <v>553731925.35730982</v>
          </cell>
          <cell r="K36">
            <v>553731925.35730982</v>
          </cell>
          <cell r="L36">
            <v>553731925.35730982</v>
          </cell>
          <cell r="M36">
            <v>0</v>
          </cell>
          <cell r="N36">
            <v>553731925.35730982</v>
          </cell>
          <cell r="O36">
            <v>553731925.35730982</v>
          </cell>
          <cell r="P36">
            <v>553731925.35730982</v>
          </cell>
          <cell r="Q36">
            <v>553731925.35730982</v>
          </cell>
          <cell r="R36">
            <v>0</v>
          </cell>
          <cell r="S36">
            <v>553731925.35730982</v>
          </cell>
          <cell r="T36">
            <v>553731925.35730982</v>
          </cell>
          <cell r="U36">
            <v>553731925.35730982</v>
          </cell>
          <cell r="V36">
            <v>553731925.35730982</v>
          </cell>
          <cell r="W36">
            <v>553731925.35730982</v>
          </cell>
          <cell r="X36">
            <v>553731925.35730982</v>
          </cell>
          <cell r="Y36">
            <v>553731925.35730982</v>
          </cell>
          <cell r="Z36">
            <v>553731925.35730982</v>
          </cell>
          <cell r="AA36">
            <v>553731925.35730982</v>
          </cell>
          <cell r="AB36">
            <v>557937307.00211</v>
          </cell>
          <cell r="AC36">
            <v>534746454.62965977</v>
          </cell>
          <cell r="AD36">
            <v>0</v>
          </cell>
          <cell r="AE36">
            <v>0</v>
          </cell>
          <cell r="AF36">
            <v>514357887.18576986</v>
          </cell>
          <cell r="AG36">
            <v>514357887.18576986</v>
          </cell>
          <cell r="AH36">
            <v>514357887.18576986</v>
          </cell>
          <cell r="AI36">
            <v>0</v>
          </cell>
          <cell r="AJ36">
            <v>544518673.6480999</v>
          </cell>
          <cell r="AK36">
            <v>544518673.6480999</v>
          </cell>
          <cell r="AL36">
            <v>544518673.6480999</v>
          </cell>
          <cell r="AM36">
            <v>543969156.10809994</v>
          </cell>
          <cell r="AN36">
            <v>0</v>
          </cell>
          <cell r="AO36">
            <v>530291197.93574005</v>
          </cell>
          <cell r="AP36">
            <v>530291197.93574005</v>
          </cell>
          <cell r="AQ36">
            <v>530291197.93574005</v>
          </cell>
          <cell r="AR36">
            <v>530291197.93574005</v>
          </cell>
          <cell r="AS36">
            <v>530291197.93574005</v>
          </cell>
          <cell r="AT36">
            <v>530291197.93574005</v>
          </cell>
          <cell r="AU36">
            <v>530291197.93574005</v>
          </cell>
          <cell r="AV36">
            <v>547562178.00028002</v>
          </cell>
          <cell r="AW36">
            <v>553731925.35730982</v>
          </cell>
          <cell r="AX36">
            <v>539029700.50677991</v>
          </cell>
          <cell r="AY36">
            <v>539029700.50677991</v>
          </cell>
          <cell r="AZ36">
            <v>0</v>
          </cell>
          <cell r="BA36">
            <v>0</v>
          </cell>
          <cell r="BB36">
            <v>539029700.50677991</v>
          </cell>
          <cell r="BC36">
            <v>539029700.50677991</v>
          </cell>
          <cell r="BD36">
            <v>539029700.50677991</v>
          </cell>
          <cell r="BE36">
            <v>0</v>
          </cell>
          <cell r="BF36">
            <v>539029700.50677991</v>
          </cell>
          <cell r="BG36">
            <v>539029700.50677991</v>
          </cell>
          <cell r="BH36">
            <v>539029700.50677991</v>
          </cell>
          <cell r="BI36">
            <v>539029700.50677991</v>
          </cell>
          <cell r="BJ36">
            <v>0</v>
          </cell>
          <cell r="BK36">
            <v>539029700.50677991</v>
          </cell>
          <cell r="BL36">
            <v>539029700.50677991</v>
          </cell>
          <cell r="BM36">
            <v>539029700.50677991</v>
          </cell>
          <cell r="BN36">
            <v>539029700.50677991</v>
          </cell>
          <cell r="BO36">
            <v>539029700.50677991</v>
          </cell>
          <cell r="BP36">
            <v>539029700.50677991</v>
          </cell>
          <cell r="BQ36">
            <v>539029700.50677991</v>
          </cell>
          <cell r="BR36">
            <v>539029700.50677991</v>
          </cell>
          <cell r="BS36">
            <v>539029700.50677991</v>
          </cell>
          <cell r="BT36">
            <v>546758017.00442994</v>
          </cell>
          <cell r="BU36">
            <v>515632119.27062011</v>
          </cell>
          <cell r="BV36">
            <v>0</v>
          </cell>
          <cell r="BW36">
            <v>0</v>
          </cell>
          <cell r="BX36">
            <v>539029700.50677991</v>
          </cell>
          <cell r="BY36">
            <v>539029700.50677991</v>
          </cell>
          <cell r="BZ36">
            <v>539029700.50677991</v>
          </cell>
          <cell r="CA36">
            <v>0</v>
          </cell>
          <cell r="CB36">
            <v>539029700.50677991</v>
          </cell>
          <cell r="CC36">
            <v>539029700.50677991</v>
          </cell>
          <cell r="CD36">
            <v>539029700.50677991</v>
          </cell>
          <cell r="CE36">
            <v>539029700.50677991</v>
          </cell>
          <cell r="CF36">
            <v>0</v>
          </cell>
          <cell r="CG36">
            <v>539029700.50677991</v>
          </cell>
          <cell r="CH36">
            <v>539029700.50677991</v>
          </cell>
          <cell r="CI36">
            <v>539029700.50677991</v>
          </cell>
          <cell r="CJ36">
            <v>539029700.50677991</v>
          </cell>
          <cell r="CK36">
            <v>539029700.50677991</v>
          </cell>
          <cell r="CL36">
            <v>539029700.50677991</v>
          </cell>
          <cell r="CM36">
            <v>539029700.50677991</v>
          </cell>
          <cell r="CN36">
            <v>539029700.50677991</v>
          </cell>
          <cell r="CO36">
            <v>533166567.60635</v>
          </cell>
          <cell r="CP36">
            <v>539029700.50677991</v>
          </cell>
          <cell r="CQ36">
            <v>539029700.50677991</v>
          </cell>
          <cell r="CR36">
            <v>539029700.50677991</v>
          </cell>
          <cell r="CS36">
            <v>539029700.50677991</v>
          </cell>
          <cell r="CT36">
            <v>539029700.50677991</v>
          </cell>
          <cell r="CU36">
            <v>539029700.50677991</v>
          </cell>
          <cell r="CV36">
            <v>539029700.50677991</v>
          </cell>
          <cell r="CW36">
            <v>539029700.50677991</v>
          </cell>
          <cell r="CX36">
            <v>539029700.50677991</v>
          </cell>
          <cell r="CY36">
            <v>539029700.50677991</v>
          </cell>
          <cell r="CZ36">
            <v>539030182.83628988</v>
          </cell>
          <cell r="DA36">
            <v>592314487.60653996</v>
          </cell>
          <cell r="DB36">
            <v>539029700.50677991</v>
          </cell>
          <cell r="DC36">
            <v>539029753.22977006</v>
          </cell>
          <cell r="DD36">
            <v>539040553.66425991</v>
          </cell>
          <cell r="DE36">
            <v>484346209.31107008</v>
          </cell>
          <cell r="DF36">
            <v>593714385.88943982</v>
          </cell>
          <cell r="DG36">
            <v>540279914.22010994</v>
          </cell>
          <cell r="DH36">
            <v>539029700.50677991</v>
          </cell>
          <cell r="DI36">
            <v>539029708.55604982</v>
          </cell>
          <cell r="DJ36">
            <v>0</v>
          </cell>
          <cell r="DK36">
            <v>0</v>
          </cell>
          <cell r="DL36">
            <v>0</v>
          </cell>
          <cell r="DM36">
            <v>0</v>
          </cell>
          <cell r="DN36">
            <v>0</v>
          </cell>
          <cell r="DO36">
            <v>0</v>
          </cell>
          <cell r="DP36">
            <v>0</v>
          </cell>
          <cell r="DQ36">
            <v>0</v>
          </cell>
          <cell r="DR36">
            <v>0</v>
          </cell>
          <cell r="DS36">
            <v>0</v>
          </cell>
          <cell r="DT36">
            <v>0</v>
          </cell>
          <cell r="DU36">
            <v>0</v>
          </cell>
          <cell r="DV36">
            <v>0</v>
          </cell>
          <cell r="DW36">
            <v>0</v>
          </cell>
          <cell r="DX36" t="str">
            <v/>
          </cell>
          <cell r="DY36" t="str">
            <v/>
          </cell>
          <cell r="DZ36" t="str">
            <v/>
          </cell>
          <cell r="EA36">
            <v>539029700.50677991</v>
          </cell>
          <cell r="EB36">
            <v>539029700.50677991</v>
          </cell>
          <cell r="EC36">
            <v>539029700.50677991</v>
          </cell>
          <cell r="ED36">
            <v>539029700.50677991</v>
          </cell>
          <cell r="EE36">
            <v>539029700.50677991</v>
          </cell>
          <cell r="EF36">
            <v>539029700.50677991</v>
          </cell>
          <cell r="EG36">
            <v>539029700.50677991</v>
          </cell>
          <cell r="EH36">
            <v>539029700.50677991</v>
          </cell>
          <cell r="EI36">
            <v>539029700.50677991</v>
          </cell>
          <cell r="EJ36">
            <v>539029700.50677991</v>
          </cell>
          <cell r="EK36">
            <v>539029700.50677991</v>
          </cell>
          <cell r="EL36">
            <v>539029700.50677991</v>
          </cell>
          <cell r="EM36">
            <v>539029700.50677991</v>
          </cell>
          <cell r="EN36">
            <v>539029700.50677991</v>
          </cell>
          <cell r="EO36">
            <v>484345015.12411994</v>
          </cell>
          <cell r="EP36">
            <v>593714385.88943982</v>
          </cell>
          <cell r="EQ36">
            <v>539029700.50677991</v>
          </cell>
          <cell r="ER36">
            <v>539029700.50677991</v>
          </cell>
          <cell r="ES36">
            <v>0</v>
          </cell>
          <cell r="ET36">
            <v>0</v>
          </cell>
          <cell r="EU36">
            <v>0</v>
          </cell>
          <cell r="EV36">
            <v>0</v>
          </cell>
          <cell r="EW36">
            <v>0</v>
          </cell>
          <cell r="EX36">
            <v>0</v>
          </cell>
          <cell r="EY36">
            <v>0</v>
          </cell>
          <cell r="EZ36">
            <v>0</v>
          </cell>
          <cell r="FA36">
            <v>0</v>
          </cell>
          <cell r="FB36">
            <v>0</v>
          </cell>
          <cell r="FC36">
            <v>0</v>
          </cell>
          <cell r="FD36">
            <v>54684685.382659972</v>
          </cell>
          <cell r="FE36">
            <v>484345015.12411994</v>
          </cell>
          <cell r="FF36">
            <v>547975301.1763401</v>
          </cell>
          <cell r="FG36">
            <v>509862184.69162989</v>
          </cell>
          <cell r="FH36">
            <v>0</v>
          </cell>
          <cell r="FI36">
            <v>0</v>
          </cell>
          <cell r="FJ36">
            <v>515104117.15802002</v>
          </cell>
          <cell r="FK36">
            <v>515104117.15802002</v>
          </cell>
          <cell r="FL36">
            <v>515104117.15802002</v>
          </cell>
          <cell r="FM36">
            <v>0</v>
          </cell>
          <cell r="FN36">
            <v>533125222.09437001</v>
          </cell>
          <cell r="FO36">
            <v>533125222.09437001</v>
          </cell>
          <cell r="FP36">
            <v>533125222.09437001</v>
          </cell>
          <cell r="FQ36">
            <v>532900962.22542989</v>
          </cell>
          <cell r="FR36">
            <v>0</v>
          </cell>
          <cell r="FS36">
            <v>525108502.31621021</v>
          </cell>
          <cell r="FT36">
            <v>525108502.31621021</v>
          </cell>
          <cell r="FU36">
            <v>525108502.31621021</v>
          </cell>
          <cell r="FV36">
            <v>525108502.31621021</v>
          </cell>
          <cell r="FW36">
            <v>525108502.31621021</v>
          </cell>
          <cell r="FX36">
            <v>525108502.31621021</v>
          </cell>
          <cell r="FY36">
            <v>525108502.31621021</v>
          </cell>
          <cell r="FZ36">
            <v>535170786.41871005</v>
          </cell>
          <cell r="GA36">
            <v>533166238.54199994</v>
          </cell>
          <cell r="GB36">
            <v>539151613.26037991</v>
          </cell>
          <cell r="GC36">
            <v>581214960.66000044</v>
          </cell>
          <cell r="GD36">
            <v>539029700.50677991</v>
          </cell>
          <cell r="GE36">
            <v>539030914.29829001</v>
          </cell>
          <cell r="GF36">
            <v>539065560.36968994</v>
          </cell>
          <cell r="GG36">
            <v>539046243.22662008</v>
          </cell>
          <cell r="GH36">
            <v>539029700.50677991</v>
          </cell>
          <cell r="GI36">
            <v>540266903.81479001</v>
          </cell>
          <cell r="GJ36">
            <v>539029700.50677991</v>
          </cell>
          <cell r="GK36">
            <v>539031054.96611977</v>
          </cell>
          <cell r="GL36">
            <v>539029700.50677991</v>
          </cell>
          <cell r="GM36">
            <v>539029700.50677991</v>
          </cell>
          <cell r="GN36">
            <v>539029700.50677991</v>
          </cell>
          <cell r="GO36">
            <v>539029700.50677991</v>
          </cell>
          <cell r="GP36">
            <v>539029700.50677991</v>
          </cell>
          <cell r="GQ36">
            <v>539029700.50677991</v>
          </cell>
          <cell r="GR36">
            <v>539029700.50677991</v>
          </cell>
          <cell r="GS36">
            <v>539029700.50677991</v>
          </cell>
          <cell r="GT36">
            <v>539029700.50677991</v>
          </cell>
          <cell r="GU36">
            <v>0</v>
          </cell>
          <cell r="GZ36">
            <v>0</v>
          </cell>
        </row>
        <row r="37">
          <cell r="A37" t="str">
            <v>F_CNP_NRF_RET_IND_FRCE_294</v>
          </cell>
          <cell r="B37">
            <v>165387759.16738999</v>
          </cell>
          <cell r="D37">
            <v>165387759.16738999</v>
          </cell>
          <cell r="E37">
            <v>171415487.68724</v>
          </cell>
          <cell r="F37">
            <v>165387759.16738999</v>
          </cell>
          <cell r="G37">
            <v>165387759.16738999</v>
          </cell>
          <cell r="H37">
            <v>0</v>
          </cell>
          <cell r="I37">
            <v>0</v>
          </cell>
          <cell r="J37">
            <v>165387759.16738999</v>
          </cell>
          <cell r="K37">
            <v>165387759.16738999</v>
          </cell>
          <cell r="L37">
            <v>165387759.16738999</v>
          </cell>
          <cell r="M37">
            <v>0</v>
          </cell>
          <cell r="N37">
            <v>165387759.16738999</v>
          </cell>
          <cell r="O37">
            <v>165387759.16738999</v>
          </cell>
          <cell r="P37">
            <v>165387759.16738999</v>
          </cell>
          <cell r="Q37">
            <v>165387759.16738999</v>
          </cell>
          <cell r="R37">
            <v>0</v>
          </cell>
          <cell r="S37">
            <v>165387759.16738999</v>
          </cell>
          <cell r="T37">
            <v>165387759.16738999</v>
          </cell>
          <cell r="U37">
            <v>165387759.16738999</v>
          </cell>
          <cell r="V37">
            <v>165387759.16738999</v>
          </cell>
          <cell r="W37">
            <v>165387759.16738999</v>
          </cell>
          <cell r="X37">
            <v>165387759.16738999</v>
          </cell>
          <cell r="Y37">
            <v>165387759.16738999</v>
          </cell>
          <cell r="Z37">
            <v>165387759.16738999</v>
          </cell>
          <cell r="AA37">
            <v>165387759.16738999</v>
          </cell>
          <cell r="AB37">
            <v>165387759.16738999</v>
          </cell>
          <cell r="AC37">
            <v>165387759.16738999</v>
          </cell>
          <cell r="AD37">
            <v>0</v>
          </cell>
          <cell r="AE37">
            <v>0</v>
          </cell>
          <cell r="AF37">
            <v>165387759.16738999</v>
          </cell>
          <cell r="AG37">
            <v>165387759.16738999</v>
          </cell>
          <cell r="AH37">
            <v>165387759.16738999</v>
          </cell>
          <cell r="AI37">
            <v>0</v>
          </cell>
          <cell r="AJ37">
            <v>154593357.39540002</v>
          </cell>
          <cell r="AK37">
            <v>154593357.39540002</v>
          </cell>
          <cell r="AL37">
            <v>154593357.39540002</v>
          </cell>
          <cell r="AM37">
            <v>138203062.97123</v>
          </cell>
          <cell r="AN37">
            <v>0</v>
          </cell>
          <cell r="AO37">
            <v>165387759.16738999</v>
          </cell>
          <cell r="AP37">
            <v>165387759.16738999</v>
          </cell>
          <cell r="AQ37">
            <v>165387759.16738999</v>
          </cell>
          <cell r="AR37">
            <v>165387759.16738999</v>
          </cell>
          <cell r="AS37">
            <v>165387759.16738999</v>
          </cell>
          <cell r="AT37">
            <v>165387759.16738999</v>
          </cell>
          <cell r="AU37">
            <v>165387759.16738999</v>
          </cell>
          <cell r="AV37">
            <v>165387759.16738999</v>
          </cell>
          <cell r="AW37">
            <v>165387759.16738999</v>
          </cell>
          <cell r="AX37">
            <v>171415487.68724</v>
          </cell>
          <cell r="AY37">
            <v>171415487.68724</v>
          </cell>
          <cell r="AZ37">
            <v>0</v>
          </cell>
          <cell r="BA37">
            <v>0</v>
          </cell>
          <cell r="BB37">
            <v>171415487.68724</v>
          </cell>
          <cell r="BC37">
            <v>171415487.68724</v>
          </cell>
          <cell r="BD37">
            <v>171415487.68724</v>
          </cell>
          <cell r="BE37">
            <v>0</v>
          </cell>
          <cell r="BF37">
            <v>171415487.68724</v>
          </cell>
          <cell r="BG37">
            <v>171415487.68724</v>
          </cell>
          <cell r="BH37">
            <v>171415487.68724</v>
          </cell>
          <cell r="BI37">
            <v>171415487.68724</v>
          </cell>
          <cell r="BJ37">
            <v>0</v>
          </cell>
          <cell r="BK37">
            <v>171415487.68724</v>
          </cell>
          <cell r="BL37">
            <v>171415487.68724</v>
          </cell>
          <cell r="BM37">
            <v>171415487.68724</v>
          </cell>
          <cell r="BN37">
            <v>171415487.68724</v>
          </cell>
          <cell r="BO37">
            <v>171415487.68724</v>
          </cell>
          <cell r="BP37">
            <v>171415487.68724</v>
          </cell>
          <cell r="BQ37">
            <v>171415487.68724</v>
          </cell>
          <cell r="BR37">
            <v>171415487.68724</v>
          </cell>
          <cell r="BS37">
            <v>171415487.68724</v>
          </cell>
          <cell r="BT37">
            <v>170471052.62355</v>
          </cell>
          <cell r="BU37">
            <v>175663512.86500001</v>
          </cell>
          <cell r="BV37">
            <v>0</v>
          </cell>
          <cell r="BW37">
            <v>0</v>
          </cell>
          <cell r="BX37">
            <v>171415487.68724</v>
          </cell>
          <cell r="BY37">
            <v>171415487.68724</v>
          </cell>
          <cell r="BZ37">
            <v>171415487.68724</v>
          </cell>
          <cell r="CA37">
            <v>0</v>
          </cell>
          <cell r="CB37">
            <v>171415487.68724</v>
          </cell>
          <cell r="CC37">
            <v>171415487.68724</v>
          </cell>
          <cell r="CD37">
            <v>171415487.68724</v>
          </cell>
          <cell r="CE37">
            <v>149604964.77135</v>
          </cell>
          <cell r="CF37">
            <v>0</v>
          </cell>
          <cell r="CG37">
            <v>171415487.68724</v>
          </cell>
          <cell r="CH37">
            <v>171415487.68724</v>
          </cell>
          <cell r="CI37">
            <v>171415487.68724</v>
          </cell>
          <cell r="CJ37">
            <v>171415487.68724</v>
          </cell>
          <cell r="CK37">
            <v>171415487.68724</v>
          </cell>
          <cell r="CL37">
            <v>171415487.68724</v>
          </cell>
          <cell r="CM37">
            <v>171415487.68724</v>
          </cell>
          <cell r="CN37">
            <v>171415487.68724</v>
          </cell>
          <cell r="CO37">
            <v>167710464.64615002</v>
          </cell>
          <cell r="CP37">
            <v>171415487.68724</v>
          </cell>
          <cell r="CQ37">
            <v>171415487.68724</v>
          </cell>
          <cell r="CR37">
            <v>171415487.68724</v>
          </cell>
          <cell r="CS37">
            <v>171415487.68724</v>
          </cell>
          <cell r="CT37">
            <v>171415487.68724</v>
          </cell>
          <cell r="CU37">
            <v>171415487.68724</v>
          </cell>
          <cell r="CV37">
            <v>171415487.68724</v>
          </cell>
          <cell r="CW37">
            <v>171415487.68724</v>
          </cell>
          <cell r="CX37">
            <v>171415487.68724</v>
          </cell>
          <cell r="CY37">
            <v>171415487.68724</v>
          </cell>
          <cell r="CZ37">
            <v>171415487.68724</v>
          </cell>
          <cell r="DA37">
            <v>177289155.34259</v>
          </cell>
          <cell r="DB37">
            <v>171415487.68724</v>
          </cell>
          <cell r="DC37">
            <v>171415487.68724</v>
          </cell>
          <cell r="DD37">
            <v>173475230.02757999</v>
          </cell>
          <cell r="DE37">
            <v>171415487.68724</v>
          </cell>
          <cell r="DF37">
            <v>171415487.68724</v>
          </cell>
          <cell r="DG37">
            <v>172395592.31059998</v>
          </cell>
          <cell r="DH37">
            <v>171415487.68724</v>
          </cell>
          <cell r="DI37">
            <v>171415487.68724</v>
          </cell>
          <cell r="DJ37">
            <v>0</v>
          </cell>
          <cell r="DK37">
            <v>0</v>
          </cell>
          <cell r="DL37">
            <v>0</v>
          </cell>
          <cell r="DM37">
            <v>0</v>
          </cell>
          <cell r="DN37">
            <v>0</v>
          </cell>
          <cell r="DO37">
            <v>0</v>
          </cell>
          <cell r="DP37">
            <v>0</v>
          </cell>
          <cell r="DQ37">
            <v>0</v>
          </cell>
          <cell r="DR37">
            <v>0</v>
          </cell>
          <cell r="DS37">
            <v>0</v>
          </cell>
          <cell r="DT37">
            <v>0</v>
          </cell>
          <cell r="DU37">
            <v>0</v>
          </cell>
          <cell r="DV37">
            <v>0</v>
          </cell>
          <cell r="DW37">
            <v>0</v>
          </cell>
          <cell r="DX37" t="str">
            <v/>
          </cell>
          <cell r="DY37" t="str">
            <v/>
          </cell>
          <cell r="DZ37" t="str">
            <v/>
          </cell>
          <cell r="EA37">
            <v>171415487.68724</v>
          </cell>
          <cell r="EB37">
            <v>171415487.68724</v>
          </cell>
          <cell r="EC37">
            <v>171415487.68724</v>
          </cell>
          <cell r="ED37">
            <v>171415487.68724</v>
          </cell>
          <cell r="EE37">
            <v>171415487.68724</v>
          </cell>
          <cell r="EF37">
            <v>171415487.68724</v>
          </cell>
          <cell r="EG37">
            <v>171415487.68724</v>
          </cell>
          <cell r="EH37">
            <v>171415487.68724</v>
          </cell>
          <cell r="EI37">
            <v>171415487.68724</v>
          </cell>
          <cell r="EJ37">
            <v>171415487.68724</v>
          </cell>
          <cell r="EK37">
            <v>171415487.68724</v>
          </cell>
          <cell r="EL37">
            <v>171415487.68724</v>
          </cell>
          <cell r="EM37">
            <v>171415487.68724</v>
          </cell>
          <cell r="EN37">
            <v>171415487.68724</v>
          </cell>
          <cell r="EO37">
            <v>171415487.68724</v>
          </cell>
          <cell r="EP37">
            <v>171415487.68724</v>
          </cell>
          <cell r="EQ37">
            <v>171415487.68724</v>
          </cell>
          <cell r="ER37">
            <v>171415487.68724</v>
          </cell>
          <cell r="ES37">
            <v>0</v>
          </cell>
          <cell r="ET37">
            <v>0</v>
          </cell>
          <cell r="EU37">
            <v>0</v>
          </cell>
          <cell r="EV37">
            <v>0</v>
          </cell>
          <cell r="EW37">
            <v>0</v>
          </cell>
          <cell r="EX37">
            <v>0</v>
          </cell>
          <cell r="EY37">
            <v>0</v>
          </cell>
          <cell r="EZ37">
            <v>0</v>
          </cell>
          <cell r="FA37">
            <v>0</v>
          </cell>
          <cell r="FB37">
            <v>0</v>
          </cell>
          <cell r="FC37">
            <v>0</v>
          </cell>
          <cell r="FD37">
            <v>0</v>
          </cell>
          <cell r="FE37">
            <v>171415487.68724</v>
          </cell>
          <cell r="FF37">
            <v>170471052.62355</v>
          </cell>
          <cell r="FG37">
            <v>175663512.86500001</v>
          </cell>
          <cell r="FH37">
            <v>0</v>
          </cell>
          <cell r="FI37">
            <v>0</v>
          </cell>
          <cell r="FJ37">
            <v>171415487.68724</v>
          </cell>
          <cell r="FK37">
            <v>171415487.68724</v>
          </cell>
          <cell r="FL37">
            <v>171415487.68724</v>
          </cell>
          <cell r="FM37">
            <v>0</v>
          </cell>
          <cell r="FN37">
            <v>171415487.68724</v>
          </cell>
          <cell r="FO37">
            <v>171415487.68724</v>
          </cell>
          <cell r="FP37">
            <v>171415487.68724</v>
          </cell>
          <cell r="FQ37">
            <v>149604964.77135</v>
          </cell>
          <cell r="FR37">
            <v>0</v>
          </cell>
          <cell r="FS37">
            <v>171415487.68724</v>
          </cell>
          <cell r="FT37">
            <v>171415487.68724</v>
          </cell>
          <cell r="FU37">
            <v>171415487.68724</v>
          </cell>
          <cell r="FV37">
            <v>171415487.68724</v>
          </cell>
          <cell r="FW37">
            <v>171415487.68724</v>
          </cell>
          <cell r="FX37">
            <v>171415487.68724</v>
          </cell>
          <cell r="FY37">
            <v>171415487.68724</v>
          </cell>
          <cell r="FZ37">
            <v>171415487.68724</v>
          </cell>
          <cell r="GA37">
            <v>167710464.64615002</v>
          </cell>
          <cell r="GB37">
            <v>171415487.68724</v>
          </cell>
          <cell r="GC37">
            <v>177289155.34259</v>
          </cell>
          <cell r="GD37">
            <v>171415487.68724</v>
          </cell>
          <cell r="GE37">
            <v>171415487.68724</v>
          </cell>
          <cell r="GF37">
            <v>173475230.02757999</v>
          </cell>
          <cell r="GG37">
            <v>171415487.68724</v>
          </cell>
          <cell r="GH37">
            <v>171415487.68724</v>
          </cell>
          <cell r="GI37">
            <v>172395592.31059998</v>
          </cell>
          <cell r="GJ37">
            <v>171415487.68724</v>
          </cell>
          <cell r="GK37">
            <v>171415487.68724</v>
          </cell>
          <cell r="GL37">
            <v>171415487.68724</v>
          </cell>
          <cell r="GM37">
            <v>171415487.68724</v>
          </cell>
          <cell r="GN37">
            <v>171415487.68724</v>
          </cell>
          <cell r="GO37">
            <v>171415487.68724</v>
          </cell>
          <cell r="GP37">
            <v>171415487.68724</v>
          </cell>
          <cell r="GQ37">
            <v>171415487.68724</v>
          </cell>
          <cell r="GR37">
            <v>171415487.68724</v>
          </cell>
          <cell r="GS37">
            <v>171415487.68724</v>
          </cell>
          <cell r="GT37">
            <v>171415487.68724</v>
          </cell>
          <cell r="GU37">
            <v>0</v>
          </cell>
          <cell r="GZ37">
            <v>0</v>
          </cell>
        </row>
        <row r="38">
          <cell r="A38" t="str">
            <v>F_CNP_NRF_RET_IND_FRCE_295</v>
          </cell>
          <cell r="B38">
            <v>394778279.33261001</v>
          </cell>
          <cell r="D38">
            <v>394778279.33261001</v>
          </cell>
          <cell r="E38">
            <v>408171169.19107997</v>
          </cell>
          <cell r="F38">
            <v>394778279.33261001</v>
          </cell>
          <cell r="G38">
            <v>394778279.33261001</v>
          </cell>
          <cell r="H38">
            <v>0</v>
          </cell>
          <cell r="I38">
            <v>0</v>
          </cell>
          <cell r="J38">
            <v>394778279.33261001</v>
          </cell>
          <cell r="K38">
            <v>394778279.33261001</v>
          </cell>
          <cell r="L38">
            <v>394778279.33261001</v>
          </cell>
          <cell r="M38">
            <v>0</v>
          </cell>
          <cell r="N38">
            <v>394778279.33261001</v>
          </cell>
          <cell r="O38">
            <v>394778279.33261001</v>
          </cell>
          <cell r="P38">
            <v>394778279.33261001</v>
          </cell>
          <cell r="Q38">
            <v>394778279.33261001</v>
          </cell>
          <cell r="R38">
            <v>0</v>
          </cell>
          <cell r="S38">
            <v>394778279.33261001</v>
          </cell>
          <cell r="T38">
            <v>394778279.33261001</v>
          </cell>
          <cell r="U38">
            <v>394778279.33261001</v>
          </cell>
          <cell r="V38">
            <v>394778279.33261001</v>
          </cell>
          <cell r="W38">
            <v>394778279.33261001</v>
          </cell>
          <cell r="X38">
            <v>394778279.33261001</v>
          </cell>
          <cell r="Y38">
            <v>394778279.33261001</v>
          </cell>
          <cell r="Z38">
            <v>394778279.33261001</v>
          </cell>
          <cell r="AA38">
            <v>394778279.33261001</v>
          </cell>
          <cell r="AB38">
            <v>394778279.33261001</v>
          </cell>
          <cell r="AC38">
            <v>394778279.33261001</v>
          </cell>
          <cell r="AD38">
            <v>0</v>
          </cell>
          <cell r="AE38">
            <v>0</v>
          </cell>
          <cell r="AF38">
            <v>394778279.33261001</v>
          </cell>
          <cell r="AG38">
            <v>394778279.33261001</v>
          </cell>
          <cell r="AH38">
            <v>394778279.33261001</v>
          </cell>
          <cell r="AI38">
            <v>0</v>
          </cell>
          <cell r="AJ38">
            <v>394778279.33261001</v>
          </cell>
          <cell r="AK38">
            <v>394778279.33261001</v>
          </cell>
          <cell r="AL38">
            <v>394778279.33261001</v>
          </cell>
          <cell r="AM38">
            <v>258072918.80481997</v>
          </cell>
          <cell r="AN38">
            <v>0</v>
          </cell>
          <cell r="AO38">
            <v>394778279.33261001</v>
          </cell>
          <cell r="AP38">
            <v>394778279.33261001</v>
          </cell>
          <cell r="AQ38">
            <v>394778279.33261001</v>
          </cell>
          <cell r="AR38">
            <v>394778279.33261001</v>
          </cell>
          <cell r="AS38">
            <v>394778279.33261001</v>
          </cell>
          <cell r="AT38">
            <v>394778279.33261001</v>
          </cell>
          <cell r="AU38">
            <v>394778279.33261001</v>
          </cell>
          <cell r="AV38">
            <v>394778279.33261001</v>
          </cell>
          <cell r="AW38">
            <v>394778279.33261001</v>
          </cell>
          <cell r="AX38">
            <v>408171169.19107997</v>
          </cell>
          <cell r="AY38">
            <v>408171169.19107997</v>
          </cell>
          <cell r="AZ38">
            <v>0</v>
          </cell>
          <cell r="BA38">
            <v>0</v>
          </cell>
          <cell r="BB38">
            <v>408171169.19107997</v>
          </cell>
          <cell r="BC38">
            <v>408171169.19107997</v>
          </cell>
          <cell r="BD38">
            <v>408171169.19107997</v>
          </cell>
          <cell r="BE38">
            <v>0</v>
          </cell>
          <cell r="BF38">
            <v>408171169.19107997</v>
          </cell>
          <cell r="BG38">
            <v>408171169.19107997</v>
          </cell>
          <cell r="BH38">
            <v>408171169.19107997</v>
          </cell>
          <cell r="BI38">
            <v>408171169.19107997</v>
          </cell>
          <cell r="BJ38">
            <v>0</v>
          </cell>
          <cell r="BK38">
            <v>408171169.19107997</v>
          </cell>
          <cell r="BL38">
            <v>408171169.19107997</v>
          </cell>
          <cell r="BM38">
            <v>408171169.19107997</v>
          </cell>
          <cell r="BN38">
            <v>408171169.19107997</v>
          </cell>
          <cell r="BO38">
            <v>408171169.19107997</v>
          </cell>
          <cell r="BP38">
            <v>408171169.19107997</v>
          </cell>
          <cell r="BQ38">
            <v>408171169.19107997</v>
          </cell>
          <cell r="BR38">
            <v>408171169.19107997</v>
          </cell>
          <cell r="BS38">
            <v>408171169.19107997</v>
          </cell>
          <cell r="BT38">
            <v>405903176.65460002</v>
          </cell>
          <cell r="BU38">
            <v>418387709.49684</v>
          </cell>
          <cell r="BV38">
            <v>0</v>
          </cell>
          <cell r="BW38">
            <v>0</v>
          </cell>
          <cell r="BX38">
            <v>408171169.19107997</v>
          </cell>
          <cell r="BY38">
            <v>408171169.19107997</v>
          </cell>
          <cell r="BZ38">
            <v>408171169.19107997</v>
          </cell>
          <cell r="CA38">
            <v>0</v>
          </cell>
          <cell r="CB38">
            <v>408171169.19107997</v>
          </cell>
          <cell r="CC38">
            <v>408171169.19107997</v>
          </cell>
          <cell r="CD38">
            <v>408171169.19107997</v>
          </cell>
          <cell r="CE38">
            <v>355601248.74024999</v>
          </cell>
          <cell r="CF38">
            <v>0</v>
          </cell>
          <cell r="CG38">
            <v>408171169.19107997</v>
          </cell>
          <cell r="CH38">
            <v>408171169.19107997</v>
          </cell>
          <cell r="CI38">
            <v>408171169.19107997</v>
          </cell>
          <cell r="CJ38">
            <v>408171169.19107997</v>
          </cell>
          <cell r="CK38">
            <v>408171169.19107997</v>
          </cell>
          <cell r="CL38">
            <v>408171169.19107997</v>
          </cell>
          <cell r="CM38">
            <v>408171169.19107997</v>
          </cell>
          <cell r="CN38">
            <v>408171169.19107997</v>
          </cell>
          <cell r="CO38">
            <v>400276598.96424991</v>
          </cell>
          <cell r="CP38">
            <v>408171169.19107997</v>
          </cell>
          <cell r="CQ38">
            <v>408171169.19107997</v>
          </cell>
          <cell r="CR38">
            <v>408171169.19107997</v>
          </cell>
          <cell r="CS38">
            <v>408171169.19107997</v>
          </cell>
          <cell r="CT38">
            <v>408171169.19107997</v>
          </cell>
          <cell r="CU38">
            <v>408171169.19107997</v>
          </cell>
          <cell r="CV38">
            <v>408171169.19107997</v>
          </cell>
          <cell r="CW38">
            <v>408171169.19107997</v>
          </cell>
          <cell r="CX38">
            <v>408171169.19107997</v>
          </cell>
          <cell r="CY38">
            <v>408171169.19107997</v>
          </cell>
          <cell r="CZ38">
            <v>408171169.19107997</v>
          </cell>
          <cell r="DA38">
            <v>422009320.10668004</v>
          </cell>
          <cell r="DB38">
            <v>408171169.19107997</v>
          </cell>
          <cell r="DC38">
            <v>408171169.19107997</v>
          </cell>
          <cell r="DD38">
            <v>413091549.91860998</v>
          </cell>
          <cell r="DE38">
            <v>408171169.19107997</v>
          </cell>
          <cell r="DF38">
            <v>408171169.19107997</v>
          </cell>
          <cell r="DG38">
            <v>410259544.63469005</v>
          </cell>
          <cell r="DH38">
            <v>408171169.19107997</v>
          </cell>
          <cell r="DI38">
            <v>408171169.19107997</v>
          </cell>
          <cell r="DJ38">
            <v>0</v>
          </cell>
          <cell r="DK38">
            <v>0</v>
          </cell>
          <cell r="DL38">
            <v>0</v>
          </cell>
          <cell r="DM38">
            <v>0</v>
          </cell>
          <cell r="DN38">
            <v>0</v>
          </cell>
          <cell r="DO38">
            <v>0</v>
          </cell>
          <cell r="DP38">
            <v>0</v>
          </cell>
          <cell r="DQ38">
            <v>0</v>
          </cell>
          <cell r="DR38">
            <v>0</v>
          </cell>
          <cell r="DS38">
            <v>0</v>
          </cell>
          <cell r="DT38">
            <v>0</v>
          </cell>
          <cell r="DU38">
            <v>0</v>
          </cell>
          <cell r="DV38">
            <v>0</v>
          </cell>
          <cell r="DW38">
            <v>0</v>
          </cell>
          <cell r="DX38" t="str">
            <v/>
          </cell>
          <cell r="DY38" t="str">
            <v/>
          </cell>
          <cell r="DZ38" t="str">
            <v/>
          </cell>
          <cell r="EA38">
            <v>408171169.19107997</v>
          </cell>
          <cell r="EB38">
            <v>408171169.19107997</v>
          </cell>
          <cell r="EC38">
            <v>408171169.19107997</v>
          </cell>
          <cell r="ED38">
            <v>408171169.19107997</v>
          </cell>
          <cell r="EE38">
            <v>408171169.19107997</v>
          </cell>
          <cell r="EF38">
            <v>408171169.19107997</v>
          </cell>
          <cell r="EG38">
            <v>408171169.19107997</v>
          </cell>
          <cell r="EH38">
            <v>408171169.19107997</v>
          </cell>
          <cell r="EI38">
            <v>408171169.19107997</v>
          </cell>
          <cell r="EJ38">
            <v>408171169.19107997</v>
          </cell>
          <cell r="EK38">
            <v>408171169.19107997</v>
          </cell>
          <cell r="EL38">
            <v>408171169.19107997</v>
          </cell>
          <cell r="EM38">
            <v>408171169.19107997</v>
          </cell>
          <cell r="EN38">
            <v>408171169.19107997</v>
          </cell>
          <cell r="EO38">
            <v>408171169.19107997</v>
          </cell>
          <cell r="EP38">
            <v>408171169.19107997</v>
          </cell>
          <cell r="EQ38">
            <v>408171169.19107997</v>
          </cell>
          <cell r="ER38">
            <v>408171169.19107997</v>
          </cell>
          <cell r="ES38">
            <v>0</v>
          </cell>
          <cell r="ET38">
            <v>0</v>
          </cell>
          <cell r="EU38">
            <v>0</v>
          </cell>
          <cell r="EV38">
            <v>0</v>
          </cell>
          <cell r="EW38">
            <v>0</v>
          </cell>
          <cell r="EX38">
            <v>0</v>
          </cell>
          <cell r="EY38">
            <v>0</v>
          </cell>
          <cell r="EZ38">
            <v>0</v>
          </cell>
          <cell r="FA38">
            <v>0</v>
          </cell>
          <cell r="FB38">
            <v>0</v>
          </cell>
          <cell r="FC38">
            <v>0</v>
          </cell>
          <cell r="FD38">
            <v>0</v>
          </cell>
          <cell r="FE38">
            <v>408171169.19107997</v>
          </cell>
          <cell r="FF38">
            <v>405903176.65460002</v>
          </cell>
          <cell r="FG38">
            <v>418387709.49684</v>
          </cell>
          <cell r="FH38">
            <v>0</v>
          </cell>
          <cell r="FI38">
            <v>0</v>
          </cell>
          <cell r="FJ38">
            <v>408171169.19107997</v>
          </cell>
          <cell r="FK38">
            <v>408171169.19107997</v>
          </cell>
          <cell r="FL38">
            <v>408171169.19107997</v>
          </cell>
          <cell r="FM38">
            <v>0</v>
          </cell>
          <cell r="FN38">
            <v>408171169.19107997</v>
          </cell>
          <cell r="FO38">
            <v>408171169.19107997</v>
          </cell>
          <cell r="FP38">
            <v>408171169.19107997</v>
          </cell>
          <cell r="FQ38">
            <v>355601248.74024999</v>
          </cell>
          <cell r="FR38">
            <v>0</v>
          </cell>
          <cell r="FS38">
            <v>408171169.19107997</v>
          </cell>
          <cell r="FT38">
            <v>408171169.19107997</v>
          </cell>
          <cell r="FU38">
            <v>408171169.19107997</v>
          </cell>
          <cell r="FV38">
            <v>408171169.19107997</v>
          </cell>
          <cell r="FW38">
            <v>408171169.19107997</v>
          </cell>
          <cell r="FX38">
            <v>408171169.19107997</v>
          </cell>
          <cell r="FY38">
            <v>408171169.19107997</v>
          </cell>
          <cell r="FZ38">
            <v>408171169.19107997</v>
          </cell>
          <cell r="GA38">
            <v>400276598.96424991</v>
          </cell>
          <cell r="GB38">
            <v>408171169.19107997</v>
          </cell>
          <cell r="GC38">
            <v>422009320.10668004</v>
          </cell>
          <cell r="GD38">
            <v>408171169.19107997</v>
          </cell>
          <cell r="GE38">
            <v>408171169.19107997</v>
          </cell>
          <cell r="GF38">
            <v>413091549.91860998</v>
          </cell>
          <cell r="GG38">
            <v>408171169.19107997</v>
          </cell>
          <cell r="GH38">
            <v>408171169.19107997</v>
          </cell>
          <cell r="GI38">
            <v>410259544.63469005</v>
          </cell>
          <cell r="GJ38">
            <v>408171169.19107997</v>
          </cell>
          <cell r="GK38">
            <v>408171169.19107997</v>
          </cell>
          <cell r="GL38">
            <v>408171169.19107997</v>
          </cell>
          <cell r="GM38">
            <v>408171169.19107997</v>
          </cell>
          <cell r="GN38">
            <v>408171169.19107997</v>
          </cell>
          <cell r="GO38">
            <v>408171169.19107997</v>
          </cell>
          <cell r="GP38">
            <v>408171169.19107997</v>
          </cell>
          <cell r="GQ38">
            <v>408171169.19107997</v>
          </cell>
          <cell r="GR38">
            <v>408171169.19107997</v>
          </cell>
          <cell r="GS38">
            <v>408171169.19107997</v>
          </cell>
          <cell r="GT38">
            <v>408171169.19107997</v>
          </cell>
          <cell r="GU38">
            <v>0</v>
          </cell>
          <cell r="GZ38">
            <v>0</v>
          </cell>
        </row>
        <row r="39">
          <cell r="A39" t="str">
            <v>F_CNP_NRF_RET_IND_FRCE_270</v>
          </cell>
          <cell r="B39">
            <v>2834958628.6134901</v>
          </cell>
          <cell r="D39">
            <v>3457720188.12536</v>
          </cell>
          <cell r="E39">
            <v>3241841828.59445</v>
          </cell>
          <cell r="F39">
            <v>3457720188.12536</v>
          </cell>
          <cell r="G39">
            <v>3457720188.12536</v>
          </cell>
          <cell r="H39">
            <v>0</v>
          </cell>
          <cell r="I39">
            <v>0</v>
          </cell>
          <cell r="J39">
            <v>3457720188.12536</v>
          </cell>
          <cell r="K39">
            <v>3457720188.12536</v>
          </cell>
          <cell r="L39">
            <v>3457720188.12536</v>
          </cell>
          <cell r="M39">
            <v>0</v>
          </cell>
          <cell r="N39">
            <v>3457720188.12536</v>
          </cell>
          <cell r="O39">
            <v>3457720188.12536</v>
          </cell>
          <cell r="P39">
            <v>3457720188.12536</v>
          </cell>
          <cell r="Q39">
            <v>3457720188.12536</v>
          </cell>
          <cell r="R39">
            <v>0</v>
          </cell>
          <cell r="S39">
            <v>3457720188.12536</v>
          </cell>
          <cell r="T39">
            <v>3457720188.12536</v>
          </cell>
          <cell r="U39">
            <v>3457720188.12536</v>
          </cell>
          <cell r="V39">
            <v>3457720188.12536</v>
          </cell>
          <cell r="W39">
            <v>3457720188.12536</v>
          </cell>
          <cell r="X39">
            <v>3457720188.12536</v>
          </cell>
          <cell r="Y39">
            <v>3457720188.12536</v>
          </cell>
          <cell r="Z39">
            <v>3457720188.12536</v>
          </cell>
          <cell r="AA39">
            <v>3457720188.12536</v>
          </cell>
          <cell r="AB39">
            <v>3508843433.6276798</v>
          </cell>
          <cell r="AC39">
            <v>3294252861.3532195</v>
          </cell>
          <cell r="AD39">
            <v>0</v>
          </cell>
          <cell r="AE39">
            <v>0</v>
          </cell>
          <cell r="AF39">
            <v>3338350539.8608799</v>
          </cell>
          <cell r="AG39">
            <v>3338350539.8608799</v>
          </cell>
          <cell r="AH39">
            <v>3338350539.8608799</v>
          </cell>
          <cell r="AI39">
            <v>0</v>
          </cell>
          <cell r="AJ39">
            <v>3416696841.9061399</v>
          </cell>
          <cell r="AK39">
            <v>3416696841.9061399</v>
          </cell>
          <cell r="AL39">
            <v>3416696841.9061399</v>
          </cell>
          <cell r="AM39">
            <v>3431931698.7409</v>
          </cell>
          <cell r="AN39">
            <v>0</v>
          </cell>
          <cell r="AO39">
            <v>3288692450.46246</v>
          </cell>
          <cell r="AP39">
            <v>3288692450.46246</v>
          </cell>
          <cell r="AQ39">
            <v>3288692450.46246</v>
          </cell>
          <cell r="AR39">
            <v>3288692450.46246</v>
          </cell>
          <cell r="AS39">
            <v>3288692450.46246</v>
          </cell>
          <cell r="AT39">
            <v>3288692450.46246</v>
          </cell>
          <cell r="AU39">
            <v>3288692450.46246</v>
          </cell>
          <cell r="AV39">
            <v>3439175682.1032004</v>
          </cell>
          <cell r="AW39">
            <v>3457720188.12536</v>
          </cell>
          <cell r="AX39">
            <v>3241841828.59445</v>
          </cell>
          <cell r="AY39">
            <v>3241841828.59445</v>
          </cell>
          <cell r="AZ39">
            <v>0</v>
          </cell>
          <cell r="BA39">
            <v>0</v>
          </cell>
          <cell r="BB39">
            <v>3241841828.59445</v>
          </cell>
          <cell r="BC39">
            <v>3241841828.59445</v>
          </cell>
          <cell r="BD39">
            <v>3241841828.59445</v>
          </cell>
          <cell r="BE39">
            <v>0</v>
          </cell>
          <cell r="BF39">
            <v>3241841828.59445</v>
          </cell>
          <cell r="BG39">
            <v>3241841828.59445</v>
          </cell>
          <cell r="BH39">
            <v>3241841828.59445</v>
          </cell>
          <cell r="BI39">
            <v>3241841828.59445</v>
          </cell>
          <cell r="BJ39">
            <v>0</v>
          </cell>
          <cell r="BK39">
            <v>3241841828.59445</v>
          </cell>
          <cell r="BL39">
            <v>3241841828.59445</v>
          </cell>
          <cell r="BM39">
            <v>3241841828.59445</v>
          </cell>
          <cell r="BN39">
            <v>3241841828.59445</v>
          </cell>
          <cell r="BO39">
            <v>3241841828.59445</v>
          </cell>
          <cell r="BP39">
            <v>3241841828.59445</v>
          </cell>
          <cell r="BQ39">
            <v>3241841828.59445</v>
          </cell>
          <cell r="BR39">
            <v>3241841828.59445</v>
          </cell>
          <cell r="BS39">
            <v>3241841828.59445</v>
          </cell>
          <cell r="BT39">
            <v>3381606026.9212904</v>
          </cell>
          <cell r="BU39">
            <v>2988492528.55444</v>
          </cell>
          <cell r="BV39">
            <v>0</v>
          </cell>
          <cell r="BW39">
            <v>0</v>
          </cell>
          <cell r="BX39">
            <v>3241841828.59445</v>
          </cell>
          <cell r="BY39">
            <v>3241841828.59445</v>
          </cell>
          <cell r="BZ39">
            <v>3241841828.59445</v>
          </cell>
          <cell r="CA39">
            <v>0</v>
          </cell>
          <cell r="CB39">
            <v>3241841828.59445</v>
          </cell>
          <cell r="CC39">
            <v>3241841828.59445</v>
          </cell>
          <cell r="CD39">
            <v>3241841828.59445</v>
          </cell>
          <cell r="CE39">
            <v>3241841828.59445</v>
          </cell>
          <cell r="CF39">
            <v>0</v>
          </cell>
          <cell r="CG39">
            <v>3241841828.59445</v>
          </cell>
          <cell r="CH39">
            <v>3241841828.59445</v>
          </cell>
          <cell r="CI39">
            <v>3241841828.59445</v>
          </cell>
          <cell r="CJ39">
            <v>3241841828.59445</v>
          </cell>
          <cell r="CK39">
            <v>3241841828.59445</v>
          </cell>
          <cell r="CL39">
            <v>3241841828.59445</v>
          </cell>
          <cell r="CM39">
            <v>3241841828.59445</v>
          </cell>
          <cell r="CN39">
            <v>3241841828.59445</v>
          </cell>
          <cell r="CO39">
            <v>3113175236.54776</v>
          </cell>
          <cell r="CP39">
            <v>3241841828.59445</v>
          </cell>
          <cell r="CQ39">
            <v>3241841828.59445</v>
          </cell>
          <cell r="CR39">
            <v>3241841828.59445</v>
          </cell>
          <cell r="CS39">
            <v>3241841828.59445</v>
          </cell>
          <cell r="CT39">
            <v>3241841828.59445</v>
          </cell>
          <cell r="CU39">
            <v>3241841828.59445</v>
          </cell>
          <cell r="CV39">
            <v>3241841828.59445</v>
          </cell>
          <cell r="CW39">
            <v>3241841828.59445</v>
          </cell>
          <cell r="CX39">
            <v>3241841828.59445</v>
          </cell>
          <cell r="CY39">
            <v>3241841828.59445</v>
          </cell>
          <cell r="CZ39">
            <v>3259569729.2467098</v>
          </cell>
          <cell r="DA39">
            <v>3255724438.5316701</v>
          </cell>
          <cell r="DB39">
            <v>3241841828.59445</v>
          </cell>
          <cell r="DC39">
            <v>3471158476.6788101</v>
          </cell>
          <cell r="DD39">
            <v>3241841858.5387001</v>
          </cell>
          <cell r="DE39">
            <v>1980020984.76214</v>
          </cell>
          <cell r="DF39">
            <v>4503662672.4267597</v>
          </cell>
          <cell r="DG39">
            <v>3280090505.09167</v>
          </cell>
          <cell r="DH39">
            <v>3241841828.59445</v>
          </cell>
          <cell r="DI39">
            <v>3242786388.6205597</v>
          </cell>
          <cell r="DJ39">
            <v>0</v>
          </cell>
          <cell r="DK39">
            <v>0</v>
          </cell>
          <cell r="DL39">
            <v>0</v>
          </cell>
          <cell r="DM39">
            <v>0</v>
          </cell>
          <cell r="DN39">
            <v>0</v>
          </cell>
          <cell r="DO39">
            <v>0</v>
          </cell>
          <cell r="DP39">
            <v>0</v>
          </cell>
          <cell r="DQ39">
            <v>0</v>
          </cell>
          <cell r="DR39">
            <v>0</v>
          </cell>
          <cell r="DS39">
            <v>0</v>
          </cell>
          <cell r="DT39">
            <v>0</v>
          </cell>
          <cell r="DU39">
            <v>0</v>
          </cell>
          <cell r="DV39">
            <v>0</v>
          </cell>
          <cell r="DW39">
            <v>0</v>
          </cell>
          <cell r="DX39" t="str">
            <v/>
          </cell>
          <cell r="DY39" t="str">
            <v/>
          </cell>
          <cell r="DZ39" t="str">
            <v/>
          </cell>
          <cell r="EA39">
            <v>3241841828.59445</v>
          </cell>
          <cell r="EB39">
            <v>3241841828.59445</v>
          </cell>
          <cell r="EC39">
            <v>3241841828.59445</v>
          </cell>
          <cell r="ED39">
            <v>3241841828.59445</v>
          </cell>
          <cell r="EE39">
            <v>3241841828.59445</v>
          </cell>
          <cell r="EF39">
            <v>3241841828.59445</v>
          </cell>
          <cell r="EG39">
            <v>3241841828.59445</v>
          </cell>
          <cell r="EH39">
            <v>3241841828.59445</v>
          </cell>
          <cell r="EI39">
            <v>3241841828.59445</v>
          </cell>
          <cell r="EJ39">
            <v>3241841828.59445</v>
          </cell>
          <cell r="EK39">
            <v>3241841828.59445</v>
          </cell>
          <cell r="EL39">
            <v>3241841828.59445</v>
          </cell>
          <cell r="EM39">
            <v>3241841828.59445</v>
          </cell>
          <cell r="EN39">
            <v>3241841828.59445</v>
          </cell>
          <cell r="EO39">
            <v>1980020984.76214</v>
          </cell>
          <cell r="EP39">
            <v>4503662672.4267597</v>
          </cell>
          <cell r="EQ39">
            <v>3241841828.59445</v>
          </cell>
          <cell r="ER39">
            <v>3241841828.59445</v>
          </cell>
          <cell r="ES39">
            <v>0</v>
          </cell>
          <cell r="ET39">
            <v>0</v>
          </cell>
          <cell r="EU39">
            <v>0</v>
          </cell>
          <cell r="EV39">
            <v>0</v>
          </cell>
          <cell r="EW39">
            <v>0</v>
          </cell>
          <cell r="EX39">
            <v>0</v>
          </cell>
          <cell r="EY39">
            <v>0</v>
          </cell>
          <cell r="EZ39">
            <v>0</v>
          </cell>
          <cell r="FA39">
            <v>0</v>
          </cell>
          <cell r="FB39">
            <v>0</v>
          </cell>
          <cell r="FC39">
            <v>0</v>
          </cell>
          <cell r="FD39">
            <v>1261820843.83231</v>
          </cell>
          <cell r="FE39">
            <v>1980020984.76214</v>
          </cell>
          <cell r="FF39">
            <v>3316667185.0996399</v>
          </cell>
          <cell r="FG39">
            <v>3079104387.7385001</v>
          </cell>
          <cell r="FH39">
            <v>0</v>
          </cell>
          <cell r="FI39">
            <v>0</v>
          </cell>
          <cell r="FJ39">
            <v>3127332560.0857201</v>
          </cell>
          <cell r="FK39">
            <v>3127332560.0857201</v>
          </cell>
          <cell r="FL39">
            <v>3127332560.0857201</v>
          </cell>
          <cell r="FM39">
            <v>0</v>
          </cell>
          <cell r="FN39">
            <v>3203511478.8687296</v>
          </cell>
          <cell r="FO39">
            <v>3203511478.8687296</v>
          </cell>
          <cell r="FP39">
            <v>3203511478.8687296</v>
          </cell>
          <cell r="FQ39">
            <v>3219139372.6838899</v>
          </cell>
          <cell r="FR39">
            <v>0</v>
          </cell>
          <cell r="FS39">
            <v>3096379305.9221897</v>
          </cell>
          <cell r="FT39">
            <v>3096379305.9221897</v>
          </cell>
          <cell r="FU39">
            <v>3096379305.9221897</v>
          </cell>
          <cell r="FV39">
            <v>3096379305.9221897</v>
          </cell>
          <cell r="FW39">
            <v>3096379305.9221897</v>
          </cell>
          <cell r="FX39">
            <v>3096379305.9221897</v>
          </cell>
          <cell r="FY39">
            <v>3096379305.9221897</v>
          </cell>
          <cell r="FZ39">
            <v>3225007389.0496097</v>
          </cell>
          <cell r="GA39">
            <v>3109239631.0106096</v>
          </cell>
          <cell r="GB39">
            <v>3256331642.56286</v>
          </cell>
          <cell r="GC39">
            <v>3254694903.3815098</v>
          </cell>
          <cell r="GD39">
            <v>3241841828.59445</v>
          </cell>
          <cell r="GE39">
            <v>3292465010.6290402</v>
          </cell>
          <cell r="GF39">
            <v>3241843585.0576797</v>
          </cell>
          <cell r="GG39">
            <v>3241841828.59445</v>
          </cell>
          <cell r="GH39">
            <v>3241841828.59445</v>
          </cell>
          <cell r="GI39">
            <v>3276202519.60992</v>
          </cell>
          <cell r="GJ39">
            <v>3241841828.59445</v>
          </cell>
          <cell r="GK39">
            <v>3242038727.5882502</v>
          </cell>
          <cell r="GL39">
            <v>3241841828.59445</v>
          </cell>
          <cell r="GM39">
            <v>3241841828.59445</v>
          </cell>
          <cell r="GN39">
            <v>3241841828.59445</v>
          </cell>
          <cell r="GO39">
            <v>3241841828.59445</v>
          </cell>
          <cell r="GP39">
            <v>3241841828.59445</v>
          </cell>
          <cell r="GQ39">
            <v>3241841828.59445</v>
          </cell>
          <cell r="GR39">
            <v>3241841828.59445</v>
          </cell>
          <cell r="GS39">
            <v>3241841828.59445</v>
          </cell>
          <cell r="GT39">
            <v>3241841828.59445</v>
          </cell>
          <cell r="GU39">
            <v>0</v>
          </cell>
          <cell r="GZ39">
            <v>0</v>
          </cell>
        </row>
        <row r="40">
          <cell r="A40" t="str">
            <v>F_CNP_NRF_RET_IND_FRCE_EVJ</v>
          </cell>
          <cell r="B40">
            <v>2254948238.0538001</v>
          </cell>
          <cell r="D40">
            <v>3624706354.2063994</v>
          </cell>
          <cell r="E40">
            <v>3136111432.9265199</v>
          </cell>
          <cell r="F40">
            <v>3624706354.2063994</v>
          </cell>
          <cell r="G40">
            <v>3624706354.2063994</v>
          </cell>
          <cell r="H40">
            <v>0</v>
          </cell>
          <cell r="I40">
            <v>0</v>
          </cell>
          <cell r="J40">
            <v>3624706354.2063994</v>
          </cell>
          <cell r="K40">
            <v>3624706354.2063994</v>
          </cell>
          <cell r="L40">
            <v>3624706354.2063994</v>
          </cell>
          <cell r="M40">
            <v>0</v>
          </cell>
          <cell r="N40">
            <v>3624706354.2063994</v>
          </cell>
          <cell r="O40">
            <v>3624706354.2063994</v>
          </cell>
          <cell r="P40">
            <v>3624706354.2063994</v>
          </cell>
          <cell r="Q40">
            <v>3624706354.2063994</v>
          </cell>
          <cell r="R40">
            <v>0</v>
          </cell>
          <cell r="S40">
            <v>3624706354.2063994</v>
          </cell>
          <cell r="T40">
            <v>3624706354.2063994</v>
          </cell>
          <cell r="U40">
            <v>3624706354.2063994</v>
          </cell>
          <cell r="V40">
            <v>3624706354.2063994</v>
          </cell>
          <cell r="W40">
            <v>3624706354.2063994</v>
          </cell>
          <cell r="X40">
            <v>3624706354.2063994</v>
          </cell>
          <cell r="Y40">
            <v>3624706354.2063994</v>
          </cell>
          <cell r="Z40">
            <v>3624706354.2063994</v>
          </cell>
          <cell r="AA40">
            <v>3624706354.2063994</v>
          </cell>
          <cell r="AB40">
            <v>3846879208.55404</v>
          </cell>
          <cell r="AC40">
            <v>3171270919.5263405</v>
          </cell>
          <cell r="AD40">
            <v>0</v>
          </cell>
          <cell r="AE40">
            <v>0</v>
          </cell>
          <cell r="AF40">
            <v>3526378420.0650001</v>
          </cell>
          <cell r="AG40">
            <v>3526378420.0650001</v>
          </cell>
          <cell r="AH40">
            <v>3526378420.0650001</v>
          </cell>
          <cell r="AI40">
            <v>0</v>
          </cell>
          <cell r="AJ40">
            <v>3591719367.4760599</v>
          </cell>
          <cell r="AK40">
            <v>3591719367.4760599</v>
          </cell>
          <cell r="AL40">
            <v>3591719367.4760599</v>
          </cell>
          <cell r="AM40">
            <v>3606522307.9622297</v>
          </cell>
          <cell r="AN40">
            <v>0</v>
          </cell>
          <cell r="AO40">
            <v>3556744884.4219904</v>
          </cell>
          <cell r="AP40">
            <v>3556744884.4219904</v>
          </cell>
          <cell r="AQ40">
            <v>3556744884.4219904</v>
          </cell>
          <cell r="AR40">
            <v>3556744884.4219904</v>
          </cell>
          <cell r="AS40">
            <v>3556744884.4219904</v>
          </cell>
          <cell r="AT40">
            <v>3556744884.4219904</v>
          </cell>
          <cell r="AU40">
            <v>3556744884.4219904</v>
          </cell>
          <cell r="AV40">
            <v>3611233151.4865603</v>
          </cell>
          <cell r="AW40">
            <v>3624706354.2063994</v>
          </cell>
          <cell r="AX40">
            <v>3136111432.9265199</v>
          </cell>
          <cell r="AY40">
            <v>3136111432.9265199</v>
          </cell>
          <cell r="AZ40">
            <v>0</v>
          </cell>
          <cell r="BA40">
            <v>0</v>
          </cell>
          <cell r="BB40">
            <v>3136111432.9265199</v>
          </cell>
          <cell r="BC40">
            <v>3136111432.9265199</v>
          </cell>
          <cell r="BD40">
            <v>3136111432.9265199</v>
          </cell>
          <cell r="BE40">
            <v>0</v>
          </cell>
          <cell r="BF40">
            <v>3136111432.9265199</v>
          </cell>
          <cell r="BG40">
            <v>3136111432.9265199</v>
          </cell>
          <cell r="BH40">
            <v>3136111432.9265199</v>
          </cell>
          <cell r="BI40">
            <v>3136111432.9265199</v>
          </cell>
          <cell r="BJ40">
            <v>0</v>
          </cell>
          <cell r="BK40">
            <v>3136111432.9265199</v>
          </cell>
          <cell r="BL40">
            <v>3136111432.9265199</v>
          </cell>
          <cell r="BM40">
            <v>3136111432.9265199</v>
          </cell>
          <cell r="BN40">
            <v>3136111432.9265199</v>
          </cell>
          <cell r="BO40">
            <v>3136111432.9265199</v>
          </cell>
          <cell r="BP40">
            <v>3136111432.9265199</v>
          </cell>
          <cell r="BQ40">
            <v>3136111432.9265199</v>
          </cell>
          <cell r="BR40">
            <v>3136111432.9265199</v>
          </cell>
          <cell r="BS40">
            <v>3136111432.9265199</v>
          </cell>
          <cell r="BT40">
            <v>3395757378.9228106</v>
          </cell>
          <cell r="BU40">
            <v>2731469708.4412003</v>
          </cell>
          <cell r="BV40">
            <v>0</v>
          </cell>
          <cell r="BW40">
            <v>0</v>
          </cell>
          <cell r="BX40">
            <v>3136111432.9265199</v>
          </cell>
          <cell r="BY40">
            <v>3136111432.9265199</v>
          </cell>
          <cell r="BZ40">
            <v>3136111432.9265199</v>
          </cell>
          <cell r="CA40">
            <v>0</v>
          </cell>
          <cell r="CB40">
            <v>3136111432.9265199</v>
          </cell>
          <cell r="CC40">
            <v>3136111432.9265199</v>
          </cell>
          <cell r="CD40">
            <v>3136111432.9265199</v>
          </cell>
          <cell r="CE40">
            <v>3136111432.9265199</v>
          </cell>
          <cell r="CF40">
            <v>0</v>
          </cell>
          <cell r="CG40">
            <v>3136111432.9265199</v>
          </cell>
          <cell r="CH40">
            <v>3136111432.9265199</v>
          </cell>
          <cell r="CI40">
            <v>3136111432.9265199</v>
          </cell>
          <cell r="CJ40">
            <v>3136111432.9265199</v>
          </cell>
          <cell r="CK40">
            <v>3136111432.9265199</v>
          </cell>
          <cell r="CL40">
            <v>3136111432.9265199</v>
          </cell>
          <cell r="CM40">
            <v>3136111432.9265199</v>
          </cell>
          <cell r="CN40">
            <v>3136111432.9265199</v>
          </cell>
          <cell r="CO40">
            <v>3127502187.2376704</v>
          </cell>
          <cell r="CP40">
            <v>3136111432.9265199</v>
          </cell>
          <cell r="CQ40">
            <v>3136111432.9265199</v>
          </cell>
          <cell r="CR40">
            <v>3136111432.9265199</v>
          </cell>
          <cell r="CS40">
            <v>3136111432.9265199</v>
          </cell>
          <cell r="CT40">
            <v>3136111432.9265199</v>
          </cell>
          <cell r="CU40">
            <v>3136111432.9265199</v>
          </cell>
          <cell r="CV40">
            <v>3136111432.9265199</v>
          </cell>
          <cell r="CW40">
            <v>3136111432.9265199</v>
          </cell>
          <cell r="CX40">
            <v>3136111432.9265199</v>
          </cell>
          <cell r="CY40">
            <v>3136111432.9265199</v>
          </cell>
          <cell r="CZ40">
            <v>3136274544.4384699</v>
          </cell>
          <cell r="DA40">
            <v>3168693415.3241105</v>
          </cell>
          <cell r="DB40">
            <v>3136111432.9265199</v>
          </cell>
          <cell r="DC40">
            <v>3136369859.24684</v>
          </cell>
          <cell r="DD40">
            <v>3153646039.8990302</v>
          </cell>
          <cell r="DE40">
            <v>2665961608.3079796</v>
          </cell>
          <cell r="DF40">
            <v>3606261257.5450602</v>
          </cell>
          <cell r="DG40">
            <v>3138539634.0394707</v>
          </cell>
          <cell r="DH40">
            <v>3136111432.9265199</v>
          </cell>
          <cell r="DI40">
            <v>3136111432.9265199</v>
          </cell>
          <cell r="DJ40">
            <v>0</v>
          </cell>
          <cell r="DK40">
            <v>0</v>
          </cell>
          <cell r="DL40">
            <v>0</v>
          </cell>
          <cell r="DM40">
            <v>0</v>
          </cell>
          <cell r="DN40">
            <v>0</v>
          </cell>
          <cell r="DO40">
            <v>0</v>
          </cell>
          <cell r="DP40">
            <v>0</v>
          </cell>
          <cell r="DQ40">
            <v>0</v>
          </cell>
          <cell r="DR40">
            <v>0</v>
          </cell>
          <cell r="DS40">
            <v>0</v>
          </cell>
          <cell r="DT40">
            <v>0</v>
          </cell>
          <cell r="DU40">
            <v>0</v>
          </cell>
          <cell r="DV40">
            <v>0</v>
          </cell>
          <cell r="DW40">
            <v>0</v>
          </cell>
          <cell r="DX40" t="str">
            <v/>
          </cell>
          <cell r="DY40" t="str">
            <v/>
          </cell>
          <cell r="DZ40" t="str">
            <v/>
          </cell>
          <cell r="EA40">
            <v>3136111432.9265199</v>
          </cell>
          <cell r="EB40">
            <v>3136111432.9265199</v>
          </cell>
          <cell r="EC40">
            <v>3136111432.9265199</v>
          </cell>
          <cell r="ED40">
            <v>3136111432.9265199</v>
          </cell>
          <cell r="EE40">
            <v>3136111432.9265199</v>
          </cell>
          <cell r="EF40">
            <v>3136111432.9265199</v>
          </cell>
          <cell r="EG40">
            <v>3136111432.9265199</v>
          </cell>
          <cell r="EH40">
            <v>3136111432.9265199</v>
          </cell>
          <cell r="EI40">
            <v>3136111432.9265199</v>
          </cell>
          <cell r="EJ40">
            <v>3136111432.9265199</v>
          </cell>
          <cell r="EK40">
            <v>3136111432.9265199</v>
          </cell>
          <cell r="EL40">
            <v>3136111432.9265199</v>
          </cell>
          <cell r="EM40">
            <v>3136111432.9265199</v>
          </cell>
          <cell r="EN40">
            <v>3136111432.9265199</v>
          </cell>
          <cell r="EO40">
            <v>2665961608.3079796</v>
          </cell>
          <cell r="EP40">
            <v>3606261257.5450602</v>
          </cell>
          <cell r="EQ40">
            <v>3136111432.9265199</v>
          </cell>
          <cell r="ER40">
            <v>3136111432.9265199</v>
          </cell>
          <cell r="ES40">
            <v>0</v>
          </cell>
          <cell r="ET40">
            <v>0</v>
          </cell>
          <cell r="EU40">
            <v>0</v>
          </cell>
          <cell r="EV40">
            <v>0</v>
          </cell>
          <cell r="EW40">
            <v>0</v>
          </cell>
          <cell r="EX40">
            <v>0</v>
          </cell>
          <cell r="EY40">
            <v>0</v>
          </cell>
          <cell r="EZ40">
            <v>0</v>
          </cell>
          <cell r="FA40">
            <v>0</v>
          </cell>
          <cell r="FB40">
            <v>0</v>
          </cell>
          <cell r="FC40">
            <v>0</v>
          </cell>
          <cell r="FD40">
            <v>470149824.61854029</v>
          </cell>
          <cell r="FE40">
            <v>2665961608.3079796</v>
          </cell>
          <cell r="FF40">
            <v>3405089560.1738501</v>
          </cell>
          <cell r="FG40">
            <v>2662314336.2512703</v>
          </cell>
          <cell r="FH40">
            <v>0</v>
          </cell>
          <cell r="FI40">
            <v>0</v>
          </cell>
          <cell r="FJ40">
            <v>3046614369.1319299</v>
          </cell>
          <cell r="FK40">
            <v>3046614369.1319299</v>
          </cell>
          <cell r="FL40">
            <v>3046614369.1319299</v>
          </cell>
          <cell r="FM40">
            <v>0</v>
          </cell>
          <cell r="FN40">
            <v>3106088845.6093292</v>
          </cell>
          <cell r="FO40">
            <v>3106088845.6093292</v>
          </cell>
          <cell r="FP40">
            <v>3106088845.6093292</v>
          </cell>
          <cell r="FQ40">
            <v>3121284427.5513096</v>
          </cell>
          <cell r="FR40">
            <v>0</v>
          </cell>
          <cell r="FS40">
            <v>3082122048.7663193</v>
          </cell>
          <cell r="FT40">
            <v>3082122048.7663193</v>
          </cell>
          <cell r="FU40">
            <v>3082122048.7663193</v>
          </cell>
          <cell r="FV40">
            <v>3082122048.7663193</v>
          </cell>
          <cell r="FW40">
            <v>3082122048.7663193</v>
          </cell>
          <cell r="FX40">
            <v>3082122048.7663193</v>
          </cell>
          <cell r="FY40">
            <v>3082122048.7663193</v>
          </cell>
          <cell r="FZ40">
            <v>3124347828.4212503</v>
          </cell>
          <cell r="GA40">
            <v>3127255153.7564898</v>
          </cell>
          <cell r="GB40">
            <v>3136159109.26334</v>
          </cell>
          <cell r="GC40">
            <v>3179637347.6616001</v>
          </cell>
          <cell r="GD40">
            <v>3136111432.9265199</v>
          </cell>
          <cell r="GE40">
            <v>3136464355.7641001</v>
          </cell>
          <cell r="GF40">
            <v>3202414629.0600901</v>
          </cell>
          <cell r="GG40">
            <v>3136111432.9265199</v>
          </cell>
          <cell r="GH40">
            <v>3136111432.9265199</v>
          </cell>
          <cell r="GI40">
            <v>3137852761.1886802</v>
          </cell>
          <cell r="GJ40">
            <v>3136111432.9265199</v>
          </cell>
          <cell r="GK40">
            <v>3136111432.9265199</v>
          </cell>
          <cell r="GL40">
            <v>3136111432.9265199</v>
          </cell>
          <cell r="GM40">
            <v>3136111432.9265199</v>
          </cell>
          <cell r="GN40">
            <v>3136111432.9265199</v>
          </cell>
          <cell r="GO40">
            <v>3136111432.9265199</v>
          </cell>
          <cell r="GP40">
            <v>3136111432.9265199</v>
          </cell>
          <cell r="GQ40">
            <v>3136111432.9265199</v>
          </cell>
          <cell r="GR40">
            <v>3136111432.9265199</v>
          </cell>
          <cell r="GS40">
            <v>3136111432.9265199</v>
          </cell>
          <cell r="GT40">
            <v>3136111432.9265199</v>
          </cell>
          <cell r="GU40">
            <v>0</v>
          </cell>
          <cell r="GZ40">
            <v>0</v>
          </cell>
        </row>
        <row r="41">
          <cell r="A41" t="str">
            <v>F_CNP_NRF_RET_IND_FRCE_208</v>
          </cell>
          <cell r="B41">
            <v>1490918596.3524396</v>
          </cell>
          <cell r="D41">
            <v>1702990397.5656199</v>
          </cell>
          <cell r="E41">
            <v>1710271218.9621005</v>
          </cell>
          <cell r="F41">
            <v>1702990397.5656199</v>
          </cell>
          <cell r="G41">
            <v>1702990397.5656199</v>
          </cell>
          <cell r="H41">
            <v>0</v>
          </cell>
          <cell r="I41">
            <v>0</v>
          </cell>
          <cell r="J41">
            <v>1702990397.5656199</v>
          </cell>
          <cell r="K41">
            <v>1702990397.5656199</v>
          </cell>
          <cell r="L41">
            <v>1702990397.5656199</v>
          </cell>
          <cell r="M41">
            <v>0</v>
          </cell>
          <cell r="N41">
            <v>1702990397.5656199</v>
          </cell>
          <cell r="O41">
            <v>1702990397.5656199</v>
          </cell>
          <cell r="P41">
            <v>1702990397.5656199</v>
          </cell>
          <cell r="Q41">
            <v>1702990397.5656199</v>
          </cell>
          <cell r="R41">
            <v>0</v>
          </cell>
          <cell r="S41">
            <v>1702990397.5656199</v>
          </cell>
          <cell r="T41">
            <v>1702990397.5656199</v>
          </cell>
          <cell r="U41">
            <v>1702990397.5656199</v>
          </cell>
          <cell r="V41">
            <v>1702990397.5656199</v>
          </cell>
          <cell r="W41">
            <v>1702990397.5656199</v>
          </cell>
          <cell r="X41">
            <v>1702990397.5656199</v>
          </cell>
          <cell r="Y41">
            <v>1702990397.5656199</v>
          </cell>
          <cell r="Z41">
            <v>1702990397.5656199</v>
          </cell>
          <cell r="AA41">
            <v>1702990397.5656199</v>
          </cell>
          <cell r="AB41">
            <v>1716078005.9275105</v>
          </cell>
          <cell r="AC41">
            <v>1650766653.15904</v>
          </cell>
          <cell r="AD41">
            <v>0</v>
          </cell>
          <cell r="AE41">
            <v>0</v>
          </cell>
          <cell r="AF41">
            <v>1589148611.4811201</v>
          </cell>
          <cell r="AG41">
            <v>1589148611.4811201</v>
          </cell>
          <cell r="AH41">
            <v>1589148611.4811201</v>
          </cell>
          <cell r="AI41">
            <v>0</v>
          </cell>
          <cell r="AJ41">
            <v>1691165284.6301799</v>
          </cell>
          <cell r="AK41">
            <v>1691165284.6301799</v>
          </cell>
          <cell r="AL41">
            <v>1691165284.6301799</v>
          </cell>
          <cell r="AM41">
            <v>1702990312.5850899</v>
          </cell>
          <cell r="AN41">
            <v>0</v>
          </cell>
          <cell r="AO41">
            <v>1618174697.8642299</v>
          </cell>
          <cell r="AP41">
            <v>1618174697.8642299</v>
          </cell>
          <cell r="AQ41">
            <v>1618174697.8642299</v>
          </cell>
          <cell r="AR41">
            <v>1618174697.8642299</v>
          </cell>
          <cell r="AS41">
            <v>1618174697.8642299</v>
          </cell>
          <cell r="AT41">
            <v>1618174697.8642299</v>
          </cell>
          <cell r="AU41">
            <v>1618174697.8642299</v>
          </cell>
          <cell r="AV41">
            <v>1696875586.2984204</v>
          </cell>
          <cell r="AW41">
            <v>1702990397.5656199</v>
          </cell>
          <cell r="AX41">
            <v>1710271218.9621005</v>
          </cell>
          <cell r="AY41">
            <v>1710271218.9621005</v>
          </cell>
          <cell r="AZ41">
            <v>0</v>
          </cell>
          <cell r="BA41">
            <v>0</v>
          </cell>
          <cell r="BB41">
            <v>1710271218.9621005</v>
          </cell>
          <cell r="BC41">
            <v>1710271218.9621005</v>
          </cell>
          <cell r="BD41">
            <v>1710271218.9621005</v>
          </cell>
          <cell r="BE41">
            <v>0</v>
          </cell>
          <cell r="BF41">
            <v>1710271218.9621005</v>
          </cell>
          <cell r="BG41">
            <v>1710271218.9621005</v>
          </cell>
          <cell r="BH41">
            <v>1710271218.9621005</v>
          </cell>
          <cell r="BI41">
            <v>1710271218.9621005</v>
          </cell>
          <cell r="BJ41">
            <v>0</v>
          </cell>
          <cell r="BK41">
            <v>1710271218.9621005</v>
          </cell>
          <cell r="BL41">
            <v>1710271218.9621005</v>
          </cell>
          <cell r="BM41">
            <v>1710271218.9621005</v>
          </cell>
          <cell r="BN41">
            <v>1710271218.9621005</v>
          </cell>
          <cell r="BO41">
            <v>1710271218.9621005</v>
          </cell>
          <cell r="BP41">
            <v>1710271218.9621005</v>
          </cell>
          <cell r="BQ41">
            <v>1710271218.9621005</v>
          </cell>
          <cell r="BR41">
            <v>1710271218.9621005</v>
          </cell>
          <cell r="BS41">
            <v>1710271218.9621005</v>
          </cell>
          <cell r="BT41">
            <v>1770731260.41751</v>
          </cell>
          <cell r="BU41">
            <v>1583589219.5611506</v>
          </cell>
          <cell r="BV41">
            <v>0</v>
          </cell>
          <cell r="BW41">
            <v>0</v>
          </cell>
          <cell r="BX41">
            <v>1710271218.9621005</v>
          </cell>
          <cell r="BY41">
            <v>1710271218.9621005</v>
          </cell>
          <cell r="BZ41">
            <v>1710271218.9621005</v>
          </cell>
          <cell r="CA41">
            <v>0</v>
          </cell>
          <cell r="CB41">
            <v>1710271218.9621005</v>
          </cell>
          <cell r="CC41">
            <v>1710271218.9621005</v>
          </cell>
          <cell r="CD41">
            <v>1710271218.9621005</v>
          </cell>
          <cell r="CE41">
            <v>1710271218.9621005</v>
          </cell>
          <cell r="CF41">
            <v>0</v>
          </cell>
          <cell r="CG41">
            <v>1710271218.9621005</v>
          </cell>
          <cell r="CH41">
            <v>1710271218.9621005</v>
          </cell>
          <cell r="CI41">
            <v>1710271218.9621005</v>
          </cell>
          <cell r="CJ41">
            <v>1710271218.9621005</v>
          </cell>
          <cell r="CK41">
            <v>1710271218.9621005</v>
          </cell>
          <cell r="CL41">
            <v>1710271218.9621005</v>
          </cell>
          <cell r="CM41">
            <v>1710271218.9621005</v>
          </cell>
          <cell r="CN41">
            <v>1710271218.9621005</v>
          </cell>
          <cell r="CO41">
            <v>1668421533.3642201</v>
          </cell>
          <cell r="CP41">
            <v>1710271218.9621005</v>
          </cell>
          <cell r="CQ41">
            <v>1710271218.9621005</v>
          </cell>
          <cell r="CR41">
            <v>1710271218.9621005</v>
          </cell>
          <cell r="CS41">
            <v>1710271218.9621005</v>
          </cell>
          <cell r="CT41">
            <v>1710271218.9621005</v>
          </cell>
          <cell r="CU41">
            <v>1710271218.9621005</v>
          </cell>
          <cell r="CV41">
            <v>1710271218.9621005</v>
          </cell>
          <cell r="CW41">
            <v>1710271218.9621005</v>
          </cell>
          <cell r="CX41">
            <v>1710271218.9621005</v>
          </cell>
          <cell r="CY41">
            <v>1710271218.9621005</v>
          </cell>
          <cell r="CZ41">
            <v>1723429478.6907403</v>
          </cell>
          <cell r="DA41">
            <v>1710271218.9621005</v>
          </cell>
          <cell r="DB41">
            <v>1710271218.9621005</v>
          </cell>
          <cell r="DC41">
            <v>1735847037.5681205</v>
          </cell>
          <cell r="DD41">
            <v>1710271218.9621005</v>
          </cell>
          <cell r="DE41">
            <v>1180007357.7319102</v>
          </cell>
          <cell r="DF41">
            <v>2240535080.2225509</v>
          </cell>
          <cell r="DG41">
            <v>1720800901.8636003</v>
          </cell>
          <cell r="DH41">
            <v>1710271218.9621005</v>
          </cell>
          <cell r="DI41">
            <v>1710272738.1936405</v>
          </cell>
          <cell r="DJ41">
            <v>0</v>
          </cell>
          <cell r="DK41">
            <v>0</v>
          </cell>
          <cell r="DL41">
            <v>0</v>
          </cell>
          <cell r="DM41">
            <v>0</v>
          </cell>
          <cell r="DN41">
            <v>0</v>
          </cell>
          <cell r="DO41">
            <v>0</v>
          </cell>
          <cell r="DP41">
            <v>0</v>
          </cell>
          <cell r="DQ41">
            <v>0</v>
          </cell>
          <cell r="DR41">
            <v>0</v>
          </cell>
          <cell r="DS41">
            <v>0</v>
          </cell>
          <cell r="DT41">
            <v>0</v>
          </cell>
          <cell r="DU41">
            <v>0</v>
          </cell>
          <cell r="DV41">
            <v>0</v>
          </cell>
          <cell r="DW41">
            <v>0</v>
          </cell>
          <cell r="DX41" t="str">
            <v/>
          </cell>
          <cell r="DY41" t="str">
            <v/>
          </cell>
          <cell r="DZ41" t="str">
            <v/>
          </cell>
          <cell r="EA41">
            <v>1710271218.9621005</v>
          </cell>
          <cell r="EB41">
            <v>1710271218.9621005</v>
          </cell>
          <cell r="EC41">
            <v>1710271218.9621005</v>
          </cell>
          <cell r="ED41">
            <v>1710271218.9621005</v>
          </cell>
          <cell r="EE41">
            <v>1710271218.9621005</v>
          </cell>
          <cell r="EF41">
            <v>1710271218.9621005</v>
          </cell>
          <cell r="EG41">
            <v>1710271218.9621005</v>
          </cell>
          <cell r="EH41">
            <v>1710271218.9621005</v>
          </cell>
          <cell r="EI41">
            <v>1710271218.9621005</v>
          </cell>
          <cell r="EJ41">
            <v>1710271218.9621005</v>
          </cell>
          <cell r="EK41">
            <v>1710271218.9621005</v>
          </cell>
          <cell r="EL41">
            <v>1710271218.9621005</v>
          </cell>
          <cell r="EM41">
            <v>1710271218.9621005</v>
          </cell>
          <cell r="EN41">
            <v>1710271218.9621005</v>
          </cell>
          <cell r="EO41">
            <v>1180007357.7016501</v>
          </cell>
          <cell r="EP41">
            <v>2240535080.2225509</v>
          </cell>
          <cell r="EQ41">
            <v>1710271218.9621005</v>
          </cell>
          <cell r="ER41">
            <v>1710271218.9621005</v>
          </cell>
          <cell r="ES41">
            <v>0</v>
          </cell>
          <cell r="ET41">
            <v>0</v>
          </cell>
          <cell r="EU41">
            <v>0</v>
          </cell>
          <cell r="EV41">
            <v>0</v>
          </cell>
          <cell r="EW41">
            <v>0</v>
          </cell>
          <cell r="EX41">
            <v>0</v>
          </cell>
          <cell r="EY41">
            <v>0</v>
          </cell>
          <cell r="EZ41">
            <v>0</v>
          </cell>
          <cell r="FA41">
            <v>0</v>
          </cell>
          <cell r="FB41">
            <v>0</v>
          </cell>
          <cell r="FC41">
            <v>0</v>
          </cell>
          <cell r="FD41">
            <v>530263859.26414967</v>
          </cell>
          <cell r="FE41">
            <v>1180007357.7016501</v>
          </cell>
          <cell r="FF41">
            <v>1734819394.56177</v>
          </cell>
          <cell r="FG41">
            <v>1642898721.04948</v>
          </cell>
          <cell r="FH41">
            <v>0</v>
          </cell>
          <cell r="FI41">
            <v>0</v>
          </cell>
          <cell r="FJ41">
            <v>1606791258.6173296</v>
          </cell>
          <cell r="FK41">
            <v>1606791258.6173296</v>
          </cell>
          <cell r="FL41">
            <v>1606791258.6173296</v>
          </cell>
          <cell r="FM41">
            <v>0</v>
          </cell>
          <cell r="FN41">
            <v>1699312886.6113601</v>
          </cell>
          <cell r="FO41">
            <v>1699312886.6113601</v>
          </cell>
          <cell r="FP41">
            <v>1699312886.6113601</v>
          </cell>
          <cell r="FQ41">
            <v>1710271161.6397099</v>
          </cell>
          <cell r="FR41">
            <v>0</v>
          </cell>
          <cell r="FS41">
            <v>1631906042.3658001</v>
          </cell>
          <cell r="FT41">
            <v>1631906042.3658001</v>
          </cell>
          <cell r="FU41">
            <v>1631906042.3658001</v>
          </cell>
          <cell r="FV41">
            <v>1631906042.3658001</v>
          </cell>
          <cell r="FW41">
            <v>1631906042.3658001</v>
          </cell>
          <cell r="FX41">
            <v>1631906042.3658001</v>
          </cell>
          <cell r="FY41">
            <v>1631906042.3658001</v>
          </cell>
          <cell r="FZ41">
            <v>1704850037.2443204</v>
          </cell>
          <cell r="GA41">
            <v>1665179246.6589</v>
          </cell>
          <cell r="GB41">
            <v>1710543705.7139604</v>
          </cell>
          <cell r="GC41">
            <v>1711482292.1049802</v>
          </cell>
          <cell r="GD41">
            <v>1710271218.9621005</v>
          </cell>
          <cell r="GE41">
            <v>1712138519.9510901</v>
          </cell>
          <cell r="GF41">
            <v>1710792254.7735202</v>
          </cell>
          <cell r="GG41">
            <v>1710271222.9319305</v>
          </cell>
          <cell r="GH41">
            <v>1710271218.9621005</v>
          </cell>
          <cell r="GI41">
            <v>1721371931.5540397</v>
          </cell>
          <cell r="GJ41">
            <v>1710271218.9621005</v>
          </cell>
          <cell r="GK41">
            <v>1710271370.0734105</v>
          </cell>
          <cell r="GL41">
            <v>1710271218.9621005</v>
          </cell>
          <cell r="GM41">
            <v>1710271218.9621005</v>
          </cell>
          <cell r="GN41">
            <v>1710271218.9621005</v>
          </cell>
          <cell r="GO41">
            <v>1710271218.9621005</v>
          </cell>
          <cell r="GP41">
            <v>1710271218.9621005</v>
          </cell>
          <cell r="GQ41">
            <v>1710271218.9621005</v>
          </cell>
          <cell r="GR41">
            <v>1710271218.9621005</v>
          </cell>
          <cell r="GS41">
            <v>1710271218.9621005</v>
          </cell>
          <cell r="GT41">
            <v>1710271218.9621005</v>
          </cell>
          <cell r="GU41">
            <v>0</v>
          </cell>
          <cell r="GZ41">
            <v>0</v>
          </cell>
        </row>
        <row r="42">
          <cell r="A42" t="str">
            <v>F_CNP_NRF_RET_IND_FRCE_209</v>
          </cell>
          <cell r="B42">
            <v>1665217141.9214001</v>
          </cell>
          <cell r="D42">
            <v>1845557008.1016498</v>
          </cell>
          <cell r="E42">
            <v>1836883880.3541806</v>
          </cell>
          <cell r="F42">
            <v>1845557008.1016498</v>
          </cell>
          <cell r="G42">
            <v>1845557008.1016498</v>
          </cell>
          <cell r="H42">
            <v>0</v>
          </cell>
          <cell r="I42">
            <v>0</v>
          </cell>
          <cell r="J42">
            <v>1845557008.1016498</v>
          </cell>
          <cell r="K42">
            <v>1845557008.1016498</v>
          </cell>
          <cell r="L42">
            <v>1845557008.1016498</v>
          </cell>
          <cell r="M42">
            <v>0</v>
          </cell>
          <cell r="N42">
            <v>1845557008.1016498</v>
          </cell>
          <cell r="O42">
            <v>1845557008.1016498</v>
          </cell>
          <cell r="P42">
            <v>1845557008.1016498</v>
          </cell>
          <cell r="Q42">
            <v>1845557008.1016498</v>
          </cell>
          <cell r="R42">
            <v>0</v>
          </cell>
          <cell r="S42">
            <v>1845557008.1016498</v>
          </cell>
          <cell r="T42">
            <v>1845557008.1016498</v>
          </cell>
          <cell r="U42">
            <v>1845557008.1016498</v>
          </cell>
          <cell r="V42">
            <v>1845557008.1016498</v>
          </cell>
          <cell r="W42">
            <v>1845557008.1016498</v>
          </cell>
          <cell r="X42">
            <v>1845557008.1016498</v>
          </cell>
          <cell r="Y42">
            <v>1845557008.1016498</v>
          </cell>
          <cell r="Z42">
            <v>1845557008.1016498</v>
          </cell>
          <cell r="AA42">
            <v>1845557008.1016498</v>
          </cell>
          <cell r="AB42">
            <v>1860677310.4763696</v>
          </cell>
          <cell r="AC42">
            <v>1787976082.7520204</v>
          </cell>
          <cell r="AD42">
            <v>0</v>
          </cell>
          <cell r="AE42">
            <v>0</v>
          </cell>
          <cell r="AF42">
            <v>1756500184.7592099</v>
          </cell>
          <cell r="AG42">
            <v>1756500184.7592099</v>
          </cell>
          <cell r="AH42">
            <v>1756500184.7592099</v>
          </cell>
          <cell r="AI42">
            <v>0</v>
          </cell>
          <cell r="AJ42">
            <v>1834966094.8773205</v>
          </cell>
          <cell r="AK42">
            <v>1834966094.8773205</v>
          </cell>
          <cell r="AL42">
            <v>1834966094.8773205</v>
          </cell>
          <cell r="AM42">
            <v>1845493407.3142996</v>
          </cell>
          <cell r="AN42">
            <v>0</v>
          </cell>
          <cell r="AO42">
            <v>1749815347.5350406</v>
          </cell>
          <cell r="AP42">
            <v>1749815347.5350406</v>
          </cell>
          <cell r="AQ42">
            <v>1749815347.5350406</v>
          </cell>
          <cell r="AR42">
            <v>1749815347.5350406</v>
          </cell>
          <cell r="AS42">
            <v>1749815347.5350406</v>
          </cell>
          <cell r="AT42">
            <v>1749815347.5350406</v>
          </cell>
          <cell r="AU42">
            <v>1749815347.5350406</v>
          </cell>
          <cell r="AV42">
            <v>1837370824.6090496</v>
          </cell>
          <cell r="AW42">
            <v>1845557008.1016498</v>
          </cell>
          <cell r="AX42">
            <v>1836883880.3541806</v>
          </cell>
          <cell r="AY42">
            <v>1836883880.3541806</v>
          </cell>
          <cell r="AZ42">
            <v>0</v>
          </cell>
          <cell r="BA42">
            <v>0</v>
          </cell>
          <cell r="BB42">
            <v>1836883880.3541806</v>
          </cell>
          <cell r="BC42">
            <v>1836883880.3541806</v>
          </cell>
          <cell r="BD42">
            <v>1836883880.3541806</v>
          </cell>
          <cell r="BE42">
            <v>0</v>
          </cell>
          <cell r="BF42">
            <v>1836883880.3541806</v>
          </cell>
          <cell r="BG42">
            <v>1836883880.3541806</v>
          </cell>
          <cell r="BH42">
            <v>1836883880.3541806</v>
          </cell>
          <cell r="BI42">
            <v>1836883880.3541806</v>
          </cell>
          <cell r="BJ42">
            <v>0</v>
          </cell>
          <cell r="BK42">
            <v>1836883880.3541806</v>
          </cell>
          <cell r="BL42">
            <v>1836883880.3541806</v>
          </cell>
          <cell r="BM42">
            <v>1836883880.3541806</v>
          </cell>
          <cell r="BN42">
            <v>1836883880.3541806</v>
          </cell>
          <cell r="BO42">
            <v>1836883880.3541806</v>
          </cell>
          <cell r="BP42">
            <v>1836883880.3541806</v>
          </cell>
          <cell r="BQ42">
            <v>1836883880.3541806</v>
          </cell>
          <cell r="BR42">
            <v>1836883880.3541806</v>
          </cell>
          <cell r="BS42">
            <v>1836883880.3541806</v>
          </cell>
          <cell r="BT42">
            <v>1900493602.1572707</v>
          </cell>
          <cell r="BU42">
            <v>1699712862.6971405</v>
          </cell>
          <cell r="BV42">
            <v>0</v>
          </cell>
          <cell r="BW42">
            <v>0</v>
          </cell>
          <cell r="BX42">
            <v>1836883880.3541806</v>
          </cell>
          <cell r="BY42">
            <v>1836883880.3541806</v>
          </cell>
          <cell r="BZ42">
            <v>1836883880.3541806</v>
          </cell>
          <cell r="CA42">
            <v>0</v>
          </cell>
          <cell r="CB42">
            <v>1836883880.3541806</v>
          </cell>
          <cell r="CC42">
            <v>1836883880.3541806</v>
          </cell>
          <cell r="CD42">
            <v>1836883880.3541806</v>
          </cell>
          <cell r="CE42">
            <v>1836883880.3541806</v>
          </cell>
          <cell r="CF42">
            <v>0</v>
          </cell>
          <cell r="CG42">
            <v>1836883880.3541806</v>
          </cell>
          <cell r="CH42">
            <v>1836883880.3541806</v>
          </cell>
          <cell r="CI42">
            <v>1836883880.3541806</v>
          </cell>
          <cell r="CJ42">
            <v>1836883880.3541806</v>
          </cell>
          <cell r="CK42">
            <v>1836883880.3541806</v>
          </cell>
          <cell r="CL42">
            <v>1836883880.3541806</v>
          </cell>
          <cell r="CM42">
            <v>1836883880.3541806</v>
          </cell>
          <cell r="CN42">
            <v>1836883880.3541806</v>
          </cell>
          <cell r="CO42">
            <v>1831154742.8968906</v>
          </cell>
          <cell r="CP42">
            <v>1836883880.3541806</v>
          </cell>
          <cell r="CQ42">
            <v>1836883880.3541806</v>
          </cell>
          <cell r="CR42">
            <v>1836883880.3541806</v>
          </cell>
          <cell r="CS42">
            <v>1836883880.3541806</v>
          </cell>
          <cell r="CT42">
            <v>1836883880.3541806</v>
          </cell>
          <cell r="CU42">
            <v>1836883880.3541806</v>
          </cell>
          <cell r="CV42">
            <v>1836883880.3541806</v>
          </cell>
          <cell r="CW42">
            <v>1836883880.3541806</v>
          </cell>
          <cell r="CX42">
            <v>1836883880.3541806</v>
          </cell>
          <cell r="CY42">
            <v>1836883880.3541806</v>
          </cell>
          <cell r="CZ42">
            <v>1836887470.5744805</v>
          </cell>
          <cell r="DA42">
            <v>1837361965.7107205</v>
          </cell>
          <cell r="DB42">
            <v>1836883880.3541806</v>
          </cell>
          <cell r="DC42">
            <v>1836888499.3814409</v>
          </cell>
          <cell r="DD42">
            <v>1836883880.3541806</v>
          </cell>
          <cell r="DE42">
            <v>1318303935.3531601</v>
          </cell>
          <cell r="DF42">
            <v>2355482492.1780109</v>
          </cell>
          <cell r="DG42">
            <v>1838240161.7204404</v>
          </cell>
          <cell r="DH42">
            <v>1836883880.3541806</v>
          </cell>
          <cell r="DI42">
            <v>1836883945.2052805</v>
          </cell>
          <cell r="DJ42">
            <v>0</v>
          </cell>
          <cell r="DK42">
            <v>0</v>
          </cell>
          <cell r="DL42">
            <v>0</v>
          </cell>
          <cell r="DM42">
            <v>0</v>
          </cell>
          <cell r="DN42">
            <v>0</v>
          </cell>
          <cell r="DO42">
            <v>0</v>
          </cell>
          <cell r="DP42">
            <v>0</v>
          </cell>
          <cell r="DQ42">
            <v>0</v>
          </cell>
          <cell r="DR42">
            <v>0</v>
          </cell>
          <cell r="DS42">
            <v>0</v>
          </cell>
          <cell r="DT42">
            <v>0</v>
          </cell>
          <cell r="DU42">
            <v>0</v>
          </cell>
          <cell r="DV42">
            <v>0</v>
          </cell>
          <cell r="DW42">
            <v>0</v>
          </cell>
          <cell r="DX42" t="str">
            <v/>
          </cell>
          <cell r="DY42" t="str">
            <v/>
          </cell>
          <cell r="DZ42" t="str">
            <v/>
          </cell>
          <cell r="EA42">
            <v>1836883880.3541806</v>
          </cell>
          <cell r="EB42">
            <v>1836883880.3541806</v>
          </cell>
          <cell r="EC42">
            <v>1836883880.3541806</v>
          </cell>
          <cell r="ED42">
            <v>1836883880.3541806</v>
          </cell>
          <cell r="EE42">
            <v>1836883880.3541806</v>
          </cell>
          <cell r="EF42">
            <v>1836883880.3541806</v>
          </cell>
          <cell r="EG42">
            <v>1836883880.3541806</v>
          </cell>
          <cell r="EH42">
            <v>1836883880.3541806</v>
          </cell>
          <cell r="EI42">
            <v>1836883880.3541806</v>
          </cell>
          <cell r="EJ42">
            <v>1836883880.3541806</v>
          </cell>
          <cell r="EK42">
            <v>1836883880.3541806</v>
          </cell>
          <cell r="EL42">
            <v>1836883880.3541806</v>
          </cell>
          <cell r="EM42">
            <v>1836883880.3541806</v>
          </cell>
          <cell r="EN42">
            <v>1836883880.3541806</v>
          </cell>
          <cell r="EO42">
            <v>1318285268.5303502</v>
          </cell>
          <cell r="EP42">
            <v>2355482492.1780109</v>
          </cell>
          <cell r="EQ42">
            <v>1836883880.3541806</v>
          </cell>
          <cell r="ER42">
            <v>1836883880.3541806</v>
          </cell>
          <cell r="ES42">
            <v>0</v>
          </cell>
          <cell r="ET42">
            <v>0</v>
          </cell>
          <cell r="EU42">
            <v>0</v>
          </cell>
          <cell r="EV42">
            <v>0</v>
          </cell>
          <cell r="EW42">
            <v>0</v>
          </cell>
          <cell r="EX42">
            <v>0</v>
          </cell>
          <cell r="EY42">
            <v>0</v>
          </cell>
          <cell r="EZ42">
            <v>0</v>
          </cell>
          <cell r="FA42">
            <v>0</v>
          </cell>
          <cell r="FB42">
            <v>0</v>
          </cell>
          <cell r="FC42">
            <v>0</v>
          </cell>
          <cell r="FD42">
            <v>518598611.81698012</v>
          </cell>
          <cell r="FE42">
            <v>1318285268.5303502</v>
          </cell>
          <cell r="FF42">
            <v>1861701008.46334</v>
          </cell>
          <cell r="FG42">
            <v>1766122772.88852</v>
          </cell>
          <cell r="FH42">
            <v>0</v>
          </cell>
          <cell r="FI42">
            <v>0</v>
          </cell>
          <cell r="FJ42">
            <v>1758496958.3892903</v>
          </cell>
          <cell r="FK42">
            <v>1758496958.3892903</v>
          </cell>
          <cell r="FL42">
            <v>1758496958.3892903</v>
          </cell>
          <cell r="FM42">
            <v>0</v>
          </cell>
          <cell r="FN42">
            <v>1827523839.3927798</v>
          </cell>
          <cell r="FO42">
            <v>1827523839.3927798</v>
          </cell>
          <cell r="FP42">
            <v>1827523839.3927798</v>
          </cell>
          <cell r="FQ42">
            <v>1836868247.2660403</v>
          </cell>
          <cell r="FR42">
            <v>0</v>
          </cell>
          <cell r="FS42">
            <v>1747168532.1257405</v>
          </cell>
          <cell r="FT42">
            <v>1747168532.1257405</v>
          </cell>
          <cell r="FU42">
            <v>1747168532.1257405</v>
          </cell>
          <cell r="FV42">
            <v>1747168532.1257405</v>
          </cell>
          <cell r="FW42">
            <v>1747168532.1257405</v>
          </cell>
          <cell r="FX42">
            <v>1747168532.1257405</v>
          </cell>
          <cell r="FY42">
            <v>1747168532.1257405</v>
          </cell>
          <cell r="FZ42">
            <v>1829905447.6737902</v>
          </cell>
          <cell r="GA42">
            <v>1830774041.5250101</v>
          </cell>
          <cell r="GB42">
            <v>1836886050.1724005</v>
          </cell>
          <cell r="GC42">
            <v>1838637435.7727802</v>
          </cell>
          <cell r="GD42">
            <v>1836883880.3541806</v>
          </cell>
          <cell r="GE42">
            <v>1836887814.9281805</v>
          </cell>
          <cell r="GF42">
            <v>1836991306.6231005</v>
          </cell>
          <cell r="GG42">
            <v>1836895250.9422002</v>
          </cell>
          <cell r="GH42">
            <v>1836883880.3541806</v>
          </cell>
          <cell r="GI42">
            <v>1838288412.6885803</v>
          </cell>
          <cell r="GJ42">
            <v>1836883880.3541806</v>
          </cell>
          <cell r="GK42">
            <v>1836883956.4368804</v>
          </cell>
          <cell r="GL42">
            <v>1836883880.3541806</v>
          </cell>
          <cell r="GM42">
            <v>1836883880.3541806</v>
          </cell>
          <cell r="GN42">
            <v>1836883880.3541806</v>
          </cell>
          <cell r="GO42">
            <v>1836883880.3541806</v>
          </cell>
          <cell r="GP42">
            <v>1836883880.3541806</v>
          </cell>
          <cell r="GQ42">
            <v>1836883880.3541806</v>
          </cell>
          <cell r="GR42">
            <v>1836883880.3541806</v>
          </cell>
          <cell r="GS42">
            <v>1836883880.3541806</v>
          </cell>
          <cell r="GT42">
            <v>1836883880.3541806</v>
          </cell>
          <cell r="GU42">
            <v>0</v>
          </cell>
          <cell r="GZ42">
            <v>0</v>
          </cell>
        </row>
        <row r="43">
          <cell r="A43" t="str">
            <v>F_CNP_NRF_RET_IND_FRCE_234</v>
          </cell>
          <cell r="B43">
            <v>24572212.829720002</v>
          </cell>
          <cell r="D43">
            <v>27674596.270339999</v>
          </cell>
          <cell r="E43">
            <v>25486197.56464</v>
          </cell>
          <cell r="F43">
            <v>27674596.270339999</v>
          </cell>
          <cell r="G43">
            <v>27674596.270339999</v>
          </cell>
          <cell r="H43">
            <v>0</v>
          </cell>
          <cell r="I43">
            <v>0</v>
          </cell>
          <cell r="J43">
            <v>27674596.270339999</v>
          </cell>
          <cell r="K43">
            <v>27674596.270339999</v>
          </cell>
          <cell r="L43">
            <v>27674596.270339999</v>
          </cell>
          <cell r="M43">
            <v>0</v>
          </cell>
          <cell r="N43">
            <v>27674596.270339999</v>
          </cell>
          <cell r="O43">
            <v>27674596.270339999</v>
          </cell>
          <cell r="P43">
            <v>27674596.270339999</v>
          </cell>
          <cell r="Q43">
            <v>27674596.270339999</v>
          </cell>
          <cell r="R43">
            <v>0</v>
          </cell>
          <cell r="S43">
            <v>27674596.270339999</v>
          </cell>
          <cell r="T43">
            <v>27674596.270339999</v>
          </cell>
          <cell r="U43">
            <v>27674596.270339999</v>
          </cell>
          <cell r="V43">
            <v>27674596.270339999</v>
          </cell>
          <cell r="W43">
            <v>27674596.270339999</v>
          </cell>
          <cell r="X43">
            <v>27674596.270339999</v>
          </cell>
          <cell r="Y43">
            <v>27674596.270339999</v>
          </cell>
          <cell r="Z43">
            <v>27674596.270339999</v>
          </cell>
          <cell r="AA43">
            <v>27674596.270339999</v>
          </cell>
          <cell r="AB43">
            <v>27797441.445780002</v>
          </cell>
          <cell r="AC43">
            <v>27053046.108169999</v>
          </cell>
          <cell r="AD43">
            <v>0</v>
          </cell>
          <cell r="AE43">
            <v>0</v>
          </cell>
          <cell r="AF43">
            <v>26236080.244569998</v>
          </cell>
          <cell r="AG43">
            <v>26236080.244569998</v>
          </cell>
          <cell r="AH43">
            <v>26236080.244569998</v>
          </cell>
          <cell r="AI43">
            <v>0</v>
          </cell>
          <cell r="AJ43">
            <v>27324102.896109998</v>
          </cell>
          <cell r="AK43">
            <v>27324102.896109998</v>
          </cell>
          <cell r="AL43">
            <v>27324102.896109998</v>
          </cell>
          <cell r="AM43">
            <v>27317129.332589999</v>
          </cell>
          <cell r="AN43">
            <v>0</v>
          </cell>
          <cell r="AO43">
            <v>26812210.45262</v>
          </cell>
          <cell r="AP43">
            <v>26812210.45262</v>
          </cell>
          <cell r="AQ43">
            <v>26812210.45262</v>
          </cell>
          <cell r="AR43">
            <v>26812210.45262</v>
          </cell>
          <cell r="AS43">
            <v>26812210.45262</v>
          </cell>
          <cell r="AT43">
            <v>26812210.45262</v>
          </cell>
          <cell r="AU43">
            <v>26812210.45262</v>
          </cell>
          <cell r="AV43">
            <v>27449422.15986</v>
          </cell>
          <cell r="AW43">
            <v>27674596.270339999</v>
          </cell>
          <cell r="AX43">
            <v>25486197.56464</v>
          </cell>
          <cell r="AY43">
            <v>25486197.56464</v>
          </cell>
          <cell r="AZ43">
            <v>0</v>
          </cell>
          <cell r="BA43">
            <v>0</v>
          </cell>
          <cell r="BB43">
            <v>25486197.56464</v>
          </cell>
          <cell r="BC43">
            <v>25486197.56464</v>
          </cell>
          <cell r="BD43">
            <v>25486197.56464</v>
          </cell>
          <cell r="BE43">
            <v>0</v>
          </cell>
          <cell r="BF43">
            <v>25486197.56464</v>
          </cell>
          <cell r="BG43">
            <v>25486197.56464</v>
          </cell>
          <cell r="BH43">
            <v>25486197.56464</v>
          </cell>
          <cell r="BI43">
            <v>25486197.56464</v>
          </cell>
          <cell r="BJ43">
            <v>0</v>
          </cell>
          <cell r="BK43">
            <v>25486197.56464</v>
          </cell>
          <cell r="BL43">
            <v>25486197.56464</v>
          </cell>
          <cell r="BM43">
            <v>25486197.56464</v>
          </cell>
          <cell r="BN43">
            <v>25486197.56464</v>
          </cell>
          <cell r="BO43">
            <v>25486197.56464</v>
          </cell>
          <cell r="BP43">
            <v>25486197.56464</v>
          </cell>
          <cell r="BQ43">
            <v>25486197.56464</v>
          </cell>
          <cell r="BR43">
            <v>25486197.56464</v>
          </cell>
          <cell r="BS43">
            <v>25486197.56464</v>
          </cell>
          <cell r="BT43">
            <v>26128917.617210001</v>
          </cell>
          <cell r="BU43">
            <v>23745673.161160003</v>
          </cell>
          <cell r="BV43">
            <v>0</v>
          </cell>
          <cell r="BW43">
            <v>0</v>
          </cell>
          <cell r="BX43">
            <v>25486197.56464</v>
          </cell>
          <cell r="BY43">
            <v>25486197.56464</v>
          </cell>
          <cell r="BZ43">
            <v>25486197.56464</v>
          </cell>
          <cell r="CA43">
            <v>0</v>
          </cell>
          <cell r="CB43">
            <v>25486197.56464</v>
          </cell>
          <cell r="CC43">
            <v>25486197.56464</v>
          </cell>
          <cell r="CD43">
            <v>25486197.56464</v>
          </cell>
          <cell r="CE43">
            <v>25486197.56464</v>
          </cell>
          <cell r="CF43">
            <v>0</v>
          </cell>
          <cell r="CG43">
            <v>25486197.56464</v>
          </cell>
          <cell r="CH43">
            <v>25486197.56464</v>
          </cell>
          <cell r="CI43">
            <v>25486197.56464</v>
          </cell>
          <cell r="CJ43">
            <v>25486197.56464</v>
          </cell>
          <cell r="CK43">
            <v>25486197.56464</v>
          </cell>
          <cell r="CL43">
            <v>25486197.56464</v>
          </cell>
          <cell r="CM43">
            <v>25486197.56464</v>
          </cell>
          <cell r="CN43">
            <v>25486197.56464</v>
          </cell>
          <cell r="CO43">
            <v>25475422.547480002</v>
          </cell>
          <cell r="CP43">
            <v>25486197.56464</v>
          </cell>
          <cell r="CQ43">
            <v>25486197.56464</v>
          </cell>
          <cell r="CR43">
            <v>25486197.56464</v>
          </cell>
          <cell r="CS43">
            <v>25486197.56464</v>
          </cell>
          <cell r="CT43">
            <v>25486197.56464</v>
          </cell>
          <cell r="CU43">
            <v>25486197.56464</v>
          </cell>
          <cell r="CV43">
            <v>25486197.56464</v>
          </cell>
          <cell r="CW43">
            <v>25486197.56464</v>
          </cell>
          <cell r="CX43">
            <v>25486197.56464</v>
          </cell>
          <cell r="CY43">
            <v>25486197.56464</v>
          </cell>
          <cell r="CZ43">
            <v>25486197.56464</v>
          </cell>
          <cell r="DA43">
            <v>28248027.876230001</v>
          </cell>
          <cell r="DB43">
            <v>25486197.56464</v>
          </cell>
          <cell r="DC43">
            <v>25486207.815250002</v>
          </cell>
          <cell r="DD43">
            <v>25486197.56464</v>
          </cell>
          <cell r="DE43">
            <v>24959238.965659998</v>
          </cell>
          <cell r="DF43">
            <v>26013388.428200003</v>
          </cell>
          <cell r="DG43">
            <v>25488678.704320002</v>
          </cell>
          <cell r="DH43">
            <v>25486197.56464</v>
          </cell>
          <cell r="DI43">
            <v>25486197.56464</v>
          </cell>
          <cell r="DJ43">
            <v>0</v>
          </cell>
          <cell r="DK43">
            <v>0</v>
          </cell>
          <cell r="DL43">
            <v>0</v>
          </cell>
          <cell r="DM43">
            <v>0</v>
          </cell>
          <cell r="DN43">
            <v>0</v>
          </cell>
          <cell r="DO43">
            <v>0</v>
          </cell>
          <cell r="DP43">
            <v>0</v>
          </cell>
          <cell r="DQ43">
            <v>0</v>
          </cell>
          <cell r="DR43">
            <v>0</v>
          </cell>
          <cell r="DS43">
            <v>0</v>
          </cell>
          <cell r="DT43">
            <v>0</v>
          </cell>
          <cell r="DU43">
            <v>0</v>
          </cell>
          <cell r="DV43">
            <v>0</v>
          </cell>
          <cell r="DW43">
            <v>0</v>
          </cell>
          <cell r="DX43" t="str">
            <v/>
          </cell>
          <cell r="DY43" t="str">
            <v/>
          </cell>
          <cell r="DZ43" t="str">
            <v/>
          </cell>
          <cell r="EA43">
            <v>25486197.56464</v>
          </cell>
          <cell r="EB43">
            <v>25486197.56464</v>
          </cell>
          <cell r="EC43">
            <v>25486197.56464</v>
          </cell>
          <cell r="ED43">
            <v>25486197.56464</v>
          </cell>
          <cell r="EE43">
            <v>25486197.56464</v>
          </cell>
          <cell r="EF43">
            <v>25486197.56464</v>
          </cell>
          <cell r="EG43">
            <v>25486197.56464</v>
          </cell>
          <cell r="EH43">
            <v>25486197.56464</v>
          </cell>
          <cell r="EI43">
            <v>25486197.56464</v>
          </cell>
          <cell r="EJ43">
            <v>25486197.56464</v>
          </cell>
          <cell r="EK43">
            <v>25486197.56464</v>
          </cell>
          <cell r="EL43">
            <v>25486197.56464</v>
          </cell>
          <cell r="EM43">
            <v>25486197.56464</v>
          </cell>
          <cell r="EN43">
            <v>25486197.56464</v>
          </cell>
          <cell r="EO43">
            <v>24959006.701079998</v>
          </cell>
          <cell r="EP43">
            <v>26013388.428200003</v>
          </cell>
          <cell r="EQ43">
            <v>25486197.56464</v>
          </cell>
          <cell r="ER43">
            <v>25486197.56464</v>
          </cell>
          <cell r="ES43">
            <v>0</v>
          </cell>
          <cell r="ET43">
            <v>0</v>
          </cell>
          <cell r="EU43">
            <v>0</v>
          </cell>
          <cell r="EV43">
            <v>0</v>
          </cell>
          <cell r="EW43">
            <v>0</v>
          </cell>
          <cell r="EX43">
            <v>0</v>
          </cell>
          <cell r="EY43">
            <v>0</v>
          </cell>
          <cell r="EZ43">
            <v>0</v>
          </cell>
          <cell r="FA43">
            <v>0</v>
          </cell>
          <cell r="FB43">
            <v>0</v>
          </cell>
          <cell r="FC43">
            <v>0</v>
          </cell>
          <cell r="FD43">
            <v>527190.8635600023</v>
          </cell>
          <cell r="FE43">
            <v>24959006.701079998</v>
          </cell>
          <cell r="FF43">
            <v>26026866.698419999</v>
          </cell>
          <cell r="FG43">
            <v>24047085.789900001</v>
          </cell>
          <cell r="FH43">
            <v>0</v>
          </cell>
          <cell r="FI43">
            <v>0</v>
          </cell>
          <cell r="FJ43">
            <v>25216944.56749</v>
          </cell>
          <cell r="FK43">
            <v>25216944.56749</v>
          </cell>
          <cell r="FL43">
            <v>25216944.56749</v>
          </cell>
          <cell r="FM43">
            <v>0</v>
          </cell>
          <cell r="FN43">
            <v>25391001.778179999</v>
          </cell>
          <cell r="FO43">
            <v>25391001.778179999</v>
          </cell>
          <cell r="FP43">
            <v>25391001.778179999</v>
          </cell>
          <cell r="FQ43">
            <v>25403591.610210001</v>
          </cell>
          <cell r="FR43">
            <v>0</v>
          </cell>
          <cell r="FS43">
            <v>25331573.752440002</v>
          </cell>
          <cell r="FT43">
            <v>25331573.752440002</v>
          </cell>
          <cell r="FU43">
            <v>25331573.752440002</v>
          </cell>
          <cell r="FV43">
            <v>25331573.752440002</v>
          </cell>
          <cell r="FW43">
            <v>25331573.752440002</v>
          </cell>
          <cell r="FX43">
            <v>25331573.752440002</v>
          </cell>
          <cell r="FY43">
            <v>25331573.752440002</v>
          </cell>
          <cell r="FZ43">
            <v>25436329.292909998</v>
          </cell>
          <cell r="GA43">
            <v>25475421.91023</v>
          </cell>
          <cell r="GB43">
            <v>25486197.56464</v>
          </cell>
          <cell r="GC43">
            <v>27960889.052620001</v>
          </cell>
          <cell r="GD43">
            <v>25486197.56464</v>
          </cell>
          <cell r="GE43">
            <v>25486474.954969998</v>
          </cell>
          <cell r="GF43">
            <v>25486197.56464</v>
          </cell>
          <cell r="GG43">
            <v>25489354.704470001</v>
          </cell>
          <cell r="GH43">
            <v>25486197.56464</v>
          </cell>
          <cell r="GI43">
            <v>25488779.43025</v>
          </cell>
          <cell r="GJ43">
            <v>25486197.56464</v>
          </cell>
          <cell r="GK43">
            <v>25486197.56464</v>
          </cell>
          <cell r="GL43">
            <v>25486197.56464</v>
          </cell>
          <cell r="GM43">
            <v>25486197.56464</v>
          </cell>
          <cell r="GN43">
            <v>25486197.56464</v>
          </cell>
          <cell r="GO43">
            <v>25486197.56464</v>
          </cell>
          <cell r="GP43">
            <v>25486197.56464</v>
          </cell>
          <cell r="GQ43">
            <v>25486197.56464</v>
          </cell>
          <cell r="GR43">
            <v>25486197.56464</v>
          </cell>
          <cell r="GS43">
            <v>25486197.56464</v>
          </cell>
          <cell r="GT43">
            <v>25486197.56464</v>
          </cell>
          <cell r="GU43">
            <v>0</v>
          </cell>
          <cell r="GZ43">
            <v>0</v>
          </cell>
        </row>
        <row r="44">
          <cell r="A44" t="str">
            <v>F_CNP_NRF_RET_IND_FRCE_272</v>
          </cell>
          <cell r="B44">
            <v>4467791</v>
          </cell>
          <cell r="D44">
            <v>4480456.0163200004</v>
          </cell>
          <cell r="E44">
            <v>4470046.2343899999</v>
          </cell>
          <cell r="F44">
            <v>4480456.0163200004</v>
          </cell>
          <cell r="G44">
            <v>4480456.0163200004</v>
          </cell>
          <cell r="H44">
            <v>0</v>
          </cell>
          <cell r="I44">
            <v>0</v>
          </cell>
          <cell r="J44">
            <v>4480456.0163200004</v>
          </cell>
          <cell r="K44">
            <v>4480456.0163200004</v>
          </cell>
          <cell r="L44">
            <v>4480456.0163200004</v>
          </cell>
          <cell r="M44">
            <v>0</v>
          </cell>
          <cell r="N44">
            <v>4480456.0163200004</v>
          </cell>
          <cell r="O44">
            <v>4480456.0163200004</v>
          </cell>
          <cell r="P44">
            <v>4480456.0163200004</v>
          </cell>
          <cell r="Q44">
            <v>4480456.0163200004</v>
          </cell>
          <cell r="R44">
            <v>0</v>
          </cell>
          <cell r="S44">
            <v>4480456.0163200004</v>
          </cell>
          <cell r="T44">
            <v>4480456.0163200004</v>
          </cell>
          <cell r="U44">
            <v>4480456.0163200004</v>
          </cell>
          <cell r="V44">
            <v>4480456.0163200004</v>
          </cell>
          <cell r="W44">
            <v>4480456.0163200004</v>
          </cell>
          <cell r="X44">
            <v>4480456.0163200004</v>
          </cell>
          <cell r="Y44">
            <v>4480456.0163200004</v>
          </cell>
          <cell r="Z44">
            <v>4480456.0163200004</v>
          </cell>
          <cell r="AA44">
            <v>4480456.0163200004</v>
          </cell>
          <cell r="AB44">
            <v>4485864.39133</v>
          </cell>
          <cell r="AC44">
            <v>4454430.7865599999</v>
          </cell>
          <cell r="AD44">
            <v>0</v>
          </cell>
          <cell r="AE44">
            <v>0</v>
          </cell>
          <cell r="AF44">
            <v>4476169.6859600004</v>
          </cell>
          <cell r="AG44">
            <v>4476169.6859600004</v>
          </cell>
          <cell r="AH44">
            <v>4476169.6859600004</v>
          </cell>
          <cell r="AI44">
            <v>0</v>
          </cell>
          <cell r="AJ44">
            <v>4479657.1822900008</v>
          </cell>
          <cell r="AK44">
            <v>4479657.1822900008</v>
          </cell>
          <cell r="AL44">
            <v>4479657.1822900008</v>
          </cell>
          <cell r="AM44">
            <v>4480336.9656099994</v>
          </cell>
          <cell r="AN44">
            <v>0</v>
          </cell>
          <cell r="AO44">
            <v>4474347.36087</v>
          </cell>
          <cell r="AP44">
            <v>4474347.36087</v>
          </cell>
          <cell r="AQ44">
            <v>4474347.36087</v>
          </cell>
          <cell r="AR44">
            <v>4474347.36087</v>
          </cell>
          <cell r="AS44">
            <v>4474347.36087</v>
          </cell>
          <cell r="AT44">
            <v>4474347.36087</v>
          </cell>
          <cell r="AU44">
            <v>4474347.36087</v>
          </cell>
          <cell r="AV44">
            <v>4480139.95481</v>
          </cell>
          <cell r="AW44">
            <v>4480456.0163200004</v>
          </cell>
          <cell r="AX44">
            <v>4470046.2343899999</v>
          </cell>
          <cell r="AY44">
            <v>4470046.2343899999</v>
          </cell>
          <cell r="AZ44">
            <v>0</v>
          </cell>
          <cell r="BA44">
            <v>0</v>
          </cell>
          <cell r="BB44">
            <v>4470046.2343899999</v>
          </cell>
          <cell r="BC44">
            <v>4470046.2343899999</v>
          </cell>
          <cell r="BD44">
            <v>4470046.2343899999</v>
          </cell>
          <cell r="BE44">
            <v>0</v>
          </cell>
          <cell r="BF44">
            <v>4470046.2343899999</v>
          </cell>
          <cell r="BG44">
            <v>4470046.2343899999</v>
          </cell>
          <cell r="BH44">
            <v>4470046.2343899999</v>
          </cell>
          <cell r="BI44">
            <v>4470046.2343899999</v>
          </cell>
          <cell r="BJ44">
            <v>0</v>
          </cell>
          <cell r="BK44">
            <v>4470046.2343899999</v>
          </cell>
          <cell r="BL44">
            <v>4470046.2343899999</v>
          </cell>
          <cell r="BM44">
            <v>4470046.2343899999</v>
          </cell>
          <cell r="BN44">
            <v>4470046.2343899999</v>
          </cell>
          <cell r="BO44">
            <v>4470046.2343899999</v>
          </cell>
          <cell r="BP44">
            <v>4470046.2343899999</v>
          </cell>
          <cell r="BQ44">
            <v>4470046.2343899999</v>
          </cell>
          <cell r="BR44">
            <v>4470046.2343899999</v>
          </cell>
          <cell r="BS44">
            <v>4470046.2343899999</v>
          </cell>
          <cell r="BT44">
            <v>4508516.677699999</v>
          </cell>
          <cell r="BU44">
            <v>4395597.69948</v>
          </cell>
          <cell r="BV44">
            <v>0</v>
          </cell>
          <cell r="BW44">
            <v>0</v>
          </cell>
          <cell r="BX44">
            <v>4470046.2343899999</v>
          </cell>
          <cell r="BY44">
            <v>4470046.2343899999</v>
          </cell>
          <cell r="BZ44">
            <v>4470046.2343899999</v>
          </cell>
          <cell r="CA44">
            <v>0</v>
          </cell>
          <cell r="CB44">
            <v>4470046.2343899999</v>
          </cell>
          <cell r="CC44">
            <v>4470046.2343899999</v>
          </cell>
          <cell r="CD44">
            <v>4470046.2343899999</v>
          </cell>
          <cell r="CE44">
            <v>4470046.2343899999</v>
          </cell>
          <cell r="CF44">
            <v>0</v>
          </cell>
          <cell r="CG44">
            <v>4470046.2343899999</v>
          </cell>
          <cell r="CH44">
            <v>4470046.2343899999</v>
          </cell>
          <cell r="CI44">
            <v>4470046.2343899999</v>
          </cell>
          <cell r="CJ44">
            <v>4470046.2343899999</v>
          </cell>
          <cell r="CK44">
            <v>4470046.2343899999</v>
          </cell>
          <cell r="CL44">
            <v>4470046.2343899999</v>
          </cell>
          <cell r="CM44">
            <v>4470046.2343899999</v>
          </cell>
          <cell r="CN44">
            <v>4470046.2343899999</v>
          </cell>
          <cell r="CO44">
            <v>4452869.8845499996</v>
          </cell>
          <cell r="CP44">
            <v>4470046.2343899999</v>
          </cell>
          <cell r="CQ44">
            <v>4470046.2343899999</v>
          </cell>
          <cell r="CR44">
            <v>4470046.2343899999</v>
          </cell>
          <cell r="CS44">
            <v>4470046.2343899999</v>
          </cell>
          <cell r="CT44">
            <v>4470046.2343899999</v>
          </cell>
          <cell r="CU44">
            <v>4470046.2343899999</v>
          </cell>
          <cell r="CV44">
            <v>4470046.2343899999</v>
          </cell>
          <cell r="CW44">
            <v>4470046.2343899999</v>
          </cell>
          <cell r="CX44">
            <v>4470046.2343899999</v>
          </cell>
          <cell r="CY44">
            <v>4470046.2343899999</v>
          </cell>
          <cell r="CZ44">
            <v>4470046.2343899999</v>
          </cell>
          <cell r="DA44">
            <v>4470046.2343899999</v>
          </cell>
          <cell r="DB44">
            <v>4470046.2343899999</v>
          </cell>
          <cell r="DC44">
            <v>4470046.2343899999</v>
          </cell>
          <cell r="DD44">
            <v>4470046.2343899999</v>
          </cell>
          <cell r="DE44">
            <v>4358756.0016400004</v>
          </cell>
          <cell r="DF44">
            <v>4581336.4671399994</v>
          </cell>
          <cell r="DG44">
            <v>4472052.7768799989</v>
          </cell>
          <cell r="DH44">
            <v>4470046.2343899999</v>
          </cell>
          <cell r="DI44">
            <v>4470046.2343899999</v>
          </cell>
          <cell r="DJ44">
            <v>0</v>
          </cell>
          <cell r="DK44">
            <v>0</v>
          </cell>
          <cell r="DL44">
            <v>0</v>
          </cell>
          <cell r="DM44">
            <v>0</v>
          </cell>
          <cell r="DN44">
            <v>0</v>
          </cell>
          <cell r="DO44">
            <v>0</v>
          </cell>
          <cell r="DP44">
            <v>0</v>
          </cell>
          <cell r="DQ44">
            <v>0</v>
          </cell>
          <cell r="DR44">
            <v>0</v>
          </cell>
          <cell r="DS44">
            <v>0</v>
          </cell>
          <cell r="DT44">
            <v>0</v>
          </cell>
          <cell r="DU44">
            <v>0</v>
          </cell>
          <cell r="DV44">
            <v>0</v>
          </cell>
          <cell r="DW44">
            <v>0</v>
          </cell>
          <cell r="DX44" t="str">
            <v/>
          </cell>
          <cell r="DY44" t="str">
            <v/>
          </cell>
          <cell r="DZ44" t="str">
            <v/>
          </cell>
          <cell r="EA44">
            <v>4470046.2343899999</v>
          </cell>
          <cell r="EB44">
            <v>4470046.2343899999</v>
          </cell>
          <cell r="EC44">
            <v>4470046.2343899999</v>
          </cell>
          <cell r="ED44">
            <v>4470046.2343899999</v>
          </cell>
          <cell r="EE44">
            <v>4470046.2343899999</v>
          </cell>
          <cell r="EF44">
            <v>4470046.2343899999</v>
          </cell>
          <cell r="EG44">
            <v>4470046.2343899999</v>
          </cell>
          <cell r="EH44">
            <v>4470046.2343899999</v>
          </cell>
          <cell r="EI44">
            <v>4470046.2343899999</v>
          </cell>
          <cell r="EJ44">
            <v>4470046.2343899999</v>
          </cell>
          <cell r="EK44">
            <v>4470046.2343899999</v>
          </cell>
          <cell r="EL44">
            <v>4470046.2343899999</v>
          </cell>
          <cell r="EM44">
            <v>4470046.2343899999</v>
          </cell>
          <cell r="EN44">
            <v>4470046.2343899999</v>
          </cell>
          <cell r="EO44">
            <v>4358756.0016400004</v>
          </cell>
          <cell r="EP44">
            <v>4581336.4671399994</v>
          </cell>
          <cell r="EQ44">
            <v>4470046.2343899999</v>
          </cell>
          <cell r="ER44">
            <v>4470046.2343899999</v>
          </cell>
          <cell r="ES44">
            <v>0</v>
          </cell>
          <cell r="ET44">
            <v>0</v>
          </cell>
          <cell r="EU44">
            <v>0</v>
          </cell>
          <cell r="EV44">
            <v>0</v>
          </cell>
          <cell r="EW44">
            <v>0</v>
          </cell>
          <cell r="EX44">
            <v>0</v>
          </cell>
          <cell r="EY44">
            <v>0</v>
          </cell>
          <cell r="EZ44">
            <v>0</v>
          </cell>
          <cell r="FA44">
            <v>0</v>
          </cell>
          <cell r="FB44">
            <v>0</v>
          </cell>
          <cell r="FC44">
            <v>0</v>
          </cell>
          <cell r="FD44">
            <v>111290.2327499995</v>
          </cell>
          <cell r="FE44">
            <v>4358756.0016400004</v>
          </cell>
          <cell r="FF44">
            <v>4475279.9571700003</v>
          </cell>
          <cell r="FG44">
            <v>4444436.8043200001</v>
          </cell>
          <cell r="FH44">
            <v>0</v>
          </cell>
          <cell r="FI44">
            <v>0</v>
          </cell>
          <cell r="FJ44">
            <v>4472166.2303200001</v>
          </cell>
          <cell r="FK44">
            <v>4472166.2303200001</v>
          </cell>
          <cell r="FL44">
            <v>4472166.2303200001</v>
          </cell>
          <cell r="FM44">
            <v>0</v>
          </cell>
          <cell r="FN44">
            <v>4470294.2156400001</v>
          </cell>
          <cell r="FO44">
            <v>4470294.2156400001</v>
          </cell>
          <cell r="FP44">
            <v>4470294.2156400001</v>
          </cell>
          <cell r="FQ44">
            <v>4470041.6998500004</v>
          </cell>
          <cell r="FR44">
            <v>0</v>
          </cell>
          <cell r="FS44">
            <v>4467550.3928100001</v>
          </cell>
          <cell r="FT44">
            <v>4467550.3928100001</v>
          </cell>
          <cell r="FU44">
            <v>4467550.3928100001</v>
          </cell>
          <cell r="FV44">
            <v>4467550.3928100001</v>
          </cell>
          <cell r="FW44">
            <v>4467550.3928100001</v>
          </cell>
          <cell r="FX44">
            <v>4467550.3928100001</v>
          </cell>
          <cell r="FY44">
            <v>4467550.3928100001</v>
          </cell>
          <cell r="FZ44">
            <v>4470062.4212100003</v>
          </cell>
          <cell r="GA44">
            <v>4452369.9866899997</v>
          </cell>
          <cell r="GB44">
            <v>4470046.2343899999</v>
          </cell>
          <cell r="GC44">
            <v>4470655.9350399999</v>
          </cell>
          <cell r="GD44">
            <v>4470046.2343899999</v>
          </cell>
          <cell r="GE44">
            <v>4470046.2343899999</v>
          </cell>
          <cell r="GF44">
            <v>4472881.9786799997</v>
          </cell>
          <cell r="GG44">
            <v>4470046.2343899999</v>
          </cell>
          <cell r="GH44">
            <v>4470046.2343899999</v>
          </cell>
          <cell r="GI44">
            <v>4471960.0646700002</v>
          </cell>
          <cell r="GJ44">
            <v>4470046.2343899999</v>
          </cell>
          <cell r="GK44">
            <v>4470046.2343899999</v>
          </cell>
          <cell r="GL44">
            <v>4470046.2343899999</v>
          </cell>
          <cell r="GM44">
            <v>4470046.2343899999</v>
          </cell>
          <cell r="GN44">
            <v>4470046.2343899999</v>
          </cell>
          <cell r="GO44">
            <v>4470046.2343899999</v>
          </cell>
          <cell r="GP44">
            <v>4470046.2343899999</v>
          </cell>
          <cell r="GQ44">
            <v>4470046.2343899999</v>
          </cell>
          <cell r="GR44">
            <v>4470046.2343899999</v>
          </cell>
          <cell r="GS44">
            <v>4470046.2343899999</v>
          </cell>
          <cell r="GT44">
            <v>4470046.2343899999</v>
          </cell>
          <cell r="GU44">
            <v>0</v>
          </cell>
          <cell r="GZ44">
            <v>0</v>
          </cell>
        </row>
        <row r="45">
          <cell r="A45" t="str">
            <v>F_CNP_NRF_RET_IND_FRCE_250</v>
          </cell>
          <cell r="B45">
            <v>408363342.54000002</v>
          </cell>
          <cell r="D45">
            <v>413662912.99577999</v>
          </cell>
          <cell r="E45">
            <v>418859579.85461998</v>
          </cell>
          <cell r="F45">
            <v>413662912.99577999</v>
          </cell>
          <cell r="G45">
            <v>413662912.99577999</v>
          </cell>
          <cell r="H45">
            <v>0</v>
          </cell>
          <cell r="I45">
            <v>0</v>
          </cell>
          <cell r="J45">
            <v>413662912.99577999</v>
          </cell>
          <cell r="K45">
            <v>413662912.99577999</v>
          </cell>
          <cell r="L45">
            <v>413662912.99577999</v>
          </cell>
          <cell r="M45">
            <v>0</v>
          </cell>
          <cell r="N45">
            <v>413662912.99577999</v>
          </cell>
          <cell r="O45">
            <v>413662912.99577999</v>
          </cell>
          <cell r="P45">
            <v>413662912.99577999</v>
          </cell>
          <cell r="Q45">
            <v>413662912.99577999</v>
          </cell>
          <cell r="R45">
            <v>0</v>
          </cell>
          <cell r="S45">
            <v>413662912.99577999</v>
          </cell>
          <cell r="T45">
            <v>413662912.99577999</v>
          </cell>
          <cell r="U45">
            <v>413662912.99577999</v>
          </cell>
          <cell r="V45">
            <v>413662912.99577999</v>
          </cell>
          <cell r="W45">
            <v>413662912.99577999</v>
          </cell>
          <cell r="X45">
            <v>413662912.99577999</v>
          </cell>
          <cell r="Y45">
            <v>413662912.99577999</v>
          </cell>
          <cell r="Z45">
            <v>413662912.99577999</v>
          </cell>
          <cell r="AA45">
            <v>413662912.99577999</v>
          </cell>
          <cell r="AB45">
            <v>414610379.88757002</v>
          </cell>
          <cell r="AC45">
            <v>407999555.73673999</v>
          </cell>
          <cell r="AD45">
            <v>0</v>
          </cell>
          <cell r="AE45">
            <v>0</v>
          </cell>
          <cell r="AF45">
            <v>309933812.72592998</v>
          </cell>
          <cell r="AG45">
            <v>309933812.72592998</v>
          </cell>
          <cell r="AH45">
            <v>309933812.72592998</v>
          </cell>
          <cell r="AI45">
            <v>0</v>
          </cell>
          <cell r="AJ45">
            <v>384423967.32925999</v>
          </cell>
          <cell r="AK45">
            <v>384423967.32925999</v>
          </cell>
          <cell r="AL45">
            <v>384423967.32925999</v>
          </cell>
          <cell r="AM45">
            <v>413662909.23934001</v>
          </cell>
          <cell r="AN45">
            <v>0</v>
          </cell>
          <cell r="AO45">
            <v>396492954.86328</v>
          </cell>
          <cell r="AP45">
            <v>396492954.86328</v>
          </cell>
          <cell r="AQ45">
            <v>396492954.86328</v>
          </cell>
          <cell r="AR45">
            <v>396492954.86328</v>
          </cell>
          <cell r="AS45">
            <v>396492954.86328</v>
          </cell>
          <cell r="AT45">
            <v>396492954.86328</v>
          </cell>
          <cell r="AU45">
            <v>396492954.86328</v>
          </cell>
          <cell r="AV45">
            <v>395110805.99842</v>
          </cell>
          <cell r="AW45">
            <v>413662912.99577999</v>
          </cell>
          <cell r="AX45">
            <v>418859579.85461998</v>
          </cell>
          <cell r="AY45">
            <v>418859579.85461998</v>
          </cell>
          <cell r="AZ45">
            <v>0</v>
          </cell>
          <cell r="BA45">
            <v>0</v>
          </cell>
          <cell r="BB45">
            <v>418859579.85461998</v>
          </cell>
          <cell r="BC45">
            <v>418859579.85461998</v>
          </cell>
          <cell r="BD45">
            <v>418859579.85461998</v>
          </cell>
          <cell r="BE45">
            <v>0</v>
          </cell>
          <cell r="BF45">
            <v>418859579.85461998</v>
          </cell>
          <cell r="BG45">
            <v>418859579.85461998</v>
          </cell>
          <cell r="BH45">
            <v>418859579.85461998</v>
          </cell>
          <cell r="BI45">
            <v>418859579.85461998</v>
          </cell>
          <cell r="BJ45">
            <v>0</v>
          </cell>
          <cell r="BK45">
            <v>418859579.85461998</v>
          </cell>
          <cell r="BL45">
            <v>418859579.85461998</v>
          </cell>
          <cell r="BM45">
            <v>418859579.85461998</v>
          </cell>
          <cell r="BN45">
            <v>418859579.85461998</v>
          </cell>
          <cell r="BO45">
            <v>418859579.85461998</v>
          </cell>
          <cell r="BP45">
            <v>418859579.85461998</v>
          </cell>
          <cell r="BQ45">
            <v>418859579.85461998</v>
          </cell>
          <cell r="BR45">
            <v>418859579.85461998</v>
          </cell>
          <cell r="BS45">
            <v>418859579.85461998</v>
          </cell>
          <cell r="BT45">
            <v>419701193.09899002</v>
          </cell>
          <cell r="BU45">
            <v>413827818.11071998</v>
          </cell>
          <cell r="BV45">
            <v>0</v>
          </cell>
          <cell r="BW45">
            <v>0</v>
          </cell>
          <cell r="BX45">
            <v>326770315.55484003</v>
          </cell>
          <cell r="BY45">
            <v>326770315.55484003</v>
          </cell>
          <cell r="BZ45">
            <v>326770315.55484003</v>
          </cell>
          <cell r="CA45">
            <v>0</v>
          </cell>
          <cell r="CB45">
            <v>392902257.67662001</v>
          </cell>
          <cell r="CC45">
            <v>392902257.67662001</v>
          </cell>
          <cell r="CD45">
            <v>392902257.67662001</v>
          </cell>
          <cell r="CE45">
            <v>418859576.51980001</v>
          </cell>
          <cell r="CF45">
            <v>0</v>
          </cell>
          <cell r="CG45">
            <v>403616734.25566</v>
          </cell>
          <cell r="CH45">
            <v>403616734.25566</v>
          </cell>
          <cell r="CI45">
            <v>403616734.25566</v>
          </cell>
          <cell r="CJ45">
            <v>403616734.25566</v>
          </cell>
          <cell r="CK45">
            <v>403616734.25566</v>
          </cell>
          <cell r="CL45">
            <v>403616734.25566</v>
          </cell>
          <cell r="CM45">
            <v>403616734.25566</v>
          </cell>
          <cell r="CN45">
            <v>402389705.48070002</v>
          </cell>
          <cell r="CO45">
            <v>318817757.96253997</v>
          </cell>
          <cell r="CP45">
            <v>418859579.85461998</v>
          </cell>
          <cell r="CQ45">
            <v>418859579.85461998</v>
          </cell>
          <cell r="CR45">
            <v>418859579.85461998</v>
          </cell>
          <cell r="CS45">
            <v>418859579.85461998</v>
          </cell>
          <cell r="CT45">
            <v>418859579.85461998</v>
          </cell>
          <cell r="CU45">
            <v>418859579.85461998</v>
          </cell>
          <cell r="CV45">
            <v>418859579.85461998</v>
          </cell>
          <cell r="CW45">
            <v>418859579.85461998</v>
          </cell>
          <cell r="CX45">
            <v>418859579.85461998</v>
          </cell>
          <cell r="CY45">
            <v>418859579.85461998</v>
          </cell>
          <cell r="CZ45">
            <v>418859579.85461998</v>
          </cell>
          <cell r="DA45">
            <v>419008574.28716999</v>
          </cell>
          <cell r="DB45">
            <v>418859579.85461998</v>
          </cell>
          <cell r="DC45">
            <v>424199501.04982001</v>
          </cell>
          <cell r="DD45">
            <v>418859579.85461998</v>
          </cell>
          <cell r="DE45">
            <v>418859579.85461998</v>
          </cell>
          <cell r="DF45">
            <v>418859579.85461998</v>
          </cell>
          <cell r="DG45">
            <v>449626726.22486001</v>
          </cell>
          <cell r="DH45">
            <v>418859579.85461998</v>
          </cell>
          <cell r="DI45">
            <v>418859579.85461998</v>
          </cell>
          <cell r="DJ45">
            <v>0</v>
          </cell>
          <cell r="DK45">
            <v>0</v>
          </cell>
          <cell r="DL45">
            <v>0</v>
          </cell>
          <cell r="DM45">
            <v>0</v>
          </cell>
          <cell r="DN45">
            <v>0</v>
          </cell>
          <cell r="DO45">
            <v>0</v>
          </cell>
          <cell r="DP45">
            <v>0</v>
          </cell>
          <cell r="DQ45">
            <v>0</v>
          </cell>
          <cell r="DR45">
            <v>0</v>
          </cell>
          <cell r="DS45">
            <v>0</v>
          </cell>
          <cell r="DT45">
            <v>0</v>
          </cell>
          <cell r="DU45">
            <v>0</v>
          </cell>
          <cell r="DV45">
            <v>0</v>
          </cell>
          <cell r="DW45">
            <v>0</v>
          </cell>
          <cell r="DX45" t="str">
            <v/>
          </cell>
          <cell r="DY45" t="str">
            <v/>
          </cell>
          <cell r="DZ45" t="str">
            <v/>
          </cell>
          <cell r="EA45">
            <v>418859579.85461998</v>
          </cell>
          <cell r="EB45">
            <v>418859579.85461998</v>
          </cell>
          <cell r="EC45">
            <v>418859579.85461998</v>
          </cell>
          <cell r="ED45">
            <v>418859579.85461998</v>
          </cell>
          <cell r="EE45">
            <v>418859579.85461998</v>
          </cell>
          <cell r="EF45">
            <v>418859579.85461998</v>
          </cell>
          <cell r="EG45">
            <v>418859579.85461998</v>
          </cell>
          <cell r="EH45">
            <v>418859579.85461998</v>
          </cell>
          <cell r="EI45">
            <v>418859579.85461998</v>
          </cell>
          <cell r="EJ45">
            <v>418859579.85461998</v>
          </cell>
          <cell r="EK45">
            <v>418859579.85461998</v>
          </cell>
          <cell r="EL45">
            <v>418859579.85461998</v>
          </cell>
          <cell r="EM45">
            <v>418859579.85461998</v>
          </cell>
          <cell r="EN45">
            <v>418859579.85461998</v>
          </cell>
          <cell r="EO45">
            <v>418859579.85461998</v>
          </cell>
          <cell r="EP45">
            <v>418859579.85461998</v>
          </cell>
          <cell r="EQ45">
            <v>418859579.85461998</v>
          </cell>
          <cell r="ER45">
            <v>418859579.85461998</v>
          </cell>
          <cell r="ES45">
            <v>0</v>
          </cell>
          <cell r="ET45">
            <v>0</v>
          </cell>
          <cell r="EU45">
            <v>0</v>
          </cell>
          <cell r="EV45">
            <v>0</v>
          </cell>
          <cell r="EW45">
            <v>0</v>
          </cell>
          <cell r="EX45">
            <v>0</v>
          </cell>
          <cell r="EY45">
            <v>0</v>
          </cell>
          <cell r="EZ45">
            <v>0</v>
          </cell>
          <cell r="FA45">
            <v>0</v>
          </cell>
          <cell r="FB45">
            <v>0</v>
          </cell>
          <cell r="FC45">
            <v>0</v>
          </cell>
          <cell r="FD45">
            <v>0</v>
          </cell>
          <cell r="FE45">
            <v>418859579.85461998</v>
          </cell>
          <cell r="FF45">
            <v>419701193.09899002</v>
          </cell>
          <cell r="FG45">
            <v>413827818.11071998</v>
          </cell>
          <cell r="FH45">
            <v>0</v>
          </cell>
          <cell r="FI45">
            <v>0</v>
          </cell>
          <cell r="FJ45">
            <v>326770315.55484003</v>
          </cell>
          <cell r="FK45">
            <v>326770315.55484003</v>
          </cell>
          <cell r="FL45">
            <v>326770315.55484003</v>
          </cell>
          <cell r="FM45">
            <v>0</v>
          </cell>
          <cell r="FN45">
            <v>392902257.67662001</v>
          </cell>
          <cell r="FO45">
            <v>392902257.67662001</v>
          </cell>
          <cell r="FP45">
            <v>392902257.67662001</v>
          </cell>
          <cell r="FQ45">
            <v>418859576.51980001</v>
          </cell>
          <cell r="FR45">
            <v>0</v>
          </cell>
          <cell r="FS45">
            <v>403616734.25566</v>
          </cell>
          <cell r="FT45">
            <v>403616734.25566</v>
          </cell>
          <cell r="FU45">
            <v>403616734.25566</v>
          </cell>
          <cell r="FV45">
            <v>403616734.25566</v>
          </cell>
          <cell r="FW45">
            <v>403616734.25566</v>
          </cell>
          <cell r="FX45">
            <v>403616734.25566</v>
          </cell>
          <cell r="FY45">
            <v>403616734.25566</v>
          </cell>
          <cell r="FZ45">
            <v>402389705.48070002</v>
          </cell>
          <cell r="GA45">
            <v>318817757.96253997</v>
          </cell>
          <cell r="GB45">
            <v>418859579.85461998</v>
          </cell>
          <cell r="GC45">
            <v>419008574.28716999</v>
          </cell>
          <cell r="GD45">
            <v>418859579.85461998</v>
          </cell>
          <cell r="GE45">
            <v>424199501.04982001</v>
          </cell>
          <cell r="GF45">
            <v>418859579.85461998</v>
          </cell>
          <cell r="GG45">
            <v>418859579.85461998</v>
          </cell>
          <cell r="GH45">
            <v>418859579.85461998</v>
          </cell>
          <cell r="GI45">
            <v>449626726.22486001</v>
          </cell>
          <cell r="GJ45">
            <v>418859579.85461998</v>
          </cell>
          <cell r="GK45">
            <v>418859579.85461998</v>
          </cell>
          <cell r="GL45">
            <v>418859579.85461998</v>
          </cell>
          <cell r="GM45">
            <v>418859579.85461998</v>
          </cell>
          <cell r="GN45">
            <v>418859579.85461998</v>
          </cell>
          <cell r="GO45">
            <v>418859579.85461998</v>
          </cell>
          <cell r="GP45">
            <v>418859579.85461998</v>
          </cell>
          <cell r="GQ45">
            <v>418859579.85461998</v>
          </cell>
          <cell r="GR45">
            <v>418859579.85461998</v>
          </cell>
          <cell r="GS45">
            <v>418859579.85461998</v>
          </cell>
          <cell r="GT45">
            <v>418859579.85461998</v>
          </cell>
          <cell r="GU45">
            <v>0</v>
          </cell>
          <cell r="GZ45">
            <v>0</v>
          </cell>
        </row>
        <row r="46">
          <cell r="A46" t="str">
            <v>F_CNP_NRF_RET_IND_FRCE_120</v>
          </cell>
          <cell r="B46">
            <v>0</v>
          </cell>
          <cell r="D46">
            <v>0</v>
          </cell>
          <cell r="E46">
            <v>0</v>
          </cell>
          <cell r="F46">
            <v>0</v>
          </cell>
          <cell r="G46">
            <v>0</v>
          </cell>
          <cell r="H46">
            <v>0</v>
          </cell>
          <cell r="I46">
            <v>0</v>
          </cell>
          <cell r="J46">
            <v>0</v>
          </cell>
          <cell r="K46">
            <v>0</v>
          </cell>
          <cell r="L46">
            <v>0</v>
          </cell>
          <cell r="M46">
            <v>0</v>
          </cell>
          <cell r="N46">
            <v>0</v>
          </cell>
          <cell r="O46">
            <v>0</v>
          </cell>
          <cell r="P46">
            <v>0</v>
          </cell>
          <cell r="Q46">
            <v>0</v>
          </cell>
          <cell r="R46">
            <v>0</v>
          </cell>
          <cell r="S46">
            <v>0</v>
          </cell>
          <cell r="T46">
            <v>0</v>
          </cell>
          <cell r="U46">
            <v>0</v>
          </cell>
          <cell r="V46">
            <v>0</v>
          </cell>
          <cell r="W46">
            <v>0</v>
          </cell>
          <cell r="X46">
            <v>0</v>
          </cell>
          <cell r="Y46">
            <v>0</v>
          </cell>
          <cell r="Z46">
            <v>0</v>
          </cell>
          <cell r="AA46">
            <v>0</v>
          </cell>
          <cell r="AB46">
            <v>0</v>
          </cell>
          <cell r="AC46">
            <v>0</v>
          </cell>
          <cell r="AD46">
            <v>0</v>
          </cell>
          <cell r="AE46">
            <v>0</v>
          </cell>
          <cell r="AF46">
            <v>0</v>
          </cell>
          <cell r="AG46">
            <v>0</v>
          </cell>
          <cell r="AH46">
            <v>0</v>
          </cell>
          <cell r="AI46">
            <v>0</v>
          </cell>
          <cell r="AJ46">
            <v>0</v>
          </cell>
          <cell r="AK46">
            <v>0</v>
          </cell>
          <cell r="AL46">
            <v>0</v>
          </cell>
          <cell r="AM46">
            <v>0</v>
          </cell>
          <cell r="AN46">
            <v>0</v>
          </cell>
          <cell r="AO46">
            <v>0</v>
          </cell>
          <cell r="AP46">
            <v>0</v>
          </cell>
          <cell r="AQ46">
            <v>0</v>
          </cell>
          <cell r="AR46">
            <v>0</v>
          </cell>
          <cell r="AS46">
            <v>0</v>
          </cell>
          <cell r="AT46">
            <v>0</v>
          </cell>
          <cell r="AU46">
            <v>0</v>
          </cell>
          <cell r="AV46">
            <v>0</v>
          </cell>
          <cell r="AW46">
            <v>0</v>
          </cell>
          <cell r="AX46">
            <v>0</v>
          </cell>
          <cell r="AY46">
            <v>0</v>
          </cell>
          <cell r="AZ46">
            <v>0</v>
          </cell>
          <cell r="BA46">
            <v>0</v>
          </cell>
          <cell r="BB46">
            <v>0</v>
          </cell>
          <cell r="BC46">
            <v>0</v>
          </cell>
          <cell r="BD46">
            <v>0</v>
          </cell>
          <cell r="BE46">
            <v>0</v>
          </cell>
          <cell r="BF46">
            <v>0</v>
          </cell>
          <cell r="BG46">
            <v>0</v>
          </cell>
          <cell r="BH46">
            <v>0</v>
          </cell>
          <cell r="BI46">
            <v>0</v>
          </cell>
          <cell r="BJ46">
            <v>0</v>
          </cell>
          <cell r="BK46">
            <v>0</v>
          </cell>
          <cell r="BL46">
            <v>0</v>
          </cell>
          <cell r="BM46">
            <v>0</v>
          </cell>
          <cell r="BN46">
            <v>0</v>
          </cell>
          <cell r="BO46">
            <v>0</v>
          </cell>
          <cell r="BP46">
            <v>0</v>
          </cell>
          <cell r="BQ46">
            <v>0</v>
          </cell>
          <cell r="BR46">
            <v>0</v>
          </cell>
          <cell r="BS46">
            <v>0</v>
          </cell>
          <cell r="BT46">
            <v>0</v>
          </cell>
          <cell r="BU46">
            <v>0</v>
          </cell>
          <cell r="BV46">
            <v>0</v>
          </cell>
          <cell r="BW46">
            <v>0</v>
          </cell>
          <cell r="BX46">
            <v>0</v>
          </cell>
          <cell r="BY46">
            <v>0</v>
          </cell>
          <cell r="BZ46">
            <v>0</v>
          </cell>
          <cell r="CA46">
            <v>0</v>
          </cell>
          <cell r="CB46">
            <v>0</v>
          </cell>
          <cell r="CC46">
            <v>0</v>
          </cell>
          <cell r="CD46">
            <v>0</v>
          </cell>
          <cell r="CE46">
            <v>0</v>
          </cell>
          <cell r="CF46">
            <v>0</v>
          </cell>
          <cell r="CG46">
            <v>0</v>
          </cell>
          <cell r="CH46">
            <v>0</v>
          </cell>
          <cell r="CI46">
            <v>0</v>
          </cell>
          <cell r="CJ46">
            <v>0</v>
          </cell>
          <cell r="CK46">
            <v>0</v>
          </cell>
          <cell r="CL46">
            <v>0</v>
          </cell>
          <cell r="CM46">
            <v>0</v>
          </cell>
          <cell r="CN46">
            <v>0</v>
          </cell>
          <cell r="CO46">
            <v>0</v>
          </cell>
          <cell r="CP46">
            <v>0</v>
          </cell>
          <cell r="CQ46">
            <v>0</v>
          </cell>
          <cell r="CR46">
            <v>0</v>
          </cell>
          <cell r="CS46">
            <v>0</v>
          </cell>
          <cell r="CT46">
            <v>0</v>
          </cell>
          <cell r="CU46">
            <v>0</v>
          </cell>
          <cell r="CV46">
            <v>0</v>
          </cell>
          <cell r="CW46">
            <v>0</v>
          </cell>
          <cell r="CX46">
            <v>0</v>
          </cell>
          <cell r="CY46">
            <v>0</v>
          </cell>
          <cell r="CZ46">
            <v>0</v>
          </cell>
          <cell r="DA46">
            <v>0</v>
          </cell>
          <cell r="DB46">
            <v>0</v>
          </cell>
          <cell r="DC46">
            <v>0</v>
          </cell>
          <cell r="DD46">
            <v>0</v>
          </cell>
          <cell r="DE46">
            <v>0</v>
          </cell>
          <cell r="DF46">
            <v>0</v>
          </cell>
          <cell r="DG46">
            <v>0</v>
          </cell>
          <cell r="DH46">
            <v>0</v>
          </cell>
          <cell r="DI46">
            <v>0</v>
          </cell>
          <cell r="DJ46">
            <v>0</v>
          </cell>
          <cell r="DK46">
            <v>0</v>
          </cell>
          <cell r="DL46">
            <v>0</v>
          </cell>
          <cell r="DM46">
            <v>0</v>
          </cell>
          <cell r="DN46">
            <v>0</v>
          </cell>
          <cell r="DO46">
            <v>0</v>
          </cell>
          <cell r="DP46">
            <v>0</v>
          </cell>
          <cell r="DQ46">
            <v>0</v>
          </cell>
          <cell r="DR46">
            <v>0</v>
          </cell>
          <cell r="DS46">
            <v>0</v>
          </cell>
          <cell r="DT46">
            <v>0</v>
          </cell>
          <cell r="DU46">
            <v>0</v>
          </cell>
          <cell r="DV46">
            <v>0</v>
          </cell>
          <cell r="DW46">
            <v>0</v>
          </cell>
          <cell r="DX46" t="str">
            <v/>
          </cell>
          <cell r="DY46" t="str">
            <v/>
          </cell>
          <cell r="DZ46" t="str">
            <v/>
          </cell>
          <cell r="EA46">
            <v>0</v>
          </cell>
          <cell r="EB46">
            <v>0</v>
          </cell>
          <cell r="EC46">
            <v>0</v>
          </cell>
          <cell r="ED46">
            <v>0</v>
          </cell>
          <cell r="EE46">
            <v>0</v>
          </cell>
          <cell r="EF46">
            <v>0</v>
          </cell>
          <cell r="EG46">
            <v>0</v>
          </cell>
          <cell r="EH46">
            <v>0</v>
          </cell>
          <cell r="EI46">
            <v>0</v>
          </cell>
          <cell r="EJ46">
            <v>0</v>
          </cell>
          <cell r="EK46">
            <v>0</v>
          </cell>
          <cell r="EL46">
            <v>0</v>
          </cell>
          <cell r="EM46">
            <v>0</v>
          </cell>
          <cell r="EN46">
            <v>0</v>
          </cell>
          <cell r="EO46">
            <v>0</v>
          </cell>
          <cell r="EP46">
            <v>0</v>
          </cell>
          <cell r="EQ46">
            <v>0</v>
          </cell>
          <cell r="ER46">
            <v>0</v>
          </cell>
          <cell r="ES46">
            <v>0</v>
          </cell>
          <cell r="ET46">
            <v>0</v>
          </cell>
          <cell r="EU46">
            <v>0</v>
          </cell>
          <cell r="EV46">
            <v>0</v>
          </cell>
          <cell r="EW46">
            <v>0</v>
          </cell>
          <cell r="EX46">
            <v>0</v>
          </cell>
          <cell r="EY46">
            <v>0</v>
          </cell>
          <cell r="EZ46">
            <v>0</v>
          </cell>
          <cell r="FA46">
            <v>0</v>
          </cell>
          <cell r="FB46">
            <v>0</v>
          </cell>
          <cell r="FC46">
            <v>0</v>
          </cell>
          <cell r="FD46">
            <v>0</v>
          </cell>
          <cell r="FE46">
            <v>0</v>
          </cell>
          <cell r="FF46">
            <v>0</v>
          </cell>
          <cell r="FG46">
            <v>0</v>
          </cell>
          <cell r="FH46">
            <v>0</v>
          </cell>
          <cell r="FI46">
            <v>0</v>
          </cell>
          <cell r="FJ46">
            <v>0</v>
          </cell>
          <cell r="FK46">
            <v>0</v>
          </cell>
          <cell r="FL46">
            <v>0</v>
          </cell>
          <cell r="FM46">
            <v>0</v>
          </cell>
          <cell r="FN46">
            <v>0</v>
          </cell>
          <cell r="FO46">
            <v>0</v>
          </cell>
          <cell r="FP46">
            <v>0</v>
          </cell>
          <cell r="FQ46">
            <v>0</v>
          </cell>
          <cell r="FR46">
            <v>0</v>
          </cell>
          <cell r="FS46">
            <v>0</v>
          </cell>
          <cell r="FT46">
            <v>0</v>
          </cell>
          <cell r="FU46">
            <v>0</v>
          </cell>
          <cell r="FV46">
            <v>0</v>
          </cell>
          <cell r="FW46">
            <v>0</v>
          </cell>
          <cell r="FX46">
            <v>0</v>
          </cell>
          <cell r="FY46">
            <v>0</v>
          </cell>
          <cell r="FZ46">
            <v>0</v>
          </cell>
          <cell r="GA46">
            <v>0</v>
          </cell>
          <cell r="GB46">
            <v>0</v>
          </cell>
          <cell r="GC46">
            <v>0</v>
          </cell>
          <cell r="GD46">
            <v>0</v>
          </cell>
          <cell r="GE46">
            <v>0</v>
          </cell>
          <cell r="GF46">
            <v>0</v>
          </cell>
          <cell r="GG46">
            <v>0</v>
          </cell>
          <cell r="GH46">
            <v>0</v>
          </cell>
          <cell r="GI46">
            <v>0</v>
          </cell>
          <cell r="GJ46">
            <v>0</v>
          </cell>
          <cell r="GK46">
            <v>0</v>
          </cell>
          <cell r="GL46">
            <v>0</v>
          </cell>
          <cell r="GM46">
            <v>0</v>
          </cell>
          <cell r="GN46">
            <v>0</v>
          </cell>
          <cell r="GO46">
            <v>0</v>
          </cell>
          <cell r="GP46">
            <v>0</v>
          </cell>
          <cell r="GQ46">
            <v>0</v>
          </cell>
          <cell r="GR46">
            <v>0</v>
          </cell>
          <cell r="GS46">
            <v>0</v>
          </cell>
          <cell r="GT46">
            <v>0</v>
          </cell>
          <cell r="GU46">
            <v>0</v>
          </cell>
          <cell r="GZ46">
            <v>0</v>
          </cell>
        </row>
        <row r="47">
          <cell r="A47" t="str">
            <v>F_CNP_NRF_RET_IND_FRCE_ETR</v>
          </cell>
          <cell r="B47">
            <v>0</v>
          </cell>
          <cell r="D47">
            <v>0</v>
          </cell>
          <cell r="E47">
            <v>0</v>
          </cell>
          <cell r="F47">
            <v>0</v>
          </cell>
          <cell r="G47">
            <v>0</v>
          </cell>
          <cell r="H47">
            <v>0</v>
          </cell>
          <cell r="I47">
            <v>0</v>
          </cell>
          <cell r="J47">
            <v>0</v>
          </cell>
          <cell r="K47">
            <v>0</v>
          </cell>
          <cell r="L47">
            <v>0</v>
          </cell>
          <cell r="M47">
            <v>0</v>
          </cell>
          <cell r="N47">
            <v>0</v>
          </cell>
          <cell r="O47">
            <v>0</v>
          </cell>
          <cell r="P47">
            <v>0</v>
          </cell>
          <cell r="Q47">
            <v>0</v>
          </cell>
          <cell r="R47">
            <v>0</v>
          </cell>
          <cell r="S47">
            <v>0</v>
          </cell>
          <cell r="T47">
            <v>0</v>
          </cell>
          <cell r="U47">
            <v>0</v>
          </cell>
          <cell r="V47">
            <v>0</v>
          </cell>
          <cell r="W47">
            <v>0</v>
          </cell>
          <cell r="X47">
            <v>0</v>
          </cell>
          <cell r="Y47">
            <v>0</v>
          </cell>
          <cell r="Z47">
            <v>0</v>
          </cell>
          <cell r="AA47">
            <v>0</v>
          </cell>
          <cell r="AB47">
            <v>0</v>
          </cell>
          <cell r="AC47">
            <v>0</v>
          </cell>
          <cell r="AD47">
            <v>0</v>
          </cell>
          <cell r="AE47">
            <v>0</v>
          </cell>
          <cell r="AF47">
            <v>0</v>
          </cell>
          <cell r="AG47">
            <v>0</v>
          </cell>
          <cell r="AH47">
            <v>0</v>
          </cell>
          <cell r="AI47">
            <v>0</v>
          </cell>
          <cell r="AJ47">
            <v>0</v>
          </cell>
          <cell r="AK47">
            <v>0</v>
          </cell>
          <cell r="AL47">
            <v>0</v>
          </cell>
          <cell r="AM47">
            <v>0</v>
          </cell>
          <cell r="AN47">
            <v>0</v>
          </cell>
          <cell r="AO47">
            <v>0</v>
          </cell>
          <cell r="AP47">
            <v>0</v>
          </cell>
          <cell r="AQ47">
            <v>0</v>
          </cell>
          <cell r="AR47">
            <v>0</v>
          </cell>
          <cell r="AS47">
            <v>0</v>
          </cell>
          <cell r="AT47">
            <v>0</v>
          </cell>
          <cell r="AU47">
            <v>0</v>
          </cell>
          <cell r="AV47">
            <v>0</v>
          </cell>
          <cell r="AW47">
            <v>0</v>
          </cell>
          <cell r="AX47">
            <v>0</v>
          </cell>
          <cell r="AY47">
            <v>0</v>
          </cell>
          <cell r="AZ47">
            <v>0</v>
          </cell>
          <cell r="BA47">
            <v>0</v>
          </cell>
          <cell r="BB47">
            <v>0</v>
          </cell>
          <cell r="BC47">
            <v>0</v>
          </cell>
          <cell r="BD47">
            <v>0</v>
          </cell>
          <cell r="BE47">
            <v>0</v>
          </cell>
          <cell r="BF47">
            <v>0</v>
          </cell>
          <cell r="BG47">
            <v>0</v>
          </cell>
          <cell r="BH47">
            <v>0</v>
          </cell>
          <cell r="BI47">
            <v>0</v>
          </cell>
          <cell r="BJ47">
            <v>0</v>
          </cell>
          <cell r="BK47">
            <v>0</v>
          </cell>
          <cell r="BL47">
            <v>0</v>
          </cell>
          <cell r="BM47">
            <v>0</v>
          </cell>
          <cell r="BN47">
            <v>0</v>
          </cell>
          <cell r="BO47">
            <v>0</v>
          </cell>
          <cell r="BP47">
            <v>0</v>
          </cell>
          <cell r="BQ47">
            <v>0</v>
          </cell>
          <cell r="BR47">
            <v>0</v>
          </cell>
          <cell r="BS47">
            <v>0</v>
          </cell>
          <cell r="BT47">
            <v>0</v>
          </cell>
          <cell r="BU47">
            <v>0</v>
          </cell>
          <cell r="BV47">
            <v>0</v>
          </cell>
          <cell r="BW47">
            <v>0</v>
          </cell>
          <cell r="BX47">
            <v>0</v>
          </cell>
          <cell r="BY47">
            <v>0</v>
          </cell>
          <cell r="BZ47">
            <v>0</v>
          </cell>
          <cell r="CA47">
            <v>0</v>
          </cell>
          <cell r="CB47">
            <v>0</v>
          </cell>
          <cell r="CC47">
            <v>0</v>
          </cell>
          <cell r="CD47">
            <v>0</v>
          </cell>
          <cell r="CE47">
            <v>0</v>
          </cell>
          <cell r="CF47">
            <v>0</v>
          </cell>
          <cell r="CG47">
            <v>0</v>
          </cell>
          <cell r="CH47">
            <v>0</v>
          </cell>
          <cell r="CI47">
            <v>0</v>
          </cell>
          <cell r="CJ47">
            <v>0</v>
          </cell>
          <cell r="CK47">
            <v>0</v>
          </cell>
          <cell r="CL47">
            <v>0</v>
          </cell>
          <cell r="CM47">
            <v>0</v>
          </cell>
          <cell r="CN47">
            <v>0</v>
          </cell>
          <cell r="CO47">
            <v>0</v>
          </cell>
          <cell r="CP47">
            <v>0</v>
          </cell>
          <cell r="CQ47">
            <v>0</v>
          </cell>
          <cell r="CR47">
            <v>0</v>
          </cell>
          <cell r="CS47">
            <v>0</v>
          </cell>
          <cell r="CT47">
            <v>0</v>
          </cell>
          <cell r="CU47">
            <v>0</v>
          </cell>
          <cell r="CV47">
            <v>0</v>
          </cell>
          <cell r="CW47">
            <v>0</v>
          </cell>
          <cell r="CX47">
            <v>0</v>
          </cell>
          <cell r="CY47">
            <v>0</v>
          </cell>
          <cell r="CZ47">
            <v>0</v>
          </cell>
          <cell r="DA47">
            <v>0</v>
          </cell>
          <cell r="DB47">
            <v>0</v>
          </cell>
          <cell r="DC47">
            <v>0</v>
          </cell>
          <cell r="DD47">
            <v>0</v>
          </cell>
          <cell r="DE47">
            <v>0</v>
          </cell>
          <cell r="DF47">
            <v>0</v>
          </cell>
          <cell r="DG47">
            <v>0</v>
          </cell>
          <cell r="DH47">
            <v>0</v>
          </cell>
          <cell r="DI47">
            <v>0</v>
          </cell>
          <cell r="DJ47">
            <v>0</v>
          </cell>
          <cell r="DK47">
            <v>0</v>
          </cell>
          <cell r="DL47">
            <v>0</v>
          </cell>
          <cell r="DM47">
            <v>0</v>
          </cell>
          <cell r="DN47">
            <v>0</v>
          </cell>
          <cell r="DO47">
            <v>0</v>
          </cell>
          <cell r="DP47">
            <v>0</v>
          </cell>
          <cell r="DQ47">
            <v>0</v>
          </cell>
          <cell r="DR47">
            <v>0</v>
          </cell>
          <cell r="DS47">
            <v>0</v>
          </cell>
          <cell r="DT47">
            <v>0</v>
          </cell>
          <cell r="DU47">
            <v>0</v>
          </cell>
          <cell r="DV47">
            <v>0</v>
          </cell>
          <cell r="DW47">
            <v>0</v>
          </cell>
          <cell r="DX47" t="str">
            <v/>
          </cell>
          <cell r="DY47" t="str">
            <v/>
          </cell>
          <cell r="DZ47" t="str">
            <v/>
          </cell>
          <cell r="EA47">
            <v>0</v>
          </cell>
          <cell r="EB47">
            <v>0</v>
          </cell>
          <cell r="EC47">
            <v>0</v>
          </cell>
          <cell r="ED47">
            <v>0</v>
          </cell>
          <cell r="EE47">
            <v>0</v>
          </cell>
          <cell r="EF47">
            <v>0</v>
          </cell>
          <cell r="EG47">
            <v>0</v>
          </cell>
          <cell r="EH47">
            <v>0</v>
          </cell>
          <cell r="EI47">
            <v>0</v>
          </cell>
          <cell r="EJ47">
            <v>0</v>
          </cell>
          <cell r="EK47">
            <v>0</v>
          </cell>
          <cell r="EL47">
            <v>0</v>
          </cell>
          <cell r="EM47">
            <v>0</v>
          </cell>
          <cell r="EN47">
            <v>0</v>
          </cell>
          <cell r="EO47">
            <v>0</v>
          </cell>
          <cell r="EP47">
            <v>0</v>
          </cell>
          <cell r="EQ47">
            <v>0</v>
          </cell>
          <cell r="ER47">
            <v>0</v>
          </cell>
          <cell r="ES47">
            <v>0</v>
          </cell>
          <cell r="ET47">
            <v>0</v>
          </cell>
          <cell r="EU47">
            <v>0</v>
          </cell>
          <cell r="EV47">
            <v>0</v>
          </cell>
          <cell r="EW47">
            <v>0</v>
          </cell>
          <cell r="EX47">
            <v>0</v>
          </cell>
          <cell r="EY47">
            <v>0</v>
          </cell>
          <cell r="EZ47">
            <v>0</v>
          </cell>
          <cell r="FA47">
            <v>0</v>
          </cell>
          <cell r="FB47">
            <v>0</v>
          </cell>
          <cell r="FC47">
            <v>0</v>
          </cell>
          <cell r="FD47">
            <v>0</v>
          </cell>
          <cell r="FE47">
            <v>0</v>
          </cell>
          <cell r="FF47">
            <v>0</v>
          </cell>
          <cell r="FG47">
            <v>0</v>
          </cell>
          <cell r="FH47">
            <v>0</v>
          </cell>
          <cell r="FI47">
            <v>0</v>
          </cell>
          <cell r="FJ47">
            <v>0</v>
          </cell>
          <cell r="FK47">
            <v>0</v>
          </cell>
          <cell r="FL47">
            <v>0</v>
          </cell>
          <cell r="FM47">
            <v>0</v>
          </cell>
          <cell r="FN47">
            <v>0</v>
          </cell>
          <cell r="FO47">
            <v>0</v>
          </cell>
          <cell r="FP47">
            <v>0</v>
          </cell>
          <cell r="FQ47">
            <v>0</v>
          </cell>
          <cell r="FR47">
            <v>0</v>
          </cell>
          <cell r="FS47">
            <v>0</v>
          </cell>
          <cell r="FT47">
            <v>0</v>
          </cell>
          <cell r="FU47">
            <v>0</v>
          </cell>
          <cell r="FV47">
            <v>0</v>
          </cell>
          <cell r="FW47">
            <v>0</v>
          </cell>
          <cell r="FX47">
            <v>0</v>
          </cell>
          <cell r="FY47">
            <v>0</v>
          </cell>
          <cell r="FZ47">
            <v>0</v>
          </cell>
          <cell r="GA47">
            <v>0</v>
          </cell>
          <cell r="GB47">
            <v>0</v>
          </cell>
          <cell r="GC47">
            <v>0</v>
          </cell>
          <cell r="GD47">
            <v>0</v>
          </cell>
          <cell r="GE47">
            <v>0</v>
          </cell>
          <cell r="GF47">
            <v>0</v>
          </cell>
          <cell r="GG47">
            <v>0</v>
          </cell>
          <cell r="GH47">
            <v>0</v>
          </cell>
          <cell r="GI47">
            <v>0</v>
          </cell>
          <cell r="GJ47">
            <v>0</v>
          </cell>
          <cell r="GK47">
            <v>0</v>
          </cell>
          <cell r="GL47">
            <v>0</v>
          </cell>
          <cell r="GM47">
            <v>0</v>
          </cell>
          <cell r="GN47">
            <v>0</v>
          </cell>
          <cell r="GO47">
            <v>0</v>
          </cell>
          <cell r="GP47">
            <v>0</v>
          </cell>
          <cell r="GQ47">
            <v>0</v>
          </cell>
          <cell r="GR47">
            <v>0</v>
          </cell>
          <cell r="GS47">
            <v>0</v>
          </cell>
          <cell r="GT47">
            <v>0</v>
          </cell>
          <cell r="GU47">
            <v>0</v>
          </cell>
          <cell r="GZ47">
            <v>0</v>
          </cell>
        </row>
        <row r="48">
          <cell r="A48" t="str">
            <v>F_CNP_RFF_RET_IND_FRCE_EVA</v>
          </cell>
          <cell r="B48">
            <v>793866604.90999997</v>
          </cell>
          <cell r="D48">
            <v>976523287.41770995</v>
          </cell>
          <cell r="E48">
            <v>960346586.69531</v>
          </cell>
          <cell r="F48">
            <v>976523287.41770995</v>
          </cell>
          <cell r="G48">
            <v>976523287.41770995</v>
          </cell>
          <cell r="H48">
            <v>0</v>
          </cell>
          <cell r="I48">
            <v>0</v>
          </cell>
          <cell r="J48">
            <v>976523287.41770995</v>
          </cell>
          <cell r="K48">
            <v>976523287.41770995</v>
          </cell>
          <cell r="L48">
            <v>976523287.41770995</v>
          </cell>
          <cell r="M48">
            <v>0</v>
          </cell>
          <cell r="N48">
            <v>976523287.41770995</v>
          </cell>
          <cell r="O48">
            <v>976523287.41770995</v>
          </cell>
          <cell r="P48">
            <v>976523287.41770995</v>
          </cell>
          <cell r="Q48">
            <v>976523287.41770995</v>
          </cell>
          <cell r="R48">
            <v>0</v>
          </cell>
          <cell r="S48">
            <v>976523287.41770995</v>
          </cell>
          <cell r="T48">
            <v>976523287.41770995</v>
          </cell>
          <cell r="U48">
            <v>976523287.41770995</v>
          </cell>
          <cell r="V48">
            <v>976523287.41770995</v>
          </cell>
          <cell r="W48">
            <v>976523287.41770995</v>
          </cell>
          <cell r="X48">
            <v>976523287.41770995</v>
          </cell>
          <cell r="Y48">
            <v>976523287.41770995</v>
          </cell>
          <cell r="Z48">
            <v>976523287.41770995</v>
          </cell>
          <cell r="AA48">
            <v>976523287.41770995</v>
          </cell>
          <cell r="AB48">
            <v>1001967308.49964</v>
          </cell>
          <cell r="AC48">
            <v>902548255.83074999</v>
          </cell>
          <cell r="AD48">
            <v>0</v>
          </cell>
          <cell r="AE48">
            <v>0</v>
          </cell>
          <cell r="AF48">
            <v>955959744.58773005</v>
          </cell>
          <cell r="AG48">
            <v>955959744.58773005</v>
          </cell>
          <cell r="AH48">
            <v>955959744.58773005</v>
          </cell>
          <cell r="AI48">
            <v>0</v>
          </cell>
          <cell r="AJ48">
            <v>975933081.08767998</v>
          </cell>
          <cell r="AK48">
            <v>975933081.08767998</v>
          </cell>
          <cell r="AL48">
            <v>975933081.08767998</v>
          </cell>
          <cell r="AM48">
            <v>976451915.90161002</v>
          </cell>
          <cell r="AN48">
            <v>0</v>
          </cell>
          <cell r="AO48">
            <v>946173549.58445001</v>
          </cell>
          <cell r="AP48">
            <v>946173549.58445001</v>
          </cell>
          <cell r="AQ48">
            <v>946173549.58445001</v>
          </cell>
          <cell r="AR48">
            <v>946173549.58445001</v>
          </cell>
          <cell r="AS48">
            <v>946173549.58445001</v>
          </cell>
          <cell r="AT48">
            <v>946173549.58445001</v>
          </cell>
          <cell r="AU48">
            <v>946173549.58445001</v>
          </cell>
          <cell r="AV48">
            <v>969416011.28576005</v>
          </cell>
          <cell r="AW48">
            <v>976523287.41770995</v>
          </cell>
          <cell r="AX48">
            <v>960346586.69531</v>
          </cell>
          <cell r="AY48">
            <v>960346586.69531</v>
          </cell>
          <cell r="AZ48">
            <v>0</v>
          </cell>
          <cell r="BA48">
            <v>0</v>
          </cell>
          <cell r="BB48">
            <v>960346586.69531</v>
          </cell>
          <cell r="BC48">
            <v>960346586.69531</v>
          </cell>
          <cell r="BD48">
            <v>960346586.69531</v>
          </cell>
          <cell r="BE48">
            <v>0</v>
          </cell>
          <cell r="BF48">
            <v>960346586.69531</v>
          </cell>
          <cell r="BG48">
            <v>960346586.69531</v>
          </cell>
          <cell r="BH48">
            <v>960346586.69531</v>
          </cell>
          <cell r="BI48">
            <v>960346586.69531</v>
          </cell>
          <cell r="BJ48">
            <v>0</v>
          </cell>
          <cell r="BK48">
            <v>960346586.69531</v>
          </cell>
          <cell r="BL48">
            <v>960346586.69531</v>
          </cell>
          <cell r="BM48">
            <v>960346586.69531</v>
          </cell>
          <cell r="BN48">
            <v>960346586.69531</v>
          </cell>
          <cell r="BO48">
            <v>960346586.69531</v>
          </cell>
          <cell r="BP48">
            <v>960346586.69531</v>
          </cell>
          <cell r="BQ48">
            <v>960346586.69531</v>
          </cell>
          <cell r="BR48">
            <v>960346586.69531</v>
          </cell>
          <cell r="BS48">
            <v>960346586.69531</v>
          </cell>
          <cell r="BT48">
            <v>985060056.76283991</v>
          </cell>
          <cell r="BU48">
            <v>900851222.3529799</v>
          </cell>
          <cell r="BV48">
            <v>0</v>
          </cell>
          <cell r="BW48">
            <v>0</v>
          </cell>
          <cell r="BX48">
            <v>960346586.69531</v>
          </cell>
          <cell r="BY48">
            <v>960346586.69531</v>
          </cell>
          <cell r="BZ48">
            <v>960346586.69531</v>
          </cell>
          <cell r="CA48">
            <v>0</v>
          </cell>
          <cell r="CB48">
            <v>960346586.69531</v>
          </cell>
          <cell r="CC48">
            <v>960346586.69531</v>
          </cell>
          <cell r="CD48">
            <v>960346586.69531</v>
          </cell>
          <cell r="CE48">
            <v>960346586.69531</v>
          </cell>
          <cell r="CF48">
            <v>0</v>
          </cell>
          <cell r="CG48">
            <v>960346586.69531</v>
          </cell>
          <cell r="CH48">
            <v>960346586.69531</v>
          </cell>
          <cell r="CI48">
            <v>960346586.69531</v>
          </cell>
          <cell r="CJ48">
            <v>960346586.69531</v>
          </cell>
          <cell r="CK48">
            <v>960346586.69531</v>
          </cell>
          <cell r="CL48">
            <v>960346586.69531</v>
          </cell>
          <cell r="CM48">
            <v>960346586.69531</v>
          </cell>
          <cell r="CN48">
            <v>960346586.69531</v>
          </cell>
          <cell r="CO48">
            <v>928666511.90705991</v>
          </cell>
          <cell r="CP48">
            <v>960346586.69531</v>
          </cell>
          <cell r="CQ48">
            <v>960346586.69531</v>
          </cell>
          <cell r="CR48">
            <v>960346586.69531</v>
          </cell>
          <cell r="CS48">
            <v>960346586.69531</v>
          </cell>
          <cell r="CT48">
            <v>960346586.69531</v>
          </cell>
          <cell r="CU48">
            <v>960346586.69531</v>
          </cell>
          <cell r="CV48">
            <v>960346586.69531</v>
          </cell>
          <cell r="CW48">
            <v>960346586.69531</v>
          </cell>
          <cell r="CX48">
            <v>960346586.69531</v>
          </cell>
          <cell r="CY48">
            <v>960346586.69531</v>
          </cell>
          <cell r="CZ48">
            <v>960346586.69531</v>
          </cell>
          <cell r="DA48">
            <v>960346586.69531</v>
          </cell>
          <cell r="DB48">
            <v>960346586.69531</v>
          </cell>
          <cell r="DC48">
            <v>963051574.94243991</v>
          </cell>
          <cell r="DD48">
            <v>960346586.69531</v>
          </cell>
          <cell r="DE48">
            <v>759189354.32526004</v>
          </cell>
          <cell r="DF48">
            <v>1161503819.0653601</v>
          </cell>
          <cell r="DG48">
            <v>967237821.91877997</v>
          </cell>
          <cell r="DH48">
            <v>960346586.69531</v>
          </cell>
          <cell r="DI48">
            <v>960346586.69531</v>
          </cell>
          <cell r="DJ48">
            <v>0</v>
          </cell>
          <cell r="DK48">
            <v>0</v>
          </cell>
          <cell r="DL48">
            <v>0</v>
          </cell>
          <cell r="DM48">
            <v>0</v>
          </cell>
          <cell r="DN48">
            <v>0</v>
          </cell>
          <cell r="DO48">
            <v>0</v>
          </cell>
          <cell r="DP48">
            <v>0</v>
          </cell>
          <cell r="DQ48">
            <v>0</v>
          </cell>
          <cell r="DR48">
            <v>0</v>
          </cell>
          <cell r="DS48">
            <v>0</v>
          </cell>
          <cell r="DT48">
            <v>0</v>
          </cell>
          <cell r="DU48">
            <v>0</v>
          </cell>
          <cell r="DV48">
            <v>0</v>
          </cell>
          <cell r="DW48">
            <v>0</v>
          </cell>
          <cell r="DX48" t="str">
            <v/>
          </cell>
          <cell r="DY48" t="str">
            <v/>
          </cell>
          <cell r="DZ48" t="str">
            <v/>
          </cell>
          <cell r="EA48">
            <v>960346586.69531</v>
          </cell>
          <cell r="EB48">
            <v>960346586.69531</v>
          </cell>
          <cell r="EC48">
            <v>960346586.69531</v>
          </cell>
          <cell r="ED48">
            <v>960346586.69531</v>
          </cell>
          <cell r="EE48">
            <v>960346586.69531</v>
          </cell>
          <cell r="EF48">
            <v>960346586.69531</v>
          </cell>
          <cell r="EG48">
            <v>960346586.69531</v>
          </cell>
          <cell r="EH48">
            <v>960346586.69531</v>
          </cell>
          <cell r="EI48">
            <v>960346586.69531</v>
          </cell>
          <cell r="EJ48">
            <v>960346586.69531</v>
          </cell>
          <cell r="EK48">
            <v>960346586.69531</v>
          </cell>
          <cell r="EL48">
            <v>960346586.69531</v>
          </cell>
          <cell r="EM48">
            <v>960346586.69531</v>
          </cell>
          <cell r="EN48">
            <v>960346586.69531</v>
          </cell>
          <cell r="EO48">
            <v>759189354.32526004</v>
          </cell>
          <cell r="EP48">
            <v>1161503819.0653601</v>
          </cell>
          <cell r="EQ48">
            <v>960346586.69531</v>
          </cell>
          <cell r="ER48">
            <v>960346586.69531</v>
          </cell>
          <cell r="ES48">
            <v>0</v>
          </cell>
          <cell r="ET48">
            <v>0</v>
          </cell>
          <cell r="EU48">
            <v>0</v>
          </cell>
          <cell r="EV48">
            <v>0</v>
          </cell>
          <cell r="EW48">
            <v>0</v>
          </cell>
          <cell r="EX48">
            <v>0</v>
          </cell>
          <cell r="EY48">
            <v>0</v>
          </cell>
          <cell r="EZ48">
            <v>0</v>
          </cell>
          <cell r="FA48">
            <v>0</v>
          </cell>
          <cell r="FB48">
            <v>0</v>
          </cell>
          <cell r="FC48">
            <v>0</v>
          </cell>
          <cell r="FD48">
            <v>201157241.08627999</v>
          </cell>
          <cell r="FE48">
            <v>759189354.32526004</v>
          </cell>
          <cell r="FF48">
            <v>984968556.88208997</v>
          </cell>
          <cell r="FG48">
            <v>890638831.60247004</v>
          </cell>
          <cell r="FH48">
            <v>0</v>
          </cell>
          <cell r="FI48">
            <v>0</v>
          </cell>
          <cell r="FJ48">
            <v>943130590.99816</v>
          </cell>
          <cell r="FK48">
            <v>943130590.99816</v>
          </cell>
          <cell r="FL48">
            <v>943130590.99816</v>
          </cell>
          <cell r="FM48">
            <v>0</v>
          </cell>
          <cell r="FN48">
            <v>959766165.62096</v>
          </cell>
          <cell r="FO48">
            <v>959766165.62096</v>
          </cell>
          <cell r="FP48">
            <v>959766165.62096</v>
          </cell>
          <cell r="FQ48">
            <v>960291472.80990005</v>
          </cell>
          <cell r="FR48">
            <v>0</v>
          </cell>
          <cell r="FS48">
            <v>934185833.23562002</v>
          </cell>
          <cell r="FT48">
            <v>934185833.23562002</v>
          </cell>
          <cell r="FU48">
            <v>934185833.23562002</v>
          </cell>
          <cell r="FV48">
            <v>934185833.23562002</v>
          </cell>
          <cell r="FW48">
            <v>934185833.23562002</v>
          </cell>
          <cell r="FX48">
            <v>934185833.23562002</v>
          </cell>
          <cell r="FY48">
            <v>934185833.23562002</v>
          </cell>
          <cell r="FZ48">
            <v>954611664.86759996</v>
          </cell>
          <cell r="GA48">
            <v>927608260.87281001</v>
          </cell>
          <cell r="GB48">
            <v>960346586.69531</v>
          </cell>
          <cell r="GC48">
            <v>960492546.47970998</v>
          </cell>
          <cell r="GD48">
            <v>960346586.69531</v>
          </cell>
          <cell r="GE48">
            <v>960773325.30589998</v>
          </cell>
          <cell r="GF48">
            <v>960346586.69531</v>
          </cell>
          <cell r="GG48">
            <v>960346586.69531</v>
          </cell>
          <cell r="GH48">
            <v>960346586.69531</v>
          </cell>
          <cell r="GI48">
            <v>967082257.63346004</v>
          </cell>
          <cell r="GJ48">
            <v>960346586.69531</v>
          </cell>
          <cell r="GK48">
            <v>960346586.69531</v>
          </cell>
          <cell r="GL48">
            <v>960346586.69531</v>
          </cell>
          <cell r="GM48">
            <v>960346586.69531</v>
          </cell>
          <cell r="GN48">
            <v>960346586.69531</v>
          </cell>
          <cell r="GO48">
            <v>960346586.69531</v>
          </cell>
          <cell r="GP48">
            <v>960346586.69531</v>
          </cell>
          <cell r="GQ48">
            <v>960346586.69531</v>
          </cell>
          <cell r="GR48">
            <v>960346586.69531</v>
          </cell>
          <cell r="GS48">
            <v>960346586.69531</v>
          </cell>
          <cell r="GT48">
            <v>960346586.69531</v>
          </cell>
          <cell r="GU48">
            <v>0</v>
          </cell>
          <cell r="GZ48">
            <v>0</v>
          </cell>
        </row>
        <row r="49">
          <cell r="A49" t="str">
            <v>F_CNP_RFF_RET_IND_FRCE_EVQ</v>
          </cell>
          <cell r="B49">
            <v>8816235.5299999993</v>
          </cell>
          <cell r="D49">
            <v>11744340.09</v>
          </cell>
          <cell r="E49">
            <v>11744340.09</v>
          </cell>
          <cell r="F49">
            <v>11744340.09</v>
          </cell>
          <cell r="G49">
            <v>11744340.09</v>
          </cell>
          <cell r="H49">
            <v>0</v>
          </cell>
          <cell r="I49">
            <v>0</v>
          </cell>
          <cell r="J49">
            <v>11744340.09</v>
          </cell>
          <cell r="K49">
            <v>11744340.09</v>
          </cell>
          <cell r="L49">
            <v>11744340.09</v>
          </cell>
          <cell r="M49">
            <v>0</v>
          </cell>
          <cell r="N49">
            <v>11744340.09</v>
          </cell>
          <cell r="O49">
            <v>11744340.09</v>
          </cell>
          <cell r="P49">
            <v>11744340.09</v>
          </cell>
          <cell r="Q49">
            <v>11744340.09</v>
          </cell>
          <cell r="R49">
            <v>0</v>
          </cell>
          <cell r="S49">
            <v>11744340.09</v>
          </cell>
          <cell r="T49">
            <v>11744340.09</v>
          </cell>
          <cell r="U49">
            <v>11744340.09</v>
          </cell>
          <cell r="V49">
            <v>11744340.09</v>
          </cell>
          <cell r="W49">
            <v>11744340.09</v>
          </cell>
          <cell r="X49">
            <v>11744340.09</v>
          </cell>
          <cell r="Y49">
            <v>11744340.09</v>
          </cell>
          <cell r="Z49">
            <v>11744340.09</v>
          </cell>
          <cell r="AA49">
            <v>11744340.09</v>
          </cell>
          <cell r="AB49">
            <v>12216523.820010001</v>
          </cell>
          <cell r="AC49">
            <v>10553096.737530001</v>
          </cell>
          <cell r="AD49">
            <v>0</v>
          </cell>
          <cell r="AE49">
            <v>0</v>
          </cell>
          <cell r="AF49">
            <v>11539415.303640001</v>
          </cell>
          <cell r="AG49">
            <v>11539415.303640001</v>
          </cell>
          <cell r="AH49">
            <v>11539415.303640001</v>
          </cell>
          <cell r="AI49">
            <v>0</v>
          </cell>
          <cell r="AJ49">
            <v>11744340.09</v>
          </cell>
          <cell r="AK49">
            <v>11744340.09</v>
          </cell>
          <cell r="AL49">
            <v>11744340.09</v>
          </cell>
          <cell r="AM49">
            <v>11739528.465</v>
          </cell>
          <cell r="AN49">
            <v>0</v>
          </cell>
          <cell r="AO49">
            <v>11469342.90745</v>
          </cell>
          <cell r="AP49">
            <v>11469342.90745</v>
          </cell>
          <cell r="AQ49">
            <v>11469342.90745</v>
          </cell>
          <cell r="AR49">
            <v>11469342.90745</v>
          </cell>
          <cell r="AS49">
            <v>11469342.90745</v>
          </cell>
          <cell r="AT49">
            <v>11469342.90745</v>
          </cell>
          <cell r="AU49">
            <v>11469342.90745</v>
          </cell>
          <cell r="AV49">
            <v>11691208.951160001</v>
          </cell>
          <cell r="AW49">
            <v>11744340.09</v>
          </cell>
          <cell r="AX49">
            <v>11744340.09</v>
          </cell>
          <cell r="AY49">
            <v>11744340.09</v>
          </cell>
          <cell r="AZ49">
            <v>0</v>
          </cell>
          <cell r="BA49">
            <v>0</v>
          </cell>
          <cell r="BB49">
            <v>11744340.09</v>
          </cell>
          <cell r="BC49">
            <v>11744340.09</v>
          </cell>
          <cell r="BD49">
            <v>11744340.09</v>
          </cell>
          <cell r="BE49">
            <v>0</v>
          </cell>
          <cell r="BF49">
            <v>11744340.09</v>
          </cell>
          <cell r="BG49">
            <v>11744340.09</v>
          </cell>
          <cell r="BH49">
            <v>11744340.09</v>
          </cell>
          <cell r="BI49">
            <v>11744340.09</v>
          </cell>
          <cell r="BJ49">
            <v>0</v>
          </cell>
          <cell r="BK49">
            <v>11744340.09</v>
          </cell>
          <cell r="BL49">
            <v>11744340.09</v>
          </cell>
          <cell r="BM49">
            <v>11744340.09</v>
          </cell>
          <cell r="BN49">
            <v>11744340.09</v>
          </cell>
          <cell r="BO49">
            <v>11744340.09</v>
          </cell>
          <cell r="BP49">
            <v>11744340.09</v>
          </cell>
          <cell r="BQ49">
            <v>11744340.09</v>
          </cell>
          <cell r="BR49">
            <v>11744340.09</v>
          </cell>
          <cell r="BS49">
            <v>11744340.09</v>
          </cell>
          <cell r="BT49">
            <v>11744340.09</v>
          </cell>
          <cell r="BU49">
            <v>11744340.09</v>
          </cell>
          <cell r="BV49">
            <v>0</v>
          </cell>
          <cell r="BW49">
            <v>0</v>
          </cell>
          <cell r="BX49">
            <v>11744340.09</v>
          </cell>
          <cell r="BY49">
            <v>11744340.09</v>
          </cell>
          <cell r="BZ49">
            <v>11744340.09</v>
          </cell>
          <cell r="CA49">
            <v>0</v>
          </cell>
          <cell r="CB49">
            <v>11744340.09</v>
          </cell>
          <cell r="CC49">
            <v>11744340.09</v>
          </cell>
          <cell r="CD49">
            <v>11744340.09</v>
          </cell>
          <cell r="CE49">
            <v>11744340.09</v>
          </cell>
          <cell r="CF49">
            <v>0</v>
          </cell>
          <cell r="CG49">
            <v>11744340.09</v>
          </cell>
          <cell r="CH49">
            <v>11744340.09</v>
          </cell>
          <cell r="CI49">
            <v>11744340.09</v>
          </cell>
          <cell r="CJ49">
            <v>11744340.09</v>
          </cell>
          <cell r="CK49">
            <v>11744340.09</v>
          </cell>
          <cell r="CL49">
            <v>11744340.09</v>
          </cell>
          <cell r="CM49">
            <v>11744340.09</v>
          </cell>
          <cell r="CN49">
            <v>11744340.09</v>
          </cell>
          <cell r="CO49">
            <v>11744340.09</v>
          </cell>
          <cell r="CP49">
            <v>11744340.09</v>
          </cell>
          <cell r="CQ49">
            <v>11744340.09</v>
          </cell>
          <cell r="CR49">
            <v>11744340.09</v>
          </cell>
          <cell r="CS49">
            <v>11744340.09</v>
          </cell>
          <cell r="CT49">
            <v>11744340.09</v>
          </cell>
          <cell r="CU49">
            <v>11744340.09</v>
          </cell>
          <cell r="CV49">
            <v>11744340.09</v>
          </cell>
          <cell r="CW49">
            <v>11744340.09</v>
          </cell>
          <cell r="CX49">
            <v>11744340.09</v>
          </cell>
          <cell r="CY49">
            <v>11744340.09</v>
          </cell>
          <cell r="CZ49">
            <v>11744340.09</v>
          </cell>
          <cell r="DA49">
            <v>11744340.09</v>
          </cell>
          <cell r="DB49">
            <v>11744340.09</v>
          </cell>
          <cell r="DC49">
            <v>11744340.09</v>
          </cell>
          <cell r="DD49">
            <v>11744340.09</v>
          </cell>
          <cell r="DE49">
            <v>8816235.5299999993</v>
          </cell>
          <cell r="DF49">
            <v>14672444.65</v>
          </cell>
          <cell r="DG49">
            <v>11744340.09</v>
          </cell>
          <cell r="DH49">
            <v>11744340.09</v>
          </cell>
          <cell r="DI49">
            <v>11744340.09</v>
          </cell>
          <cell r="DJ49">
            <v>0</v>
          </cell>
          <cell r="DK49">
            <v>0</v>
          </cell>
          <cell r="DL49">
            <v>0</v>
          </cell>
          <cell r="DM49">
            <v>0</v>
          </cell>
          <cell r="DN49">
            <v>0</v>
          </cell>
          <cell r="DO49">
            <v>0</v>
          </cell>
          <cell r="DP49">
            <v>0</v>
          </cell>
          <cell r="DQ49">
            <v>0</v>
          </cell>
          <cell r="DR49">
            <v>0</v>
          </cell>
          <cell r="DS49">
            <v>0</v>
          </cell>
          <cell r="DT49">
            <v>0</v>
          </cell>
          <cell r="DU49">
            <v>0</v>
          </cell>
          <cell r="DV49">
            <v>0</v>
          </cell>
          <cell r="DW49">
            <v>0</v>
          </cell>
          <cell r="DX49" t="str">
            <v/>
          </cell>
          <cell r="DY49" t="str">
            <v/>
          </cell>
          <cell r="DZ49" t="str">
            <v/>
          </cell>
          <cell r="EA49">
            <v>11744340.09</v>
          </cell>
          <cell r="EB49">
            <v>11744340.09</v>
          </cell>
          <cell r="EC49">
            <v>11744340.09</v>
          </cell>
          <cell r="ED49">
            <v>11744340.09</v>
          </cell>
          <cell r="EE49">
            <v>11744340.09</v>
          </cell>
          <cell r="EF49">
            <v>11744340.09</v>
          </cell>
          <cell r="EG49">
            <v>11744340.09</v>
          </cell>
          <cell r="EH49">
            <v>11744340.09</v>
          </cell>
          <cell r="EI49">
            <v>11744340.09</v>
          </cell>
          <cell r="EJ49">
            <v>11744340.09</v>
          </cell>
          <cell r="EK49">
            <v>11744340.09</v>
          </cell>
          <cell r="EL49">
            <v>11744340.09</v>
          </cell>
          <cell r="EM49">
            <v>11744340.09</v>
          </cell>
          <cell r="EN49">
            <v>11744340.09</v>
          </cell>
          <cell r="EO49">
            <v>8816235.5299999993</v>
          </cell>
          <cell r="EP49">
            <v>14672444.65</v>
          </cell>
          <cell r="EQ49">
            <v>11744340.09</v>
          </cell>
          <cell r="ER49">
            <v>11744340.09</v>
          </cell>
          <cell r="ES49">
            <v>0</v>
          </cell>
          <cell r="ET49">
            <v>0</v>
          </cell>
          <cell r="EU49">
            <v>0</v>
          </cell>
          <cell r="EV49">
            <v>0</v>
          </cell>
          <cell r="EW49">
            <v>0</v>
          </cell>
          <cell r="EX49">
            <v>0</v>
          </cell>
          <cell r="EY49">
            <v>0</v>
          </cell>
          <cell r="EZ49">
            <v>0</v>
          </cell>
          <cell r="FA49">
            <v>0</v>
          </cell>
          <cell r="FB49">
            <v>0</v>
          </cell>
          <cell r="FC49">
            <v>0</v>
          </cell>
          <cell r="FD49">
            <v>2928104.5600000005</v>
          </cell>
          <cell r="FE49">
            <v>8816235.5299999993</v>
          </cell>
          <cell r="FF49">
            <v>12216523.820010001</v>
          </cell>
          <cell r="FG49">
            <v>10553096.737530001</v>
          </cell>
          <cell r="FH49">
            <v>0</v>
          </cell>
          <cell r="FI49">
            <v>0</v>
          </cell>
          <cell r="FJ49">
            <v>11539415.303640001</v>
          </cell>
          <cell r="FK49">
            <v>11539415.303640001</v>
          </cell>
          <cell r="FL49">
            <v>11539415.303640001</v>
          </cell>
          <cell r="FM49">
            <v>0</v>
          </cell>
          <cell r="FN49">
            <v>11744340.09</v>
          </cell>
          <cell r="FO49">
            <v>11744340.09</v>
          </cell>
          <cell r="FP49">
            <v>11744340.09</v>
          </cell>
          <cell r="FQ49">
            <v>11739528.465</v>
          </cell>
          <cell r="FR49">
            <v>0</v>
          </cell>
          <cell r="FS49">
            <v>11469342.90745</v>
          </cell>
          <cell r="FT49">
            <v>11469342.90745</v>
          </cell>
          <cell r="FU49">
            <v>11469342.90745</v>
          </cell>
          <cell r="FV49">
            <v>11469342.90745</v>
          </cell>
          <cell r="FW49">
            <v>11469342.90745</v>
          </cell>
          <cell r="FX49">
            <v>11469342.90745</v>
          </cell>
          <cell r="FY49">
            <v>11469342.90745</v>
          </cell>
          <cell r="FZ49">
            <v>11691208.951160001</v>
          </cell>
          <cell r="GA49">
            <v>11744340.09</v>
          </cell>
          <cell r="GB49">
            <v>11744340.09</v>
          </cell>
          <cell r="GC49">
            <v>11744340.09</v>
          </cell>
          <cell r="GD49">
            <v>11744340.09</v>
          </cell>
          <cell r="GE49">
            <v>11744340.09</v>
          </cell>
          <cell r="GF49">
            <v>11744340.09</v>
          </cell>
          <cell r="GG49">
            <v>11744340.09</v>
          </cell>
          <cell r="GH49">
            <v>11744340.09</v>
          </cell>
          <cell r="GI49">
            <v>11744340.09</v>
          </cell>
          <cell r="GJ49">
            <v>11744340.09</v>
          </cell>
          <cell r="GK49">
            <v>11744340.09</v>
          </cell>
          <cell r="GL49">
            <v>11744340.09</v>
          </cell>
          <cell r="GM49">
            <v>11744340.09</v>
          </cell>
          <cell r="GN49">
            <v>11744340.09</v>
          </cell>
          <cell r="GO49">
            <v>11744340.09</v>
          </cell>
          <cell r="GP49">
            <v>11744340.09</v>
          </cell>
          <cell r="GQ49">
            <v>11744340.09</v>
          </cell>
          <cell r="GR49">
            <v>11744340.09</v>
          </cell>
          <cell r="GS49">
            <v>11744340.09</v>
          </cell>
          <cell r="GT49">
            <v>11744340.09</v>
          </cell>
          <cell r="GU49">
            <v>0</v>
          </cell>
          <cell r="GZ49">
            <v>0</v>
          </cell>
        </row>
        <row r="50">
          <cell r="A50" t="str">
            <v>F_CNP_RFF_RET_IND_FRCE_070</v>
          </cell>
          <cell r="B50">
            <v>274474720.47000003</v>
          </cell>
          <cell r="D50">
            <v>322562436.94999999</v>
          </cell>
          <cell r="E50">
            <v>322562436.94999999</v>
          </cell>
          <cell r="F50">
            <v>322562436.94999999</v>
          </cell>
          <cell r="G50">
            <v>322562436.94999999</v>
          </cell>
          <cell r="H50">
            <v>0</v>
          </cell>
          <cell r="I50">
            <v>0</v>
          </cell>
          <cell r="J50">
            <v>322562436.94999999</v>
          </cell>
          <cell r="K50">
            <v>322562436.94999999</v>
          </cell>
          <cell r="L50">
            <v>322562436.94999999</v>
          </cell>
          <cell r="M50">
            <v>0</v>
          </cell>
          <cell r="N50">
            <v>322562436.94999999</v>
          </cell>
          <cell r="O50">
            <v>322562436.94999999</v>
          </cell>
          <cell r="P50">
            <v>322562436.94999999</v>
          </cell>
          <cell r="Q50">
            <v>322562436.94999999</v>
          </cell>
          <cell r="R50">
            <v>0</v>
          </cell>
          <cell r="S50">
            <v>322562436.94999999</v>
          </cell>
          <cell r="T50">
            <v>322562436.94999999</v>
          </cell>
          <cell r="U50">
            <v>322562436.94999999</v>
          </cell>
          <cell r="V50">
            <v>322562436.94999999</v>
          </cell>
          <cell r="W50">
            <v>322562436.94999999</v>
          </cell>
          <cell r="X50">
            <v>322562436.94999999</v>
          </cell>
          <cell r="Y50">
            <v>322562436.94999999</v>
          </cell>
          <cell r="Z50">
            <v>322562436.94999999</v>
          </cell>
          <cell r="AA50">
            <v>322562436.94999999</v>
          </cell>
          <cell r="AB50">
            <v>328820321.01295</v>
          </cell>
          <cell r="AC50">
            <v>303390589.43716002</v>
          </cell>
          <cell r="AD50">
            <v>0</v>
          </cell>
          <cell r="AE50">
            <v>0</v>
          </cell>
          <cell r="AF50">
            <v>313873908.51420999</v>
          </cell>
          <cell r="AG50">
            <v>313873908.51420999</v>
          </cell>
          <cell r="AH50">
            <v>313873908.51420999</v>
          </cell>
          <cell r="AI50">
            <v>0</v>
          </cell>
          <cell r="AJ50">
            <v>322418309.43131</v>
          </cell>
          <cell r="AK50">
            <v>322418309.43131</v>
          </cell>
          <cell r="AL50">
            <v>322418309.43131</v>
          </cell>
          <cell r="AM50">
            <v>322562436.94999999</v>
          </cell>
          <cell r="AN50">
            <v>0</v>
          </cell>
          <cell r="AO50">
            <v>312069261.53534001</v>
          </cell>
          <cell r="AP50">
            <v>312069261.53534001</v>
          </cell>
          <cell r="AQ50">
            <v>312069261.53534001</v>
          </cell>
          <cell r="AR50">
            <v>312069261.53534001</v>
          </cell>
          <cell r="AS50">
            <v>312069261.53534001</v>
          </cell>
          <cell r="AT50">
            <v>312069261.53534001</v>
          </cell>
          <cell r="AU50">
            <v>312069261.53534001</v>
          </cell>
          <cell r="AV50">
            <v>320565514.78226</v>
          </cell>
          <cell r="AW50">
            <v>322562436.94999999</v>
          </cell>
          <cell r="AX50">
            <v>322562436.94999999</v>
          </cell>
          <cell r="AY50">
            <v>322562436.94999999</v>
          </cell>
          <cell r="AZ50">
            <v>0</v>
          </cell>
          <cell r="BA50">
            <v>0</v>
          </cell>
          <cell r="BB50">
            <v>322562436.94999999</v>
          </cell>
          <cell r="BC50">
            <v>322562436.94999999</v>
          </cell>
          <cell r="BD50">
            <v>322562436.94999999</v>
          </cell>
          <cell r="BE50">
            <v>0</v>
          </cell>
          <cell r="BF50">
            <v>322562436.94999999</v>
          </cell>
          <cell r="BG50">
            <v>322562436.94999999</v>
          </cell>
          <cell r="BH50">
            <v>322562436.94999999</v>
          </cell>
          <cell r="BI50">
            <v>322562436.94999999</v>
          </cell>
          <cell r="BJ50">
            <v>0</v>
          </cell>
          <cell r="BK50">
            <v>322562436.94999999</v>
          </cell>
          <cell r="BL50">
            <v>322562436.94999999</v>
          </cell>
          <cell r="BM50">
            <v>322562436.94999999</v>
          </cell>
          <cell r="BN50">
            <v>322562436.94999999</v>
          </cell>
          <cell r="BO50">
            <v>322562436.94999999</v>
          </cell>
          <cell r="BP50">
            <v>322562436.94999999</v>
          </cell>
          <cell r="BQ50">
            <v>322562436.94999999</v>
          </cell>
          <cell r="BR50">
            <v>322562436.94999999</v>
          </cell>
          <cell r="BS50">
            <v>322562436.94999999</v>
          </cell>
          <cell r="BT50">
            <v>322562436.94999999</v>
          </cell>
          <cell r="BU50">
            <v>322562436.94999999</v>
          </cell>
          <cell r="BV50">
            <v>0</v>
          </cell>
          <cell r="BW50">
            <v>0</v>
          </cell>
          <cell r="BX50">
            <v>322562436.94999999</v>
          </cell>
          <cell r="BY50">
            <v>322562436.94999999</v>
          </cell>
          <cell r="BZ50">
            <v>322562436.94999999</v>
          </cell>
          <cell r="CA50">
            <v>0</v>
          </cell>
          <cell r="CB50">
            <v>322562436.94999999</v>
          </cell>
          <cell r="CC50">
            <v>322562436.94999999</v>
          </cell>
          <cell r="CD50">
            <v>322562436.94999999</v>
          </cell>
          <cell r="CE50">
            <v>322562436.94999999</v>
          </cell>
          <cell r="CF50">
            <v>0</v>
          </cell>
          <cell r="CG50">
            <v>322562436.94999999</v>
          </cell>
          <cell r="CH50">
            <v>322562436.94999999</v>
          </cell>
          <cell r="CI50">
            <v>322562436.94999999</v>
          </cell>
          <cell r="CJ50">
            <v>322562436.94999999</v>
          </cell>
          <cell r="CK50">
            <v>322562436.94999999</v>
          </cell>
          <cell r="CL50">
            <v>322562436.94999999</v>
          </cell>
          <cell r="CM50">
            <v>322562436.94999999</v>
          </cell>
          <cell r="CN50">
            <v>322562436.94999999</v>
          </cell>
          <cell r="CO50">
            <v>322562436.94999999</v>
          </cell>
          <cell r="CP50">
            <v>322562436.94999999</v>
          </cell>
          <cell r="CQ50">
            <v>322562436.94999999</v>
          </cell>
          <cell r="CR50">
            <v>322562436.94999999</v>
          </cell>
          <cell r="CS50">
            <v>322562436.94999999</v>
          </cell>
          <cell r="CT50">
            <v>322562436.94999999</v>
          </cell>
          <cell r="CU50">
            <v>322562436.94999999</v>
          </cell>
          <cell r="CV50">
            <v>322562436.94999999</v>
          </cell>
          <cell r="CW50">
            <v>322562436.94999999</v>
          </cell>
          <cell r="CX50">
            <v>322562436.94999999</v>
          </cell>
          <cell r="CY50">
            <v>322562436.94999999</v>
          </cell>
          <cell r="CZ50">
            <v>322562436.94999999</v>
          </cell>
          <cell r="DA50">
            <v>322562436.94999999</v>
          </cell>
          <cell r="DB50">
            <v>322562436.94999999</v>
          </cell>
          <cell r="DC50">
            <v>322562436.94999999</v>
          </cell>
          <cell r="DD50">
            <v>322562436.94999999</v>
          </cell>
          <cell r="DE50">
            <v>274474720.47000003</v>
          </cell>
          <cell r="DF50">
            <v>370650153.42999995</v>
          </cell>
          <cell r="DG50">
            <v>322562436.94999999</v>
          </cell>
          <cell r="DH50">
            <v>322562436.94999999</v>
          </cell>
          <cell r="DI50">
            <v>322562436.94999999</v>
          </cell>
          <cell r="DJ50">
            <v>0</v>
          </cell>
          <cell r="DK50">
            <v>0</v>
          </cell>
          <cell r="DL50">
            <v>0</v>
          </cell>
          <cell r="DM50">
            <v>0</v>
          </cell>
          <cell r="DN50">
            <v>0</v>
          </cell>
          <cell r="DO50">
            <v>0</v>
          </cell>
          <cell r="DP50">
            <v>0</v>
          </cell>
          <cell r="DQ50">
            <v>0</v>
          </cell>
          <cell r="DR50">
            <v>0</v>
          </cell>
          <cell r="DS50">
            <v>0</v>
          </cell>
          <cell r="DT50">
            <v>0</v>
          </cell>
          <cell r="DU50">
            <v>0</v>
          </cell>
          <cell r="DV50">
            <v>0</v>
          </cell>
          <cell r="DW50">
            <v>0</v>
          </cell>
          <cell r="DX50" t="str">
            <v/>
          </cell>
          <cell r="DY50" t="str">
            <v/>
          </cell>
          <cell r="DZ50" t="str">
            <v/>
          </cell>
          <cell r="EA50">
            <v>322562436.94999999</v>
          </cell>
          <cell r="EB50">
            <v>322562436.94999999</v>
          </cell>
          <cell r="EC50">
            <v>322562436.94999999</v>
          </cell>
          <cell r="ED50">
            <v>322562436.94999999</v>
          </cell>
          <cell r="EE50">
            <v>322562436.94999999</v>
          </cell>
          <cell r="EF50">
            <v>322562436.94999999</v>
          </cell>
          <cell r="EG50">
            <v>322562436.94999999</v>
          </cell>
          <cell r="EH50">
            <v>322562436.94999999</v>
          </cell>
          <cell r="EI50">
            <v>322562436.94999999</v>
          </cell>
          <cell r="EJ50">
            <v>322562436.94999999</v>
          </cell>
          <cell r="EK50">
            <v>322562436.94999999</v>
          </cell>
          <cell r="EL50">
            <v>322562436.94999999</v>
          </cell>
          <cell r="EM50">
            <v>322562436.94999999</v>
          </cell>
          <cell r="EN50">
            <v>322562436.94999999</v>
          </cell>
          <cell r="EO50">
            <v>274474720.47000003</v>
          </cell>
          <cell r="EP50">
            <v>370650153.42999995</v>
          </cell>
          <cell r="EQ50">
            <v>322562436.94999999</v>
          </cell>
          <cell r="ER50">
            <v>322562436.94999999</v>
          </cell>
          <cell r="ES50">
            <v>0</v>
          </cell>
          <cell r="ET50">
            <v>0</v>
          </cell>
          <cell r="EU50">
            <v>0</v>
          </cell>
          <cell r="EV50">
            <v>0</v>
          </cell>
          <cell r="EW50">
            <v>0</v>
          </cell>
          <cell r="EX50">
            <v>0</v>
          </cell>
          <cell r="EY50">
            <v>0</v>
          </cell>
          <cell r="EZ50">
            <v>0</v>
          </cell>
          <cell r="FA50">
            <v>0</v>
          </cell>
          <cell r="FB50">
            <v>0</v>
          </cell>
          <cell r="FC50">
            <v>0</v>
          </cell>
          <cell r="FD50">
            <v>48087716.479999959</v>
          </cell>
          <cell r="FE50">
            <v>274474720.47000003</v>
          </cell>
          <cell r="FF50">
            <v>328820321.01295</v>
          </cell>
          <cell r="FG50">
            <v>303390589.43716002</v>
          </cell>
          <cell r="FH50">
            <v>0</v>
          </cell>
          <cell r="FI50">
            <v>0</v>
          </cell>
          <cell r="FJ50">
            <v>313873908.51420999</v>
          </cell>
          <cell r="FK50">
            <v>313873908.51420999</v>
          </cell>
          <cell r="FL50">
            <v>313873908.51420999</v>
          </cell>
          <cell r="FM50">
            <v>0</v>
          </cell>
          <cell r="FN50">
            <v>322418309.43131</v>
          </cell>
          <cell r="FO50">
            <v>322418309.43131</v>
          </cell>
          <cell r="FP50">
            <v>322418309.43131</v>
          </cell>
          <cell r="FQ50">
            <v>322562436.94999999</v>
          </cell>
          <cell r="FR50">
            <v>0</v>
          </cell>
          <cell r="FS50">
            <v>312069261.53534001</v>
          </cell>
          <cell r="FT50">
            <v>312069261.53534001</v>
          </cell>
          <cell r="FU50">
            <v>312069261.53534001</v>
          </cell>
          <cell r="FV50">
            <v>312069261.53534001</v>
          </cell>
          <cell r="FW50">
            <v>312069261.53534001</v>
          </cell>
          <cell r="FX50">
            <v>312069261.53534001</v>
          </cell>
          <cell r="FY50">
            <v>312069261.53534001</v>
          </cell>
          <cell r="FZ50">
            <v>320565514.78226</v>
          </cell>
          <cell r="GA50">
            <v>322562436.94999999</v>
          </cell>
          <cell r="GB50">
            <v>322562436.94999999</v>
          </cell>
          <cell r="GC50">
            <v>322562436.94999999</v>
          </cell>
          <cell r="GD50">
            <v>322562436.94999999</v>
          </cell>
          <cell r="GE50">
            <v>322562436.94999999</v>
          </cell>
          <cell r="GF50">
            <v>322562436.94999999</v>
          </cell>
          <cell r="GG50">
            <v>322562436.94999999</v>
          </cell>
          <cell r="GH50">
            <v>322562436.94999999</v>
          </cell>
          <cell r="GI50">
            <v>322562436.94999999</v>
          </cell>
          <cell r="GJ50">
            <v>322562436.94999999</v>
          </cell>
          <cell r="GK50">
            <v>322562436.94999999</v>
          </cell>
          <cell r="GL50">
            <v>322562436.94999999</v>
          </cell>
          <cell r="GM50">
            <v>322562436.94999999</v>
          </cell>
          <cell r="GN50">
            <v>322562436.94999999</v>
          </cell>
          <cell r="GO50">
            <v>322562436.94999999</v>
          </cell>
          <cell r="GP50">
            <v>322562436.94999999</v>
          </cell>
          <cell r="GQ50">
            <v>322562436.94999999</v>
          </cell>
          <cell r="GR50">
            <v>322562436.94999999</v>
          </cell>
          <cell r="GS50">
            <v>322562436.94999999</v>
          </cell>
          <cell r="GT50">
            <v>322562436.94999999</v>
          </cell>
          <cell r="GU50">
            <v>0</v>
          </cell>
          <cell r="GZ50">
            <v>0</v>
          </cell>
        </row>
        <row r="51">
          <cell r="A51" t="str">
            <v>F_CNP_RFF_RET_IND_FRCE_700</v>
          </cell>
          <cell r="B51">
            <v>43778249.960000001</v>
          </cell>
          <cell r="D51">
            <v>50807670.399999999</v>
          </cell>
          <cell r="E51">
            <v>50807670.399999999</v>
          </cell>
          <cell r="F51">
            <v>50807670.399999999</v>
          </cell>
          <cell r="G51">
            <v>50807670.399999999</v>
          </cell>
          <cell r="H51">
            <v>0</v>
          </cell>
          <cell r="I51">
            <v>0</v>
          </cell>
          <cell r="J51">
            <v>50807670.399999999</v>
          </cell>
          <cell r="K51">
            <v>50807670.399999999</v>
          </cell>
          <cell r="L51">
            <v>50807670.399999999</v>
          </cell>
          <cell r="M51">
            <v>0</v>
          </cell>
          <cell r="N51">
            <v>50807670.399999999</v>
          </cell>
          <cell r="O51">
            <v>50807670.399999999</v>
          </cell>
          <cell r="P51">
            <v>50807670.399999999</v>
          </cell>
          <cell r="Q51">
            <v>50807670.399999999</v>
          </cell>
          <cell r="R51">
            <v>0</v>
          </cell>
          <cell r="S51">
            <v>50807670.399999999</v>
          </cell>
          <cell r="T51">
            <v>50807670.399999999</v>
          </cell>
          <cell r="U51">
            <v>50807670.399999999</v>
          </cell>
          <cell r="V51">
            <v>50807670.399999999</v>
          </cell>
          <cell r="W51">
            <v>50807670.399999999</v>
          </cell>
          <cell r="X51">
            <v>50807670.399999999</v>
          </cell>
          <cell r="Y51">
            <v>50807670.399999999</v>
          </cell>
          <cell r="Z51">
            <v>50807670.399999999</v>
          </cell>
          <cell r="AA51">
            <v>50807670.399999999</v>
          </cell>
          <cell r="AB51">
            <v>51779258.412239999</v>
          </cell>
          <cell r="AC51">
            <v>47651203.693959996</v>
          </cell>
          <cell r="AD51">
            <v>0</v>
          </cell>
          <cell r="AE51">
            <v>0</v>
          </cell>
          <cell r="AF51">
            <v>49805075.018269993</v>
          </cell>
          <cell r="AG51">
            <v>49805075.018269993</v>
          </cell>
          <cell r="AH51">
            <v>49805075.018269993</v>
          </cell>
          <cell r="AI51">
            <v>0</v>
          </cell>
          <cell r="AJ51">
            <v>50778844.895230003</v>
          </cell>
          <cell r="AK51">
            <v>50778844.895230003</v>
          </cell>
          <cell r="AL51">
            <v>50778844.895230003</v>
          </cell>
          <cell r="AM51">
            <v>50807670.399999999</v>
          </cell>
          <cell r="AN51">
            <v>0</v>
          </cell>
          <cell r="AO51">
            <v>48777892.510669999</v>
          </cell>
          <cell r="AP51">
            <v>48777892.510669999</v>
          </cell>
          <cell r="AQ51">
            <v>48777892.510669999</v>
          </cell>
          <cell r="AR51">
            <v>48777892.510669999</v>
          </cell>
          <cell r="AS51">
            <v>48777892.510669999</v>
          </cell>
          <cell r="AT51">
            <v>48777892.510669999</v>
          </cell>
          <cell r="AU51">
            <v>48777892.510669999</v>
          </cell>
          <cell r="AV51">
            <v>50636359.422169998</v>
          </cell>
          <cell r="AW51">
            <v>50807670.399999999</v>
          </cell>
          <cell r="AX51">
            <v>50807670.399999999</v>
          </cell>
          <cell r="AY51">
            <v>50807670.399999999</v>
          </cell>
          <cell r="AZ51">
            <v>0</v>
          </cell>
          <cell r="BA51">
            <v>0</v>
          </cell>
          <cell r="BB51">
            <v>50807670.399999999</v>
          </cell>
          <cell r="BC51">
            <v>50807670.399999999</v>
          </cell>
          <cell r="BD51">
            <v>50807670.399999999</v>
          </cell>
          <cell r="BE51">
            <v>0</v>
          </cell>
          <cell r="BF51">
            <v>50807670.399999999</v>
          </cell>
          <cell r="BG51">
            <v>50807670.399999999</v>
          </cell>
          <cell r="BH51">
            <v>50807670.399999999</v>
          </cell>
          <cell r="BI51">
            <v>50807670.399999999</v>
          </cell>
          <cell r="BJ51">
            <v>0</v>
          </cell>
          <cell r="BK51">
            <v>50807670.399999999</v>
          </cell>
          <cell r="BL51">
            <v>50807670.399999999</v>
          </cell>
          <cell r="BM51">
            <v>50807670.399999999</v>
          </cell>
          <cell r="BN51">
            <v>50807670.399999999</v>
          </cell>
          <cell r="BO51">
            <v>50807670.399999999</v>
          </cell>
          <cell r="BP51">
            <v>50807670.399999999</v>
          </cell>
          <cell r="BQ51">
            <v>50807670.399999999</v>
          </cell>
          <cell r="BR51">
            <v>50807670.399999999</v>
          </cell>
          <cell r="BS51">
            <v>50807670.399999999</v>
          </cell>
          <cell r="BT51">
            <v>50807670.399999999</v>
          </cell>
          <cell r="BU51">
            <v>50807670.399999999</v>
          </cell>
          <cell r="BV51">
            <v>0</v>
          </cell>
          <cell r="BW51">
            <v>0</v>
          </cell>
          <cell r="BX51">
            <v>50807670.399999999</v>
          </cell>
          <cell r="BY51">
            <v>50807670.399999999</v>
          </cell>
          <cell r="BZ51">
            <v>50807670.399999999</v>
          </cell>
          <cell r="CA51">
            <v>0</v>
          </cell>
          <cell r="CB51">
            <v>50807670.399999999</v>
          </cell>
          <cell r="CC51">
            <v>50807670.399999999</v>
          </cell>
          <cell r="CD51">
            <v>50807670.399999999</v>
          </cell>
          <cell r="CE51">
            <v>50807670.399999999</v>
          </cell>
          <cell r="CF51">
            <v>0</v>
          </cell>
          <cell r="CG51">
            <v>50807670.399999999</v>
          </cell>
          <cell r="CH51">
            <v>50807670.399999999</v>
          </cell>
          <cell r="CI51">
            <v>50807670.399999999</v>
          </cell>
          <cell r="CJ51">
            <v>50807670.399999999</v>
          </cell>
          <cell r="CK51">
            <v>50807670.399999999</v>
          </cell>
          <cell r="CL51">
            <v>50807670.399999999</v>
          </cell>
          <cell r="CM51">
            <v>50807670.399999999</v>
          </cell>
          <cell r="CN51">
            <v>50807670.399999999</v>
          </cell>
          <cell r="CO51">
            <v>50807670.399999999</v>
          </cell>
          <cell r="CP51">
            <v>50807670.399999999</v>
          </cell>
          <cell r="CQ51">
            <v>50807670.399999999</v>
          </cell>
          <cell r="CR51">
            <v>50807670.399999999</v>
          </cell>
          <cell r="CS51">
            <v>50807670.399999999</v>
          </cell>
          <cell r="CT51">
            <v>50807670.399999999</v>
          </cell>
          <cell r="CU51">
            <v>50807670.399999999</v>
          </cell>
          <cell r="CV51">
            <v>50807670.399999999</v>
          </cell>
          <cell r="CW51">
            <v>50807670.399999999</v>
          </cell>
          <cell r="CX51">
            <v>50807670.399999999</v>
          </cell>
          <cell r="CY51">
            <v>50807670.399999999</v>
          </cell>
          <cell r="CZ51">
            <v>50807670.399999999</v>
          </cell>
          <cell r="DA51">
            <v>50807670.399999999</v>
          </cell>
          <cell r="DB51">
            <v>50807670.399999999</v>
          </cell>
          <cell r="DC51">
            <v>50807670.399999999</v>
          </cell>
          <cell r="DD51">
            <v>50807670.399999999</v>
          </cell>
          <cell r="DE51">
            <v>43778249.960000001</v>
          </cell>
          <cell r="DF51">
            <v>57837090.839999996</v>
          </cell>
          <cell r="DG51">
            <v>50807670.399999999</v>
          </cell>
          <cell r="DH51">
            <v>50807670.399999999</v>
          </cell>
          <cell r="DI51">
            <v>50807670.399999999</v>
          </cell>
          <cell r="DJ51">
            <v>0</v>
          </cell>
          <cell r="DK51">
            <v>0</v>
          </cell>
          <cell r="DL51">
            <v>0</v>
          </cell>
          <cell r="DM51">
            <v>0</v>
          </cell>
          <cell r="DN51">
            <v>0</v>
          </cell>
          <cell r="DO51">
            <v>0</v>
          </cell>
          <cell r="DP51">
            <v>0</v>
          </cell>
          <cell r="DQ51">
            <v>0</v>
          </cell>
          <cell r="DR51">
            <v>0</v>
          </cell>
          <cell r="DS51">
            <v>0</v>
          </cell>
          <cell r="DT51">
            <v>0</v>
          </cell>
          <cell r="DU51">
            <v>0</v>
          </cell>
          <cell r="DV51">
            <v>0</v>
          </cell>
          <cell r="DW51">
            <v>0</v>
          </cell>
          <cell r="DX51" t="str">
            <v/>
          </cell>
          <cell r="DY51" t="str">
            <v/>
          </cell>
          <cell r="DZ51" t="str">
            <v/>
          </cell>
          <cell r="EA51">
            <v>50807670.399999999</v>
          </cell>
          <cell r="EB51">
            <v>50807670.399999999</v>
          </cell>
          <cell r="EC51">
            <v>50807670.399999999</v>
          </cell>
          <cell r="ED51">
            <v>50807670.399999999</v>
          </cell>
          <cell r="EE51">
            <v>50807670.399999999</v>
          </cell>
          <cell r="EF51">
            <v>50807670.399999999</v>
          </cell>
          <cell r="EG51">
            <v>50807670.399999999</v>
          </cell>
          <cell r="EH51">
            <v>50807670.399999999</v>
          </cell>
          <cell r="EI51">
            <v>50807670.399999999</v>
          </cell>
          <cell r="EJ51">
            <v>50807670.399999999</v>
          </cell>
          <cell r="EK51">
            <v>50807670.399999999</v>
          </cell>
          <cell r="EL51">
            <v>50807670.399999999</v>
          </cell>
          <cell r="EM51">
            <v>50807670.399999999</v>
          </cell>
          <cell r="EN51">
            <v>50807670.399999999</v>
          </cell>
          <cell r="EO51">
            <v>43778249.960000001</v>
          </cell>
          <cell r="EP51">
            <v>57837090.839999996</v>
          </cell>
          <cell r="EQ51">
            <v>50807670.399999999</v>
          </cell>
          <cell r="ER51">
            <v>50807670.399999999</v>
          </cell>
          <cell r="ES51">
            <v>0</v>
          </cell>
          <cell r="ET51">
            <v>0</v>
          </cell>
          <cell r="EU51">
            <v>0</v>
          </cell>
          <cell r="EV51">
            <v>0</v>
          </cell>
          <cell r="EW51">
            <v>0</v>
          </cell>
          <cell r="EX51">
            <v>0</v>
          </cell>
          <cell r="EY51">
            <v>0</v>
          </cell>
          <cell r="EZ51">
            <v>0</v>
          </cell>
          <cell r="FA51">
            <v>0</v>
          </cell>
          <cell r="FB51">
            <v>0</v>
          </cell>
          <cell r="FC51">
            <v>0</v>
          </cell>
          <cell r="FD51">
            <v>7029420.4399999976</v>
          </cell>
          <cell r="FE51">
            <v>43778249.960000001</v>
          </cell>
          <cell r="FF51">
            <v>51779258.412239999</v>
          </cell>
          <cell r="FG51">
            <v>47651203.693959996</v>
          </cell>
          <cell r="FH51">
            <v>0</v>
          </cell>
          <cell r="FI51">
            <v>0</v>
          </cell>
          <cell r="FJ51">
            <v>49805075.018269993</v>
          </cell>
          <cell r="FK51">
            <v>49805075.018269993</v>
          </cell>
          <cell r="FL51">
            <v>49805075.018269993</v>
          </cell>
          <cell r="FM51">
            <v>0</v>
          </cell>
          <cell r="FN51">
            <v>50778844.895230003</v>
          </cell>
          <cell r="FO51">
            <v>50778844.895230003</v>
          </cell>
          <cell r="FP51">
            <v>50778844.895230003</v>
          </cell>
          <cell r="FQ51">
            <v>50807670.399999999</v>
          </cell>
          <cell r="FR51">
            <v>0</v>
          </cell>
          <cell r="FS51">
            <v>48777892.510669999</v>
          </cell>
          <cell r="FT51">
            <v>48777892.510669999</v>
          </cell>
          <cell r="FU51">
            <v>48777892.510669999</v>
          </cell>
          <cell r="FV51">
            <v>48777892.510669999</v>
          </cell>
          <cell r="FW51">
            <v>48777892.510669999</v>
          </cell>
          <cell r="FX51">
            <v>48777892.510669999</v>
          </cell>
          <cell r="FY51">
            <v>48777892.510669999</v>
          </cell>
          <cell r="FZ51">
            <v>50636359.422169998</v>
          </cell>
          <cell r="GA51">
            <v>50807670.399999999</v>
          </cell>
          <cell r="GB51">
            <v>50807670.399999999</v>
          </cell>
          <cell r="GC51">
            <v>50807670.399999999</v>
          </cell>
          <cell r="GD51">
            <v>50807670.399999999</v>
          </cell>
          <cell r="GE51">
            <v>50807670.399999999</v>
          </cell>
          <cell r="GF51">
            <v>50807670.399999999</v>
          </cell>
          <cell r="GG51">
            <v>50807670.399999999</v>
          </cell>
          <cell r="GH51">
            <v>50807670.399999999</v>
          </cell>
          <cell r="GI51">
            <v>50807670.399999999</v>
          </cell>
          <cell r="GJ51">
            <v>50807670.399999999</v>
          </cell>
          <cell r="GK51">
            <v>50807670.399999999</v>
          </cell>
          <cell r="GL51">
            <v>50807670.399999999</v>
          </cell>
          <cell r="GM51">
            <v>50807670.399999999</v>
          </cell>
          <cell r="GN51">
            <v>50807670.399999999</v>
          </cell>
          <cell r="GO51">
            <v>50807670.399999999</v>
          </cell>
          <cell r="GP51">
            <v>50807670.399999999</v>
          </cell>
          <cell r="GQ51">
            <v>50807670.399999999</v>
          </cell>
          <cell r="GR51">
            <v>50807670.399999999</v>
          </cell>
          <cell r="GS51">
            <v>50807670.399999999</v>
          </cell>
          <cell r="GT51">
            <v>50807670.399999999</v>
          </cell>
          <cell r="GU51">
            <v>0</v>
          </cell>
          <cell r="GZ51">
            <v>0</v>
          </cell>
        </row>
        <row r="52">
          <cell r="A52" t="str">
            <v>F_CNP_RFF_RET_IND_FRCE_701</v>
          </cell>
          <cell r="B52">
            <v>-164.87</v>
          </cell>
          <cell r="D52">
            <v>-164.87</v>
          </cell>
          <cell r="E52">
            <v>-164.87</v>
          </cell>
          <cell r="F52">
            <v>-164.87</v>
          </cell>
          <cell r="G52">
            <v>-164.87</v>
          </cell>
          <cell r="H52">
            <v>0</v>
          </cell>
          <cell r="I52">
            <v>0</v>
          </cell>
          <cell r="J52">
            <v>-164.87</v>
          </cell>
          <cell r="K52">
            <v>-164.87</v>
          </cell>
          <cell r="L52">
            <v>-164.87</v>
          </cell>
          <cell r="M52">
            <v>0</v>
          </cell>
          <cell r="N52">
            <v>-164.87</v>
          </cell>
          <cell r="O52">
            <v>-164.87</v>
          </cell>
          <cell r="P52">
            <v>-164.87</v>
          </cell>
          <cell r="Q52">
            <v>-164.87</v>
          </cell>
          <cell r="R52">
            <v>0</v>
          </cell>
          <cell r="S52">
            <v>-164.87</v>
          </cell>
          <cell r="T52">
            <v>-164.87</v>
          </cell>
          <cell r="U52">
            <v>-164.87</v>
          </cell>
          <cell r="V52">
            <v>-164.87</v>
          </cell>
          <cell r="W52">
            <v>-164.87</v>
          </cell>
          <cell r="X52">
            <v>-164.87</v>
          </cell>
          <cell r="Y52">
            <v>-164.87</v>
          </cell>
          <cell r="Z52">
            <v>-164.87</v>
          </cell>
          <cell r="AA52">
            <v>-164.87</v>
          </cell>
          <cell r="AB52">
            <v>-164.87</v>
          </cell>
          <cell r="AC52">
            <v>-164.87</v>
          </cell>
          <cell r="AD52">
            <v>0</v>
          </cell>
          <cell r="AE52">
            <v>0</v>
          </cell>
          <cell r="AF52">
            <v>-164.87</v>
          </cell>
          <cell r="AG52">
            <v>-164.87</v>
          </cell>
          <cell r="AH52">
            <v>-164.87</v>
          </cell>
          <cell r="AI52">
            <v>0</v>
          </cell>
          <cell r="AJ52">
            <v>-164.87</v>
          </cell>
          <cell r="AK52">
            <v>-164.87</v>
          </cell>
          <cell r="AL52">
            <v>-164.87</v>
          </cell>
          <cell r="AM52">
            <v>-164.87</v>
          </cell>
          <cell r="AN52">
            <v>0</v>
          </cell>
          <cell r="AO52">
            <v>-164.87</v>
          </cell>
          <cell r="AP52">
            <v>-164.87</v>
          </cell>
          <cell r="AQ52">
            <v>-164.87</v>
          </cell>
          <cell r="AR52">
            <v>-164.87</v>
          </cell>
          <cell r="AS52">
            <v>-164.87</v>
          </cell>
          <cell r="AT52">
            <v>-164.87</v>
          </cell>
          <cell r="AU52">
            <v>-164.87</v>
          </cell>
          <cell r="AV52">
            <v>-164.87</v>
          </cell>
          <cell r="AW52">
            <v>-164.87</v>
          </cell>
          <cell r="AX52">
            <v>-164.87</v>
          </cell>
          <cell r="AY52">
            <v>-164.87</v>
          </cell>
          <cell r="AZ52">
            <v>0</v>
          </cell>
          <cell r="BA52">
            <v>0</v>
          </cell>
          <cell r="BB52">
            <v>-164.87</v>
          </cell>
          <cell r="BC52">
            <v>-164.87</v>
          </cell>
          <cell r="BD52">
            <v>-164.87</v>
          </cell>
          <cell r="BE52">
            <v>0</v>
          </cell>
          <cell r="BF52">
            <v>-164.87</v>
          </cell>
          <cell r="BG52">
            <v>-164.87</v>
          </cell>
          <cell r="BH52">
            <v>-164.87</v>
          </cell>
          <cell r="BI52">
            <v>-164.87</v>
          </cell>
          <cell r="BJ52">
            <v>0</v>
          </cell>
          <cell r="BK52">
            <v>-164.87</v>
          </cell>
          <cell r="BL52">
            <v>-164.87</v>
          </cell>
          <cell r="BM52">
            <v>-164.87</v>
          </cell>
          <cell r="BN52">
            <v>-164.87</v>
          </cell>
          <cell r="BO52">
            <v>-164.87</v>
          </cell>
          <cell r="BP52">
            <v>-164.87</v>
          </cell>
          <cell r="BQ52">
            <v>-164.87</v>
          </cell>
          <cell r="BR52">
            <v>-164.87</v>
          </cell>
          <cell r="BS52">
            <v>-164.87</v>
          </cell>
          <cell r="BT52">
            <v>-164.87</v>
          </cell>
          <cell r="BU52">
            <v>-164.87</v>
          </cell>
          <cell r="BV52">
            <v>0</v>
          </cell>
          <cell r="BW52">
            <v>0</v>
          </cell>
          <cell r="BX52">
            <v>-164.87</v>
          </cell>
          <cell r="BY52">
            <v>-164.87</v>
          </cell>
          <cell r="BZ52">
            <v>-164.87</v>
          </cell>
          <cell r="CA52">
            <v>0</v>
          </cell>
          <cell r="CB52">
            <v>-164.87</v>
          </cell>
          <cell r="CC52">
            <v>-164.87</v>
          </cell>
          <cell r="CD52">
            <v>-164.87</v>
          </cell>
          <cell r="CE52">
            <v>-164.87</v>
          </cell>
          <cell r="CF52">
            <v>0</v>
          </cell>
          <cell r="CG52">
            <v>-164.87</v>
          </cell>
          <cell r="CH52">
            <v>-164.87</v>
          </cell>
          <cell r="CI52">
            <v>-164.87</v>
          </cell>
          <cell r="CJ52">
            <v>-164.87</v>
          </cell>
          <cell r="CK52">
            <v>-164.87</v>
          </cell>
          <cell r="CL52">
            <v>-164.87</v>
          </cell>
          <cell r="CM52">
            <v>-164.87</v>
          </cell>
          <cell r="CN52">
            <v>-164.87</v>
          </cell>
          <cell r="CO52">
            <v>-164.87</v>
          </cell>
          <cell r="CP52">
            <v>-164.87</v>
          </cell>
          <cell r="CQ52">
            <v>-164.87</v>
          </cell>
          <cell r="CR52">
            <v>-164.87</v>
          </cell>
          <cell r="CS52">
            <v>-164.87</v>
          </cell>
          <cell r="CT52">
            <v>-164.87</v>
          </cell>
          <cell r="CU52">
            <v>-164.87</v>
          </cell>
          <cell r="CV52">
            <v>-164.87</v>
          </cell>
          <cell r="CW52">
            <v>-164.87</v>
          </cell>
          <cell r="CX52">
            <v>-164.87</v>
          </cell>
          <cell r="CY52">
            <v>-164.87</v>
          </cell>
          <cell r="CZ52">
            <v>-164.87</v>
          </cell>
          <cell r="DA52">
            <v>-164.87</v>
          </cell>
          <cell r="DB52">
            <v>-164.87</v>
          </cell>
          <cell r="DC52">
            <v>-164.87</v>
          </cell>
          <cell r="DD52">
            <v>-164.87</v>
          </cell>
          <cell r="DE52">
            <v>-164.87</v>
          </cell>
          <cell r="DF52">
            <v>-164.87</v>
          </cell>
          <cell r="DG52">
            <v>-164.87</v>
          </cell>
          <cell r="DH52">
            <v>-164.87</v>
          </cell>
          <cell r="DI52">
            <v>-164.87</v>
          </cell>
          <cell r="DJ52">
            <v>0</v>
          </cell>
          <cell r="DK52">
            <v>0</v>
          </cell>
          <cell r="DL52">
            <v>0</v>
          </cell>
          <cell r="DM52">
            <v>0</v>
          </cell>
          <cell r="DN52">
            <v>0</v>
          </cell>
          <cell r="DO52">
            <v>0</v>
          </cell>
          <cell r="DP52">
            <v>0</v>
          </cell>
          <cell r="DQ52">
            <v>0</v>
          </cell>
          <cell r="DR52">
            <v>0</v>
          </cell>
          <cell r="DS52">
            <v>0</v>
          </cell>
          <cell r="DT52">
            <v>0</v>
          </cell>
          <cell r="DU52">
            <v>0</v>
          </cell>
          <cell r="DV52">
            <v>0</v>
          </cell>
          <cell r="DW52">
            <v>0</v>
          </cell>
          <cell r="DX52" t="str">
            <v/>
          </cell>
          <cell r="DY52" t="str">
            <v/>
          </cell>
          <cell r="DZ52" t="str">
            <v/>
          </cell>
          <cell r="EA52">
            <v>-164.87</v>
          </cell>
          <cell r="EB52">
            <v>-164.87</v>
          </cell>
          <cell r="EC52">
            <v>-164.87</v>
          </cell>
          <cell r="ED52">
            <v>-164.87</v>
          </cell>
          <cell r="EE52">
            <v>-164.87</v>
          </cell>
          <cell r="EF52">
            <v>-164.87</v>
          </cell>
          <cell r="EG52">
            <v>-164.87</v>
          </cell>
          <cell r="EH52">
            <v>-164.87</v>
          </cell>
          <cell r="EI52">
            <v>-164.87</v>
          </cell>
          <cell r="EJ52">
            <v>-164.87</v>
          </cell>
          <cell r="EK52">
            <v>-164.87</v>
          </cell>
          <cell r="EL52">
            <v>-164.87</v>
          </cell>
          <cell r="EM52">
            <v>-164.87</v>
          </cell>
          <cell r="EN52">
            <v>-164.87</v>
          </cell>
          <cell r="EO52">
            <v>-164.87</v>
          </cell>
          <cell r="EP52">
            <v>-164.87</v>
          </cell>
          <cell r="EQ52">
            <v>-164.87</v>
          </cell>
          <cell r="ER52">
            <v>-164.87</v>
          </cell>
          <cell r="ES52">
            <v>0</v>
          </cell>
          <cell r="ET52">
            <v>0</v>
          </cell>
          <cell r="EU52">
            <v>0</v>
          </cell>
          <cell r="EV52">
            <v>0</v>
          </cell>
          <cell r="EW52">
            <v>0</v>
          </cell>
          <cell r="EX52">
            <v>0</v>
          </cell>
          <cell r="EY52">
            <v>0</v>
          </cell>
          <cell r="EZ52">
            <v>0</v>
          </cell>
          <cell r="FA52">
            <v>0</v>
          </cell>
          <cell r="FB52">
            <v>0</v>
          </cell>
          <cell r="FC52">
            <v>0</v>
          </cell>
          <cell r="FD52">
            <v>0</v>
          </cell>
          <cell r="FE52">
            <v>-164.87</v>
          </cell>
          <cell r="FF52">
            <v>-164.87</v>
          </cell>
          <cell r="FG52">
            <v>-164.87</v>
          </cell>
          <cell r="FH52">
            <v>0</v>
          </cell>
          <cell r="FI52">
            <v>0</v>
          </cell>
          <cell r="FJ52">
            <v>-164.87</v>
          </cell>
          <cell r="FK52">
            <v>-164.87</v>
          </cell>
          <cell r="FL52">
            <v>-164.87</v>
          </cell>
          <cell r="FM52">
            <v>0</v>
          </cell>
          <cell r="FN52">
            <v>-164.87</v>
          </cell>
          <cell r="FO52">
            <v>-164.87</v>
          </cell>
          <cell r="FP52">
            <v>-164.87</v>
          </cell>
          <cell r="FQ52">
            <v>-164.87</v>
          </cell>
          <cell r="FR52">
            <v>0</v>
          </cell>
          <cell r="FS52">
            <v>-164.87</v>
          </cell>
          <cell r="FT52">
            <v>-164.87</v>
          </cell>
          <cell r="FU52">
            <v>-164.87</v>
          </cell>
          <cell r="FV52">
            <v>-164.87</v>
          </cell>
          <cell r="FW52">
            <v>-164.87</v>
          </cell>
          <cell r="FX52">
            <v>-164.87</v>
          </cell>
          <cell r="FY52">
            <v>-164.87</v>
          </cell>
          <cell r="FZ52">
            <v>-164.87</v>
          </cell>
          <cell r="GA52">
            <v>-164.87</v>
          </cell>
          <cell r="GB52">
            <v>-164.87</v>
          </cell>
          <cell r="GC52">
            <v>-164.87</v>
          </cell>
          <cell r="GD52">
            <v>-164.87</v>
          </cell>
          <cell r="GE52">
            <v>-164.87</v>
          </cell>
          <cell r="GF52">
            <v>-164.87</v>
          </cell>
          <cell r="GG52">
            <v>-164.87</v>
          </cell>
          <cell r="GH52">
            <v>-164.87</v>
          </cell>
          <cell r="GI52">
            <v>-164.87</v>
          </cell>
          <cell r="GJ52">
            <v>-164.87</v>
          </cell>
          <cell r="GK52">
            <v>-164.87</v>
          </cell>
          <cell r="GL52">
            <v>-164.87</v>
          </cell>
          <cell r="GM52">
            <v>-164.87</v>
          </cell>
          <cell r="GN52">
            <v>-164.87</v>
          </cell>
          <cell r="GO52">
            <v>-164.87</v>
          </cell>
          <cell r="GP52">
            <v>-164.87</v>
          </cell>
          <cell r="GQ52">
            <v>-164.87</v>
          </cell>
          <cell r="GR52">
            <v>-164.87</v>
          </cell>
          <cell r="GS52">
            <v>-164.87</v>
          </cell>
          <cell r="GT52">
            <v>-164.87</v>
          </cell>
          <cell r="GU52">
            <v>0</v>
          </cell>
          <cell r="GZ52">
            <v>0</v>
          </cell>
        </row>
        <row r="53">
          <cell r="A53" t="str">
            <v>F_CNP_RFF_RET_IND_FRCE_702</v>
          </cell>
          <cell r="B53">
            <v>20913827.630000003</v>
          </cell>
          <cell r="D53">
            <v>24253778.182470001</v>
          </cell>
          <cell r="E53">
            <v>24226185.709369998</v>
          </cell>
          <cell r="F53">
            <v>24253778.182470001</v>
          </cell>
          <cell r="G53">
            <v>24253778.182470001</v>
          </cell>
          <cell r="H53">
            <v>0</v>
          </cell>
          <cell r="I53">
            <v>0</v>
          </cell>
          <cell r="J53">
            <v>24253778.182470001</v>
          </cell>
          <cell r="K53">
            <v>24253778.182470001</v>
          </cell>
          <cell r="L53">
            <v>24253778.182470001</v>
          </cell>
          <cell r="M53">
            <v>0</v>
          </cell>
          <cell r="N53">
            <v>24253778.182470001</v>
          </cell>
          <cell r="O53">
            <v>24253778.182470001</v>
          </cell>
          <cell r="P53">
            <v>24253778.182470001</v>
          </cell>
          <cell r="Q53">
            <v>24253778.182470001</v>
          </cell>
          <cell r="R53">
            <v>0</v>
          </cell>
          <cell r="S53">
            <v>24253778.182470001</v>
          </cell>
          <cell r="T53">
            <v>24253778.182470001</v>
          </cell>
          <cell r="U53">
            <v>24253778.182470001</v>
          </cell>
          <cell r="V53">
            <v>24253778.182470001</v>
          </cell>
          <cell r="W53">
            <v>24253778.182470001</v>
          </cell>
          <cell r="X53">
            <v>24253778.182470001</v>
          </cell>
          <cell r="Y53">
            <v>24253778.182470001</v>
          </cell>
          <cell r="Z53">
            <v>24253778.182470001</v>
          </cell>
          <cell r="AA53">
            <v>24253778.182470001</v>
          </cell>
          <cell r="AB53">
            <v>24870430.551569998</v>
          </cell>
          <cell r="AC53">
            <v>22493376.446589999</v>
          </cell>
          <cell r="AD53">
            <v>0</v>
          </cell>
          <cell r="AE53">
            <v>0</v>
          </cell>
          <cell r="AF53">
            <v>23740587.613940001</v>
          </cell>
          <cell r="AG53">
            <v>23740587.613940001</v>
          </cell>
          <cell r="AH53">
            <v>23740587.613940001</v>
          </cell>
          <cell r="AI53">
            <v>0</v>
          </cell>
          <cell r="AJ53">
            <v>24253778.182470001</v>
          </cell>
          <cell r="AK53">
            <v>24253778.182470001</v>
          </cell>
          <cell r="AL53">
            <v>24253778.182470001</v>
          </cell>
          <cell r="AM53">
            <v>24253778.182470001</v>
          </cell>
          <cell r="AN53">
            <v>0</v>
          </cell>
          <cell r="AO53">
            <v>23340016.807949997</v>
          </cell>
          <cell r="AP53">
            <v>23340016.807949997</v>
          </cell>
          <cell r="AQ53">
            <v>23340016.807949997</v>
          </cell>
          <cell r="AR53">
            <v>23340016.807949997</v>
          </cell>
          <cell r="AS53">
            <v>23340016.807949997</v>
          </cell>
          <cell r="AT53">
            <v>23340016.807949997</v>
          </cell>
          <cell r="AU53">
            <v>23340016.807949997</v>
          </cell>
          <cell r="AV53">
            <v>23881909.302379999</v>
          </cell>
          <cell r="AW53">
            <v>24253778.182470001</v>
          </cell>
          <cell r="AX53">
            <v>24226185.709369998</v>
          </cell>
          <cell r="AY53">
            <v>24226185.709369998</v>
          </cell>
          <cell r="AZ53">
            <v>0</v>
          </cell>
          <cell r="BA53">
            <v>0</v>
          </cell>
          <cell r="BB53">
            <v>24226185.709369998</v>
          </cell>
          <cell r="BC53">
            <v>24226185.709369998</v>
          </cell>
          <cell r="BD53">
            <v>24226185.709369998</v>
          </cell>
          <cell r="BE53">
            <v>0</v>
          </cell>
          <cell r="BF53">
            <v>24226185.709369998</v>
          </cell>
          <cell r="BG53">
            <v>24226185.709369998</v>
          </cell>
          <cell r="BH53">
            <v>24226185.709369998</v>
          </cell>
          <cell r="BI53">
            <v>24226185.709369998</v>
          </cell>
          <cell r="BJ53">
            <v>0</v>
          </cell>
          <cell r="BK53">
            <v>24226185.709369998</v>
          </cell>
          <cell r="BL53">
            <v>24226185.709369998</v>
          </cell>
          <cell r="BM53">
            <v>24226185.709369998</v>
          </cell>
          <cell r="BN53">
            <v>24226185.709369998</v>
          </cell>
          <cell r="BO53">
            <v>24226185.709369998</v>
          </cell>
          <cell r="BP53">
            <v>24226185.709369998</v>
          </cell>
          <cell r="BQ53">
            <v>24226185.709369998</v>
          </cell>
          <cell r="BR53">
            <v>24226185.709369998</v>
          </cell>
          <cell r="BS53">
            <v>24226185.709369998</v>
          </cell>
          <cell r="BT53">
            <v>24226185.709369998</v>
          </cell>
          <cell r="BU53">
            <v>24226185.709369998</v>
          </cell>
          <cell r="BV53">
            <v>0</v>
          </cell>
          <cell r="BW53">
            <v>0</v>
          </cell>
          <cell r="BX53">
            <v>24226185.709369998</v>
          </cell>
          <cell r="BY53">
            <v>24226185.709369998</v>
          </cell>
          <cell r="BZ53">
            <v>24226185.709369998</v>
          </cell>
          <cell r="CA53">
            <v>0</v>
          </cell>
          <cell r="CB53">
            <v>24226185.709369998</v>
          </cell>
          <cell r="CC53">
            <v>24226185.709369998</v>
          </cell>
          <cell r="CD53">
            <v>24226185.709369998</v>
          </cell>
          <cell r="CE53">
            <v>24226185.709369998</v>
          </cell>
          <cell r="CF53">
            <v>0</v>
          </cell>
          <cell r="CG53">
            <v>24226185.709369998</v>
          </cell>
          <cell r="CH53">
            <v>24226185.709369998</v>
          </cell>
          <cell r="CI53">
            <v>24226185.709369998</v>
          </cell>
          <cell r="CJ53">
            <v>24226185.709369998</v>
          </cell>
          <cell r="CK53">
            <v>24226185.709369998</v>
          </cell>
          <cell r="CL53">
            <v>24226185.709369998</v>
          </cell>
          <cell r="CM53">
            <v>24226185.709369998</v>
          </cell>
          <cell r="CN53">
            <v>24226185.709369998</v>
          </cell>
          <cell r="CO53">
            <v>24226185.709369998</v>
          </cell>
          <cell r="CP53">
            <v>24226185.709369998</v>
          </cell>
          <cell r="CQ53">
            <v>24226185.709369998</v>
          </cell>
          <cell r="CR53">
            <v>24226185.709369998</v>
          </cell>
          <cell r="CS53">
            <v>24226185.709369998</v>
          </cell>
          <cell r="CT53">
            <v>24226185.709369998</v>
          </cell>
          <cell r="CU53">
            <v>24226185.709369998</v>
          </cell>
          <cell r="CV53">
            <v>24226185.709369998</v>
          </cell>
          <cell r="CW53">
            <v>24226185.709369998</v>
          </cell>
          <cell r="CX53">
            <v>24226185.709369998</v>
          </cell>
          <cell r="CY53">
            <v>24226185.709369998</v>
          </cell>
          <cell r="CZ53">
            <v>24226185.709369998</v>
          </cell>
          <cell r="DA53">
            <v>24226185.709369998</v>
          </cell>
          <cell r="DB53">
            <v>24226185.709369998</v>
          </cell>
          <cell r="DC53">
            <v>24226185.709369998</v>
          </cell>
          <cell r="DD53">
            <v>24226185.709369998</v>
          </cell>
          <cell r="DE53">
            <v>20913827.630000003</v>
          </cell>
          <cell r="DF53">
            <v>27538543.788739994</v>
          </cell>
          <cell r="DG53">
            <v>24226185.709369998</v>
          </cell>
          <cell r="DH53">
            <v>24226185.709369998</v>
          </cell>
          <cell r="DI53">
            <v>24226185.709369998</v>
          </cell>
          <cell r="DJ53">
            <v>0</v>
          </cell>
          <cell r="DK53">
            <v>0</v>
          </cell>
          <cell r="DL53">
            <v>0</v>
          </cell>
          <cell r="DM53">
            <v>0</v>
          </cell>
          <cell r="DN53">
            <v>0</v>
          </cell>
          <cell r="DO53">
            <v>0</v>
          </cell>
          <cell r="DP53">
            <v>0</v>
          </cell>
          <cell r="DQ53">
            <v>0</v>
          </cell>
          <cell r="DR53">
            <v>0</v>
          </cell>
          <cell r="DS53">
            <v>0</v>
          </cell>
          <cell r="DT53">
            <v>0</v>
          </cell>
          <cell r="DU53">
            <v>0</v>
          </cell>
          <cell r="DV53">
            <v>0</v>
          </cell>
          <cell r="DW53">
            <v>0</v>
          </cell>
          <cell r="DX53" t="str">
            <v/>
          </cell>
          <cell r="DY53" t="str">
            <v/>
          </cell>
          <cell r="DZ53" t="str">
            <v/>
          </cell>
          <cell r="EA53">
            <v>24226185.709369998</v>
          </cell>
          <cell r="EB53">
            <v>24226185.709369998</v>
          </cell>
          <cell r="EC53">
            <v>24226185.709369998</v>
          </cell>
          <cell r="ED53">
            <v>24226185.709369998</v>
          </cell>
          <cell r="EE53">
            <v>24226185.709369998</v>
          </cell>
          <cell r="EF53">
            <v>24226185.709369998</v>
          </cell>
          <cell r="EG53">
            <v>24226185.709369998</v>
          </cell>
          <cell r="EH53">
            <v>24226185.709369998</v>
          </cell>
          <cell r="EI53">
            <v>24226185.709369998</v>
          </cell>
          <cell r="EJ53">
            <v>24226185.709369998</v>
          </cell>
          <cell r="EK53">
            <v>24226185.709369998</v>
          </cell>
          <cell r="EL53">
            <v>24226185.709369998</v>
          </cell>
          <cell r="EM53">
            <v>24226185.709369998</v>
          </cell>
          <cell r="EN53">
            <v>24226185.709369998</v>
          </cell>
          <cell r="EO53">
            <v>20913827.630000003</v>
          </cell>
          <cell r="EP53">
            <v>27538543.788739994</v>
          </cell>
          <cell r="EQ53">
            <v>24226185.709369998</v>
          </cell>
          <cell r="ER53">
            <v>24226185.709369998</v>
          </cell>
          <cell r="ES53">
            <v>0</v>
          </cell>
          <cell r="ET53">
            <v>0</v>
          </cell>
          <cell r="EU53">
            <v>0</v>
          </cell>
          <cell r="EV53">
            <v>0</v>
          </cell>
          <cell r="EW53">
            <v>0</v>
          </cell>
          <cell r="EX53">
            <v>0</v>
          </cell>
          <cell r="EY53">
            <v>0</v>
          </cell>
          <cell r="EZ53">
            <v>0</v>
          </cell>
          <cell r="FA53">
            <v>0</v>
          </cell>
          <cell r="FB53">
            <v>0</v>
          </cell>
          <cell r="FC53">
            <v>0</v>
          </cell>
          <cell r="FD53">
            <v>3312358.0793699957</v>
          </cell>
          <cell r="FE53">
            <v>20913827.630000003</v>
          </cell>
          <cell r="FF53">
            <v>24837743.702470001</v>
          </cell>
          <cell r="FG53">
            <v>22480327.253929999</v>
          </cell>
          <cell r="FH53">
            <v>0</v>
          </cell>
          <cell r="FI53">
            <v>0</v>
          </cell>
          <cell r="FJ53">
            <v>23717234.783519998</v>
          </cell>
          <cell r="FK53">
            <v>23717234.783519998</v>
          </cell>
          <cell r="FL53">
            <v>23717234.783519998</v>
          </cell>
          <cell r="FM53">
            <v>0</v>
          </cell>
          <cell r="FN53">
            <v>24226185.709369998</v>
          </cell>
          <cell r="FO53">
            <v>24226185.709369998</v>
          </cell>
          <cell r="FP53">
            <v>24226185.709369998</v>
          </cell>
          <cell r="FQ53">
            <v>24226185.709369998</v>
          </cell>
          <cell r="FR53">
            <v>0</v>
          </cell>
          <cell r="FS53">
            <v>23319973.22989</v>
          </cell>
          <cell r="FT53">
            <v>23319973.22989</v>
          </cell>
          <cell r="FU53">
            <v>23319973.22989</v>
          </cell>
          <cell r="FV53">
            <v>23319973.22989</v>
          </cell>
          <cell r="FW53">
            <v>23319973.22989</v>
          </cell>
          <cell r="FX53">
            <v>23319973.22989</v>
          </cell>
          <cell r="FY53">
            <v>23319973.22989</v>
          </cell>
          <cell r="FZ53">
            <v>23857388.965190001</v>
          </cell>
          <cell r="GA53">
            <v>24226185.709369998</v>
          </cell>
          <cell r="GB53">
            <v>24226185.709369998</v>
          </cell>
          <cell r="GC53">
            <v>24226185.709369998</v>
          </cell>
          <cell r="GD53">
            <v>24226185.709369998</v>
          </cell>
          <cell r="GE53">
            <v>24226185.709369998</v>
          </cell>
          <cell r="GF53">
            <v>24226185.709369998</v>
          </cell>
          <cell r="GG53">
            <v>24226185.709369998</v>
          </cell>
          <cell r="GH53">
            <v>24226185.709369998</v>
          </cell>
          <cell r="GI53">
            <v>24226185.709369998</v>
          </cell>
          <cell r="GJ53">
            <v>24226185.709369998</v>
          </cell>
          <cell r="GK53">
            <v>24226185.709369998</v>
          </cell>
          <cell r="GL53">
            <v>24226185.709369998</v>
          </cell>
          <cell r="GM53">
            <v>24226185.709369998</v>
          </cell>
          <cell r="GN53">
            <v>24226185.709369998</v>
          </cell>
          <cell r="GO53">
            <v>24226185.709369998</v>
          </cell>
          <cell r="GP53">
            <v>24226185.709369998</v>
          </cell>
          <cell r="GQ53">
            <v>24226185.709369998</v>
          </cell>
          <cell r="GR53">
            <v>24226185.709369998</v>
          </cell>
          <cell r="GS53">
            <v>24226185.709369998</v>
          </cell>
          <cell r="GT53">
            <v>24226185.709369998</v>
          </cell>
          <cell r="GU53">
            <v>0</v>
          </cell>
          <cell r="GZ53">
            <v>0</v>
          </cell>
        </row>
        <row r="54">
          <cell r="A54" t="str">
            <v>F_CNP_RFF_RET_IND_FRCE_EVV</v>
          </cell>
          <cell r="B54">
            <v>2419443.02</v>
          </cell>
          <cell r="D54">
            <v>2420106.2200000002</v>
          </cell>
          <cell r="E54">
            <v>2420106.2200000002</v>
          </cell>
          <cell r="F54">
            <v>2420106.2200000002</v>
          </cell>
          <cell r="G54">
            <v>2420106.2200000002</v>
          </cell>
          <cell r="H54">
            <v>0</v>
          </cell>
          <cell r="I54">
            <v>0</v>
          </cell>
          <cell r="J54">
            <v>2420106.2200000002</v>
          </cell>
          <cell r="K54">
            <v>2420106.2200000002</v>
          </cell>
          <cell r="L54">
            <v>2420106.2200000002</v>
          </cell>
          <cell r="M54">
            <v>0</v>
          </cell>
          <cell r="N54">
            <v>2420106.2200000002</v>
          </cell>
          <cell r="O54">
            <v>2420106.2200000002</v>
          </cell>
          <cell r="P54">
            <v>2420106.2200000002</v>
          </cell>
          <cell r="Q54">
            <v>2420106.2200000002</v>
          </cell>
          <cell r="R54">
            <v>0</v>
          </cell>
          <cell r="S54">
            <v>2420106.2200000002</v>
          </cell>
          <cell r="T54">
            <v>2420106.2200000002</v>
          </cell>
          <cell r="U54">
            <v>2420106.2200000002</v>
          </cell>
          <cell r="V54">
            <v>2420106.2200000002</v>
          </cell>
          <cell r="W54">
            <v>2420106.2200000002</v>
          </cell>
          <cell r="X54">
            <v>2420106.2200000002</v>
          </cell>
          <cell r="Y54">
            <v>2420106.2200000002</v>
          </cell>
          <cell r="Z54">
            <v>2420106.2200000002</v>
          </cell>
          <cell r="AA54">
            <v>2420106.2200000002</v>
          </cell>
          <cell r="AB54">
            <v>2420115.6217100001</v>
          </cell>
          <cell r="AC54">
            <v>2420027.8785999999</v>
          </cell>
          <cell r="AD54">
            <v>0</v>
          </cell>
          <cell r="AE54">
            <v>0</v>
          </cell>
          <cell r="AF54">
            <v>1885818.5342000001</v>
          </cell>
          <cell r="AG54">
            <v>1885818.5342000001</v>
          </cell>
          <cell r="AH54">
            <v>1885818.5342000001</v>
          </cell>
          <cell r="AI54">
            <v>0</v>
          </cell>
          <cell r="AJ54">
            <v>2420106.2200000002</v>
          </cell>
          <cell r="AK54">
            <v>2420106.2200000002</v>
          </cell>
          <cell r="AL54">
            <v>2420106.2200000002</v>
          </cell>
          <cell r="AM54">
            <v>2415736.3624999998</v>
          </cell>
          <cell r="AN54">
            <v>0</v>
          </cell>
          <cell r="AO54">
            <v>2419933.8689199998</v>
          </cell>
          <cell r="AP54">
            <v>2419933.8689199998</v>
          </cell>
          <cell r="AQ54">
            <v>2419933.8689199998</v>
          </cell>
          <cell r="AR54">
            <v>2419933.8689199998</v>
          </cell>
          <cell r="AS54">
            <v>2419933.8689199998</v>
          </cell>
          <cell r="AT54">
            <v>2419933.8689199998</v>
          </cell>
          <cell r="AU54">
            <v>2419933.8689199998</v>
          </cell>
          <cell r="AV54">
            <v>2283553.6411299999</v>
          </cell>
          <cell r="AW54">
            <v>2420106.2200000002</v>
          </cell>
          <cell r="AX54">
            <v>2420106.2200000002</v>
          </cell>
          <cell r="AY54">
            <v>2420106.2200000002</v>
          </cell>
          <cell r="AZ54">
            <v>0</v>
          </cell>
          <cell r="BA54">
            <v>0</v>
          </cell>
          <cell r="BB54">
            <v>2420106.2200000002</v>
          </cell>
          <cell r="BC54">
            <v>2420106.2200000002</v>
          </cell>
          <cell r="BD54">
            <v>2420106.2200000002</v>
          </cell>
          <cell r="BE54">
            <v>0</v>
          </cell>
          <cell r="BF54">
            <v>2420106.2200000002</v>
          </cell>
          <cell r="BG54">
            <v>2420106.2200000002</v>
          </cell>
          <cell r="BH54">
            <v>2420106.2200000002</v>
          </cell>
          <cell r="BI54">
            <v>2420106.2200000002</v>
          </cell>
          <cell r="BJ54">
            <v>0</v>
          </cell>
          <cell r="BK54">
            <v>2420106.2200000002</v>
          </cell>
          <cell r="BL54">
            <v>2420106.2200000002</v>
          </cell>
          <cell r="BM54">
            <v>2420106.2200000002</v>
          </cell>
          <cell r="BN54">
            <v>2420106.2200000002</v>
          </cell>
          <cell r="BO54">
            <v>2420106.2200000002</v>
          </cell>
          <cell r="BP54">
            <v>2420106.2200000002</v>
          </cell>
          <cell r="BQ54">
            <v>2420106.2200000002</v>
          </cell>
          <cell r="BR54">
            <v>2420106.2200000002</v>
          </cell>
          <cell r="BS54">
            <v>2420106.2200000002</v>
          </cell>
          <cell r="BT54">
            <v>2420106.2200000002</v>
          </cell>
          <cell r="BU54">
            <v>2420106.2200000002</v>
          </cell>
          <cell r="BV54">
            <v>0</v>
          </cell>
          <cell r="BW54">
            <v>0</v>
          </cell>
          <cell r="BX54">
            <v>2420106.2200000002</v>
          </cell>
          <cell r="BY54">
            <v>2420106.2200000002</v>
          </cell>
          <cell r="BZ54">
            <v>2420106.2200000002</v>
          </cell>
          <cell r="CA54">
            <v>0</v>
          </cell>
          <cell r="CB54">
            <v>2420106.2200000002</v>
          </cell>
          <cell r="CC54">
            <v>2420106.2200000002</v>
          </cell>
          <cell r="CD54">
            <v>2420106.2200000002</v>
          </cell>
          <cell r="CE54">
            <v>2420106.2200000002</v>
          </cell>
          <cell r="CF54">
            <v>0</v>
          </cell>
          <cell r="CG54">
            <v>2420106.2200000002</v>
          </cell>
          <cell r="CH54">
            <v>2420106.2200000002</v>
          </cell>
          <cell r="CI54">
            <v>2420106.2200000002</v>
          </cell>
          <cell r="CJ54">
            <v>2420106.2200000002</v>
          </cell>
          <cell r="CK54">
            <v>2420106.2200000002</v>
          </cell>
          <cell r="CL54">
            <v>2420106.2200000002</v>
          </cell>
          <cell r="CM54">
            <v>2420106.2200000002</v>
          </cell>
          <cell r="CN54">
            <v>2420106.2200000002</v>
          </cell>
          <cell r="CO54">
            <v>2420106.2200000002</v>
          </cell>
          <cell r="CP54">
            <v>2420106.2200000002</v>
          </cell>
          <cell r="CQ54">
            <v>2420106.2200000002</v>
          </cell>
          <cell r="CR54">
            <v>2420106.2200000002</v>
          </cell>
          <cell r="CS54">
            <v>2420106.2200000002</v>
          </cell>
          <cell r="CT54">
            <v>2420106.2200000002</v>
          </cell>
          <cell r="CU54">
            <v>2420106.2200000002</v>
          </cell>
          <cell r="CV54">
            <v>2420106.2200000002</v>
          </cell>
          <cell r="CW54">
            <v>2420106.2200000002</v>
          </cell>
          <cell r="CX54">
            <v>2420106.2200000002</v>
          </cell>
          <cell r="CY54">
            <v>2420106.2200000002</v>
          </cell>
          <cell r="CZ54">
            <v>2420106.2200000002</v>
          </cell>
          <cell r="DA54">
            <v>2420106.2200000002</v>
          </cell>
          <cell r="DB54">
            <v>2420106.2200000002</v>
          </cell>
          <cell r="DC54">
            <v>2420106.2200000002</v>
          </cell>
          <cell r="DD54">
            <v>2420106.2200000002</v>
          </cell>
          <cell r="DE54">
            <v>2419443.02</v>
          </cell>
          <cell r="DF54">
            <v>2420769.4200000004</v>
          </cell>
          <cell r="DG54">
            <v>2420106.2200000002</v>
          </cell>
          <cell r="DH54">
            <v>2420106.2200000002</v>
          </cell>
          <cell r="DI54">
            <v>2420106.2200000002</v>
          </cell>
          <cell r="DJ54">
            <v>0</v>
          </cell>
          <cell r="DK54">
            <v>0</v>
          </cell>
          <cell r="DL54">
            <v>0</v>
          </cell>
          <cell r="DM54">
            <v>0</v>
          </cell>
          <cell r="DN54">
            <v>0</v>
          </cell>
          <cell r="DO54">
            <v>0</v>
          </cell>
          <cell r="DP54">
            <v>0</v>
          </cell>
          <cell r="DQ54">
            <v>0</v>
          </cell>
          <cell r="DR54">
            <v>0</v>
          </cell>
          <cell r="DS54">
            <v>0</v>
          </cell>
          <cell r="DT54">
            <v>0</v>
          </cell>
          <cell r="DU54">
            <v>0</v>
          </cell>
          <cell r="DV54">
            <v>0</v>
          </cell>
          <cell r="DW54">
            <v>0</v>
          </cell>
          <cell r="DX54" t="str">
            <v/>
          </cell>
          <cell r="DY54" t="str">
            <v/>
          </cell>
          <cell r="DZ54" t="str">
            <v/>
          </cell>
          <cell r="EA54">
            <v>2420106.2200000002</v>
          </cell>
          <cell r="EB54">
            <v>2420106.2200000002</v>
          </cell>
          <cell r="EC54">
            <v>2420106.2200000002</v>
          </cell>
          <cell r="ED54">
            <v>2420106.2200000002</v>
          </cell>
          <cell r="EE54">
            <v>2420106.2200000002</v>
          </cell>
          <cell r="EF54">
            <v>2420106.2200000002</v>
          </cell>
          <cell r="EG54">
            <v>2420106.2200000002</v>
          </cell>
          <cell r="EH54">
            <v>2420106.2200000002</v>
          </cell>
          <cell r="EI54">
            <v>2420106.2200000002</v>
          </cell>
          <cell r="EJ54">
            <v>2420106.2200000002</v>
          </cell>
          <cell r="EK54">
            <v>2420106.2200000002</v>
          </cell>
          <cell r="EL54">
            <v>2420106.2200000002</v>
          </cell>
          <cell r="EM54">
            <v>2420106.2200000002</v>
          </cell>
          <cell r="EN54">
            <v>2420106.2200000002</v>
          </cell>
          <cell r="EO54">
            <v>2419443.02</v>
          </cell>
          <cell r="EP54">
            <v>2420769.4200000004</v>
          </cell>
          <cell r="EQ54">
            <v>2420106.2200000002</v>
          </cell>
          <cell r="ER54">
            <v>2420106.2200000002</v>
          </cell>
          <cell r="ES54">
            <v>0</v>
          </cell>
          <cell r="ET54">
            <v>0</v>
          </cell>
          <cell r="EU54">
            <v>0</v>
          </cell>
          <cell r="EV54">
            <v>0</v>
          </cell>
          <cell r="EW54">
            <v>0</v>
          </cell>
          <cell r="EX54">
            <v>0</v>
          </cell>
          <cell r="EY54">
            <v>0</v>
          </cell>
          <cell r="EZ54">
            <v>0</v>
          </cell>
          <cell r="FA54">
            <v>0</v>
          </cell>
          <cell r="FB54">
            <v>0</v>
          </cell>
          <cell r="FC54">
            <v>0</v>
          </cell>
          <cell r="FD54">
            <v>663.20000000018626</v>
          </cell>
          <cell r="FE54">
            <v>2419443.02</v>
          </cell>
          <cell r="FF54">
            <v>2420115.6217100001</v>
          </cell>
          <cell r="FG54">
            <v>2420027.8785999999</v>
          </cell>
          <cell r="FH54">
            <v>0</v>
          </cell>
          <cell r="FI54">
            <v>0</v>
          </cell>
          <cell r="FJ54">
            <v>1885818.5342000001</v>
          </cell>
          <cell r="FK54">
            <v>1885818.5342000001</v>
          </cell>
          <cell r="FL54">
            <v>1885818.5342000001</v>
          </cell>
          <cell r="FM54">
            <v>0</v>
          </cell>
          <cell r="FN54">
            <v>2420106.2200000002</v>
          </cell>
          <cell r="FO54">
            <v>2420106.2200000002</v>
          </cell>
          <cell r="FP54">
            <v>2420106.2200000002</v>
          </cell>
          <cell r="FQ54">
            <v>2415736.3624999998</v>
          </cell>
          <cell r="FR54">
            <v>0</v>
          </cell>
          <cell r="FS54">
            <v>2419933.8689199998</v>
          </cell>
          <cell r="FT54">
            <v>2419933.8689199998</v>
          </cell>
          <cell r="FU54">
            <v>2419933.8689199998</v>
          </cell>
          <cell r="FV54">
            <v>2419933.8689199998</v>
          </cell>
          <cell r="FW54">
            <v>2419933.8689199998</v>
          </cell>
          <cell r="FX54">
            <v>2419933.8689199998</v>
          </cell>
          <cell r="FY54">
            <v>2419933.8689199998</v>
          </cell>
          <cell r="FZ54">
            <v>2283553.6411299999</v>
          </cell>
          <cell r="GA54">
            <v>2420106.2200000002</v>
          </cell>
          <cell r="GB54">
            <v>2420106.2200000002</v>
          </cell>
          <cell r="GC54">
            <v>2420106.2200000002</v>
          </cell>
          <cell r="GD54">
            <v>2420106.2200000002</v>
          </cell>
          <cell r="GE54">
            <v>2420106.2200000002</v>
          </cell>
          <cell r="GF54">
            <v>2420106.2200000002</v>
          </cell>
          <cell r="GG54">
            <v>2420106.2200000002</v>
          </cell>
          <cell r="GH54">
            <v>2420106.2200000002</v>
          </cell>
          <cell r="GI54">
            <v>2420106.2200000002</v>
          </cell>
          <cell r="GJ54">
            <v>2420106.2200000002</v>
          </cell>
          <cell r="GK54">
            <v>2420106.2200000002</v>
          </cell>
          <cell r="GL54">
            <v>2420106.2200000002</v>
          </cell>
          <cell r="GM54">
            <v>2420106.2200000002</v>
          </cell>
          <cell r="GN54">
            <v>2420106.2200000002</v>
          </cell>
          <cell r="GO54">
            <v>2420106.2200000002</v>
          </cell>
          <cell r="GP54">
            <v>2420106.2200000002</v>
          </cell>
          <cell r="GQ54">
            <v>2420106.2200000002</v>
          </cell>
          <cell r="GR54">
            <v>2420106.2200000002</v>
          </cell>
          <cell r="GS54">
            <v>2420106.2200000002</v>
          </cell>
          <cell r="GT54">
            <v>2420106.2200000002</v>
          </cell>
          <cell r="GU54">
            <v>0</v>
          </cell>
          <cell r="GZ54">
            <v>0</v>
          </cell>
        </row>
        <row r="55">
          <cell r="A55" t="str">
            <v>F_CNP_RFF_RET_IND_FRCE_EVU</v>
          </cell>
          <cell r="B55">
            <v>118756407.91</v>
          </cell>
          <cell r="D55">
            <v>118756407.91</v>
          </cell>
          <cell r="E55">
            <v>125714224.08152001</v>
          </cell>
          <cell r="F55">
            <v>118756407.91</v>
          </cell>
          <cell r="G55">
            <v>118756407.91</v>
          </cell>
          <cell r="H55">
            <v>0</v>
          </cell>
          <cell r="I55">
            <v>0</v>
          </cell>
          <cell r="J55">
            <v>118756407.91</v>
          </cell>
          <cell r="K55">
            <v>118756407.91</v>
          </cell>
          <cell r="L55">
            <v>118756407.91</v>
          </cell>
          <cell r="M55">
            <v>0</v>
          </cell>
          <cell r="N55">
            <v>118756407.91</v>
          </cell>
          <cell r="O55">
            <v>118756407.91</v>
          </cell>
          <cell r="P55">
            <v>118756407.91</v>
          </cell>
          <cell r="Q55">
            <v>118756407.91</v>
          </cell>
          <cell r="R55">
            <v>0</v>
          </cell>
          <cell r="S55">
            <v>118756407.91</v>
          </cell>
          <cell r="T55">
            <v>118756407.91</v>
          </cell>
          <cell r="U55">
            <v>118756407.91</v>
          </cell>
          <cell r="V55">
            <v>118756407.91</v>
          </cell>
          <cell r="W55">
            <v>118756407.91</v>
          </cell>
          <cell r="X55">
            <v>118756407.91</v>
          </cell>
          <cell r="Y55">
            <v>118756407.91</v>
          </cell>
          <cell r="Z55">
            <v>118756407.91</v>
          </cell>
          <cell r="AA55">
            <v>118756407.91</v>
          </cell>
          <cell r="AB55">
            <v>119015906.73300999</v>
          </cell>
          <cell r="AC55">
            <v>117190083.28820001</v>
          </cell>
          <cell r="AD55">
            <v>0</v>
          </cell>
          <cell r="AE55">
            <v>0</v>
          </cell>
          <cell r="AF55">
            <v>91720882.294249997</v>
          </cell>
          <cell r="AG55">
            <v>91720882.294249997</v>
          </cell>
          <cell r="AH55">
            <v>91720882.294249997</v>
          </cell>
          <cell r="AI55">
            <v>0</v>
          </cell>
          <cell r="AJ55">
            <v>106771527.83222</v>
          </cell>
          <cell r="AK55">
            <v>106771527.83222</v>
          </cell>
          <cell r="AL55">
            <v>106771527.83222</v>
          </cell>
          <cell r="AM55">
            <v>118003439.99181999</v>
          </cell>
          <cell r="AN55">
            <v>0</v>
          </cell>
          <cell r="AO55">
            <v>113982342.61864001</v>
          </cell>
          <cell r="AP55">
            <v>113982342.61864001</v>
          </cell>
          <cell r="AQ55">
            <v>113982342.61864001</v>
          </cell>
          <cell r="AR55">
            <v>113982342.61864001</v>
          </cell>
          <cell r="AS55">
            <v>113982342.61864001</v>
          </cell>
          <cell r="AT55">
            <v>113982342.61864001</v>
          </cell>
          <cell r="AU55">
            <v>113982342.61864001</v>
          </cell>
          <cell r="AV55">
            <v>113373072.83103999</v>
          </cell>
          <cell r="AW55">
            <v>118756407.91</v>
          </cell>
          <cell r="AX55">
            <v>125714224.08152001</v>
          </cell>
          <cell r="AY55">
            <v>125714224.08152001</v>
          </cell>
          <cell r="AZ55">
            <v>0</v>
          </cell>
          <cell r="BA55">
            <v>0</v>
          </cell>
          <cell r="BB55">
            <v>125714224.08152001</v>
          </cell>
          <cell r="BC55">
            <v>125714224.08152001</v>
          </cell>
          <cell r="BD55">
            <v>125714224.08152001</v>
          </cell>
          <cell r="BE55">
            <v>0</v>
          </cell>
          <cell r="BF55">
            <v>125714224.08152001</v>
          </cell>
          <cell r="BG55">
            <v>125714224.08152001</v>
          </cell>
          <cell r="BH55">
            <v>125714224.08152001</v>
          </cell>
          <cell r="BI55">
            <v>125714224.08152001</v>
          </cell>
          <cell r="BJ55">
            <v>0</v>
          </cell>
          <cell r="BK55">
            <v>125714224.08152001</v>
          </cell>
          <cell r="BL55">
            <v>125714224.08152001</v>
          </cell>
          <cell r="BM55">
            <v>125714224.08152001</v>
          </cell>
          <cell r="BN55">
            <v>125714224.08152001</v>
          </cell>
          <cell r="BO55">
            <v>125714224.08152001</v>
          </cell>
          <cell r="BP55">
            <v>125714224.08152001</v>
          </cell>
          <cell r="BQ55">
            <v>125714224.08152001</v>
          </cell>
          <cell r="BR55">
            <v>125714224.08152001</v>
          </cell>
          <cell r="BS55">
            <v>125714224.08152001</v>
          </cell>
          <cell r="BT55">
            <v>125949736.37536</v>
          </cell>
          <cell r="BU55">
            <v>124292681.20013</v>
          </cell>
          <cell r="BV55">
            <v>0</v>
          </cell>
          <cell r="BW55">
            <v>0</v>
          </cell>
          <cell r="BX55">
            <v>101177628.76636</v>
          </cell>
          <cell r="BY55">
            <v>101177628.76636</v>
          </cell>
          <cell r="BZ55">
            <v>101177628.76636</v>
          </cell>
          <cell r="CA55">
            <v>0</v>
          </cell>
          <cell r="CB55">
            <v>114837155.09987</v>
          </cell>
          <cell r="CC55">
            <v>114837155.09987</v>
          </cell>
          <cell r="CD55">
            <v>114837155.09987</v>
          </cell>
          <cell r="CE55">
            <v>125030856.04331</v>
          </cell>
          <cell r="CF55">
            <v>0</v>
          </cell>
          <cell r="CG55">
            <v>121381445.01657</v>
          </cell>
          <cell r="CH55">
            <v>121381445.01657</v>
          </cell>
          <cell r="CI55">
            <v>121381445.01657</v>
          </cell>
          <cell r="CJ55">
            <v>121381445.01657</v>
          </cell>
          <cell r="CK55">
            <v>121381445.01657</v>
          </cell>
          <cell r="CL55">
            <v>121381445.01657</v>
          </cell>
          <cell r="CM55">
            <v>121381445.01657</v>
          </cell>
          <cell r="CN55">
            <v>120828492.50764</v>
          </cell>
          <cell r="CO55">
            <v>107779271.25404</v>
          </cell>
          <cell r="CP55">
            <v>125714224.08152001</v>
          </cell>
          <cell r="CQ55">
            <v>125714224.08152001</v>
          </cell>
          <cell r="CR55">
            <v>125714224.08152001</v>
          </cell>
          <cell r="CS55">
            <v>125714224.08152001</v>
          </cell>
          <cell r="CT55">
            <v>125714224.08152001</v>
          </cell>
          <cell r="CU55">
            <v>125714224.08152001</v>
          </cell>
          <cell r="CV55">
            <v>125714224.08152001</v>
          </cell>
          <cell r="CW55">
            <v>125714224.08152001</v>
          </cell>
          <cell r="CX55">
            <v>125714224.08152001</v>
          </cell>
          <cell r="CY55">
            <v>125714224.08152001</v>
          </cell>
          <cell r="CZ55">
            <v>125714224.08152001</v>
          </cell>
          <cell r="DA55">
            <v>125736481.85094</v>
          </cell>
          <cell r="DB55">
            <v>125714224.08152001</v>
          </cell>
          <cell r="DC55">
            <v>125714224.08152001</v>
          </cell>
          <cell r="DD55">
            <v>125753031.56359001</v>
          </cell>
          <cell r="DE55">
            <v>125714224.08152001</v>
          </cell>
          <cell r="DF55">
            <v>125714224.08152001</v>
          </cell>
          <cell r="DG55">
            <v>129820694.32468</v>
          </cell>
          <cell r="DH55">
            <v>125714224.08152001</v>
          </cell>
          <cell r="DI55">
            <v>125714224.08152001</v>
          </cell>
          <cell r="DJ55">
            <v>0</v>
          </cell>
          <cell r="DK55">
            <v>0</v>
          </cell>
          <cell r="DL55">
            <v>0</v>
          </cell>
          <cell r="DM55">
            <v>0</v>
          </cell>
          <cell r="DN55">
            <v>0</v>
          </cell>
          <cell r="DO55">
            <v>0</v>
          </cell>
          <cell r="DP55">
            <v>0</v>
          </cell>
          <cell r="DQ55">
            <v>0</v>
          </cell>
          <cell r="DR55">
            <v>0</v>
          </cell>
          <cell r="DS55">
            <v>0</v>
          </cell>
          <cell r="DT55">
            <v>0</v>
          </cell>
          <cell r="DU55">
            <v>0</v>
          </cell>
          <cell r="DV55">
            <v>0</v>
          </cell>
          <cell r="DW55">
            <v>0</v>
          </cell>
          <cell r="DX55" t="str">
            <v/>
          </cell>
          <cell r="DY55" t="str">
            <v/>
          </cell>
          <cell r="DZ55" t="str">
            <v/>
          </cell>
          <cell r="EA55">
            <v>125714224.08152001</v>
          </cell>
          <cell r="EB55">
            <v>125714224.08152001</v>
          </cell>
          <cell r="EC55">
            <v>125714224.08152001</v>
          </cell>
          <cell r="ED55">
            <v>125714224.08152001</v>
          </cell>
          <cell r="EE55">
            <v>125714224.08152001</v>
          </cell>
          <cell r="EF55">
            <v>125714224.08152001</v>
          </cell>
          <cell r="EG55">
            <v>125714224.08152001</v>
          </cell>
          <cell r="EH55">
            <v>125714224.08152001</v>
          </cell>
          <cell r="EI55">
            <v>125714224.08152001</v>
          </cell>
          <cell r="EJ55">
            <v>125714224.08152001</v>
          </cell>
          <cell r="EK55">
            <v>125714224.08152001</v>
          </cell>
          <cell r="EL55">
            <v>125714224.08152001</v>
          </cell>
          <cell r="EM55">
            <v>125714224.08152001</v>
          </cell>
          <cell r="EN55">
            <v>125714224.08152001</v>
          </cell>
          <cell r="EO55">
            <v>125714224.08152001</v>
          </cell>
          <cell r="EP55">
            <v>125714224.08152001</v>
          </cell>
          <cell r="EQ55">
            <v>125714224.08152001</v>
          </cell>
          <cell r="ER55">
            <v>125714224.08152001</v>
          </cell>
          <cell r="ES55">
            <v>0</v>
          </cell>
          <cell r="ET55">
            <v>0</v>
          </cell>
          <cell r="EU55">
            <v>0</v>
          </cell>
          <cell r="EV55">
            <v>0</v>
          </cell>
          <cell r="EW55">
            <v>0</v>
          </cell>
          <cell r="EX55">
            <v>0</v>
          </cell>
          <cell r="EY55">
            <v>0</v>
          </cell>
          <cell r="EZ55">
            <v>0</v>
          </cell>
          <cell r="FA55">
            <v>0</v>
          </cell>
          <cell r="FB55">
            <v>0</v>
          </cell>
          <cell r="FC55">
            <v>0</v>
          </cell>
          <cell r="FD55">
            <v>0</v>
          </cell>
          <cell r="FE55">
            <v>125714224.08152001</v>
          </cell>
          <cell r="FF55">
            <v>125949736.37536</v>
          </cell>
          <cell r="FG55">
            <v>124292681.20013</v>
          </cell>
          <cell r="FH55">
            <v>0</v>
          </cell>
          <cell r="FI55">
            <v>0</v>
          </cell>
          <cell r="FJ55">
            <v>101177628.76636</v>
          </cell>
          <cell r="FK55">
            <v>101177628.76636</v>
          </cell>
          <cell r="FL55">
            <v>101177628.76636</v>
          </cell>
          <cell r="FM55">
            <v>0</v>
          </cell>
          <cell r="FN55">
            <v>114837155.09987</v>
          </cell>
          <cell r="FO55">
            <v>114837155.09987</v>
          </cell>
          <cell r="FP55">
            <v>114837155.09987</v>
          </cell>
          <cell r="FQ55">
            <v>125030856.04331</v>
          </cell>
          <cell r="FR55">
            <v>0</v>
          </cell>
          <cell r="FS55">
            <v>121381445.01657</v>
          </cell>
          <cell r="FT55">
            <v>121381445.01657</v>
          </cell>
          <cell r="FU55">
            <v>121381445.01657</v>
          </cell>
          <cell r="FV55">
            <v>121381445.01657</v>
          </cell>
          <cell r="FW55">
            <v>121381445.01657</v>
          </cell>
          <cell r="FX55">
            <v>121381445.01657</v>
          </cell>
          <cell r="FY55">
            <v>121381445.01657</v>
          </cell>
          <cell r="FZ55">
            <v>120828492.50764</v>
          </cell>
          <cell r="GA55">
            <v>107779271.25404</v>
          </cell>
          <cell r="GB55">
            <v>125714224.08152001</v>
          </cell>
          <cell r="GC55">
            <v>125736481.85094</v>
          </cell>
          <cell r="GD55">
            <v>125714224.08152001</v>
          </cell>
          <cell r="GE55">
            <v>125714224.08152001</v>
          </cell>
          <cell r="GF55">
            <v>125753031.56359001</v>
          </cell>
          <cell r="GG55">
            <v>125714224.08152001</v>
          </cell>
          <cell r="GH55">
            <v>125714224.08152001</v>
          </cell>
          <cell r="GI55">
            <v>129820694.32468</v>
          </cell>
          <cell r="GJ55">
            <v>125714224.08152001</v>
          </cell>
          <cell r="GK55">
            <v>125714224.08152001</v>
          </cell>
          <cell r="GL55">
            <v>125714224.08152001</v>
          </cell>
          <cell r="GM55">
            <v>125714224.08152001</v>
          </cell>
          <cell r="GN55">
            <v>125714224.08152001</v>
          </cell>
          <cell r="GO55">
            <v>125714224.08152001</v>
          </cell>
          <cell r="GP55">
            <v>125714224.08152001</v>
          </cell>
          <cell r="GQ55">
            <v>125714224.08152001</v>
          </cell>
          <cell r="GR55">
            <v>125714224.08152001</v>
          </cell>
          <cell r="GS55">
            <v>125714224.08152001</v>
          </cell>
          <cell r="GT55">
            <v>125714224.08152001</v>
          </cell>
          <cell r="GU55">
            <v>0</v>
          </cell>
          <cell r="GZ55">
            <v>0</v>
          </cell>
        </row>
        <row r="56">
          <cell r="A56" t="str">
            <v>F_CNP_RFF_RET_IND_FRCE_750</v>
          </cell>
          <cell r="B56">
            <v>6494908.5199999996</v>
          </cell>
          <cell r="D56">
            <v>6494908.5199999996</v>
          </cell>
          <cell r="E56">
            <v>6494908.5199999996</v>
          </cell>
          <cell r="F56">
            <v>6494908.5199999996</v>
          </cell>
          <cell r="G56">
            <v>6494908.5199999996</v>
          </cell>
          <cell r="H56">
            <v>0</v>
          </cell>
          <cell r="I56">
            <v>0</v>
          </cell>
          <cell r="J56">
            <v>6494908.5199999996</v>
          </cell>
          <cell r="K56">
            <v>6494908.5199999996</v>
          </cell>
          <cell r="L56">
            <v>6494908.5199999996</v>
          </cell>
          <cell r="M56">
            <v>0</v>
          </cell>
          <cell r="N56">
            <v>6494908.5199999996</v>
          </cell>
          <cell r="O56">
            <v>6494908.5199999996</v>
          </cell>
          <cell r="P56">
            <v>6494908.5199999996</v>
          </cell>
          <cell r="Q56">
            <v>6494908.5199999996</v>
          </cell>
          <cell r="R56">
            <v>0</v>
          </cell>
          <cell r="S56">
            <v>6494908.5199999996</v>
          </cell>
          <cell r="T56">
            <v>6494908.5199999996</v>
          </cell>
          <cell r="U56">
            <v>6494908.5199999996</v>
          </cell>
          <cell r="V56">
            <v>6494908.5199999996</v>
          </cell>
          <cell r="W56">
            <v>6494908.5199999996</v>
          </cell>
          <cell r="X56">
            <v>6494908.5199999996</v>
          </cell>
          <cell r="Y56">
            <v>6494908.5199999996</v>
          </cell>
          <cell r="Z56">
            <v>6494908.5199999996</v>
          </cell>
          <cell r="AA56">
            <v>6494908.5199999996</v>
          </cell>
          <cell r="AB56">
            <v>6494908.5199999996</v>
          </cell>
          <cell r="AC56">
            <v>6494908.5199999996</v>
          </cell>
          <cell r="AD56">
            <v>0</v>
          </cell>
          <cell r="AE56">
            <v>0</v>
          </cell>
          <cell r="AF56">
            <v>6494908.5199999996</v>
          </cell>
          <cell r="AG56">
            <v>6494908.5199999996</v>
          </cell>
          <cell r="AH56">
            <v>6494908.5199999996</v>
          </cell>
          <cell r="AI56">
            <v>0</v>
          </cell>
          <cell r="AJ56">
            <v>6494908.5199999996</v>
          </cell>
          <cell r="AK56">
            <v>6494908.5199999996</v>
          </cell>
          <cell r="AL56">
            <v>6494908.5199999996</v>
          </cell>
          <cell r="AM56">
            <v>6494908.5199999996</v>
          </cell>
          <cell r="AN56">
            <v>0</v>
          </cell>
          <cell r="AO56">
            <v>6494908.5199999996</v>
          </cell>
          <cell r="AP56">
            <v>6494908.5199999996</v>
          </cell>
          <cell r="AQ56">
            <v>6494908.5199999996</v>
          </cell>
          <cell r="AR56">
            <v>6494908.5199999996</v>
          </cell>
          <cell r="AS56">
            <v>6494908.5199999996</v>
          </cell>
          <cell r="AT56">
            <v>6494908.5199999996</v>
          </cell>
          <cell r="AU56">
            <v>6494908.5199999996</v>
          </cell>
          <cell r="AV56">
            <v>6494908.5199999996</v>
          </cell>
          <cell r="AW56">
            <v>6494908.5199999996</v>
          </cell>
          <cell r="AX56">
            <v>6494908.5199999996</v>
          </cell>
          <cell r="AY56">
            <v>6494908.5199999996</v>
          </cell>
          <cell r="AZ56">
            <v>0</v>
          </cell>
          <cell r="BA56">
            <v>0</v>
          </cell>
          <cell r="BB56">
            <v>6494908.5199999996</v>
          </cell>
          <cell r="BC56">
            <v>6494908.5199999996</v>
          </cell>
          <cell r="BD56">
            <v>6494908.5199999996</v>
          </cell>
          <cell r="BE56">
            <v>0</v>
          </cell>
          <cell r="BF56">
            <v>6494908.5199999996</v>
          </cell>
          <cell r="BG56">
            <v>6494908.5199999996</v>
          </cell>
          <cell r="BH56">
            <v>6494908.5199999996</v>
          </cell>
          <cell r="BI56">
            <v>6494908.5199999996</v>
          </cell>
          <cell r="BJ56">
            <v>0</v>
          </cell>
          <cell r="BK56">
            <v>6494908.5199999996</v>
          </cell>
          <cell r="BL56">
            <v>6494908.5199999996</v>
          </cell>
          <cell r="BM56">
            <v>6494908.5199999996</v>
          </cell>
          <cell r="BN56">
            <v>6494908.5199999996</v>
          </cell>
          <cell r="BO56">
            <v>6494908.5199999996</v>
          </cell>
          <cell r="BP56">
            <v>6494908.5199999996</v>
          </cell>
          <cell r="BQ56">
            <v>6494908.5199999996</v>
          </cell>
          <cell r="BR56">
            <v>6494908.5199999996</v>
          </cell>
          <cell r="BS56">
            <v>6494908.5199999996</v>
          </cell>
          <cell r="BT56">
            <v>6494908.5199999996</v>
          </cell>
          <cell r="BU56">
            <v>6494908.5199999996</v>
          </cell>
          <cell r="BV56">
            <v>0</v>
          </cell>
          <cell r="BW56">
            <v>0</v>
          </cell>
          <cell r="BX56">
            <v>6494908.5199999996</v>
          </cell>
          <cell r="BY56">
            <v>6494908.5199999996</v>
          </cell>
          <cell r="BZ56">
            <v>6494908.5199999996</v>
          </cell>
          <cell r="CA56">
            <v>0</v>
          </cell>
          <cell r="CB56">
            <v>6494908.5199999996</v>
          </cell>
          <cell r="CC56">
            <v>6494908.5199999996</v>
          </cell>
          <cell r="CD56">
            <v>6494908.5199999996</v>
          </cell>
          <cell r="CE56">
            <v>6494908.5199999996</v>
          </cell>
          <cell r="CF56">
            <v>0</v>
          </cell>
          <cell r="CG56">
            <v>6494908.5199999996</v>
          </cell>
          <cell r="CH56">
            <v>6494908.5199999996</v>
          </cell>
          <cell r="CI56">
            <v>6494908.5199999996</v>
          </cell>
          <cell r="CJ56">
            <v>6494908.5199999996</v>
          </cell>
          <cell r="CK56">
            <v>6494908.5199999996</v>
          </cell>
          <cell r="CL56">
            <v>6494908.5199999996</v>
          </cell>
          <cell r="CM56">
            <v>6494908.5199999996</v>
          </cell>
          <cell r="CN56">
            <v>6494908.5199999996</v>
          </cell>
          <cell r="CO56">
            <v>6494908.5199999996</v>
          </cell>
          <cell r="CP56">
            <v>6494908.5199999996</v>
          </cell>
          <cell r="CQ56">
            <v>6494908.5199999996</v>
          </cell>
          <cell r="CR56">
            <v>6494908.5199999996</v>
          </cell>
          <cell r="CS56">
            <v>6494908.5199999996</v>
          </cell>
          <cell r="CT56">
            <v>6494908.5199999996</v>
          </cell>
          <cell r="CU56">
            <v>6494908.5199999996</v>
          </cell>
          <cell r="CV56">
            <v>6494908.5199999996</v>
          </cell>
          <cell r="CW56">
            <v>6494908.5199999996</v>
          </cell>
          <cell r="CX56">
            <v>6494908.5199999996</v>
          </cell>
          <cell r="CY56">
            <v>6494908.5199999996</v>
          </cell>
          <cell r="CZ56">
            <v>6494908.5199999996</v>
          </cell>
          <cell r="DA56">
            <v>6494908.5199999996</v>
          </cell>
          <cell r="DB56">
            <v>6494908.5199999996</v>
          </cell>
          <cell r="DC56">
            <v>6494908.5199999996</v>
          </cell>
          <cell r="DD56">
            <v>6494908.5199999996</v>
          </cell>
          <cell r="DE56">
            <v>6494908.5199999996</v>
          </cell>
          <cell r="DF56">
            <v>6494908.5199999996</v>
          </cell>
          <cell r="DG56">
            <v>6494908.5199999996</v>
          </cell>
          <cell r="DH56">
            <v>6494908.5199999996</v>
          </cell>
          <cell r="DI56">
            <v>6494908.5199999996</v>
          </cell>
          <cell r="DJ56">
            <v>0</v>
          </cell>
          <cell r="DK56">
            <v>0</v>
          </cell>
          <cell r="DL56">
            <v>0</v>
          </cell>
          <cell r="DM56">
            <v>0</v>
          </cell>
          <cell r="DN56">
            <v>0</v>
          </cell>
          <cell r="DO56">
            <v>0</v>
          </cell>
          <cell r="DP56">
            <v>0</v>
          </cell>
          <cell r="DQ56">
            <v>0</v>
          </cell>
          <cell r="DR56">
            <v>0</v>
          </cell>
          <cell r="DS56">
            <v>0</v>
          </cell>
          <cell r="DT56">
            <v>0</v>
          </cell>
          <cell r="DU56">
            <v>0</v>
          </cell>
          <cell r="DV56">
            <v>0</v>
          </cell>
          <cell r="DW56">
            <v>0</v>
          </cell>
          <cell r="DX56" t="str">
            <v/>
          </cell>
          <cell r="DY56" t="str">
            <v/>
          </cell>
          <cell r="DZ56" t="str">
            <v/>
          </cell>
          <cell r="EA56">
            <v>6494908.5199999996</v>
          </cell>
          <cell r="EB56">
            <v>6494908.5199999996</v>
          </cell>
          <cell r="EC56">
            <v>6494908.5199999996</v>
          </cell>
          <cell r="ED56">
            <v>6494908.5199999996</v>
          </cell>
          <cell r="EE56">
            <v>6494908.5199999996</v>
          </cell>
          <cell r="EF56">
            <v>6494908.5199999996</v>
          </cell>
          <cell r="EG56">
            <v>6494908.5199999996</v>
          </cell>
          <cell r="EH56">
            <v>6494908.5199999996</v>
          </cell>
          <cell r="EI56">
            <v>6494908.5199999996</v>
          </cell>
          <cell r="EJ56">
            <v>6494908.5199999996</v>
          </cell>
          <cell r="EK56">
            <v>6494908.5199999996</v>
          </cell>
          <cell r="EL56">
            <v>6494908.5199999996</v>
          </cell>
          <cell r="EM56">
            <v>6494908.5199999996</v>
          </cell>
          <cell r="EN56">
            <v>6494908.5199999996</v>
          </cell>
          <cell r="EO56">
            <v>6494908.5199999996</v>
          </cell>
          <cell r="EP56">
            <v>6494908.5199999996</v>
          </cell>
          <cell r="EQ56">
            <v>6494908.5199999996</v>
          </cell>
          <cell r="ER56">
            <v>6494908.5199999996</v>
          </cell>
          <cell r="ES56">
            <v>0</v>
          </cell>
          <cell r="ET56">
            <v>0</v>
          </cell>
          <cell r="EU56">
            <v>0</v>
          </cell>
          <cell r="EV56">
            <v>0</v>
          </cell>
          <cell r="EW56">
            <v>0</v>
          </cell>
          <cell r="EX56">
            <v>0</v>
          </cell>
          <cell r="EY56">
            <v>0</v>
          </cell>
          <cell r="EZ56">
            <v>0</v>
          </cell>
          <cell r="FA56">
            <v>0</v>
          </cell>
          <cell r="FB56">
            <v>0</v>
          </cell>
          <cell r="FC56">
            <v>0</v>
          </cell>
          <cell r="FD56">
            <v>0</v>
          </cell>
          <cell r="FE56">
            <v>6494908.5199999996</v>
          </cell>
          <cell r="FF56">
            <v>6494908.5199999996</v>
          </cell>
          <cell r="FG56">
            <v>6494908.5199999996</v>
          </cell>
          <cell r="FH56">
            <v>0</v>
          </cell>
          <cell r="FI56">
            <v>0</v>
          </cell>
          <cell r="FJ56">
            <v>6494908.5199999996</v>
          </cell>
          <cell r="FK56">
            <v>6494908.5199999996</v>
          </cell>
          <cell r="FL56">
            <v>6494908.5199999996</v>
          </cell>
          <cell r="FM56">
            <v>0</v>
          </cell>
          <cell r="FN56">
            <v>6494908.5199999996</v>
          </cell>
          <cell r="FO56">
            <v>6494908.5199999996</v>
          </cell>
          <cell r="FP56">
            <v>6494908.5199999996</v>
          </cell>
          <cell r="FQ56">
            <v>6494908.5199999996</v>
          </cell>
          <cell r="FR56">
            <v>0</v>
          </cell>
          <cell r="FS56">
            <v>6494908.5199999996</v>
          </cell>
          <cell r="FT56">
            <v>6494908.5199999996</v>
          </cell>
          <cell r="FU56">
            <v>6494908.5199999996</v>
          </cell>
          <cell r="FV56">
            <v>6494908.5199999996</v>
          </cell>
          <cell r="FW56">
            <v>6494908.5199999996</v>
          </cell>
          <cell r="FX56">
            <v>6494908.5199999996</v>
          </cell>
          <cell r="FY56">
            <v>6494908.5199999996</v>
          </cell>
          <cell r="FZ56">
            <v>6494908.5199999996</v>
          </cell>
          <cell r="GA56">
            <v>6494908.5199999996</v>
          </cell>
          <cell r="GB56">
            <v>6494908.5199999996</v>
          </cell>
          <cell r="GC56">
            <v>6494908.5199999996</v>
          </cell>
          <cell r="GD56">
            <v>6494908.5199999996</v>
          </cell>
          <cell r="GE56">
            <v>6494908.5199999996</v>
          </cell>
          <cell r="GF56">
            <v>6494908.5199999996</v>
          </cell>
          <cell r="GG56">
            <v>6494908.5199999996</v>
          </cell>
          <cell r="GH56">
            <v>6494908.5199999996</v>
          </cell>
          <cell r="GI56">
            <v>6494908.5199999996</v>
          </cell>
          <cell r="GJ56">
            <v>6494908.5199999996</v>
          </cell>
          <cell r="GK56">
            <v>6494908.5199999996</v>
          </cell>
          <cell r="GL56">
            <v>6494908.5199999996</v>
          </cell>
          <cell r="GM56">
            <v>6494908.5199999996</v>
          </cell>
          <cell r="GN56">
            <v>6494908.5199999996</v>
          </cell>
          <cell r="GO56">
            <v>6494908.5199999996</v>
          </cell>
          <cell r="GP56">
            <v>6494908.5199999996</v>
          </cell>
          <cell r="GQ56">
            <v>6494908.5199999996</v>
          </cell>
          <cell r="GR56">
            <v>6494908.5199999996</v>
          </cell>
          <cell r="GS56">
            <v>6494908.5199999996</v>
          </cell>
          <cell r="GT56">
            <v>6494908.5199999996</v>
          </cell>
          <cell r="GU56">
            <v>0</v>
          </cell>
          <cell r="GZ56">
            <v>0</v>
          </cell>
        </row>
        <row r="57">
          <cell r="A57" t="str">
            <v>F_CNP_RFF_RET_IND_FRCE_751</v>
          </cell>
          <cell r="B57">
            <v>0</v>
          </cell>
          <cell r="D57">
            <v>0</v>
          </cell>
          <cell r="E57">
            <v>0</v>
          </cell>
          <cell r="F57">
            <v>0</v>
          </cell>
          <cell r="G57">
            <v>0</v>
          </cell>
          <cell r="H57">
            <v>0</v>
          </cell>
          <cell r="I57">
            <v>0</v>
          </cell>
          <cell r="J57">
            <v>0</v>
          </cell>
          <cell r="K57">
            <v>0</v>
          </cell>
          <cell r="L57">
            <v>0</v>
          </cell>
          <cell r="M57">
            <v>0</v>
          </cell>
          <cell r="N57">
            <v>0</v>
          </cell>
          <cell r="O57">
            <v>0</v>
          </cell>
          <cell r="P57">
            <v>0</v>
          </cell>
          <cell r="Q57">
            <v>0</v>
          </cell>
          <cell r="R57">
            <v>0</v>
          </cell>
          <cell r="S57">
            <v>0</v>
          </cell>
          <cell r="T57">
            <v>0</v>
          </cell>
          <cell r="U57">
            <v>0</v>
          </cell>
          <cell r="V57">
            <v>0</v>
          </cell>
          <cell r="W57">
            <v>0</v>
          </cell>
          <cell r="X57">
            <v>0</v>
          </cell>
          <cell r="Y57">
            <v>0</v>
          </cell>
          <cell r="Z57">
            <v>0</v>
          </cell>
          <cell r="AA57">
            <v>0</v>
          </cell>
          <cell r="AB57">
            <v>0</v>
          </cell>
          <cell r="AC57">
            <v>0</v>
          </cell>
          <cell r="AD57">
            <v>0</v>
          </cell>
          <cell r="AE57">
            <v>0</v>
          </cell>
          <cell r="AF57">
            <v>0</v>
          </cell>
          <cell r="AG57">
            <v>0</v>
          </cell>
          <cell r="AH57">
            <v>0</v>
          </cell>
          <cell r="AI57">
            <v>0</v>
          </cell>
          <cell r="AJ57">
            <v>0</v>
          </cell>
          <cell r="AK57">
            <v>0</v>
          </cell>
          <cell r="AL57">
            <v>0</v>
          </cell>
          <cell r="AM57">
            <v>0</v>
          </cell>
          <cell r="AN57">
            <v>0</v>
          </cell>
          <cell r="AO57">
            <v>0</v>
          </cell>
          <cell r="AP57">
            <v>0</v>
          </cell>
          <cell r="AQ57">
            <v>0</v>
          </cell>
          <cell r="AR57">
            <v>0</v>
          </cell>
          <cell r="AS57">
            <v>0</v>
          </cell>
          <cell r="AT57">
            <v>0</v>
          </cell>
          <cell r="AU57">
            <v>0</v>
          </cell>
          <cell r="AV57">
            <v>0</v>
          </cell>
          <cell r="AW57">
            <v>0</v>
          </cell>
          <cell r="AX57">
            <v>0</v>
          </cell>
          <cell r="AY57">
            <v>0</v>
          </cell>
          <cell r="AZ57">
            <v>0</v>
          </cell>
          <cell r="BA57">
            <v>0</v>
          </cell>
          <cell r="BB57">
            <v>0</v>
          </cell>
          <cell r="BC57">
            <v>0</v>
          </cell>
          <cell r="BD57">
            <v>0</v>
          </cell>
          <cell r="BE57">
            <v>0</v>
          </cell>
          <cell r="BF57">
            <v>0</v>
          </cell>
          <cell r="BG57">
            <v>0</v>
          </cell>
          <cell r="BH57">
            <v>0</v>
          </cell>
          <cell r="BI57">
            <v>0</v>
          </cell>
          <cell r="BJ57">
            <v>0</v>
          </cell>
          <cell r="BK57">
            <v>0</v>
          </cell>
          <cell r="BL57">
            <v>0</v>
          </cell>
          <cell r="BM57">
            <v>0</v>
          </cell>
          <cell r="BN57">
            <v>0</v>
          </cell>
          <cell r="BO57">
            <v>0</v>
          </cell>
          <cell r="BP57">
            <v>0</v>
          </cell>
          <cell r="BQ57">
            <v>0</v>
          </cell>
          <cell r="BR57">
            <v>0</v>
          </cell>
          <cell r="BS57">
            <v>0</v>
          </cell>
          <cell r="BT57">
            <v>0</v>
          </cell>
          <cell r="BU57">
            <v>0</v>
          </cell>
          <cell r="BV57">
            <v>0</v>
          </cell>
          <cell r="BW57">
            <v>0</v>
          </cell>
          <cell r="BX57">
            <v>0</v>
          </cell>
          <cell r="BY57">
            <v>0</v>
          </cell>
          <cell r="BZ57">
            <v>0</v>
          </cell>
          <cell r="CA57">
            <v>0</v>
          </cell>
          <cell r="CB57">
            <v>0</v>
          </cell>
          <cell r="CC57">
            <v>0</v>
          </cell>
          <cell r="CD57">
            <v>0</v>
          </cell>
          <cell r="CE57">
            <v>0</v>
          </cell>
          <cell r="CF57">
            <v>0</v>
          </cell>
          <cell r="CG57">
            <v>0</v>
          </cell>
          <cell r="CH57">
            <v>0</v>
          </cell>
          <cell r="CI57">
            <v>0</v>
          </cell>
          <cell r="CJ57">
            <v>0</v>
          </cell>
          <cell r="CK57">
            <v>0</v>
          </cell>
          <cell r="CL57">
            <v>0</v>
          </cell>
          <cell r="CM57">
            <v>0</v>
          </cell>
          <cell r="CN57">
            <v>0</v>
          </cell>
          <cell r="CO57">
            <v>0</v>
          </cell>
          <cell r="CP57">
            <v>0</v>
          </cell>
          <cell r="CQ57">
            <v>0</v>
          </cell>
          <cell r="CR57">
            <v>0</v>
          </cell>
          <cell r="CS57">
            <v>0</v>
          </cell>
          <cell r="CT57">
            <v>0</v>
          </cell>
          <cell r="CU57">
            <v>0</v>
          </cell>
          <cell r="CV57">
            <v>0</v>
          </cell>
          <cell r="CW57">
            <v>0</v>
          </cell>
          <cell r="CX57">
            <v>0</v>
          </cell>
          <cell r="CY57">
            <v>0</v>
          </cell>
          <cell r="CZ57">
            <v>0</v>
          </cell>
          <cell r="DA57">
            <v>0</v>
          </cell>
          <cell r="DB57">
            <v>0</v>
          </cell>
          <cell r="DC57">
            <v>0</v>
          </cell>
          <cell r="DD57">
            <v>0</v>
          </cell>
          <cell r="DE57">
            <v>0</v>
          </cell>
          <cell r="DF57">
            <v>0</v>
          </cell>
          <cell r="DG57">
            <v>0</v>
          </cell>
          <cell r="DH57">
            <v>0</v>
          </cell>
          <cell r="DI57">
            <v>0</v>
          </cell>
          <cell r="DJ57">
            <v>0</v>
          </cell>
          <cell r="DK57">
            <v>0</v>
          </cell>
          <cell r="DL57">
            <v>0</v>
          </cell>
          <cell r="DM57">
            <v>0</v>
          </cell>
          <cell r="DN57">
            <v>0</v>
          </cell>
          <cell r="DO57">
            <v>0</v>
          </cell>
          <cell r="DP57">
            <v>0</v>
          </cell>
          <cell r="DQ57">
            <v>0</v>
          </cell>
          <cell r="DR57">
            <v>0</v>
          </cell>
          <cell r="DS57">
            <v>0</v>
          </cell>
          <cell r="DT57">
            <v>0</v>
          </cell>
          <cell r="DU57">
            <v>0</v>
          </cell>
          <cell r="DV57">
            <v>0</v>
          </cell>
          <cell r="DW57">
            <v>0</v>
          </cell>
          <cell r="DX57" t="str">
            <v/>
          </cell>
          <cell r="DY57" t="str">
            <v/>
          </cell>
          <cell r="DZ57" t="str">
            <v/>
          </cell>
          <cell r="EA57">
            <v>0</v>
          </cell>
          <cell r="EB57">
            <v>0</v>
          </cell>
          <cell r="EC57">
            <v>0</v>
          </cell>
          <cell r="ED57">
            <v>0</v>
          </cell>
          <cell r="EE57">
            <v>0</v>
          </cell>
          <cell r="EF57">
            <v>0</v>
          </cell>
          <cell r="EG57">
            <v>0</v>
          </cell>
          <cell r="EH57">
            <v>0</v>
          </cell>
          <cell r="EI57">
            <v>0</v>
          </cell>
          <cell r="EJ57">
            <v>0</v>
          </cell>
          <cell r="EK57">
            <v>0</v>
          </cell>
          <cell r="EL57">
            <v>0</v>
          </cell>
          <cell r="EM57">
            <v>0</v>
          </cell>
          <cell r="EN57">
            <v>0</v>
          </cell>
          <cell r="EO57">
            <v>0</v>
          </cell>
          <cell r="EP57">
            <v>0</v>
          </cell>
          <cell r="EQ57">
            <v>0</v>
          </cell>
          <cell r="ER57">
            <v>0</v>
          </cell>
          <cell r="ES57">
            <v>0</v>
          </cell>
          <cell r="ET57">
            <v>0</v>
          </cell>
          <cell r="EU57">
            <v>0</v>
          </cell>
          <cell r="EV57">
            <v>0</v>
          </cell>
          <cell r="EW57">
            <v>0</v>
          </cell>
          <cell r="EX57">
            <v>0</v>
          </cell>
          <cell r="EY57">
            <v>0</v>
          </cell>
          <cell r="EZ57">
            <v>0</v>
          </cell>
          <cell r="FA57">
            <v>0</v>
          </cell>
          <cell r="FB57">
            <v>0</v>
          </cell>
          <cell r="FC57">
            <v>0</v>
          </cell>
          <cell r="FD57">
            <v>0</v>
          </cell>
          <cell r="FE57">
            <v>0</v>
          </cell>
          <cell r="FF57">
            <v>0</v>
          </cell>
          <cell r="FG57">
            <v>0</v>
          </cell>
          <cell r="FH57">
            <v>0</v>
          </cell>
          <cell r="FI57">
            <v>0</v>
          </cell>
          <cell r="FJ57">
            <v>0</v>
          </cell>
          <cell r="FK57">
            <v>0</v>
          </cell>
          <cell r="FL57">
            <v>0</v>
          </cell>
          <cell r="FM57">
            <v>0</v>
          </cell>
          <cell r="FN57">
            <v>0</v>
          </cell>
          <cell r="FO57">
            <v>0</v>
          </cell>
          <cell r="FP57">
            <v>0</v>
          </cell>
          <cell r="FQ57">
            <v>0</v>
          </cell>
          <cell r="FR57">
            <v>0</v>
          </cell>
          <cell r="FS57">
            <v>0</v>
          </cell>
          <cell r="FT57">
            <v>0</v>
          </cell>
          <cell r="FU57">
            <v>0</v>
          </cell>
          <cell r="FV57">
            <v>0</v>
          </cell>
          <cell r="FW57">
            <v>0</v>
          </cell>
          <cell r="FX57">
            <v>0</v>
          </cell>
          <cell r="FY57">
            <v>0</v>
          </cell>
          <cell r="FZ57">
            <v>0</v>
          </cell>
          <cell r="GA57">
            <v>0</v>
          </cell>
          <cell r="GB57">
            <v>0</v>
          </cell>
          <cell r="GC57">
            <v>0</v>
          </cell>
          <cell r="GD57">
            <v>0</v>
          </cell>
          <cell r="GE57">
            <v>0</v>
          </cell>
          <cell r="GF57">
            <v>0</v>
          </cell>
          <cell r="GG57">
            <v>0</v>
          </cell>
          <cell r="GH57">
            <v>0</v>
          </cell>
          <cell r="GI57">
            <v>0</v>
          </cell>
          <cell r="GJ57">
            <v>0</v>
          </cell>
          <cell r="GK57">
            <v>0</v>
          </cell>
          <cell r="GL57">
            <v>0</v>
          </cell>
          <cell r="GM57">
            <v>0</v>
          </cell>
          <cell r="GN57">
            <v>0</v>
          </cell>
          <cell r="GO57">
            <v>0</v>
          </cell>
          <cell r="GP57">
            <v>0</v>
          </cell>
          <cell r="GQ57">
            <v>0</v>
          </cell>
          <cell r="GR57">
            <v>0</v>
          </cell>
          <cell r="GS57">
            <v>0</v>
          </cell>
          <cell r="GT57">
            <v>0</v>
          </cell>
          <cell r="GU57">
            <v>0</v>
          </cell>
          <cell r="GZ57">
            <v>0</v>
          </cell>
        </row>
        <row r="58">
          <cell r="A58" t="str">
            <v>F_CNP_RFF_RET_IND_FRCE_752</v>
          </cell>
          <cell r="B58">
            <v>1630138.6800000002</v>
          </cell>
          <cell r="D58">
            <v>1630151.56984</v>
          </cell>
          <cell r="E58">
            <v>1630151.56984</v>
          </cell>
          <cell r="F58">
            <v>1630151.56984</v>
          </cell>
          <cell r="G58">
            <v>1630151.56984</v>
          </cell>
          <cell r="H58">
            <v>0</v>
          </cell>
          <cell r="I58">
            <v>0</v>
          </cell>
          <cell r="J58">
            <v>1630151.56984</v>
          </cell>
          <cell r="K58">
            <v>1630151.56984</v>
          </cell>
          <cell r="L58">
            <v>1630151.56984</v>
          </cell>
          <cell r="M58">
            <v>0</v>
          </cell>
          <cell r="N58">
            <v>1630151.56984</v>
          </cell>
          <cell r="O58">
            <v>1630151.56984</v>
          </cell>
          <cell r="P58">
            <v>1630151.56984</v>
          </cell>
          <cell r="Q58">
            <v>1630151.56984</v>
          </cell>
          <cell r="R58">
            <v>0</v>
          </cell>
          <cell r="S58">
            <v>1630151.56984</v>
          </cell>
          <cell r="T58">
            <v>1630151.56984</v>
          </cell>
          <cell r="U58">
            <v>1630151.56984</v>
          </cell>
          <cell r="V58">
            <v>1630151.56984</v>
          </cell>
          <cell r="W58">
            <v>1630151.56984</v>
          </cell>
          <cell r="X58">
            <v>1630151.56984</v>
          </cell>
          <cell r="Y58">
            <v>1630151.56984</v>
          </cell>
          <cell r="Z58">
            <v>1630151.56984</v>
          </cell>
          <cell r="AA58">
            <v>1630151.56984</v>
          </cell>
          <cell r="AB58">
            <v>1631071.4556799999</v>
          </cell>
          <cell r="AC58">
            <v>1626810.75129</v>
          </cell>
          <cell r="AD58">
            <v>0</v>
          </cell>
          <cell r="AE58">
            <v>0</v>
          </cell>
          <cell r="AF58">
            <v>1236612.93423</v>
          </cell>
          <cell r="AG58">
            <v>1236612.93423</v>
          </cell>
          <cell r="AH58">
            <v>1236612.93423</v>
          </cell>
          <cell r="AI58">
            <v>0</v>
          </cell>
          <cell r="AJ58">
            <v>1630151.56984</v>
          </cell>
          <cell r="AK58">
            <v>1630151.56984</v>
          </cell>
          <cell r="AL58">
            <v>1630151.56984</v>
          </cell>
          <cell r="AM58">
            <v>1630151.56984</v>
          </cell>
          <cell r="AN58">
            <v>0</v>
          </cell>
          <cell r="AO58">
            <v>1626511.2980399998</v>
          </cell>
          <cell r="AP58">
            <v>1626511.2980399998</v>
          </cell>
          <cell r="AQ58">
            <v>1626511.2980399998</v>
          </cell>
          <cell r="AR58">
            <v>1626511.2980399998</v>
          </cell>
          <cell r="AS58">
            <v>1626511.2980399998</v>
          </cell>
          <cell r="AT58">
            <v>1626511.2980399998</v>
          </cell>
          <cell r="AU58">
            <v>1626511.2980399998</v>
          </cell>
          <cell r="AV58">
            <v>1527701.0921100001</v>
          </cell>
          <cell r="AW58">
            <v>1630151.56984</v>
          </cell>
          <cell r="AX58">
            <v>1630151.56984</v>
          </cell>
          <cell r="AY58">
            <v>1630151.56984</v>
          </cell>
          <cell r="AZ58">
            <v>0</v>
          </cell>
          <cell r="BA58">
            <v>0</v>
          </cell>
          <cell r="BB58">
            <v>1630151.56984</v>
          </cell>
          <cell r="BC58">
            <v>1630151.56984</v>
          </cell>
          <cell r="BD58">
            <v>1630151.56984</v>
          </cell>
          <cell r="BE58">
            <v>0</v>
          </cell>
          <cell r="BF58">
            <v>1630151.56984</v>
          </cell>
          <cell r="BG58">
            <v>1630151.56984</v>
          </cell>
          <cell r="BH58">
            <v>1630151.56984</v>
          </cell>
          <cell r="BI58">
            <v>1630151.56984</v>
          </cell>
          <cell r="BJ58">
            <v>0</v>
          </cell>
          <cell r="BK58">
            <v>1630151.56984</v>
          </cell>
          <cell r="BL58">
            <v>1630151.56984</v>
          </cell>
          <cell r="BM58">
            <v>1630151.56984</v>
          </cell>
          <cell r="BN58">
            <v>1630151.56984</v>
          </cell>
          <cell r="BO58">
            <v>1630151.56984</v>
          </cell>
          <cell r="BP58">
            <v>1630151.56984</v>
          </cell>
          <cell r="BQ58">
            <v>1630151.56984</v>
          </cell>
          <cell r="BR58">
            <v>1630151.56984</v>
          </cell>
          <cell r="BS58">
            <v>1630151.56984</v>
          </cell>
          <cell r="BT58">
            <v>1630151.56984</v>
          </cell>
          <cell r="BU58">
            <v>1630151.56984</v>
          </cell>
          <cell r="BV58">
            <v>0</v>
          </cell>
          <cell r="BW58">
            <v>0</v>
          </cell>
          <cell r="BX58">
            <v>1630151.56984</v>
          </cell>
          <cell r="BY58">
            <v>1630151.56984</v>
          </cell>
          <cell r="BZ58">
            <v>1630151.56984</v>
          </cell>
          <cell r="CA58">
            <v>0</v>
          </cell>
          <cell r="CB58">
            <v>1630151.56984</v>
          </cell>
          <cell r="CC58">
            <v>1630151.56984</v>
          </cell>
          <cell r="CD58">
            <v>1630151.56984</v>
          </cell>
          <cell r="CE58">
            <v>1630151.56984</v>
          </cell>
          <cell r="CF58">
            <v>0</v>
          </cell>
          <cell r="CG58">
            <v>1630151.56984</v>
          </cell>
          <cell r="CH58">
            <v>1630151.56984</v>
          </cell>
          <cell r="CI58">
            <v>1630151.56984</v>
          </cell>
          <cell r="CJ58">
            <v>1630151.56984</v>
          </cell>
          <cell r="CK58">
            <v>1630151.56984</v>
          </cell>
          <cell r="CL58">
            <v>1630151.56984</v>
          </cell>
          <cell r="CM58">
            <v>1630151.56984</v>
          </cell>
          <cell r="CN58">
            <v>1630151.56984</v>
          </cell>
          <cell r="CO58">
            <v>1630151.56984</v>
          </cell>
          <cell r="CP58">
            <v>1630151.56984</v>
          </cell>
          <cell r="CQ58">
            <v>1630151.56984</v>
          </cell>
          <cell r="CR58">
            <v>1630151.56984</v>
          </cell>
          <cell r="CS58">
            <v>1630151.56984</v>
          </cell>
          <cell r="CT58">
            <v>1630151.56984</v>
          </cell>
          <cell r="CU58">
            <v>1630151.56984</v>
          </cell>
          <cell r="CV58">
            <v>1630151.56984</v>
          </cell>
          <cell r="CW58">
            <v>1630151.56984</v>
          </cell>
          <cell r="CX58">
            <v>1630151.56984</v>
          </cell>
          <cell r="CY58">
            <v>1630151.56984</v>
          </cell>
          <cell r="CZ58">
            <v>1630151.56984</v>
          </cell>
          <cell r="DA58">
            <v>1630151.56984</v>
          </cell>
          <cell r="DB58">
            <v>1630151.56984</v>
          </cell>
          <cell r="DC58">
            <v>1630151.56984</v>
          </cell>
          <cell r="DD58">
            <v>1630151.56984</v>
          </cell>
          <cell r="DE58">
            <v>1630138.6800000002</v>
          </cell>
          <cell r="DF58">
            <v>1630164.4596799999</v>
          </cell>
          <cell r="DG58">
            <v>1630151.56984</v>
          </cell>
          <cell r="DH58">
            <v>1630151.56984</v>
          </cell>
          <cell r="DI58">
            <v>1630151.56984</v>
          </cell>
          <cell r="DJ58">
            <v>0</v>
          </cell>
          <cell r="DK58">
            <v>0</v>
          </cell>
          <cell r="DL58">
            <v>0</v>
          </cell>
          <cell r="DM58">
            <v>0</v>
          </cell>
          <cell r="DN58">
            <v>0</v>
          </cell>
          <cell r="DO58">
            <v>0</v>
          </cell>
          <cell r="DP58">
            <v>0</v>
          </cell>
          <cell r="DQ58">
            <v>0</v>
          </cell>
          <cell r="DR58">
            <v>0</v>
          </cell>
          <cell r="DS58">
            <v>0</v>
          </cell>
          <cell r="DT58">
            <v>0</v>
          </cell>
          <cell r="DU58">
            <v>0</v>
          </cell>
          <cell r="DV58">
            <v>0</v>
          </cell>
          <cell r="DW58">
            <v>0</v>
          </cell>
          <cell r="DX58" t="str">
            <v/>
          </cell>
          <cell r="DY58" t="str">
            <v/>
          </cell>
          <cell r="DZ58" t="str">
            <v/>
          </cell>
          <cell r="EA58">
            <v>1630151.56984</v>
          </cell>
          <cell r="EB58">
            <v>1630151.56984</v>
          </cell>
          <cell r="EC58">
            <v>1630151.56984</v>
          </cell>
          <cell r="ED58">
            <v>1630151.56984</v>
          </cell>
          <cell r="EE58">
            <v>1630151.56984</v>
          </cell>
          <cell r="EF58">
            <v>1630151.56984</v>
          </cell>
          <cell r="EG58">
            <v>1630151.56984</v>
          </cell>
          <cell r="EH58">
            <v>1630151.56984</v>
          </cell>
          <cell r="EI58">
            <v>1630151.56984</v>
          </cell>
          <cell r="EJ58">
            <v>1630151.56984</v>
          </cell>
          <cell r="EK58">
            <v>1630151.56984</v>
          </cell>
          <cell r="EL58">
            <v>1630151.56984</v>
          </cell>
          <cell r="EM58">
            <v>1630151.56984</v>
          </cell>
          <cell r="EN58">
            <v>1630151.56984</v>
          </cell>
          <cell r="EO58">
            <v>1630138.6800000002</v>
          </cell>
          <cell r="EP58">
            <v>1630164.4596799999</v>
          </cell>
          <cell r="EQ58">
            <v>1630151.56984</v>
          </cell>
          <cell r="ER58">
            <v>1630151.56984</v>
          </cell>
          <cell r="ES58">
            <v>0</v>
          </cell>
          <cell r="ET58">
            <v>0</v>
          </cell>
          <cell r="EU58">
            <v>0</v>
          </cell>
          <cell r="EV58">
            <v>0</v>
          </cell>
          <cell r="EW58">
            <v>0</v>
          </cell>
          <cell r="EX58">
            <v>0</v>
          </cell>
          <cell r="EY58">
            <v>0</v>
          </cell>
          <cell r="EZ58">
            <v>0</v>
          </cell>
          <cell r="FA58">
            <v>0</v>
          </cell>
          <cell r="FB58">
            <v>0</v>
          </cell>
          <cell r="FC58">
            <v>0</v>
          </cell>
          <cell r="FD58">
            <v>12.889839999843389</v>
          </cell>
          <cell r="FE58">
            <v>1630138.6800000002</v>
          </cell>
          <cell r="FF58">
            <v>1631071.4556799999</v>
          </cell>
          <cell r="FG58">
            <v>1626810.75129</v>
          </cell>
          <cell r="FH58">
            <v>0</v>
          </cell>
          <cell r="FI58">
            <v>0</v>
          </cell>
          <cell r="FJ58">
            <v>1236612.93423</v>
          </cell>
          <cell r="FK58">
            <v>1236612.93423</v>
          </cell>
          <cell r="FL58">
            <v>1236612.93423</v>
          </cell>
          <cell r="FM58">
            <v>0</v>
          </cell>
          <cell r="FN58">
            <v>1630151.56984</v>
          </cell>
          <cell r="FO58">
            <v>1630151.56984</v>
          </cell>
          <cell r="FP58">
            <v>1630151.56984</v>
          </cell>
          <cell r="FQ58">
            <v>1630151.56984</v>
          </cell>
          <cell r="FR58">
            <v>0</v>
          </cell>
          <cell r="FS58">
            <v>1626511.2980399998</v>
          </cell>
          <cell r="FT58">
            <v>1626511.2980399998</v>
          </cell>
          <cell r="FU58">
            <v>1626511.2980399998</v>
          </cell>
          <cell r="FV58">
            <v>1626511.2980399998</v>
          </cell>
          <cell r="FW58">
            <v>1626511.2980399998</v>
          </cell>
          <cell r="FX58">
            <v>1626511.2980399998</v>
          </cell>
          <cell r="FY58">
            <v>1626511.2980399998</v>
          </cell>
          <cell r="FZ58">
            <v>1527701.0921100001</v>
          </cell>
          <cell r="GA58">
            <v>1630151.56984</v>
          </cell>
          <cell r="GB58">
            <v>1630151.56984</v>
          </cell>
          <cell r="GC58">
            <v>1630151.56984</v>
          </cell>
          <cell r="GD58">
            <v>1630151.56984</v>
          </cell>
          <cell r="GE58">
            <v>1630151.56984</v>
          </cell>
          <cell r="GF58">
            <v>1630151.56984</v>
          </cell>
          <cell r="GG58">
            <v>1630151.56984</v>
          </cell>
          <cell r="GH58">
            <v>1630151.56984</v>
          </cell>
          <cell r="GI58">
            <v>1630151.56984</v>
          </cell>
          <cell r="GJ58">
            <v>1630151.56984</v>
          </cell>
          <cell r="GK58">
            <v>1630151.56984</v>
          </cell>
          <cell r="GL58">
            <v>1630151.56984</v>
          </cell>
          <cell r="GM58">
            <v>1630151.56984</v>
          </cell>
          <cell r="GN58">
            <v>1630151.56984</v>
          </cell>
          <cell r="GO58">
            <v>1630151.56984</v>
          </cell>
          <cell r="GP58">
            <v>1630151.56984</v>
          </cell>
          <cell r="GQ58">
            <v>1630151.56984</v>
          </cell>
          <cell r="GR58">
            <v>1630151.56984</v>
          </cell>
          <cell r="GS58">
            <v>1630151.56984</v>
          </cell>
          <cell r="GT58">
            <v>1630151.56984</v>
          </cell>
          <cell r="GU58">
            <v>0</v>
          </cell>
          <cell r="GZ58">
            <v>0</v>
          </cell>
        </row>
        <row r="59">
          <cell r="A59" t="str">
            <v>F_CNP_NRF_RET_COL_FRCE_102</v>
          </cell>
          <cell r="B59">
            <v>1314184.5171999999</v>
          </cell>
          <cell r="D59">
            <v>1651037.4692800001</v>
          </cell>
          <cell r="E59">
            <v>1528451.7861800001</v>
          </cell>
          <cell r="F59">
            <v>1651037.4692800001</v>
          </cell>
          <cell r="G59">
            <v>1651037.4692800001</v>
          </cell>
          <cell r="H59">
            <v>0</v>
          </cell>
          <cell r="I59">
            <v>0</v>
          </cell>
          <cell r="J59">
            <v>1651037.4692800001</v>
          </cell>
          <cell r="K59">
            <v>1651037.4692800001</v>
          </cell>
          <cell r="L59">
            <v>1651037.4692800001</v>
          </cell>
          <cell r="M59">
            <v>0</v>
          </cell>
          <cell r="N59">
            <v>1651037.4692800001</v>
          </cell>
          <cell r="O59">
            <v>1651037.4692800001</v>
          </cell>
          <cell r="P59">
            <v>1651037.4692800001</v>
          </cell>
          <cell r="Q59">
            <v>1651037.4692800001</v>
          </cell>
          <cell r="R59">
            <v>0</v>
          </cell>
          <cell r="S59">
            <v>1651037.4692800001</v>
          </cell>
          <cell r="T59">
            <v>1651037.4692800001</v>
          </cell>
          <cell r="U59">
            <v>1651037.4692800001</v>
          </cell>
          <cell r="V59">
            <v>1651037.4692800001</v>
          </cell>
          <cell r="W59">
            <v>1651037.4692800001</v>
          </cell>
          <cell r="X59">
            <v>1651037.4692800001</v>
          </cell>
          <cell r="Y59">
            <v>1651037.4692800001</v>
          </cell>
          <cell r="Z59">
            <v>1651037.4692800001</v>
          </cell>
          <cell r="AA59">
            <v>1651037.4692800001</v>
          </cell>
          <cell r="AB59">
            <v>1669494.88717</v>
          </cell>
          <cell r="AC59">
            <v>1573106.81189</v>
          </cell>
          <cell r="AD59">
            <v>0</v>
          </cell>
          <cell r="AE59">
            <v>0</v>
          </cell>
          <cell r="AF59">
            <v>1534802.9335400001</v>
          </cell>
          <cell r="AG59">
            <v>1534802.9335400001</v>
          </cell>
          <cell r="AH59">
            <v>1534802.9335400001</v>
          </cell>
          <cell r="AI59">
            <v>0</v>
          </cell>
          <cell r="AJ59">
            <v>1651037.4692800001</v>
          </cell>
          <cell r="AK59">
            <v>1651037.4692800001</v>
          </cell>
          <cell r="AL59">
            <v>1651037.4692800001</v>
          </cell>
          <cell r="AM59">
            <v>1651037.4692800001</v>
          </cell>
          <cell r="AN59">
            <v>0</v>
          </cell>
          <cell r="AO59">
            <v>1589900.3353800001</v>
          </cell>
          <cell r="AP59">
            <v>1589900.3353800001</v>
          </cell>
          <cell r="AQ59">
            <v>1589900.3353800001</v>
          </cell>
          <cell r="AR59">
            <v>1589900.3353800001</v>
          </cell>
          <cell r="AS59">
            <v>1589900.3353800001</v>
          </cell>
          <cell r="AT59">
            <v>1589900.3353800001</v>
          </cell>
          <cell r="AU59">
            <v>1589900.3353800001</v>
          </cell>
          <cell r="AV59">
            <v>1631961.20792</v>
          </cell>
          <cell r="AW59">
            <v>1651037.4692800001</v>
          </cell>
          <cell r="AX59">
            <v>1528451.7861800001</v>
          </cell>
          <cell r="AY59">
            <v>1528451.7861800001</v>
          </cell>
          <cell r="AZ59">
            <v>0</v>
          </cell>
          <cell r="BA59">
            <v>0</v>
          </cell>
          <cell r="BB59">
            <v>1528451.7861800001</v>
          </cell>
          <cell r="BC59">
            <v>1528451.7861800001</v>
          </cell>
          <cell r="BD59">
            <v>1528451.7861800001</v>
          </cell>
          <cell r="BE59">
            <v>0</v>
          </cell>
          <cell r="BF59">
            <v>1528451.7861800001</v>
          </cell>
          <cell r="BG59">
            <v>1528451.7861800001</v>
          </cell>
          <cell r="BH59">
            <v>1528451.7861800001</v>
          </cell>
          <cell r="BI59">
            <v>1528451.7861800001</v>
          </cell>
          <cell r="BJ59">
            <v>0</v>
          </cell>
          <cell r="BK59">
            <v>1528451.7861800001</v>
          </cell>
          <cell r="BL59">
            <v>1528451.7861800001</v>
          </cell>
          <cell r="BM59">
            <v>1528451.7861800001</v>
          </cell>
          <cell r="BN59">
            <v>1528451.7861800001</v>
          </cell>
          <cell r="BO59">
            <v>1528451.7861800001</v>
          </cell>
          <cell r="BP59">
            <v>1528451.7861800001</v>
          </cell>
          <cell r="BQ59">
            <v>1528451.7861800001</v>
          </cell>
          <cell r="BR59">
            <v>1528451.7861800001</v>
          </cell>
          <cell r="BS59">
            <v>1528451.7861800001</v>
          </cell>
          <cell r="BT59">
            <v>1536179.8555300001</v>
          </cell>
          <cell r="BU59">
            <v>1487261.5865800001</v>
          </cell>
          <cell r="BV59">
            <v>0</v>
          </cell>
          <cell r="BW59">
            <v>0</v>
          </cell>
          <cell r="BX59">
            <v>1528451.7861800001</v>
          </cell>
          <cell r="BY59">
            <v>1528451.7861800001</v>
          </cell>
          <cell r="BZ59">
            <v>1528451.7861800001</v>
          </cell>
          <cell r="CA59">
            <v>0</v>
          </cell>
          <cell r="CB59">
            <v>1528451.7861800001</v>
          </cell>
          <cell r="CC59">
            <v>1528451.7861800001</v>
          </cell>
          <cell r="CD59">
            <v>1528451.7861800001</v>
          </cell>
          <cell r="CE59">
            <v>1528451.7861800001</v>
          </cell>
          <cell r="CF59">
            <v>0</v>
          </cell>
          <cell r="CG59">
            <v>1528451.7861800001</v>
          </cell>
          <cell r="CH59">
            <v>1528451.7861800001</v>
          </cell>
          <cell r="CI59">
            <v>1528451.7861800001</v>
          </cell>
          <cell r="CJ59">
            <v>1528451.7861800001</v>
          </cell>
          <cell r="CK59">
            <v>1528451.7861800001</v>
          </cell>
          <cell r="CL59">
            <v>1528451.7861800001</v>
          </cell>
          <cell r="CM59">
            <v>1528451.7861800001</v>
          </cell>
          <cell r="CN59">
            <v>1528451.7861800001</v>
          </cell>
          <cell r="CO59">
            <v>1515183.4848000002</v>
          </cell>
          <cell r="CP59">
            <v>1528451.7861800001</v>
          </cell>
          <cell r="CQ59">
            <v>1528451.7861800001</v>
          </cell>
          <cell r="CR59">
            <v>1528451.7861800001</v>
          </cell>
          <cell r="CS59">
            <v>1528451.7861800001</v>
          </cell>
          <cell r="CT59">
            <v>1528451.7861800001</v>
          </cell>
          <cell r="CU59">
            <v>1528451.7861800001</v>
          </cell>
          <cell r="CV59">
            <v>1528451.7861800001</v>
          </cell>
          <cell r="CW59">
            <v>1528451.7861800001</v>
          </cell>
          <cell r="CX59">
            <v>1528451.7861800001</v>
          </cell>
          <cell r="CY59">
            <v>1528451.7861800001</v>
          </cell>
          <cell r="CZ59">
            <v>1528451.7861800001</v>
          </cell>
          <cell r="DA59">
            <v>1528451.7861800001</v>
          </cell>
          <cell r="DB59">
            <v>1528451.7861800001</v>
          </cell>
          <cell r="DC59">
            <v>1528451.7861800001</v>
          </cell>
          <cell r="DD59">
            <v>1528451.7861800001</v>
          </cell>
          <cell r="DE59">
            <v>1359970.5759699999</v>
          </cell>
          <cell r="DF59">
            <v>1696932.9963900002</v>
          </cell>
          <cell r="DG59">
            <v>1530343.8369100001</v>
          </cell>
          <cell r="DH59">
            <v>1528451.7861800001</v>
          </cell>
          <cell r="DI59">
            <v>1528451.7861800001</v>
          </cell>
          <cell r="DJ59">
            <v>0</v>
          </cell>
          <cell r="DK59">
            <v>0</v>
          </cell>
          <cell r="DL59">
            <v>0</v>
          </cell>
          <cell r="DM59">
            <v>0</v>
          </cell>
          <cell r="DN59">
            <v>0</v>
          </cell>
          <cell r="DO59">
            <v>0</v>
          </cell>
          <cell r="DP59">
            <v>0</v>
          </cell>
          <cell r="DQ59">
            <v>0</v>
          </cell>
          <cell r="DR59">
            <v>0</v>
          </cell>
          <cell r="DS59">
            <v>0</v>
          </cell>
          <cell r="DT59">
            <v>0</v>
          </cell>
          <cell r="DU59">
            <v>0</v>
          </cell>
          <cell r="DV59">
            <v>0</v>
          </cell>
          <cell r="DW59">
            <v>0</v>
          </cell>
          <cell r="DX59" t="str">
            <v/>
          </cell>
          <cell r="DY59" t="str">
            <v/>
          </cell>
          <cell r="DZ59" t="str">
            <v/>
          </cell>
          <cell r="EA59">
            <v>1528451.7861800001</v>
          </cell>
          <cell r="EB59">
            <v>1528451.7861800001</v>
          </cell>
          <cell r="EC59">
            <v>1528451.7861800001</v>
          </cell>
          <cell r="ED59">
            <v>1528451.7861800001</v>
          </cell>
          <cell r="EE59">
            <v>1528451.7861800001</v>
          </cell>
          <cell r="EF59">
            <v>1528451.7861800001</v>
          </cell>
          <cell r="EG59">
            <v>1528451.7861800001</v>
          </cell>
          <cell r="EH59">
            <v>1528451.7861800001</v>
          </cell>
          <cell r="EI59">
            <v>1528451.7861800001</v>
          </cell>
          <cell r="EJ59">
            <v>1528451.7861800001</v>
          </cell>
          <cell r="EK59">
            <v>1528451.7861800001</v>
          </cell>
          <cell r="EL59">
            <v>1528451.7861800001</v>
          </cell>
          <cell r="EM59">
            <v>1528451.7861800001</v>
          </cell>
          <cell r="EN59">
            <v>1528451.7861800001</v>
          </cell>
          <cell r="EO59">
            <v>1359970.5759699999</v>
          </cell>
          <cell r="EP59">
            <v>1696932.9963900002</v>
          </cell>
          <cell r="EQ59">
            <v>1528451.7861800001</v>
          </cell>
          <cell r="ER59">
            <v>1528451.7861800001</v>
          </cell>
          <cell r="ES59">
            <v>0</v>
          </cell>
          <cell r="ET59">
            <v>0</v>
          </cell>
          <cell r="EU59">
            <v>0</v>
          </cell>
          <cell r="EV59">
            <v>0</v>
          </cell>
          <cell r="EW59">
            <v>0</v>
          </cell>
          <cell r="EX59">
            <v>0</v>
          </cell>
          <cell r="EY59">
            <v>0</v>
          </cell>
          <cell r="EZ59">
            <v>0</v>
          </cell>
          <cell r="FA59">
            <v>0</v>
          </cell>
          <cell r="FB59">
            <v>0</v>
          </cell>
          <cell r="FC59">
            <v>0</v>
          </cell>
          <cell r="FD59">
            <v>168481.21021000016</v>
          </cell>
          <cell r="FE59">
            <v>1359970.5759699999</v>
          </cell>
          <cell r="FF59">
            <v>1539763.5408999999</v>
          </cell>
          <cell r="FG59">
            <v>1473732.1326599999</v>
          </cell>
          <cell r="FH59">
            <v>0</v>
          </cell>
          <cell r="FI59">
            <v>0</v>
          </cell>
          <cell r="FJ59">
            <v>1432885.44239</v>
          </cell>
          <cell r="FK59">
            <v>1432885.44239</v>
          </cell>
          <cell r="FL59">
            <v>1432885.44239</v>
          </cell>
          <cell r="FM59">
            <v>0</v>
          </cell>
          <cell r="FN59">
            <v>1528451.7861800001</v>
          </cell>
          <cell r="FO59">
            <v>1528451.7861800001</v>
          </cell>
          <cell r="FP59">
            <v>1528451.7861800001</v>
          </cell>
          <cell r="FQ59">
            <v>1528451.7861800001</v>
          </cell>
          <cell r="FR59">
            <v>0</v>
          </cell>
          <cell r="FS59">
            <v>1472356.0118400001</v>
          </cell>
          <cell r="FT59">
            <v>1472356.0118400001</v>
          </cell>
          <cell r="FU59">
            <v>1472356.0118400001</v>
          </cell>
          <cell r="FV59">
            <v>1472356.0118400001</v>
          </cell>
          <cell r="FW59">
            <v>1472356.0118400001</v>
          </cell>
          <cell r="FX59">
            <v>1472356.0118400001</v>
          </cell>
          <cell r="FY59">
            <v>1472356.0118400001</v>
          </cell>
          <cell r="FZ59">
            <v>1508279.5157300001</v>
          </cell>
          <cell r="GA59">
            <v>1514610.6220100001</v>
          </cell>
          <cell r="GB59">
            <v>1528451.7861800001</v>
          </cell>
          <cell r="GC59">
            <v>1528451.7861800001</v>
          </cell>
          <cell r="GD59">
            <v>1528451.7861800001</v>
          </cell>
          <cell r="GE59">
            <v>1528451.7861800001</v>
          </cell>
          <cell r="GF59">
            <v>1528451.7861800001</v>
          </cell>
          <cell r="GG59">
            <v>1528451.7861800001</v>
          </cell>
          <cell r="GH59">
            <v>1528451.7861800001</v>
          </cell>
          <cell r="GI59">
            <v>1530459.38873</v>
          </cell>
          <cell r="GJ59">
            <v>1528451.7861800001</v>
          </cell>
          <cell r="GK59">
            <v>1528451.7861800001</v>
          </cell>
          <cell r="GL59">
            <v>1528451.7861800001</v>
          </cell>
          <cell r="GM59">
            <v>1528451.7861800001</v>
          </cell>
          <cell r="GN59">
            <v>1528451.7861800001</v>
          </cell>
          <cell r="GO59">
            <v>1528451.7861800001</v>
          </cell>
          <cell r="GP59">
            <v>1528451.7861800001</v>
          </cell>
          <cell r="GQ59">
            <v>1528451.7861800001</v>
          </cell>
          <cell r="GR59">
            <v>1528451.7861800001</v>
          </cell>
          <cell r="GS59">
            <v>1528451.7861800001</v>
          </cell>
          <cell r="GT59">
            <v>1528451.7861800001</v>
          </cell>
          <cell r="GU59">
            <v>0</v>
          </cell>
          <cell r="GZ59">
            <v>0</v>
          </cell>
        </row>
        <row r="60">
          <cell r="A60" t="str">
            <v>F_CNP_NRF_RET_COL_FRCE_125</v>
          </cell>
          <cell r="B60">
            <v>201890349.28</v>
          </cell>
          <cell r="D60">
            <v>250136313.92009002</v>
          </cell>
          <cell r="E60">
            <v>263045424.44622999</v>
          </cell>
          <cell r="F60">
            <v>250136313.92009002</v>
          </cell>
          <cell r="G60">
            <v>250136313.92009002</v>
          </cell>
          <cell r="H60">
            <v>0</v>
          </cell>
          <cell r="I60">
            <v>0</v>
          </cell>
          <cell r="J60">
            <v>250136313.92009002</v>
          </cell>
          <cell r="K60">
            <v>250136313.92009002</v>
          </cell>
          <cell r="L60">
            <v>250136313.92009002</v>
          </cell>
          <cell r="M60">
            <v>0</v>
          </cell>
          <cell r="N60">
            <v>250136313.92009002</v>
          </cell>
          <cell r="O60">
            <v>250136313.92009002</v>
          </cell>
          <cell r="P60">
            <v>250136313.92009002</v>
          </cell>
          <cell r="Q60">
            <v>250136313.92009002</v>
          </cell>
          <cell r="R60">
            <v>0</v>
          </cell>
          <cell r="S60">
            <v>250136313.92009002</v>
          </cell>
          <cell r="T60">
            <v>250136313.92009002</v>
          </cell>
          <cell r="U60">
            <v>250136313.92009002</v>
          </cell>
          <cell r="V60">
            <v>250136313.92009002</v>
          </cell>
          <cell r="W60">
            <v>250136313.92009002</v>
          </cell>
          <cell r="X60">
            <v>250136313.92009002</v>
          </cell>
          <cell r="Y60">
            <v>250136313.92009002</v>
          </cell>
          <cell r="Z60">
            <v>250136313.92009002</v>
          </cell>
          <cell r="AA60">
            <v>250136313.92009002</v>
          </cell>
          <cell r="AB60">
            <v>253850125.77064002</v>
          </cell>
          <cell r="AC60">
            <v>237787267.47119001</v>
          </cell>
          <cell r="AD60">
            <v>0</v>
          </cell>
          <cell r="AE60">
            <v>0</v>
          </cell>
          <cell r="AF60">
            <v>234969567.32765001</v>
          </cell>
          <cell r="AG60">
            <v>234969567.32765001</v>
          </cell>
          <cell r="AH60">
            <v>234969567.32765001</v>
          </cell>
          <cell r="AI60">
            <v>0</v>
          </cell>
          <cell r="AJ60">
            <v>249251349.22100002</v>
          </cell>
          <cell r="AK60">
            <v>249251349.22100002</v>
          </cell>
          <cell r="AL60">
            <v>249251349.22100002</v>
          </cell>
          <cell r="AM60">
            <v>250136313.92009002</v>
          </cell>
          <cell r="AN60">
            <v>0</v>
          </cell>
          <cell r="AO60">
            <v>240122436.25439</v>
          </cell>
          <cell r="AP60">
            <v>240122436.25439</v>
          </cell>
          <cell r="AQ60">
            <v>240122436.25439</v>
          </cell>
          <cell r="AR60">
            <v>240122436.25439</v>
          </cell>
          <cell r="AS60">
            <v>240122436.25439</v>
          </cell>
          <cell r="AT60">
            <v>240122436.25439</v>
          </cell>
          <cell r="AU60">
            <v>240122436.25439</v>
          </cell>
          <cell r="AV60">
            <v>249024177.55869001</v>
          </cell>
          <cell r="AW60">
            <v>250136313.92009002</v>
          </cell>
          <cell r="AX60">
            <v>263045424.44622999</v>
          </cell>
          <cell r="AY60">
            <v>263045424.44622999</v>
          </cell>
          <cell r="AZ60">
            <v>0</v>
          </cell>
          <cell r="BA60">
            <v>0</v>
          </cell>
          <cell r="BB60">
            <v>263045424.44622999</v>
          </cell>
          <cell r="BC60">
            <v>263045424.44622999</v>
          </cell>
          <cell r="BD60">
            <v>263045424.44622999</v>
          </cell>
          <cell r="BE60">
            <v>0</v>
          </cell>
          <cell r="BF60">
            <v>263045424.44622999</v>
          </cell>
          <cell r="BG60">
            <v>263045424.44622999</v>
          </cell>
          <cell r="BH60">
            <v>263045424.44622999</v>
          </cell>
          <cell r="BI60">
            <v>263045424.44622999</v>
          </cell>
          <cell r="BJ60">
            <v>0</v>
          </cell>
          <cell r="BK60">
            <v>263045424.44622999</v>
          </cell>
          <cell r="BL60">
            <v>263045424.44622999</v>
          </cell>
          <cell r="BM60">
            <v>263045424.44622999</v>
          </cell>
          <cell r="BN60">
            <v>263045424.44622999</v>
          </cell>
          <cell r="BO60">
            <v>263045424.44622999</v>
          </cell>
          <cell r="BP60">
            <v>263045424.44622999</v>
          </cell>
          <cell r="BQ60">
            <v>263045424.44622999</v>
          </cell>
          <cell r="BR60">
            <v>263045424.44622999</v>
          </cell>
          <cell r="BS60">
            <v>263045424.44622999</v>
          </cell>
          <cell r="BT60">
            <v>284251218.77564001</v>
          </cell>
          <cell r="BU60">
            <v>226864138.45039999</v>
          </cell>
          <cell r="BV60">
            <v>0</v>
          </cell>
          <cell r="BW60">
            <v>0</v>
          </cell>
          <cell r="BX60">
            <v>263045424.44622999</v>
          </cell>
          <cell r="BY60">
            <v>263045424.44622999</v>
          </cell>
          <cell r="BZ60">
            <v>263045424.44622999</v>
          </cell>
          <cell r="CA60">
            <v>0</v>
          </cell>
          <cell r="CB60">
            <v>263045424.44622999</v>
          </cell>
          <cell r="CC60">
            <v>263045424.44622999</v>
          </cell>
          <cell r="CD60">
            <v>263045424.44622999</v>
          </cell>
          <cell r="CE60">
            <v>263045424.44622999</v>
          </cell>
          <cell r="CF60">
            <v>0</v>
          </cell>
          <cell r="CG60">
            <v>263045424.44622999</v>
          </cell>
          <cell r="CH60">
            <v>263045424.44622999</v>
          </cell>
          <cell r="CI60">
            <v>263045424.44622999</v>
          </cell>
          <cell r="CJ60">
            <v>263045424.44622999</v>
          </cell>
          <cell r="CK60">
            <v>263045424.44622999</v>
          </cell>
          <cell r="CL60">
            <v>263045424.44622999</v>
          </cell>
          <cell r="CM60">
            <v>263045424.44622999</v>
          </cell>
          <cell r="CN60">
            <v>263045424.44622999</v>
          </cell>
          <cell r="CO60">
            <v>246828415.72707999</v>
          </cell>
          <cell r="CP60">
            <v>263045424.44622999</v>
          </cell>
          <cell r="CQ60">
            <v>263045424.44622999</v>
          </cell>
          <cell r="CR60">
            <v>263045424.44622999</v>
          </cell>
          <cell r="CS60">
            <v>263045424.44622999</v>
          </cell>
          <cell r="CT60">
            <v>263045424.44622999</v>
          </cell>
          <cell r="CU60">
            <v>263045424.44622999</v>
          </cell>
          <cell r="CV60">
            <v>263045424.44622999</v>
          </cell>
          <cell r="CW60">
            <v>263045424.44622999</v>
          </cell>
          <cell r="CX60">
            <v>263045424.44622999</v>
          </cell>
          <cell r="CY60">
            <v>263045424.44622999</v>
          </cell>
          <cell r="CZ60">
            <v>263045424.44622999</v>
          </cell>
          <cell r="DA60">
            <v>276683482.61282998</v>
          </cell>
          <cell r="DB60">
            <v>263045424.44622999</v>
          </cell>
          <cell r="DC60">
            <v>263045424.44622999</v>
          </cell>
          <cell r="DD60">
            <v>263045424.44622999</v>
          </cell>
          <cell r="DE60">
            <v>229215970.73638999</v>
          </cell>
          <cell r="DF60">
            <v>296874878.15606999</v>
          </cell>
          <cell r="DG60">
            <v>267669566.035</v>
          </cell>
          <cell r="DH60">
            <v>263045424.44622999</v>
          </cell>
          <cell r="DI60">
            <v>263045424.44622999</v>
          </cell>
          <cell r="DJ60">
            <v>0</v>
          </cell>
          <cell r="DK60">
            <v>0</v>
          </cell>
          <cell r="DL60">
            <v>0</v>
          </cell>
          <cell r="DM60">
            <v>0</v>
          </cell>
          <cell r="DN60">
            <v>0</v>
          </cell>
          <cell r="DO60">
            <v>0</v>
          </cell>
          <cell r="DP60">
            <v>0</v>
          </cell>
          <cell r="DQ60">
            <v>0</v>
          </cell>
          <cell r="DR60">
            <v>0</v>
          </cell>
          <cell r="DS60">
            <v>0</v>
          </cell>
          <cell r="DT60">
            <v>0</v>
          </cell>
          <cell r="DU60">
            <v>0</v>
          </cell>
          <cell r="DV60">
            <v>0</v>
          </cell>
          <cell r="DW60">
            <v>0</v>
          </cell>
          <cell r="DX60" t="str">
            <v/>
          </cell>
          <cell r="DY60" t="str">
            <v/>
          </cell>
          <cell r="DZ60" t="str">
            <v/>
          </cell>
          <cell r="EA60">
            <v>263045424.44622999</v>
          </cell>
          <cell r="EB60">
            <v>263045424.44622999</v>
          </cell>
          <cell r="EC60">
            <v>263045424.44622999</v>
          </cell>
          <cell r="ED60">
            <v>263045424.44622999</v>
          </cell>
          <cell r="EE60">
            <v>263045424.44622999</v>
          </cell>
          <cell r="EF60">
            <v>263045424.44622999</v>
          </cell>
          <cell r="EG60">
            <v>263045424.44622999</v>
          </cell>
          <cell r="EH60">
            <v>263045424.44622999</v>
          </cell>
          <cell r="EI60">
            <v>263045424.44622999</v>
          </cell>
          <cell r="EJ60">
            <v>263045424.44622999</v>
          </cell>
          <cell r="EK60">
            <v>263045424.44622999</v>
          </cell>
          <cell r="EL60">
            <v>263045424.44622999</v>
          </cell>
          <cell r="EM60">
            <v>263045424.44622999</v>
          </cell>
          <cell r="EN60">
            <v>263045424.44622999</v>
          </cell>
          <cell r="EO60">
            <v>229215970.73638999</v>
          </cell>
          <cell r="EP60">
            <v>296874878.15606999</v>
          </cell>
          <cell r="EQ60">
            <v>263045424.44622999</v>
          </cell>
          <cell r="ER60">
            <v>263045424.44622999</v>
          </cell>
          <cell r="ES60">
            <v>0</v>
          </cell>
          <cell r="ET60">
            <v>0</v>
          </cell>
          <cell r="EU60">
            <v>0</v>
          </cell>
          <cell r="EV60">
            <v>0</v>
          </cell>
          <cell r="EW60">
            <v>0</v>
          </cell>
          <cell r="EX60">
            <v>0</v>
          </cell>
          <cell r="EY60">
            <v>0</v>
          </cell>
          <cell r="EZ60">
            <v>0</v>
          </cell>
          <cell r="FA60">
            <v>0</v>
          </cell>
          <cell r="FB60">
            <v>0</v>
          </cell>
          <cell r="FC60">
            <v>0</v>
          </cell>
          <cell r="FD60">
            <v>33829454.063010007</v>
          </cell>
          <cell r="FE60">
            <v>229215970.73638999</v>
          </cell>
          <cell r="FF60">
            <v>278352790.10911</v>
          </cell>
          <cell r="FG60">
            <v>237797957.04206002</v>
          </cell>
          <cell r="FH60">
            <v>0</v>
          </cell>
          <cell r="FI60">
            <v>0</v>
          </cell>
          <cell r="FJ60">
            <v>253753351.38714999</v>
          </cell>
          <cell r="FK60">
            <v>253753351.38714999</v>
          </cell>
          <cell r="FL60">
            <v>253753351.38714999</v>
          </cell>
          <cell r="FM60">
            <v>0</v>
          </cell>
          <cell r="FN60">
            <v>262451204.26164001</v>
          </cell>
          <cell r="FO60">
            <v>262451204.26164001</v>
          </cell>
          <cell r="FP60">
            <v>262451204.26164001</v>
          </cell>
          <cell r="FQ60">
            <v>263045418.86225</v>
          </cell>
          <cell r="FR60">
            <v>0</v>
          </cell>
          <cell r="FS60">
            <v>258187905.93063</v>
          </cell>
          <cell r="FT60">
            <v>258187905.93063</v>
          </cell>
          <cell r="FU60">
            <v>258187905.93063</v>
          </cell>
          <cell r="FV60">
            <v>258187905.93063</v>
          </cell>
          <cell r="FW60">
            <v>258187905.93063</v>
          </cell>
          <cell r="FX60">
            <v>258187905.93063</v>
          </cell>
          <cell r="FY60">
            <v>258187905.93063</v>
          </cell>
          <cell r="FZ60">
            <v>261809049.99309</v>
          </cell>
          <cell r="GA60">
            <v>245274614.64888</v>
          </cell>
          <cell r="GB60">
            <v>263045424.44622999</v>
          </cell>
          <cell r="GC60">
            <v>279516801.40055001</v>
          </cell>
          <cell r="GD60">
            <v>263045424.7994</v>
          </cell>
          <cell r="GE60">
            <v>263045424.73767</v>
          </cell>
          <cell r="GF60">
            <v>263045424.7994</v>
          </cell>
          <cell r="GG60">
            <v>263045424.44622999</v>
          </cell>
          <cell r="GH60">
            <v>263045424.44622999</v>
          </cell>
          <cell r="GI60">
            <v>268348782.96122003</v>
          </cell>
          <cell r="GJ60">
            <v>263045424.7994</v>
          </cell>
          <cell r="GK60">
            <v>263045424.73767</v>
          </cell>
          <cell r="GL60">
            <v>263045424.44622999</v>
          </cell>
          <cell r="GM60">
            <v>263045424.44622999</v>
          </cell>
          <cell r="GN60">
            <v>263045424.44622999</v>
          </cell>
          <cell r="GO60">
            <v>263045424.44622999</v>
          </cell>
          <cell r="GP60">
            <v>263045424.44622999</v>
          </cell>
          <cell r="GQ60">
            <v>263045424.44622999</v>
          </cell>
          <cell r="GR60">
            <v>263045424.44622999</v>
          </cell>
          <cell r="GS60">
            <v>263045424.44622999</v>
          </cell>
          <cell r="GT60">
            <v>263045424.44622999</v>
          </cell>
          <cell r="GU60">
            <v>0</v>
          </cell>
          <cell r="GZ60">
            <v>0</v>
          </cell>
        </row>
        <row r="61">
          <cell r="A61" t="str">
            <v>F_CNP_NRF_RET_COL_FRCE_127</v>
          </cell>
          <cell r="B61">
            <v>186800032.92016</v>
          </cell>
          <cell r="D61">
            <v>234434651.06149</v>
          </cell>
          <cell r="E61">
            <v>249248379.80770999</v>
          </cell>
          <cell r="F61">
            <v>234434651.06149</v>
          </cell>
          <cell r="G61">
            <v>234434651.06149</v>
          </cell>
          <cell r="H61">
            <v>0</v>
          </cell>
          <cell r="I61">
            <v>0</v>
          </cell>
          <cell r="J61">
            <v>234434651.06149</v>
          </cell>
          <cell r="K61">
            <v>234434651.06149</v>
          </cell>
          <cell r="L61">
            <v>234434651.06149</v>
          </cell>
          <cell r="M61">
            <v>0</v>
          </cell>
          <cell r="N61">
            <v>234434651.06149</v>
          </cell>
          <cell r="O61">
            <v>234434651.06149</v>
          </cell>
          <cell r="P61">
            <v>234434651.06149</v>
          </cell>
          <cell r="Q61">
            <v>234434651.06149</v>
          </cell>
          <cell r="R61">
            <v>0</v>
          </cell>
          <cell r="S61">
            <v>234434651.06149</v>
          </cell>
          <cell r="T61">
            <v>234434651.06149</v>
          </cell>
          <cell r="U61">
            <v>234434651.06149</v>
          </cell>
          <cell r="V61">
            <v>234434651.06149</v>
          </cell>
          <cell r="W61">
            <v>234434651.06149</v>
          </cell>
          <cell r="X61">
            <v>234434651.06149</v>
          </cell>
          <cell r="Y61">
            <v>234434651.06149</v>
          </cell>
          <cell r="Z61">
            <v>234434651.06149</v>
          </cell>
          <cell r="AA61">
            <v>234434651.06149</v>
          </cell>
          <cell r="AB61">
            <v>239526525.00319999</v>
          </cell>
          <cell r="AC61">
            <v>220767472.50551999</v>
          </cell>
          <cell r="AD61">
            <v>0</v>
          </cell>
          <cell r="AE61">
            <v>0</v>
          </cell>
          <cell r="AF61">
            <v>218719518.35271001</v>
          </cell>
          <cell r="AG61">
            <v>218719518.35271001</v>
          </cell>
          <cell r="AH61">
            <v>218719518.35271001</v>
          </cell>
          <cell r="AI61">
            <v>0</v>
          </cell>
          <cell r="AJ61">
            <v>234121950.62384</v>
          </cell>
          <cell r="AK61">
            <v>234121950.62384</v>
          </cell>
          <cell r="AL61">
            <v>234121950.62384</v>
          </cell>
          <cell r="AM61">
            <v>234434651.06149</v>
          </cell>
          <cell r="AN61">
            <v>0</v>
          </cell>
          <cell r="AO61">
            <v>229605670.55581999</v>
          </cell>
          <cell r="AP61">
            <v>229605670.55581999</v>
          </cell>
          <cell r="AQ61">
            <v>229605670.55581999</v>
          </cell>
          <cell r="AR61">
            <v>229605670.55581999</v>
          </cell>
          <cell r="AS61">
            <v>229605670.55581999</v>
          </cell>
          <cell r="AT61">
            <v>229605670.55581999</v>
          </cell>
          <cell r="AU61">
            <v>229605670.55581999</v>
          </cell>
          <cell r="AV61">
            <v>234405655.94553</v>
          </cell>
          <cell r="AW61">
            <v>234434651.06149</v>
          </cell>
          <cell r="AX61">
            <v>249248379.80770999</v>
          </cell>
          <cell r="AY61">
            <v>249248379.80770999</v>
          </cell>
          <cell r="AZ61">
            <v>0</v>
          </cell>
          <cell r="BA61">
            <v>0</v>
          </cell>
          <cell r="BB61">
            <v>249248379.80770999</v>
          </cell>
          <cell r="BC61">
            <v>249248379.80770999</v>
          </cell>
          <cell r="BD61">
            <v>249248379.80770999</v>
          </cell>
          <cell r="BE61">
            <v>0</v>
          </cell>
          <cell r="BF61">
            <v>249248379.80770999</v>
          </cell>
          <cell r="BG61">
            <v>249248379.80770999</v>
          </cell>
          <cell r="BH61">
            <v>249248379.80770999</v>
          </cell>
          <cell r="BI61">
            <v>249248379.80770999</v>
          </cell>
          <cell r="BJ61">
            <v>0</v>
          </cell>
          <cell r="BK61">
            <v>249248379.80770999</v>
          </cell>
          <cell r="BL61">
            <v>249248379.80770999</v>
          </cell>
          <cell r="BM61">
            <v>249248379.80770999</v>
          </cell>
          <cell r="BN61">
            <v>249248379.80770999</v>
          </cell>
          <cell r="BO61">
            <v>249248379.80770999</v>
          </cell>
          <cell r="BP61">
            <v>249248379.80770999</v>
          </cell>
          <cell r="BQ61">
            <v>249248379.80770999</v>
          </cell>
          <cell r="BR61">
            <v>249248379.80770999</v>
          </cell>
          <cell r="BS61">
            <v>249248379.80770999</v>
          </cell>
          <cell r="BT61">
            <v>255724800.08425</v>
          </cell>
          <cell r="BU61">
            <v>231450387.44532001</v>
          </cell>
          <cell r="BV61">
            <v>0</v>
          </cell>
          <cell r="BW61">
            <v>0</v>
          </cell>
          <cell r="BX61">
            <v>249248379.80770999</v>
          </cell>
          <cell r="BY61">
            <v>249248379.80770999</v>
          </cell>
          <cell r="BZ61">
            <v>249248379.80770999</v>
          </cell>
          <cell r="CA61">
            <v>0</v>
          </cell>
          <cell r="CB61">
            <v>249248379.80770999</v>
          </cell>
          <cell r="CC61">
            <v>249248379.80770999</v>
          </cell>
          <cell r="CD61">
            <v>249248379.80770999</v>
          </cell>
          <cell r="CE61">
            <v>249248379.80770999</v>
          </cell>
          <cell r="CF61">
            <v>0</v>
          </cell>
          <cell r="CG61">
            <v>249248379.80770999</v>
          </cell>
          <cell r="CH61">
            <v>249248379.80770999</v>
          </cell>
          <cell r="CI61">
            <v>249248379.80770999</v>
          </cell>
          <cell r="CJ61">
            <v>249248379.80770999</v>
          </cell>
          <cell r="CK61">
            <v>249248379.80770999</v>
          </cell>
          <cell r="CL61">
            <v>249248379.80770999</v>
          </cell>
          <cell r="CM61">
            <v>249248379.80770999</v>
          </cell>
          <cell r="CN61">
            <v>249248379.80770999</v>
          </cell>
          <cell r="CO61">
            <v>243422235.94370002</v>
          </cell>
          <cell r="CP61">
            <v>249248379.80770999</v>
          </cell>
          <cell r="CQ61">
            <v>249248379.80770999</v>
          </cell>
          <cell r="CR61">
            <v>249248379.80770999</v>
          </cell>
          <cell r="CS61">
            <v>249248379.80770999</v>
          </cell>
          <cell r="CT61">
            <v>249248379.80770999</v>
          </cell>
          <cell r="CU61">
            <v>249248379.80770999</v>
          </cell>
          <cell r="CV61">
            <v>249248379.80770999</v>
          </cell>
          <cell r="CW61">
            <v>249248379.80770999</v>
          </cell>
          <cell r="CX61">
            <v>249248379.80770999</v>
          </cell>
          <cell r="CY61">
            <v>249248379.80770999</v>
          </cell>
          <cell r="CZ61">
            <v>249248379.80770999</v>
          </cell>
          <cell r="DA61">
            <v>269438263.06471002</v>
          </cell>
          <cell r="DB61">
            <v>249248379.80770999</v>
          </cell>
          <cell r="DC61">
            <v>249248379.80770999</v>
          </cell>
          <cell r="DD61">
            <v>249248379.80770999</v>
          </cell>
          <cell r="DE61">
            <v>222247117.53099999</v>
          </cell>
          <cell r="DF61">
            <v>276249642.08441997</v>
          </cell>
          <cell r="DG61">
            <v>250430570.68068001</v>
          </cell>
          <cell r="DH61">
            <v>249248379.80770999</v>
          </cell>
          <cell r="DI61">
            <v>249248379.80770999</v>
          </cell>
          <cell r="DJ61">
            <v>0</v>
          </cell>
          <cell r="DK61">
            <v>0</v>
          </cell>
          <cell r="DL61">
            <v>0</v>
          </cell>
          <cell r="DM61">
            <v>0</v>
          </cell>
          <cell r="DN61">
            <v>0</v>
          </cell>
          <cell r="DO61">
            <v>0</v>
          </cell>
          <cell r="DP61">
            <v>0</v>
          </cell>
          <cell r="DQ61">
            <v>0</v>
          </cell>
          <cell r="DR61">
            <v>0</v>
          </cell>
          <cell r="DS61">
            <v>0</v>
          </cell>
          <cell r="DT61">
            <v>0</v>
          </cell>
          <cell r="DU61">
            <v>0</v>
          </cell>
          <cell r="DV61">
            <v>0</v>
          </cell>
          <cell r="DW61">
            <v>0</v>
          </cell>
          <cell r="DX61" t="str">
            <v/>
          </cell>
          <cell r="DY61" t="str">
            <v/>
          </cell>
          <cell r="DZ61" t="str">
            <v/>
          </cell>
          <cell r="EA61">
            <v>249248379.80770999</v>
          </cell>
          <cell r="EB61">
            <v>249248379.80770999</v>
          </cell>
          <cell r="EC61">
            <v>249248379.80770999</v>
          </cell>
          <cell r="ED61">
            <v>249248379.80770999</v>
          </cell>
          <cell r="EE61">
            <v>249248379.80770999</v>
          </cell>
          <cell r="EF61">
            <v>249248379.80770999</v>
          </cell>
          <cell r="EG61">
            <v>249248379.80770999</v>
          </cell>
          <cell r="EH61">
            <v>249248379.80770999</v>
          </cell>
          <cell r="EI61">
            <v>249248379.80770999</v>
          </cell>
          <cell r="EJ61">
            <v>249248379.80770999</v>
          </cell>
          <cell r="EK61">
            <v>249248379.80770999</v>
          </cell>
          <cell r="EL61">
            <v>249248379.80770999</v>
          </cell>
          <cell r="EM61">
            <v>249248379.80770999</v>
          </cell>
          <cell r="EN61">
            <v>249248379.80770999</v>
          </cell>
          <cell r="EO61">
            <v>222247117.53099999</v>
          </cell>
          <cell r="EP61">
            <v>276249642.08441997</v>
          </cell>
          <cell r="EQ61">
            <v>249248379.80770999</v>
          </cell>
          <cell r="ER61">
            <v>249248379.80770999</v>
          </cell>
          <cell r="ES61">
            <v>0</v>
          </cell>
          <cell r="ET61">
            <v>0</v>
          </cell>
          <cell r="EU61">
            <v>0</v>
          </cell>
          <cell r="EV61">
            <v>0</v>
          </cell>
          <cell r="EW61">
            <v>0</v>
          </cell>
          <cell r="EX61">
            <v>0</v>
          </cell>
          <cell r="EY61">
            <v>0</v>
          </cell>
          <cell r="EZ61">
            <v>0</v>
          </cell>
          <cell r="FA61">
            <v>0</v>
          </cell>
          <cell r="FB61">
            <v>0</v>
          </cell>
          <cell r="FC61">
            <v>0</v>
          </cell>
          <cell r="FD61">
            <v>27001262.276710004</v>
          </cell>
          <cell r="FE61">
            <v>222247117.53099999</v>
          </cell>
          <cell r="FF61">
            <v>254275981.23945999</v>
          </cell>
          <cell r="FG61">
            <v>234812222.88361999</v>
          </cell>
          <cell r="FH61">
            <v>0</v>
          </cell>
          <cell r="FI61">
            <v>0</v>
          </cell>
          <cell r="FJ61">
            <v>232831408.80406001</v>
          </cell>
          <cell r="FK61">
            <v>232831408.80406001</v>
          </cell>
          <cell r="FL61">
            <v>232831408.80406001</v>
          </cell>
          <cell r="FM61">
            <v>0</v>
          </cell>
          <cell r="FN61">
            <v>248919140.45203999</v>
          </cell>
          <cell r="FO61">
            <v>248919140.45203999</v>
          </cell>
          <cell r="FP61">
            <v>248919140.45203999</v>
          </cell>
          <cell r="FQ61">
            <v>249248379.80770999</v>
          </cell>
          <cell r="FR61">
            <v>0</v>
          </cell>
          <cell r="FS61">
            <v>244393010.34332001</v>
          </cell>
          <cell r="FT61">
            <v>244393010.34332001</v>
          </cell>
          <cell r="FU61">
            <v>244393010.34332001</v>
          </cell>
          <cell r="FV61">
            <v>244393010.34332001</v>
          </cell>
          <cell r="FW61">
            <v>244393010.34332001</v>
          </cell>
          <cell r="FX61">
            <v>244393010.34332001</v>
          </cell>
          <cell r="FY61">
            <v>244393010.34332001</v>
          </cell>
          <cell r="FZ61">
            <v>249218429.49109</v>
          </cell>
          <cell r="GA61">
            <v>243022264.16903999</v>
          </cell>
          <cell r="GB61">
            <v>249248379.80770999</v>
          </cell>
          <cell r="GC61">
            <v>272951276.14460999</v>
          </cell>
          <cell r="GD61">
            <v>249248379.80770999</v>
          </cell>
          <cell r="GE61">
            <v>249248379.80770999</v>
          </cell>
          <cell r="GF61">
            <v>249248379.80770999</v>
          </cell>
          <cell r="GG61">
            <v>249248379.80770999</v>
          </cell>
          <cell r="GH61">
            <v>249248379.80770999</v>
          </cell>
          <cell r="GI61">
            <v>250604550.92342001</v>
          </cell>
          <cell r="GJ61">
            <v>249248379.80770999</v>
          </cell>
          <cell r="GK61">
            <v>249248379.80770999</v>
          </cell>
          <cell r="GL61">
            <v>249248379.80770999</v>
          </cell>
          <cell r="GM61">
            <v>249248379.80770999</v>
          </cell>
          <cell r="GN61">
            <v>249248379.80770999</v>
          </cell>
          <cell r="GO61">
            <v>249248379.80770999</v>
          </cell>
          <cell r="GP61">
            <v>249248379.80770999</v>
          </cell>
          <cell r="GQ61">
            <v>249248379.80770999</v>
          </cell>
          <cell r="GR61">
            <v>249248379.80770999</v>
          </cell>
          <cell r="GS61">
            <v>249248379.80770999</v>
          </cell>
          <cell r="GT61">
            <v>249248379.80770999</v>
          </cell>
          <cell r="GU61">
            <v>0</v>
          </cell>
          <cell r="GZ61">
            <v>0</v>
          </cell>
        </row>
        <row r="62">
          <cell r="A62" t="str">
            <v>F_CNP_NRF_RET_COL_FRCE_129</v>
          </cell>
          <cell r="B62">
            <v>201073552.74809998</v>
          </cell>
          <cell r="D62">
            <v>219097531.79264998</v>
          </cell>
          <cell r="E62">
            <v>223069079.07173002</v>
          </cell>
          <cell r="F62">
            <v>219097531.79264998</v>
          </cell>
          <cell r="G62">
            <v>219097531.79264998</v>
          </cell>
          <cell r="H62">
            <v>0</v>
          </cell>
          <cell r="I62">
            <v>0</v>
          </cell>
          <cell r="J62">
            <v>219097531.79264998</v>
          </cell>
          <cell r="K62">
            <v>219097531.79264998</v>
          </cell>
          <cell r="L62">
            <v>219097531.79264998</v>
          </cell>
          <cell r="M62">
            <v>0</v>
          </cell>
          <cell r="N62">
            <v>219097531.79264998</v>
          </cell>
          <cell r="O62">
            <v>219097531.79264998</v>
          </cell>
          <cell r="P62">
            <v>219097531.79264998</v>
          </cell>
          <cell r="Q62">
            <v>219097531.79264998</v>
          </cell>
          <cell r="R62">
            <v>0</v>
          </cell>
          <cell r="S62">
            <v>219097531.79264998</v>
          </cell>
          <cell r="T62">
            <v>219097531.79264998</v>
          </cell>
          <cell r="U62">
            <v>219097531.79264998</v>
          </cell>
          <cell r="V62">
            <v>219097531.79264998</v>
          </cell>
          <cell r="W62">
            <v>219097531.79264998</v>
          </cell>
          <cell r="X62">
            <v>219097531.79264998</v>
          </cell>
          <cell r="Y62">
            <v>219097531.79264998</v>
          </cell>
          <cell r="Z62">
            <v>219097531.79264998</v>
          </cell>
          <cell r="AA62">
            <v>219097531.79264998</v>
          </cell>
          <cell r="AB62">
            <v>208509840.63306001</v>
          </cell>
          <cell r="AC62">
            <v>237506163.28496</v>
          </cell>
          <cell r="AD62">
            <v>0</v>
          </cell>
          <cell r="AE62">
            <v>0</v>
          </cell>
          <cell r="AF62">
            <v>127837313.88978</v>
          </cell>
          <cell r="AG62">
            <v>127837313.88978</v>
          </cell>
          <cell r="AH62">
            <v>127837313.88978</v>
          </cell>
          <cell r="AI62">
            <v>0</v>
          </cell>
          <cell r="AJ62">
            <v>216386928.73883</v>
          </cell>
          <cell r="AK62">
            <v>216386928.73883</v>
          </cell>
          <cell r="AL62">
            <v>216386928.73883</v>
          </cell>
          <cell r="AM62">
            <v>219097531.79264998</v>
          </cell>
          <cell r="AN62">
            <v>0</v>
          </cell>
          <cell r="AO62">
            <v>145999165.95813</v>
          </cell>
          <cell r="AP62">
            <v>145999165.95813</v>
          </cell>
          <cell r="AQ62">
            <v>145999165.95813</v>
          </cell>
          <cell r="AR62">
            <v>145999165.95813</v>
          </cell>
          <cell r="AS62">
            <v>145999165.95813</v>
          </cell>
          <cell r="AT62">
            <v>145999165.95813</v>
          </cell>
          <cell r="AU62">
            <v>145999165.95813</v>
          </cell>
          <cell r="AV62">
            <v>219097531.79264998</v>
          </cell>
          <cell r="AW62">
            <v>219097531.79264998</v>
          </cell>
          <cell r="AX62">
            <v>223069079.07173002</v>
          </cell>
          <cell r="AY62">
            <v>223069079.07173002</v>
          </cell>
          <cell r="AZ62">
            <v>0</v>
          </cell>
          <cell r="BA62">
            <v>0</v>
          </cell>
          <cell r="BB62">
            <v>223069079.07173002</v>
          </cell>
          <cell r="BC62">
            <v>223069079.07173002</v>
          </cell>
          <cell r="BD62">
            <v>223069079.07173002</v>
          </cell>
          <cell r="BE62">
            <v>0</v>
          </cell>
          <cell r="BF62">
            <v>223069079.07173002</v>
          </cell>
          <cell r="BG62">
            <v>223069079.07173002</v>
          </cell>
          <cell r="BH62">
            <v>223069079.07173002</v>
          </cell>
          <cell r="BI62">
            <v>223069079.07173002</v>
          </cell>
          <cell r="BJ62">
            <v>0</v>
          </cell>
          <cell r="BK62">
            <v>223069079.07173002</v>
          </cell>
          <cell r="BL62">
            <v>223069079.07173002</v>
          </cell>
          <cell r="BM62">
            <v>223069079.07173002</v>
          </cell>
          <cell r="BN62">
            <v>223069079.07173002</v>
          </cell>
          <cell r="BO62">
            <v>223069079.07173002</v>
          </cell>
          <cell r="BP62">
            <v>223069079.07173002</v>
          </cell>
          <cell r="BQ62">
            <v>223069079.07173002</v>
          </cell>
          <cell r="BR62">
            <v>223069079.07173002</v>
          </cell>
          <cell r="BS62">
            <v>223069079.07173002</v>
          </cell>
          <cell r="BT62">
            <v>231863931.15275005</v>
          </cell>
          <cell r="BU62">
            <v>203127396.64005002</v>
          </cell>
          <cell r="BV62">
            <v>0</v>
          </cell>
          <cell r="BW62">
            <v>0</v>
          </cell>
          <cell r="BX62">
            <v>223069079.07173002</v>
          </cell>
          <cell r="BY62">
            <v>223069079.07173002</v>
          </cell>
          <cell r="BZ62">
            <v>223069079.07173002</v>
          </cell>
          <cell r="CA62">
            <v>0</v>
          </cell>
          <cell r="CB62">
            <v>223069079.07173002</v>
          </cell>
          <cell r="CC62">
            <v>223069079.07173002</v>
          </cell>
          <cell r="CD62">
            <v>223069079.07173002</v>
          </cell>
          <cell r="CE62">
            <v>223069079.07173002</v>
          </cell>
          <cell r="CF62">
            <v>0</v>
          </cell>
          <cell r="CG62">
            <v>223069079.07173002</v>
          </cell>
          <cell r="CH62">
            <v>223069079.07173002</v>
          </cell>
          <cell r="CI62">
            <v>223069079.07173002</v>
          </cell>
          <cell r="CJ62">
            <v>223069079.07173002</v>
          </cell>
          <cell r="CK62">
            <v>223069079.07173002</v>
          </cell>
          <cell r="CL62">
            <v>223069079.07173002</v>
          </cell>
          <cell r="CM62">
            <v>223069079.07173002</v>
          </cell>
          <cell r="CN62">
            <v>223069079.07173002</v>
          </cell>
          <cell r="CO62">
            <v>215989418.36510003</v>
          </cell>
          <cell r="CP62">
            <v>223069079.07173002</v>
          </cell>
          <cell r="CQ62">
            <v>223069079.07173002</v>
          </cell>
          <cell r="CR62">
            <v>223069079.07173002</v>
          </cell>
          <cell r="CS62">
            <v>223069079.07173002</v>
          </cell>
          <cell r="CT62">
            <v>223069079.07173002</v>
          </cell>
          <cell r="CU62">
            <v>223069079.07173002</v>
          </cell>
          <cell r="CV62">
            <v>223069079.07173002</v>
          </cell>
          <cell r="CW62">
            <v>223069079.07173002</v>
          </cell>
          <cell r="CX62">
            <v>223069079.07173002</v>
          </cell>
          <cell r="CY62">
            <v>223069079.07173002</v>
          </cell>
          <cell r="CZ62">
            <v>223069079.07173002</v>
          </cell>
          <cell r="DA62">
            <v>238025271.30854002</v>
          </cell>
          <cell r="DB62">
            <v>223069079.07173002</v>
          </cell>
          <cell r="DC62">
            <v>223069079.07173002</v>
          </cell>
          <cell r="DD62">
            <v>223069079.07173002</v>
          </cell>
          <cell r="DE62">
            <v>209444331.54620999</v>
          </cell>
          <cell r="DF62">
            <v>236693826.59725004</v>
          </cell>
          <cell r="DG62">
            <v>224557737.21913004</v>
          </cell>
          <cell r="DH62">
            <v>223069079.07173002</v>
          </cell>
          <cell r="DI62">
            <v>223069079.07173002</v>
          </cell>
          <cell r="DJ62">
            <v>0</v>
          </cell>
          <cell r="DK62">
            <v>0</v>
          </cell>
          <cell r="DL62">
            <v>0</v>
          </cell>
          <cell r="DM62">
            <v>0</v>
          </cell>
          <cell r="DN62">
            <v>0</v>
          </cell>
          <cell r="DO62">
            <v>0</v>
          </cell>
          <cell r="DP62">
            <v>0</v>
          </cell>
          <cell r="DQ62">
            <v>0</v>
          </cell>
          <cell r="DR62">
            <v>0</v>
          </cell>
          <cell r="DS62">
            <v>0</v>
          </cell>
          <cell r="DT62">
            <v>0</v>
          </cell>
          <cell r="DU62">
            <v>0</v>
          </cell>
          <cell r="DV62">
            <v>0</v>
          </cell>
          <cell r="DW62">
            <v>0</v>
          </cell>
          <cell r="DX62" t="str">
            <v/>
          </cell>
          <cell r="DY62" t="str">
            <v/>
          </cell>
          <cell r="DZ62" t="str">
            <v/>
          </cell>
          <cell r="EA62">
            <v>223069079.07173002</v>
          </cell>
          <cell r="EB62">
            <v>223069079.07173002</v>
          </cell>
          <cell r="EC62">
            <v>223069079.07173002</v>
          </cell>
          <cell r="ED62">
            <v>223069079.07173002</v>
          </cell>
          <cell r="EE62">
            <v>223069079.07173002</v>
          </cell>
          <cell r="EF62">
            <v>223069079.07173002</v>
          </cell>
          <cell r="EG62">
            <v>223069079.07173002</v>
          </cell>
          <cell r="EH62">
            <v>223069079.07173002</v>
          </cell>
          <cell r="EI62">
            <v>223069079.07173002</v>
          </cell>
          <cell r="EJ62">
            <v>223069079.07173002</v>
          </cell>
          <cell r="EK62">
            <v>223069079.07173002</v>
          </cell>
          <cell r="EL62">
            <v>223069079.07173002</v>
          </cell>
          <cell r="EM62">
            <v>223069079.07173002</v>
          </cell>
          <cell r="EN62">
            <v>223069079.07173002</v>
          </cell>
          <cell r="EO62">
            <v>209444331.54620999</v>
          </cell>
          <cell r="EP62">
            <v>236693826.59725004</v>
          </cell>
          <cell r="EQ62">
            <v>223069079.07173002</v>
          </cell>
          <cell r="ER62">
            <v>223069079.07173002</v>
          </cell>
          <cell r="ES62">
            <v>0</v>
          </cell>
          <cell r="ET62">
            <v>0</v>
          </cell>
          <cell r="EU62">
            <v>0</v>
          </cell>
          <cell r="EV62">
            <v>0</v>
          </cell>
          <cell r="EW62">
            <v>0</v>
          </cell>
          <cell r="EX62">
            <v>0</v>
          </cell>
          <cell r="EY62">
            <v>0</v>
          </cell>
          <cell r="EZ62">
            <v>0</v>
          </cell>
          <cell r="FA62">
            <v>0</v>
          </cell>
          <cell r="FB62">
            <v>0</v>
          </cell>
          <cell r="FC62">
            <v>0</v>
          </cell>
          <cell r="FD62">
            <v>13624747.525520027</v>
          </cell>
          <cell r="FE62">
            <v>209444331.54620999</v>
          </cell>
          <cell r="FF62">
            <v>223517453.41131997</v>
          </cell>
          <cell r="FG62">
            <v>229529319.42237002</v>
          </cell>
          <cell r="FH62">
            <v>0</v>
          </cell>
          <cell r="FI62">
            <v>0</v>
          </cell>
          <cell r="FJ62">
            <v>223069079.07173002</v>
          </cell>
          <cell r="FK62">
            <v>223069079.07173002</v>
          </cell>
          <cell r="FL62">
            <v>223069079.07173002</v>
          </cell>
          <cell r="FM62">
            <v>0</v>
          </cell>
          <cell r="FN62">
            <v>220358476.01789999</v>
          </cell>
          <cell r="FO62">
            <v>220358476.01789999</v>
          </cell>
          <cell r="FP62">
            <v>220358476.01789999</v>
          </cell>
          <cell r="FQ62">
            <v>223069079.07173002</v>
          </cell>
          <cell r="FR62">
            <v>0</v>
          </cell>
          <cell r="FS62">
            <v>213992798.68693</v>
          </cell>
          <cell r="FT62">
            <v>213992798.68693</v>
          </cell>
          <cell r="FU62">
            <v>213992798.68693</v>
          </cell>
          <cell r="FV62">
            <v>213992798.68693</v>
          </cell>
          <cell r="FW62">
            <v>213992798.68693</v>
          </cell>
          <cell r="FX62">
            <v>213992798.68693</v>
          </cell>
          <cell r="FY62">
            <v>213992798.68693</v>
          </cell>
          <cell r="FZ62">
            <v>223069079.07173002</v>
          </cell>
          <cell r="GA62">
            <v>215677607.48233998</v>
          </cell>
          <cell r="GB62">
            <v>223069079.07173002</v>
          </cell>
          <cell r="GC62">
            <v>240513905.49289998</v>
          </cell>
          <cell r="GD62">
            <v>223069079.07173002</v>
          </cell>
          <cell r="GE62">
            <v>223069079.07173002</v>
          </cell>
          <cell r="GF62">
            <v>223069079.07173002</v>
          </cell>
          <cell r="GG62">
            <v>223069079.07173002</v>
          </cell>
          <cell r="GH62">
            <v>223069079.07173002</v>
          </cell>
          <cell r="GI62">
            <v>224667736.95120999</v>
          </cell>
          <cell r="GJ62">
            <v>223069079.07173002</v>
          </cell>
          <cell r="GK62">
            <v>223069079.07173002</v>
          </cell>
          <cell r="GL62">
            <v>223069079.07173002</v>
          </cell>
          <cell r="GM62">
            <v>223069079.07173002</v>
          </cell>
          <cell r="GN62">
            <v>223069079.07173002</v>
          </cell>
          <cell r="GO62">
            <v>223069079.07173002</v>
          </cell>
          <cell r="GP62">
            <v>223069079.07173002</v>
          </cell>
          <cell r="GQ62">
            <v>223069079.07173002</v>
          </cell>
          <cell r="GR62">
            <v>223069079.07173002</v>
          </cell>
          <cell r="GS62">
            <v>223069079.07173002</v>
          </cell>
          <cell r="GT62">
            <v>223069079.07173002</v>
          </cell>
          <cell r="GU62">
            <v>0</v>
          </cell>
          <cell r="GZ62">
            <v>0</v>
          </cell>
        </row>
        <row r="63">
          <cell r="A63" t="str">
            <v>F_CNP_NRF_RET_COL_FRCE_131</v>
          </cell>
          <cell r="B63">
            <v>57248840.951909997</v>
          </cell>
          <cell r="D63">
            <v>53992338.178039998</v>
          </cell>
          <cell r="E63">
            <v>63389823.132160001</v>
          </cell>
          <cell r="F63">
            <v>53992338.178039998</v>
          </cell>
          <cell r="G63">
            <v>53992338.178039998</v>
          </cell>
          <cell r="H63">
            <v>0</v>
          </cell>
          <cell r="I63">
            <v>0</v>
          </cell>
          <cell r="J63">
            <v>53992338.178039998</v>
          </cell>
          <cell r="K63">
            <v>53992338.178039998</v>
          </cell>
          <cell r="L63">
            <v>53992338.178039998</v>
          </cell>
          <cell r="M63">
            <v>0</v>
          </cell>
          <cell r="N63">
            <v>53992338.178039998</v>
          </cell>
          <cell r="O63">
            <v>53992338.178039998</v>
          </cell>
          <cell r="P63">
            <v>53992338.178039998</v>
          </cell>
          <cell r="Q63">
            <v>53992338.178039998</v>
          </cell>
          <cell r="R63">
            <v>0</v>
          </cell>
          <cell r="S63">
            <v>53992338.178039998</v>
          </cell>
          <cell r="T63">
            <v>53992338.178039998</v>
          </cell>
          <cell r="U63">
            <v>53992338.178039998</v>
          </cell>
          <cell r="V63">
            <v>53992338.178039998</v>
          </cell>
          <cell r="W63">
            <v>53992338.178039998</v>
          </cell>
          <cell r="X63">
            <v>53992338.178039998</v>
          </cell>
          <cell r="Y63">
            <v>53992338.178039998</v>
          </cell>
          <cell r="Z63">
            <v>53992338.178039998</v>
          </cell>
          <cell r="AA63">
            <v>53992338.178039998</v>
          </cell>
          <cell r="AB63">
            <v>53739207.901110001</v>
          </cell>
          <cell r="AC63">
            <v>53470863.26957</v>
          </cell>
          <cell r="AD63">
            <v>0</v>
          </cell>
          <cell r="AE63">
            <v>0</v>
          </cell>
          <cell r="AF63">
            <v>31534813.013139997</v>
          </cell>
          <cell r="AG63">
            <v>31534813.013139997</v>
          </cell>
          <cell r="AH63">
            <v>31534813.013139997</v>
          </cell>
          <cell r="AI63">
            <v>0</v>
          </cell>
          <cell r="AJ63">
            <v>53304889.797310002</v>
          </cell>
          <cell r="AK63">
            <v>53304889.797310002</v>
          </cell>
          <cell r="AL63">
            <v>53304889.797310002</v>
          </cell>
          <cell r="AM63">
            <v>53992338.178039998</v>
          </cell>
          <cell r="AN63">
            <v>0</v>
          </cell>
          <cell r="AO63">
            <v>35617698.465769999</v>
          </cell>
          <cell r="AP63">
            <v>35617698.465769999</v>
          </cell>
          <cell r="AQ63">
            <v>35617698.465769999</v>
          </cell>
          <cell r="AR63">
            <v>35617698.465769999</v>
          </cell>
          <cell r="AS63">
            <v>35617698.465769999</v>
          </cell>
          <cell r="AT63">
            <v>35617698.465769999</v>
          </cell>
          <cell r="AU63">
            <v>35617698.465769999</v>
          </cell>
          <cell r="AV63">
            <v>53992338.178039998</v>
          </cell>
          <cell r="AW63">
            <v>53992338.178039998</v>
          </cell>
          <cell r="AX63">
            <v>63389823.132160001</v>
          </cell>
          <cell r="AY63">
            <v>63389823.132160001</v>
          </cell>
          <cell r="AZ63">
            <v>0</v>
          </cell>
          <cell r="BA63">
            <v>0</v>
          </cell>
          <cell r="BB63">
            <v>63389823.132160001</v>
          </cell>
          <cell r="BC63">
            <v>63389823.132160001</v>
          </cell>
          <cell r="BD63">
            <v>63389823.132160001</v>
          </cell>
          <cell r="BE63">
            <v>0</v>
          </cell>
          <cell r="BF63">
            <v>63389823.132160001</v>
          </cell>
          <cell r="BG63">
            <v>63389823.132160001</v>
          </cell>
          <cell r="BH63">
            <v>63389823.132160001</v>
          </cell>
          <cell r="BI63">
            <v>63389823.132160001</v>
          </cell>
          <cell r="BJ63">
            <v>0</v>
          </cell>
          <cell r="BK63">
            <v>63389823.132160001</v>
          </cell>
          <cell r="BL63">
            <v>63389823.132160001</v>
          </cell>
          <cell r="BM63">
            <v>63389823.132160001</v>
          </cell>
          <cell r="BN63">
            <v>63389823.132160001</v>
          </cell>
          <cell r="BO63">
            <v>63389823.132160001</v>
          </cell>
          <cell r="BP63">
            <v>63389823.132160001</v>
          </cell>
          <cell r="BQ63">
            <v>63389823.132160001</v>
          </cell>
          <cell r="BR63">
            <v>63389823.132160001</v>
          </cell>
          <cell r="BS63">
            <v>63389823.132160001</v>
          </cell>
          <cell r="BT63">
            <v>66115576.343280002</v>
          </cell>
          <cell r="BU63">
            <v>57406562.92577</v>
          </cell>
          <cell r="BV63">
            <v>0</v>
          </cell>
          <cell r="BW63">
            <v>0</v>
          </cell>
          <cell r="BX63">
            <v>63389823.132160001</v>
          </cell>
          <cell r="BY63">
            <v>63389823.132160001</v>
          </cell>
          <cell r="BZ63">
            <v>63389823.132160001</v>
          </cell>
          <cell r="CA63">
            <v>0</v>
          </cell>
          <cell r="CB63">
            <v>63389823.132160001</v>
          </cell>
          <cell r="CC63">
            <v>63389823.132160001</v>
          </cell>
          <cell r="CD63">
            <v>63389823.132160001</v>
          </cell>
          <cell r="CE63">
            <v>63389823.132160001</v>
          </cell>
          <cell r="CF63">
            <v>0</v>
          </cell>
          <cell r="CG63">
            <v>63389823.132160001</v>
          </cell>
          <cell r="CH63">
            <v>63389823.132160001</v>
          </cell>
          <cell r="CI63">
            <v>63389823.132160001</v>
          </cell>
          <cell r="CJ63">
            <v>63389823.132160001</v>
          </cell>
          <cell r="CK63">
            <v>63389823.132160001</v>
          </cell>
          <cell r="CL63">
            <v>63389823.132160001</v>
          </cell>
          <cell r="CM63">
            <v>63389823.132160001</v>
          </cell>
          <cell r="CN63">
            <v>63389823.132160001</v>
          </cell>
          <cell r="CO63">
            <v>61262204.401300006</v>
          </cell>
          <cell r="CP63">
            <v>63389823.132160001</v>
          </cell>
          <cell r="CQ63">
            <v>63389823.132160001</v>
          </cell>
          <cell r="CR63">
            <v>63389823.132160001</v>
          </cell>
          <cell r="CS63">
            <v>63389823.132160001</v>
          </cell>
          <cell r="CT63">
            <v>63389823.132160001</v>
          </cell>
          <cell r="CU63">
            <v>63389823.132160001</v>
          </cell>
          <cell r="CV63">
            <v>63389823.132160001</v>
          </cell>
          <cell r="CW63">
            <v>63389823.132160001</v>
          </cell>
          <cell r="CX63">
            <v>63389823.132160001</v>
          </cell>
          <cell r="CY63">
            <v>63389823.132160001</v>
          </cell>
          <cell r="CZ63">
            <v>63389823.132160001</v>
          </cell>
          <cell r="DA63">
            <v>67732742.742909998</v>
          </cell>
          <cell r="DB63">
            <v>63389823.132160001</v>
          </cell>
          <cell r="DC63">
            <v>63389823.132160001</v>
          </cell>
          <cell r="DD63">
            <v>63389823.132160001</v>
          </cell>
          <cell r="DE63">
            <v>61124591.672770001</v>
          </cell>
          <cell r="DF63">
            <v>65655054.59155</v>
          </cell>
          <cell r="DG63">
            <v>63850942.651730001</v>
          </cell>
          <cell r="DH63">
            <v>63389823.132160001</v>
          </cell>
          <cell r="DI63">
            <v>63389823.132160001</v>
          </cell>
          <cell r="DJ63">
            <v>0</v>
          </cell>
          <cell r="DK63">
            <v>0</v>
          </cell>
          <cell r="DL63">
            <v>0</v>
          </cell>
          <cell r="DM63">
            <v>0</v>
          </cell>
          <cell r="DN63">
            <v>0</v>
          </cell>
          <cell r="DO63">
            <v>0</v>
          </cell>
          <cell r="DP63">
            <v>0</v>
          </cell>
          <cell r="DQ63">
            <v>0</v>
          </cell>
          <cell r="DR63">
            <v>0</v>
          </cell>
          <cell r="DS63">
            <v>0</v>
          </cell>
          <cell r="DT63">
            <v>0</v>
          </cell>
          <cell r="DU63">
            <v>0</v>
          </cell>
          <cell r="DV63">
            <v>0</v>
          </cell>
          <cell r="DW63">
            <v>0</v>
          </cell>
          <cell r="DX63" t="str">
            <v/>
          </cell>
          <cell r="DY63" t="str">
            <v/>
          </cell>
          <cell r="DZ63" t="str">
            <v/>
          </cell>
          <cell r="EA63">
            <v>63389823.132160001</v>
          </cell>
          <cell r="EB63">
            <v>63389823.132160001</v>
          </cell>
          <cell r="EC63">
            <v>63389823.132160001</v>
          </cell>
          <cell r="ED63">
            <v>63389823.132160001</v>
          </cell>
          <cell r="EE63">
            <v>63389823.132160001</v>
          </cell>
          <cell r="EF63">
            <v>63389823.132160001</v>
          </cell>
          <cell r="EG63">
            <v>63389823.132160001</v>
          </cell>
          <cell r="EH63">
            <v>63389823.132160001</v>
          </cell>
          <cell r="EI63">
            <v>63389823.132160001</v>
          </cell>
          <cell r="EJ63">
            <v>63389823.132160001</v>
          </cell>
          <cell r="EK63">
            <v>63389823.132160001</v>
          </cell>
          <cell r="EL63">
            <v>63389823.132160001</v>
          </cell>
          <cell r="EM63">
            <v>63389823.132160001</v>
          </cell>
          <cell r="EN63">
            <v>63389823.132160001</v>
          </cell>
          <cell r="EO63">
            <v>61124591.672770001</v>
          </cell>
          <cell r="EP63">
            <v>65655054.59155</v>
          </cell>
          <cell r="EQ63">
            <v>63389823.132160001</v>
          </cell>
          <cell r="ER63">
            <v>63389823.132160001</v>
          </cell>
          <cell r="ES63">
            <v>0</v>
          </cell>
          <cell r="ET63">
            <v>0</v>
          </cell>
          <cell r="EU63">
            <v>0</v>
          </cell>
          <cell r="EV63">
            <v>0</v>
          </cell>
          <cell r="EW63">
            <v>0</v>
          </cell>
          <cell r="EX63">
            <v>0</v>
          </cell>
          <cell r="EY63">
            <v>0</v>
          </cell>
          <cell r="EZ63">
            <v>0</v>
          </cell>
          <cell r="FA63">
            <v>0</v>
          </cell>
          <cell r="FB63">
            <v>0</v>
          </cell>
          <cell r="FC63">
            <v>0</v>
          </cell>
          <cell r="FD63">
            <v>2265231.4593899995</v>
          </cell>
          <cell r="FE63">
            <v>61124591.672770001</v>
          </cell>
          <cell r="FF63">
            <v>65835325.361660004</v>
          </cell>
          <cell r="FG63">
            <v>57335380.649270006</v>
          </cell>
          <cell r="FH63">
            <v>0</v>
          </cell>
          <cell r="FI63">
            <v>0</v>
          </cell>
          <cell r="FJ63">
            <v>63389823.132160001</v>
          </cell>
          <cell r="FK63">
            <v>63389823.132160001</v>
          </cell>
          <cell r="FL63">
            <v>63389823.132160001</v>
          </cell>
          <cell r="FM63">
            <v>0</v>
          </cell>
          <cell r="FN63">
            <v>62702374.751429997</v>
          </cell>
          <cell r="FO63">
            <v>62702374.751429997</v>
          </cell>
          <cell r="FP63">
            <v>62702374.751429997</v>
          </cell>
          <cell r="FQ63">
            <v>63389823.132160001</v>
          </cell>
          <cell r="FR63">
            <v>0</v>
          </cell>
          <cell r="FS63">
            <v>63333652.40377</v>
          </cell>
          <cell r="FT63">
            <v>63333652.40377</v>
          </cell>
          <cell r="FU63">
            <v>63333652.40377</v>
          </cell>
          <cell r="FV63">
            <v>63333652.40377</v>
          </cell>
          <cell r="FW63">
            <v>63333652.40377</v>
          </cell>
          <cell r="FX63">
            <v>63333652.40377</v>
          </cell>
          <cell r="FY63">
            <v>63333652.40377</v>
          </cell>
          <cell r="FZ63">
            <v>63389823.132160001</v>
          </cell>
          <cell r="GA63">
            <v>61189841.656939998</v>
          </cell>
          <cell r="GB63">
            <v>63389823.132160001</v>
          </cell>
          <cell r="GC63">
            <v>68116450.923830003</v>
          </cell>
          <cell r="GD63">
            <v>63389823.132160001</v>
          </cell>
          <cell r="GE63">
            <v>63389823.132160001</v>
          </cell>
          <cell r="GF63">
            <v>63389823.132160001</v>
          </cell>
          <cell r="GG63">
            <v>63389823.132160001</v>
          </cell>
          <cell r="GH63">
            <v>63389823.132160001</v>
          </cell>
          <cell r="GI63">
            <v>63878379.244719997</v>
          </cell>
          <cell r="GJ63">
            <v>63389823.132160001</v>
          </cell>
          <cell r="GK63">
            <v>63389823.132160001</v>
          </cell>
          <cell r="GL63">
            <v>63389823.132160001</v>
          </cell>
          <cell r="GM63">
            <v>63389823.132160001</v>
          </cell>
          <cell r="GN63">
            <v>63389823.132160001</v>
          </cell>
          <cell r="GO63">
            <v>63389823.132160001</v>
          </cell>
          <cell r="GP63">
            <v>63389823.132160001</v>
          </cell>
          <cell r="GQ63">
            <v>63389823.132160001</v>
          </cell>
          <cell r="GR63">
            <v>63389823.132160001</v>
          </cell>
          <cell r="GS63">
            <v>63389823.132160001</v>
          </cell>
          <cell r="GT63">
            <v>63389823.132160001</v>
          </cell>
          <cell r="GU63">
            <v>0</v>
          </cell>
          <cell r="GZ63">
            <v>0</v>
          </cell>
        </row>
        <row r="64">
          <cell r="A64" t="str">
            <v>F_CNP_NRF_RET_COL_FRCE_132</v>
          </cell>
          <cell r="B64">
            <v>295564263.85983002</v>
          </cell>
          <cell r="D64">
            <v>362121559.45028001</v>
          </cell>
          <cell r="E64">
            <v>344476797.31852001</v>
          </cell>
          <cell r="F64">
            <v>362121559.45028001</v>
          </cell>
          <cell r="G64">
            <v>362121559.45028001</v>
          </cell>
          <cell r="H64">
            <v>0</v>
          </cell>
          <cell r="I64">
            <v>0</v>
          </cell>
          <cell r="J64">
            <v>362121559.45028001</v>
          </cell>
          <cell r="K64">
            <v>362121559.45028001</v>
          </cell>
          <cell r="L64">
            <v>362121559.45028001</v>
          </cell>
          <cell r="M64">
            <v>0</v>
          </cell>
          <cell r="N64">
            <v>362121559.45028001</v>
          </cell>
          <cell r="O64">
            <v>362121559.45028001</v>
          </cell>
          <cell r="P64">
            <v>362121559.45028001</v>
          </cell>
          <cell r="Q64">
            <v>362121559.45028001</v>
          </cell>
          <cell r="R64">
            <v>0</v>
          </cell>
          <cell r="S64">
            <v>362121559.45028001</v>
          </cell>
          <cell r="T64">
            <v>362121559.45028001</v>
          </cell>
          <cell r="U64">
            <v>362121559.45028001</v>
          </cell>
          <cell r="V64">
            <v>362121559.45028001</v>
          </cell>
          <cell r="W64">
            <v>362121559.45028001</v>
          </cell>
          <cell r="X64">
            <v>362121559.45028001</v>
          </cell>
          <cell r="Y64">
            <v>362121559.45028001</v>
          </cell>
          <cell r="Z64">
            <v>362121559.45028001</v>
          </cell>
          <cell r="AA64">
            <v>362121559.45028001</v>
          </cell>
          <cell r="AB64">
            <v>359651121.62822998</v>
          </cell>
          <cell r="AC64">
            <v>358705997.59711999</v>
          </cell>
          <cell r="AD64">
            <v>0</v>
          </cell>
          <cell r="AE64">
            <v>0</v>
          </cell>
          <cell r="AF64">
            <v>215029024.36899</v>
          </cell>
          <cell r="AG64">
            <v>215029024.36899</v>
          </cell>
          <cell r="AH64">
            <v>215029024.36899</v>
          </cell>
          <cell r="AI64">
            <v>0</v>
          </cell>
          <cell r="AJ64">
            <v>351895366.30063003</v>
          </cell>
          <cell r="AK64">
            <v>351895366.30063003</v>
          </cell>
          <cell r="AL64">
            <v>351895366.30063003</v>
          </cell>
          <cell r="AM64">
            <v>362121559.45028001</v>
          </cell>
          <cell r="AN64">
            <v>0</v>
          </cell>
          <cell r="AO64">
            <v>224645194.85988</v>
          </cell>
          <cell r="AP64">
            <v>224645194.85988</v>
          </cell>
          <cell r="AQ64">
            <v>224645194.85988</v>
          </cell>
          <cell r="AR64">
            <v>224645194.85988</v>
          </cell>
          <cell r="AS64">
            <v>224645194.85988</v>
          </cell>
          <cell r="AT64">
            <v>224645194.85988</v>
          </cell>
          <cell r="AU64">
            <v>224645194.85988</v>
          </cell>
          <cell r="AV64">
            <v>362121559.45028001</v>
          </cell>
          <cell r="AW64">
            <v>362121559.45028001</v>
          </cell>
          <cell r="AX64">
            <v>344476797.31852001</v>
          </cell>
          <cell r="AY64">
            <v>344476797.31852001</v>
          </cell>
          <cell r="AZ64">
            <v>0</v>
          </cell>
          <cell r="BA64">
            <v>0</v>
          </cell>
          <cell r="BB64">
            <v>344476797.31852001</v>
          </cell>
          <cell r="BC64">
            <v>344476797.31852001</v>
          </cell>
          <cell r="BD64">
            <v>344476797.31852001</v>
          </cell>
          <cell r="BE64">
            <v>0</v>
          </cell>
          <cell r="BF64">
            <v>344476797.31852001</v>
          </cell>
          <cell r="BG64">
            <v>344476797.31852001</v>
          </cell>
          <cell r="BH64">
            <v>344476797.31852001</v>
          </cell>
          <cell r="BI64">
            <v>344476797.31852001</v>
          </cell>
          <cell r="BJ64">
            <v>0</v>
          </cell>
          <cell r="BK64">
            <v>344476797.31852001</v>
          </cell>
          <cell r="BL64">
            <v>344476797.31852001</v>
          </cell>
          <cell r="BM64">
            <v>344476797.31852001</v>
          </cell>
          <cell r="BN64">
            <v>344476797.31852001</v>
          </cell>
          <cell r="BO64">
            <v>344476797.31852001</v>
          </cell>
          <cell r="BP64">
            <v>344476797.31852001</v>
          </cell>
          <cell r="BQ64">
            <v>344476797.31852001</v>
          </cell>
          <cell r="BR64">
            <v>344476797.31852001</v>
          </cell>
          <cell r="BS64">
            <v>344476797.31852001</v>
          </cell>
          <cell r="BT64">
            <v>361726747.89522994</v>
          </cell>
          <cell r="BU64">
            <v>311830987.70094001</v>
          </cell>
          <cell r="BV64">
            <v>0</v>
          </cell>
          <cell r="BW64">
            <v>0</v>
          </cell>
          <cell r="BX64">
            <v>344476797.31852001</v>
          </cell>
          <cell r="BY64">
            <v>344476797.31852001</v>
          </cell>
          <cell r="BZ64">
            <v>344476797.31852001</v>
          </cell>
          <cell r="CA64">
            <v>0</v>
          </cell>
          <cell r="CB64">
            <v>344476797.31852001</v>
          </cell>
          <cell r="CC64">
            <v>344476797.31852001</v>
          </cell>
          <cell r="CD64">
            <v>344476797.31852001</v>
          </cell>
          <cell r="CE64">
            <v>344476797.31852001</v>
          </cell>
          <cell r="CF64">
            <v>0</v>
          </cell>
          <cell r="CG64">
            <v>344476797.31852001</v>
          </cell>
          <cell r="CH64">
            <v>344476797.31852001</v>
          </cell>
          <cell r="CI64">
            <v>344476797.31852001</v>
          </cell>
          <cell r="CJ64">
            <v>344476797.31852001</v>
          </cell>
          <cell r="CK64">
            <v>344476797.31852001</v>
          </cell>
          <cell r="CL64">
            <v>344476797.31852001</v>
          </cell>
          <cell r="CM64">
            <v>344476797.31852001</v>
          </cell>
          <cell r="CN64">
            <v>344476797.31852001</v>
          </cell>
          <cell r="CO64">
            <v>330518641.23713994</v>
          </cell>
          <cell r="CP64">
            <v>344476797.31852001</v>
          </cell>
          <cell r="CQ64">
            <v>344476797.31852001</v>
          </cell>
          <cell r="CR64">
            <v>344476797.31852001</v>
          </cell>
          <cell r="CS64">
            <v>344476797.31852001</v>
          </cell>
          <cell r="CT64">
            <v>344476797.31852001</v>
          </cell>
          <cell r="CU64">
            <v>344476797.31852001</v>
          </cell>
          <cell r="CV64">
            <v>344476797.31852001</v>
          </cell>
          <cell r="CW64">
            <v>344476797.31852001</v>
          </cell>
          <cell r="CX64">
            <v>344476797.31852001</v>
          </cell>
          <cell r="CY64">
            <v>344476797.31852001</v>
          </cell>
          <cell r="CZ64">
            <v>344476797.31852001</v>
          </cell>
          <cell r="DA64">
            <v>360735082.04150999</v>
          </cell>
          <cell r="DB64">
            <v>344476797.31852001</v>
          </cell>
          <cell r="DC64">
            <v>344476797.31852001</v>
          </cell>
          <cell r="DD64">
            <v>344476797.31852001</v>
          </cell>
          <cell r="DE64">
            <v>300063931.48049003</v>
          </cell>
          <cell r="DF64">
            <v>388889663.15654999</v>
          </cell>
          <cell r="DG64">
            <v>347853004.69057995</v>
          </cell>
          <cell r="DH64">
            <v>344476797.31852001</v>
          </cell>
          <cell r="DI64">
            <v>344476797.31852001</v>
          </cell>
          <cell r="DJ64">
            <v>0</v>
          </cell>
          <cell r="DK64">
            <v>0</v>
          </cell>
          <cell r="DL64">
            <v>0</v>
          </cell>
          <cell r="DM64">
            <v>0</v>
          </cell>
          <cell r="DN64">
            <v>0</v>
          </cell>
          <cell r="DO64">
            <v>0</v>
          </cell>
          <cell r="DP64">
            <v>0</v>
          </cell>
          <cell r="DQ64">
            <v>0</v>
          </cell>
          <cell r="DR64">
            <v>0</v>
          </cell>
          <cell r="DS64">
            <v>0</v>
          </cell>
          <cell r="DT64">
            <v>0</v>
          </cell>
          <cell r="DU64">
            <v>0</v>
          </cell>
          <cell r="DV64">
            <v>0</v>
          </cell>
          <cell r="DW64">
            <v>0</v>
          </cell>
          <cell r="DX64" t="str">
            <v/>
          </cell>
          <cell r="DY64" t="str">
            <v/>
          </cell>
          <cell r="DZ64" t="str">
            <v/>
          </cell>
          <cell r="EA64">
            <v>344476797.31852001</v>
          </cell>
          <cell r="EB64">
            <v>344476797.31852001</v>
          </cell>
          <cell r="EC64">
            <v>344476797.31852001</v>
          </cell>
          <cell r="ED64">
            <v>344476797.31852001</v>
          </cell>
          <cell r="EE64">
            <v>344476797.31852001</v>
          </cell>
          <cell r="EF64">
            <v>344476797.31852001</v>
          </cell>
          <cell r="EG64">
            <v>344476797.31852001</v>
          </cell>
          <cell r="EH64">
            <v>344476797.31852001</v>
          </cell>
          <cell r="EI64">
            <v>344476797.31852001</v>
          </cell>
          <cell r="EJ64">
            <v>344476797.31852001</v>
          </cell>
          <cell r="EK64">
            <v>344476797.31852001</v>
          </cell>
          <cell r="EL64">
            <v>344476797.31852001</v>
          </cell>
          <cell r="EM64">
            <v>344476797.31852001</v>
          </cell>
          <cell r="EN64">
            <v>344476797.31852001</v>
          </cell>
          <cell r="EO64">
            <v>300063931.48049003</v>
          </cell>
          <cell r="EP64">
            <v>388889663.15654999</v>
          </cell>
          <cell r="EQ64">
            <v>344476797.31852001</v>
          </cell>
          <cell r="ER64">
            <v>344476797.31852001</v>
          </cell>
          <cell r="ES64">
            <v>0</v>
          </cell>
          <cell r="ET64">
            <v>0</v>
          </cell>
          <cell r="EU64">
            <v>0</v>
          </cell>
          <cell r="EV64">
            <v>0</v>
          </cell>
          <cell r="EW64">
            <v>0</v>
          </cell>
          <cell r="EX64">
            <v>0</v>
          </cell>
          <cell r="EY64">
            <v>0</v>
          </cell>
          <cell r="EZ64">
            <v>0</v>
          </cell>
          <cell r="FA64">
            <v>0</v>
          </cell>
          <cell r="FB64">
            <v>0</v>
          </cell>
          <cell r="FC64">
            <v>0</v>
          </cell>
          <cell r="FD64">
            <v>44412865.838029981</v>
          </cell>
          <cell r="FE64">
            <v>300063931.48049003</v>
          </cell>
          <cell r="FF64">
            <v>355854997.36633003</v>
          </cell>
          <cell r="FG64">
            <v>327878615.43144</v>
          </cell>
          <cell r="FH64">
            <v>0</v>
          </cell>
          <cell r="FI64">
            <v>0</v>
          </cell>
          <cell r="FJ64">
            <v>344476797.31852001</v>
          </cell>
          <cell r="FK64">
            <v>344476797.31852001</v>
          </cell>
          <cell r="FL64">
            <v>344476797.31852001</v>
          </cell>
          <cell r="FM64">
            <v>0</v>
          </cell>
          <cell r="FN64">
            <v>334250604.16886002</v>
          </cell>
          <cell r="FO64">
            <v>334250604.16886002</v>
          </cell>
          <cell r="FP64">
            <v>334250604.16886002</v>
          </cell>
          <cell r="FQ64">
            <v>344476797.31852001</v>
          </cell>
          <cell r="FR64">
            <v>0</v>
          </cell>
          <cell r="FS64">
            <v>337099294.13015002</v>
          </cell>
          <cell r="FT64">
            <v>337099294.13015002</v>
          </cell>
          <cell r="FU64">
            <v>337099294.13015002</v>
          </cell>
          <cell r="FV64">
            <v>337099294.13015002</v>
          </cell>
          <cell r="FW64">
            <v>337099294.13015002</v>
          </cell>
          <cell r="FX64">
            <v>337099294.13015002</v>
          </cell>
          <cell r="FY64">
            <v>337099294.13015002</v>
          </cell>
          <cell r="FZ64">
            <v>344476797.31852001</v>
          </cell>
          <cell r="GA64">
            <v>328828345.86705005</v>
          </cell>
          <cell r="GB64">
            <v>344476797.31852001</v>
          </cell>
          <cell r="GC64">
            <v>365204848.64442992</v>
          </cell>
          <cell r="GD64">
            <v>344476797.31852001</v>
          </cell>
          <cell r="GE64">
            <v>344476797.31852001</v>
          </cell>
          <cell r="GF64">
            <v>344476797.31852001</v>
          </cell>
          <cell r="GG64">
            <v>344476797.31852001</v>
          </cell>
          <cell r="GH64">
            <v>344476797.31852001</v>
          </cell>
          <cell r="GI64">
            <v>348546138.37307996</v>
          </cell>
          <cell r="GJ64">
            <v>344476797.31852001</v>
          </cell>
          <cell r="GK64">
            <v>344476797.31852001</v>
          </cell>
          <cell r="GL64">
            <v>344476797.31852001</v>
          </cell>
          <cell r="GM64">
            <v>344476797.31852001</v>
          </cell>
          <cell r="GN64">
            <v>344476797.31852001</v>
          </cell>
          <cell r="GO64">
            <v>344476797.31852001</v>
          </cell>
          <cell r="GP64">
            <v>344476797.31852001</v>
          </cell>
          <cell r="GQ64">
            <v>344476797.31852001</v>
          </cell>
          <cell r="GR64">
            <v>344476797.31852001</v>
          </cell>
          <cell r="GS64">
            <v>344476797.31852001</v>
          </cell>
          <cell r="GT64">
            <v>344476797.31852001</v>
          </cell>
          <cell r="GU64">
            <v>0</v>
          </cell>
          <cell r="GZ64">
            <v>0</v>
          </cell>
        </row>
        <row r="65">
          <cell r="A65" t="str">
            <v>F_CNP_NRF_RET_COL_FRCE_155</v>
          </cell>
          <cell r="B65">
            <v>0</v>
          </cell>
          <cell r="D65">
            <v>0</v>
          </cell>
          <cell r="E65">
            <v>0</v>
          </cell>
          <cell r="F65">
            <v>0</v>
          </cell>
          <cell r="G65">
            <v>0</v>
          </cell>
          <cell r="H65">
            <v>0</v>
          </cell>
          <cell r="I65">
            <v>0</v>
          </cell>
          <cell r="J65">
            <v>0</v>
          </cell>
          <cell r="K65">
            <v>0</v>
          </cell>
          <cell r="L65">
            <v>0</v>
          </cell>
          <cell r="M65">
            <v>0</v>
          </cell>
          <cell r="N65">
            <v>0</v>
          </cell>
          <cell r="O65">
            <v>0</v>
          </cell>
          <cell r="P65">
            <v>0</v>
          </cell>
          <cell r="Q65">
            <v>0</v>
          </cell>
          <cell r="R65">
            <v>0</v>
          </cell>
          <cell r="S65">
            <v>0</v>
          </cell>
          <cell r="T65">
            <v>0</v>
          </cell>
          <cell r="U65">
            <v>0</v>
          </cell>
          <cell r="V65">
            <v>0</v>
          </cell>
          <cell r="W65">
            <v>0</v>
          </cell>
          <cell r="X65">
            <v>0</v>
          </cell>
          <cell r="Y65">
            <v>0</v>
          </cell>
          <cell r="Z65">
            <v>0</v>
          </cell>
          <cell r="AA65">
            <v>0</v>
          </cell>
          <cell r="AB65">
            <v>0</v>
          </cell>
          <cell r="AC65">
            <v>0</v>
          </cell>
          <cell r="AD65">
            <v>0</v>
          </cell>
          <cell r="AE65">
            <v>0</v>
          </cell>
          <cell r="AF65">
            <v>0</v>
          </cell>
          <cell r="AG65">
            <v>0</v>
          </cell>
          <cell r="AH65">
            <v>0</v>
          </cell>
          <cell r="AI65">
            <v>0</v>
          </cell>
          <cell r="AJ65">
            <v>0</v>
          </cell>
          <cell r="AK65">
            <v>0</v>
          </cell>
          <cell r="AL65">
            <v>0</v>
          </cell>
          <cell r="AM65">
            <v>0</v>
          </cell>
          <cell r="AN65">
            <v>0</v>
          </cell>
          <cell r="AO65">
            <v>0</v>
          </cell>
          <cell r="AP65">
            <v>0</v>
          </cell>
          <cell r="AQ65">
            <v>0</v>
          </cell>
          <cell r="AR65">
            <v>0</v>
          </cell>
          <cell r="AS65">
            <v>0</v>
          </cell>
          <cell r="AT65">
            <v>0</v>
          </cell>
          <cell r="AU65">
            <v>0</v>
          </cell>
          <cell r="AV65">
            <v>0</v>
          </cell>
          <cell r="AW65">
            <v>0</v>
          </cell>
          <cell r="AX65">
            <v>0</v>
          </cell>
          <cell r="AY65">
            <v>0</v>
          </cell>
          <cell r="AZ65">
            <v>0</v>
          </cell>
          <cell r="BA65">
            <v>0</v>
          </cell>
          <cell r="BB65">
            <v>0</v>
          </cell>
          <cell r="BC65">
            <v>0</v>
          </cell>
          <cell r="BD65">
            <v>0</v>
          </cell>
          <cell r="BE65">
            <v>0</v>
          </cell>
          <cell r="BF65">
            <v>0</v>
          </cell>
          <cell r="BG65">
            <v>0</v>
          </cell>
          <cell r="BH65">
            <v>0</v>
          </cell>
          <cell r="BI65">
            <v>0</v>
          </cell>
          <cell r="BJ65">
            <v>0</v>
          </cell>
          <cell r="BK65">
            <v>0</v>
          </cell>
          <cell r="BL65">
            <v>0</v>
          </cell>
          <cell r="BM65">
            <v>0</v>
          </cell>
          <cell r="BN65">
            <v>0</v>
          </cell>
          <cell r="BO65">
            <v>0</v>
          </cell>
          <cell r="BP65">
            <v>0</v>
          </cell>
          <cell r="BQ65">
            <v>0</v>
          </cell>
          <cell r="BR65">
            <v>0</v>
          </cell>
          <cell r="BS65">
            <v>0</v>
          </cell>
          <cell r="BT65">
            <v>0</v>
          </cell>
          <cell r="BU65">
            <v>0</v>
          </cell>
          <cell r="BV65">
            <v>0</v>
          </cell>
          <cell r="BW65">
            <v>0</v>
          </cell>
          <cell r="BX65">
            <v>0</v>
          </cell>
          <cell r="BY65">
            <v>0</v>
          </cell>
          <cell r="BZ65">
            <v>0</v>
          </cell>
          <cell r="CA65">
            <v>0</v>
          </cell>
          <cell r="CB65">
            <v>0</v>
          </cell>
          <cell r="CC65">
            <v>0</v>
          </cell>
          <cell r="CD65">
            <v>0</v>
          </cell>
          <cell r="CE65">
            <v>0</v>
          </cell>
          <cell r="CF65">
            <v>0</v>
          </cell>
          <cell r="CG65">
            <v>0</v>
          </cell>
          <cell r="CH65">
            <v>0</v>
          </cell>
          <cell r="CI65">
            <v>0</v>
          </cell>
          <cell r="CJ65">
            <v>0</v>
          </cell>
          <cell r="CK65">
            <v>0</v>
          </cell>
          <cell r="CL65">
            <v>0</v>
          </cell>
          <cell r="CM65">
            <v>0</v>
          </cell>
          <cell r="CN65">
            <v>0</v>
          </cell>
          <cell r="CO65">
            <v>0</v>
          </cell>
          <cell r="CP65">
            <v>0</v>
          </cell>
          <cell r="CQ65">
            <v>0</v>
          </cell>
          <cell r="CR65">
            <v>0</v>
          </cell>
          <cell r="CS65">
            <v>0</v>
          </cell>
          <cell r="CT65">
            <v>0</v>
          </cell>
          <cell r="CU65">
            <v>0</v>
          </cell>
          <cell r="CV65">
            <v>0</v>
          </cell>
          <cell r="CW65">
            <v>0</v>
          </cell>
          <cell r="CX65">
            <v>0</v>
          </cell>
          <cell r="CY65">
            <v>0</v>
          </cell>
          <cell r="CZ65">
            <v>0</v>
          </cell>
          <cell r="DA65">
            <v>0</v>
          </cell>
          <cell r="DB65">
            <v>0</v>
          </cell>
          <cell r="DC65">
            <v>0</v>
          </cell>
          <cell r="DD65">
            <v>0</v>
          </cell>
          <cell r="DE65">
            <v>0</v>
          </cell>
          <cell r="DF65">
            <v>0</v>
          </cell>
          <cell r="DG65">
            <v>0</v>
          </cell>
          <cell r="DH65">
            <v>0</v>
          </cell>
          <cell r="DI65">
            <v>0</v>
          </cell>
          <cell r="DJ65">
            <v>0</v>
          </cell>
          <cell r="DK65">
            <v>0</v>
          </cell>
          <cell r="DL65">
            <v>0</v>
          </cell>
          <cell r="DM65">
            <v>0</v>
          </cell>
          <cell r="DN65">
            <v>0</v>
          </cell>
          <cell r="DO65">
            <v>0</v>
          </cell>
          <cell r="DP65">
            <v>0</v>
          </cell>
          <cell r="DQ65">
            <v>0</v>
          </cell>
          <cell r="DR65">
            <v>0</v>
          </cell>
          <cell r="DS65">
            <v>0</v>
          </cell>
          <cell r="DT65">
            <v>0</v>
          </cell>
          <cell r="DU65">
            <v>0</v>
          </cell>
          <cell r="DV65">
            <v>0</v>
          </cell>
          <cell r="DW65">
            <v>0</v>
          </cell>
          <cell r="DX65" t="str">
            <v/>
          </cell>
          <cell r="DY65" t="str">
            <v/>
          </cell>
          <cell r="DZ65" t="str">
            <v/>
          </cell>
          <cell r="EA65">
            <v>0</v>
          </cell>
          <cell r="EB65">
            <v>0</v>
          </cell>
          <cell r="EC65">
            <v>0</v>
          </cell>
          <cell r="ED65">
            <v>0</v>
          </cell>
          <cell r="EE65">
            <v>0</v>
          </cell>
          <cell r="EF65">
            <v>0</v>
          </cell>
          <cell r="EG65">
            <v>0</v>
          </cell>
          <cell r="EH65">
            <v>0</v>
          </cell>
          <cell r="EI65">
            <v>0</v>
          </cell>
          <cell r="EJ65">
            <v>0</v>
          </cell>
          <cell r="EK65">
            <v>0</v>
          </cell>
          <cell r="EL65">
            <v>0</v>
          </cell>
          <cell r="EM65">
            <v>0</v>
          </cell>
          <cell r="EN65">
            <v>0</v>
          </cell>
          <cell r="EO65">
            <v>0</v>
          </cell>
          <cell r="EP65">
            <v>0</v>
          </cell>
          <cell r="EQ65">
            <v>0</v>
          </cell>
          <cell r="ER65">
            <v>0</v>
          </cell>
          <cell r="ES65">
            <v>0</v>
          </cell>
          <cell r="ET65">
            <v>0</v>
          </cell>
          <cell r="EU65">
            <v>0</v>
          </cell>
          <cell r="EV65">
            <v>0</v>
          </cell>
          <cell r="EW65">
            <v>0</v>
          </cell>
          <cell r="EX65">
            <v>0</v>
          </cell>
          <cell r="EY65">
            <v>0</v>
          </cell>
          <cell r="EZ65">
            <v>0</v>
          </cell>
          <cell r="FA65">
            <v>0</v>
          </cell>
          <cell r="FB65">
            <v>0</v>
          </cell>
          <cell r="FC65">
            <v>0</v>
          </cell>
          <cell r="FD65">
            <v>0</v>
          </cell>
          <cell r="FE65">
            <v>0</v>
          </cell>
          <cell r="FF65">
            <v>0</v>
          </cell>
          <cell r="FG65">
            <v>0</v>
          </cell>
          <cell r="FH65">
            <v>0</v>
          </cell>
          <cell r="FI65">
            <v>0</v>
          </cell>
          <cell r="FJ65">
            <v>0</v>
          </cell>
          <cell r="FK65">
            <v>0</v>
          </cell>
          <cell r="FL65">
            <v>0</v>
          </cell>
          <cell r="FM65">
            <v>0</v>
          </cell>
          <cell r="FN65">
            <v>0</v>
          </cell>
          <cell r="FO65">
            <v>0</v>
          </cell>
          <cell r="FP65">
            <v>0</v>
          </cell>
          <cell r="FQ65">
            <v>0</v>
          </cell>
          <cell r="FR65">
            <v>0</v>
          </cell>
          <cell r="FS65">
            <v>0</v>
          </cell>
          <cell r="FT65">
            <v>0</v>
          </cell>
          <cell r="FU65">
            <v>0</v>
          </cell>
          <cell r="FV65">
            <v>0</v>
          </cell>
          <cell r="FW65">
            <v>0</v>
          </cell>
          <cell r="FX65">
            <v>0</v>
          </cell>
          <cell r="FY65">
            <v>0</v>
          </cell>
          <cell r="FZ65">
            <v>0</v>
          </cell>
          <cell r="GA65">
            <v>0</v>
          </cell>
          <cell r="GB65">
            <v>0</v>
          </cell>
          <cell r="GC65">
            <v>0</v>
          </cell>
          <cell r="GD65">
            <v>0</v>
          </cell>
          <cell r="GE65">
            <v>0</v>
          </cell>
          <cell r="GF65">
            <v>0</v>
          </cell>
          <cell r="GG65">
            <v>0</v>
          </cell>
          <cell r="GH65">
            <v>0</v>
          </cell>
          <cell r="GI65">
            <v>0</v>
          </cell>
          <cell r="GJ65">
            <v>0</v>
          </cell>
          <cell r="GK65">
            <v>0</v>
          </cell>
          <cell r="GL65">
            <v>0</v>
          </cell>
          <cell r="GM65">
            <v>0</v>
          </cell>
          <cell r="GN65">
            <v>0</v>
          </cell>
          <cell r="GO65">
            <v>0</v>
          </cell>
          <cell r="GP65">
            <v>0</v>
          </cell>
          <cell r="GQ65">
            <v>0</v>
          </cell>
          <cell r="GR65">
            <v>0</v>
          </cell>
          <cell r="GS65">
            <v>0</v>
          </cell>
          <cell r="GT65">
            <v>0</v>
          </cell>
          <cell r="GU65">
            <v>0</v>
          </cell>
          <cell r="GZ65">
            <v>0</v>
          </cell>
        </row>
        <row r="66">
          <cell r="A66" t="str">
            <v>F_CNP_NRF_RET_COL_FRCE_201</v>
          </cell>
          <cell r="B66">
            <v>1139102468.8005807</v>
          </cell>
          <cell r="D66">
            <v>1399676605.0168798</v>
          </cell>
          <cell r="E66">
            <v>1285990378.1422093</v>
          </cell>
          <cell r="F66">
            <v>1399676605.0168798</v>
          </cell>
          <cell r="G66">
            <v>1399676605.0168798</v>
          </cell>
          <cell r="H66">
            <v>0</v>
          </cell>
          <cell r="I66">
            <v>0</v>
          </cell>
          <cell r="J66">
            <v>1399676605.0168798</v>
          </cell>
          <cell r="K66">
            <v>1399676605.0168798</v>
          </cell>
          <cell r="L66">
            <v>1399676605.0168798</v>
          </cell>
          <cell r="M66">
            <v>0</v>
          </cell>
          <cell r="N66">
            <v>1399676605.0168798</v>
          </cell>
          <cell r="O66">
            <v>1399676605.0168798</v>
          </cell>
          <cell r="P66">
            <v>1399676605.0168798</v>
          </cell>
          <cell r="Q66">
            <v>1399676605.0168798</v>
          </cell>
          <cell r="R66">
            <v>0</v>
          </cell>
          <cell r="S66">
            <v>1399676605.0168798</v>
          </cell>
          <cell r="T66">
            <v>1399676605.0168798</v>
          </cell>
          <cell r="U66">
            <v>1399676605.0168798</v>
          </cell>
          <cell r="V66">
            <v>1399676605.0168798</v>
          </cell>
          <cell r="W66">
            <v>1399676605.0168798</v>
          </cell>
          <cell r="X66">
            <v>1399676605.0168798</v>
          </cell>
          <cell r="Y66">
            <v>1399676605.0168798</v>
          </cell>
          <cell r="Z66">
            <v>1399676605.0168798</v>
          </cell>
          <cell r="AA66">
            <v>1399676605.0168798</v>
          </cell>
          <cell r="AB66">
            <v>1414485270.4275005</v>
          </cell>
          <cell r="AC66">
            <v>1342139401.6155896</v>
          </cell>
          <cell r="AD66">
            <v>0</v>
          </cell>
          <cell r="AE66">
            <v>0</v>
          </cell>
          <cell r="AF66">
            <v>1289113401.0352602</v>
          </cell>
          <cell r="AG66">
            <v>1289113401.0352602</v>
          </cell>
          <cell r="AH66">
            <v>1289113401.0352602</v>
          </cell>
          <cell r="AI66">
            <v>0</v>
          </cell>
          <cell r="AJ66">
            <v>1373211165.32674</v>
          </cell>
          <cell r="AK66">
            <v>1373211165.32674</v>
          </cell>
          <cell r="AL66">
            <v>1373211165.32674</v>
          </cell>
          <cell r="AM66">
            <v>1372903224.1563494</v>
          </cell>
          <cell r="AN66">
            <v>0</v>
          </cell>
          <cell r="AO66">
            <v>1334838477.2080896</v>
          </cell>
          <cell r="AP66">
            <v>1334838477.2080896</v>
          </cell>
          <cell r="AQ66">
            <v>1334838477.2080896</v>
          </cell>
          <cell r="AR66">
            <v>1334838477.2080896</v>
          </cell>
          <cell r="AS66">
            <v>1334838477.2080896</v>
          </cell>
          <cell r="AT66">
            <v>1334838477.2080896</v>
          </cell>
          <cell r="AU66">
            <v>1334838477.2080896</v>
          </cell>
          <cell r="AV66">
            <v>1382548407.0489702</v>
          </cell>
          <cell r="AW66">
            <v>1399676605.0168798</v>
          </cell>
          <cell r="AX66">
            <v>1285990378.1422093</v>
          </cell>
          <cell r="AY66">
            <v>1285990378.1422093</v>
          </cell>
          <cell r="AZ66">
            <v>0</v>
          </cell>
          <cell r="BA66">
            <v>0</v>
          </cell>
          <cell r="BB66">
            <v>1285990378.1422093</v>
          </cell>
          <cell r="BC66">
            <v>1285990378.1422093</v>
          </cell>
          <cell r="BD66">
            <v>1285990378.1422093</v>
          </cell>
          <cell r="BE66">
            <v>0</v>
          </cell>
          <cell r="BF66">
            <v>1285990378.1422093</v>
          </cell>
          <cell r="BG66">
            <v>1285990378.1422093</v>
          </cell>
          <cell r="BH66">
            <v>1285990378.1422093</v>
          </cell>
          <cell r="BI66">
            <v>1285990378.1422093</v>
          </cell>
          <cell r="BJ66">
            <v>0</v>
          </cell>
          <cell r="BK66">
            <v>1285990378.1422093</v>
          </cell>
          <cell r="BL66">
            <v>1285990378.1422093</v>
          </cell>
          <cell r="BM66">
            <v>1285990378.1422093</v>
          </cell>
          <cell r="BN66">
            <v>1285990378.1422093</v>
          </cell>
          <cell r="BO66">
            <v>1285990378.1422093</v>
          </cell>
          <cell r="BP66">
            <v>1285990378.1422093</v>
          </cell>
          <cell r="BQ66">
            <v>1285990378.1422093</v>
          </cell>
          <cell r="BR66">
            <v>1285990378.1422093</v>
          </cell>
          <cell r="BS66">
            <v>1285990378.1422093</v>
          </cell>
          <cell r="BT66">
            <v>1334788848.4832394</v>
          </cell>
          <cell r="BU66">
            <v>1171973061.2623596</v>
          </cell>
          <cell r="BV66">
            <v>0</v>
          </cell>
          <cell r="BW66">
            <v>0</v>
          </cell>
          <cell r="BX66">
            <v>1285990378.1422093</v>
          </cell>
          <cell r="BY66">
            <v>1285990378.1422093</v>
          </cell>
          <cell r="BZ66">
            <v>1285990378.1422093</v>
          </cell>
          <cell r="CA66">
            <v>0</v>
          </cell>
          <cell r="CB66">
            <v>1285990378.1422093</v>
          </cell>
          <cell r="CC66">
            <v>1285990378.1422093</v>
          </cell>
          <cell r="CD66">
            <v>1285990378.1422093</v>
          </cell>
          <cell r="CE66">
            <v>1285990378.1422093</v>
          </cell>
          <cell r="CF66">
            <v>0</v>
          </cell>
          <cell r="CG66">
            <v>1285990378.1422093</v>
          </cell>
          <cell r="CH66">
            <v>1285990378.1422093</v>
          </cell>
          <cell r="CI66">
            <v>1285990378.1422093</v>
          </cell>
          <cell r="CJ66">
            <v>1285990378.1422093</v>
          </cell>
          <cell r="CK66">
            <v>1285990378.1422093</v>
          </cell>
          <cell r="CL66">
            <v>1285990378.1422093</v>
          </cell>
          <cell r="CM66">
            <v>1285990378.1422093</v>
          </cell>
          <cell r="CN66">
            <v>1285990378.1422093</v>
          </cell>
          <cell r="CO66">
            <v>1254033660.0991004</v>
          </cell>
          <cell r="CP66">
            <v>1285990378.1422093</v>
          </cell>
          <cell r="CQ66">
            <v>1285990378.1422093</v>
          </cell>
          <cell r="CR66">
            <v>1285990378.1422093</v>
          </cell>
          <cell r="CS66">
            <v>1285990378.1422093</v>
          </cell>
          <cell r="CT66">
            <v>1285990378.1422093</v>
          </cell>
          <cell r="CU66">
            <v>1285990378.1422093</v>
          </cell>
          <cell r="CV66">
            <v>1285990378.1422093</v>
          </cell>
          <cell r="CW66">
            <v>1285990378.1422093</v>
          </cell>
          <cell r="CX66">
            <v>1285990378.1422093</v>
          </cell>
          <cell r="CY66">
            <v>1285990378.1422093</v>
          </cell>
          <cell r="CZ66">
            <v>1285990378.1422093</v>
          </cell>
          <cell r="DA66">
            <v>1332560839.4955201</v>
          </cell>
          <cell r="DB66">
            <v>1285990378.1422093</v>
          </cell>
          <cell r="DC66">
            <v>1285990774.7957993</v>
          </cell>
          <cell r="DD66">
            <v>1285990378.1422093</v>
          </cell>
          <cell r="DE66">
            <v>1150024759.8781903</v>
          </cell>
          <cell r="DF66">
            <v>1426131813.5702288</v>
          </cell>
          <cell r="DG66">
            <v>1293821835.5907102</v>
          </cell>
          <cell r="DH66">
            <v>1285990378.1422093</v>
          </cell>
          <cell r="DI66">
            <v>1285990378.1422093</v>
          </cell>
          <cell r="DJ66">
            <v>0</v>
          </cell>
          <cell r="DK66">
            <v>0</v>
          </cell>
          <cell r="DL66">
            <v>0</v>
          </cell>
          <cell r="DM66">
            <v>0</v>
          </cell>
          <cell r="DN66">
            <v>0</v>
          </cell>
          <cell r="DO66">
            <v>0</v>
          </cell>
          <cell r="DP66">
            <v>0</v>
          </cell>
          <cell r="DQ66">
            <v>0</v>
          </cell>
          <cell r="DR66">
            <v>0</v>
          </cell>
          <cell r="DS66">
            <v>0</v>
          </cell>
          <cell r="DT66">
            <v>0</v>
          </cell>
          <cell r="DU66">
            <v>0</v>
          </cell>
          <cell r="DV66">
            <v>0</v>
          </cell>
          <cell r="DW66">
            <v>0</v>
          </cell>
          <cell r="DX66" t="str">
            <v/>
          </cell>
          <cell r="DY66" t="str">
            <v/>
          </cell>
          <cell r="DZ66" t="str">
            <v/>
          </cell>
          <cell r="EA66">
            <v>1285990378.1422093</v>
          </cell>
          <cell r="EB66">
            <v>1285990378.1422093</v>
          </cell>
          <cell r="EC66">
            <v>1285990378.1422093</v>
          </cell>
          <cell r="ED66">
            <v>1285990378.1422093</v>
          </cell>
          <cell r="EE66">
            <v>1285990378.1422093</v>
          </cell>
          <cell r="EF66">
            <v>1285990378.1422093</v>
          </cell>
          <cell r="EG66">
            <v>1285990378.1422093</v>
          </cell>
          <cell r="EH66">
            <v>1285990378.1422093</v>
          </cell>
          <cell r="EI66">
            <v>1285990378.1422093</v>
          </cell>
          <cell r="EJ66">
            <v>1285990378.1422093</v>
          </cell>
          <cell r="EK66">
            <v>1285990378.1422093</v>
          </cell>
          <cell r="EL66">
            <v>1285990378.1422093</v>
          </cell>
          <cell r="EM66">
            <v>1285990378.1422093</v>
          </cell>
          <cell r="EN66">
            <v>1285990378.1422093</v>
          </cell>
          <cell r="EO66">
            <v>1145848942.7141898</v>
          </cell>
          <cell r="EP66">
            <v>1426131813.5702288</v>
          </cell>
          <cell r="EQ66">
            <v>1285990378.1422093</v>
          </cell>
          <cell r="ER66">
            <v>1285990378.1422093</v>
          </cell>
          <cell r="ES66">
            <v>0</v>
          </cell>
          <cell r="ET66">
            <v>0</v>
          </cell>
          <cell r="EU66">
            <v>0</v>
          </cell>
          <cell r="EV66">
            <v>0</v>
          </cell>
          <cell r="EW66">
            <v>0</v>
          </cell>
          <cell r="EX66">
            <v>0</v>
          </cell>
          <cell r="EY66">
            <v>0</v>
          </cell>
          <cell r="EZ66">
            <v>0</v>
          </cell>
          <cell r="FA66">
            <v>0</v>
          </cell>
          <cell r="FB66">
            <v>0</v>
          </cell>
          <cell r="FC66">
            <v>0</v>
          </cell>
          <cell r="FD66">
            <v>140141435.42777944</v>
          </cell>
          <cell r="FE66">
            <v>1145848942.7141898</v>
          </cell>
          <cell r="FF66">
            <v>1327938039.4871101</v>
          </cell>
          <cell r="FG66">
            <v>1180227640.4386292</v>
          </cell>
          <cell r="FH66">
            <v>0</v>
          </cell>
          <cell r="FI66">
            <v>0</v>
          </cell>
          <cell r="FJ66">
            <v>1242990528.0976493</v>
          </cell>
          <cell r="FK66">
            <v>1242990528.0976493</v>
          </cell>
          <cell r="FL66">
            <v>1242990528.0976493</v>
          </cell>
          <cell r="FM66">
            <v>0</v>
          </cell>
          <cell r="FN66">
            <v>1274482151.2269607</v>
          </cell>
          <cell r="FO66">
            <v>1274482151.2269607</v>
          </cell>
          <cell r="FP66">
            <v>1274482151.2269607</v>
          </cell>
          <cell r="FQ66">
            <v>1274885547.7861497</v>
          </cell>
          <cell r="FR66">
            <v>0</v>
          </cell>
          <cell r="FS66">
            <v>1262130756.8063505</v>
          </cell>
          <cell r="FT66">
            <v>1262130756.8063505</v>
          </cell>
          <cell r="FU66">
            <v>1262130756.8063505</v>
          </cell>
          <cell r="FV66">
            <v>1262130756.8063505</v>
          </cell>
          <cell r="FW66">
            <v>1262130756.8063505</v>
          </cell>
          <cell r="FX66">
            <v>1262130756.8063505</v>
          </cell>
          <cell r="FY66">
            <v>1262130756.8063505</v>
          </cell>
          <cell r="FZ66">
            <v>1279050224.9759302</v>
          </cell>
          <cell r="GA66">
            <v>1249853929.9333096</v>
          </cell>
          <cell r="GB66">
            <v>1286242489.6299393</v>
          </cell>
          <cell r="GC66">
            <v>1342149766.2889709</v>
          </cell>
          <cell r="GD66">
            <v>1285990378.1408596</v>
          </cell>
          <cell r="GE66">
            <v>1286029882.1488893</v>
          </cell>
          <cell r="GF66">
            <v>1286030587.8881595</v>
          </cell>
          <cell r="GG66">
            <v>1287006465.9243202</v>
          </cell>
          <cell r="GH66">
            <v>1285990378.1422093</v>
          </cell>
          <cell r="GI66">
            <v>1295747360.7395201</v>
          </cell>
          <cell r="GJ66">
            <v>1285990378.1415789</v>
          </cell>
          <cell r="GK66">
            <v>1285990378.1422093</v>
          </cell>
          <cell r="GL66">
            <v>1285990378.1422093</v>
          </cell>
          <cell r="GM66">
            <v>1285990378.1422093</v>
          </cell>
          <cell r="GN66">
            <v>1285990378.1422093</v>
          </cell>
          <cell r="GO66">
            <v>1285990378.1422093</v>
          </cell>
          <cell r="GP66">
            <v>1285990378.1422093</v>
          </cell>
          <cell r="GQ66">
            <v>1285990378.1422093</v>
          </cell>
          <cell r="GR66">
            <v>1285990378.1422093</v>
          </cell>
          <cell r="GS66">
            <v>1285990378.1422093</v>
          </cell>
          <cell r="GT66">
            <v>1285990378.1422093</v>
          </cell>
          <cell r="GU66">
            <v>0</v>
          </cell>
          <cell r="GZ66">
            <v>0</v>
          </cell>
        </row>
        <row r="67">
          <cell r="A67" t="str">
            <v>F_CNP_NRF_RET_COL_FRCE_202</v>
          </cell>
          <cell r="B67">
            <v>62031442.12946</v>
          </cell>
          <cell r="D67">
            <v>72322288.602559999</v>
          </cell>
          <cell r="E67">
            <v>68501927.363780007</v>
          </cell>
          <cell r="F67">
            <v>72322288.602559999</v>
          </cell>
          <cell r="G67">
            <v>72322288.602559999</v>
          </cell>
          <cell r="H67">
            <v>0</v>
          </cell>
          <cell r="I67">
            <v>0</v>
          </cell>
          <cell r="J67">
            <v>72322288.602559999</v>
          </cell>
          <cell r="K67">
            <v>72322288.602559999</v>
          </cell>
          <cell r="L67">
            <v>72322288.602559999</v>
          </cell>
          <cell r="M67">
            <v>0</v>
          </cell>
          <cell r="N67">
            <v>72322288.602559999</v>
          </cell>
          <cell r="O67">
            <v>72322288.602559999</v>
          </cell>
          <cell r="P67">
            <v>72322288.602559999</v>
          </cell>
          <cell r="Q67">
            <v>72322288.602559999</v>
          </cell>
          <cell r="R67">
            <v>0</v>
          </cell>
          <cell r="S67">
            <v>72322288.602559999</v>
          </cell>
          <cell r="T67">
            <v>72322288.602559999</v>
          </cell>
          <cell r="U67">
            <v>72322288.602559999</v>
          </cell>
          <cell r="V67">
            <v>72322288.602559999</v>
          </cell>
          <cell r="W67">
            <v>72322288.602559999</v>
          </cell>
          <cell r="X67">
            <v>72322288.602559999</v>
          </cell>
          <cell r="Y67">
            <v>72322288.602559999</v>
          </cell>
          <cell r="Z67">
            <v>72322288.602559999</v>
          </cell>
          <cell r="AA67">
            <v>72322288.602559999</v>
          </cell>
          <cell r="AB67">
            <v>73631802.751269996</v>
          </cell>
          <cell r="AC67">
            <v>68603543.936140001</v>
          </cell>
          <cell r="AD67">
            <v>0</v>
          </cell>
          <cell r="AE67">
            <v>0</v>
          </cell>
          <cell r="AF67">
            <v>67689348.20555</v>
          </cell>
          <cell r="AG67">
            <v>67689348.20555</v>
          </cell>
          <cell r="AH67">
            <v>67689348.20555</v>
          </cell>
          <cell r="AI67">
            <v>0</v>
          </cell>
          <cell r="AJ67">
            <v>72233881.919389993</v>
          </cell>
          <cell r="AK67">
            <v>72233881.919389993</v>
          </cell>
          <cell r="AL67">
            <v>72233881.919389993</v>
          </cell>
          <cell r="AM67">
            <v>72322288.602559999</v>
          </cell>
          <cell r="AN67">
            <v>0</v>
          </cell>
          <cell r="AO67">
            <v>69127485.513239995</v>
          </cell>
          <cell r="AP67">
            <v>69127485.513239995</v>
          </cell>
          <cell r="AQ67">
            <v>69127485.513239995</v>
          </cell>
          <cell r="AR67">
            <v>69127485.513239995</v>
          </cell>
          <cell r="AS67">
            <v>69127485.513239995</v>
          </cell>
          <cell r="AT67">
            <v>69127485.513239995</v>
          </cell>
          <cell r="AU67">
            <v>69127485.513239995</v>
          </cell>
          <cell r="AV67">
            <v>71345390.160500005</v>
          </cell>
          <cell r="AW67">
            <v>72322288.602559999</v>
          </cell>
          <cell r="AX67">
            <v>68501927.363780007</v>
          </cell>
          <cell r="AY67">
            <v>68501927.363780007</v>
          </cell>
          <cell r="AZ67">
            <v>0</v>
          </cell>
          <cell r="BA67">
            <v>0</v>
          </cell>
          <cell r="BB67">
            <v>68501927.363780007</v>
          </cell>
          <cell r="BC67">
            <v>68501927.363780007</v>
          </cell>
          <cell r="BD67">
            <v>68501927.363780007</v>
          </cell>
          <cell r="BE67">
            <v>0</v>
          </cell>
          <cell r="BF67">
            <v>68501927.363780007</v>
          </cell>
          <cell r="BG67">
            <v>68501927.363780007</v>
          </cell>
          <cell r="BH67">
            <v>68501927.363780007</v>
          </cell>
          <cell r="BI67">
            <v>68501927.363780007</v>
          </cell>
          <cell r="BJ67">
            <v>0</v>
          </cell>
          <cell r="BK67">
            <v>68501927.363780007</v>
          </cell>
          <cell r="BL67">
            <v>68501927.363780007</v>
          </cell>
          <cell r="BM67">
            <v>68501927.363780007</v>
          </cell>
          <cell r="BN67">
            <v>68501927.363780007</v>
          </cell>
          <cell r="BO67">
            <v>68501927.363780007</v>
          </cell>
          <cell r="BP67">
            <v>68501927.363780007</v>
          </cell>
          <cell r="BQ67">
            <v>68501927.363780007</v>
          </cell>
          <cell r="BR67">
            <v>68501927.363780007</v>
          </cell>
          <cell r="BS67">
            <v>68501927.363780007</v>
          </cell>
          <cell r="BT67">
            <v>69645524.232109994</v>
          </cell>
          <cell r="BU67">
            <v>65837450.05697</v>
          </cell>
          <cell r="BV67">
            <v>0</v>
          </cell>
          <cell r="BW67">
            <v>0</v>
          </cell>
          <cell r="BX67">
            <v>68501927.363780007</v>
          </cell>
          <cell r="BY67">
            <v>68501927.363780007</v>
          </cell>
          <cell r="BZ67">
            <v>68501927.363780007</v>
          </cell>
          <cell r="CA67">
            <v>0</v>
          </cell>
          <cell r="CB67">
            <v>68501927.363780007</v>
          </cell>
          <cell r="CC67">
            <v>68501927.363780007</v>
          </cell>
          <cell r="CD67">
            <v>68501927.363780007</v>
          </cell>
          <cell r="CE67">
            <v>68501927.363780007</v>
          </cell>
          <cell r="CF67">
            <v>0</v>
          </cell>
          <cell r="CG67">
            <v>68501927.363780007</v>
          </cell>
          <cell r="CH67">
            <v>68501927.363780007</v>
          </cell>
          <cell r="CI67">
            <v>68501927.363780007</v>
          </cell>
          <cell r="CJ67">
            <v>68501927.363780007</v>
          </cell>
          <cell r="CK67">
            <v>68501927.363780007</v>
          </cell>
          <cell r="CL67">
            <v>68501927.363780007</v>
          </cell>
          <cell r="CM67">
            <v>68501927.363780007</v>
          </cell>
          <cell r="CN67">
            <v>68501927.363780007</v>
          </cell>
          <cell r="CO67">
            <v>66214724.472070001</v>
          </cell>
          <cell r="CP67">
            <v>68501927.363780007</v>
          </cell>
          <cell r="CQ67">
            <v>68501927.363780007</v>
          </cell>
          <cell r="CR67">
            <v>68501927.363780007</v>
          </cell>
          <cell r="CS67">
            <v>68501927.363780007</v>
          </cell>
          <cell r="CT67">
            <v>68501927.363780007</v>
          </cell>
          <cell r="CU67">
            <v>68501927.363780007</v>
          </cell>
          <cell r="CV67">
            <v>68501927.363780007</v>
          </cell>
          <cell r="CW67">
            <v>68501927.363780007</v>
          </cell>
          <cell r="CX67">
            <v>68501927.363780007</v>
          </cell>
          <cell r="CY67">
            <v>68501927.363780007</v>
          </cell>
          <cell r="CZ67">
            <v>68501927.363780007</v>
          </cell>
          <cell r="DA67">
            <v>72263265.000380009</v>
          </cell>
          <cell r="DB67">
            <v>68501927.363780007</v>
          </cell>
          <cell r="DC67">
            <v>68995383.691240013</v>
          </cell>
          <cell r="DD67">
            <v>68501927.363780007</v>
          </cell>
          <cell r="DE67">
            <v>52575187.797810003</v>
          </cell>
          <cell r="DF67">
            <v>84428666.92975001</v>
          </cell>
          <cell r="DG67">
            <v>69015234.595560014</v>
          </cell>
          <cell r="DH67">
            <v>68501927.363780007</v>
          </cell>
          <cell r="DI67">
            <v>68501927.363780007</v>
          </cell>
          <cell r="DJ67">
            <v>0</v>
          </cell>
          <cell r="DK67">
            <v>0</v>
          </cell>
          <cell r="DL67">
            <v>0</v>
          </cell>
          <cell r="DM67">
            <v>0</v>
          </cell>
          <cell r="DN67">
            <v>0</v>
          </cell>
          <cell r="DO67">
            <v>0</v>
          </cell>
          <cell r="DP67">
            <v>0</v>
          </cell>
          <cell r="DQ67">
            <v>0</v>
          </cell>
          <cell r="DR67">
            <v>0</v>
          </cell>
          <cell r="DS67">
            <v>0</v>
          </cell>
          <cell r="DT67">
            <v>0</v>
          </cell>
          <cell r="DU67">
            <v>0</v>
          </cell>
          <cell r="DV67">
            <v>0</v>
          </cell>
          <cell r="DW67">
            <v>0</v>
          </cell>
          <cell r="DX67" t="str">
            <v/>
          </cell>
          <cell r="DY67" t="str">
            <v/>
          </cell>
          <cell r="DZ67" t="str">
            <v/>
          </cell>
          <cell r="EA67">
            <v>68501927.363780007</v>
          </cell>
          <cell r="EB67">
            <v>68501927.363780007</v>
          </cell>
          <cell r="EC67">
            <v>68501927.363780007</v>
          </cell>
          <cell r="ED67">
            <v>68501927.363780007</v>
          </cell>
          <cell r="EE67">
            <v>68501927.363780007</v>
          </cell>
          <cell r="EF67">
            <v>68501927.363780007</v>
          </cell>
          <cell r="EG67">
            <v>68501927.363780007</v>
          </cell>
          <cell r="EH67">
            <v>68501927.363780007</v>
          </cell>
          <cell r="EI67">
            <v>68501927.363780007</v>
          </cell>
          <cell r="EJ67">
            <v>68501927.363780007</v>
          </cell>
          <cell r="EK67">
            <v>68501927.363780007</v>
          </cell>
          <cell r="EL67">
            <v>68501927.363780007</v>
          </cell>
          <cell r="EM67">
            <v>68501927.363780007</v>
          </cell>
          <cell r="EN67">
            <v>68501927.363780007</v>
          </cell>
          <cell r="EO67">
            <v>52575187.797810003</v>
          </cell>
          <cell r="EP67">
            <v>84428666.92975001</v>
          </cell>
          <cell r="EQ67">
            <v>68501927.363780007</v>
          </cell>
          <cell r="ER67">
            <v>68501927.363780007</v>
          </cell>
          <cell r="ES67">
            <v>0</v>
          </cell>
          <cell r="ET67">
            <v>0</v>
          </cell>
          <cell r="EU67">
            <v>0</v>
          </cell>
          <cell r="EV67">
            <v>0</v>
          </cell>
          <cell r="EW67">
            <v>0</v>
          </cell>
          <cell r="EX67">
            <v>0</v>
          </cell>
          <cell r="EY67">
            <v>0</v>
          </cell>
          <cell r="EZ67">
            <v>0</v>
          </cell>
          <cell r="FA67">
            <v>0</v>
          </cell>
          <cell r="FB67">
            <v>0</v>
          </cell>
          <cell r="FC67">
            <v>0</v>
          </cell>
          <cell r="FD67">
            <v>15926739.565970004</v>
          </cell>
          <cell r="FE67">
            <v>52575187.797810003</v>
          </cell>
          <cell r="FF67">
            <v>69787921.396290004</v>
          </cell>
          <cell r="FG67">
            <v>64913463.907909997</v>
          </cell>
          <cell r="FH67">
            <v>0</v>
          </cell>
          <cell r="FI67">
            <v>0</v>
          </cell>
          <cell r="FJ67">
            <v>63995050.818319999</v>
          </cell>
          <cell r="FK67">
            <v>63995050.818319999</v>
          </cell>
          <cell r="FL67">
            <v>63995050.818319999</v>
          </cell>
          <cell r="FM67">
            <v>0</v>
          </cell>
          <cell r="FN67">
            <v>68416106.874339998</v>
          </cell>
          <cell r="FO67">
            <v>68416106.874339998</v>
          </cell>
          <cell r="FP67">
            <v>68416106.874339998</v>
          </cell>
          <cell r="FQ67">
            <v>68501927.363780007</v>
          </cell>
          <cell r="FR67">
            <v>0</v>
          </cell>
          <cell r="FS67">
            <v>65394787.791940004</v>
          </cell>
          <cell r="FT67">
            <v>65394787.791940004</v>
          </cell>
          <cell r="FU67">
            <v>65394787.791940004</v>
          </cell>
          <cell r="FV67">
            <v>65394787.791940004</v>
          </cell>
          <cell r="FW67">
            <v>65394787.791940004</v>
          </cell>
          <cell r="FX67">
            <v>65394787.791940004</v>
          </cell>
          <cell r="FY67">
            <v>65394787.791940004</v>
          </cell>
          <cell r="FZ67">
            <v>67556135.919190004</v>
          </cell>
          <cell r="GA67">
            <v>65700776.739560001</v>
          </cell>
          <cell r="GB67">
            <v>68501927.363780007</v>
          </cell>
          <cell r="GC67">
            <v>73468368.245320007</v>
          </cell>
          <cell r="GD67">
            <v>68501927.363780007</v>
          </cell>
          <cell r="GE67">
            <v>68529574.9278</v>
          </cell>
          <cell r="GF67">
            <v>68501927.363780007</v>
          </cell>
          <cell r="GG67">
            <v>68501927.363780007</v>
          </cell>
          <cell r="GH67">
            <v>68501927.363780007</v>
          </cell>
          <cell r="GI67">
            <v>69188691.756899998</v>
          </cell>
          <cell r="GJ67">
            <v>68501927.363780007</v>
          </cell>
          <cell r="GK67">
            <v>68501927.363780007</v>
          </cell>
          <cell r="GL67">
            <v>68501927.363780007</v>
          </cell>
          <cell r="GM67">
            <v>68501927.363780007</v>
          </cell>
          <cell r="GN67">
            <v>68501927.363780007</v>
          </cell>
          <cell r="GO67">
            <v>68501927.363780007</v>
          </cell>
          <cell r="GP67">
            <v>68501927.363780007</v>
          </cell>
          <cell r="GQ67">
            <v>68501927.363780007</v>
          </cell>
          <cell r="GR67">
            <v>68501927.363780007</v>
          </cell>
          <cell r="GS67">
            <v>68501927.363780007</v>
          </cell>
          <cell r="GT67">
            <v>68501927.363780007</v>
          </cell>
          <cell r="GU67">
            <v>0</v>
          </cell>
          <cell r="GZ67">
            <v>0</v>
          </cell>
        </row>
        <row r="68">
          <cell r="A68" t="str">
            <v>F_CNP_NRF_RET_COL_FRCE_211</v>
          </cell>
          <cell r="B68">
            <v>2842512485.9119492</v>
          </cell>
          <cell r="D68">
            <v>3379057368.4374204</v>
          </cell>
          <cell r="E68">
            <v>3335268670.1264482</v>
          </cell>
          <cell r="F68">
            <v>3379057368.4374204</v>
          </cell>
          <cell r="G68">
            <v>3379057368.4374204</v>
          </cell>
          <cell r="H68">
            <v>0</v>
          </cell>
          <cell r="I68">
            <v>0</v>
          </cell>
          <cell r="J68">
            <v>3379057368.4374204</v>
          </cell>
          <cell r="K68">
            <v>3379057368.4374204</v>
          </cell>
          <cell r="L68">
            <v>3379057368.4374204</v>
          </cell>
          <cell r="M68">
            <v>0</v>
          </cell>
          <cell r="N68">
            <v>3379057368.4374204</v>
          </cell>
          <cell r="O68">
            <v>3379057368.4374204</v>
          </cell>
          <cell r="P68">
            <v>3379057368.4374204</v>
          </cell>
          <cell r="Q68">
            <v>3379057368.4374204</v>
          </cell>
          <cell r="R68">
            <v>0</v>
          </cell>
          <cell r="S68">
            <v>3379057368.4374204</v>
          </cell>
          <cell r="T68">
            <v>3379057368.4374204</v>
          </cell>
          <cell r="U68">
            <v>3379057368.4374204</v>
          </cell>
          <cell r="V68">
            <v>3379057368.4374204</v>
          </cell>
          <cell r="W68">
            <v>3379057368.4374204</v>
          </cell>
          <cell r="X68">
            <v>3379057368.4374204</v>
          </cell>
          <cell r="Y68">
            <v>3379057368.4374204</v>
          </cell>
          <cell r="Z68">
            <v>3379057368.4374204</v>
          </cell>
          <cell r="AA68">
            <v>3379057368.4374204</v>
          </cell>
          <cell r="AB68">
            <v>3447708447.9347415</v>
          </cell>
          <cell r="AC68">
            <v>3181911842.2328205</v>
          </cell>
          <cell r="AD68">
            <v>0</v>
          </cell>
          <cell r="AE68">
            <v>0</v>
          </cell>
          <cell r="AF68">
            <v>3158766097.4457707</v>
          </cell>
          <cell r="AG68">
            <v>3158766097.4457707</v>
          </cell>
          <cell r="AH68">
            <v>3158766097.4457707</v>
          </cell>
          <cell r="AI68">
            <v>0</v>
          </cell>
          <cell r="AJ68">
            <v>3359113284.4336395</v>
          </cell>
          <cell r="AK68">
            <v>3359113284.4336395</v>
          </cell>
          <cell r="AL68">
            <v>3359113284.4336395</v>
          </cell>
          <cell r="AM68">
            <v>3373724753.9133692</v>
          </cell>
          <cell r="AN68">
            <v>0</v>
          </cell>
          <cell r="AO68">
            <v>3238063208.9776616</v>
          </cell>
          <cell r="AP68">
            <v>3238063208.9776616</v>
          </cell>
          <cell r="AQ68">
            <v>3238063208.9776616</v>
          </cell>
          <cell r="AR68">
            <v>3238063208.9776616</v>
          </cell>
          <cell r="AS68">
            <v>3238063208.9776616</v>
          </cell>
          <cell r="AT68">
            <v>3238063208.9776616</v>
          </cell>
          <cell r="AU68">
            <v>3238063208.9776616</v>
          </cell>
          <cell r="AV68">
            <v>3345431326.11443</v>
          </cell>
          <cell r="AW68">
            <v>3379057368.4374204</v>
          </cell>
          <cell r="AX68">
            <v>3335268670.1264482</v>
          </cell>
          <cell r="AY68">
            <v>3335268670.1264482</v>
          </cell>
          <cell r="AZ68">
            <v>0</v>
          </cell>
          <cell r="BA68">
            <v>0</v>
          </cell>
          <cell r="BB68">
            <v>3335268670.1264482</v>
          </cell>
          <cell r="BC68">
            <v>3335268670.1264482</v>
          </cell>
          <cell r="BD68">
            <v>3335268670.1264482</v>
          </cell>
          <cell r="BE68">
            <v>0</v>
          </cell>
          <cell r="BF68">
            <v>3335268670.1264482</v>
          </cell>
          <cell r="BG68">
            <v>3335268670.1264482</v>
          </cell>
          <cell r="BH68">
            <v>3335268670.1264482</v>
          </cell>
          <cell r="BI68">
            <v>3335268670.1264482</v>
          </cell>
          <cell r="BJ68">
            <v>0</v>
          </cell>
          <cell r="BK68">
            <v>3335268670.1264482</v>
          </cell>
          <cell r="BL68">
            <v>3335268670.1264482</v>
          </cell>
          <cell r="BM68">
            <v>3335268670.1264482</v>
          </cell>
          <cell r="BN68">
            <v>3335268670.1264482</v>
          </cell>
          <cell r="BO68">
            <v>3335268670.1264482</v>
          </cell>
          <cell r="BP68">
            <v>3335268670.1264482</v>
          </cell>
          <cell r="BQ68">
            <v>3335268670.1264482</v>
          </cell>
          <cell r="BR68">
            <v>3335268670.1264482</v>
          </cell>
          <cell r="BS68">
            <v>3335268670.1264482</v>
          </cell>
          <cell r="BT68">
            <v>3566984444.8407559</v>
          </cell>
          <cell r="BU68">
            <v>2959762219.2944183</v>
          </cell>
          <cell r="BV68">
            <v>0</v>
          </cell>
          <cell r="BW68">
            <v>0</v>
          </cell>
          <cell r="BX68">
            <v>3335268670.1264482</v>
          </cell>
          <cell r="BY68">
            <v>3335268670.1264482</v>
          </cell>
          <cell r="BZ68">
            <v>3335268670.1264482</v>
          </cell>
          <cell r="CA68">
            <v>0</v>
          </cell>
          <cell r="CB68">
            <v>3335268670.1264482</v>
          </cell>
          <cell r="CC68">
            <v>3335268670.1264482</v>
          </cell>
          <cell r="CD68">
            <v>3335268670.1264482</v>
          </cell>
          <cell r="CE68">
            <v>3335268670.1264482</v>
          </cell>
          <cell r="CF68">
            <v>0</v>
          </cell>
          <cell r="CG68">
            <v>3335268670.1264482</v>
          </cell>
          <cell r="CH68">
            <v>3335268670.1264482</v>
          </cell>
          <cell r="CI68">
            <v>3335268670.1264482</v>
          </cell>
          <cell r="CJ68">
            <v>3335268670.1264482</v>
          </cell>
          <cell r="CK68">
            <v>3335268670.1264482</v>
          </cell>
          <cell r="CL68">
            <v>3335268670.1264482</v>
          </cell>
          <cell r="CM68">
            <v>3335268670.1264482</v>
          </cell>
          <cell r="CN68">
            <v>3335268670.1264482</v>
          </cell>
          <cell r="CO68">
            <v>3089444007.116847</v>
          </cell>
          <cell r="CP68">
            <v>3335268670.1264482</v>
          </cell>
          <cell r="CQ68">
            <v>3335268670.1264482</v>
          </cell>
          <cell r="CR68">
            <v>3335268670.1264482</v>
          </cell>
          <cell r="CS68">
            <v>3335268670.1264482</v>
          </cell>
          <cell r="CT68">
            <v>3335268670.1264482</v>
          </cell>
          <cell r="CU68">
            <v>3335268670.1264482</v>
          </cell>
          <cell r="CV68">
            <v>3335268670.1264482</v>
          </cell>
          <cell r="CW68">
            <v>3335268670.1264482</v>
          </cell>
          <cell r="CX68">
            <v>3335268670.1264482</v>
          </cell>
          <cell r="CY68">
            <v>3335268670.1264482</v>
          </cell>
          <cell r="CZ68">
            <v>3335268676.9343476</v>
          </cell>
          <cell r="DA68">
            <v>3467956113.5130968</v>
          </cell>
          <cell r="DB68">
            <v>3335268670.1264482</v>
          </cell>
          <cell r="DC68">
            <v>3342749586.7076283</v>
          </cell>
          <cell r="DD68">
            <v>3335268671.3272481</v>
          </cell>
          <cell r="DE68">
            <v>2505758134.5414619</v>
          </cell>
          <cell r="DF68">
            <v>4168322425.9133954</v>
          </cell>
          <cell r="DG68">
            <v>3411903117.0326366</v>
          </cell>
          <cell r="DH68">
            <v>3335268670.1264482</v>
          </cell>
          <cell r="DI68">
            <v>3335268670.2475481</v>
          </cell>
          <cell r="DJ68">
            <v>0</v>
          </cell>
          <cell r="DK68">
            <v>0</v>
          </cell>
          <cell r="DL68">
            <v>0</v>
          </cell>
          <cell r="DM68">
            <v>0</v>
          </cell>
          <cell r="DN68">
            <v>0</v>
          </cell>
          <cell r="DO68">
            <v>0</v>
          </cell>
          <cell r="DP68">
            <v>0</v>
          </cell>
          <cell r="DQ68">
            <v>0</v>
          </cell>
          <cell r="DR68">
            <v>0</v>
          </cell>
          <cell r="DS68">
            <v>0</v>
          </cell>
          <cell r="DT68">
            <v>0</v>
          </cell>
          <cell r="DU68">
            <v>0</v>
          </cell>
          <cell r="DV68">
            <v>0</v>
          </cell>
          <cell r="DW68">
            <v>0</v>
          </cell>
          <cell r="DX68" t="str">
            <v/>
          </cell>
          <cell r="DY68" t="str">
            <v/>
          </cell>
          <cell r="DZ68" t="str">
            <v/>
          </cell>
          <cell r="EA68">
            <v>3335268670.1264482</v>
          </cell>
          <cell r="EB68">
            <v>3335268670.1264482</v>
          </cell>
          <cell r="EC68">
            <v>3335268670.1264482</v>
          </cell>
          <cell r="ED68">
            <v>3335268670.1264482</v>
          </cell>
          <cell r="EE68">
            <v>3335268670.1264482</v>
          </cell>
          <cell r="EF68">
            <v>3335268670.1264482</v>
          </cell>
          <cell r="EG68">
            <v>3335268670.1264482</v>
          </cell>
          <cell r="EH68">
            <v>3335268670.1264482</v>
          </cell>
          <cell r="EI68">
            <v>3335268670.1264482</v>
          </cell>
          <cell r="EJ68">
            <v>3335268670.1264482</v>
          </cell>
          <cell r="EK68">
            <v>3335268670.1264482</v>
          </cell>
          <cell r="EL68">
            <v>3335268670.1264482</v>
          </cell>
          <cell r="EM68">
            <v>3335268670.1264482</v>
          </cell>
          <cell r="EN68">
            <v>3335268670.1264482</v>
          </cell>
          <cell r="EO68">
            <v>2502214914.3395009</v>
          </cell>
          <cell r="EP68">
            <v>4168322425.9133954</v>
          </cell>
          <cell r="EQ68">
            <v>3335268670.1264482</v>
          </cell>
          <cell r="ER68">
            <v>3335268670.1264482</v>
          </cell>
          <cell r="ES68">
            <v>0</v>
          </cell>
          <cell r="ET68">
            <v>0</v>
          </cell>
          <cell r="EU68">
            <v>0</v>
          </cell>
          <cell r="EV68">
            <v>0</v>
          </cell>
          <cell r="EW68">
            <v>0</v>
          </cell>
          <cell r="EX68">
            <v>0</v>
          </cell>
          <cell r="EY68">
            <v>0</v>
          </cell>
          <cell r="EZ68">
            <v>0</v>
          </cell>
          <cell r="FA68">
            <v>0</v>
          </cell>
          <cell r="FB68">
            <v>0</v>
          </cell>
          <cell r="FC68">
            <v>0</v>
          </cell>
          <cell r="FD68">
            <v>833053755.72873259</v>
          </cell>
          <cell r="FE68">
            <v>2502214914.3395009</v>
          </cell>
          <cell r="FF68">
            <v>3475833491.3904123</v>
          </cell>
          <cell r="FG68">
            <v>3079017361.8388109</v>
          </cell>
          <cell r="FH68">
            <v>0</v>
          </cell>
          <cell r="FI68">
            <v>0</v>
          </cell>
          <cell r="FJ68">
            <v>3151337573.2702293</v>
          </cell>
          <cell r="FK68">
            <v>3151337573.2702293</v>
          </cell>
          <cell r="FL68">
            <v>3151337573.2702293</v>
          </cell>
          <cell r="FM68">
            <v>0</v>
          </cell>
          <cell r="FN68">
            <v>3317458872.3891196</v>
          </cell>
          <cell r="FO68">
            <v>3317458872.3891196</v>
          </cell>
          <cell r="FP68">
            <v>3317458872.3891196</v>
          </cell>
          <cell r="FQ68">
            <v>3329795404.4341187</v>
          </cell>
          <cell r="FR68">
            <v>0</v>
          </cell>
          <cell r="FS68">
            <v>3232080955.9243383</v>
          </cell>
          <cell r="FT68">
            <v>3232080955.9243383</v>
          </cell>
          <cell r="FU68">
            <v>3232080955.9243383</v>
          </cell>
          <cell r="FV68">
            <v>3232080955.9243383</v>
          </cell>
          <cell r="FW68">
            <v>3232080955.9243383</v>
          </cell>
          <cell r="FX68">
            <v>3232080955.9243383</v>
          </cell>
          <cell r="FY68">
            <v>3232080955.9243383</v>
          </cell>
          <cell r="FZ68">
            <v>3300067959.0670586</v>
          </cell>
          <cell r="GA68">
            <v>3050657110.364439</v>
          </cell>
          <cell r="GB68">
            <v>3335268679.6419959</v>
          </cell>
          <cell r="GC68">
            <v>3520695393.7828197</v>
          </cell>
          <cell r="GD68">
            <v>3335268665.081512</v>
          </cell>
          <cell r="GE68">
            <v>3337033586.0217013</v>
          </cell>
          <cell r="GF68">
            <v>3335268670.6492476</v>
          </cell>
          <cell r="GG68">
            <v>3335518828.7858987</v>
          </cell>
          <cell r="GH68">
            <v>3335268670.1264482</v>
          </cell>
          <cell r="GI68">
            <v>3429677179.9980822</v>
          </cell>
          <cell r="GJ68">
            <v>3335268665.3468423</v>
          </cell>
          <cell r="GK68">
            <v>3335268670.4631262</v>
          </cell>
          <cell r="GL68">
            <v>3335268670.1264482</v>
          </cell>
          <cell r="GM68">
            <v>3335268670.1264482</v>
          </cell>
          <cell r="GN68">
            <v>3335268670.1264482</v>
          </cell>
          <cell r="GO68">
            <v>3335268670.1264482</v>
          </cell>
          <cell r="GP68">
            <v>3335268670.1264482</v>
          </cell>
          <cell r="GQ68">
            <v>3335268670.1264482</v>
          </cell>
          <cell r="GR68">
            <v>3335268670.1264482</v>
          </cell>
          <cell r="GS68">
            <v>3335268670.1264482</v>
          </cell>
          <cell r="GT68">
            <v>3335268670.1264482</v>
          </cell>
          <cell r="GU68">
            <v>0</v>
          </cell>
          <cell r="GZ68">
            <v>0</v>
          </cell>
        </row>
        <row r="69">
          <cell r="A69" t="str">
            <v>F_CNP_NRF_RET_COL_FRCE_217</v>
          </cell>
          <cell r="B69">
            <v>0</v>
          </cell>
          <cell r="D69">
            <v>0</v>
          </cell>
          <cell r="E69">
            <v>0</v>
          </cell>
          <cell r="F69">
            <v>0</v>
          </cell>
          <cell r="G69">
            <v>0</v>
          </cell>
          <cell r="H69">
            <v>0</v>
          </cell>
          <cell r="I69">
            <v>0</v>
          </cell>
          <cell r="J69">
            <v>0</v>
          </cell>
          <cell r="K69">
            <v>0</v>
          </cell>
          <cell r="L69">
            <v>0</v>
          </cell>
          <cell r="M69">
            <v>0</v>
          </cell>
          <cell r="N69">
            <v>0</v>
          </cell>
          <cell r="O69">
            <v>0</v>
          </cell>
          <cell r="P69">
            <v>0</v>
          </cell>
          <cell r="Q69">
            <v>0</v>
          </cell>
          <cell r="R69">
            <v>0</v>
          </cell>
          <cell r="S69">
            <v>0</v>
          </cell>
          <cell r="T69">
            <v>0</v>
          </cell>
          <cell r="U69">
            <v>0</v>
          </cell>
          <cell r="V69">
            <v>0</v>
          </cell>
          <cell r="W69">
            <v>0</v>
          </cell>
          <cell r="X69">
            <v>0</v>
          </cell>
          <cell r="Y69">
            <v>0</v>
          </cell>
          <cell r="Z69">
            <v>0</v>
          </cell>
          <cell r="AA69">
            <v>0</v>
          </cell>
          <cell r="AB69">
            <v>0</v>
          </cell>
          <cell r="AC69">
            <v>0</v>
          </cell>
          <cell r="AD69">
            <v>0</v>
          </cell>
          <cell r="AE69">
            <v>0</v>
          </cell>
          <cell r="AF69">
            <v>0</v>
          </cell>
          <cell r="AG69">
            <v>0</v>
          </cell>
          <cell r="AH69">
            <v>0</v>
          </cell>
          <cell r="AI69">
            <v>0</v>
          </cell>
          <cell r="AJ69">
            <v>0</v>
          </cell>
          <cell r="AK69">
            <v>0</v>
          </cell>
          <cell r="AL69">
            <v>0</v>
          </cell>
          <cell r="AM69">
            <v>0</v>
          </cell>
          <cell r="AN69">
            <v>0</v>
          </cell>
          <cell r="AO69">
            <v>0</v>
          </cell>
          <cell r="AP69">
            <v>0</v>
          </cell>
          <cell r="AQ69">
            <v>0</v>
          </cell>
          <cell r="AR69">
            <v>0</v>
          </cell>
          <cell r="AS69">
            <v>0</v>
          </cell>
          <cell r="AT69">
            <v>0</v>
          </cell>
          <cell r="AU69">
            <v>0</v>
          </cell>
          <cell r="AV69">
            <v>0</v>
          </cell>
          <cell r="AW69">
            <v>0</v>
          </cell>
          <cell r="AX69">
            <v>0</v>
          </cell>
          <cell r="AY69">
            <v>0</v>
          </cell>
          <cell r="AZ69">
            <v>0</v>
          </cell>
          <cell r="BA69">
            <v>0</v>
          </cell>
          <cell r="BB69">
            <v>0</v>
          </cell>
          <cell r="BC69">
            <v>0</v>
          </cell>
          <cell r="BD69">
            <v>0</v>
          </cell>
          <cell r="BE69">
            <v>0</v>
          </cell>
          <cell r="BF69">
            <v>0</v>
          </cell>
          <cell r="BG69">
            <v>0</v>
          </cell>
          <cell r="BH69">
            <v>0</v>
          </cell>
          <cell r="BI69">
            <v>0</v>
          </cell>
          <cell r="BJ69">
            <v>0</v>
          </cell>
          <cell r="BK69">
            <v>0</v>
          </cell>
          <cell r="BL69">
            <v>0</v>
          </cell>
          <cell r="BM69">
            <v>0</v>
          </cell>
          <cell r="BN69">
            <v>0</v>
          </cell>
          <cell r="BO69">
            <v>0</v>
          </cell>
          <cell r="BP69">
            <v>0</v>
          </cell>
          <cell r="BQ69">
            <v>0</v>
          </cell>
          <cell r="BR69">
            <v>0</v>
          </cell>
          <cell r="BS69">
            <v>0</v>
          </cell>
          <cell r="BT69">
            <v>0</v>
          </cell>
          <cell r="BU69">
            <v>0</v>
          </cell>
          <cell r="BV69">
            <v>0</v>
          </cell>
          <cell r="BW69">
            <v>0</v>
          </cell>
          <cell r="BX69">
            <v>0</v>
          </cell>
          <cell r="BY69">
            <v>0</v>
          </cell>
          <cell r="BZ69">
            <v>0</v>
          </cell>
          <cell r="CA69">
            <v>0</v>
          </cell>
          <cell r="CB69">
            <v>0</v>
          </cell>
          <cell r="CC69">
            <v>0</v>
          </cell>
          <cell r="CD69">
            <v>0</v>
          </cell>
          <cell r="CE69">
            <v>0</v>
          </cell>
          <cell r="CF69">
            <v>0</v>
          </cell>
          <cell r="CG69">
            <v>0</v>
          </cell>
          <cell r="CH69">
            <v>0</v>
          </cell>
          <cell r="CI69">
            <v>0</v>
          </cell>
          <cell r="CJ69">
            <v>0</v>
          </cell>
          <cell r="CK69">
            <v>0</v>
          </cell>
          <cell r="CL69">
            <v>0</v>
          </cell>
          <cell r="CM69">
            <v>0</v>
          </cell>
          <cell r="CN69">
            <v>0</v>
          </cell>
          <cell r="CO69">
            <v>0</v>
          </cell>
          <cell r="CP69">
            <v>0</v>
          </cell>
          <cell r="CQ69">
            <v>0</v>
          </cell>
          <cell r="CR69">
            <v>0</v>
          </cell>
          <cell r="CS69">
            <v>0</v>
          </cell>
          <cell r="CT69">
            <v>0</v>
          </cell>
          <cell r="CU69">
            <v>0</v>
          </cell>
          <cell r="CV69">
            <v>0</v>
          </cell>
          <cell r="CW69">
            <v>0</v>
          </cell>
          <cell r="CX69">
            <v>0</v>
          </cell>
          <cell r="CY69">
            <v>0</v>
          </cell>
          <cell r="CZ69">
            <v>0</v>
          </cell>
          <cell r="DA69">
            <v>0</v>
          </cell>
          <cell r="DB69">
            <v>0</v>
          </cell>
          <cell r="DC69">
            <v>0</v>
          </cell>
          <cell r="DD69">
            <v>0</v>
          </cell>
          <cell r="DE69">
            <v>0</v>
          </cell>
          <cell r="DF69">
            <v>0</v>
          </cell>
          <cell r="DG69">
            <v>0</v>
          </cell>
          <cell r="DH69">
            <v>0</v>
          </cell>
          <cell r="DI69">
            <v>0</v>
          </cell>
          <cell r="DJ69">
            <v>0</v>
          </cell>
          <cell r="DK69">
            <v>0</v>
          </cell>
          <cell r="DL69">
            <v>0</v>
          </cell>
          <cell r="DM69">
            <v>0</v>
          </cell>
          <cell r="DN69">
            <v>0</v>
          </cell>
          <cell r="DO69">
            <v>0</v>
          </cell>
          <cell r="DP69">
            <v>0</v>
          </cell>
          <cell r="DQ69">
            <v>0</v>
          </cell>
          <cell r="DR69">
            <v>0</v>
          </cell>
          <cell r="DS69">
            <v>0</v>
          </cell>
          <cell r="DT69">
            <v>0</v>
          </cell>
          <cell r="DU69">
            <v>0</v>
          </cell>
          <cell r="DV69">
            <v>0</v>
          </cell>
          <cell r="DW69">
            <v>0</v>
          </cell>
          <cell r="DX69" t="str">
            <v/>
          </cell>
          <cell r="DY69" t="str">
            <v/>
          </cell>
          <cell r="DZ69" t="str">
            <v/>
          </cell>
          <cell r="EA69">
            <v>0</v>
          </cell>
          <cell r="EB69">
            <v>0</v>
          </cell>
          <cell r="EC69">
            <v>0</v>
          </cell>
          <cell r="ED69">
            <v>0</v>
          </cell>
          <cell r="EE69">
            <v>0</v>
          </cell>
          <cell r="EF69">
            <v>0</v>
          </cell>
          <cell r="EG69">
            <v>0</v>
          </cell>
          <cell r="EH69">
            <v>0</v>
          </cell>
          <cell r="EI69">
            <v>0</v>
          </cell>
          <cell r="EJ69">
            <v>0</v>
          </cell>
          <cell r="EK69">
            <v>0</v>
          </cell>
          <cell r="EL69">
            <v>0</v>
          </cell>
          <cell r="EM69">
            <v>0</v>
          </cell>
          <cell r="EN69">
            <v>0</v>
          </cell>
          <cell r="EO69">
            <v>0</v>
          </cell>
          <cell r="EP69">
            <v>0</v>
          </cell>
          <cell r="EQ69">
            <v>0</v>
          </cell>
          <cell r="ER69">
            <v>0</v>
          </cell>
          <cell r="ES69">
            <v>0</v>
          </cell>
          <cell r="ET69">
            <v>0</v>
          </cell>
          <cell r="EU69">
            <v>0</v>
          </cell>
          <cell r="EV69">
            <v>0</v>
          </cell>
          <cell r="EW69">
            <v>0</v>
          </cell>
          <cell r="EX69">
            <v>0</v>
          </cell>
          <cell r="EY69">
            <v>0</v>
          </cell>
          <cell r="EZ69">
            <v>0</v>
          </cell>
          <cell r="FA69">
            <v>0</v>
          </cell>
          <cell r="FB69">
            <v>0</v>
          </cell>
          <cell r="FC69">
            <v>0</v>
          </cell>
          <cell r="FD69">
            <v>0</v>
          </cell>
          <cell r="FE69">
            <v>0</v>
          </cell>
          <cell r="FF69">
            <v>0</v>
          </cell>
          <cell r="FG69">
            <v>0</v>
          </cell>
          <cell r="FH69">
            <v>0</v>
          </cell>
          <cell r="FI69">
            <v>0</v>
          </cell>
          <cell r="FJ69">
            <v>0</v>
          </cell>
          <cell r="FK69">
            <v>0</v>
          </cell>
          <cell r="FL69">
            <v>0</v>
          </cell>
          <cell r="FM69">
            <v>0</v>
          </cell>
          <cell r="FN69">
            <v>0</v>
          </cell>
          <cell r="FO69">
            <v>0</v>
          </cell>
          <cell r="FP69">
            <v>0</v>
          </cell>
          <cell r="FQ69">
            <v>0</v>
          </cell>
          <cell r="FR69">
            <v>0</v>
          </cell>
          <cell r="FS69">
            <v>0</v>
          </cell>
          <cell r="FT69">
            <v>0</v>
          </cell>
          <cell r="FU69">
            <v>0</v>
          </cell>
          <cell r="FV69">
            <v>0</v>
          </cell>
          <cell r="FW69">
            <v>0</v>
          </cell>
          <cell r="FX69">
            <v>0</v>
          </cell>
          <cell r="FY69">
            <v>0</v>
          </cell>
          <cell r="FZ69">
            <v>0</v>
          </cell>
          <cell r="GA69">
            <v>0</v>
          </cell>
          <cell r="GB69">
            <v>0</v>
          </cell>
          <cell r="GC69">
            <v>0</v>
          </cell>
          <cell r="GD69">
            <v>0</v>
          </cell>
          <cell r="GE69">
            <v>0</v>
          </cell>
          <cell r="GF69">
            <v>0</v>
          </cell>
          <cell r="GG69">
            <v>0</v>
          </cell>
          <cell r="GH69">
            <v>0</v>
          </cell>
          <cell r="GI69">
            <v>0</v>
          </cell>
          <cell r="GJ69">
            <v>0</v>
          </cell>
          <cell r="GK69">
            <v>0</v>
          </cell>
          <cell r="GL69">
            <v>0</v>
          </cell>
          <cell r="GM69">
            <v>0</v>
          </cell>
          <cell r="GN69">
            <v>0</v>
          </cell>
          <cell r="GO69">
            <v>0</v>
          </cell>
          <cell r="GP69">
            <v>0</v>
          </cell>
          <cell r="GQ69">
            <v>0</v>
          </cell>
          <cell r="GR69">
            <v>0</v>
          </cell>
          <cell r="GS69">
            <v>0</v>
          </cell>
          <cell r="GT69">
            <v>0</v>
          </cell>
          <cell r="GU69">
            <v>0</v>
          </cell>
          <cell r="GZ69">
            <v>0</v>
          </cell>
        </row>
        <row r="70">
          <cell r="A70" t="str">
            <v>F_CNP_NRF_RET_COL_FRCE_235</v>
          </cell>
          <cell r="B70">
            <v>15303534.386349998</v>
          </cell>
          <cell r="D70">
            <v>17443873.612640001</v>
          </cell>
          <cell r="E70">
            <v>16901009.664829999</v>
          </cell>
          <cell r="F70">
            <v>17443873.612640001</v>
          </cell>
          <cell r="G70">
            <v>17443873.612640001</v>
          </cell>
          <cell r="H70">
            <v>0</v>
          </cell>
          <cell r="I70">
            <v>0</v>
          </cell>
          <cell r="J70">
            <v>17443873.612640001</v>
          </cell>
          <cell r="K70">
            <v>17443873.612640001</v>
          </cell>
          <cell r="L70">
            <v>17443873.612640001</v>
          </cell>
          <cell r="M70">
            <v>0</v>
          </cell>
          <cell r="N70">
            <v>17443873.612640001</v>
          </cell>
          <cell r="O70">
            <v>17443873.612640001</v>
          </cell>
          <cell r="P70">
            <v>17443873.612640001</v>
          </cell>
          <cell r="Q70">
            <v>17443873.612640001</v>
          </cell>
          <cell r="R70">
            <v>0</v>
          </cell>
          <cell r="S70">
            <v>17443873.612640001</v>
          </cell>
          <cell r="T70">
            <v>17443873.612640001</v>
          </cell>
          <cell r="U70">
            <v>17443873.612640001</v>
          </cell>
          <cell r="V70">
            <v>17443873.612640001</v>
          </cell>
          <cell r="W70">
            <v>17443873.612640001</v>
          </cell>
          <cell r="X70">
            <v>17443873.612640001</v>
          </cell>
          <cell r="Y70">
            <v>17443873.612640001</v>
          </cell>
          <cell r="Z70">
            <v>17443873.612640001</v>
          </cell>
          <cell r="AA70">
            <v>17443873.612640001</v>
          </cell>
          <cell r="AB70">
            <v>17803740.941180002</v>
          </cell>
          <cell r="AC70">
            <v>16133101.029369999</v>
          </cell>
          <cell r="AD70">
            <v>0</v>
          </cell>
          <cell r="AE70">
            <v>0</v>
          </cell>
          <cell r="AF70">
            <v>16388511.152290002</v>
          </cell>
          <cell r="AG70">
            <v>16388511.152290002</v>
          </cell>
          <cell r="AH70">
            <v>16388511.152290002</v>
          </cell>
          <cell r="AI70">
            <v>0</v>
          </cell>
          <cell r="AJ70">
            <v>17443873.612640001</v>
          </cell>
          <cell r="AK70">
            <v>17443873.612640001</v>
          </cell>
          <cell r="AL70">
            <v>17443873.612640001</v>
          </cell>
          <cell r="AM70">
            <v>17443873.612640001</v>
          </cell>
          <cell r="AN70">
            <v>0</v>
          </cell>
          <cell r="AO70">
            <v>15995403.54346</v>
          </cell>
          <cell r="AP70">
            <v>15995403.54346</v>
          </cell>
          <cell r="AQ70">
            <v>15995403.54346</v>
          </cell>
          <cell r="AR70">
            <v>15995403.54346</v>
          </cell>
          <cell r="AS70">
            <v>15995403.54346</v>
          </cell>
          <cell r="AT70">
            <v>15995403.54346</v>
          </cell>
          <cell r="AU70">
            <v>15995403.54346</v>
          </cell>
          <cell r="AV70">
            <v>17211991.583710004</v>
          </cell>
          <cell r="AW70">
            <v>17443873.612640001</v>
          </cell>
          <cell r="AX70">
            <v>16901009.664829999</v>
          </cell>
          <cell r="AY70">
            <v>16901009.664829999</v>
          </cell>
          <cell r="AZ70">
            <v>0</v>
          </cell>
          <cell r="BA70">
            <v>0</v>
          </cell>
          <cell r="BB70">
            <v>16901009.664829999</v>
          </cell>
          <cell r="BC70">
            <v>16901009.664829999</v>
          </cell>
          <cell r="BD70">
            <v>16901009.664829999</v>
          </cell>
          <cell r="BE70">
            <v>0</v>
          </cell>
          <cell r="BF70">
            <v>16901009.664829999</v>
          </cell>
          <cell r="BG70">
            <v>16901009.664829999</v>
          </cell>
          <cell r="BH70">
            <v>16901009.664829999</v>
          </cell>
          <cell r="BI70">
            <v>16901009.664829999</v>
          </cell>
          <cell r="BJ70">
            <v>0</v>
          </cell>
          <cell r="BK70">
            <v>16901009.664829999</v>
          </cell>
          <cell r="BL70">
            <v>16901009.664829999</v>
          </cell>
          <cell r="BM70">
            <v>16901009.664829999</v>
          </cell>
          <cell r="BN70">
            <v>16901009.664829999</v>
          </cell>
          <cell r="BO70">
            <v>16901009.664829999</v>
          </cell>
          <cell r="BP70">
            <v>16901009.664829999</v>
          </cell>
          <cell r="BQ70">
            <v>16901009.664829999</v>
          </cell>
          <cell r="BR70">
            <v>16901009.664829999</v>
          </cell>
          <cell r="BS70">
            <v>16901009.664829999</v>
          </cell>
          <cell r="BT70">
            <v>17170347.211199999</v>
          </cell>
          <cell r="BU70">
            <v>16020293.884619998</v>
          </cell>
          <cell r="BV70">
            <v>0</v>
          </cell>
          <cell r="BW70">
            <v>0</v>
          </cell>
          <cell r="BX70">
            <v>16901009.664829999</v>
          </cell>
          <cell r="BY70">
            <v>16901009.664829999</v>
          </cell>
          <cell r="BZ70">
            <v>16901009.664829999</v>
          </cell>
          <cell r="CA70">
            <v>0</v>
          </cell>
          <cell r="CB70">
            <v>16901009.664829999</v>
          </cell>
          <cell r="CC70">
            <v>16901009.664829999</v>
          </cell>
          <cell r="CD70">
            <v>16901009.664829999</v>
          </cell>
          <cell r="CE70">
            <v>16901009.664829999</v>
          </cell>
          <cell r="CF70">
            <v>0</v>
          </cell>
          <cell r="CG70">
            <v>16901009.664829999</v>
          </cell>
          <cell r="CH70">
            <v>16901009.664829999</v>
          </cell>
          <cell r="CI70">
            <v>16901009.664829999</v>
          </cell>
          <cell r="CJ70">
            <v>16901009.664829999</v>
          </cell>
          <cell r="CK70">
            <v>16901009.664829999</v>
          </cell>
          <cell r="CL70">
            <v>16901009.664829999</v>
          </cell>
          <cell r="CM70">
            <v>16901009.664829999</v>
          </cell>
          <cell r="CN70">
            <v>16901009.664829999</v>
          </cell>
          <cell r="CO70">
            <v>16577217.546749998</v>
          </cell>
          <cell r="CP70">
            <v>16901009.664829999</v>
          </cell>
          <cell r="CQ70">
            <v>16901009.664829999</v>
          </cell>
          <cell r="CR70">
            <v>16901009.664829999</v>
          </cell>
          <cell r="CS70">
            <v>16901009.664829999</v>
          </cell>
          <cell r="CT70">
            <v>16901009.664829999</v>
          </cell>
          <cell r="CU70">
            <v>16901009.664829999</v>
          </cell>
          <cell r="CV70">
            <v>16901009.664829999</v>
          </cell>
          <cell r="CW70">
            <v>16901009.664829999</v>
          </cell>
          <cell r="CX70">
            <v>16901009.664829999</v>
          </cell>
          <cell r="CY70">
            <v>16901009.664829999</v>
          </cell>
          <cell r="CZ70">
            <v>16963495.135729998</v>
          </cell>
          <cell r="DA70">
            <v>16931072.052730002</v>
          </cell>
          <cell r="DB70">
            <v>16901009.664829999</v>
          </cell>
          <cell r="DC70">
            <v>16901009.664829999</v>
          </cell>
          <cell r="DD70">
            <v>16901009.664829999</v>
          </cell>
          <cell r="DE70">
            <v>14026705.250400001</v>
          </cell>
          <cell r="DF70">
            <v>19775314.079259999</v>
          </cell>
          <cell r="DG70">
            <v>16958598.010279998</v>
          </cell>
          <cell r="DH70">
            <v>16901009.664829999</v>
          </cell>
          <cell r="DI70">
            <v>16901009.664829999</v>
          </cell>
          <cell r="DJ70">
            <v>0</v>
          </cell>
          <cell r="DK70">
            <v>0</v>
          </cell>
          <cell r="DL70">
            <v>0</v>
          </cell>
          <cell r="DM70">
            <v>0</v>
          </cell>
          <cell r="DN70">
            <v>0</v>
          </cell>
          <cell r="DO70">
            <v>0</v>
          </cell>
          <cell r="DP70">
            <v>0</v>
          </cell>
          <cell r="DQ70">
            <v>0</v>
          </cell>
          <cell r="DR70">
            <v>0</v>
          </cell>
          <cell r="DS70">
            <v>0</v>
          </cell>
          <cell r="DT70">
            <v>0</v>
          </cell>
          <cell r="DU70">
            <v>0</v>
          </cell>
          <cell r="DV70">
            <v>0</v>
          </cell>
          <cell r="DW70">
            <v>0</v>
          </cell>
          <cell r="DX70" t="str">
            <v/>
          </cell>
          <cell r="DY70" t="str">
            <v/>
          </cell>
          <cell r="DZ70" t="str">
            <v/>
          </cell>
          <cell r="EA70">
            <v>16901009.664829999</v>
          </cell>
          <cell r="EB70">
            <v>16901009.664829999</v>
          </cell>
          <cell r="EC70">
            <v>16901009.664829999</v>
          </cell>
          <cell r="ED70">
            <v>16901009.664829999</v>
          </cell>
          <cell r="EE70">
            <v>16901009.664829999</v>
          </cell>
          <cell r="EF70">
            <v>16901009.664829999</v>
          </cell>
          <cell r="EG70">
            <v>16901009.664829999</v>
          </cell>
          <cell r="EH70">
            <v>16901009.664829999</v>
          </cell>
          <cell r="EI70">
            <v>16901009.664829999</v>
          </cell>
          <cell r="EJ70">
            <v>16901009.664829999</v>
          </cell>
          <cell r="EK70">
            <v>16901009.664829999</v>
          </cell>
          <cell r="EL70">
            <v>16901009.664829999</v>
          </cell>
          <cell r="EM70">
            <v>16901009.664829999</v>
          </cell>
          <cell r="EN70">
            <v>16901009.664829999</v>
          </cell>
          <cell r="EO70">
            <v>14026705.250400001</v>
          </cell>
          <cell r="EP70">
            <v>19775314.079259999</v>
          </cell>
          <cell r="EQ70">
            <v>16901009.664829999</v>
          </cell>
          <cell r="ER70">
            <v>16901009.664829999</v>
          </cell>
          <cell r="ES70">
            <v>0</v>
          </cell>
          <cell r="ET70">
            <v>0</v>
          </cell>
          <cell r="EU70">
            <v>0</v>
          </cell>
          <cell r="EV70">
            <v>0</v>
          </cell>
          <cell r="EW70">
            <v>0</v>
          </cell>
          <cell r="EX70">
            <v>0</v>
          </cell>
          <cell r="EY70">
            <v>0</v>
          </cell>
          <cell r="EZ70">
            <v>0</v>
          </cell>
          <cell r="FA70">
            <v>0</v>
          </cell>
          <cell r="FB70">
            <v>0</v>
          </cell>
          <cell r="FC70">
            <v>0</v>
          </cell>
          <cell r="FD70">
            <v>2874304.414429998</v>
          </cell>
          <cell r="FE70">
            <v>14026705.250400001</v>
          </cell>
          <cell r="FF70">
            <v>17181943.950229999</v>
          </cell>
          <cell r="FG70">
            <v>15719054.88266</v>
          </cell>
          <cell r="FH70">
            <v>0</v>
          </cell>
          <cell r="FI70">
            <v>0</v>
          </cell>
          <cell r="FJ70">
            <v>16005667.047349999</v>
          </cell>
          <cell r="FK70">
            <v>16005667.047349999</v>
          </cell>
          <cell r="FL70">
            <v>16005667.047349999</v>
          </cell>
          <cell r="FM70">
            <v>0</v>
          </cell>
          <cell r="FN70">
            <v>16901009.664829999</v>
          </cell>
          <cell r="FO70">
            <v>16901009.664829999</v>
          </cell>
          <cell r="FP70">
            <v>16901009.664829999</v>
          </cell>
          <cell r="FQ70">
            <v>16901009.664829999</v>
          </cell>
          <cell r="FR70">
            <v>0</v>
          </cell>
          <cell r="FS70">
            <v>15719872.499870002</v>
          </cell>
          <cell r="FT70">
            <v>15719872.499870002</v>
          </cell>
          <cell r="FU70">
            <v>15719872.499870002</v>
          </cell>
          <cell r="FV70">
            <v>15719872.499870002</v>
          </cell>
          <cell r="FW70">
            <v>15719872.499870002</v>
          </cell>
          <cell r="FX70">
            <v>15719872.499870002</v>
          </cell>
          <cell r="FY70">
            <v>15719872.499870002</v>
          </cell>
          <cell r="FZ70">
            <v>16692703.874299999</v>
          </cell>
          <cell r="GA70">
            <v>16514036.88714</v>
          </cell>
          <cell r="GB70">
            <v>16998203.311860003</v>
          </cell>
          <cell r="GC70">
            <v>16951749.082960002</v>
          </cell>
          <cell r="GD70">
            <v>16901009.664829999</v>
          </cell>
          <cell r="GE70">
            <v>16909516.42165</v>
          </cell>
          <cell r="GF70">
            <v>16901552.363159999</v>
          </cell>
          <cell r="GG70">
            <v>16948090.95747</v>
          </cell>
          <cell r="GH70">
            <v>16901009.664829999</v>
          </cell>
          <cell r="GI70">
            <v>16978289.588429999</v>
          </cell>
          <cell r="GJ70">
            <v>16901009.664829999</v>
          </cell>
          <cell r="GK70">
            <v>16901009.664829999</v>
          </cell>
          <cell r="GL70">
            <v>16901009.664829999</v>
          </cell>
          <cell r="GM70">
            <v>16901009.664829999</v>
          </cell>
          <cell r="GN70">
            <v>16901009.664829999</v>
          </cell>
          <cell r="GO70">
            <v>16901009.664829999</v>
          </cell>
          <cell r="GP70">
            <v>16901009.664829999</v>
          </cell>
          <cell r="GQ70">
            <v>16901009.664829999</v>
          </cell>
          <cell r="GR70">
            <v>16901009.664829999</v>
          </cell>
          <cell r="GS70">
            <v>16901009.664829999</v>
          </cell>
          <cell r="GT70">
            <v>16901009.664829999</v>
          </cell>
          <cell r="GU70">
            <v>0</v>
          </cell>
          <cell r="GZ70">
            <v>0</v>
          </cell>
        </row>
        <row r="71">
          <cell r="A71" t="str">
            <v>F_CNP_NRF_RET_COL_FRCE_237</v>
          </cell>
          <cell r="B71">
            <v>115932829.75492001</v>
          </cell>
          <cell r="D71">
            <v>127194977.51031999</v>
          </cell>
          <cell r="E71">
            <v>123295667.60361001</v>
          </cell>
          <cell r="F71">
            <v>127194977.51031999</v>
          </cell>
          <cell r="G71">
            <v>127194977.51031999</v>
          </cell>
          <cell r="H71">
            <v>0</v>
          </cell>
          <cell r="I71">
            <v>0</v>
          </cell>
          <cell r="J71">
            <v>127194977.51031999</v>
          </cell>
          <cell r="K71">
            <v>127194977.51031999</v>
          </cell>
          <cell r="L71">
            <v>127194977.51031999</v>
          </cell>
          <cell r="M71">
            <v>0</v>
          </cell>
          <cell r="N71">
            <v>127194977.51031999</v>
          </cell>
          <cell r="O71">
            <v>127194977.51031999</v>
          </cell>
          <cell r="P71">
            <v>127194977.51031999</v>
          </cell>
          <cell r="Q71">
            <v>127194977.51031999</v>
          </cell>
          <cell r="R71">
            <v>0</v>
          </cell>
          <cell r="S71">
            <v>127194977.51031999</v>
          </cell>
          <cell r="T71">
            <v>127194977.51031999</v>
          </cell>
          <cell r="U71">
            <v>127194977.51031999</v>
          </cell>
          <cell r="V71">
            <v>127194977.51031999</v>
          </cell>
          <cell r="W71">
            <v>127194977.51031999</v>
          </cell>
          <cell r="X71">
            <v>127194977.51031999</v>
          </cell>
          <cell r="Y71">
            <v>127194977.51031999</v>
          </cell>
          <cell r="Z71">
            <v>127194977.51031999</v>
          </cell>
          <cell r="AA71">
            <v>127194977.51031999</v>
          </cell>
          <cell r="AB71">
            <v>129069725.72676</v>
          </cell>
          <cell r="AC71">
            <v>120148584.07258001</v>
          </cell>
          <cell r="AD71">
            <v>0</v>
          </cell>
          <cell r="AE71">
            <v>0</v>
          </cell>
          <cell r="AF71">
            <v>121724601.60938001</v>
          </cell>
          <cell r="AG71">
            <v>121724601.60938001</v>
          </cell>
          <cell r="AH71">
            <v>121724601.60938001</v>
          </cell>
          <cell r="AI71">
            <v>0</v>
          </cell>
          <cell r="AJ71">
            <v>127194977.51031999</v>
          </cell>
          <cell r="AK71">
            <v>127194977.51031999</v>
          </cell>
          <cell r="AL71">
            <v>127194977.51031999</v>
          </cell>
          <cell r="AM71">
            <v>127194977.51031999</v>
          </cell>
          <cell r="AN71">
            <v>0</v>
          </cell>
          <cell r="AO71">
            <v>120365339.59382001</v>
          </cell>
          <cell r="AP71">
            <v>120365339.59382001</v>
          </cell>
          <cell r="AQ71">
            <v>120365339.59382001</v>
          </cell>
          <cell r="AR71">
            <v>120365339.59382001</v>
          </cell>
          <cell r="AS71">
            <v>120365339.59382001</v>
          </cell>
          <cell r="AT71">
            <v>120365339.59382001</v>
          </cell>
          <cell r="AU71">
            <v>120365339.59382001</v>
          </cell>
          <cell r="AV71">
            <v>126282164.56641001</v>
          </cell>
          <cell r="AW71">
            <v>127194977.51031999</v>
          </cell>
          <cell r="AX71">
            <v>123295667.60361001</v>
          </cell>
          <cell r="AY71">
            <v>123295667.60361001</v>
          </cell>
          <cell r="AZ71">
            <v>0</v>
          </cell>
          <cell r="BA71">
            <v>0</v>
          </cell>
          <cell r="BB71">
            <v>123295667.60361001</v>
          </cell>
          <cell r="BC71">
            <v>123295667.60361001</v>
          </cell>
          <cell r="BD71">
            <v>123295667.60361001</v>
          </cell>
          <cell r="BE71">
            <v>0</v>
          </cell>
          <cell r="BF71">
            <v>123295667.60361001</v>
          </cell>
          <cell r="BG71">
            <v>123295667.60361001</v>
          </cell>
          <cell r="BH71">
            <v>123295667.60361001</v>
          </cell>
          <cell r="BI71">
            <v>123295667.60361001</v>
          </cell>
          <cell r="BJ71">
            <v>0</v>
          </cell>
          <cell r="BK71">
            <v>123295667.60361001</v>
          </cell>
          <cell r="BL71">
            <v>123295667.60361001</v>
          </cell>
          <cell r="BM71">
            <v>123295667.60361001</v>
          </cell>
          <cell r="BN71">
            <v>123295667.60361001</v>
          </cell>
          <cell r="BO71">
            <v>123295667.60361001</v>
          </cell>
          <cell r="BP71">
            <v>123295667.60361001</v>
          </cell>
          <cell r="BQ71">
            <v>123295667.60361001</v>
          </cell>
          <cell r="BR71">
            <v>123295667.60361001</v>
          </cell>
          <cell r="BS71">
            <v>123295667.60361001</v>
          </cell>
          <cell r="BT71">
            <v>129255496.22135001</v>
          </cell>
          <cell r="BU71">
            <v>113944117.16069001</v>
          </cell>
          <cell r="BV71">
            <v>0</v>
          </cell>
          <cell r="BW71">
            <v>0</v>
          </cell>
          <cell r="BX71">
            <v>123295667.60361001</v>
          </cell>
          <cell r="BY71">
            <v>123295667.60361001</v>
          </cell>
          <cell r="BZ71">
            <v>123295667.60361001</v>
          </cell>
          <cell r="CA71">
            <v>0</v>
          </cell>
          <cell r="CB71">
            <v>123295667.60361001</v>
          </cell>
          <cell r="CC71">
            <v>123295667.60361001</v>
          </cell>
          <cell r="CD71">
            <v>123295667.60361001</v>
          </cell>
          <cell r="CE71">
            <v>123295667.60361001</v>
          </cell>
          <cell r="CF71">
            <v>0</v>
          </cell>
          <cell r="CG71">
            <v>123295667.60361001</v>
          </cell>
          <cell r="CH71">
            <v>123295667.60361001</v>
          </cell>
          <cell r="CI71">
            <v>123295667.60361001</v>
          </cell>
          <cell r="CJ71">
            <v>123295667.60361001</v>
          </cell>
          <cell r="CK71">
            <v>123295667.60361001</v>
          </cell>
          <cell r="CL71">
            <v>123295667.60361001</v>
          </cell>
          <cell r="CM71">
            <v>123295667.60361001</v>
          </cell>
          <cell r="CN71">
            <v>123295667.60361001</v>
          </cell>
          <cell r="CO71">
            <v>115026713.15853</v>
          </cell>
          <cell r="CP71">
            <v>123295667.60361001</v>
          </cell>
          <cell r="CQ71">
            <v>123295667.60361001</v>
          </cell>
          <cell r="CR71">
            <v>123295667.60361001</v>
          </cell>
          <cell r="CS71">
            <v>123295667.60361001</v>
          </cell>
          <cell r="CT71">
            <v>123295667.60361001</v>
          </cell>
          <cell r="CU71">
            <v>123295667.60361001</v>
          </cell>
          <cell r="CV71">
            <v>123295667.60361001</v>
          </cell>
          <cell r="CW71">
            <v>123295667.60361001</v>
          </cell>
          <cell r="CX71">
            <v>123295667.60361001</v>
          </cell>
          <cell r="CY71">
            <v>123295667.60361001</v>
          </cell>
          <cell r="CZ71">
            <v>123295667.60361001</v>
          </cell>
          <cell r="DA71">
            <v>125582424.61479001</v>
          </cell>
          <cell r="DB71">
            <v>123295667.60361001</v>
          </cell>
          <cell r="DC71">
            <v>123295667.60361001</v>
          </cell>
          <cell r="DD71">
            <v>123295667.60361001</v>
          </cell>
          <cell r="DE71">
            <v>81857240.462410003</v>
          </cell>
          <cell r="DF71">
            <v>164734094.74481001</v>
          </cell>
          <cell r="DG71">
            <v>125708532.40011001</v>
          </cell>
          <cell r="DH71">
            <v>123295667.60361001</v>
          </cell>
          <cell r="DI71">
            <v>123295667.60361001</v>
          </cell>
          <cell r="DJ71">
            <v>0</v>
          </cell>
          <cell r="DK71">
            <v>0</v>
          </cell>
          <cell r="DL71">
            <v>0</v>
          </cell>
          <cell r="DM71">
            <v>0</v>
          </cell>
          <cell r="DN71">
            <v>0</v>
          </cell>
          <cell r="DO71">
            <v>0</v>
          </cell>
          <cell r="DP71">
            <v>0</v>
          </cell>
          <cell r="DQ71">
            <v>0</v>
          </cell>
          <cell r="DR71">
            <v>0</v>
          </cell>
          <cell r="DS71">
            <v>0</v>
          </cell>
          <cell r="DT71">
            <v>0</v>
          </cell>
          <cell r="DU71">
            <v>0</v>
          </cell>
          <cell r="DV71">
            <v>0</v>
          </cell>
          <cell r="DW71">
            <v>0</v>
          </cell>
          <cell r="DX71" t="str">
            <v/>
          </cell>
          <cell r="DY71" t="str">
            <v/>
          </cell>
          <cell r="DZ71" t="str">
            <v/>
          </cell>
          <cell r="EA71">
            <v>123295667.60361001</v>
          </cell>
          <cell r="EB71">
            <v>123295667.60361001</v>
          </cell>
          <cell r="EC71">
            <v>123295667.60361001</v>
          </cell>
          <cell r="ED71">
            <v>123295667.60361001</v>
          </cell>
          <cell r="EE71">
            <v>123295667.60361001</v>
          </cell>
          <cell r="EF71">
            <v>123295667.60361001</v>
          </cell>
          <cell r="EG71">
            <v>123295667.60361001</v>
          </cell>
          <cell r="EH71">
            <v>123295667.60361001</v>
          </cell>
          <cell r="EI71">
            <v>123295667.60361001</v>
          </cell>
          <cell r="EJ71">
            <v>123295667.60361001</v>
          </cell>
          <cell r="EK71">
            <v>123295667.60361001</v>
          </cell>
          <cell r="EL71">
            <v>123295667.60361001</v>
          </cell>
          <cell r="EM71">
            <v>123295667.60361001</v>
          </cell>
          <cell r="EN71">
            <v>123295667.60361001</v>
          </cell>
          <cell r="EO71">
            <v>81857240.462410003</v>
          </cell>
          <cell r="EP71">
            <v>164734094.74481001</v>
          </cell>
          <cell r="EQ71">
            <v>123295667.60361001</v>
          </cell>
          <cell r="ER71">
            <v>123295667.60361001</v>
          </cell>
          <cell r="ES71">
            <v>0</v>
          </cell>
          <cell r="ET71">
            <v>0</v>
          </cell>
          <cell r="EU71">
            <v>0</v>
          </cell>
          <cell r="EV71">
            <v>0</v>
          </cell>
          <cell r="EW71">
            <v>0</v>
          </cell>
          <cell r="EX71">
            <v>0</v>
          </cell>
          <cell r="EY71">
            <v>0</v>
          </cell>
          <cell r="EZ71">
            <v>0</v>
          </cell>
          <cell r="FA71">
            <v>0</v>
          </cell>
          <cell r="FB71">
            <v>0</v>
          </cell>
          <cell r="FC71">
            <v>0</v>
          </cell>
          <cell r="FD71">
            <v>41438427.141200006</v>
          </cell>
          <cell r="FE71">
            <v>81857240.462410003</v>
          </cell>
          <cell r="FF71">
            <v>125911523.41407999</v>
          </cell>
          <cell r="FG71">
            <v>116211513.16149999</v>
          </cell>
          <cell r="FH71">
            <v>0</v>
          </cell>
          <cell r="FI71">
            <v>0</v>
          </cell>
          <cell r="FJ71">
            <v>118332275.82218</v>
          </cell>
          <cell r="FK71">
            <v>118332275.82218</v>
          </cell>
          <cell r="FL71">
            <v>118332275.82218</v>
          </cell>
          <cell r="FM71">
            <v>0</v>
          </cell>
          <cell r="FN71">
            <v>123295667.60361001</v>
          </cell>
          <cell r="FO71">
            <v>123295667.60361001</v>
          </cell>
          <cell r="FP71">
            <v>123295667.60361001</v>
          </cell>
          <cell r="FQ71">
            <v>123295667.60361001</v>
          </cell>
          <cell r="FR71">
            <v>0</v>
          </cell>
          <cell r="FS71">
            <v>116989479.00310001</v>
          </cell>
          <cell r="FT71">
            <v>116989479.00310001</v>
          </cell>
          <cell r="FU71">
            <v>116989479.00310001</v>
          </cell>
          <cell r="FV71">
            <v>116989479.00310001</v>
          </cell>
          <cell r="FW71">
            <v>116989479.00310001</v>
          </cell>
          <cell r="FX71">
            <v>116989479.00310001</v>
          </cell>
          <cell r="FY71">
            <v>116989479.00310001</v>
          </cell>
          <cell r="FZ71">
            <v>122436090.88992999</v>
          </cell>
          <cell r="GA71">
            <v>112130671.38304999</v>
          </cell>
          <cell r="GB71">
            <v>123295667.60361001</v>
          </cell>
          <cell r="GC71">
            <v>127430095.65623</v>
          </cell>
          <cell r="GD71">
            <v>123295667.90268999</v>
          </cell>
          <cell r="GE71">
            <v>123295667.60361001</v>
          </cell>
          <cell r="GF71">
            <v>123295667.60361001</v>
          </cell>
          <cell r="GG71">
            <v>123295667.60361001</v>
          </cell>
          <cell r="GH71">
            <v>123295667.60361001</v>
          </cell>
          <cell r="GI71">
            <v>126992321.10106</v>
          </cell>
          <cell r="GJ71">
            <v>123295667.60361001</v>
          </cell>
          <cell r="GK71">
            <v>123295667.60361001</v>
          </cell>
          <cell r="GL71">
            <v>123295667.60361001</v>
          </cell>
          <cell r="GM71">
            <v>123295667.60361001</v>
          </cell>
          <cell r="GN71">
            <v>123295667.60361001</v>
          </cell>
          <cell r="GO71">
            <v>123295667.60361001</v>
          </cell>
          <cell r="GP71">
            <v>123295667.60361001</v>
          </cell>
          <cell r="GQ71">
            <v>123295667.60361001</v>
          </cell>
          <cell r="GR71">
            <v>123295667.60361001</v>
          </cell>
          <cell r="GS71">
            <v>123295667.60361001</v>
          </cell>
          <cell r="GT71">
            <v>123295667.60361001</v>
          </cell>
          <cell r="GU71">
            <v>0</v>
          </cell>
          <cell r="GZ71">
            <v>0</v>
          </cell>
        </row>
        <row r="72">
          <cell r="A72" t="str">
            <v>F_CNP_NRF_RET_COL_FRCE_242</v>
          </cell>
          <cell r="B72">
            <v>312589847.30909002</v>
          </cell>
          <cell r="D72">
            <v>308565502.0654</v>
          </cell>
          <cell r="E72">
            <v>302332045.48491001</v>
          </cell>
          <cell r="F72">
            <v>308565502.0654</v>
          </cell>
          <cell r="G72">
            <v>308565502.0654</v>
          </cell>
          <cell r="H72">
            <v>0</v>
          </cell>
          <cell r="I72">
            <v>0</v>
          </cell>
          <cell r="J72">
            <v>308565502.0654</v>
          </cell>
          <cell r="K72">
            <v>308565502.0654</v>
          </cell>
          <cell r="L72">
            <v>308565502.0654</v>
          </cell>
          <cell r="M72">
            <v>0</v>
          </cell>
          <cell r="N72">
            <v>308565502.0654</v>
          </cell>
          <cell r="O72">
            <v>308565502.0654</v>
          </cell>
          <cell r="P72">
            <v>308565502.0654</v>
          </cell>
          <cell r="Q72">
            <v>308565502.0654</v>
          </cell>
          <cell r="R72">
            <v>0</v>
          </cell>
          <cell r="S72">
            <v>308565502.0654</v>
          </cell>
          <cell r="T72">
            <v>308565502.0654</v>
          </cell>
          <cell r="U72">
            <v>308565502.0654</v>
          </cell>
          <cell r="V72">
            <v>308565502.0654</v>
          </cell>
          <cell r="W72">
            <v>308565502.0654</v>
          </cell>
          <cell r="X72">
            <v>308565502.0654</v>
          </cell>
          <cell r="Y72">
            <v>308565502.0654</v>
          </cell>
          <cell r="Z72">
            <v>308565502.0654</v>
          </cell>
          <cell r="AA72">
            <v>308565502.0654</v>
          </cell>
          <cell r="AB72">
            <v>309056288.04382002</v>
          </cell>
          <cell r="AC72">
            <v>303945871.96548003</v>
          </cell>
          <cell r="AD72">
            <v>0</v>
          </cell>
          <cell r="AE72">
            <v>0</v>
          </cell>
          <cell r="AF72">
            <v>236147283.30353999</v>
          </cell>
          <cell r="AG72">
            <v>236147283.30353999</v>
          </cell>
          <cell r="AH72">
            <v>236147283.30353999</v>
          </cell>
          <cell r="AI72">
            <v>0</v>
          </cell>
          <cell r="AJ72">
            <v>287926565.88837999</v>
          </cell>
          <cell r="AK72">
            <v>287926565.88837999</v>
          </cell>
          <cell r="AL72">
            <v>287926565.88837999</v>
          </cell>
          <cell r="AM72">
            <v>308565496.43509996</v>
          </cell>
          <cell r="AN72">
            <v>0</v>
          </cell>
          <cell r="AO72">
            <v>295690397.48495001</v>
          </cell>
          <cell r="AP72">
            <v>295690397.48495001</v>
          </cell>
          <cell r="AQ72">
            <v>295690397.48495001</v>
          </cell>
          <cell r="AR72">
            <v>295690397.48495001</v>
          </cell>
          <cell r="AS72">
            <v>295690397.48495001</v>
          </cell>
          <cell r="AT72">
            <v>295690397.48495001</v>
          </cell>
          <cell r="AU72">
            <v>295690397.48495001</v>
          </cell>
          <cell r="AV72">
            <v>308565502.0654</v>
          </cell>
          <cell r="AW72">
            <v>308565502.0654</v>
          </cell>
          <cell r="AX72">
            <v>302332045.48491001</v>
          </cell>
          <cell r="AY72">
            <v>302332045.48491001</v>
          </cell>
          <cell r="AZ72">
            <v>0</v>
          </cell>
          <cell r="BA72">
            <v>0</v>
          </cell>
          <cell r="BB72">
            <v>302332045.48491001</v>
          </cell>
          <cell r="BC72">
            <v>302332045.48491001</v>
          </cell>
          <cell r="BD72">
            <v>302332045.48491001</v>
          </cell>
          <cell r="BE72">
            <v>0</v>
          </cell>
          <cell r="BF72">
            <v>302332045.48491001</v>
          </cell>
          <cell r="BG72">
            <v>302332045.48491001</v>
          </cell>
          <cell r="BH72">
            <v>302332045.48491001</v>
          </cell>
          <cell r="BI72">
            <v>302332045.48491001</v>
          </cell>
          <cell r="BJ72">
            <v>0</v>
          </cell>
          <cell r="BK72">
            <v>302332045.48491001</v>
          </cell>
          <cell r="BL72">
            <v>302332045.48491001</v>
          </cell>
          <cell r="BM72">
            <v>302332045.48491001</v>
          </cell>
          <cell r="BN72">
            <v>302332045.48491001</v>
          </cell>
          <cell r="BO72">
            <v>302332045.48491001</v>
          </cell>
          <cell r="BP72">
            <v>302332045.48491001</v>
          </cell>
          <cell r="BQ72">
            <v>302332045.48491001</v>
          </cell>
          <cell r="BR72">
            <v>302332045.48491001</v>
          </cell>
          <cell r="BS72">
            <v>302332045.48491001</v>
          </cell>
          <cell r="BT72">
            <v>302835953.77438998</v>
          </cell>
          <cell r="BU72">
            <v>297609508.41420001</v>
          </cell>
          <cell r="BV72">
            <v>0</v>
          </cell>
          <cell r="BW72">
            <v>0</v>
          </cell>
          <cell r="BX72">
            <v>228386621.62315997</v>
          </cell>
          <cell r="BY72">
            <v>228386621.62315997</v>
          </cell>
          <cell r="BZ72">
            <v>228386621.62315997</v>
          </cell>
          <cell r="CA72">
            <v>0</v>
          </cell>
          <cell r="CB72">
            <v>281258123.17069</v>
          </cell>
          <cell r="CC72">
            <v>281258123.17069</v>
          </cell>
          <cell r="CD72">
            <v>281258123.17069</v>
          </cell>
          <cell r="CE72">
            <v>302332039.73597002</v>
          </cell>
          <cell r="CF72">
            <v>0</v>
          </cell>
          <cell r="CG72">
            <v>289185605.86368001</v>
          </cell>
          <cell r="CH72">
            <v>289185605.86368001</v>
          </cell>
          <cell r="CI72">
            <v>289185605.86368001</v>
          </cell>
          <cell r="CJ72">
            <v>289185605.86368001</v>
          </cell>
          <cell r="CK72">
            <v>289185605.86368001</v>
          </cell>
          <cell r="CL72">
            <v>289185605.86368001</v>
          </cell>
          <cell r="CM72">
            <v>289185605.86368001</v>
          </cell>
          <cell r="CN72">
            <v>302332045.48491001</v>
          </cell>
          <cell r="CO72">
            <v>278582835.99599999</v>
          </cell>
          <cell r="CP72">
            <v>302332045.48491001</v>
          </cell>
          <cell r="CQ72">
            <v>302332045.48491001</v>
          </cell>
          <cell r="CR72">
            <v>302332045.48491001</v>
          </cell>
          <cell r="CS72">
            <v>302332045.48491001</v>
          </cell>
          <cell r="CT72">
            <v>302332045.48491001</v>
          </cell>
          <cell r="CU72">
            <v>302332045.48491001</v>
          </cell>
          <cell r="CV72">
            <v>302332045.48491001</v>
          </cell>
          <cell r="CW72">
            <v>302332045.48491001</v>
          </cell>
          <cell r="CX72">
            <v>302332045.48491001</v>
          </cell>
          <cell r="CY72">
            <v>302332045.48491001</v>
          </cell>
          <cell r="CZ72">
            <v>302552357.53585005</v>
          </cell>
          <cell r="DA72">
            <v>315369482.51585001</v>
          </cell>
          <cell r="DB72">
            <v>302332045.48491001</v>
          </cell>
          <cell r="DC72">
            <v>302332045.48491001</v>
          </cell>
          <cell r="DD72">
            <v>302332045.48491001</v>
          </cell>
          <cell r="DE72">
            <v>302332045.48491001</v>
          </cell>
          <cell r="DF72">
            <v>302332045.48491001</v>
          </cell>
          <cell r="DG72">
            <v>309388272.49220997</v>
          </cell>
          <cell r="DH72">
            <v>302332045.48491001</v>
          </cell>
          <cell r="DI72">
            <v>302332045.48491001</v>
          </cell>
          <cell r="DJ72">
            <v>0</v>
          </cell>
          <cell r="DK72">
            <v>0</v>
          </cell>
          <cell r="DL72">
            <v>0</v>
          </cell>
          <cell r="DM72">
            <v>0</v>
          </cell>
          <cell r="DN72">
            <v>0</v>
          </cell>
          <cell r="DO72">
            <v>0</v>
          </cell>
          <cell r="DP72">
            <v>0</v>
          </cell>
          <cell r="DQ72">
            <v>0</v>
          </cell>
          <cell r="DR72">
            <v>0</v>
          </cell>
          <cell r="DS72">
            <v>0</v>
          </cell>
          <cell r="DT72">
            <v>0</v>
          </cell>
          <cell r="DU72">
            <v>0</v>
          </cell>
          <cell r="DV72">
            <v>0</v>
          </cell>
          <cell r="DW72">
            <v>0</v>
          </cell>
          <cell r="DX72" t="str">
            <v/>
          </cell>
          <cell r="DY72" t="str">
            <v/>
          </cell>
          <cell r="DZ72" t="str">
            <v/>
          </cell>
          <cell r="EA72">
            <v>302332045.48491001</v>
          </cell>
          <cell r="EB72">
            <v>302332045.48491001</v>
          </cell>
          <cell r="EC72">
            <v>302332045.48491001</v>
          </cell>
          <cell r="ED72">
            <v>302332045.48491001</v>
          </cell>
          <cell r="EE72">
            <v>302332045.48491001</v>
          </cell>
          <cell r="EF72">
            <v>302332045.48491001</v>
          </cell>
          <cell r="EG72">
            <v>302332045.48491001</v>
          </cell>
          <cell r="EH72">
            <v>302332045.48491001</v>
          </cell>
          <cell r="EI72">
            <v>302332045.48491001</v>
          </cell>
          <cell r="EJ72">
            <v>302332045.48491001</v>
          </cell>
          <cell r="EK72">
            <v>302332045.48491001</v>
          </cell>
          <cell r="EL72">
            <v>302332045.48491001</v>
          </cell>
          <cell r="EM72">
            <v>302332045.48491001</v>
          </cell>
          <cell r="EN72">
            <v>302332045.48491001</v>
          </cell>
          <cell r="EO72">
            <v>302332045.48491001</v>
          </cell>
          <cell r="EP72">
            <v>302332045.48491001</v>
          </cell>
          <cell r="EQ72">
            <v>302332045.48491001</v>
          </cell>
          <cell r="ER72">
            <v>302332045.48491001</v>
          </cell>
          <cell r="ES72">
            <v>0</v>
          </cell>
          <cell r="ET72">
            <v>0</v>
          </cell>
          <cell r="EU72">
            <v>0</v>
          </cell>
          <cell r="EV72">
            <v>0</v>
          </cell>
          <cell r="EW72">
            <v>0</v>
          </cell>
          <cell r="EX72">
            <v>0</v>
          </cell>
          <cell r="EY72">
            <v>0</v>
          </cell>
          <cell r="EZ72">
            <v>0</v>
          </cell>
          <cell r="FA72">
            <v>0</v>
          </cell>
          <cell r="FB72">
            <v>0</v>
          </cell>
          <cell r="FC72">
            <v>0</v>
          </cell>
          <cell r="FD72">
            <v>0</v>
          </cell>
          <cell r="FE72">
            <v>302332045.48491001</v>
          </cell>
          <cell r="FF72">
            <v>302835953.77438998</v>
          </cell>
          <cell r="FG72">
            <v>297609508.41420001</v>
          </cell>
          <cell r="FH72">
            <v>0</v>
          </cell>
          <cell r="FI72">
            <v>0</v>
          </cell>
          <cell r="FJ72">
            <v>228386621.62315997</v>
          </cell>
          <cell r="FK72">
            <v>228386621.62315997</v>
          </cell>
          <cell r="FL72">
            <v>228386621.62315997</v>
          </cell>
          <cell r="FM72">
            <v>0</v>
          </cell>
          <cell r="FN72">
            <v>281258123.17069</v>
          </cell>
          <cell r="FO72">
            <v>281258123.17069</v>
          </cell>
          <cell r="FP72">
            <v>281258123.17069</v>
          </cell>
          <cell r="FQ72">
            <v>302332039.73597002</v>
          </cell>
          <cell r="FR72">
            <v>0</v>
          </cell>
          <cell r="FS72">
            <v>289185605.86368001</v>
          </cell>
          <cell r="FT72">
            <v>289185605.86368001</v>
          </cell>
          <cell r="FU72">
            <v>289185605.86368001</v>
          </cell>
          <cell r="FV72">
            <v>289185605.86368001</v>
          </cell>
          <cell r="FW72">
            <v>289185605.86368001</v>
          </cell>
          <cell r="FX72">
            <v>289185605.86368001</v>
          </cell>
          <cell r="FY72">
            <v>289185605.86368001</v>
          </cell>
          <cell r="FZ72">
            <v>302332045.48491001</v>
          </cell>
          <cell r="GA72">
            <v>278582835.99599999</v>
          </cell>
          <cell r="GB72">
            <v>302552357.53585005</v>
          </cell>
          <cell r="GC72">
            <v>315369482.51585001</v>
          </cell>
          <cell r="GD72">
            <v>302332045.48491001</v>
          </cell>
          <cell r="GE72">
            <v>302332045.48491001</v>
          </cell>
          <cell r="GF72">
            <v>302332045.48491001</v>
          </cell>
          <cell r="GG72">
            <v>302332045.48491001</v>
          </cell>
          <cell r="GH72">
            <v>302332045.48491001</v>
          </cell>
          <cell r="GI72">
            <v>309388272.49220997</v>
          </cell>
          <cell r="GJ72">
            <v>302332045.48491001</v>
          </cell>
          <cell r="GK72">
            <v>302332045.48491001</v>
          </cell>
          <cell r="GL72">
            <v>302332045.48491001</v>
          </cell>
          <cell r="GM72">
            <v>302332045.48491001</v>
          </cell>
          <cell r="GN72">
            <v>302332045.48491001</v>
          </cell>
          <cell r="GO72">
            <v>302332045.48491001</v>
          </cell>
          <cell r="GP72">
            <v>302332045.48491001</v>
          </cell>
          <cell r="GQ72">
            <v>302332045.48491001</v>
          </cell>
          <cell r="GR72">
            <v>302332045.48491001</v>
          </cell>
          <cell r="GS72">
            <v>302332045.48491001</v>
          </cell>
          <cell r="GT72">
            <v>302332045.48491001</v>
          </cell>
          <cell r="GU72">
            <v>0</v>
          </cell>
          <cell r="GZ72">
            <v>0</v>
          </cell>
        </row>
        <row r="73">
          <cell r="A73" t="str">
            <v>F_CNP_NRF_RET_COL_FRCE_277</v>
          </cell>
          <cell r="B73">
            <v>429811930.31</v>
          </cell>
          <cell r="D73">
            <v>517696411.48486</v>
          </cell>
          <cell r="E73">
            <v>570360576.01777995</v>
          </cell>
          <cell r="F73">
            <v>517696411.48486</v>
          </cell>
          <cell r="G73">
            <v>517696411.48486</v>
          </cell>
          <cell r="H73">
            <v>0</v>
          </cell>
          <cell r="I73">
            <v>0</v>
          </cell>
          <cell r="J73">
            <v>517696411.48486</v>
          </cell>
          <cell r="K73">
            <v>517696411.48486</v>
          </cell>
          <cell r="L73">
            <v>517696411.48486</v>
          </cell>
          <cell r="M73">
            <v>0</v>
          </cell>
          <cell r="N73">
            <v>517696411.48486</v>
          </cell>
          <cell r="O73">
            <v>517696411.48486</v>
          </cell>
          <cell r="P73">
            <v>517696411.48486</v>
          </cell>
          <cell r="Q73">
            <v>517696411.48486</v>
          </cell>
          <cell r="R73">
            <v>0</v>
          </cell>
          <cell r="S73">
            <v>517696411.48486</v>
          </cell>
          <cell r="T73">
            <v>517696411.48486</v>
          </cell>
          <cell r="U73">
            <v>517696411.48486</v>
          </cell>
          <cell r="V73">
            <v>517696411.48486</v>
          </cell>
          <cell r="W73">
            <v>517696411.48486</v>
          </cell>
          <cell r="X73">
            <v>517696411.48486</v>
          </cell>
          <cell r="Y73">
            <v>517696411.48486</v>
          </cell>
          <cell r="Z73">
            <v>517696411.48486</v>
          </cell>
          <cell r="AA73">
            <v>517696411.48486</v>
          </cell>
          <cell r="AB73">
            <v>530397295.47626001</v>
          </cell>
          <cell r="AC73">
            <v>485734730.32670999</v>
          </cell>
          <cell r="AD73">
            <v>0</v>
          </cell>
          <cell r="AE73">
            <v>0</v>
          </cell>
          <cell r="AF73">
            <v>496207544.33938003</v>
          </cell>
          <cell r="AG73">
            <v>496207544.33938003</v>
          </cell>
          <cell r="AH73">
            <v>496207544.33938003</v>
          </cell>
          <cell r="AI73">
            <v>0</v>
          </cell>
          <cell r="AJ73">
            <v>513730949.99624002</v>
          </cell>
          <cell r="AK73">
            <v>513730949.99624002</v>
          </cell>
          <cell r="AL73">
            <v>513730949.99624002</v>
          </cell>
          <cell r="AM73">
            <v>517696411.48486</v>
          </cell>
          <cell r="AN73">
            <v>0</v>
          </cell>
          <cell r="AO73">
            <v>500707191.99207002</v>
          </cell>
          <cell r="AP73">
            <v>500707191.99207002</v>
          </cell>
          <cell r="AQ73">
            <v>500707191.99207002</v>
          </cell>
          <cell r="AR73">
            <v>500707191.99207002</v>
          </cell>
          <cell r="AS73">
            <v>500707191.99207002</v>
          </cell>
          <cell r="AT73">
            <v>500707191.99207002</v>
          </cell>
          <cell r="AU73">
            <v>500707191.99207002</v>
          </cell>
          <cell r="AV73">
            <v>513570787.48694998</v>
          </cell>
          <cell r="AW73">
            <v>517696411.48486</v>
          </cell>
          <cell r="AX73">
            <v>570360576.01777995</v>
          </cell>
          <cell r="AY73">
            <v>570360576.01777995</v>
          </cell>
          <cell r="AZ73">
            <v>0</v>
          </cell>
          <cell r="BA73">
            <v>0</v>
          </cell>
          <cell r="BB73">
            <v>570360576.01777995</v>
          </cell>
          <cell r="BC73">
            <v>570360576.01777995</v>
          </cell>
          <cell r="BD73">
            <v>570360576.01777995</v>
          </cell>
          <cell r="BE73">
            <v>0</v>
          </cell>
          <cell r="BF73">
            <v>570360576.01777995</v>
          </cell>
          <cell r="BG73">
            <v>570360576.01777995</v>
          </cell>
          <cell r="BH73">
            <v>570360576.01777995</v>
          </cell>
          <cell r="BI73">
            <v>570360576.01777995</v>
          </cell>
          <cell r="BJ73">
            <v>0</v>
          </cell>
          <cell r="BK73">
            <v>570360576.01777995</v>
          </cell>
          <cell r="BL73">
            <v>570360576.01777995</v>
          </cell>
          <cell r="BM73">
            <v>570360576.01777995</v>
          </cell>
          <cell r="BN73">
            <v>570360576.01777995</v>
          </cell>
          <cell r="BO73">
            <v>570360576.01777995</v>
          </cell>
          <cell r="BP73">
            <v>570360576.01777995</v>
          </cell>
          <cell r="BQ73">
            <v>570360576.01777995</v>
          </cell>
          <cell r="BR73">
            <v>570360576.01777995</v>
          </cell>
          <cell r="BS73">
            <v>570360576.01777995</v>
          </cell>
          <cell r="BT73">
            <v>618204690.09739995</v>
          </cell>
          <cell r="BU73">
            <v>484135241.12730998</v>
          </cell>
          <cell r="BV73">
            <v>0</v>
          </cell>
          <cell r="BW73">
            <v>0</v>
          </cell>
          <cell r="BX73">
            <v>570360576.01777995</v>
          </cell>
          <cell r="BY73">
            <v>570360576.01777995</v>
          </cell>
          <cell r="BZ73">
            <v>570360576.01777995</v>
          </cell>
          <cell r="CA73">
            <v>0</v>
          </cell>
          <cell r="CB73">
            <v>570360576.01777995</v>
          </cell>
          <cell r="CC73">
            <v>570360576.01777995</v>
          </cell>
          <cell r="CD73">
            <v>570360576.01777995</v>
          </cell>
          <cell r="CE73">
            <v>570360576.01777995</v>
          </cell>
          <cell r="CF73">
            <v>0</v>
          </cell>
          <cell r="CG73">
            <v>570360576.01777995</v>
          </cell>
          <cell r="CH73">
            <v>570360576.01777995</v>
          </cell>
          <cell r="CI73">
            <v>570360576.01777995</v>
          </cell>
          <cell r="CJ73">
            <v>570360576.01777995</v>
          </cell>
          <cell r="CK73">
            <v>570360576.01777995</v>
          </cell>
          <cell r="CL73">
            <v>570360576.01777995</v>
          </cell>
          <cell r="CM73">
            <v>570360576.01777995</v>
          </cell>
          <cell r="CN73">
            <v>570360576.01777995</v>
          </cell>
          <cell r="CO73">
            <v>543530412.61798</v>
          </cell>
          <cell r="CP73">
            <v>570360576.01777995</v>
          </cell>
          <cell r="CQ73">
            <v>570360576.01777995</v>
          </cell>
          <cell r="CR73">
            <v>570360576.01777995</v>
          </cell>
          <cell r="CS73">
            <v>570360576.01777995</v>
          </cell>
          <cell r="CT73">
            <v>570360576.01777995</v>
          </cell>
          <cell r="CU73">
            <v>570360576.01777995</v>
          </cell>
          <cell r="CV73">
            <v>570360576.01777995</v>
          </cell>
          <cell r="CW73">
            <v>570360576.01777995</v>
          </cell>
          <cell r="CX73">
            <v>570360576.01777995</v>
          </cell>
          <cell r="CY73">
            <v>570360576.01777995</v>
          </cell>
          <cell r="CZ73">
            <v>570360576.01777995</v>
          </cell>
          <cell r="DA73">
            <v>595612557.58254004</v>
          </cell>
          <cell r="DB73">
            <v>570360576.01777995</v>
          </cell>
          <cell r="DC73">
            <v>570360576.01777995</v>
          </cell>
          <cell r="DD73">
            <v>570360576.01777995</v>
          </cell>
          <cell r="DE73">
            <v>512030209.25917</v>
          </cell>
          <cell r="DF73">
            <v>628690942.77638984</v>
          </cell>
          <cell r="DG73">
            <v>577620122.28196001</v>
          </cell>
          <cell r="DH73">
            <v>570360576.01777995</v>
          </cell>
          <cell r="DI73">
            <v>570360576.01777995</v>
          </cell>
          <cell r="DJ73">
            <v>0</v>
          </cell>
          <cell r="DK73">
            <v>0</v>
          </cell>
          <cell r="DL73">
            <v>0</v>
          </cell>
          <cell r="DM73">
            <v>0</v>
          </cell>
          <cell r="DN73">
            <v>0</v>
          </cell>
          <cell r="DO73">
            <v>0</v>
          </cell>
          <cell r="DP73">
            <v>0</v>
          </cell>
          <cell r="DQ73">
            <v>0</v>
          </cell>
          <cell r="DR73">
            <v>0</v>
          </cell>
          <cell r="DS73">
            <v>0</v>
          </cell>
          <cell r="DT73">
            <v>0</v>
          </cell>
          <cell r="DU73">
            <v>0</v>
          </cell>
          <cell r="DV73">
            <v>0</v>
          </cell>
          <cell r="DW73">
            <v>0</v>
          </cell>
          <cell r="DX73" t="str">
            <v/>
          </cell>
          <cell r="DY73" t="str">
            <v/>
          </cell>
          <cell r="DZ73" t="str">
            <v/>
          </cell>
          <cell r="EA73">
            <v>570360576.01777995</v>
          </cell>
          <cell r="EB73">
            <v>570360576.01777995</v>
          </cell>
          <cell r="EC73">
            <v>570360576.01777995</v>
          </cell>
          <cell r="ED73">
            <v>570360576.01777995</v>
          </cell>
          <cell r="EE73">
            <v>570360576.01777995</v>
          </cell>
          <cell r="EF73">
            <v>570360576.01777995</v>
          </cell>
          <cell r="EG73">
            <v>570360576.01777995</v>
          </cell>
          <cell r="EH73">
            <v>570360576.01777995</v>
          </cell>
          <cell r="EI73">
            <v>570360576.01777995</v>
          </cell>
          <cell r="EJ73">
            <v>570360576.01777995</v>
          </cell>
          <cell r="EK73">
            <v>570360576.01777995</v>
          </cell>
          <cell r="EL73">
            <v>570360576.01777995</v>
          </cell>
          <cell r="EM73">
            <v>570360576.01777995</v>
          </cell>
          <cell r="EN73">
            <v>570360576.01777995</v>
          </cell>
          <cell r="EO73">
            <v>512030209.25917</v>
          </cell>
          <cell r="EP73">
            <v>628690942.77638984</v>
          </cell>
          <cell r="EQ73">
            <v>570360576.01777995</v>
          </cell>
          <cell r="ER73">
            <v>570360576.01777995</v>
          </cell>
          <cell r="ES73">
            <v>0</v>
          </cell>
          <cell r="ET73">
            <v>0</v>
          </cell>
          <cell r="EU73">
            <v>0</v>
          </cell>
          <cell r="EV73">
            <v>0</v>
          </cell>
          <cell r="EW73">
            <v>0</v>
          </cell>
          <cell r="EX73">
            <v>0</v>
          </cell>
          <cell r="EY73">
            <v>0</v>
          </cell>
          <cell r="EZ73">
            <v>0</v>
          </cell>
          <cell r="FA73">
            <v>0</v>
          </cell>
          <cell r="FB73">
            <v>0</v>
          </cell>
          <cell r="FC73">
            <v>0</v>
          </cell>
          <cell r="FD73">
            <v>58330372.787609994</v>
          </cell>
          <cell r="FE73">
            <v>512030209.25917</v>
          </cell>
          <cell r="FF73">
            <v>608448346.48397005</v>
          </cell>
          <cell r="FG73">
            <v>504070143.81358999</v>
          </cell>
          <cell r="FH73">
            <v>0</v>
          </cell>
          <cell r="FI73">
            <v>0</v>
          </cell>
          <cell r="FJ73">
            <v>558931099.39836001</v>
          </cell>
          <cell r="FK73">
            <v>558931099.39836001</v>
          </cell>
          <cell r="FL73">
            <v>558931099.39836001</v>
          </cell>
          <cell r="FM73">
            <v>0</v>
          </cell>
          <cell r="FN73">
            <v>567917222.13749003</v>
          </cell>
          <cell r="FO73">
            <v>567917222.13749003</v>
          </cell>
          <cell r="FP73">
            <v>567917222.13749003</v>
          </cell>
          <cell r="FQ73">
            <v>570360583.72537005</v>
          </cell>
          <cell r="FR73">
            <v>0</v>
          </cell>
          <cell r="FS73">
            <v>564304933.28802001</v>
          </cell>
          <cell r="FT73">
            <v>564304933.28802001</v>
          </cell>
          <cell r="FU73">
            <v>564304933.28802001</v>
          </cell>
          <cell r="FV73">
            <v>564304933.28802001</v>
          </cell>
          <cell r="FW73">
            <v>564304933.28802001</v>
          </cell>
          <cell r="FX73">
            <v>564304933.28802001</v>
          </cell>
          <cell r="FY73">
            <v>564304933.28802001</v>
          </cell>
          <cell r="FZ73">
            <v>567827033.57380998</v>
          </cell>
          <cell r="GA73">
            <v>541869749.15836</v>
          </cell>
          <cell r="GB73">
            <v>570360576.01777995</v>
          </cell>
          <cell r="GC73">
            <v>601662405.1825</v>
          </cell>
          <cell r="GD73">
            <v>570360587.40391004</v>
          </cell>
          <cell r="GE73">
            <v>570360578.36824</v>
          </cell>
          <cell r="GF73">
            <v>570360583.72537005</v>
          </cell>
          <cell r="GG73">
            <v>570360576.01777995</v>
          </cell>
          <cell r="GH73">
            <v>570360576.01777995</v>
          </cell>
          <cell r="GI73">
            <v>578300739.79468</v>
          </cell>
          <cell r="GJ73">
            <v>570360587.40391004</v>
          </cell>
          <cell r="GK73">
            <v>570360587.40391004</v>
          </cell>
          <cell r="GL73">
            <v>570360576.01777995</v>
          </cell>
          <cell r="GM73">
            <v>570360576.01777995</v>
          </cell>
          <cell r="GN73">
            <v>570360576.01777995</v>
          </cell>
          <cell r="GO73">
            <v>570360576.01777995</v>
          </cell>
          <cell r="GP73">
            <v>570360576.01777995</v>
          </cell>
          <cell r="GQ73">
            <v>570360576.01777995</v>
          </cell>
          <cell r="GR73">
            <v>570360576.01777995</v>
          </cell>
          <cell r="GS73">
            <v>570360576.01777995</v>
          </cell>
          <cell r="GT73">
            <v>570360576.01777995</v>
          </cell>
          <cell r="GU73">
            <v>0</v>
          </cell>
          <cell r="GZ73">
            <v>0</v>
          </cell>
        </row>
        <row r="74">
          <cell r="A74" t="str">
            <v>F_CNP_NRF_RET_COL_FRCE_272</v>
          </cell>
          <cell r="B74">
            <v>24981796.350000001</v>
          </cell>
          <cell r="D74">
            <v>28107447.33337</v>
          </cell>
          <cell r="E74">
            <v>27150359.17735</v>
          </cell>
          <cell r="F74">
            <v>28107447.33337</v>
          </cell>
          <cell r="G74">
            <v>28107447.33337</v>
          </cell>
          <cell r="H74">
            <v>0</v>
          </cell>
          <cell r="I74">
            <v>0</v>
          </cell>
          <cell r="J74">
            <v>28107447.33337</v>
          </cell>
          <cell r="K74">
            <v>28107447.33337</v>
          </cell>
          <cell r="L74">
            <v>28107447.33337</v>
          </cell>
          <cell r="M74">
            <v>0</v>
          </cell>
          <cell r="N74">
            <v>28107447.33337</v>
          </cell>
          <cell r="O74">
            <v>28107447.33337</v>
          </cell>
          <cell r="P74">
            <v>28107447.33337</v>
          </cell>
          <cell r="Q74">
            <v>28107447.33337</v>
          </cell>
          <cell r="R74">
            <v>0</v>
          </cell>
          <cell r="S74">
            <v>28107447.33337</v>
          </cell>
          <cell r="T74">
            <v>28107447.33337</v>
          </cell>
          <cell r="U74">
            <v>28107447.33337</v>
          </cell>
          <cell r="V74">
            <v>28107447.33337</v>
          </cell>
          <cell r="W74">
            <v>28107447.33337</v>
          </cell>
          <cell r="X74">
            <v>28107447.33337</v>
          </cell>
          <cell r="Y74">
            <v>28107447.33337</v>
          </cell>
          <cell r="Z74">
            <v>28107447.33337</v>
          </cell>
          <cell r="AA74">
            <v>28107447.33337</v>
          </cell>
          <cell r="AB74">
            <v>28375367.98934</v>
          </cell>
          <cell r="AC74">
            <v>26977204.765930001</v>
          </cell>
          <cell r="AD74">
            <v>0</v>
          </cell>
          <cell r="AE74">
            <v>0</v>
          </cell>
          <cell r="AF74">
            <v>26930227.50107</v>
          </cell>
          <cell r="AG74">
            <v>26930227.50107</v>
          </cell>
          <cell r="AH74">
            <v>26930227.50107</v>
          </cell>
          <cell r="AI74">
            <v>0</v>
          </cell>
          <cell r="AJ74">
            <v>27908232.586569998</v>
          </cell>
          <cell r="AK74">
            <v>27908232.586569998</v>
          </cell>
          <cell r="AL74">
            <v>27908232.586569998</v>
          </cell>
          <cell r="AM74">
            <v>28079898.17114</v>
          </cell>
          <cell r="AN74">
            <v>0</v>
          </cell>
          <cell r="AO74">
            <v>26824616.64435</v>
          </cell>
          <cell r="AP74">
            <v>26824616.64435</v>
          </cell>
          <cell r="AQ74">
            <v>26824616.64435</v>
          </cell>
          <cell r="AR74">
            <v>26824616.64435</v>
          </cell>
          <cell r="AS74">
            <v>26824616.64435</v>
          </cell>
          <cell r="AT74">
            <v>26824616.64435</v>
          </cell>
          <cell r="AU74">
            <v>26824616.64435</v>
          </cell>
          <cell r="AV74">
            <v>28030381.390969999</v>
          </cell>
          <cell r="AW74">
            <v>28107447.33337</v>
          </cell>
          <cell r="AX74">
            <v>27150359.17735</v>
          </cell>
          <cell r="AY74">
            <v>27150359.17735</v>
          </cell>
          <cell r="AZ74">
            <v>0</v>
          </cell>
          <cell r="BA74">
            <v>0</v>
          </cell>
          <cell r="BB74">
            <v>27150359.17735</v>
          </cell>
          <cell r="BC74">
            <v>27150359.17735</v>
          </cell>
          <cell r="BD74">
            <v>27150359.17735</v>
          </cell>
          <cell r="BE74">
            <v>0</v>
          </cell>
          <cell r="BF74">
            <v>27150359.17735</v>
          </cell>
          <cell r="BG74">
            <v>27150359.17735</v>
          </cell>
          <cell r="BH74">
            <v>27150359.17735</v>
          </cell>
          <cell r="BI74">
            <v>27150359.17735</v>
          </cell>
          <cell r="BJ74">
            <v>0</v>
          </cell>
          <cell r="BK74">
            <v>27150359.17735</v>
          </cell>
          <cell r="BL74">
            <v>27150359.17735</v>
          </cell>
          <cell r="BM74">
            <v>27150359.17735</v>
          </cell>
          <cell r="BN74">
            <v>27150359.17735</v>
          </cell>
          <cell r="BO74">
            <v>27150359.17735</v>
          </cell>
          <cell r="BP74">
            <v>27150359.17735</v>
          </cell>
          <cell r="BQ74">
            <v>27150359.17735</v>
          </cell>
          <cell r="BR74">
            <v>27150359.17735</v>
          </cell>
          <cell r="BS74">
            <v>27150359.17735</v>
          </cell>
          <cell r="BT74">
            <v>28284296.407819998</v>
          </cell>
          <cell r="BU74">
            <v>25094232.273589998</v>
          </cell>
          <cell r="BV74">
            <v>0</v>
          </cell>
          <cell r="BW74">
            <v>0</v>
          </cell>
          <cell r="BX74">
            <v>27150359.17735</v>
          </cell>
          <cell r="BY74">
            <v>27150359.17735</v>
          </cell>
          <cell r="BZ74">
            <v>27150359.17735</v>
          </cell>
          <cell r="CA74">
            <v>0</v>
          </cell>
          <cell r="CB74">
            <v>27150359.17735</v>
          </cell>
          <cell r="CC74">
            <v>27150359.17735</v>
          </cell>
          <cell r="CD74">
            <v>27150359.17735</v>
          </cell>
          <cell r="CE74">
            <v>27150359.17735</v>
          </cell>
          <cell r="CF74">
            <v>0</v>
          </cell>
          <cell r="CG74">
            <v>27150359.17735</v>
          </cell>
          <cell r="CH74">
            <v>27150359.17735</v>
          </cell>
          <cell r="CI74">
            <v>27150359.17735</v>
          </cell>
          <cell r="CJ74">
            <v>27150359.17735</v>
          </cell>
          <cell r="CK74">
            <v>27150359.17735</v>
          </cell>
          <cell r="CL74">
            <v>27150359.17735</v>
          </cell>
          <cell r="CM74">
            <v>27150359.17735</v>
          </cell>
          <cell r="CN74">
            <v>27150359.17735</v>
          </cell>
          <cell r="CO74">
            <v>25695033.69365</v>
          </cell>
          <cell r="CP74">
            <v>27150359.17735</v>
          </cell>
          <cell r="CQ74">
            <v>27150359.17735</v>
          </cell>
          <cell r="CR74">
            <v>27150359.17735</v>
          </cell>
          <cell r="CS74">
            <v>27150359.17735</v>
          </cell>
          <cell r="CT74">
            <v>27150359.17735</v>
          </cell>
          <cell r="CU74">
            <v>27150359.17735</v>
          </cell>
          <cell r="CV74">
            <v>27150359.17735</v>
          </cell>
          <cell r="CW74">
            <v>27150359.17735</v>
          </cell>
          <cell r="CX74">
            <v>27150359.17735</v>
          </cell>
          <cell r="CY74">
            <v>27150359.17735</v>
          </cell>
          <cell r="CZ74">
            <v>27150359.17735</v>
          </cell>
          <cell r="DA74">
            <v>28171735.992550001</v>
          </cell>
          <cell r="DB74">
            <v>27150359.17735</v>
          </cell>
          <cell r="DC74">
            <v>27150359.17735</v>
          </cell>
          <cell r="DD74">
            <v>27150359.17735</v>
          </cell>
          <cell r="DE74">
            <v>18494374.742830001</v>
          </cell>
          <cell r="DF74">
            <v>35806343.611869998</v>
          </cell>
          <cell r="DG74">
            <v>27512960.198270001</v>
          </cell>
          <cell r="DH74">
            <v>27150359.17735</v>
          </cell>
          <cell r="DI74">
            <v>27150359.17735</v>
          </cell>
          <cell r="DJ74">
            <v>0</v>
          </cell>
          <cell r="DK74">
            <v>0</v>
          </cell>
          <cell r="DL74">
            <v>0</v>
          </cell>
          <cell r="DM74">
            <v>0</v>
          </cell>
          <cell r="DN74">
            <v>0</v>
          </cell>
          <cell r="DO74">
            <v>0</v>
          </cell>
          <cell r="DP74">
            <v>0</v>
          </cell>
          <cell r="DQ74">
            <v>0</v>
          </cell>
          <cell r="DR74">
            <v>0</v>
          </cell>
          <cell r="DS74">
            <v>0</v>
          </cell>
          <cell r="DT74">
            <v>0</v>
          </cell>
          <cell r="DU74">
            <v>0</v>
          </cell>
          <cell r="DV74">
            <v>0</v>
          </cell>
          <cell r="DW74">
            <v>0</v>
          </cell>
          <cell r="DX74" t="str">
            <v/>
          </cell>
          <cell r="DY74" t="str">
            <v/>
          </cell>
          <cell r="DZ74" t="str">
            <v/>
          </cell>
          <cell r="EA74">
            <v>27150359.17735</v>
          </cell>
          <cell r="EB74">
            <v>27150359.17735</v>
          </cell>
          <cell r="EC74">
            <v>27150359.17735</v>
          </cell>
          <cell r="ED74">
            <v>27150359.17735</v>
          </cell>
          <cell r="EE74">
            <v>27150359.17735</v>
          </cell>
          <cell r="EF74">
            <v>27150359.17735</v>
          </cell>
          <cell r="EG74">
            <v>27150359.17735</v>
          </cell>
          <cell r="EH74">
            <v>27150359.17735</v>
          </cell>
          <cell r="EI74">
            <v>27150359.17735</v>
          </cell>
          <cell r="EJ74">
            <v>27150359.17735</v>
          </cell>
          <cell r="EK74">
            <v>27150359.17735</v>
          </cell>
          <cell r="EL74">
            <v>27150359.17735</v>
          </cell>
          <cell r="EM74">
            <v>27150359.17735</v>
          </cell>
          <cell r="EN74">
            <v>27150359.17735</v>
          </cell>
          <cell r="EO74">
            <v>18494374.742830001</v>
          </cell>
          <cell r="EP74">
            <v>35806343.611869998</v>
          </cell>
          <cell r="EQ74">
            <v>27150359.17735</v>
          </cell>
          <cell r="ER74">
            <v>27150359.17735</v>
          </cell>
          <cell r="ES74">
            <v>0</v>
          </cell>
          <cell r="ET74">
            <v>0</v>
          </cell>
          <cell r="EU74">
            <v>0</v>
          </cell>
          <cell r="EV74">
            <v>0</v>
          </cell>
          <cell r="EW74">
            <v>0</v>
          </cell>
          <cell r="EX74">
            <v>0</v>
          </cell>
          <cell r="EY74">
            <v>0</v>
          </cell>
          <cell r="EZ74">
            <v>0</v>
          </cell>
          <cell r="FA74">
            <v>0</v>
          </cell>
          <cell r="FB74">
            <v>0</v>
          </cell>
          <cell r="FC74">
            <v>0</v>
          </cell>
          <cell r="FD74">
            <v>8655984.4345199987</v>
          </cell>
          <cell r="FE74">
            <v>18494374.742830001</v>
          </cell>
          <cell r="FF74">
            <v>27580746.751820002</v>
          </cell>
          <cell r="FG74">
            <v>25949473.39542</v>
          </cell>
          <cell r="FH74">
            <v>0</v>
          </cell>
          <cell r="FI74">
            <v>0</v>
          </cell>
          <cell r="FJ74">
            <v>26013125.89336</v>
          </cell>
          <cell r="FK74">
            <v>26013125.89336</v>
          </cell>
          <cell r="FL74">
            <v>26013125.89336</v>
          </cell>
          <cell r="FM74">
            <v>0</v>
          </cell>
          <cell r="FN74">
            <v>26955635.152729999</v>
          </cell>
          <cell r="FO74">
            <v>26955635.152729999</v>
          </cell>
          <cell r="FP74">
            <v>26955635.152729999</v>
          </cell>
          <cell r="FQ74">
            <v>27124480.994580001</v>
          </cell>
          <cell r="FR74">
            <v>0</v>
          </cell>
          <cell r="FS74">
            <v>25888164.427439999</v>
          </cell>
          <cell r="FT74">
            <v>25888164.427439999</v>
          </cell>
          <cell r="FU74">
            <v>25888164.427439999</v>
          </cell>
          <cell r="FV74">
            <v>25888164.427439999</v>
          </cell>
          <cell r="FW74">
            <v>25888164.427439999</v>
          </cell>
          <cell r="FX74">
            <v>25888164.427439999</v>
          </cell>
          <cell r="FY74">
            <v>25888164.427439999</v>
          </cell>
          <cell r="FZ74">
            <v>27072614.317639999</v>
          </cell>
          <cell r="GA74">
            <v>25369683.70535</v>
          </cell>
          <cell r="GB74">
            <v>27150359.17735</v>
          </cell>
          <cell r="GC74">
            <v>28983706.830449998</v>
          </cell>
          <cell r="GD74">
            <v>27150359.17735</v>
          </cell>
          <cell r="GE74">
            <v>27150359.17735</v>
          </cell>
          <cell r="GF74">
            <v>27150359.17735</v>
          </cell>
          <cell r="GG74">
            <v>27150359.17735</v>
          </cell>
          <cell r="GH74">
            <v>27150359.17735</v>
          </cell>
          <cell r="GI74">
            <v>27627810.287160002</v>
          </cell>
          <cell r="GJ74">
            <v>27150359.17735</v>
          </cell>
          <cell r="GK74">
            <v>27150359.17735</v>
          </cell>
          <cell r="GL74">
            <v>27150359.17735</v>
          </cell>
          <cell r="GM74">
            <v>27150359.17735</v>
          </cell>
          <cell r="GN74">
            <v>27150359.17735</v>
          </cell>
          <cell r="GO74">
            <v>27150359.17735</v>
          </cell>
          <cell r="GP74">
            <v>27150359.17735</v>
          </cell>
          <cell r="GQ74">
            <v>27150359.17735</v>
          </cell>
          <cell r="GR74">
            <v>27150359.17735</v>
          </cell>
          <cell r="GS74">
            <v>27150359.17735</v>
          </cell>
          <cell r="GT74">
            <v>27150359.17735</v>
          </cell>
          <cell r="GU74">
            <v>0</v>
          </cell>
          <cell r="GZ74">
            <v>0</v>
          </cell>
        </row>
        <row r="75">
          <cell r="A75" t="str">
            <v>F_CNP_NRF_RET_COL_FRCE_702</v>
          </cell>
          <cell r="B75">
            <v>5392116.54</v>
          </cell>
          <cell r="D75">
            <v>6250990.9486999996</v>
          </cell>
          <cell r="E75">
            <v>6325476.85042</v>
          </cell>
          <cell r="F75">
            <v>6250990.9486999996</v>
          </cell>
          <cell r="G75">
            <v>6250990.9486999996</v>
          </cell>
          <cell r="H75">
            <v>0</v>
          </cell>
          <cell r="I75">
            <v>0</v>
          </cell>
          <cell r="J75">
            <v>6250990.9486999996</v>
          </cell>
          <cell r="K75">
            <v>6250990.9486999996</v>
          </cell>
          <cell r="L75">
            <v>6250990.9486999996</v>
          </cell>
          <cell r="M75">
            <v>0</v>
          </cell>
          <cell r="N75">
            <v>6250990.9486999996</v>
          </cell>
          <cell r="O75">
            <v>6250990.9486999996</v>
          </cell>
          <cell r="P75">
            <v>6250990.9486999996</v>
          </cell>
          <cell r="Q75">
            <v>6250990.9486999996</v>
          </cell>
          <cell r="R75">
            <v>0</v>
          </cell>
          <cell r="S75">
            <v>6250990.9486999996</v>
          </cell>
          <cell r="T75">
            <v>6250990.9486999996</v>
          </cell>
          <cell r="U75">
            <v>6250990.9486999996</v>
          </cell>
          <cell r="V75">
            <v>6250990.9486999996</v>
          </cell>
          <cell r="W75">
            <v>6250990.9486999996</v>
          </cell>
          <cell r="X75">
            <v>6250990.9486999996</v>
          </cell>
          <cell r="Y75">
            <v>6250990.9486999996</v>
          </cell>
          <cell r="Z75">
            <v>6250990.9486999996</v>
          </cell>
          <cell r="AA75">
            <v>6250990.9486999996</v>
          </cell>
          <cell r="AB75">
            <v>6359953.35831</v>
          </cell>
          <cell r="AC75">
            <v>5934463.5082999999</v>
          </cell>
          <cell r="AD75">
            <v>0</v>
          </cell>
          <cell r="AE75">
            <v>0</v>
          </cell>
          <cell r="AF75">
            <v>5670197.2729700003</v>
          </cell>
          <cell r="AG75">
            <v>5670197.2729700003</v>
          </cell>
          <cell r="AH75">
            <v>5670197.2729700003</v>
          </cell>
          <cell r="AI75">
            <v>0</v>
          </cell>
          <cell r="AJ75">
            <v>6162899.1072699996</v>
          </cell>
          <cell r="AK75">
            <v>6162899.1072699996</v>
          </cell>
          <cell r="AL75">
            <v>6162899.1072699996</v>
          </cell>
          <cell r="AM75">
            <v>6223690.7500999998</v>
          </cell>
          <cell r="AN75">
            <v>0</v>
          </cell>
          <cell r="AO75">
            <v>5927027.59937</v>
          </cell>
          <cell r="AP75">
            <v>5927027.59937</v>
          </cell>
          <cell r="AQ75">
            <v>5927027.59937</v>
          </cell>
          <cell r="AR75">
            <v>5927027.59937</v>
          </cell>
          <cell r="AS75">
            <v>5927027.59937</v>
          </cell>
          <cell r="AT75">
            <v>5927027.59937</v>
          </cell>
          <cell r="AU75">
            <v>5927027.59937</v>
          </cell>
          <cell r="AV75">
            <v>6227079.0299300002</v>
          </cell>
          <cell r="AW75">
            <v>6250990.9486999996</v>
          </cell>
          <cell r="AX75">
            <v>6325476.85042</v>
          </cell>
          <cell r="AY75">
            <v>6325476.85042</v>
          </cell>
          <cell r="AZ75">
            <v>0</v>
          </cell>
          <cell r="BA75">
            <v>0</v>
          </cell>
          <cell r="BB75">
            <v>6325476.85042</v>
          </cell>
          <cell r="BC75">
            <v>6325476.85042</v>
          </cell>
          <cell r="BD75">
            <v>6325476.85042</v>
          </cell>
          <cell r="BE75">
            <v>0</v>
          </cell>
          <cell r="BF75">
            <v>6325476.85042</v>
          </cell>
          <cell r="BG75">
            <v>6325476.85042</v>
          </cell>
          <cell r="BH75">
            <v>6325476.85042</v>
          </cell>
          <cell r="BI75">
            <v>6325476.85042</v>
          </cell>
          <cell r="BJ75">
            <v>0</v>
          </cell>
          <cell r="BK75">
            <v>6325476.85042</v>
          </cell>
          <cell r="BL75">
            <v>6325476.85042</v>
          </cell>
          <cell r="BM75">
            <v>6325476.85042</v>
          </cell>
          <cell r="BN75">
            <v>6325476.85042</v>
          </cell>
          <cell r="BO75">
            <v>6325476.85042</v>
          </cell>
          <cell r="BP75">
            <v>6325476.85042</v>
          </cell>
          <cell r="BQ75">
            <v>6325476.85042</v>
          </cell>
          <cell r="BR75">
            <v>6325476.85042</v>
          </cell>
          <cell r="BS75">
            <v>6325476.85042</v>
          </cell>
          <cell r="BT75">
            <v>6677483.1684499998</v>
          </cell>
          <cell r="BU75">
            <v>5696476.7790299999</v>
          </cell>
          <cell r="BV75">
            <v>0</v>
          </cell>
          <cell r="BW75">
            <v>0</v>
          </cell>
          <cell r="BX75">
            <v>6270919.1957600005</v>
          </cell>
          <cell r="BY75">
            <v>6270919.1957600005</v>
          </cell>
          <cell r="BZ75">
            <v>6270919.1957600005</v>
          </cell>
          <cell r="CA75">
            <v>0</v>
          </cell>
          <cell r="CB75">
            <v>6309930.6297700005</v>
          </cell>
          <cell r="CC75">
            <v>6309930.6297700005</v>
          </cell>
          <cell r="CD75">
            <v>6309930.6297700005</v>
          </cell>
          <cell r="CE75">
            <v>6325476.8461800003</v>
          </cell>
          <cell r="CF75">
            <v>0</v>
          </cell>
          <cell r="CG75">
            <v>6315778.9178499999</v>
          </cell>
          <cell r="CH75">
            <v>6315778.9178499999</v>
          </cell>
          <cell r="CI75">
            <v>6315778.9178499999</v>
          </cell>
          <cell r="CJ75">
            <v>6315778.9178499999</v>
          </cell>
          <cell r="CK75">
            <v>6315778.9178499999</v>
          </cell>
          <cell r="CL75">
            <v>6315778.9178499999</v>
          </cell>
          <cell r="CM75">
            <v>6315778.9178499999</v>
          </cell>
          <cell r="CN75">
            <v>6325476.85042</v>
          </cell>
          <cell r="CO75">
            <v>5931309.4768500002</v>
          </cell>
          <cell r="CP75">
            <v>6325476.85042</v>
          </cell>
          <cell r="CQ75">
            <v>6325476.85042</v>
          </cell>
          <cell r="CR75">
            <v>6325476.85042</v>
          </cell>
          <cell r="CS75">
            <v>6325476.85042</v>
          </cell>
          <cell r="CT75">
            <v>6325476.85042</v>
          </cell>
          <cell r="CU75">
            <v>6325476.85042</v>
          </cell>
          <cell r="CV75">
            <v>6325476.85042</v>
          </cell>
          <cell r="CW75">
            <v>6325476.85042</v>
          </cell>
          <cell r="CX75">
            <v>6325476.85042</v>
          </cell>
          <cell r="CY75">
            <v>6325476.85042</v>
          </cell>
          <cell r="CZ75">
            <v>6325476.85042</v>
          </cell>
          <cell r="DA75">
            <v>6543046.7382100001</v>
          </cell>
          <cell r="DB75">
            <v>6325476.85042</v>
          </cell>
          <cell r="DC75">
            <v>6328040.8726399997</v>
          </cell>
          <cell r="DD75">
            <v>6325476.85042</v>
          </cell>
          <cell r="DE75">
            <v>5431372.8488699999</v>
          </cell>
          <cell r="DF75">
            <v>7219580.8519700002</v>
          </cell>
          <cell r="DG75">
            <v>6441810.0286100004</v>
          </cell>
          <cell r="DH75">
            <v>6325476.85042</v>
          </cell>
          <cell r="DI75">
            <v>6325476.85042</v>
          </cell>
          <cell r="DJ75">
            <v>0</v>
          </cell>
          <cell r="DK75">
            <v>0</v>
          </cell>
          <cell r="DL75">
            <v>0</v>
          </cell>
          <cell r="DM75">
            <v>0</v>
          </cell>
          <cell r="DN75">
            <v>0</v>
          </cell>
          <cell r="DO75">
            <v>0</v>
          </cell>
          <cell r="DP75">
            <v>0</v>
          </cell>
          <cell r="DQ75">
            <v>0</v>
          </cell>
          <cell r="DR75">
            <v>0</v>
          </cell>
          <cell r="DS75">
            <v>0</v>
          </cell>
          <cell r="DT75">
            <v>0</v>
          </cell>
          <cell r="DU75">
            <v>0</v>
          </cell>
          <cell r="DV75">
            <v>0</v>
          </cell>
          <cell r="DW75">
            <v>0</v>
          </cell>
          <cell r="DX75" t="str">
            <v/>
          </cell>
          <cell r="DY75" t="str">
            <v/>
          </cell>
          <cell r="DZ75" t="str">
            <v/>
          </cell>
          <cell r="EA75">
            <v>6325476.85042</v>
          </cell>
          <cell r="EB75">
            <v>6325476.85042</v>
          </cell>
          <cell r="EC75">
            <v>6325476.85042</v>
          </cell>
          <cell r="ED75">
            <v>6325476.85042</v>
          </cell>
          <cell r="EE75">
            <v>6325476.85042</v>
          </cell>
          <cell r="EF75">
            <v>6325476.85042</v>
          </cell>
          <cell r="EG75">
            <v>6325476.85042</v>
          </cell>
          <cell r="EH75">
            <v>6325476.85042</v>
          </cell>
          <cell r="EI75">
            <v>6325476.85042</v>
          </cell>
          <cell r="EJ75">
            <v>6325476.85042</v>
          </cell>
          <cell r="EK75">
            <v>6325476.85042</v>
          </cell>
          <cell r="EL75">
            <v>6325476.85042</v>
          </cell>
          <cell r="EM75">
            <v>6325476.85042</v>
          </cell>
          <cell r="EN75">
            <v>6325476.85042</v>
          </cell>
          <cell r="EO75">
            <v>5431372.8488699999</v>
          </cell>
          <cell r="EP75">
            <v>7219580.8519700002</v>
          </cell>
          <cell r="EQ75">
            <v>6325476.85042</v>
          </cell>
          <cell r="ER75">
            <v>6325476.85042</v>
          </cell>
          <cell r="ES75">
            <v>0</v>
          </cell>
          <cell r="ET75">
            <v>0</v>
          </cell>
          <cell r="EU75">
            <v>0</v>
          </cell>
          <cell r="EV75">
            <v>0</v>
          </cell>
          <cell r="EW75">
            <v>0</v>
          </cell>
          <cell r="EX75">
            <v>0</v>
          </cell>
          <cell r="EY75">
            <v>0</v>
          </cell>
          <cell r="EZ75">
            <v>0</v>
          </cell>
          <cell r="FA75">
            <v>0</v>
          </cell>
          <cell r="FB75">
            <v>0</v>
          </cell>
          <cell r="FC75">
            <v>0</v>
          </cell>
          <cell r="FD75">
            <v>894104.0039400002</v>
          </cell>
          <cell r="FE75">
            <v>5431372.8488699999</v>
          </cell>
          <cell r="FF75">
            <v>6566115.2764299996</v>
          </cell>
          <cell r="FG75">
            <v>5871513.7240300002</v>
          </cell>
          <cell r="FH75">
            <v>0</v>
          </cell>
          <cell r="FI75">
            <v>0</v>
          </cell>
          <cell r="FJ75">
            <v>5908114.0752800005</v>
          </cell>
          <cell r="FK75">
            <v>5908114.0752800005</v>
          </cell>
          <cell r="FL75">
            <v>5908114.0752800005</v>
          </cell>
          <cell r="FM75">
            <v>0</v>
          </cell>
          <cell r="FN75">
            <v>6242268.6764200004</v>
          </cell>
          <cell r="FO75">
            <v>6242268.6764200004</v>
          </cell>
          <cell r="FP75">
            <v>6242268.6764200004</v>
          </cell>
          <cell r="FQ75">
            <v>6309621.1196299996</v>
          </cell>
          <cell r="FR75">
            <v>0</v>
          </cell>
          <cell r="FS75">
            <v>6149444.8379600001</v>
          </cell>
          <cell r="FT75">
            <v>6149444.8379600001</v>
          </cell>
          <cell r="FU75">
            <v>6149444.8379600001</v>
          </cell>
          <cell r="FV75">
            <v>6149444.8379600001</v>
          </cell>
          <cell r="FW75">
            <v>6149444.8379600001</v>
          </cell>
          <cell r="FX75">
            <v>6149444.8379600001</v>
          </cell>
          <cell r="FY75">
            <v>6149444.8379600001</v>
          </cell>
          <cell r="FZ75">
            <v>6307107.5499200001</v>
          </cell>
          <cell r="GA75">
            <v>5878196.7245199997</v>
          </cell>
          <cell r="GB75">
            <v>6325476.85042</v>
          </cell>
          <cell r="GC75">
            <v>6517840.7632900001</v>
          </cell>
          <cell r="GD75">
            <v>6325476.8532100003</v>
          </cell>
          <cell r="GE75">
            <v>6325687.5876200004</v>
          </cell>
          <cell r="GF75">
            <v>6325476.85042</v>
          </cell>
          <cell r="GG75">
            <v>6325476.85042</v>
          </cell>
          <cell r="GH75">
            <v>6325476.85042</v>
          </cell>
          <cell r="GI75">
            <v>6464652.6693099998</v>
          </cell>
          <cell r="GJ75">
            <v>6325476.8531900002</v>
          </cell>
          <cell r="GK75">
            <v>6325476.85042</v>
          </cell>
          <cell r="GL75">
            <v>6325476.85042</v>
          </cell>
          <cell r="GM75">
            <v>6325476.85042</v>
          </cell>
          <cell r="GN75">
            <v>6325476.85042</v>
          </cell>
          <cell r="GO75">
            <v>6325476.85042</v>
          </cell>
          <cell r="GP75">
            <v>6325476.85042</v>
          </cell>
          <cell r="GQ75">
            <v>6325476.85042</v>
          </cell>
          <cell r="GR75">
            <v>6325476.85042</v>
          </cell>
          <cell r="GS75">
            <v>6325476.85042</v>
          </cell>
          <cell r="GT75">
            <v>6325476.85042</v>
          </cell>
          <cell r="GU75">
            <v>0</v>
          </cell>
          <cell r="GZ75">
            <v>0</v>
          </cell>
        </row>
        <row r="76">
          <cell r="A76" t="str">
            <v>F_CNP_NRF_RET_COL_FRCE_210</v>
          </cell>
          <cell r="B76">
            <v>18953902.818289999</v>
          </cell>
          <cell r="D76">
            <v>21946874.884539999</v>
          </cell>
          <cell r="E76">
            <v>22043432.04135</v>
          </cell>
          <cell r="F76">
            <v>21946874.884539999</v>
          </cell>
          <cell r="G76">
            <v>21946874.884539999</v>
          </cell>
          <cell r="H76">
            <v>0</v>
          </cell>
          <cell r="I76">
            <v>0</v>
          </cell>
          <cell r="J76">
            <v>21946874.884539999</v>
          </cell>
          <cell r="K76">
            <v>21946874.884539999</v>
          </cell>
          <cell r="L76">
            <v>21946874.884539999</v>
          </cell>
          <cell r="M76">
            <v>0</v>
          </cell>
          <cell r="N76">
            <v>21946874.884539999</v>
          </cell>
          <cell r="O76">
            <v>21946874.884539999</v>
          </cell>
          <cell r="P76">
            <v>21946874.884539999</v>
          </cell>
          <cell r="Q76">
            <v>21946874.884539999</v>
          </cell>
          <cell r="R76">
            <v>0</v>
          </cell>
          <cell r="S76">
            <v>21946874.884539999</v>
          </cell>
          <cell r="T76">
            <v>21946874.884539999</v>
          </cell>
          <cell r="U76">
            <v>21946874.884539999</v>
          </cell>
          <cell r="V76">
            <v>21946874.884539999</v>
          </cell>
          <cell r="W76">
            <v>21946874.884539999</v>
          </cell>
          <cell r="X76">
            <v>21946874.884539999</v>
          </cell>
          <cell r="Y76">
            <v>21946874.884539999</v>
          </cell>
          <cell r="Z76">
            <v>21946874.884539999</v>
          </cell>
          <cell r="AA76">
            <v>21946874.884539999</v>
          </cell>
          <cell r="AB76">
            <v>22326582.842939999</v>
          </cell>
          <cell r="AC76">
            <v>20843852.396359999</v>
          </cell>
          <cell r="AD76">
            <v>0</v>
          </cell>
          <cell r="AE76">
            <v>0</v>
          </cell>
          <cell r="AF76">
            <v>19922947.718830001</v>
          </cell>
          <cell r="AG76">
            <v>19922947.718830001</v>
          </cell>
          <cell r="AH76">
            <v>19922947.718830001</v>
          </cell>
          <cell r="AI76">
            <v>0</v>
          </cell>
          <cell r="AJ76">
            <v>21639895.868749999</v>
          </cell>
          <cell r="AK76">
            <v>21639895.868749999</v>
          </cell>
          <cell r="AL76">
            <v>21639895.868749999</v>
          </cell>
          <cell r="AM76">
            <v>21851740.216430001</v>
          </cell>
          <cell r="AN76">
            <v>0</v>
          </cell>
          <cell r="AO76">
            <v>20817940.030710001</v>
          </cell>
          <cell r="AP76">
            <v>20817940.030710001</v>
          </cell>
          <cell r="AQ76">
            <v>20817940.030710001</v>
          </cell>
          <cell r="AR76">
            <v>20817940.030710001</v>
          </cell>
          <cell r="AS76">
            <v>20817940.030710001</v>
          </cell>
          <cell r="AT76">
            <v>20817940.030710001</v>
          </cell>
          <cell r="AU76">
            <v>20817940.030710001</v>
          </cell>
          <cell r="AV76">
            <v>21863547.561949998</v>
          </cell>
          <cell r="AW76">
            <v>21946874.884539999</v>
          </cell>
          <cell r="AX76">
            <v>22043432.04135</v>
          </cell>
          <cell r="AY76">
            <v>22043432.04135</v>
          </cell>
          <cell r="AZ76">
            <v>0</v>
          </cell>
          <cell r="BA76">
            <v>0</v>
          </cell>
          <cell r="BB76">
            <v>22043432.04135</v>
          </cell>
          <cell r="BC76">
            <v>22043432.04135</v>
          </cell>
          <cell r="BD76">
            <v>22043432.04135</v>
          </cell>
          <cell r="BE76">
            <v>0</v>
          </cell>
          <cell r="BF76">
            <v>22043432.04135</v>
          </cell>
          <cell r="BG76">
            <v>22043432.04135</v>
          </cell>
          <cell r="BH76">
            <v>22043432.04135</v>
          </cell>
          <cell r="BI76">
            <v>22043432.04135</v>
          </cell>
          <cell r="BJ76">
            <v>0</v>
          </cell>
          <cell r="BK76">
            <v>22043432.04135</v>
          </cell>
          <cell r="BL76">
            <v>22043432.04135</v>
          </cell>
          <cell r="BM76">
            <v>22043432.04135</v>
          </cell>
          <cell r="BN76">
            <v>22043432.04135</v>
          </cell>
          <cell r="BO76">
            <v>22043432.04135</v>
          </cell>
          <cell r="BP76">
            <v>22043432.04135</v>
          </cell>
          <cell r="BQ76">
            <v>22043432.04135</v>
          </cell>
          <cell r="BR76">
            <v>22043432.04135</v>
          </cell>
          <cell r="BS76">
            <v>22043432.04135</v>
          </cell>
          <cell r="BT76">
            <v>23270141.271169998</v>
          </cell>
          <cell r="BU76">
            <v>19851433.042179998</v>
          </cell>
          <cell r="BV76">
            <v>0</v>
          </cell>
          <cell r="BW76">
            <v>0</v>
          </cell>
          <cell r="BX76">
            <v>21853311.675389998</v>
          </cell>
          <cell r="BY76">
            <v>21853311.675389998</v>
          </cell>
          <cell r="BZ76">
            <v>21853311.675389998</v>
          </cell>
          <cell r="CA76">
            <v>0</v>
          </cell>
          <cell r="CB76">
            <v>21989257.183929998</v>
          </cell>
          <cell r="CC76">
            <v>21989257.183929998</v>
          </cell>
          <cell r="CD76">
            <v>21989257.183929998</v>
          </cell>
          <cell r="CE76">
            <v>22043432.02657</v>
          </cell>
          <cell r="CF76">
            <v>0</v>
          </cell>
          <cell r="CG76">
            <v>22009637.06789</v>
          </cell>
          <cell r="CH76">
            <v>22009637.06789</v>
          </cell>
          <cell r="CI76">
            <v>22009637.06789</v>
          </cell>
          <cell r="CJ76">
            <v>22009637.06789</v>
          </cell>
          <cell r="CK76">
            <v>22009637.06789</v>
          </cell>
          <cell r="CL76">
            <v>22009637.06789</v>
          </cell>
          <cell r="CM76">
            <v>22009637.06789</v>
          </cell>
          <cell r="CN76">
            <v>22043432.04135</v>
          </cell>
          <cell r="CO76">
            <v>20669852.939939998</v>
          </cell>
          <cell r="CP76">
            <v>22043432.04135</v>
          </cell>
          <cell r="CQ76">
            <v>22043432.04135</v>
          </cell>
          <cell r="CR76">
            <v>22043432.04135</v>
          </cell>
          <cell r="CS76">
            <v>22043432.04135</v>
          </cell>
          <cell r="CT76">
            <v>22043432.04135</v>
          </cell>
          <cell r="CU76">
            <v>22043432.04135</v>
          </cell>
          <cell r="CV76">
            <v>22043432.04135</v>
          </cell>
          <cell r="CW76">
            <v>22043432.04135</v>
          </cell>
          <cell r="CX76">
            <v>22043432.04135</v>
          </cell>
          <cell r="CY76">
            <v>22043432.04135</v>
          </cell>
          <cell r="CZ76">
            <v>22043432.04135</v>
          </cell>
          <cell r="DA76">
            <v>22801614.69018</v>
          </cell>
          <cell r="DB76">
            <v>22043432.04135</v>
          </cell>
          <cell r="DC76">
            <v>22052366.56061</v>
          </cell>
          <cell r="DD76">
            <v>22043432.04135</v>
          </cell>
          <cell r="DE76">
            <v>18927667.504110001</v>
          </cell>
          <cell r="DF76">
            <v>25159196.578589998</v>
          </cell>
          <cell r="DG76">
            <v>22448825.366829999</v>
          </cell>
          <cell r="DH76">
            <v>22043432.04135</v>
          </cell>
          <cell r="DI76">
            <v>22043432.04135</v>
          </cell>
          <cell r="DJ76">
            <v>0</v>
          </cell>
          <cell r="DK76">
            <v>0</v>
          </cell>
          <cell r="DL76">
            <v>0</v>
          </cell>
          <cell r="DM76">
            <v>0</v>
          </cell>
          <cell r="DN76">
            <v>0</v>
          </cell>
          <cell r="DO76">
            <v>0</v>
          </cell>
          <cell r="DP76">
            <v>0</v>
          </cell>
          <cell r="DQ76">
            <v>0</v>
          </cell>
          <cell r="DR76">
            <v>0</v>
          </cell>
          <cell r="DS76">
            <v>0</v>
          </cell>
          <cell r="DT76">
            <v>0</v>
          </cell>
          <cell r="DU76">
            <v>0</v>
          </cell>
          <cell r="DV76">
            <v>0</v>
          </cell>
          <cell r="DW76">
            <v>0</v>
          </cell>
          <cell r="DX76" t="str">
            <v/>
          </cell>
          <cell r="DY76" t="str">
            <v/>
          </cell>
          <cell r="DZ76" t="str">
            <v/>
          </cell>
          <cell r="EA76">
            <v>22043432.04135</v>
          </cell>
          <cell r="EB76">
            <v>22043432.04135</v>
          </cell>
          <cell r="EC76">
            <v>22043432.04135</v>
          </cell>
          <cell r="ED76">
            <v>22043432.04135</v>
          </cell>
          <cell r="EE76">
            <v>22043432.04135</v>
          </cell>
          <cell r="EF76">
            <v>22043432.04135</v>
          </cell>
          <cell r="EG76">
            <v>22043432.04135</v>
          </cell>
          <cell r="EH76">
            <v>22043432.04135</v>
          </cell>
          <cell r="EI76">
            <v>22043432.04135</v>
          </cell>
          <cell r="EJ76">
            <v>22043432.04135</v>
          </cell>
          <cell r="EK76">
            <v>22043432.04135</v>
          </cell>
          <cell r="EL76">
            <v>22043432.04135</v>
          </cell>
          <cell r="EM76">
            <v>22043432.04135</v>
          </cell>
          <cell r="EN76">
            <v>22043432.04135</v>
          </cell>
          <cell r="EO76">
            <v>18927667.504110001</v>
          </cell>
          <cell r="EP76">
            <v>25159196.578589998</v>
          </cell>
          <cell r="EQ76">
            <v>22043432.04135</v>
          </cell>
          <cell r="ER76">
            <v>22043432.04135</v>
          </cell>
          <cell r="ES76">
            <v>0</v>
          </cell>
          <cell r="ET76">
            <v>0</v>
          </cell>
          <cell r="EU76">
            <v>0</v>
          </cell>
          <cell r="EV76">
            <v>0</v>
          </cell>
          <cell r="EW76">
            <v>0</v>
          </cell>
          <cell r="EX76">
            <v>0</v>
          </cell>
          <cell r="EY76">
            <v>0</v>
          </cell>
          <cell r="EZ76">
            <v>0</v>
          </cell>
          <cell r="FA76">
            <v>0</v>
          </cell>
          <cell r="FB76">
            <v>0</v>
          </cell>
          <cell r="FC76">
            <v>0</v>
          </cell>
          <cell r="FD76">
            <v>3115764.5455699973</v>
          </cell>
          <cell r="FE76">
            <v>18927667.504110001</v>
          </cell>
          <cell r="FF76">
            <v>22882049.101509999</v>
          </cell>
          <cell r="FG76">
            <v>20461394.881420001</v>
          </cell>
          <cell r="FH76">
            <v>0</v>
          </cell>
          <cell r="FI76">
            <v>0</v>
          </cell>
          <cell r="FJ76">
            <v>20589016.489709999</v>
          </cell>
          <cell r="FK76">
            <v>20589016.489709999</v>
          </cell>
          <cell r="FL76">
            <v>20589016.489709999</v>
          </cell>
          <cell r="FM76">
            <v>0</v>
          </cell>
          <cell r="FN76">
            <v>21753470.72146</v>
          </cell>
          <cell r="FO76">
            <v>21753470.72146</v>
          </cell>
          <cell r="FP76">
            <v>21753470.72146</v>
          </cell>
          <cell r="FQ76">
            <v>21988178.2742</v>
          </cell>
          <cell r="FR76">
            <v>0</v>
          </cell>
          <cell r="FS76">
            <v>21429999.215100002</v>
          </cell>
          <cell r="FT76">
            <v>21429999.215100002</v>
          </cell>
          <cell r="FU76">
            <v>21429999.215100002</v>
          </cell>
          <cell r="FV76">
            <v>21429999.215100002</v>
          </cell>
          <cell r="FW76">
            <v>21429999.215100002</v>
          </cell>
          <cell r="FX76">
            <v>21429999.215100002</v>
          </cell>
          <cell r="FY76">
            <v>21429999.215100002</v>
          </cell>
          <cell r="FZ76">
            <v>21979418.73542</v>
          </cell>
          <cell r="GA76">
            <v>20484767.690609999</v>
          </cell>
          <cell r="GB76">
            <v>22043432.04135</v>
          </cell>
          <cell r="GC76">
            <v>22713775.07753</v>
          </cell>
          <cell r="GD76">
            <v>22043432.051100001</v>
          </cell>
          <cell r="GE76">
            <v>22044165.901140001</v>
          </cell>
          <cell r="GF76">
            <v>22043432.04135</v>
          </cell>
          <cell r="GG76">
            <v>22043432.04135</v>
          </cell>
          <cell r="GH76">
            <v>22043432.04135</v>
          </cell>
          <cell r="GI76">
            <v>22528426.510910001</v>
          </cell>
          <cell r="GJ76">
            <v>22043432.050999999</v>
          </cell>
          <cell r="GK76">
            <v>22043432.04135</v>
          </cell>
          <cell r="GL76">
            <v>22043432.04135</v>
          </cell>
          <cell r="GM76">
            <v>22043432.04135</v>
          </cell>
          <cell r="GN76">
            <v>22043432.04135</v>
          </cell>
          <cell r="GO76">
            <v>22043432.04135</v>
          </cell>
          <cell r="GP76">
            <v>22043432.04135</v>
          </cell>
          <cell r="GQ76">
            <v>22043432.04135</v>
          </cell>
          <cell r="GR76">
            <v>22043432.04135</v>
          </cell>
          <cell r="GS76">
            <v>22043432.04135</v>
          </cell>
          <cell r="GT76">
            <v>22043432.04135</v>
          </cell>
          <cell r="GU76">
            <v>0</v>
          </cell>
          <cell r="GZ76">
            <v>0</v>
          </cell>
        </row>
        <row r="77">
          <cell r="A77" t="str">
            <v>F_CNP_NRF_RET_COL_FRCE_120</v>
          </cell>
          <cell r="B77">
            <v>825943.75454999809</v>
          </cell>
          <cell r="D77">
            <v>957246.46432999824</v>
          </cell>
          <cell r="E77">
            <v>992806.39674999844</v>
          </cell>
          <cell r="F77">
            <v>957246.46432999824</v>
          </cell>
          <cell r="G77">
            <v>957246.46432999824</v>
          </cell>
          <cell r="H77">
            <v>0</v>
          </cell>
          <cell r="I77">
            <v>0</v>
          </cell>
          <cell r="J77">
            <v>957246.46432999824</v>
          </cell>
          <cell r="K77">
            <v>957246.46432999824</v>
          </cell>
          <cell r="L77">
            <v>957246.46432999824</v>
          </cell>
          <cell r="M77">
            <v>0</v>
          </cell>
          <cell r="N77">
            <v>957246.46432999824</v>
          </cell>
          <cell r="O77">
            <v>957246.46432999824</v>
          </cell>
          <cell r="P77">
            <v>957246.46432999824</v>
          </cell>
          <cell r="Q77">
            <v>957246.46432999824</v>
          </cell>
          <cell r="R77">
            <v>0</v>
          </cell>
          <cell r="S77">
            <v>957246.46432999824</v>
          </cell>
          <cell r="T77">
            <v>957246.46432999824</v>
          </cell>
          <cell r="U77">
            <v>957246.46432999824</v>
          </cell>
          <cell r="V77">
            <v>957246.46432999824</v>
          </cell>
          <cell r="W77">
            <v>957246.46432999824</v>
          </cell>
          <cell r="X77">
            <v>957246.46432999824</v>
          </cell>
          <cell r="Y77">
            <v>957246.46432999824</v>
          </cell>
          <cell r="Z77">
            <v>957246.46432999824</v>
          </cell>
          <cell r="AA77">
            <v>957246.46432999824</v>
          </cell>
          <cell r="AB77">
            <v>973829.48549999786</v>
          </cell>
          <cell r="AC77">
            <v>908923.01260999823</v>
          </cell>
          <cell r="AD77">
            <v>0</v>
          </cell>
          <cell r="AE77">
            <v>0</v>
          </cell>
          <cell r="AF77">
            <v>869003.48175999802</v>
          </cell>
          <cell r="AG77">
            <v>869003.48175999802</v>
          </cell>
          <cell r="AH77">
            <v>869003.48175999802</v>
          </cell>
          <cell r="AI77">
            <v>0</v>
          </cell>
          <cell r="AJ77">
            <v>943873.0023799981</v>
          </cell>
          <cell r="AK77">
            <v>943873.0023799981</v>
          </cell>
          <cell r="AL77">
            <v>943873.0023799981</v>
          </cell>
          <cell r="AM77">
            <v>953124.65799999796</v>
          </cell>
          <cell r="AN77">
            <v>0</v>
          </cell>
          <cell r="AO77">
            <v>907760.73782999814</v>
          </cell>
          <cell r="AP77">
            <v>907760.73782999814</v>
          </cell>
          <cell r="AQ77">
            <v>907760.73782999814</v>
          </cell>
          <cell r="AR77">
            <v>907760.73782999814</v>
          </cell>
          <cell r="AS77">
            <v>907760.73782999814</v>
          </cell>
          <cell r="AT77">
            <v>907760.73782999814</v>
          </cell>
          <cell r="AU77">
            <v>907760.73782999814</v>
          </cell>
          <cell r="AV77">
            <v>953603.17263999814</v>
          </cell>
          <cell r="AW77">
            <v>957246.46432999824</v>
          </cell>
          <cell r="AX77">
            <v>992806.39674999844</v>
          </cell>
          <cell r="AY77">
            <v>992806.39674999844</v>
          </cell>
          <cell r="AZ77">
            <v>0</v>
          </cell>
          <cell r="BA77">
            <v>0</v>
          </cell>
          <cell r="BB77">
            <v>992806.39674999844</v>
          </cell>
          <cell r="BC77">
            <v>992806.39674999844</v>
          </cell>
          <cell r="BD77">
            <v>992806.39674999844</v>
          </cell>
          <cell r="BE77">
            <v>0</v>
          </cell>
          <cell r="BF77">
            <v>992806.39674999844</v>
          </cell>
          <cell r="BG77">
            <v>992806.39674999844</v>
          </cell>
          <cell r="BH77">
            <v>992806.39674999844</v>
          </cell>
          <cell r="BI77">
            <v>992806.39674999844</v>
          </cell>
          <cell r="BJ77">
            <v>0</v>
          </cell>
          <cell r="BK77">
            <v>992806.39674999844</v>
          </cell>
          <cell r="BL77">
            <v>992806.39674999844</v>
          </cell>
          <cell r="BM77">
            <v>992806.39674999844</v>
          </cell>
          <cell r="BN77">
            <v>992806.39674999844</v>
          </cell>
          <cell r="BO77">
            <v>992806.39674999844</v>
          </cell>
          <cell r="BP77">
            <v>992806.39674999844</v>
          </cell>
          <cell r="BQ77">
            <v>992806.39674999844</v>
          </cell>
          <cell r="BR77">
            <v>992806.39674999844</v>
          </cell>
          <cell r="BS77">
            <v>992806.39674999844</v>
          </cell>
          <cell r="BT77">
            <v>1047738.7660199986</v>
          </cell>
          <cell r="BU77">
            <v>894403.35053999932</v>
          </cell>
          <cell r="BV77">
            <v>0</v>
          </cell>
          <cell r="BW77">
            <v>0</v>
          </cell>
          <cell r="BX77">
            <v>984256.60178999882</v>
          </cell>
          <cell r="BY77">
            <v>984256.60178999882</v>
          </cell>
          <cell r="BZ77">
            <v>984256.60178999882</v>
          </cell>
          <cell r="CA77">
            <v>0</v>
          </cell>
          <cell r="CB77">
            <v>990370.13355999859</v>
          </cell>
          <cell r="CC77">
            <v>990370.13355999859</v>
          </cell>
          <cell r="CD77">
            <v>990370.13355999859</v>
          </cell>
          <cell r="CE77">
            <v>992806.39607999893</v>
          </cell>
          <cell r="CF77">
            <v>0</v>
          </cell>
          <cell r="CG77">
            <v>991286.62469999865</v>
          </cell>
          <cell r="CH77">
            <v>991286.62469999865</v>
          </cell>
          <cell r="CI77">
            <v>991286.62469999865</v>
          </cell>
          <cell r="CJ77">
            <v>991286.62469999865</v>
          </cell>
          <cell r="CK77">
            <v>991286.62469999865</v>
          </cell>
          <cell r="CL77">
            <v>991286.62469999865</v>
          </cell>
          <cell r="CM77">
            <v>991286.62469999865</v>
          </cell>
          <cell r="CN77">
            <v>992806.39674999844</v>
          </cell>
          <cell r="CO77">
            <v>901277.28654999891</v>
          </cell>
          <cell r="CP77">
            <v>992806.39674999844</v>
          </cell>
          <cell r="CQ77">
            <v>992806.39674999844</v>
          </cell>
          <cell r="CR77">
            <v>992806.39674999844</v>
          </cell>
          <cell r="CS77">
            <v>992806.39674999844</v>
          </cell>
          <cell r="CT77">
            <v>992806.39674999844</v>
          </cell>
          <cell r="CU77">
            <v>992806.39674999844</v>
          </cell>
          <cell r="CV77">
            <v>992806.39674999844</v>
          </cell>
          <cell r="CW77">
            <v>992806.39674999844</v>
          </cell>
          <cell r="CX77">
            <v>992806.39674999844</v>
          </cell>
          <cell r="CY77">
            <v>992806.39674999844</v>
          </cell>
          <cell r="CZ77">
            <v>1032042.9384199989</v>
          </cell>
          <cell r="DA77">
            <v>1090769.3309499985</v>
          </cell>
          <cell r="DB77">
            <v>992806.39674999844</v>
          </cell>
          <cell r="DC77">
            <v>993960.75859999843</v>
          </cell>
          <cell r="DD77">
            <v>994090.09954999853</v>
          </cell>
          <cell r="DE77">
            <v>852096.15994999791</v>
          </cell>
          <cell r="DF77">
            <v>1133516.633549999</v>
          </cell>
          <cell r="DG77">
            <v>1019819.9716499986</v>
          </cell>
          <cell r="DH77">
            <v>992806.39674999844</v>
          </cell>
          <cell r="DI77">
            <v>993112.80711999838</v>
          </cell>
          <cell r="DJ77">
            <v>0</v>
          </cell>
          <cell r="DK77">
            <v>0</v>
          </cell>
          <cell r="DL77">
            <v>0</v>
          </cell>
          <cell r="DM77">
            <v>0</v>
          </cell>
          <cell r="DN77">
            <v>0</v>
          </cell>
          <cell r="DO77">
            <v>0</v>
          </cell>
          <cell r="DP77">
            <v>0</v>
          </cell>
          <cell r="DQ77">
            <v>0</v>
          </cell>
          <cell r="DR77">
            <v>0</v>
          </cell>
          <cell r="DS77">
            <v>0</v>
          </cell>
          <cell r="DT77">
            <v>0</v>
          </cell>
          <cell r="DU77">
            <v>0</v>
          </cell>
          <cell r="DV77">
            <v>0</v>
          </cell>
          <cell r="DW77">
            <v>0</v>
          </cell>
          <cell r="DX77" t="str">
            <v/>
          </cell>
          <cell r="DY77" t="str">
            <v/>
          </cell>
          <cell r="DZ77" t="str">
            <v/>
          </cell>
          <cell r="EA77">
            <v>992806.39674999844</v>
          </cell>
          <cell r="EB77">
            <v>992806.39674999844</v>
          </cell>
          <cell r="EC77">
            <v>992806.39674999844</v>
          </cell>
          <cell r="ED77">
            <v>992806.39674999844</v>
          </cell>
          <cell r="EE77">
            <v>992806.39674999844</v>
          </cell>
          <cell r="EF77">
            <v>992806.39674999844</v>
          </cell>
          <cell r="EG77">
            <v>992806.39674999844</v>
          </cell>
          <cell r="EH77">
            <v>992806.39674999844</v>
          </cell>
          <cell r="EI77">
            <v>992806.39674999844</v>
          </cell>
          <cell r="EJ77">
            <v>992806.39674999844</v>
          </cell>
          <cell r="EK77">
            <v>992806.39674999844</v>
          </cell>
          <cell r="EL77">
            <v>992806.39674999844</v>
          </cell>
          <cell r="EM77">
            <v>992806.39674999844</v>
          </cell>
          <cell r="EN77">
            <v>992806.39674999844</v>
          </cell>
          <cell r="EO77">
            <v>852096.15994999791</v>
          </cell>
          <cell r="EP77">
            <v>1133516.633549999</v>
          </cell>
          <cell r="EQ77">
            <v>992806.39674999844</v>
          </cell>
          <cell r="ER77">
            <v>992806.39674999844</v>
          </cell>
          <cell r="ES77">
            <v>0</v>
          </cell>
          <cell r="ET77">
            <v>0</v>
          </cell>
          <cell r="EU77">
            <v>0</v>
          </cell>
          <cell r="EV77">
            <v>0</v>
          </cell>
          <cell r="EW77">
            <v>0</v>
          </cell>
          <cell r="EX77">
            <v>0</v>
          </cell>
          <cell r="EY77">
            <v>0</v>
          </cell>
          <cell r="EZ77">
            <v>0</v>
          </cell>
          <cell r="FA77">
            <v>0</v>
          </cell>
          <cell r="FB77">
            <v>0</v>
          </cell>
          <cell r="FC77">
            <v>0</v>
          </cell>
          <cell r="FD77">
            <v>140710.23713000026</v>
          </cell>
          <cell r="FE77">
            <v>852096.15994999791</v>
          </cell>
          <cell r="FF77">
            <v>1030596.4315799982</v>
          </cell>
          <cell r="FG77">
            <v>921173.37776999827</v>
          </cell>
          <cell r="FH77">
            <v>0</v>
          </cell>
          <cell r="FI77">
            <v>0</v>
          </cell>
          <cell r="FJ77">
            <v>927006.37394999806</v>
          </cell>
          <cell r="FK77">
            <v>927006.37394999806</v>
          </cell>
          <cell r="FL77">
            <v>927006.37394999806</v>
          </cell>
          <cell r="FM77">
            <v>0</v>
          </cell>
          <cell r="FN77">
            <v>979672.35378999799</v>
          </cell>
          <cell r="FO77">
            <v>979672.35378999799</v>
          </cell>
          <cell r="FP77">
            <v>979672.35378999799</v>
          </cell>
          <cell r="FQ77">
            <v>990364.05584999803</v>
          </cell>
          <cell r="FR77">
            <v>0</v>
          </cell>
          <cell r="FS77">
            <v>964810.45696999808</v>
          </cell>
          <cell r="FT77">
            <v>964810.45696999808</v>
          </cell>
          <cell r="FU77">
            <v>964810.45696999808</v>
          </cell>
          <cell r="FV77">
            <v>964810.45696999808</v>
          </cell>
          <cell r="FW77">
            <v>964810.45696999808</v>
          </cell>
          <cell r="FX77">
            <v>964810.45696999808</v>
          </cell>
          <cell r="FY77">
            <v>964810.45696999808</v>
          </cell>
          <cell r="FZ77">
            <v>989936.53626999818</v>
          </cell>
          <cell r="GA77">
            <v>888944.04110999824</v>
          </cell>
          <cell r="GB77">
            <v>1023273.8746899983</v>
          </cell>
          <cell r="GC77">
            <v>1079419.5810299981</v>
          </cell>
          <cell r="GD77">
            <v>992806.39712999808</v>
          </cell>
          <cell r="GE77">
            <v>992901.17265999829</v>
          </cell>
          <cell r="GF77">
            <v>993083.7420099983</v>
          </cell>
          <cell r="GG77">
            <v>1008313.2110599983</v>
          </cell>
          <cell r="GH77">
            <v>992806.39674999844</v>
          </cell>
          <cell r="GI77">
            <v>1025124.1437299983</v>
          </cell>
          <cell r="GJ77">
            <v>992806.39712999808</v>
          </cell>
          <cell r="GK77">
            <v>993097.03055999824</v>
          </cell>
          <cell r="GL77">
            <v>992806.39674999844</v>
          </cell>
          <cell r="GM77">
            <v>992806.39674999844</v>
          </cell>
          <cell r="GN77">
            <v>992806.39674999844</v>
          </cell>
          <cell r="GO77">
            <v>992806.39674999844</v>
          </cell>
          <cell r="GP77">
            <v>992806.39674999844</v>
          </cell>
          <cell r="GQ77">
            <v>992806.39674999844</v>
          </cell>
          <cell r="GR77">
            <v>992806.39674999844</v>
          </cell>
          <cell r="GS77">
            <v>992806.39674999844</v>
          </cell>
          <cell r="GT77">
            <v>992806.39674999844</v>
          </cell>
          <cell r="GU77">
            <v>0</v>
          </cell>
          <cell r="GZ77">
            <v>0</v>
          </cell>
        </row>
        <row r="78">
          <cell r="A78" t="str">
            <v>F_CNP_NRF_RET_COL_FRCE_233</v>
          </cell>
          <cell r="B78">
            <v>554882182.22013009</v>
          </cell>
          <cell r="D78">
            <v>559602726.54937994</v>
          </cell>
          <cell r="E78">
            <v>563647970.35942996</v>
          </cell>
          <cell r="F78">
            <v>559602726.54937994</v>
          </cell>
          <cell r="G78">
            <v>559602726.54937994</v>
          </cell>
          <cell r="H78">
            <v>0</v>
          </cell>
          <cell r="I78">
            <v>0</v>
          </cell>
          <cell r="J78">
            <v>559602726.54937994</v>
          </cell>
          <cell r="K78">
            <v>559602726.54937994</v>
          </cell>
          <cell r="L78">
            <v>559602726.54937994</v>
          </cell>
          <cell r="M78">
            <v>0</v>
          </cell>
          <cell r="N78">
            <v>559602726.54937994</v>
          </cell>
          <cell r="O78">
            <v>559602726.54937994</v>
          </cell>
          <cell r="P78">
            <v>559602726.54937994</v>
          </cell>
          <cell r="Q78">
            <v>559602726.54937994</v>
          </cell>
          <cell r="R78">
            <v>0</v>
          </cell>
          <cell r="S78">
            <v>559602726.54937994</v>
          </cell>
          <cell r="T78">
            <v>559602726.54937994</v>
          </cell>
          <cell r="U78">
            <v>559602726.54937994</v>
          </cell>
          <cell r="V78">
            <v>559602726.54937994</v>
          </cell>
          <cell r="W78">
            <v>559602726.54937994</v>
          </cell>
          <cell r="X78">
            <v>559602726.54937994</v>
          </cell>
          <cell r="Y78">
            <v>559602726.54937994</v>
          </cell>
          <cell r="Z78">
            <v>559602726.54937994</v>
          </cell>
          <cell r="AA78">
            <v>559602726.54937994</v>
          </cell>
          <cell r="AB78">
            <v>560519476.54111993</v>
          </cell>
          <cell r="AC78">
            <v>550973520.49978995</v>
          </cell>
          <cell r="AD78">
            <v>0</v>
          </cell>
          <cell r="AE78">
            <v>0</v>
          </cell>
          <cell r="AF78">
            <v>424304830.41626</v>
          </cell>
          <cell r="AG78">
            <v>424304830.41626</v>
          </cell>
          <cell r="AH78">
            <v>424304830.41626</v>
          </cell>
          <cell r="AI78">
            <v>0</v>
          </cell>
          <cell r="AJ78">
            <v>521048935.90380996</v>
          </cell>
          <cell r="AK78">
            <v>521048935.90380996</v>
          </cell>
          <cell r="AL78">
            <v>521048935.90380996</v>
          </cell>
          <cell r="AM78">
            <v>559602716.03241003</v>
          </cell>
          <cell r="AN78">
            <v>0</v>
          </cell>
          <cell r="AO78">
            <v>535552313.05458993</v>
          </cell>
          <cell r="AP78">
            <v>535552313.05458993</v>
          </cell>
          <cell r="AQ78">
            <v>535552313.05458993</v>
          </cell>
          <cell r="AR78">
            <v>535552313.05458993</v>
          </cell>
          <cell r="AS78">
            <v>535552313.05458993</v>
          </cell>
          <cell r="AT78">
            <v>535552313.05458993</v>
          </cell>
          <cell r="AU78">
            <v>535552313.05458993</v>
          </cell>
          <cell r="AV78">
            <v>559602726.54937994</v>
          </cell>
          <cell r="AW78">
            <v>559602726.54937994</v>
          </cell>
          <cell r="AX78">
            <v>563647970.35942996</v>
          </cell>
          <cell r="AY78">
            <v>563647970.35942996</v>
          </cell>
          <cell r="AZ78">
            <v>0</v>
          </cell>
          <cell r="BA78">
            <v>0</v>
          </cell>
          <cell r="BB78">
            <v>563647970.35942996</v>
          </cell>
          <cell r="BC78">
            <v>563647970.35942996</v>
          </cell>
          <cell r="BD78">
            <v>563647970.35942996</v>
          </cell>
          <cell r="BE78">
            <v>0</v>
          </cell>
          <cell r="BF78">
            <v>563647970.35942996</v>
          </cell>
          <cell r="BG78">
            <v>563647970.35942996</v>
          </cell>
          <cell r="BH78">
            <v>563647970.35942996</v>
          </cell>
          <cell r="BI78">
            <v>563647970.35942996</v>
          </cell>
          <cell r="BJ78">
            <v>0</v>
          </cell>
          <cell r="BK78">
            <v>563647970.35942996</v>
          </cell>
          <cell r="BL78">
            <v>563647970.35942996</v>
          </cell>
          <cell r="BM78">
            <v>563647970.35942996</v>
          </cell>
          <cell r="BN78">
            <v>563647970.35942996</v>
          </cell>
          <cell r="BO78">
            <v>563647970.35942996</v>
          </cell>
          <cell r="BP78">
            <v>563647970.35942996</v>
          </cell>
          <cell r="BQ78">
            <v>563647970.35942996</v>
          </cell>
          <cell r="BR78">
            <v>563647970.35942996</v>
          </cell>
          <cell r="BS78">
            <v>563647970.35942996</v>
          </cell>
          <cell r="BT78">
            <v>564476412.23329997</v>
          </cell>
          <cell r="BU78">
            <v>555861082.57008004</v>
          </cell>
          <cell r="BV78">
            <v>0</v>
          </cell>
          <cell r="BW78">
            <v>0</v>
          </cell>
          <cell r="BX78">
            <v>563647970.35942996</v>
          </cell>
          <cell r="BY78">
            <v>563647970.35942996</v>
          </cell>
          <cell r="BZ78">
            <v>563647970.35942996</v>
          </cell>
          <cell r="CA78">
            <v>0</v>
          </cell>
          <cell r="CB78">
            <v>563647970.35942996</v>
          </cell>
          <cell r="CC78">
            <v>563647970.35942996</v>
          </cell>
          <cell r="CD78">
            <v>563647970.35942996</v>
          </cell>
          <cell r="CE78">
            <v>563647970.35942996</v>
          </cell>
          <cell r="CF78">
            <v>0</v>
          </cell>
          <cell r="CG78">
            <v>563647970.35942996</v>
          </cell>
          <cell r="CH78">
            <v>563647970.35942996</v>
          </cell>
          <cell r="CI78">
            <v>563647970.35942996</v>
          </cell>
          <cell r="CJ78">
            <v>563647970.35942996</v>
          </cell>
          <cell r="CK78">
            <v>563647970.35942996</v>
          </cell>
          <cell r="CL78">
            <v>563647970.35942996</v>
          </cell>
          <cell r="CM78">
            <v>563647970.35942996</v>
          </cell>
          <cell r="CN78">
            <v>563647970.35942996</v>
          </cell>
          <cell r="CO78">
            <v>506160441.12220997</v>
          </cell>
          <cell r="CP78">
            <v>563647970.35942996</v>
          </cell>
          <cell r="CQ78">
            <v>563647970.35942996</v>
          </cell>
          <cell r="CR78">
            <v>563647970.35942996</v>
          </cell>
          <cell r="CS78">
            <v>563647970.35942996</v>
          </cell>
          <cell r="CT78">
            <v>563647970.35942996</v>
          </cell>
          <cell r="CU78">
            <v>563647970.35942996</v>
          </cell>
          <cell r="CV78">
            <v>563647970.35942996</v>
          </cell>
          <cell r="CW78">
            <v>563647970.35942996</v>
          </cell>
          <cell r="CX78">
            <v>563647970.35942996</v>
          </cell>
          <cell r="CY78">
            <v>563647970.35942996</v>
          </cell>
          <cell r="CZ78">
            <v>563647970.35942996</v>
          </cell>
          <cell r="DA78">
            <v>574853600.42849994</v>
          </cell>
          <cell r="DB78">
            <v>563647970.35942996</v>
          </cell>
          <cell r="DC78">
            <v>563647970.35942996</v>
          </cell>
          <cell r="DD78">
            <v>563647970.35942996</v>
          </cell>
          <cell r="DE78">
            <v>497959497.65069997</v>
          </cell>
          <cell r="DF78">
            <v>644954613.61963987</v>
          </cell>
          <cell r="DG78">
            <v>583175284.98814011</v>
          </cell>
          <cell r="DH78">
            <v>563647970.35942996</v>
          </cell>
          <cell r="DI78">
            <v>563647970.35942996</v>
          </cell>
          <cell r="DJ78">
            <v>0</v>
          </cell>
          <cell r="DK78">
            <v>0</v>
          </cell>
          <cell r="DL78">
            <v>0</v>
          </cell>
          <cell r="DM78">
            <v>0</v>
          </cell>
          <cell r="DN78">
            <v>0</v>
          </cell>
          <cell r="DO78">
            <v>0</v>
          </cell>
          <cell r="DP78">
            <v>0</v>
          </cell>
          <cell r="DQ78">
            <v>0</v>
          </cell>
          <cell r="DR78">
            <v>0</v>
          </cell>
          <cell r="DS78">
            <v>0</v>
          </cell>
          <cell r="DT78">
            <v>0</v>
          </cell>
          <cell r="DU78">
            <v>0</v>
          </cell>
          <cell r="DV78">
            <v>0</v>
          </cell>
          <cell r="DW78">
            <v>0</v>
          </cell>
          <cell r="DX78" t="str">
            <v/>
          </cell>
          <cell r="DY78" t="str">
            <v/>
          </cell>
          <cell r="DZ78" t="str">
            <v/>
          </cell>
          <cell r="EA78">
            <v>563647970.35942996</v>
          </cell>
          <cell r="EB78">
            <v>563647970.35942996</v>
          </cell>
          <cell r="EC78">
            <v>563647970.35942996</v>
          </cell>
          <cell r="ED78">
            <v>563647970.35942996</v>
          </cell>
          <cell r="EE78">
            <v>563647970.35942996</v>
          </cell>
          <cell r="EF78">
            <v>563647970.35942996</v>
          </cell>
          <cell r="EG78">
            <v>563647970.35942996</v>
          </cell>
          <cell r="EH78">
            <v>563647970.35942996</v>
          </cell>
          <cell r="EI78">
            <v>563647970.35942996</v>
          </cell>
          <cell r="EJ78">
            <v>563647970.35942996</v>
          </cell>
          <cell r="EK78">
            <v>563647970.35942996</v>
          </cell>
          <cell r="EL78">
            <v>563647970.35942996</v>
          </cell>
          <cell r="EM78">
            <v>563647970.35942996</v>
          </cell>
          <cell r="EN78">
            <v>563647970.35942996</v>
          </cell>
          <cell r="EO78">
            <v>482341327.09921998</v>
          </cell>
          <cell r="EP78">
            <v>644954613.61963987</v>
          </cell>
          <cell r="EQ78">
            <v>563647970.35942996</v>
          </cell>
          <cell r="ER78">
            <v>563647970.35942996</v>
          </cell>
          <cell r="ES78">
            <v>0</v>
          </cell>
          <cell r="ET78">
            <v>0</v>
          </cell>
          <cell r="EU78">
            <v>0</v>
          </cell>
          <cell r="EV78">
            <v>0</v>
          </cell>
          <cell r="EW78">
            <v>0</v>
          </cell>
          <cell r="EX78">
            <v>0</v>
          </cell>
          <cell r="EY78">
            <v>0</v>
          </cell>
          <cell r="EZ78">
            <v>0</v>
          </cell>
          <cell r="FA78">
            <v>0</v>
          </cell>
          <cell r="FB78">
            <v>0</v>
          </cell>
          <cell r="FC78">
            <v>0</v>
          </cell>
          <cell r="FD78">
            <v>81306643.260209978</v>
          </cell>
          <cell r="FE78">
            <v>482341327.09921998</v>
          </cell>
          <cell r="FF78">
            <v>564584680.20662999</v>
          </cell>
          <cell r="FG78">
            <v>554842909.89504004</v>
          </cell>
          <cell r="FH78">
            <v>0</v>
          </cell>
          <cell r="FI78">
            <v>0</v>
          </cell>
          <cell r="FJ78">
            <v>425636932.57953006</v>
          </cell>
          <cell r="FK78">
            <v>425636932.57953006</v>
          </cell>
          <cell r="FL78">
            <v>425636932.57953006</v>
          </cell>
          <cell r="FM78">
            <v>0</v>
          </cell>
          <cell r="FN78">
            <v>524320840.17750996</v>
          </cell>
          <cell r="FO78">
            <v>524320840.17750996</v>
          </cell>
          <cell r="FP78">
            <v>524320840.17750996</v>
          </cell>
          <cell r="FQ78">
            <v>563647959.63149989</v>
          </cell>
          <cell r="FR78">
            <v>0</v>
          </cell>
          <cell r="FS78">
            <v>539115119.1992799</v>
          </cell>
          <cell r="FT78">
            <v>539115119.1992799</v>
          </cell>
          <cell r="FU78">
            <v>539115119.1992799</v>
          </cell>
          <cell r="FV78">
            <v>539115119.1992799</v>
          </cell>
          <cell r="FW78">
            <v>539115119.1992799</v>
          </cell>
          <cell r="FX78">
            <v>539115119.1992799</v>
          </cell>
          <cell r="FY78">
            <v>539115119.1992799</v>
          </cell>
          <cell r="FZ78">
            <v>563647970.35942996</v>
          </cell>
          <cell r="GA78">
            <v>503077413.89058</v>
          </cell>
          <cell r="GB78">
            <v>568386728.01487994</v>
          </cell>
          <cell r="GC78">
            <v>581645045.63605988</v>
          </cell>
          <cell r="GD78">
            <v>563647970.35942996</v>
          </cell>
          <cell r="GE78">
            <v>563647970.35942996</v>
          </cell>
          <cell r="GF78">
            <v>563647970.35942996</v>
          </cell>
          <cell r="GG78">
            <v>564394233.92275989</v>
          </cell>
          <cell r="GH78">
            <v>563647970.35942996</v>
          </cell>
          <cell r="GI78">
            <v>584846952.22876</v>
          </cell>
          <cell r="GJ78">
            <v>563647970.35942996</v>
          </cell>
          <cell r="GK78">
            <v>563647970.35942996</v>
          </cell>
          <cell r="GL78">
            <v>563647970.35942996</v>
          </cell>
          <cell r="GM78">
            <v>563647970.35942996</v>
          </cell>
          <cell r="GN78">
            <v>563647970.35942996</v>
          </cell>
          <cell r="GO78">
            <v>563647970.35942996</v>
          </cell>
          <cell r="GP78">
            <v>563647970.35942996</v>
          </cell>
          <cell r="GQ78">
            <v>563647970.35942996</v>
          </cell>
          <cell r="GR78">
            <v>563647970.35942996</v>
          </cell>
          <cell r="GS78">
            <v>563647970.35942996</v>
          </cell>
          <cell r="GT78">
            <v>563647970.35942996</v>
          </cell>
          <cell r="GU78">
            <v>0</v>
          </cell>
          <cell r="GZ78">
            <v>0</v>
          </cell>
        </row>
        <row r="79">
          <cell r="A79" t="str">
            <v>F_CNP_NRF_RET_COL_FRCE_234</v>
          </cell>
          <cell r="B79">
            <v>1620090351.4943302</v>
          </cell>
          <cell r="D79">
            <v>1613335481.81759</v>
          </cell>
          <cell r="E79">
            <v>1618163765.4959099</v>
          </cell>
          <cell r="F79">
            <v>1613335481.81759</v>
          </cell>
          <cell r="G79">
            <v>1613335481.81759</v>
          </cell>
          <cell r="H79">
            <v>0</v>
          </cell>
          <cell r="I79">
            <v>0</v>
          </cell>
          <cell r="J79">
            <v>1613335481.81759</v>
          </cell>
          <cell r="K79">
            <v>1613335481.81759</v>
          </cell>
          <cell r="L79">
            <v>1613335481.81759</v>
          </cell>
          <cell r="M79">
            <v>0</v>
          </cell>
          <cell r="N79">
            <v>1613335481.81759</v>
          </cell>
          <cell r="O79">
            <v>1613335481.81759</v>
          </cell>
          <cell r="P79">
            <v>1613335481.81759</v>
          </cell>
          <cell r="Q79">
            <v>1613335481.81759</v>
          </cell>
          <cell r="R79">
            <v>0</v>
          </cell>
          <cell r="S79">
            <v>1613335481.81759</v>
          </cell>
          <cell r="T79">
            <v>1613335481.81759</v>
          </cell>
          <cell r="U79">
            <v>1613335481.81759</v>
          </cell>
          <cell r="V79">
            <v>1613335481.81759</v>
          </cell>
          <cell r="W79">
            <v>1613335481.81759</v>
          </cell>
          <cell r="X79">
            <v>1613335481.81759</v>
          </cell>
          <cell r="Y79">
            <v>1613335481.81759</v>
          </cell>
          <cell r="Z79">
            <v>1613335481.81759</v>
          </cell>
          <cell r="AA79">
            <v>1613335481.81759</v>
          </cell>
          <cell r="AB79">
            <v>1615976075.1442599</v>
          </cell>
          <cell r="AC79">
            <v>1588479810.0500102</v>
          </cell>
          <cell r="AD79">
            <v>0</v>
          </cell>
          <cell r="AE79">
            <v>0</v>
          </cell>
          <cell r="AF79">
            <v>1223566328.52298</v>
          </cell>
          <cell r="AG79">
            <v>1223566328.52298</v>
          </cell>
          <cell r="AH79">
            <v>1223566328.52298</v>
          </cell>
          <cell r="AI79">
            <v>0</v>
          </cell>
          <cell r="AJ79">
            <v>1502281287.2206101</v>
          </cell>
          <cell r="AK79">
            <v>1502281287.2206101</v>
          </cell>
          <cell r="AL79">
            <v>1502281287.2206101</v>
          </cell>
          <cell r="AM79">
            <v>1613335451.5246401</v>
          </cell>
          <cell r="AN79">
            <v>0</v>
          </cell>
          <cell r="AO79">
            <v>1544059302.2895701</v>
          </cell>
          <cell r="AP79">
            <v>1544059302.2895701</v>
          </cell>
          <cell r="AQ79">
            <v>1544059302.2895701</v>
          </cell>
          <cell r="AR79">
            <v>1544059302.2895701</v>
          </cell>
          <cell r="AS79">
            <v>1544059302.2895701</v>
          </cell>
          <cell r="AT79">
            <v>1544059302.2895701</v>
          </cell>
          <cell r="AU79">
            <v>1544059302.2895701</v>
          </cell>
          <cell r="AV79">
            <v>1613335481.81759</v>
          </cell>
          <cell r="AW79">
            <v>1613335481.81759</v>
          </cell>
          <cell r="AX79">
            <v>1618163765.4959099</v>
          </cell>
          <cell r="AY79">
            <v>1618163765.4959099</v>
          </cell>
          <cell r="AZ79">
            <v>0</v>
          </cell>
          <cell r="BA79">
            <v>0</v>
          </cell>
          <cell r="BB79">
            <v>1618163765.4959099</v>
          </cell>
          <cell r="BC79">
            <v>1618163765.4959099</v>
          </cell>
          <cell r="BD79">
            <v>1618163765.4959099</v>
          </cell>
          <cell r="BE79">
            <v>0</v>
          </cell>
          <cell r="BF79">
            <v>1618163765.4959099</v>
          </cell>
          <cell r="BG79">
            <v>1618163765.4959099</v>
          </cell>
          <cell r="BH79">
            <v>1618163765.4959099</v>
          </cell>
          <cell r="BI79">
            <v>1618163765.4959099</v>
          </cell>
          <cell r="BJ79">
            <v>0</v>
          </cell>
          <cell r="BK79">
            <v>1618163765.4959099</v>
          </cell>
          <cell r="BL79">
            <v>1618163765.4959099</v>
          </cell>
          <cell r="BM79">
            <v>1618163765.4959099</v>
          </cell>
          <cell r="BN79">
            <v>1618163765.4959099</v>
          </cell>
          <cell r="BO79">
            <v>1618163765.4959099</v>
          </cell>
          <cell r="BP79">
            <v>1618163765.4959099</v>
          </cell>
          <cell r="BQ79">
            <v>1618163765.4959099</v>
          </cell>
          <cell r="BR79">
            <v>1618163765.4959099</v>
          </cell>
          <cell r="BS79">
            <v>1618163765.4959099</v>
          </cell>
          <cell r="BT79">
            <v>1620841565.9643998</v>
          </cell>
          <cell r="BU79">
            <v>1592997277.0838599</v>
          </cell>
          <cell r="BV79">
            <v>0</v>
          </cell>
          <cell r="BW79">
            <v>0</v>
          </cell>
          <cell r="BX79">
            <v>1223671919.63414</v>
          </cell>
          <cell r="BY79">
            <v>1223671919.63414</v>
          </cell>
          <cell r="BZ79">
            <v>1223671919.63414</v>
          </cell>
          <cell r="CA79">
            <v>0</v>
          </cell>
          <cell r="CB79">
            <v>1505762525.3040397</v>
          </cell>
          <cell r="CC79">
            <v>1505762525.3040397</v>
          </cell>
          <cell r="CD79">
            <v>1505762525.3040397</v>
          </cell>
          <cell r="CE79">
            <v>1618163734.8353801</v>
          </cell>
          <cell r="CF79">
            <v>0</v>
          </cell>
          <cell r="CG79">
            <v>1548047174.5508401</v>
          </cell>
          <cell r="CH79">
            <v>1548047174.5508401</v>
          </cell>
          <cell r="CI79">
            <v>1548047174.5508401</v>
          </cell>
          <cell r="CJ79">
            <v>1548047174.5508401</v>
          </cell>
          <cell r="CK79">
            <v>1548047174.5508401</v>
          </cell>
          <cell r="CL79">
            <v>1548047174.5508401</v>
          </cell>
          <cell r="CM79">
            <v>1548047174.5508401</v>
          </cell>
          <cell r="CN79">
            <v>1618163765.4959099</v>
          </cell>
          <cell r="CO79">
            <v>1440907659.5216401</v>
          </cell>
          <cell r="CP79">
            <v>1618163765.4959099</v>
          </cell>
          <cell r="CQ79">
            <v>1618163765.4959099</v>
          </cell>
          <cell r="CR79">
            <v>1618163765.4959099</v>
          </cell>
          <cell r="CS79">
            <v>1618163765.4959099</v>
          </cell>
          <cell r="CT79">
            <v>1618163765.4959099</v>
          </cell>
          <cell r="CU79">
            <v>1618163765.4959099</v>
          </cell>
          <cell r="CV79">
            <v>1618163765.4959099</v>
          </cell>
          <cell r="CW79">
            <v>1618163765.4959099</v>
          </cell>
          <cell r="CX79">
            <v>1618163765.4959099</v>
          </cell>
          <cell r="CY79">
            <v>1618163765.4959099</v>
          </cell>
          <cell r="CZ79">
            <v>1621208196.9667799</v>
          </cell>
          <cell r="DA79">
            <v>1700332361.0408401</v>
          </cell>
          <cell r="DB79">
            <v>1618163765.4959099</v>
          </cell>
          <cell r="DC79">
            <v>1618163765.4959099</v>
          </cell>
          <cell r="DD79">
            <v>1618163765.4959099</v>
          </cell>
          <cell r="DE79">
            <v>1618242505.1630001</v>
          </cell>
          <cell r="DF79">
            <v>1618163763.3910899</v>
          </cell>
          <cell r="DG79">
            <v>1678027149.65762</v>
          </cell>
          <cell r="DH79">
            <v>1618163765.4959099</v>
          </cell>
          <cell r="DI79">
            <v>1618163765.4959099</v>
          </cell>
          <cell r="DJ79">
            <v>0</v>
          </cell>
          <cell r="DK79">
            <v>0</v>
          </cell>
          <cell r="DL79">
            <v>0</v>
          </cell>
          <cell r="DM79">
            <v>0</v>
          </cell>
          <cell r="DN79">
            <v>0</v>
          </cell>
          <cell r="DO79">
            <v>0</v>
          </cell>
          <cell r="DP79">
            <v>0</v>
          </cell>
          <cell r="DQ79">
            <v>0</v>
          </cell>
          <cell r="DR79">
            <v>0</v>
          </cell>
          <cell r="DS79">
            <v>0</v>
          </cell>
          <cell r="DT79">
            <v>0</v>
          </cell>
          <cell r="DU79">
            <v>0</v>
          </cell>
          <cell r="DV79">
            <v>0</v>
          </cell>
          <cell r="DW79">
            <v>0</v>
          </cell>
          <cell r="DX79" t="str">
            <v/>
          </cell>
          <cell r="DY79" t="str">
            <v/>
          </cell>
          <cell r="DZ79" t="str">
            <v/>
          </cell>
          <cell r="EA79">
            <v>1618163765.4959099</v>
          </cell>
          <cell r="EB79">
            <v>1618163765.4959099</v>
          </cell>
          <cell r="EC79">
            <v>1618163765.4959099</v>
          </cell>
          <cell r="ED79">
            <v>1618163765.4959099</v>
          </cell>
          <cell r="EE79">
            <v>1618163765.4959099</v>
          </cell>
          <cell r="EF79">
            <v>1618163765.4959099</v>
          </cell>
          <cell r="EG79">
            <v>1618163765.4959099</v>
          </cell>
          <cell r="EH79">
            <v>1618163765.4959099</v>
          </cell>
          <cell r="EI79">
            <v>1618163765.4959099</v>
          </cell>
          <cell r="EJ79">
            <v>1618163765.4959099</v>
          </cell>
          <cell r="EK79">
            <v>1618163765.4959099</v>
          </cell>
          <cell r="EL79">
            <v>1618163765.4959099</v>
          </cell>
          <cell r="EM79">
            <v>1618163765.4959099</v>
          </cell>
          <cell r="EN79">
            <v>1618163765.4959099</v>
          </cell>
          <cell r="EO79">
            <v>1618163767.6007299</v>
          </cell>
          <cell r="EP79">
            <v>1618163763.3910899</v>
          </cell>
          <cell r="EQ79">
            <v>1618163765.4959099</v>
          </cell>
          <cell r="ER79">
            <v>1618163765.4959099</v>
          </cell>
          <cell r="ES79">
            <v>0</v>
          </cell>
          <cell r="ET79">
            <v>0</v>
          </cell>
          <cell r="EU79">
            <v>0</v>
          </cell>
          <cell r="EV79">
            <v>0</v>
          </cell>
          <cell r="EW79">
            <v>0</v>
          </cell>
          <cell r="EX79">
            <v>0</v>
          </cell>
          <cell r="EY79">
            <v>0</v>
          </cell>
          <cell r="EZ79">
            <v>0</v>
          </cell>
          <cell r="FA79">
            <v>0</v>
          </cell>
          <cell r="FB79">
            <v>0</v>
          </cell>
          <cell r="FC79">
            <v>0</v>
          </cell>
          <cell r="FD79">
            <v>-2.1048200130462646</v>
          </cell>
          <cell r="FE79">
            <v>1618163767.6007299</v>
          </cell>
          <cell r="FF79">
            <v>1620841565.8122296</v>
          </cell>
          <cell r="FG79">
            <v>1592997277.3532999</v>
          </cell>
          <cell r="FH79">
            <v>0</v>
          </cell>
          <cell r="FI79">
            <v>0</v>
          </cell>
          <cell r="FJ79">
            <v>1223671919.5762601</v>
          </cell>
          <cell r="FK79">
            <v>1223671919.5762601</v>
          </cell>
          <cell r="FL79">
            <v>1223671919.5762601</v>
          </cell>
          <cell r="FM79">
            <v>0</v>
          </cell>
          <cell r="FN79">
            <v>1505762525.29002</v>
          </cell>
          <cell r="FO79">
            <v>1505762525.29002</v>
          </cell>
          <cell r="FP79">
            <v>1505762525.29002</v>
          </cell>
          <cell r="FQ79">
            <v>1618163734.8354101</v>
          </cell>
          <cell r="FR79">
            <v>0</v>
          </cell>
          <cell r="FS79">
            <v>1548047174.5422902</v>
          </cell>
          <cell r="FT79">
            <v>1548047174.5422902</v>
          </cell>
          <cell r="FU79">
            <v>1548047174.5422902</v>
          </cell>
          <cell r="FV79">
            <v>1548047174.5422902</v>
          </cell>
          <cell r="FW79">
            <v>1548047174.5422902</v>
          </cell>
          <cell r="FX79">
            <v>1548047174.5422902</v>
          </cell>
          <cell r="FY79">
            <v>1548047174.5422902</v>
          </cell>
          <cell r="FZ79">
            <v>1618163765.4959099</v>
          </cell>
          <cell r="GA79">
            <v>1440907659.5216501</v>
          </cell>
          <cell r="GB79">
            <v>1621208196.9661601</v>
          </cell>
          <cell r="GC79">
            <v>1700332361.0271201</v>
          </cell>
          <cell r="GD79">
            <v>1618163765.4959099</v>
          </cell>
          <cell r="GE79">
            <v>1618163765.4959099</v>
          </cell>
          <cell r="GF79">
            <v>1618163765.4959099</v>
          </cell>
          <cell r="GG79">
            <v>1618242503.0581901</v>
          </cell>
          <cell r="GH79">
            <v>1618163765.4959099</v>
          </cell>
          <cell r="GI79">
            <v>1678027149.65764</v>
          </cell>
          <cell r="GJ79">
            <v>1618163765.4959099</v>
          </cell>
          <cell r="GK79">
            <v>1618163765.4959099</v>
          </cell>
          <cell r="GL79">
            <v>1618163765.4959099</v>
          </cell>
          <cell r="GM79">
            <v>1618163765.4959099</v>
          </cell>
          <cell r="GN79">
            <v>1618163765.4959099</v>
          </cell>
          <cell r="GO79">
            <v>1618163765.4959099</v>
          </cell>
          <cell r="GP79">
            <v>1618163765.4959099</v>
          </cell>
          <cell r="GQ79">
            <v>1618163765.4959099</v>
          </cell>
          <cell r="GR79">
            <v>1618163765.4959099</v>
          </cell>
          <cell r="GS79">
            <v>1618163765.4959099</v>
          </cell>
          <cell r="GT79">
            <v>1618163765.4959099</v>
          </cell>
          <cell r="GU79">
            <v>0</v>
          </cell>
          <cell r="GZ79">
            <v>0</v>
          </cell>
        </row>
        <row r="80">
          <cell r="A80" t="str">
            <v>F_CNP_NRF_RET_COL_FRCE_239</v>
          </cell>
          <cell r="B80">
            <v>151880304.60751</v>
          </cell>
          <cell r="D80">
            <v>175863413.1769</v>
          </cell>
          <cell r="E80">
            <v>176637139.33392999</v>
          </cell>
          <cell r="F80">
            <v>175863413.1769</v>
          </cell>
          <cell r="G80">
            <v>175863413.1769</v>
          </cell>
          <cell r="H80">
            <v>0</v>
          </cell>
          <cell r="I80">
            <v>0</v>
          </cell>
          <cell r="J80">
            <v>175863413.1769</v>
          </cell>
          <cell r="K80">
            <v>175863413.1769</v>
          </cell>
          <cell r="L80">
            <v>175863413.1769</v>
          </cell>
          <cell r="M80">
            <v>0</v>
          </cell>
          <cell r="N80">
            <v>175863413.1769</v>
          </cell>
          <cell r="O80">
            <v>175863413.1769</v>
          </cell>
          <cell r="P80">
            <v>175863413.1769</v>
          </cell>
          <cell r="Q80">
            <v>175863413.1769</v>
          </cell>
          <cell r="R80">
            <v>0</v>
          </cell>
          <cell r="S80">
            <v>175863413.1769</v>
          </cell>
          <cell r="T80">
            <v>175863413.1769</v>
          </cell>
          <cell r="U80">
            <v>175863413.1769</v>
          </cell>
          <cell r="V80">
            <v>175863413.1769</v>
          </cell>
          <cell r="W80">
            <v>175863413.1769</v>
          </cell>
          <cell r="X80">
            <v>175863413.1769</v>
          </cell>
          <cell r="Y80">
            <v>175863413.1769</v>
          </cell>
          <cell r="Z80">
            <v>175863413.1769</v>
          </cell>
          <cell r="AA80">
            <v>175863413.1769</v>
          </cell>
          <cell r="AB80">
            <v>178906066.76319</v>
          </cell>
          <cell r="AC80">
            <v>167024737.93942001</v>
          </cell>
          <cell r="AD80">
            <v>0</v>
          </cell>
          <cell r="AE80">
            <v>0</v>
          </cell>
          <cell r="AF80">
            <v>159645398.48203</v>
          </cell>
          <cell r="AG80">
            <v>159645398.48203</v>
          </cell>
          <cell r="AH80">
            <v>159645398.48203</v>
          </cell>
          <cell r="AI80">
            <v>0</v>
          </cell>
          <cell r="AJ80">
            <v>173403546.89638999</v>
          </cell>
          <cell r="AK80">
            <v>173403546.89638999</v>
          </cell>
          <cell r="AL80">
            <v>173403546.89638999</v>
          </cell>
          <cell r="AM80">
            <v>175101085.62309</v>
          </cell>
          <cell r="AN80">
            <v>0</v>
          </cell>
          <cell r="AO80">
            <v>166817098.48774999</v>
          </cell>
          <cell r="AP80">
            <v>166817098.48774999</v>
          </cell>
          <cell r="AQ80">
            <v>166817098.48774999</v>
          </cell>
          <cell r="AR80">
            <v>166817098.48774999</v>
          </cell>
          <cell r="AS80">
            <v>166817098.48774999</v>
          </cell>
          <cell r="AT80">
            <v>166817098.48774999</v>
          </cell>
          <cell r="AU80">
            <v>166817098.48774999</v>
          </cell>
          <cell r="AV80">
            <v>175195699.55302</v>
          </cell>
          <cell r="AW80">
            <v>175863413.1769</v>
          </cell>
          <cell r="AX80">
            <v>176637139.33392999</v>
          </cell>
          <cell r="AY80">
            <v>176637139.33392999</v>
          </cell>
          <cell r="AZ80">
            <v>0</v>
          </cell>
          <cell r="BA80">
            <v>0</v>
          </cell>
          <cell r="BB80">
            <v>176637139.33392999</v>
          </cell>
          <cell r="BC80">
            <v>176637139.33392999</v>
          </cell>
          <cell r="BD80">
            <v>176637139.33392999</v>
          </cell>
          <cell r="BE80">
            <v>0</v>
          </cell>
          <cell r="BF80">
            <v>176637139.33392999</v>
          </cell>
          <cell r="BG80">
            <v>176637139.33392999</v>
          </cell>
          <cell r="BH80">
            <v>176637139.33392999</v>
          </cell>
          <cell r="BI80">
            <v>176637139.33392999</v>
          </cell>
          <cell r="BJ80">
            <v>0</v>
          </cell>
          <cell r="BK80">
            <v>176637139.33392999</v>
          </cell>
          <cell r="BL80">
            <v>176637139.33392999</v>
          </cell>
          <cell r="BM80">
            <v>176637139.33392999</v>
          </cell>
          <cell r="BN80">
            <v>176637139.33392999</v>
          </cell>
          <cell r="BO80">
            <v>176637139.33392999</v>
          </cell>
          <cell r="BP80">
            <v>176637139.33392999</v>
          </cell>
          <cell r="BQ80">
            <v>176637139.33392999</v>
          </cell>
          <cell r="BR80">
            <v>176637139.33392999</v>
          </cell>
          <cell r="BS80">
            <v>176637139.33392999</v>
          </cell>
          <cell r="BT80">
            <v>186466933.92956999</v>
          </cell>
          <cell r="BU80">
            <v>159072341.26121998</v>
          </cell>
          <cell r="BV80">
            <v>0</v>
          </cell>
          <cell r="BW80">
            <v>0</v>
          </cell>
          <cell r="BX80">
            <v>175113677.94599</v>
          </cell>
          <cell r="BY80">
            <v>175113677.94599</v>
          </cell>
          <cell r="BZ80">
            <v>175113677.94599</v>
          </cell>
          <cell r="CA80">
            <v>0</v>
          </cell>
          <cell r="CB80">
            <v>176203028.53749999</v>
          </cell>
          <cell r="CC80">
            <v>176203028.53749999</v>
          </cell>
          <cell r="CD80">
            <v>176203028.53749999</v>
          </cell>
          <cell r="CE80">
            <v>176637139.21551001</v>
          </cell>
          <cell r="CF80">
            <v>0</v>
          </cell>
          <cell r="CG80">
            <v>176366335.43077001</v>
          </cell>
          <cell r="CH80">
            <v>176366335.43077001</v>
          </cell>
          <cell r="CI80">
            <v>176366335.43077001</v>
          </cell>
          <cell r="CJ80">
            <v>176366335.43077001</v>
          </cell>
          <cell r="CK80">
            <v>176366335.43077001</v>
          </cell>
          <cell r="CL80">
            <v>176366335.43077001</v>
          </cell>
          <cell r="CM80">
            <v>176366335.43077001</v>
          </cell>
          <cell r="CN80">
            <v>176637139.33392999</v>
          </cell>
          <cell r="CO80">
            <v>165630455.68015</v>
          </cell>
          <cell r="CP80">
            <v>176637139.33392999</v>
          </cell>
          <cell r="CQ80">
            <v>176637139.33392999</v>
          </cell>
          <cell r="CR80">
            <v>176637139.33392999</v>
          </cell>
          <cell r="CS80">
            <v>176637139.33392999</v>
          </cell>
          <cell r="CT80">
            <v>176637139.33392999</v>
          </cell>
          <cell r="CU80">
            <v>176637139.33392999</v>
          </cell>
          <cell r="CV80">
            <v>176637139.33392999</v>
          </cell>
          <cell r="CW80">
            <v>176637139.33392999</v>
          </cell>
          <cell r="CX80">
            <v>176637139.33392999</v>
          </cell>
          <cell r="CY80">
            <v>176637139.33392999</v>
          </cell>
          <cell r="CZ80">
            <v>176637139.33392999</v>
          </cell>
          <cell r="DA80">
            <v>182712564.15568998</v>
          </cell>
          <cell r="DB80">
            <v>176637139.33392999</v>
          </cell>
          <cell r="DC80">
            <v>176708732.90064999</v>
          </cell>
          <cell r="DD80">
            <v>176637139.33392999</v>
          </cell>
          <cell r="DE80">
            <v>151670077.32363999</v>
          </cell>
          <cell r="DF80">
            <v>201604201.34421998</v>
          </cell>
          <cell r="DG80">
            <v>179885613.40017</v>
          </cell>
          <cell r="DH80">
            <v>176637139.33392999</v>
          </cell>
          <cell r="DI80">
            <v>176637139.33392999</v>
          </cell>
          <cell r="DJ80">
            <v>0</v>
          </cell>
          <cell r="DK80">
            <v>0</v>
          </cell>
          <cell r="DL80">
            <v>0</v>
          </cell>
          <cell r="DM80">
            <v>0</v>
          </cell>
          <cell r="DN80">
            <v>0</v>
          </cell>
          <cell r="DO80">
            <v>0</v>
          </cell>
          <cell r="DP80">
            <v>0</v>
          </cell>
          <cell r="DQ80">
            <v>0</v>
          </cell>
          <cell r="DR80">
            <v>0</v>
          </cell>
          <cell r="DS80">
            <v>0</v>
          </cell>
          <cell r="DT80">
            <v>0</v>
          </cell>
          <cell r="DU80">
            <v>0</v>
          </cell>
          <cell r="DV80">
            <v>0</v>
          </cell>
          <cell r="DW80">
            <v>0</v>
          </cell>
          <cell r="DX80" t="str">
            <v/>
          </cell>
          <cell r="DY80" t="str">
            <v/>
          </cell>
          <cell r="DZ80" t="str">
            <v/>
          </cell>
          <cell r="EA80">
            <v>176637139.33392999</v>
          </cell>
          <cell r="EB80">
            <v>176637139.33392999</v>
          </cell>
          <cell r="EC80">
            <v>176637139.33392999</v>
          </cell>
          <cell r="ED80">
            <v>176637139.33392999</v>
          </cell>
          <cell r="EE80">
            <v>176637139.33392999</v>
          </cell>
          <cell r="EF80">
            <v>176637139.33392999</v>
          </cell>
          <cell r="EG80">
            <v>176637139.33392999</v>
          </cell>
          <cell r="EH80">
            <v>176637139.33392999</v>
          </cell>
          <cell r="EI80">
            <v>176637139.33392999</v>
          </cell>
          <cell r="EJ80">
            <v>176637139.33392999</v>
          </cell>
          <cell r="EK80">
            <v>176637139.33392999</v>
          </cell>
          <cell r="EL80">
            <v>176637139.33392999</v>
          </cell>
          <cell r="EM80">
            <v>176637139.33392999</v>
          </cell>
          <cell r="EN80">
            <v>176637139.33392999</v>
          </cell>
          <cell r="EO80">
            <v>151670077.32363999</v>
          </cell>
          <cell r="EP80">
            <v>201604201.34421998</v>
          </cell>
          <cell r="EQ80">
            <v>176637139.33392999</v>
          </cell>
          <cell r="ER80">
            <v>176637139.33392999</v>
          </cell>
          <cell r="ES80">
            <v>0</v>
          </cell>
          <cell r="ET80">
            <v>0</v>
          </cell>
          <cell r="EU80">
            <v>0</v>
          </cell>
          <cell r="EV80">
            <v>0</v>
          </cell>
          <cell r="EW80">
            <v>0</v>
          </cell>
          <cell r="EX80">
            <v>0</v>
          </cell>
          <cell r="EY80">
            <v>0</v>
          </cell>
          <cell r="EZ80">
            <v>0</v>
          </cell>
          <cell r="FA80">
            <v>0</v>
          </cell>
          <cell r="FB80">
            <v>0</v>
          </cell>
          <cell r="FC80">
            <v>0</v>
          </cell>
          <cell r="FD80">
            <v>24967062.077060014</v>
          </cell>
          <cell r="FE80">
            <v>151670077.32363999</v>
          </cell>
          <cell r="FF80">
            <v>183357096.47239</v>
          </cell>
          <cell r="FG80">
            <v>163960051.76763001</v>
          </cell>
          <cell r="FH80">
            <v>0</v>
          </cell>
          <cell r="FI80">
            <v>0</v>
          </cell>
          <cell r="FJ80">
            <v>164982701.76894</v>
          </cell>
          <cell r="FK80">
            <v>164982701.76894</v>
          </cell>
          <cell r="FL80">
            <v>164982701.76894</v>
          </cell>
          <cell r="FM80">
            <v>0</v>
          </cell>
          <cell r="FN80">
            <v>174313638.25808001</v>
          </cell>
          <cell r="FO80">
            <v>174313638.25808001</v>
          </cell>
          <cell r="FP80">
            <v>174313638.25808001</v>
          </cell>
          <cell r="FQ80">
            <v>176194383.08126</v>
          </cell>
          <cell r="FR80">
            <v>0</v>
          </cell>
          <cell r="FS80">
            <v>171721615.31753001</v>
          </cell>
          <cell r="FT80">
            <v>171721615.31753001</v>
          </cell>
          <cell r="FU80">
            <v>171721615.31753001</v>
          </cell>
          <cell r="FV80">
            <v>171721615.31753001</v>
          </cell>
          <cell r="FW80">
            <v>171721615.31753001</v>
          </cell>
          <cell r="FX80">
            <v>171721615.31753001</v>
          </cell>
          <cell r="FY80">
            <v>171721615.31753001</v>
          </cell>
          <cell r="FZ80">
            <v>176124191.65783</v>
          </cell>
          <cell r="GA80">
            <v>164147341.39414999</v>
          </cell>
          <cell r="GB80">
            <v>176637139.33392999</v>
          </cell>
          <cell r="GC80">
            <v>182008692.91330001</v>
          </cell>
          <cell r="GD80">
            <v>176637139.41207001</v>
          </cell>
          <cell r="GE80">
            <v>176643019.85626</v>
          </cell>
          <cell r="GF80">
            <v>176637139.33392999</v>
          </cell>
          <cell r="GG80">
            <v>176637139.33392999</v>
          </cell>
          <cell r="GH80">
            <v>176637139.33392999</v>
          </cell>
          <cell r="GI80">
            <v>180523468.62856001</v>
          </cell>
          <cell r="GJ80">
            <v>176637139.41124001</v>
          </cell>
          <cell r="GK80">
            <v>176637139.33392999</v>
          </cell>
          <cell r="GL80">
            <v>176637139.33392999</v>
          </cell>
          <cell r="GM80">
            <v>176637139.33392999</v>
          </cell>
          <cell r="GN80">
            <v>176637139.33392999</v>
          </cell>
          <cell r="GO80">
            <v>176637139.33392999</v>
          </cell>
          <cell r="GP80">
            <v>176637139.33392999</v>
          </cell>
          <cell r="GQ80">
            <v>176637139.33392999</v>
          </cell>
          <cell r="GR80">
            <v>176637139.33392999</v>
          </cell>
          <cell r="GS80">
            <v>176637139.33392999</v>
          </cell>
          <cell r="GT80">
            <v>176637139.33392999</v>
          </cell>
          <cell r="GU80">
            <v>0</v>
          </cell>
          <cell r="GZ80">
            <v>0</v>
          </cell>
        </row>
        <row r="81">
          <cell r="A81" t="str">
            <v>F_CNP_NRF_RET_COL_FRCE_128</v>
          </cell>
          <cell r="B81">
            <v>0</v>
          </cell>
          <cell r="D81">
            <v>0</v>
          </cell>
          <cell r="E81">
            <v>0</v>
          </cell>
          <cell r="F81">
            <v>0</v>
          </cell>
          <cell r="G81">
            <v>0</v>
          </cell>
          <cell r="H81">
            <v>0</v>
          </cell>
          <cell r="I81">
            <v>0</v>
          </cell>
          <cell r="J81">
            <v>0</v>
          </cell>
          <cell r="K81">
            <v>0</v>
          </cell>
          <cell r="L81">
            <v>0</v>
          </cell>
          <cell r="M81">
            <v>0</v>
          </cell>
          <cell r="N81">
            <v>0</v>
          </cell>
          <cell r="O81">
            <v>0</v>
          </cell>
          <cell r="P81">
            <v>0</v>
          </cell>
          <cell r="Q81">
            <v>0</v>
          </cell>
          <cell r="R81">
            <v>0</v>
          </cell>
          <cell r="S81">
            <v>0</v>
          </cell>
          <cell r="T81">
            <v>0</v>
          </cell>
          <cell r="U81">
            <v>0</v>
          </cell>
          <cell r="V81">
            <v>0</v>
          </cell>
          <cell r="W81">
            <v>0</v>
          </cell>
          <cell r="X81">
            <v>0</v>
          </cell>
          <cell r="Y81">
            <v>0</v>
          </cell>
          <cell r="Z81">
            <v>0</v>
          </cell>
          <cell r="AA81">
            <v>0</v>
          </cell>
          <cell r="AB81">
            <v>0</v>
          </cell>
          <cell r="AC81">
            <v>0</v>
          </cell>
          <cell r="AD81">
            <v>0</v>
          </cell>
          <cell r="AE81">
            <v>0</v>
          </cell>
          <cell r="AF81">
            <v>0</v>
          </cell>
          <cell r="AG81">
            <v>0</v>
          </cell>
          <cell r="AH81">
            <v>0</v>
          </cell>
          <cell r="AI81">
            <v>0</v>
          </cell>
          <cell r="AJ81">
            <v>0</v>
          </cell>
          <cell r="AK81">
            <v>0</v>
          </cell>
          <cell r="AL81">
            <v>0</v>
          </cell>
          <cell r="AM81">
            <v>0</v>
          </cell>
          <cell r="AN81">
            <v>0</v>
          </cell>
          <cell r="AO81">
            <v>0</v>
          </cell>
          <cell r="AP81">
            <v>0</v>
          </cell>
          <cell r="AQ81">
            <v>0</v>
          </cell>
          <cell r="AR81">
            <v>0</v>
          </cell>
          <cell r="AS81">
            <v>0</v>
          </cell>
          <cell r="AT81">
            <v>0</v>
          </cell>
          <cell r="AU81">
            <v>0</v>
          </cell>
          <cell r="AV81">
            <v>0</v>
          </cell>
          <cell r="AW81">
            <v>0</v>
          </cell>
          <cell r="AX81">
            <v>0</v>
          </cell>
          <cell r="AY81">
            <v>0</v>
          </cell>
          <cell r="AZ81">
            <v>0</v>
          </cell>
          <cell r="BA81">
            <v>0</v>
          </cell>
          <cell r="BB81">
            <v>0</v>
          </cell>
          <cell r="BC81">
            <v>0</v>
          </cell>
          <cell r="BD81">
            <v>0</v>
          </cell>
          <cell r="BE81">
            <v>0</v>
          </cell>
          <cell r="BF81">
            <v>0</v>
          </cell>
          <cell r="BG81">
            <v>0</v>
          </cell>
          <cell r="BH81">
            <v>0</v>
          </cell>
          <cell r="BI81">
            <v>0</v>
          </cell>
          <cell r="BJ81">
            <v>0</v>
          </cell>
          <cell r="BK81">
            <v>0</v>
          </cell>
          <cell r="BL81">
            <v>0</v>
          </cell>
          <cell r="BM81">
            <v>0</v>
          </cell>
          <cell r="BN81">
            <v>0</v>
          </cell>
          <cell r="BO81">
            <v>0</v>
          </cell>
          <cell r="BP81">
            <v>0</v>
          </cell>
          <cell r="BQ81">
            <v>0</v>
          </cell>
          <cell r="BR81">
            <v>0</v>
          </cell>
          <cell r="BS81">
            <v>0</v>
          </cell>
          <cell r="BT81">
            <v>0</v>
          </cell>
          <cell r="BU81">
            <v>0</v>
          </cell>
          <cell r="BV81">
            <v>0</v>
          </cell>
          <cell r="BW81">
            <v>0</v>
          </cell>
          <cell r="BX81">
            <v>0</v>
          </cell>
          <cell r="BY81">
            <v>0</v>
          </cell>
          <cell r="BZ81">
            <v>0</v>
          </cell>
          <cell r="CA81">
            <v>0</v>
          </cell>
          <cell r="CB81">
            <v>0</v>
          </cell>
          <cell r="CC81">
            <v>0</v>
          </cell>
          <cell r="CD81">
            <v>0</v>
          </cell>
          <cell r="CE81">
            <v>0</v>
          </cell>
          <cell r="CF81">
            <v>0</v>
          </cell>
          <cell r="CG81">
            <v>0</v>
          </cell>
          <cell r="CH81">
            <v>0</v>
          </cell>
          <cell r="CI81">
            <v>0</v>
          </cell>
          <cell r="CJ81">
            <v>0</v>
          </cell>
          <cell r="CK81">
            <v>0</v>
          </cell>
          <cell r="CL81">
            <v>0</v>
          </cell>
          <cell r="CM81">
            <v>0</v>
          </cell>
          <cell r="CN81">
            <v>0</v>
          </cell>
          <cell r="CO81">
            <v>0</v>
          </cell>
          <cell r="CP81">
            <v>0</v>
          </cell>
          <cell r="CQ81">
            <v>0</v>
          </cell>
          <cell r="CR81">
            <v>0</v>
          </cell>
          <cell r="CS81">
            <v>0</v>
          </cell>
          <cell r="CT81">
            <v>0</v>
          </cell>
          <cell r="CU81">
            <v>0</v>
          </cell>
          <cell r="CV81">
            <v>0</v>
          </cell>
          <cell r="CW81">
            <v>0</v>
          </cell>
          <cell r="CX81">
            <v>0</v>
          </cell>
          <cell r="CY81">
            <v>0</v>
          </cell>
          <cell r="CZ81">
            <v>0</v>
          </cell>
          <cell r="DA81">
            <v>0</v>
          </cell>
          <cell r="DB81">
            <v>0</v>
          </cell>
          <cell r="DC81">
            <v>0</v>
          </cell>
          <cell r="DD81">
            <v>0</v>
          </cell>
          <cell r="DE81">
            <v>0</v>
          </cell>
          <cell r="DF81">
            <v>0</v>
          </cell>
          <cell r="DG81">
            <v>0</v>
          </cell>
          <cell r="DH81">
            <v>0</v>
          </cell>
          <cell r="DI81">
            <v>0</v>
          </cell>
          <cell r="DJ81">
            <v>0</v>
          </cell>
          <cell r="DK81">
            <v>0</v>
          </cell>
          <cell r="DL81">
            <v>0</v>
          </cell>
          <cell r="DM81">
            <v>0</v>
          </cell>
          <cell r="DN81">
            <v>0</v>
          </cell>
          <cell r="DO81">
            <v>0</v>
          </cell>
          <cell r="DP81">
            <v>0</v>
          </cell>
          <cell r="DQ81">
            <v>0</v>
          </cell>
          <cell r="DR81">
            <v>0</v>
          </cell>
          <cell r="DS81">
            <v>0</v>
          </cell>
          <cell r="DT81">
            <v>0</v>
          </cell>
          <cell r="DU81">
            <v>0</v>
          </cell>
          <cell r="DV81">
            <v>0</v>
          </cell>
          <cell r="DW81">
            <v>0</v>
          </cell>
          <cell r="DX81" t="str">
            <v/>
          </cell>
          <cell r="DY81" t="str">
            <v/>
          </cell>
          <cell r="DZ81" t="str">
            <v/>
          </cell>
          <cell r="EA81">
            <v>0</v>
          </cell>
          <cell r="EB81">
            <v>0</v>
          </cell>
          <cell r="EC81">
            <v>0</v>
          </cell>
          <cell r="ED81">
            <v>0</v>
          </cell>
          <cell r="EE81">
            <v>0</v>
          </cell>
          <cell r="EF81">
            <v>0</v>
          </cell>
          <cell r="EG81">
            <v>0</v>
          </cell>
          <cell r="EH81">
            <v>0</v>
          </cell>
          <cell r="EI81">
            <v>0</v>
          </cell>
          <cell r="EJ81">
            <v>0</v>
          </cell>
          <cell r="EK81">
            <v>0</v>
          </cell>
          <cell r="EL81">
            <v>0</v>
          </cell>
          <cell r="EM81">
            <v>0</v>
          </cell>
          <cell r="EN81">
            <v>0</v>
          </cell>
          <cell r="EO81">
            <v>0</v>
          </cell>
          <cell r="EP81">
            <v>0</v>
          </cell>
          <cell r="EQ81">
            <v>0</v>
          </cell>
          <cell r="ER81">
            <v>0</v>
          </cell>
          <cell r="ES81">
            <v>0</v>
          </cell>
          <cell r="ET81">
            <v>0</v>
          </cell>
          <cell r="EU81">
            <v>0</v>
          </cell>
          <cell r="EV81">
            <v>0</v>
          </cell>
          <cell r="EW81">
            <v>0</v>
          </cell>
          <cell r="EX81">
            <v>0</v>
          </cell>
          <cell r="EY81">
            <v>0</v>
          </cell>
          <cell r="EZ81">
            <v>0</v>
          </cell>
          <cell r="FA81">
            <v>0</v>
          </cell>
          <cell r="FB81">
            <v>0</v>
          </cell>
          <cell r="FC81">
            <v>0</v>
          </cell>
          <cell r="FD81">
            <v>0</v>
          </cell>
          <cell r="FE81">
            <v>0</v>
          </cell>
          <cell r="FF81">
            <v>0</v>
          </cell>
          <cell r="FG81">
            <v>0</v>
          </cell>
          <cell r="FH81">
            <v>0</v>
          </cell>
          <cell r="FI81">
            <v>0</v>
          </cell>
          <cell r="FJ81">
            <v>0</v>
          </cell>
          <cell r="FK81">
            <v>0</v>
          </cell>
          <cell r="FL81">
            <v>0</v>
          </cell>
          <cell r="FM81">
            <v>0</v>
          </cell>
          <cell r="FN81">
            <v>0</v>
          </cell>
          <cell r="FO81">
            <v>0</v>
          </cell>
          <cell r="FP81">
            <v>0</v>
          </cell>
          <cell r="FQ81">
            <v>0</v>
          </cell>
          <cell r="FR81">
            <v>0</v>
          </cell>
          <cell r="FS81">
            <v>0</v>
          </cell>
          <cell r="FT81">
            <v>0</v>
          </cell>
          <cell r="FU81">
            <v>0</v>
          </cell>
          <cell r="FV81">
            <v>0</v>
          </cell>
          <cell r="FW81">
            <v>0</v>
          </cell>
          <cell r="FX81">
            <v>0</v>
          </cell>
          <cell r="FY81">
            <v>0</v>
          </cell>
          <cell r="FZ81">
            <v>0</v>
          </cell>
          <cell r="GA81">
            <v>0</v>
          </cell>
          <cell r="GB81">
            <v>0</v>
          </cell>
          <cell r="GC81">
            <v>0</v>
          </cell>
          <cell r="GD81">
            <v>0</v>
          </cell>
          <cell r="GE81">
            <v>0</v>
          </cell>
          <cell r="GF81">
            <v>0</v>
          </cell>
          <cell r="GG81">
            <v>0</v>
          </cell>
          <cell r="GH81">
            <v>0</v>
          </cell>
          <cell r="GI81">
            <v>0</v>
          </cell>
          <cell r="GJ81">
            <v>0</v>
          </cell>
          <cell r="GK81">
            <v>0</v>
          </cell>
          <cell r="GL81">
            <v>0</v>
          </cell>
          <cell r="GM81">
            <v>0</v>
          </cell>
          <cell r="GN81">
            <v>0</v>
          </cell>
          <cell r="GO81">
            <v>0</v>
          </cell>
          <cell r="GP81">
            <v>0</v>
          </cell>
          <cell r="GQ81">
            <v>0</v>
          </cell>
          <cell r="GR81">
            <v>0</v>
          </cell>
          <cell r="GS81">
            <v>0</v>
          </cell>
          <cell r="GT81">
            <v>0</v>
          </cell>
          <cell r="GU81">
            <v>0</v>
          </cell>
          <cell r="GZ81">
            <v>0</v>
          </cell>
        </row>
        <row r="82">
          <cell r="A82" t="str">
            <v>F_CNP_NRF_RET_COL_FRCE_300</v>
          </cell>
          <cell r="B82">
            <v>297065.87518999999</v>
          </cell>
          <cell r="D82">
            <v>343705.35856999998</v>
          </cell>
          <cell r="E82">
            <v>319220.98423</v>
          </cell>
          <cell r="F82">
            <v>343705.35856999998</v>
          </cell>
          <cell r="G82">
            <v>343705.35856999998</v>
          </cell>
          <cell r="H82">
            <v>0</v>
          </cell>
          <cell r="I82">
            <v>0</v>
          </cell>
          <cell r="J82">
            <v>343705.35856999998</v>
          </cell>
          <cell r="K82">
            <v>343705.35856999998</v>
          </cell>
          <cell r="L82">
            <v>343705.35856999998</v>
          </cell>
          <cell r="M82">
            <v>0</v>
          </cell>
          <cell r="N82">
            <v>343705.35856999998</v>
          </cell>
          <cell r="O82">
            <v>343705.35856999998</v>
          </cell>
          <cell r="P82">
            <v>343705.35856999998</v>
          </cell>
          <cell r="Q82">
            <v>343705.35856999998</v>
          </cell>
          <cell r="R82">
            <v>0</v>
          </cell>
          <cell r="S82">
            <v>343705.35856999998</v>
          </cell>
          <cell r="T82">
            <v>343705.35856999998</v>
          </cell>
          <cell r="U82">
            <v>343705.35856999998</v>
          </cell>
          <cell r="V82">
            <v>343705.35856999998</v>
          </cell>
          <cell r="W82">
            <v>343705.35856999998</v>
          </cell>
          <cell r="X82">
            <v>343705.35856999998</v>
          </cell>
          <cell r="Y82">
            <v>343705.35856999998</v>
          </cell>
          <cell r="Z82">
            <v>343705.35856999998</v>
          </cell>
          <cell r="AA82">
            <v>343705.35856999998</v>
          </cell>
          <cell r="AB82">
            <v>349622.34765000001</v>
          </cell>
          <cell r="AC82">
            <v>326516.95925999997</v>
          </cell>
          <cell r="AD82">
            <v>0</v>
          </cell>
          <cell r="AE82">
            <v>0</v>
          </cell>
          <cell r="AF82">
            <v>312166.50176999997</v>
          </cell>
          <cell r="AG82">
            <v>312166.50176999997</v>
          </cell>
          <cell r="AH82">
            <v>312166.50176999997</v>
          </cell>
          <cell r="AI82">
            <v>0</v>
          </cell>
          <cell r="AJ82">
            <v>338921.7046</v>
          </cell>
          <cell r="AK82">
            <v>338921.7046</v>
          </cell>
          <cell r="AL82">
            <v>338921.7046</v>
          </cell>
          <cell r="AM82">
            <v>342222.87504999997</v>
          </cell>
          <cell r="AN82">
            <v>0</v>
          </cell>
          <cell r="AO82">
            <v>326113.16687000002</v>
          </cell>
          <cell r="AP82">
            <v>326113.16687000002</v>
          </cell>
          <cell r="AQ82">
            <v>326113.16687000002</v>
          </cell>
          <cell r="AR82">
            <v>326113.16687000002</v>
          </cell>
          <cell r="AS82">
            <v>326113.16687000002</v>
          </cell>
          <cell r="AT82">
            <v>326113.16687000002</v>
          </cell>
          <cell r="AU82">
            <v>326113.16687000002</v>
          </cell>
          <cell r="AV82">
            <v>342406.86891000002</v>
          </cell>
          <cell r="AW82">
            <v>343705.35856999998</v>
          </cell>
          <cell r="AX82">
            <v>319220.98423</v>
          </cell>
          <cell r="AY82">
            <v>319220.98423</v>
          </cell>
          <cell r="AZ82">
            <v>0</v>
          </cell>
          <cell r="BA82">
            <v>0</v>
          </cell>
          <cell r="BB82">
            <v>319220.98423</v>
          </cell>
          <cell r="BC82">
            <v>319220.98423</v>
          </cell>
          <cell r="BD82">
            <v>319220.98423</v>
          </cell>
          <cell r="BE82">
            <v>0</v>
          </cell>
          <cell r="BF82">
            <v>319220.98423</v>
          </cell>
          <cell r="BG82">
            <v>319220.98423</v>
          </cell>
          <cell r="BH82">
            <v>319220.98423</v>
          </cell>
          <cell r="BI82">
            <v>319220.98423</v>
          </cell>
          <cell r="BJ82">
            <v>0</v>
          </cell>
          <cell r="BK82">
            <v>319220.98423</v>
          </cell>
          <cell r="BL82">
            <v>319220.98423</v>
          </cell>
          <cell r="BM82">
            <v>319220.98423</v>
          </cell>
          <cell r="BN82">
            <v>319220.98423</v>
          </cell>
          <cell r="BO82">
            <v>319220.98423</v>
          </cell>
          <cell r="BP82">
            <v>319220.98423</v>
          </cell>
          <cell r="BQ82">
            <v>319220.98423</v>
          </cell>
          <cell r="BR82">
            <v>319220.98423</v>
          </cell>
          <cell r="BS82">
            <v>319220.98423</v>
          </cell>
          <cell r="BT82">
            <v>337145.71103000001</v>
          </cell>
          <cell r="BU82">
            <v>287355.24730000005</v>
          </cell>
          <cell r="BV82">
            <v>0</v>
          </cell>
          <cell r="BW82">
            <v>0</v>
          </cell>
          <cell r="BX82">
            <v>316467.34513999999</v>
          </cell>
          <cell r="BY82">
            <v>316467.34513999999</v>
          </cell>
          <cell r="BZ82">
            <v>316467.34513999999</v>
          </cell>
          <cell r="CA82">
            <v>0</v>
          </cell>
          <cell r="CB82">
            <v>318436.33154000004</v>
          </cell>
          <cell r="CC82">
            <v>318436.33154000004</v>
          </cell>
          <cell r="CD82">
            <v>318436.33154000004</v>
          </cell>
          <cell r="CE82">
            <v>319220.98402000003</v>
          </cell>
          <cell r="CF82">
            <v>0</v>
          </cell>
          <cell r="CG82">
            <v>318731.50758999999</v>
          </cell>
          <cell r="CH82">
            <v>318731.50758999999</v>
          </cell>
          <cell r="CI82">
            <v>318731.50758999999</v>
          </cell>
          <cell r="CJ82">
            <v>318731.50758999999</v>
          </cell>
          <cell r="CK82">
            <v>318731.50758999999</v>
          </cell>
          <cell r="CL82">
            <v>318731.50758999999</v>
          </cell>
          <cell r="CM82">
            <v>318731.50758999999</v>
          </cell>
          <cell r="CN82">
            <v>319220.98423</v>
          </cell>
          <cell r="CO82">
            <v>319220.98423</v>
          </cell>
          <cell r="CP82">
            <v>319220.98423</v>
          </cell>
          <cell r="CQ82">
            <v>319220.98423</v>
          </cell>
          <cell r="CR82">
            <v>319220.98423</v>
          </cell>
          <cell r="CS82">
            <v>319220.98423</v>
          </cell>
          <cell r="CT82">
            <v>319220.98423</v>
          </cell>
          <cell r="CU82">
            <v>319220.98423</v>
          </cell>
          <cell r="CV82">
            <v>319220.98423</v>
          </cell>
          <cell r="CW82">
            <v>319220.98423</v>
          </cell>
          <cell r="CX82">
            <v>319220.98423</v>
          </cell>
          <cell r="CY82">
            <v>319220.98423</v>
          </cell>
          <cell r="CZ82">
            <v>319220.98423</v>
          </cell>
          <cell r="DA82">
            <v>330694.76045</v>
          </cell>
          <cell r="DB82">
            <v>319220.98423</v>
          </cell>
          <cell r="DC82">
            <v>319435.89318000001</v>
          </cell>
          <cell r="DD82">
            <v>319220.98423</v>
          </cell>
          <cell r="DE82">
            <v>273551.93985999998</v>
          </cell>
          <cell r="DF82">
            <v>364890.02860000002</v>
          </cell>
          <cell r="DG82">
            <v>319220.98833000002</v>
          </cell>
          <cell r="DH82">
            <v>319220.98423</v>
          </cell>
          <cell r="DI82">
            <v>319220.98423</v>
          </cell>
          <cell r="DJ82">
            <v>0</v>
          </cell>
          <cell r="DK82">
            <v>0</v>
          </cell>
          <cell r="DL82">
            <v>0</v>
          </cell>
          <cell r="DM82">
            <v>0</v>
          </cell>
          <cell r="DN82">
            <v>0</v>
          </cell>
          <cell r="DO82">
            <v>0</v>
          </cell>
          <cell r="DP82">
            <v>0</v>
          </cell>
          <cell r="DQ82">
            <v>0</v>
          </cell>
          <cell r="DR82">
            <v>0</v>
          </cell>
          <cell r="DS82">
            <v>0</v>
          </cell>
          <cell r="DT82">
            <v>0</v>
          </cell>
          <cell r="DU82">
            <v>0</v>
          </cell>
          <cell r="DV82">
            <v>0</v>
          </cell>
          <cell r="DW82">
            <v>0</v>
          </cell>
          <cell r="DX82" t="str">
            <v/>
          </cell>
          <cell r="DY82" t="str">
            <v/>
          </cell>
          <cell r="DZ82" t="str">
            <v/>
          </cell>
          <cell r="EA82">
            <v>319220.98423</v>
          </cell>
          <cell r="EB82">
            <v>319220.98423</v>
          </cell>
          <cell r="EC82">
            <v>319220.98423</v>
          </cell>
          <cell r="ED82">
            <v>319220.98423</v>
          </cell>
          <cell r="EE82">
            <v>319220.98423</v>
          </cell>
          <cell r="EF82">
            <v>319220.98423</v>
          </cell>
          <cell r="EG82">
            <v>319220.98423</v>
          </cell>
          <cell r="EH82">
            <v>319220.98423</v>
          </cell>
          <cell r="EI82">
            <v>319220.98423</v>
          </cell>
          <cell r="EJ82">
            <v>319220.98423</v>
          </cell>
          <cell r="EK82">
            <v>319220.98423</v>
          </cell>
          <cell r="EL82">
            <v>319220.98423</v>
          </cell>
          <cell r="EM82">
            <v>319220.98423</v>
          </cell>
          <cell r="EN82">
            <v>319220.98423</v>
          </cell>
          <cell r="EO82">
            <v>273551.93985999998</v>
          </cell>
          <cell r="EP82">
            <v>364890.02860000002</v>
          </cell>
          <cell r="EQ82">
            <v>319220.98423</v>
          </cell>
          <cell r="ER82">
            <v>319220.98423</v>
          </cell>
          <cell r="ES82">
            <v>0</v>
          </cell>
          <cell r="ET82">
            <v>0</v>
          </cell>
          <cell r="EU82">
            <v>0</v>
          </cell>
          <cell r="EV82">
            <v>0</v>
          </cell>
          <cell r="EW82">
            <v>0</v>
          </cell>
          <cell r="EX82">
            <v>0</v>
          </cell>
          <cell r="EY82">
            <v>0</v>
          </cell>
          <cell r="EZ82">
            <v>0</v>
          </cell>
          <cell r="FA82">
            <v>0</v>
          </cell>
          <cell r="FB82">
            <v>0</v>
          </cell>
          <cell r="FC82">
            <v>0</v>
          </cell>
          <cell r="FD82">
            <v>45669.044519999996</v>
          </cell>
          <cell r="FE82">
            <v>273551.93985999998</v>
          </cell>
          <cell r="FF82">
            <v>331392.99127</v>
          </cell>
          <cell r="FG82">
            <v>296324.04538999998</v>
          </cell>
          <cell r="FH82">
            <v>0</v>
          </cell>
          <cell r="FI82">
            <v>0</v>
          </cell>
          <cell r="FJ82">
            <v>298100.36595000001</v>
          </cell>
          <cell r="FK82">
            <v>298100.36595000001</v>
          </cell>
          <cell r="FL82">
            <v>298100.36595000001</v>
          </cell>
          <cell r="FM82">
            <v>0</v>
          </cell>
          <cell r="FN82">
            <v>315042.19183000003</v>
          </cell>
          <cell r="FO82">
            <v>315042.19183000003</v>
          </cell>
          <cell r="FP82">
            <v>315042.19183000003</v>
          </cell>
          <cell r="FQ82">
            <v>318392.32165</v>
          </cell>
          <cell r="FR82">
            <v>0</v>
          </cell>
          <cell r="FS82">
            <v>310280.12822000001</v>
          </cell>
          <cell r="FT82">
            <v>310280.12822000001</v>
          </cell>
          <cell r="FU82">
            <v>310280.12822000001</v>
          </cell>
          <cell r="FV82">
            <v>310280.12822000001</v>
          </cell>
          <cell r="FW82">
            <v>310280.12822000001</v>
          </cell>
          <cell r="FX82">
            <v>310280.12822000001</v>
          </cell>
          <cell r="FY82">
            <v>310280.12822000001</v>
          </cell>
          <cell r="FZ82">
            <v>318268.89423999999</v>
          </cell>
          <cell r="GA82">
            <v>319220.98423</v>
          </cell>
          <cell r="GB82">
            <v>319220.98423</v>
          </cell>
          <cell r="GC82">
            <v>329536.15879999998</v>
          </cell>
          <cell r="GD82">
            <v>319220.98440999998</v>
          </cell>
          <cell r="GE82">
            <v>319319.73031999997</v>
          </cell>
          <cell r="GF82">
            <v>319220.98423</v>
          </cell>
          <cell r="GG82">
            <v>319220.98423</v>
          </cell>
          <cell r="GH82">
            <v>319220.98423</v>
          </cell>
          <cell r="GI82">
            <v>319221.04768999998</v>
          </cell>
          <cell r="GJ82">
            <v>319220.98440000002</v>
          </cell>
          <cell r="GK82">
            <v>319220.98423</v>
          </cell>
          <cell r="GL82">
            <v>319220.98423</v>
          </cell>
          <cell r="GM82">
            <v>319220.98423</v>
          </cell>
          <cell r="GN82">
            <v>319220.98423</v>
          </cell>
          <cell r="GO82">
            <v>319220.98423</v>
          </cell>
          <cell r="GP82">
            <v>319220.98423</v>
          </cell>
          <cell r="GQ82">
            <v>319220.98423</v>
          </cell>
          <cell r="GR82">
            <v>319220.98423</v>
          </cell>
          <cell r="GS82">
            <v>319220.98423</v>
          </cell>
          <cell r="GT82">
            <v>319220.98423</v>
          </cell>
          <cell r="GU82">
            <v>0</v>
          </cell>
          <cell r="GZ82">
            <v>0</v>
          </cell>
        </row>
        <row r="83">
          <cell r="A83" t="str">
            <v>F_CNP_NRF_RET_COL_FRCE_752</v>
          </cell>
          <cell r="B83">
            <v>681675.77</v>
          </cell>
          <cell r="D83">
            <v>790260.76327</v>
          </cell>
          <cell r="E83">
            <v>799677.33171000006</v>
          </cell>
          <cell r="F83">
            <v>790260.76327</v>
          </cell>
          <cell r="G83">
            <v>790260.76327</v>
          </cell>
          <cell r="H83">
            <v>0</v>
          </cell>
          <cell r="I83">
            <v>0</v>
          </cell>
          <cell r="J83">
            <v>790260.76327</v>
          </cell>
          <cell r="K83">
            <v>790260.76327</v>
          </cell>
          <cell r="L83">
            <v>790260.76327</v>
          </cell>
          <cell r="M83">
            <v>0</v>
          </cell>
          <cell r="N83">
            <v>790260.76327</v>
          </cell>
          <cell r="O83">
            <v>790260.76327</v>
          </cell>
          <cell r="P83">
            <v>790260.76327</v>
          </cell>
          <cell r="Q83">
            <v>790260.76327</v>
          </cell>
          <cell r="R83">
            <v>0</v>
          </cell>
          <cell r="S83">
            <v>790260.76327</v>
          </cell>
          <cell r="T83">
            <v>790260.76327</v>
          </cell>
          <cell r="U83">
            <v>790260.76327</v>
          </cell>
          <cell r="V83">
            <v>790260.76327</v>
          </cell>
          <cell r="W83">
            <v>790260.76327</v>
          </cell>
          <cell r="X83">
            <v>790260.76327</v>
          </cell>
          <cell r="Y83">
            <v>790260.76327</v>
          </cell>
          <cell r="Z83">
            <v>790260.76327</v>
          </cell>
          <cell r="AA83">
            <v>790260.76327</v>
          </cell>
          <cell r="AB83">
            <v>804420.54897999996</v>
          </cell>
          <cell r="AC83">
            <v>748848.07464999997</v>
          </cell>
          <cell r="AD83">
            <v>0</v>
          </cell>
          <cell r="AE83">
            <v>0</v>
          </cell>
          <cell r="AF83">
            <v>552270.13820000004</v>
          </cell>
          <cell r="AG83">
            <v>552270.13820000004</v>
          </cell>
          <cell r="AH83">
            <v>552270.13820000004</v>
          </cell>
          <cell r="AI83">
            <v>0</v>
          </cell>
          <cell r="AJ83">
            <v>779124.12083999999</v>
          </cell>
          <cell r="AK83">
            <v>779124.12083999999</v>
          </cell>
          <cell r="AL83">
            <v>779124.12083999999</v>
          </cell>
          <cell r="AM83">
            <v>786809.44990000001</v>
          </cell>
          <cell r="AN83">
            <v>0</v>
          </cell>
          <cell r="AO83">
            <v>747782.79850000003</v>
          </cell>
          <cell r="AP83">
            <v>747782.79850000003</v>
          </cell>
          <cell r="AQ83">
            <v>747782.79850000003</v>
          </cell>
          <cell r="AR83">
            <v>747782.79850000003</v>
          </cell>
          <cell r="AS83">
            <v>747782.79850000003</v>
          </cell>
          <cell r="AT83">
            <v>747782.79850000003</v>
          </cell>
          <cell r="AU83">
            <v>747782.79850000003</v>
          </cell>
          <cell r="AV83">
            <v>744396.04009999998</v>
          </cell>
          <cell r="AW83">
            <v>790260.76327</v>
          </cell>
          <cell r="AX83">
            <v>799677.33171000006</v>
          </cell>
          <cell r="AY83">
            <v>799677.33171000006</v>
          </cell>
          <cell r="AZ83">
            <v>0</v>
          </cell>
          <cell r="BA83">
            <v>0</v>
          </cell>
          <cell r="BB83">
            <v>799677.33171000006</v>
          </cell>
          <cell r="BC83">
            <v>799677.33171000006</v>
          </cell>
          <cell r="BD83">
            <v>799677.33171000006</v>
          </cell>
          <cell r="BE83">
            <v>0</v>
          </cell>
          <cell r="BF83">
            <v>799677.33171000006</v>
          </cell>
          <cell r="BG83">
            <v>799677.33171000006</v>
          </cell>
          <cell r="BH83">
            <v>799677.33171000006</v>
          </cell>
          <cell r="BI83">
            <v>799677.33171000006</v>
          </cell>
          <cell r="BJ83">
            <v>0</v>
          </cell>
          <cell r="BK83">
            <v>799677.33171000006</v>
          </cell>
          <cell r="BL83">
            <v>799677.33171000006</v>
          </cell>
          <cell r="BM83">
            <v>799677.33171000006</v>
          </cell>
          <cell r="BN83">
            <v>799677.33171000006</v>
          </cell>
          <cell r="BO83">
            <v>799677.33171000006</v>
          </cell>
          <cell r="BP83">
            <v>799677.33171000006</v>
          </cell>
          <cell r="BQ83">
            <v>799677.33171000006</v>
          </cell>
          <cell r="BR83">
            <v>799677.33171000006</v>
          </cell>
          <cell r="BS83">
            <v>799677.33171000006</v>
          </cell>
          <cell r="BT83">
            <v>844178.25748000003</v>
          </cell>
          <cell r="BU83">
            <v>720158.62976000004</v>
          </cell>
          <cell r="BV83">
            <v>0</v>
          </cell>
          <cell r="BW83">
            <v>0</v>
          </cell>
          <cell r="BX83">
            <v>792780.10852000001</v>
          </cell>
          <cell r="BY83">
            <v>792780.10852000001</v>
          </cell>
          <cell r="BZ83">
            <v>792780.10852000001</v>
          </cell>
          <cell r="CA83">
            <v>0</v>
          </cell>
          <cell r="CB83">
            <v>797711.96582000004</v>
          </cell>
          <cell r="CC83">
            <v>797711.96582000004</v>
          </cell>
          <cell r="CD83">
            <v>797711.96582000004</v>
          </cell>
          <cell r="CE83">
            <v>799677.33117000002</v>
          </cell>
          <cell r="CF83">
            <v>0</v>
          </cell>
          <cell r="CG83">
            <v>798451.31117</v>
          </cell>
          <cell r="CH83">
            <v>798451.31117</v>
          </cell>
          <cell r="CI83">
            <v>798451.31117</v>
          </cell>
          <cell r="CJ83">
            <v>798451.31117</v>
          </cell>
          <cell r="CK83">
            <v>798451.31117</v>
          </cell>
          <cell r="CL83">
            <v>798451.31117</v>
          </cell>
          <cell r="CM83">
            <v>798451.31117</v>
          </cell>
          <cell r="CN83">
            <v>799677.33171000006</v>
          </cell>
          <cell r="CO83">
            <v>749846.37092000002</v>
          </cell>
          <cell r="CP83">
            <v>799677.33171000006</v>
          </cell>
          <cell r="CQ83">
            <v>799677.33171000006</v>
          </cell>
          <cell r="CR83">
            <v>799677.33171000006</v>
          </cell>
          <cell r="CS83">
            <v>799677.33171000006</v>
          </cell>
          <cell r="CT83">
            <v>799677.33171000006</v>
          </cell>
          <cell r="CU83">
            <v>799677.33171000006</v>
          </cell>
          <cell r="CV83">
            <v>799677.33171000006</v>
          </cell>
          <cell r="CW83">
            <v>799677.33171000006</v>
          </cell>
          <cell r="CX83">
            <v>799677.33171000006</v>
          </cell>
          <cell r="CY83">
            <v>799677.33171000006</v>
          </cell>
          <cell r="CZ83">
            <v>799677.33171000006</v>
          </cell>
          <cell r="DA83">
            <v>827182.69434000005</v>
          </cell>
          <cell r="DB83">
            <v>799677.33171000006</v>
          </cell>
          <cell r="DC83">
            <v>800001.47749000008</v>
          </cell>
          <cell r="DD83">
            <v>799677.33171000006</v>
          </cell>
          <cell r="DE83">
            <v>686638.58458000002</v>
          </cell>
          <cell r="DF83">
            <v>912716.07884000009</v>
          </cell>
          <cell r="DG83">
            <v>814384.26696000004</v>
          </cell>
          <cell r="DH83">
            <v>799677.33171000006</v>
          </cell>
          <cell r="DI83">
            <v>799677.33171000006</v>
          </cell>
          <cell r="DJ83">
            <v>0</v>
          </cell>
          <cell r="DK83">
            <v>0</v>
          </cell>
          <cell r="DL83">
            <v>0</v>
          </cell>
          <cell r="DM83">
            <v>0</v>
          </cell>
          <cell r="DN83">
            <v>0</v>
          </cell>
          <cell r="DO83">
            <v>0</v>
          </cell>
          <cell r="DP83">
            <v>0</v>
          </cell>
          <cell r="DQ83">
            <v>0</v>
          </cell>
          <cell r="DR83">
            <v>0</v>
          </cell>
          <cell r="DS83">
            <v>0</v>
          </cell>
          <cell r="DT83">
            <v>0</v>
          </cell>
          <cell r="DU83">
            <v>0</v>
          </cell>
          <cell r="DV83">
            <v>0</v>
          </cell>
          <cell r="DW83">
            <v>0</v>
          </cell>
          <cell r="DX83" t="str">
            <v/>
          </cell>
          <cell r="DY83" t="str">
            <v/>
          </cell>
          <cell r="DZ83" t="str">
            <v/>
          </cell>
          <cell r="EA83">
            <v>799677.33171000006</v>
          </cell>
          <cell r="EB83">
            <v>799677.33171000006</v>
          </cell>
          <cell r="EC83">
            <v>799677.33171000006</v>
          </cell>
          <cell r="ED83">
            <v>799677.33171000006</v>
          </cell>
          <cell r="EE83">
            <v>799677.33171000006</v>
          </cell>
          <cell r="EF83">
            <v>799677.33171000006</v>
          </cell>
          <cell r="EG83">
            <v>799677.33171000006</v>
          </cell>
          <cell r="EH83">
            <v>799677.33171000006</v>
          </cell>
          <cell r="EI83">
            <v>799677.33171000006</v>
          </cell>
          <cell r="EJ83">
            <v>799677.33171000006</v>
          </cell>
          <cell r="EK83">
            <v>799677.33171000006</v>
          </cell>
          <cell r="EL83">
            <v>799677.33171000006</v>
          </cell>
          <cell r="EM83">
            <v>799677.33171000006</v>
          </cell>
          <cell r="EN83">
            <v>799677.33171000006</v>
          </cell>
          <cell r="EO83">
            <v>686638.58458000002</v>
          </cell>
          <cell r="EP83">
            <v>912716.07884000009</v>
          </cell>
          <cell r="EQ83">
            <v>799677.33171000006</v>
          </cell>
          <cell r="ER83">
            <v>799677.33171000006</v>
          </cell>
          <cell r="ES83">
            <v>0</v>
          </cell>
          <cell r="ET83">
            <v>0</v>
          </cell>
          <cell r="EU83">
            <v>0</v>
          </cell>
          <cell r="EV83">
            <v>0</v>
          </cell>
          <cell r="EW83">
            <v>0</v>
          </cell>
          <cell r="EX83">
            <v>0</v>
          </cell>
          <cell r="EY83">
            <v>0</v>
          </cell>
          <cell r="EZ83">
            <v>0</v>
          </cell>
          <cell r="FA83">
            <v>0</v>
          </cell>
          <cell r="FB83">
            <v>0</v>
          </cell>
          <cell r="FC83">
            <v>0</v>
          </cell>
          <cell r="FD83">
            <v>113038.74742999999</v>
          </cell>
          <cell r="FE83">
            <v>686638.58458000002</v>
          </cell>
          <cell r="FF83">
            <v>830483.70678999997</v>
          </cell>
          <cell r="FG83">
            <v>740889.91159000003</v>
          </cell>
          <cell r="FH83">
            <v>0</v>
          </cell>
          <cell r="FI83">
            <v>0</v>
          </cell>
          <cell r="FJ83">
            <v>582347.77434999996</v>
          </cell>
          <cell r="FK83">
            <v>582347.77434999996</v>
          </cell>
          <cell r="FL83">
            <v>582347.77434999996</v>
          </cell>
          <cell r="FM83">
            <v>0</v>
          </cell>
          <cell r="FN83">
            <v>789158.08649999998</v>
          </cell>
          <cell r="FO83">
            <v>789158.08649999998</v>
          </cell>
          <cell r="FP83">
            <v>789158.08649999998</v>
          </cell>
          <cell r="FQ83">
            <v>797672.83729000005</v>
          </cell>
          <cell r="FR83">
            <v>0</v>
          </cell>
          <cell r="FS83">
            <v>775900.96716999996</v>
          </cell>
          <cell r="FT83">
            <v>775900.96716999996</v>
          </cell>
          <cell r="FU83">
            <v>775900.96716999996</v>
          </cell>
          <cell r="FV83">
            <v>775900.96716999996</v>
          </cell>
          <cell r="FW83">
            <v>775900.96716999996</v>
          </cell>
          <cell r="FX83">
            <v>775900.96716999996</v>
          </cell>
          <cell r="FY83">
            <v>775900.96716999996</v>
          </cell>
          <cell r="FZ83">
            <v>754513.31085999997</v>
          </cell>
          <cell r="GA83">
            <v>743131.81345999998</v>
          </cell>
          <cell r="GB83">
            <v>799677.33171000006</v>
          </cell>
          <cell r="GC83">
            <v>823996.13444000005</v>
          </cell>
          <cell r="GD83">
            <v>799677.33206000004</v>
          </cell>
          <cell r="GE83">
            <v>799703.97328000003</v>
          </cell>
          <cell r="GF83">
            <v>799677.33171000006</v>
          </cell>
          <cell r="GG83">
            <v>799677.33171000006</v>
          </cell>
          <cell r="GH83">
            <v>799677.33171000006</v>
          </cell>
          <cell r="GI83">
            <v>817272.05221999995</v>
          </cell>
          <cell r="GJ83">
            <v>799677.33206000004</v>
          </cell>
          <cell r="GK83">
            <v>799677.33171000006</v>
          </cell>
          <cell r="GL83">
            <v>799677.33171000006</v>
          </cell>
          <cell r="GM83">
            <v>799677.33171000006</v>
          </cell>
          <cell r="GN83">
            <v>799677.33171000006</v>
          </cell>
          <cell r="GO83">
            <v>799677.33171000006</v>
          </cell>
          <cell r="GP83">
            <v>799677.33171000006</v>
          </cell>
          <cell r="GQ83">
            <v>799677.33171000006</v>
          </cell>
          <cell r="GR83">
            <v>799677.33171000006</v>
          </cell>
          <cell r="GS83">
            <v>799677.33171000006</v>
          </cell>
          <cell r="GT83">
            <v>799677.33171000006</v>
          </cell>
          <cell r="GU83">
            <v>0</v>
          </cell>
          <cell r="GZ83">
            <v>0</v>
          </cell>
        </row>
        <row r="84">
          <cell r="A84" t="str">
            <v>F_CNP_NRF_RET_COL_FRCE_CIP</v>
          </cell>
          <cell r="B84">
            <v>0</v>
          </cell>
          <cell r="D84">
            <v>0</v>
          </cell>
          <cell r="E84">
            <v>0</v>
          </cell>
          <cell r="F84">
            <v>0</v>
          </cell>
          <cell r="G84">
            <v>0</v>
          </cell>
          <cell r="H84">
            <v>0</v>
          </cell>
          <cell r="I84">
            <v>0</v>
          </cell>
          <cell r="J84">
            <v>0</v>
          </cell>
          <cell r="K84">
            <v>0</v>
          </cell>
          <cell r="L84">
            <v>0</v>
          </cell>
          <cell r="M84">
            <v>0</v>
          </cell>
          <cell r="N84">
            <v>0</v>
          </cell>
          <cell r="O84">
            <v>0</v>
          </cell>
          <cell r="P84">
            <v>0</v>
          </cell>
          <cell r="Q84">
            <v>0</v>
          </cell>
          <cell r="R84">
            <v>0</v>
          </cell>
          <cell r="S84">
            <v>0</v>
          </cell>
          <cell r="T84">
            <v>0</v>
          </cell>
          <cell r="U84">
            <v>0</v>
          </cell>
          <cell r="V84">
            <v>0</v>
          </cell>
          <cell r="W84">
            <v>0</v>
          </cell>
          <cell r="X84">
            <v>0</v>
          </cell>
          <cell r="Y84">
            <v>0</v>
          </cell>
          <cell r="Z84">
            <v>0</v>
          </cell>
          <cell r="AA84">
            <v>0</v>
          </cell>
          <cell r="AB84">
            <v>0</v>
          </cell>
          <cell r="AC84">
            <v>0</v>
          </cell>
          <cell r="AD84">
            <v>0</v>
          </cell>
          <cell r="AE84">
            <v>0</v>
          </cell>
          <cell r="AF84">
            <v>0</v>
          </cell>
          <cell r="AG84">
            <v>0</v>
          </cell>
          <cell r="AH84">
            <v>0</v>
          </cell>
          <cell r="AI84">
            <v>0</v>
          </cell>
          <cell r="AJ84">
            <v>0</v>
          </cell>
          <cell r="AK84">
            <v>0</v>
          </cell>
          <cell r="AL84">
            <v>0</v>
          </cell>
          <cell r="AM84">
            <v>0</v>
          </cell>
          <cell r="AN84">
            <v>0</v>
          </cell>
          <cell r="AO84">
            <v>0</v>
          </cell>
          <cell r="AP84">
            <v>0</v>
          </cell>
          <cell r="AQ84">
            <v>0</v>
          </cell>
          <cell r="AR84">
            <v>0</v>
          </cell>
          <cell r="AS84">
            <v>0</v>
          </cell>
          <cell r="AT84">
            <v>0</v>
          </cell>
          <cell r="AU84">
            <v>0</v>
          </cell>
          <cell r="AV84">
            <v>0</v>
          </cell>
          <cell r="AW84">
            <v>0</v>
          </cell>
          <cell r="AX84">
            <v>0</v>
          </cell>
          <cell r="AY84">
            <v>0</v>
          </cell>
          <cell r="AZ84">
            <v>0</v>
          </cell>
          <cell r="BA84">
            <v>0</v>
          </cell>
          <cell r="BB84">
            <v>0</v>
          </cell>
          <cell r="BC84">
            <v>0</v>
          </cell>
          <cell r="BD84">
            <v>0</v>
          </cell>
          <cell r="BE84">
            <v>0</v>
          </cell>
          <cell r="BF84">
            <v>0</v>
          </cell>
          <cell r="BG84">
            <v>0</v>
          </cell>
          <cell r="BH84">
            <v>0</v>
          </cell>
          <cell r="BI84">
            <v>0</v>
          </cell>
          <cell r="BJ84">
            <v>0</v>
          </cell>
          <cell r="BK84">
            <v>0</v>
          </cell>
          <cell r="BL84">
            <v>0</v>
          </cell>
          <cell r="BM84">
            <v>0</v>
          </cell>
          <cell r="BN84">
            <v>0</v>
          </cell>
          <cell r="BO84">
            <v>0</v>
          </cell>
          <cell r="BP84">
            <v>0</v>
          </cell>
          <cell r="BQ84">
            <v>0</v>
          </cell>
          <cell r="BR84">
            <v>0</v>
          </cell>
          <cell r="BS84">
            <v>0</v>
          </cell>
          <cell r="BT84">
            <v>0</v>
          </cell>
          <cell r="BU84">
            <v>0</v>
          </cell>
          <cell r="BV84">
            <v>0</v>
          </cell>
          <cell r="BW84">
            <v>0</v>
          </cell>
          <cell r="BX84">
            <v>0</v>
          </cell>
          <cell r="BY84">
            <v>0</v>
          </cell>
          <cell r="BZ84">
            <v>0</v>
          </cell>
          <cell r="CA84">
            <v>0</v>
          </cell>
          <cell r="CB84">
            <v>0</v>
          </cell>
          <cell r="CC84">
            <v>0</v>
          </cell>
          <cell r="CD84">
            <v>0</v>
          </cell>
          <cell r="CE84">
            <v>0</v>
          </cell>
          <cell r="CF84">
            <v>0</v>
          </cell>
          <cell r="CG84">
            <v>0</v>
          </cell>
          <cell r="CH84">
            <v>0</v>
          </cell>
          <cell r="CI84">
            <v>0</v>
          </cell>
          <cell r="CJ84">
            <v>0</v>
          </cell>
          <cell r="CK84">
            <v>0</v>
          </cell>
          <cell r="CL84">
            <v>0</v>
          </cell>
          <cell r="CM84">
            <v>0</v>
          </cell>
          <cell r="CN84">
            <v>0</v>
          </cell>
          <cell r="CO84">
            <v>0</v>
          </cell>
          <cell r="CP84">
            <v>0</v>
          </cell>
          <cell r="CQ84">
            <v>0</v>
          </cell>
          <cell r="CR84">
            <v>0</v>
          </cell>
          <cell r="CS84">
            <v>0</v>
          </cell>
          <cell r="CT84">
            <v>0</v>
          </cell>
          <cell r="CU84">
            <v>0</v>
          </cell>
          <cell r="CV84">
            <v>0</v>
          </cell>
          <cell r="CW84">
            <v>0</v>
          </cell>
          <cell r="CX84">
            <v>0</v>
          </cell>
          <cell r="CY84">
            <v>0</v>
          </cell>
          <cell r="CZ84">
            <v>0</v>
          </cell>
          <cell r="DA84">
            <v>0</v>
          </cell>
          <cell r="DB84">
            <v>0</v>
          </cell>
          <cell r="DC84">
            <v>0</v>
          </cell>
          <cell r="DD84">
            <v>0</v>
          </cell>
          <cell r="DE84">
            <v>0</v>
          </cell>
          <cell r="DF84">
            <v>0</v>
          </cell>
          <cell r="DG84">
            <v>0</v>
          </cell>
          <cell r="DH84">
            <v>0</v>
          </cell>
          <cell r="DI84">
            <v>0</v>
          </cell>
          <cell r="DJ84">
            <v>0</v>
          </cell>
          <cell r="DK84">
            <v>0</v>
          </cell>
          <cell r="DL84">
            <v>0</v>
          </cell>
          <cell r="DM84">
            <v>0</v>
          </cell>
          <cell r="DN84">
            <v>0</v>
          </cell>
          <cell r="DO84">
            <v>0</v>
          </cell>
          <cell r="DP84">
            <v>0</v>
          </cell>
          <cell r="DQ84">
            <v>0</v>
          </cell>
          <cell r="DR84">
            <v>0</v>
          </cell>
          <cell r="DS84">
            <v>0</v>
          </cell>
          <cell r="DT84">
            <v>0</v>
          </cell>
          <cell r="DU84">
            <v>0</v>
          </cell>
          <cell r="DV84">
            <v>0</v>
          </cell>
          <cell r="DW84">
            <v>0</v>
          </cell>
          <cell r="DX84" t="str">
            <v/>
          </cell>
          <cell r="DY84" t="str">
            <v/>
          </cell>
          <cell r="DZ84" t="str">
            <v/>
          </cell>
          <cell r="EA84">
            <v>0</v>
          </cell>
          <cell r="EB84">
            <v>0</v>
          </cell>
          <cell r="EC84">
            <v>0</v>
          </cell>
          <cell r="ED84">
            <v>0</v>
          </cell>
          <cell r="EE84">
            <v>0</v>
          </cell>
          <cell r="EF84">
            <v>0</v>
          </cell>
          <cell r="EG84">
            <v>0</v>
          </cell>
          <cell r="EH84">
            <v>0</v>
          </cell>
          <cell r="EI84">
            <v>0</v>
          </cell>
          <cell r="EJ84">
            <v>0</v>
          </cell>
          <cell r="EK84">
            <v>0</v>
          </cell>
          <cell r="EL84">
            <v>0</v>
          </cell>
          <cell r="EM84">
            <v>0</v>
          </cell>
          <cell r="EN84">
            <v>0</v>
          </cell>
          <cell r="EO84">
            <v>0</v>
          </cell>
          <cell r="EP84">
            <v>0</v>
          </cell>
          <cell r="EQ84">
            <v>0</v>
          </cell>
          <cell r="ER84">
            <v>0</v>
          </cell>
          <cell r="ES84">
            <v>0</v>
          </cell>
          <cell r="ET84">
            <v>0</v>
          </cell>
          <cell r="EU84">
            <v>0</v>
          </cell>
          <cell r="EV84">
            <v>0</v>
          </cell>
          <cell r="EW84">
            <v>0</v>
          </cell>
          <cell r="EX84">
            <v>0</v>
          </cell>
          <cell r="EY84">
            <v>0</v>
          </cell>
          <cell r="EZ84">
            <v>0</v>
          </cell>
          <cell r="FA84">
            <v>0</v>
          </cell>
          <cell r="FB84">
            <v>0</v>
          </cell>
          <cell r="FC84">
            <v>0</v>
          </cell>
          <cell r="FD84">
            <v>0</v>
          </cell>
          <cell r="FE84">
            <v>0</v>
          </cell>
          <cell r="FF84">
            <v>0</v>
          </cell>
          <cell r="FG84">
            <v>0</v>
          </cell>
          <cell r="FH84">
            <v>0</v>
          </cell>
          <cell r="FI84">
            <v>0</v>
          </cell>
          <cell r="FJ84">
            <v>0</v>
          </cell>
          <cell r="FK84">
            <v>0</v>
          </cell>
          <cell r="FL84">
            <v>0</v>
          </cell>
          <cell r="FM84">
            <v>0</v>
          </cell>
          <cell r="FN84">
            <v>0</v>
          </cell>
          <cell r="FO84">
            <v>0</v>
          </cell>
          <cell r="FP84">
            <v>0</v>
          </cell>
          <cell r="FQ84">
            <v>0</v>
          </cell>
          <cell r="FR84">
            <v>0</v>
          </cell>
          <cell r="FS84">
            <v>0</v>
          </cell>
          <cell r="FT84">
            <v>0</v>
          </cell>
          <cell r="FU84">
            <v>0</v>
          </cell>
          <cell r="FV84">
            <v>0</v>
          </cell>
          <cell r="FW84">
            <v>0</v>
          </cell>
          <cell r="FX84">
            <v>0</v>
          </cell>
          <cell r="FY84">
            <v>0</v>
          </cell>
          <cell r="FZ84">
            <v>0</v>
          </cell>
          <cell r="GA84">
            <v>0</v>
          </cell>
          <cell r="GB84">
            <v>0</v>
          </cell>
          <cell r="GC84">
            <v>0</v>
          </cell>
          <cell r="GD84">
            <v>0</v>
          </cell>
          <cell r="GE84">
            <v>0</v>
          </cell>
          <cell r="GF84">
            <v>0</v>
          </cell>
          <cell r="GG84">
            <v>0</v>
          </cell>
          <cell r="GH84">
            <v>0</v>
          </cell>
          <cell r="GI84">
            <v>0</v>
          </cell>
          <cell r="GJ84">
            <v>0</v>
          </cell>
          <cell r="GK84">
            <v>0</v>
          </cell>
          <cell r="GL84">
            <v>0</v>
          </cell>
          <cell r="GM84">
            <v>0</v>
          </cell>
          <cell r="GN84">
            <v>0</v>
          </cell>
          <cell r="GO84">
            <v>0</v>
          </cell>
          <cell r="GP84">
            <v>0</v>
          </cell>
          <cell r="GQ84">
            <v>0</v>
          </cell>
          <cell r="GR84">
            <v>0</v>
          </cell>
          <cell r="GS84">
            <v>0</v>
          </cell>
          <cell r="GT84">
            <v>0</v>
          </cell>
          <cell r="GU84">
            <v>0</v>
          </cell>
          <cell r="GZ84">
            <v>0</v>
          </cell>
        </row>
        <row r="85">
          <cell r="A85" t="str">
            <v>F_CNP_RFF_RET_COL_FRCE_035</v>
          </cell>
          <cell r="B85">
            <v>4843978367.8999996</v>
          </cell>
          <cell r="D85">
            <v>5831300979.7744904</v>
          </cell>
          <cell r="E85">
            <v>5413734846.02139</v>
          </cell>
          <cell r="F85">
            <v>5831300979.7744904</v>
          </cell>
          <cell r="G85">
            <v>5831300979.7744904</v>
          </cell>
          <cell r="H85">
            <v>0</v>
          </cell>
          <cell r="I85">
            <v>0</v>
          </cell>
          <cell r="J85">
            <v>5831300979.7744904</v>
          </cell>
          <cell r="K85">
            <v>5831300979.7744904</v>
          </cell>
          <cell r="L85">
            <v>5831300979.7744904</v>
          </cell>
          <cell r="M85">
            <v>0</v>
          </cell>
          <cell r="N85">
            <v>5831300979.7744904</v>
          </cell>
          <cell r="O85">
            <v>5831300979.7744904</v>
          </cell>
          <cell r="P85">
            <v>5831300979.7744904</v>
          </cell>
          <cell r="Q85">
            <v>5831300979.7744904</v>
          </cell>
          <cell r="R85">
            <v>0</v>
          </cell>
          <cell r="S85">
            <v>5831300979.7744904</v>
          </cell>
          <cell r="T85">
            <v>5831300979.7744904</v>
          </cell>
          <cell r="U85">
            <v>5831300979.7744904</v>
          </cell>
          <cell r="V85">
            <v>5831300979.7744904</v>
          </cell>
          <cell r="W85">
            <v>5831300979.7744904</v>
          </cell>
          <cell r="X85">
            <v>5831300979.7744904</v>
          </cell>
          <cell r="Y85">
            <v>5831300979.7744904</v>
          </cell>
          <cell r="Z85">
            <v>5831300979.7744904</v>
          </cell>
          <cell r="AA85">
            <v>5831300979.7744904</v>
          </cell>
          <cell r="AB85">
            <v>5985300971.2424698</v>
          </cell>
          <cell r="AC85">
            <v>5441114314.9039602</v>
          </cell>
          <cell r="AD85">
            <v>0</v>
          </cell>
          <cell r="AE85">
            <v>0</v>
          </cell>
          <cell r="AF85">
            <v>5612934153.4986897</v>
          </cell>
          <cell r="AG85">
            <v>5612934153.4986897</v>
          </cell>
          <cell r="AH85">
            <v>5612934153.4986897</v>
          </cell>
          <cell r="AI85">
            <v>0</v>
          </cell>
          <cell r="AJ85">
            <v>5827401084.9338303</v>
          </cell>
          <cell r="AK85">
            <v>5827401084.9338303</v>
          </cell>
          <cell r="AL85">
            <v>5827401084.9338303</v>
          </cell>
          <cell r="AM85">
            <v>5788568250.4216003</v>
          </cell>
          <cell r="AN85">
            <v>0</v>
          </cell>
          <cell r="AO85">
            <v>5625986467.4168396</v>
          </cell>
          <cell r="AP85">
            <v>5625986467.4168396</v>
          </cell>
          <cell r="AQ85">
            <v>5625986467.4168396</v>
          </cell>
          <cell r="AR85">
            <v>5625986467.4168396</v>
          </cell>
          <cell r="AS85">
            <v>5625986467.4168396</v>
          </cell>
          <cell r="AT85">
            <v>5625986467.4168396</v>
          </cell>
          <cell r="AU85">
            <v>5625986467.4168396</v>
          </cell>
          <cell r="AV85">
            <v>5839805378.1613102</v>
          </cell>
          <cell r="AW85">
            <v>5831300979.7744904</v>
          </cell>
          <cell r="AX85">
            <v>5413734846.02139</v>
          </cell>
          <cell r="AY85">
            <v>5413734846.02139</v>
          </cell>
          <cell r="AZ85">
            <v>0</v>
          </cell>
          <cell r="BA85">
            <v>0</v>
          </cell>
          <cell r="BB85">
            <v>5413734846.02139</v>
          </cell>
          <cell r="BC85">
            <v>5413734846.02139</v>
          </cell>
          <cell r="BD85">
            <v>5413734846.02139</v>
          </cell>
          <cell r="BE85">
            <v>0</v>
          </cell>
          <cell r="BF85">
            <v>5413734846.02139</v>
          </cell>
          <cell r="BG85">
            <v>5413734846.02139</v>
          </cell>
          <cell r="BH85">
            <v>5413734846.02139</v>
          </cell>
          <cell r="BI85">
            <v>5413734846.02139</v>
          </cell>
          <cell r="BJ85">
            <v>0</v>
          </cell>
          <cell r="BK85">
            <v>5413734846.02139</v>
          </cell>
          <cell r="BL85">
            <v>5413734846.02139</v>
          </cell>
          <cell r="BM85">
            <v>5413734846.02139</v>
          </cell>
          <cell r="BN85">
            <v>5413734846.02139</v>
          </cell>
          <cell r="BO85">
            <v>5413734846.02139</v>
          </cell>
          <cell r="BP85">
            <v>5413734846.02139</v>
          </cell>
          <cell r="BQ85">
            <v>5413734846.02139</v>
          </cell>
          <cell r="BR85">
            <v>5413734846.02139</v>
          </cell>
          <cell r="BS85">
            <v>5413734846.02139</v>
          </cell>
          <cell r="BT85">
            <v>5783990724.02911</v>
          </cell>
          <cell r="BU85">
            <v>4749265344.0462093</v>
          </cell>
          <cell r="BV85">
            <v>0</v>
          </cell>
          <cell r="BW85">
            <v>0</v>
          </cell>
          <cell r="BX85">
            <v>5413734846.02139</v>
          </cell>
          <cell r="BY85">
            <v>5413734846.02139</v>
          </cell>
          <cell r="BZ85">
            <v>5413734846.02139</v>
          </cell>
          <cell r="CA85">
            <v>0</v>
          </cell>
          <cell r="CB85">
            <v>5413734846.02139</v>
          </cell>
          <cell r="CC85">
            <v>5413734846.02139</v>
          </cell>
          <cell r="CD85">
            <v>5413734846.02139</v>
          </cell>
          <cell r="CE85">
            <v>5413734846.02139</v>
          </cell>
          <cell r="CF85">
            <v>0</v>
          </cell>
          <cell r="CG85">
            <v>5413734846.02139</v>
          </cell>
          <cell r="CH85">
            <v>5413734846.02139</v>
          </cell>
          <cell r="CI85">
            <v>5413734846.02139</v>
          </cell>
          <cell r="CJ85">
            <v>5413734846.02139</v>
          </cell>
          <cell r="CK85">
            <v>5413734846.02139</v>
          </cell>
          <cell r="CL85">
            <v>5413734846.02139</v>
          </cell>
          <cell r="CM85">
            <v>5413734846.02139</v>
          </cell>
          <cell r="CN85">
            <v>5413734846.02139</v>
          </cell>
          <cell r="CO85">
            <v>5134083064.9085693</v>
          </cell>
          <cell r="CP85">
            <v>5413734846.02139</v>
          </cell>
          <cell r="CQ85">
            <v>5413734846.02139</v>
          </cell>
          <cell r="CR85">
            <v>5413734846.02139</v>
          </cell>
          <cell r="CS85">
            <v>5413734846.02139</v>
          </cell>
          <cell r="CT85">
            <v>5413734846.02139</v>
          </cell>
          <cell r="CU85">
            <v>5413734846.02139</v>
          </cell>
          <cell r="CV85">
            <v>5413734846.02139</v>
          </cell>
          <cell r="CW85">
            <v>5413734846.02139</v>
          </cell>
          <cell r="CX85">
            <v>5413734846.02139</v>
          </cell>
          <cell r="CY85">
            <v>5413734846.02139</v>
          </cell>
          <cell r="CZ85">
            <v>5413734846.02139</v>
          </cell>
          <cell r="DA85">
            <v>5609107736.1633892</v>
          </cell>
          <cell r="DB85">
            <v>5413734846.02139</v>
          </cell>
          <cell r="DC85">
            <v>5413734846.02139</v>
          </cell>
          <cell r="DD85">
            <v>5414013737.2394199</v>
          </cell>
          <cell r="DE85">
            <v>4878731632.6161003</v>
          </cell>
          <cell r="DF85">
            <v>5948738059.4266796</v>
          </cell>
          <cell r="DG85">
            <v>5486613074.5797596</v>
          </cell>
          <cell r="DH85">
            <v>5413734846.02139</v>
          </cell>
          <cell r="DI85">
            <v>5413734846.02139</v>
          </cell>
          <cell r="DJ85">
            <v>0</v>
          </cell>
          <cell r="DK85">
            <v>0</v>
          </cell>
          <cell r="DL85">
            <v>0</v>
          </cell>
          <cell r="DM85">
            <v>0</v>
          </cell>
          <cell r="DN85">
            <v>0</v>
          </cell>
          <cell r="DO85">
            <v>0</v>
          </cell>
          <cell r="DP85">
            <v>0</v>
          </cell>
          <cell r="DQ85">
            <v>0</v>
          </cell>
          <cell r="DR85">
            <v>0</v>
          </cell>
          <cell r="DS85">
            <v>0</v>
          </cell>
          <cell r="DT85">
            <v>0</v>
          </cell>
          <cell r="DU85">
            <v>0</v>
          </cell>
          <cell r="DV85">
            <v>0</v>
          </cell>
          <cell r="DW85">
            <v>0</v>
          </cell>
          <cell r="DX85" t="str">
            <v/>
          </cell>
          <cell r="DY85" t="str">
            <v/>
          </cell>
          <cell r="DZ85" t="str">
            <v/>
          </cell>
          <cell r="EA85">
            <v>5413734846.02139</v>
          </cell>
          <cell r="EB85">
            <v>5413734846.02139</v>
          </cell>
          <cell r="EC85">
            <v>5413734846.02139</v>
          </cell>
          <cell r="ED85">
            <v>5413734846.02139</v>
          </cell>
          <cell r="EE85">
            <v>5413734846.02139</v>
          </cell>
          <cell r="EF85">
            <v>5413734846.02139</v>
          </cell>
          <cell r="EG85">
            <v>5413734846.02139</v>
          </cell>
          <cell r="EH85">
            <v>5413734846.02139</v>
          </cell>
          <cell r="EI85">
            <v>5413734846.02139</v>
          </cell>
          <cell r="EJ85">
            <v>5413734846.02139</v>
          </cell>
          <cell r="EK85">
            <v>5413734846.02139</v>
          </cell>
          <cell r="EL85">
            <v>5413734846.02139</v>
          </cell>
          <cell r="EM85">
            <v>5413734846.02139</v>
          </cell>
          <cell r="EN85">
            <v>5413734846.02139</v>
          </cell>
          <cell r="EO85">
            <v>4878731632.6161003</v>
          </cell>
          <cell r="EP85">
            <v>5948738059.4266796</v>
          </cell>
          <cell r="EQ85">
            <v>5413734846.02139</v>
          </cell>
          <cell r="ER85">
            <v>5413734846.02139</v>
          </cell>
          <cell r="ES85">
            <v>0</v>
          </cell>
          <cell r="ET85">
            <v>0</v>
          </cell>
          <cell r="EU85">
            <v>0</v>
          </cell>
          <cell r="EV85">
            <v>0</v>
          </cell>
          <cell r="EW85">
            <v>0</v>
          </cell>
          <cell r="EX85">
            <v>0</v>
          </cell>
          <cell r="EY85">
            <v>0</v>
          </cell>
          <cell r="EZ85">
            <v>0</v>
          </cell>
          <cell r="FA85">
            <v>0</v>
          </cell>
          <cell r="FB85">
            <v>0</v>
          </cell>
          <cell r="FC85">
            <v>0</v>
          </cell>
          <cell r="FD85">
            <v>535003213.40528965</v>
          </cell>
          <cell r="FE85">
            <v>4878731632.6161003</v>
          </cell>
          <cell r="FF85">
            <v>5678703605.3608999</v>
          </cell>
          <cell r="FG85">
            <v>4912539464.5149298</v>
          </cell>
          <cell r="FH85">
            <v>0</v>
          </cell>
          <cell r="FI85">
            <v>0</v>
          </cell>
          <cell r="FJ85">
            <v>5266888179.4298096</v>
          </cell>
          <cell r="FK85">
            <v>5266888179.4298096</v>
          </cell>
          <cell r="FL85">
            <v>5266888179.4298096</v>
          </cell>
          <cell r="FM85">
            <v>0</v>
          </cell>
          <cell r="FN85">
            <v>5410999903.1034203</v>
          </cell>
          <cell r="FO85">
            <v>5410999903.1034203</v>
          </cell>
          <cell r="FP85">
            <v>5410999903.1034203</v>
          </cell>
          <cell r="FQ85">
            <v>5385780083.0094604</v>
          </cell>
          <cell r="FR85">
            <v>0</v>
          </cell>
          <cell r="FS85">
            <v>5285111062.0143805</v>
          </cell>
          <cell r="FT85">
            <v>5285111062.0143805</v>
          </cell>
          <cell r="FU85">
            <v>5285111062.0143805</v>
          </cell>
          <cell r="FV85">
            <v>5285111062.0143805</v>
          </cell>
          <cell r="FW85">
            <v>5285111062.0143805</v>
          </cell>
          <cell r="FX85">
            <v>5285111062.0143805</v>
          </cell>
          <cell r="FY85">
            <v>5285111062.0143805</v>
          </cell>
          <cell r="FZ85">
            <v>5424873009.0048504</v>
          </cell>
          <cell r="GA85">
            <v>5097017515.4210701</v>
          </cell>
          <cell r="GB85">
            <v>5413734846.02139</v>
          </cell>
          <cell r="GC85">
            <v>5499432322.0055304</v>
          </cell>
          <cell r="GD85">
            <v>5413734846.02139</v>
          </cell>
          <cell r="GE85">
            <v>5413734846.02139</v>
          </cell>
          <cell r="GF85">
            <v>5414322957.5634003</v>
          </cell>
          <cell r="GG85">
            <v>5413734846.02139</v>
          </cell>
          <cell r="GH85">
            <v>5413734846.02139</v>
          </cell>
          <cell r="GI85">
            <v>5500900283.5185003</v>
          </cell>
          <cell r="GJ85">
            <v>5413734846.02139</v>
          </cell>
          <cell r="GK85">
            <v>5413734846.02139</v>
          </cell>
          <cell r="GL85">
            <v>5413734846.02139</v>
          </cell>
          <cell r="GM85">
            <v>5413734846.02139</v>
          </cell>
          <cell r="GN85">
            <v>5413734846.02139</v>
          </cell>
          <cell r="GO85">
            <v>5413734846.02139</v>
          </cell>
          <cell r="GP85">
            <v>5413734846.02139</v>
          </cell>
          <cell r="GQ85">
            <v>5413734846.02139</v>
          </cell>
          <cell r="GR85">
            <v>5413734846.02139</v>
          </cell>
          <cell r="GS85">
            <v>5413734846.02139</v>
          </cell>
          <cell r="GT85">
            <v>5413734846.02139</v>
          </cell>
          <cell r="GU85">
            <v>0</v>
          </cell>
          <cell r="GZ85">
            <v>0</v>
          </cell>
        </row>
        <row r="86">
          <cell r="A86" t="str">
            <v>F_CNP_RFF_RET_COL_FRCE_031</v>
          </cell>
          <cell r="B86">
            <v>88712513.450000003</v>
          </cell>
          <cell r="D86">
            <v>109056187.41168</v>
          </cell>
          <cell r="E86">
            <v>110976919.99472</v>
          </cell>
          <cell r="F86">
            <v>109056187.41168</v>
          </cell>
          <cell r="G86">
            <v>109056187.41168</v>
          </cell>
          <cell r="H86">
            <v>0</v>
          </cell>
          <cell r="I86">
            <v>0</v>
          </cell>
          <cell r="J86">
            <v>109056187.41168</v>
          </cell>
          <cell r="K86">
            <v>109056187.41168</v>
          </cell>
          <cell r="L86">
            <v>109056187.41168</v>
          </cell>
          <cell r="M86">
            <v>0</v>
          </cell>
          <cell r="N86">
            <v>109056187.41168</v>
          </cell>
          <cell r="O86">
            <v>109056187.41168</v>
          </cell>
          <cell r="P86">
            <v>109056187.41168</v>
          </cell>
          <cell r="Q86">
            <v>109056187.41168</v>
          </cell>
          <cell r="R86">
            <v>0</v>
          </cell>
          <cell r="S86">
            <v>109056187.41168</v>
          </cell>
          <cell r="T86">
            <v>109056187.41168</v>
          </cell>
          <cell r="U86">
            <v>109056187.41168</v>
          </cell>
          <cell r="V86">
            <v>109056187.41168</v>
          </cell>
          <cell r="W86">
            <v>109056187.41168</v>
          </cell>
          <cell r="X86">
            <v>109056187.41168</v>
          </cell>
          <cell r="Y86">
            <v>109056187.41168</v>
          </cell>
          <cell r="Z86">
            <v>109056187.41168</v>
          </cell>
          <cell r="AA86">
            <v>109056187.41168</v>
          </cell>
          <cell r="AB86">
            <v>111069971.44372</v>
          </cell>
          <cell r="AC86">
            <v>102901513.72802</v>
          </cell>
          <cell r="AD86">
            <v>0</v>
          </cell>
          <cell r="AE86">
            <v>0</v>
          </cell>
          <cell r="AF86">
            <v>105513838.81696001</v>
          </cell>
          <cell r="AG86">
            <v>105513838.81696001</v>
          </cell>
          <cell r="AH86">
            <v>105513838.81696001</v>
          </cell>
          <cell r="AI86">
            <v>0</v>
          </cell>
          <cell r="AJ86">
            <v>109056187.41168</v>
          </cell>
          <cell r="AK86">
            <v>109056187.41168</v>
          </cell>
          <cell r="AL86">
            <v>109056187.41168</v>
          </cell>
          <cell r="AM86">
            <v>109056187.41168</v>
          </cell>
          <cell r="AN86">
            <v>0</v>
          </cell>
          <cell r="AO86">
            <v>105458983.62286</v>
          </cell>
          <cell r="AP86">
            <v>105458983.62286</v>
          </cell>
          <cell r="AQ86">
            <v>105458983.62286</v>
          </cell>
          <cell r="AR86">
            <v>105458983.62286</v>
          </cell>
          <cell r="AS86">
            <v>105458983.62286</v>
          </cell>
          <cell r="AT86">
            <v>105458983.62286</v>
          </cell>
          <cell r="AU86">
            <v>105458983.62286</v>
          </cell>
          <cell r="AV86">
            <v>107736974.02112</v>
          </cell>
          <cell r="AW86">
            <v>109056187.41168</v>
          </cell>
          <cell r="AX86">
            <v>110976919.99472</v>
          </cell>
          <cell r="AY86">
            <v>110976919.99472</v>
          </cell>
          <cell r="AZ86">
            <v>0</v>
          </cell>
          <cell r="BA86">
            <v>0</v>
          </cell>
          <cell r="BB86">
            <v>110976919.99472</v>
          </cell>
          <cell r="BC86">
            <v>110976919.99472</v>
          </cell>
          <cell r="BD86">
            <v>110976919.99472</v>
          </cell>
          <cell r="BE86">
            <v>0</v>
          </cell>
          <cell r="BF86">
            <v>110976919.99472</v>
          </cell>
          <cell r="BG86">
            <v>110976919.99472</v>
          </cell>
          <cell r="BH86">
            <v>110976919.99472</v>
          </cell>
          <cell r="BI86">
            <v>110976919.99472</v>
          </cell>
          <cell r="BJ86">
            <v>0</v>
          </cell>
          <cell r="BK86">
            <v>110976919.99472</v>
          </cell>
          <cell r="BL86">
            <v>110976919.99472</v>
          </cell>
          <cell r="BM86">
            <v>110976919.99472</v>
          </cell>
          <cell r="BN86">
            <v>110976919.99472</v>
          </cell>
          <cell r="BO86">
            <v>110976919.99472</v>
          </cell>
          <cell r="BP86">
            <v>110976919.99472</v>
          </cell>
          <cell r="BQ86">
            <v>110976919.99472</v>
          </cell>
          <cell r="BR86">
            <v>110976919.99472</v>
          </cell>
          <cell r="BS86">
            <v>110976919.99472</v>
          </cell>
          <cell r="BT86">
            <v>115345201.63144</v>
          </cell>
          <cell r="BU86">
            <v>102717594.69165</v>
          </cell>
          <cell r="BV86">
            <v>0</v>
          </cell>
          <cell r="BW86">
            <v>0</v>
          </cell>
          <cell r="BX86">
            <v>110976919.99472</v>
          </cell>
          <cell r="BY86">
            <v>110976919.99472</v>
          </cell>
          <cell r="BZ86">
            <v>110976919.99472</v>
          </cell>
          <cell r="CA86">
            <v>0</v>
          </cell>
          <cell r="CB86">
            <v>110976919.99472</v>
          </cell>
          <cell r="CC86">
            <v>110976919.99472</v>
          </cell>
          <cell r="CD86">
            <v>110976919.99472</v>
          </cell>
          <cell r="CE86">
            <v>110976919.99472</v>
          </cell>
          <cell r="CF86">
            <v>0</v>
          </cell>
          <cell r="CG86">
            <v>110976919.99472</v>
          </cell>
          <cell r="CH86">
            <v>110976919.99472</v>
          </cell>
          <cell r="CI86">
            <v>110976919.99472</v>
          </cell>
          <cell r="CJ86">
            <v>110976919.99472</v>
          </cell>
          <cell r="CK86">
            <v>110976919.99472</v>
          </cell>
          <cell r="CL86">
            <v>110976919.99472</v>
          </cell>
          <cell r="CM86">
            <v>110976919.99472</v>
          </cell>
          <cell r="CN86">
            <v>110976919.99472</v>
          </cell>
          <cell r="CO86">
            <v>106396297.07321</v>
          </cell>
          <cell r="CP86">
            <v>110976919.99472</v>
          </cell>
          <cell r="CQ86">
            <v>110976919.99472</v>
          </cell>
          <cell r="CR86">
            <v>110976919.99472</v>
          </cell>
          <cell r="CS86">
            <v>110976919.99472</v>
          </cell>
          <cell r="CT86">
            <v>110976919.99472</v>
          </cell>
          <cell r="CU86">
            <v>110976919.99472</v>
          </cell>
          <cell r="CV86">
            <v>110976919.99472</v>
          </cell>
          <cell r="CW86">
            <v>110976919.99472</v>
          </cell>
          <cell r="CX86">
            <v>110976919.99472</v>
          </cell>
          <cell r="CY86">
            <v>110976919.99472</v>
          </cell>
          <cell r="CZ86">
            <v>110976919.99472</v>
          </cell>
          <cell r="DA86">
            <v>110976919.99472</v>
          </cell>
          <cell r="DB86">
            <v>110976919.99472</v>
          </cell>
          <cell r="DC86">
            <v>110976919.99472</v>
          </cell>
          <cell r="DD86">
            <v>110976919.99472</v>
          </cell>
          <cell r="DE86">
            <v>69972151.775879994</v>
          </cell>
          <cell r="DF86">
            <v>151981688.21355999</v>
          </cell>
          <cell r="DG86">
            <v>112207793.65215001</v>
          </cell>
          <cell r="DH86">
            <v>110976919.99472</v>
          </cell>
          <cell r="DI86">
            <v>110976919.99472</v>
          </cell>
          <cell r="DJ86">
            <v>0</v>
          </cell>
          <cell r="DK86">
            <v>0</v>
          </cell>
          <cell r="DL86">
            <v>0</v>
          </cell>
          <cell r="DM86">
            <v>0</v>
          </cell>
          <cell r="DN86">
            <v>0</v>
          </cell>
          <cell r="DO86">
            <v>0</v>
          </cell>
          <cell r="DP86">
            <v>0</v>
          </cell>
          <cell r="DQ86">
            <v>0</v>
          </cell>
          <cell r="DR86">
            <v>0</v>
          </cell>
          <cell r="DS86">
            <v>0</v>
          </cell>
          <cell r="DT86">
            <v>0</v>
          </cell>
          <cell r="DU86">
            <v>0</v>
          </cell>
          <cell r="DV86">
            <v>0</v>
          </cell>
          <cell r="DW86">
            <v>0</v>
          </cell>
          <cell r="DX86" t="str">
            <v/>
          </cell>
          <cell r="DY86" t="str">
            <v/>
          </cell>
          <cell r="DZ86" t="str">
            <v/>
          </cell>
          <cell r="EA86">
            <v>110976919.99472</v>
          </cell>
          <cell r="EB86">
            <v>110976919.99472</v>
          </cell>
          <cell r="EC86">
            <v>110976919.99472</v>
          </cell>
          <cell r="ED86">
            <v>110976919.99472</v>
          </cell>
          <cell r="EE86">
            <v>110976919.99472</v>
          </cell>
          <cell r="EF86">
            <v>110976919.99472</v>
          </cell>
          <cell r="EG86">
            <v>110976919.99472</v>
          </cell>
          <cell r="EH86">
            <v>110976919.99472</v>
          </cell>
          <cell r="EI86">
            <v>110976919.99472</v>
          </cell>
          <cell r="EJ86">
            <v>110976919.99472</v>
          </cell>
          <cell r="EK86">
            <v>110976919.99472</v>
          </cell>
          <cell r="EL86">
            <v>110976919.99472</v>
          </cell>
          <cell r="EM86">
            <v>110976919.99472</v>
          </cell>
          <cell r="EN86">
            <v>110976919.99472</v>
          </cell>
          <cell r="EO86">
            <v>69972151.775879994</v>
          </cell>
          <cell r="EP86">
            <v>151981688.21355999</v>
          </cell>
          <cell r="EQ86">
            <v>110976919.99472</v>
          </cell>
          <cell r="ER86">
            <v>110976919.99472</v>
          </cell>
          <cell r="ES86">
            <v>0</v>
          </cell>
          <cell r="ET86">
            <v>0</v>
          </cell>
          <cell r="EU86">
            <v>0</v>
          </cell>
          <cell r="EV86">
            <v>0</v>
          </cell>
          <cell r="EW86">
            <v>0</v>
          </cell>
          <cell r="EX86">
            <v>0</v>
          </cell>
          <cell r="EY86">
            <v>0</v>
          </cell>
          <cell r="EZ86">
            <v>0</v>
          </cell>
          <cell r="FA86">
            <v>0</v>
          </cell>
          <cell r="FB86">
            <v>0</v>
          </cell>
          <cell r="FC86">
            <v>0</v>
          </cell>
          <cell r="FD86">
            <v>41004768.218840003</v>
          </cell>
          <cell r="FE86">
            <v>69972151.775879994</v>
          </cell>
          <cell r="FF86">
            <v>113845971.57704</v>
          </cell>
          <cell r="FG86">
            <v>104177590.59253</v>
          </cell>
          <cell r="FH86">
            <v>0</v>
          </cell>
          <cell r="FI86">
            <v>0</v>
          </cell>
          <cell r="FJ86">
            <v>107503860.21744999</v>
          </cell>
          <cell r="FK86">
            <v>107503860.21744999</v>
          </cell>
          <cell r="FL86">
            <v>107503860.21744999</v>
          </cell>
          <cell r="FM86">
            <v>0</v>
          </cell>
          <cell r="FN86">
            <v>110976919.99472</v>
          </cell>
          <cell r="FO86">
            <v>110976919.99472</v>
          </cell>
          <cell r="FP86">
            <v>110976919.99472</v>
          </cell>
          <cell r="FQ86">
            <v>110976919.99472</v>
          </cell>
          <cell r="FR86">
            <v>0</v>
          </cell>
          <cell r="FS86">
            <v>107193352.58934</v>
          </cell>
          <cell r="FT86">
            <v>107193352.58934</v>
          </cell>
          <cell r="FU86">
            <v>107193352.58934</v>
          </cell>
          <cell r="FV86">
            <v>107193352.58934</v>
          </cell>
          <cell r="FW86">
            <v>107193352.58934</v>
          </cell>
          <cell r="FX86">
            <v>107193352.58934</v>
          </cell>
          <cell r="FY86">
            <v>107193352.58934</v>
          </cell>
          <cell r="FZ86">
            <v>109678445.95792</v>
          </cell>
          <cell r="GA86">
            <v>102494231.92257001</v>
          </cell>
          <cell r="GB86">
            <v>111177663.10386001</v>
          </cell>
          <cell r="GC86">
            <v>110976919.99472</v>
          </cell>
          <cell r="GD86">
            <v>110976919.99472</v>
          </cell>
          <cell r="GE86">
            <v>110976919.99472</v>
          </cell>
          <cell r="GF86">
            <v>110976919.99472</v>
          </cell>
          <cell r="GG86">
            <v>110976919.99472</v>
          </cell>
          <cell r="GH86">
            <v>110976919.99472</v>
          </cell>
          <cell r="GI86">
            <v>114031807.6631</v>
          </cell>
          <cell r="GJ86">
            <v>110976919.99472</v>
          </cell>
          <cell r="GK86">
            <v>110976978.77493</v>
          </cell>
          <cell r="GL86">
            <v>110976919.99472</v>
          </cell>
          <cell r="GM86">
            <v>110976919.99472</v>
          </cell>
          <cell r="GN86">
            <v>110976919.99472</v>
          </cell>
          <cell r="GO86">
            <v>110976919.99472</v>
          </cell>
          <cell r="GP86">
            <v>110976919.99472</v>
          </cell>
          <cell r="GQ86">
            <v>110976919.99472</v>
          </cell>
          <cell r="GR86">
            <v>110976919.99472</v>
          </cell>
          <cell r="GS86">
            <v>110976919.99472</v>
          </cell>
          <cell r="GT86">
            <v>110976919.99472</v>
          </cell>
          <cell r="GU86">
            <v>0</v>
          </cell>
          <cell r="GZ86">
            <v>0</v>
          </cell>
        </row>
        <row r="87">
          <cell r="A87" t="str">
            <v>F_CNP_RFF_RET_COL_FRCE_201</v>
          </cell>
          <cell r="B87">
            <v>0</v>
          </cell>
          <cell r="D87">
            <v>0</v>
          </cell>
          <cell r="E87">
            <v>0</v>
          </cell>
          <cell r="F87">
            <v>0</v>
          </cell>
          <cell r="G87">
            <v>0</v>
          </cell>
          <cell r="H87">
            <v>0</v>
          </cell>
          <cell r="I87">
            <v>0</v>
          </cell>
          <cell r="J87">
            <v>0</v>
          </cell>
          <cell r="K87">
            <v>0</v>
          </cell>
          <cell r="L87">
            <v>0</v>
          </cell>
          <cell r="M87">
            <v>0</v>
          </cell>
          <cell r="N87">
            <v>0</v>
          </cell>
          <cell r="O87">
            <v>0</v>
          </cell>
          <cell r="P87">
            <v>0</v>
          </cell>
          <cell r="Q87">
            <v>0</v>
          </cell>
          <cell r="R87">
            <v>0</v>
          </cell>
          <cell r="S87">
            <v>0</v>
          </cell>
          <cell r="T87">
            <v>0</v>
          </cell>
          <cell r="U87">
            <v>0</v>
          </cell>
          <cell r="V87">
            <v>0</v>
          </cell>
          <cell r="W87">
            <v>0</v>
          </cell>
          <cell r="X87">
            <v>0</v>
          </cell>
          <cell r="Y87">
            <v>0</v>
          </cell>
          <cell r="Z87">
            <v>0</v>
          </cell>
          <cell r="AA87">
            <v>0</v>
          </cell>
          <cell r="AB87">
            <v>0</v>
          </cell>
          <cell r="AC87">
            <v>0</v>
          </cell>
          <cell r="AD87">
            <v>0</v>
          </cell>
          <cell r="AE87">
            <v>0</v>
          </cell>
          <cell r="AF87">
            <v>0</v>
          </cell>
          <cell r="AG87">
            <v>0</v>
          </cell>
          <cell r="AH87">
            <v>0</v>
          </cell>
          <cell r="AI87">
            <v>0</v>
          </cell>
          <cell r="AJ87">
            <v>0</v>
          </cell>
          <cell r="AK87">
            <v>0</v>
          </cell>
          <cell r="AL87">
            <v>0</v>
          </cell>
          <cell r="AM87">
            <v>0</v>
          </cell>
          <cell r="AN87">
            <v>0</v>
          </cell>
          <cell r="AO87">
            <v>0</v>
          </cell>
          <cell r="AP87">
            <v>0</v>
          </cell>
          <cell r="AQ87">
            <v>0</v>
          </cell>
          <cell r="AR87">
            <v>0</v>
          </cell>
          <cell r="AS87">
            <v>0</v>
          </cell>
          <cell r="AT87">
            <v>0</v>
          </cell>
          <cell r="AU87">
            <v>0</v>
          </cell>
          <cell r="AV87">
            <v>0</v>
          </cell>
          <cell r="AW87">
            <v>0</v>
          </cell>
          <cell r="AX87">
            <v>0</v>
          </cell>
          <cell r="AY87">
            <v>0</v>
          </cell>
          <cell r="AZ87">
            <v>0</v>
          </cell>
          <cell r="BA87">
            <v>0</v>
          </cell>
          <cell r="BB87">
            <v>0</v>
          </cell>
          <cell r="BC87">
            <v>0</v>
          </cell>
          <cell r="BD87">
            <v>0</v>
          </cell>
          <cell r="BE87">
            <v>0</v>
          </cell>
          <cell r="BF87">
            <v>0</v>
          </cell>
          <cell r="BG87">
            <v>0</v>
          </cell>
          <cell r="BH87">
            <v>0</v>
          </cell>
          <cell r="BI87">
            <v>0</v>
          </cell>
          <cell r="BJ87">
            <v>0</v>
          </cell>
          <cell r="BK87">
            <v>0</v>
          </cell>
          <cell r="BL87">
            <v>0</v>
          </cell>
          <cell r="BM87">
            <v>0</v>
          </cell>
          <cell r="BN87">
            <v>0</v>
          </cell>
          <cell r="BO87">
            <v>0</v>
          </cell>
          <cell r="BP87">
            <v>0</v>
          </cell>
          <cell r="BQ87">
            <v>0</v>
          </cell>
          <cell r="BR87">
            <v>0</v>
          </cell>
          <cell r="BS87">
            <v>0</v>
          </cell>
          <cell r="BT87">
            <v>0</v>
          </cell>
          <cell r="BU87">
            <v>0</v>
          </cell>
          <cell r="BV87">
            <v>0</v>
          </cell>
          <cell r="BW87">
            <v>0</v>
          </cell>
          <cell r="BX87">
            <v>0</v>
          </cell>
          <cell r="BY87">
            <v>0</v>
          </cell>
          <cell r="BZ87">
            <v>0</v>
          </cell>
          <cell r="CA87">
            <v>0</v>
          </cell>
          <cell r="CB87">
            <v>0</v>
          </cell>
          <cell r="CC87">
            <v>0</v>
          </cell>
          <cell r="CD87">
            <v>0</v>
          </cell>
          <cell r="CE87">
            <v>0</v>
          </cell>
          <cell r="CF87">
            <v>0</v>
          </cell>
          <cell r="CG87">
            <v>0</v>
          </cell>
          <cell r="CH87">
            <v>0</v>
          </cell>
          <cell r="CI87">
            <v>0</v>
          </cell>
          <cell r="CJ87">
            <v>0</v>
          </cell>
          <cell r="CK87">
            <v>0</v>
          </cell>
          <cell r="CL87">
            <v>0</v>
          </cell>
          <cell r="CM87">
            <v>0</v>
          </cell>
          <cell r="CN87">
            <v>0</v>
          </cell>
          <cell r="CO87">
            <v>0</v>
          </cell>
          <cell r="CP87">
            <v>0</v>
          </cell>
          <cell r="CQ87">
            <v>0</v>
          </cell>
          <cell r="CR87">
            <v>0</v>
          </cell>
          <cell r="CS87">
            <v>0</v>
          </cell>
          <cell r="CT87">
            <v>0</v>
          </cell>
          <cell r="CU87">
            <v>0</v>
          </cell>
          <cell r="CV87">
            <v>0</v>
          </cell>
          <cell r="CW87">
            <v>0</v>
          </cell>
          <cell r="CX87">
            <v>0</v>
          </cell>
          <cell r="CY87">
            <v>0</v>
          </cell>
          <cell r="CZ87">
            <v>0</v>
          </cell>
          <cell r="DA87">
            <v>0</v>
          </cell>
          <cell r="DB87">
            <v>0</v>
          </cell>
          <cell r="DC87">
            <v>0</v>
          </cell>
          <cell r="DD87">
            <v>0</v>
          </cell>
          <cell r="DE87">
            <v>0</v>
          </cell>
          <cell r="DF87">
            <v>0</v>
          </cell>
          <cell r="DG87">
            <v>0</v>
          </cell>
          <cell r="DH87">
            <v>0</v>
          </cell>
          <cell r="DI87">
            <v>0</v>
          </cell>
          <cell r="DJ87">
            <v>0</v>
          </cell>
          <cell r="DK87">
            <v>0</v>
          </cell>
          <cell r="DL87">
            <v>0</v>
          </cell>
          <cell r="DM87">
            <v>0</v>
          </cell>
          <cell r="DN87">
            <v>0</v>
          </cell>
          <cell r="DO87">
            <v>0</v>
          </cell>
          <cell r="DP87">
            <v>0</v>
          </cell>
          <cell r="DQ87">
            <v>0</v>
          </cell>
          <cell r="DR87">
            <v>0</v>
          </cell>
          <cell r="DS87">
            <v>0</v>
          </cell>
          <cell r="DT87">
            <v>0</v>
          </cell>
          <cell r="DU87">
            <v>0</v>
          </cell>
          <cell r="DV87">
            <v>0</v>
          </cell>
          <cell r="DW87">
            <v>0</v>
          </cell>
          <cell r="DX87">
            <v>0</v>
          </cell>
          <cell r="DY87">
            <v>0</v>
          </cell>
          <cell r="DZ87">
            <v>0</v>
          </cell>
          <cell r="EA87">
            <v>0</v>
          </cell>
          <cell r="EB87">
            <v>0</v>
          </cell>
          <cell r="EC87">
            <v>0</v>
          </cell>
          <cell r="ED87">
            <v>0</v>
          </cell>
          <cell r="EE87">
            <v>0</v>
          </cell>
          <cell r="EF87">
            <v>0</v>
          </cell>
          <cell r="EG87">
            <v>0</v>
          </cell>
          <cell r="EH87">
            <v>0</v>
          </cell>
          <cell r="EI87">
            <v>0</v>
          </cell>
          <cell r="EJ87">
            <v>0</v>
          </cell>
          <cell r="EK87">
            <v>0</v>
          </cell>
          <cell r="EL87">
            <v>0</v>
          </cell>
          <cell r="EM87">
            <v>0</v>
          </cell>
          <cell r="EN87">
            <v>0</v>
          </cell>
          <cell r="EO87">
            <v>0</v>
          </cell>
          <cell r="EP87">
            <v>0</v>
          </cell>
          <cell r="EQ87">
            <v>0</v>
          </cell>
          <cell r="ER87">
            <v>0</v>
          </cell>
          <cell r="ES87">
            <v>0</v>
          </cell>
          <cell r="ET87">
            <v>0</v>
          </cell>
          <cell r="EU87">
            <v>0</v>
          </cell>
          <cell r="EV87">
            <v>0</v>
          </cell>
          <cell r="EW87">
            <v>0</v>
          </cell>
          <cell r="EX87">
            <v>0</v>
          </cell>
          <cell r="EY87">
            <v>0</v>
          </cell>
          <cell r="EZ87">
            <v>0</v>
          </cell>
          <cell r="FA87">
            <v>0</v>
          </cell>
          <cell r="FB87">
            <v>0</v>
          </cell>
          <cell r="FC87">
            <v>0</v>
          </cell>
          <cell r="FD87">
            <v>0</v>
          </cell>
          <cell r="FE87">
            <v>0</v>
          </cell>
          <cell r="FF87">
            <v>0</v>
          </cell>
          <cell r="FG87">
            <v>0</v>
          </cell>
          <cell r="FH87">
            <v>0</v>
          </cell>
          <cell r="FI87">
            <v>0</v>
          </cell>
          <cell r="FJ87">
            <v>0</v>
          </cell>
          <cell r="FK87">
            <v>0</v>
          </cell>
          <cell r="FL87">
            <v>0</v>
          </cell>
          <cell r="FM87">
            <v>0</v>
          </cell>
          <cell r="FN87">
            <v>0</v>
          </cell>
          <cell r="FO87">
            <v>0</v>
          </cell>
          <cell r="FP87">
            <v>0</v>
          </cell>
          <cell r="FQ87">
            <v>0</v>
          </cell>
          <cell r="FR87">
            <v>0</v>
          </cell>
          <cell r="FS87">
            <v>0</v>
          </cell>
          <cell r="FT87">
            <v>0</v>
          </cell>
          <cell r="FU87">
            <v>0</v>
          </cell>
          <cell r="FV87">
            <v>0</v>
          </cell>
          <cell r="FW87">
            <v>0</v>
          </cell>
          <cell r="FX87">
            <v>0</v>
          </cell>
          <cell r="FY87">
            <v>0</v>
          </cell>
          <cell r="FZ87">
            <v>0</v>
          </cell>
          <cell r="GA87">
            <v>0</v>
          </cell>
          <cell r="GB87">
            <v>0</v>
          </cell>
          <cell r="GC87">
            <v>0</v>
          </cell>
          <cell r="GD87">
            <v>0</v>
          </cell>
          <cell r="GE87">
            <v>0</v>
          </cell>
          <cell r="GF87">
            <v>0</v>
          </cell>
          <cell r="GG87">
            <v>0</v>
          </cell>
          <cell r="GH87">
            <v>0</v>
          </cell>
          <cell r="GI87">
            <v>0</v>
          </cell>
          <cell r="GJ87">
            <v>0</v>
          </cell>
          <cell r="GK87">
            <v>0</v>
          </cell>
          <cell r="GL87">
            <v>0</v>
          </cell>
          <cell r="GM87">
            <v>0</v>
          </cell>
          <cell r="GN87">
            <v>0</v>
          </cell>
          <cell r="GO87">
            <v>0</v>
          </cell>
          <cell r="GP87">
            <v>0</v>
          </cell>
          <cell r="GQ87">
            <v>0</v>
          </cell>
          <cell r="GR87">
            <v>0</v>
          </cell>
          <cell r="GS87">
            <v>0</v>
          </cell>
          <cell r="GT87">
            <v>0</v>
          </cell>
          <cell r="GU87">
            <v>0</v>
          </cell>
          <cell r="GZ87">
            <v>0</v>
          </cell>
        </row>
        <row r="88">
          <cell r="A88" t="str">
            <v>F_CNP_RFF_RET_COL_FRCE_034</v>
          </cell>
          <cell r="B88">
            <v>436226038.98000002</v>
          </cell>
          <cell r="D88">
            <v>659591945.14905</v>
          </cell>
          <cell r="E88">
            <v>655796663.82700002</v>
          </cell>
          <cell r="F88">
            <v>659591945.14905</v>
          </cell>
          <cell r="G88">
            <v>659591945.14905</v>
          </cell>
          <cell r="H88">
            <v>0</v>
          </cell>
          <cell r="I88">
            <v>0</v>
          </cell>
          <cell r="J88">
            <v>659591945.14905</v>
          </cell>
          <cell r="K88">
            <v>659591945.14905</v>
          </cell>
          <cell r="L88">
            <v>659591945.14905</v>
          </cell>
          <cell r="M88">
            <v>0</v>
          </cell>
          <cell r="N88">
            <v>659591945.14905</v>
          </cell>
          <cell r="O88">
            <v>659591945.14905</v>
          </cell>
          <cell r="P88">
            <v>659591945.14905</v>
          </cell>
          <cell r="Q88">
            <v>659591945.14905</v>
          </cell>
          <cell r="R88">
            <v>0</v>
          </cell>
          <cell r="S88">
            <v>659591945.14905</v>
          </cell>
          <cell r="T88">
            <v>659591945.14905</v>
          </cell>
          <cell r="U88">
            <v>659591945.14905</v>
          </cell>
          <cell r="V88">
            <v>659591945.14905</v>
          </cell>
          <cell r="W88">
            <v>659591945.14905</v>
          </cell>
          <cell r="X88">
            <v>659591945.14905</v>
          </cell>
          <cell r="Y88">
            <v>659591945.14905</v>
          </cell>
          <cell r="Z88">
            <v>659591945.14905</v>
          </cell>
          <cell r="AA88">
            <v>659591945.14905</v>
          </cell>
          <cell r="AB88">
            <v>675526983.69049001</v>
          </cell>
          <cell r="AC88">
            <v>609417646.12249005</v>
          </cell>
          <cell r="AD88">
            <v>0</v>
          </cell>
          <cell r="AE88">
            <v>0</v>
          </cell>
          <cell r="AF88">
            <v>574148607.26926994</v>
          </cell>
          <cell r="AG88">
            <v>574148607.26926994</v>
          </cell>
          <cell r="AH88">
            <v>574148607.26926994</v>
          </cell>
          <cell r="AI88">
            <v>0</v>
          </cell>
          <cell r="AJ88">
            <v>651265753.53249002</v>
          </cell>
          <cell r="AK88">
            <v>651265753.53249002</v>
          </cell>
          <cell r="AL88">
            <v>651265753.53249002</v>
          </cell>
          <cell r="AM88">
            <v>657383339.78772998</v>
          </cell>
          <cell r="AN88">
            <v>0</v>
          </cell>
          <cell r="AO88">
            <v>612039743.41531003</v>
          </cell>
          <cell r="AP88">
            <v>612039743.41531003</v>
          </cell>
          <cell r="AQ88">
            <v>612039743.41531003</v>
          </cell>
          <cell r="AR88">
            <v>612039743.41531003</v>
          </cell>
          <cell r="AS88">
            <v>612039743.41531003</v>
          </cell>
          <cell r="AT88">
            <v>612039743.41531003</v>
          </cell>
          <cell r="AU88">
            <v>612039743.41531003</v>
          </cell>
          <cell r="AV88">
            <v>655926154.85361004</v>
          </cell>
          <cell r="AW88">
            <v>659591945.14905</v>
          </cell>
          <cell r="AX88">
            <v>655796663.82700002</v>
          </cell>
          <cell r="AY88">
            <v>655796663.82700002</v>
          </cell>
          <cell r="AZ88">
            <v>0</v>
          </cell>
          <cell r="BA88">
            <v>0</v>
          </cell>
          <cell r="BB88">
            <v>655796663.82700002</v>
          </cell>
          <cell r="BC88">
            <v>655796663.82700002</v>
          </cell>
          <cell r="BD88">
            <v>655796663.82700002</v>
          </cell>
          <cell r="BE88">
            <v>0</v>
          </cell>
          <cell r="BF88">
            <v>655796663.82700002</v>
          </cell>
          <cell r="BG88">
            <v>655796663.82700002</v>
          </cell>
          <cell r="BH88">
            <v>655796663.82700002</v>
          </cell>
          <cell r="BI88">
            <v>655796663.82700002</v>
          </cell>
          <cell r="BJ88">
            <v>0</v>
          </cell>
          <cell r="BK88">
            <v>655796663.82700002</v>
          </cell>
          <cell r="BL88">
            <v>655796663.82700002</v>
          </cell>
          <cell r="BM88">
            <v>655796663.82700002</v>
          </cell>
          <cell r="BN88">
            <v>655796663.82700002</v>
          </cell>
          <cell r="BO88">
            <v>655796663.82700002</v>
          </cell>
          <cell r="BP88">
            <v>655796663.82700002</v>
          </cell>
          <cell r="BQ88">
            <v>655796663.82700002</v>
          </cell>
          <cell r="BR88">
            <v>655796663.82700002</v>
          </cell>
          <cell r="BS88">
            <v>655796663.82700002</v>
          </cell>
          <cell r="BT88">
            <v>683792386.89950001</v>
          </cell>
          <cell r="BU88">
            <v>605837323.76546001</v>
          </cell>
          <cell r="BV88">
            <v>0</v>
          </cell>
          <cell r="BW88">
            <v>0</v>
          </cell>
          <cell r="BX88">
            <v>651467423.75405002</v>
          </cell>
          <cell r="BY88">
            <v>651467423.75405002</v>
          </cell>
          <cell r="BZ88">
            <v>651467423.75405002</v>
          </cell>
          <cell r="CA88">
            <v>0</v>
          </cell>
          <cell r="CB88">
            <v>654563044.56444001</v>
          </cell>
          <cell r="CC88">
            <v>654563044.56444001</v>
          </cell>
          <cell r="CD88">
            <v>654563044.56444001</v>
          </cell>
          <cell r="CE88">
            <v>655796663.49048996</v>
          </cell>
          <cell r="CF88">
            <v>0</v>
          </cell>
          <cell r="CG88">
            <v>655027116.17422009</v>
          </cell>
          <cell r="CH88">
            <v>655027116.17422009</v>
          </cell>
          <cell r="CI88">
            <v>655027116.17422009</v>
          </cell>
          <cell r="CJ88">
            <v>655027116.17422009</v>
          </cell>
          <cell r="CK88">
            <v>655027116.17422009</v>
          </cell>
          <cell r="CL88">
            <v>655027116.17422009</v>
          </cell>
          <cell r="CM88">
            <v>655027116.17422009</v>
          </cell>
          <cell r="CN88">
            <v>655796663.82700002</v>
          </cell>
          <cell r="CO88">
            <v>632563254.18822002</v>
          </cell>
          <cell r="CP88">
            <v>655796663.82700002</v>
          </cell>
          <cell r="CQ88">
            <v>655796663.82700002</v>
          </cell>
          <cell r="CR88">
            <v>655796663.82700002</v>
          </cell>
          <cell r="CS88">
            <v>655796663.82700002</v>
          </cell>
          <cell r="CT88">
            <v>655796663.82700002</v>
          </cell>
          <cell r="CU88">
            <v>655796663.82700002</v>
          </cell>
          <cell r="CV88">
            <v>655796663.82700002</v>
          </cell>
          <cell r="CW88">
            <v>655796663.82700002</v>
          </cell>
          <cell r="CX88">
            <v>655796663.82700002</v>
          </cell>
          <cell r="CY88">
            <v>655796663.82700002</v>
          </cell>
          <cell r="CZ88">
            <v>655796663.82700002</v>
          </cell>
          <cell r="DA88">
            <v>673260327.85985994</v>
          </cell>
          <cell r="DB88">
            <v>655796663.82700002</v>
          </cell>
          <cell r="DC88">
            <v>656034699.61485004</v>
          </cell>
          <cell r="DD88">
            <v>655796663.82700002</v>
          </cell>
          <cell r="DE88">
            <v>430746892.64993</v>
          </cell>
          <cell r="DF88">
            <v>880846435.00407004</v>
          </cell>
          <cell r="DG88">
            <v>662653692.63883996</v>
          </cell>
          <cell r="DH88">
            <v>655796663.82700002</v>
          </cell>
          <cell r="DI88">
            <v>655796663.82700002</v>
          </cell>
          <cell r="DJ88">
            <v>0</v>
          </cell>
          <cell r="DK88">
            <v>0</v>
          </cell>
          <cell r="DL88">
            <v>0</v>
          </cell>
          <cell r="DM88">
            <v>0</v>
          </cell>
          <cell r="DN88">
            <v>0</v>
          </cell>
          <cell r="DO88">
            <v>0</v>
          </cell>
          <cell r="DP88">
            <v>0</v>
          </cell>
          <cell r="DQ88">
            <v>0</v>
          </cell>
          <cell r="DR88">
            <v>0</v>
          </cell>
          <cell r="DS88">
            <v>0</v>
          </cell>
          <cell r="DT88">
            <v>0</v>
          </cell>
          <cell r="DU88">
            <v>0</v>
          </cell>
          <cell r="DV88">
            <v>0</v>
          </cell>
          <cell r="DW88">
            <v>0</v>
          </cell>
          <cell r="DX88" t="str">
            <v/>
          </cell>
          <cell r="DY88" t="str">
            <v/>
          </cell>
          <cell r="DZ88" t="str">
            <v/>
          </cell>
          <cell r="EA88">
            <v>655796663.82700002</v>
          </cell>
          <cell r="EB88">
            <v>655796663.82700002</v>
          </cell>
          <cell r="EC88">
            <v>655796663.82700002</v>
          </cell>
          <cell r="ED88">
            <v>655796663.82700002</v>
          </cell>
          <cell r="EE88">
            <v>655796663.82700002</v>
          </cell>
          <cell r="EF88">
            <v>655796663.82700002</v>
          </cell>
          <cell r="EG88">
            <v>655796663.82700002</v>
          </cell>
          <cell r="EH88">
            <v>655796663.82700002</v>
          </cell>
          <cell r="EI88">
            <v>655796663.82700002</v>
          </cell>
          <cell r="EJ88">
            <v>655796663.82700002</v>
          </cell>
          <cell r="EK88">
            <v>655796663.82700002</v>
          </cell>
          <cell r="EL88">
            <v>655796663.82700002</v>
          </cell>
          <cell r="EM88">
            <v>655796663.82700002</v>
          </cell>
          <cell r="EN88">
            <v>655796663.82700002</v>
          </cell>
          <cell r="EO88">
            <v>430746892.64993</v>
          </cell>
          <cell r="EP88">
            <v>880846435.00407004</v>
          </cell>
          <cell r="EQ88">
            <v>655796663.82700002</v>
          </cell>
          <cell r="ER88">
            <v>655796663.82700002</v>
          </cell>
          <cell r="ES88">
            <v>0</v>
          </cell>
          <cell r="ET88">
            <v>0</v>
          </cell>
          <cell r="EU88">
            <v>0</v>
          </cell>
          <cell r="EV88">
            <v>0</v>
          </cell>
          <cell r="EW88">
            <v>0</v>
          </cell>
          <cell r="EX88">
            <v>0</v>
          </cell>
          <cell r="EY88">
            <v>0</v>
          </cell>
          <cell r="EZ88">
            <v>0</v>
          </cell>
          <cell r="FA88">
            <v>0</v>
          </cell>
          <cell r="FB88">
            <v>0</v>
          </cell>
          <cell r="FC88">
            <v>0</v>
          </cell>
          <cell r="FD88">
            <v>225049771.38080001</v>
          </cell>
          <cell r="FE88">
            <v>430746892.64993</v>
          </cell>
          <cell r="FF88">
            <v>682021807.95050001</v>
          </cell>
          <cell r="FG88">
            <v>595214101.14777005</v>
          </cell>
          <cell r="FH88">
            <v>0</v>
          </cell>
          <cell r="FI88">
            <v>0</v>
          </cell>
          <cell r="FJ88">
            <v>584199164.43429005</v>
          </cell>
          <cell r="FK88">
            <v>584199164.43429005</v>
          </cell>
          <cell r="FL88">
            <v>584199164.43429005</v>
          </cell>
          <cell r="FM88">
            <v>0</v>
          </cell>
          <cell r="FN88">
            <v>648002916.59353006</v>
          </cell>
          <cell r="FO88">
            <v>648002916.59353006</v>
          </cell>
          <cell r="FP88">
            <v>648002916.59353006</v>
          </cell>
          <cell r="FQ88">
            <v>654527009.07328999</v>
          </cell>
          <cell r="FR88">
            <v>0</v>
          </cell>
          <cell r="FS88">
            <v>620462225.45080996</v>
          </cell>
          <cell r="FT88">
            <v>620462225.45080996</v>
          </cell>
          <cell r="FU88">
            <v>620462225.45080996</v>
          </cell>
          <cell r="FV88">
            <v>620462225.45080996</v>
          </cell>
          <cell r="FW88">
            <v>620462225.45080996</v>
          </cell>
          <cell r="FX88">
            <v>620462225.45080996</v>
          </cell>
          <cell r="FY88">
            <v>620462225.45080996</v>
          </cell>
          <cell r="FZ88">
            <v>652597647.73593998</v>
          </cell>
          <cell r="GA88">
            <v>629432628.93982005</v>
          </cell>
          <cell r="GB88">
            <v>655796663.82700002</v>
          </cell>
          <cell r="GC88">
            <v>671306155.18157995</v>
          </cell>
          <cell r="GD88">
            <v>655796664.06355</v>
          </cell>
          <cell r="GE88">
            <v>655849019.14093006</v>
          </cell>
          <cell r="GF88">
            <v>655796663.82700002</v>
          </cell>
          <cell r="GG88">
            <v>655796663.82700002</v>
          </cell>
          <cell r="GH88">
            <v>655796663.82700002</v>
          </cell>
          <cell r="GI88">
            <v>664000130.53659999</v>
          </cell>
          <cell r="GJ88">
            <v>655796664.06122005</v>
          </cell>
          <cell r="GK88">
            <v>655796663.82700002</v>
          </cell>
          <cell r="GL88">
            <v>655796663.82700002</v>
          </cell>
          <cell r="GM88">
            <v>655796663.82700002</v>
          </cell>
          <cell r="GN88">
            <v>655796663.82700002</v>
          </cell>
          <cell r="GO88">
            <v>655796663.82700002</v>
          </cell>
          <cell r="GP88">
            <v>655796663.82700002</v>
          </cell>
          <cell r="GQ88">
            <v>655796663.82700002</v>
          </cell>
          <cell r="GR88">
            <v>655796663.82700002</v>
          </cell>
          <cell r="GS88">
            <v>655796663.82700002</v>
          </cell>
          <cell r="GT88">
            <v>655796663.82700002</v>
          </cell>
          <cell r="GU88">
            <v>0</v>
          </cell>
          <cell r="GZ88">
            <v>0</v>
          </cell>
        </row>
        <row r="89">
          <cell r="A89" t="str">
            <v>F_CNP_RFF_RET_COL_FRCE_211</v>
          </cell>
          <cell r="B89">
            <v>0</v>
          </cell>
          <cell r="D89">
            <v>0</v>
          </cell>
          <cell r="E89">
            <v>0</v>
          </cell>
          <cell r="F89">
            <v>0</v>
          </cell>
          <cell r="G89">
            <v>0</v>
          </cell>
          <cell r="H89">
            <v>0</v>
          </cell>
          <cell r="I89">
            <v>0</v>
          </cell>
          <cell r="J89">
            <v>0</v>
          </cell>
          <cell r="K89">
            <v>0</v>
          </cell>
          <cell r="L89">
            <v>0</v>
          </cell>
          <cell r="M89">
            <v>0</v>
          </cell>
          <cell r="N89">
            <v>0</v>
          </cell>
          <cell r="O89">
            <v>0</v>
          </cell>
          <cell r="P89">
            <v>0</v>
          </cell>
          <cell r="Q89">
            <v>0</v>
          </cell>
          <cell r="R89">
            <v>0</v>
          </cell>
          <cell r="S89">
            <v>0</v>
          </cell>
          <cell r="T89">
            <v>0</v>
          </cell>
          <cell r="U89">
            <v>0</v>
          </cell>
          <cell r="V89">
            <v>0</v>
          </cell>
          <cell r="W89">
            <v>0</v>
          </cell>
          <cell r="X89">
            <v>0</v>
          </cell>
          <cell r="Y89">
            <v>0</v>
          </cell>
          <cell r="Z89">
            <v>0</v>
          </cell>
          <cell r="AA89">
            <v>0</v>
          </cell>
          <cell r="AB89">
            <v>0</v>
          </cell>
          <cell r="AC89">
            <v>0</v>
          </cell>
          <cell r="AD89">
            <v>0</v>
          </cell>
          <cell r="AE89">
            <v>0</v>
          </cell>
          <cell r="AF89">
            <v>0</v>
          </cell>
          <cell r="AG89">
            <v>0</v>
          </cell>
          <cell r="AH89">
            <v>0</v>
          </cell>
          <cell r="AI89">
            <v>0</v>
          </cell>
          <cell r="AJ89">
            <v>0</v>
          </cell>
          <cell r="AK89">
            <v>0</v>
          </cell>
          <cell r="AL89">
            <v>0</v>
          </cell>
          <cell r="AM89">
            <v>0</v>
          </cell>
          <cell r="AN89">
            <v>0</v>
          </cell>
          <cell r="AO89">
            <v>0</v>
          </cell>
          <cell r="AP89">
            <v>0</v>
          </cell>
          <cell r="AQ89">
            <v>0</v>
          </cell>
          <cell r="AR89">
            <v>0</v>
          </cell>
          <cell r="AS89">
            <v>0</v>
          </cell>
          <cell r="AT89">
            <v>0</v>
          </cell>
          <cell r="AU89">
            <v>0</v>
          </cell>
          <cell r="AV89">
            <v>0</v>
          </cell>
          <cell r="AW89">
            <v>0</v>
          </cell>
          <cell r="AX89">
            <v>0</v>
          </cell>
          <cell r="AY89">
            <v>0</v>
          </cell>
          <cell r="AZ89">
            <v>0</v>
          </cell>
          <cell r="BA89">
            <v>0</v>
          </cell>
          <cell r="BB89">
            <v>0</v>
          </cell>
          <cell r="BC89">
            <v>0</v>
          </cell>
          <cell r="BD89">
            <v>0</v>
          </cell>
          <cell r="BE89">
            <v>0</v>
          </cell>
          <cell r="BF89">
            <v>0</v>
          </cell>
          <cell r="BG89">
            <v>0</v>
          </cell>
          <cell r="BH89">
            <v>0</v>
          </cell>
          <cell r="BI89">
            <v>0</v>
          </cell>
          <cell r="BJ89">
            <v>0</v>
          </cell>
          <cell r="BK89">
            <v>0</v>
          </cell>
          <cell r="BL89">
            <v>0</v>
          </cell>
          <cell r="BM89">
            <v>0</v>
          </cell>
          <cell r="BN89">
            <v>0</v>
          </cell>
          <cell r="BO89">
            <v>0</v>
          </cell>
          <cell r="BP89">
            <v>0</v>
          </cell>
          <cell r="BQ89">
            <v>0</v>
          </cell>
          <cell r="BR89">
            <v>0</v>
          </cell>
          <cell r="BS89">
            <v>0</v>
          </cell>
          <cell r="BT89">
            <v>0</v>
          </cell>
          <cell r="BU89">
            <v>0</v>
          </cell>
          <cell r="BV89">
            <v>0</v>
          </cell>
          <cell r="BW89">
            <v>0</v>
          </cell>
          <cell r="BX89">
            <v>0</v>
          </cell>
          <cell r="BY89">
            <v>0</v>
          </cell>
          <cell r="BZ89">
            <v>0</v>
          </cell>
          <cell r="CA89">
            <v>0</v>
          </cell>
          <cell r="CB89">
            <v>0</v>
          </cell>
          <cell r="CC89">
            <v>0</v>
          </cell>
          <cell r="CD89">
            <v>0</v>
          </cell>
          <cell r="CE89">
            <v>0</v>
          </cell>
          <cell r="CF89">
            <v>0</v>
          </cell>
          <cell r="CG89">
            <v>0</v>
          </cell>
          <cell r="CH89">
            <v>0</v>
          </cell>
          <cell r="CI89">
            <v>0</v>
          </cell>
          <cell r="CJ89">
            <v>0</v>
          </cell>
          <cell r="CK89">
            <v>0</v>
          </cell>
          <cell r="CL89">
            <v>0</v>
          </cell>
          <cell r="CM89">
            <v>0</v>
          </cell>
          <cell r="CN89">
            <v>0</v>
          </cell>
          <cell r="CO89">
            <v>0</v>
          </cell>
          <cell r="CP89">
            <v>0</v>
          </cell>
          <cell r="CQ89">
            <v>0</v>
          </cell>
          <cell r="CR89">
            <v>0</v>
          </cell>
          <cell r="CS89">
            <v>0</v>
          </cell>
          <cell r="CT89">
            <v>0</v>
          </cell>
          <cell r="CU89">
            <v>0</v>
          </cell>
          <cell r="CV89">
            <v>0</v>
          </cell>
          <cell r="CW89">
            <v>0</v>
          </cell>
          <cell r="CX89">
            <v>0</v>
          </cell>
          <cell r="CY89">
            <v>0</v>
          </cell>
          <cell r="CZ89">
            <v>0</v>
          </cell>
          <cell r="DA89">
            <v>0</v>
          </cell>
          <cell r="DB89">
            <v>0</v>
          </cell>
          <cell r="DC89">
            <v>0</v>
          </cell>
          <cell r="DD89">
            <v>0</v>
          </cell>
          <cell r="DE89">
            <v>0</v>
          </cell>
          <cell r="DF89">
            <v>0</v>
          </cell>
          <cell r="DG89">
            <v>0</v>
          </cell>
          <cell r="DH89">
            <v>0</v>
          </cell>
          <cell r="DI89">
            <v>0</v>
          </cell>
          <cell r="DJ89">
            <v>0</v>
          </cell>
          <cell r="DK89">
            <v>0</v>
          </cell>
          <cell r="DL89">
            <v>0</v>
          </cell>
          <cell r="DM89">
            <v>0</v>
          </cell>
          <cell r="DN89">
            <v>0</v>
          </cell>
          <cell r="DO89">
            <v>0</v>
          </cell>
          <cell r="DP89">
            <v>0</v>
          </cell>
          <cell r="DQ89">
            <v>0</v>
          </cell>
          <cell r="DR89">
            <v>0</v>
          </cell>
          <cell r="DS89">
            <v>0</v>
          </cell>
          <cell r="DT89">
            <v>0</v>
          </cell>
          <cell r="DU89">
            <v>0</v>
          </cell>
          <cell r="DV89">
            <v>0</v>
          </cell>
          <cell r="DW89">
            <v>0</v>
          </cell>
          <cell r="DX89">
            <v>0</v>
          </cell>
          <cell r="DY89">
            <v>0</v>
          </cell>
          <cell r="DZ89">
            <v>0</v>
          </cell>
          <cell r="EA89">
            <v>0</v>
          </cell>
          <cell r="EB89">
            <v>0</v>
          </cell>
          <cell r="EC89">
            <v>0</v>
          </cell>
          <cell r="ED89">
            <v>0</v>
          </cell>
          <cell r="EE89">
            <v>0</v>
          </cell>
          <cell r="EF89">
            <v>0</v>
          </cell>
          <cell r="EG89">
            <v>0</v>
          </cell>
          <cell r="EH89">
            <v>0</v>
          </cell>
          <cell r="EI89">
            <v>0</v>
          </cell>
          <cell r="EJ89">
            <v>0</v>
          </cell>
          <cell r="EK89">
            <v>0</v>
          </cell>
          <cell r="EL89">
            <v>0</v>
          </cell>
          <cell r="EM89">
            <v>0</v>
          </cell>
          <cell r="EN89">
            <v>0</v>
          </cell>
          <cell r="EO89">
            <v>0</v>
          </cell>
          <cell r="EP89">
            <v>0</v>
          </cell>
          <cell r="EQ89">
            <v>0</v>
          </cell>
          <cell r="ER89">
            <v>0</v>
          </cell>
          <cell r="ES89">
            <v>0</v>
          </cell>
          <cell r="ET89">
            <v>0</v>
          </cell>
          <cell r="EU89">
            <v>0</v>
          </cell>
          <cell r="EV89">
            <v>0</v>
          </cell>
          <cell r="EW89">
            <v>0</v>
          </cell>
          <cell r="EX89">
            <v>0</v>
          </cell>
          <cell r="EY89">
            <v>0</v>
          </cell>
          <cell r="EZ89">
            <v>0</v>
          </cell>
          <cell r="FA89">
            <v>0</v>
          </cell>
          <cell r="FB89">
            <v>0</v>
          </cell>
          <cell r="FC89">
            <v>0</v>
          </cell>
          <cell r="FD89">
            <v>0</v>
          </cell>
          <cell r="FE89">
            <v>0</v>
          </cell>
          <cell r="FF89">
            <v>0</v>
          </cell>
          <cell r="FG89">
            <v>0</v>
          </cell>
          <cell r="FH89">
            <v>0</v>
          </cell>
          <cell r="FI89">
            <v>0</v>
          </cell>
          <cell r="FJ89">
            <v>0</v>
          </cell>
          <cell r="FK89">
            <v>0</v>
          </cell>
          <cell r="FL89">
            <v>0</v>
          </cell>
          <cell r="FM89">
            <v>0</v>
          </cell>
          <cell r="FN89">
            <v>0</v>
          </cell>
          <cell r="FO89">
            <v>0</v>
          </cell>
          <cell r="FP89">
            <v>0</v>
          </cell>
          <cell r="FQ89">
            <v>0</v>
          </cell>
          <cell r="FR89">
            <v>0</v>
          </cell>
          <cell r="FS89">
            <v>0</v>
          </cell>
          <cell r="FT89">
            <v>0</v>
          </cell>
          <cell r="FU89">
            <v>0</v>
          </cell>
          <cell r="FV89">
            <v>0</v>
          </cell>
          <cell r="FW89">
            <v>0</v>
          </cell>
          <cell r="FX89">
            <v>0</v>
          </cell>
          <cell r="FY89">
            <v>0</v>
          </cell>
          <cell r="FZ89">
            <v>0</v>
          </cell>
          <cell r="GA89">
            <v>0</v>
          </cell>
          <cell r="GB89">
            <v>0</v>
          </cell>
          <cell r="GC89">
            <v>0</v>
          </cell>
          <cell r="GD89">
            <v>0</v>
          </cell>
          <cell r="GE89">
            <v>0</v>
          </cell>
          <cell r="GF89">
            <v>0</v>
          </cell>
          <cell r="GG89">
            <v>0</v>
          </cell>
          <cell r="GH89">
            <v>0</v>
          </cell>
          <cell r="GI89">
            <v>0</v>
          </cell>
          <cell r="GJ89">
            <v>0</v>
          </cell>
          <cell r="GK89">
            <v>0</v>
          </cell>
          <cell r="GL89">
            <v>0</v>
          </cell>
          <cell r="GM89">
            <v>0</v>
          </cell>
          <cell r="GN89">
            <v>0</v>
          </cell>
          <cell r="GO89">
            <v>0</v>
          </cell>
          <cell r="GP89">
            <v>0</v>
          </cell>
          <cell r="GQ89">
            <v>0</v>
          </cell>
          <cell r="GR89">
            <v>0</v>
          </cell>
          <cell r="GS89">
            <v>0</v>
          </cell>
          <cell r="GT89">
            <v>0</v>
          </cell>
          <cell r="GU89">
            <v>0</v>
          </cell>
          <cell r="GZ89">
            <v>0</v>
          </cell>
        </row>
        <row r="90">
          <cell r="A90" t="str">
            <v>F_CNP_RFF_RET_COL_FRCE_040</v>
          </cell>
          <cell r="B90">
            <v>0</v>
          </cell>
          <cell r="D90">
            <v>0</v>
          </cell>
          <cell r="E90">
            <v>0</v>
          </cell>
          <cell r="F90">
            <v>0</v>
          </cell>
          <cell r="G90">
            <v>0</v>
          </cell>
          <cell r="H90">
            <v>0</v>
          </cell>
          <cell r="I90">
            <v>0</v>
          </cell>
          <cell r="J90">
            <v>0</v>
          </cell>
          <cell r="K90">
            <v>0</v>
          </cell>
          <cell r="L90">
            <v>0</v>
          </cell>
          <cell r="M90">
            <v>0</v>
          </cell>
          <cell r="N90">
            <v>0</v>
          </cell>
          <cell r="O90">
            <v>0</v>
          </cell>
          <cell r="P90">
            <v>0</v>
          </cell>
          <cell r="Q90">
            <v>0</v>
          </cell>
          <cell r="R90">
            <v>0</v>
          </cell>
          <cell r="S90">
            <v>0</v>
          </cell>
          <cell r="T90">
            <v>0</v>
          </cell>
          <cell r="U90">
            <v>0</v>
          </cell>
          <cell r="V90">
            <v>0</v>
          </cell>
          <cell r="W90">
            <v>0</v>
          </cell>
          <cell r="X90">
            <v>0</v>
          </cell>
          <cell r="Y90">
            <v>0</v>
          </cell>
          <cell r="Z90">
            <v>0</v>
          </cell>
          <cell r="AA90">
            <v>0</v>
          </cell>
          <cell r="AB90">
            <v>0</v>
          </cell>
          <cell r="AC90">
            <v>0</v>
          </cell>
          <cell r="AD90">
            <v>0</v>
          </cell>
          <cell r="AE90">
            <v>0</v>
          </cell>
          <cell r="AF90">
            <v>0</v>
          </cell>
          <cell r="AG90">
            <v>0</v>
          </cell>
          <cell r="AH90">
            <v>0</v>
          </cell>
          <cell r="AI90">
            <v>0</v>
          </cell>
          <cell r="AJ90">
            <v>0</v>
          </cell>
          <cell r="AK90">
            <v>0</v>
          </cell>
          <cell r="AL90">
            <v>0</v>
          </cell>
          <cell r="AM90">
            <v>0</v>
          </cell>
          <cell r="AN90">
            <v>0</v>
          </cell>
          <cell r="AO90">
            <v>0</v>
          </cell>
          <cell r="AP90">
            <v>0</v>
          </cell>
          <cell r="AQ90">
            <v>0</v>
          </cell>
          <cell r="AR90">
            <v>0</v>
          </cell>
          <cell r="AS90">
            <v>0</v>
          </cell>
          <cell r="AT90">
            <v>0</v>
          </cell>
          <cell r="AU90">
            <v>0</v>
          </cell>
          <cell r="AV90">
            <v>0</v>
          </cell>
          <cell r="AW90">
            <v>0</v>
          </cell>
          <cell r="AX90">
            <v>0</v>
          </cell>
          <cell r="AY90">
            <v>0</v>
          </cell>
          <cell r="AZ90">
            <v>0</v>
          </cell>
          <cell r="BA90">
            <v>0</v>
          </cell>
          <cell r="BB90">
            <v>0</v>
          </cell>
          <cell r="BC90">
            <v>0</v>
          </cell>
          <cell r="BD90">
            <v>0</v>
          </cell>
          <cell r="BE90">
            <v>0</v>
          </cell>
          <cell r="BF90">
            <v>0</v>
          </cell>
          <cell r="BG90">
            <v>0</v>
          </cell>
          <cell r="BH90">
            <v>0</v>
          </cell>
          <cell r="BI90">
            <v>0</v>
          </cell>
          <cell r="BJ90">
            <v>0</v>
          </cell>
          <cell r="BK90">
            <v>0</v>
          </cell>
          <cell r="BL90">
            <v>0</v>
          </cell>
          <cell r="BM90">
            <v>0</v>
          </cell>
          <cell r="BN90">
            <v>0</v>
          </cell>
          <cell r="BO90">
            <v>0</v>
          </cell>
          <cell r="BP90">
            <v>0</v>
          </cell>
          <cell r="BQ90">
            <v>0</v>
          </cell>
          <cell r="BR90">
            <v>0</v>
          </cell>
          <cell r="BS90">
            <v>0</v>
          </cell>
          <cell r="BT90">
            <v>0</v>
          </cell>
          <cell r="BU90">
            <v>0</v>
          </cell>
          <cell r="BV90">
            <v>0</v>
          </cell>
          <cell r="BW90">
            <v>0</v>
          </cell>
          <cell r="BX90">
            <v>0</v>
          </cell>
          <cell r="BY90">
            <v>0</v>
          </cell>
          <cell r="BZ90">
            <v>0</v>
          </cell>
          <cell r="CA90">
            <v>0</v>
          </cell>
          <cell r="CB90">
            <v>0</v>
          </cell>
          <cell r="CC90">
            <v>0</v>
          </cell>
          <cell r="CD90">
            <v>0</v>
          </cell>
          <cell r="CE90">
            <v>0</v>
          </cell>
          <cell r="CF90">
            <v>0</v>
          </cell>
          <cell r="CG90">
            <v>0</v>
          </cell>
          <cell r="CH90">
            <v>0</v>
          </cell>
          <cell r="CI90">
            <v>0</v>
          </cell>
          <cell r="CJ90">
            <v>0</v>
          </cell>
          <cell r="CK90">
            <v>0</v>
          </cell>
          <cell r="CL90">
            <v>0</v>
          </cell>
          <cell r="CM90">
            <v>0</v>
          </cell>
          <cell r="CN90">
            <v>0</v>
          </cell>
          <cell r="CO90">
            <v>0</v>
          </cell>
          <cell r="CP90">
            <v>0</v>
          </cell>
          <cell r="CQ90">
            <v>0</v>
          </cell>
          <cell r="CR90">
            <v>0</v>
          </cell>
          <cell r="CS90">
            <v>0</v>
          </cell>
          <cell r="CT90">
            <v>0</v>
          </cell>
          <cell r="CU90">
            <v>0</v>
          </cell>
          <cell r="CV90">
            <v>0</v>
          </cell>
          <cell r="CW90">
            <v>0</v>
          </cell>
          <cell r="CX90">
            <v>0</v>
          </cell>
          <cell r="CY90">
            <v>0</v>
          </cell>
          <cell r="CZ90">
            <v>0</v>
          </cell>
          <cell r="DA90">
            <v>0</v>
          </cell>
          <cell r="DB90">
            <v>0</v>
          </cell>
          <cell r="DC90">
            <v>0</v>
          </cell>
          <cell r="DD90">
            <v>0</v>
          </cell>
          <cell r="DE90">
            <v>0</v>
          </cell>
          <cell r="DF90">
            <v>0</v>
          </cell>
          <cell r="DG90">
            <v>0</v>
          </cell>
          <cell r="DH90">
            <v>0</v>
          </cell>
          <cell r="DI90">
            <v>0</v>
          </cell>
          <cell r="DJ90">
            <v>0</v>
          </cell>
          <cell r="DK90">
            <v>0</v>
          </cell>
          <cell r="DL90">
            <v>0</v>
          </cell>
          <cell r="DM90">
            <v>0</v>
          </cell>
          <cell r="DN90">
            <v>0</v>
          </cell>
          <cell r="DO90">
            <v>0</v>
          </cell>
          <cell r="DP90">
            <v>0</v>
          </cell>
          <cell r="DQ90">
            <v>0</v>
          </cell>
          <cell r="DR90">
            <v>0</v>
          </cell>
          <cell r="DS90">
            <v>0</v>
          </cell>
          <cell r="DT90">
            <v>0</v>
          </cell>
          <cell r="DU90">
            <v>0</v>
          </cell>
          <cell r="DV90">
            <v>0</v>
          </cell>
          <cell r="DW90">
            <v>0</v>
          </cell>
          <cell r="DX90" t="str">
            <v/>
          </cell>
          <cell r="DY90" t="str">
            <v/>
          </cell>
          <cell r="DZ90" t="str">
            <v/>
          </cell>
          <cell r="EA90">
            <v>0</v>
          </cell>
          <cell r="EB90">
            <v>0</v>
          </cell>
          <cell r="EC90">
            <v>0</v>
          </cell>
          <cell r="ED90">
            <v>0</v>
          </cell>
          <cell r="EE90">
            <v>0</v>
          </cell>
          <cell r="EF90">
            <v>0</v>
          </cell>
          <cell r="EG90">
            <v>0</v>
          </cell>
          <cell r="EH90">
            <v>0</v>
          </cell>
          <cell r="EI90">
            <v>0</v>
          </cell>
          <cell r="EJ90">
            <v>0</v>
          </cell>
          <cell r="EK90">
            <v>0</v>
          </cell>
          <cell r="EL90">
            <v>0</v>
          </cell>
          <cell r="EM90">
            <v>0</v>
          </cell>
          <cell r="EN90">
            <v>0</v>
          </cell>
          <cell r="EO90">
            <v>0</v>
          </cell>
          <cell r="EP90">
            <v>0</v>
          </cell>
          <cell r="EQ90">
            <v>0</v>
          </cell>
          <cell r="ER90">
            <v>0</v>
          </cell>
          <cell r="ES90">
            <v>0</v>
          </cell>
          <cell r="ET90">
            <v>0</v>
          </cell>
          <cell r="EU90">
            <v>0</v>
          </cell>
          <cell r="EV90">
            <v>0</v>
          </cell>
          <cell r="EW90">
            <v>0</v>
          </cell>
          <cell r="EX90">
            <v>0</v>
          </cell>
          <cell r="EY90">
            <v>0</v>
          </cell>
          <cell r="EZ90">
            <v>0</v>
          </cell>
          <cell r="FA90">
            <v>0</v>
          </cell>
          <cell r="FB90">
            <v>0</v>
          </cell>
          <cell r="FC90">
            <v>0</v>
          </cell>
          <cell r="FD90">
            <v>0</v>
          </cell>
          <cell r="FE90">
            <v>0</v>
          </cell>
          <cell r="FF90">
            <v>0</v>
          </cell>
          <cell r="FG90">
            <v>0</v>
          </cell>
          <cell r="FH90">
            <v>0</v>
          </cell>
          <cell r="FI90">
            <v>0</v>
          </cell>
          <cell r="FJ90">
            <v>0</v>
          </cell>
          <cell r="FK90">
            <v>0</v>
          </cell>
          <cell r="FL90">
            <v>0</v>
          </cell>
          <cell r="FM90">
            <v>0</v>
          </cell>
          <cell r="FN90">
            <v>0</v>
          </cell>
          <cell r="FO90">
            <v>0</v>
          </cell>
          <cell r="FP90">
            <v>0</v>
          </cell>
          <cell r="FQ90">
            <v>0</v>
          </cell>
          <cell r="FR90">
            <v>0</v>
          </cell>
          <cell r="FS90">
            <v>0</v>
          </cell>
          <cell r="FT90">
            <v>0</v>
          </cell>
          <cell r="FU90">
            <v>0</v>
          </cell>
          <cell r="FV90">
            <v>0</v>
          </cell>
          <cell r="FW90">
            <v>0</v>
          </cell>
          <cell r="FX90">
            <v>0</v>
          </cell>
          <cell r="FY90">
            <v>0</v>
          </cell>
          <cell r="FZ90">
            <v>0</v>
          </cell>
          <cell r="GA90">
            <v>0</v>
          </cell>
          <cell r="GB90">
            <v>0</v>
          </cell>
          <cell r="GC90">
            <v>0</v>
          </cell>
          <cell r="GD90">
            <v>0</v>
          </cell>
          <cell r="GE90">
            <v>0</v>
          </cell>
          <cell r="GF90">
            <v>0</v>
          </cell>
          <cell r="GG90">
            <v>0</v>
          </cell>
          <cell r="GH90">
            <v>0</v>
          </cell>
          <cell r="GI90">
            <v>0</v>
          </cell>
          <cell r="GJ90">
            <v>0</v>
          </cell>
          <cell r="GK90">
            <v>0</v>
          </cell>
          <cell r="GL90">
            <v>0</v>
          </cell>
          <cell r="GM90">
            <v>0</v>
          </cell>
          <cell r="GN90">
            <v>0</v>
          </cell>
          <cell r="GO90">
            <v>0</v>
          </cell>
          <cell r="GP90">
            <v>0</v>
          </cell>
          <cell r="GQ90">
            <v>0</v>
          </cell>
          <cell r="GR90">
            <v>0</v>
          </cell>
          <cell r="GS90">
            <v>0</v>
          </cell>
          <cell r="GT90">
            <v>0</v>
          </cell>
          <cell r="GU90">
            <v>0</v>
          </cell>
          <cell r="GZ90">
            <v>0</v>
          </cell>
        </row>
        <row r="91">
          <cell r="A91" t="str">
            <v>F_CNP_RFF_RET_COL_FRCE_048</v>
          </cell>
          <cell r="B91">
            <v>300018174.36000001</v>
          </cell>
          <cell r="D91">
            <v>342715826.53356999</v>
          </cell>
          <cell r="E91">
            <v>355388622.09830999</v>
          </cell>
          <cell r="F91">
            <v>342715826.53356999</v>
          </cell>
          <cell r="G91">
            <v>342715826.53356999</v>
          </cell>
          <cell r="H91">
            <v>0</v>
          </cell>
          <cell r="I91">
            <v>0</v>
          </cell>
          <cell r="J91">
            <v>342715826.53356999</v>
          </cell>
          <cell r="K91">
            <v>342715826.53356999</v>
          </cell>
          <cell r="L91">
            <v>342715826.53356999</v>
          </cell>
          <cell r="M91">
            <v>0</v>
          </cell>
          <cell r="N91">
            <v>342715826.53356999</v>
          </cell>
          <cell r="O91">
            <v>342715826.53356999</v>
          </cell>
          <cell r="P91">
            <v>342715826.53356999</v>
          </cell>
          <cell r="Q91">
            <v>342715826.53356999</v>
          </cell>
          <cell r="R91">
            <v>0</v>
          </cell>
          <cell r="S91">
            <v>342715826.53356999</v>
          </cell>
          <cell r="T91">
            <v>342715826.53356999</v>
          </cell>
          <cell r="U91">
            <v>342715826.53356999</v>
          </cell>
          <cell r="V91">
            <v>342715826.53356999</v>
          </cell>
          <cell r="W91">
            <v>342715826.53356999</v>
          </cell>
          <cell r="X91">
            <v>342715826.53356999</v>
          </cell>
          <cell r="Y91">
            <v>342715826.53356999</v>
          </cell>
          <cell r="Z91">
            <v>342715826.53356999</v>
          </cell>
          <cell r="AA91">
            <v>342715826.53356999</v>
          </cell>
          <cell r="AB91">
            <v>351322755.90768999</v>
          </cell>
          <cell r="AC91">
            <v>319038260.09495997</v>
          </cell>
          <cell r="AD91">
            <v>0</v>
          </cell>
          <cell r="AE91">
            <v>0</v>
          </cell>
          <cell r="AF91">
            <v>333271254.63047999</v>
          </cell>
          <cell r="AG91">
            <v>333271254.63047999</v>
          </cell>
          <cell r="AH91">
            <v>333271254.63047999</v>
          </cell>
          <cell r="AI91">
            <v>0</v>
          </cell>
          <cell r="AJ91">
            <v>342426078.68685001</v>
          </cell>
          <cell r="AK91">
            <v>342426078.68685001</v>
          </cell>
          <cell r="AL91">
            <v>342426078.68685001</v>
          </cell>
          <cell r="AM91">
            <v>342715826.53356999</v>
          </cell>
          <cell r="AN91">
            <v>0</v>
          </cell>
          <cell r="AO91">
            <v>325834152.30532998</v>
          </cell>
          <cell r="AP91">
            <v>325834152.30532998</v>
          </cell>
          <cell r="AQ91">
            <v>325834152.30532998</v>
          </cell>
          <cell r="AR91">
            <v>325834152.30532998</v>
          </cell>
          <cell r="AS91">
            <v>325834152.30532998</v>
          </cell>
          <cell r="AT91">
            <v>325834152.30532998</v>
          </cell>
          <cell r="AU91">
            <v>325834152.30532998</v>
          </cell>
          <cell r="AV91">
            <v>340947153.96552002</v>
          </cell>
          <cell r="AW91">
            <v>342715826.53356999</v>
          </cell>
          <cell r="AX91">
            <v>355388622.09830999</v>
          </cell>
          <cell r="AY91">
            <v>355388622.09830999</v>
          </cell>
          <cell r="AZ91">
            <v>0</v>
          </cell>
          <cell r="BA91">
            <v>0</v>
          </cell>
          <cell r="BB91">
            <v>355388622.09830999</v>
          </cell>
          <cell r="BC91">
            <v>355388622.09830999</v>
          </cell>
          <cell r="BD91">
            <v>355388622.09830999</v>
          </cell>
          <cell r="BE91">
            <v>0</v>
          </cell>
          <cell r="BF91">
            <v>355388622.09830999</v>
          </cell>
          <cell r="BG91">
            <v>355388622.09830999</v>
          </cell>
          <cell r="BH91">
            <v>355388622.09830999</v>
          </cell>
          <cell r="BI91">
            <v>355388622.09830999</v>
          </cell>
          <cell r="BJ91">
            <v>0</v>
          </cell>
          <cell r="BK91">
            <v>355388622.09830999</v>
          </cell>
          <cell r="BL91">
            <v>355388622.09830999</v>
          </cell>
          <cell r="BM91">
            <v>355388622.09830999</v>
          </cell>
          <cell r="BN91">
            <v>355388622.09830999</v>
          </cell>
          <cell r="BO91">
            <v>355388622.09830999</v>
          </cell>
          <cell r="BP91">
            <v>355388622.09830999</v>
          </cell>
          <cell r="BQ91">
            <v>355388622.09830999</v>
          </cell>
          <cell r="BR91">
            <v>355388622.09830999</v>
          </cell>
          <cell r="BS91">
            <v>355388622.09830999</v>
          </cell>
          <cell r="BT91">
            <v>382096500.38247001</v>
          </cell>
          <cell r="BU91">
            <v>313431699.08421999</v>
          </cell>
          <cell r="BV91">
            <v>0</v>
          </cell>
          <cell r="BW91">
            <v>0</v>
          </cell>
          <cell r="BX91">
            <v>355388622.09830999</v>
          </cell>
          <cell r="BY91">
            <v>355388622.09830999</v>
          </cell>
          <cell r="BZ91">
            <v>355388622.09830999</v>
          </cell>
          <cell r="CA91">
            <v>0</v>
          </cell>
          <cell r="CB91">
            <v>355388622.09830999</v>
          </cell>
          <cell r="CC91">
            <v>355388622.09830999</v>
          </cell>
          <cell r="CD91">
            <v>355388622.09830999</v>
          </cell>
          <cell r="CE91">
            <v>355388622.09830999</v>
          </cell>
          <cell r="CF91">
            <v>0</v>
          </cell>
          <cell r="CG91">
            <v>355388622.09830999</v>
          </cell>
          <cell r="CH91">
            <v>355388622.09830999</v>
          </cell>
          <cell r="CI91">
            <v>355388622.09830999</v>
          </cell>
          <cell r="CJ91">
            <v>355388622.09830999</v>
          </cell>
          <cell r="CK91">
            <v>355388622.09830999</v>
          </cell>
          <cell r="CL91">
            <v>355388622.09830999</v>
          </cell>
          <cell r="CM91">
            <v>355388622.09830999</v>
          </cell>
          <cell r="CN91">
            <v>355388622.09830999</v>
          </cell>
          <cell r="CO91">
            <v>332235459.52190995</v>
          </cell>
          <cell r="CP91">
            <v>355388622.09830999</v>
          </cell>
          <cell r="CQ91">
            <v>355388622.09830999</v>
          </cell>
          <cell r="CR91">
            <v>355388622.09830999</v>
          </cell>
          <cell r="CS91">
            <v>355388622.09830999</v>
          </cell>
          <cell r="CT91">
            <v>355388622.09830999</v>
          </cell>
          <cell r="CU91">
            <v>355388622.09830999</v>
          </cell>
          <cell r="CV91">
            <v>355388622.09830999</v>
          </cell>
          <cell r="CW91">
            <v>355388622.09830999</v>
          </cell>
          <cell r="CX91">
            <v>355388622.09830999</v>
          </cell>
          <cell r="CY91">
            <v>355388622.09830999</v>
          </cell>
          <cell r="CZ91">
            <v>355388622.09830999</v>
          </cell>
          <cell r="DA91">
            <v>365876855.55659997</v>
          </cell>
          <cell r="DB91">
            <v>355388622.09830999</v>
          </cell>
          <cell r="DC91">
            <v>355388622.09830999</v>
          </cell>
          <cell r="DD91">
            <v>355388622.09830999</v>
          </cell>
          <cell r="DE91">
            <v>249056259.55267</v>
          </cell>
          <cell r="DF91">
            <v>461720984.64394999</v>
          </cell>
          <cell r="DG91">
            <v>362026668.33318996</v>
          </cell>
          <cell r="DH91">
            <v>355388622.09830999</v>
          </cell>
          <cell r="DI91">
            <v>355388622.09830999</v>
          </cell>
          <cell r="DJ91">
            <v>0</v>
          </cell>
          <cell r="DK91">
            <v>0</v>
          </cell>
          <cell r="DL91">
            <v>0</v>
          </cell>
          <cell r="DM91">
            <v>0</v>
          </cell>
          <cell r="DN91">
            <v>0</v>
          </cell>
          <cell r="DO91">
            <v>0</v>
          </cell>
          <cell r="DP91">
            <v>0</v>
          </cell>
          <cell r="DQ91">
            <v>0</v>
          </cell>
          <cell r="DR91">
            <v>0</v>
          </cell>
          <cell r="DS91">
            <v>0</v>
          </cell>
          <cell r="DT91">
            <v>0</v>
          </cell>
          <cell r="DU91">
            <v>0</v>
          </cell>
          <cell r="DV91">
            <v>0</v>
          </cell>
          <cell r="DW91">
            <v>0</v>
          </cell>
          <cell r="DX91" t="str">
            <v/>
          </cell>
          <cell r="DY91" t="str">
            <v/>
          </cell>
          <cell r="DZ91" t="str">
            <v/>
          </cell>
          <cell r="EA91">
            <v>355388622.09830999</v>
          </cell>
          <cell r="EB91">
            <v>355388622.09830999</v>
          </cell>
          <cell r="EC91">
            <v>355388622.09830999</v>
          </cell>
          <cell r="ED91">
            <v>355388622.09830999</v>
          </cell>
          <cell r="EE91">
            <v>355388622.09830999</v>
          </cell>
          <cell r="EF91">
            <v>355388622.09830999</v>
          </cell>
          <cell r="EG91">
            <v>355388622.09830999</v>
          </cell>
          <cell r="EH91">
            <v>355388622.09830999</v>
          </cell>
          <cell r="EI91">
            <v>355388622.09830999</v>
          </cell>
          <cell r="EJ91">
            <v>355388622.09830999</v>
          </cell>
          <cell r="EK91">
            <v>355388622.09830999</v>
          </cell>
          <cell r="EL91">
            <v>355388622.09830999</v>
          </cell>
          <cell r="EM91">
            <v>355388622.09830999</v>
          </cell>
          <cell r="EN91">
            <v>355388622.09830999</v>
          </cell>
          <cell r="EO91">
            <v>249056259.55267</v>
          </cell>
          <cell r="EP91">
            <v>461720984.64394999</v>
          </cell>
          <cell r="EQ91">
            <v>355388622.09830999</v>
          </cell>
          <cell r="ER91">
            <v>355388622.09830999</v>
          </cell>
          <cell r="ES91">
            <v>0</v>
          </cell>
          <cell r="ET91">
            <v>0</v>
          </cell>
          <cell r="EU91">
            <v>0</v>
          </cell>
          <cell r="EV91">
            <v>0</v>
          </cell>
          <cell r="EW91">
            <v>0</v>
          </cell>
          <cell r="EX91">
            <v>0</v>
          </cell>
          <cell r="EY91">
            <v>0</v>
          </cell>
          <cell r="EZ91">
            <v>0</v>
          </cell>
          <cell r="FA91">
            <v>0</v>
          </cell>
          <cell r="FB91">
            <v>0</v>
          </cell>
          <cell r="FC91">
            <v>0</v>
          </cell>
          <cell r="FD91">
            <v>106332362.54563999</v>
          </cell>
          <cell r="FE91">
            <v>249056259.55267</v>
          </cell>
          <cell r="FF91">
            <v>372419630.40825999</v>
          </cell>
          <cell r="FG91">
            <v>325503541.82242</v>
          </cell>
          <cell r="FH91">
            <v>0</v>
          </cell>
          <cell r="FI91">
            <v>0</v>
          </cell>
          <cell r="FJ91">
            <v>347128959.53213</v>
          </cell>
          <cell r="FK91">
            <v>347128959.53213</v>
          </cell>
          <cell r="FL91">
            <v>347128959.53213</v>
          </cell>
          <cell r="FM91">
            <v>0</v>
          </cell>
          <cell r="FN91">
            <v>355088160.08275998</v>
          </cell>
          <cell r="FO91">
            <v>355088160.08275998</v>
          </cell>
          <cell r="FP91">
            <v>355088160.08275998</v>
          </cell>
          <cell r="FQ91">
            <v>355388622.09830999</v>
          </cell>
          <cell r="FR91">
            <v>0</v>
          </cell>
          <cell r="FS91">
            <v>340311223.58288997</v>
          </cell>
          <cell r="FT91">
            <v>340311223.58288997</v>
          </cell>
          <cell r="FU91">
            <v>340311223.58288997</v>
          </cell>
          <cell r="FV91">
            <v>340311223.58288997</v>
          </cell>
          <cell r="FW91">
            <v>340311223.58288997</v>
          </cell>
          <cell r="FX91">
            <v>340311223.58288997</v>
          </cell>
          <cell r="FY91">
            <v>340311223.58288997</v>
          </cell>
          <cell r="FZ91">
            <v>353805290.83802998</v>
          </cell>
          <cell r="GA91">
            <v>325605526.17868</v>
          </cell>
          <cell r="GB91">
            <v>355388622.09830999</v>
          </cell>
          <cell r="GC91">
            <v>357287107.43685001</v>
          </cell>
          <cell r="GD91">
            <v>355388622.09830999</v>
          </cell>
          <cell r="GE91">
            <v>355388622.09830999</v>
          </cell>
          <cell r="GF91">
            <v>355388622.09830999</v>
          </cell>
          <cell r="GG91">
            <v>355388622.09830999</v>
          </cell>
          <cell r="GH91">
            <v>355388622.09830999</v>
          </cell>
          <cell r="GI91">
            <v>365022585.35666001</v>
          </cell>
          <cell r="GJ91">
            <v>355388622.09830999</v>
          </cell>
          <cell r="GK91">
            <v>355388622.09830999</v>
          </cell>
          <cell r="GL91">
            <v>355388622.09830999</v>
          </cell>
          <cell r="GM91">
            <v>355388622.09830999</v>
          </cell>
          <cell r="GN91">
            <v>355388622.09830999</v>
          </cell>
          <cell r="GO91">
            <v>355388622.09830999</v>
          </cell>
          <cell r="GP91">
            <v>355388622.09830999</v>
          </cell>
          <cell r="GQ91">
            <v>355388622.09830999</v>
          </cell>
          <cell r="GR91">
            <v>355388622.09830999</v>
          </cell>
          <cell r="GS91">
            <v>355388622.09830999</v>
          </cell>
          <cell r="GT91">
            <v>355388622.09830999</v>
          </cell>
          <cell r="GU91">
            <v>0</v>
          </cell>
          <cell r="GZ91">
            <v>0</v>
          </cell>
        </row>
        <row r="92">
          <cell r="A92" t="str">
            <v>F_CNP_RFF_RET_COL_FRCE_049</v>
          </cell>
          <cell r="B92">
            <v>116134618.90671</v>
          </cell>
          <cell r="D92">
            <v>138088219.42069</v>
          </cell>
          <cell r="E92">
            <v>138306478.88062</v>
          </cell>
          <cell r="F92">
            <v>138088219.42069</v>
          </cell>
          <cell r="G92">
            <v>138088219.42069</v>
          </cell>
          <cell r="H92">
            <v>0</v>
          </cell>
          <cell r="I92">
            <v>0</v>
          </cell>
          <cell r="J92">
            <v>138088219.42069</v>
          </cell>
          <cell r="K92">
            <v>138088219.42069</v>
          </cell>
          <cell r="L92">
            <v>138088219.42069</v>
          </cell>
          <cell r="M92">
            <v>0</v>
          </cell>
          <cell r="N92">
            <v>138088219.42069</v>
          </cell>
          <cell r="O92">
            <v>138088219.42069</v>
          </cell>
          <cell r="P92">
            <v>138088219.42069</v>
          </cell>
          <cell r="Q92">
            <v>138088219.42069</v>
          </cell>
          <cell r="R92">
            <v>0</v>
          </cell>
          <cell r="S92">
            <v>138088219.42069</v>
          </cell>
          <cell r="T92">
            <v>138088219.42069</v>
          </cell>
          <cell r="U92">
            <v>138088219.42069</v>
          </cell>
          <cell r="V92">
            <v>138088219.42069</v>
          </cell>
          <cell r="W92">
            <v>138088219.42069</v>
          </cell>
          <cell r="X92">
            <v>138088219.42069</v>
          </cell>
          <cell r="Y92">
            <v>138088219.42069</v>
          </cell>
          <cell r="Z92">
            <v>138088219.42069</v>
          </cell>
          <cell r="AA92">
            <v>138088219.42069</v>
          </cell>
          <cell r="AB92">
            <v>140951337.51543</v>
          </cell>
          <cell r="AC92">
            <v>129806901.95795999</v>
          </cell>
          <cell r="AD92">
            <v>0</v>
          </cell>
          <cell r="AE92">
            <v>0</v>
          </cell>
          <cell r="AF92">
            <v>133651595.34797999</v>
          </cell>
          <cell r="AG92">
            <v>133651595.34797999</v>
          </cell>
          <cell r="AH92">
            <v>133651595.34797999</v>
          </cell>
          <cell r="AI92">
            <v>0</v>
          </cell>
          <cell r="AJ92">
            <v>138088219.42069</v>
          </cell>
          <cell r="AK92">
            <v>138088219.42069</v>
          </cell>
          <cell r="AL92">
            <v>138088219.42069</v>
          </cell>
          <cell r="AM92">
            <v>138088219.42069</v>
          </cell>
          <cell r="AN92">
            <v>0</v>
          </cell>
          <cell r="AO92">
            <v>132297916.15218</v>
          </cell>
          <cell r="AP92">
            <v>132297916.15218</v>
          </cell>
          <cell r="AQ92">
            <v>132297916.15218</v>
          </cell>
          <cell r="AR92">
            <v>132297916.15218</v>
          </cell>
          <cell r="AS92">
            <v>132297916.15218</v>
          </cell>
          <cell r="AT92">
            <v>132297916.15218</v>
          </cell>
          <cell r="AU92">
            <v>132297916.15218</v>
          </cell>
          <cell r="AV92">
            <v>136965289.23363999</v>
          </cell>
          <cell r="AW92">
            <v>138088219.42069</v>
          </cell>
          <cell r="AX92">
            <v>138306478.88062</v>
          </cell>
          <cell r="AY92">
            <v>138306478.88062</v>
          </cell>
          <cell r="AZ92">
            <v>0</v>
          </cell>
          <cell r="BA92">
            <v>0</v>
          </cell>
          <cell r="BB92">
            <v>138306478.88062</v>
          </cell>
          <cell r="BC92">
            <v>138306478.88062</v>
          </cell>
          <cell r="BD92">
            <v>138306478.88062</v>
          </cell>
          <cell r="BE92">
            <v>0</v>
          </cell>
          <cell r="BF92">
            <v>138306478.88062</v>
          </cell>
          <cell r="BG92">
            <v>138306478.88062</v>
          </cell>
          <cell r="BH92">
            <v>138306478.88062</v>
          </cell>
          <cell r="BI92">
            <v>138306478.88062</v>
          </cell>
          <cell r="BJ92">
            <v>0</v>
          </cell>
          <cell r="BK92">
            <v>138306478.88062</v>
          </cell>
          <cell r="BL92">
            <v>138306478.88062</v>
          </cell>
          <cell r="BM92">
            <v>138306478.88062</v>
          </cell>
          <cell r="BN92">
            <v>138306478.88062</v>
          </cell>
          <cell r="BO92">
            <v>138306478.88062</v>
          </cell>
          <cell r="BP92">
            <v>138306478.88062</v>
          </cell>
          <cell r="BQ92">
            <v>138306478.88062</v>
          </cell>
          <cell r="BR92">
            <v>138306478.88062</v>
          </cell>
          <cell r="BS92">
            <v>138306478.88062</v>
          </cell>
          <cell r="BT92">
            <v>144929943.32087001</v>
          </cell>
          <cell r="BU92">
            <v>125104708.71538</v>
          </cell>
          <cell r="BV92">
            <v>0</v>
          </cell>
          <cell r="BW92">
            <v>0</v>
          </cell>
          <cell r="BX92">
            <v>138306478.88062</v>
          </cell>
          <cell r="BY92">
            <v>138306478.88062</v>
          </cell>
          <cell r="BZ92">
            <v>138306478.88062</v>
          </cell>
          <cell r="CA92">
            <v>0</v>
          </cell>
          <cell r="CB92">
            <v>138306478.88062</v>
          </cell>
          <cell r="CC92">
            <v>138306478.88062</v>
          </cell>
          <cell r="CD92">
            <v>138306478.88062</v>
          </cell>
          <cell r="CE92">
            <v>138306478.88062</v>
          </cell>
          <cell r="CF92">
            <v>0</v>
          </cell>
          <cell r="CG92">
            <v>138306478.88062</v>
          </cell>
          <cell r="CH92">
            <v>138306478.88062</v>
          </cell>
          <cell r="CI92">
            <v>138306478.88062</v>
          </cell>
          <cell r="CJ92">
            <v>138306478.88062</v>
          </cell>
          <cell r="CK92">
            <v>138306478.88062</v>
          </cell>
          <cell r="CL92">
            <v>138306478.88062</v>
          </cell>
          <cell r="CM92">
            <v>138306478.88062</v>
          </cell>
          <cell r="CN92">
            <v>138306478.88062</v>
          </cell>
          <cell r="CO92">
            <v>132191337.79634</v>
          </cell>
          <cell r="CP92">
            <v>138306478.88062</v>
          </cell>
          <cell r="CQ92">
            <v>138306478.88062</v>
          </cell>
          <cell r="CR92">
            <v>138306478.88062</v>
          </cell>
          <cell r="CS92">
            <v>138306478.88062</v>
          </cell>
          <cell r="CT92">
            <v>138306478.88062</v>
          </cell>
          <cell r="CU92">
            <v>138306478.88062</v>
          </cell>
          <cell r="CV92">
            <v>138306478.88062</v>
          </cell>
          <cell r="CW92">
            <v>138306478.88062</v>
          </cell>
          <cell r="CX92">
            <v>138306478.88062</v>
          </cell>
          <cell r="CY92">
            <v>138306478.88062</v>
          </cell>
          <cell r="CZ92">
            <v>138306478.88062</v>
          </cell>
          <cell r="DA92">
            <v>144209809.83748001</v>
          </cell>
          <cell r="DB92">
            <v>138306478.88062</v>
          </cell>
          <cell r="DC92">
            <v>138306478.88062</v>
          </cell>
          <cell r="DD92">
            <v>138306478.88062</v>
          </cell>
          <cell r="DE92">
            <v>110547344.77021</v>
          </cell>
          <cell r="DF92">
            <v>166065612.99103001</v>
          </cell>
          <cell r="DG92">
            <v>139806210.98515001</v>
          </cell>
          <cell r="DH92">
            <v>138306478.88062</v>
          </cell>
          <cell r="DI92">
            <v>138306478.88062</v>
          </cell>
          <cell r="DJ92">
            <v>0</v>
          </cell>
          <cell r="DK92">
            <v>0</v>
          </cell>
          <cell r="DL92">
            <v>0</v>
          </cell>
          <cell r="DM92">
            <v>0</v>
          </cell>
          <cell r="DN92">
            <v>0</v>
          </cell>
          <cell r="DO92">
            <v>0</v>
          </cell>
          <cell r="DP92">
            <v>0</v>
          </cell>
          <cell r="DQ92">
            <v>0</v>
          </cell>
          <cell r="DR92">
            <v>0</v>
          </cell>
          <cell r="DS92">
            <v>0</v>
          </cell>
          <cell r="DT92">
            <v>0</v>
          </cell>
          <cell r="DU92">
            <v>0</v>
          </cell>
          <cell r="DV92">
            <v>0</v>
          </cell>
          <cell r="DW92">
            <v>0</v>
          </cell>
          <cell r="DX92" t="str">
            <v/>
          </cell>
          <cell r="DY92" t="str">
            <v/>
          </cell>
          <cell r="DZ92" t="str">
            <v/>
          </cell>
          <cell r="EA92">
            <v>138306478.88062</v>
          </cell>
          <cell r="EB92">
            <v>138306478.88062</v>
          </cell>
          <cell r="EC92">
            <v>138306478.88062</v>
          </cell>
          <cell r="ED92">
            <v>138306478.88062</v>
          </cell>
          <cell r="EE92">
            <v>138306478.88062</v>
          </cell>
          <cell r="EF92">
            <v>138306478.88062</v>
          </cell>
          <cell r="EG92">
            <v>138306478.88062</v>
          </cell>
          <cell r="EH92">
            <v>138306478.88062</v>
          </cell>
          <cell r="EI92">
            <v>138306478.88062</v>
          </cell>
          <cell r="EJ92">
            <v>138306478.88062</v>
          </cell>
          <cell r="EK92">
            <v>138306478.88062</v>
          </cell>
          <cell r="EL92">
            <v>138306478.88062</v>
          </cell>
          <cell r="EM92">
            <v>138306478.88062</v>
          </cell>
          <cell r="EN92">
            <v>138306478.88062</v>
          </cell>
          <cell r="EO92">
            <v>110547344.77021</v>
          </cell>
          <cell r="EP92">
            <v>166065612.99103001</v>
          </cell>
          <cell r="EQ92">
            <v>138306478.88062</v>
          </cell>
          <cell r="ER92">
            <v>138306478.88062</v>
          </cell>
          <cell r="ES92">
            <v>0</v>
          </cell>
          <cell r="ET92">
            <v>0</v>
          </cell>
          <cell r="EU92">
            <v>0</v>
          </cell>
          <cell r="EV92">
            <v>0</v>
          </cell>
          <cell r="EW92">
            <v>0</v>
          </cell>
          <cell r="EX92">
            <v>0</v>
          </cell>
          <cell r="EY92">
            <v>0</v>
          </cell>
          <cell r="EZ92">
            <v>0</v>
          </cell>
          <cell r="FA92">
            <v>0</v>
          </cell>
          <cell r="FB92">
            <v>0</v>
          </cell>
          <cell r="FC92">
            <v>0</v>
          </cell>
          <cell r="FD92">
            <v>27759134.110410005</v>
          </cell>
          <cell r="FE92">
            <v>110547344.77021</v>
          </cell>
          <cell r="FF92">
            <v>143455124.28893</v>
          </cell>
          <cell r="FG92">
            <v>127800641.26827</v>
          </cell>
          <cell r="FH92">
            <v>0</v>
          </cell>
          <cell r="FI92">
            <v>0</v>
          </cell>
          <cell r="FJ92">
            <v>134448958.84739</v>
          </cell>
          <cell r="FK92">
            <v>134448958.84739</v>
          </cell>
          <cell r="FL92">
            <v>134448958.84739</v>
          </cell>
          <cell r="FM92">
            <v>0</v>
          </cell>
          <cell r="FN92">
            <v>138306478.88062</v>
          </cell>
          <cell r="FO92">
            <v>138306478.88062</v>
          </cell>
          <cell r="FP92">
            <v>138306478.88062</v>
          </cell>
          <cell r="FQ92">
            <v>138306478.88062</v>
          </cell>
          <cell r="FR92">
            <v>0</v>
          </cell>
          <cell r="FS92">
            <v>133225336.47806001</v>
          </cell>
          <cell r="FT92">
            <v>133225336.47806001</v>
          </cell>
          <cell r="FU92">
            <v>133225336.47806001</v>
          </cell>
          <cell r="FV92">
            <v>133225336.47806001</v>
          </cell>
          <cell r="FW92">
            <v>133225336.47806001</v>
          </cell>
          <cell r="FX92">
            <v>133225336.47806001</v>
          </cell>
          <cell r="FY92">
            <v>133225336.47806001</v>
          </cell>
          <cell r="FZ92">
            <v>137359911.35879999</v>
          </cell>
          <cell r="GA92">
            <v>129837704.82468</v>
          </cell>
          <cell r="GB92">
            <v>138306478.88062</v>
          </cell>
          <cell r="GC92">
            <v>138955146.21434</v>
          </cell>
          <cell r="GD92">
            <v>138306478.88062</v>
          </cell>
          <cell r="GE92">
            <v>138306478.88062</v>
          </cell>
          <cell r="GF92">
            <v>138306478.88062</v>
          </cell>
          <cell r="GG92">
            <v>138306478.88062</v>
          </cell>
          <cell r="GH92">
            <v>138306478.88062</v>
          </cell>
          <cell r="GI92">
            <v>140857965.88940999</v>
          </cell>
          <cell r="GJ92">
            <v>138306478.88062</v>
          </cell>
          <cell r="GK92">
            <v>138306478.88062</v>
          </cell>
          <cell r="GL92">
            <v>138306478.88062</v>
          </cell>
          <cell r="GM92">
            <v>138306478.88062</v>
          </cell>
          <cell r="GN92">
            <v>138306478.88062</v>
          </cell>
          <cell r="GO92">
            <v>138306478.88062</v>
          </cell>
          <cell r="GP92">
            <v>138306478.88062</v>
          </cell>
          <cell r="GQ92">
            <v>138306478.88062</v>
          </cell>
          <cell r="GR92">
            <v>138306478.88062</v>
          </cell>
          <cell r="GS92">
            <v>138306478.88062</v>
          </cell>
          <cell r="GT92">
            <v>138306478.88062</v>
          </cell>
          <cell r="GU92">
            <v>0</v>
          </cell>
          <cell r="GZ92">
            <v>0</v>
          </cell>
        </row>
        <row r="93">
          <cell r="A93" t="str">
            <v>F_CNP_RFF_RET_COL_FRCE_050</v>
          </cell>
          <cell r="B93">
            <v>143969226.78942999</v>
          </cell>
          <cell r="D93">
            <v>165330902.01842001</v>
          </cell>
          <cell r="E93">
            <v>165346832.59294999</v>
          </cell>
          <cell r="F93">
            <v>165330902.01842001</v>
          </cell>
          <cell r="G93">
            <v>165330902.01842001</v>
          </cell>
          <cell r="H93">
            <v>0</v>
          </cell>
          <cell r="I93">
            <v>0</v>
          </cell>
          <cell r="J93">
            <v>165330902.01842001</v>
          </cell>
          <cell r="K93">
            <v>165330902.01842001</v>
          </cell>
          <cell r="L93">
            <v>165330902.01842001</v>
          </cell>
          <cell r="M93">
            <v>0</v>
          </cell>
          <cell r="N93">
            <v>165330902.01842001</v>
          </cell>
          <cell r="O93">
            <v>165330902.01842001</v>
          </cell>
          <cell r="P93">
            <v>165330902.01842001</v>
          </cell>
          <cell r="Q93">
            <v>165330902.01842001</v>
          </cell>
          <cell r="R93">
            <v>0</v>
          </cell>
          <cell r="S93">
            <v>165330902.01842001</v>
          </cell>
          <cell r="T93">
            <v>165330902.01842001</v>
          </cell>
          <cell r="U93">
            <v>165330902.01842001</v>
          </cell>
          <cell r="V93">
            <v>165330902.01842001</v>
          </cell>
          <cell r="W93">
            <v>165330902.01842001</v>
          </cell>
          <cell r="X93">
            <v>165330902.01842001</v>
          </cell>
          <cell r="Y93">
            <v>165330902.01842001</v>
          </cell>
          <cell r="Z93">
            <v>165330902.01842001</v>
          </cell>
          <cell r="AA93">
            <v>165330902.01842001</v>
          </cell>
          <cell r="AB93">
            <v>168833354.61872</v>
          </cell>
          <cell r="AC93">
            <v>156669008.66097999</v>
          </cell>
          <cell r="AD93">
            <v>0</v>
          </cell>
          <cell r="AE93">
            <v>0</v>
          </cell>
          <cell r="AF93">
            <v>157433819.40257999</v>
          </cell>
          <cell r="AG93">
            <v>157433819.40257999</v>
          </cell>
          <cell r="AH93">
            <v>157433819.40257999</v>
          </cell>
          <cell r="AI93">
            <v>0</v>
          </cell>
          <cell r="AJ93">
            <v>164511602.89302999</v>
          </cell>
          <cell r="AK93">
            <v>164511602.89302999</v>
          </cell>
          <cell r="AL93">
            <v>164511602.89302999</v>
          </cell>
          <cell r="AM93">
            <v>165330902.01842001</v>
          </cell>
          <cell r="AN93">
            <v>0</v>
          </cell>
          <cell r="AO93">
            <v>160750229.05344</v>
          </cell>
          <cell r="AP93">
            <v>160750229.05344</v>
          </cell>
          <cell r="AQ93">
            <v>160750229.05344</v>
          </cell>
          <cell r="AR93">
            <v>160750229.05344</v>
          </cell>
          <cell r="AS93">
            <v>160750229.05344</v>
          </cell>
          <cell r="AT93">
            <v>160750229.05344</v>
          </cell>
          <cell r="AU93">
            <v>160750229.05344</v>
          </cell>
          <cell r="AV93">
            <v>162846153.27287</v>
          </cell>
          <cell r="AW93">
            <v>165330902.01842001</v>
          </cell>
          <cell r="AX93">
            <v>165346832.59294999</v>
          </cell>
          <cell r="AY93">
            <v>165346832.59294999</v>
          </cell>
          <cell r="AZ93">
            <v>0</v>
          </cell>
          <cell r="BA93">
            <v>0</v>
          </cell>
          <cell r="BB93">
            <v>165346832.59294999</v>
          </cell>
          <cell r="BC93">
            <v>165346832.59294999</v>
          </cell>
          <cell r="BD93">
            <v>165346832.59294999</v>
          </cell>
          <cell r="BE93">
            <v>0</v>
          </cell>
          <cell r="BF93">
            <v>165346832.59294999</v>
          </cell>
          <cell r="BG93">
            <v>165346832.59294999</v>
          </cell>
          <cell r="BH93">
            <v>165346832.59294999</v>
          </cell>
          <cell r="BI93">
            <v>165346832.59294999</v>
          </cell>
          <cell r="BJ93">
            <v>0</v>
          </cell>
          <cell r="BK93">
            <v>165346832.59294999</v>
          </cell>
          <cell r="BL93">
            <v>165346832.59294999</v>
          </cell>
          <cell r="BM93">
            <v>165346832.59294999</v>
          </cell>
          <cell r="BN93">
            <v>165346832.59294999</v>
          </cell>
          <cell r="BO93">
            <v>165346832.59294999</v>
          </cell>
          <cell r="BP93">
            <v>165346832.59294999</v>
          </cell>
          <cell r="BQ93">
            <v>165346832.59294999</v>
          </cell>
          <cell r="BR93">
            <v>165346832.59294999</v>
          </cell>
          <cell r="BS93">
            <v>165346832.59294999</v>
          </cell>
          <cell r="BT93">
            <v>175910546.95541</v>
          </cell>
          <cell r="BU93">
            <v>148265626.28060001</v>
          </cell>
          <cell r="BV93">
            <v>0</v>
          </cell>
          <cell r="BW93">
            <v>0</v>
          </cell>
          <cell r="BX93">
            <v>165346832.59294999</v>
          </cell>
          <cell r="BY93">
            <v>165346832.59294999</v>
          </cell>
          <cell r="BZ93">
            <v>165346832.59294999</v>
          </cell>
          <cell r="CA93">
            <v>0</v>
          </cell>
          <cell r="CB93">
            <v>165346832.59294999</v>
          </cell>
          <cell r="CC93">
            <v>165346832.59294999</v>
          </cell>
          <cell r="CD93">
            <v>165346832.59294999</v>
          </cell>
          <cell r="CE93">
            <v>165346832.59294999</v>
          </cell>
          <cell r="CF93">
            <v>0</v>
          </cell>
          <cell r="CG93">
            <v>165346832.59294999</v>
          </cell>
          <cell r="CH93">
            <v>165346832.59294999</v>
          </cell>
          <cell r="CI93">
            <v>165346832.59294999</v>
          </cell>
          <cell r="CJ93">
            <v>165346832.59294999</v>
          </cell>
          <cell r="CK93">
            <v>165346832.59294999</v>
          </cell>
          <cell r="CL93">
            <v>165346832.59294999</v>
          </cell>
          <cell r="CM93">
            <v>165346832.59294999</v>
          </cell>
          <cell r="CN93">
            <v>165346832.59294999</v>
          </cell>
          <cell r="CO93">
            <v>155097927.52989998</v>
          </cell>
          <cell r="CP93">
            <v>165346832.59294999</v>
          </cell>
          <cell r="CQ93">
            <v>165346832.59294999</v>
          </cell>
          <cell r="CR93">
            <v>165346832.59294999</v>
          </cell>
          <cell r="CS93">
            <v>165346832.59294999</v>
          </cell>
          <cell r="CT93">
            <v>165346832.59294999</v>
          </cell>
          <cell r="CU93">
            <v>165346832.59294999</v>
          </cell>
          <cell r="CV93">
            <v>165346832.59294999</v>
          </cell>
          <cell r="CW93">
            <v>165346832.59294999</v>
          </cell>
          <cell r="CX93">
            <v>165346832.59294999</v>
          </cell>
          <cell r="CY93">
            <v>165346832.59294999</v>
          </cell>
          <cell r="CZ93">
            <v>165346832.59294999</v>
          </cell>
          <cell r="DA93">
            <v>168754336.93239999</v>
          </cell>
          <cell r="DB93">
            <v>165346832.59294999</v>
          </cell>
          <cell r="DC93">
            <v>165346832.59294999</v>
          </cell>
          <cell r="DD93">
            <v>165346832.59294999</v>
          </cell>
          <cell r="DE93">
            <v>103623550.60698999</v>
          </cell>
          <cell r="DF93">
            <v>227070114.57890999</v>
          </cell>
          <cell r="DG93">
            <v>168306052.99122</v>
          </cell>
          <cell r="DH93">
            <v>165346832.59294999</v>
          </cell>
          <cell r="DI93">
            <v>165346832.59294999</v>
          </cell>
          <cell r="DJ93">
            <v>0</v>
          </cell>
          <cell r="DK93">
            <v>0</v>
          </cell>
          <cell r="DL93">
            <v>0</v>
          </cell>
          <cell r="DM93">
            <v>0</v>
          </cell>
          <cell r="DN93">
            <v>0</v>
          </cell>
          <cell r="DO93">
            <v>0</v>
          </cell>
          <cell r="DP93">
            <v>0</v>
          </cell>
          <cell r="DQ93">
            <v>0</v>
          </cell>
          <cell r="DR93">
            <v>0</v>
          </cell>
          <cell r="DS93">
            <v>0</v>
          </cell>
          <cell r="DT93">
            <v>0</v>
          </cell>
          <cell r="DU93">
            <v>0</v>
          </cell>
          <cell r="DV93">
            <v>0</v>
          </cell>
          <cell r="DW93">
            <v>0</v>
          </cell>
          <cell r="DX93" t="str">
            <v/>
          </cell>
          <cell r="DY93" t="str">
            <v/>
          </cell>
          <cell r="DZ93" t="str">
            <v/>
          </cell>
          <cell r="EA93">
            <v>165346832.59294999</v>
          </cell>
          <cell r="EB93">
            <v>165346832.59294999</v>
          </cell>
          <cell r="EC93">
            <v>165346832.59294999</v>
          </cell>
          <cell r="ED93">
            <v>165346832.59294999</v>
          </cell>
          <cell r="EE93">
            <v>165346832.59294999</v>
          </cell>
          <cell r="EF93">
            <v>165346832.59294999</v>
          </cell>
          <cell r="EG93">
            <v>165346832.59294999</v>
          </cell>
          <cell r="EH93">
            <v>165346832.59294999</v>
          </cell>
          <cell r="EI93">
            <v>165346832.59294999</v>
          </cell>
          <cell r="EJ93">
            <v>165346832.59294999</v>
          </cell>
          <cell r="EK93">
            <v>165346832.59294999</v>
          </cell>
          <cell r="EL93">
            <v>165346832.59294999</v>
          </cell>
          <cell r="EM93">
            <v>165346832.59294999</v>
          </cell>
          <cell r="EN93">
            <v>165346832.59294999</v>
          </cell>
          <cell r="EO93">
            <v>103623550.60698999</v>
          </cell>
          <cell r="EP93">
            <v>227070114.57890999</v>
          </cell>
          <cell r="EQ93">
            <v>165346832.59294999</v>
          </cell>
          <cell r="ER93">
            <v>165346832.59294999</v>
          </cell>
          <cell r="ES93">
            <v>0</v>
          </cell>
          <cell r="ET93">
            <v>0</v>
          </cell>
          <cell r="EU93">
            <v>0</v>
          </cell>
          <cell r="EV93">
            <v>0</v>
          </cell>
          <cell r="EW93">
            <v>0</v>
          </cell>
          <cell r="EX93">
            <v>0</v>
          </cell>
          <cell r="EY93">
            <v>0</v>
          </cell>
          <cell r="EZ93">
            <v>0</v>
          </cell>
          <cell r="FA93">
            <v>0</v>
          </cell>
          <cell r="FB93">
            <v>0</v>
          </cell>
          <cell r="FC93">
            <v>0</v>
          </cell>
          <cell r="FD93">
            <v>61723281.985959992</v>
          </cell>
          <cell r="FE93">
            <v>103623550.60698999</v>
          </cell>
          <cell r="FF93">
            <v>172914280.09924001</v>
          </cell>
          <cell r="FG93">
            <v>153361531.20008001</v>
          </cell>
          <cell r="FH93">
            <v>0</v>
          </cell>
          <cell r="FI93">
            <v>0</v>
          </cell>
          <cell r="FJ93">
            <v>158252325.28885001</v>
          </cell>
          <cell r="FK93">
            <v>158252325.28885001</v>
          </cell>
          <cell r="FL93">
            <v>158252325.28885001</v>
          </cell>
          <cell r="FM93">
            <v>0</v>
          </cell>
          <cell r="FN93">
            <v>164669573.70883</v>
          </cell>
          <cell r="FO93">
            <v>164669573.70883</v>
          </cell>
          <cell r="FP93">
            <v>164669573.70883</v>
          </cell>
          <cell r="FQ93">
            <v>165346832.59294999</v>
          </cell>
          <cell r="FR93">
            <v>0</v>
          </cell>
          <cell r="FS93">
            <v>161297820.13211</v>
          </cell>
          <cell r="FT93">
            <v>161297820.13211</v>
          </cell>
          <cell r="FU93">
            <v>161297820.13211</v>
          </cell>
          <cell r="FV93">
            <v>161297820.13211</v>
          </cell>
          <cell r="FW93">
            <v>161297820.13211</v>
          </cell>
          <cell r="FX93">
            <v>161297820.13211</v>
          </cell>
          <cell r="FY93">
            <v>161297820.13211</v>
          </cell>
          <cell r="FZ93">
            <v>163116665.52316999</v>
          </cell>
          <cell r="GA93">
            <v>149418716.33023</v>
          </cell>
          <cell r="GB93">
            <v>165346832.59294999</v>
          </cell>
          <cell r="GC93">
            <v>165549684.95929</v>
          </cell>
          <cell r="GD93">
            <v>165346832.59294999</v>
          </cell>
          <cell r="GE93">
            <v>165346832.59294999</v>
          </cell>
          <cell r="GF93">
            <v>165346832.59294999</v>
          </cell>
          <cell r="GG93">
            <v>165346832.59294999</v>
          </cell>
          <cell r="GH93">
            <v>165346832.59294999</v>
          </cell>
          <cell r="GI93">
            <v>170877897.99342</v>
          </cell>
          <cell r="GJ93">
            <v>165346832.59294999</v>
          </cell>
          <cell r="GK93">
            <v>165346832.59294999</v>
          </cell>
          <cell r="GL93">
            <v>165346832.59294999</v>
          </cell>
          <cell r="GM93">
            <v>165346832.59294999</v>
          </cell>
          <cell r="GN93">
            <v>165346832.59294999</v>
          </cell>
          <cell r="GO93">
            <v>165346832.59294999</v>
          </cell>
          <cell r="GP93">
            <v>165346832.59294999</v>
          </cell>
          <cell r="GQ93">
            <v>165346832.59294999</v>
          </cell>
          <cell r="GR93">
            <v>165346832.59294999</v>
          </cell>
          <cell r="GS93">
            <v>165346832.59294999</v>
          </cell>
          <cell r="GT93">
            <v>165346832.59294999</v>
          </cell>
          <cell r="GU93">
            <v>0</v>
          </cell>
          <cell r="GZ93">
            <v>0</v>
          </cell>
        </row>
        <row r="94">
          <cell r="A94" t="str">
            <v>F_CNP_RFF_RET_COL_FRCE_051</v>
          </cell>
          <cell r="B94">
            <v>22583762.079999998</v>
          </cell>
          <cell r="D94">
            <v>30619975.64443</v>
          </cell>
          <cell r="E94">
            <v>30931944.39923</v>
          </cell>
          <cell r="F94">
            <v>30619975.64443</v>
          </cell>
          <cell r="G94">
            <v>30619975.64443</v>
          </cell>
          <cell r="H94">
            <v>0</v>
          </cell>
          <cell r="I94">
            <v>0</v>
          </cell>
          <cell r="J94">
            <v>30619975.64443</v>
          </cell>
          <cell r="K94">
            <v>30619975.64443</v>
          </cell>
          <cell r="L94">
            <v>30619975.64443</v>
          </cell>
          <cell r="M94">
            <v>0</v>
          </cell>
          <cell r="N94">
            <v>30619975.64443</v>
          </cell>
          <cell r="O94">
            <v>30619975.64443</v>
          </cell>
          <cell r="P94">
            <v>30619975.64443</v>
          </cell>
          <cell r="Q94">
            <v>30619975.64443</v>
          </cell>
          <cell r="R94">
            <v>0</v>
          </cell>
          <cell r="S94">
            <v>30619975.64443</v>
          </cell>
          <cell r="T94">
            <v>30619975.64443</v>
          </cell>
          <cell r="U94">
            <v>30619975.64443</v>
          </cell>
          <cell r="V94">
            <v>30619975.64443</v>
          </cell>
          <cell r="W94">
            <v>30619975.64443</v>
          </cell>
          <cell r="X94">
            <v>30619975.64443</v>
          </cell>
          <cell r="Y94">
            <v>30619975.64443</v>
          </cell>
          <cell r="Z94">
            <v>30619975.64443</v>
          </cell>
          <cell r="AA94">
            <v>30619975.64443</v>
          </cell>
          <cell r="AB94">
            <v>31736731.019549999</v>
          </cell>
          <cell r="AC94">
            <v>27590265.310320001</v>
          </cell>
          <cell r="AD94">
            <v>0</v>
          </cell>
          <cell r="AE94">
            <v>0</v>
          </cell>
          <cell r="AF94">
            <v>27278045.077819999</v>
          </cell>
          <cell r="AG94">
            <v>27278045.077819999</v>
          </cell>
          <cell r="AH94">
            <v>27278045.077819999</v>
          </cell>
          <cell r="AI94">
            <v>0</v>
          </cell>
          <cell r="AJ94">
            <v>30251021.232310001</v>
          </cell>
          <cell r="AK94">
            <v>30251021.232310001</v>
          </cell>
          <cell r="AL94">
            <v>30251021.232310001</v>
          </cell>
          <cell r="AM94">
            <v>30505634.423239999</v>
          </cell>
          <cell r="AN94">
            <v>0</v>
          </cell>
          <cell r="AO94">
            <v>28388950.505169999</v>
          </cell>
          <cell r="AP94">
            <v>28388950.505169999</v>
          </cell>
          <cell r="AQ94">
            <v>28388950.505169999</v>
          </cell>
          <cell r="AR94">
            <v>28388950.505169999</v>
          </cell>
          <cell r="AS94">
            <v>28388950.505169999</v>
          </cell>
          <cell r="AT94">
            <v>28388950.505169999</v>
          </cell>
          <cell r="AU94">
            <v>28388950.505169999</v>
          </cell>
          <cell r="AV94">
            <v>30081699.228390001</v>
          </cell>
          <cell r="AW94">
            <v>30619975.64443</v>
          </cell>
          <cell r="AX94">
            <v>30931944.39923</v>
          </cell>
          <cell r="AY94">
            <v>30931944.39923</v>
          </cell>
          <cell r="AZ94">
            <v>0</v>
          </cell>
          <cell r="BA94">
            <v>0</v>
          </cell>
          <cell r="BB94">
            <v>30931944.39923</v>
          </cell>
          <cell r="BC94">
            <v>30931944.39923</v>
          </cell>
          <cell r="BD94">
            <v>30931944.39923</v>
          </cell>
          <cell r="BE94">
            <v>0</v>
          </cell>
          <cell r="BF94">
            <v>30931944.39923</v>
          </cell>
          <cell r="BG94">
            <v>30931944.39923</v>
          </cell>
          <cell r="BH94">
            <v>30931944.39923</v>
          </cell>
          <cell r="BI94">
            <v>30931944.39923</v>
          </cell>
          <cell r="BJ94">
            <v>0</v>
          </cell>
          <cell r="BK94">
            <v>30931944.39923</v>
          </cell>
          <cell r="BL94">
            <v>30931944.39923</v>
          </cell>
          <cell r="BM94">
            <v>30931944.39923</v>
          </cell>
          <cell r="BN94">
            <v>30931944.39923</v>
          </cell>
          <cell r="BO94">
            <v>30931944.39923</v>
          </cell>
          <cell r="BP94">
            <v>30931944.39923</v>
          </cell>
          <cell r="BQ94">
            <v>30931944.39923</v>
          </cell>
          <cell r="BR94">
            <v>30931944.39923</v>
          </cell>
          <cell r="BS94">
            <v>30931944.39923</v>
          </cell>
          <cell r="BT94">
            <v>32406249.874299999</v>
          </cell>
          <cell r="BU94">
            <v>28297508.022499997</v>
          </cell>
          <cell r="BV94">
            <v>0</v>
          </cell>
          <cell r="BW94">
            <v>0</v>
          </cell>
          <cell r="BX94">
            <v>30703440.975169998</v>
          </cell>
          <cell r="BY94">
            <v>30703440.975169998</v>
          </cell>
          <cell r="BZ94">
            <v>30703440.975169998</v>
          </cell>
          <cell r="CA94">
            <v>0</v>
          </cell>
          <cell r="CB94">
            <v>30866832.27753</v>
          </cell>
          <cell r="CC94">
            <v>30866832.27753</v>
          </cell>
          <cell r="CD94">
            <v>30866832.27753</v>
          </cell>
          <cell r="CE94">
            <v>30931944.381469999</v>
          </cell>
          <cell r="CF94">
            <v>0</v>
          </cell>
          <cell r="CG94">
            <v>30891326.61953</v>
          </cell>
          <cell r="CH94">
            <v>30891326.61953</v>
          </cell>
          <cell r="CI94">
            <v>30891326.61953</v>
          </cell>
          <cell r="CJ94">
            <v>30891326.61953</v>
          </cell>
          <cell r="CK94">
            <v>30891326.61953</v>
          </cell>
          <cell r="CL94">
            <v>30891326.61953</v>
          </cell>
          <cell r="CM94">
            <v>30891326.61953</v>
          </cell>
          <cell r="CN94">
            <v>30931944.39923</v>
          </cell>
          <cell r="CO94">
            <v>29281056.085079998</v>
          </cell>
          <cell r="CP94">
            <v>30931944.39923</v>
          </cell>
          <cell r="CQ94">
            <v>30931944.39923</v>
          </cell>
          <cell r="CR94">
            <v>30931944.39923</v>
          </cell>
          <cell r="CS94">
            <v>30931944.39923</v>
          </cell>
          <cell r="CT94">
            <v>30931944.39923</v>
          </cell>
          <cell r="CU94">
            <v>30931944.39923</v>
          </cell>
          <cell r="CV94">
            <v>30931944.39923</v>
          </cell>
          <cell r="CW94">
            <v>30931944.39923</v>
          </cell>
          <cell r="CX94">
            <v>30931944.39923</v>
          </cell>
          <cell r="CY94">
            <v>30931944.39923</v>
          </cell>
          <cell r="CZ94">
            <v>30931944.39923</v>
          </cell>
          <cell r="DA94">
            <v>31843190.761429999</v>
          </cell>
          <cell r="DB94">
            <v>30931944.39923</v>
          </cell>
          <cell r="DC94">
            <v>30942683.274669997</v>
          </cell>
          <cell r="DD94">
            <v>30931944.39923</v>
          </cell>
          <cell r="DE94">
            <v>22748178.989950001</v>
          </cell>
          <cell r="DF94">
            <v>39115709.808509998</v>
          </cell>
          <cell r="DG94">
            <v>31419181.794569999</v>
          </cell>
          <cell r="DH94">
            <v>30931944.39923</v>
          </cell>
          <cell r="DI94">
            <v>30931944.39923</v>
          </cell>
          <cell r="DJ94">
            <v>0</v>
          </cell>
          <cell r="DK94">
            <v>0</v>
          </cell>
          <cell r="DL94">
            <v>0</v>
          </cell>
          <cell r="DM94">
            <v>0</v>
          </cell>
          <cell r="DN94">
            <v>0</v>
          </cell>
          <cell r="DO94">
            <v>0</v>
          </cell>
          <cell r="DP94">
            <v>0</v>
          </cell>
          <cell r="DQ94">
            <v>0</v>
          </cell>
          <cell r="DR94">
            <v>0</v>
          </cell>
          <cell r="DS94">
            <v>0</v>
          </cell>
          <cell r="DT94">
            <v>0</v>
          </cell>
          <cell r="DU94">
            <v>0</v>
          </cell>
          <cell r="DV94">
            <v>0</v>
          </cell>
          <cell r="DW94">
            <v>0</v>
          </cell>
          <cell r="DX94" t="str">
            <v/>
          </cell>
          <cell r="DY94" t="str">
            <v/>
          </cell>
          <cell r="DZ94" t="str">
            <v/>
          </cell>
          <cell r="EA94">
            <v>30931944.39923</v>
          </cell>
          <cell r="EB94">
            <v>30931944.39923</v>
          </cell>
          <cell r="EC94">
            <v>30931944.39923</v>
          </cell>
          <cell r="ED94">
            <v>30931944.39923</v>
          </cell>
          <cell r="EE94">
            <v>30931944.39923</v>
          </cell>
          <cell r="EF94">
            <v>30931944.39923</v>
          </cell>
          <cell r="EG94">
            <v>30931944.39923</v>
          </cell>
          <cell r="EH94">
            <v>30931944.39923</v>
          </cell>
          <cell r="EI94">
            <v>30931944.39923</v>
          </cell>
          <cell r="EJ94">
            <v>30931944.39923</v>
          </cell>
          <cell r="EK94">
            <v>30931944.39923</v>
          </cell>
          <cell r="EL94">
            <v>30931944.39923</v>
          </cell>
          <cell r="EM94">
            <v>30931944.39923</v>
          </cell>
          <cell r="EN94">
            <v>30931944.39923</v>
          </cell>
          <cell r="EO94">
            <v>22748178.989950001</v>
          </cell>
          <cell r="EP94">
            <v>39115709.808509998</v>
          </cell>
          <cell r="EQ94">
            <v>30931944.39923</v>
          </cell>
          <cell r="ER94">
            <v>30931944.39923</v>
          </cell>
          <cell r="ES94">
            <v>0</v>
          </cell>
          <cell r="ET94">
            <v>0</v>
          </cell>
          <cell r="EU94">
            <v>0</v>
          </cell>
          <cell r="EV94">
            <v>0</v>
          </cell>
          <cell r="EW94">
            <v>0</v>
          </cell>
          <cell r="EX94">
            <v>0</v>
          </cell>
          <cell r="EY94">
            <v>0</v>
          </cell>
          <cell r="EZ94">
            <v>0</v>
          </cell>
          <cell r="FA94">
            <v>0</v>
          </cell>
          <cell r="FB94">
            <v>0</v>
          </cell>
          <cell r="FC94">
            <v>0</v>
          </cell>
          <cell r="FD94">
            <v>8183765.4192999974</v>
          </cell>
          <cell r="FE94">
            <v>22748178.989950001</v>
          </cell>
          <cell r="FF94">
            <v>32600197.46618</v>
          </cell>
          <cell r="FG94">
            <v>27326613.191459998</v>
          </cell>
          <cell r="FH94">
            <v>0</v>
          </cell>
          <cell r="FI94">
            <v>0</v>
          </cell>
          <cell r="FJ94">
            <v>28274510.272569999</v>
          </cell>
          <cell r="FK94">
            <v>28274510.272569999</v>
          </cell>
          <cell r="FL94">
            <v>28274510.272569999</v>
          </cell>
          <cell r="FM94">
            <v>0</v>
          </cell>
          <cell r="FN94">
            <v>30583444.215539999</v>
          </cell>
          <cell r="FO94">
            <v>30583444.215539999</v>
          </cell>
          <cell r="FP94">
            <v>30583444.215539999</v>
          </cell>
          <cell r="FQ94">
            <v>30865535.95848</v>
          </cell>
          <cell r="FR94">
            <v>0</v>
          </cell>
          <cell r="FS94">
            <v>29320498.991110001</v>
          </cell>
          <cell r="FT94">
            <v>29320498.991110001</v>
          </cell>
          <cell r="FU94">
            <v>29320498.991110001</v>
          </cell>
          <cell r="FV94">
            <v>29320498.991110001</v>
          </cell>
          <cell r="FW94">
            <v>29320498.991110001</v>
          </cell>
          <cell r="FX94">
            <v>29320498.991110001</v>
          </cell>
          <cell r="FY94">
            <v>29320498.991110001</v>
          </cell>
          <cell r="FZ94">
            <v>30416882.090580001</v>
          </cell>
          <cell r="GA94">
            <v>29058604.334819999</v>
          </cell>
          <cell r="GB94">
            <v>30931944.39923</v>
          </cell>
          <cell r="GC94">
            <v>31737620.76193</v>
          </cell>
          <cell r="GD94">
            <v>30931944.410950001</v>
          </cell>
          <cell r="GE94">
            <v>30932827.028299998</v>
          </cell>
          <cell r="GF94">
            <v>30931944.39923</v>
          </cell>
          <cell r="GG94">
            <v>30931944.39923</v>
          </cell>
          <cell r="GH94">
            <v>30931944.39923</v>
          </cell>
          <cell r="GI94">
            <v>31514853.458769999</v>
          </cell>
          <cell r="GJ94">
            <v>30931944.410829999</v>
          </cell>
          <cell r="GK94">
            <v>30931944.39923</v>
          </cell>
          <cell r="GL94">
            <v>30931944.39923</v>
          </cell>
          <cell r="GM94">
            <v>30931944.39923</v>
          </cell>
          <cell r="GN94">
            <v>30931944.39923</v>
          </cell>
          <cell r="GO94">
            <v>30931944.39923</v>
          </cell>
          <cell r="GP94">
            <v>30931944.39923</v>
          </cell>
          <cell r="GQ94">
            <v>30931944.39923</v>
          </cell>
          <cell r="GR94">
            <v>30931944.39923</v>
          </cell>
          <cell r="GS94">
            <v>30931944.39923</v>
          </cell>
          <cell r="GT94">
            <v>30931944.39923</v>
          </cell>
          <cell r="GU94">
            <v>0</v>
          </cell>
          <cell r="GZ94">
            <v>0</v>
          </cell>
        </row>
        <row r="95">
          <cell r="A95" t="str">
            <v>F_CNP_RFF_RET_COL_FRCE_052</v>
          </cell>
          <cell r="B95">
            <v>796609466.13999999</v>
          </cell>
          <cell r="D95">
            <v>931857047.37641001</v>
          </cell>
          <cell r="E95">
            <v>937951001.73192</v>
          </cell>
          <cell r="F95">
            <v>931857047.37641001</v>
          </cell>
          <cell r="G95">
            <v>931857047.37641001</v>
          </cell>
          <cell r="H95">
            <v>0</v>
          </cell>
          <cell r="I95">
            <v>0</v>
          </cell>
          <cell r="J95">
            <v>931857047.37641001</v>
          </cell>
          <cell r="K95">
            <v>931857047.37641001</v>
          </cell>
          <cell r="L95">
            <v>931857047.37641001</v>
          </cell>
          <cell r="M95">
            <v>0</v>
          </cell>
          <cell r="N95">
            <v>931857047.37641001</v>
          </cell>
          <cell r="O95">
            <v>931857047.37641001</v>
          </cell>
          <cell r="P95">
            <v>931857047.37641001</v>
          </cell>
          <cell r="Q95">
            <v>931857047.37641001</v>
          </cell>
          <cell r="R95">
            <v>0</v>
          </cell>
          <cell r="S95">
            <v>931857047.37641001</v>
          </cell>
          <cell r="T95">
            <v>931857047.37641001</v>
          </cell>
          <cell r="U95">
            <v>931857047.37641001</v>
          </cell>
          <cell r="V95">
            <v>931857047.37641001</v>
          </cell>
          <cell r="W95">
            <v>931857047.37641001</v>
          </cell>
          <cell r="X95">
            <v>931857047.37641001</v>
          </cell>
          <cell r="Y95">
            <v>931857047.37641001</v>
          </cell>
          <cell r="Z95">
            <v>931857047.37641001</v>
          </cell>
          <cell r="AA95">
            <v>931857047.37641001</v>
          </cell>
          <cell r="AB95">
            <v>953759460.96973002</v>
          </cell>
          <cell r="AC95">
            <v>869946594.46695006</v>
          </cell>
          <cell r="AD95">
            <v>0</v>
          </cell>
          <cell r="AE95">
            <v>0</v>
          </cell>
          <cell r="AF95">
            <v>900182170.57456994</v>
          </cell>
          <cell r="AG95">
            <v>900182170.57456994</v>
          </cell>
          <cell r="AH95">
            <v>900182170.57456994</v>
          </cell>
          <cell r="AI95">
            <v>0</v>
          </cell>
          <cell r="AJ95">
            <v>931857047.37641001</v>
          </cell>
          <cell r="AK95">
            <v>931857047.37641001</v>
          </cell>
          <cell r="AL95">
            <v>931857047.37641001</v>
          </cell>
          <cell r="AM95">
            <v>931857047.37641001</v>
          </cell>
          <cell r="AN95">
            <v>0</v>
          </cell>
          <cell r="AO95">
            <v>892386406.08533001</v>
          </cell>
          <cell r="AP95">
            <v>892386406.08533001</v>
          </cell>
          <cell r="AQ95">
            <v>892386406.08533001</v>
          </cell>
          <cell r="AR95">
            <v>892386406.08533001</v>
          </cell>
          <cell r="AS95">
            <v>892386406.08533001</v>
          </cell>
          <cell r="AT95">
            <v>892386406.08533001</v>
          </cell>
          <cell r="AU95">
            <v>892386406.08533001</v>
          </cell>
          <cell r="AV95">
            <v>920306548.36848998</v>
          </cell>
          <cell r="AW95">
            <v>931857047.37641001</v>
          </cell>
          <cell r="AX95">
            <v>937951001.73192</v>
          </cell>
          <cell r="AY95">
            <v>937951001.73192</v>
          </cell>
          <cell r="AZ95">
            <v>0</v>
          </cell>
          <cell r="BA95">
            <v>0</v>
          </cell>
          <cell r="BB95">
            <v>937951001.73192</v>
          </cell>
          <cell r="BC95">
            <v>937951001.73192</v>
          </cell>
          <cell r="BD95">
            <v>937951001.73192</v>
          </cell>
          <cell r="BE95">
            <v>0</v>
          </cell>
          <cell r="BF95">
            <v>937951001.73192</v>
          </cell>
          <cell r="BG95">
            <v>937951001.73192</v>
          </cell>
          <cell r="BH95">
            <v>937951001.73192</v>
          </cell>
          <cell r="BI95">
            <v>937951001.73192</v>
          </cell>
          <cell r="BJ95">
            <v>0</v>
          </cell>
          <cell r="BK95">
            <v>937951001.73192</v>
          </cell>
          <cell r="BL95">
            <v>937951001.73192</v>
          </cell>
          <cell r="BM95">
            <v>937951001.73192</v>
          </cell>
          <cell r="BN95">
            <v>937951001.73192</v>
          </cell>
          <cell r="BO95">
            <v>937951001.73192</v>
          </cell>
          <cell r="BP95">
            <v>937951001.73192</v>
          </cell>
          <cell r="BQ95">
            <v>937951001.73192</v>
          </cell>
          <cell r="BR95">
            <v>937951001.73192</v>
          </cell>
          <cell r="BS95">
            <v>937951001.73192</v>
          </cell>
          <cell r="BT95">
            <v>1010995521.37945</v>
          </cell>
          <cell r="BU95">
            <v>822353070.03843999</v>
          </cell>
          <cell r="BV95">
            <v>0</v>
          </cell>
          <cell r="BW95">
            <v>0</v>
          </cell>
          <cell r="BX95">
            <v>937951001.73192</v>
          </cell>
          <cell r="BY95">
            <v>937951001.73192</v>
          </cell>
          <cell r="BZ95">
            <v>937951001.73192</v>
          </cell>
          <cell r="CA95">
            <v>0</v>
          </cell>
          <cell r="CB95">
            <v>937951001.73192</v>
          </cell>
          <cell r="CC95">
            <v>937951001.73192</v>
          </cell>
          <cell r="CD95">
            <v>937951001.73192</v>
          </cell>
          <cell r="CE95">
            <v>937951001.73192</v>
          </cell>
          <cell r="CF95">
            <v>0</v>
          </cell>
          <cell r="CG95">
            <v>937951001.73192</v>
          </cell>
          <cell r="CH95">
            <v>937951001.73192</v>
          </cell>
          <cell r="CI95">
            <v>937951001.73192</v>
          </cell>
          <cell r="CJ95">
            <v>937951001.73192</v>
          </cell>
          <cell r="CK95">
            <v>937951001.73192</v>
          </cell>
          <cell r="CL95">
            <v>937951001.73192</v>
          </cell>
          <cell r="CM95">
            <v>937951001.73192</v>
          </cell>
          <cell r="CN95">
            <v>937951001.73192</v>
          </cell>
          <cell r="CO95">
            <v>894857473.64531994</v>
          </cell>
          <cell r="CP95">
            <v>937951001.73192</v>
          </cell>
          <cell r="CQ95">
            <v>937951001.73192</v>
          </cell>
          <cell r="CR95">
            <v>937951001.73192</v>
          </cell>
          <cell r="CS95">
            <v>937951001.73192</v>
          </cell>
          <cell r="CT95">
            <v>937951001.73192</v>
          </cell>
          <cell r="CU95">
            <v>937951001.73192</v>
          </cell>
          <cell r="CV95">
            <v>937951001.73192</v>
          </cell>
          <cell r="CW95">
            <v>937951001.73192</v>
          </cell>
          <cell r="CX95">
            <v>937951001.73192</v>
          </cell>
          <cell r="CY95">
            <v>937951001.73192</v>
          </cell>
          <cell r="CZ95">
            <v>937951001.73192</v>
          </cell>
          <cell r="DA95">
            <v>966033088.85299993</v>
          </cell>
          <cell r="DB95">
            <v>937951001.73192</v>
          </cell>
          <cell r="DC95">
            <v>937951001.73192</v>
          </cell>
          <cell r="DD95">
            <v>937951001.73192</v>
          </cell>
          <cell r="DE95">
            <v>695098776.12792003</v>
          </cell>
          <cell r="DF95">
            <v>1180803227.3359199</v>
          </cell>
          <cell r="DG95">
            <v>949987836.94687998</v>
          </cell>
          <cell r="DH95">
            <v>937951001.73192</v>
          </cell>
          <cell r="DI95">
            <v>937951001.73192</v>
          </cell>
          <cell r="DJ95">
            <v>0</v>
          </cell>
          <cell r="DK95">
            <v>0</v>
          </cell>
          <cell r="DL95">
            <v>0</v>
          </cell>
          <cell r="DM95">
            <v>0</v>
          </cell>
          <cell r="DN95">
            <v>0</v>
          </cell>
          <cell r="DO95">
            <v>0</v>
          </cell>
          <cell r="DP95">
            <v>0</v>
          </cell>
          <cell r="DQ95">
            <v>0</v>
          </cell>
          <cell r="DR95">
            <v>0</v>
          </cell>
          <cell r="DS95">
            <v>0</v>
          </cell>
          <cell r="DT95">
            <v>0</v>
          </cell>
          <cell r="DU95">
            <v>0</v>
          </cell>
          <cell r="DV95">
            <v>0</v>
          </cell>
          <cell r="DW95">
            <v>0</v>
          </cell>
          <cell r="DX95" t="str">
            <v/>
          </cell>
          <cell r="DY95" t="str">
            <v/>
          </cell>
          <cell r="DZ95" t="str">
            <v/>
          </cell>
          <cell r="EA95">
            <v>937951001.73192</v>
          </cell>
          <cell r="EB95">
            <v>937951001.73192</v>
          </cell>
          <cell r="EC95">
            <v>937951001.73192</v>
          </cell>
          <cell r="ED95">
            <v>937951001.73192</v>
          </cell>
          <cell r="EE95">
            <v>937951001.73192</v>
          </cell>
          <cell r="EF95">
            <v>937951001.73192</v>
          </cell>
          <cell r="EG95">
            <v>937951001.73192</v>
          </cell>
          <cell r="EH95">
            <v>937951001.73192</v>
          </cell>
          <cell r="EI95">
            <v>937951001.73192</v>
          </cell>
          <cell r="EJ95">
            <v>937951001.73192</v>
          </cell>
          <cell r="EK95">
            <v>937951001.73192</v>
          </cell>
          <cell r="EL95">
            <v>937951001.73192</v>
          </cell>
          <cell r="EM95">
            <v>937951001.73192</v>
          </cell>
          <cell r="EN95">
            <v>937951001.73192</v>
          </cell>
          <cell r="EO95">
            <v>695098776.12792003</v>
          </cell>
          <cell r="EP95">
            <v>1180803227.3359199</v>
          </cell>
          <cell r="EQ95">
            <v>937951001.73192</v>
          </cell>
          <cell r="ER95">
            <v>937951001.73192</v>
          </cell>
          <cell r="ES95">
            <v>0</v>
          </cell>
          <cell r="ET95">
            <v>0</v>
          </cell>
          <cell r="EU95">
            <v>0</v>
          </cell>
          <cell r="EV95">
            <v>0</v>
          </cell>
          <cell r="EW95">
            <v>0</v>
          </cell>
          <cell r="EX95">
            <v>0</v>
          </cell>
          <cell r="EY95">
            <v>0</v>
          </cell>
          <cell r="EZ95">
            <v>0</v>
          </cell>
          <cell r="FA95">
            <v>0</v>
          </cell>
          <cell r="FB95">
            <v>0</v>
          </cell>
          <cell r="FC95">
            <v>0</v>
          </cell>
          <cell r="FD95">
            <v>242852225.60399997</v>
          </cell>
          <cell r="FE95">
            <v>695098776.12792003</v>
          </cell>
          <cell r="FF95">
            <v>990511096.36572003</v>
          </cell>
          <cell r="FG95">
            <v>857428081.28275001</v>
          </cell>
          <cell r="FH95">
            <v>0</v>
          </cell>
          <cell r="FI95">
            <v>0</v>
          </cell>
          <cell r="FJ95">
            <v>910456242.58282995</v>
          </cell>
          <cell r="FK95">
            <v>910456242.58282995</v>
          </cell>
          <cell r="FL95">
            <v>910456242.58282995</v>
          </cell>
          <cell r="FM95">
            <v>0</v>
          </cell>
          <cell r="FN95">
            <v>937951001.73192</v>
          </cell>
          <cell r="FO95">
            <v>937951001.73192</v>
          </cell>
          <cell r="FP95">
            <v>937951001.73192</v>
          </cell>
          <cell r="FQ95">
            <v>937951001.73192</v>
          </cell>
          <cell r="FR95">
            <v>0</v>
          </cell>
          <cell r="FS95">
            <v>904138720.17085004</v>
          </cell>
          <cell r="FT95">
            <v>904138720.17085004</v>
          </cell>
          <cell r="FU95">
            <v>904138720.17085004</v>
          </cell>
          <cell r="FV95">
            <v>904138720.17085004</v>
          </cell>
          <cell r="FW95">
            <v>904138720.17085004</v>
          </cell>
          <cell r="FX95">
            <v>904138720.17085004</v>
          </cell>
          <cell r="FY95">
            <v>904138720.17085004</v>
          </cell>
          <cell r="FZ95">
            <v>928162355.79883003</v>
          </cell>
          <cell r="GA95">
            <v>883506511.61257994</v>
          </cell>
          <cell r="GB95">
            <v>937951001.73192</v>
          </cell>
          <cell r="GC95">
            <v>950718327.77560997</v>
          </cell>
          <cell r="GD95">
            <v>937951001.73192</v>
          </cell>
          <cell r="GE95">
            <v>937951001.73192</v>
          </cell>
          <cell r="GF95">
            <v>937951001.73192</v>
          </cell>
          <cell r="GG95">
            <v>937951001.73192</v>
          </cell>
          <cell r="GH95">
            <v>937951001.73192</v>
          </cell>
          <cell r="GI95">
            <v>954706016.09072995</v>
          </cell>
          <cell r="GJ95">
            <v>937951001.73192</v>
          </cell>
          <cell r="GK95">
            <v>937951001.73192</v>
          </cell>
          <cell r="GL95">
            <v>937951001.73192</v>
          </cell>
          <cell r="GM95">
            <v>937951001.73192</v>
          </cell>
          <cell r="GN95">
            <v>937951001.73192</v>
          </cell>
          <cell r="GO95">
            <v>937951001.73192</v>
          </cell>
          <cell r="GP95">
            <v>937951001.73192</v>
          </cell>
          <cell r="GQ95">
            <v>937951001.73192</v>
          </cell>
          <cell r="GR95">
            <v>937951001.73192</v>
          </cell>
          <cell r="GS95">
            <v>937951001.73192</v>
          </cell>
          <cell r="GT95">
            <v>937951001.73192</v>
          </cell>
          <cell r="GU95">
            <v>0</v>
          </cell>
          <cell r="GZ95">
            <v>0</v>
          </cell>
        </row>
        <row r="96">
          <cell r="A96" t="str">
            <v>F_CNP_NRF_RIS_IND_FRCE_201</v>
          </cell>
          <cell r="B96">
            <v>159589907.47910002</v>
          </cell>
          <cell r="D96">
            <v>204440746.76254988</v>
          </cell>
          <cell r="E96">
            <v>-109979350.06306008</v>
          </cell>
          <cell r="F96">
            <v>204440746.76254988</v>
          </cell>
          <cell r="G96">
            <v>204440746.76254988</v>
          </cell>
          <cell r="H96">
            <v>0</v>
          </cell>
          <cell r="I96">
            <v>0</v>
          </cell>
          <cell r="J96">
            <v>204440746.76254988</v>
          </cell>
          <cell r="K96">
            <v>204440746.76254988</v>
          </cell>
          <cell r="L96">
            <v>204440746.76254988</v>
          </cell>
          <cell r="M96">
            <v>0</v>
          </cell>
          <cell r="N96">
            <v>204440746.76254988</v>
          </cell>
          <cell r="O96">
            <v>204440746.76254988</v>
          </cell>
          <cell r="P96">
            <v>204440746.76254988</v>
          </cell>
          <cell r="Q96">
            <v>204440746.76254988</v>
          </cell>
          <cell r="R96">
            <v>0</v>
          </cell>
          <cell r="S96">
            <v>204440746.76254988</v>
          </cell>
          <cell r="T96">
            <v>204440746.76254988</v>
          </cell>
          <cell r="U96">
            <v>204440746.76254988</v>
          </cell>
          <cell r="V96">
            <v>204440746.76254988</v>
          </cell>
          <cell r="W96">
            <v>204440746.76254988</v>
          </cell>
          <cell r="X96">
            <v>204440746.76254988</v>
          </cell>
          <cell r="Y96">
            <v>204440746.76254988</v>
          </cell>
          <cell r="Z96">
            <v>204440746.76254988</v>
          </cell>
          <cell r="AA96">
            <v>204440746.76254988</v>
          </cell>
          <cell r="AB96">
            <v>206777332.64038992</v>
          </cell>
          <cell r="AC96">
            <v>194835187.45805994</v>
          </cell>
          <cell r="AD96">
            <v>0</v>
          </cell>
          <cell r="AE96">
            <v>0</v>
          </cell>
          <cell r="AF96">
            <v>184066574.56230003</v>
          </cell>
          <cell r="AG96">
            <v>184066574.56230003</v>
          </cell>
          <cell r="AH96">
            <v>184066574.56230003</v>
          </cell>
          <cell r="AI96">
            <v>0</v>
          </cell>
          <cell r="AJ96">
            <v>199564947.94944999</v>
          </cell>
          <cell r="AK96">
            <v>199564947.94944999</v>
          </cell>
          <cell r="AL96">
            <v>199564947.94944999</v>
          </cell>
          <cell r="AM96">
            <v>199458958.35059997</v>
          </cell>
          <cell r="AN96">
            <v>0</v>
          </cell>
          <cell r="AO96">
            <v>192385098.78456005</v>
          </cell>
          <cell r="AP96">
            <v>192385098.78456005</v>
          </cell>
          <cell r="AQ96">
            <v>192385098.78456005</v>
          </cell>
          <cell r="AR96">
            <v>192385098.78456005</v>
          </cell>
          <cell r="AS96">
            <v>192385098.78456005</v>
          </cell>
          <cell r="AT96">
            <v>192385098.78456005</v>
          </cell>
          <cell r="AU96">
            <v>192385098.78456005</v>
          </cell>
          <cell r="AV96">
            <v>201125054.99045998</v>
          </cell>
          <cell r="AW96">
            <v>204440746.76254988</v>
          </cell>
          <cell r="AX96">
            <v>-109979350.06306008</v>
          </cell>
          <cell r="AY96">
            <v>-109979350.06306008</v>
          </cell>
          <cell r="AZ96">
            <v>0</v>
          </cell>
          <cell r="BA96">
            <v>0</v>
          </cell>
          <cell r="BB96">
            <v>-109979350.06306008</v>
          </cell>
          <cell r="BC96">
            <v>-109979350.06306008</v>
          </cell>
          <cell r="BD96">
            <v>-109979350.06306008</v>
          </cell>
          <cell r="BE96">
            <v>0</v>
          </cell>
          <cell r="BF96">
            <v>-109979350.06306008</v>
          </cell>
          <cell r="BG96">
            <v>-109979350.06306008</v>
          </cell>
          <cell r="BH96">
            <v>-109979350.06306008</v>
          </cell>
          <cell r="BI96">
            <v>-109979350.06306008</v>
          </cell>
          <cell r="BJ96">
            <v>0</v>
          </cell>
          <cell r="BK96">
            <v>-109979350.06306008</v>
          </cell>
          <cell r="BL96">
            <v>-109979350.06306008</v>
          </cell>
          <cell r="BM96">
            <v>-109979350.06306008</v>
          </cell>
          <cell r="BN96">
            <v>-109979350.06306008</v>
          </cell>
          <cell r="BO96">
            <v>-109979350.06306008</v>
          </cell>
          <cell r="BP96">
            <v>-109979350.06306008</v>
          </cell>
          <cell r="BQ96">
            <v>-109979350.06306008</v>
          </cell>
          <cell r="BR96">
            <v>-109979350.06306008</v>
          </cell>
          <cell r="BS96">
            <v>-109979350.06306008</v>
          </cell>
          <cell r="BT96">
            <v>-109990593.5115501</v>
          </cell>
          <cell r="BU96">
            <v>-109657910.82151005</v>
          </cell>
          <cell r="BV96">
            <v>0</v>
          </cell>
          <cell r="BW96">
            <v>0</v>
          </cell>
          <cell r="BX96">
            <v>-109979350.06306008</v>
          </cell>
          <cell r="BY96">
            <v>-109979350.06306008</v>
          </cell>
          <cell r="BZ96">
            <v>-109979350.06306008</v>
          </cell>
          <cell r="CA96">
            <v>0</v>
          </cell>
          <cell r="CB96">
            <v>-109979350.06306008</v>
          </cell>
          <cell r="CC96">
            <v>-109979350.06306008</v>
          </cell>
          <cell r="CD96">
            <v>-109979350.06306008</v>
          </cell>
          <cell r="CE96">
            <v>-109979350.06306008</v>
          </cell>
          <cell r="CF96">
            <v>0</v>
          </cell>
          <cell r="CG96">
            <v>-109979350.06306008</v>
          </cell>
          <cell r="CH96">
            <v>-109979350.06306008</v>
          </cell>
          <cell r="CI96">
            <v>-109979350.06306008</v>
          </cell>
          <cell r="CJ96">
            <v>-109979350.06306008</v>
          </cell>
          <cell r="CK96">
            <v>-109979350.06306008</v>
          </cell>
          <cell r="CL96">
            <v>-109979350.06306008</v>
          </cell>
          <cell r="CM96">
            <v>-109979350.06306008</v>
          </cell>
          <cell r="CN96">
            <v>-109979350.06306008</v>
          </cell>
          <cell r="CO96">
            <v>-241224920.55247</v>
          </cell>
          <cell r="CP96">
            <v>-109979350.06306008</v>
          </cell>
          <cell r="CQ96">
            <v>-109979350.06306008</v>
          </cell>
          <cell r="CR96">
            <v>-109979350.06306008</v>
          </cell>
          <cell r="CS96">
            <v>-109979350.06306008</v>
          </cell>
          <cell r="CT96">
            <v>-109979350.06306008</v>
          </cell>
          <cell r="CU96">
            <v>-109979350.06306008</v>
          </cell>
          <cell r="CV96">
            <v>-109979350.06306008</v>
          </cell>
          <cell r="CW96">
            <v>-109979350.06306008</v>
          </cell>
          <cell r="CX96">
            <v>-109979350.06306008</v>
          </cell>
          <cell r="CY96">
            <v>-109979350.06306008</v>
          </cell>
          <cell r="CZ96">
            <v>-68452568.926040143</v>
          </cell>
          <cell r="DA96">
            <v>-109979350.06306008</v>
          </cell>
          <cell r="DB96">
            <v>-109979350.06306008</v>
          </cell>
          <cell r="DC96">
            <v>-11098561.793750115</v>
          </cell>
          <cell r="DD96">
            <v>-109169151.05350003</v>
          </cell>
          <cell r="DE96">
            <v>-123785428.81828995</v>
          </cell>
          <cell r="DF96">
            <v>-81944018.594750166</v>
          </cell>
          <cell r="DG96">
            <v>-66516755.110280082</v>
          </cell>
          <cell r="DH96">
            <v>-109979350.06306008</v>
          </cell>
          <cell r="DI96">
            <v>-109979350.06306008</v>
          </cell>
          <cell r="DJ96">
            <v>0</v>
          </cell>
          <cell r="DK96">
            <v>0</v>
          </cell>
          <cell r="DL96">
            <v>0</v>
          </cell>
          <cell r="DM96">
            <v>0</v>
          </cell>
          <cell r="DN96">
            <v>0</v>
          </cell>
          <cell r="DO96">
            <v>0</v>
          </cell>
          <cell r="DP96">
            <v>0</v>
          </cell>
          <cell r="DQ96">
            <v>0</v>
          </cell>
          <cell r="DR96">
            <v>0</v>
          </cell>
          <cell r="DS96">
            <v>0</v>
          </cell>
          <cell r="DT96">
            <v>0</v>
          </cell>
          <cell r="DU96">
            <v>0</v>
          </cell>
          <cell r="DV96">
            <v>0</v>
          </cell>
          <cell r="DW96">
            <v>0</v>
          </cell>
          <cell r="DX96" t="str">
            <v/>
          </cell>
          <cell r="DY96" t="str">
            <v/>
          </cell>
          <cell r="DZ96" t="str">
            <v/>
          </cell>
          <cell r="EA96">
            <v>-109979350.06306008</v>
          </cell>
          <cell r="EB96">
            <v>-109979350.06306008</v>
          </cell>
          <cell r="EC96">
            <v>-109979350.06306008</v>
          </cell>
          <cell r="ED96">
            <v>-109979350.06306008</v>
          </cell>
          <cell r="EE96">
            <v>-109979350.06306008</v>
          </cell>
          <cell r="EF96">
            <v>-109979350.06306008</v>
          </cell>
          <cell r="EG96">
            <v>-109979350.06306008</v>
          </cell>
          <cell r="EH96">
            <v>-109979350.06306008</v>
          </cell>
          <cell r="EI96">
            <v>-109979350.06306008</v>
          </cell>
          <cell r="EJ96">
            <v>-109979350.06306008</v>
          </cell>
          <cell r="EK96">
            <v>-109979350.06306008</v>
          </cell>
          <cell r="EL96">
            <v>-109979350.06306008</v>
          </cell>
          <cell r="EM96">
            <v>-109979350.06306008</v>
          </cell>
          <cell r="EN96">
            <v>-109979350.06306008</v>
          </cell>
          <cell r="EO96">
            <v>-138014681.53136998</v>
          </cell>
          <cell r="EP96">
            <v>-81944018.594750166</v>
          </cell>
          <cell r="EQ96">
            <v>-109979350.06306008</v>
          </cell>
          <cell r="ER96">
            <v>-109979350.06306008</v>
          </cell>
          <cell r="ES96">
            <v>0</v>
          </cell>
          <cell r="ET96">
            <v>0</v>
          </cell>
          <cell r="EU96">
            <v>0</v>
          </cell>
          <cell r="EV96">
            <v>0</v>
          </cell>
          <cell r="EW96">
            <v>0</v>
          </cell>
          <cell r="EX96">
            <v>0</v>
          </cell>
          <cell r="EY96">
            <v>0</v>
          </cell>
          <cell r="EZ96">
            <v>0</v>
          </cell>
          <cell r="FA96">
            <v>0</v>
          </cell>
          <cell r="FB96">
            <v>0</v>
          </cell>
          <cell r="FC96">
            <v>0</v>
          </cell>
          <cell r="FD96">
            <v>28035331.468309909</v>
          </cell>
          <cell r="FE96">
            <v>-138014681.53136998</v>
          </cell>
          <cell r="FF96">
            <v>-108562938.17548007</v>
          </cell>
          <cell r="FG96">
            <v>-115551457.70637</v>
          </cell>
          <cell r="FH96">
            <v>0</v>
          </cell>
          <cell r="FI96">
            <v>0</v>
          </cell>
          <cell r="FJ96">
            <v>-122701217.90149002</v>
          </cell>
          <cell r="FK96">
            <v>-122701217.90149002</v>
          </cell>
          <cell r="FL96">
            <v>-122701217.90149002</v>
          </cell>
          <cell r="FM96">
            <v>0</v>
          </cell>
          <cell r="FN96">
            <v>-113023855.01261999</v>
          </cell>
          <cell r="FO96">
            <v>-113023855.01261999</v>
          </cell>
          <cell r="FP96">
            <v>-113023855.01261999</v>
          </cell>
          <cell r="FQ96">
            <v>-113090036.13914002</v>
          </cell>
          <cell r="FR96">
            <v>0</v>
          </cell>
          <cell r="FS96">
            <v>-117507035.54521999</v>
          </cell>
          <cell r="FT96">
            <v>-117507035.54521999</v>
          </cell>
          <cell r="FU96">
            <v>-117507035.54521999</v>
          </cell>
          <cell r="FV96">
            <v>-117507035.54521999</v>
          </cell>
          <cell r="FW96">
            <v>-117507035.54521999</v>
          </cell>
          <cell r="FX96">
            <v>-117507035.54521999</v>
          </cell>
          <cell r="FY96">
            <v>-117507035.54521999</v>
          </cell>
          <cell r="FZ96">
            <v>-112049706.20326003</v>
          </cell>
          <cell r="GA96">
            <v>-241224920.55249</v>
          </cell>
          <cell r="GB96">
            <v>-68457001.181250006</v>
          </cell>
          <cell r="GC96">
            <v>-109979350.06306008</v>
          </cell>
          <cell r="GD96">
            <v>-109979350.06306008</v>
          </cell>
          <cell r="GE96">
            <v>-11098562.457210047</v>
          </cell>
          <cell r="GF96">
            <v>-109153858.79718003</v>
          </cell>
          <cell r="GG96">
            <v>-95750097.349980026</v>
          </cell>
          <cell r="GH96">
            <v>-109979350.06306008</v>
          </cell>
          <cell r="GI96">
            <v>-66516798.112750016</v>
          </cell>
          <cell r="GJ96">
            <v>-109979350.06306008</v>
          </cell>
          <cell r="GK96">
            <v>-109979350.06306008</v>
          </cell>
          <cell r="GL96">
            <v>-109979350.06306008</v>
          </cell>
          <cell r="GM96">
            <v>-109979350.06306008</v>
          </cell>
          <cell r="GN96">
            <v>-109979350.06306008</v>
          </cell>
          <cell r="GO96">
            <v>-109979350.06306008</v>
          </cell>
          <cell r="GP96">
            <v>-109979350.06306008</v>
          </cell>
          <cell r="GQ96">
            <v>-109979350.06306008</v>
          </cell>
          <cell r="GR96">
            <v>-109979350.06306008</v>
          </cell>
          <cell r="GS96">
            <v>-109979350.06306008</v>
          </cell>
          <cell r="GT96">
            <v>-109979350.06306008</v>
          </cell>
          <cell r="GU96">
            <v>0</v>
          </cell>
          <cell r="GZ96">
            <v>13640432795.779251</v>
          </cell>
        </row>
        <row r="97">
          <cell r="A97" t="str">
            <v>F_CNP_NRF_RIS_IND_FRCE_272</v>
          </cell>
          <cell r="B97">
            <v>306091939.31</v>
          </cell>
          <cell r="D97">
            <v>340844079.40956998</v>
          </cell>
          <cell r="E97">
            <v>345392726.31073999</v>
          </cell>
          <cell r="F97">
            <v>340844079.40956998</v>
          </cell>
          <cell r="G97">
            <v>340844079.40956998</v>
          </cell>
          <cell r="H97">
            <v>0</v>
          </cell>
          <cell r="I97">
            <v>0</v>
          </cell>
          <cell r="J97">
            <v>340844079.40956998</v>
          </cell>
          <cell r="K97">
            <v>340844079.40956998</v>
          </cell>
          <cell r="L97">
            <v>340844079.40956998</v>
          </cell>
          <cell r="M97">
            <v>0</v>
          </cell>
          <cell r="N97">
            <v>340844079.40956998</v>
          </cell>
          <cell r="O97">
            <v>340844079.40956998</v>
          </cell>
          <cell r="P97">
            <v>340844079.40956998</v>
          </cell>
          <cell r="Q97">
            <v>340844079.40956998</v>
          </cell>
          <cell r="R97">
            <v>0</v>
          </cell>
          <cell r="S97">
            <v>340844079.40956998</v>
          </cell>
          <cell r="T97">
            <v>340844079.40956998</v>
          </cell>
          <cell r="U97">
            <v>340844079.40956998</v>
          </cell>
          <cell r="V97">
            <v>340844079.40956998</v>
          </cell>
          <cell r="W97">
            <v>340844079.40956998</v>
          </cell>
          <cell r="X97">
            <v>340844079.40956998</v>
          </cell>
          <cell r="Y97">
            <v>340844079.40956998</v>
          </cell>
          <cell r="Z97">
            <v>340844079.40956998</v>
          </cell>
          <cell r="AA97">
            <v>340844079.40956998</v>
          </cell>
          <cell r="AB97">
            <v>343763765.86378002</v>
          </cell>
          <cell r="AC97">
            <v>328338213.66138005</v>
          </cell>
          <cell r="AD97">
            <v>0</v>
          </cell>
          <cell r="AE97">
            <v>0</v>
          </cell>
          <cell r="AF97">
            <v>327633954.67251003</v>
          </cell>
          <cell r="AG97">
            <v>327633954.67251003</v>
          </cell>
          <cell r="AH97">
            <v>327633954.67251003</v>
          </cell>
          <cell r="AI97">
            <v>0</v>
          </cell>
          <cell r="AJ97">
            <v>338608604.23661995</v>
          </cell>
          <cell r="AK97">
            <v>338608604.23661995</v>
          </cell>
          <cell r="AL97">
            <v>338608604.23661995</v>
          </cell>
          <cell r="AM97">
            <v>340534942.27892005</v>
          </cell>
          <cell r="AN97">
            <v>0</v>
          </cell>
          <cell r="AO97">
            <v>326404212.08165997</v>
          </cell>
          <cell r="AP97">
            <v>326404212.08165997</v>
          </cell>
          <cell r="AQ97">
            <v>326404212.08165997</v>
          </cell>
          <cell r="AR97">
            <v>326404212.08165997</v>
          </cell>
          <cell r="AS97">
            <v>326404212.08165997</v>
          </cell>
          <cell r="AT97">
            <v>326404212.08165997</v>
          </cell>
          <cell r="AU97">
            <v>326404212.08165997</v>
          </cell>
          <cell r="AV97">
            <v>339979300.14327002</v>
          </cell>
          <cell r="AW97">
            <v>340844079.40956998</v>
          </cell>
          <cell r="AX97">
            <v>345392726.31073999</v>
          </cell>
          <cell r="AY97">
            <v>345392726.31073999</v>
          </cell>
          <cell r="AZ97">
            <v>0</v>
          </cell>
          <cell r="BA97">
            <v>0</v>
          </cell>
          <cell r="BB97">
            <v>345392726.31073999</v>
          </cell>
          <cell r="BC97">
            <v>345392726.31073999</v>
          </cell>
          <cell r="BD97">
            <v>345392726.31073999</v>
          </cell>
          <cell r="BE97">
            <v>0</v>
          </cell>
          <cell r="BF97">
            <v>345392726.31073999</v>
          </cell>
          <cell r="BG97">
            <v>345392726.31073999</v>
          </cell>
          <cell r="BH97">
            <v>345392726.31073999</v>
          </cell>
          <cell r="BI97">
            <v>345392726.31073999</v>
          </cell>
          <cell r="BJ97">
            <v>0</v>
          </cell>
          <cell r="BK97">
            <v>345392726.31073999</v>
          </cell>
          <cell r="BL97">
            <v>345392726.31073999</v>
          </cell>
          <cell r="BM97">
            <v>345392726.31073999</v>
          </cell>
          <cell r="BN97">
            <v>345392726.31073999</v>
          </cell>
          <cell r="BO97">
            <v>345392726.31073999</v>
          </cell>
          <cell r="BP97">
            <v>345392726.31073999</v>
          </cell>
          <cell r="BQ97">
            <v>345392726.31073999</v>
          </cell>
          <cell r="BR97">
            <v>345392726.31073999</v>
          </cell>
          <cell r="BS97">
            <v>345392726.31073999</v>
          </cell>
          <cell r="BT97">
            <v>345380609.20661998</v>
          </cell>
          <cell r="BU97">
            <v>345416703.07884002</v>
          </cell>
          <cell r="BV97">
            <v>0</v>
          </cell>
          <cell r="BW97">
            <v>0</v>
          </cell>
          <cell r="BX97">
            <v>345392726.31073999</v>
          </cell>
          <cell r="BY97">
            <v>345392726.31073999</v>
          </cell>
          <cell r="BZ97">
            <v>345392726.31073999</v>
          </cell>
          <cell r="CA97">
            <v>0</v>
          </cell>
          <cell r="CB97">
            <v>345392726.31073999</v>
          </cell>
          <cell r="CC97">
            <v>345392726.31073999</v>
          </cell>
          <cell r="CD97">
            <v>345392726.31073999</v>
          </cell>
          <cell r="CE97">
            <v>345392726.31073999</v>
          </cell>
          <cell r="CF97">
            <v>0</v>
          </cell>
          <cell r="CG97">
            <v>345392726.31073999</v>
          </cell>
          <cell r="CH97">
            <v>345392726.31073999</v>
          </cell>
          <cell r="CI97">
            <v>345392726.31073999</v>
          </cell>
          <cell r="CJ97">
            <v>345392726.31073999</v>
          </cell>
          <cell r="CK97">
            <v>345392726.31073999</v>
          </cell>
          <cell r="CL97">
            <v>345392726.31073999</v>
          </cell>
          <cell r="CM97">
            <v>345392726.31073999</v>
          </cell>
          <cell r="CN97">
            <v>345392726.31073999</v>
          </cell>
          <cell r="CO97">
            <v>325251868.44788003</v>
          </cell>
          <cell r="CP97">
            <v>345392726.31073999</v>
          </cell>
          <cell r="CQ97">
            <v>345392726.31073999</v>
          </cell>
          <cell r="CR97">
            <v>345392726.31073999</v>
          </cell>
          <cell r="CS97">
            <v>345392726.31073999</v>
          </cell>
          <cell r="CT97">
            <v>345392726.31073999</v>
          </cell>
          <cell r="CU97">
            <v>345392726.31073999</v>
          </cell>
          <cell r="CV97">
            <v>345392726.31073999</v>
          </cell>
          <cell r="CW97">
            <v>345392726.31073999</v>
          </cell>
          <cell r="CX97">
            <v>345392726.31073999</v>
          </cell>
          <cell r="CY97">
            <v>345392726.31073999</v>
          </cell>
          <cell r="CZ97">
            <v>354615841.49783003</v>
          </cell>
          <cell r="DA97">
            <v>345392726.31073999</v>
          </cell>
          <cell r="DB97">
            <v>345392726.31073999</v>
          </cell>
          <cell r="DC97">
            <v>345392846.29301</v>
          </cell>
          <cell r="DD97">
            <v>345392726.31073999</v>
          </cell>
          <cell r="DE97">
            <v>301903305.39201999</v>
          </cell>
          <cell r="DF97">
            <v>388882147.22946</v>
          </cell>
          <cell r="DG97">
            <v>350537233.07371998</v>
          </cell>
          <cell r="DH97">
            <v>345392726.31073999</v>
          </cell>
          <cell r="DI97">
            <v>345392726.31073999</v>
          </cell>
          <cell r="DJ97">
            <v>0</v>
          </cell>
          <cell r="DK97">
            <v>0</v>
          </cell>
          <cell r="DL97">
            <v>0</v>
          </cell>
          <cell r="DM97">
            <v>0</v>
          </cell>
          <cell r="DN97">
            <v>0</v>
          </cell>
          <cell r="DO97">
            <v>0</v>
          </cell>
          <cell r="DP97">
            <v>0</v>
          </cell>
          <cell r="DQ97">
            <v>0</v>
          </cell>
          <cell r="DR97">
            <v>0</v>
          </cell>
          <cell r="DS97">
            <v>0</v>
          </cell>
          <cell r="DT97">
            <v>0</v>
          </cell>
          <cell r="DU97">
            <v>0</v>
          </cell>
          <cell r="DV97">
            <v>0</v>
          </cell>
          <cell r="DW97">
            <v>0</v>
          </cell>
          <cell r="DX97" t="str">
            <v/>
          </cell>
          <cell r="DY97" t="str">
            <v/>
          </cell>
          <cell r="DZ97" t="str">
            <v/>
          </cell>
          <cell r="EA97">
            <v>345392726.31073999</v>
          </cell>
          <cell r="EB97">
            <v>345392726.31073999</v>
          </cell>
          <cell r="EC97">
            <v>345392726.31073999</v>
          </cell>
          <cell r="ED97">
            <v>345392726.31073999</v>
          </cell>
          <cell r="EE97">
            <v>345392726.31073999</v>
          </cell>
          <cell r="EF97">
            <v>345392726.31073999</v>
          </cell>
          <cell r="EG97">
            <v>345392726.31073999</v>
          </cell>
          <cell r="EH97">
            <v>345392726.31073999</v>
          </cell>
          <cell r="EI97">
            <v>345392726.31073999</v>
          </cell>
          <cell r="EJ97">
            <v>345392726.31073999</v>
          </cell>
          <cell r="EK97">
            <v>345392726.31073999</v>
          </cell>
          <cell r="EL97">
            <v>345392726.31073999</v>
          </cell>
          <cell r="EM97">
            <v>345392726.31073999</v>
          </cell>
          <cell r="EN97">
            <v>345392726.31073999</v>
          </cell>
          <cell r="EO97">
            <v>301903305.39201999</v>
          </cell>
          <cell r="EP97">
            <v>388882147.22946</v>
          </cell>
          <cell r="EQ97">
            <v>345392726.31073999</v>
          </cell>
          <cell r="ER97">
            <v>345392726.31073999</v>
          </cell>
          <cell r="ES97">
            <v>0</v>
          </cell>
          <cell r="ET97">
            <v>0</v>
          </cell>
          <cell r="EU97">
            <v>0</v>
          </cell>
          <cell r="EV97">
            <v>0</v>
          </cell>
          <cell r="EW97">
            <v>0</v>
          </cell>
          <cell r="EX97">
            <v>0</v>
          </cell>
          <cell r="EY97">
            <v>0</v>
          </cell>
          <cell r="EZ97">
            <v>0</v>
          </cell>
          <cell r="FA97">
            <v>0</v>
          </cell>
          <cell r="FB97">
            <v>0</v>
          </cell>
          <cell r="FC97">
            <v>0</v>
          </cell>
          <cell r="FD97">
            <v>43489420.918720007</v>
          </cell>
          <cell r="FE97">
            <v>301903305.39201999</v>
          </cell>
          <cell r="FF97">
            <v>339037852.44700998</v>
          </cell>
          <cell r="FG97">
            <v>360443754.0517</v>
          </cell>
          <cell r="FH97">
            <v>0</v>
          </cell>
          <cell r="FI97">
            <v>0</v>
          </cell>
          <cell r="FJ97">
            <v>333503614.04736996</v>
          </cell>
          <cell r="FK97">
            <v>333503614.04736996</v>
          </cell>
          <cell r="FL97">
            <v>333503614.04736996</v>
          </cell>
          <cell r="FM97">
            <v>0</v>
          </cell>
          <cell r="FN97">
            <v>343380798.65508997</v>
          </cell>
          <cell r="FO97">
            <v>343380798.65508997</v>
          </cell>
          <cell r="FP97">
            <v>343380798.65508997</v>
          </cell>
          <cell r="FQ97">
            <v>345114502.89315003</v>
          </cell>
          <cell r="FR97">
            <v>0</v>
          </cell>
          <cell r="FS97">
            <v>332396845.71562994</v>
          </cell>
          <cell r="FT97">
            <v>332396845.71562994</v>
          </cell>
          <cell r="FU97">
            <v>332396845.71562994</v>
          </cell>
          <cell r="FV97">
            <v>332396845.71562994</v>
          </cell>
          <cell r="FW97">
            <v>332396845.71562994</v>
          </cell>
          <cell r="FX97">
            <v>332396845.71562994</v>
          </cell>
          <cell r="FY97">
            <v>332396845.71562994</v>
          </cell>
          <cell r="FZ97">
            <v>344614424.97106004</v>
          </cell>
          <cell r="GA97">
            <v>325251868.44788003</v>
          </cell>
          <cell r="GB97">
            <v>353223053.99363005</v>
          </cell>
          <cell r="GC97">
            <v>345392726.31073999</v>
          </cell>
          <cell r="GD97">
            <v>345392726.31073999</v>
          </cell>
          <cell r="GE97">
            <v>345392781.14558995</v>
          </cell>
          <cell r="GF97">
            <v>345415091.89355999</v>
          </cell>
          <cell r="GG97">
            <v>345392726.31073999</v>
          </cell>
          <cell r="GH97">
            <v>345392726.31073999</v>
          </cell>
          <cell r="GI97">
            <v>350537233.07372004</v>
          </cell>
          <cell r="GJ97">
            <v>345392726.31073999</v>
          </cell>
          <cell r="GK97">
            <v>345392726.31073999</v>
          </cell>
          <cell r="GL97">
            <v>345392726.31073999</v>
          </cell>
          <cell r="GM97">
            <v>345392726.31073999</v>
          </cell>
          <cell r="GN97">
            <v>345392726.31073999</v>
          </cell>
          <cell r="GO97">
            <v>345392726.31073999</v>
          </cell>
          <cell r="GP97">
            <v>345392726.31073999</v>
          </cell>
          <cell r="GQ97">
            <v>345392726.31073999</v>
          </cell>
          <cell r="GR97">
            <v>345392726.31073999</v>
          </cell>
          <cell r="GS97">
            <v>345392726.31073999</v>
          </cell>
          <cell r="GT97">
            <v>345392726.31073999</v>
          </cell>
          <cell r="GU97">
            <v>0</v>
          </cell>
          <cell r="GZ97">
            <v>581908411.34003997</v>
          </cell>
        </row>
        <row r="98">
          <cell r="A98" t="str">
            <v>F_CNP_NRF_RIS_IND_FRCE_EVJ</v>
          </cell>
          <cell r="B98">
            <v>199353</v>
          </cell>
          <cell r="D98">
            <v>241963.3026</v>
          </cell>
          <cell r="E98">
            <v>-543903.40949999995</v>
          </cell>
          <cell r="F98">
            <v>241963.3026</v>
          </cell>
          <cell r="G98">
            <v>241963.3026</v>
          </cell>
          <cell r="H98">
            <v>0</v>
          </cell>
          <cell r="I98">
            <v>0</v>
          </cell>
          <cell r="J98">
            <v>241963.3026</v>
          </cell>
          <cell r="K98">
            <v>241963.3026</v>
          </cell>
          <cell r="L98">
            <v>241963.3026</v>
          </cell>
          <cell r="M98">
            <v>0</v>
          </cell>
          <cell r="N98">
            <v>241963.3026</v>
          </cell>
          <cell r="O98">
            <v>241963.3026</v>
          </cell>
          <cell r="P98">
            <v>241963.3026</v>
          </cell>
          <cell r="Q98">
            <v>241963.3026</v>
          </cell>
          <cell r="R98">
            <v>0</v>
          </cell>
          <cell r="S98">
            <v>241963.3026</v>
          </cell>
          <cell r="T98">
            <v>241963.3026</v>
          </cell>
          <cell r="U98">
            <v>241963.3026</v>
          </cell>
          <cell r="V98">
            <v>241963.3026</v>
          </cell>
          <cell r="W98">
            <v>241963.3026</v>
          </cell>
          <cell r="X98">
            <v>241963.3026</v>
          </cell>
          <cell r="Y98">
            <v>241963.3026</v>
          </cell>
          <cell r="Z98">
            <v>241963.3026</v>
          </cell>
          <cell r="AA98">
            <v>241963.3026</v>
          </cell>
          <cell r="AB98">
            <v>245238.28464</v>
          </cell>
          <cell r="AC98">
            <v>228070.43927999999</v>
          </cell>
          <cell r="AD98">
            <v>0</v>
          </cell>
          <cell r="AE98">
            <v>0</v>
          </cell>
          <cell r="AF98">
            <v>228066.24256000001</v>
          </cell>
          <cell r="AG98">
            <v>228066.24256000001</v>
          </cell>
          <cell r="AH98">
            <v>228066.24256000001</v>
          </cell>
          <cell r="AI98">
            <v>0</v>
          </cell>
          <cell r="AJ98">
            <v>237738.78716000001</v>
          </cell>
          <cell r="AK98">
            <v>237738.78716000001</v>
          </cell>
          <cell r="AL98">
            <v>237738.78716000001</v>
          </cell>
          <cell r="AM98">
            <v>239565.31842</v>
          </cell>
          <cell r="AN98">
            <v>0</v>
          </cell>
          <cell r="AO98">
            <v>229032.08428000001</v>
          </cell>
          <cell r="AP98">
            <v>229032.08428000001</v>
          </cell>
          <cell r="AQ98">
            <v>229032.08428000001</v>
          </cell>
          <cell r="AR98">
            <v>229032.08428000001</v>
          </cell>
          <cell r="AS98">
            <v>229032.08428000001</v>
          </cell>
          <cell r="AT98">
            <v>229032.08428000001</v>
          </cell>
          <cell r="AU98">
            <v>229032.08428000001</v>
          </cell>
          <cell r="AV98">
            <v>240287.89176</v>
          </cell>
          <cell r="AW98">
            <v>241963.3026</v>
          </cell>
          <cell r="AX98">
            <v>-543903.40949999995</v>
          </cell>
          <cell r="AY98">
            <v>-543903.40949999995</v>
          </cell>
          <cell r="AZ98">
            <v>0</v>
          </cell>
          <cell r="BA98">
            <v>0</v>
          </cell>
          <cell r="BB98">
            <v>-543903.40949999995</v>
          </cell>
          <cell r="BC98">
            <v>-543903.40949999995</v>
          </cell>
          <cell r="BD98">
            <v>-543903.40949999995</v>
          </cell>
          <cell r="BE98">
            <v>0</v>
          </cell>
          <cell r="BF98">
            <v>-543903.40949999995</v>
          </cell>
          <cell r="BG98">
            <v>-543903.40949999995</v>
          </cell>
          <cell r="BH98">
            <v>-543903.40949999995</v>
          </cell>
          <cell r="BI98">
            <v>-543903.40949999995</v>
          </cell>
          <cell r="BJ98">
            <v>0</v>
          </cell>
          <cell r="BK98">
            <v>-543903.40949999995</v>
          </cell>
          <cell r="BL98">
            <v>-543903.40949999995</v>
          </cell>
          <cell r="BM98">
            <v>-543903.40949999995</v>
          </cell>
          <cell r="BN98">
            <v>-543903.40949999995</v>
          </cell>
          <cell r="BO98">
            <v>-543903.40949999995</v>
          </cell>
          <cell r="BP98">
            <v>-543903.40949999995</v>
          </cell>
          <cell r="BQ98">
            <v>-543903.40949999995</v>
          </cell>
          <cell r="BR98">
            <v>-543903.40949999995</v>
          </cell>
          <cell r="BS98">
            <v>-543903.40949999995</v>
          </cell>
          <cell r="BT98">
            <v>-543903.40949999995</v>
          </cell>
          <cell r="BU98">
            <v>-543903.40949999995</v>
          </cell>
          <cell r="BV98">
            <v>0</v>
          </cell>
          <cell r="BW98">
            <v>0</v>
          </cell>
          <cell r="BX98">
            <v>-543903.40949999995</v>
          </cell>
          <cell r="BY98">
            <v>-543903.40949999995</v>
          </cell>
          <cell r="BZ98">
            <v>-543903.40949999995</v>
          </cell>
          <cell r="CA98">
            <v>0</v>
          </cell>
          <cell r="CB98">
            <v>-543903.40949999995</v>
          </cell>
          <cell r="CC98">
            <v>-543903.40949999995</v>
          </cell>
          <cell r="CD98">
            <v>-543903.40949999995</v>
          </cell>
          <cell r="CE98">
            <v>-543903.40949999995</v>
          </cell>
          <cell r="CF98">
            <v>0</v>
          </cell>
          <cell r="CG98">
            <v>-543903.40949999995</v>
          </cell>
          <cell r="CH98">
            <v>-543903.40949999995</v>
          </cell>
          <cell r="CI98">
            <v>-543903.40949999995</v>
          </cell>
          <cell r="CJ98">
            <v>-543903.40949999995</v>
          </cell>
          <cell r="CK98">
            <v>-543903.40949999995</v>
          </cell>
          <cell r="CL98">
            <v>-543903.40949999995</v>
          </cell>
          <cell r="CM98">
            <v>-543903.40949999995</v>
          </cell>
          <cell r="CN98">
            <v>-543903.40949999995</v>
          </cell>
          <cell r="CO98">
            <v>-554674.5882</v>
          </cell>
          <cell r="CP98">
            <v>-543903.40949999995</v>
          </cell>
          <cell r="CQ98">
            <v>-543903.40949999995</v>
          </cell>
          <cell r="CR98">
            <v>-543903.40949999995</v>
          </cell>
          <cell r="CS98">
            <v>-543903.40949999995</v>
          </cell>
          <cell r="CT98">
            <v>-543903.40949999995</v>
          </cell>
          <cell r="CU98">
            <v>-543903.40949999995</v>
          </cell>
          <cell r="CV98">
            <v>-543903.40949999995</v>
          </cell>
          <cell r="CW98">
            <v>-543903.40949999995</v>
          </cell>
          <cell r="CX98">
            <v>-543903.40949999995</v>
          </cell>
          <cell r="CY98">
            <v>-543903.40949999995</v>
          </cell>
          <cell r="CZ98">
            <v>-501997.44871999999</v>
          </cell>
          <cell r="DA98">
            <v>-543903.40949999995</v>
          </cell>
          <cell r="DB98">
            <v>-543903.40949999995</v>
          </cell>
          <cell r="DC98">
            <v>-521361.12709999998</v>
          </cell>
          <cell r="DD98">
            <v>-543903.40949999995</v>
          </cell>
          <cell r="DE98">
            <v>-415175.13125999999</v>
          </cell>
          <cell r="DF98">
            <v>-543903.40949999995</v>
          </cell>
          <cell r="DG98">
            <v>-514949.15769999998</v>
          </cell>
          <cell r="DH98">
            <v>-543903.40949999995</v>
          </cell>
          <cell r="DI98">
            <v>-543903.40949999995</v>
          </cell>
          <cell r="DJ98">
            <v>0</v>
          </cell>
          <cell r="DK98">
            <v>0</v>
          </cell>
          <cell r="DL98">
            <v>0</v>
          </cell>
          <cell r="DM98">
            <v>0</v>
          </cell>
          <cell r="DN98">
            <v>0</v>
          </cell>
          <cell r="DO98">
            <v>0</v>
          </cell>
          <cell r="DP98">
            <v>0</v>
          </cell>
          <cell r="DQ98">
            <v>0</v>
          </cell>
          <cell r="DR98">
            <v>0</v>
          </cell>
          <cell r="DS98">
            <v>0</v>
          </cell>
          <cell r="DT98">
            <v>0</v>
          </cell>
          <cell r="DU98">
            <v>0</v>
          </cell>
          <cell r="DV98">
            <v>0</v>
          </cell>
          <cell r="DW98">
            <v>0</v>
          </cell>
          <cell r="DX98" t="str">
            <v/>
          </cell>
          <cell r="DY98" t="str">
            <v/>
          </cell>
          <cell r="DZ98" t="str">
            <v/>
          </cell>
          <cell r="EA98">
            <v>-543903.40949999995</v>
          </cell>
          <cell r="EB98">
            <v>-543903.40949999995</v>
          </cell>
          <cell r="EC98">
            <v>-543903.40949999995</v>
          </cell>
          <cell r="ED98">
            <v>-543903.40949999995</v>
          </cell>
          <cell r="EE98">
            <v>-543903.40949999995</v>
          </cell>
          <cell r="EF98">
            <v>-543903.40949999995</v>
          </cell>
          <cell r="EG98">
            <v>-543903.40949999995</v>
          </cell>
          <cell r="EH98">
            <v>-543903.40949999995</v>
          </cell>
          <cell r="EI98">
            <v>-543903.40949999995</v>
          </cell>
          <cell r="EJ98">
            <v>-543903.40949999995</v>
          </cell>
          <cell r="EK98">
            <v>-543903.40949999995</v>
          </cell>
          <cell r="EL98">
            <v>-543903.40949999995</v>
          </cell>
          <cell r="EM98">
            <v>-543903.40949999995</v>
          </cell>
          <cell r="EN98">
            <v>-543903.40949999995</v>
          </cell>
          <cell r="EO98">
            <v>-543903.40949999995</v>
          </cell>
          <cell r="EP98">
            <v>-543903.40949999995</v>
          </cell>
          <cell r="EQ98">
            <v>-543903.40949999995</v>
          </cell>
          <cell r="ER98">
            <v>-543903.40949999995</v>
          </cell>
          <cell r="ES98">
            <v>0</v>
          </cell>
          <cell r="ET98">
            <v>0</v>
          </cell>
          <cell r="EU98">
            <v>0</v>
          </cell>
          <cell r="EV98">
            <v>0</v>
          </cell>
          <cell r="EW98">
            <v>0</v>
          </cell>
          <cell r="EX98">
            <v>0</v>
          </cell>
          <cell r="EY98">
            <v>0</v>
          </cell>
          <cell r="EZ98">
            <v>0</v>
          </cell>
          <cell r="FA98">
            <v>0</v>
          </cell>
          <cell r="FB98">
            <v>0</v>
          </cell>
          <cell r="FC98">
            <v>0</v>
          </cell>
          <cell r="FD98">
            <v>0</v>
          </cell>
          <cell r="FE98">
            <v>-543903.40949999995</v>
          </cell>
          <cell r="FF98">
            <v>-543903.40949999995</v>
          </cell>
          <cell r="FG98">
            <v>-543903.40949999995</v>
          </cell>
          <cell r="FH98">
            <v>0</v>
          </cell>
          <cell r="FI98">
            <v>0</v>
          </cell>
          <cell r="FJ98">
            <v>-543903.40949999995</v>
          </cell>
          <cell r="FK98">
            <v>-543903.40949999995</v>
          </cell>
          <cell r="FL98">
            <v>-543903.40949999995</v>
          </cell>
          <cell r="FM98">
            <v>0</v>
          </cell>
          <cell r="FN98">
            <v>-543903.40949999995</v>
          </cell>
          <cell r="FO98">
            <v>-543903.40949999995</v>
          </cell>
          <cell r="FP98">
            <v>-543903.40949999995</v>
          </cell>
          <cell r="FQ98">
            <v>-543903.40949999995</v>
          </cell>
          <cell r="FR98">
            <v>0</v>
          </cell>
          <cell r="FS98">
            <v>-543903.40949999995</v>
          </cell>
          <cell r="FT98">
            <v>-543903.40949999995</v>
          </cell>
          <cell r="FU98">
            <v>-543903.40949999995</v>
          </cell>
          <cell r="FV98">
            <v>-543903.40949999995</v>
          </cell>
          <cell r="FW98">
            <v>-543903.40949999995</v>
          </cell>
          <cell r="FX98">
            <v>-543903.40949999995</v>
          </cell>
          <cell r="FY98">
            <v>-543903.40949999995</v>
          </cell>
          <cell r="FZ98">
            <v>-543903.40949999995</v>
          </cell>
          <cell r="GA98">
            <v>-554674.5882</v>
          </cell>
          <cell r="GB98">
            <v>-501997.44871999999</v>
          </cell>
          <cell r="GC98">
            <v>-543903.40949999995</v>
          </cell>
          <cell r="GD98">
            <v>-543903.40949999995</v>
          </cell>
          <cell r="GE98">
            <v>-521361.12709999998</v>
          </cell>
          <cell r="GF98">
            <v>-543903.40949999995</v>
          </cell>
          <cell r="GG98">
            <v>-415175.13125999999</v>
          </cell>
          <cell r="GH98">
            <v>-543903.40949999995</v>
          </cell>
          <cell r="GI98">
            <v>-514949.15769999998</v>
          </cell>
          <cell r="GJ98">
            <v>-543903.40949999995</v>
          </cell>
          <cell r="GK98">
            <v>-543903.40949999995</v>
          </cell>
          <cell r="GL98">
            <v>-543903.40949999995</v>
          </cell>
          <cell r="GM98">
            <v>-543903.40949999995</v>
          </cell>
          <cell r="GN98">
            <v>-543903.40949999995</v>
          </cell>
          <cell r="GO98">
            <v>-543903.40949999995</v>
          </cell>
          <cell r="GP98">
            <v>-543903.40949999995</v>
          </cell>
          <cell r="GQ98">
            <v>-543903.40949999995</v>
          </cell>
          <cell r="GR98">
            <v>-543903.40949999995</v>
          </cell>
          <cell r="GS98">
            <v>-543903.40949999995</v>
          </cell>
          <cell r="GT98">
            <v>-543903.40949999995</v>
          </cell>
          <cell r="GU98">
            <v>0</v>
          </cell>
          <cell r="GZ98">
            <v>59903033</v>
          </cell>
        </row>
        <row r="99">
          <cell r="A99" t="str">
            <v>F_CNP_NRF_RIS_IND_FRCE_ECF</v>
          </cell>
          <cell r="B99">
            <v>0</v>
          </cell>
          <cell r="D99">
            <v>0</v>
          </cell>
          <cell r="E99">
            <v>0</v>
          </cell>
          <cell r="F99">
            <v>0</v>
          </cell>
          <cell r="G99">
            <v>0</v>
          </cell>
          <cell r="H99">
            <v>0</v>
          </cell>
          <cell r="I99">
            <v>0</v>
          </cell>
          <cell r="J99">
            <v>0</v>
          </cell>
          <cell r="K99">
            <v>0</v>
          </cell>
          <cell r="L99">
            <v>0</v>
          </cell>
          <cell r="M99">
            <v>0</v>
          </cell>
          <cell r="N99">
            <v>0</v>
          </cell>
          <cell r="O99">
            <v>0</v>
          </cell>
          <cell r="P99">
            <v>0</v>
          </cell>
          <cell r="Q99">
            <v>0</v>
          </cell>
          <cell r="R99">
            <v>0</v>
          </cell>
          <cell r="S99">
            <v>0</v>
          </cell>
          <cell r="T99">
            <v>0</v>
          </cell>
          <cell r="U99">
            <v>0</v>
          </cell>
          <cell r="V99">
            <v>0</v>
          </cell>
          <cell r="W99">
            <v>0</v>
          </cell>
          <cell r="X99">
            <v>0</v>
          </cell>
          <cell r="Y99">
            <v>0</v>
          </cell>
          <cell r="Z99">
            <v>0</v>
          </cell>
          <cell r="AA99">
            <v>0</v>
          </cell>
          <cell r="AB99">
            <v>0</v>
          </cell>
          <cell r="AC99">
            <v>0</v>
          </cell>
          <cell r="AD99">
            <v>0</v>
          </cell>
          <cell r="AE99">
            <v>0</v>
          </cell>
          <cell r="AF99">
            <v>0</v>
          </cell>
          <cell r="AG99">
            <v>0</v>
          </cell>
          <cell r="AH99">
            <v>0</v>
          </cell>
          <cell r="AI99">
            <v>0</v>
          </cell>
          <cell r="AJ99">
            <v>0</v>
          </cell>
          <cell r="AK99">
            <v>0</v>
          </cell>
          <cell r="AL99">
            <v>0</v>
          </cell>
          <cell r="AM99">
            <v>0</v>
          </cell>
          <cell r="AN99">
            <v>0</v>
          </cell>
          <cell r="AO99">
            <v>0</v>
          </cell>
          <cell r="AP99">
            <v>0</v>
          </cell>
          <cell r="AQ99">
            <v>0</v>
          </cell>
          <cell r="AR99">
            <v>0</v>
          </cell>
          <cell r="AS99">
            <v>0</v>
          </cell>
          <cell r="AT99">
            <v>0</v>
          </cell>
          <cell r="AU99">
            <v>0</v>
          </cell>
          <cell r="AV99">
            <v>0</v>
          </cell>
          <cell r="AW99">
            <v>0</v>
          </cell>
          <cell r="AX99">
            <v>0</v>
          </cell>
          <cell r="AY99">
            <v>0</v>
          </cell>
          <cell r="AZ99">
            <v>0</v>
          </cell>
          <cell r="BA99">
            <v>0</v>
          </cell>
          <cell r="BB99">
            <v>0</v>
          </cell>
          <cell r="BC99">
            <v>0</v>
          </cell>
          <cell r="BD99">
            <v>0</v>
          </cell>
          <cell r="BE99">
            <v>0</v>
          </cell>
          <cell r="BF99">
            <v>0</v>
          </cell>
          <cell r="BG99">
            <v>0</v>
          </cell>
          <cell r="BH99">
            <v>0</v>
          </cell>
          <cell r="BI99">
            <v>0</v>
          </cell>
          <cell r="BJ99">
            <v>0</v>
          </cell>
          <cell r="BK99">
            <v>0</v>
          </cell>
          <cell r="BL99">
            <v>0</v>
          </cell>
          <cell r="BM99">
            <v>0</v>
          </cell>
          <cell r="BN99">
            <v>0</v>
          </cell>
          <cell r="BO99">
            <v>0</v>
          </cell>
          <cell r="BP99">
            <v>0</v>
          </cell>
          <cell r="BQ99">
            <v>0</v>
          </cell>
          <cell r="BR99">
            <v>0</v>
          </cell>
          <cell r="BS99">
            <v>0</v>
          </cell>
          <cell r="BT99">
            <v>0</v>
          </cell>
          <cell r="BU99">
            <v>0</v>
          </cell>
          <cell r="BV99">
            <v>0</v>
          </cell>
          <cell r="BW99">
            <v>0</v>
          </cell>
          <cell r="BX99">
            <v>0</v>
          </cell>
          <cell r="BY99">
            <v>0</v>
          </cell>
          <cell r="BZ99">
            <v>0</v>
          </cell>
          <cell r="CA99">
            <v>0</v>
          </cell>
          <cell r="CB99">
            <v>0</v>
          </cell>
          <cell r="CC99">
            <v>0</v>
          </cell>
          <cell r="CD99">
            <v>0</v>
          </cell>
          <cell r="CE99">
            <v>0</v>
          </cell>
          <cell r="CF99">
            <v>0</v>
          </cell>
          <cell r="CG99">
            <v>0</v>
          </cell>
          <cell r="CH99">
            <v>0</v>
          </cell>
          <cell r="CI99">
            <v>0</v>
          </cell>
          <cell r="CJ99">
            <v>0</v>
          </cell>
          <cell r="CK99">
            <v>0</v>
          </cell>
          <cell r="CL99">
            <v>0</v>
          </cell>
          <cell r="CM99">
            <v>0</v>
          </cell>
          <cell r="CN99">
            <v>0</v>
          </cell>
          <cell r="CO99">
            <v>0</v>
          </cell>
          <cell r="CP99">
            <v>0</v>
          </cell>
          <cell r="CQ99">
            <v>0</v>
          </cell>
          <cell r="CR99">
            <v>0</v>
          </cell>
          <cell r="CS99">
            <v>0</v>
          </cell>
          <cell r="CT99">
            <v>0</v>
          </cell>
          <cell r="CU99">
            <v>0</v>
          </cell>
          <cell r="CV99">
            <v>0</v>
          </cell>
          <cell r="CW99">
            <v>0</v>
          </cell>
          <cell r="CX99">
            <v>0</v>
          </cell>
          <cell r="CY99">
            <v>0</v>
          </cell>
          <cell r="CZ99">
            <v>0</v>
          </cell>
          <cell r="DA99">
            <v>0</v>
          </cell>
          <cell r="DB99">
            <v>0</v>
          </cell>
          <cell r="DC99">
            <v>0</v>
          </cell>
          <cell r="DD99">
            <v>0</v>
          </cell>
          <cell r="DE99">
            <v>0</v>
          </cell>
          <cell r="DF99">
            <v>0</v>
          </cell>
          <cell r="DG99">
            <v>0</v>
          </cell>
          <cell r="DH99">
            <v>0</v>
          </cell>
          <cell r="DI99">
            <v>0</v>
          </cell>
          <cell r="DJ99">
            <v>0</v>
          </cell>
          <cell r="DK99">
            <v>0</v>
          </cell>
          <cell r="DL99">
            <v>0</v>
          </cell>
          <cell r="DM99">
            <v>0</v>
          </cell>
          <cell r="DN99">
            <v>0</v>
          </cell>
          <cell r="DO99">
            <v>0</v>
          </cell>
          <cell r="DP99">
            <v>0</v>
          </cell>
          <cell r="DQ99">
            <v>0</v>
          </cell>
          <cell r="DR99">
            <v>0</v>
          </cell>
          <cell r="DS99">
            <v>0</v>
          </cell>
          <cell r="DT99">
            <v>0</v>
          </cell>
          <cell r="DU99">
            <v>0</v>
          </cell>
          <cell r="DV99">
            <v>0</v>
          </cell>
          <cell r="DW99">
            <v>0</v>
          </cell>
          <cell r="DX99" t="str">
            <v/>
          </cell>
          <cell r="DY99" t="str">
            <v/>
          </cell>
          <cell r="DZ99" t="str">
            <v/>
          </cell>
          <cell r="EA99">
            <v>0</v>
          </cell>
          <cell r="EB99">
            <v>0</v>
          </cell>
          <cell r="EC99">
            <v>0</v>
          </cell>
          <cell r="ED99">
            <v>0</v>
          </cell>
          <cell r="EE99">
            <v>0</v>
          </cell>
          <cell r="EF99">
            <v>0</v>
          </cell>
          <cell r="EG99">
            <v>0</v>
          </cell>
          <cell r="EH99">
            <v>0</v>
          </cell>
          <cell r="EI99">
            <v>0</v>
          </cell>
          <cell r="EJ99">
            <v>0</v>
          </cell>
          <cell r="EK99">
            <v>0</v>
          </cell>
          <cell r="EL99">
            <v>0</v>
          </cell>
          <cell r="EM99">
            <v>0</v>
          </cell>
          <cell r="EN99">
            <v>0</v>
          </cell>
          <cell r="EO99">
            <v>0</v>
          </cell>
          <cell r="EP99">
            <v>0</v>
          </cell>
          <cell r="EQ99">
            <v>0</v>
          </cell>
          <cell r="ER99">
            <v>0</v>
          </cell>
          <cell r="ES99">
            <v>0</v>
          </cell>
          <cell r="ET99">
            <v>0</v>
          </cell>
          <cell r="EU99">
            <v>0</v>
          </cell>
          <cell r="EV99">
            <v>0</v>
          </cell>
          <cell r="EW99">
            <v>0</v>
          </cell>
          <cell r="EX99">
            <v>0</v>
          </cell>
          <cell r="EY99">
            <v>0</v>
          </cell>
          <cell r="EZ99">
            <v>0</v>
          </cell>
          <cell r="FA99">
            <v>0</v>
          </cell>
          <cell r="FB99">
            <v>0</v>
          </cell>
          <cell r="FC99">
            <v>0</v>
          </cell>
          <cell r="FD99">
            <v>0</v>
          </cell>
          <cell r="FE99">
            <v>0</v>
          </cell>
          <cell r="FF99">
            <v>0</v>
          </cell>
          <cell r="FG99">
            <v>0</v>
          </cell>
          <cell r="FH99">
            <v>0</v>
          </cell>
          <cell r="FI99">
            <v>0</v>
          </cell>
          <cell r="FJ99">
            <v>0</v>
          </cell>
          <cell r="FK99">
            <v>0</v>
          </cell>
          <cell r="FL99">
            <v>0</v>
          </cell>
          <cell r="FM99">
            <v>0</v>
          </cell>
          <cell r="FN99">
            <v>0</v>
          </cell>
          <cell r="FO99">
            <v>0</v>
          </cell>
          <cell r="FP99">
            <v>0</v>
          </cell>
          <cell r="FQ99">
            <v>0</v>
          </cell>
          <cell r="FR99">
            <v>0</v>
          </cell>
          <cell r="FS99">
            <v>0</v>
          </cell>
          <cell r="FT99">
            <v>0</v>
          </cell>
          <cell r="FU99">
            <v>0</v>
          </cell>
          <cell r="FV99">
            <v>0</v>
          </cell>
          <cell r="FW99">
            <v>0</v>
          </cell>
          <cell r="FX99">
            <v>0</v>
          </cell>
          <cell r="FY99">
            <v>0</v>
          </cell>
          <cell r="FZ99">
            <v>0</v>
          </cell>
          <cell r="GA99">
            <v>0</v>
          </cell>
          <cell r="GB99">
            <v>0</v>
          </cell>
          <cell r="GC99">
            <v>0</v>
          </cell>
          <cell r="GD99">
            <v>0</v>
          </cell>
          <cell r="GE99">
            <v>0</v>
          </cell>
          <cell r="GF99">
            <v>0</v>
          </cell>
          <cell r="GG99">
            <v>0</v>
          </cell>
          <cell r="GH99">
            <v>0</v>
          </cell>
          <cell r="GI99">
            <v>0</v>
          </cell>
          <cell r="GJ99">
            <v>0</v>
          </cell>
          <cell r="GK99">
            <v>0</v>
          </cell>
          <cell r="GL99">
            <v>0</v>
          </cell>
          <cell r="GM99">
            <v>0</v>
          </cell>
          <cell r="GN99">
            <v>0</v>
          </cell>
          <cell r="GO99">
            <v>0</v>
          </cell>
          <cell r="GP99">
            <v>0</v>
          </cell>
          <cell r="GQ99">
            <v>0</v>
          </cell>
          <cell r="GR99">
            <v>0</v>
          </cell>
          <cell r="GS99">
            <v>0</v>
          </cell>
          <cell r="GT99">
            <v>0</v>
          </cell>
          <cell r="GU99">
            <v>0</v>
          </cell>
          <cell r="GZ99">
            <v>0</v>
          </cell>
        </row>
        <row r="100">
          <cell r="A100" t="str">
            <v>F_CNP_NRF_RIS_COL_FRCE_101</v>
          </cell>
          <cell r="B100">
            <v>43183390.403420001</v>
          </cell>
          <cell r="D100">
            <v>59050700.606819995</v>
          </cell>
          <cell r="E100">
            <v>40351374.973130003</v>
          </cell>
          <cell r="F100">
            <v>59050700.606819995</v>
          </cell>
          <cell r="G100">
            <v>59050700.606819995</v>
          </cell>
          <cell r="H100">
            <v>0</v>
          </cell>
          <cell r="I100">
            <v>0</v>
          </cell>
          <cell r="J100">
            <v>59050700.606819995</v>
          </cell>
          <cell r="K100">
            <v>59050700.606819995</v>
          </cell>
          <cell r="L100">
            <v>59050700.606819995</v>
          </cell>
          <cell r="M100">
            <v>0</v>
          </cell>
          <cell r="N100">
            <v>59050700.606819995</v>
          </cell>
          <cell r="O100">
            <v>59050700.606819995</v>
          </cell>
          <cell r="P100">
            <v>59050700.606819995</v>
          </cell>
          <cell r="Q100">
            <v>59050700.606819995</v>
          </cell>
          <cell r="R100">
            <v>0</v>
          </cell>
          <cell r="S100">
            <v>59050700.606819995</v>
          </cell>
          <cell r="T100">
            <v>59050700.606819995</v>
          </cell>
          <cell r="U100">
            <v>59050700.606819995</v>
          </cell>
          <cell r="V100">
            <v>59050700.606819995</v>
          </cell>
          <cell r="W100">
            <v>59050700.606819995</v>
          </cell>
          <cell r="X100">
            <v>59050700.606819995</v>
          </cell>
          <cell r="Y100">
            <v>59050700.606819995</v>
          </cell>
          <cell r="Z100">
            <v>59050700.606819995</v>
          </cell>
          <cell r="AA100">
            <v>59050700.606819995</v>
          </cell>
          <cell r="AB100">
            <v>60651594.060500003</v>
          </cell>
          <cell r="AC100">
            <v>52746903.102329992</v>
          </cell>
          <cell r="AD100">
            <v>0</v>
          </cell>
          <cell r="AE100">
            <v>0</v>
          </cell>
          <cell r="AF100">
            <v>49499537.151349999</v>
          </cell>
          <cell r="AG100">
            <v>49499537.151349999</v>
          </cell>
          <cell r="AH100">
            <v>49499537.151349999</v>
          </cell>
          <cell r="AI100">
            <v>0</v>
          </cell>
          <cell r="AJ100">
            <v>59050700.606819995</v>
          </cell>
          <cell r="AK100">
            <v>59050700.606819995</v>
          </cell>
          <cell r="AL100">
            <v>59050700.606819995</v>
          </cell>
          <cell r="AM100">
            <v>59050700.606819995</v>
          </cell>
          <cell r="AN100">
            <v>0</v>
          </cell>
          <cell r="AO100">
            <v>51530059.143970005</v>
          </cell>
          <cell r="AP100">
            <v>51530059.143970005</v>
          </cell>
          <cell r="AQ100">
            <v>51530059.143970005</v>
          </cell>
          <cell r="AR100">
            <v>51530059.143970005</v>
          </cell>
          <cell r="AS100">
            <v>51530059.143970005</v>
          </cell>
          <cell r="AT100">
            <v>51530059.143970005</v>
          </cell>
          <cell r="AU100">
            <v>51530059.143970005</v>
          </cell>
          <cell r="AV100">
            <v>57364564.448430002</v>
          </cell>
          <cell r="AW100">
            <v>59050700.606819995</v>
          </cell>
          <cell r="AX100">
            <v>40351374.973130003</v>
          </cell>
          <cell r="AY100">
            <v>40351374.973130003</v>
          </cell>
          <cell r="AZ100">
            <v>0</v>
          </cell>
          <cell r="BA100">
            <v>0</v>
          </cell>
          <cell r="BB100">
            <v>40351374.973130003</v>
          </cell>
          <cell r="BC100">
            <v>40351374.973130003</v>
          </cell>
          <cell r="BD100">
            <v>40351374.973130003</v>
          </cell>
          <cell r="BE100">
            <v>0</v>
          </cell>
          <cell r="BF100">
            <v>40351374.973130003</v>
          </cell>
          <cell r="BG100">
            <v>40351374.973130003</v>
          </cell>
          <cell r="BH100">
            <v>40351374.973130003</v>
          </cell>
          <cell r="BI100">
            <v>40351374.973130003</v>
          </cell>
          <cell r="BJ100">
            <v>0</v>
          </cell>
          <cell r="BK100">
            <v>40351374.973130003</v>
          </cell>
          <cell r="BL100">
            <v>40351374.973130003</v>
          </cell>
          <cell r="BM100">
            <v>40351374.973130003</v>
          </cell>
          <cell r="BN100">
            <v>40351374.973130003</v>
          </cell>
          <cell r="BO100">
            <v>40351374.973130003</v>
          </cell>
          <cell r="BP100">
            <v>40351374.973130003</v>
          </cell>
          <cell r="BQ100">
            <v>40351374.973130003</v>
          </cell>
          <cell r="BR100">
            <v>40351374.973130003</v>
          </cell>
          <cell r="BS100">
            <v>40351374.973130003</v>
          </cell>
          <cell r="BT100">
            <v>41431990.444320008</v>
          </cell>
          <cell r="BU100">
            <v>37826693.855560005</v>
          </cell>
          <cell r="BV100">
            <v>0</v>
          </cell>
          <cell r="BW100">
            <v>0</v>
          </cell>
          <cell r="BX100">
            <v>40351374.973130003</v>
          </cell>
          <cell r="BY100">
            <v>40351374.973130003</v>
          </cell>
          <cell r="BZ100">
            <v>40351374.973130003</v>
          </cell>
          <cell r="CA100">
            <v>0</v>
          </cell>
          <cell r="CB100">
            <v>40351374.973130003</v>
          </cell>
          <cell r="CC100">
            <v>40351374.973130003</v>
          </cell>
          <cell r="CD100">
            <v>40351374.973130003</v>
          </cell>
          <cell r="CE100">
            <v>40351374.973130003</v>
          </cell>
          <cell r="CF100">
            <v>0</v>
          </cell>
          <cell r="CG100">
            <v>40351374.973130003</v>
          </cell>
          <cell r="CH100">
            <v>40351374.973130003</v>
          </cell>
          <cell r="CI100">
            <v>40351374.973130003</v>
          </cell>
          <cell r="CJ100">
            <v>40351374.973130003</v>
          </cell>
          <cell r="CK100">
            <v>40351374.973130003</v>
          </cell>
          <cell r="CL100">
            <v>40351374.973130003</v>
          </cell>
          <cell r="CM100">
            <v>40351374.973130003</v>
          </cell>
          <cell r="CN100">
            <v>40351374.973130003</v>
          </cell>
          <cell r="CO100">
            <v>40123991.136130005</v>
          </cell>
          <cell r="CP100">
            <v>40351374.973130003</v>
          </cell>
          <cell r="CQ100">
            <v>40351374.973130003</v>
          </cell>
          <cell r="CR100">
            <v>40351374.973130003</v>
          </cell>
          <cell r="CS100">
            <v>40351374.973130003</v>
          </cell>
          <cell r="CT100">
            <v>40351374.973130003</v>
          </cell>
          <cell r="CU100">
            <v>40351374.973130003</v>
          </cell>
          <cell r="CV100">
            <v>40351374.973130003</v>
          </cell>
          <cell r="CW100">
            <v>40351374.973130003</v>
          </cell>
          <cell r="CX100">
            <v>40351374.973130003</v>
          </cell>
          <cell r="CY100">
            <v>40351374.973130003</v>
          </cell>
          <cell r="CZ100">
            <v>40354350.98652</v>
          </cell>
          <cell r="DA100">
            <v>41501461.424839996</v>
          </cell>
          <cell r="DB100">
            <v>40351374.973130003</v>
          </cell>
          <cell r="DC100">
            <v>40351374.973130003</v>
          </cell>
          <cell r="DD100">
            <v>40351374.973130003</v>
          </cell>
          <cell r="DE100">
            <v>32572314.71785</v>
          </cell>
          <cell r="DF100">
            <v>48130435.228410006</v>
          </cell>
          <cell r="DG100">
            <v>40390643.350979999</v>
          </cell>
          <cell r="DH100">
            <v>40351352.573530003</v>
          </cell>
          <cell r="DI100">
            <v>40356513.917270005</v>
          </cell>
          <cell r="DJ100">
            <v>0</v>
          </cell>
          <cell r="DK100">
            <v>0</v>
          </cell>
          <cell r="DL100">
            <v>0</v>
          </cell>
          <cell r="DM100">
            <v>0</v>
          </cell>
          <cell r="DN100">
            <v>0</v>
          </cell>
          <cell r="DO100">
            <v>0</v>
          </cell>
          <cell r="DP100">
            <v>0</v>
          </cell>
          <cell r="DQ100">
            <v>0</v>
          </cell>
          <cell r="DR100">
            <v>0</v>
          </cell>
          <cell r="DS100">
            <v>0</v>
          </cell>
          <cell r="DT100">
            <v>0</v>
          </cell>
          <cell r="DU100">
            <v>0</v>
          </cell>
          <cell r="DV100">
            <v>0</v>
          </cell>
          <cell r="DW100">
            <v>0</v>
          </cell>
          <cell r="DX100" t="str">
            <v/>
          </cell>
          <cell r="DY100" t="str">
            <v/>
          </cell>
          <cell r="DZ100" t="str">
            <v/>
          </cell>
          <cell r="EA100">
            <v>40351374.973130003</v>
          </cell>
          <cell r="EB100">
            <v>40351374.973130003</v>
          </cell>
          <cell r="EC100">
            <v>40351374.973130003</v>
          </cell>
          <cell r="ED100">
            <v>40351374.973130003</v>
          </cell>
          <cell r="EE100">
            <v>40351374.973130003</v>
          </cell>
          <cell r="EF100">
            <v>40351374.973130003</v>
          </cell>
          <cell r="EG100">
            <v>40351374.973130003</v>
          </cell>
          <cell r="EH100">
            <v>40351374.973130003</v>
          </cell>
          <cell r="EI100">
            <v>40351374.973130003</v>
          </cell>
          <cell r="EJ100">
            <v>40351374.973130003</v>
          </cell>
          <cell r="EK100">
            <v>40351374.973130003</v>
          </cell>
          <cell r="EL100">
            <v>40351374.973130003</v>
          </cell>
          <cell r="EM100">
            <v>40351374.973130003</v>
          </cell>
          <cell r="EN100">
            <v>40351374.973130003</v>
          </cell>
          <cell r="EO100">
            <v>32572314.71785</v>
          </cell>
          <cell r="EP100">
            <v>48130435.228410006</v>
          </cell>
          <cell r="EQ100">
            <v>40351374.973130003</v>
          </cell>
          <cell r="ER100">
            <v>40351374.973130003</v>
          </cell>
          <cell r="ES100">
            <v>0</v>
          </cell>
          <cell r="ET100">
            <v>0</v>
          </cell>
          <cell r="EU100">
            <v>0</v>
          </cell>
          <cell r="EV100">
            <v>0</v>
          </cell>
          <cell r="EW100">
            <v>0</v>
          </cell>
          <cell r="EX100">
            <v>0</v>
          </cell>
          <cell r="EY100">
            <v>0</v>
          </cell>
          <cell r="EZ100">
            <v>0</v>
          </cell>
          <cell r="FA100">
            <v>0</v>
          </cell>
          <cell r="FB100">
            <v>0</v>
          </cell>
          <cell r="FC100">
            <v>0</v>
          </cell>
          <cell r="FD100">
            <v>7779060.255280003</v>
          </cell>
          <cell r="FE100">
            <v>32572314.71785</v>
          </cell>
          <cell r="FF100">
            <v>41355383.018759996</v>
          </cell>
          <cell r="FG100">
            <v>36137889.892509997</v>
          </cell>
          <cell r="FH100">
            <v>0</v>
          </cell>
          <cell r="FI100">
            <v>0</v>
          </cell>
          <cell r="FJ100">
            <v>36433074.35046</v>
          </cell>
          <cell r="FK100">
            <v>36433074.35046</v>
          </cell>
          <cell r="FL100">
            <v>36433074.35046</v>
          </cell>
          <cell r="FM100">
            <v>0</v>
          </cell>
          <cell r="FN100">
            <v>40351374.973130003</v>
          </cell>
          <cell r="FO100">
            <v>40351374.973130003</v>
          </cell>
          <cell r="FP100">
            <v>40351374.973130003</v>
          </cell>
          <cell r="FQ100">
            <v>40351374.973130003</v>
          </cell>
          <cell r="FR100">
            <v>0</v>
          </cell>
          <cell r="FS100">
            <v>37266082.352579996</v>
          </cell>
          <cell r="FT100">
            <v>37266082.352579996</v>
          </cell>
          <cell r="FU100">
            <v>37266082.352579996</v>
          </cell>
          <cell r="FV100">
            <v>37266082.352579996</v>
          </cell>
          <cell r="FW100">
            <v>37266082.352579996</v>
          </cell>
          <cell r="FX100">
            <v>37266082.352579996</v>
          </cell>
          <cell r="FY100">
            <v>37266082.352579996</v>
          </cell>
          <cell r="FZ100">
            <v>39659648.945179999</v>
          </cell>
          <cell r="GA100">
            <v>40123991.136119999</v>
          </cell>
          <cell r="GB100">
            <v>40354153.595710002</v>
          </cell>
          <cell r="GC100">
            <v>41145492.242629997</v>
          </cell>
          <cell r="GD100">
            <v>40351374.973130003</v>
          </cell>
          <cell r="GE100">
            <v>40351374.973130003</v>
          </cell>
          <cell r="GF100">
            <v>40351374.973130003</v>
          </cell>
          <cell r="GG100">
            <v>40351374.973130003</v>
          </cell>
          <cell r="GH100">
            <v>40351374.973130003</v>
          </cell>
          <cell r="GI100">
            <v>40390643.350960001</v>
          </cell>
          <cell r="GJ100">
            <v>40351352.573530003</v>
          </cell>
          <cell r="GK100">
            <v>40356078.417640001</v>
          </cell>
          <cell r="GL100">
            <v>40351374.973130003</v>
          </cell>
          <cell r="GM100">
            <v>40351374.973130003</v>
          </cell>
          <cell r="GN100">
            <v>40351374.973130003</v>
          </cell>
          <cell r="GO100">
            <v>40351374.973130003</v>
          </cell>
          <cell r="GP100">
            <v>40351374.973130003</v>
          </cell>
          <cell r="GQ100">
            <v>40351374.973130003</v>
          </cell>
          <cell r="GR100">
            <v>40351374.973130003</v>
          </cell>
          <cell r="GS100">
            <v>40351374.973130003</v>
          </cell>
          <cell r="GT100">
            <v>40351374.973130003</v>
          </cell>
          <cell r="GU100">
            <v>0</v>
          </cell>
          <cell r="GZ100">
            <v>789209464.88493001</v>
          </cell>
        </row>
        <row r="101">
          <cell r="A101" t="str">
            <v>F_CNP_NRF_RIS_COL_FRCE_102</v>
          </cell>
          <cell r="B101">
            <v>41488128.179649994</v>
          </cell>
          <cell r="D101">
            <v>60347634.741850004</v>
          </cell>
          <cell r="E101">
            <v>32457145.042739999</v>
          </cell>
          <cell r="F101">
            <v>60347634.741850004</v>
          </cell>
          <cell r="G101">
            <v>60347634.741850004</v>
          </cell>
          <cell r="H101">
            <v>0</v>
          </cell>
          <cell r="I101">
            <v>0</v>
          </cell>
          <cell r="J101">
            <v>60347634.741850004</v>
          </cell>
          <cell r="K101">
            <v>60347634.741850004</v>
          </cell>
          <cell r="L101">
            <v>60347634.741850004</v>
          </cell>
          <cell r="M101">
            <v>0</v>
          </cell>
          <cell r="N101">
            <v>60347634.741850004</v>
          </cell>
          <cell r="O101">
            <v>60347634.741850004</v>
          </cell>
          <cell r="P101">
            <v>60347634.741850004</v>
          </cell>
          <cell r="Q101">
            <v>60347634.741850004</v>
          </cell>
          <cell r="R101">
            <v>0</v>
          </cell>
          <cell r="S101">
            <v>60347634.741850004</v>
          </cell>
          <cell r="T101">
            <v>60347634.741850004</v>
          </cell>
          <cell r="U101">
            <v>60347634.741850004</v>
          </cell>
          <cell r="V101">
            <v>60347634.741850004</v>
          </cell>
          <cell r="W101">
            <v>60347634.741850004</v>
          </cell>
          <cell r="X101">
            <v>60347634.741850004</v>
          </cell>
          <cell r="Y101">
            <v>60347634.741850004</v>
          </cell>
          <cell r="Z101">
            <v>60347634.741850004</v>
          </cell>
          <cell r="AA101">
            <v>60347634.741850004</v>
          </cell>
          <cell r="AB101">
            <v>61373481.986399993</v>
          </cell>
          <cell r="AC101">
            <v>56050887.085910007</v>
          </cell>
          <cell r="AD101">
            <v>0</v>
          </cell>
          <cell r="AE101">
            <v>0</v>
          </cell>
          <cell r="AF101">
            <v>53843332.540939994</v>
          </cell>
          <cell r="AG101">
            <v>53843332.540939994</v>
          </cell>
          <cell r="AH101">
            <v>53843332.540939994</v>
          </cell>
          <cell r="AI101">
            <v>0</v>
          </cell>
          <cell r="AJ101">
            <v>60347634.741850004</v>
          </cell>
          <cell r="AK101">
            <v>60347634.741850004</v>
          </cell>
          <cell r="AL101">
            <v>60347634.741850004</v>
          </cell>
          <cell r="AM101">
            <v>60347634.741850004</v>
          </cell>
          <cell r="AN101">
            <v>0</v>
          </cell>
          <cell r="AO101">
            <v>56914780.911880001</v>
          </cell>
          <cell r="AP101">
            <v>56914780.911880001</v>
          </cell>
          <cell r="AQ101">
            <v>56914780.911880001</v>
          </cell>
          <cell r="AR101">
            <v>56914780.911880001</v>
          </cell>
          <cell r="AS101">
            <v>56914780.911880001</v>
          </cell>
          <cell r="AT101">
            <v>56914780.911880001</v>
          </cell>
          <cell r="AU101">
            <v>56914780.911880001</v>
          </cell>
          <cell r="AV101">
            <v>59280157.094130002</v>
          </cell>
          <cell r="AW101">
            <v>60347634.741850004</v>
          </cell>
          <cell r="AX101">
            <v>32457145.042739999</v>
          </cell>
          <cell r="AY101">
            <v>32457145.042739999</v>
          </cell>
          <cell r="AZ101">
            <v>0</v>
          </cell>
          <cell r="BA101">
            <v>0</v>
          </cell>
          <cell r="BB101">
            <v>32457145.042739999</v>
          </cell>
          <cell r="BC101">
            <v>32457145.042739999</v>
          </cell>
          <cell r="BD101">
            <v>32457145.042739999</v>
          </cell>
          <cell r="BE101">
            <v>0</v>
          </cell>
          <cell r="BF101">
            <v>32457145.042739999</v>
          </cell>
          <cell r="BG101">
            <v>32457145.042739999</v>
          </cell>
          <cell r="BH101">
            <v>32457145.042739999</v>
          </cell>
          <cell r="BI101">
            <v>32457145.042739999</v>
          </cell>
          <cell r="BJ101">
            <v>0</v>
          </cell>
          <cell r="BK101">
            <v>32457145.042739999</v>
          </cell>
          <cell r="BL101">
            <v>32457145.042739999</v>
          </cell>
          <cell r="BM101">
            <v>32457145.042739999</v>
          </cell>
          <cell r="BN101">
            <v>32457145.042739999</v>
          </cell>
          <cell r="BO101">
            <v>32457145.042739999</v>
          </cell>
          <cell r="BP101">
            <v>32457145.042739999</v>
          </cell>
          <cell r="BQ101">
            <v>32457145.042739999</v>
          </cell>
          <cell r="BR101">
            <v>32457145.042739999</v>
          </cell>
          <cell r="BS101">
            <v>32457145.042739999</v>
          </cell>
          <cell r="BT101">
            <v>33445705.618559998</v>
          </cell>
          <cell r="BU101">
            <v>30111742.330010001</v>
          </cell>
          <cell r="BV101">
            <v>0</v>
          </cell>
          <cell r="BW101">
            <v>0</v>
          </cell>
          <cell r="BX101">
            <v>32457145.042739999</v>
          </cell>
          <cell r="BY101">
            <v>32457145.042739999</v>
          </cell>
          <cell r="BZ101">
            <v>32457145.042739999</v>
          </cell>
          <cell r="CA101">
            <v>0</v>
          </cell>
          <cell r="CB101">
            <v>32457145.042739999</v>
          </cell>
          <cell r="CC101">
            <v>32457145.042739999</v>
          </cell>
          <cell r="CD101">
            <v>32457145.042739999</v>
          </cell>
          <cell r="CE101">
            <v>32457145.042739999</v>
          </cell>
          <cell r="CF101">
            <v>0</v>
          </cell>
          <cell r="CG101">
            <v>32457145.042739999</v>
          </cell>
          <cell r="CH101">
            <v>32457145.042739999</v>
          </cell>
          <cell r="CI101">
            <v>32457145.042739999</v>
          </cell>
          <cell r="CJ101">
            <v>32457145.042739999</v>
          </cell>
          <cell r="CK101">
            <v>32457145.042739999</v>
          </cell>
          <cell r="CL101">
            <v>32457145.042739999</v>
          </cell>
          <cell r="CM101">
            <v>32457145.042739999</v>
          </cell>
          <cell r="CN101">
            <v>32457145.042739999</v>
          </cell>
          <cell r="CO101">
            <v>32225764.953259997</v>
          </cell>
          <cell r="CP101">
            <v>32457145.042739999</v>
          </cell>
          <cell r="CQ101">
            <v>32457145.042739999</v>
          </cell>
          <cell r="CR101">
            <v>32457145.042739999</v>
          </cell>
          <cell r="CS101">
            <v>32457145.042739999</v>
          </cell>
          <cell r="CT101">
            <v>32457145.042739999</v>
          </cell>
          <cell r="CU101">
            <v>32457145.042739999</v>
          </cell>
          <cell r="CV101">
            <v>32457145.042739999</v>
          </cell>
          <cell r="CW101">
            <v>32457145.042739999</v>
          </cell>
          <cell r="CX101">
            <v>32457145.042739999</v>
          </cell>
          <cell r="CY101">
            <v>32457145.042739999</v>
          </cell>
          <cell r="CZ101">
            <v>32461083.031949997</v>
          </cell>
          <cell r="DA101">
            <v>33474468.867969997</v>
          </cell>
          <cell r="DB101">
            <v>32457145.042739999</v>
          </cell>
          <cell r="DC101">
            <v>32457145.042739999</v>
          </cell>
          <cell r="DD101">
            <v>32457145.042739999</v>
          </cell>
          <cell r="DE101">
            <v>31502232.611960001</v>
          </cell>
          <cell r="DF101">
            <v>33412057.473519996</v>
          </cell>
          <cell r="DG101">
            <v>32495764.135079995</v>
          </cell>
          <cell r="DH101">
            <v>32457119.665689997</v>
          </cell>
          <cell r="DI101">
            <v>32463947.674419999</v>
          </cell>
          <cell r="DJ101">
            <v>0</v>
          </cell>
          <cell r="DK101">
            <v>0</v>
          </cell>
          <cell r="DL101">
            <v>0</v>
          </cell>
          <cell r="DM101">
            <v>0</v>
          </cell>
          <cell r="DN101">
            <v>0</v>
          </cell>
          <cell r="DO101">
            <v>0</v>
          </cell>
          <cell r="DP101">
            <v>0</v>
          </cell>
          <cell r="DQ101">
            <v>0</v>
          </cell>
          <cell r="DR101">
            <v>0</v>
          </cell>
          <cell r="DS101">
            <v>0</v>
          </cell>
          <cell r="DT101">
            <v>0</v>
          </cell>
          <cell r="DU101">
            <v>0</v>
          </cell>
          <cell r="DV101">
            <v>0</v>
          </cell>
          <cell r="DW101">
            <v>0</v>
          </cell>
          <cell r="DX101" t="str">
            <v/>
          </cell>
          <cell r="DY101" t="str">
            <v/>
          </cell>
          <cell r="DZ101" t="str">
            <v/>
          </cell>
          <cell r="EA101">
            <v>32457145.042739999</v>
          </cell>
          <cell r="EB101">
            <v>32457145.042739999</v>
          </cell>
          <cell r="EC101">
            <v>32457145.042739999</v>
          </cell>
          <cell r="ED101">
            <v>32457145.042739999</v>
          </cell>
          <cell r="EE101">
            <v>32457145.042739999</v>
          </cell>
          <cell r="EF101">
            <v>32457145.042739999</v>
          </cell>
          <cell r="EG101">
            <v>32457145.042739999</v>
          </cell>
          <cell r="EH101">
            <v>32457145.042739999</v>
          </cell>
          <cell r="EI101">
            <v>32457145.042739999</v>
          </cell>
          <cell r="EJ101">
            <v>32457145.042739999</v>
          </cell>
          <cell r="EK101">
            <v>32457145.042739999</v>
          </cell>
          <cell r="EL101">
            <v>32457145.042739999</v>
          </cell>
          <cell r="EM101">
            <v>32457145.042739999</v>
          </cell>
          <cell r="EN101">
            <v>32457145.042739999</v>
          </cell>
          <cell r="EO101">
            <v>31502232.611960001</v>
          </cell>
          <cell r="EP101">
            <v>33412057.473519996</v>
          </cell>
          <cell r="EQ101">
            <v>32457145.042739999</v>
          </cell>
          <cell r="ER101">
            <v>32457145.042739999</v>
          </cell>
          <cell r="ES101">
            <v>0</v>
          </cell>
          <cell r="ET101">
            <v>0</v>
          </cell>
          <cell r="EU101">
            <v>0</v>
          </cell>
          <cell r="EV101">
            <v>0</v>
          </cell>
          <cell r="EW101">
            <v>0</v>
          </cell>
          <cell r="EX101">
            <v>0</v>
          </cell>
          <cell r="EY101">
            <v>0</v>
          </cell>
          <cell r="EZ101">
            <v>0</v>
          </cell>
          <cell r="FA101">
            <v>0</v>
          </cell>
          <cell r="FB101">
            <v>0</v>
          </cell>
          <cell r="FC101">
            <v>0</v>
          </cell>
          <cell r="FD101">
            <v>954912.43077999726</v>
          </cell>
          <cell r="FE101">
            <v>31502232.611960001</v>
          </cell>
          <cell r="FF101">
            <v>32772630.241700001</v>
          </cell>
          <cell r="FG101">
            <v>31036939.937640004</v>
          </cell>
          <cell r="FH101">
            <v>0</v>
          </cell>
          <cell r="FI101">
            <v>0</v>
          </cell>
          <cell r="FJ101">
            <v>32457145.042739999</v>
          </cell>
          <cell r="FK101">
            <v>32457145.042739999</v>
          </cell>
          <cell r="FL101">
            <v>32457145.042739999</v>
          </cell>
          <cell r="FM101">
            <v>0</v>
          </cell>
          <cell r="FN101">
            <v>32457145.042739999</v>
          </cell>
          <cell r="FO101">
            <v>32457145.042739999</v>
          </cell>
          <cell r="FP101">
            <v>32457145.042739999</v>
          </cell>
          <cell r="FQ101">
            <v>32457145.042739999</v>
          </cell>
          <cell r="FR101">
            <v>0</v>
          </cell>
          <cell r="FS101">
            <v>32457145.042739999</v>
          </cell>
          <cell r="FT101">
            <v>32457145.042739999</v>
          </cell>
          <cell r="FU101">
            <v>32457145.042739999</v>
          </cell>
          <cell r="FV101">
            <v>32457145.042739999</v>
          </cell>
          <cell r="FW101">
            <v>32457145.042739999</v>
          </cell>
          <cell r="FX101">
            <v>32457145.042739999</v>
          </cell>
          <cell r="FY101">
            <v>32457145.042739999</v>
          </cell>
          <cell r="FZ101">
            <v>32457145.042739999</v>
          </cell>
          <cell r="GA101">
            <v>32225764.953260001</v>
          </cell>
          <cell r="GB101">
            <v>32460821.737640001</v>
          </cell>
          <cell r="GC101">
            <v>33159591.730220001</v>
          </cell>
          <cell r="GD101">
            <v>32457145.042739999</v>
          </cell>
          <cell r="GE101">
            <v>32457145.042739999</v>
          </cell>
          <cell r="GF101">
            <v>32457145.042739999</v>
          </cell>
          <cell r="GG101">
            <v>32457145.042739999</v>
          </cell>
          <cell r="GH101">
            <v>32457145.042739999</v>
          </cell>
          <cell r="GI101">
            <v>32495764.135079999</v>
          </cell>
          <cell r="GJ101">
            <v>32457119.665700004</v>
          </cell>
          <cell r="GK101">
            <v>32463371.185660001</v>
          </cell>
          <cell r="GL101">
            <v>32457145.042739999</v>
          </cell>
          <cell r="GM101">
            <v>32457145.042739999</v>
          </cell>
          <cell r="GN101">
            <v>32457145.042739999</v>
          </cell>
          <cell r="GO101">
            <v>32457145.042739999</v>
          </cell>
          <cell r="GP101">
            <v>32457145.042739999</v>
          </cell>
          <cell r="GQ101">
            <v>32457145.042739999</v>
          </cell>
          <cell r="GR101">
            <v>32457145.042739999</v>
          </cell>
          <cell r="GS101">
            <v>32457145.042739999</v>
          </cell>
          <cell r="GT101">
            <v>32457145.042739999</v>
          </cell>
          <cell r="GU101">
            <v>0</v>
          </cell>
          <cell r="GZ101">
            <v>871390629.12235999</v>
          </cell>
        </row>
        <row r="102">
          <cell r="A102" t="str">
            <v>F_CNP_NRF_RIS_COL_FRCE_152</v>
          </cell>
          <cell r="B102">
            <v>68427213.080459997</v>
          </cell>
          <cell r="D102">
            <v>86067301.892790005</v>
          </cell>
          <cell r="E102">
            <v>57878560.589120001</v>
          </cell>
          <cell r="F102">
            <v>86067301.892790005</v>
          </cell>
          <cell r="G102">
            <v>86067301.892790005</v>
          </cell>
          <cell r="H102">
            <v>0</v>
          </cell>
          <cell r="I102">
            <v>0</v>
          </cell>
          <cell r="J102">
            <v>86067301.892790005</v>
          </cell>
          <cell r="K102">
            <v>86067301.892790005</v>
          </cell>
          <cell r="L102">
            <v>86067301.892790005</v>
          </cell>
          <cell r="M102">
            <v>0</v>
          </cell>
          <cell r="N102">
            <v>86067301.892790005</v>
          </cell>
          <cell r="O102">
            <v>86067301.892790005</v>
          </cell>
          <cell r="P102">
            <v>86067301.892790005</v>
          </cell>
          <cell r="Q102">
            <v>86067301.892790005</v>
          </cell>
          <cell r="R102">
            <v>0</v>
          </cell>
          <cell r="S102">
            <v>86067301.892790005</v>
          </cell>
          <cell r="T102">
            <v>86067301.892790005</v>
          </cell>
          <cell r="U102">
            <v>86067301.892790005</v>
          </cell>
          <cell r="V102">
            <v>86067301.892790005</v>
          </cell>
          <cell r="W102">
            <v>86067301.892790005</v>
          </cell>
          <cell r="X102">
            <v>86067301.892790005</v>
          </cell>
          <cell r="Y102">
            <v>86067301.892790005</v>
          </cell>
          <cell r="Z102">
            <v>86067301.892790005</v>
          </cell>
          <cell r="AA102">
            <v>86067301.892790005</v>
          </cell>
          <cell r="AB102">
            <v>87707754.186949998</v>
          </cell>
          <cell r="AC102">
            <v>80978809.802379996</v>
          </cell>
          <cell r="AD102">
            <v>0</v>
          </cell>
          <cell r="AE102">
            <v>0</v>
          </cell>
          <cell r="AF102">
            <v>76318582.064050004</v>
          </cell>
          <cell r="AG102">
            <v>76318582.064050004</v>
          </cell>
          <cell r="AH102">
            <v>76318582.064050004</v>
          </cell>
          <cell r="AI102">
            <v>0</v>
          </cell>
          <cell r="AJ102">
            <v>86067196.566310003</v>
          </cell>
          <cell r="AK102">
            <v>86067196.566310003</v>
          </cell>
          <cell r="AL102">
            <v>86067196.566310003</v>
          </cell>
          <cell r="AM102">
            <v>86067301.892790005</v>
          </cell>
          <cell r="AN102">
            <v>0</v>
          </cell>
          <cell r="AO102">
            <v>83045574.892100006</v>
          </cell>
          <cell r="AP102">
            <v>83045574.892100006</v>
          </cell>
          <cell r="AQ102">
            <v>83045574.892100006</v>
          </cell>
          <cell r="AR102">
            <v>83045574.892100006</v>
          </cell>
          <cell r="AS102">
            <v>83045574.892100006</v>
          </cell>
          <cell r="AT102">
            <v>83045574.892100006</v>
          </cell>
          <cell r="AU102">
            <v>83045574.892100006</v>
          </cell>
          <cell r="AV102">
            <v>84470468.3794</v>
          </cell>
          <cell r="AW102">
            <v>86067301.892790005</v>
          </cell>
          <cell r="AX102">
            <v>57878560.589120001</v>
          </cell>
          <cell r="AY102">
            <v>57878560.589120001</v>
          </cell>
          <cell r="AZ102">
            <v>0</v>
          </cell>
          <cell r="BA102">
            <v>0</v>
          </cell>
          <cell r="BB102">
            <v>57878560.589120001</v>
          </cell>
          <cell r="BC102">
            <v>57878560.589120001</v>
          </cell>
          <cell r="BD102">
            <v>57878560.589120001</v>
          </cell>
          <cell r="BE102">
            <v>0</v>
          </cell>
          <cell r="BF102">
            <v>57878560.589120001</v>
          </cell>
          <cell r="BG102">
            <v>57878560.589120001</v>
          </cell>
          <cell r="BH102">
            <v>57878560.589120001</v>
          </cell>
          <cell r="BI102">
            <v>57878560.589120001</v>
          </cell>
          <cell r="BJ102">
            <v>0</v>
          </cell>
          <cell r="BK102">
            <v>57878560.589120001</v>
          </cell>
          <cell r="BL102">
            <v>57878560.589120001</v>
          </cell>
          <cell r="BM102">
            <v>57878560.589120001</v>
          </cell>
          <cell r="BN102">
            <v>57878560.589120001</v>
          </cell>
          <cell r="BO102">
            <v>57878560.589120001</v>
          </cell>
          <cell r="BP102">
            <v>57878560.589120001</v>
          </cell>
          <cell r="BQ102">
            <v>57878560.589120001</v>
          </cell>
          <cell r="BR102">
            <v>57878560.589120001</v>
          </cell>
          <cell r="BS102">
            <v>57878560.589120001</v>
          </cell>
          <cell r="BT102">
            <v>60078507.074860007</v>
          </cell>
          <cell r="BU102">
            <v>53208701.220610008</v>
          </cell>
          <cell r="BV102">
            <v>0</v>
          </cell>
          <cell r="BW102">
            <v>0</v>
          </cell>
          <cell r="BX102">
            <v>57878560.589120001</v>
          </cell>
          <cell r="BY102">
            <v>57878560.589120001</v>
          </cell>
          <cell r="BZ102">
            <v>57878560.589120001</v>
          </cell>
          <cell r="CA102">
            <v>0</v>
          </cell>
          <cell r="CB102">
            <v>57878560.589120001</v>
          </cell>
          <cell r="CC102">
            <v>57878560.589120001</v>
          </cell>
          <cell r="CD102">
            <v>57878560.589120001</v>
          </cell>
          <cell r="CE102">
            <v>57878560.589120001</v>
          </cell>
          <cell r="CF102">
            <v>0</v>
          </cell>
          <cell r="CG102">
            <v>57878560.589120001</v>
          </cell>
          <cell r="CH102">
            <v>57878560.589120001</v>
          </cell>
          <cell r="CI102">
            <v>57878560.589120001</v>
          </cell>
          <cell r="CJ102">
            <v>57878560.589120001</v>
          </cell>
          <cell r="CK102">
            <v>57878560.589120001</v>
          </cell>
          <cell r="CL102">
            <v>57878560.589120001</v>
          </cell>
          <cell r="CM102">
            <v>57878560.589120001</v>
          </cell>
          <cell r="CN102">
            <v>57878560.589120001</v>
          </cell>
          <cell r="CO102">
            <v>56163756.996350005</v>
          </cell>
          <cell r="CP102">
            <v>57878560.589120001</v>
          </cell>
          <cell r="CQ102">
            <v>57878560.589120001</v>
          </cell>
          <cell r="CR102">
            <v>57878560.589120001</v>
          </cell>
          <cell r="CS102">
            <v>57878560.589120001</v>
          </cell>
          <cell r="CT102">
            <v>57878560.589120001</v>
          </cell>
          <cell r="CU102">
            <v>57878560.589120001</v>
          </cell>
          <cell r="CV102">
            <v>57878560.589120001</v>
          </cell>
          <cell r="CW102">
            <v>57878560.589120001</v>
          </cell>
          <cell r="CX102">
            <v>57878560.589120001</v>
          </cell>
          <cell r="CY102">
            <v>57878560.589120001</v>
          </cell>
          <cell r="CZ102">
            <v>59429351.512789994</v>
          </cell>
          <cell r="DA102">
            <v>59702854.024939999</v>
          </cell>
          <cell r="DB102">
            <v>57878560.589120001</v>
          </cell>
          <cell r="DC102">
            <v>57878560.589120001</v>
          </cell>
          <cell r="DD102">
            <v>57878560.589120001</v>
          </cell>
          <cell r="DE102">
            <v>59950866.612839997</v>
          </cell>
          <cell r="DF102">
            <v>55806254.565400004</v>
          </cell>
          <cell r="DG102">
            <v>58153161.091170013</v>
          </cell>
          <cell r="DH102">
            <v>57878560.589120001</v>
          </cell>
          <cell r="DI102">
            <v>60732745.493050009</v>
          </cell>
          <cell r="DJ102">
            <v>0</v>
          </cell>
          <cell r="DK102">
            <v>0</v>
          </cell>
          <cell r="DL102">
            <v>0</v>
          </cell>
          <cell r="DM102">
            <v>0</v>
          </cell>
          <cell r="DN102">
            <v>0</v>
          </cell>
          <cell r="DO102">
            <v>0</v>
          </cell>
          <cell r="DP102">
            <v>0</v>
          </cell>
          <cell r="DQ102">
            <v>0</v>
          </cell>
          <cell r="DR102">
            <v>0</v>
          </cell>
          <cell r="DS102">
            <v>0</v>
          </cell>
          <cell r="DT102">
            <v>0</v>
          </cell>
          <cell r="DU102">
            <v>0</v>
          </cell>
          <cell r="DV102">
            <v>0</v>
          </cell>
          <cell r="DW102">
            <v>0</v>
          </cell>
          <cell r="DX102" t="str">
            <v/>
          </cell>
          <cell r="DY102" t="str">
            <v/>
          </cell>
          <cell r="DZ102" t="str">
            <v/>
          </cell>
          <cell r="EA102">
            <v>57878560.589120001</v>
          </cell>
          <cell r="EB102">
            <v>57878560.589120001</v>
          </cell>
          <cell r="EC102">
            <v>57878560.589120001</v>
          </cell>
          <cell r="ED102">
            <v>57878560.589120001</v>
          </cell>
          <cell r="EE102">
            <v>57878560.589120001</v>
          </cell>
          <cell r="EF102">
            <v>57878560.589120001</v>
          </cell>
          <cell r="EG102">
            <v>57878560.589120001</v>
          </cell>
          <cell r="EH102">
            <v>57878560.589120001</v>
          </cell>
          <cell r="EI102">
            <v>57878560.589120001</v>
          </cell>
          <cell r="EJ102">
            <v>57878560.589120001</v>
          </cell>
          <cell r="EK102">
            <v>59161715.790419996</v>
          </cell>
          <cell r="EL102">
            <v>57878560.589120001</v>
          </cell>
          <cell r="EM102">
            <v>57878560.589120001</v>
          </cell>
          <cell r="EN102">
            <v>57878560.589120001</v>
          </cell>
          <cell r="EO102">
            <v>59950866.612839997</v>
          </cell>
          <cell r="EP102">
            <v>55806254.565400004</v>
          </cell>
          <cell r="EQ102">
            <v>57951553.336270005</v>
          </cell>
          <cell r="ER102">
            <v>58439720.547190011</v>
          </cell>
          <cell r="ES102">
            <v>0</v>
          </cell>
          <cell r="ET102">
            <v>0</v>
          </cell>
          <cell r="EU102">
            <v>0</v>
          </cell>
          <cell r="EV102">
            <v>0</v>
          </cell>
          <cell r="EW102">
            <v>0</v>
          </cell>
          <cell r="EX102">
            <v>0</v>
          </cell>
          <cell r="EY102">
            <v>0</v>
          </cell>
          <cell r="EZ102">
            <v>0</v>
          </cell>
          <cell r="FA102">
            <v>0</v>
          </cell>
          <cell r="FB102">
            <v>0</v>
          </cell>
          <cell r="FC102">
            <v>0</v>
          </cell>
          <cell r="FD102">
            <v>-2072306.0237199962</v>
          </cell>
          <cell r="FE102">
            <v>59950866.612839997</v>
          </cell>
          <cell r="FF102">
            <v>58137724.385509998</v>
          </cell>
          <cell r="FG102">
            <v>60054586.745689988</v>
          </cell>
          <cell r="FH102">
            <v>0</v>
          </cell>
          <cell r="FI102">
            <v>0</v>
          </cell>
          <cell r="FJ102">
            <v>57878560.589120001</v>
          </cell>
          <cell r="FK102">
            <v>57878560.589120001</v>
          </cell>
          <cell r="FL102">
            <v>57878560.589120001</v>
          </cell>
          <cell r="FM102">
            <v>0</v>
          </cell>
          <cell r="FN102">
            <v>57878560.589120001</v>
          </cell>
          <cell r="FO102">
            <v>57878560.589120001</v>
          </cell>
          <cell r="FP102">
            <v>57878560.589120001</v>
          </cell>
          <cell r="FQ102">
            <v>57878560.589120001</v>
          </cell>
          <cell r="FR102">
            <v>0</v>
          </cell>
          <cell r="FS102">
            <v>57878560.589120001</v>
          </cell>
          <cell r="FT102">
            <v>57878560.589120001</v>
          </cell>
          <cell r="FU102">
            <v>57878560.589120001</v>
          </cell>
          <cell r="FV102">
            <v>57878560.589120001</v>
          </cell>
          <cell r="FW102">
            <v>57878560.589120001</v>
          </cell>
          <cell r="FX102">
            <v>57878560.589120001</v>
          </cell>
          <cell r="FY102">
            <v>57878560.589120001</v>
          </cell>
          <cell r="FZ102">
            <v>57878560.589120001</v>
          </cell>
          <cell r="GA102">
            <v>56163756.996360004</v>
          </cell>
          <cell r="GB102">
            <v>57967333.257360011</v>
          </cell>
          <cell r="GC102">
            <v>58338826.768040001</v>
          </cell>
          <cell r="GD102">
            <v>57878560.589120001</v>
          </cell>
          <cell r="GE102">
            <v>57878560.589120001</v>
          </cell>
          <cell r="GF102">
            <v>57878560.589120001</v>
          </cell>
          <cell r="GG102">
            <v>57878560.589120001</v>
          </cell>
          <cell r="GH102">
            <v>57878560.589120001</v>
          </cell>
          <cell r="GI102">
            <v>58153161.091179997</v>
          </cell>
          <cell r="GJ102">
            <v>57878560.589120001</v>
          </cell>
          <cell r="GK102">
            <v>58249310.654799998</v>
          </cell>
          <cell r="GL102">
            <v>57878560.589120001</v>
          </cell>
          <cell r="GM102">
            <v>58777794.839139998</v>
          </cell>
          <cell r="GN102">
            <v>57878560.589120001</v>
          </cell>
          <cell r="GO102">
            <v>57878560.589120001</v>
          </cell>
          <cell r="GP102">
            <v>57878560.589120001</v>
          </cell>
          <cell r="GQ102">
            <v>57878560.589120001</v>
          </cell>
          <cell r="GR102">
            <v>57878560.589120001</v>
          </cell>
          <cell r="GS102">
            <v>57951553.336259991</v>
          </cell>
          <cell r="GT102">
            <v>58435475.355230004</v>
          </cell>
          <cell r="GU102">
            <v>0</v>
          </cell>
          <cell r="GZ102">
            <v>1871794821.34585</v>
          </cell>
        </row>
        <row r="103">
          <cell r="A103" t="str">
            <v>F_CNP_NRF_RIS_COL_FRCE_153</v>
          </cell>
          <cell r="B103">
            <v>0</v>
          </cell>
          <cell r="D103">
            <v>0</v>
          </cell>
          <cell r="E103">
            <v>0</v>
          </cell>
          <cell r="F103">
            <v>0</v>
          </cell>
          <cell r="G103">
            <v>0</v>
          </cell>
          <cell r="H103">
            <v>0</v>
          </cell>
          <cell r="I103">
            <v>0</v>
          </cell>
          <cell r="J103">
            <v>0</v>
          </cell>
          <cell r="K103">
            <v>0</v>
          </cell>
          <cell r="L103">
            <v>0</v>
          </cell>
          <cell r="M103">
            <v>0</v>
          </cell>
          <cell r="N103">
            <v>0</v>
          </cell>
          <cell r="O103">
            <v>0</v>
          </cell>
          <cell r="P103">
            <v>0</v>
          </cell>
          <cell r="Q103">
            <v>0</v>
          </cell>
          <cell r="R103">
            <v>0</v>
          </cell>
          <cell r="S103">
            <v>0</v>
          </cell>
          <cell r="T103">
            <v>0</v>
          </cell>
          <cell r="U103">
            <v>0</v>
          </cell>
          <cell r="V103">
            <v>0</v>
          </cell>
          <cell r="W103">
            <v>0</v>
          </cell>
          <cell r="X103">
            <v>0</v>
          </cell>
          <cell r="Y103">
            <v>0</v>
          </cell>
          <cell r="Z103">
            <v>0</v>
          </cell>
          <cell r="AA103">
            <v>0</v>
          </cell>
          <cell r="AB103">
            <v>0</v>
          </cell>
          <cell r="AC103">
            <v>0</v>
          </cell>
          <cell r="AD103">
            <v>0</v>
          </cell>
          <cell r="AE103">
            <v>0</v>
          </cell>
          <cell r="AF103">
            <v>0</v>
          </cell>
          <cell r="AG103">
            <v>0</v>
          </cell>
          <cell r="AH103">
            <v>0</v>
          </cell>
          <cell r="AI103">
            <v>0</v>
          </cell>
          <cell r="AJ103">
            <v>0</v>
          </cell>
          <cell r="AK103">
            <v>0</v>
          </cell>
          <cell r="AL103">
            <v>0</v>
          </cell>
          <cell r="AM103">
            <v>0</v>
          </cell>
          <cell r="AN103">
            <v>0</v>
          </cell>
          <cell r="AO103">
            <v>0</v>
          </cell>
          <cell r="AP103">
            <v>0</v>
          </cell>
          <cell r="AQ103">
            <v>0</v>
          </cell>
          <cell r="AR103">
            <v>0</v>
          </cell>
          <cell r="AS103">
            <v>0</v>
          </cell>
          <cell r="AT103">
            <v>0</v>
          </cell>
          <cell r="AU103">
            <v>0</v>
          </cell>
          <cell r="AV103">
            <v>0</v>
          </cell>
          <cell r="AW103">
            <v>0</v>
          </cell>
          <cell r="AX103">
            <v>0</v>
          </cell>
          <cell r="AY103">
            <v>0</v>
          </cell>
          <cell r="AZ103">
            <v>0</v>
          </cell>
          <cell r="BA103">
            <v>0</v>
          </cell>
          <cell r="BB103">
            <v>0</v>
          </cell>
          <cell r="BC103">
            <v>0</v>
          </cell>
          <cell r="BD103">
            <v>0</v>
          </cell>
          <cell r="BE103">
            <v>0</v>
          </cell>
          <cell r="BF103">
            <v>0</v>
          </cell>
          <cell r="BG103">
            <v>0</v>
          </cell>
          <cell r="BH103">
            <v>0</v>
          </cell>
          <cell r="BI103">
            <v>0</v>
          </cell>
          <cell r="BJ103">
            <v>0</v>
          </cell>
          <cell r="BK103">
            <v>0</v>
          </cell>
          <cell r="BL103">
            <v>0</v>
          </cell>
          <cell r="BM103">
            <v>0</v>
          </cell>
          <cell r="BN103">
            <v>0</v>
          </cell>
          <cell r="BO103">
            <v>0</v>
          </cell>
          <cell r="BP103">
            <v>0</v>
          </cell>
          <cell r="BQ103">
            <v>0</v>
          </cell>
          <cell r="BR103">
            <v>0</v>
          </cell>
          <cell r="BS103">
            <v>0</v>
          </cell>
          <cell r="BT103">
            <v>0</v>
          </cell>
          <cell r="BU103">
            <v>0</v>
          </cell>
          <cell r="BV103">
            <v>0</v>
          </cell>
          <cell r="BW103">
            <v>0</v>
          </cell>
          <cell r="BX103">
            <v>0</v>
          </cell>
          <cell r="BY103">
            <v>0</v>
          </cell>
          <cell r="BZ103">
            <v>0</v>
          </cell>
          <cell r="CA103">
            <v>0</v>
          </cell>
          <cell r="CB103">
            <v>0</v>
          </cell>
          <cell r="CC103">
            <v>0</v>
          </cell>
          <cell r="CD103">
            <v>0</v>
          </cell>
          <cell r="CE103">
            <v>0</v>
          </cell>
          <cell r="CF103">
            <v>0</v>
          </cell>
          <cell r="CG103">
            <v>0</v>
          </cell>
          <cell r="CH103">
            <v>0</v>
          </cell>
          <cell r="CI103">
            <v>0</v>
          </cell>
          <cell r="CJ103">
            <v>0</v>
          </cell>
          <cell r="CK103">
            <v>0</v>
          </cell>
          <cell r="CL103">
            <v>0</v>
          </cell>
          <cell r="CM103">
            <v>0</v>
          </cell>
          <cell r="CN103">
            <v>0</v>
          </cell>
          <cell r="CO103">
            <v>0</v>
          </cell>
          <cell r="CP103">
            <v>0</v>
          </cell>
          <cell r="CQ103">
            <v>0</v>
          </cell>
          <cell r="CR103">
            <v>0</v>
          </cell>
          <cell r="CS103">
            <v>0</v>
          </cell>
          <cell r="CT103">
            <v>0</v>
          </cell>
          <cell r="CU103">
            <v>0</v>
          </cell>
          <cell r="CV103">
            <v>0</v>
          </cell>
          <cell r="CW103">
            <v>0</v>
          </cell>
          <cell r="CX103">
            <v>0</v>
          </cell>
          <cell r="CY103">
            <v>0</v>
          </cell>
          <cell r="CZ103">
            <v>0</v>
          </cell>
          <cell r="DA103">
            <v>0</v>
          </cell>
          <cell r="DB103">
            <v>0</v>
          </cell>
          <cell r="DC103">
            <v>0</v>
          </cell>
          <cell r="DD103">
            <v>0</v>
          </cell>
          <cell r="DE103">
            <v>0</v>
          </cell>
          <cell r="DF103">
            <v>0</v>
          </cell>
          <cell r="DG103">
            <v>0</v>
          </cell>
          <cell r="DH103">
            <v>0</v>
          </cell>
          <cell r="DI103">
            <v>0</v>
          </cell>
          <cell r="DJ103">
            <v>0</v>
          </cell>
          <cell r="DK103">
            <v>0</v>
          </cell>
          <cell r="DL103">
            <v>0</v>
          </cell>
          <cell r="DM103">
            <v>0</v>
          </cell>
          <cell r="DN103">
            <v>0</v>
          </cell>
          <cell r="DO103">
            <v>0</v>
          </cell>
          <cell r="DP103">
            <v>0</v>
          </cell>
          <cell r="DQ103">
            <v>0</v>
          </cell>
          <cell r="DR103">
            <v>0</v>
          </cell>
          <cell r="DS103">
            <v>0</v>
          </cell>
          <cell r="DT103">
            <v>0</v>
          </cell>
          <cell r="DU103">
            <v>0</v>
          </cell>
          <cell r="DV103">
            <v>0</v>
          </cell>
          <cell r="DW103">
            <v>0</v>
          </cell>
          <cell r="DX103" t="str">
            <v/>
          </cell>
          <cell r="DY103" t="str">
            <v/>
          </cell>
          <cell r="DZ103" t="str">
            <v/>
          </cell>
          <cell r="EA103">
            <v>0</v>
          </cell>
          <cell r="EB103">
            <v>0</v>
          </cell>
          <cell r="EC103">
            <v>0</v>
          </cell>
          <cell r="ED103">
            <v>0</v>
          </cell>
          <cell r="EE103">
            <v>0</v>
          </cell>
          <cell r="EF103">
            <v>0</v>
          </cell>
          <cell r="EG103">
            <v>0</v>
          </cell>
          <cell r="EH103">
            <v>0</v>
          </cell>
          <cell r="EI103">
            <v>0</v>
          </cell>
          <cell r="EJ103">
            <v>0</v>
          </cell>
          <cell r="EK103">
            <v>0</v>
          </cell>
          <cell r="EL103">
            <v>0</v>
          </cell>
          <cell r="EM103">
            <v>0</v>
          </cell>
          <cell r="EN103">
            <v>0</v>
          </cell>
          <cell r="EO103">
            <v>0</v>
          </cell>
          <cell r="EP103">
            <v>0</v>
          </cell>
          <cell r="EQ103">
            <v>0</v>
          </cell>
          <cell r="ER103">
            <v>0</v>
          </cell>
          <cell r="ES103">
            <v>0</v>
          </cell>
          <cell r="ET103">
            <v>0</v>
          </cell>
          <cell r="EU103">
            <v>0</v>
          </cell>
          <cell r="EV103">
            <v>0</v>
          </cell>
          <cell r="EW103">
            <v>0</v>
          </cell>
          <cell r="EX103">
            <v>0</v>
          </cell>
          <cell r="EY103">
            <v>0</v>
          </cell>
          <cell r="EZ103">
            <v>0</v>
          </cell>
          <cell r="FA103">
            <v>0</v>
          </cell>
          <cell r="FB103">
            <v>0</v>
          </cell>
          <cell r="FC103">
            <v>0</v>
          </cell>
          <cell r="FD103">
            <v>0</v>
          </cell>
          <cell r="FE103">
            <v>0</v>
          </cell>
          <cell r="FF103">
            <v>0</v>
          </cell>
          <cell r="FG103">
            <v>0</v>
          </cell>
          <cell r="FH103">
            <v>0</v>
          </cell>
          <cell r="FI103">
            <v>0</v>
          </cell>
          <cell r="FJ103">
            <v>0</v>
          </cell>
          <cell r="FK103">
            <v>0</v>
          </cell>
          <cell r="FL103">
            <v>0</v>
          </cell>
          <cell r="FM103">
            <v>0</v>
          </cell>
          <cell r="FN103">
            <v>0</v>
          </cell>
          <cell r="FO103">
            <v>0</v>
          </cell>
          <cell r="FP103">
            <v>0</v>
          </cell>
          <cell r="FQ103">
            <v>0</v>
          </cell>
          <cell r="FR103">
            <v>0</v>
          </cell>
          <cell r="FS103">
            <v>0</v>
          </cell>
          <cell r="FT103">
            <v>0</v>
          </cell>
          <cell r="FU103">
            <v>0</v>
          </cell>
          <cell r="FV103">
            <v>0</v>
          </cell>
          <cell r="FW103">
            <v>0</v>
          </cell>
          <cell r="FX103">
            <v>0</v>
          </cell>
          <cell r="FY103">
            <v>0</v>
          </cell>
          <cell r="FZ103">
            <v>0</v>
          </cell>
          <cell r="GA103">
            <v>0</v>
          </cell>
          <cell r="GB103">
            <v>0</v>
          </cell>
          <cell r="GC103">
            <v>0</v>
          </cell>
          <cell r="GD103">
            <v>0</v>
          </cell>
          <cell r="GE103">
            <v>0</v>
          </cell>
          <cell r="GF103">
            <v>0</v>
          </cell>
          <cell r="GG103">
            <v>0</v>
          </cell>
          <cell r="GH103">
            <v>0</v>
          </cell>
          <cell r="GI103">
            <v>0</v>
          </cell>
          <cell r="GJ103">
            <v>0</v>
          </cell>
          <cell r="GK103">
            <v>0</v>
          </cell>
          <cell r="GL103">
            <v>0</v>
          </cell>
          <cell r="GM103">
            <v>0</v>
          </cell>
          <cell r="GN103">
            <v>0</v>
          </cell>
          <cell r="GO103">
            <v>0</v>
          </cell>
          <cell r="GP103">
            <v>0</v>
          </cell>
          <cell r="GQ103">
            <v>0</v>
          </cell>
          <cell r="GR103">
            <v>0</v>
          </cell>
          <cell r="GS103">
            <v>0</v>
          </cell>
          <cell r="GT103">
            <v>0</v>
          </cell>
          <cell r="GU103">
            <v>0</v>
          </cell>
          <cell r="GZ103">
            <v>0</v>
          </cell>
        </row>
        <row r="104">
          <cell r="A104" t="str">
            <v>F_CNP_NRF_RIS_COL_FRCE_201</v>
          </cell>
          <cell r="B104">
            <v>429912796.20512998</v>
          </cell>
          <cell r="D104">
            <v>530966026.05827993</v>
          </cell>
          <cell r="E104">
            <v>367883154.4867</v>
          </cell>
          <cell r="F104">
            <v>530966026.05827993</v>
          </cell>
          <cell r="G104">
            <v>530966026.05827993</v>
          </cell>
          <cell r="H104">
            <v>0</v>
          </cell>
          <cell r="I104">
            <v>0</v>
          </cell>
          <cell r="J104">
            <v>530966026.05827993</v>
          </cell>
          <cell r="K104">
            <v>530966026.05827993</v>
          </cell>
          <cell r="L104">
            <v>530966026.05827993</v>
          </cell>
          <cell r="M104">
            <v>0</v>
          </cell>
          <cell r="N104">
            <v>530966026.05827993</v>
          </cell>
          <cell r="O104">
            <v>530966026.05827993</v>
          </cell>
          <cell r="P104">
            <v>530966026.05827993</v>
          </cell>
          <cell r="Q104">
            <v>530966026.05827993</v>
          </cell>
          <cell r="R104">
            <v>0</v>
          </cell>
          <cell r="S104">
            <v>530966026.05827993</v>
          </cell>
          <cell r="T104">
            <v>530966026.05827993</v>
          </cell>
          <cell r="U104">
            <v>530966026.05827993</v>
          </cell>
          <cell r="V104">
            <v>530966026.05827993</v>
          </cell>
          <cell r="W104">
            <v>530966026.05827993</v>
          </cell>
          <cell r="X104">
            <v>530966026.05827993</v>
          </cell>
          <cell r="Y104">
            <v>530966026.05827993</v>
          </cell>
          <cell r="Z104">
            <v>530966026.05827993</v>
          </cell>
          <cell r="AA104">
            <v>530966026.05827993</v>
          </cell>
          <cell r="AB104">
            <v>536269170.43042004</v>
          </cell>
          <cell r="AC104">
            <v>513208738.41056007</v>
          </cell>
          <cell r="AD104">
            <v>0</v>
          </cell>
          <cell r="AE104">
            <v>0</v>
          </cell>
          <cell r="AF104">
            <v>485012843.39634997</v>
          </cell>
          <cell r="AG104">
            <v>485012843.39634997</v>
          </cell>
          <cell r="AH104">
            <v>485012843.39634997</v>
          </cell>
          <cell r="AI104">
            <v>0</v>
          </cell>
          <cell r="AJ104">
            <v>519968844.36774999</v>
          </cell>
          <cell r="AK104">
            <v>519968844.36774999</v>
          </cell>
          <cell r="AL104">
            <v>519968844.36774999</v>
          </cell>
          <cell r="AM104">
            <v>519729788.79555994</v>
          </cell>
          <cell r="AN104">
            <v>0</v>
          </cell>
          <cell r="AO104">
            <v>503774963.36407006</v>
          </cell>
          <cell r="AP104">
            <v>503774963.36407006</v>
          </cell>
          <cell r="AQ104">
            <v>503774963.36407006</v>
          </cell>
          <cell r="AR104">
            <v>503774963.36407006</v>
          </cell>
          <cell r="AS104">
            <v>503774963.36407006</v>
          </cell>
          <cell r="AT104">
            <v>503774963.36407006</v>
          </cell>
          <cell r="AU104">
            <v>503774963.36407006</v>
          </cell>
          <cell r="AV104">
            <v>523487607.39406991</v>
          </cell>
          <cell r="AW104">
            <v>530966026.05827993</v>
          </cell>
          <cell r="AX104">
            <v>367883154.4867</v>
          </cell>
          <cell r="AY104">
            <v>367883154.4867</v>
          </cell>
          <cell r="AZ104">
            <v>0</v>
          </cell>
          <cell r="BA104">
            <v>0</v>
          </cell>
          <cell r="BB104">
            <v>367883154.4867</v>
          </cell>
          <cell r="BC104">
            <v>367883154.4867</v>
          </cell>
          <cell r="BD104">
            <v>367883154.4867</v>
          </cell>
          <cell r="BE104">
            <v>0</v>
          </cell>
          <cell r="BF104">
            <v>367883154.4867</v>
          </cell>
          <cell r="BG104">
            <v>367883154.4867</v>
          </cell>
          <cell r="BH104">
            <v>367883154.4867</v>
          </cell>
          <cell r="BI104">
            <v>367883154.4867</v>
          </cell>
          <cell r="BJ104">
            <v>0</v>
          </cell>
          <cell r="BK104">
            <v>367883154.4867</v>
          </cell>
          <cell r="BL104">
            <v>367883154.4867</v>
          </cell>
          <cell r="BM104">
            <v>367883154.4867</v>
          </cell>
          <cell r="BN104">
            <v>367883154.4867</v>
          </cell>
          <cell r="BO104">
            <v>367883154.4867</v>
          </cell>
          <cell r="BP104">
            <v>367883154.4867</v>
          </cell>
          <cell r="BQ104">
            <v>367883154.4867</v>
          </cell>
          <cell r="BR104">
            <v>367883154.4867</v>
          </cell>
          <cell r="BS104">
            <v>367883154.4867</v>
          </cell>
          <cell r="BT104">
            <v>376132311.97700989</v>
          </cell>
          <cell r="BU104">
            <v>347785959.19212997</v>
          </cell>
          <cell r="BV104">
            <v>0</v>
          </cell>
          <cell r="BW104">
            <v>0</v>
          </cell>
          <cell r="BX104">
            <v>367883154.4867</v>
          </cell>
          <cell r="BY104">
            <v>367883154.4867</v>
          </cell>
          <cell r="BZ104">
            <v>367883154.4867</v>
          </cell>
          <cell r="CA104">
            <v>0</v>
          </cell>
          <cell r="CB104">
            <v>367883154.4867</v>
          </cell>
          <cell r="CC104">
            <v>367883154.4867</v>
          </cell>
          <cell r="CD104">
            <v>367883154.4867</v>
          </cell>
          <cell r="CE104">
            <v>367883154.4867</v>
          </cell>
          <cell r="CF104">
            <v>0</v>
          </cell>
          <cell r="CG104">
            <v>367883154.4867</v>
          </cell>
          <cell r="CH104">
            <v>367883154.4867</v>
          </cell>
          <cell r="CI104">
            <v>367883154.4867</v>
          </cell>
          <cell r="CJ104">
            <v>367883154.4867</v>
          </cell>
          <cell r="CK104">
            <v>367883154.4867</v>
          </cell>
          <cell r="CL104">
            <v>367883154.4867</v>
          </cell>
          <cell r="CM104">
            <v>367883154.4867</v>
          </cell>
          <cell r="CN104">
            <v>367883154.4867</v>
          </cell>
          <cell r="CO104">
            <v>362003154.13089001</v>
          </cell>
          <cell r="CP104">
            <v>367883154.4867</v>
          </cell>
          <cell r="CQ104">
            <v>367883154.4867</v>
          </cell>
          <cell r="CR104">
            <v>367883154.4867</v>
          </cell>
          <cell r="CS104">
            <v>367883154.4867</v>
          </cell>
          <cell r="CT104">
            <v>367883154.4867</v>
          </cell>
          <cell r="CU104">
            <v>367883154.4867</v>
          </cell>
          <cell r="CV104">
            <v>367883154.4867</v>
          </cell>
          <cell r="CW104">
            <v>367883154.4867</v>
          </cell>
          <cell r="CX104">
            <v>367883154.4867</v>
          </cell>
          <cell r="CY104">
            <v>367883154.4867</v>
          </cell>
          <cell r="CZ104">
            <v>368915832.67583001</v>
          </cell>
          <cell r="DA104">
            <v>375366105.44081998</v>
          </cell>
          <cell r="DB104">
            <v>367883154.4867</v>
          </cell>
          <cell r="DC104">
            <v>367883154.4867</v>
          </cell>
          <cell r="DD104">
            <v>367883154.4867</v>
          </cell>
          <cell r="DE104">
            <v>336482759.62057</v>
          </cell>
          <cell r="DF104">
            <v>399283549.35282999</v>
          </cell>
          <cell r="DG104">
            <v>368867629.76473999</v>
          </cell>
          <cell r="DH104">
            <v>367872946.13044</v>
          </cell>
          <cell r="DI104">
            <v>375245142.07064998</v>
          </cell>
          <cell r="DJ104">
            <v>0</v>
          </cell>
          <cell r="DK104">
            <v>0</v>
          </cell>
          <cell r="DL104">
            <v>0</v>
          </cell>
          <cell r="DM104">
            <v>0</v>
          </cell>
          <cell r="DN104">
            <v>0</v>
          </cell>
          <cell r="DO104">
            <v>0</v>
          </cell>
          <cell r="DP104">
            <v>0</v>
          </cell>
          <cell r="DQ104">
            <v>0</v>
          </cell>
          <cell r="DR104">
            <v>0</v>
          </cell>
          <cell r="DS104">
            <v>0</v>
          </cell>
          <cell r="DT104">
            <v>0</v>
          </cell>
          <cell r="DU104">
            <v>0</v>
          </cell>
          <cell r="DV104">
            <v>0</v>
          </cell>
          <cell r="DW104">
            <v>0</v>
          </cell>
          <cell r="DX104" t="str">
            <v/>
          </cell>
          <cell r="DY104" t="str">
            <v/>
          </cell>
          <cell r="DZ104" t="str">
            <v/>
          </cell>
          <cell r="EA104">
            <v>367883154.4867</v>
          </cell>
          <cell r="EB104">
            <v>367883154.4867</v>
          </cell>
          <cell r="EC104">
            <v>367883154.4867</v>
          </cell>
          <cell r="ED104">
            <v>367883154.4867</v>
          </cell>
          <cell r="EE104">
            <v>367883154.4867</v>
          </cell>
          <cell r="EF104">
            <v>367883154.4867</v>
          </cell>
          <cell r="EG104">
            <v>367883154.4867</v>
          </cell>
          <cell r="EH104">
            <v>367883154.4867</v>
          </cell>
          <cell r="EI104">
            <v>367883154.4867</v>
          </cell>
          <cell r="EJ104">
            <v>367883155.18472999</v>
          </cell>
          <cell r="EK104">
            <v>367931025.75792998</v>
          </cell>
          <cell r="EL104">
            <v>367883154.4867</v>
          </cell>
          <cell r="EM104">
            <v>367883154.4867</v>
          </cell>
          <cell r="EN104">
            <v>367883154.4867</v>
          </cell>
          <cell r="EO104">
            <v>336482759.62057</v>
          </cell>
          <cell r="EP104">
            <v>399283549.35282999</v>
          </cell>
          <cell r="EQ104">
            <v>367887118.63607997</v>
          </cell>
          <cell r="ER104">
            <v>368056336.86296999</v>
          </cell>
          <cell r="ES104">
            <v>0</v>
          </cell>
          <cell r="ET104">
            <v>0</v>
          </cell>
          <cell r="EU104">
            <v>0</v>
          </cell>
          <cell r="EV104">
            <v>0</v>
          </cell>
          <cell r="EW104">
            <v>0</v>
          </cell>
          <cell r="EX104">
            <v>0</v>
          </cell>
          <cell r="EY104">
            <v>0</v>
          </cell>
          <cell r="EZ104">
            <v>0</v>
          </cell>
          <cell r="FA104">
            <v>0</v>
          </cell>
          <cell r="FB104">
            <v>0</v>
          </cell>
          <cell r="FC104">
            <v>0</v>
          </cell>
          <cell r="FD104">
            <v>31400394.866129994</v>
          </cell>
          <cell r="FE104">
            <v>336482759.62057</v>
          </cell>
          <cell r="FF104">
            <v>373631868.94621998</v>
          </cell>
          <cell r="FG104">
            <v>313773941.46543992</v>
          </cell>
          <cell r="FH104">
            <v>0</v>
          </cell>
          <cell r="FI104">
            <v>0</v>
          </cell>
          <cell r="FJ104">
            <v>349594175.88722998</v>
          </cell>
          <cell r="FK104">
            <v>349594175.88722998</v>
          </cell>
          <cell r="FL104">
            <v>349594175.88722998</v>
          </cell>
          <cell r="FM104">
            <v>0</v>
          </cell>
          <cell r="FN104">
            <v>363506369.05111003</v>
          </cell>
          <cell r="FO104">
            <v>363506369.05111003</v>
          </cell>
          <cell r="FP104">
            <v>363506369.05111003</v>
          </cell>
          <cell r="FQ104">
            <v>363411226.95232993</v>
          </cell>
          <cell r="FR104">
            <v>0</v>
          </cell>
          <cell r="FS104">
            <v>357061341.17792994</v>
          </cell>
          <cell r="FT104">
            <v>357061341.17792994</v>
          </cell>
          <cell r="FU104">
            <v>357061341.17792994</v>
          </cell>
          <cell r="FV104">
            <v>357061341.17792994</v>
          </cell>
          <cell r="FW104">
            <v>357061341.17792994</v>
          </cell>
          <cell r="FX104">
            <v>357061341.17792994</v>
          </cell>
          <cell r="FY104">
            <v>357061341.17792994</v>
          </cell>
          <cell r="FZ104">
            <v>364906807.01771003</v>
          </cell>
          <cell r="GA104">
            <v>362003154.13087004</v>
          </cell>
          <cell r="GB104">
            <v>368101286.24221003</v>
          </cell>
          <cell r="GC104">
            <v>372975944.90664005</v>
          </cell>
          <cell r="GD104">
            <v>367883154.4867</v>
          </cell>
          <cell r="GE104">
            <v>367883154.4867</v>
          </cell>
          <cell r="GF104">
            <v>367883154.4867</v>
          </cell>
          <cell r="GG104">
            <v>367883154.4867</v>
          </cell>
          <cell r="GH104">
            <v>367883154.4867</v>
          </cell>
          <cell r="GI104">
            <v>368867629.76478004</v>
          </cell>
          <cell r="GJ104">
            <v>367872946.13042003</v>
          </cell>
          <cell r="GK104">
            <v>373698949.80961001</v>
          </cell>
          <cell r="GL104">
            <v>367883155.18470997</v>
          </cell>
          <cell r="GM104">
            <v>367894967.38728994</v>
          </cell>
          <cell r="GN104">
            <v>367883154.4867</v>
          </cell>
          <cell r="GO104">
            <v>367883154.4867</v>
          </cell>
          <cell r="GP104">
            <v>367883154.4867</v>
          </cell>
          <cell r="GQ104">
            <v>367883154.4867</v>
          </cell>
          <cell r="GR104">
            <v>367883154.4867</v>
          </cell>
          <cell r="GS104">
            <v>367887118.63606995</v>
          </cell>
          <cell r="GT104">
            <v>368023705.60647994</v>
          </cell>
          <cell r="GU104">
            <v>0</v>
          </cell>
          <cell r="GZ104">
            <v>14782614761.95208</v>
          </cell>
        </row>
        <row r="105">
          <cell r="A105" t="str">
            <v>F_CNP_NRF_RIS_COL_FRCE_211</v>
          </cell>
          <cell r="B105">
            <v>1336920.7786699999</v>
          </cell>
          <cell r="D105">
            <v>931907.59589</v>
          </cell>
          <cell r="E105">
            <v>1023147.0526599999</v>
          </cell>
          <cell r="F105">
            <v>931907.59589</v>
          </cell>
          <cell r="G105">
            <v>931907.59589</v>
          </cell>
          <cell r="H105">
            <v>0</v>
          </cell>
          <cell r="I105">
            <v>0</v>
          </cell>
          <cell r="J105">
            <v>931907.59589</v>
          </cell>
          <cell r="K105">
            <v>931907.59589</v>
          </cell>
          <cell r="L105">
            <v>931907.59589</v>
          </cell>
          <cell r="M105">
            <v>0</v>
          </cell>
          <cell r="N105">
            <v>931907.59589</v>
          </cell>
          <cell r="O105">
            <v>931907.59589</v>
          </cell>
          <cell r="P105">
            <v>931907.59589</v>
          </cell>
          <cell r="Q105">
            <v>931907.59589</v>
          </cell>
          <cell r="R105">
            <v>0</v>
          </cell>
          <cell r="S105">
            <v>931907.59589</v>
          </cell>
          <cell r="T105">
            <v>931907.59589</v>
          </cell>
          <cell r="U105">
            <v>931907.59589</v>
          </cell>
          <cell r="V105">
            <v>931907.59589</v>
          </cell>
          <cell r="W105">
            <v>931907.59589</v>
          </cell>
          <cell r="X105">
            <v>931907.59589</v>
          </cell>
          <cell r="Y105">
            <v>931907.59589</v>
          </cell>
          <cell r="Z105">
            <v>931907.59589</v>
          </cell>
          <cell r="AA105">
            <v>931907.59589</v>
          </cell>
          <cell r="AB105">
            <v>878996.81102999998</v>
          </cell>
          <cell r="AC105">
            <v>1081597.4941799999</v>
          </cell>
          <cell r="AD105">
            <v>0</v>
          </cell>
          <cell r="AE105">
            <v>0</v>
          </cell>
          <cell r="AF105">
            <v>1096791.0464399999</v>
          </cell>
          <cell r="AG105">
            <v>1096791.0464399999</v>
          </cell>
          <cell r="AH105">
            <v>1096791.0464399999</v>
          </cell>
          <cell r="AI105">
            <v>0</v>
          </cell>
          <cell r="AJ105">
            <v>946846.98161000002</v>
          </cell>
          <cell r="AK105">
            <v>946846.98161000002</v>
          </cell>
          <cell r="AL105">
            <v>946846.98161000002</v>
          </cell>
          <cell r="AM105">
            <v>935887.91415999993</v>
          </cell>
          <cell r="AN105">
            <v>0</v>
          </cell>
          <cell r="AO105">
            <v>1037352.17255</v>
          </cell>
          <cell r="AP105">
            <v>1037352.17255</v>
          </cell>
          <cell r="AQ105">
            <v>1037352.17255</v>
          </cell>
          <cell r="AR105">
            <v>1037352.17255</v>
          </cell>
          <cell r="AS105">
            <v>1037352.17255</v>
          </cell>
          <cell r="AT105">
            <v>1037352.17255</v>
          </cell>
          <cell r="AU105">
            <v>1037352.17255</v>
          </cell>
          <cell r="AV105">
            <v>957015.70775000006</v>
          </cell>
          <cell r="AW105">
            <v>931907.59589</v>
          </cell>
          <cell r="AX105">
            <v>1023147.0526599999</v>
          </cell>
          <cell r="AY105">
            <v>1023147.0526599999</v>
          </cell>
          <cell r="AZ105">
            <v>0</v>
          </cell>
          <cell r="BA105">
            <v>0</v>
          </cell>
          <cell r="BB105">
            <v>1023147.0526599999</v>
          </cell>
          <cell r="BC105">
            <v>1023147.0526599999</v>
          </cell>
          <cell r="BD105">
            <v>1023147.0526599999</v>
          </cell>
          <cell r="BE105">
            <v>0</v>
          </cell>
          <cell r="BF105">
            <v>1023147.0526599999</v>
          </cell>
          <cell r="BG105">
            <v>1023147.0526599999</v>
          </cell>
          <cell r="BH105">
            <v>1023147.0526599999</v>
          </cell>
          <cell r="BI105">
            <v>1023147.0526599999</v>
          </cell>
          <cell r="BJ105">
            <v>0</v>
          </cell>
          <cell r="BK105">
            <v>1023147.0526599999</v>
          </cell>
          <cell r="BL105">
            <v>1023147.0526599999</v>
          </cell>
          <cell r="BM105">
            <v>1023147.0526599999</v>
          </cell>
          <cell r="BN105">
            <v>1023147.0526599999</v>
          </cell>
          <cell r="BO105">
            <v>1023147.0526599999</v>
          </cell>
          <cell r="BP105">
            <v>1023147.0526599999</v>
          </cell>
          <cell r="BQ105">
            <v>1023147.0526599999</v>
          </cell>
          <cell r="BR105">
            <v>1023147.0526599999</v>
          </cell>
          <cell r="BS105">
            <v>1023147.0526599999</v>
          </cell>
          <cell r="BT105">
            <v>1036431.3965300001</v>
          </cell>
          <cell r="BU105">
            <v>977564.32566000009</v>
          </cell>
          <cell r="BV105">
            <v>0</v>
          </cell>
          <cell r="BW105">
            <v>0</v>
          </cell>
          <cell r="BX105">
            <v>1023147.0526599999</v>
          </cell>
          <cell r="BY105">
            <v>1023147.0526599999</v>
          </cell>
          <cell r="BZ105">
            <v>1023147.0526599999</v>
          </cell>
          <cell r="CA105">
            <v>0</v>
          </cell>
          <cell r="CB105">
            <v>1023147.0526599999</v>
          </cell>
          <cell r="CC105">
            <v>1023147.0526599999</v>
          </cell>
          <cell r="CD105">
            <v>1023147.0526599999</v>
          </cell>
          <cell r="CE105">
            <v>1023147.0526599999</v>
          </cell>
          <cell r="CF105">
            <v>0</v>
          </cell>
          <cell r="CG105">
            <v>1023147.0526599999</v>
          </cell>
          <cell r="CH105">
            <v>1023147.0526599999</v>
          </cell>
          <cell r="CI105">
            <v>1023147.0526599999</v>
          </cell>
          <cell r="CJ105">
            <v>1023147.0526599999</v>
          </cell>
          <cell r="CK105">
            <v>1023147.0526599999</v>
          </cell>
          <cell r="CL105">
            <v>1023147.0526599999</v>
          </cell>
          <cell r="CM105">
            <v>1023147.0526599999</v>
          </cell>
          <cell r="CN105">
            <v>1023147.0526599999</v>
          </cell>
          <cell r="CO105">
            <v>1010855.7056700002</v>
          </cell>
          <cell r="CP105">
            <v>1023147.0526599999</v>
          </cell>
          <cell r="CQ105">
            <v>1023147.0526599999</v>
          </cell>
          <cell r="CR105">
            <v>1023147.0526599999</v>
          </cell>
          <cell r="CS105">
            <v>1023147.0526599999</v>
          </cell>
          <cell r="CT105">
            <v>1023147.0526599999</v>
          </cell>
          <cell r="CU105">
            <v>1023147.0526599999</v>
          </cell>
          <cell r="CV105">
            <v>1023147.0526599999</v>
          </cell>
          <cell r="CW105">
            <v>1023147.0526599999</v>
          </cell>
          <cell r="CX105">
            <v>1023147.0526599999</v>
          </cell>
          <cell r="CY105">
            <v>1023147.0526599999</v>
          </cell>
          <cell r="CZ105">
            <v>1023677.60957</v>
          </cell>
          <cell r="DA105">
            <v>1023147.0526599999</v>
          </cell>
          <cell r="DB105">
            <v>1023147.0526599999</v>
          </cell>
          <cell r="DC105">
            <v>1023147.0526599999</v>
          </cell>
          <cell r="DD105">
            <v>1023147.0526599999</v>
          </cell>
          <cell r="DE105">
            <v>1093192.4988799999</v>
          </cell>
          <cell r="DF105">
            <v>953101.60644</v>
          </cell>
          <cell r="DG105">
            <v>1024725.3883400002</v>
          </cell>
          <cell r="DH105">
            <v>1023144.7917699999</v>
          </cell>
          <cell r="DI105">
            <v>1024064.2520199999</v>
          </cell>
          <cell r="DJ105">
            <v>0</v>
          </cell>
          <cell r="DK105">
            <v>0</v>
          </cell>
          <cell r="DL105">
            <v>0</v>
          </cell>
          <cell r="DM105">
            <v>0</v>
          </cell>
          <cell r="DN105">
            <v>0</v>
          </cell>
          <cell r="DO105">
            <v>0</v>
          </cell>
          <cell r="DP105">
            <v>0</v>
          </cell>
          <cell r="DQ105">
            <v>0</v>
          </cell>
          <cell r="DR105">
            <v>0</v>
          </cell>
          <cell r="DS105">
            <v>0</v>
          </cell>
          <cell r="DT105">
            <v>0</v>
          </cell>
          <cell r="DU105">
            <v>0</v>
          </cell>
          <cell r="DV105">
            <v>0</v>
          </cell>
          <cell r="DW105">
            <v>0</v>
          </cell>
          <cell r="DX105" t="str">
            <v/>
          </cell>
          <cell r="DY105" t="str">
            <v/>
          </cell>
          <cell r="DZ105" t="str">
            <v/>
          </cell>
          <cell r="EA105">
            <v>1023147.0526599999</v>
          </cell>
          <cell r="EB105">
            <v>1023147.0526599999</v>
          </cell>
          <cell r="EC105">
            <v>1023147.0526599999</v>
          </cell>
          <cell r="ED105">
            <v>1023147.0526599999</v>
          </cell>
          <cell r="EE105">
            <v>1023147.0526599999</v>
          </cell>
          <cell r="EF105">
            <v>1023147.0526599999</v>
          </cell>
          <cell r="EG105">
            <v>1023147.0526599999</v>
          </cell>
          <cell r="EH105">
            <v>1023147.0526599999</v>
          </cell>
          <cell r="EI105">
            <v>1023147.0526599999</v>
          </cell>
          <cell r="EJ105">
            <v>1023147.0526599999</v>
          </cell>
          <cell r="EK105">
            <v>1023147.0526599999</v>
          </cell>
          <cell r="EL105">
            <v>1023147.0526599999</v>
          </cell>
          <cell r="EM105">
            <v>1023147.0526599999</v>
          </cell>
          <cell r="EN105">
            <v>1023147.0526599999</v>
          </cell>
          <cell r="EO105">
            <v>1093192.4988799999</v>
          </cell>
          <cell r="EP105">
            <v>953101.60644</v>
          </cell>
          <cell r="EQ105">
            <v>1023147.0526599999</v>
          </cell>
          <cell r="ER105">
            <v>1023147.0526599999</v>
          </cell>
          <cell r="ES105">
            <v>0</v>
          </cell>
          <cell r="ET105">
            <v>0</v>
          </cell>
          <cell r="EU105">
            <v>0</v>
          </cell>
          <cell r="EV105">
            <v>0</v>
          </cell>
          <cell r="EW105">
            <v>0</v>
          </cell>
          <cell r="EX105">
            <v>0</v>
          </cell>
          <cell r="EY105">
            <v>0</v>
          </cell>
          <cell r="EZ105">
            <v>0</v>
          </cell>
          <cell r="FA105">
            <v>0</v>
          </cell>
          <cell r="FB105">
            <v>0</v>
          </cell>
          <cell r="FC105">
            <v>0</v>
          </cell>
          <cell r="FD105">
            <v>-70045.446219999925</v>
          </cell>
          <cell r="FE105">
            <v>1093192.4988799999</v>
          </cell>
          <cell r="FF105">
            <v>1027715.22611</v>
          </cell>
          <cell r="FG105">
            <v>1019506.5432600001</v>
          </cell>
          <cell r="FH105">
            <v>0</v>
          </cell>
          <cell r="FI105">
            <v>0</v>
          </cell>
          <cell r="FJ105">
            <v>1023147.0526599999</v>
          </cell>
          <cell r="FK105">
            <v>1023147.0526599999</v>
          </cell>
          <cell r="FL105">
            <v>1023147.0526599999</v>
          </cell>
          <cell r="FM105">
            <v>0</v>
          </cell>
          <cell r="FN105">
            <v>1023147.0526599999</v>
          </cell>
          <cell r="FO105">
            <v>1023147.0526599999</v>
          </cell>
          <cell r="FP105">
            <v>1023147.0526599999</v>
          </cell>
          <cell r="FQ105">
            <v>1023147.0526599999</v>
          </cell>
          <cell r="FR105">
            <v>0</v>
          </cell>
          <cell r="FS105">
            <v>1023147.0526599999</v>
          </cell>
          <cell r="FT105">
            <v>1023147.0526599999</v>
          </cell>
          <cell r="FU105">
            <v>1023147.0526599999</v>
          </cell>
          <cell r="FV105">
            <v>1023147.0526599999</v>
          </cell>
          <cell r="FW105">
            <v>1023147.0526599999</v>
          </cell>
          <cell r="FX105">
            <v>1023147.0526599999</v>
          </cell>
          <cell r="FY105">
            <v>1023147.0526599999</v>
          </cell>
          <cell r="FZ105">
            <v>1023147.0526599999</v>
          </cell>
          <cell r="GA105">
            <v>1010855.7056799999</v>
          </cell>
          <cell r="GB105">
            <v>1023642.3792399999</v>
          </cell>
          <cell r="GC105">
            <v>1023147.0526599999</v>
          </cell>
          <cell r="GD105">
            <v>1023147.0526599999</v>
          </cell>
          <cell r="GE105">
            <v>1023147.0526599999</v>
          </cell>
          <cell r="GF105">
            <v>1023147.0526599999</v>
          </cell>
          <cell r="GG105">
            <v>1023147.0526599999</v>
          </cell>
          <cell r="GH105">
            <v>1023147.0526599999</v>
          </cell>
          <cell r="GI105">
            <v>1024725.38835</v>
          </cell>
          <cell r="GJ105">
            <v>1023144.79177</v>
          </cell>
          <cell r="GK105">
            <v>1023986.524</v>
          </cell>
          <cell r="GL105">
            <v>1023147.0526599999</v>
          </cell>
          <cell r="GM105">
            <v>1023147.0526599999</v>
          </cell>
          <cell r="GN105">
            <v>1023147.0526599999</v>
          </cell>
          <cell r="GO105">
            <v>1023147.0526599999</v>
          </cell>
          <cell r="GP105">
            <v>1023147.0526599999</v>
          </cell>
          <cell r="GQ105">
            <v>1023147.0526599999</v>
          </cell>
          <cell r="GR105">
            <v>1023147.0526599999</v>
          </cell>
          <cell r="GS105">
            <v>1023147.0526599999</v>
          </cell>
          <cell r="GT105">
            <v>1023147.0526599999</v>
          </cell>
          <cell r="GU105">
            <v>0</v>
          </cell>
          <cell r="GZ105">
            <v>70422353.667489991</v>
          </cell>
        </row>
        <row r="106">
          <cell r="A106" t="str">
            <v>F_CNP_NRF_ASS_EMP_FRCE_152</v>
          </cell>
          <cell r="B106">
            <v>4970232.5445800005</v>
          </cell>
          <cell r="D106">
            <v>6692406.7581200004</v>
          </cell>
          <cell r="E106">
            <v>1148292.5407</v>
          </cell>
          <cell r="F106">
            <v>6692406.7581200004</v>
          </cell>
          <cell r="G106">
            <v>6692406.7581200004</v>
          </cell>
          <cell r="H106">
            <v>0</v>
          </cell>
          <cell r="I106">
            <v>0</v>
          </cell>
          <cell r="J106">
            <v>6692406.7581200004</v>
          </cell>
          <cell r="K106">
            <v>6692406.7581200004</v>
          </cell>
          <cell r="L106">
            <v>6692406.7581200004</v>
          </cell>
          <cell r="M106">
            <v>0</v>
          </cell>
          <cell r="N106">
            <v>6692406.7581200004</v>
          </cell>
          <cell r="O106">
            <v>6692406.7581200004</v>
          </cell>
          <cell r="P106">
            <v>6692406.7581200004</v>
          </cell>
          <cell r="Q106">
            <v>6692406.7581200004</v>
          </cell>
          <cell r="R106">
            <v>0</v>
          </cell>
          <cell r="S106">
            <v>6692406.7581200004</v>
          </cell>
          <cell r="T106">
            <v>6692406.7581200004</v>
          </cell>
          <cell r="U106">
            <v>6692406.7581200004</v>
          </cell>
          <cell r="V106">
            <v>6692406.7581200004</v>
          </cell>
          <cell r="W106">
            <v>6692406.7581200004</v>
          </cell>
          <cell r="X106">
            <v>6692406.7581200004</v>
          </cell>
          <cell r="Y106">
            <v>6692406.7581200004</v>
          </cell>
          <cell r="Z106">
            <v>6692406.7581200004</v>
          </cell>
          <cell r="AA106">
            <v>6692406.7581200004</v>
          </cell>
          <cell r="AB106">
            <v>6958566.7650600001</v>
          </cell>
          <cell r="AC106">
            <v>5842533.9018400004</v>
          </cell>
          <cell r="AD106">
            <v>0</v>
          </cell>
          <cell r="AE106">
            <v>0</v>
          </cell>
          <cell r="AF106">
            <v>5577196.0536599997</v>
          </cell>
          <cell r="AG106">
            <v>5577196.0536599997</v>
          </cell>
          <cell r="AH106">
            <v>5577196.0536599997</v>
          </cell>
          <cell r="AI106">
            <v>0</v>
          </cell>
          <cell r="AJ106">
            <v>6692394.7092399998</v>
          </cell>
          <cell r="AK106">
            <v>6692394.7092399998</v>
          </cell>
          <cell r="AL106">
            <v>6692394.7092399998</v>
          </cell>
          <cell r="AM106">
            <v>6692406.7581200004</v>
          </cell>
          <cell r="AN106">
            <v>0</v>
          </cell>
          <cell r="AO106">
            <v>6346734.4692000002</v>
          </cell>
          <cell r="AP106">
            <v>6346734.4692000002</v>
          </cell>
          <cell r="AQ106">
            <v>6346734.4692000002</v>
          </cell>
          <cell r="AR106">
            <v>6346734.4692000002</v>
          </cell>
          <cell r="AS106">
            <v>6346734.4692000002</v>
          </cell>
          <cell r="AT106">
            <v>6346734.4692000002</v>
          </cell>
          <cell r="AU106">
            <v>6346734.4692000002</v>
          </cell>
          <cell r="AV106">
            <v>6509736.0219999999</v>
          </cell>
          <cell r="AW106">
            <v>6692406.7581200004</v>
          </cell>
          <cell r="AX106">
            <v>1148292.5407</v>
          </cell>
          <cell r="AY106">
            <v>1148292.5407</v>
          </cell>
          <cell r="AZ106">
            <v>0</v>
          </cell>
          <cell r="BA106">
            <v>0</v>
          </cell>
          <cell r="BB106">
            <v>1148292.5407</v>
          </cell>
          <cell r="BC106">
            <v>1148292.5407</v>
          </cell>
          <cell r="BD106">
            <v>1148292.5407</v>
          </cell>
          <cell r="BE106">
            <v>0</v>
          </cell>
          <cell r="BF106">
            <v>1148292.5407</v>
          </cell>
          <cell r="BG106">
            <v>1148292.5407</v>
          </cell>
          <cell r="BH106">
            <v>1148292.5407</v>
          </cell>
          <cell r="BI106">
            <v>1148292.5407</v>
          </cell>
          <cell r="BJ106">
            <v>0</v>
          </cell>
          <cell r="BK106">
            <v>1148292.5407</v>
          </cell>
          <cell r="BL106">
            <v>1148292.5407</v>
          </cell>
          <cell r="BM106">
            <v>1148292.5407</v>
          </cell>
          <cell r="BN106">
            <v>1148292.5407</v>
          </cell>
          <cell r="BO106">
            <v>1148292.5407</v>
          </cell>
          <cell r="BP106">
            <v>1148292.5407</v>
          </cell>
          <cell r="BQ106">
            <v>1148292.5407</v>
          </cell>
          <cell r="BR106">
            <v>1148292.5407</v>
          </cell>
          <cell r="BS106">
            <v>1148292.5407</v>
          </cell>
          <cell r="BT106">
            <v>1086084.2355000007</v>
          </cell>
          <cell r="BU106">
            <v>1445283.201060001</v>
          </cell>
          <cell r="BV106">
            <v>0</v>
          </cell>
          <cell r="BW106">
            <v>0</v>
          </cell>
          <cell r="BX106">
            <v>1148292.5407</v>
          </cell>
          <cell r="BY106">
            <v>1148292.5407</v>
          </cell>
          <cell r="BZ106">
            <v>1148292.5407</v>
          </cell>
          <cell r="CA106">
            <v>0</v>
          </cell>
          <cell r="CB106">
            <v>1148292.5407</v>
          </cell>
          <cell r="CC106">
            <v>1148292.5407</v>
          </cell>
          <cell r="CD106">
            <v>1148292.5407</v>
          </cell>
          <cell r="CE106">
            <v>1148292.5407</v>
          </cell>
          <cell r="CF106">
            <v>0</v>
          </cell>
          <cell r="CG106">
            <v>1148292.5407</v>
          </cell>
          <cell r="CH106">
            <v>1148292.5407</v>
          </cell>
          <cell r="CI106">
            <v>1148292.5407</v>
          </cell>
          <cell r="CJ106">
            <v>1148292.5407</v>
          </cell>
          <cell r="CK106">
            <v>1148292.5407</v>
          </cell>
          <cell r="CL106">
            <v>1148292.5407</v>
          </cell>
          <cell r="CM106">
            <v>1148292.5407</v>
          </cell>
          <cell r="CN106">
            <v>1148292.5407</v>
          </cell>
          <cell r="CO106">
            <v>-3393643.2066799998</v>
          </cell>
          <cell r="CP106">
            <v>1148292.5407</v>
          </cell>
          <cell r="CQ106">
            <v>1148292.5407</v>
          </cell>
          <cell r="CR106">
            <v>1148292.5407</v>
          </cell>
          <cell r="CS106">
            <v>1148292.5407</v>
          </cell>
          <cell r="CT106">
            <v>1148292.5407</v>
          </cell>
          <cell r="CU106">
            <v>1148292.5407</v>
          </cell>
          <cell r="CV106">
            <v>1148292.5407</v>
          </cell>
          <cell r="CW106">
            <v>1148292.5407</v>
          </cell>
          <cell r="CX106">
            <v>1148292.5407</v>
          </cell>
          <cell r="CY106">
            <v>1148292.5407</v>
          </cell>
          <cell r="CZ106">
            <v>7759546.3401600001</v>
          </cell>
          <cell r="DA106">
            <v>1148292.5406999998</v>
          </cell>
          <cell r="DB106">
            <v>1148292.5406999998</v>
          </cell>
          <cell r="DC106">
            <v>3005710.7414200008</v>
          </cell>
          <cell r="DD106">
            <v>1148292.5406999998</v>
          </cell>
          <cell r="DE106">
            <v>-3942908.6153199999</v>
          </cell>
          <cell r="DF106">
            <v>10758048.23388</v>
          </cell>
          <cell r="DG106">
            <v>1963411.1068000002</v>
          </cell>
          <cell r="DH106">
            <v>1148292.5406999998</v>
          </cell>
          <cell r="DI106">
            <v>8561752.6046399996</v>
          </cell>
          <cell r="DJ106">
            <v>0</v>
          </cell>
          <cell r="DK106">
            <v>0</v>
          </cell>
          <cell r="DL106">
            <v>0</v>
          </cell>
          <cell r="DM106">
            <v>0</v>
          </cell>
          <cell r="DN106">
            <v>0</v>
          </cell>
          <cell r="DO106">
            <v>0</v>
          </cell>
          <cell r="DP106">
            <v>0</v>
          </cell>
          <cell r="DQ106">
            <v>0</v>
          </cell>
          <cell r="DR106">
            <v>0</v>
          </cell>
          <cell r="DS106">
            <v>0</v>
          </cell>
          <cell r="DT106">
            <v>0</v>
          </cell>
          <cell r="DU106">
            <v>0</v>
          </cell>
          <cell r="DV106">
            <v>0</v>
          </cell>
          <cell r="DW106">
            <v>0</v>
          </cell>
          <cell r="DX106" t="str">
            <v/>
          </cell>
          <cell r="DY106" t="str">
            <v/>
          </cell>
          <cell r="DZ106" t="str">
            <v/>
          </cell>
          <cell r="EA106">
            <v>1148292.5407</v>
          </cell>
          <cell r="EB106">
            <v>1148292.5407</v>
          </cell>
          <cell r="EC106">
            <v>1148292.5407</v>
          </cell>
          <cell r="ED106">
            <v>1148292.5407</v>
          </cell>
          <cell r="EE106">
            <v>1148292.5407</v>
          </cell>
          <cell r="EF106">
            <v>1148292.5407</v>
          </cell>
          <cell r="EG106">
            <v>1148292.5407</v>
          </cell>
          <cell r="EH106">
            <v>1148292.5407</v>
          </cell>
          <cell r="EI106">
            <v>1148292.5407</v>
          </cell>
          <cell r="EJ106">
            <v>1148292.5406999998</v>
          </cell>
          <cell r="EK106">
            <v>1148292.5406999998</v>
          </cell>
          <cell r="EL106">
            <v>1148292.5406999998</v>
          </cell>
          <cell r="EM106">
            <v>1148292.5406999998</v>
          </cell>
          <cell r="EN106">
            <v>1148292.5406999998</v>
          </cell>
          <cell r="EO106">
            <v>-8461463.1524800006</v>
          </cell>
          <cell r="EP106">
            <v>10758048.23388</v>
          </cell>
          <cell r="EQ106">
            <v>1148292.5406999998</v>
          </cell>
          <cell r="ER106">
            <v>1148292.5406999998</v>
          </cell>
          <cell r="ES106">
            <v>0</v>
          </cell>
          <cell r="ET106">
            <v>0</v>
          </cell>
          <cell r="EU106">
            <v>0</v>
          </cell>
          <cell r="EV106">
            <v>0</v>
          </cell>
          <cell r="EW106">
            <v>0</v>
          </cell>
          <cell r="EX106">
            <v>0</v>
          </cell>
          <cell r="EY106">
            <v>0</v>
          </cell>
          <cell r="EZ106">
            <v>0</v>
          </cell>
          <cell r="FA106">
            <v>0</v>
          </cell>
          <cell r="FB106">
            <v>0</v>
          </cell>
          <cell r="FC106">
            <v>0</v>
          </cell>
          <cell r="FD106">
            <v>9609755.6931800004</v>
          </cell>
          <cell r="FE106">
            <v>-8461463.1524800006</v>
          </cell>
          <cell r="FF106">
            <v>1056470.99236</v>
          </cell>
          <cell r="FG106">
            <v>1693744.79122</v>
          </cell>
          <cell r="FH106">
            <v>0</v>
          </cell>
          <cell r="FI106">
            <v>0</v>
          </cell>
          <cell r="FJ106">
            <v>286955.72996000003</v>
          </cell>
          <cell r="FK106">
            <v>286955.72996000003</v>
          </cell>
          <cell r="FL106">
            <v>286955.72996000003</v>
          </cell>
          <cell r="FM106">
            <v>0</v>
          </cell>
          <cell r="FN106">
            <v>1148283.2346999999</v>
          </cell>
          <cell r="FO106">
            <v>1148283.2346999999</v>
          </cell>
          <cell r="FP106">
            <v>1148283.2346999999</v>
          </cell>
          <cell r="FQ106">
            <v>1148292.5407</v>
          </cell>
          <cell r="FR106">
            <v>0</v>
          </cell>
          <cell r="FS106">
            <v>881311.36334000004</v>
          </cell>
          <cell r="FT106">
            <v>881311.36334000004</v>
          </cell>
          <cell r="FU106">
            <v>881311.36334000004</v>
          </cell>
          <cell r="FV106">
            <v>881311.36334000004</v>
          </cell>
          <cell r="FW106">
            <v>881311.36334000004</v>
          </cell>
          <cell r="FX106">
            <v>881311.36334000004</v>
          </cell>
          <cell r="FY106">
            <v>881311.36334000004</v>
          </cell>
          <cell r="FZ106">
            <v>1007206.17142</v>
          </cell>
          <cell r="GA106">
            <v>-3393643.2067</v>
          </cell>
          <cell r="GB106">
            <v>3186860.5313800001</v>
          </cell>
          <cell r="GC106">
            <v>1148292.5407</v>
          </cell>
          <cell r="GD106">
            <v>1148292.5407</v>
          </cell>
          <cell r="GE106">
            <v>2695231.1890599998</v>
          </cell>
          <cell r="GF106">
            <v>1148292.5407</v>
          </cell>
          <cell r="GG106">
            <v>4424079.30944</v>
          </cell>
          <cell r="GH106">
            <v>1148292.5407</v>
          </cell>
          <cell r="GI106">
            <v>1963411.1068</v>
          </cell>
          <cell r="GJ106">
            <v>1148292.5407</v>
          </cell>
          <cell r="GK106">
            <v>1990327.1170399999</v>
          </cell>
          <cell r="GL106">
            <v>1148292.5407</v>
          </cell>
          <cell r="GM106">
            <v>1148292.5407</v>
          </cell>
          <cell r="GN106">
            <v>1148292.5407</v>
          </cell>
          <cell r="GO106">
            <v>1148292.5407</v>
          </cell>
          <cell r="GP106">
            <v>1148292.5407</v>
          </cell>
          <cell r="GQ106">
            <v>1148292.5407</v>
          </cell>
          <cell r="GR106">
            <v>1148292.5407</v>
          </cell>
          <cell r="GS106">
            <v>1148292.5407</v>
          </cell>
          <cell r="GT106">
            <v>1148292.5407</v>
          </cell>
          <cell r="GU106">
            <v>0</v>
          </cell>
          <cell r="GZ106">
            <v>4934277568.5673599</v>
          </cell>
        </row>
        <row r="107">
          <cell r="A107" t="str">
            <v>F_CNP_NRF_ASS_EMP_FRCE_201</v>
          </cell>
          <cell r="B107">
            <v>408169099.88869005</v>
          </cell>
          <cell r="D107">
            <v>522908723.67888987</v>
          </cell>
          <cell r="E107">
            <v>-655708845.82189</v>
          </cell>
          <cell r="F107">
            <v>522908723.67888987</v>
          </cell>
          <cell r="G107">
            <v>522908723.67888987</v>
          </cell>
          <cell r="H107">
            <v>0</v>
          </cell>
          <cell r="I107">
            <v>0</v>
          </cell>
          <cell r="J107">
            <v>522908723.67888987</v>
          </cell>
          <cell r="K107">
            <v>522908723.67888987</v>
          </cell>
          <cell r="L107">
            <v>522908723.67888987</v>
          </cell>
          <cell r="M107">
            <v>0</v>
          </cell>
          <cell r="N107">
            <v>522908723.67888987</v>
          </cell>
          <cell r="O107">
            <v>522908723.67888987</v>
          </cell>
          <cell r="P107">
            <v>522908723.67888987</v>
          </cell>
          <cell r="Q107">
            <v>522908723.67888987</v>
          </cell>
          <cell r="R107">
            <v>0</v>
          </cell>
          <cell r="S107">
            <v>522908723.67888987</v>
          </cell>
          <cell r="T107">
            <v>522908723.67888987</v>
          </cell>
          <cell r="U107">
            <v>522908723.67888987</v>
          </cell>
          <cell r="V107">
            <v>522908723.67888987</v>
          </cell>
          <cell r="W107">
            <v>522908723.67888987</v>
          </cell>
          <cell r="X107">
            <v>522908723.67888987</v>
          </cell>
          <cell r="Y107">
            <v>522908723.67888987</v>
          </cell>
          <cell r="Z107">
            <v>522908723.67888987</v>
          </cell>
          <cell r="AA107">
            <v>522908723.67888987</v>
          </cell>
          <cell r="AB107">
            <v>530978475.06850982</v>
          </cell>
          <cell r="AC107">
            <v>491641139.92455018</v>
          </cell>
          <cell r="AD107">
            <v>0</v>
          </cell>
          <cell r="AE107">
            <v>0</v>
          </cell>
          <cell r="AF107">
            <v>467539474.40237999</v>
          </cell>
          <cell r="AG107">
            <v>467539474.40237999</v>
          </cell>
          <cell r="AH107">
            <v>467539474.40237999</v>
          </cell>
          <cell r="AI107">
            <v>0</v>
          </cell>
          <cell r="AJ107">
            <v>509658157.36138988</v>
          </cell>
          <cell r="AK107">
            <v>509658157.36138988</v>
          </cell>
          <cell r="AL107">
            <v>509658157.36138988</v>
          </cell>
          <cell r="AM107">
            <v>509370117.95251</v>
          </cell>
          <cell r="AN107">
            <v>0</v>
          </cell>
          <cell r="AO107">
            <v>490146058.6969201</v>
          </cell>
          <cell r="AP107">
            <v>490146058.6969201</v>
          </cell>
          <cell r="AQ107">
            <v>490146058.6969201</v>
          </cell>
          <cell r="AR107">
            <v>490146058.6969201</v>
          </cell>
          <cell r="AS107">
            <v>490146058.6969201</v>
          </cell>
          <cell r="AT107">
            <v>490146058.6969201</v>
          </cell>
          <cell r="AU107">
            <v>490146058.6969201</v>
          </cell>
          <cell r="AV107">
            <v>513897934.80147004</v>
          </cell>
          <cell r="AW107">
            <v>522908723.67888987</v>
          </cell>
          <cell r="AX107">
            <v>-655708845.82189</v>
          </cell>
          <cell r="AY107">
            <v>-655708845.82189</v>
          </cell>
          <cell r="AZ107">
            <v>0</v>
          </cell>
          <cell r="BA107">
            <v>0</v>
          </cell>
          <cell r="BB107">
            <v>-655708845.82189</v>
          </cell>
          <cell r="BC107">
            <v>-655708845.82189</v>
          </cell>
          <cell r="BD107">
            <v>-655708845.82189</v>
          </cell>
          <cell r="BE107">
            <v>0</v>
          </cell>
          <cell r="BF107">
            <v>-655708845.82189</v>
          </cell>
          <cell r="BG107">
            <v>-655708845.82189</v>
          </cell>
          <cell r="BH107">
            <v>-655708845.82189</v>
          </cell>
          <cell r="BI107">
            <v>-655708845.82189</v>
          </cell>
          <cell r="BJ107">
            <v>0</v>
          </cell>
          <cell r="BK107">
            <v>-655708845.82189</v>
          </cell>
          <cell r="BL107">
            <v>-655708845.82189</v>
          </cell>
          <cell r="BM107">
            <v>-655708845.82189</v>
          </cell>
          <cell r="BN107">
            <v>-655708845.82189</v>
          </cell>
          <cell r="BO107">
            <v>-655708845.82189</v>
          </cell>
          <cell r="BP107">
            <v>-655708845.82189</v>
          </cell>
          <cell r="BQ107">
            <v>-655708845.82189</v>
          </cell>
          <cell r="BR107">
            <v>-655708845.82189</v>
          </cell>
          <cell r="BS107">
            <v>-655708845.82189</v>
          </cell>
          <cell r="BT107">
            <v>-681868567.67804015</v>
          </cell>
          <cell r="BU107">
            <v>-565244036.79966986</v>
          </cell>
          <cell r="BV107">
            <v>0</v>
          </cell>
          <cell r="BW107">
            <v>0</v>
          </cell>
          <cell r="BX107">
            <v>-655708845.82189</v>
          </cell>
          <cell r="BY107">
            <v>-655708845.82189</v>
          </cell>
          <cell r="BZ107">
            <v>-655708845.82189</v>
          </cell>
          <cell r="CA107">
            <v>0</v>
          </cell>
          <cell r="CB107">
            <v>-655708845.82189</v>
          </cell>
          <cell r="CC107">
            <v>-655708845.82189</v>
          </cell>
          <cell r="CD107">
            <v>-655708845.82189</v>
          </cell>
          <cell r="CE107">
            <v>-655708845.82189</v>
          </cell>
          <cell r="CF107">
            <v>0</v>
          </cell>
          <cell r="CG107">
            <v>-655708845.82189</v>
          </cell>
          <cell r="CH107">
            <v>-655708845.82189</v>
          </cell>
          <cell r="CI107">
            <v>-655708845.82189</v>
          </cell>
          <cell r="CJ107">
            <v>-655708845.82189</v>
          </cell>
          <cell r="CK107">
            <v>-655708845.82189</v>
          </cell>
          <cell r="CL107">
            <v>-655708845.82189</v>
          </cell>
          <cell r="CM107">
            <v>-655708845.82189</v>
          </cell>
          <cell r="CN107">
            <v>-655708845.82189</v>
          </cell>
          <cell r="CO107">
            <v>-870882922.54694951</v>
          </cell>
          <cell r="CP107">
            <v>-655708845.82189</v>
          </cell>
          <cell r="CQ107">
            <v>-655708845.82189</v>
          </cell>
          <cell r="CR107">
            <v>-655708845.82189</v>
          </cell>
          <cell r="CS107">
            <v>-655708845.82189</v>
          </cell>
          <cell r="CT107">
            <v>-655708845.82189</v>
          </cell>
          <cell r="CU107">
            <v>-655708845.82189</v>
          </cell>
          <cell r="CV107">
            <v>-655708845.82189</v>
          </cell>
          <cell r="CW107">
            <v>-655708845.82189</v>
          </cell>
          <cell r="CX107">
            <v>-655708845.82189</v>
          </cell>
          <cell r="CY107">
            <v>-655708845.82189</v>
          </cell>
          <cell r="CZ107">
            <v>-325921892.70936954</v>
          </cell>
          <cell r="DA107">
            <v>-655708845.82189</v>
          </cell>
          <cell r="DB107">
            <v>-655708845.82189</v>
          </cell>
          <cell r="DC107">
            <v>-361250649.82579982</v>
          </cell>
          <cell r="DD107">
            <v>-640113004.16279995</v>
          </cell>
          <cell r="DE107">
            <v>-878398259.79405987</v>
          </cell>
          <cell r="DF107">
            <v>258567759.34438014</v>
          </cell>
          <cell r="DG107">
            <v>-617242789.95598972</v>
          </cell>
          <cell r="DH107">
            <v>-655708845.82189</v>
          </cell>
          <cell r="DI107">
            <v>-255758698.01067007</v>
          </cell>
          <cell r="DJ107">
            <v>0</v>
          </cell>
          <cell r="DK107">
            <v>0</v>
          </cell>
          <cell r="DL107">
            <v>0</v>
          </cell>
          <cell r="DM107">
            <v>0</v>
          </cell>
          <cell r="DN107">
            <v>0</v>
          </cell>
          <cell r="DO107">
            <v>0</v>
          </cell>
          <cell r="DP107">
            <v>0</v>
          </cell>
          <cell r="DQ107">
            <v>0</v>
          </cell>
          <cell r="DR107">
            <v>0</v>
          </cell>
          <cell r="DS107">
            <v>0</v>
          </cell>
          <cell r="DT107">
            <v>0</v>
          </cell>
          <cell r="DU107">
            <v>0</v>
          </cell>
          <cell r="DV107">
            <v>0</v>
          </cell>
          <cell r="DW107">
            <v>0</v>
          </cell>
          <cell r="DX107" t="str">
            <v/>
          </cell>
          <cell r="DY107" t="str">
            <v/>
          </cell>
          <cell r="DZ107" t="str">
            <v/>
          </cell>
          <cell r="EA107">
            <v>-655708845.82189</v>
          </cell>
          <cell r="EB107">
            <v>-655708845.82189</v>
          </cell>
          <cell r="EC107">
            <v>-655708845.82189</v>
          </cell>
          <cell r="ED107">
            <v>-655708845.82189</v>
          </cell>
          <cell r="EE107">
            <v>-655708845.82189</v>
          </cell>
          <cell r="EF107">
            <v>-655708845.82189</v>
          </cell>
          <cell r="EG107">
            <v>-655708845.82189</v>
          </cell>
          <cell r="EH107">
            <v>-655708845.82189</v>
          </cell>
          <cell r="EI107">
            <v>-655708845.82189</v>
          </cell>
          <cell r="EJ107">
            <v>-655708845.82189</v>
          </cell>
          <cell r="EK107">
            <v>-655708845.82189</v>
          </cell>
          <cell r="EL107">
            <v>-655708845.82189</v>
          </cell>
          <cell r="EM107">
            <v>-655708845.82189</v>
          </cell>
          <cell r="EN107">
            <v>-655708845.82189</v>
          </cell>
          <cell r="EO107">
            <v>-1569985450.9881601</v>
          </cell>
          <cell r="EP107">
            <v>258567759.34438014</v>
          </cell>
          <cell r="EQ107">
            <v>-655708845.82189</v>
          </cell>
          <cell r="ER107">
            <v>-655708845.82189</v>
          </cell>
          <cell r="ES107">
            <v>0</v>
          </cell>
          <cell r="ET107">
            <v>0</v>
          </cell>
          <cell r="EU107">
            <v>0</v>
          </cell>
          <cell r="EV107">
            <v>0</v>
          </cell>
          <cell r="EW107">
            <v>0</v>
          </cell>
          <cell r="EX107">
            <v>0</v>
          </cell>
          <cell r="EY107">
            <v>0</v>
          </cell>
          <cell r="EZ107">
            <v>0</v>
          </cell>
          <cell r="FA107">
            <v>0</v>
          </cell>
          <cell r="FB107">
            <v>0</v>
          </cell>
          <cell r="FC107">
            <v>0</v>
          </cell>
          <cell r="FD107">
            <v>914276605.16627014</v>
          </cell>
          <cell r="FE107">
            <v>-1569985450.9881601</v>
          </cell>
          <cell r="FF107">
            <v>-663355332.95890021</v>
          </cell>
          <cell r="FG107">
            <v>-627024113.48726988</v>
          </cell>
          <cell r="FH107">
            <v>0</v>
          </cell>
          <cell r="FI107">
            <v>0</v>
          </cell>
          <cell r="FJ107">
            <v>-676714349.11008</v>
          </cell>
          <cell r="FK107">
            <v>-676714349.11008</v>
          </cell>
          <cell r="FL107">
            <v>-676714349.11008</v>
          </cell>
          <cell r="FM107">
            <v>0</v>
          </cell>
          <cell r="FN107">
            <v>-660735730.20249009</v>
          </cell>
          <cell r="FO107">
            <v>-660735730.20249009</v>
          </cell>
          <cell r="FP107">
            <v>-660735730.20249009</v>
          </cell>
          <cell r="FQ107">
            <v>-660845004.0833602</v>
          </cell>
          <cell r="FR107">
            <v>0</v>
          </cell>
          <cell r="FS107">
            <v>-668138060.16018999</v>
          </cell>
          <cell r="FT107">
            <v>-668138060.16018999</v>
          </cell>
          <cell r="FU107">
            <v>-668138060.16018999</v>
          </cell>
          <cell r="FV107">
            <v>-668138060.16018999</v>
          </cell>
          <cell r="FW107">
            <v>-668138060.16018999</v>
          </cell>
          <cell r="FX107">
            <v>-668138060.16018999</v>
          </cell>
          <cell r="FY107">
            <v>-668138060.16018999</v>
          </cell>
          <cell r="FZ107">
            <v>-659127280.38379025</v>
          </cell>
          <cell r="GA107">
            <v>-870882922.54700005</v>
          </cell>
          <cell r="GB107">
            <v>-449450861.49338996</v>
          </cell>
          <cell r="GC107">
            <v>-655708845.82189</v>
          </cell>
          <cell r="GD107">
            <v>-655708845.82189</v>
          </cell>
          <cell r="GE107">
            <v>-472340794.4103601</v>
          </cell>
          <cell r="GF107">
            <v>-640616652.63823986</v>
          </cell>
          <cell r="GG107">
            <v>-237365007.93025011</v>
          </cell>
          <cell r="GH107">
            <v>-655708845.82189</v>
          </cell>
          <cell r="GI107">
            <v>-617250586.52275002</v>
          </cell>
          <cell r="GJ107">
            <v>-655708845.82189</v>
          </cell>
          <cell r="GK107">
            <v>-380278417.11430001</v>
          </cell>
          <cell r="GL107">
            <v>-655708845.82189</v>
          </cell>
          <cell r="GM107">
            <v>-655708845.82189</v>
          </cell>
          <cell r="GN107">
            <v>-655708845.82189</v>
          </cell>
          <cell r="GO107">
            <v>-655708845.82189</v>
          </cell>
          <cell r="GP107">
            <v>-655708845.82189</v>
          </cell>
          <cell r="GQ107">
            <v>-655708845.82189</v>
          </cell>
          <cell r="GR107">
            <v>-655708845.82189</v>
          </cell>
          <cell r="GS107">
            <v>-655708845.82189</v>
          </cell>
          <cell r="GT107">
            <v>-655708845.82189</v>
          </cell>
          <cell r="GU107">
            <v>0</v>
          </cell>
          <cell r="GZ107">
            <v>275734783593.87378</v>
          </cell>
        </row>
        <row r="108">
          <cell r="A108" t="str">
            <v>F_CNP_NRF_ASS_EMP_FRCE_235</v>
          </cell>
          <cell r="B108">
            <v>0</v>
          </cell>
          <cell r="D108">
            <v>0</v>
          </cell>
          <cell r="E108">
            <v>0</v>
          </cell>
          <cell r="F108">
            <v>0</v>
          </cell>
          <cell r="G108">
            <v>0</v>
          </cell>
          <cell r="H108">
            <v>0</v>
          </cell>
          <cell r="I108">
            <v>0</v>
          </cell>
          <cell r="J108">
            <v>0</v>
          </cell>
          <cell r="K108">
            <v>0</v>
          </cell>
          <cell r="L108">
            <v>0</v>
          </cell>
          <cell r="M108">
            <v>0</v>
          </cell>
          <cell r="N108">
            <v>0</v>
          </cell>
          <cell r="O108">
            <v>0</v>
          </cell>
          <cell r="P108">
            <v>0</v>
          </cell>
          <cell r="Q108">
            <v>0</v>
          </cell>
          <cell r="R108">
            <v>0</v>
          </cell>
          <cell r="S108">
            <v>0</v>
          </cell>
          <cell r="T108">
            <v>0</v>
          </cell>
          <cell r="U108">
            <v>0</v>
          </cell>
          <cell r="V108">
            <v>0</v>
          </cell>
          <cell r="W108">
            <v>0</v>
          </cell>
          <cell r="X108">
            <v>0</v>
          </cell>
          <cell r="Y108">
            <v>0</v>
          </cell>
          <cell r="Z108">
            <v>0</v>
          </cell>
          <cell r="AA108">
            <v>0</v>
          </cell>
          <cell r="AB108">
            <v>0</v>
          </cell>
          <cell r="AC108">
            <v>0</v>
          </cell>
          <cell r="AD108">
            <v>0</v>
          </cell>
          <cell r="AE108">
            <v>0</v>
          </cell>
          <cell r="AF108">
            <v>0</v>
          </cell>
          <cell r="AG108">
            <v>0</v>
          </cell>
          <cell r="AH108">
            <v>0</v>
          </cell>
          <cell r="AI108">
            <v>0</v>
          </cell>
          <cell r="AJ108">
            <v>0</v>
          </cell>
          <cell r="AK108">
            <v>0</v>
          </cell>
          <cell r="AL108">
            <v>0</v>
          </cell>
          <cell r="AM108">
            <v>0</v>
          </cell>
          <cell r="AN108">
            <v>0</v>
          </cell>
          <cell r="AO108">
            <v>0</v>
          </cell>
          <cell r="AP108">
            <v>0</v>
          </cell>
          <cell r="AQ108">
            <v>0</v>
          </cell>
          <cell r="AR108">
            <v>0</v>
          </cell>
          <cell r="AS108">
            <v>0</v>
          </cell>
          <cell r="AT108">
            <v>0</v>
          </cell>
          <cell r="AU108">
            <v>0</v>
          </cell>
          <cell r="AV108">
            <v>0</v>
          </cell>
          <cell r="AW108">
            <v>0</v>
          </cell>
          <cell r="AX108">
            <v>0</v>
          </cell>
          <cell r="AY108">
            <v>0</v>
          </cell>
          <cell r="AZ108">
            <v>0</v>
          </cell>
          <cell r="BA108">
            <v>0</v>
          </cell>
          <cell r="BB108">
            <v>0</v>
          </cell>
          <cell r="BC108">
            <v>0</v>
          </cell>
          <cell r="BD108">
            <v>0</v>
          </cell>
          <cell r="BE108">
            <v>0</v>
          </cell>
          <cell r="BF108">
            <v>0</v>
          </cell>
          <cell r="BG108">
            <v>0</v>
          </cell>
          <cell r="BH108">
            <v>0</v>
          </cell>
          <cell r="BI108">
            <v>0</v>
          </cell>
          <cell r="BJ108">
            <v>0</v>
          </cell>
          <cell r="BK108">
            <v>0</v>
          </cell>
          <cell r="BL108">
            <v>0</v>
          </cell>
          <cell r="BM108">
            <v>0</v>
          </cell>
          <cell r="BN108">
            <v>0</v>
          </cell>
          <cell r="BO108">
            <v>0</v>
          </cell>
          <cell r="BP108">
            <v>0</v>
          </cell>
          <cell r="BQ108">
            <v>0</v>
          </cell>
          <cell r="BR108">
            <v>0</v>
          </cell>
          <cell r="BS108">
            <v>0</v>
          </cell>
          <cell r="BT108">
            <v>0</v>
          </cell>
          <cell r="BU108">
            <v>0</v>
          </cell>
          <cell r="BV108">
            <v>0</v>
          </cell>
          <cell r="BW108">
            <v>0</v>
          </cell>
          <cell r="BX108">
            <v>0</v>
          </cell>
          <cell r="BY108">
            <v>0</v>
          </cell>
          <cell r="BZ108">
            <v>0</v>
          </cell>
          <cell r="CA108">
            <v>0</v>
          </cell>
          <cell r="CB108">
            <v>0</v>
          </cell>
          <cell r="CC108">
            <v>0</v>
          </cell>
          <cell r="CD108">
            <v>0</v>
          </cell>
          <cell r="CE108">
            <v>0</v>
          </cell>
          <cell r="CF108">
            <v>0</v>
          </cell>
          <cell r="CG108">
            <v>0</v>
          </cell>
          <cell r="CH108">
            <v>0</v>
          </cell>
          <cell r="CI108">
            <v>0</v>
          </cell>
          <cell r="CJ108">
            <v>0</v>
          </cell>
          <cell r="CK108">
            <v>0</v>
          </cell>
          <cell r="CL108">
            <v>0</v>
          </cell>
          <cell r="CM108">
            <v>0</v>
          </cell>
          <cell r="CN108">
            <v>0</v>
          </cell>
          <cell r="CO108">
            <v>0</v>
          </cell>
          <cell r="CP108">
            <v>0</v>
          </cell>
          <cell r="CQ108">
            <v>0</v>
          </cell>
          <cell r="CR108">
            <v>0</v>
          </cell>
          <cell r="CS108">
            <v>0</v>
          </cell>
          <cell r="CT108">
            <v>0</v>
          </cell>
          <cell r="CU108">
            <v>0</v>
          </cell>
          <cell r="CV108">
            <v>0</v>
          </cell>
          <cell r="CW108">
            <v>0</v>
          </cell>
          <cell r="CX108">
            <v>0</v>
          </cell>
          <cell r="CY108">
            <v>0</v>
          </cell>
          <cell r="CZ108">
            <v>0</v>
          </cell>
          <cell r="DA108">
            <v>0</v>
          </cell>
          <cell r="DB108">
            <v>0</v>
          </cell>
          <cell r="DC108">
            <v>0</v>
          </cell>
          <cell r="DD108">
            <v>0</v>
          </cell>
          <cell r="DE108">
            <v>0</v>
          </cell>
          <cell r="DF108">
            <v>0</v>
          </cell>
          <cell r="DG108">
            <v>0</v>
          </cell>
          <cell r="DH108">
            <v>0</v>
          </cell>
          <cell r="DI108">
            <v>0</v>
          </cell>
          <cell r="DJ108">
            <v>0</v>
          </cell>
          <cell r="DK108">
            <v>0</v>
          </cell>
          <cell r="DL108">
            <v>0</v>
          </cell>
          <cell r="DM108">
            <v>0</v>
          </cell>
          <cell r="DN108">
            <v>0</v>
          </cell>
          <cell r="DO108">
            <v>0</v>
          </cell>
          <cell r="DP108">
            <v>0</v>
          </cell>
          <cell r="DQ108">
            <v>0</v>
          </cell>
          <cell r="DR108">
            <v>0</v>
          </cell>
          <cell r="DS108">
            <v>0</v>
          </cell>
          <cell r="DT108">
            <v>0</v>
          </cell>
          <cell r="DU108">
            <v>0</v>
          </cell>
          <cell r="DV108">
            <v>0</v>
          </cell>
          <cell r="DW108">
            <v>0</v>
          </cell>
          <cell r="DX108" t="str">
            <v/>
          </cell>
          <cell r="DY108" t="str">
            <v/>
          </cell>
          <cell r="DZ108" t="str">
            <v/>
          </cell>
          <cell r="EA108">
            <v>0</v>
          </cell>
          <cell r="EB108">
            <v>0</v>
          </cell>
          <cell r="EC108">
            <v>0</v>
          </cell>
          <cell r="ED108">
            <v>0</v>
          </cell>
          <cell r="EE108">
            <v>0</v>
          </cell>
          <cell r="EF108">
            <v>0</v>
          </cell>
          <cell r="EG108">
            <v>0</v>
          </cell>
          <cell r="EH108">
            <v>0</v>
          </cell>
          <cell r="EI108">
            <v>0</v>
          </cell>
          <cell r="EJ108">
            <v>0</v>
          </cell>
          <cell r="EK108">
            <v>0</v>
          </cell>
          <cell r="EL108">
            <v>0</v>
          </cell>
          <cell r="EM108">
            <v>0</v>
          </cell>
          <cell r="EN108">
            <v>0</v>
          </cell>
          <cell r="EO108">
            <v>0</v>
          </cell>
          <cell r="EP108">
            <v>0</v>
          </cell>
          <cell r="EQ108">
            <v>0</v>
          </cell>
          <cell r="ER108">
            <v>0</v>
          </cell>
          <cell r="ES108">
            <v>0</v>
          </cell>
          <cell r="ET108">
            <v>0</v>
          </cell>
          <cell r="EU108">
            <v>0</v>
          </cell>
          <cell r="EV108">
            <v>0</v>
          </cell>
          <cell r="EW108">
            <v>0</v>
          </cell>
          <cell r="EX108">
            <v>0</v>
          </cell>
          <cell r="EY108">
            <v>0</v>
          </cell>
          <cell r="EZ108">
            <v>0</v>
          </cell>
          <cell r="FA108">
            <v>0</v>
          </cell>
          <cell r="FB108">
            <v>0</v>
          </cell>
          <cell r="FC108">
            <v>0</v>
          </cell>
          <cell r="FD108">
            <v>0</v>
          </cell>
          <cell r="FE108">
            <v>0</v>
          </cell>
          <cell r="FF108">
            <v>0</v>
          </cell>
          <cell r="FG108">
            <v>0</v>
          </cell>
          <cell r="FH108">
            <v>0</v>
          </cell>
          <cell r="FI108">
            <v>0</v>
          </cell>
          <cell r="FJ108">
            <v>0</v>
          </cell>
          <cell r="FK108">
            <v>0</v>
          </cell>
          <cell r="FL108">
            <v>0</v>
          </cell>
          <cell r="FM108">
            <v>0</v>
          </cell>
          <cell r="FN108">
            <v>0</v>
          </cell>
          <cell r="FO108">
            <v>0</v>
          </cell>
          <cell r="FP108">
            <v>0</v>
          </cell>
          <cell r="FQ108">
            <v>0</v>
          </cell>
          <cell r="FR108">
            <v>0</v>
          </cell>
          <cell r="FS108">
            <v>0</v>
          </cell>
          <cell r="FT108">
            <v>0</v>
          </cell>
          <cell r="FU108">
            <v>0</v>
          </cell>
          <cell r="FV108">
            <v>0</v>
          </cell>
          <cell r="FW108">
            <v>0</v>
          </cell>
          <cell r="FX108">
            <v>0</v>
          </cell>
          <cell r="FY108">
            <v>0</v>
          </cell>
          <cell r="FZ108">
            <v>0</v>
          </cell>
          <cell r="GA108">
            <v>0</v>
          </cell>
          <cell r="GB108">
            <v>0</v>
          </cell>
          <cell r="GC108">
            <v>0</v>
          </cell>
          <cell r="GD108">
            <v>0</v>
          </cell>
          <cell r="GE108">
            <v>0</v>
          </cell>
          <cell r="GF108">
            <v>0</v>
          </cell>
          <cell r="GG108">
            <v>0</v>
          </cell>
          <cell r="GH108">
            <v>0</v>
          </cell>
          <cell r="GI108">
            <v>0</v>
          </cell>
          <cell r="GJ108">
            <v>0</v>
          </cell>
          <cell r="GK108">
            <v>0</v>
          </cell>
          <cell r="GL108">
            <v>0</v>
          </cell>
          <cell r="GM108">
            <v>0</v>
          </cell>
          <cell r="GN108">
            <v>0</v>
          </cell>
          <cell r="GO108">
            <v>0</v>
          </cell>
          <cell r="GP108">
            <v>0</v>
          </cell>
          <cell r="GQ108">
            <v>0</v>
          </cell>
          <cell r="GR108">
            <v>0</v>
          </cell>
          <cell r="GS108">
            <v>0</v>
          </cell>
          <cell r="GT108">
            <v>0</v>
          </cell>
          <cell r="GU108">
            <v>0</v>
          </cell>
          <cell r="GZ108">
            <v>0</v>
          </cell>
        </row>
        <row r="109">
          <cell r="A109" t="str">
            <v>F_CNP_NRF_ASS_EMP_FRCE_253</v>
          </cell>
          <cell r="B109">
            <v>302799.58152000001</v>
          </cell>
          <cell r="D109">
            <v>274573.23968</v>
          </cell>
          <cell r="E109">
            <v>-75396.095950000003</v>
          </cell>
          <cell r="F109">
            <v>274573.23968</v>
          </cell>
          <cell r="G109">
            <v>274573.23968</v>
          </cell>
          <cell r="H109">
            <v>0</v>
          </cell>
          <cell r="I109">
            <v>0</v>
          </cell>
          <cell r="J109">
            <v>274573.23968</v>
          </cell>
          <cell r="K109">
            <v>274573.23968</v>
          </cell>
          <cell r="L109">
            <v>274573.23968</v>
          </cell>
          <cell r="M109">
            <v>0</v>
          </cell>
          <cell r="N109">
            <v>274573.23968</v>
          </cell>
          <cell r="O109">
            <v>274573.23968</v>
          </cell>
          <cell r="P109">
            <v>274573.23968</v>
          </cell>
          <cell r="Q109">
            <v>274573.23968</v>
          </cell>
          <cell r="R109">
            <v>0</v>
          </cell>
          <cell r="S109">
            <v>274573.23968</v>
          </cell>
          <cell r="T109">
            <v>274573.23968</v>
          </cell>
          <cell r="U109">
            <v>274573.23968</v>
          </cell>
          <cell r="V109">
            <v>274573.23968</v>
          </cell>
          <cell r="W109">
            <v>274573.23968</v>
          </cell>
          <cell r="X109">
            <v>274573.23968</v>
          </cell>
          <cell r="Y109">
            <v>274573.23968</v>
          </cell>
          <cell r="Z109">
            <v>274573.23968</v>
          </cell>
          <cell r="AA109">
            <v>274573.23968</v>
          </cell>
          <cell r="AB109">
            <v>282058.37705000001</v>
          </cell>
          <cell r="AC109">
            <v>251549.67629999999</v>
          </cell>
          <cell r="AD109">
            <v>0</v>
          </cell>
          <cell r="AE109">
            <v>0</v>
          </cell>
          <cell r="AF109">
            <v>274573.23968</v>
          </cell>
          <cell r="AG109">
            <v>274573.23968</v>
          </cell>
          <cell r="AH109">
            <v>274573.23968</v>
          </cell>
          <cell r="AI109">
            <v>0</v>
          </cell>
          <cell r="AJ109">
            <v>274573.23968</v>
          </cell>
          <cell r="AK109">
            <v>274573.23968</v>
          </cell>
          <cell r="AL109">
            <v>274573.23968</v>
          </cell>
          <cell r="AM109">
            <v>274573.23968</v>
          </cell>
          <cell r="AN109">
            <v>0</v>
          </cell>
          <cell r="AO109">
            <v>264789.61472999997</v>
          </cell>
          <cell r="AP109">
            <v>264789.61472999997</v>
          </cell>
          <cell r="AQ109">
            <v>264789.61472999997</v>
          </cell>
          <cell r="AR109">
            <v>264789.61472999997</v>
          </cell>
          <cell r="AS109">
            <v>264789.61472999997</v>
          </cell>
          <cell r="AT109">
            <v>264789.61472999997</v>
          </cell>
          <cell r="AU109">
            <v>264789.61472999997</v>
          </cell>
          <cell r="AV109">
            <v>274573.23968</v>
          </cell>
          <cell r="AW109">
            <v>274573.23968</v>
          </cell>
          <cell r="AX109">
            <v>-75396.095950000003</v>
          </cell>
          <cell r="AY109">
            <v>-75396.095950000003</v>
          </cell>
          <cell r="AZ109">
            <v>0</v>
          </cell>
          <cell r="BA109">
            <v>0</v>
          </cell>
          <cell r="BB109">
            <v>-75396.095950000003</v>
          </cell>
          <cell r="BC109">
            <v>-75396.095950000003</v>
          </cell>
          <cell r="BD109">
            <v>-75396.095950000003</v>
          </cell>
          <cell r="BE109">
            <v>0</v>
          </cell>
          <cell r="BF109">
            <v>-75396.095950000003</v>
          </cell>
          <cell r="BG109">
            <v>-75396.095950000003</v>
          </cell>
          <cell r="BH109">
            <v>-75396.095950000003</v>
          </cell>
          <cell r="BI109">
            <v>-75396.095950000003</v>
          </cell>
          <cell r="BJ109">
            <v>0</v>
          </cell>
          <cell r="BK109">
            <v>-75396.095950000003</v>
          </cell>
          <cell r="BL109">
            <v>-75396.095950000003</v>
          </cell>
          <cell r="BM109">
            <v>-75396.095950000003</v>
          </cell>
          <cell r="BN109">
            <v>-75396.095950000003</v>
          </cell>
          <cell r="BO109">
            <v>-75396.095950000003</v>
          </cell>
          <cell r="BP109">
            <v>-75396.095950000003</v>
          </cell>
          <cell r="BQ109">
            <v>-75396.095950000003</v>
          </cell>
          <cell r="BR109">
            <v>-75396.095950000003</v>
          </cell>
          <cell r="BS109">
            <v>-75396.095950000003</v>
          </cell>
          <cell r="BT109">
            <v>-81843.671740000034</v>
          </cell>
          <cell r="BU109">
            <v>-53344.508589999998</v>
          </cell>
          <cell r="BV109">
            <v>0</v>
          </cell>
          <cell r="BW109">
            <v>0</v>
          </cell>
          <cell r="BX109">
            <v>-75396.095950000003</v>
          </cell>
          <cell r="BY109">
            <v>-75396.095950000003</v>
          </cell>
          <cell r="BZ109">
            <v>-75396.095950000003</v>
          </cell>
          <cell r="CA109">
            <v>0</v>
          </cell>
          <cell r="CB109">
            <v>-75396.095950000003</v>
          </cell>
          <cell r="CC109">
            <v>-75396.095950000003</v>
          </cell>
          <cell r="CD109">
            <v>-75396.095950000003</v>
          </cell>
          <cell r="CE109">
            <v>-75396.095950000003</v>
          </cell>
          <cell r="CF109">
            <v>0</v>
          </cell>
          <cell r="CG109">
            <v>-75396.095950000003</v>
          </cell>
          <cell r="CH109">
            <v>-75396.095950000003</v>
          </cell>
          <cell r="CI109">
            <v>-75396.095950000003</v>
          </cell>
          <cell r="CJ109">
            <v>-75396.095950000003</v>
          </cell>
          <cell r="CK109">
            <v>-75396.095950000003</v>
          </cell>
          <cell r="CL109">
            <v>-75396.095950000003</v>
          </cell>
          <cell r="CM109">
            <v>-75396.095950000003</v>
          </cell>
          <cell r="CN109">
            <v>-75396.095950000003</v>
          </cell>
          <cell r="CO109">
            <v>-434491.97276999999</v>
          </cell>
          <cell r="CP109">
            <v>-75396.095950000003</v>
          </cell>
          <cell r="CQ109">
            <v>-75396.095950000003</v>
          </cell>
          <cell r="CR109">
            <v>-75396.095950000003</v>
          </cell>
          <cell r="CS109">
            <v>-75396.095950000003</v>
          </cell>
          <cell r="CT109">
            <v>-75396.095950000003</v>
          </cell>
          <cell r="CU109">
            <v>-75396.095950000003</v>
          </cell>
          <cell r="CV109">
            <v>-75396.095950000003</v>
          </cell>
          <cell r="CW109">
            <v>-75396.095950000003</v>
          </cell>
          <cell r="CX109">
            <v>-75396.095950000003</v>
          </cell>
          <cell r="CY109">
            <v>-75396.095950000003</v>
          </cell>
          <cell r="CZ109">
            <v>469417.04703999998</v>
          </cell>
          <cell r="DA109">
            <v>-75396.095949999988</v>
          </cell>
          <cell r="DB109">
            <v>-75396.095949999988</v>
          </cell>
          <cell r="DC109">
            <v>170806.67346999998</v>
          </cell>
          <cell r="DD109">
            <v>-75396.095949999988</v>
          </cell>
          <cell r="DE109">
            <v>-117855.27793</v>
          </cell>
          <cell r="DF109">
            <v>505089.21279000002</v>
          </cell>
          <cell r="DG109">
            <v>-13425.38499000005</v>
          </cell>
          <cell r="DH109">
            <v>-75396.095949999988</v>
          </cell>
          <cell r="DI109">
            <v>653377.42388000002</v>
          </cell>
          <cell r="DJ109">
            <v>0</v>
          </cell>
          <cell r="DK109">
            <v>0</v>
          </cell>
          <cell r="DL109">
            <v>0</v>
          </cell>
          <cell r="DM109">
            <v>0</v>
          </cell>
          <cell r="DN109">
            <v>0</v>
          </cell>
          <cell r="DO109">
            <v>0</v>
          </cell>
          <cell r="DP109">
            <v>0</v>
          </cell>
          <cell r="DQ109">
            <v>0</v>
          </cell>
          <cell r="DR109">
            <v>0</v>
          </cell>
          <cell r="DS109">
            <v>0</v>
          </cell>
          <cell r="DT109">
            <v>0</v>
          </cell>
          <cell r="DU109">
            <v>0</v>
          </cell>
          <cell r="DV109">
            <v>0</v>
          </cell>
          <cell r="DW109">
            <v>0</v>
          </cell>
          <cell r="DX109" t="str">
            <v/>
          </cell>
          <cell r="DY109" t="str">
            <v/>
          </cell>
          <cell r="DZ109" t="str">
            <v/>
          </cell>
          <cell r="EA109">
            <v>-75396.095950000003</v>
          </cell>
          <cell r="EB109">
            <v>-75396.095950000003</v>
          </cell>
          <cell r="EC109">
            <v>-75396.095950000003</v>
          </cell>
          <cell r="ED109">
            <v>-75396.095950000003</v>
          </cell>
          <cell r="EE109">
            <v>-75396.095950000003</v>
          </cell>
          <cell r="EF109">
            <v>-75396.095950000003</v>
          </cell>
          <cell r="EG109">
            <v>-75396.095950000003</v>
          </cell>
          <cell r="EH109">
            <v>-75396.095950000003</v>
          </cell>
          <cell r="EI109">
            <v>-75396.095950000003</v>
          </cell>
          <cell r="EJ109">
            <v>-75396.095949999988</v>
          </cell>
          <cell r="EK109">
            <v>-75396.095949999988</v>
          </cell>
          <cell r="EL109">
            <v>-75396.095949999988</v>
          </cell>
          <cell r="EM109">
            <v>-75396.095949999988</v>
          </cell>
          <cell r="EN109">
            <v>-75396.095949999988</v>
          </cell>
          <cell r="EO109">
            <v>-655881.40469</v>
          </cell>
          <cell r="EP109">
            <v>505089.21279000002</v>
          </cell>
          <cell r="EQ109">
            <v>-75396.095949999988</v>
          </cell>
          <cell r="ER109">
            <v>-75396.095949999988</v>
          </cell>
          <cell r="ES109">
            <v>0</v>
          </cell>
          <cell r="ET109">
            <v>0</v>
          </cell>
          <cell r="EU109">
            <v>0</v>
          </cell>
          <cell r="EV109">
            <v>0</v>
          </cell>
          <cell r="EW109">
            <v>0</v>
          </cell>
          <cell r="EX109">
            <v>0</v>
          </cell>
          <cell r="EY109">
            <v>0</v>
          </cell>
          <cell r="EZ109">
            <v>0</v>
          </cell>
          <cell r="FA109">
            <v>0</v>
          </cell>
          <cell r="FB109">
            <v>0</v>
          </cell>
          <cell r="FC109">
            <v>0</v>
          </cell>
          <cell r="FD109">
            <v>580485.30874000001</v>
          </cell>
          <cell r="FE109">
            <v>-655881.40469</v>
          </cell>
          <cell r="FF109">
            <v>-101162.28889</v>
          </cell>
          <cell r="FG109">
            <v>6380.9073500000004</v>
          </cell>
          <cell r="FH109">
            <v>0</v>
          </cell>
          <cell r="FI109">
            <v>0</v>
          </cell>
          <cell r="FJ109">
            <v>-75396.095950000003</v>
          </cell>
          <cell r="FK109">
            <v>-75396.095950000003</v>
          </cell>
          <cell r="FL109">
            <v>-75396.095950000003</v>
          </cell>
          <cell r="FM109">
            <v>0</v>
          </cell>
          <cell r="FN109">
            <v>-75396.095950000003</v>
          </cell>
          <cell r="FO109">
            <v>-75396.095950000003</v>
          </cell>
          <cell r="FP109">
            <v>-75396.095950000003</v>
          </cell>
          <cell r="FQ109">
            <v>-75396.095950000003</v>
          </cell>
          <cell r="FR109">
            <v>0</v>
          </cell>
          <cell r="FS109">
            <v>-83627.995500000005</v>
          </cell>
          <cell r="FT109">
            <v>-83627.995500000005</v>
          </cell>
          <cell r="FU109">
            <v>-83627.995500000005</v>
          </cell>
          <cell r="FV109">
            <v>-83627.995500000005</v>
          </cell>
          <cell r="FW109">
            <v>-83627.995500000005</v>
          </cell>
          <cell r="FX109">
            <v>-83627.995500000005</v>
          </cell>
          <cell r="FY109">
            <v>-83627.995500000005</v>
          </cell>
          <cell r="FZ109">
            <v>-75396.095950000003</v>
          </cell>
          <cell r="GA109">
            <v>-434491.97276999999</v>
          </cell>
          <cell r="GB109">
            <v>-13162.928809999999</v>
          </cell>
          <cell r="GC109">
            <v>-75396.095950000003</v>
          </cell>
          <cell r="GD109">
            <v>-75396.095950000003</v>
          </cell>
          <cell r="GE109">
            <v>52640.358630000002</v>
          </cell>
          <cell r="GF109">
            <v>-75396.095950000003</v>
          </cell>
          <cell r="GG109">
            <v>209157.08160999999</v>
          </cell>
          <cell r="GH109">
            <v>-75396.095950000003</v>
          </cell>
          <cell r="GI109">
            <v>-13927.36565</v>
          </cell>
          <cell r="GJ109">
            <v>-75396.095950000003</v>
          </cell>
          <cell r="GK109">
            <v>175999.73019999999</v>
          </cell>
          <cell r="GL109">
            <v>-75396.095950000003</v>
          </cell>
          <cell r="GM109">
            <v>-75396.095950000003</v>
          </cell>
          <cell r="GN109">
            <v>-75396.095950000003</v>
          </cell>
          <cell r="GO109">
            <v>-75396.095950000003</v>
          </cell>
          <cell r="GP109">
            <v>-75396.095950000003</v>
          </cell>
          <cell r="GQ109">
            <v>-75396.095950000003</v>
          </cell>
          <cell r="GR109">
            <v>-75396.095950000003</v>
          </cell>
          <cell r="GS109">
            <v>-75396.095950000003</v>
          </cell>
          <cell r="GT109">
            <v>-75396.095950000003</v>
          </cell>
          <cell r="GU109">
            <v>0</v>
          </cell>
          <cell r="GZ109">
            <v>499145283.25147003</v>
          </cell>
        </row>
        <row r="110">
          <cell r="A110" t="str">
            <v>F_CNP_NRF_ASS_EMP_FRCE_254</v>
          </cell>
          <cell r="B110">
            <v>100837026.99168</v>
          </cell>
          <cell r="D110">
            <v>109583326.103</v>
          </cell>
          <cell r="E110">
            <v>-9840024.1800200008</v>
          </cell>
          <cell r="F110">
            <v>109583326.103</v>
          </cell>
          <cell r="G110">
            <v>109583326.103</v>
          </cell>
          <cell r="H110">
            <v>0</v>
          </cell>
          <cell r="I110">
            <v>0</v>
          </cell>
          <cell r="J110">
            <v>109583326.103</v>
          </cell>
          <cell r="K110">
            <v>109583326.103</v>
          </cell>
          <cell r="L110">
            <v>109583326.103</v>
          </cell>
          <cell r="M110">
            <v>0</v>
          </cell>
          <cell r="N110">
            <v>109583326.103</v>
          </cell>
          <cell r="O110">
            <v>109583326.103</v>
          </cell>
          <cell r="P110">
            <v>109583326.103</v>
          </cell>
          <cell r="Q110">
            <v>109583326.103</v>
          </cell>
          <cell r="R110">
            <v>0</v>
          </cell>
          <cell r="S110">
            <v>109583326.103</v>
          </cell>
          <cell r="T110">
            <v>109583326.103</v>
          </cell>
          <cell r="U110">
            <v>109583326.103</v>
          </cell>
          <cell r="V110">
            <v>109583326.103</v>
          </cell>
          <cell r="W110">
            <v>109583326.103</v>
          </cell>
          <cell r="X110">
            <v>109583326.103</v>
          </cell>
          <cell r="Y110">
            <v>109583326.103</v>
          </cell>
          <cell r="Z110">
            <v>109583326.103</v>
          </cell>
          <cell r="AA110">
            <v>109583326.103</v>
          </cell>
          <cell r="AB110">
            <v>114790839.40415999</v>
          </cell>
          <cell r="AC110">
            <v>92515102.070580006</v>
          </cell>
          <cell r="AD110">
            <v>0</v>
          </cell>
          <cell r="AE110">
            <v>0</v>
          </cell>
          <cell r="AF110">
            <v>106680893.6927</v>
          </cell>
          <cell r="AG110">
            <v>106680893.6927</v>
          </cell>
          <cell r="AH110">
            <v>106680893.6927</v>
          </cell>
          <cell r="AI110">
            <v>0</v>
          </cell>
          <cell r="AJ110">
            <v>109583326.103</v>
          </cell>
          <cell r="AK110">
            <v>109583326.103</v>
          </cell>
          <cell r="AL110">
            <v>109583326.103</v>
          </cell>
          <cell r="AM110">
            <v>109583326.103</v>
          </cell>
          <cell r="AN110">
            <v>0</v>
          </cell>
          <cell r="AO110">
            <v>96984348.657849997</v>
          </cell>
          <cell r="AP110">
            <v>96984348.657849997</v>
          </cell>
          <cell r="AQ110">
            <v>96984348.657849997</v>
          </cell>
          <cell r="AR110">
            <v>96984348.657849997</v>
          </cell>
          <cell r="AS110">
            <v>96984348.657849997</v>
          </cell>
          <cell r="AT110">
            <v>96984348.657849997</v>
          </cell>
          <cell r="AU110">
            <v>96984348.657849997</v>
          </cell>
          <cell r="AV110">
            <v>109583326.103</v>
          </cell>
          <cell r="AW110">
            <v>109583326.103</v>
          </cell>
          <cell r="AX110">
            <v>-9840024.1800200008</v>
          </cell>
          <cell r="AY110">
            <v>-9840024.1800200008</v>
          </cell>
          <cell r="AZ110">
            <v>0</v>
          </cell>
          <cell r="BA110">
            <v>0</v>
          </cell>
          <cell r="BB110">
            <v>-9840024.1800200008</v>
          </cell>
          <cell r="BC110">
            <v>-9840024.1800200008</v>
          </cell>
          <cell r="BD110">
            <v>-9840024.1800200008</v>
          </cell>
          <cell r="BE110">
            <v>0</v>
          </cell>
          <cell r="BF110">
            <v>-9840024.1800200008</v>
          </cell>
          <cell r="BG110">
            <v>-9840024.1800200008</v>
          </cell>
          <cell r="BH110">
            <v>-9840024.1800200008</v>
          </cell>
          <cell r="BI110">
            <v>-9840024.1800200008</v>
          </cell>
          <cell r="BJ110">
            <v>0</v>
          </cell>
          <cell r="BK110">
            <v>-9840024.1800200008</v>
          </cell>
          <cell r="BL110">
            <v>-9840024.1800200008</v>
          </cell>
          <cell r="BM110">
            <v>-9840024.1800200008</v>
          </cell>
          <cell r="BN110">
            <v>-9840024.1800200008</v>
          </cell>
          <cell r="BO110">
            <v>-9840024.1800200008</v>
          </cell>
          <cell r="BP110">
            <v>-9840024.1800200008</v>
          </cell>
          <cell r="BQ110">
            <v>-9840024.1800200008</v>
          </cell>
          <cell r="BR110">
            <v>-9840024.1800200008</v>
          </cell>
          <cell r="BS110">
            <v>-9840024.1800200008</v>
          </cell>
          <cell r="BT110">
            <v>-11987168.407990005</v>
          </cell>
          <cell r="BU110">
            <v>-2496498.475250002</v>
          </cell>
          <cell r="BV110">
            <v>0</v>
          </cell>
          <cell r="BW110">
            <v>0</v>
          </cell>
          <cell r="BX110">
            <v>-9840024.1800200008</v>
          </cell>
          <cell r="BY110">
            <v>-9840024.1800200008</v>
          </cell>
          <cell r="BZ110">
            <v>-9840024.1800200008</v>
          </cell>
          <cell r="CA110">
            <v>0</v>
          </cell>
          <cell r="CB110">
            <v>-9840024.1800200008</v>
          </cell>
          <cell r="CC110">
            <v>-9840024.1800200008</v>
          </cell>
          <cell r="CD110">
            <v>-9840024.1800200008</v>
          </cell>
          <cell r="CE110">
            <v>-9840024.1800200008</v>
          </cell>
          <cell r="CF110">
            <v>0</v>
          </cell>
          <cell r="CG110">
            <v>-9840024.1800200008</v>
          </cell>
          <cell r="CH110">
            <v>-9840024.1800200008</v>
          </cell>
          <cell r="CI110">
            <v>-9840024.1800200008</v>
          </cell>
          <cell r="CJ110">
            <v>-9840024.1800200008</v>
          </cell>
          <cell r="CK110">
            <v>-9840024.1800200008</v>
          </cell>
          <cell r="CL110">
            <v>-9840024.1800200008</v>
          </cell>
          <cell r="CM110">
            <v>-9840024.1800200008</v>
          </cell>
          <cell r="CN110">
            <v>-9840024.1800200008</v>
          </cell>
          <cell r="CO110">
            <v>-129424603.66189003</v>
          </cell>
          <cell r="CP110">
            <v>-9840024.1800200008</v>
          </cell>
          <cell r="CQ110">
            <v>-9840024.1800200008</v>
          </cell>
          <cell r="CR110">
            <v>-9840024.1800200008</v>
          </cell>
          <cell r="CS110">
            <v>-9840024.1800200008</v>
          </cell>
          <cell r="CT110">
            <v>-9840024.1800200008</v>
          </cell>
          <cell r="CU110">
            <v>-9840024.1800200008</v>
          </cell>
          <cell r="CV110">
            <v>-9840024.1800200008</v>
          </cell>
          <cell r="CW110">
            <v>-9840024.1800200008</v>
          </cell>
          <cell r="CX110">
            <v>-9840024.1800200008</v>
          </cell>
          <cell r="CY110">
            <v>-9840024.1800200008</v>
          </cell>
          <cell r="CZ110">
            <v>171591328.29802999</v>
          </cell>
          <cell r="DA110">
            <v>-9840024.1800200045</v>
          </cell>
          <cell r="DB110">
            <v>-9840024.1800200045</v>
          </cell>
          <cell r="DC110">
            <v>72149373.494599998</v>
          </cell>
          <cell r="DD110">
            <v>-9840024.1800200045</v>
          </cell>
          <cell r="DE110">
            <v>-39247662.701219998</v>
          </cell>
          <cell r="DF110">
            <v>198738783.58181998</v>
          </cell>
          <cell r="DG110">
            <v>10797198.047019988</v>
          </cell>
          <cell r="DH110">
            <v>-9840024.1800200045</v>
          </cell>
          <cell r="DI110">
            <v>232853029.49239999</v>
          </cell>
          <cell r="DJ110">
            <v>0</v>
          </cell>
          <cell r="DK110">
            <v>0</v>
          </cell>
          <cell r="DL110">
            <v>0</v>
          </cell>
          <cell r="DM110">
            <v>0</v>
          </cell>
          <cell r="DN110">
            <v>0</v>
          </cell>
          <cell r="DO110">
            <v>0</v>
          </cell>
          <cell r="DP110">
            <v>0</v>
          </cell>
          <cell r="DQ110">
            <v>0</v>
          </cell>
          <cell r="DR110">
            <v>0</v>
          </cell>
          <cell r="DS110">
            <v>0</v>
          </cell>
          <cell r="DT110">
            <v>0</v>
          </cell>
          <cell r="DU110">
            <v>0</v>
          </cell>
          <cell r="DV110">
            <v>0</v>
          </cell>
          <cell r="DW110">
            <v>0</v>
          </cell>
          <cell r="DX110" t="str">
            <v/>
          </cell>
          <cell r="DY110" t="str">
            <v/>
          </cell>
          <cell r="DZ110" t="str">
            <v/>
          </cell>
          <cell r="EA110">
            <v>-9840024.1800200008</v>
          </cell>
          <cell r="EB110">
            <v>-9840024.1800200008</v>
          </cell>
          <cell r="EC110">
            <v>-9840024.1800200008</v>
          </cell>
          <cell r="ED110">
            <v>-9840024.1800200008</v>
          </cell>
          <cell r="EE110">
            <v>-9840024.1800200008</v>
          </cell>
          <cell r="EF110">
            <v>-9840024.1800200008</v>
          </cell>
          <cell r="EG110">
            <v>-9840024.1800200008</v>
          </cell>
          <cell r="EH110">
            <v>-9840024.1800200008</v>
          </cell>
          <cell r="EI110">
            <v>-9840024.1800200008</v>
          </cell>
          <cell r="EJ110">
            <v>-9840024.1800200045</v>
          </cell>
          <cell r="EK110">
            <v>-9840024.1800200045</v>
          </cell>
          <cell r="EL110">
            <v>-9840024.1800200045</v>
          </cell>
          <cell r="EM110">
            <v>-9840024.1800200045</v>
          </cell>
          <cell r="EN110">
            <v>-9840024.1800200045</v>
          </cell>
          <cell r="EO110">
            <v>-218418831.94185999</v>
          </cell>
          <cell r="EP110">
            <v>198738783.58181998</v>
          </cell>
          <cell r="EQ110">
            <v>-9840024.1800200045</v>
          </cell>
          <cell r="ER110">
            <v>-9840024.1800200045</v>
          </cell>
          <cell r="ES110">
            <v>0</v>
          </cell>
          <cell r="ET110">
            <v>0</v>
          </cell>
          <cell r="EU110">
            <v>0</v>
          </cell>
          <cell r="EV110">
            <v>0</v>
          </cell>
          <cell r="EW110">
            <v>0</v>
          </cell>
          <cell r="EX110">
            <v>0</v>
          </cell>
          <cell r="EY110">
            <v>0</v>
          </cell>
          <cell r="EZ110">
            <v>0</v>
          </cell>
          <cell r="FA110">
            <v>0</v>
          </cell>
          <cell r="FB110">
            <v>0</v>
          </cell>
          <cell r="FC110">
            <v>0</v>
          </cell>
          <cell r="FD110">
            <v>208578807.76183999</v>
          </cell>
          <cell r="FE110">
            <v>-218418831.94185999</v>
          </cell>
          <cell r="FF110">
            <v>-16136313.443290001</v>
          </cell>
          <cell r="FG110">
            <v>9483031.9552999996</v>
          </cell>
          <cell r="FH110">
            <v>0</v>
          </cell>
          <cell r="FI110">
            <v>0</v>
          </cell>
          <cell r="FJ110">
            <v>-12282118.206499999</v>
          </cell>
          <cell r="FK110">
            <v>-12282118.206499999</v>
          </cell>
          <cell r="FL110">
            <v>-12282118.206499999</v>
          </cell>
          <cell r="FM110">
            <v>0</v>
          </cell>
          <cell r="FN110">
            <v>-9840024.1800200008</v>
          </cell>
          <cell r="FO110">
            <v>-9840024.1800200008</v>
          </cell>
          <cell r="FP110">
            <v>-9840024.1800200008</v>
          </cell>
          <cell r="FQ110">
            <v>-9840024.1800200008</v>
          </cell>
          <cell r="FR110">
            <v>0</v>
          </cell>
          <cell r="FS110">
            <v>-20440749.092489999</v>
          </cell>
          <cell r="FT110">
            <v>-20440749.092489999</v>
          </cell>
          <cell r="FU110">
            <v>-20440749.092489999</v>
          </cell>
          <cell r="FV110">
            <v>-20440749.092489999</v>
          </cell>
          <cell r="FW110">
            <v>-20440749.092489999</v>
          </cell>
          <cell r="FX110">
            <v>-20440749.092489999</v>
          </cell>
          <cell r="FY110">
            <v>-20440749.092489999</v>
          </cell>
          <cell r="FZ110">
            <v>-9840024.1800200008</v>
          </cell>
          <cell r="GA110">
            <v>-129424603.66189</v>
          </cell>
          <cell r="GB110">
            <v>10884600.08285</v>
          </cell>
          <cell r="GC110">
            <v>-9840024.1800200008</v>
          </cell>
          <cell r="GD110">
            <v>-9840024.1800200008</v>
          </cell>
          <cell r="GE110">
            <v>32798130.605179999</v>
          </cell>
          <cell r="GF110">
            <v>-9840024.1800200008</v>
          </cell>
          <cell r="GG110">
            <v>84920663.076159999</v>
          </cell>
          <cell r="GH110">
            <v>-9840024.1800200008</v>
          </cell>
          <cell r="GI110">
            <v>10630030.583830001</v>
          </cell>
          <cell r="GJ110">
            <v>-9840024.1800200008</v>
          </cell>
          <cell r="GK110">
            <v>73878743.130809993</v>
          </cell>
          <cell r="GL110">
            <v>-9840024.1800200008</v>
          </cell>
          <cell r="GM110">
            <v>-9840024.1800200008</v>
          </cell>
          <cell r="GN110">
            <v>-9840024.1800200008</v>
          </cell>
          <cell r="GO110">
            <v>-9840024.1800200008</v>
          </cell>
          <cell r="GP110">
            <v>-9840024.1800200008</v>
          </cell>
          <cell r="GQ110">
            <v>-9840024.1800200008</v>
          </cell>
          <cell r="GR110">
            <v>-9840024.1800200008</v>
          </cell>
          <cell r="GS110">
            <v>-9840024.1800200008</v>
          </cell>
          <cell r="GT110">
            <v>-9840024.1800200008</v>
          </cell>
          <cell r="GU110">
            <v>0</v>
          </cell>
          <cell r="GZ110">
            <v>166223236331.20776</v>
          </cell>
        </row>
        <row r="111">
          <cell r="A111" t="str">
            <v>F_CNP_NRF_ASS_EMP_INTR_201</v>
          </cell>
          <cell r="B111">
            <v>202384687.59999999</v>
          </cell>
          <cell r="D111">
            <v>245137796.52098</v>
          </cell>
          <cell r="E111">
            <v>220274654.97415</v>
          </cell>
          <cell r="F111">
            <v>245137796.52098</v>
          </cell>
          <cell r="G111">
            <v>245137796.52098</v>
          </cell>
          <cell r="H111">
            <v>0</v>
          </cell>
          <cell r="I111">
            <v>0</v>
          </cell>
          <cell r="J111">
            <v>245137796.52098</v>
          </cell>
          <cell r="K111">
            <v>245137796.52098</v>
          </cell>
          <cell r="L111">
            <v>245137796.52098</v>
          </cell>
          <cell r="M111">
            <v>0</v>
          </cell>
          <cell r="N111">
            <v>245137796.52098</v>
          </cell>
          <cell r="O111">
            <v>245137796.52098</v>
          </cell>
          <cell r="P111">
            <v>245137796.52098</v>
          </cell>
          <cell r="Q111">
            <v>245137796.52098</v>
          </cell>
          <cell r="R111">
            <v>0</v>
          </cell>
          <cell r="S111">
            <v>245137796.52098</v>
          </cell>
          <cell r="T111">
            <v>245137796.52098</v>
          </cell>
          <cell r="U111">
            <v>245137796.52098</v>
          </cell>
          <cell r="V111">
            <v>245137796.52098</v>
          </cell>
          <cell r="W111">
            <v>245137796.52098</v>
          </cell>
          <cell r="X111">
            <v>245137796.52098</v>
          </cell>
          <cell r="Y111">
            <v>245137796.52098</v>
          </cell>
          <cell r="Z111">
            <v>245137796.52098</v>
          </cell>
          <cell r="AA111">
            <v>245137796.52098</v>
          </cell>
          <cell r="AB111">
            <v>247365097.32815</v>
          </cell>
          <cell r="AC111">
            <v>235981501.34895</v>
          </cell>
          <cell r="AD111">
            <v>0</v>
          </cell>
          <cell r="AE111">
            <v>0</v>
          </cell>
          <cell r="AF111">
            <v>225716550.07016</v>
          </cell>
          <cell r="AG111">
            <v>225716550.07016</v>
          </cell>
          <cell r="AH111">
            <v>225716550.07016</v>
          </cell>
          <cell r="AI111">
            <v>0</v>
          </cell>
          <cell r="AJ111">
            <v>240490044.97246999</v>
          </cell>
          <cell r="AK111">
            <v>240490044.97246999</v>
          </cell>
          <cell r="AL111">
            <v>240490044.97246999</v>
          </cell>
          <cell r="AM111">
            <v>240389012.64097002</v>
          </cell>
          <cell r="AN111">
            <v>0</v>
          </cell>
          <cell r="AO111">
            <v>233646006.41518</v>
          </cell>
          <cell r="AP111">
            <v>233646006.41518</v>
          </cell>
          <cell r="AQ111">
            <v>233646006.41518</v>
          </cell>
          <cell r="AR111">
            <v>233646006.41518</v>
          </cell>
          <cell r="AS111">
            <v>233646006.41518</v>
          </cell>
          <cell r="AT111">
            <v>233646006.41518</v>
          </cell>
          <cell r="AU111">
            <v>233646006.41518</v>
          </cell>
          <cell r="AV111">
            <v>241977183.83810002</v>
          </cell>
          <cell r="AW111">
            <v>245137796.52098</v>
          </cell>
          <cell r="AX111">
            <v>220274654.97415</v>
          </cell>
          <cell r="AY111">
            <v>220274654.97415</v>
          </cell>
          <cell r="AZ111">
            <v>0</v>
          </cell>
          <cell r="BA111">
            <v>0</v>
          </cell>
          <cell r="BB111">
            <v>220274654.97415</v>
          </cell>
          <cell r="BC111">
            <v>220274654.97415</v>
          </cell>
          <cell r="BD111">
            <v>220274654.97415</v>
          </cell>
          <cell r="BE111">
            <v>0</v>
          </cell>
          <cell r="BF111">
            <v>220274654.97415</v>
          </cell>
          <cell r="BG111">
            <v>220274654.97415</v>
          </cell>
          <cell r="BH111">
            <v>220274654.97415</v>
          </cell>
          <cell r="BI111">
            <v>220274654.97415</v>
          </cell>
          <cell r="BJ111">
            <v>0</v>
          </cell>
          <cell r="BK111">
            <v>220274654.97415</v>
          </cell>
          <cell r="BL111">
            <v>220274654.97415</v>
          </cell>
          <cell r="BM111">
            <v>220274654.97415</v>
          </cell>
          <cell r="BN111">
            <v>220274654.97415</v>
          </cell>
          <cell r="BO111">
            <v>220274654.97415</v>
          </cell>
          <cell r="BP111">
            <v>220274654.97415</v>
          </cell>
          <cell r="BQ111">
            <v>220274654.97415</v>
          </cell>
          <cell r="BR111">
            <v>220274654.97415</v>
          </cell>
          <cell r="BS111">
            <v>220274654.97415</v>
          </cell>
          <cell r="BT111">
            <v>220274654.97415</v>
          </cell>
          <cell r="BU111">
            <v>220274654.97415</v>
          </cell>
          <cell r="BV111">
            <v>0</v>
          </cell>
          <cell r="BW111">
            <v>0</v>
          </cell>
          <cell r="BX111">
            <v>220274654.97415</v>
          </cell>
          <cell r="BY111">
            <v>220274654.97415</v>
          </cell>
          <cell r="BZ111">
            <v>220274654.97415</v>
          </cell>
          <cell r="CA111">
            <v>0</v>
          </cell>
          <cell r="CB111">
            <v>220274654.97415</v>
          </cell>
          <cell r="CC111">
            <v>220274654.97415</v>
          </cell>
          <cell r="CD111">
            <v>220274654.97415</v>
          </cell>
          <cell r="CE111">
            <v>220274654.97415</v>
          </cell>
          <cell r="CF111">
            <v>0</v>
          </cell>
          <cell r="CG111">
            <v>220274654.97415</v>
          </cell>
          <cell r="CH111">
            <v>220274654.97415</v>
          </cell>
          <cell r="CI111">
            <v>220274654.97415</v>
          </cell>
          <cell r="CJ111">
            <v>220274654.97415</v>
          </cell>
          <cell r="CK111">
            <v>220274654.97415</v>
          </cell>
          <cell r="CL111">
            <v>220274654.97415</v>
          </cell>
          <cell r="CM111">
            <v>220274654.97415</v>
          </cell>
          <cell r="CN111">
            <v>220274654.97415</v>
          </cell>
          <cell r="CO111">
            <v>220274654.97415</v>
          </cell>
          <cell r="CP111">
            <v>220274654.97415</v>
          </cell>
          <cell r="CQ111">
            <v>220274654.97415</v>
          </cell>
          <cell r="CR111">
            <v>220274654.97415</v>
          </cell>
          <cell r="CS111">
            <v>220274654.97415</v>
          </cell>
          <cell r="CT111">
            <v>220274654.97415</v>
          </cell>
          <cell r="CU111">
            <v>220274654.97415</v>
          </cell>
          <cell r="CV111">
            <v>220274654.97415</v>
          </cell>
          <cell r="CW111">
            <v>220274654.97415</v>
          </cell>
          <cell r="CX111">
            <v>220274654.97415</v>
          </cell>
          <cell r="CY111">
            <v>220274654.97415</v>
          </cell>
          <cell r="CZ111">
            <v>220274654.97415</v>
          </cell>
          <cell r="DA111">
            <v>220274654.97415</v>
          </cell>
          <cell r="DB111">
            <v>220274654.97415</v>
          </cell>
          <cell r="DC111">
            <v>220274654.97415</v>
          </cell>
          <cell r="DD111">
            <v>220274654.97415</v>
          </cell>
          <cell r="DE111">
            <v>202384687.59999999</v>
          </cell>
          <cell r="DF111">
            <v>238164622.34830001</v>
          </cell>
          <cell r="DG111">
            <v>220274654.97415</v>
          </cell>
          <cell r="DH111">
            <v>220274654.97415</v>
          </cell>
          <cell r="DI111">
            <v>220274654.97415</v>
          </cell>
          <cell r="DJ111">
            <v>0</v>
          </cell>
          <cell r="DK111">
            <v>0</v>
          </cell>
          <cell r="DL111">
            <v>0</v>
          </cell>
          <cell r="DM111">
            <v>0</v>
          </cell>
          <cell r="DN111">
            <v>0</v>
          </cell>
          <cell r="DO111">
            <v>0</v>
          </cell>
          <cell r="DP111">
            <v>0</v>
          </cell>
          <cell r="DQ111">
            <v>0</v>
          </cell>
          <cell r="DR111">
            <v>0</v>
          </cell>
          <cell r="DS111">
            <v>0</v>
          </cell>
          <cell r="DT111">
            <v>0</v>
          </cell>
          <cell r="DU111">
            <v>0</v>
          </cell>
          <cell r="DV111">
            <v>0</v>
          </cell>
          <cell r="DW111">
            <v>0</v>
          </cell>
          <cell r="DX111" t="str">
            <v/>
          </cell>
          <cell r="DY111" t="str">
            <v/>
          </cell>
          <cell r="DZ111" t="str">
            <v/>
          </cell>
          <cell r="EA111">
            <v>220274654.97415</v>
          </cell>
          <cell r="EB111">
            <v>220274654.97415</v>
          </cell>
          <cell r="EC111">
            <v>220274654.97415</v>
          </cell>
          <cell r="ED111">
            <v>220274654.97415</v>
          </cell>
          <cell r="EE111">
            <v>220274654.97415</v>
          </cell>
          <cell r="EF111">
            <v>220274654.97415</v>
          </cell>
          <cell r="EG111">
            <v>220274654.97415</v>
          </cell>
          <cell r="EH111">
            <v>220274654.97415</v>
          </cell>
          <cell r="EI111">
            <v>220274654.97415</v>
          </cell>
          <cell r="EJ111">
            <v>220274654.97415</v>
          </cell>
          <cell r="EK111">
            <v>220274654.97415</v>
          </cell>
          <cell r="EL111">
            <v>220274654.97415</v>
          </cell>
          <cell r="EM111">
            <v>220274654.97415</v>
          </cell>
          <cell r="EN111">
            <v>220274654.97415</v>
          </cell>
          <cell r="EO111">
            <v>202384687.59999999</v>
          </cell>
          <cell r="EP111">
            <v>238164622.34830001</v>
          </cell>
          <cell r="EQ111">
            <v>220274654.97415</v>
          </cell>
          <cell r="ER111">
            <v>220274654.97415</v>
          </cell>
          <cell r="ES111">
            <v>0</v>
          </cell>
          <cell r="ET111">
            <v>0</v>
          </cell>
          <cell r="EU111">
            <v>0</v>
          </cell>
          <cell r="EV111">
            <v>0</v>
          </cell>
          <cell r="EW111">
            <v>0</v>
          </cell>
          <cell r="EX111">
            <v>0</v>
          </cell>
          <cell r="EY111">
            <v>0</v>
          </cell>
          <cell r="EZ111">
            <v>0</v>
          </cell>
          <cell r="FA111">
            <v>0</v>
          </cell>
          <cell r="FB111">
            <v>0</v>
          </cell>
          <cell r="FC111">
            <v>0</v>
          </cell>
          <cell r="FD111">
            <v>17889967.374150008</v>
          </cell>
          <cell r="FE111">
            <v>202384687.59999999</v>
          </cell>
          <cell r="FF111">
            <v>221206665.29523998</v>
          </cell>
          <cell r="FG111">
            <v>216443218.47679001</v>
          </cell>
          <cell r="FH111">
            <v>0</v>
          </cell>
          <cell r="FI111">
            <v>0</v>
          </cell>
          <cell r="FJ111">
            <v>212147866.67408001</v>
          </cell>
          <cell r="FK111">
            <v>212147866.67408001</v>
          </cell>
          <cell r="FL111">
            <v>212147866.67408001</v>
          </cell>
          <cell r="FM111">
            <v>0</v>
          </cell>
          <cell r="FN111">
            <v>218329811.06305</v>
          </cell>
          <cell r="FO111">
            <v>218329811.06305</v>
          </cell>
          <cell r="FP111">
            <v>218329811.06305</v>
          </cell>
          <cell r="FQ111">
            <v>218287534.25184</v>
          </cell>
          <cell r="FR111">
            <v>0</v>
          </cell>
          <cell r="FS111">
            <v>215465934.50325</v>
          </cell>
          <cell r="FT111">
            <v>215465934.50325</v>
          </cell>
          <cell r="FU111">
            <v>215465934.50325</v>
          </cell>
          <cell r="FV111">
            <v>215465934.50325</v>
          </cell>
          <cell r="FW111">
            <v>215465934.50325</v>
          </cell>
          <cell r="FX111">
            <v>215465934.50325</v>
          </cell>
          <cell r="FY111">
            <v>215465934.50325</v>
          </cell>
          <cell r="FZ111">
            <v>218952101.84979999</v>
          </cell>
          <cell r="GA111">
            <v>220274654.97415</v>
          </cell>
          <cell r="GB111">
            <v>220274654.97415</v>
          </cell>
          <cell r="GC111">
            <v>220274654.97415</v>
          </cell>
          <cell r="GD111">
            <v>220274654.97415</v>
          </cell>
          <cell r="GE111">
            <v>220274654.97415</v>
          </cell>
          <cell r="GF111">
            <v>220274654.97415</v>
          </cell>
          <cell r="GG111">
            <v>220274654.97415</v>
          </cell>
          <cell r="GH111">
            <v>220274654.97415</v>
          </cell>
          <cell r="GI111">
            <v>220274654.97415</v>
          </cell>
          <cell r="GJ111">
            <v>220274654.97415</v>
          </cell>
          <cell r="GK111">
            <v>220274654.97415</v>
          </cell>
          <cell r="GL111">
            <v>220274654.97415</v>
          </cell>
          <cell r="GM111">
            <v>220274654.97415</v>
          </cell>
          <cell r="GN111">
            <v>220274654.97415</v>
          </cell>
          <cell r="GO111">
            <v>220274654.97415</v>
          </cell>
          <cell r="GP111">
            <v>220274654.97415</v>
          </cell>
          <cell r="GQ111">
            <v>220274654.97415</v>
          </cell>
          <cell r="GR111">
            <v>220274654.97415</v>
          </cell>
          <cell r="GS111">
            <v>220274654.97415</v>
          </cell>
          <cell r="GT111">
            <v>220274654.97415</v>
          </cell>
          <cell r="GU111">
            <v>0</v>
          </cell>
          <cell r="GZ111">
            <v>0</v>
          </cell>
        </row>
        <row r="112">
          <cell r="A112" t="str">
            <v>F_CNP_NRF_CPT_PRP_FRCE_198</v>
          </cell>
          <cell r="B112">
            <v>0</v>
          </cell>
          <cell r="D112">
            <v>0</v>
          </cell>
          <cell r="E112">
            <v>0</v>
          </cell>
          <cell r="F112">
            <v>0</v>
          </cell>
          <cell r="G112">
            <v>0</v>
          </cell>
          <cell r="H112">
            <v>0</v>
          </cell>
          <cell r="I112">
            <v>0</v>
          </cell>
          <cell r="J112">
            <v>0</v>
          </cell>
          <cell r="K112">
            <v>0</v>
          </cell>
          <cell r="L112">
            <v>0</v>
          </cell>
          <cell r="M112">
            <v>0</v>
          </cell>
          <cell r="N112">
            <v>0</v>
          </cell>
          <cell r="O112">
            <v>0</v>
          </cell>
          <cell r="P112">
            <v>0</v>
          </cell>
          <cell r="Q112">
            <v>0</v>
          </cell>
          <cell r="R112">
            <v>0</v>
          </cell>
          <cell r="S112">
            <v>0</v>
          </cell>
          <cell r="T112">
            <v>0</v>
          </cell>
          <cell r="U112">
            <v>0</v>
          </cell>
          <cell r="V112">
            <v>0</v>
          </cell>
          <cell r="W112">
            <v>0</v>
          </cell>
          <cell r="X112">
            <v>0</v>
          </cell>
          <cell r="Y112">
            <v>0</v>
          </cell>
          <cell r="Z112">
            <v>0</v>
          </cell>
          <cell r="AA112">
            <v>0</v>
          </cell>
          <cell r="AB112">
            <v>0</v>
          </cell>
          <cell r="AC112">
            <v>0</v>
          </cell>
          <cell r="AD112">
            <v>0</v>
          </cell>
          <cell r="AE112">
            <v>0</v>
          </cell>
          <cell r="AF112">
            <v>0</v>
          </cell>
          <cell r="AG112">
            <v>0</v>
          </cell>
          <cell r="AH112">
            <v>0</v>
          </cell>
          <cell r="AI112">
            <v>0</v>
          </cell>
          <cell r="AJ112">
            <v>0</v>
          </cell>
          <cell r="AK112">
            <v>0</v>
          </cell>
          <cell r="AL112">
            <v>0</v>
          </cell>
          <cell r="AM112">
            <v>0</v>
          </cell>
          <cell r="AN112">
            <v>0</v>
          </cell>
          <cell r="AO112">
            <v>0</v>
          </cell>
          <cell r="AP112">
            <v>0</v>
          </cell>
          <cell r="AQ112">
            <v>0</v>
          </cell>
          <cell r="AR112">
            <v>0</v>
          </cell>
          <cell r="AS112">
            <v>0</v>
          </cell>
          <cell r="AT112">
            <v>0</v>
          </cell>
          <cell r="AU112">
            <v>0</v>
          </cell>
          <cell r="AV112">
            <v>0</v>
          </cell>
          <cell r="AW112">
            <v>0</v>
          </cell>
          <cell r="AX112">
            <v>0</v>
          </cell>
          <cell r="AY112">
            <v>0</v>
          </cell>
          <cell r="AZ112">
            <v>0</v>
          </cell>
          <cell r="BA112">
            <v>0</v>
          </cell>
          <cell r="BB112">
            <v>0</v>
          </cell>
          <cell r="BC112">
            <v>0</v>
          </cell>
          <cell r="BD112">
            <v>0</v>
          </cell>
          <cell r="BE112">
            <v>0</v>
          </cell>
          <cell r="BF112">
            <v>0</v>
          </cell>
          <cell r="BG112">
            <v>0</v>
          </cell>
          <cell r="BH112">
            <v>0</v>
          </cell>
          <cell r="BI112">
            <v>0</v>
          </cell>
          <cell r="BJ112">
            <v>0</v>
          </cell>
          <cell r="BK112">
            <v>0</v>
          </cell>
          <cell r="BL112">
            <v>0</v>
          </cell>
          <cell r="BM112">
            <v>0</v>
          </cell>
          <cell r="BN112">
            <v>0</v>
          </cell>
          <cell r="BO112">
            <v>0</v>
          </cell>
          <cell r="BP112">
            <v>0</v>
          </cell>
          <cell r="BQ112">
            <v>0</v>
          </cell>
          <cell r="BR112">
            <v>0</v>
          </cell>
          <cell r="BS112">
            <v>0</v>
          </cell>
          <cell r="BT112">
            <v>0</v>
          </cell>
          <cell r="BU112">
            <v>0</v>
          </cell>
          <cell r="BV112">
            <v>0</v>
          </cell>
          <cell r="BW112">
            <v>0</v>
          </cell>
          <cell r="BX112">
            <v>0</v>
          </cell>
          <cell r="BY112">
            <v>0</v>
          </cell>
          <cell r="BZ112">
            <v>0</v>
          </cell>
          <cell r="CA112">
            <v>0</v>
          </cell>
          <cell r="CB112">
            <v>0</v>
          </cell>
          <cell r="CC112">
            <v>0</v>
          </cell>
          <cell r="CD112">
            <v>0</v>
          </cell>
          <cell r="CE112">
            <v>0</v>
          </cell>
          <cell r="CF112">
            <v>0</v>
          </cell>
          <cell r="CG112">
            <v>0</v>
          </cell>
          <cell r="CH112">
            <v>0</v>
          </cell>
          <cell r="CI112">
            <v>0</v>
          </cell>
          <cell r="CJ112">
            <v>0</v>
          </cell>
          <cell r="CK112">
            <v>0</v>
          </cell>
          <cell r="CL112">
            <v>0</v>
          </cell>
          <cell r="CM112">
            <v>0</v>
          </cell>
          <cell r="CN112">
            <v>0</v>
          </cell>
          <cell r="CO112">
            <v>0</v>
          </cell>
          <cell r="CP112">
            <v>0</v>
          </cell>
          <cell r="CQ112">
            <v>0</v>
          </cell>
          <cell r="CR112">
            <v>0</v>
          </cell>
          <cell r="CS112">
            <v>0</v>
          </cell>
          <cell r="CT112">
            <v>0</v>
          </cell>
          <cell r="CU112">
            <v>0</v>
          </cell>
          <cell r="CV112">
            <v>0</v>
          </cell>
          <cell r="CW112">
            <v>0</v>
          </cell>
          <cell r="CX112">
            <v>0</v>
          </cell>
          <cell r="CY112">
            <v>0</v>
          </cell>
          <cell r="CZ112">
            <v>0</v>
          </cell>
          <cell r="DA112">
            <v>0</v>
          </cell>
          <cell r="DB112">
            <v>0</v>
          </cell>
          <cell r="DC112">
            <v>0</v>
          </cell>
          <cell r="DD112">
            <v>0</v>
          </cell>
          <cell r="DE112">
            <v>0</v>
          </cell>
          <cell r="DF112">
            <v>0</v>
          </cell>
          <cell r="DG112">
            <v>0</v>
          </cell>
          <cell r="DH112">
            <v>0</v>
          </cell>
          <cell r="DI112">
            <v>0</v>
          </cell>
          <cell r="DJ112">
            <v>0</v>
          </cell>
          <cell r="DK112">
            <v>0</v>
          </cell>
          <cell r="DL112">
            <v>0</v>
          </cell>
          <cell r="DM112">
            <v>0</v>
          </cell>
          <cell r="DN112">
            <v>0</v>
          </cell>
          <cell r="DO112">
            <v>0</v>
          </cell>
          <cell r="DP112">
            <v>0</v>
          </cell>
          <cell r="DQ112">
            <v>0</v>
          </cell>
          <cell r="DR112">
            <v>0</v>
          </cell>
          <cell r="DS112">
            <v>0</v>
          </cell>
          <cell r="DT112">
            <v>0</v>
          </cell>
          <cell r="DU112">
            <v>0</v>
          </cell>
          <cell r="DV112">
            <v>0</v>
          </cell>
          <cell r="DW112">
            <v>0</v>
          </cell>
          <cell r="DX112" t="str">
            <v/>
          </cell>
          <cell r="DY112" t="str">
            <v/>
          </cell>
          <cell r="DZ112" t="str">
            <v/>
          </cell>
          <cell r="EA112">
            <v>0</v>
          </cell>
          <cell r="EB112">
            <v>0</v>
          </cell>
          <cell r="EC112">
            <v>0</v>
          </cell>
          <cell r="ED112">
            <v>0</v>
          </cell>
          <cell r="EE112">
            <v>0</v>
          </cell>
          <cell r="EF112">
            <v>0</v>
          </cell>
          <cell r="EG112">
            <v>0</v>
          </cell>
          <cell r="EH112">
            <v>0</v>
          </cell>
          <cell r="EI112">
            <v>0</v>
          </cell>
          <cell r="EJ112">
            <v>0</v>
          </cell>
          <cell r="EK112">
            <v>0</v>
          </cell>
          <cell r="EL112">
            <v>0</v>
          </cell>
          <cell r="EM112">
            <v>0</v>
          </cell>
          <cell r="EN112">
            <v>0</v>
          </cell>
          <cell r="EO112">
            <v>0</v>
          </cell>
          <cell r="EP112">
            <v>0</v>
          </cell>
          <cell r="EQ112">
            <v>0</v>
          </cell>
          <cell r="ER112">
            <v>0</v>
          </cell>
          <cell r="ES112">
            <v>0</v>
          </cell>
          <cell r="ET112">
            <v>0</v>
          </cell>
          <cell r="EU112">
            <v>0</v>
          </cell>
          <cell r="EV112">
            <v>0</v>
          </cell>
          <cell r="EW112">
            <v>0</v>
          </cell>
          <cell r="EX112">
            <v>0</v>
          </cell>
          <cell r="EY112">
            <v>0</v>
          </cell>
          <cell r="EZ112">
            <v>0</v>
          </cell>
          <cell r="FA112">
            <v>0</v>
          </cell>
          <cell r="FB112">
            <v>0</v>
          </cell>
          <cell r="FC112">
            <v>0</v>
          </cell>
          <cell r="FD112">
            <v>0</v>
          </cell>
          <cell r="FE112">
            <v>0</v>
          </cell>
          <cell r="FF112">
            <v>0</v>
          </cell>
          <cell r="FG112">
            <v>0</v>
          </cell>
          <cell r="FH112">
            <v>0</v>
          </cell>
          <cell r="FI112">
            <v>0</v>
          </cell>
          <cell r="FJ112">
            <v>0</v>
          </cell>
          <cell r="FK112">
            <v>0</v>
          </cell>
          <cell r="FL112">
            <v>0</v>
          </cell>
          <cell r="FM112">
            <v>0</v>
          </cell>
          <cell r="FN112">
            <v>0</v>
          </cell>
          <cell r="FO112">
            <v>0</v>
          </cell>
          <cell r="FP112">
            <v>0</v>
          </cell>
          <cell r="FQ112">
            <v>0</v>
          </cell>
          <cell r="FR112">
            <v>0</v>
          </cell>
          <cell r="FS112">
            <v>0</v>
          </cell>
          <cell r="FT112">
            <v>0</v>
          </cell>
          <cell r="FU112">
            <v>0</v>
          </cell>
          <cell r="FV112">
            <v>0</v>
          </cell>
          <cell r="FW112">
            <v>0</v>
          </cell>
          <cell r="FX112">
            <v>0</v>
          </cell>
          <cell r="FY112">
            <v>0</v>
          </cell>
          <cell r="FZ112">
            <v>0</v>
          </cell>
          <cell r="GA112">
            <v>0</v>
          </cell>
          <cell r="GB112">
            <v>0</v>
          </cell>
          <cell r="GC112">
            <v>0</v>
          </cell>
          <cell r="GD112">
            <v>0</v>
          </cell>
          <cell r="GE112">
            <v>0</v>
          </cell>
          <cell r="GF112">
            <v>0</v>
          </cell>
          <cell r="GG112">
            <v>0</v>
          </cell>
          <cell r="GH112">
            <v>0</v>
          </cell>
          <cell r="GI112">
            <v>0</v>
          </cell>
          <cell r="GJ112">
            <v>0</v>
          </cell>
          <cell r="GK112">
            <v>0</v>
          </cell>
          <cell r="GL112">
            <v>0</v>
          </cell>
          <cell r="GM112">
            <v>0</v>
          </cell>
          <cell r="GN112">
            <v>0</v>
          </cell>
          <cell r="GO112">
            <v>0</v>
          </cell>
          <cell r="GP112">
            <v>0</v>
          </cell>
          <cell r="GQ112">
            <v>0</v>
          </cell>
          <cell r="GR112">
            <v>0</v>
          </cell>
          <cell r="GS112">
            <v>0</v>
          </cell>
          <cell r="GT112">
            <v>0</v>
          </cell>
          <cell r="GU112">
            <v>0</v>
          </cell>
          <cell r="GZ112">
            <v>0</v>
          </cell>
        </row>
        <row r="113">
          <cell r="A113" t="str">
            <v>F_CNP_NRF_CPT_PRP_FRCE_199</v>
          </cell>
          <cell r="B113">
            <v>0</v>
          </cell>
          <cell r="D113">
            <v>0</v>
          </cell>
          <cell r="E113">
            <v>0</v>
          </cell>
          <cell r="F113">
            <v>0</v>
          </cell>
          <cell r="G113">
            <v>0</v>
          </cell>
          <cell r="H113">
            <v>0</v>
          </cell>
          <cell r="I113">
            <v>0</v>
          </cell>
          <cell r="J113">
            <v>0</v>
          </cell>
          <cell r="K113">
            <v>0</v>
          </cell>
          <cell r="L113">
            <v>0</v>
          </cell>
          <cell r="M113">
            <v>0</v>
          </cell>
          <cell r="N113">
            <v>0</v>
          </cell>
          <cell r="O113">
            <v>0</v>
          </cell>
          <cell r="P113">
            <v>0</v>
          </cell>
          <cell r="Q113">
            <v>0</v>
          </cell>
          <cell r="R113">
            <v>0</v>
          </cell>
          <cell r="S113">
            <v>0</v>
          </cell>
          <cell r="T113">
            <v>0</v>
          </cell>
          <cell r="U113">
            <v>0</v>
          </cell>
          <cell r="V113">
            <v>0</v>
          </cell>
          <cell r="W113">
            <v>0</v>
          </cell>
          <cell r="X113">
            <v>0</v>
          </cell>
          <cell r="Y113">
            <v>0</v>
          </cell>
          <cell r="Z113">
            <v>0</v>
          </cell>
          <cell r="AA113">
            <v>0</v>
          </cell>
          <cell r="AB113">
            <v>0</v>
          </cell>
          <cell r="AC113">
            <v>0</v>
          </cell>
          <cell r="AD113">
            <v>0</v>
          </cell>
          <cell r="AE113">
            <v>0</v>
          </cell>
          <cell r="AF113">
            <v>0</v>
          </cell>
          <cell r="AG113">
            <v>0</v>
          </cell>
          <cell r="AH113">
            <v>0</v>
          </cell>
          <cell r="AI113">
            <v>0</v>
          </cell>
          <cell r="AJ113">
            <v>0</v>
          </cell>
          <cell r="AK113">
            <v>0</v>
          </cell>
          <cell r="AL113">
            <v>0</v>
          </cell>
          <cell r="AM113">
            <v>0</v>
          </cell>
          <cell r="AN113">
            <v>0</v>
          </cell>
          <cell r="AO113">
            <v>0</v>
          </cell>
          <cell r="AP113">
            <v>0</v>
          </cell>
          <cell r="AQ113">
            <v>0</v>
          </cell>
          <cell r="AR113">
            <v>0</v>
          </cell>
          <cell r="AS113">
            <v>0</v>
          </cell>
          <cell r="AT113">
            <v>0</v>
          </cell>
          <cell r="AU113">
            <v>0</v>
          </cell>
          <cell r="AV113">
            <v>0</v>
          </cell>
          <cell r="AW113">
            <v>0</v>
          </cell>
          <cell r="AX113">
            <v>0</v>
          </cell>
          <cell r="AY113">
            <v>0</v>
          </cell>
          <cell r="AZ113">
            <v>0</v>
          </cell>
          <cell r="BA113">
            <v>0</v>
          </cell>
          <cell r="BB113">
            <v>0</v>
          </cell>
          <cell r="BC113">
            <v>0</v>
          </cell>
          <cell r="BD113">
            <v>0</v>
          </cell>
          <cell r="BE113">
            <v>0</v>
          </cell>
          <cell r="BF113">
            <v>0</v>
          </cell>
          <cell r="BG113">
            <v>0</v>
          </cell>
          <cell r="BH113">
            <v>0</v>
          </cell>
          <cell r="BI113">
            <v>0</v>
          </cell>
          <cell r="BJ113">
            <v>0</v>
          </cell>
          <cell r="BK113">
            <v>0</v>
          </cell>
          <cell r="BL113">
            <v>0</v>
          </cell>
          <cell r="BM113">
            <v>0</v>
          </cell>
          <cell r="BN113">
            <v>0</v>
          </cell>
          <cell r="BO113">
            <v>0</v>
          </cell>
          <cell r="BP113">
            <v>0</v>
          </cell>
          <cell r="BQ113">
            <v>0</v>
          </cell>
          <cell r="BR113">
            <v>0</v>
          </cell>
          <cell r="BS113">
            <v>0</v>
          </cell>
          <cell r="BT113">
            <v>0</v>
          </cell>
          <cell r="BU113">
            <v>0</v>
          </cell>
          <cell r="BV113">
            <v>0</v>
          </cell>
          <cell r="BW113">
            <v>0</v>
          </cell>
          <cell r="BX113">
            <v>0</v>
          </cell>
          <cell r="BY113">
            <v>0</v>
          </cell>
          <cell r="BZ113">
            <v>0</v>
          </cell>
          <cell r="CA113">
            <v>0</v>
          </cell>
          <cell r="CB113">
            <v>0</v>
          </cell>
          <cell r="CC113">
            <v>0</v>
          </cell>
          <cell r="CD113">
            <v>0</v>
          </cell>
          <cell r="CE113">
            <v>0</v>
          </cell>
          <cell r="CF113">
            <v>0</v>
          </cell>
          <cell r="CG113">
            <v>0</v>
          </cell>
          <cell r="CH113">
            <v>0</v>
          </cell>
          <cell r="CI113">
            <v>0</v>
          </cell>
          <cell r="CJ113">
            <v>0</v>
          </cell>
          <cell r="CK113">
            <v>0</v>
          </cell>
          <cell r="CL113">
            <v>0</v>
          </cell>
          <cell r="CM113">
            <v>0</v>
          </cell>
          <cell r="CN113">
            <v>0</v>
          </cell>
          <cell r="CO113">
            <v>0</v>
          </cell>
          <cell r="CP113">
            <v>0</v>
          </cell>
          <cell r="CQ113">
            <v>0</v>
          </cell>
          <cell r="CR113">
            <v>0</v>
          </cell>
          <cell r="CS113">
            <v>0</v>
          </cell>
          <cell r="CT113">
            <v>0</v>
          </cell>
          <cell r="CU113">
            <v>0</v>
          </cell>
          <cell r="CV113">
            <v>0</v>
          </cell>
          <cell r="CW113">
            <v>0</v>
          </cell>
          <cell r="CX113">
            <v>0</v>
          </cell>
          <cell r="CY113">
            <v>0</v>
          </cell>
          <cell r="CZ113">
            <v>0</v>
          </cell>
          <cell r="DA113">
            <v>0</v>
          </cell>
          <cell r="DB113">
            <v>0</v>
          </cell>
          <cell r="DC113">
            <v>0</v>
          </cell>
          <cell r="DD113">
            <v>0</v>
          </cell>
          <cell r="DE113">
            <v>0</v>
          </cell>
          <cell r="DF113">
            <v>0</v>
          </cell>
          <cell r="DG113">
            <v>0</v>
          </cell>
          <cell r="DH113">
            <v>0</v>
          </cell>
          <cell r="DI113">
            <v>0</v>
          </cell>
          <cell r="DJ113">
            <v>0</v>
          </cell>
          <cell r="DK113">
            <v>0</v>
          </cell>
          <cell r="DL113">
            <v>0</v>
          </cell>
          <cell r="DM113">
            <v>0</v>
          </cell>
          <cell r="DN113">
            <v>0</v>
          </cell>
          <cell r="DO113">
            <v>0</v>
          </cell>
          <cell r="DP113">
            <v>0</v>
          </cell>
          <cell r="DQ113">
            <v>0</v>
          </cell>
          <cell r="DR113">
            <v>0</v>
          </cell>
          <cell r="DS113">
            <v>0</v>
          </cell>
          <cell r="DT113">
            <v>0</v>
          </cell>
          <cell r="DU113">
            <v>0</v>
          </cell>
          <cell r="DV113">
            <v>0</v>
          </cell>
          <cell r="DW113">
            <v>0</v>
          </cell>
          <cell r="DX113" t="str">
            <v/>
          </cell>
          <cell r="DY113" t="str">
            <v/>
          </cell>
          <cell r="DZ113" t="str">
            <v/>
          </cell>
          <cell r="EA113">
            <v>0</v>
          </cell>
          <cell r="EB113">
            <v>0</v>
          </cell>
          <cell r="EC113">
            <v>0</v>
          </cell>
          <cell r="ED113">
            <v>0</v>
          </cell>
          <cell r="EE113">
            <v>0</v>
          </cell>
          <cell r="EF113">
            <v>0</v>
          </cell>
          <cell r="EG113">
            <v>0</v>
          </cell>
          <cell r="EH113">
            <v>0</v>
          </cell>
          <cell r="EI113">
            <v>0</v>
          </cell>
          <cell r="EJ113">
            <v>0</v>
          </cell>
          <cell r="EK113">
            <v>0</v>
          </cell>
          <cell r="EL113">
            <v>0</v>
          </cell>
          <cell r="EM113">
            <v>0</v>
          </cell>
          <cell r="EN113">
            <v>0</v>
          </cell>
          <cell r="EO113">
            <v>0</v>
          </cell>
          <cell r="EP113">
            <v>0</v>
          </cell>
          <cell r="EQ113">
            <v>0</v>
          </cell>
          <cell r="ER113">
            <v>0</v>
          </cell>
          <cell r="ES113">
            <v>0</v>
          </cell>
          <cell r="ET113">
            <v>0</v>
          </cell>
          <cell r="EU113">
            <v>0</v>
          </cell>
          <cell r="EV113">
            <v>0</v>
          </cell>
          <cell r="EW113">
            <v>0</v>
          </cell>
          <cell r="EX113">
            <v>0</v>
          </cell>
          <cell r="EY113">
            <v>0</v>
          </cell>
          <cell r="EZ113">
            <v>0</v>
          </cell>
          <cell r="FA113">
            <v>0</v>
          </cell>
          <cell r="FB113">
            <v>0</v>
          </cell>
          <cell r="FC113">
            <v>0</v>
          </cell>
          <cell r="FD113">
            <v>0</v>
          </cell>
          <cell r="FE113">
            <v>0</v>
          </cell>
          <cell r="FF113">
            <v>0</v>
          </cell>
          <cell r="FG113">
            <v>0</v>
          </cell>
          <cell r="FH113">
            <v>0</v>
          </cell>
          <cell r="FI113">
            <v>0</v>
          </cell>
          <cell r="FJ113">
            <v>0</v>
          </cell>
          <cell r="FK113">
            <v>0</v>
          </cell>
          <cell r="FL113">
            <v>0</v>
          </cell>
          <cell r="FM113">
            <v>0</v>
          </cell>
          <cell r="FN113">
            <v>0</v>
          </cell>
          <cell r="FO113">
            <v>0</v>
          </cell>
          <cell r="FP113">
            <v>0</v>
          </cell>
          <cell r="FQ113">
            <v>0</v>
          </cell>
          <cell r="FR113">
            <v>0</v>
          </cell>
          <cell r="FS113">
            <v>0</v>
          </cell>
          <cell r="FT113">
            <v>0</v>
          </cell>
          <cell r="FU113">
            <v>0</v>
          </cell>
          <cell r="FV113">
            <v>0</v>
          </cell>
          <cell r="FW113">
            <v>0</v>
          </cell>
          <cell r="FX113">
            <v>0</v>
          </cell>
          <cell r="FY113">
            <v>0</v>
          </cell>
          <cell r="FZ113">
            <v>0</v>
          </cell>
          <cell r="GA113">
            <v>0</v>
          </cell>
          <cell r="GB113">
            <v>0</v>
          </cell>
          <cell r="GC113">
            <v>0</v>
          </cell>
          <cell r="GD113">
            <v>0</v>
          </cell>
          <cell r="GE113">
            <v>0</v>
          </cell>
          <cell r="GF113">
            <v>0</v>
          </cell>
          <cell r="GG113">
            <v>0</v>
          </cell>
          <cell r="GH113">
            <v>0</v>
          </cell>
          <cell r="GI113">
            <v>0</v>
          </cell>
          <cell r="GJ113">
            <v>0</v>
          </cell>
          <cell r="GK113">
            <v>0</v>
          </cell>
          <cell r="GL113">
            <v>0</v>
          </cell>
          <cell r="GM113">
            <v>0</v>
          </cell>
          <cell r="GN113">
            <v>0</v>
          </cell>
          <cell r="GO113">
            <v>0</v>
          </cell>
          <cell r="GP113">
            <v>0</v>
          </cell>
          <cell r="GQ113">
            <v>0</v>
          </cell>
          <cell r="GR113">
            <v>0</v>
          </cell>
          <cell r="GS113">
            <v>0</v>
          </cell>
          <cell r="GT113">
            <v>0</v>
          </cell>
          <cell r="GU113">
            <v>0</v>
          </cell>
          <cell r="GZ113">
            <v>0</v>
          </cell>
        </row>
        <row r="114">
          <cell r="A114" t="str">
            <v>F_CNP_NRF_CPT_PRP_FRCE_200</v>
          </cell>
          <cell r="B114">
            <v>0</v>
          </cell>
          <cell r="D114">
            <v>2658786252.0500002</v>
          </cell>
          <cell r="E114">
            <v>0</v>
          </cell>
          <cell r="F114">
            <v>2658786252.0500002</v>
          </cell>
          <cell r="G114">
            <v>2658786252.0500002</v>
          </cell>
          <cell r="H114">
            <v>0</v>
          </cell>
          <cell r="I114">
            <v>0</v>
          </cell>
          <cell r="J114">
            <v>2658786252.0500002</v>
          </cell>
          <cell r="K114">
            <v>2658786252.0500002</v>
          </cell>
          <cell r="L114">
            <v>2658786252.0500002</v>
          </cell>
          <cell r="M114">
            <v>0</v>
          </cell>
          <cell r="N114">
            <v>2658786252.0500002</v>
          </cell>
          <cell r="O114">
            <v>2658786252.0500002</v>
          </cell>
          <cell r="P114">
            <v>2658786252.0500002</v>
          </cell>
          <cell r="Q114">
            <v>2658786252.0500002</v>
          </cell>
          <cell r="R114">
            <v>0</v>
          </cell>
          <cell r="S114">
            <v>2658786252.0500002</v>
          </cell>
          <cell r="T114">
            <v>2658786252.0500002</v>
          </cell>
          <cell r="U114">
            <v>2658786252.0500002</v>
          </cell>
          <cell r="V114">
            <v>2658786252.0500002</v>
          </cell>
          <cell r="W114">
            <v>2658786252.0500002</v>
          </cell>
          <cell r="X114">
            <v>2658786252.0500002</v>
          </cell>
          <cell r="Y114">
            <v>2658786252.0500002</v>
          </cell>
          <cell r="Z114">
            <v>2658786252.0500002</v>
          </cell>
          <cell r="AA114">
            <v>2658786252.0500002</v>
          </cell>
          <cell r="AB114">
            <v>2672099944.1933899</v>
          </cell>
          <cell r="AC114">
            <v>2596302406.1771798</v>
          </cell>
          <cell r="AD114">
            <v>0</v>
          </cell>
          <cell r="AE114">
            <v>0</v>
          </cell>
          <cell r="AF114">
            <v>2571812537.4405098</v>
          </cell>
          <cell r="AG114">
            <v>2571812537.4405098</v>
          </cell>
          <cell r="AH114">
            <v>2571812537.4405098</v>
          </cell>
          <cell r="AI114">
            <v>0</v>
          </cell>
          <cell r="AJ114">
            <v>2348872734.75144</v>
          </cell>
          <cell r="AK114">
            <v>2348872734.75144</v>
          </cell>
          <cell r="AL114">
            <v>2348872734.75144</v>
          </cell>
          <cell r="AM114">
            <v>2658786252.0500002</v>
          </cell>
          <cell r="AN114">
            <v>0</v>
          </cell>
          <cell r="AO114">
            <v>2323651384.8909998</v>
          </cell>
          <cell r="AP114">
            <v>2323651384.8909998</v>
          </cell>
          <cell r="AQ114">
            <v>2323651384.8909998</v>
          </cell>
          <cell r="AR114">
            <v>2323651384.8909998</v>
          </cell>
          <cell r="AS114">
            <v>2323651384.8909998</v>
          </cell>
          <cell r="AT114">
            <v>2323651384.8909998</v>
          </cell>
          <cell r="AU114">
            <v>2323651384.8909998</v>
          </cell>
          <cell r="AV114">
            <v>2590659754.7831998</v>
          </cell>
          <cell r="AW114">
            <v>2658786252.0500002</v>
          </cell>
          <cell r="AX114">
            <v>0</v>
          </cell>
          <cell r="AY114">
            <v>0</v>
          </cell>
          <cell r="AZ114">
            <v>0</v>
          </cell>
          <cell r="BA114">
            <v>0</v>
          </cell>
          <cell r="BB114">
            <v>0</v>
          </cell>
          <cell r="BC114">
            <v>0</v>
          </cell>
          <cell r="BD114">
            <v>0</v>
          </cell>
          <cell r="BE114">
            <v>0</v>
          </cell>
          <cell r="BF114">
            <v>0</v>
          </cell>
          <cell r="BG114">
            <v>0</v>
          </cell>
          <cell r="BH114">
            <v>0</v>
          </cell>
          <cell r="BI114">
            <v>0</v>
          </cell>
          <cell r="BJ114">
            <v>0</v>
          </cell>
          <cell r="BK114">
            <v>0</v>
          </cell>
          <cell r="BL114">
            <v>0</v>
          </cell>
          <cell r="BM114">
            <v>0</v>
          </cell>
          <cell r="BN114">
            <v>0</v>
          </cell>
          <cell r="BO114">
            <v>0</v>
          </cell>
          <cell r="BP114">
            <v>0</v>
          </cell>
          <cell r="BQ114">
            <v>0</v>
          </cell>
          <cell r="BR114">
            <v>0</v>
          </cell>
          <cell r="BS114">
            <v>0</v>
          </cell>
          <cell r="BT114">
            <v>0</v>
          </cell>
          <cell r="BU114">
            <v>0</v>
          </cell>
          <cell r="BV114">
            <v>0</v>
          </cell>
          <cell r="BW114">
            <v>0</v>
          </cell>
          <cell r="BX114">
            <v>0</v>
          </cell>
          <cell r="BY114">
            <v>0</v>
          </cell>
          <cell r="BZ114">
            <v>0</v>
          </cell>
          <cell r="CA114">
            <v>0</v>
          </cell>
          <cell r="CB114">
            <v>0</v>
          </cell>
          <cell r="CC114">
            <v>0</v>
          </cell>
          <cell r="CD114">
            <v>0</v>
          </cell>
          <cell r="CE114">
            <v>0</v>
          </cell>
          <cell r="CF114">
            <v>0</v>
          </cell>
          <cell r="CG114">
            <v>0</v>
          </cell>
          <cell r="CH114">
            <v>0</v>
          </cell>
          <cell r="CI114">
            <v>0</v>
          </cell>
          <cell r="CJ114">
            <v>0</v>
          </cell>
          <cell r="CK114">
            <v>0</v>
          </cell>
          <cell r="CL114">
            <v>0</v>
          </cell>
          <cell r="CM114">
            <v>0</v>
          </cell>
          <cell r="CN114">
            <v>0</v>
          </cell>
          <cell r="CO114">
            <v>0</v>
          </cell>
          <cell r="CP114">
            <v>0</v>
          </cell>
          <cell r="CQ114">
            <v>0</v>
          </cell>
          <cell r="CR114">
            <v>0</v>
          </cell>
          <cell r="CS114">
            <v>0</v>
          </cell>
          <cell r="CT114">
            <v>0</v>
          </cell>
          <cell r="CU114">
            <v>0</v>
          </cell>
          <cell r="CV114">
            <v>0</v>
          </cell>
          <cell r="CW114">
            <v>0</v>
          </cell>
          <cell r="CX114">
            <v>0</v>
          </cell>
          <cell r="CY114">
            <v>0</v>
          </cell>
          <cell r="CZ114">
            <v>0</v>
          </cell>
          <cell r="DA114">
            <v>0</v>
          </cell>
          <cell r="DB114">
            <v>0</v>
          </cell>
          <cell r="DC114">
            <v>0</v>
          </cell>
          <cell r="DD114">
            <v>0</v>
          </cell>
          <cell r="DE114">
            <v>0</v>
          </cell>
          <cell r="DF114">
            <v>0</v>
          </cell>
          <cell r="DG114">
            <v>0</v>
          </cell>
          <cell r="DH114">
            <v>0</v>
          </cell>
          <cell r="DI114">
            <v>0</v>
          </cell>
          <cell r="DJ114">
            <v>0</v>
          </cell>
          <cell r="DK114">
            <v>0</v>
          </cell>
          <cell r="DL114">
            <v>0</v>
          </cell>
          <cell r="DM114">
            <v>0</v>
          </cell>
          <cell r="DN114">
            <v>0</v>
          </cell>
          <cell r="DO114">
            <v>0</v>
          </cell>
          <cell r="DP114">
            <v>0</v>
          </cell>
          <cell r="DQ114">
            <v>0</v>
          </cell>
          <cell r="DR114">
            <v>0</v>
          </cell>
          <cell r="DS114">
            <v>0</v>
          </cell>
          <cell r="DT114">
            <v>0</v>
          </cell>
          <cell r="DU114">
            <v>0</v>
          </cell>
          <cell r="DV114">
            <v>0</v>
          </cell>
          <cell r="DW114">
            <v>0</v>
          </cell>
          <cell r="DX114" t="str">
            <v/>
          </cell>
          <cell r="DY114" t="str">
            <v/>
          </cell>
          <cell r="DZ114" t="str">
            <v/>
          </cell>
          <cell r="EA114">
            <v>0</v>
          </cell>
          <cell r="EB114">
            <v>0</v>
          </cell>
          <cell r="EC114">
            <v>0</v>
          </cell>
          <cell r="ED114">
            <v>0</v>
          </cell>
          <cell r="EE114">
            <v>0</v>
          </cell>
          <cell r="EF114">
            <v>0</v>
          </cell>
          <cell r="EG114">
            <v>0</v>
          </cell>
          <cell r="EH114">
            <v>0</v>
          </cell>
          <cell r="EI114">
            <v>0</v>
          </cell>
          <cell r="EJ114">
            <v>0</v>
          </cell>
          <cell r="EK114">
            <v>0</v>
          </cell>
          <cell r="EL114">
            <v>0</v>
          </cell>
          <cell r="EM114">
            <v>0</v>
          </cell>
          <cell r="EN114">
            <v>0</v>
          </cell>
          <cell r="EO114">
            <v>0</v>
          </cell>
          <cell r="EP114">
            <v>0</v>
          </cell>
          <cell r="EQ114">
            <v>0</v>
          </cell>
          <cell r="ER114">
            <v>0</v>
          </cell>
          <cell r="ES114">
            <v>0</v>
          </cell>
          <cell r="ET114">
            <v>0</v>
          </cell>
          <cell r="EU114">
            <v>0</v>
          </cell>
          <cell r="EV114">
            <v>0</v>
          </cell>
          <cell r="EW114">
            <v>0</v>
          </cell>
          <cell r="EX114">
            <v>0</v>
          </cell>
          <cell r="EY114">
            <v>0</v>
          </cell>
          <cell r="EZ114">
            <v>0</v>
          </cell>
          <cell r="FA114">
            <v>0</v>
          </cell>
          <cell r="FB114">
            <v>0</v>
          </cell>
          <cell r="FC114">
            <v>0</v>
          </cell>
          <cell r="FD114">
            <v>0</v>
          </cell>
          <cell r="FE114">
            <v>0</v>
          </cell>
          <cell r="FF114">
            <v>0</v>
          </cell>
          <cell r="FG114">
            <v>0</v>
          </cell>
          <cell r="FH114">
            <v>0</v>
          </cell>
          <cell r="FI114">
            <v>0</v>
          </cell>
          <cell r="FJ114">
            <v>0</v>
          </cell>
          <cell r="FK114">
            <v>0</v>
          </cell>
          <cell r="FL114">
            <v>0</v>
          </cell>
          <cell r="FM114">
            <v>0</v>
          </cell>
          <cell r="FN114">
            <v>0</v>
          </cell>
          <cell r="FO114">
            <v>0</v>
          </cell>
          <cell r="FP114">
            <v>0</v>
          </cell>
          <cell r="FQ114">
            <v>0</v>
          </cell>
          <cell r="FR114">
            <v>0</v>
          </cell>
          <cell r="FS114">
            <v>0</v>
          </cell>
          <cell r="FT114">
            <v>0</v>
          </cell>
          <cell r="FU114">
            <v>0</v>
          </cell>
          <cell r="FV114">
            <v>0</v>
          </cell>
          <cell r="FW114">
            <v>0</v>
          </cell>
          <cell r="FX114">
            <v>0</v>
          </cell>
          <cell r="FY114">
            <v>0</v>
          </cell>
          <cell r="FZ114">
            <v>0</v>
          </cell>
          <cell r="GA114">
            <v>0</v>
          </cell>
          <cell r="GB114">
            <v>0</v>
          </cell>
          <cell r="GC114">
            <v>0</v>
          </cell>
          <cell r="GD114">
            <v>0</v>
          </cell>
          <cell r="GE114">
            <v>0</v>
          </cell>
          <cell r="GF114">
            <v>0</v>
          </cell>
          <cell r="GG114">
            <v>0</v>
          </cell>
          <cell r="GH114">
            <v>0</v>
          </cell>
          <cell r="GI114">
            <v>0</v>
          </cell>
          <cell r="GJ114">
            <v>0</v>
          </cell>
          <cell r="GK114">
            <v>0</v>
          </cell>
          <cell r="GL114">
            <v>0</v>
          </cell>
          <cell r="GM114">
            <v>0</v>
          </cell>
          <cell r="GN114">
            <v>0</v>
          </cell>
          <cell r="GO114">
            <v>0</v>
          </cell>
          <cell r="GP114">
            <v>0</v>
          </cell>
          <cell r="GQ114">
            <v>0</v>
          </cell>
          <cell r="GR114">
            <v>0</v>
          </cell>
          <cell r="GS114">
            <v>0</v>
          </cell>
          <cell r="GT114">
            <v>0</v>
          </cell>
          <cell r="GU114">
            <v>0</v>
          </cell>
          <cell r="GZ114">
            <v>0</v>
          </cell>
        </row>
        <row r="115">
          <cell r="A115" t="str">
            <v>F_CNP_NRF_CPT_PRP_FRCE_201</v>
          </cell>
          <cell r="B115">
            <v>0</v>
          </cell>
          <cell r="D115">
            <v>14834760082.954271</v>
          </cell>
          <cell r="E115">
            <v>0</v>
          </cell>
          <cell r="F115">
            <v>14834760082.954271</v>
          </cell>
          <cell r="G115">
            <v>14834760082.954271</v>
          </cell>
          <cell r="H115">
            <v>0</v>
          </cell>
          <cell r="I115">
            <v>0</v>
          </cell>
          <cell r="J115">
            <v>14834760082.954271</v>
          </cell>
          <cell r="K115">
            <v>14834760082.954271</v>
          </cell>
          <cell r="L115">
            <v>14834760082.954271</v>
          </cell>
          <cell r="M115">
            <v>0</v>
          </cell>
          <cell r="N115">
            <v>14834760082.954271</v>
          </cell>
          <cell r="O115">
            <v>14834760082.954271</v>
          </cell>
          <cell r="P115">
            <v>14834760082.954271</v>
          </cell>
          <cell r="Q115">
            <v>14834760082.954271</v>
          </cell>
          <cell r="R115">
            <v>0</v>
          </cell>
          <cell r="S115">
            <v>14834760082.954271</v>
          </cell>
          <cell r="T115">
            <v>14834760082.954271</v>
          </cell>
          <cell r="U115">
            <v>14834760082.954271</v>
          </cell>
          <cell r="V115">
            <v>14834760082.954271</v>
          </cell>
          <cell r="W115">
            <v>14834760082.954271</v>
          </cell>
          <cell r="X115">
            <v>14834760082.954271</v>
          </cell>
          <cell r="Y115">
            <v>14834760082.954271</v>
          </cell>
          <cell r="Z115">
            <v>14834760082.954271</v>
          </cell>
          <cell r="AA115">
            <v>14834760082.954271</v>
          </cell>
          <cell r="AB115">
            <v>14958627088.185101</v>
          </cell>
          <cell r="AC115">
            <v>14327176524.994572</v>
          </cell>
          <cell r="AD115">
            <v>0</v>
          </cell>
          <cell r="AE115">
            <v>0</v>
          </cell>
          <cell r="AF115">
            <v>13747831759.65242</v>
          </cell>
          <cell r="AG115">
            <v>13747831759.65242</v>
          </cell>
          <cell r="AH115">
            <v>13747831759.65242</v>
          </cell>
          <cell r="AI115">
            <v>0</v>
          </cell>
          <cell r="AJ115">
            <v>14574644589.651289</v>
          </cell>
          <cell r="AK115">
            <v>14574644589.651289</v>
          </cell>
          <cell r="AL115">
            <v>14574644589.651289</v>
          </cell>
          <cell r="AM115">
            <v>14569004180.51112</v>
          </cell>
          <cell r="AN115">
            <v>0</v>
          </cell>
          <cell r="AO115">
            <v>14185737904.651331</v>
          </cell>
          <cell r="AP115">
            <v>14185737904.651331</v>
          </cell>
          <cell r="AQ115">
            <v>14185737904.651331</v>
          </cell>
          <cell r="AR115">
            <v>14185737904.651331</v>
          </cell>
          <cell r="AS115">
            <v>14185737904.651331</v>
          </cell>
          <cell r="AT115">
            <v>14185737904.651331</v>
          </cell>
          <cell r="AU115">
            <v>14185737904.651331</v>
          </cell>
          <cell r="AV115">
            <v>14657893240.170971</v>
          </cell>
          <cell r="AW115">
            <v>14834760082.954271</v>
          </cell>
          <cell r="AX115">
            <v>0</v>
          </cell>
          <cell r="AY115">
            <v>0</v>
          </cell>
          <cell r="AZ115">
            <v>0</v>
          </cell>
          <cell r="BA115">
            <v>0</v>
          </cell>
          <cell r="BB115">
            <v>0</v>
          </cell>
          <cell r="BC115">
            <v>0</v>
          </cell>
          <cell r="BD115">
            <v>0</v>
          </cell>
          <cell r="BE115">
            <v>0</v>
          </cell>
          <cell r="BF115">
            <v>0</v>
          </cell>
          <cell r="BG115">
            <v>0</v>
          </cell>
          <cell r="BH115">
            <v>0</v>
          </cell>
          <cell r="BI115">
            <v>0</v>
          </cell>
          <cell r="BJ115">
            <v>0</v>
          </cell>
          <cell r="BK115">
            <v>0</v>
          </cell>
          <cell r="BL115">
            <v>0</v>
          </cell>
          <cell r="BM115">
            <v>0</v>
          </cell>
          <cell r="BN115">
            <v>0</v>
          </cell>
          <cell r="BO115">
            <v>0</v>
          </cell>
          <cell r="BP115">
            <v>0</v>
          </cell>
          <cell r="BQ115">
            <v>0</v>
          </cell>
          <cell r="BR115">
            <v>0</v>
          </cell>
          <cell r="BS115">
            <v>0</v>
          </cell>
          <cell r="BT115">
            <v>0</v>
          </cell>
          <cell r="BU115">
            <v>0</v>
          </cell>
          <cell r="BV115">
            <v>0</v>
          </cell>
          <cell r="BW115">
            <v>0</v>
          </cell>
          <cell r="BX115">
            <v>0</v>
          </cell>
          <cell r="BY115">
            <v>0</v>
          </cell>
          <cell r="BZ115">
            <v>0</v>
          </cell>
          <cell r="CA115">
            <v>0</v>
          </cell>
          <cell r="CB115">
            <v>0</v>
          </cell>
          <cell r="CC115">
            <v>0</v>
          </cell>
          <cell r="CD115">
            <v>0</v>
          </cell>
          <cell r="CE115">
            <v>0</v>
          </cell>
          <cell r="CF115">
            <v>0</v>
          </cell>
          <cell r="CG115">
            <v>0</v>
          </cell>
          <cell r="CH115">
            <v>0</v>
          </cell>
          <cell r="CI115">
            <v>0</v>
          </cell>
          <cell r="CJ115">
            <v>0</v>
          </cell>
          <cell r="CK115">
            <v>0</v>
          </cell>
          <cell r="CL115">
            <v>0</v>
          </cell>
          <cell r="CM115">
            <v>0</v>
          </cell>
          <cell r="CN115">
            <v>0</v>
          </cell>
          <cell r="CO115">
            <v>0</v>
          </cell>
          <cell r="CP115">
            <v>0</v>
          </cell>
          <cell r="CQ115">
            <v>0</v>
          </cell>
          <cell r="CR115">
            <v>0</v>
          </cell>
          <cell r="CS115">
            <v>0</v>
          </cell>
          <cell r="CT115">
            <v>0</v>
          </cell>
          <cell r="CU115">
            <v>0</v>
          </cell>
          <cell r="CV115">
            <v>0</v>
          </cell>
          <cell r="CW115">
            <v>0</v>
          </cell>
          <cell r="CX115">
            <v>0</v>
          </cell>
          <cell r="CY115">
            <v>0</v>
          </cell>
          <cell r="CZ115">
            <v>0</v>
          </cell>
          <cell r="DA115">
            <v>0</v>
          </cell>
          <cell r="DB115">
            <v>0</v>
          </cell>
          <cell r="DC115">
            <v>0</v>
          </cell>
          <cell r="DD115">
            <v>0</v>
          </cell>
          <cell r="DE115">
            <v>0</v>
          </cell>
          <cell r="DF115">
            <v>0</v>
          </cell>
          <cell r="DG115">
            <v>0</v>
          </cell>
          <cell r="DH115">
            <v>0</v>
          </cell>
          <cell r="DI115">
            <v>0</v>
          </cell>
          <cell r="DJ115">
            <v>0</v>
          </cell>
          <cell r="DK115">
            <v>0</v>
          </cell>
          <cell r="DL115">
            <v>0</v>
          </cell>
          <cell r="DM115">
            <v>0</v>
          </cell>
          <cell r="DN115">
            <v>0</v>
          </cell>
          <cell r="DO115">
            <v>0</v>
          </cell>
          <cell r="DP115">
            <v>0</v>
          </cell>
          <cell r="DQ115">
            <v>0</v>
          </cell>
          <cell r="DR115">
            <v>0</v>
          </cell>
          <cell r="DS115">
            <v>0</v>
          </cell>
          <cell r="DT115">
            <v>0</v>
          </cell>
          <cell r="DU115">
            <v>0</v>
          </cell>
          <cell r="DV115">
            <v>0</v>
          </cell>
          <cell r="DW115">
            <v>0</v>
          </cell>
          <cell r="DX115" t="str">
            <v/>
          </cell>
          <cell r="DY115" t="str">
            <v/>
          </cell>
          <cell r="DZ115" t="str">
            <v/>
          </cell>
          <cell r="EA115">
            <v>0</v>
          </cell>
          <cell r="EB115">
            <v>0</v>
          </cell>
          <cell r="EC115">
            <v>0</v>
          </cell>
          <cell r="ED115">
            <v>0</v>
          </cell>
          <cell r="EE115">
            <v>0</v>
          </cell>
          <cell r="EF115">
            <v>0</v>
          </cell>
          <cell r="EG115">
            <v>0</v>
          </cell>
          <cell r="EH115">
            <v>0</v>
          </cell>
          <cell r="EI115">
            <v>0</v>
          </cell>
          <cell r="EJ115">
            <v>0</v>
          </cell>
          <cell r="EK115">
            <v>0</v>
          </cell>
          <cell r="EL115">
            <v>0</v>
          </cell>
          <cell r="EM115">
            <v>0</v>
          </cell>
          <cell r="EN115">
            <v>0</v>
          </cell>
          <cell r="EO115">
            <v>0</v>
          </cell>
          <cell r="EP115">
            <v>0</v>
          </cell>
          <cell r="EQ115">
            <v>0</v>
          </cell>
          <cell r="ER115">
            <v>0</v>
          </cell>
          <cell r="ES115">
            <v>0</v>
          </cell>
          <cell r="ET115">
            <v>0</v>
          </cell>
          <cell r="EU115">
            <v>0</v>
          </cell>
          <cell r="EV115">
            <v>0</v>
          </cell>
          <cell r="EW115">
            <v>0</v>
          </cell>
          <cell r="EX115">
            <v>0</v>
          </cell>
          <cell r="EY115">
            <v>0</v>
          </cell>
          <cell r="EZ115">
            <v>0</v>
          </cell>
          <cell r="FA115">
            <v>0</v>
          </cell>
          <cell r="FB115">
            <v>0</v>
          </cell>
          <cell r="FC115">
            <v>0</v>
          </cell>
          <cell r="FD115">
            <v>0</v>
          </cell>
          <cell r="FE115">
            <v>0</v>
          </cell>
          <cell r="FF115">
            <v>0</v>
          </cell>
          <cell r="FG115">
            <v>0</v>
          </cell>
          <cell r="FH115">
            <v>0</v>
          </cell>
          <cell r="FI115">
            <v>0</v>
          </cell>
          <cell r="FJ115">
            <v>0</v>
          </cell>
          <cell r="FK115">
            <v>0</v>
          </cell>
          <cell r="FL115">
            <v>0</v>
          </cell>
          <cell r="FM115">
            <v>0</v>
          </cell>
          <cell r="FN115">
            <v>0</v>
          </cell>
          <cell r="FO115">
            <v>0</v>
          </cell>
          <cell r="FP115">
            <v>0</v>
          </cell>
          <cell r="FQ115">
            <v>0</v>
          </cell>
          <cell r="FR115">
            <v>0</v>
          </cell>
          <cell r="FS115">
            <v>0</v>
          </cell>
          <cell r="FT115">
            <v>0</v>
          </cell>
          <cell r="FU115">
            <v>0</v>
          </cell>
          <cell r="FV115">
            <v>0</v>
          </cell>
          <cell r="FW115">
            <v>0</v>
          </cell>
          <cell r="FX115">
            <v>0</v>
          </cell>
          <cell r="FY115">
            <v>0</v>
          </cell>
          <cell r="FZ115">
            <v>0</v>
          </cell>
          <cell r="GA115">
            <v>0</v>
          </cell>
          <cell r="GB115">
            <v>0</v>
          </cell>
          <cell r="GC115">
            <v>0</v>
          </cell>
          <cell r="GD115">
            <v>0</v>
          </cell>
          <cell r="GE115">
            <v>0</v>
          </cell>
          <cell r="GF115">
            <v>0</v>
          </cell>
          <cell r="GG115">
            <v>0</v>
          </cell>
          <cell r="GH115">
            <v>0</v>
          </cell>
          <cell r="GI115">
            <v>0</v>
          </cell>
          <cell r="GJ115">
            <v>0</v>
          </cell>
          <cell r="GK115">
            <v>0</v>
          </cell>
          <cell r="GL115">
            <v>0</v>
          </cell>
          <cell r="GM115">
            <v>0</v>
          </cell>
          <cell r="GN115">
            <v>0</v>
          </cell>
          <cell r="GO115">
            <v>0</v>
          </cell>
          <cell r="GP115">
            <v>0</v>
          </cell>
          <cell r="GQ115">
            <v>0</v>
          </cell>
          <cell r="GR115">
            <v>0</v>
          </cell>
          <cell r="GS115">
            <v>0</v>
          </cell>
          <cell r="GT115">
            <v>0</v>
          </cell>
          <cell r="GU115">
            <v>0</v>
          </cell>
          <cell r="GZ115">
            <v>0</v>
          </cell>
        </row>
        <row r="116">
          <cell r="A116" t="str">
            <v>F_CNP_NRF_CPT_PRP_FRCE_TS_</v>
          </cell>
          <cell r="B116">
            <v>0</v>
          </cell>
          <cell r="D116">
            <v>0</v>
          </cell>
          <cell r="E116">
            <v>0</v>
          </cell>
          <cell r="F116">
            <v>0</v>
          </cell>
          <cell r="G116">
            <v>0</v>
          </cell>
          <cell r="H116">
            <v>0</v>
          </cell>
          <cell r="I116">
            <v>0</v>
          </cell>
          <cell r="J116">
            <v>0</v>
          </cell>
          <cell r="K116">
            <v>0</v>
          </cell>
          <cell r="L116">
            <v>0</v>
          </cell>
          <cell r="M116">
            <v>0</v>
          </cell>
          <cell r="N116">
            <v>0</v>
          </cell>
          <cell r="O116">
            <v>0</v>
          </cell>
          <cell r="P116">
            <v>0</v>
          </cell>
          <cell r="Q116">
            <v>0</v>
          </cell>
          <cell r="R116">
            <v>0</v>
          </cell>
          <cell r="S116">
            <v>0</v>
          </cell>
          <cell r="T116">
            <v>0</v>
          </cell>
          <cell r="U116">
            <v>0</v>
          </cell>
          <cell r="V116">
            <v>0</v>
          </cell>
          <cell r="W116">
            <v>0</v>
          </cell>
          <cell r="X116">
            <v>0</v>
          </cell>
          <cell r="Y116">
            <v>0</v>
          </cell>
          <cell r="Z116">
            <v>0</v>
          </cell>
          <cell r="AA116">
            <v>0</v>
          </cell>
          <cell r="AB116">
            <v>0</v>
          </cell>
          <cell r="AC116">
            <v>0</v>
          </cell>
          <cell r="AD116">
            <v>0</v>
          </cell>
          <cell r="AE116">
            <v>0</v>
          </cell>
          <cell r="AF116">
            <v>0</v>
          </cell>
          <cell r="AG116">
            <v>0</v>
          </cell>
          <cell r="AH116">
            <v>0</v>
          </cell>
          <cell r="AI116">
            <v>0</v>
          </cell>
          <cell r="AJ116">
            <v>0</v>
          </cell>
          <cell r="AK116">
            <v>0</v>
          </cell>
          <cell r="AL116">
            <v>0</v>
          </cell>
          <cell r="AM116">
            <v>0</v>
          </cell>
          <cell r="AN116">
            <v>0</v>
          </cell>
          <cell r="AO116">
            <v>0</v>
          </cell>
          <cell r="AP116">
            <v>0</v>
          </cell>
          <cell r="AQ116">
            <v>0</v>
          </cell>
          <cell r="AR116">
            <v>0</v>
          </cell>
          <cell r="AS116">
            <v>0</v>
          </cell>
          <cell r="AT116">
            <v>0</v>
          </cell>
          <cell r="AU116">
            <v>0</v>
          </cell>
          <cell r="AV116">
            <v>0</v>
          </cell>
          <cell r="AW116">
            <v>0</v>
          </cell>
          <cell r="AX116">
            <v>0</v>
          </cell>
          <cell r="AY116">
            <v>0</v>
          </cell>
          <cell r="AZ116">
            <v>0</v>
          </cell>
          <cell r="BA116">
            <v>0</v>
          </cell>
          <cell r="BB116">
            <v>0</v>
          </cell>
          <cell r="BC116">
            <v>0</v>
          </cell>
          <cell r="BD116">
            <v>0</v>
          </cell>
          <cell r="BE116">
            <v>0</v>
          </cell>
          <cell r="BF116">
            <v>0</v>
          </cell>
          <cell r="BG116">
            <v>0</v>
          </cell>
          <cell r="BH116">
            <v>0</v>
          </cell>
          <cell r="BI116">
            <v>0</v>
          </cell>
          <cell r="BJ116">
            <v>0</v>
          </cell>
          <cell r="BK116">
            <v>0</v>
          </cell>
          <cell r="BL116">
            <v>0</v>
          </cell>
          <cell r="BM116">
            <v>0</v>
          </cell>
          <cell r="BN116">
            <v>0</v>
          </cell>
          <cell r="BO116">
            <v>0</v>
          </cell>
          <cell r="BP116">
            <v>0</v>
          </cell>
          <cell r="BQ116">
            <v>0</v>
          </cell>
          <cell r="BR116">
            <v>0</v>
          </cell>
          <cell r="BS116">
            <v>0</v>
          </cell>
          <cell r="BT116">
            <v>0</v>
          </cell>
          <cell r="BU116">
            <v>0</v>
          </cell>
          <cell r="BV116">
            <v>0</v>
          </cell>
          <cell r="BW116">
            <v>0</v>
          </cell>
          <cell r="BX116">
            <v>0</v>
          </cell>
          <cell r="BY116">
            <v>0</v>
          </cell>
          <cell r="BZ116">
            <v>0</v>
          </cell>
          <cell r="CA116">
            <v>0</v>
          </cell>
          <cell r="CB116">
            <v>0</v>
          </cell>
          <cell r="CC116">
            <v>0</v>
          </cell>
          <cell r="CD116">
            <v>0</v>
          </cell>
          <cell r="CE116">
            <v>0</v>
          </cell>
          <cell r="CF116">
            <v>0</v>
          </cell>
          <cell r="CG116">
            <v>0</v>
          </cell>
          <cell r="CH116">
            <v>0</v>
          </cell>
          <cell r="CI116">
            <v>0</v>
          </cell>
          <cell r="CJ116">
            <v>0</v>
          </cell>
          <cell r="CK116">
            <v>0</v>
          </cell>
          <cell r="CL116">
            <v>0</v>
          </cell>
          <cell r="CM116">
            <v>0</v>
          </cell>
          <cell r="CN116">
            <v>0</v>
          </cell>
          <cell r="CO116">
            <v>0</v>
          </cell>
          <cell r="CP116">
            <v>0</v>
          </cell>
          <cell r="CQ116">
            <v>0</v>
          </cell>
          <cell r="CR116">
            <v>0</v>
          </cell>
          <cell r="CS116">
            <v>0</v>
          </cell>
          <cell r="CT116">
            <v>0</v>
          </cell>
          <cell r="CU116">
            <v>0</v>
          </cell>
          <cell r="CV116">
            <v>0</v>
          </cell>
          <cell r="CW116">
            <v>0</v>
          </cell>
          <cell r="CX116">
            <v>0</v>
          </cell>
          <cell r="CY116">
            <v>0</v>
          </cell>
          <cell r="CZ116">
            <v>0</v>
          </cell>
          <cell r="DA116">
            <v>0</v>
          </cell>
          <cell r="DB116">
            <v>0</v>
          </cell>
          <cell r="DC116">
            <v>0</v>
          </cell>
          <cell r="DD116">
            <v>0</v>
          </cell>
          <cell r="DE116">
            <v>0</v>
          </cell>
          <cell r="DF116">
            <v>0</v>
          </cell>
          <cell r="DG116">
            <v>0</v>
          </cell>
          <cell r="DH116">
            <v>0</v>
          </cell>
          <cell r="DI116">
            <v>0</v>
          </cell>
          <cell r="DJ116">
            <v>0</v>
          </cell>
          <cell r="DK116">
            <v>0</v>
          </cell>
          <cell r="DL116">
            <v>0</v>
          </cell>
          <cell r="DM116">
            <v>0</v>
          </cell>
          <cell r="DN116">
            <v>0</v>
          </cell>
          <cell r="DO116">
            <v>0</v>
          </cell>
          <cell r="DP116">
            <v>0</v>
          </cell>
          <cell r="DQ116">
            <v>0</v>
          </cell>
          <cell r="DR116">
            <v>0</v>
          </cell>
          <cell r="DS116">
            <v>0</v>
          </cell>
          <cell r="DT116">
            <v>0</v>
          </cell>
          <cell r="DU116">
            <v>0</v>
          </cell>
          <cell r="DV116">
            <v>0</v>
          </cell>
          <cell r="DW116">
            <v>0</v>
          </cell>
          <cell r="DX116" t="str">
            <v/>
          </cell>
          <cell r="DY116" t="str">
            <v/>
          </cell>
          <cell r="DZ116" t="str">
            <v/>
          </cell>
          <cell r="EA116">
            <v>0</v>
          </cell>
          <cell r="EB116">
            <v>0</v>
          </cell>
          <cell r="EC116">
            <v>0</v>
          </cell>
          <cell r="ED116">
            <v>0</v>
          </cell>
          <cell r="EE116">
            <v>0</v>
          </cell>
          <cell r="EF116">
            <v>0</v>
          </cell>
          <cell r="EG116">
            <v>0</v>
          </cell>
          <cell r="EH116">
            <v>0</v>
          </cell>
          <cell r="EI116">
            <v>0</v>
          </cell>
          <cell r="EJ116">
            <v>0</v>
          </cell>
          <cell r="EK116">
            <v>0</v>
          </cell>
          <cell r="EL116">
            <v>0</v>
          </cell>
          <cell r="EM116">
            <v>0</v>
          </cell>
          <cell r="EN116">
            <v>0</v>
          </cell>
          <cell r="EO116">
            <v>0</v>
          </cell>
          <cell r="EP116">
            <v>0</v>
          </cell>
          <cell r="EQ116">
            <v>0</v>
          </cell>
          <cell r="ER116">
            <v>0</v>
          </cell>
          <cell r="ES116">
            <v>0</v>
          </cell>
          <cell r="ET116">
            <v>0</v>
          </cell>
          <cell r="EU116">
            <v>0</v>
          </cell>
          <cell r="EV116">
            <v>0</v>
          </cell>
          <cell r="EW116">
            <v>0</v>
          </cell>
          <cell r="EX116">
            <v>0</v>
          </cell>
          <cell r="EY116">
            <v>0</v>
          </cell>
          <cell r="EZ116">
            <v>0</v>
          </cell>
          <cell r="FA116">
            <v>0</v>
          </cell>
          <cell r="FB116">
            <v>0</v>
          </cell>
          <cell r="FC116">
            <v>0</v>
          </cell>
          <cell r="FD116">
            <v>0</v>
          </cell>
          <cell r="FE116">
            <v>0</v>
          </cell>
          <cell r="FF116">
            <v>0</v>
          </cell>
          <cell r="FG116">
            <v>0</v>
          </cell>
          <cell r="FH116">
            <v>0</v>
          </cell>
          <cell r="FI116">
            <v>0</v>
          </cell>
          <cell r="FJ116">
            <v>0</v>
          </cell>
          <cell r="FK116">
            <v>0</v>
          </cell>
          <cell r="FL116">
            <v>0</v>
          </cell>
          <cell r="FM116">
            <v>0</v>
          </cell>
          <cell r="FN116">
            <v>0</v>
          </cell>
          <cell r="FO116">
            <v>0</v>
          </cell>
          <cell r="FP116">
            <v>0</v>
          </cell>
          <cell r="FQ116">
            <v>0</v>
          </cell>
          <cell r="FR116">
            <v>0</v>
          </cell>
          <cell r="FS116">
            <v>0</v>
          </cell>
          <cell r="FT116">
            <v>0</v>
          </cell>
          <cell r="FU116">
            <v>0</v>
          </cell>
          <cell r="FV116">
            <v>0</v>
          </cell>
          <cell r="FW116">
            <v>0</v>
          </cell>
          <cell r="FX116">
            <v>0</v>
          </cell>
          <cell r="FY116">
            <v>0</v>
          </cell>
          <cell r="FZ116">
            <v>0</v>
          </cell>
          <cell r="GA116">
            <v>0</v>
          </cell>
          <cell r="GB116">
            <v>0</v>
          </cell>
          <cell r="GC116">
            <v>0</v>
          </cell>
          <cell r="GD116">
            <v>0</v>
          </cell>
          <cell r="GE116">
            <v>0</v>
          </cell>
          <cell r="GF116">
            <v>0</v>
          </cell>
          <cell r="GG116">
            <v>0</v>
          </cell>
          <cell r="GH116">
            <v>0</v>
          </cell>
          <cell r="GI116">
            <v>0</v>
          </cell>
          <cell r="GJ116">
            <v>0</v>
          </cell>
          <cell r="GK116">
            <v>0</v>
          </cell>
          <cell r="GL116">
            <v>0</v>
          </cell>
          <cell r="GM116">
            <v>0</v>
          </cell>
          <cell r="GN116">
            <v>0</v>
          </cell>
          <cell r="GO116">
            <v>0</v>
          </cell>
          <cell r="GP116">
            <v>0</v>
          </cell>
          <cell r="GQ116">
            <v>0</v>
          </cell>
          <cell r="GR116">
            <v>0</v>
          </cell>
          <cell r="GS116">
            <v>0</v>
          </cell>
          <cell r="GT116">
            <v>0</v>
          </cell>
          <cell r="GU116">
            <v>0</v>
          </cell>
          <cell r="GZ116">
            <v>0</v>
          </cell>
        </row>
        <row r="117">
          <cell r="A117" t="str">
            <v>F_CNP_NRF_CPT_PRP_FRCE_AUE</v>
          </cell>
          <cell r="B117">
            <v>0</v>
          </cell>
          <cell r="D117">
            <v>0</v>
          </cell>
          <cell r="E117">
            <v>0</v>
          </cell>
          <cell r="F117">
            <v>0</v>
          </cell>
          <cell r="G117">
            <v>0</v>
          </cell>
          <cell r="H117">
            <v>0</v>
          </cell>
          <cell r="I117">
            <v>0</v>
          </cell>
          <cell r="J117">
            <v>0</v>
          </cell>
          <cell r="K117">
            <v>0</v>
          </cell>
          <cell r="L117">
            <v>0</v>
          </cell>
          <cell r="M117">
            <v>0</v>
          </cell>
          <cell r="N117">
            <v>0</v>
          </cell>
          <cell r="O117">
            <v>0</v>
          </cell>
          <cell r="P117">
            <v>0</v>
          </cell>
          <cell r="Q117">
            <v>0</v>
          </cell>
          <cell r="R117">
            <v>0</v>
          </cell>
          <cell r="S117">
            <v>0</v>
          </cell>
          <cell r="T117">
            <v>0</v>
          </cell>
          <cell r="U117">
            <v>0</v>
          </cell>
          <cell r="V117">
            <v>0</v>
          </cell>
          <cell r="W117">
            <v>0</v>
          </cell>
          <cell r="X117">
            <v>0</v>
          </cell>
          <cell r="Y117">
            <v>0</v>
          </cell>
          <cell r="Z117">
            <v>0</v>
          </cell>
          <cell r="AA117">
            <v>0</v>
          </cell>
          <cell r="AB117">
            <v>0</v>
          </cell>
          <cell r="AC117">
            <v>0</v>
          </cell>
          <cell r="AD117">
            <v>0</v>
          </cell>
          <cell r="AE117">
            <v>0</v>
          </cell>
          <cell r="AF117">
            <v>0</v>
          </cell>
          <cell r="AG117">
            <v>0</v>
          </cell>
          <cell r="AH117">
            <v>0</v>
          </cell>
          <cell r="AI117">
            <v>0</v>
          </cell>
          <cell r="AJ117">
            <v>0</v>
          </cell>
          <cell r="AK117">
            <v>0</v>
          </cell>
          <cell r="AL117">
            <v>0</v>
          </cell>
          <cell r="AM117">
            <v>0</v>
          </cell>
          <cell r="AN117">
            <v>0</v>
          </cell>
          <cell r="AO117">
            <v>0</v>
          </cell>
          <cell r="AP117">
            <v>0</v>
          </cell>
          <cell r="AQ117">
            <v>0</v>
          </cell>
          <cell r="AR117">
            <v>0</v>
          </cell>
          <cell r="AS117">
            <v>0</v>
          </cell>
          <cell r="AT117">
            <v>0</v>
          </cell>
          <cell r="AU117">
            <v>0</v>
          </cell>
          <cell r="AV117">
            <v>0</v>
          </cell>
          <cell r="AW117">
            <v>0</v>
          </cell>
          <cell r="AX117">
            <v>0</v>
          </cell>
          <cell r="AY117">
            <v>0</v>
          </cell>
          <cell r="AZ117">
            <v>0</v>
          </cell>
          <cell r="BA117">
            <v>0</v>
          </cell>
          <cell r="BB117">
            <v>0</v>
          </cell>
          <cell r="BC117">
            <v>0</v>
          </cell>
          <cell r="BD117">
            <v>0</v>
          </cell>
          <cell r="BE117">
            <v>0</v>
          </cell>
          <cell r="BF117">
            <v>0</v>
          </cell>
          <cell r="BG117">
            <v>0</v>
          </cell>
          <cell r="BH117">
            <v>0</v>
          </cell>
          <cell r="BI117">
            <v>0</v>
          </cell>
          <cell r="BJ117">
            <v>0</v>
          </cell>
          <cell r="BK117">
            <v>0</v>
          </cell>
          <cell r="BL117">
            <v>0</v>
          </cell>
          <cell r="BM117">
            <v>0</v>
          </cell>
          <cell r="BN117">
            <v>0</v>
          </cell>
          <cell r="BO117">
            <v>0</v>
          </cell>
          <cell r="BP117">
            <v>0</v>
          </cell>
          <cell r="BQ117">
            <v>0</v>
          </cell>
          <cell r="BR117">
            <v>0</v>
          </cell>
          <cell r="BS117">
            <v>0</v>
          </cell>
          <cell r="BT117">
            <v>0</v>
          </cell>
          <cell r="BU117">
            <v>0</v>
          </cell>
          <cell r="BV117">
            <v>0</v>
          </cell>
          <cell r="BW117">
            <v>0</v>
          </cell>
          <cell r="BX117">
            <v>0</v>
          </cell>
          <cell r="BY117">
            <v>0</v>
          </cell>
          <cell r="BZ117">
            <v>0</v>
          </cell>
          <cell r="CA117">
            <v>0</v>
          </cell>
          <cell r="CB117">
            <v>0</v>
          </cell>
          <cell r="CC117">
            <v>0</v>
          </cell>
          <cell r="CD117">
            <v>0</v>
          </cell>
          <cell r="CE117">
            <v>0</v>
          </cell>
          <cell r="CF117">
            <v>0</v>
          </cell>
          <cell r="CG117">
            <v>0</v>
          </cell>
          <cell r="CH117">
            <v>0</v>
          </cell>
          <cell r="CI117">
            <v>0</v>
          </cell>
          <cell r="CJ117">
            <v>0</v>
          </cell>
          <cell r="CK117">
            <v>0</v>
          </cell>
          <cell r="CL117">
            <v>0</v>
          </cell>
          <cell r="CM117">
            <v>0</v>
          </cell>
          <cell r="CN117">
            <v>0</v>
          </cell>
          <cell r="CO117">
            <v>0</v>
          </cell>
          <cell r="CP117">
            <v>0</v>
          </cell>
          <cell r="CQ117">
            <v>0</v>
          </cell>
          <cell r="CR117">
            <v>0</v>
          </cell>
          <cell r="CS117">
            <v>0</v>
          </cell>
          <cell r="CT117">
            <v>0</v>
          </cell>
          <cell r="CU117">
            <v>0</v>
          </cell>
          <cell r="CV117">
            <v>0</v>
          </cell>
          <cell r="CW117">
            <v>0</v>
          </cell>
          <cell r="CX117">
            <v>0</v>
          </cell>
          <cell r="CY117">
            <v>0</v>
          </cell>
          <cell r="CZ117">
            <v>0</v>
          </cell>
          <cell r="DA117">
            <v>0</v>
          </cell>
          <cell r="DB117">
            <v>0</v>
          </cell>
          <cell r="DC117">
            <v>0</v>
          </cell>
          <cell r="DD117">
            <v>0</v>
          </cell>
          <cell r="DE117">
            <v>0</v>
          </cell>
          <cell r="DF117">
            <v>0</v>
          </cell>
          <cell r="DG117">
            <v>0</v>
          </cell>
          <cell r="DH117">
            <v>0</v>
          </cell>
          <cell r="DI117">
            <v>0</v>
          </cell>
          <cell r="DJ117">
            <v>0</v>
          </cell>
          <cell r="DK117">
            <v>0</v>
          </cell>
          <cell r="DL117">
            <v>0</v>
          </cell>
          <cell r="DM117">
            <v>0</v>
          </cell>
          <cell r="DN117">
            <v>0</v>
          </cell>
          <cell r="DO117">
            <v>0</v>
          </cell>
          <cell r="DP117">
            <v>0</v>
          </cell>
          <cell r="DQ117">
            <v>0</v>
          </cell>
          <cell r="DR117">
            <v>0</v>
          </cell>
          <cell r="DS117">
            <v>0</v>
          </cell>
          <cell r="DT117">
            <v>0</v>
          </cell>
          <cell r="DU117">
            <v>0</v>
          </cell>
          <cell r="DV117">
            <v>0</v>
          </cell>
          <cell r="DW117">
            <v>0</v>
          </cell>
          <cell r="DX117" t="str">
            <v/>
          </cell>
          <cell r="DY117" t="str">
            <v/>
          </cell>
          <cell r="DZ117" t="str">
            <v/>
          </cell>
          <cell r="EA117">
            <v>0</v>
          </cell>
          <cell r="EB117">
            <v>0</v>
          </cell>
          <cell r="EC117">
            <v>0</v>
          </cell>
          <cell r="ED117">
            <v>0</v>
          </cell>
          <cell r="EE117">
            <v>0</v>
          </cell>
          <cell r="EF117">
            <v>0</v>
          </cell>
          <cell r="EG117">
            <v>0</v>
          </cell>
          <cell r="EH117">
            <v>0</v>
          </cell>
          <cell r="EI117">
            <v>0</v>
          </cell>
          <cell r="EJ117">
            <v>0</v>
          </cell>
          <cell r="EK117">
            <v>0</v>
          </cell>
          <cell r="EL117">
            <v>0</v>
          </cell>
          <cell r="EM117">
            <v>0</v>
          </cell>
          <cell r="EN117">
            <v>0</v>
          </cell>
          <cell r="EO117">
            <v>0</v>
          </cell>
          <cell r="EP117">
            <v>0</v>
          </cell>
          <cell r="EQ117">
            <v>0</v>
          </cell>
          <cell r="ER117">
            <v>0</v>
          </cell>
          <cell r="ES117">
            <v>0</v>
          </cell>
          <cell r="ET117">
            <v>0</v>
          </cell>
          <cell r="EU117">
            <v>0</v>
          </cell>
          <cell r="EV117">
            <v>0</v>
          </cell>
          <cell r="EW117">
            <v>0</v>
          </cell>
          <cell r="EX117">
            <v>0</v>
          </cell>
          <cell r="EY117">
            <v>0</v>
          </cell>
          <cell r="EZ117">
            <v>0</v>
          </cell>
          <cell r="FA117">
            <v>0</v>
          </cell>
          <cell r="FB117">
            <v>0</v>
          </cell>
          <cell r="FC117">
            <v>0</v>
          </cell>
          <cell r="FD117">
            <v>0</v>
          </cell>
          <cell r="FE117">
            <v>0</v>
          </cell>
          <cell r="FF117">
            <v>0</v>
          </cell>
          <cell r="FG117">
            <v>0</v>
          </cell>
          <cell r="FH117">
            <v>0</v>
          </cell>
          <cell r="FI117">
            <v>0</v>
          </cell>
          <cell r="FJ117">
            <v>0</v>
          </cell>
          <cell r="FK117">
            <v>0</v>
          </cell>
          <cell r="FL117">
            <v>0</v>
          </cell>
          <cell r="FM117">
            <v>0</v>
          </cell>
          <cell r="FN117">
            <v>0</v>
          </cell>
          <cell r="FO117">
            <v>0</v>
          </cell>
          <cell r="FP117">
            <v>0</v>
          </cell>
          <cell r="FQ117">
            <v>0</v>
          </cell>
          <cell r="FR117">
            <v>0</v>
          </cell>
          <cell r="FS117">
            <v>0</v>
          </cell>
          <cell r="FT117">
            <v>0</v>
          </cell>
          <cell r="FU117">
            <v>0</v>
          </cell>
          <cell r="FV117">
            <v>0</v>
          </cell>
          <cell r="FW117">
            <v>0</v>
          </cell>
          <cell r="FX117">
            <v>0</v>
          </cell>
          <cell r="FY117">
            <v>0</v>
          </cell>
          <cell r="FZ117">
            <v>0</v>
          </cell>
          <cell r="GA117">
            <v>0</v>
          </cell>
          <cell r="GB117">
            <v>0</v>
          </cell>
          <cell r="GC117">
            <v>0</v>
          </cell>
          <cell r="GD117">
            <v>0</v>
          </cell>
          <cell r="GE117">
            <v>0</v>
          </cell>
          <cell r="GF117">
            <v>0</v>
          </cell>
          <cell r="GG117">
            <v>0</v>
          </cell>
          <cell r="GH117">
            <v>0</v>
          </cell>
          <cell r="GI117">
            <v>0</v>
          </cell>
          <cell r="GJ117">
            <v>0</v>
          </cell>
          <cell r="GK117">
            <v>0</v>
          </cell>
          <cell r="GL117">
            <v>0</v>
          </cell>
          <cell r="GM117">
            <v>0</v>
          </cell>
          <cell r="GN117">
            <v>0</v>
          </cell>
          <cell r="GO117">
            <v>0</v>
          </cell>
          <cell r="GP117">
            <v>0</v>
          </cell>
          <cell r="GQ117">
            <v>0</v>
          </cell>
          <cell r="GR117">
            <v>0</v>
          </cell>
          <cell r="GS117">
            <v>0</v>
          </cell>
          <cell r="GT117">
            <v>0</v>
          </cell>
          <cell r="GU117">
            <v>0</v>
          </cell>
          <cell r="GZ117">
            <v>0</v>
          </cell>
        </row>
        <row r="118">
          <cell r="A118" t="str">
            <v>F_CNP_NRF_CPT_PRP_FRCE_PPE</v>
          </cell>
          <cell r="B118">
            <v>2763993304.8499999</v>
          </cell>
          <cell r="D118">
            <v>3347877926.8558402</v>
          </cell>
          <cell r="E118">
            <v>3347877926.8558402</v>
          </cell>
          <cell r="F118">
            <v>3347877926.8558402</v>
          </cell>
          <cell r="G118">
            <v>3347877926.8558402</v>
          </cell>
          <cell r="H118">
            <v>0</v>
          </cell>
          <cell r="I118">
            <v>0</v>
          </cell>
          <cell r="J118">
            <v>3347877926.8558402</v>
          </cell>
          <cell r="K118">
            <v>3347877926.8558402</v>
          </cell>
          <cell r="L118">
            <v>3347877926.8558402</v>
          </cell>
          <cell r="M118">
            <v>0</v>
          </cell>
          <cell r="N118">
            <v>3347877926.8558402</v>
          </cell>
          <cell r="O118">
            <v>3347877926.8558402</v>
          </cell>
          <cell r="P118">
            <v>3347877926.8558402</v>
          </cell>
          <cell r="Q118">
            <v>3347877926.8558402</v>
          </cell>
          <cell r="R118">
            <v>0</v>
          </cell>
          <cell r="S118">
            <v>3347877926.8558402</v>
          </cell>
          <cell r="T118">
            <v>3347877926.8558402</v>
          </cell>
          <cell r="U118">
            <v>3347877926.8558402</v>
          </cell>
          <cell r="V118">
            <v>3347877926.8558402</v>
          </cell>
          <cell r="W118">
            <v>3347877926.8558402</v>
          </cell>
          <cell r="X118">
            <v>3347877926.8558402</v>
          </cell>
          <cell r="Y118">
            <v>3347877926.8558402</v>
          </cell>
          <cell r="Z118">
            <v>3347877926.8558402</v>
          </cell>
          <cell r="AA118">
            <v>3347877926.8558402</v>
          </cell>
          <cell r="AB118">
            <v>3378296456.0041399</v>
          </cell>
          <cell r="AC118">
            <v>3222829244.3055</v>
          </cell>
          <cell r="AD118">
            <v>0</v>
          </cell>
          <cell r="AE118">
            <v>0</v>
          </cell>
          <cell r="AF118">
            <v>3082639504.9254599</v>
          </cell>
          <cell r="AG118">
            <v>3082639504.9254599</v>
          </cell>
          <cell r="AH118">
            <v>3082639504.9254599</v>
          </cell>
          <cell r="AI118">
            <v>0</v>
          </cell>
          <cell r="AJ118">
            <v>3284402995.45153</v>
          </cell>
          <cell r="AK118">
            <v>3284402995.45153</v>
          </cell>
          <cell r="AL118">
            <v>3284402995.45153</v>
          </cell>
          <cell r="AM118">
            <v>3283023184.1075201</v>
          </cell>
          <cell r="AN118">
            <v>0</v>
          </cell>
          <cell r="AO118">
            <v>3190933094.2708902</v>
          </cell>
          <cell r="AP118">
            <v>3190933094.2708902</v>
          </cell>
          <cell r="AQ118">
            <v>3190933094.2708902</v>
          </cell>
          <cell r="AR118">
            <v>3190933094.2708902</v>
          </cell>
          <cell r="AS118">
            <v>3190933094.2708902</v>
          </cell>
          <cell r="AT118">
            <v>3190933094.2708902</v>
          </cell>
          <cell r="AU118">
            <v>3190933094.2708902</v>
          </cell>
          <cell r="AV118">
            <v>3304713039.2435999</v>
          </cell>
          <cell r="AW118">
            <v>3347877926.8558402</v>
          </cell>
          <cell r="AX118">
            <v>0</v>
          </cell>
          <cell r="AY118">
            <v>0</v>
          </cell>
          <cell r="AZ118">
            <v>0</v>
          </cell>
          <cell r="BA118">
            <v>0</v>
          </cell>
          <cell r="BB118">
            <v>0</v>
          </cell>
          <cell r="BC118">
            <v>0</v>
          </cell>
          <cell r="BD118">
            <v>0</v>
          </cell>
          <cell r="BE118">
            <v>0</v>
          </cell>
          <cell r="BF118">
            <v>0</v>
          </cell>
          <cell r="BG118">
            <v>0</v>
          </cell>
          <cell r="BH118">
            <v>0</v>
          </cell>
          <cell r="BI118">
            <v>0</v>
          </cell>
          <cell r="BJ118">
            <v>0</v>
          </cell>
          <cell r="BK118">
            <v>0</v>
          </cell>
          <cell r="BL118">
            <v>0</v>
          </cell>
          <cell r="BM118">
            <v>0</v>
          </cell>
          <cell r="BN118">
            <v>0</v>
          </cell>
          <cell r="BO118">
            <v>0</v>
          </cell>
          <cell r="BP118">
            <v>0</v>
          </cell>
          <cell r="BQ118">
            <v>0</v>
          </cell>
          <cell r="BR118">
            <v>0</v>
          </cell>
          <cell r="BS118">
            <v>0</v>
          </cell>
          <cell r="BT118">
            <v>0</v>
          </cell>
          <cell r="BU118">
            <v>0</v>
          </cell>
          <cell r="BV118">
            <v>0</v>
          </cell>
          <cell r="BW118">
            <v>0</v>
          </cell>
          <cell r="BX118">
            <v>0</v>
          </cell>
          <cell r="BY118">
            <v>0</v>
          </cell>
          <cell r="BZ118">
            <v>0</v>
          </cell>
          <cell r="CA118">
            <v>0</v>
          </cell>
          <cell r="CB118">
            <v>0</v>
          </cell>
          <cell r="CC118">
            <v>0</v>
          </cell>
          <cell r="CD118">
            <v>0</v>
          </cell>
          <cell r="CE118">
            <v>0</v>
          </cell>
          <cell r="CF118">
            <v>0</v>
          </cell>
          <cell r="CG118">
            <v>0</v>
          </cell>
          <cell r="CH118">
            <v>0</v>
          </cell>
          <cell r="CI118">
            <v>0</v>
          </cell>
          <cell r="CJ118">
            <v>0</v>
          </cell>
          <cell r="CK118">
            <v>0</v>
          </cell>
          <cell r="CL118">
            <v>0</v>
          </cell>
          <cell r="CM118">
            <v>0</v>
          </cell>
          <cell r="CN118">
            <v>0</v>
          </cell>
          <cell r="CO118">
            <v>0</v>
          </cell>
          <cell r="CP118">
            <v>0</v>
          </cell>
          <cell r="CQ118">
            <v>0</v>
          </cell>
          <cell r="CR118">
            <v>0</v>
          </cell>
          <cell r="CS118">
            <v>0</v>
          </cell>
          <cell r="CT118">
            <v>0</v>
          </cell>
          <cell r="CU118">
            <v>0</v>
          </cell>
          <cell r="CV118">
            <v>0</v>
          </cell>
          <cell r="CW118">
            <v>0</v>
          </cell>
          <cell r="CX118">
            <v>0</v>
          </cell>
          <cell r="CY118">
            <v>0</v>
          </cell>
          <cell r="CZ118">
            <v>0</v>
          </cell>
          <cell r="DA118">
            <v>0</v>
          </cell>
          <cell r="DB118">
            <v>0</v>
          </cell>
          <cell r="DC118">
            <v>0</v>
          </cell>
          <cell r="DD118">
            <v>0</v>
          </cell>
          <cell r="DE118">
            <v>0</v>
          </cell>
          <cell r="DF118">
            <v>0</v>
          </cell>
          <cell r="DG118">
            <v>0</v>
          </cell>
          <cell r="DH118">
            <v>0</v>
          </cell>
          <cell r="DI118">
            <v>0</v>
          </cell>
          <cell r="DJ118">
            <v>0</v>
          </cell>
          <cell r="DK118">
            <v>0</v>
          </cell>
          <cell r="DL118">
            <v>0</v>
          </cell>
          <cell r="DM118">
            <v>0</v>
          </cell>
          <cell r="DN118">
            <v>0</v>
          </cell>
          <cell r="DO118">
            <v>0</v>
          </cell>
          <cell r="DP118">
            <v>0</v>
          </cell>
          <cell r="DQ118">
            <v>0</v>
          </cell>
          <cell r="DR118">
            <v>0</v>
          </cell>
          <cell r="DS118">
            <v>0</v>
          </cell>
          <cell r="DT118">
            <v>0</v>
          </cell>
          <cell r="DU118">
            <v>0</v>
          </cell>
          <cell r="DV118">
            <v>0</v>
          </cell>
          <cell r="DW118">
            <v>0</v>
          </cell>
          <cell r="DX118">
            <v>0</v>
          </cell>
          <cell r="DY118">
            <v>0</v>
          </cell>
          <cell r="DZ118">
            <v>0</v>
          </cell>
          <cell r="EA118">
            <v>0</v>
          </cell>
          <cell r="EB118">
            <v>0</v>
          </cell>
          <cell r="EC118">
            <v>0</v>
          </cell>
          <cell r="ED118">
            <v>0</v>
          </cell>
          <cell r="EE118">
            <v>0</v>
          </cell>
          <cell r="EF118">
            <v>0</v>
          </cell>
          <cell r="EG118">
            <v>0</v>
          </cell>
          <cell r="EH118">
            <v>0</v>
          </cell>
          <cell r="EI118">
            <v>0</v>
          </cell>
          <cell r="EJ118">
            <v>0</v>
          </cell>
          <cell r="EK118">
            <v>0</v>
          </cell>
          <cell r="EL118">
            <v>0</v>
          </cell>
          <cell r="EM118">
            <v>0</v>
          </cell>
          <cell r="EN118">
            <v>0</v>
          </cell>
          <cell r="EO118">
            <v>0</v>
          </cell>
          <cell r="EP118">
            <v>0</v>
          </cell>
          <cell r="EQ118">
            <v>0</v>
          </cell>
          <cell r="ER118">
            <v>0</v>
          </cell>
          <cell r="ES118">
            <v>0</v>
          </cell>
          <cell r="ET118">
            <v>0</v>
          </cell>
          <cell r="EU118">
            <v>0</v>
          </cell>
          <cell r="EV118">
            <v>0</v>
          </cell>
          <cell r="EW118">
            <v>0</v>
          </cell>
          <cell r="EX118">
            <v>0</v>
          </cell>
          <cell r="EY118">
            <v>0</v>
          </cell>
          <cell r="EZ118">
            <v>0</v>
          </cell>
          <cell r="FA118">
            <v>0</v>
          </cell>
          <cell r="FB118">
            <v>0</v>
          </cell>
          <cell r="FC118">
            <v>0</v>
          </cell>
          <cell r="FD118">
            <v>0</v>
          </cell>
          <cell r="FE118">
            <v>0</v>
          </cell>
          <cell r="FF118">
            <v>0</v>
          </cell>
          <cell r="FG118">
            <v>0</v>
          </cell>
          <cell r="FH118">
            <v>0</v>
          </cell>
          <cell r="FI118">
            <v>0</v>
          </cell>
          <cell r="FJ118">
            <v>0</v>
          </cell>
          <cell r="FK118">
            <v>0</v>
          </cell>
          <cell r="FL118">
            <v>0</v>
          </cell>
          <cell r="FM118">
            <v>0</v>
          </cell>
          <cell r="FN118">
            <v>0</v>
          </cell>
          <cell r="FO118">
            <v>0</v>
          </cell>
          <cell r="FP118">
            <v>0</v>
          </cell>
          <cell r="FQ118">
            <v>0</v>
          </cell>
          <cell r="FR118">
            <v>0</v>
          </cell>
          <cell r="FS118">
            <v>0</v>
          </cell>
          <cell r="FT118">
            <v>0</v>
          </cell>
          <cell r="FU118">
            <v>0</v>
          </cell>
          <cell r="FV118">
            <v>0</v>
          </cell>
          <cell r="FW118">
            <v>0</v>
          </cell>
          <cell r="FX118">
            <v>0</v>
          </cell>
          <cell r="FY118">
            <v>0</v>
          </cell>
          <cell r="FZ118">
            <v>0</v>
          </cell>
          <cell r="GA118">
            <v>0</v>
          </cell>
          <cell r="GB118">
            <v>0</v>
          </cell>
          <cell r="GC118">
            <v>0</v>
          </cell>
          <cell r="GD118">
            <v>0</v>
          </cell>
          <cell r="GE118">
            <v>0</v>
          </cell>
          <cell r="GF118">
            <v>0</v>
          </cell>
          <cell r="GG118">
            <v>0</v>
          </cell>
          <cell r="GH118">
            <v>0</v>
          </cell>
          <cell r="GI118">
            <v>0</v>
          </cell>
          <cell r="GJ118">
            <v>0</v>
          </cell>
          <cell r="GK118">
            <v>0</v>
          </cell>
          <cell r="GL118">
            <v>0</v>
          </cell>
          <cell r="GM118">
            <v>0</v>
          </cell>
          <cell r="GN118">
            <v>0</v>
          </cell>
          <cell r="GO118">
            <v>0</v>
          </cell>
          <cell r="GP118">
            <v>0</v>
          </cell>
          <cell r="GQ118">
            <v>0</v>
          </cell>
          <cell r="GR118">
            <v>0</v>
          </cell>
          <cell r="GS118">
            <v>0</v>
          </cell>
          <cell r="GT118">
            <v>0</v>
          </cell>
          <cell r="GU118">
            <v>0</v>
          </cell>
          <cell r="GZ118">
            <v>0</v>
          </cell>
        </row>
        <row r="119">
          <cell r="A119" t="str">
            <v>F_CNP_NRF_CPT_PRP_FRCE_IPS</v>
          </cell>
          <cell r="B119">
            <v>0</v>
          </cell>
          <cell r="D119">
            <v>0</v>
          </cell>
          <cell r="E119">
            <v>0</v>
          </cell>
          <cell r="F119">
            <v>0</v>
          </cell>
          <cell r="G119">
            <v>0</v>
          </cell>
          <cell r="J119">
            <v>0</v>
          </cell>
          <cell r="K119">
            <v>0</v>
          </cell>
          <cell r="L119">
            <v>0</v>
          </cell>
          <cell r="N119">
            <v>0</v>
          </cell>
          <cell r="O119">
            <v>0</v>
          </cell>
          <cell r="P119">
            <v>0</v>
          </cell>
          <cell r="Q119">
            <v>0</v>
          </cell>
          <cell r="S119">
            <v>0</v>
          </cell>
          <cell r="T119">
            <v>0</v>
          </cell>
          <cell r="U119">
            <v>0</v>
          </cell>
          <cell r="V119">
            <v>0</v>
          </cell>
          <cell r="W119">
            <v>0</v>
          </cell>
          <cell r="X119">
            <v>0</v>
          </cell>
          <cell r="Y119">
            <v>0</v>
          </cell>
          <cell r="Z119">
            <v>0</v>
          </cell>
          <cell r="AA119">
            <v>0</v>
          </cell>
          <cell r="AB119">
            <v>0</v>
          </cell>
          <cell r="AC119">
            <v>0</v>
          </cell>
          <cell r="AF119">
            <v>0</v>
          </cell>
          <cell r="AG119">
            <v>0</v>
          </cell>
          <cell r="AH119">
            <v>0</v>
          </cell>
          <cell r="AJ119">
            <v>0</v>
          </cell>
          <cell r="AK119">
            <v>0</v>
          </cell>
          <cell r="AL119">
            <v>0</v>
          </cell>
          <cell r="AM119">
            <v>0</v>
          </cell>
          <cell r="AO119">
            <v>0</v>
          </cell>
          <cell r="AP119">
            <v>0</v>
          </cell>
          <cell r="AQ119">
            <v>0</v>
          </cell>
          <cell r="AR119">
            <v>0</v>
          </cell>
          <cell r="AS119">
            <v>0</v>
          </cell>
          <cell r="AT119">
            <v>0</v>
          </cell>
          <cell r="AU119">
            <v>0</v>
          </cell>
          <cell r="AV119">
            <v>0</v>
          </cell>
          <cell r="AW119">
            <v>0</v>
          </cell>
          <cell r="AX119">
            <v>0</v>
          </cell>
          <cell r="AY119">
            <v>0</v>
          </cell>
          <cell r="BB119">
            <v>0</v>
          </cell>
          <cell r="BC119">
            <v>0</v>
          </cell>
          <cell r="BD119">
            <v>0</v>
          </cell>
          <cell r="BF119">
            <v>0</v>
          </cell>
          <cell r="BG119">
            <v>0</v>
          </cell>
          <cell r="BH119">
            <v>0</v>
          </cell>
          <cell r="BI119">
            <v>0</v>
          </cell>
          <cell r="BK119">
            <v>0</v>
          </cell>
          <cell r="BL119">
            <v>0</v>
          </cell>
          <cell r="BM119">
            <v>0</v>
          </cell>
          <cell r="BN119">
            <v>0</v>
          </cell>
          <cell r="BO119">
            <v>0</v>
          </cell>
          <cell r="BP119">
            <v>0</v>
          </cell>
          <cell r="BQ119">
            <v>0</v>
          </cell>
          <cell r="BR119">
            <v>0</v>
          </cell>
          <cell r="BS119">
            <v>0</v>
          </cell>
          <cell r="BT119">
            <v>0</v>
          </cell>
          <cell r="BU119">
            <v>0</v>
          </cell>
          <cell r="BX119">
            <v>0</v>
          </cell>
          <cell r="BY119">
            <v>0</v>
          </cell>
          <cell r="BZ119">
            <v>0</v>
          </cell>
          <cell r="CB119">
            <v>0</v>
          </cell>
          <cell r="CC119">
            <v>0</v>
          </cell>
          <cell r="CD119">
            <v>0</v>
          </cell>
          <cell r="CE119">
            <v>0</v>
          </cell>
          <cell r="CG119">
            <v>0</v>
          </cell>
          <cell r="CH119">
            <v>0</v>
          </cell>
          <cell r="CI119">
            <v>0</v>
          </cell>
          <cell r="CJ119">
            <v>0</v>
          </cell>
          <cell r="CK119">
            <v>0</v>
          </cell>
          <cell r="CL119">
            <v>0</v>
          </cell>
          <cell r="CM119">
            <v>0</v>
          </cell>
          <cell r="CN119">
            <v>0</v>
          </cell>
          <cell r="CO119">
            <v>0</v>
          </cell>
          <cell r="CP119">
            <v>0</v>
          </cell>
          <cell r="CQ119">
            <v>0</v>
          </cell>
          <cell r="CR119">
            <v>0</v>
          </cell>
          <cell r="CS119">
            <v>0</v>
          </cell>
          <cell r="CT119">
            <v>0</v>
          </cell>
          <cell r="CU119">
            <v>0</v>
          </cell>
          <cell r="CV119">
            <v>0</v>
          </cell>
          <cell r="CW119">
            <v>0</v>
          </cell>
          <cell r="CX119">
            <v>0</v>
          </cell>
          <cell r="CY119">
            <v>0</v>
          </cell>
          <cell r="CZ119">
            <v>0</v>
          </cell>
          <cell r="DA119">
            <v>0</v>
          </cell>
          <cell r="DB119">
            <v>0</v>
          </cell>
          <cell r="DC119">
            <v>0</v>
          </cell>
          <cell r="DD119">
            <v>0</v>
          </cell>
          <cell r="DE119">
            <v>0</v>
          </cell>
          <cell r="DF119">
            <v>-1</v>
          </cell>
          <cell r="DG119">
            <v>0</v>
          </cell>
          <cell r="DH119">
            <v>0</v>
          </cell>
          <cell r="DI119">
            <v>0</v>
          </cell>
          <cell r="EA119">
            <v>0</v>
          </cell>
          <cell r="EB119">
            <v>0</v>
          </cell>
          <cell r="EC119">
            <v>0</v>
          </cell>
          <cell r="ED119">
            <v>0</v>
          </cell>
          <cell r="EE119">
            <v>0</v>
          </cell>
          <cell r="EF119">
            <v>0</v>
          </cell>
          <cell r="EG119">
            <v>0</v>
          </cell>
          <cell r="EH119">
            <v>0</v>
          </cell>
          <cell r="EI119">
            <v>0</v>
          </cell>
          <cell r="EJ119">
            <v>0</v>
          </cell>
          <cell r="EK119">
            <v>0</v>
          </cell>
          <cell r="EL119">
            <v>0</v>
          </cell>
          <cell r="EM119">
            <v>0</v>
          </cell>
          <cell r="EN119">
            <v>0</v>
          </cell>
          <cell r="EO119">
            <v>0</v>
          </cell>
          <cell r="EP119">
            <v>0</v>
          </cell>
          <cell r="EQ119">
            <v>0</v>
          </cell>
          <cell r="ER119">
            <v>0</v>
          </cell>
          <cell r="FE119">
            <v>0</v>
          </cell>
          <cell r="FF119">
            <v>0</v>
          </cell>
          <cell r="FG119">
            <v>0</v>
          </cell>
          <cell r="FJ119">
            <v>0</v>
          </cell>
          <cell r="FK119">
            <v>0</v>
          </cell>
          <cell r="FL119">
            <v>0</v>
          </cell>
          <cell r="FN119">
            <v>0</v>
          </cell>
          <cell r="FO119">
            <v>0</v>
          </cell>
          <cell r="FP119">
            <v>0</v>
          </cell>
          <cell r="FQ119">
            <v>0</v>
          </cell>
          <cell r="FS119">
            <v>0</v>
          </cell>
          <cell r="FT119">
            <v>0</v>
          </cell>
          <cell r="FU119">
            <v>0</v>
          </cell>
          <cell r="FV119">
            <v>0</v>
          </cell>
          <cell r="FW119">
            <v>0</v>
          </cell>
          <cell r="FX119">
            <v>0</v>
          </cell>
          <cell r="FY119">
            <v>0</v>
          </cell>
          <cell r="FZ119">
            <v>0</v>
          </cell>
          <cell r="GA119">
            <v>0</v>
          </cell>
          <cell r="GB119">
            <v>0</v>
          </cell>
          <cell r="GC119">
            <v>0</v>
          </cell>
          <cell r="GD119">
            <v>0</v>
          </cell>
          <cell r="GE119">
            <v>0</v>
          </cell>
          <cell r="GF119">
            <v>0</v>
          </cell>
          <cell r="GG119">
            <v>0</v>
          </cell>
          <cell r="GH119">
            <v>110</v>
          </cell>
          <cell r="GI119">
            <v>0</v>
          </cell>
          <cell r="GJ119">
            <v>0</v>
          </cell>
          <cell r="GK119">
            <v>0</v>
          </cell>
          <cell r="GL119">
            <v>0</v>
          </cell>
          <cell r="GM119">
            <v>0</v>
          </cell>
          <cell r="GN119">
            <v>0</v>
          </cell>
          <cell r="GO119">
            <v>0</v>
          </cell>
          <cell r="GP119">
            <v>0</v>
          </cell>
          <cell r="GQ119">
            <v>0</v>
          </cell>
          <cell r="GR119">
            <v>0</v>
          </cell>
          <cell r="GS119">
            <v>0</v>
          </cell>
          <cell r="GT119">
            <v>0</v>
          </cell>
          <cell r="GZ119">
            <v>0</v>
          </cell>
        </row>
        <row r="120">
          <cell r="A120" t="str">
            <v>F_CNP_NRF_CPT_PRP_FRCE_IPF</v>
          </cell>
          <cell r="B120">
            <v>0</v>
          </cell>
          <cell r="D120">
            <v>0</v>
          </cell>
          <cell r="E120">
            <v>0</v>
          </cell>
          <cell r="F120">
            <v>0</v>
          </cell>
          <cell r="G120">
            <v>0</v>
          </cell>
          <cell r="J120">
            <v>0</v>
          </cell>
          <cell r="K120">
            <v>0</v>
          </cell>
          <cell r="L120">
            <v>0</v>
          </cell>
          <cell r="N120">
            <v>0</v>
          </cell>
          <cell r="O120">
            <v>0</v>
          </cell>
          <cell r="P120">
            <v>0</v>
          </cell>
          <cell r="Q120">
            <v>0</v>
          </cell>
          <cell r="S120">
            <v>0</v>
          </cell>
          <cell r="T120">
            <v>0</v>
          </cell>
          <cell r="U120">
            <v>0</v>
          </cell>
          <cell r="V120">
            <v>0</v>
          </cell>
          <cell r="W120">
            <v>0</v>
          </cell>
          <cell r="X120">
            <v>0</v>
          </cell>
          <cell r="Y120">
            <v>0</v>
          </cell>
          <cell r="Z120">
            <v>0</v>
          </cell>
          <cell r="AA120">
            <v>0</v>
          </cell>
          <cell r="AB120">
            <v>0</v>
          </cell>
          <cell r="AC120">
            <v>0</v>
          </cell>
          <cell r="AF120">
            <v>0</v>
          </cell>
          <cell r="AG120">
            <v>0</v>
          </cell>
          <cell r="AH120">
            <v>0</v>
          </cell>
          <cell r="AJ120">
            <v>0</v>
          </cell>
          <cell r="AK120">
            <v>0</v>
          </cell>
          <cell r="AL120">
            <v>0</v>
          </cell>
          <cell r="AM120">
            <v>0</v>
          </cell>
          <cell r="AO120">
            <v>0</v>
          </cell>
          <cell r="AP120">
            <v>0</v>
          </cell>
          <cell r="AQ120">
            <v>0</v>
          </cell>
          <cell r="AR120">
            <v>0</v>
          </cell>
          <cell r="AS120">
            <v>0</v>
          </cell>
          <cell r="AT120">
            <v>0</v>
          </cell>
          <cell r="AU120">
            <v>0</v>
          </cell>
          <cell r="AV120">
            <v>0</v>
          </cell>
          <cell r="AW120">
            <v>0</v>
          </cell>
          <cell r="AX120">
            <v>0</v>
          </cell>
          <cell r="AY120">
            <v>0</v>
          </cell>
          <cell r="BB120">
            <v>0</v>
          </cell>
          <cell r="BC120">
            <v>0</v>
          </cell>
          <cell r="BD120">
            <v>0</v>
          </cell>
          <cell r="BF120">
            <v>0</v>
          </cell>
          <cell r="BG120">
            <v>0</v>
          </cell>
          <cell r="BH120">
            <v>0</v>
          </cell>
          <cell r="BI120">
            <v>0</v>
          </cell>
          <cell r="BK120">
            <v>0</v>
          </cell>
          <cell r="BL120">
            <v>0</v>
          </cell>
          <cell r="BM120">
            <v>0</v>
          </cell>
          <cell r="BN120">
            <v>0</v>
          </cell>
          <cell r="BO120">
            <v>0</v>
          </cell>
          <cell r="BP120">
            <v>0</v>
          </cell>
          <cell r="BQ120">
            <v>0</v>
          </cell>
          <cell r="BR120">
            <v>0</v>
          </cell>
          <cell r="BS120">
            <v>0</v>
          </cell>
          <cell r="BT120">
            <v>0</v>
          </cell>
          <cell r="BU120">
            <v>0</v>
          </cell>
          <cell r="BX120">
            <v>0</v>
          </cell>
          <cell r="BY120">
            <v>0</v>
          </cell>
          <cell r="BZ120">
            <v>0</v>
          </cell>
          <cell r="CB120">
            <v>0</v>
          </cell>
          <cell r="CC120">
            <v>0</v>
          </cell>
          <cell r="CD120">
            <v>0</v>
          </cell>
          <cell r="CE120">
            <v>0</v>
          </cell>
          <cell r="CG120">
            <v>0</v>
          </cell>
          <cell r="CH120">
            <v>0</v>
          </cell>
          <cell r="CI120">
            <v>0</v>
          </cell>
          <cell r="CJ120">
            <v>0</v>
          </cell>
          <cell r="CK120">
            <v>0</v>
          </cell>
          <cell r="CL120">
            <v>0</v>
          </cell>
          <cell r="CM120">
            <v>0</v>
          </cell>
          <cell r="CN120">
            <v>0</v>
          </cell>
          <cell r="CO120">
            <v>0</v>
          </cell>
          <cell r="CP120">
            <v>0</v>
          </cell>
          <cell r="CQ120">
            <v>0</v>
          </cell>
          <cell r="CR120">
            <v>0</v>
          </cell>
          <cell r="CS120">
            <v>0</v>
          </cell>
          <cell r="CT120">
            <v>0</v>
          </cell>
          <cell r="CU120">
            <v>0</v>
          </cell>
          <cell r="CV120">
            <v>0</v>
          </cell>
          <cell r="CW120">
            <v>0</v>
          </cell>
          <cell r="CX120">
            <v>0</v>
          </cell>
          <cell r="CY120">
            <v>0</v>
          </cell>
          <cell r="CZ120">
            <v>0</v>
          </cell>
          <cell r="DA120">
            <v>0</v>
          </cell>
          <cell r="DB120">
            <v>0</v>
          </cell>
          <cell r="DC120">
            <v>0</v>
          </cell>
          <cell r="DD120">
            <v>0</v>
          </cell>
          <cell r="DE120">
            <v>0</v>
          </cell>
          <cell r="DF120">
            <v>-1</v>
          </cell>
          <cell r="DG120">
            <v>0</v>
          </cell>
          <cell r="DH120">
            <v>0</v>
          </cell>
          <cell r="DI120">
            <v>0</v>
          </cell>
          <cell r="EA120">
            <v>0</v>
          </cell>
          <cell r="EB120">
            <v>0</v>
          </cell>
          <cell r="EC120">
            <v>0</v>
          </cell>
          <cell r="ED120">
            <v>0</v>
          </cell>
          <cell r="EE120">
            <v>0</v>
          </cell>
          <cell r="EF120">
            <v>0</v>
          </cell>
          <cell r="EG120">
            <v>0</v>
          </cell>
          <cell r="EH120">
            <v>0</v>
          </cell>
          <cell r="EI120">
            <v>0</v>
          </cell>
          <cell r="EJ120">
            <v>0</v>
          </cell>
          <cell r="EK120">
            <v>0</v>
          </cell>
          <cell r="EL120">
            <v>0</v>
          </cell>
          <cell r="EM120">
            <v>0</v>
          </cell>
          <cell r="EN120">
            <v>0</v>
          </cell>
          <cell r="EO120">
            <v>0</v>
          </cell>
          <cell r="EP120">
            <v>0</v>
          </cell>
          <cell r="EQ120">
            <v>0</v>
          </cell>
          <cell r="ER120">
            <v>0</v>
          </cell>
          <cell r="FE120">
            <v>0</v>
          </cell>
          <cell r="FF120">
            <v>0</v>
          </cell>
          <cell r="FG120">
            <v>0</v>
          </cell>
          <cell r="FJ120">
            <v>0</v>
          </cell>
          <cell r="FK120">
            <v>0</v>
          </cell>
          <cell r="FL120">
            <v>0</v>
          </cell>
          <cell r="FN120">
            <v>0</v>
          </cell>
          <cell r="FO120">
            <v>0</v>
          </cell>
          <cell r="FP120">
            <v>0</v>
          </cell>
          <cell r="FQ120">
            <v>0</v>
          </cell>
          <cell r="FS120">
            <v>0</v>
          </cell>
          <cell r="FT120">
            <v>0</v>
          </cell>
          <cell r="FU120">
            <v>0</v>
          </cell>
          <cell r="FV120">
            <v>0</v>
          </cell>
          <cell r="FW120">
            <v>0</v>
          </cell>
          <cell r="FX120">
            <v>0</v>
          </cell>
          <cell r="FY120">
            <v>0</v>
          </cell>
          <cell r="FZ120">
            <v>0</v>
          </cell>
          <cell r="GA120">
            <v>0</v>
          </cell>
          <cell r="GB120">
            <v>0</v>
          </cell>
          <cell r="GC120">
            <v>0</v>
          </cell>
          <cell r="GD120">
            <v>0</v>
          </cell>
          <cell r="GE120">
            <v>0</v>
          </cell>
          <cell r="GF120">
            <v>0</v>
          </cell>
          <cell r="GG120">
            <v>0</v>
          </cell>
          <cell r="GH120">
            <v>111</v>
          </cell>
          <cell r="GI120">
            <v>0</v>
          </cell>
          <cell r="GJ120">
            <v>0</v>
          </cell>
          <cell r="GK120">
            <v>0</v>
          </cell>
          <cell r="GL120">
            <v>0</v>
          </cell>
          <cell r="GM120">
            <v>0</v>
          </cell>
          <cell r="GN120">
            <v>0</v>
          </cell>
          <cell r="GO120">
            <v>0</v>
          </cell>
          <cell r="GP120">
            <v>0</v>
          </cell>
          <cell r="GQ120">
            <v>0</v>
          </cell>
          <cell r="GR120">
            <v>0</v>
          </cell>
          <cell r="GS120">
            <v>0</v>
          </cell>
          <cell r="GT120">
            <v>0</v>
          </cell>
          <cell r="GZ120">
            <v>0</v>
          </cell>
        </row>
        <row r="121">
          <cell r="A121" t="str">
            <v>F_CNP_NRF_CPT_PRP_FRCE_IPG</v>
          </cell>
          <cell r="B121">
            <v>0</v>
          </cell>
          <cell r="D121">
            <v>0</v>
          </cell>
          <cell r="E121">
            <v>0</v>
          </cell>
          <cell r="F121">
            <v>0</v>
          </cell>
          <cell r="G121">
            <v>0</v>
          </cell>
          <cell r="J121">
            <v>0</v>
          </cell>
          <cell r="K121">
            <v>0</v>
          </cell>
          <cell r="L121">
            <v>0</v>
          </cell>
          <cell r="N121">
            <v>0</v>
          </cell>
          <cell r="O121">
            <v>0</v>
          </cell>
          <cell r="P121">
            <v>0</v>
          </cell>
          <cell r="Q121">
            <v>0</v>
          </cell>
          <cell r="S121">
            <v>0</v>
          </cell>
          <cell r="T121">
            <v>0</v>
          </cell>
          <cell r="U121">
            <v>0</v>
          </cell>
          <cell r="V121">
            <v>0</v>
          </cell>
          <cell r="W121">
            <v>0</v>
          </cell>
          <cell r="X121">
            <v>0</v>
          </cell>
          <cell r="Y121">
            <v>0</v>
          </cell>
          <cell r="Z121">
            <v>0</v>
          </cell>
          <cell r="AA121">
            <v>0</v>
          </cell>
          <cell r="AB121">
            <v>0</v>
          </cell>
          <cell r="AC121">
            <v>0</v>
          </cell>
          <cell r="AF121">
            <v>0</v>
          </cell>
          <cell r="AG121">
            <v>0</v>
          </cell>
          <cell r="AH121">
            <v>0</v>
          </cell>
          <cell r="AJ121">
            <v>0</v>
          </cell>
          <cell r="AK121">
            <v>0</v>
          </cell>
          <cell r="AL121">
            <v>0</v>
          </cell>
          <cell r="AM121">
            <v>0</v>
          </cell>
          <cell r="AO121">
            <v>0</v>
          </cell>
          <cell r="AP121">
            <v>0</v>
          </cell>
          <cell r="AQ121">
            <v>0</v>
          </cell>
          <cell r="AR121">
            <v>0</v>
          </cell>
          <cell r="AS121">
            <v>0</v>
          </cell>
          <cell r="AT121">
            <v>0</v>
          </cell>
          <cell r="AU121">
            <v>0</v>
          </cell>
          <cell r="AV121">
            <v>0</v>
          </cell>
          <cell r="AW121">
            <v>0</v>
          </cell>
          <cell r="AX121">
            <v>0</v>
          </cell>
          <cell r="AY121">
            <v>0</v>
          </cell>
          <cell r="BB121">
            <v>0</v>
          </cell>
          <cell r="BC121">
            <v>0</v>
          </cell>
          <cell r="BD121">
            <v>0</v>
          </cell>
          <cell r="BF121">
            <v>0</v>
          </cell>
          <cell r="BG121">
            <v>0</v>
          </cell>
          <cell r="BH121">
            <v>0</v>
          </cell>
          <cell r="BI121">
            <v>0</v>
          </cell>
          <cell r="BK121">
            <v>0</v>
          </cell>
          <cell r="BL121">
            <v>0</v>
          </cell>
          <cell r="BM121">
            <v>0</v>
          </cell>
          <cell r="BN121">
            <v>0</v>
          </cell>
          <cell r="BO121">
            <v>0</v>
          </cell>
          <cell r="BP121">
            <v>0</v>
          </cell>
          <cell r="BQ121">
            <v>0</v>
          </cell>
          <cell r="BR121">
            <v>0</v>
          </cell>
          <cell r="BS121">
            <v>0</v>
          </cell>
          <cell r="BT121">
            <v>0</v>
          </cell>
          <cell r="BU121">
            <v>0</v>
          </cell>
          <cell r="BX121">
            <v>0</v>
          </cell>
          <cell r="BY121">
            <v>0</v>
          </cell>
          <cell r="BZ121">
            <v>0</v>
          </cell>
          <cell r="CB121">
            <v>0</v>
          </cell>
          <cell r="CC121">
            <v>0</v>
          </cell>
          <cell r="CD121">
            <v>0</v>
          </cell>
          <cell r="CE121">
            <v>0</v>
          </cell>
          <cell r="CG121">
            <v>0</v>
          </cell>
          <cell r="CH121">
            <v>0</v>
          </cell>
          <cell r="CI121">
            <v>0</v>
          </cell>
          <cell r="CJ121">
            <v>0</v>
          </cell>
          <cell r="CK121">
            <v>0</v>
          </cell>
          <cell r="CL121">
            <v>0</v>
          </cell>
          <cell r="CM121">
            <v>0</v>
          </cell>
          <cell r="CN121">
            <v>0</v>
          </cell>
          <cell r="CO121">
            <v>0</v>
          </cell>
          <cell r="CP121">
            <v>0</v>
          </cell>
          <cell r="CQ121">
            <v>0</v>
          </cell>
          <cell r="CR121">
            <v>0</v>
          </cell>
          <cell r="CS121">
            <v>0</v>
          </cell>
          <cell r="CT121">
            <v>0</v>
          </cell>
          <cell r="CU121">
            <v>0</v>
          </cell>
          <cell r="CV121">
            <v>0</v>
          </cell>
          <cell r="CW121">
            <v>0</v>
          </cell>
          <cell r="CX121">
            <v>0</v>
          </cell>
          <cell r="CY121">
            <v>0</v>
          </cell>
          <cell r="CZ121">
            <v>0</v>
          </cell>
          <cell r="DA121">
            <v>0</v>
          </cell>
          <cell r="DB121">
            <v>0</v>
          </cell>
          <cell r="DC121">
            <v>0</v>
          </cell>
          <cell r="DD121">
            <v>0</v>
          </cell>
          <cell r="DE121">
            <v>0</v>
          </cell>
          <cell r="DF121">
            <v>-1</v>
          </cell>
          <cell r="DG121">
            <v>0</v>
          </cell>
          <cell r="DH121">
            <v>0</v>
          </cell>
          <cell r="DI121">
            <v>0</v>
          </cell>
          <cell r="EA121">
            <v>0</v>
          </cell>
          <cell r="EB121">
            <v>0</v>
          </cell>
          <cell r="EC121">
            <v>0</v>
          </cell>
          <cell r="ED121">
            <v>0</v>
          </cell>
          <cell r="EE121">
            <v>0</v>
          </cell>
          <cell r="EF121">
            <v>0</v>
          </cell>
          <cell r="EG121">
            <v>0</v>
          </cell>
          <cell r="EH121">
            <v>0</v>
          </cell>
          <cell r="EI121">
            <v>0</v>
          </cell>
          <cell r="EJ121">
            <v>0</v>
          </cell>
          <cell r="EK121">
            <v>0</v>
          </cell>
          <cell r="EL121">
            <v>0</v>
          </cell>
          <cell r="EM121">
            <v>0</v>
          </cell>
          <cell r="EN121">
            <v>0</v>
          </cell>
          <cell r="EO121">
            <v>0</v>
          </cell>
          <cell r="EP121">
            <v>0</v>
          </cell>
          <cell r="EQ121">
            <v>0</v>
          </cell>
          <cell r="ER121">
            <v>0</v>
          </cell>
          <cell r="FE121">
            <v>0</v>
          </cell>
          <cell r="FF121">
            <v>0</v>
          </cell>
          <cell r="FG121">
            <v>0</v>
          </cell>
          <cell r="FJ121">
            <v>0</v>
          </cell>
          <cell r="FK121">
            <v>0</v>
          </cell>
          <cell r="FL121">
            <v>0</v>
          </cell>
          <cell r="FN121">
            <v>0</v>
          </cell>
          <cell r="FO121">
            <v>0</v>
          </cell>
          <cell r="FP121">
            <v>0</v>
          </cell>
          <cell r="FQ121">
            <v>0</v>
          </cell>
          <cell r="FS121">
            <v>0</v>
          </cell>
          <cell r="FT121">
            <v>0</v>
          </cell>
          <cell r="FU121">
            <v>0</v>
          </cell>
          <cell r="FV121">
            <v>0</v>
          </cell>
          <cell r="FW121">
            <v>0</v>
          </cell>
          <cell r="FX121">
            <v>0</v>
          </cell>
          <cell r="FY121">
            <v>0</v>
          </cell>
          <cell r="FZ121">
            <v>0</v>
          </cell>
          <cell r="GA121">
            <v>0</v>
          </cell>
          <cell r="GB121">
            <v>0</v>
          </cell>
          <cell r="GC121">
            <v>0</v>
          </cell>
          <cell r="GD121">
            <v>0</v>
          </cell>
          <cell r="GE121">
            <v>0</v>
          </cell>
          <cell r="GF121">
            <v>0</v>
          </cell>
          <cell r="GG121">
            <v>0</v>
          </cell>
          <cell r="GH121">
            <v>112</v>
          </cell>
          <cell r="GI121">
            <v>0</v>
          </cell>
          <cell r="GJ121">
            <v>0</v>
          </cell>
          <cell r="GK121">
            <v>0</v>
          </cell>
          <cell r="GL121">
            <v>0</v>
          </cell>
          <cell r="GM121">
            <v>0</v>
          </cell>
          <cell r="GN121">
            <v>0</v>
          </cell>
          <cell r="GO121">
            <v>0</v>
          </cell>
          <cell r="GP121">
            <v>0</v>
          </cell>
          <cell r="GQ121">
            <v>0</v>
          </cell>
          <cell r="GR121">
            <v>0</v>
          </cell>
          <cell r="GS121">
            <v>0</v>
          </cell>
          <cell r="GT121">
            <v>0</v>
          </cell>
          <cell r="GZ121">
            <v>0</v>
          </cell>
        </row>
        <row r="122">
          <cell r="A122" t="str">
            <v>F_CNP_NRF_CPT_PRP_FRCE_SUC</v>
          </cell>
          <cell r="B122">
            <v>0</v>
          </cell>
          <cell r="D122">
            <v>0</v>
          </cell>
          <cell r="E122">
            <v>0</v>
          </cell>
          <cell r="F122">
            <v>720157591.11000144</v>
          </cell>
          <cell r="G122">
            <v>720157591.11000144</v>
          </cell>
          <cell r="J122">
            <v>720157591.11000144</v>
          </cell>
          <cell r="K122">
            <v>720157591.11000144</v>
          </cell>
          <cell r="L122">
            <v>720157591.11000144</v>
          </cell>
          <cell r="N122">
            <v>720157591.11000144</v>
          </cell>
          <cell r="O122">
            <v>720157591.11000144</v>
          </cell>
          <cell r="P122">
            <v>720157591.11000144</v>
          </cell>
          <cell r="Q122">
            <v>720157591.11000144</v>
          </cell>
          <cell r="S122">
            <v>720157591.11000144</v>
          </cell>
          <cell r="T122">
            <v>720157591.11000144</v>
          </cell>
          <cell r="U122">
            <v>720157591.11000144</v>
          </cell>
          <cell r="V122">
            <v>720157591.11000144</v>
          </cell>
          <cell r="W122">
            <v>720157591.11000144</v>
          </cell>
          <cell r="X122">
            <v>720157591.11000144</v>
          </cell>
          <cell r="Y122">
            <v>720157591.11000144</v>
          </cell>
          <cell r="Z122">
            <v>720157591.11000144</v>
          </cell>
          <cell r="AA122">
            <v>720157591.11000144</v>
          </cell>
          <cell r="AB122">
            <v>729213377.76803029</v>
          </cell>
          <cell r="AC122">
            <v>708572594.46966612</v>
          </cell>
          <cell r="AF122">
            <v>656521354.89434922</v>
          </cell>
          <cell r="AG122">
            <v>720157591.11000144</v>
          </cell>
          <cell r="AH122">
            <v>720157591.11000144</v>
          </cell>
          <cell r="AJ122">
            <v>717387711.55178487</v>
          </cell>
          <cell r="AK122">
            <v>720157591.11000144</v>
          </cell>
          <cell r="AL122">
            <v>720157591.11000144</v>
          </cell>
          <cell r="AM122">
            <v>720157591.11000144</v>
          </cell>
          <cell r="AO122">
            <v>711330637.74293387</v>
          </cell>
          <cell r="AP122">
            <v>720157591.11000144</v>
          </cell>
          <cell r="AQ122">
            <v>720157591.11000144</v>
          </cell>
          <cell r="AR122">
            <v>720157591.11000144</v>
          </cell>
          <cell r="AS122">
            <v>720157591.11000144</v>
          </cell>
          <cell r="AT122">
            <v>720157591.11000144</v>
          </cell>
          <cell r="AU122">
            <v>720157591.11000144</v>
          </cell>
          <cell r="AV122">
            <v>720157591.11000144</v>
          </cell>
          <cell r="AW122">
            <v>720157591.11000144</v>
          </cell>
          <cell r="AX122">
            <v>0</v>
          </cell>
          <cell r="AY122">
            <v>0</v>
          </cell>
          <cell r="BB122">
            <v>0</v>
          </cell>
          <cell r="BC122">
            <v>0</v>
          </cell>
          <cell r="BD122">
            <v>0</v>
          </cell>
          <cell r="BF122">
            <v>0</v>
          </cell>
          <cell r="BG122">
            <v>0</v>
          </cell>
          <cell r="BH122">
            <v>0</v>
          </cell>
          <cell r="BI122">
            <v>0</v>
          </cell>
          <cell r="BK122">
            <v>0</v>
          </cell>
          <cell r="BL122">
            <v>0</v>
          </cell>
          <cell r="BM122">
            <v>0</v>
          </cell>
          <cell r="BN122">
            <v>0</v>
          </cell>
          <cell r="BO122">
            <v>0</v>
          </cell>
          <cell r="BP122">
            <v>0</v>
          </cell>
          <cell r="BQ122">
            <v>0</v>
          </cell>
          <cell r="BR122">
            <v>0</v>
          </cell>
          <cell r="BS122">
            <v>0</v>
          </cell>
          <cell r="BT122">
            <v>0</v>
          </cell>
          <cell r="BU122">
            <v>0</v>
          </cell>
          <cell r="BX122">
            <v>0</v>
          </cell>
          <cell r="BY122">
            <v>0</v>
          </cell>
          <cell r="BZ122">
            <v>0</v>
          </cell>
          <cell r="CB122">
            <v>0</v>
          </cell>
          <cell r="CC122">
            <v>0</v>
          </cell>
          <cell r="CD122">
            <v>0</v>
          </cell>
          <cell r="CE122">
            <v>0</v>
          </cell>
          <cell r="CG122">
            <v>0</v>
          </cell>
          <cell r="CH122">
            <v>0</v>
          </cell>
          <cell r="CI122">
            <v>0</v>
          </cell>
          <cell r="CJ122">
            <v>0</v>
          </cell>
          <cell r="CK122">
            <v>0</v>
          </cell>
          <cell r="CL122">
            <v>0</v>
          </cell>
          <cell r="CM122">
            <v>0</v>
          </cell>
          <cell r="CN122">
            <v>0</v>
          </cell>
          <cell r="CO122">
            <v>0</v>
          </cell>
          <cell r="CP122">
            <v>0</v>
          </cell>
          <cell r="CQ122">
            <v>0</v>
          </cell>
          <cell r="CR122">
            <v>0</v>
          </cell>
          <cell r="CS122">
            <v>0</v>
          </cell>
          <cell r="CT122">
            <v>0</v>
          </cell>
          <cell r="CU122">
            <v>0</v>
          </cell>
          <cell r="CV122">
            <v>0</v>
          </cell>
          <cell r="CW122">
            <v>0</v>
          </cell>
          <cell r="CX122">
            <v>0</v>
          </cell>
          <cell r="CY122">
            <v>0</v>
          </cell>
          <cell r="CZ122">
            <v>0</v>
          </cell>
          <cell r="DA122">
            <v>0</v>
          </cell>
          <cell r="DB122">
            <v>0</v>
          </cell>
          <cell r="DC122">
            <v>0</v>
          </cell>
          <cell r="DD122">
            <v>0</v>
          </cell>
          <cell r="DE122">
            <v>0</v>
          </cell>
          <cell r="DF122">
            <v>-1</v>
          </cell>
          <cell r="DG122">
            <v>0</v>
          </cell>
          <cell r="DH122">
            <v>0</v>
          </cell>
          <cell r="DI122">
            <v>0</v>
          </cell>
          <cell r="EA122">
            <v>0</v>
          </cell>
          <cell r="EB122">
            <v>0</v>
          </cell>
          <cell r="EC122">
            <v>0</v>
          </cell>
          <cell r="ED122">
            <v>0</v>
          </cell>
          <cell r="EE122">
            <v>0</v>
          </cell>
          <cell r="EF122">
            <v>0</v>
          </cell>
          <cell r="EG122">
            <v>0</v>
          </cell>
          <cell r="EH122">
            <v>0</v>
          </cell>
          <cell r="EI122">
            <v>0</v>
          </cell>
          <cell r="EJ122">
            <v>0</v>
          </cell>
          <cell r="EK122">
            <v>0</v>
          </cell>
          <cell r="EL122">
            <v>0</v>
          </cell>
          <cell r="EM122">
            <v>0</v>
          </cell>
          <cell r="EN122">
            <v>0</v>
          </cell>
          <cell r="EO122">
            <v>0</v>
          </cell>
          <cell r="EP122">
            <v>0</v>
          </cell>
          <cell r="EQ122">
            <v>0</v>
          </cell>
          <cell r="ER122">
            <v>0</v>
          </cell>
          <cell r="FE122">
            <v>0</v>
          </cell>
          <cell r="FF122">
            <v>0</v>
          </cell>
          <cell r="FG122">
            <v>0</v>
          </cell>
          <cell r="FJ122">
            <v>0</v>
          </cell>
          <cell r="FK122">
            <v>0</v>
          </cell>
          <cell r="FL122">
            <v>0</v>
          </cell>
          <cell r="FN122">
            <v>0</v>
          </cell>
          <cell r="FO122">
            <v>0</v>
          </cell>
          <cell r="FP122">
            <v>0</v>
          </cell>
          <cell r="FQ122">
            <v>0</v>
          </cell>
          <cell r="FS122">
            <v>0</v>
          </cell>
          <cell r="FT122">
            <v>0</v>
          </cell>
          <cell r="FU122">
            <v>0</v>
          </cell>
          <cell r="FV122">
            <v>0</v>
          </cell>
          <cell r="FW122">
            <v>0</v>
          </cell>
          <cell r="FX122">
            <v>0</v>
          </cell>
          <cell r="FY122">
            <v>0</v>
          </cell>
          <cell r="FZ122">
            <v>0</v>
          </cell>
          <cell r="GA122">
            <v>0</v>
          </cell>
          <cell r="GB122">
            <v>0</v>
          </cell>
          <cell r="GC122">
            <v>0</v>
          </cell>
          <cell r="GD122">
            <v>0</v>
          </cell>
          <cell r="GE122">
            <v>0</v>
          </cell>
          <cell r="GF122">
            <v>0</v>
          </cell>
          <cell r="GG122">
            <v>0</v>
          </cell>
          <cell r="GH122">
            <v>113</v>
          </cell>
          <cell r="GI122">
            <v>0</v>
          </cell>
          <cell r="GJ122">
            <v>0</v>
          </cell>
          <cell r="GK122">
            <v>0</v>
          </cell>
          <cell r="GL122">
            <v>0</v>
          </cell>
          <cell r="GM122">
            <v>0</v>
          </cell>
          <cell r="GN122">
            <v>0</v>
          </cell>
          <cell r="GO122">
            <v>0</v>
          </cell>
          <cell r="GP122">
            <v>0</v>
          </cell>
          <cell r="GQ122">
            <v>0</v>
          </cell>
          <cell r="GR122">
            <v>0</v>
          </cell>
          <cell r="GS122">
            <v>0</v>
          </cell>
          <cell r="GT122">
            <v>0</v>
          </cell>
          <cell r="GZ122">
            <v>0</v>
          </cell>
        </row>
        <row r="123">
          <cell r="A123" t="str">
            <v>F_IAM_NRF_RET_IND_FRCE_401</v>
          </cell>
          <cell r="B123">
            <v>1630138.6800000002</v>
          </cell>
          <cell r="D123">
            <v>1630151.56984</v>
          </cell>
          <cell r="E123">
            <v>1630151.56984</v>
          </cell>
          <cell r="F123">
            <v>1630151.56984</v>
          </cell>
          <cell r="G123">
            <v>1630151.56984</v>
          </cell>
          <cell r="H123">
            <v>0</v>
          </cell>
          <cell r="I123">
            <v>0</v>
          </cell>
          <cell r="J123">
            <v>1630151.56984</v>
          </cell>
          <cell r="K123">
            <v>1630151.56984</v>
          </cell>
          <cell r="L123">
            <v>1630151.56984</v>
          </cell>
          <cell r="M123">
            <v>0</v>
          </cell>
          <cell r="N123">
            <v>1630151.56984</v>
          </cell>
          <cell r="O123">
            <v>1630151.56984</v>
          </cell>
          <cell r="P123">
            <v>1630151.56984</v>
          </cell>
          <cell r="Q123">
            <v>1630151.56984</v>
          </cell>
          <cell r="R123">
            <v>0</v>
          </cell>
          <cell r="S123">
            <v>1630151.56984</v>
          </cell>
          <cell r="T123">
            <v>1630151.56984</v>
          </cell>
          <cell r="U123">
            <v>1630151.56984</v>
          </cell>
          <cell r="V123">
            <v>1630151.56984</v>
          </cell>
          <cell r="W123">
            <v>1630151.56984</v>
          </cell>
          <cell r="X123">
            <v>1630151.56984</v>
          </cell>
          <cell r="Y123">
            <v>1630151.56984</v>
          </cell>
          <cell r="Z123">
            <v>1630151.56984</v>
          </cell>
          <cell r="AA123">
            <v>1630151.56984</v>
          </cell>
          <cell r="AB123">
            <v>1631071.4556799999</v>
          </cell>
          <cell r="AC123">
            <v>1626810.75129</v>
          </cell>
          <cell r="AD123">
            <v>0</v>
          </cell>
          <cell r="AE123">
            <v>0</v>
          </cell>
          <cell r="AF123">
            <v>1236612.93423</v>
          </cell>
          <cell r="AG123">
            <v>1236612.93423</v>
          </cell>
          <cell r="AH123">
            <v>1236612.93423</v>
          </cell>
          <cell r="AI123">
            <v>0</v>
          </cell>
          <cell r="AJ123">
            <v>1630151.56984</v>
          </cell>
          <cell r="AK123">
            <v>1630151.56984</v>
          </cell>
          <cell r="AL123">
            <v>1630151.56984</v>
          </cell>
          <cell r="AM123">
            <v>1630151.56984</v>
          </cell>
          <cell r="AN123">
            <v>0</v>
          </cell>
          <cell r="AO123">
            <v>1626511.2980399998</v>
          </cell>
          <cell r="AP123">
            <v>1626511.2980399998</v>
          </cell>
          <cell r="AQ123">
            <v>1626511.2980399998</v>
          </cell>
          <cell r="AR123">
            <v>1626511.2980399998</v>
          </cell>
          <cell r="AS123">
            <v>1626511.2980399998</v>
          </cell>
          <cell r="AT123">
            <v>1626511.2980399998</v>
          </cell>
          <cell r="AU123">
            <v>1626511.2980399998</v>
          </cell>
          <cell r="AV123">
            <v>1527701.0921100001</v>
          </cell>
          <cell r="AW123">
            <v>1630151.56984</v>
          </cell>
          <cell r="AX123">
            <v>1630151.56984</v>
          </cell>
          <cell r="AY123">
            <v>1630151.56984</v>
          </cell>
          <cell r="AZ123">
            <v>0</v>
          </cell>
          <cell r="BA123">
            <v>0</v>
          </cell>
          <cell r="BB123">
            <v>1630151.56984</v>
          </cell>
          <cell r="BC123">
            <v>1630151.56984</v>
          </cell>
          <cell r="BD123">
            <v>1630151.56984</v>
          </cell>
          <cell r="BE123">
            <v>0</v>
          </cell>
          <cell r="BF123">
            <v>1630151.56984</v>
          </cell>
          <cell r="BG123">
            <v>1630151.56984</v>
          </cell>
          <cell r="BH123">
            <v>1630151.56984</v>
          </cell>
          <cell r="BI123">
            <v>1630151.56984</v>
          </cell>
          <cell r="BJ123">
            <v>0</v>
          </cell>
          <cell r="BK123">
            <v>1630151.56984</v>
          </cell>
          <cell r="BL123">
            <v>1630151.56984</v>
          </cell>
          <cell r="BM123">
            <v>1630151.56984</v>
          </cell>
          <cell r="BN123">
            <v>1630151.56984</v>
          </cell>
          <cell r="BO123">
            <v>1630151.56984</v>
          </cell>
          <cell r="BP123">
            <v>1630151.56984</v>
          </cell>
          <cell r="BQ123">
            <v>1630151.56984</v>
          </cell>
          <cell r="BR123">
            <v>1630151.56984</v>
          </cell>
          <cell r="BS123">
            <v>1630151.56984</v>
          </cell>
          <cell r="BT123">
            <v>1630151.56984</v>
          </cell>
          <cell r="BU123">
            <v>1630151.56984</v>
          </cell>
          <cell r="BV123">
            <v>0</v>
          </cell>
          <cell r="BW123">
            <v>0</v>
          </cell>
          <cell r="BX123">
            <v>1630151.56984</v>
          </cell>
          <cell r="BY123">
            <v>1630151.56984</v>
          </cell>
          <cell r="BZ123">
            <v>1630151.56984</v>
          </cell>
          <cell r="CA123">
            <v>0</v>
          </cell>
          <cell r="CB123">
            <v>1630151.56984</v>
          </cell>
          <cell r="CC123">
            <v>1630151.56984</v>
          </cell>
          <cell r="CD123">
            <v>1630151.56984</v>
          </cell>
          <cell r="CE123">
            <v>1630151.56984</v>
          </cell>
          <cell r="CF123">
            <v>0</v>
          </cell>
          <cell r="CG123">
            <v>1630151.56984</v>
          </cell>
          <cell r="CH123">
            <v>1630151.56984</v>
          </cell>
          <cell r="CI123">
            <v>1630151.56984</v>
          </cell>
          <cell r="CJ123">
            <v>1630151.56984</v>
          </cell>
          <cell r="CK123">
            <v>1630151.56984</v>
          </cell>
          <cell r="CL123">
            <v>1630151.56984</v>
          </cell>
          <cell r="CM123">
            <v>1630151.56984</v>
          </cell>
          <cell r="CN123">
            <v>1630151.56984</v>
          </cell>
          <cell r="CO123">
            <v>1630151.56984</v>
          </cell>
          <cell r="CP123">
            <v>1630151.56984</v>
          </cell>
          <cell r="CQ123">
            <v>1630151.56984</v>
          </cell>
          <cell r="CR123">
            <v>1630151.56984</v>
          </cell>
          <cell r="CS123">
            <v>1630151.56984</v>
          </cell>
          <cell r="CT123">
            <v>1630151.56984</v>
          </cell>
          <cell r="CU123">
            <v>1630151.56984</v>
          </cell>
          <cell r="CV123">
            <v>1630151.56984</v>
          </cell>
          <cell r="CW123">
            <v>1630151.56984</v>
          </cell>
          <cell r="CX123">
            <v>1630151.56984</v>
          </cell>
          <cell r="CY123">
            <v>1630151.56984</v>
          </cell>
          <cell r="CZ123">
            <v>1630151.56984</v>
          </cell>
          <cell r="DA123">
            <v>593688.67983999988</v>
          </cell>
          <cell r="DB123">
            <v>1630151.56984</v>
          </cell>
          <cell r="DC123">
            <v>1630151.56984</v>
          </cell>
          <cell r="DD123">
            <v>1630151.56984</v>
          </cell>
          <cell r="DE123">
            <v>1630138.6800000002</v>
          </cell>
          <cell r="DF123">
            <v>1630164.4596799999</v>
          </cell>
          <cell r="DG123">
            <v>1630151.56984</v>
          </cell>
          <cell r="DH123">
            <v>1630151.56984</v>
          </cell>
          <cell r="DI123">
            <v>1630151.56984</v>
          </cell>
          <cell r="DJ123">
            <v>0</v>
          </cell>
          <cell r="DK123">
            <v>0</v>
          </cell>
          <cell r="DL123">
            <v>0</v>
          </cell>
          <cell r="DM123">
            <v>0</v>
          </cell>
          <cell r="DN123">
            <v>0</v>
          </cell>
          <cell r="DO123">
            <v>0</v>
          </cell>
          <cell r="DP123">
            <v>0</v>
          </cell>
          <cell r="DQ123">
            <v>0</v>
          </cell>
          <cell r="DR123">
            <v>0</v>
          </cell>
          <cell r="DS123">
            <v>0</v>
          </cell>
          <cell r="DT123">
            <v>0</v>
          </cell>
          <cell r="DU123">
            <v>0</v>
          </cell>
          <cell r="DV123">
            <v>0</v>
          </cell>
          <cell r="DW123">
            <v>0</v>
          </cell>
          <cell r="DX123" t="str">
            <v/>
          </cell>
          <cell r="DY123" t="str">
            <v/>
          </cell>
          <cell r="DZ123" t="str">
            <v/>
          </cell>
          <cell r="EA123">
            <v>1630151.56984</v>
          </cell>
          <cell r="EB123">
            <v>1630151.56984</v>
          </cell>
          <cell r="EC123">
            <v>1630151.56984</v>
          </cell>
          <cell r="ED123">
            <v>1630151.56984</v>
          </cell>
          <cell r="EE123">
            <v>1630151.56984</v>
          </cell>
          <cell r="EF123">
            <v>1630151.56984</v>
          </cell>
          <cell r="EG123">
            <v>1630151.56984</v>
          </cell>
          <cell r="EH123">
            <v>1630151.56984</v>
          </cell>
          <cell r="EI123">
            <v>1630151.56984</v>
          </cell>
          <cell r="EJ123">
            <v>1630151.56984</v>
          </cell>
          <cell r="EK123">
            <v>593688.67983999988</v>
          </cell>
          <cell r="EL123">
            <v>1630151.56984</v>
          </cell>
          <cell r="EM123">
            <v>1630151.56984</v>
          </cell>
          <cell r="EN123">
            <v>1630151.56984</v>
          </cell>
          <cell r="EO123">
            <v>1630138.6800000002</v>
          </cell>
          <cell r="EP123">
            <v>1630164.4596799999</v>
          </cell>
          <cell r="EQ123">
            <v>1630151.56984</v>
          </cell>
          <cell r="ER123">
            <v>1630151.56984</v>
          </cell>
          <cell r="ES123">
            <v>0</v>
          </cell>
          <cell r="ET123">
            <v>0</v>
          </cell>
          <cell r="EU123">
            <v>0</v>
          </cell>
          <cell r="EV123">
            <v>0</v>
          </cell>
          <cell r="EW123">
            <v>0</v>
          </cell>
          <cell r="EX123">
            <v>0</v>
          </cell>
          <cell r="EY123">
            <v>0</v>
          </cell>
          <cell r="EZ123">
            <v>0</v>
          </cell>
          <cell r="FA123">
            <v>0</v>
          </cell>
          <cell r="FB123">
            <v>0</v>
          </cell>
          <cell r="FC123">
            <v>0</v>
          </cell>
          <cell r="FD123">
            <v>12.889839999843389</v>
          </cell>
          <cell r="FE123">
            <v>1630138.6800000002</v>
          </cell>
          <cell r="FF123">
            <v>1631071.4556799999</v>
          </cell>
          <cell r="FG123">
            <v>1626810.75129</v>
          </cell>
          <cell r="FH123">
            <v>0</v>
          </cell>
          <cell r="FI123">
            <v>0</v>
          </cell>
          <cell r="FJ123">
            <v>1236612.93423</v>
          </cell>
          <cell r="FK123">
            <v>1236612.93423</v>
          </cell>
          <cell r="FL123">
            <v>1236612.93423</v>
          </cell>
          <cell r="FM123">
            <v>0</v>
          </cell>
          <cell r="FN123">
            <v>1630151.56984</v>
          </cell>
          <cell r="FO123">
            <v>1630151.56984</v>
          </cell>
          <cell r="FP123">
            <v>1630151.56984</v>
          </cell>
          <cell r="FQ123">
            <v>1630151.56984</v>
          </cell>
          <cell r="FR123">
            <v>0</v>
          </cell>
          <cell r="FS123">
            <v>1626511.2980399998</v>
          </cell>
          <cell r="FT123">
            <v>1626511.2980399998</v>
          </cell>
          <cell r="FU123">
            <v>1626511.2980399998</v>
          </cell>
          <cell r="FV123">
            <v>1626511.2980399998</v>
          </cell>
          <cell r="FW123">
            <v>1626511.2980399998</v>
          </cell>
          <cell r="FX123">
            <v>1626511.2980399998</v>
          </cell>
          <cell r="FY123">
            <v>1626511.2980399998</v>
          </cell>
          <cell r="FZ123">
            <v>1527701.0921100001</v>
          </cell>
          <cell r="GA123">
            <v>1630151.56984</v>
          </cell>
          <cell r="GB123">
            <v>1630151.56984</v>
          </cell>
          <cell r="GC123">
            <v>593680.48431999993</v>
          </cell>
          <cell r="GD123">
            <v>1630151.56984</v>
          </cell>
          <cell r="GE123">
            <v>1630151.56984</v>
          </cell>
          <cell r="GF123">
            <v>1630151.56984</v>
          </cell>
          <cell r="GG123">
            <v>1630151.56984</v>
          </cell>
          <cell r="GH123">
            <v>1630151.56984</v>
          </cell>
          <cell r="GI123">
            <v>1630151.56984</v>
          </cell>
          <cell r="GJ123">
            <v>1630151.56984</v>
          </cell>
          <cell r="GK123">
            <v>1630151.56984</v>
          </cell>
          <cell r="GL123">
            <v>1630151.56984</v>
          </cell>
          <cell r="GM123">
            <v>593680.48431999993</v>
          </cell>
          <cell r="GN123">
            <v>1630151.56984</v>
          </cell>
          <cell r="GO123">
            <v>1630151.56984</v>
          </cell>
          <cell r="GP123">
            <v>1630151.56984</v>
          </cell>
          <cell r="GQ123">
            <v>1630151.56984</v>
          </cell>
          <cell r="GR123">
            <v>1630151.56984</v>
          </cell>
          <cell r="GS123">
            <v>1630151.56984</v>
          </cell>
          <cell r="GT123">
            <v>1630151.56984</v>
          </cell>
          <cell r="GU123">
            <v>0</v>
          </cell>
          <cell r="GZ123">
            <v>0</v>
          </cell>
        </row>
        <row r="124">
          <cell r="A124" t="str">
            <v>F_IAM_NRF_RIS_COL_FRCE_401</v>
          </cell>
          <cell r="B124">
            <v>3719789354.3359203</v>
          </cell>
          <cell r="D124">
            <v>4706081659.1894703</v>
          </cell>
          <cell r="E124">
            <v>4002155360.4755802</v>
          </cell>
          <cell r="F124">
            <v>4706081659.1894703</v>
          </cell>
          <cell r="G124">
            <v>4706081659.1894703</v>
          </cell>
          <cell r="H124">
            <v>0</v>
          </cell>
          <cell r="I124">
            <v>0</v>
          </cell>
          <cell r="J124">
            <v>4706081659.1894703</v>
          </cell>
          <cell r="K124">
            <v>4706081659.1894703</v>
          </cell>
          <cell r="L124">
            <v>4706081659.1894703</v>
          </cell>
          <cell r="M124">
            <v>0</v>
          </cell>
          <cell r="N124">
            <v>4706081659.1894703</v>
          </cell>
          <cell r="O124">
            <v>4706081659.1894703</v>
          </cell>
          <cell r="P124">
            <v>4706081659.1894703</v>
          </cell>
          <cell r="Q124">
            <v>4706081659.1894703</v>
          </cell>
          <cell r="R124">
            <v>0</v>
          </cell>
          <cell r="S124">
            <v>4706081659.1894703</v>
          </cell>
          <cell r="T124">
            <v>4706081659.1894703</v>
          </cell>
          <cell r="U124">
            <v>4706081659.1894703</v>
          </cell>
          <cell r="V124">
            <v>4706081659.1894703</v>
          </cell>
          <cell r="W124">
            <v>4706081659.1894703</v>
          </cell>
          <cell r="X124">
            <v>4706081659.1894703</v>
          </cell>
          <cell r="Y124">
            <v>4706081659.1894703</v>
          </cell>
          <cell r="Z124">
            <v>4706081659.1894703</v>
          </cell>
          <cell r="AA124">
            <v>4706081659.1894703</v>
          </cell>
          <cell r="AB124">
            <v>4742557408.3475094</v>
          </cell>
          <cell r="AC124">
            <v>4561699915.6123495</v>
          </cell>
          <cell r="AD124">
            <v>0</v>
          </cell>
          <cell r="AE124">
            <v>0</v>
          </cell>
          <cell r="AF124">
            <v>4310272246.7919798</v>
          </cell>
          <cell r="AG124">
            <v>4310272246.7919798</v>
          </cell>
          <cell r="AH124">
            <v>4310272246.7919798</v>
          </cell>
          <cell r="AI124">
            <v>0</v>
          </cell>
          <cell r="AJ124">
            <v>4642739773.1965103</v>
          </cell>
          <cell r="AK124">
            <v>4642739773.1965103</v>
          </cell>
          <cell r="AL124">
            <v>4642739773.1965103</v>
          </cell>
          <cell r="AM124">
            <v>4621054610.0567694</v>
          </cell>
          <cell r="AN124">
            <v>0</v>
          </cell>
          <cell r="AO124">
            <v>4583167822.5907507</v>
          </cell>
          <cell r="AP124">
            <v>4583167822.5907507</v>
          </cell>
          <cell r="AQ124">
            <v>4583167822.5907507</v>
          </cell>
          <cell r="AR124">
            <v>4583167822.5907507</v>
          </cell>
          <cell r="AS124">
            <v>4583167822.5907507</v>
          </cell>
          <cell r="AT124">
            <v>4583167822.5907507</v>
          </cell>
          <cell r="AU124">
            <v>4583167822.5907507</v>
          </cell>
          <cell r="AV124">
            <v>4680581888.0812187</v>
          </cell>
          <cell r="AW124">
            <v>4706081659.1894703</v>
          </cell>
          <cell r="AX124">
            <v>4002155360.4755802</v>
          </cell>
          <cell r="AY124">
            <v>4002155360.4755802</v>
          </cell>
          <cell r="AZ124">
            <v>0</v>
          </cell>
          <cell r="BA124">
            <v>0</v>
          </cell>
          <cell r="BB124">
            <v>4002155360.4755802</v>
          </cell>
          <cell r="BC124">
            <v>4002155360.4755802</v>
          </cell>
          <cell r="BD124">
            <v>4002155360.4755802</v>
          </cell>
          <cell r="BE124">
            <v>0</v>
          </cell>
          <cell r="BF124">
            <v>4002155360.4755802</v>
          </cell>
          <cell r="BG124">
            <v>4002155360.4755802</v>
          </cell>
          <cell r="BH124">
            <v>4002155360.4755802</v>
          </cell>
          <cell r="BI124">
            <v>4002155360.4755802</v>
          </cell>
          <cell r="BJ124">
            <v>0</v>
          </cell>
          <cell r="BK124">
            <v>4002155360.4755802</v>
          </cell>
          <cell r="BL124">
            <v>4002155360.4755802</v>
          </cell>
          <cell r="BM124">
            <v>4002155360.4755802</v>
          </cell>
          <cell r="BN124">
            <v>4002155360.4755802</v>
          </cell>
          <cell r="BO124">
            <v>4002155360.4755802</v>
          </cell>
          <cell r="BP124">
            <v>4002155360.4755802</v>
          </cell>
          <cell r="BQ124">
            <v>4002155360.4755802</v>
          </cell>
          <cell r="BR124">
            <v>4002155360.4755802</v>
          </cell>
          <cell r="BS124">
            <v>4002155360.4755802</v>
          </cell>
          <cell r="BT124">
            <v>4055436206.0833406</v>
          </cell>
          <cell r="BU124">
            <v>3835877200.0830202</v>
          </cell>
          <cell r="BV124">
            <v>0</v>
          </cell>
          <cell r="BW124">
            <v>0</v>
          </cell>
          <cell r="BX124">
            <v>4002155360.4755802</v>
          </cell>
          <cell r="BY124">
            <v>4002155360.4755802</v>
          </cell>
          <cell r="BZ124">
            <v>4002155360.4755802</v>
          </cell>
          <cell r="CA124">
            <v>0</v>
          </cell>
          <cell r="CB124">
            <v>4002155360.4755802</v>
          </cell>
          <cell r="CC124">
            <v>4002155360.4755802</v>
          </cell>
          <cell r="CD124">
            <v>4002155360.4755802</v>
          </cell>
          <cell r="CE124">
            <v>4002155360.4755802</v>
          </cell>
          <cell r="CF124">
            <v>0</v>
          </cell>
          <cell r="CG124">
            <v>4002155360.4755802</v>
          </cell>
          <cell r="CH124">
            <v>4002155360.4755802</v>
          </cell>
          <cell r="CI124">
            <v>4002155360.4755802</v>
          </cell>
          <cell r="CJ124">
            <v>4002155360.4755802</v>
          </cell>
          <cell r="CK124">
            <v>4002155360.4755802</v>
          </cell>
          <cell r="CL124">
            <v>4002155360.4755802</v>
          </cell>
          <cell r="CM124">
            <v>4002155360.4755802</v>
          </cell>
          <cell r="CN124">
            <v>4002155360.4755802</v>
          </cell>
          <cell r="CO124">
            <v>3946866963.9478407</v>
          </cell>
          <cell r="CP124">
            <v>4002155360.4755802</v>
          </cell>
          <cell r="CQ124">
            <v>4002155360.4755802</v>
          </cell>
          <cell r="CR124">
            <v>4002155360.4755802</v>
          </cell>
          <cell r="CS124">
            <v>4002155360.4755802</v>
          </cell>
          <cell r="CT124">
            <v>4002155360.4755802</v>
          </cell>
          <cell r="CU124">
            <v>4002155360.4755802</v>
          </cell>
          <cell r="CV124">
            <v>4002155360.4755802</v>
          </cell>
          <cell r="CW124">
            <v>4002155360.4755802</v>
          </cell>
          <cell r="CX124">
            <v>4002155360.4755802</v>
          </cell>
          <cell r="CY124">
            <v>4002155360.4755802</v>
          </cell>
          <cell r="CZ124">
            <v>4002155360.4755802</v>
          </cell>
          <cell r="DA124">
            <v>4002155360.4755802</v>
          </cell>
          <cell r="DB124">
            <v>4002155360.4755802</v>
          </cell>
          <cell r="DC124">
            <v>4002155360.4755802</v>
          </cell>
          <cell r="DD124">
            <v>4002155360.4755802</v>
          </cell>
          <cell r="DE124">
            <v>3775209284.7319398</v>
          </cell>
          <cell r="DF124">
            <v>4229101436.2192206</v>
          </cell>
          <cell r="DG124">
            <v>4002155360.4755802</v>
          </cell>
          <cell r="DH124">
            <v>4002155360.4755802</v>
          </cell>
          <cell r="DI124">
            <v>4002155360.4755802</v>
          </cell>
          <cell r="DJ124">
            <v>0</v>
          </cell>
          <cell r="DK124">
            <v>0</v>
          </cell>
          <cell r="DL124">
            <v>0</v>
          </cell>
          <cell r="DM124">
            <v>0</v>
          </cell>
          <cell r="DN124">
            <v>0</v>
          </cell>
          <cell r="DO124">
            <v>0</v>
          </cell>
          <cell r="DP124">
            <v>0</v>
          </cell>
          <cell r="DQ124">
            <v>0</v>
          </cell>
          <cell r="DR124">
            <v>0</v>
          </cell>
          <cell r="DS124">
            <v>0</v>
          </cell>
          <cell r="DT124">
            <v>0</v>
          </cell>
          <cell r="DU124">
            <v>0</v>
          </cell>
          <cell r="DV124">
            <v>0</v>
          </cell>
          <cell r="DW124">
            <v>0</v>
          </cell>
          <cell r="DX124" t="str">
            <v/>
          </cell>
          <cell r="DY124" t="str">
            <v/>
          </cell>
          <cell r="DZ124" t="str">
            <v/>
          </cell>
          <cell r="EA124">
            <v>4002155360.4755802</v>
          </cell>
          <cell r="EB124">
            <v>4002155360.4755802</v>
          </cell>
          <cell r="EC124">
            <v>4002155360.4755802</v>
          </cell>
          <cell r="ED124">
            <v>4002155360.4755802</v>
          </cell>
          <cell r="EE124">
            <v>4002155360.4755802</v>
          </cell>
          <cell r="EF124">
            <v>4002155360.4755802</v>
          </cell>
          <cell r="EG124">
            <v>4002155360.4755802</v>
          </cell>
          <cell r="EH124">
            <v>4002155360.4755802</v>
          </cell>
          <cell r="EI124">
            <v>4002155360.4755802</v>
          </cell>
          <cell r="EJ124">
            <v>4002155601.22508</v>
          </cell>
          <cell r="EK124">
            <v>4056144437.2159109</v>
          </cell>
          <cell r="EL124">
            <v>4002155360.4755802</v>
          </cell>
          <cell r="EM124">
            <v>4002155360.4755802</v>
          </cell>
          <cell r="EN124">
            <v>4002155360.4755802</v>
          </cell>
          <cell r="EO124">
            <v>3775209284.7319398</v>
          </cell>
          <cell r="EP124">
            <v>4229101436.2192206</v>
          </cell>
          <cell r="EQ124">
            <v>4010038198.1516805</v>
          </cell>
          <cell r="ER124">
            <v>4126556804.5564103</v>
          </cell>
          <cell r="ES124">
            <v>0</v>
          </cell>
          <cell r="ET124">
            <v>0</v>
          </cell>
          <cell r="EU124">
            <v>0</v>
          </cell>
          <cell r="EV124">
            <v>0</v>
          </cell>
          <cell r="EW124">
            <v>0</v>
          </cell>
          <cell r="EX124">
            <v>0</v>
          </cell>
          <cell r="EY124">
            <v>0</v>
          </cell>
          <cell r="EZ124">
            <v>0</v>
          </cell>
          <cell r="FA124">
            <v>0</v>
          </cell>
          <cell r="FB124">
            <v>0</v>
          </cell>
          <cell r="FC124">
            <v>0</v>
          </cell>
          <cell r="FD124">
            <v>226946075.74364042</v>
          </cell>
          <cell r="FE124">
            <v>3775209284.7319398</v>
          </cell>
          <cell r="FF124">
            <v>4041011116.2789202</v>
          </cell>
          <cell r="FG124">
            <v>3921200740.7298393</v>
          </cell>
          <cell r="FH124">
            <v>0</v>
          </cell>
          <cell r="FI124">
            <v>0</v>
          </cell>
          <cell r="FJ124">
            <v>3894019226.5062804</v>
          </cell>
          <cell r="FK124">
            <v>3894019226.5062804</v>
          </cell>
          <cell r="FL124">
            <v>3894019226.5062804</v>
          </cell>
          <cell r="FM124">
            <v>0</v>
          </cell>
          <cell r="FN124">
            <v>3984850196.7905302</v>
          </cell>
          <cell r="FO124">
            <v>3984850196.7905302</v>
          </cell>
          <cell r="FP124">
            <v>3984850196.7905302</v>
          </cell>
          <cell r="FQ124">
            <v>3978925755.2967901</v>
          </cell>
          <cell r="FR124">
            <v>0</v>
          </cell>
          <cell r="FS124">
            <v>3968574989.0018101</v>
          </cell>
          <cell r="FT124">
            <v>3968574989.0018101</v>
          </cell>
          <cell r="FU124">
            <v>3968574989.0018101</v>
          </cell>
          <cell r="FV124">
            <v>3968574989.0018101</v>
          </cell>
          <cell r="FW124">
            <v>3968574989.0018101</v>
          </cell>
          <cell r="FX124">
            <v>3968574989.0018101</v>
          </cell>
          <cell r="FY124">
            <v>3968574989.0018101</v>
          </cell>
          <cell r="FZ124">
            <v>3995188758.4232006</v>
          </cell>
          <cell r="GA124">
            <v>3946866963.9478197</v>
          </cell>
          <cell r="GB124">
            <v>4002155360.4755802</v>
          </cell>
          <cell r="GC124">
            <v>4002155360.4755802</v>
          </cell>
          <cell r="GD124">
            <v>4002155360.4755802</v>
          </cell>
          <cell r="GE124">
            <v>4002155360.4755802</v>
          </cell>
          <cell r="GF124">
            <v>4002155360.4755802</v>
          </cell>
          <cell r="GG124">
            <v>4002155360.4755802</v>
          </cell>
          <cell r="GH124">
            <v>4002155360.4755802</v>
          </cell>
          <cell r="GI124">
            <v>4002155360.4755802</v>
          </cell>
          <cell r="GJ124">
            <v>4002155360.4755802</v>
          </cell>
          <cell r="GK124">
            <v>4002155360.4755802</v>
          </cell>
          <cell r="GL124">
            <v>4002155601.2250605</v>
          </cell>
          <cell r="GM124">
            <v>4038819870.95996</v>
          </cell>
          <cell r="GN124">
            <v>4002155360.4755802</v>
          </cell>
          <cell r="GO124">
            <v>4002155360.4755802</v>
          </cell>
          <cell r="GP124">
            <v>4002155360.4755802</v>
          </cell>
          <cell r="GQ124">
            <v>4002155360.4755802</v>
          </cell>
          <cell r="GR124">
            <v>4002155360.4755802</v>
          </cell>
          <cell r="GS124">
            <v>4010038198.1516695</v>
          </cell>
          <cell r="GT124">
            <v>4116170322.4587703</v>
          </cell>
          <cell r="GU124">
            <v>0</v>
          </cell>
          <cell r="GZ124">
            <v>0</v>
          </cell>
        </row>
        <row r="125">
          <cell r="A125" t="str">
            <v>F_IAM_NRF_RIS_IND_FRCE_401</v>
          </cell>
          <cell r="B125">
            <v>639256.09000000008</v>
          </cell>
          <cell r="D125">
            <v>820614.55991000007</v>
          </cell>
          <cell r="E125">
            <v>99736.56091</v>
          </cell>
          <cell r="F125">
            <v>820614.55991000007</v>
          </cell>
          <cell r="G125">
            <v>820614.55991000007</v>
          </cell>
          <cell r="H125">
            <v>0</v>
          </cell>
          <cell r="I125">
            <v>0</v>
          </cell>
          <cell r="J125">
            <v>820614.55991000007</v>
          </cell>
          <cell r="K125">
            <v>820614.55991000007</v>
          </cell>
          <cell r="L125">
            <v>820614.55991000007</v>
          </cell>
          <cell r="M125">
            <v>0</v>
          </cell>
          <cell r="N125">
            <v>820614.55991000007</v>
          </cell>
          <cell r="O125">
            <v>820614.55991000007</v>
          </cell>
          <cell r="P125">
            <v>820614.55991000007</v>
          </cell>
          <cell r="Q125">
            <v>820614.55991000007</v>
          </cell>
          <cell r="R125">
            <v>0</v>
          </cell>
          <cell r="S125">
            <v>820614.55991000007</v>
          </cell>
          <cell r="T125">
            <v>820614.55991000007</v>
          </cell>
          <cell r="U125">
            <v>820614.55991000007</v>
          </cell>
          <cell r="V125">
            <v>820614.55991000007</v>
          </cell>
          <cell r="W125">
            <v>820614.55991000007</v>
          </cell>
          <cell r="X125">
            <v>820614.55991000007</v>
          </cell>
          <cell r="Y125">
            <v>820614.55991000007</v>
          </cell>
          <cell r="Z125">
            <v>820614.55991000007</v>
          </cell>
          <cell r="AA125">
            <v>820614.55991000007</v>
          </cell>
          <cell r="AB125">
            <v>827330.43192999996</v>
          </cell>
          <cell r="AC125">
            <v>794775.3859600001</v>
          </cell>
          <cell r="AD125">
            <v>0</v>
          </cell>
          <cell r="AE125">
            <v>0</v>
          </cell>
          <cell r="AF125">
            <v>747824.23076000018</v>
          </cell>
          <cell r="AG125">
            <v>747824.23076000018</v>
          </cell>
          <cell r="AH125">
            <v>747824.23076000018</v>
          </cell>
          <cell r="AI125">
            <v>0</v>
          </cell>
          <cell r="AJ125">
            <v>808965.83050999977</v>
          </cell>
          <cell r="AK125">
            <v>808965.83050999977</v>
          </cell>
          <cell r="AL125">
            <v>808965.83050999977</v>
          </cell>
          <cell r="AM125">
            <v>804977.87545999978</v>
          </cell>
          <cell r="AN125">
            <v>0</v>
          </cell>
          <cell r="AO125">
            <v>798010.40156999999</v>
          </cell>
          <cell r="AP125">
            <v>798010.40156999999</v>
          </cell>
          <cell r="AQ125">
            <v>798010.40156999999</v>
          </cell>
          <cell r="AR125">
            <v>798010.40156999999</v>
          </cell>
          <cell r="AS125">
            <v>798010.40156999999</v>
          </cell>
          <cell r="AT125">
            <v>798010.40156999999</v>
          </cell>
          <cell r="AU125">
            <v>798010.40156999999</v>
          </cell>
          <cell r="AV125">
            <v>815925.08899999992</v>
          </cell>
          <cell r="AW125">
            <v>820614.55991000007</v>
          </cell>
          <cell r="AX125">
            <v>99736.56091</v>
          </cell>
          <cell r="AY125">
            <v>99736.56091</v>
          </cell>
          <cell r="AZ125">
            <v>0</v>
          </cell>
          <cell r="BA125">
            <v>0</v>
          </cell>
          <cell r="BB125">
            <v>99736.56091</v>
          </cell>
          <cell r="BC125">
            <v>99736.56091</v>
          </cell>
          <cell r="BD125">
            <v>99736.56091</v>
          </cell>
          <cell r="BE125">
            <v>0</v>
          </cell>
          <cell r="BF125">
            <v>99736.56091</v>
          </cell>
          <cell r="BG125">
            <v>99736.56091</v>
          </cell>
          <cell r="BH125">
            <v>99736.56091</v>
          </cell>
          <cell r="BI125">
            <v>99736.56091</v>
          </cell>
          <cell r="BJ125">
            <v>0</v>
          </cell>
          <cell r="BK125">
            <v>99736.56091</v>
          </cell>
          <cell r="BL125">
            <v>99736.56091</v>
          </cell>
          <cell r="BM125">
            <v>99736.56091</v>
          </cell>
          <cell r="BN125">
            <v>99736.56091</v>
          </cell>
          <cell r="BO125">
            <v>99736.56091</v>
          </cell>
          <cell r="BP125">
            <v>99736.56091</v>
          </cell>
          <cell r="BQ125">
            <v>99736.56091</v>
          </cell>
          <cell r="BR125">
            <v>99736.56091</v>
          </cell>
          <cell r="BS125">
            <v>99736.56091</v>
          </cell>
          <cell r="BT125">
            <v>99542.934680000006</v>
          </cell>
          <cell r="BU125">
            <v>102765.39328</v>
          </cell>
          <cell r="BV125">
            <v>0</v>
          </cell>
          <cell r="BW125">
            <v>0</v>
          </cell>
          <cell r="BX125">
            <v>99736.56091</v>
          </cell>
          <cell r="BY125">
            <v>99736.56091</v>
          </cell>
          <cell r="BZ125">
            <v>99736.56091</v>
          </cell>
          <cell r="CA125">
            <v>0</v>
          </cell>
          <cell r="CB125">
            <v>99736.56091</v>
          </cell>
          <cell r="CC125">
            <v>99736.56091</v>
          </cell>
          <cell r="CD125">
            <v>99736.56091</v>
          </cell>
          <cell r="CE125">
            <v>99736.56091</v>
          </cell>
          <cell r="CF125">
            <v>0</v>
          </cell>
          <cell r="CG125">
            <v>99736.56091</v>
          </cell>
          <cell r="CH125">
            <v>99736.56091</v>
          </cell>
          <cell r="CI125">
            <v>99736.56091</v>
          </cell>
          <cell r="CJ125">
            <v>99736.56091</v>
          </cell>
          <cell r="CK125">
            <v>99736.56091</v>
          </cell>
          <cell r="CL125">
            <v>99736.56091</v>
          </cell>
          <cell r="CM125">
            <v>99736.56091</v>
          </cell>
          <cell r="CN125">
            <v>99736.56091</v>
          </cell>
          <cell r="CO125">
            <v>-754823.77890999988</v>
          </cell>
          <cell r="CP125">
            <v>99736.56091</v>
          </cell>
          <cell r="CQ125">
            <v>99736.56091</v>
          </cell>
          <cell r="CR125">
            <v>99736.56091</v>
          </cell>
          <cell r="CS125">
            <v>99736.56091</v>
          </cell>
          <cell r="CT125">
            <v>99736.56091</v>
          </cell>
          <cell r="CU125">
            <v>99736.56091</v>
          </cell>
          <cell r="CV125">
            <v>99736.56091</v>
          </cell>
          <cell r="CW125">
            <v>99736.56091</v>
          </cell>
          <cell r="CX125">
            <v>99736.56091</v>
          </cell>
          <cell r="CY125">
            <v>99736.56091</v>
          </cell>
          <cell r="CZ125">
            <v>232143.86960000001</v>
          </cell>
          <cell r="DA125">
            <v>99736.560909999986</v>
          </cell>
          <cell r="DB125">
            <v>99736.560909999986</v>
          </cell>
          <cell r="DC125">
            <v>362891.07637999998</v>
          </cell>
          <cell r="DD125">
            <v>99736.560909999986</v>
          </cell>
          <cell r="DE125">
            <v>-61382.009180000008</v>
          </cell>
          <cell r="DF125">
            <v>260855.13099999999</v>
          </cell>
          <cell r="DG125">
            <v>297857.37634999998</v>
          </cell>
          <cell r="DH125">
            <v>99736.560909999986</v>
          </cell>
          <cell r="DI125">
            <v>99736.560909999986</v>
          </cell>
          <cell r="DJ125">
            <v>0</v>
          </cell>
          <cell r="DK125">
            <v>0</v>
          </cell>
          <cell r="DL125">
            <v>0</v>
          </cell>
          <cell r="DM125">
            <v>0</v>
          </cell>
          <cell r="DN125">
            <v>0</v>
          </cell>
          <cell r="DO125">
            <v>0</v>
          </cell>
          <cell r="DP125">
            <v>0</v>
          </cell>
          <cell r="DQ125">
            <v>0</v>
          </cell>
          <cell r="DR125">
            <v>0</v>
          </cell>
          <cell r="DS125">
            <v>0</v>
          </cell>
          <cell r="DT125">
            <v>0</v>
          </cell>
          <cell r="DU125">
            <v>0</v>
          </cell>
          <cell r="DV125">
            <v>0</v>
          </cell>
          <cell r="DW125">
            <v>0</v>
          </cell>
          <cell r="DX125" t="str">
            <v/>
          </cell>
          <cell r="DY125" t="str">
            <v/>
          </cell>
          <cell r="DZ125" t="str">
            <v/>
          </cell>
          <cell r="EA125">
            <v>99736.56091</v>
          </cell>
          <cell r="EB125">
            <v>99736.56091</v>
          </cell>
          <cell r="EC125">
            <v>99736.56091</v>
          </cell>
          <cell r="ED125">
            <v>99736.56091</v>
          </cell>
          <cell r="EE125">
            <v>99736.56091</v>
          </cell>
          <cell r="EF125">
            <v>99736.56091</v>
          </cell>
          <cell r="EG125">
            <v>99736.56091</v>
          </cell>
          <cell r="EH125">
            <v>99736.56091</v>
          </cell>
          <cell r="EI125">
            <v>99736.56091</v>
          </cell>
          <cell r="EJ125">
            <v>99736.560909999986</v>
          </cell>
          <cell r="EK125">
            <v>99736.560909999986</v>
          </cell>
          <cell r="EL125">
            <v>99736.560909999986</v>
          </cell>
          <cell r="EM125">
            <v>99736.560909999986</v>
          </cell>
          <cell r="EN125">
            <v>99736.560909999986</v>
          </cell>
          <cell r="EO125">
            <v>-61382.009180000008</v>
          </cell>
          <cell r="EP125">
            <v>260855.13099999999</v>
          </cell>
          <cell r="EQ125">
            <v>99736.560909999986</v>
          </cell>
          <cell r="ER125">
            <v>99736.560909999986</v>
          </cell>
          <cell r="ES125">
            <v>0</v>
          </cell>
          <cell r="ET125">
            <v>0</v>
          </cell>
          <cell r="EU125">
            <v>0</v>
          </cell>
          <cell r="EV125">
            <v>0</v>
          </cell>
          <cell r="EW125">
            <v>0</v>
          </cell>
          <cell r="EX125">
            <v>0</v>
          </cell>
          <cell r="EY125">
            <v>0</v>
          </cell>
          <cell r="EZ125">
            <v>0</v>
          </cell>
          <cell r="FA125">
            <v>0</v>
          </cell>
          <cell r="FB125">
            <v>0</v>
          </cell>
          <cell r="FC125">
            <v>0</v>
          </cell>
          <cell r="FD125">
            <v>161118.57008999999</v>
          </cell>
          <cell r="FE125">
            <v>-61382.009180000008</v>
          </cell>
          <cell r="FF125">
            <v>105509.30447999999</v>
          </cell>
          <cell r="FG125">
            <v>79809.913100000005</v>
          </cell>
          <cell r="FH125">
            <v>0</v>
          </cell>
          <cell r="FI125">
            <v>0</v>
          </cell>
          <cell r="FJ125">
            <v>35069.750740000003</v>
          </cell>
          <cell r="FK125">
            <v>35069.750740000003</v>
          </cell>
          <cell r="FL125">
            <v>35069.750740000003</v>
          </cell>
          <cell r="FM125">
            <v>0</v>
          </cell>
          <cell r="FN125">
            <v>89387.84865</v>
          </cell>
          <cell r="FO125">
            <v>89387.84865</v>
          </cell>
          <cell r="FP125">
            <v>89387.84865</v>
          </cell>
          <cell r="FQ125">
            <v>85844.955830000006</v>
          </cell>
          <cell r="FR125">
            <v>0</v>
          </cell>
          <cell r="FS125">
            <v>79655.06336</v>
          </cell>
          <cell r="FT125">
            <v>79655.06336</v>
          </cell>
          <cell r="FU125">
            <v>79655.06336</v>
          </cell>
          <cell r="FV125">
            <v>79655.06336</v>
          </cell>
          <cell r="FW125">
            <v>79655.06336</v>
          </cell>
          <cell r="FX125">
            <v>79655.06336</v>
          </cell>
          <cell r="FY125">
            <v>79655.06336</v>
          </cell>
          <cell r="FZ125">
            <v>95570.442569999999</v>
          </cell>
          <cell r="GA125">
            <v>-754823.77888999996</v>
          </cell>
          <cell r="GB125">
            <v>232143.86959000002</v>
          </cell>
          <cell r="GC125">
            <v>99736.56091</v>
          </cell>
          <cell r="GD125">
            <v>99736.56091</v>
          </cell>
          <cell r="GE125">
            <v>362891.07637999998</v>
          </cell>
          <cell r="GF125">
            <v>99736.56091</v>
          </cell>
          <cell r="GG125">
            <v>99736.56091</v>
          </cell>
          <cell r="GH125">
            <v>99736.56091</v>
          </cell>
          <cell r="GI125">
            <v>297857.37636999995</v>
          </cell>
          <cell r="GJ125">
            <v>99736.56091</v>
          </cell>
          <cell r="GK125">
            <v>99736.56091</v>
          </cell>
          <cell r="GL125">
            <v>99736.56091</v>
          </cell>
          <cell r="GM125">
            <v>99736.56091</v>
          </cell>
          <cell r="GN125">
            <v>99736.56091</v>
          </cell>
          <cell r="GO125">
            <v>99736.56091</v>
          </cell>
          <cell r="GP125">
            <v>99736.56091</v>
          </cell>
          <cell r="GQ125">
            <v>99736.56091</v>
          </cell>
          <cell r="GR125">
            <v>99736.56091</v>
          </cell>
          <cell r="GS125">
            <v>99736.56091</v>
          </cell>
          <cell r="GT125">
            <v>99736.56091</v>
          </cell>
          <cell r="GU125">
            <v>0</v>
          </cell>
          <cell r="GZ125">
            <v>24877737.56453</v>
          </cell>
        </row>
        <row r="126">
          <cell r="A126" t="str">
            <v>F_IAM_NRF_ASS_EMP_FRCE_401</v>
          </cell>
          <cell r="B126">
            <v>700873970.56987</v>
          </cell>
          <cell r="D126">
            <v>932010978.78994</v>
          </cell>
          <cell r="E126">
            <v>-118836595.55470002</v>
          </cell>
          <cell r="F126">
            <v>932010978.78994</v>
          </cell>
          <cell r="G126">
            <v>932010978.78994</v>
          </cell>
          <cell r="H126">
            <v>0</v>
          </cell>
          <cell r="I126">
            <v>0</v>
          </cell>
          <cell r="J126">
            <v>932010978.78994</v>
          </cell>
          <cell r="K126">
            <v>932010978.78994</v>
          </cell>
          <cell r="L126">
            <v>932010978.78994</v>
          </cell>
          <cell r="M126">
            <v>0</v>
          </cell>
          <cell r="N126">
            <v>932010978.78994</v>
          </cell>
          <cell r="O126">
            <v>932010978.78994</v>
          </cell>
          <cell r="P126">
            <v>932010978.78994</v>
          </cell>
          <cell r="Q126">
            <v>932010978.78994</v>
          </cell>
          <cell r="R126">
            <v>0</v>
          </cell>
          <cell r="S126">
            <v>932010978.78994</v>
          </cell>
          <cell r="T126">
            <v>932010978.78994</v>
          </cell>
          <cell r="U126">
            <v>932010978.78994</v>
          </cell>
          <cell r="V126">
            <v>932010978.78994</v>
          </cell>
          <cell r="W126">
            <v>932010978.78994</v>
          </cell>
          <cell r="X126">
            <v>932010978.78994</v>
          </cell>
          <cell r="Y126">
            <v>932010978.78994</v>
          </cell>
          <cell r="Z126">
            <v>932010978.78994</v>
          </cell>
          <cell r="AA126">
            <v>932010978.78994</v>
          </cell>
          <cell r="AB126">
            <v>938609841.07120991</v>
          </cell>
          <cell r="AC126">
            <v>905262121.9240998</v>
          </cell>
          <cell r="AD126">
            <v>0</v>
          </cell>
          <cell r="AE126">
            <v>0</v>
          </cell>
          <cell r="AF126">
            <v>842065739.57501018</v>
          </cell>
          <cell r="AG126">
            <v>842065739.57501018</v>
          </cell>
          <cell r="AH126">
            <v>842065739.57501018</v>
          </cell>
          <cell r="AI126">
            <v>0</v>
          </cell>
          <cell r="AJ126">
            <v>917616927.23502016</v>
          </cell>
          <cell r="AK126">
            <v>917616927.23502016</v>
          </cell>
          <cell r="AL126">
            <v>917616927.23502016</v>
          </cell>
          <cell r="AM126">
            <v>912689108.12584949</v>
          </cell>
          <cell r="AN126">
            <v>0</v>
          </cell>
          <cell r="AO126">
            <v>904079570.1639297</v>
          </cell>
          <cell r="AP126">
            <v>904079570.1639297</v>
          </cell>
          <cell r="AQ126">
            <v>904079570.1639297</v>
          </cell>
          <cell r="AR126">
            <v>904079570.1639297</v>
          </cell>
          <cell r="AS126">
            <v>904079570.1639297</v>
          </cell>
          <cell r="AT126">
            <v>904079570.1639297</v>
          </cell>
          <cell r="AU126">
            <v>904079570.1639297</v>
          </cell>
          <cell r="AV126">
            <v>926216313.62934983</v>
          </cell>
          <cell r="AW126">
            <v>932010978.78994</v>
          </cell>
          <cell r="AX126">
            <v>-118836595.55470002</v>
          </cell>
          <cell r="AY126">
            <v>-118836595.55470002</v>
          </cell>
          <cell r="AZ126">
            <v>0</v>
          </cell>
          <cell r="BA126">
            <v>0</v>
          </cell>
          <cell r="BB126">
            <v>-118836595.55470002</v>
          </cell>
          <cell r="BC126">
            <v>-118836595.55470002</v>
          </cell>
          <cell r="BD126">
            <v>-118836595.55470002</v>
          </cell>
          <cell r="BE126">
            <v>0</v>
          </cell>
          <cell r="BF126">
            <v>-118836595.55470002</v>
          </cell>
          <cell r="BG126">
            <v>-118836595.55470002</v>
          </cell>
          <cell r="BH126">
            <v>-118836595.55470002</v>
          </cell>
          <cell r="BI126">
            <v>-118836595.55470002</v>
          </cell>
          <cell r="BJ126">
            <v>0</v>
          </cell>
          <cell r="BK126">
            <v>-118836595.55470002</v>
          </cell>
          <cell r="BL126">
            <v>-118836595.55470002</v>
          </cell>
          <cell r="BM126">
            <v>-118836595.55470002</v>
          </cell>
          <cell r="BN126">
            <v>-118836595.55470002</v>
          </cell>
          <cell r="BO126">
            <v>-118836595.55470002</v>
          </cell>
          <cell r="BP126">
            <v>-118836595.55470002</v>
          </cell>
          <cell r="BQ126">
            <v>-118836595.55470002</v>
          </cell>
          <cell r="BR126">
            <v>-118836595.55470002</v>
          </cell>
          <cell r="BS126">
            <v>-118836595.55470002</v>
          </cell>
          <cell r="BT126">
            <v>-122252356.01290011</v>
          </cell>
          <cell r="BU126">
            <v>-102646639.67179018</v>
          </cell>
          <cell r="BV126">
            <v>0</v>
          </cell>
          <cell r="BW126">
            <v>0</v>
          </cell>
          <cell r="BX126">
            <v>-118836595.55470002</v>
          </cell>
          <cell r="BY126">
            <v>-118836595.55470002</v>
          </cell>
          <cell r="BZ126">
            <v>-118836595.55470002</v>
          </cell>
          <cell r="CA126">
            <v>0</v>
          </cell>
          <cell r="CB126">
            <v>-118836595.55470002</v>
          </cell>
          <cell r="CC126">
            <v>-118836595.55470002</v>
          </cell>
          <cell r="CD126">
            <v>-118836595.55470002</v>
          </cell>
          <cell r="CE126">
            <v>-118836595.55470002</v>
          </cell>
          <cell r="CF126">
            <v>0</v>
          </cell>
          <cell r="CG126">
            <v>-118836595.55470002</v>
          </cell>
          <cell r="CH126">
            <v>-118836595.55470002</v>
          </cell>
          <cell r="CI126">
            <v>-118836595.55470002</v>
          </cell>
          <cell r="CJ126">
            <v>-118836595.55470002</v>
          </cell>
          <cell r="CK126">
            <v>-118836595.55470002</v>
          </cell>
          <cell r="CL126">
            <v>-118836595.55470002</v>
          </cell>
          <cell r="CM126">
            <v>-118836595.55470002</v>
          </cell>
          <cell r="CN126">
            <v>-118836595.55470002</v>
          </cell>
          <cell r="CO126">
            <v>-229450650.01312995</v>
          </cell>
          <cell r="CP126">
            <v>-118836595.55470002</v>
          </cell>
          <cell r="CQ126">
            <v>-118836595.55470002</v>
          </cell>
          <cell r="CR126">
            <v>-118836595.55470002</v>
          </cell>
          <cell r="CS126">
            <v>-118836595.55470002</v>
          </cell>
          <cell r="CT126">
            <v>-118836595.55470002</v>
          </cell>
          <cell r="CU126">
            <v>-118836595.55470002</v>
          </cell>
          <cell r="CV126">
            <v>-118836595.55470002</v>
          </cell>
          <cell r="CW126">
            <v>-118836595.55470002</v>
          </cell>
          <cell r="CX126">
            <v>-118836595.55470002</v>
          </cell>
          <cell r="CY126">
            <v>-118836595.55470002</v>
          </cell>
          <cell r="CZ126">
            <v>-118836595.55470002</v>
          </cell>
          <cell r="DA126">
            <v>-118836595.55470002</v>
          </cell>
          <cell r="DB126">
            <v>-118836595.55470002</v>
          </cell>
          <cell r="DC126">
            <v>-118836595.55470002</v>
          </cell>
          <cell r="DD126">
            <v>-118836595.55470002</v>
          </cell>
          <cell r="DE126">
            <v>-545253620.19513988</v>
          </cell>
          <cell r="DF126">
            <v>307580429.08573985</v>
          </cell>
          <cell r="DG126">
            <v>-118836595.55470002</v>
          </cell>
          <cell r="DH126">
            <v>-118836595.55470002</v>
          </cell>
          <cell r="DI126">
            <v>-118836595.55470002</v>
          </cell>
          <cell r="DJ126">
            <v>0</v>
          </cell>
          <cell r="DK126">
            <v>0</v>
          </cell>
          <cell r="DL126">
            <v>0</v>
          </cell>
          <cell r="DM126">
            <v>0</v>
          </cell>
          <cell r="DN126">
            <v>0</v>
          </cell>
          <cell r="DO126">
            <v>0</v>
          </cell>
          <cell r="DP126">
            <v>0</v>
          </cell>
          <cell r="DQ126">
            <v>0</v>
          </cell>
          <cell r="DR126">
            <v>0</v>
          </cell>
          <cell r="DS126">
            <v>0</v>
          </cell>
          <cell r="DT126">
            <v>0</v>
          </cell>
          <cell r="DU126">
            <v>0</v>
          </cell>
          <cell r="DV126">
            <v>0</v>
          </cell>
          <cell r="DW126">
            <v>0</v>
          </cell>
          <cell r="DX126" t="str">
            <v/>
          </cell>
          <cell r="DY126" t="str">
            <v/>
          </cell>
          <cell r="DZ126" t="str">
            <v/>
          </cell>
          <cell r="EA126">
            <v>-118836595.55470002</v>
          </cell>
          <cell r="EB126">
            <v>-118836595.55470002</v>
          </cell>
          <cell r="EC126">
            <v>-118836595.55470002</v>
          </cell>
          <cell r="ED126">
            <v>-118836595.55470002</v>
          </cell>
          <cell r="EE126">
            <v>-118836595.55470002</v>
          </cell>
          <cell r="EF126">
            <v>-118836595.55470002</v>
          </cell>
          <cell r="EG126">
            <v>-118836595.55470002</v>
          </cell>
          <cell r="EH126">
            <v>-118836595.55470002</v>
          </cell>
          <cell r="EI126">
            <v>-118836595.55470002</v>
          </cell>
          <cell r="EJ126">
            <v>-118836595.55470002</v>
          </cell>
          <cell r="EK126">
            <v>-100295470.32550013</v>
          </cell>
          <cell r="EL126">
            <v>628977791.62114978</v>
          </cell>
          <cell r="EM126">
            <v>-37484276.435580194</v>
          </cell>
          <cell r="EN126">
            <v>-115504321.95266998</v>
          </cell>
          <cell r="EO126">
            <v>-322362784.39064002</v>
          </cell>
          <cell r="EP126">
            <v>307580429.08573985</v>
          </cell>
          <cell r="EQ126">
            <v>-99780076.079290032</v>
          </cell>
          <cell r="ER126">
            <v>-118836595.55470002</v>
          </cell>
          <cell r="ES126">
            <v>0</v>
          </cell>
          <cell r="ET126">
            <v>0</v>
          </cell>
          <cell r="EU126">
            <v>0</v>
          </cell>
          <cell r="EV126">
            <v>0</v>
          </cell>
          <cell r="EW126">
            <v>0</v>
          </cell>
          <cell r="EX126">
            <v>0</v>
          </cell>
          <cell r="EY126">
            <v>0</v>
          </cell>
          <cell r="EZ126">
            <v>0</v>
          </cell>
          <cell r="FA126">
            <v>0</v>
          </cell>
          <cell r="FB126">
            <v>0</v>
          </cell>
          <cell r="FC126">
            <v>0</v>
          </cell>
          <cell r="FD126">
            <v>426417024.64043987</v>
          </cell>
          <cell r="FE126">
            <v>-545253620.19513988</v>
          </cell>
          <cell r="FF126">
            <v>-113856813.88178003</v>
          </cell>
          <cell r="FG126">
            <v>-131482819.83067003</v>
          </cell>
          <cell r="FH126">
            <v>0</v>
          </cell>
          <cell r="FI126">
            <v>0</v>
          </cell>
          <cell r="FJ126">
            <v>-156897087.22452998</v>
          </cell>
          <cell r="FK126">
            <v>-156897087.22452998</v>
          </cell>
          <cell r="FL126">
            <v>-156897087.22452998</v>
          </cell>
          <cell r="FM126">
            <v>0</v>
          </cell>
          <cell r="FN126">
            <v>-124927464.66668004</v>
          </cell>
          <cell r="FO126">
            <v>-124927464.66668004</v>
          </cell>
          <cell r="FP126">
            <v>-124927464.66668004</v>
          </cell>
          <cell r="FQ126">
            <v>-127012680.29112002</v>
          </cell>
          <cell r="FR126">
            <v>0</v>
          </cell>
          <cell r="FS126">
            <v>-130655821.94866002</v>
          </cell>
          <cell r="FT126">
            <v>-130655821.94866002</v>
          </cell>
          <cell r="FU126">
            <v>-130655821.94866002</v>
          </cell>
          <cell r="FV126">
            <v>-130655821.94866002</v>
          </cell>
          <cell r="FW126">
            <v>-130655821.94866002</v>
          </cell>
          <cell r="FX126">
            <v>-130655821.94866002</v>
          </cell>
          <cell r="FY126">
            <v>-130655821.94866002</v>
          </cell>
          <cell r="FZ126">
            <v>-121288618.66344994</v>
          </cell>
          <cell r="GA126">
            <v>-229450650.01315999</v>
          </cell>
          <cell r="GB126">
            <v>-118836595.55470002</v>
          </cell>
          <cell r="GC126">
            <v>-118836595.55470002</v>
          </cell>
          <cell r="GD126">
            <v>-118836595.55470002</v>
          </cell>
          <cell r="GE126">
            <v>-118836595.55470002</v>
          </cell>
          <cell r="GF126">
            <v>-118836595.55470002</v>
          </cell>
          <cell r="GG126">
            <v>-118836595.55470002</v>
          </cell>
          <cell r="GH126">
            <v>-118836595.55470002</v>
          </cell>
          <cell r="GI126">
            <v>-118836595.55470002</v>
          </cell>
          <cell r="GJ126">
            <v>-118836595.55470002</v>
          </cell>
          <cell r="GK126">
            <v>-118836595.55470002</v>
          </cell>
          <cell r="GL126">
            <v>-118836595.55470002</v>
          </cell>
          <cell r="GM126">
            <v>-105421232.12438995</v>
          </cell>
          <cell r="GN126">
            <v>386621722.64105022</v>
          </cell>
          <cell r="GO126">
            <v>-61557496.094750017</v>
          </cell>
          <cell r="GP126">
            <v>-115282467.90104002</v>
          </cell>
          <cell r="GQ126">
            <v>-118836595.55470002</v>
          </cell>
          <cell r="GR126">
            <v>-118836595.55470002</v>
          </cell>
          <cell r="GS126">
            <v>-99780383.291599989</v>
          </cell>
          <cell r="GT126">
            <v>-118836595.55470002</v>
          </cell>
          <cell r="GU126">
            <v>0</v>
          </cell>
          <cell r="GZ126">
            <v>0</v>
          </cell>
        </row>
        <row r="127">
          <cell r="A127" t="str">
            <v>F_IAM_NRF_ASS_EMP_FRCE_434</v>
          </cell>
          <cell r="B127">
            <v>726702847.4725399</v>
          </cell>
          <cell r="D127">
            <v>784580433.18373001</v>
          </cell>
          <cell r="E127">
            <v>618852275.62224996</v>
          </cell>
          <cell r="F127">
            <v>784580433.18373001</v>
          </cell>
          <cell r="G127">
            <v>784580433.18373001</v>
          </cell>
          <cell r="H127">
            <v>0</v>
          </cell>
          <cell r="I127">
            <v>0</v>
          </cell>
          <cell r="J127">
            <v>784580433.18373001</v>
          </cell>
          <cell r="K127">
            <v>784580433.18373001</v>
          </cell>
          <cell r="L127">
            <v>784580433.18373001</v>
          </cell>
          <cell r="M127">
            <v>0</v>
          </cell>
          <cell r="N127">
            <v>784580433.18373001</v>
          </cell>
          <cell r="O127">
            <v>784580433.18373001</v>
          </cell>
          <cell r="P127">
            <v>784580433.18373001</v>
          </cell>
          <cell r="Q127">
            <v>784580433.18373001</v>
          </cell>
          <cell r="R127">
            <v>0</v>
          </cell>
          <cell r="S127">
            <v>784580433.18373001</v>
          </cell>
          <cell r="T127">
            <v>784580433.18373001</v>
          </cell>
          <cell r="U127">
            <v>784580433.18373001</v>
          </cell>
          <cell r="V127">
            <v>784580433.18373001</v>
          </cell>
          <cell r="W127">
            <v>784580433.18373001</v>
          </cell>
          <cell r="X127">
            <v>784580433.18373001</v>
          </cell>
          <cell r="Y127">
            <v>784580433.18373001</v>
          </cell>
          <cell r="Z127">
            <v>784580433.18373001</v>
          </cell>
          <cell r="AA127">
            <v>784580433.18373001</v>
          </cell>
          <cell r="AB127">
            <v>800080747.31238997</v>
          </cell>
          <cell r="AC127">
            <v>726061197.23545992</v>
          </cell>
          <cell r="AD127">
            <v>0</v>
          </cell>
          <cell r="AE127">
            <v>0</v>
          </cell>
          <cell r="AF127">
            <v>765717535.56879008</v>
          </cell>
          <cell r="AG127">
            <v>765717535.56879008</v>
          </cell>
          <cell r="AH127">
            <v>765717535.56879008</v>
          </cell>
          <cell r="AI127">
            <v>0</v>
          </cell>
          <cell r="AJ127">
            <v>784580433.18373001</v>
          </cell>
          <cell r="AK127">
            <v>784580433.18373001</v>
          </cell>
          <cell r="AL127">
            <v>784580433.18373001</v>
          </cell>
          <cell r="AM127">
            <v>784580433.18373001</v>
          </cell>
          <cell r="AN127">
            <v>0</v>
          </cell>
          <cell r="AO127">
            <v>713955411.80744004</v>
          </cell>
          <cell r="AP127">
            <v>713955411.80744004</v>
          </cell>
          <cell r="AQ127">
            <v>713955411.80744004</v>
          </cell>
          <cell r="AR127">
            <v>713955411.80744004</v>
          </cell>
          <cell r="AS127">
            <v>713955411.80744004</v>
          </cell>
          <cell r="AT127">
            <v>713955411.80744004</v>
          </cell>
          <cell r="AU127">
            <v>713955411.80744004</v>
          </cell>
          <cell r="AV127">
            <v>784580433.18373001</v>
          </cell>
          <cell r="AW127">
            <v>784580433.18373001</v>
          </cell>
          <cell r="AX127">
            <v>618852275.62224996</v>
          </cell>
          <cell r="AY127">
            <v>618852275.62224996</v>
          </cell>
          <cell r="AZ127">
            <v>0</v>
          </cell>
          <cell r="BA127">
            <v>0</v>
          </cell>
          <cell r="BB127">
            <v>618852275.62224996</v>
          </cell>
          <cell r="BC127">
            <v>618852275.62224996</v>
          </cell>
          <cell r="BD127">
            <v>618852275.62224996</v>
          </cell>
          <cell r="BE127">
            <v>0</v>
          </cell>
          <cell r="BF127">
            <v>618852275.62224996</v>
          </cell>
          <cell r="BG127">
            <v>618852275.62224996</v>
          </cell>
          <cell r="BH127">
            <v>618852275.62224996</v>
          </cell>
          <cell r="BI127">
            <v>618852275.62224996</v>
          </cell>
          <cell r="BJ127">
            <v>0</v>
          </cell>
          <cell r="BK127">
            <v>618852275.62224996</v>
          </cell>
          <cell r="BL127">
            <v>618852275.62224996</v>
          </cell>
          <cell r="BM127">
            <v>618852275.62224996</v>
          </cell>
          <cell r="BN127">
            <v>618852275.62224996</v>
          </cell>
          <cell r="BO127">
            <v>618852275.62224996</v>
          </cell>
          <cell r="BP127">
            <v>618852275.62224996</v>
          </cell>
          <cell r="BQ127">
            <v>618852275.62224996</v>
          </cell>
          <cell r="BR127">
            <v>618852275.62224996</v>
          </cell>
          <cell r="BS127">
            <v>618852275.62224996</v>
          </cell>
          <cell r="BT127">
            <v>632918090.42057991</v>
          </cell>
          <cell r="BU127">
            <v>576208722.70343995</v>
          </cell>
          <cell r="BV127">
            <v>0</v>
          </cell>
          <cell r="BW127">
            <v>0</v>
          </cell>
          <cell r="BX127">
            <v>618852275.62224996</v>
          </cell>
          <cell r="BY127">
            <v>618852275.62224996</v>
          </cell>
          <cell r="BZ127">
            <v>618852275.62224996</v>
          </cell>
          <cell r="CA127">
            <v>0</v>
          </cell>
          <cell r="CB127">
            <v>618852275.62224996</v>
          </cell>
          <cell r="CC127">
            <v>618852275.62224996</v>
          </cell>
          <cell r="CD127">
            <v>618852275.62224996</v>
          </cell>
          <cell r="CE127">
            <v>618852275.62224996</v>
          </cell>
          <cell r="CF127">
            <v>0</v>
          </cell>
          <cell r="CG127">
            <v>618852275.62224996</v>
          </cell>
          <cell r="CH127">
            <v>618852275.62224996</v>
          </cell>
          <cell r="CI127">
            <v>618852275.62224996</v>
          </cell>
          <cell r="CJ127">
            <v>618852275.62224996</v>
          </cell>
          <cell r="CK127">
            <v>618852275.62224996</v>
          </cell>
          <cell r="CL127">
            <v>618852275.62224996</v>
          </cell>
          <cell r="CM127">
            <v>618852275.62224996</v>
          </cell>
          <cell r="CN127">
            <v>618852275.62224996</v>
          </cell>
          <cell r="CO127">
            <v>521930590.27734989</v>
          </cell>
          <cell r="CP127">
            <v>618852275.62224996</v>
          </cell>
          <cell r="CQ127">
            <v>618852275.62224996</v>
          </cell>
          <cell r="CR127">
            <v>618852275.62224996</v>
          </cell>
          <cell r="CS127">
            <v>618852275.62224996</v>
          </cell>
          <cell r="CT127">
            <v>618852275.62224996</v>
          </cell>
          <cell r="CU127">
            <v>618852275.62224996</v>
          </cell>
          <cell r="CV127">
            <v>618852275.62224996</v>
          </cell>
          <cell r="CW127">
            <v>618852275.62224996</v>
          </cell>
          <cell r="CX127">
            <v>618852275.62224996</v>
          </cell>
          <cell r="CY127">
            <v>618852275.62224996</v>
          </cell>
          <cell r="CZ127">
            <v>618852275.62224996</v>
          </cell>
          <cell r="DA127">
            <v>618852275.62224996</v>
          </cell>
          <cell r="DB127">
            <v>618852275.62224996</v>
          </cell>
          <cell r="DC127">
            <v>618852275.62224996</v>
          </cell>
          <cell r="DD127">
            <v>618852275.62224996</v>
          </cell>
          <cell r="DE127">
            <v>497128334.32381004</v>
          </cell>
          <cell r="DF127">
            <v>740576216.92068982</v>
          </cell>
          <cell r="DG127">
            <v>618852275.62224996</v>
          </cell>
          <cell r="DH127">
            <v>618852275.62224996</v>
          </cell>
          <cell r="DI127">
            <v>618852275.62224996</v>
          </cell>
          <cell r="DJ127">
            <v>0</v>
          </cell>
          <cell r="DK127">
            <v>0</v>
          </cell>
          <cell r="DL127">
            <v>0</v>
          </cell>
          <cell r="DM127">
            <v>0</v>
          </cell>
          <cell r="DN127">
            <v>0</v>
          </cell>
          <cell r="DO127">
            <v>0</v>
          </cell>
          <cell r="DP127">
            <v>0</v>
          </cell>
          <cell r="DQ127">
            <v>0</v>
          </cell>
          <cell r="DR127">
            <v>0</v>
          </cell>
          <cell r="DS127">
            <v>0</v>
          </cell>
          <cell r="DT127">
            <v>0</v>
          </cell>
          <cell r="DU127">
            <v>0</v>
          </cell>
          <cell r="DV127">
            <v>0</v>
          </cell>
          <cell r="DW127">
            <v>0</v>
          </cell>
          <cell r="DX127" t="str">
            <v/>
          </cell>
          <cell r="DY127" t="str">
            <v/>
          </cell>
          <cell r="DZ127" t="str">
            <v/>
          </cell>
          <cell r="EA127">
            <v>618852275.62224996</v>
          </cell>
          <cell r="EB127">
            <v>618852275.62224996</v>
          </cell>
          <cell r="EC127">
            <v>618852275.62224996</v>
          </cell>
          <cell r="ED127">
            <v>618852275.62224996</v>
          </cell>
          <cell r="EE127">
            <v>618852275.62224996</v>
          </cell>
          <cell r="EF127">
            <v>618852275.62224996</v>
          </cell>
          <cell r="EG127">
            <v>618852275.62224996</v>
          </cell>
          <cell r="EH127">
            <v>618852275.62224996</v>
          </cell>
          <cell r="EI127">
            <v>618852275.62224996</v>
          </cell>
          <cell r="EJ127">
            <v>618852275.62224996</v>
          </cell>
          <cell r="EK127">
            <v>628430504.79536986</v>
          </cell>
          <cell r="EL127">
            <v>1592837040.1886899</v>
          </cell>
          <cell r="EM127">
            <v>618852275.62224996</v>
          </cell>
          <cell r="EN127">
            <v>653215217.40222001</v>
          </cell>
          <cell r="EO127">
            <v>497128334.32381004</v>
          </cell>
          <cell r="EP127">
            <v>740576216.92068982</v>
          </cell>
          <cell r="EQ127">
            <v>636556333.85491991</v>
          </cell>
          <cell r="ER127">
            <v>618852275.62224996</v>
          </cell>
          <cell r="ES127">
            <v>0</v>
          </cell>
          <cell r="ET127">
            <v>0</v>
          </cell>
          <cell r="EU127">
            <v>0</v>
          </cell>
          <cell r="EV127">
            <v>0</v>
          </cell>
          <cell r="EW127">
            <v>0</v>
          </cell>
          <cell r="EX127">
            <v>0</v>
          </cell>
          <cell r="EY127">
            <v>0</v>
          </cell>
          <cell r="EZ127">
            <v>0</v>
          </cell>
          <cell r="FA127">
            <v>0</v>
          </cell>
          <cell r="FB127">
            <v>0</v>
          </cell>
          <cell r="FC127">
            <v>0</v>
          </cell>
          <cell r="FD127">
            <v>121723941.29843992</v>
          </cell>
          <cell r="FE127">
            <v>497128334.32381004</v>
          </cell>
          <cell r="FF127">
            <v>644937710.53874004</v>
          </cell>
          <cell r="FG127">
            <v>530724330.46588999</v>
          </cell>
          <cell r="FH127">
            <v>0</v>
          </cell>
          <cell r="FI127">
            <v>0</v>
          </cell>
          <cell r="FJ127">
            <v>602981115.47940993</v>
          </cell>
          <cell r="FK127">
            <v>602981115.47940993</v>
          </cell>
          <cell r="FL127">
            <v>602981115.47940993</v>
          </cell>
          <cell r="FM127">
            <v>0</v>
          </cell>
          <cell r="FN127">
            <v>618852275.62224996</v>
          </cell>
          <cell r="FO127">
            <v>618852275.62224996</v>
          </cell>
          <cell r="FP127">
            <v>618852275.62224996</v>
          </cell>
          <cell r="FQ127">
            <v>618852275.62224996</v>
          </cell>
          <cell r="FR127">
            <v>0</v>
          </cell>
          <cell r="FS127">
            <v>559428689.31879008</v>
          </cell>
          <cell r="FT127">
            <v>559428689.31879008</v>
          </cell>
          <cell r="FU127">
            <v>559428689.31879008</v>
          </cell>
          <cell r="FV127">
            <v>559428689.31879008</v>
          </cell>
          <cell r="FW127">
            <v>559428689.31879008</v>
          </cell>
          <cell r="FX127">
            <v>559428689.31879008</v>
          </cell>
          <cell r="FY127">
            <v>559428689.31879008</v>
          </cell>
          <cell r="FZ127">
            <v>618852275.62224996</v>
          </cell>
          <cell r="GA127">
            <v>521930590.27737004</v>
          </cell>
          <cell r="GB127">
            <v>618852275.62224996</v>
          </cell>
          <cell r="GC127">
            <v>618852275.62224996</v>
          </cell>
          <cell r="GD127">
            <v>618852275.62224996</v>
          </cell>
          <cell r="GE127">
            <v>618852275.62224996</v>
          </cell>
          <cell r="GF127">
            <v>618852275.62224996</v>
          </cell>
          <cell r="GG127">
            <v>618852275.62224996</v>
          </cell>
          <cell r="GH127">
            <v>618852275.62224996</v>
          </cell>
          <cell r="GI127">
            <v>618852275.62224996</v>
          </cell>
          <cell r="GJ127">
            <v>618852275.62224996</v>
          </cell>
          <cell r="GK127">
            <v>618852275.62224996</v>
          </cell>
          <cell r="GL127">
            <v>618852275.62224996</v>
          </cell>
          <cell r="GM127">
            <v>620508159.43495989</v>
          </cell>
          <cell r="GN127">
            <v>1304023266.2917502</v>
          </cell>
          <cell r="GO127">
            <v>618852275.62224996</v>
          </cell>
          <cell r="GP127">
            <v>635635693.61674988</v>
          </cell>
          <cell r="GQ127">
            <v>618852275.62224996</v>
          </cell>
          <cell r="GR127">
            <v>618852275.62224996</v>
          </cell>
          <cell r="GS127">
            <v>636484831.75013995</v>
          </cell>
          <cell r="GT127">
            <v>618852275.62224996</v>
          </cell>
          <cell r="GU127">
            <v>0</v>
          </cell>
          <cell r="GZ127">
            <v>0</v>
          </cell>
        </row>
        <row r="128">
          <cell r="A128" t="str">
            <v>F_IAM_NRF_ASS_EMP_INTR_401</v>
          </cell>
          <cell r="B128">
            <v>138439449.97</v>
          </cell>
          <cell r="D128">
            <v>176876362.34729999</v>
          </cell>
          <cell r="E128">
            <v>155671853.65430999</v>
          </cell>
          <cell r="F128">
            <v>176876362.34729999</v>
          </cell>
          <cell r="G128">
            <v>176876362.34729999</v>
          </cell>
          <cell r="H128">
            <v>0</v>
          </cell>
          <cell r="I128">
            <v>0</v>
          </cell>
          <cell r="J128">
            <v>176876362.34729999</v>
          </cell>
          <cell r="K128">
            <v>176876362.34729999</v>
          </cell>
          <cell r="L128">
            <v>176876362.34729999</v>
          </cell>
          <cell r="M128">
            <v>0</v>
          </cell>
          <cell r="N128">
            <v>176876362.34729999</v>
          </cell>
          <cell r="O128">
            <v>176876362.34729999</v>
          </cell>
          <cell r="P128">
            <v>176876362.34729999</v>
          </cell>
          <cell r="Q128">
            <v>176876362.34729999</v>
          </cell>
          <cell r="R128">
            <v>0</v>
          </cell>
          <cell r="S128">
            <v>176876362.34729999</v>
          </cell>
          <cell r="T128">
            <v>176876362.34729999</v>
          </cell>
          <cell r="U128">
            <v>176876362.34729999</v>
          </cell>
          <cell r="V128">
            <v>176876362.34729999</v>
          </cell>
          <cell r="W128">
            <v>176876362.34729999</v>
          </cell>
          <cell r="X128">
            <v>176876362.34729999</v>
          </cell>
          <cell r="Y128">
            <v>176876362.34729999</v>
          </cell>
          <cell r="Z128">
            <v>176876362.34729999</v>
          </cell>
          <cell r="AA128">
            <v>176876362.34729999</v>
          </cell>
          <cell r="AB128">
            <v>178299716.7958</v>
          </cell>
          <cell r="AC128">
            <v>171400036.56362</v>
          </cell>
          <cell r="AD128">
            <v>0</v>
          </cell>
          <cell r="AE128">
            <v>0</v>
          </cell>
          <cell r="AF128">
            <v>161449260.95739999</v>
          </cell>
          <cell r="AG128">
            <v>161449260.95739999</v>
          </cell>
          <cell r="AH128">
            <v>161449260.95739999</v>
          </cell>
          <cell r="AI128">
            <v>0</v>
          </cell>
          <cell r="AJ128">
            <v>174407543.60060999</v>
          </cell>
          <cell r="AK128">
            <v>174407543.60060999</v>
          </cell>
          <cell r="AL128">
            <v>174407543.60060999</v>
          </cell>
          <cell r="AM128">
            <v>173562340.83399001</v>
          </cell>
          <cell r="AN128">
            <v>0</v>
          </cell>
          <cell r="AO128">
            <v>172085662.17688</v>
          </cell>
          <cell r="AP128">
            <v>172085662.17688</v>
          </cell>
          <cell r="AQ128">
            <v>172085662.17688</v>
          </cell>
          <cell r="AR128">
            <v>172085662.17688</v>
          </cell>
          <cell r="AS128">
            <v>172085662.17688</v>
          </cell>
          <cell r="AT128">
            <v>172085662.17688</v>
          </cell>
          <cell r="AU128">
            <v>172085662.17688</v>
          </cell>
          <cell r="AV128">
            <v>175882481.09540001</v>
          </cell>
          <cell r="AW128">
            <v>176876362.34729999</v>
          </cell>
          <cell r="AX128">
            <v>155671853.65430999</v>
          </cell>
          <cell r="AY128">
            <v>155671853.65430999</v>
          </cell>
          <cell r="AZ128">
            <v>0</v>
          </cell>
          <cell r="BA128">
            <v>0</v>
          </cell>
          <cell r="BB128">
            <v>155671853.65430999</v>
          </cell>
          <cell r="BC128">
            <v>155671853.65430999</v>
          </cell>
          <cell r="BD128">
            <v>155671853.65430999</v>
          </cell>
          <cell r="BE128">
            <v>0</v>
          </cell>
          <cell r="BF128">
            <v>155671853.65430999</v>
          </cell>
          <cell r="BG128">
            <v>155671853.65430999</v>
          </cell>
          <cell r="BH128">
            <v>155671853.65430999</v>
          </cell>
          <cell r="BI128">
            <v>155671853.65430999</v>
          </cell>
          <cell r="BJ128">
            <v>0</v>
          </cell>
          <cell r="BK128">
            <v>155671853.65430999</v>
          </cell>
          <cell r="BL128">
            <v>155671853.65430999</v>
          </cell>
          <cell r="BM128">
            <v>155671853.65430999</v>
          </cell>
          <cell r="BN128">
            <v>155671853.65430999</v>
          </cell>
          <cell r="BO128">
            <v>155671853.65430999</v>
          </cell>
          <cell r="BP128">
            <v>155671853.65430999</v>
          </cell>
          <cell r="BQ128">
            <v>155671853.65430999</v>
          </cell>
          <cell r="BR128">
            <v>155671853.65430999</v>
          </cell>
          <cell r="BS128">
            <v>155671853.65430999</v>
          </cell>
          <cell r="BT128">
            <v>155671853.65430999</v>
          </cell>
          <cell r="BU128">
            <v>155671853.65430999</v>
          </cell>
          <cell r="BV128">
            <v>0</v>
          </cell>
          <cell r="BW128">
            <v>0</v>
          </cell>
          <cell r="BX128">
            <v>155671853.65430999</v>
          </cell>
          <cell r="BY128">
            <v>155671853.65430999</v>
          </cell>
          <cell r="BZ128">
            <v>155671853.65430999</v>
          </cell>
          <cell r="CA128">
            <v>0</v>
          </cell>
          <cell r="CB128">
            <v>155671853.65430999</v>
          </cell>
          <cell r="CC128">
            <v>155671853.65430999</v>
          </cell>
          <cell r="CD128">
            <v>155671853.65430999</v>
          </cell>
          <cell r="CE128">
            <v>155671853.65430999</v>
          </cell>
          <cell r="CF128">
            <v>0</v>
          </cell>
          <cell r="CG128">
            <v>155671853.65430999</v>
          </cell>
          <cell r="CH128">
            <v>155671853.65430999</v>
          </cell>
          <cell r="CI128">
            <v>155671853.65430999</v>
          </cell>
          <cell r="CJ128">
            <v>155671853.65430999</v>
          </cell>
          <cell r="CK128">
            <v>155671853.65430999</v>
          </cell>
          <cell r="CL128">
            <v>155671853.65430999</v>
          </cell>
          <cell r="CM128">
            <v>155671853.65430999</v>
          </cell>
          <cell r="CN128">
            <v>155671853.65430999</v>
          </cell>
          <cell r="CO128">
            <v>155671853.65430999</v>
          </cell>
          <cell r="CP128">
            <v>155671853.65430999</v>
          </cell>
          <cell r="CQ128">
            <v>155671853.65430999</v>
          </cell>
          <cell r="CR128">
            <v>155671853.65430999</v>
          </cell>
          <cell r="CS128">
            <v>155671853.65430999</v>
          </cell>
          <cell r="CT128">
            <v>155671853.65430999</v>
          </cell>
          <cell r="CU128">
            <v>155671853.65430999</v>
          </cell>
          <cell r="CV128">
            <v>155671853.65430999</v>
          </cell>
          <cell r="CW128">
            <v>155671853.65430999</v>
          </cell>
          <cell r="CX128">
            <v>155671853.65430999</v>
          </cell>
          <cell r="CY128">
            <v>155671853.65430999</v>
          </cell>
          <cell r="CZ128">
            <v>155671853.65430999</v>
          </cell>
          <cell r="DA128">
            <v>155671853.65430999</v>
          </cell>
          <cell r="DB128">
            <v>155671853.65430999</v>
          </cell>
          <cell r="DC128">
            <v>155671853.65430999</v>
          </cell>
          <cell r="DD128">
            <v>155671853.65430999</v>
          </cell>
          <cell r="DE128">
            <v>138439449.97</v>
          </cell>
          <cell r="DF128">
            <v>172904257.33861998</v>
          </cell>
          <cell r="DG128">
            <v>155671853.65430999</v>
          </cell>
          <cell r="DH128">
            <v>155671853.65430999</v>
          </cell>
          <cell r="DI128">
            <v>155671853.65430999</v>
          </cell>
          <cell r="DJ128">
            <v>0</v>
          </cell>
          <cell r="DK128">
            <v>0</v>
          </cell>
          <cell r="DL128">
            <v>0</v>
          </cell>
          <cell r="DM128">
            <v>0</v>
          </cell>
          <cell r="DN128">
            <v>0</v>
          </cell>
          <cell r="DO128">
            <v>0</v>
          </cell>
          <cell r="DP128">
            <v>0</v>
          </cell>
          <cell r="DQ128">
            <v>0</v>
          </cell>
          <cell r="DR128">
            <v>0</v>
          </cell>
          <cell r="DS128">
            <v>0</v>
          </cell>
          <cell r="DT128">
            <v>0</v>
          </cell>
          <cell r="DU128">
            <v>0</v>
          </cell>
          <cell r="DV128">
            <v>0</v>
          </cell>
          <cell r="DW128">
            <v>0</v>
          </cell>
          <cell r="DX128" t="str">
            <v/>
          </cell>
          <cell r="DY128" t="str">
            <v/>
          </cell>
          <cell r="DZ128" t="str">
            <v/>
          </cell>
          <cell r="EA128">
            <v>155671853.65430999</v>
          </cell>
          <cell r="EB128">
            <v>155671853.65430999</v>
          </cell>
          <cell r="EC128">
            <v>155671853.65430999</v>
          </cell>
          <cell r="ED128">
            <v>155671853.65430999</v>
          </cell>
          <cell r="EE128">
            <v>155671853.65430999</v>
          </cell>
          <cell r="EF128">
            <v>155671853.65430999</v>
          </cell>
          <cell r="EG128">
            <v>155671853.65430999</v>
          </cell>
          <cell r="EH128">
            <v>155671853.65430999</v>
          </cell>
          <cell r="EI128">
            <v>155671853.65430999</v>
          </cell>
          <cell r="EJ128">
            <v>155671853.65430999</v>
          </cell>
          <cell r="EK128">
            <v>155671853.65430999</v>
          </cell>
          <cell r="EL128">
            <v>155671853.65430999</v>
          </cell>
          <cell r="EM128">
            <v>155671853.65430999</v>
          </cell>
          <cell r="EN128">
            <v>155671853.65430999</v>
          </cell>
          <cell r="EO128">
            <v>138439449.97</v>
          </cell>
          <cell r="EP128">
            <v>172904257.33861998</v>
          </cell>
          <cell r="EQ128">
            <v>155671853.65430999</v>
          </cell>
          <cell r="ER128">
            <v>155671853.65430999</v>
          </cell>
          <cell r="ES128">
            <v>0</v>
          </cell>
          <cell r="ET128">
            <v>0</v>
          </cell>
          <cell r="EU128">
            <v>0</v>
          </cell>
          <cell r="EV128">
            <v>0</v>
          </cell>
          <cell r="EW128">
            <v>0</v>
          </cell>
          <cell r="EX128">
            <v>0</v>
          </cell>
          <cell r="EY128">
            <v>0</v>
          </cell>
          <cell r="EZ128">
            <v>0</v>
          </cell>
          <cell r="FA128">
            <v>0</v>
          </cell>
          <cell r="FB128">
            <v>0</v>
          </cell>
          <cell r="FC128">
            <v>0</v>
          </cell>
          <cell r="FD128">
            <v>17232403.684309989</v>
          </cell>
          <cell r="FE128">
            <v>138439449.97</v>
          </cell>
          <cell r="FF128">
            <v>156309985.51572999</v>
          </cell>
          <cell r="FG128">
            <v>153216654.97225001</v>
          </cell>
          <cell r="FH128">
            <v>0</v>
          </cell>
          <cell r="FI128">
            <v>0</v>
          </cell>
          <cell r="FJ128">
            <v>148755428.20837998</v>
          </cell>
          <cell r="FK128">
            <v>148755428.20837998</v>
          </cell>
          <cell r="FL128">
            <v>148755428.20837998</v>
          </cell>
          <cell r="FM128">
            <v>0</v>
          </cell>
          <cell r="FN128">
            <v>154565009.25307</v>
          </cell>
          <cell r="FO128">
            <v>154565009.25307</v>
          </cell>
          <cell r="FP128">
            <v>154565009.25307</v>
          </cell>
          <cell r="FQ128">
            <v>154186079.87584001</v>
          </cell>
          <cell r="FR128">
            <v>0</v>
          </cell>
          <cell r="FS128">
            <v>153524041.19589001</v>
          </cell>
          <cell r="FT128">
            <v>153524041.19589001</v>
          </cell>
          <cell r="FU128">
            <v>153524041.19589001</v>
          </cell>
          <cell r="FV128">
            <v>153524041.19589001</v>
          </cell>
          <cell r="FW128">
            <v>153524041.19589001</v>
          </cell>
          <cell r="FX128">
            <v>153524041.19589001</v>
          </cell>
          <cell r="FY128">
            <v>153524041.19589001</v>
          </cell>
          <cell r="FZ128">
            <v>155226267.31847</v>
          </cell>
          <cell r="GA128">
            <v>155671853.65430999</v>
          </cell>
          <cell r="GB128">
            <v>155671853.65430999</v>
          </cell>
          <cell r="GC128">
            <v>155671853.65430999</v>
          </cell>
          <cell r="GD128">
            <v>155671853.65430999</v>
          </cell>
          <cell r="GE128">
            <v>155671853.65430999</v>
          </cell>
          <cell r="GF128">
            <v>155671853.65430999</v>
          </cell>
          <cell r="GG128">
            <v>155671853.65430999</v>
          </cell>
          <cell r="GH128">
            <v>155671853.65430999</v>
          </cell>
          <cell r="GI128">
            <v>155671853.65430999</v>
          </cell>
          <cell r="GJ128">
            <v>155671853.65430999</v>
          </cell>
          <cell r="GK128">
            <v>155671853.65430999</v>
          </cell>
          <cell r="GL128">
            <v>155671853.65430999</v>
          </cell>
          <cell r="GM128">
            <v>155671853.65430999</v>
          </cell>
          <cell r="GN128">
            <v>155671853.65430999</v>
          </cell>
          <cell r="GO128">
            <v>155671853.65430999</v>
          </cell>
          <cell r="GP128">
            <v>155671853.65430999</v>
          </cell>
          <cell r="GQ128">
            <v>155671853.65430999</v>
          </cell>
          <cell r="GR128">
            <v>155671853.65430999</v>
          </cell>
          <cell r="GS128">
            <v>155671853.65430999</v>
          </cell>
          <cell r="GT128">
            <v>155671853.65430999</v>
          </cell>
          <cell r="GU128">
            <v>0</v>
          </cell>
          <cell r="GZ128">
            <v>0</v>
          </cell>
        </row>
        <row r="129">
          <cell r="A129" t="str">
            <v>F_IAM_NRF_CPT_PRP_FRCE_401</v>
          </cell>
          <cell r="B129">
            <v>32627767.809999999</v>
          </cell>
          <cell r="D129">
            <v>1112223637.4068601</v>
          </cell>
          <cell r="E129">
            <v>41686678.782640003</v>
          </cell>
          <cell r="F129">
            <v>1112223637.4068601</v>
          </cell>
          <cell r="G129">
            <v>1112223637.4068601</v>
          </cell>
          <cell r="H129">
            <v>0</v>
          </cell>
          <cell r="I129">
            <v>0</v>
          </cell>
          <cell r="J129">
            <v>1112223637.4068601</v>
          </cell>
          <cell r="K129">
            <v>1112223637.4068601</v>
          </cell>
          <cell r="L129">
            <v>1112223637.4068601</v>
          </cell>
          <cell r="M129">
            <v>0</v>
          </cell>
          <cell r="N129">
            <v>1112223637.4068601</v>
          </cell>
          <cell r="O129">
            <v>1112223637.4068601</v>
          </cell>
          <cell r="P129">
            <v>1112223637.4068601</v>
          </cell>
          <cell r="Q129">
            <v>1112223637.4068601</v>
          </cell>
          <cell r="R129">
            <v>0</v>
          </cell>
          <cell r="S129">
            <v>1112223637.4068601</v>
          </cell>
          <cell r="T129">
            <v>1112223637.4068601</v>
          </cell>
          <cell r="U129">
            <v>1112223637.4068601</v>
          </cell>
          <cell r="V129">
            <v>1112223637.4068601</v>
          </cell>
          <cell r="W129">
            <v>1112223637.4068601</v>
          </cell>
          <cell r="X129">
            <v>1112223637.4068601</v>
          </cell>
          <cell r="Y129">
            <v>1112223637.4068601</v>
          </cell>
          <cell r="Z129">
            <v>1112223637.4068601</v>
          </cell>
          <cell r="AA129">
            <v>1112223637.4068601</v>
          </cell>
          <cell r="AB129">
            <v>1121910893.7162201</v>
          </cell>
          <cell r="AC129">
            <v>1075071996.71929</v>
          </cell>
          <cell r="AD129">
            <v>0</v>
          </cell>
          <cell r="AE129">
            <v>0</v>
          </cell>
          <cell r="AF129">
            <v>1006877258.0746</v>
          </cell>
          <cell r="AG129">
            <v>1006877258.0746</v>
          </cell>
          <cell r="AH129">
            <v>1006877258.0746</v>
          </cell>
          <cell r="AI129">
            <v>0</v>
          </cell>
          <cell r="AJ129">
            <v>1095365338.41693</v>
          </cell>
          <cell r="AK129">
            <v>1095365338.41693</v>
          </cell>
          <cell r="AL129">
            <v>1095365338.41693</v>
          </cell>
          <cell r="AM129">
            <v>1089593881.53458</v>
          </cell>
          <cell r="AN129">
            <v>0</v>
          </cell>
          <cell r="AO129">
            <v>1079174295.55864</v>
          </cell>
          <cell r="AP129">
            <v>1079174295.55864</v>
          </cell>
          <cell r="AQ129">
            <v>1079174295.55864</v>
          </cell>
          <cell r="AR129">
            <v>1079174295.55864</v>
          </cell>
          <cell r="AS129">
            <v>1079174295.55864</v>
          </cell>
          <cell r="AT129">
            <v>1079174295.55864</v>
          </cell>
          <cell r="AU129">
            <v>1079174295.55864</v>
          </cell>
          <cell r="AV129">
            <v>1105436931.28374</v>
          </cell>
          <cell r="AW129">
            <v>1112223637.4068601</v>
          </cell>
          <cell r="AX129">
            <v>41686678.782640003</v>
          </cell>
          <cell r="AY129">
            <v>41686678.782640003</v>
          </cell>
          <cell r="AZ129">
            <v>0</v>
          </cell>
          <cell r="BA129">
            <v>0</v>
          </cell>
          <cell r="BB129">
            <v>41686678.782640003</v>
          </cell>
          <cell r="BC129">
            <v>41686678.782640003</v>
          </cell>
          <cell r="BD129">
            <v>41686678.782640003</v>
          </cell>
          <cell r="BE129">
            <v>0</v>
          </cell>
          <cell r="BF129">
            <v>41686678.782640003</v>
          </cell>
          <cell r="BG129">
            <v>41686678.782640003</v>
          </cell>
          <cell r="BH129">
            <v>41686678.782640003</v>
          </cell>
          <cell r="BI129">
            <v>41686678.782640003</v>
          </cell>
          <cell r="BJ129">
            <v>0</v>
          </cell>
          <cell r="BK129">
            <v>41686678.782640003</v>
          </cell>
          <cell r="BL129">
            <v>41686678.782640003</v>
          </cell>
          <cell r="BM129">
            <v>41686678.782640003</v>
          </cell>
          <cell r="BN129">
            <v>41686678.782640003</v>
          </cell>
          <cell r="BO129">
            <v>41686678.782640003</v>
          </cell>
          <cell r="BP129">
            <v>41686678.782640003</v>
          </cell>
          <cell r="BQ129">
            <v>41686678.782640003</v>
          </cell>
          <cell r="BR129">
            <v>41686678.782640003</v>
          </cell>
          <cell r="BS129">
            <v>41686678.782640003</v>
          </cell>
          <cell r="BT129">
            <v>41686678.782640003</v>
          </cell>
          <cell r="BU129">
            <v>41686678.782640003</v>
          </cell>
          <cell r="BV129">
            <v>0</v>
          </cell>
          <cell r="BW129">
            <v>0</v>
          </cell>
          <cell r="BX129">
            <v>41686678.782640003</v>
          </cell>
          <cell r="BY129">
            <v>41686678.782640003</v>
          </cell>
          <cell r="BZ129">
            <v>41686678.782640003</v>
          </cell>
          <cell r="CA129">
            <v>0</v>
          </cell>
          <cell r="CB129">
            <v>41686678.782640003</v>
          </cell>
          <cell r="CC129">
            <v>41686678.782640003</v>
          </cell>
          <cell r="CD129">
            <v>41686678.782640003</v>
          </cell>
          <cell r="CE129">
            <v>41686678.782640003</v>
          </cell>
          <cell r="CF129">
            <v>0</v>
          </cell>
          <cell r="CG129">
            <v>41686678.782640003</v>
          </cell>
          <cell r="CH129">
            <v>41686678.782640003</v>
          </cell>
          <cell r="CI129">
            <v>41686678.782640003</v>
          </cell>
          <cell r="CJ129">
            <v>41686678.782640003</v>
          </cell>
          <cell r="CK129">
            <v>41686678.782640003</v>
          </cell>
          <cell r="CL129">
            <v>41686678.782640003</v>
          </cell>
          <cell r="CM129">
            <v>41686678.782640003</v>
          </cell>
          <cell r="CN129">
            <v>41686678.782640003</v>
          </cell>
          <cell r="CO129">
            <v>41686678.782640003</v>
          </cell>
          <cell r="CP129">
            <v>41686678.782640003</v>
          </cell>
          <cell r="CQ129">
            <v>41686678.782640003</v>
          </cell>
          <cell r="CR129">
            <v>41686678.782640003</v>
          </cell>
          <cell r="CS129">
            <v>41686678.782640003</v>
          </cell>
          <cell r="CT129">
            <v>41686678.782640003</v>
          </cell>
          <cell r="CU129">
            <v>41686678.782640003</v>
          </cell>
          <cell r="CV129">
            <v>41686678.782640003</v>
          </cell>
          <cell r="CW129">
            <v>41686678.782640003</v>
          </cell>
          <cell r="CX129">
            <v>41686678.782640003</v>
          </cell>
          <cell r="CY129">
            <v>41686678.782640003</v>
          </cell>
          <cell r="CZ129">
            <v>41686678.782640003</v>
          </cell>
          <cell r="DA129">
            <v>41686678.782640003</v>
          </cell>
          <cell r="DB129">
            <v>41686678.782640003</v>
          </cell>
          <cell r="DC129">
            <v>41686678.782640003</v>
          </cell>
          <cell r="DD129">
            <v>41686678.782640003</v>
          </cell>
          <cell r="DE129">
            <v>32627767.809999999</v>
          </cell>
          <cell r="DF129">
            <v>50745589.755280003</v>
          </cell>
          <cell r="DG129">
            <v>41686678.782640003</v>
          </cell>
          <cell r="DH129">
            <v>41686678.782640003</v>
          </cell>
          <cell r="DI129">
            <v>41686678.782640003</v>
          </cell>
          <cell r="DJ129">
            <v>0</v>
          </cell>
          <cell r="DK129">
            <v>0</v>
          </cell>
          <cell r="DL129">
            <v>0</v>
          </cell>
          <cell r="DM129">
            <v>0</v>
          </cell>
          <cell r="DN129">
            <v>0</v>
          </cell>
          <cell r="DO129">
            <v>0</v>
          </cell>
          <cell r="DP129">
            <v>0</v>
          </cell>
          <cell r="DQ129">
            <v>0</v>
          </cell>
          <cell r="DR129">
            <v>0</v>
          </cell>
          <cell r="DS129">
            <v>0</v>
          </cell>
          <cell r="DT129">
            <v>0</v>
          </cell>
          <cell r="DU129">
            <v>0</v>
          </cell>
          <cell r="DV129">
            <v>0</v>
          </cell>
          <cell r="DW129">
            <v>0</v>
          </cell>
          <cell r="DX129" t="str">
            <v/>
          </cell>
          <cell r="DY129" t="str">
            <v/>
          </cell>
          <cell r="DZ129" t="str">
            <v/>
          </cell>
          <cell r="EA129">
            <v>41686678.782640003</v>
          </cell>
          <cell r="EB129">
            <v>41686678.782640003</v>
          </cell>
          <cell r="EC129">
            <v>41686678.782640003</v>
          </cell>
          <cell r="ED129">
            <v>41686678.782640003</v>
          </cell>
          <cell r="EE129">
            <v>41686678.782640003</v>
          </cell>
          <cell r="EF129">
            <v>41686678.782640003</v>
          </cell>
          <cell r="EG129">
            <v>41686678.782640003</v>
          </cell>
          <cell r="EH129">
            <v>41686678.782640003</v>
          </cell>
          <cell r="EI129">
            <v>41686678.782640003</v>
          </cell>
          <cell r="EJ129">
            <v>41686678.782640003</v>
          </cell>
          <cell r="EK129">
            <v>41686678.782640003</v>
          </cell>
          <cell r="EL129">
            <v>41686678.782640003</v>
          </cell>
          <cell r="EM129">
            <v>41686678.782640003</v>
          </cell>
          <cell r="EN129">
            <v>41686678.782640003</v>
          </cell>
          <cell r="EO129">
            <v>32627767.809999999</v>
          </cell>
          <cell r="EP129">
            <v>50745589.755280003</v>
          </cell>
          <cell r="EQ129">
            <v>41686678.782640003</v>
          </cell>
          <cell r="ER129">
            <v>41686678.782640003</v>
          </cell>
          <cell r="ES129">
            <v>0</v>
          </cell>
          <cell r="ET129">
            <v>0</v>
          </cell>
          <cell r="EU129">
            <v>0</v>
          </cell>
          <cell r="EV129">
            <v>0</v>
          </cell>
          <cell r="EW129">
            <v>0</v>
          </cell>
          <cell r="EX129">
            <v>0</v>
          </cell>
          <cell r="EY129">
            <v>0</v>
          </cell>
          <cell r="EZ129">
            <v>0</v>
          </cell>
          <cell r="FA129">
            <v>0</v>
          </cell>
          <cell r="FB129">
            <v>0</v>
          </cell>
          <cell r="FC129">
            <v>0</v>
          </cell>
          <cell r="FD129">
            <v>9058910.972640004</v>
          </cell>
          <cell r="FE129">
            <v>32627767.809999999</v>
          </cell>
          <cell r="FF129">
            <v>42022138.642290004</v>
          </cell>
          <cell r="FG129">
            <v>40396004.150799997</v>
          </cell>
          <cell r="FH129">
            <v>0</v>
          </cell>
          <cell r="FI129">
            <v>0</v>
          </cell>
          <cell r="FJ129">
            <v>38050779.606210001</v>
          </cell>
          <cell r="FK129">
            <v>38050779.606210001</v>
          </cell>
          <cell r="FL129">
            <v>38050779.606210001</v>
          </cell>
          <cell r="FM129">
            <v>0</v>
          </cell>
          <cell r="FN129">
            <v>41104821.19184</v>
          </cell>
          <cell r="FO129">
            <v>41104821.19184</v>
          </cell>
          <cell r="FP129">
            <v>41104821.19184</v>
          </cell>
          <cell r="FQ129">
            <v>40905621.616659999</v>
          </cell>
          <cell r="FR129">
            <v>0</v>
          </cell>
          <cell r="FS129">
            <v>40557594.169540003</v>
          </cell>
          <cell r="FT129">
            <v>40557594.169540003</v>
          </cell>
          <cell r="FU129">
            <v>40557594.169540003</v>
          </cell>
          <cell r="FV129">
            <v>40557594.169540003</v>
          </cell>
          <cell r="FW129">
            <v>40557594.169540003</v>
          </cell>
          <cell r="FX129">
            <v>40557594.169540003</v>
          </cell>
          <cell r="FY129">
            <v>40557594.169540003</v>
          </cell>
          <cell r="FZ129">
            <v>41452438.277319998</v>
          </cell>
          <cell r="GA129">
            <v>41686678.782640003</v>
          </cell>
          <cell r="GB129">
            <v>41686678.782640003</v>
          </cell>
          <cell r="GC129">
            <v>41686678.782640003</v>
          </cell>
          <cell r="GD129">
            <v>41686678.782640003</v>
          </cell>
          <cell r="GE129">
            <v>41686678.782640003</v>
          </cell>
          <cell r="GF129">
            <v>41686678.782640003</v>
          </cell>
          <cell r="GG129">
            <v>41686678.782640003</v>
          </cell>
          <cell r="GH129">
            <v>41686678.782640003</v>
          </cell>
          <cell r="GI129">
            <v>41686678.782640003</v>
          </cell>
          <cell r="GJ129">
            <v>41686678.782640003</v>
          </cell>
          <cell r="GK129">
            <v>41686678.782640003</v>
          </cell>
          <cell r="GL129">
            <v>41686678.782640003</v>
          </cell>
          <cell r="GM129">
            <v>41686678.782640003</v>
          </cell>
          <cell r="GN129">
            <v>41686678.782640003</v>
          </cell>
          <cell r="GO129">
            <v>41686678.782640003</v>
          </cell>
          <cell r="GP129">
            <v>41686678.782640003</v>
          </cell>
          <cell r="GQ129">
            <v>41686678.782640003</v>
          </cell>
          <cell r="GR129">
            <v>41686678.782640003</v>
          </cell>
          <cell r="GS129">
            <v>41686678.782640003</v>
          </cell>
          <cell r="GT129">
            <v>41686678.782640003</v>
          </cell>
          <cell r="GU129">
            <v>0</v>
          </cell>
          <cell r="GZ129">
            <v>0</v>
          </cell>
        </row>
        <row r="130">
          <cell r="A130" t="str">
            <v>F_IAM_NRF_xxxxxxx_FRCE_434</v>
          </cell>
          <cell r="B130">
            <v>0</v>
          </cell>
          <cell r="D130">
            <v>0</v>
          </cell>
          <cell r="E130">
            <v>0</v>
          </cell>
          <cell r="F130">
            <v>0</v>
          </cell>
          <cell r="G130">
            <v>0</v>
          </cell>
          <cell r="H130">
            <v>0</v>
          </cell>
          <cell r="I130">
            <v>0</v>
          </cell>
          <cell r="J130">
            <v>0</v>
          </cell>
          <cell r="K130">
            <v>0</v>
          </cell>
          <cell r="L130">
            <v>0</v>
          </cell>
          <cell r="N130">
            <v>0</v>
          </cell>
          <cell r="O130">
            <v>0</v>
          </cell>
          <cell r="P130">
            <v>0</v>
          </cell>
          <cell r="Q130">
            <v>0</v>
          </cell>
          <cell r="S130">
            <v>0</v>
          </cell>
          <cell r="T130">
            <v>0</v>
          </cell>
          <cell r="U130">
            <v>0</v>
          </cell>
          <cell r="V130">
            <v>0</v>
          </cell>
          <cell r="W130">
            <v>0</v>
          </cell>
          <cell r="X130">
            <v>0</v>
          </cell>
          <cell r="Y130">
            <v>0</v>
          </cell>
          <cell r="Z130">
            <v>0</v>
          </cell>
          <cell r="AA130">
            <v>0</v>
          </cell>
          <cell r="AB130">
            <v>0</v>
          </cell>
          <cell r="AC130">
            <v>0</v>
          </cell>
          <cell r="AF130">
            <v>0</v>
          </cell>
          <cell r="AG130">
            <v>0</v>
          </cell>
          <cell r="AH130">
            <v>0</v>
          </cell>
          <cell r="AJ130">
            <v>0</v>
          </cell>
          <cell r="AK130">
            <v>0</v>
          </cell>
          <cell r="AL130">
            <v>0</v>
          </cell>
          <cell r="AM130">
            <v>0</v>
          </cell>
          <cell r="AO130">
            <v>0</v>
          </cell>
          <cell r="AP130">
            <v>0</v>
          </cell>
          <cell r="AQ130">
            <v>0</v>
          </cell>
          <cell r="AR130">
            <v>0</v>
          </cell>
          <cell r="AS130">
            <v>0</v>
          </cell>
          <cell r="AT130">
            <v>0</v>
          </cell>
          <cell r="AU130">
            <v>0</v>
          </cell>
          <cell r="AV130">
            <v>0</v>
          </cell>
          <cell r="AW130">
            <v>0</v>
          </cell>
          <cell r="AX130">
            <v>0</v>
          </cell>
          <cell r="AY130">
            <v>0</v>
          </cell>
          <cell r="BB130">
            <v>0</v>
          </cell>
          <cell r="BC130">
            <v>0</v>
          </cell>
          <cell r="BD130">
            <v>0</v>
          </cell>
          <cell r="BF130">
            <v>0</v>
          </cell>
          <cell r="BG130">
            <v>0</v>
          </cell>
          <cell r="BH130">
            <v>0</v>
          </cell>
          <cell r="BI130">
            <v>0</v>
          </cell>
          <cell r="BK130">
            <v>0</v>
          </cell>
          <cell r="BL130">
            <v>0</v>
          </cell>
          <cell r="BM130">
            <v>0</v>
          </cell>
          <cell r="BN130">
            <v>0</v>
          </cell>
          <cell r="BO130">
            <v>0</v>
          </cell>
          <cell r="BP130">
            <v>0</v>
          </cell>
          <cell r="BQ130">
            <v>0</v>
          </cell>
          <cell r="BR130">
            <v>0</v>
          </cell>
          <cell r="BS130">
            <v>0</v>
          </cell>
          <cell r="BT130">
            <v>0</v>
          </cell>
          <cell r="BU130">
            <v>0</v>
          </cell>
          <cell r="BX130">
            <v>0</v>
          </cell>
          <cell r="BY130">
            <v>0</v>
          </cell>
          <cell r="BZ130">
            <v>0</v>
          </cell>
          <cell r="CB130">
            <v>0</v>
          </cell>
          <cell r="CC130">
            <v>0</v>
          </cell>
          <cell r="CD130">
            <v>0</v>
          </cell>
          <cell r="CE130">
            <v>0</v>
          </cell>
          <cell r="CG130">
            <v>0</v>
          </cell>
          <cell r="CH130">
            <v>0</v>
          </cell>
          <cell r="CI130">
            <v>0</v>
          </cell>
          <cell r="CJ130">
            <v>0</v>
          </cell>
          <cell r="CK130">
            <v>0</v>
          </cell>
          <cell r="CL130">
            <v>0</v>
          </cell>
          <cell r="CM130">
            <v>0</v>
          </cell>
          <cell r="CN130">
            <v>0</v>
          </cell>
          <cell r="CO130">
            <v>0</v>
          </cell>
          <cell r="CP130">
            <v>0</v>
          </cell>
          <cell r="CQ130">
            <v>0</v>
          </cell>
          <cell r="CR130">
            <v>0</v>
          </cell>
          <cell r="CS130">
            <v>0</v>
          </cell>
          <cell r="CT130">
            <v>0</v>
          </cell>
          <cell r="CU130">
            <v>0</v>
          </cell>
          <cell r="CV130">
            <v>0</v>
          </cell>
          <cell r="CW130">
            <v>0</v>
          </cell>
          <cell r="CX130">
            <v>0</v>
          </cell>
          <cell r="CY130">
            <v>0</v>
          </cell>
          <cell r="CZ130">
            <v>0</v>
          </cell>
          <cell r="DA130">
            <v>0</v>
          </cell>
          <cell r="DB130">
            <v>0</v>
          </cell>
          <cell r="DC130">
            <v>0</v>
          </cell>
          <cell r="DD130">
            <v>0</v>
          </cell>
          <cell r="DE130">
            <v>0</v>
          </cell>
          <cell r="DF130">
            <v>-1</v>
          </cell>
          <cell r="DG130">
            <v>0</v>
          </cell>
          <cell r="DH130">
            <v>0</v>
          </cell>
          <cell r="DI130">
            <v>0</v>
          </cell>
          <cell r="EA130">
            <v>0</v>
          </cell>
          <cell r="EB130">
            <v>0</v>
          </cell>
          <cell r="EC130">
            <v>0</v>
          </cell>
          <cell r="ED130">
            <v>0</v>
          </cell>
          <cell r="EE130">
            <v>0</v>
          </cell>
          <cell r="EF130">
            <v>0</v>
          </cell>
          <cell r="EG130">
            <v>0</v>
          </cell>
          <cell r="EH130">
            <v>0</v>
          </cell>
          <cell r="EI130">
            <v>0</v>
          </cell>
          <cell r="EJ130">
            <v>0</v>
          </cell>
          <cell r="EK130">
            <v>0</v>
          </cell>
          <cell r="EL130">
            <v>0</v>
          </cell>
          <cell r="EM130">
            <v>0</v>
          </cell>
          <cell r="EN130">
            <v>0</v>
          </cell>
          <cell r="EO130">
            <v>0</v>
          </cell>
          <cell r="EP130">
            <v>0</v>
          </cell>
          <cell r="EQ130">
            <v>0</v>
          </cell>
          <cell r="ER130">
            <v>0</v>
          </cell>
          <cell r="FE130">
            <v>0</v>
          </cell>
          <cell r="FF130">
            <v>0</v>
          </cell>
          <cell r="FG130">
            <v>0</v>
          </cell>
          <cell r="FJ130">
            <v>0</v>
          </cell>
          <cell r="FK130">
            <v>0</v>
          </cell>
          <cell r="FL130">
            <v>0</v>
          </cell>
          <cell r="FN130">
            <v>0</v>
          </cell>
          <cell r="FO130">
            <v>0</v>
          </cell>
          <cell r="FP130">
            <v>0</v>
          </cell>
          <cell r="FQ130">
            <v>0</v>
          </cell>
          <cell r="FS130">
            <v>0</v>
          </cell>
          <cell r="FT130">
            <v>0</v>
          </cell>
          <cell r="FU130">
            <v>0</v>
          </cell>
          <cell r="FV130">
            <v>0</v>
          </cell>
          <cell r="FW130">
            <v>0</v>
          </cell>
          <cell r="FX130">
            <v>0</v>
          </cell>
          <cell r="FY130">
            <v>0</v>
          </cell>
          <cell r="FZ130">
            <v>0</v>
          </cell>
          <cell r="GA130">
            <v>0</v>
          </cell>
          <cell r="GB130">
            <v>0</v>
          </cell>
          <cell r="GC130">
            <v>0</v>
          </cell>
          <cell r="GD130">
            <v>0</v>
          </cell>
          <cell r="GE130">
            <v>0</v>
          </cell>
          <cell r="GF130">
            <v>0</v>
          </cell>
          <cell r="GG130">
            <v>0</v>
          </cell>
          <cell r="GH130">
            <v>121</v>
          </cell>
          <cell r="GI130">
            <v>0</v>
          </cell>
          <cell r="GJ130">
            <v>0</v>
          </cell>
          <cell r="GK130">
            <v>0</v>
          </cell>
          <cell r="GL130">
            <v>0</v>
          </cell>
          <cell r="GM130">
            <v>0</v>
          </cell>
          <cell r="GN130">
            <v>0</v>
          </cell>
          <cell r="GO130">
            <v>0</v>
          </cell>
          <cell r="GP130">
            <v>0</v>
          </cell>
          <cell r="GQ130">
            <v>0</v>
          </cell>
          <cell r="GR130">
            <v>0</v>
          </cell>
          <cell r="GS130">
            <v>0</v>
          </cell>
          <cell r="GT130">
            <v>0</v>
          </cell>
          <cell r="GZ130">
            <v>0</v>
          </cell>
        </row>
        <row r="131">
          <cell r="A131" t="str">
            <v>F_CAU_NRF_ASS_EMP_FRCE_AUF</v>
          </cell>
          <cell r="B131">
            <v>83997156.980000019</v>
          </cell>
          <cell r="C131">
            <v>0</v>
          </cell>
          <cell r="D131">
            <v>83997156.980000019</v>
          </cell>
          <cell r="E131">
            <v>83997156.980000019</v>
          </cell>
          <cell r="F131">
            <v>91019202.652303293</v>
          </cell>
          <cell r="G131">
            <v>91019202.652303293</v>
          </cell>
          <cell r="H131">
            <v>0</v>
          </cell>
          <cell r="I131">
            <v>0</v>
          </cell>
          <cell r="J131">
            <v>91019202.652303293</v>
          </cell>
          <cell r="K131">
            <v>91019202.652303293</v>
          </cell>
          <cell r="L131">
            <v>91019202.652303293</v>
          </cell>
          <cell r="M131">
            <v>0</v>
          </cell>
          <cell r="N131">
            <v>91019202.652303293</v>
          </cell>
          <cell r="O131">
            <v>91019202.652303293</v>
          </cell>
          <cell r="P131">
            <v>91019202.652303293</v>
          </cell>
          <cell r="Q131">
            <v>91019202.652303293</v>
          </cell>
          <cell r="R131">
            <v>0</v>
          </cell>
          <cell r="S131">
            <v>91019202.652303293</v>
          </cell>
          <cell r="T131">
            <v>91019202.652303293</v>
          </cell>
          <cell r="U131">
            <v>91019202.652303293</v>
          </cell>
          <cell r="V131">
            <v>91019202.652303293</v>
          </cell>
          <cell r="W131">
            <v>91019202.652303293</v>
          </cell>
          <cell r="X131">
            <v>91019202.652303293</v>
          </cell>
          <cell r="Y131">
            <v>91019202.652303293</v>
          </cell>
          <cell r="Z131">
            <v>91019202.652303293</v>
          </cell>
          <cell r="AA131">
            <v>91019202.652303293</v>
          </cell>
          <cell r="AB131">
            <v>94169828.378631338</v>
          </cell>
          <cell r="AC131">
            <v>87854818.861521512</v>
          </cell>
          <cell r="AD131">
            <v>0</v>
          </cell>
          <cell r="AE131">
            <v>0</v>
          </cell>
          <cell r="AF131">
            <v>87751501.020630985</v>
          </cell>
          <cell r="AG131">
            <v>91019202.652303293</v>
          </cell>
          <cell r="AH131">
            <v>91019202.652303293</v>
          </cell>
          <cell r="AI131">
            <v>0</v>
          </cell>
          <cell r="AJ131">
            <v>90938756.213692263</v>
          </cell>
          <cell r="AK131">
            <v>91019202.652303293</v>
          </cell>
          <cell r="AL131">
            <v>91019202.652303293</v>
          </cell>
          <cell r="AM131">
            <v>91019202.652303293</v>
          </cell>
          <cell r="AN131">
            <v>0</v>
          </cell>
          <cell r="AO131">
            <v>87253588.150045767</v>
          </cell>
          <cell r="AP131">
            <v>91019202.652303293</v>
          </cell>
          <cell r="AQ131">
            <v>91019202.652303293</v>
          </cell>
          <cell r="AR131">
            <v>91019202.652303293</v>
          </cell>
          <cell r="AS131">
            <v>91019202.652303293</v>
          </cell>
          <cell r="AT131">
            <v>91019202.652303293</v>
          </cell>
          <cell r="AU131">
            <v>91019202.652303293</v>
          </cell>
          <cell r="AV131">
            <v>91019202.652303293</v>
          </cell>
          <cell r="AW131">
            <v>91019202.652303293</v>
          </cell>
          <cell r="AX131">
            <v>41542573.359565988</v>
          </cell>
          <cell r="AY131">
            <v>41542573.359565988</v>
          </cell>
          <cell r="AZ131">
            <v>0</v>
          </cell>
          <cell r="BA131">
            <v>0</v>
          </cell>
          <cell r="BB131">
            <v>41542573.359565988</v>
          </cell>
          <cell r="BC131">
            <v>41542573.359565988</v>
          </cell>
          <cell r="BD131">
            <v>41542573.359565988</v>
          </cell>
          <cell r="BE131">
            <v>0</v>
          </cell>
          <cell r="BF131">
            <v>41542573.359565988</v>
          </cell>
          <cell r="BG131">
            <v>41542573.359565988</v>
          </cell>
          <cell r="BH131">
            <v>41542573.359565988</v>
          </cell>
          <cell r="BI131">
            <v>41542573.359565988</v>
          </cell>
          <cell r="BJ131">
            <v>0</v>
          </cell>
          <cell r="BK131">
            <v>41542573.359565988</v>
          </cell>
          <cell r="BL131">
            <v>41542573.359565988</v>
          </cell>
          <cell r="BM131">
            <v>41542573.359565988</v>
          </cell>
          <cell r="BN131">
            <v>41542573.359565988</v>
          </cell>
          <cell r="BO131">
            <v>41542573.359565988</v>
          </cell>
          <cell r="BP131">
            <v>41542573.359565988</v>
          </cell>
          <cell r="BQ131">
            <v>41542573.359565988</v>
          </cell>
          <cell r="BR131">
            <v>41542573.359565988</v>
          </cell>
          <cell r="BS131">
            <v>41542573.359565988</v>
          </cell>
          <cell r="BT131">
            <v>42881245.245772682</v>
          </cell>
          <cell r="BU131">
            <v>39918504.34603478</v>
          </cell>
          <cell r="BV131">
            <v>0</v>
          </cell>
          <cell r="BW131">
            <v>0</v>
          </cell>
          <cell r="BX131">
            <v>41542573.359565988</v>
          </cell>
          <cell r="BY131">
            <v>41542573.359565988</v>
          </cell>
          <cell r="BZ131">
            <v>41542573.359565988</v>
          </cell>
          <cell r="CA131">
            <v>0</v>
          </cell>
          <cell r="CB131">
            <v>41542573.359565988</v>
          </cell>
          <cell r="CC131">
            <v>41542573.359565988</v>
          </cell>
          <cell r="CD131">
            <v>41542573.359565988</v>
          </cell>
          <cell r="CE131">
            <v>41542573.359565988</v>
          </cell>
          <cell r="CF131">
            <v>0</v>
          </cell>
          <cell r="CG131">
            <v>41542573.359565988</v>
          </cell>
          <cell r="CH131">
            <v>41542573.359565988</v>
          </cell>
          <cell r="CI131">
            <v>41542573.359565988</v>
          </cell>
          <cell r="CJ131">
            <v>41542573.359565988</v>
          </cell>
          <cell r="CK131">
            <v>41542573.359565988</v>
          </cell>
          <cell r="CL131">
            <v>41542573.359565988</v>
          </cell>
          <cell r="CM131">
            <v>41542573.359565988</v>
          </cell>
          <cell r="CN131">
            <v>41542573.359565988</v>
          </cell>
          <cell r="CO131">
            <v>41542573.359565988</v>
          </cell>
          <cell r="CP131">
            <v>0</v>
          </cell>
          <cell r="CQ131">
            <v>0</v>
          </cell>
          <cell r="CR131">
            <v>0</v>
          </cell>
          <cell r="CS131">
            <v>0</v>
          </cell>
          <cell r="CT131">
            <v>0</v>
          </cell>
          <cell r="CU131">
            <v>0</v>
          </cell>
          <cell r="CV131">
            <v>0</v>
          </cell>
          <cell r="CW131">
            <v>0</v>
          </cell>
          <cell r="CX131">
            <v>0</v>
          </cell>
          <cell r="CY131">
            <v>0</v>
          </cell>
          <cell r="CZ131">
            <v>0</v>
          </cell>
          <cell r="DA131">
            <v>0</v>
          </cell>
          <cell r="DB131">
            <v>0</v>
          </cell>
          <cell r="DC131">
            <v>0</v>
          </cell>
          <cell r="DD131">
            <v>0</v>
          </cell>
          <cell r="DE131">
            <v>0</v>
          </cell>
          <cell r="DF131">
            <v>0</v>
          </cell>
          <cell r="DG131">
            <v>0</v>
          </cell>
          <cell r="DH131">
            <v>0</v>
          </cell>
          <cell r="DI131">
            <v>0</v>
          </cell>
          <cell r="DJ131">
            <v>0</v>
          </cell>
          <cell r="DK131">
            <v>0</v>
          </cell>
          <cell r="DL131">
            <v>0</v>
          </cell>
          <cell r="DM131">
            <v>0</v>
          </cell>
          <cell r="DN131">
            <v>0</v>
          </cell>
          <cell r="DO131">
            <v>0</v>
          </cell>
          <cell r="DP131">
            <v>0</v>
          </cell>
          <cell r="DQ131">
            <v>0</v>
          </cell>
          <cell r="DR131">
            <v>0</v>
          </cell>
          <cell r="DS131">
            <v>0</v>
          </cell>
          <cell r="DT131">
            <v>0</v>
          </cell>
          <cell r="DU131">
            <v>0</v>
          </cell>
          <cell r="DV131">
            <v>0</v>
          </cell>
          <cell r="DW131">
            <v>0</v>
          </cell>
          <cell r="EA131">
            <v>0</v>
          </cell>
          <cell r="EB131">
            <v>0</v>
          </cell>
          <cell r="EC131">
            <v>0</v>
          </cell>
          <cell r="ED131">
            <v>0</v>
          </cell>
          <cell r="EE131">
            <v>0</v>
          </cell>
          <cell r="EF131">
            <v>0</v>
          </cell>
          <cell r="EG131">
            <v>0</v>
          </cell>
          <cell r="EH131">
            <v>0</v>
          </cell>
          <cell r="EI131">
            <v>0</v>
          </cell>
          <cell r="EJ131">
            <v>0</v>
          </cell>
          <cell r="EK131">
            <v>0</v>
          </cell>
          <cell r="EL131">
            <v>0</v>
          </cell>
          <cell r="EM131">
            <v>0</v>
          </cell>
          <cell r="EN131">
            <v>0</v>
          </cell>
          <cell r="EO131">
            <v>0</v>
          </cell>
          <cell r="EP131">
            <v>0</v>
          </cell>
          <cell r="EQ131">
            <v>0</v>
          </cell>
          <cell r="ER131">
            <v>0</v>
          </cell>
          <cell r="ES131">
            <v>0</v>
          </cell>
          <cell r="ET131">
            <v>0</v>
          </cell>
          <cell r="EU131">
            <v>0</v>
          </cell>
          <cell r="EV131">
            <v>0</v>
          </cell>
          <cell r="EW131">
            <v>0</v>
          </cell>
          <cell r="EX131">
            <v>0</v>
          </cell>
          <cell r="EY131">
            <v>0</v>
          </cell>
          <cell r="EZ131">
            <v>0</v>
          </cell>
          <cell r="FA131">
            <v>0</v>
          </cell>
          <cell r="FB131">
            <v>0</v>
          </cell>
          <cell r="FC131">
            <v>0</v>
          </cell>
          <cell r="FE131">
            <v>41542573.359565988</v>
          </cell>
          <cell r="FF131">
            <v>42881245.245772682</v>
          </cell>
          <cell r="FG131">
            <v>39918504.34603478</v>
          </cell>
          <cell r="FH131">
            <v>0</v>
          </cell>
          <cell r="FI131">
            <v>0</v>
          </cell>
          <cell r="FJ131">
            <v>41542573.359565988</v>
          </cell>
          <cell r="FK131">
            <v>41542573.359565988</v>
          </cell>
          <cell r="FL131">
            <v>41542573.359565988</v>
          </cell>
          <cell r="FM131">
            <v>0</v>
          </cell>
          <cell r="FN131">
            <v>41542573.359565988</v>
          </cell>
          <cell r="FO131">
            <v>41542573.359565988</v>
          </cell>
          <cell r="FP131">
            <v>41542573.359565988</v>
          </cell>
          <cell r="FQ131">
            <v>41542573.359565988</v>
          </cell>
          <cell r="FR131">
            <v>0</v>
          </cell>
          <cell r="FS131">
            <v>41542573.359565988</v>
          </cell>
          <cell r="FT131">
            <v>41542573.359565988</v>
          </cell>
          <cell r="FU131">
            <v>41542573.359565988</v>
          </cell>
          <cell r="FV131">
            <v>41542573.359565988</v>
          </cell>
          <cell r="FW131">
            <v>41542573.359565988</v>
          </cell>
          <cell r="FX131">
            <v>41542573.359565988</v>
          </cell>
          <cell r="FY131">
            <v>41542573.359565988</v>
          </cell>
          <cell r="FZ131">
            <v>41542573.359565988</v>
          </cell>
          <cell r="GA131">
            <v>41542573.359565988</v>
          </cell>
          <cell r="GB131">
            <v>0</v>
          </cell>
          <cell r="GC131">
            <v>0</v>
          </cell>
          <cell r="GD131">
            <v>0</v>
          </cell>
          <cell r="GE131">
            <v>0</v>
          </cell>
          <cell r="GF131">
            <v>0</v>
          </cell>
          <cell r="GG131">
            <v>0</v>
          </cell>
          <cell r="GH131">
            <v>0</v>
          </cell>
          <cell r="GI131">
            <v>0</v>
          </cell>
          <cell r="GJ131">
            <v>0</v>
          </cell>
          <cell r="GK131">
            <v>0</v>
          </cell>
          <cell r="GL131">
            <v>0</v>
          </cell>
          <cell r="GM131">
            <v>0</v>
          </cell>
          <cell r="GN131">
            <v>0</v>
          </cell>
          <cell r="GO131">
            <v>0</v>
          </cell>
          <cell r="GP131">
            <v>0</v>
          </cell>
          <cell r="GQ131">
            <v>0</v>
          </cell>
          <cell r="GR131">
            <v>0</v>
          </cell>
          <cell r="GS131">
            <v>0</v>
          </cell>
          <cell r="GT131">
            <v>0</v>
          </cell>
          <cell r="GZ131">
            <v>0</v>
          </cell>
        </row>
        <row r="132">
          <cell r="A132" t="str">
            <v>F_CAU_NRF_CPT_PRP_FRCE_AUF</v>
          </cell>
          <cell r="B132">
            <v>0</v>
          </cell>
          <cell r="C132">
            <v>0</v>
          </cell>
          <cell r="D132">
            <v>21878151.837696724</v>
          </cell>
          <cell r="E132">
            <v>0</v>
          </cell>
          <cell r="F132">
            <v>21878151.837696724</v>
          </cell>
          <cell r="G132">
            <v>21878151.837696724</v>
          </cell>
          <cell r="H132">
            <v>0</v>
          </cell>
          <cell r="I132">
            <v>0</v>
          </cell>
          <cell r="J132">
            <v>21878151.837696724</v>
          </cell>
          <cell r="K132">
            <v>21878151.837696724</v>
          </cell>
          <cell r="L132">
            <v>21878151.837696724</v>
          </cell>
          <cell r="M132">
            <v>0</v>
          </cell>
          <cell r="N132">
            <v>21878151.837696724</v>
          </cell>
          <cell r="O132">
            <v>21878151.837696724</v>
          </cell>
          <cell r="P132">
            <v>21878151.837696724</v>
          </cell>
          <cell r="Q132">
            <v>21878151.837696724</v>
          </cell>
          <cell r="R132">
            <v>0</v>
          </cell>
          <cell r="S132">
            <v>21878151.837696724</v>
          </cell>
          <cell r="T132">
            <v>21878151.837696724</v>
          </cell>
          <cell r="U132">
            <v>21878151.837696724</v>
          </cell>
          <cell r="V132">
            <v>21878151.837696724</v>
          </cell>
          <cell r="W132">
            <v>21878151.837696724</v>
          </cell>
          <cell r="X132">
            <v>21878151.837696724</v>
          </cell>
          <cell r="Y132">
            <v>21878151.837696724</v>
          </cell>
          <cell r="Z132">
            <v>21878151.837696724</v>
          </cell>
          <cell r="AA132">
            <v>21878151.837696724</v>
          </cell>
          <cell r="AB132">
            <v>22635463.108458709</v>
          </cell>
          <cell r="AC132">
            <v>21117533.561222311</v>
          </cell>
          <cell r="AD132">
            <v>0</v>
          </cell>
          <cell r="AE132">
            <v>0</v>
          </cell>
          <cell r="AF132">
            <v>21092699.203804564</v>
          </cell>
          <cell r="AG132">
            <v>21878151.837696724</v>
          </cell>
          <cell r="AH132">
            <v>21878151.837696724</v>
          </cell>
          <cell r="AI132">
            <v>0</v>
          </cell>
          <cell r="AJ132">
            <v>21858815.045597397</v>
          </cell>
          <cell r="AK132">
            <v>21878151.837696724</v>
          </cell>
          <cell r="AL132">
            <v>21878151.837696724</v>
          </cell>
          <cell r="AM132">
            <v>21878151.837696724</v>
          </cell>
          <cell r="AN132">
            <v>0</v>
          </cell>
          <cell r="AO132">
            <v>20973016.61961164</v>
          </cell>
          <cell r="AP132">
            <v>21878151.837696724</v>
          </cell>
          <cell r="AQ132">
            <v>21878151.837696724</v>
          </cell>
          <cell r="AR132">
            <v>21878151.837696724</v>
          </cell>
          <cell r="AS132">
            <v>21878151.837696724</v>
          </cell>
          <cell r="AT132">
            <v>21878151.837696724</v>
          </cell>
          <cell r="AU132">
            <v>21878151.837696724</v>
          </cell>
          <cell r="AV132">
            <v>21878151.837696724</v>
          </cell>
          <cell r="AW132">
            <v>21878151.837696724</v>
          </cell>
          <cell r="AX132">
            <v>0</v>
          </cell>
          <cell r="AY132">
            <v>0</v>
          </cell>
          <cell r="AZ132">
            <v>0</v>
          </cell>
          <cell r="BA132">
            <v>0</v>
          </cell>
          <cell r="BB132">
            <v>0</v>
          </cell>
          <cell r="BC132">
            <v>0</v>
          </cell>
          <cell r="BD132">
            <v>0</v>
          </cell>
          <cell r="BE132">
            <v>0</v>
          </cell>
          <cell r="BF132">
            <v>0</v>
          </cell>
          <cell r="BG132">
            <v>0</v>
          </cell>
          <cell r="BH132">
            <v>0</v>
          </cell>
          <cell r="BI132">
            <v>0</v>
          </cell>
          <cell r="BJ132">
            <v>0</v>
          </cell>
          <cell r="BK132">
            <v>0</v>
          </cell>
          <cell r="BL132">
            <v>0</v>
          </cell>
          <cell r="BM132">
            <v>0</v>
          </cell>
          <cell r="BN132">
            <v>0</v>
          </cell>
          <cell r="BO132">
            <v>0</v>
          </cell>
          <cell r="BP132">
            <v>0</v>
          </cell>
          <cell r="BQ132">
            <v>0</v>
          </cell>
          <cell r="BR132">
            <v>0</v>
          </cell>
          <cell r="BS132">
            <v>0</v>
          </cell>
          <cell r="BT132">
            <v>0</v>
          </cell>
          <cell r="BU132">
            <v>0</v>
          </cell>
          <cell r="BV132">
            <v>0</v>
          </cell>
          <cell r="BW132">
            <v>0</v>
          </cell>
          <cell r="BX132">
            <v>0</v>
          </cell>
          <cell r="BY132">
            <v>0</v>
          </cell>
          <cell r="BZ132">
            <v>0</v>
          </cell>
          <cell r="CA132">
            <v>0</v>
          </cell>
          <cell r="CB132">
            <v>0</v>
          </cell>
          <cell r="CC132">
            <v>0</v>
          </cell>
          <cell r="CD132">
            <v>0</v>
          </cell>
          <cell r="CE132">
            <v>0</v>
          </cell>
          <cell r="CF132">
            <v>0</v>
          </cell>
          <cell r="CG132">
            <v>0</v>
          </cell>
          <cell r="CH132">
            <v>0</v>
          </cell>
          <cell r="CI132">
            <v>0</v>
          </cell>
          <cell r="CJ132">
            <v>0</v>
          </cell>
          <cell r="CK132">
            <v>0</v>
          </cell>
          <cell r="CL132">
            <v>0</v>
          </cell>
          <cell r="CM132">
            <v>0</v>
          </cell>
          <cell r="CN132">
            <v>0</v>
          </cell>
          <cell r="CO132">
            <v>0</v>
          </cell>
          <cell r="CP132">
            <v>0</v>
          </cell>
          <cell r="CQ132">
            <v>0</v>
          </cell>
          <cell r="CR132">
            <v>0</v>
          </cell>
          <cell r="CS132">
            <v>0</v>
          </cell>
          <cell r="CT132">
            <v>0</v>
          </cell>
          <cell r="CU132">
            <v>0</v>
          </cell>
          <cell r="CV132">
            <v>0</v>
          </cell>
          <cell r="CW132">
            <v>0</v>
          </cell>
          <cell r="CX132">
            <v>0</v>
          </cell>
          <cell r="CY132">
            <v>0</v>
          </cell>
          <cell r="CZ132">
            <v>0</v>
          </cell>
          <cell r="DA132">
            <v>0</v>
          </cell>
          <cell r="DB132">
            <v>0</v>
          </cell>
          <cell r="DC132">
            <v>0</v>
          </cell>
          <cell r="DD132">
            <v>0</v>
          </cell>
          <cell r="DE132">
            <v>0</v>
          </cell>
          <cell r="DF132">
            <v>0</v>
          </cell>
          <cell r="DG132">
            <v>0</v>
          </cell>
          <cell r="DH132">
            <v>0</v>
          </cell>
          <cell r="DI132">
            <v>0</v>
          </cell>
          <cell r="DJ132">
            <v>0</v>
          </cell>
          <cell r="DK132">
            <v>0</v>
          </cell>
          <cell r="DL132">
            <v>0</v>
          </cell>
          <cell r="DM132">
            <v>0</v>
          </cell>
          <cell r="DN132">
            <v>0</v>
          </cell>
          <cell r="DO132">
            <v>0</v>
          </cell>
          <cell r="DP132">
            <v>0</v>
          </cell>
          <cell r="DQ132">
            <v>0</v>
          </cell>
          <cell r="DR132">
            <v>0</v>
          </cell>
          <cell r="DS132">
            <v>0</v>
          </cell>
          <cell r="DT132">
            <v>0</v>
          </cell>
          <cell r="DU132">
            <v>0</v>
          </cell>
          <cell r="DV132">
            <v>0</v>
          </cell>
          <cell r="DW132">
            <v>0</v>
          </cell>
          <cell r="EA132">
            <v>0</v>
          </cell>
          <cell r="EB132">
            <v>0</v>
          </cell>
          <cell r="EC132">
            <v>0</v>
          </cell>
          <cell r="ED132">
            <v>0</v>
          </cell>
          <cell r="EE132">
            <v>0</v>
          </cell>
          <cell r="EF132">
            <v>0</v>
          </cell>
          <cell r="EG132">
            <v>0</v>
          </cell>
          <cell r="EH132">
            <v>0</v>
          </cell>
          <cell r="EI132">
            <v>0</v>
          </cell>
          <cell r="EJ132">
            <v>0</v>
          </cell>
          <cell r="EK132">
            <v>0</v>
          </cell>
          <cell r="EL132">
            <v>0</v>
          </cell>
          <cell r="EM132">
            <v>0</v>
          </cell>
          <cell r="EN132">
            <v>0</v>
          </cell>
          <cell r="EO132">
            <v>0</v>
          </cell>
          <cell r="EP132">
            <v>0</v>
          </cell>
          <cell r="EQ132">
            <v>0</v>
          </cell>
          <cell r="ER132">
            <v>0</v>
          </cell>
          <cell r="ES132">
            <v>0</v>
          </cell>
          <cell r="ET132">
            <v>0</v>
          </cell>
          <cell r="EU132">
            <v>0</v>
          </cell>
          <cell r="EV132">
            <v>0</v>
          </cell>
          <cell r="EW132">
            <v>0</v>
          </cell>
          <cell r="EX132">
            <v>0</v>
          </cell>
          <cell r="EY132">
            <v>0</v>
          </cell>
          <cell r="EZ132">
            <v>0</v>
          </cell>
          <cell r="FA132">
            <v>0</v>
          </cell>
          <cell r="FB132">
            <v>0</v>
          </cell>
          <cell r="FC132">
            <v>0</v>
          </cell>
          <cell r="FE132">
            <v>0</v>
          </cell>
          <cell r="FF132">
            <v>0</v>
          </cell>
          <cell r="FG132">
            <v>0</v>
          </cell>
          <cell r="FH132">
            <v>0</v>
          </cell>
          <cell r="FI132">
            <v>0</v>
          </cell>
          <cell r="FJ132">
            <v>0</v>
          </cell>
          <cell r="FK132">
            <v>0</v>
          </cell>
          <cell r="FL132">
            <v>0</v>
          </cell>
          <cell r="FM132">
            <v>0</v>
          </cell>
          <cell r="FN132">
            <v>0</v>
          </cell>
          <cell r="FO132">
            <v>0</v>
          </cell>
          <cell r="FP132">
            <v>0</v>
          </cell>
          <cell r="FQ132">
            <v>0</v>
          </cell>
          <cell r="FR132">
            <v>0</v>
          </cell>
          <cell r="FS132">
            <v>0</v>
          </cell>
          <cell r="FT132">
            <v>0</v>
          </cell>
          <cell r="FU132">
            <v>0</v>
          </cell>
          <cell r="FV132">
            <v>0</v>
          </cell>
          <cell r="FW132">
            <v>0</v>
          </cell>
          <cell r="FX132">
            <v>0</v>
          </cell>
          <cell r="FY132">
            <v>0</v>
          </cell>
          <cell r="FZ132">
            <v>0</v>
          </cell>
          <cell r="GA132">
            <v>0</v>
          </cell>
          <cell r="GB132">
            <v>0</v>
          </cell>
          <cell r="GC132">
            <v>0</v>
          </cell>
          <cell r="GD132">
            <v>0</v>
          </cell>
          <cell r="GE132">
            <v>0</v>
          </cell>
          <cell r="GF132">
            <v>0</v>
          </cell>
          <cell r="GG132">
            <v>0</v>
          </cell>
          <cell r="GH132">
            <v>0</v>
          </cell>
          <cell r="GI132">
            <v>0</v>
          </cell>
          <cell r="GJ132">
            <v>0</v>
          </cell>
          <cell r="GK132">
            <v>0</v>
          </cell>
          <cell r="GL132">
            <v>0</v>
          </cell>
          <cell r="GM132">
            <v>0</v>
          </cell>
          <cell r="GN132">
            <v>0</v>
          </cell>
          <cell r="GO132">
            <v>0</v>
          </cell>
          <cell r="GP132">
            <v>0</v>
          </cell>
          <cell r="GQ132">
            <v>0</v>
          </cell>
          <cell r="GR132">
            <v>0</v>
          </cell>
          <cell r="GS132">
            <v>0</v>
          </cell>
          <cell r="GT132">
            <v>0</v>
          </cell>
          <cell r="GZ132">
            <v>0</v>
          </cell>
        </row>
        <row r="133">
          <cell r="A133" t="str">
            <v>F_BPP_NRF_RIS_IND_FRCE_AFP</v>
          </cell>
          <cell r="B133">
            <v>599259659.40822875</v>
          </cell>
          <cell r="C133">
            <v>0</v>
          </cell>
          <cell r="D133">
            <v>690607522.43640113</v>
          </cell>
          <cell r="E133">
            <v>559239203.27669036</v>
          </cell>
          <cell r="F133">
            <v>658616672.95134664</v>
          </cell>
          <cell r="G133">
            <v>658616672.95134664</v>
          </cell>
          <cell r="H133">
            <v>0</v>
          </cell>
          <cell r="I133">
            <v>0</v>
          </cell>
          <cell r="J133">
            <v>47302233.653743036</v>
          </cell>
          <cell r="K133">
            <v>0</v>
          </cell>
          <cell r="L133">
            <v>0</v>
          </cell>
          <cell r="M133">
            <v>0</v>
          </cell>
          <cell r="N133">
            <v>13785641.732176047</v>
          </cell>
          <cell r="O133">
            <v>0</v>
          </cell>
          <cell r="P133">
            <v>0</v>
          </cell>
          <cell r="Q133">
            <v>6351286.4981825259</v>
          </cell>
          <cell r="R133">
            <v>0</v>
          </cell>
          <cell r="S133">
            <v>474260144.21476871</v>
          </cell>
          <cell r="T133">
            <v>0</v>
          </cell>
          <cell r="U133">
            <v>0</v>
          </cell>
          <cell r="V133">
            <v>0</v>
          </cell>
          <cell r="W133">
            <v>0</v>
          </cell>
          <cell r="X133">
            <v>0</v>
          </cell>
          <cell r="Y133">
            <v>0</v>
          </cell>
          <cell r="Z133">
            <v>0</v>
          </cell>
          <cell r="AA133">
            <v>0</v>
          </cell>
          <cell r="AB133">
            <v>667370263.20334673</v>
          </cell>
          <cell r="AC133">
            <v>623493463.22849572</v>
          </cell>
          <cell r="AD133">
            <v>0</v>
          </cell>
          <cell r="AE133">
            <v>0</v>
          </cell>
          <cell r="AF133">
            <v>28566015.104388721</v>
          </cell>
          <cell r="AG133">
            <v>0</v>
          </cell>
          <cell r="AH133">
            <v>0</v>
          </cell>
          <cell r="AI133">
            <v>0</v>
          </cell>
          <cell r="AJ133">
            <v>7029909.9494757466</v>
          </cell>
          <cell r="AK133">
            <v>0</v>
          </cell>
          <cell r="AL133">
            <v>0</v>
          </cell>
          <cell r="AM133">
            <v>4842516.9942961838</v>
          </cell>
          <cell r="AN133">
            <v>0</v>
          </cell>
          <cell r="AO133">
            <v>447683372.58535928</v>
          </cell>
          <cell r="AP133">
            <v>0</v>
          </cell>
          <cell r="AQ133">
            <v>0</v>
          </cell>
          <cell r="AR133">
            <v>0</v>
          </cell>
          <cell r="AS133">
            <v>0</v>
          </cell>
          <cell r="AT133">
            <v>0</v>
          </cell>
          <cell r="AU133">
            <v>0</v>
          </cell>
          <cell r="AV133">
            <v>0</v>
          </cell>
          <cell r="AW133">
            <v>0</v>
          </cell>
          <cell r="AX133">
            <v>559239203.27669036</v>
          </cell>
          <cell r="AY133">
            <v>559239203.27669036</v>
          </cell>
          <cell r="AZ133">
            <v>0</v>
          </cell>
          <cell r="BA133">
            <v>0</v>
          </cell>
          <cell r="BB133">
            <v>559239203.27669036</v>
          </cell>
          <cell r="BC133">
            <v>0</v>
          </cell>
          <cell r="BD133">
            <v>0</v>
          </cell>
          <cell r="BE133">
            <v>0</v>
          </cell>
          <cell r="BF133">
            <v>559239203.27669036</v>
          </cell>
          <cell r="BG133">
            <v>0</v>
          </cell>
          <cell r="BH133">
            <v>0</v>
          </cell>
          <cell r="BI133">
            <v>559239203.27669036</v>
          </cell>
          <cell r="BJ133">
            <v>0</v>
          </cell>
          <cell r="BK133">
            <v>559239203.27669036</v>
          </cell>
          <cell r="BL133">
            <v>0</v>
          </cell>
          <cell r="BM133">
            <v>0</v>
          </cell>
          <cell r="BN133">
            <v>0</v>
          </cell>
          <cell r="BO133">
            <v>0</v>
          </cell>
          <cell r="BP133">
            <v>0</v>
          </cell>
          <cell r="BQ133">
            <v>0</v>
          </cell>
          <cell r="BR133">
            <v>0</v>
          </cell>
          <cell r="BS133">
            <v>559239203.27669036</v>
          </cell>
          <cell r="BT133">
            <v>602046389.43293107</v>
          </cell>
          <cell r="BU133">
            <v>477160222.94690675</v>
          </cell>
          <cell r="BV133">
            <v>0</v>
          </cell>
          <cell r="BW133">
            <v>0</v>
          </cell>
          <cell r="BX133">
            <v>559239203.27669036</v>
          </cell>
          <cell r="BY133">
            <v>0</v>
          </cell>
          <cell r="BZ133">
            <v>0</v>
          </cell>
          <cell r="CA133">
            <v>0</v>
          </cell>
          <cell r="CB133">
            <v>559239203.27669036</v>
          </cell>
          <cell r="CC133">
            <v>0</v>
          </cell>
          <cell r="CD133">
            <v>0</v>
          </cell>
          <cell r="CE133">
            <v>559239203.27669036</v>
          </cell>
          <cell r="CF133">
            <v>0</v>
          </cell>
          <cell r="CG133">
            <v>554854439.40502763</v>
          </cell>
          <cell r="CH133">
            <v>0</v>
          </cell>
          <cell r="CI133">
            <v>0</v>
          </cell>
          <cell r="CJ133">
            <v>0</v>
          </cell>
          <cell r="CK133">
            <v>0</v>
          </cell>
          <cell r="CL133">
            <v>0</v>
          </cell>
          <cell r="CM133">
            <v>0</v>
          </cell>
          <cell r="CN133">
            <v>0</v>
          </cell>
          <cell r="CO133">
            <v>567905909.25745654</v>
          </cell>
          <cell r="CP133">
            <v>406200969.46321136</v>
          </cell>
          <cell r="CQ133">
            <v>0</v>
          </cell>
          <cell r="CR133">
            <v>0</v>
          </cell>
          <cell r="CS133">
            <v>406200969.46321136</v>
          </cell>
          <cell r="CT133">
            <v>0</v>
          </cell>
          <cell r="CU133">
            <v>406200969.46321136</v>
          </cell>
          <cell r="CV133">
            <v>0</v>
          </cell>
          <cell r="CW133">
            <v>406200969.46321136</v>
          </cell>
          <cell r="CX133">
            <v>0</v>
          </cell>
          <cell r="CY133">
            <v>406200969.46321136</v>
          </cell>
          <cell r="CZ133">
            <v>420876101.67195809</v>
          </cell>
          <cell r="DA133">
            <v>0</v>
          </cell>
          <cell r="DB133">
            <v>0</v>
          </cell>
          <cell r="DC133">
            <v>411034789.88821274</v>
          </cell>
          <cell r="DD133">
            <v>0</v>
          </cell>
          <cell r="DE133">
            <v>415839721.96330094</v>
          </cell>
          <cell r="DF133">
            <v>0</v>
          </cell>
          <cell r="DG133">
            <v>409553028.88879824</v>
          </cell>
          <cell r="DH133">
            <v>0</v>
          </cell>
          <cell r="DI133">
            <v>420822574.61911488</v>
          </cell>
          <cell r="DJ133">
            <v>0</v>
          </cell>
          <cell r="DK133">
            <v>0</v>
          </cell>
          <cell r="DL133">
            <v>0</v>
          </cell>
          <cell r="DM133">
            <v>0</v>
          </cell>
          <cell r="DN133">
            <v>0</v>
          </cell>
          <cell r="DO133">
            <v>0</v>
          </cell>
          <cell r="DP133">
            <v>0</v>
          </cell>
          <cell r="DQ133">
            <v>0</v>
          </cell>
          <cell r="DR133">
            <v>0</v>
          </cell>
          <cell r="DS133">
            <v>0</v>
          </cell>
          <cell r="DT133">
            <v>0</v>
          </cell>
          <cell r="DU133">
            <v>0</v>
          </cell>
          <cell r="DV133">
            <v>0</v>
          </cell>
          <cell r="DW133">
            <v>0</v>
          </cell>
          <cell r="EA133">
            <v>-1234106.254870831</v>
          </cell>
          <cell r="EB133">
            <v>119324382.18811628</v>
          </cell>
          <cell r="EC133">
            <v>119324382.18811628</v>
          </cell>
          <cell r="ED133">
            <v>-1234106.254870831</v>
          </cell>
          <cell r="EE133">
            <v>119324382.18811628</v>
          </cell>
          <cell r="EF133">
            <v>-1234106.254870831</v>
          </cell>
          <cell r="EG133">
            <v>0</v>
          </cell>
          <cell r="EH133">
            <v>118090275.93324545</v>
          </cell>
          <cell r="EI133">
            <v>0</v>
          </cell>
          <cell r="EJ133">
            <v>-1001170.1774166785</v>
          </cell>
          <cell r="EK133">
            <v>166444392.20317256</v>
          </cell>
          <cell r="EL133">
            <v>182231633.7241008</v>
          </cell>
          <cell r="EM133">
            <v>-1093996.656018639</v>
          </cell>
          <cell r="EN133">
            <v>123559221.69676587</v>
          </cell>
          <cell r="EO133">
            <v>-72466.214650227688</v>
          </cell>
          <cell r="EP133">
            <v>0</v>
          </cell>
          <cell r="EQ133">
            <v>122460197.25536999</v>
          </cell>
          <cell r="ER133">
            <v>0</v>
          </cell>
          <cell r="ES133">
            <v>0</v>
          </cell>
          <cell r="ET133">
            <v>0</v>
          </cell>
          <cell r="EU133">
            <v>0</v>
          </cell>
          <cell r="EV133">
            <v>0</v>
          </cell>
          <cell r="EW133">
            <v>0</v>
          </cell>
          <cell r="EX133">
            <v>0</v>
          </cell>
          <cell r="EY133">
            <v>0</v>
          </cell>
          <cell r="EZ133">
            <v>0</v>
          </cell>
          <cell r="FA133">
            <v>0</v>
          </cell>
          <cell r="FB133">
            <v>0</v>
          </cell>
          <cell r="FC133">
            <v>0</v>
          </cell>
          <cell r="FD133">
            <v>59442830.874812409</v>
          </cell>
          <cell r="FE133">
            <v>499796372.40187794</v>
          </cell>
          <cell r="FF133">
            <v>590738690.91668963</v>
          </cell>
          <cell r="FG133">
            <v>494224499.39846838</v>
          </cell>
          <cell r="FH133">
            <v>0</v>
          </cell>
          <cell r="FI133">
            <v>0</v>
          </cell>
          <cell r="FJ133">
            <v>549563701.17096376</v>
          </cell>
          <cell r="FK133">
            <v>0</v>
          </cell>
          <cell r="FL133">
            <v>0</v>
          </cell>
          <cell r="FM133">
            <v>0</v>
          </cell>
          <cell r="FN133">
            <v>555649418.55129731</v>
          </cell>
          <cell r="FO133">
            <v>0</v>
          </cell>
          <cell r="FP133">
            <v>0</v>
          </cell>
          <cell r="FQ133">
            <v>558426874.52476716</v>
          </cell>
          <cell r="FR133">
            <v>0</v>
          </cell>
          <cell r="FS133">
            <v>541025453.24972069</v>
          </cell>
          <cell r="FT133">
            <v>0</v>
          </cell>
          <cell r="FU133">
            <v>0</v>
          </cell>
          <cell r="FV133">
            <v>0</v>
          </cell>
          <cell r="FW133">
            <v>0</v>
          </cell>
          <cell r="FX133">
            <v>0</v>
          </cell>
          <cell r="FY133">
            <v>0</v>
          </cell>
          <cell r="FZ133">
            <v>0</v>
          </cell>
          <cell r="GA133">
            <v>563613199.58531213</v>
          </cell>
          <cell r="GB133">
            <v>410430981.10857403</v>
          </cell>
          <cell r="GC133">
            <v>0</v>
          </cell>
          <cell r="GD133">
            <v>0</v>
          </cell>
          <cell r="GE133">
            <v>408162061.22355533</v>
          </cell>
          <cell r="GF133">
            <v>0</v>
          </cell>
          <cell r="GG133">
            <v>411968732.43149447</v>
          </cell>
          <cell r="GH133">
            <v>0</v>
          </cell>
          <cell r="GI133">
            <v>406871738.49605185</v>
          </cell>
          <cell r="GJ133">
            <v>0</v>
          </cell>
          <cell r="GK133">
            <v>406200969.46321136</v>
          </cell>
          <cell r="GL133">
            <v>-1001170.1774166785</v>
          </cell>
          <cell r="GM133">
            <v>166444392.20317256</v>
          </cell>
          <cell r="GN133">
            <v>182231633.7241008</v>
          </cell>
          <cell r="GO133">
            <v>-1093996.656018639</v>
          </cell>
          <cell r="GP133">
            <v>123559221.69676587</v>
          </cell>
          <cell r="GQ133">
            <v>-72466.214650227688</v>
          </cell>
          <cell r="GR133">
            <v>0</v>
          </cell>
          <cell r="GS133">
            <v>122460197.25536999</v>
          </cell>
          <cell r="GT133">
            <v>0</v>
          </cell>
          <cell r="GZ133">
            <v>22354717040.885124</v>
          </cell>
        </row>
        <row r="134">
          <cell r="A134" t="str">
            <v>F_BPP_NRF_RIS_COL_FRCE_AFP</v>
          </cell>
          <cell r="B134">
            <v>52418393.422411896</v>
          </cell>
          <cell r="C134">
            <v>0</v>
          </cell>
          <cell r="D134">
            <v>52495476.940482959</v>
          </cell>
          <cell r="E134">
            <v>52682929.760867193</v>
          </cell>
          <cell r="F134">
            <v>550243.51430420042</v>
          </cell>
          <cell r="G134">
            <v>550243.51430420042</v>
          </cell>
          <cell r="H134">
            <v>0</v>
          </cell>
          <cell r="I134">
            <v>0</v>
          </cell>
          <cell r="J134">
            <v>39518.810180495857</v>
          </cell>
          <cell r="K134">
            <v>0</v>
          </cell>
          <cell r="L134">
            <v>0</v>
          </cell>
          <cell r="M134">
            <v>0</v>
          </cell>
          <cell r="N134">
            <v>11517.260745404097</v>
          </cell>
          <cell r="O134">
            <v>0</v>
          </cell>
          <cell r="P134">
            <v>0</v>
          </cell>
          <cell r="Q134">
            <v>5306.2036638889285</v>
          </cell>
          <cell r="R134">
            <v>0</v>
          </cell>
          <cell r="S134">
            <v>396222.23239166127</v>
          </cell>
          <cell r="T134">
            <v>0</v>
          </cell>
          <cell r="U134">
            <v>0</v>
          </cell>
          <cell r="V134">
            <v>0</v>
          </cell>
          <cell r="W134">
            <v>0</v>
          </cell>
          <cell r="X134">
            <v>0</v>
          </cell>
          <cell r="Y134">
            <v>0</v>
          </cell>
          <cell r="Z134">
            <v>0</v>
          </cell>
          <cell r="AA134">
            <v>0</v>
          </cell>
          <cell r="AB134">
            <v>557556.73071801872</v>
          </cell>
          <cell r="AC134">
            <v>520899.71062406362</v>
          </cell>
          <cell r="AD134">
            <v>0</v>
          </cell>
          <cell r="AE134">
            <v>0</v>
          </cell>
          <cell r="AF134">
            <v>23865.573384697913</v>
          </cell>
          <cell r="AG134">
            <v>0</v>
          </cell>
          <cell r="AH134">
            <v>0</v>
          </cell>
          <cell r="AI134">
            <v>0</v>
          </cell>
          <cell r="AJ134">
            <v>5873.1619084456888</v>
          </cell>
          <cell r="AK134">
            <v>0</v>
          </cell>
          <cell r="AL134">
            <v>0</v>
          </cell>
          <cell r="AM134">
            <v>4045.6971079665991</v>
          </cell>
          <cell r="AN134">
            <v>0</v>
          </cell>
          <cell r="AO134">
            <v>374018.57915784256</v>
          </cell>
          <cell r="AP134">
            <v>0</v>
          </cell>
          <cell r="AQ134">
            <v>0</v>
          </cell>
          <cell r="AR134">
            <v>0</v>
          </cell>
          <cell r="AS134">
            <v>0</v>
          </cell>
          <cell r="AT134">
            <v>0</v>
          </cell>
          <cell r="AU134">
            <v>0</v>
          </cell>
          <cell r="AV134">
            <v>0</v>
          </cell>
          <cell r="AW134">
            <v>0</v>
          </cell>
          <cell r="AX134">
            <v>52682929.760867193</v>
          </cell>
          <cell r="AY134">
            <v>52682929.760867193</v>
          </cell>
          <cell r="AZ134">
            <v>0</v>
          </cell>
          <cell r="BA134">
            <v>0</v>
          </cell>
          <cell r="BB134">
            <v>52682929.760867193</v>
          </cell>
          <cell r="BC134">
            <v>0</v>
          </cell>
          <cell r="BD134">
            <v>0</v>
          </cell>
          <cell r="BE134">
            <v>0</v>
          </cell>
          <cell r="BF134">
            <v>52682929.760867193</v>
          </cell>
          <cell r="BG134">
            <v>0</v>
          </cell>
          <cell r="BH134">
            <v>0</v>
          </cell>
          <cell r="BI134">
            <v>52682929.760867193</v>
          </cell>
          <cell r="BJ134">
            <v>0</v>
          </cell>
          <cell r="BK134">
            <v>52682929.760867193</v>
          </cell>
          <cell r="BL134">
            <v>0</v>
          </cell>
          <cell r="BM134">
            <v>0</v>
          </cell>
          <cell r="BN134">
            <v>0</v>
          </cell>
          <cell r="BO134">
            <v>0</v>
          </cell>
          <cell r="BP134">
            <v>0</v>
          </cell>
          <cell r="BQ134">
            <v>0</v>
          </cell>
          <cell r="BR134">
            <v>0</v>
          </cell>
          <cell r="BS134">
            <v>52682929.760867193</v>
          </cell>
          <cell r="BT134">
            <v>53322472.665469199</v>
          </cell>
          <cell r="BU134">
            <v>51032269.113493778</v>
          </cell>
          <cell r="BV134">
            <v>0</v>
          </cell>
          <cell r="BW134">
            <v>0</v>
          </cell>
          <cell r="BX134">
            <v>52682929.760867193</v>
          </cell>
          <cell r="BY134">
            <v>0</v>
          </cell>
          <cell r="BZ134">
            <v>0</v>
          </cell>
          <cell r="CA134">
            <v>0</v>
          </cell>
          <cell r="CB134">
            <v>52682929.760867193</v>
          </cell>
          <cell r="CC134">
            <v>0</v>
          </cell>
          <cell r="CD134">
            <v>0</v>
          </cell>
          <cell r="CE134">
            <v>52682929.760867193</v>
          </cell>
          <cell r="CF134">
            <v>0</v>
          </cell>
          <cell r="CG134">
            <v>52682929.760867193</v>
          </cell>
          <cell r="CH134">
            <v>0</v>
          </cell>
          <cell r="CI134">
            <v>0</v>
          </cell>
          <cell r="CJ134">
            <v>0</v>
          </cell>
          <cell r="CK134">
            <v>0</v>
          </cell>
          <cell r="CL134">
            <v>0</v>
          </cell>
          <cell r="CM134">
            <v>0</v>
          </cell>
          <cell r="CN134">
            <v>0</v>
          </cell>
          <cell r="CO134">
            <v>52883248.058183461</v>
          </cell>
          <cell r="CP134">
            <v>0</v>
          </cell>
          <cell r="CQ134">
            <v>0</v>
          </cell>
          <cell r="CR134">
            <v>0</v>
          </cell>
          <cell r="CS134">
            <v>0</v>
          </cell>
          <cell r="CT134">
            <v>0</v>
          </cell>
          <cell r="CU134">
            <v>0</v>
          </cell>
          <cell r="CV134">
            <v>0</v>
          </cell>
          <cell r="CW134">
            <v>0</v>
          </cell>
          <cell r="CX134">
            <v>0</v>
          </cell>
          <cell r="CY134">
            <v>0</v>
          </cell>
          <cell r="CZ134">
            <v>0</v>
          </cell>
          <cell r="DA134">
            <v>0</v>
          </cell>
          <cell r="DB134">
            <v>0</v>
          </cell>
          <cell r="DC134">
            <v>0</v>
          </cell>
          <cell r="DD134">
            <v>0</v>
          </cell>
          <cell r="DE134">
            <v>0</v>
          </cell>
          <cell r="DF134">
            <v>0</v>
          </cell>
          <cell r="DG134">
            <v>0</v>
          </cell>
          <cell r="DH134">
            <v>0</v>
          </cell>
          <cell r="DI134">
            <v>0</v>
          </cell>
          <cell r="DJ134">
            <v>0</v>
          </cell>
          <cell r="DK134">
            <v>0</v>
          </cell>
          <cell r="DL134">
            <v>0</v>
          </cell>
          <cell r="DM134">
            <v>0</v>
          </cell>
          <cell r="DN134">
            <v>0</v>
          </cell>
          <cell r="DO134">
            <v>0</v>
          </cell>
          <cell r="DP134">
            <v>0</v>
          </cell>
          <cell r="DQ134">
            <v>0</v>
          </cell>
          <cell r="DR134">
            <v>0</v>
          </cell>
          <cell r="DS134">
            <v>0</v>
          </cell>
          <cell r="DT134">
            <v>0</v>
          </cell>
          <cell r="DU134">
            <v>0</v>
          </cell>
          <cell r="DV134">
            <v>0</v>
          </cell>
          <cell r="DW134">
            <v>0</v>
          </cell>
          <cell r="EA134">
            <v>0</v>
          </cell>
          <cell r="EB134">
            <v>48218155.054973826</v>
          </cell>
          <cell r="EC134">
            <v>48218155.054973826</v>
          </cell>
          <cell r="ED134">
            <v>0</v>
          </cell>
          <cell r="EE134">
            <v>0</v>
          </cell>
          <cell r="EF134">
            <v>0</v>
          </cell>
          <cell r="EG134">
            <v>0</v>
          </cell>
          <cell r="EH134">
            <v>48218155.054973826</v>
          </cell>
          <cell r="EI134">
            <v>0</v>
          </cell>
          <cell r="EJ134">
            <v>0</v>
          </cell>
          <cell r="EK134">
            <v>48859290.99654521</v>
          </cell>
          <cell r="EL134">
            <v>51182029.555075303</v>
          </cell>
          <cell r="EM134">
            <v>0</v>
          </cell>
          <cell r="EN134">
            <v>0</v>
          </cell>
          <cell r="EO134">
            <v>0</v>
          </cell>
          <cell r="EP134">
            <v>0</v>
          </cell>
          <cell r="EQ134">
            <v>48541648.169108182</v>
          </cell>
          <cell r="ER134">
            <v>0</v>
          </cell>
          <cell r="ES134">
            <v>0</v>
          </cell>
          <cell r="ET134">
            <v>0</v>
          </cell>
          <cell r="EU134">
            <v>0</v>
          </cell>
          <cell r="EV134">
            <v>0</v>
          </cell>
          <cell r="EW134">
            <v>0</v>
          </cell>
          <cell r="EX134">
            <v>0</v>
          </cell>
          <cell r="EY134">
            <v>0</v>
          </cell>
          <cell r="EZ134">
            <v>0</v>
          </cell>
          <cell r="FA134">
            <v>0</v>
          </cell>
          <cell r="FB134">
            <v>0</v>
          </cell>
          <cell r="FC134">
            <v>0</v>
          </cell>
          <cell r="FD134">
            <v>0</v>
          </cell>
          <cell r="FE134">
            <v>52682929.760867193</v>
          </cell>
          <cell r="FF134">
            <v>53322472.665469199</v>
          </cell>
          <cell r="FG134">
            <v>51032269.113493778</v>
          </cell>
          <cell r="FH134">
            <v>0</v>
          </cell>
          <cell r="FI134">
            <v>0</v>
          </cell>
          <cell r="FJ134">
            <v>52682929.760867193</v>
          </cell>
          <cell r="FK134">
            <v>0</v>
          </cell>
          <cell r="FL134">
            <v>0</v>
          </cell>
          <cell r="FM134">
            <v>0</v>
          </cell>
          <cell r="FN134">
            <v>52682929.760867193</v>
          </cell>
          <cell r="FO134">
            <v>0</v>
          </cell>
          <cell r="FP134">
            <v>0</v>
          </cell>
          <cell r="FQ134">
            <v>52682929.760867193</v>
          </cell>
          <cell r="FR134">
            <v>0</v>
          </cell>
          <cell r="FS134">
            <v>52682929.760867193</v>
          </cell>
          <cell r="FT134">
            <v>0</v>
          </cell>
          <cell r="FU134">
            <v>0</v>
          </cell>
          <cell r="FV134">
            <v>0</v>
          </cell>
          <cell r="FW134">
            <v>0</v>
          </cell>
          <cell r="FX134">
            <v>0</v>
          </cell>
          <cell r="FY134">
            <v>0</v>
          </cell>
          <cell r="FZ134">
            <v>0</v>
          </cell>
          <cell r="GA134">
            <v>52883248.058183461</v>
          </cell>
          <cell r="GB134">
            <v>0</v>
          </cell>
          <cell r="GC134">
            <v>0</v>
          </cell>
          <cell r="GD134">
            <v>0</v>
          </cell>
          <cell r="GE134">
            <v>0</v>
          </cell>
          <cell r="GF134">
            <v>0</v>
          </cell>
          <cell r="GG134">
            <v>0</v>
          </cell>
          <cell r="GH134">
            <v>0</v>
          </cell>
          <cell r="GI134">
            <v>0</v>
          </cell>
          <cell r="GJ134">
            <v>0</v>
          </cell>
          <cell r="GK134">
            <v>0</v>
          </cell>
          <cell r="GL134">
            <v>0</v>
          </cell>
          <cell r="GM134">
            <v>48859290.99654521</v>
          </cell>
          <cell r="GN134">
            <v>51182029.555075303</v>
          </cell>
          <cell r="GO134">
            <v>0</v>
          </cell>
          <cell r="GP134">
            <v>0</v>
          </cell>
          <cell r="GQ134">
            <v>0</v>
          </cell>
          <cell r="GR134">
            <v>0</v>
          </cell>
          <cell r="GS134">
            <v>48541648.169108182</v>
          </cell>
          <cell r="GT134">
            <v>0</v>
          </cell>
          <cell r="GZ134">
            <v>1439691991.3584027</v>
          </cell>
        </row>
        <row r="135">
          <cell r="A135" t="str">
            <v>F_BPP_NRF_ASS_EMP_FRCE_AFP</v>
          </cell>
          <cell r="B135">
            <v>77860280.831700325</v>
          </cell>
          <cell r="C135">
            <v>0</v>
          </cell>
          <cell r="D135">
            <v>86961357.065525636</v>
          </cell>
          <cell r="E135">
            <v>-56385669.160864212</v>
          </cell>
          <cell r="F135">
            <v>64966004.356902264</v>
          </cell>
          <cell r="G135">
            <v>64966004.356902264</v>
          </cell>
          <cell r="H135">
            <v>0</v>
          </cell>
          <cell r="I135">
            <v>0</v>
          </cell>
          <cell r="J135">
            <v>4665896.3306677341</v>
          </cell>
          <cell r="K135">
            <v>0</v>
          </cell>
          <cell r="L135">
            <v>0</v>
          </cell>
          <cell r="M135">
            <v>0</v>
          </cell>
          <cell r="N135">
            <v>1359816.8671041257</v>
          </cell>
          <cell r="O135">
            <v>0</v>
          </cell>
          <cell r="P135">
            <v>0</v>
          </cell>
          <cell r="Q135">
            <v>626491.437673248</v>
          </cell>
          <cell r="R135">
            <v>0</v>
          </cell>
          <cell r="S135">
            <v>46781060.760722369</v>
          </cell>
          <cell r="T135">
            <v>0</v>
          </cell>
          <cell r="U135">
            <v>0</v>
          </cell>
          <cell r="V135">
            <v>0</v>
          </cell>
          <cell r="W135">
            <v>0</v>
          </cell>
          <cell r="X135">
            <v>0</v>
          </cell>
          <cell r="Y135">
            <v>0</v>
          </cell>
          <cell r="Z135">
            <v>0</v>
          </cell>
          <cell r="AA135">
            <v>0</v>
          </cell>
          <cell r="AB135">
            <v>65829459.240152694</v>
          </cell>
          <cell r="AC135">
            <v>61501447.977456234</v>
          </cell>
          <cell r="AD135">
            <v>0</v>
          </cell>
          <cell r="AE135">
            <v>0</v>
          </cell>
          <cell r="AF135">
            <v>2817754.1473629922</v>
          </cell>
          <cell r="AG135">
            <v>0</v>
          </cell>
          <cell r="AH135">
            <v>0</v>
          </cell>
          <cell r="AI135">
            <v>0</v>
          </cell>
          <cell r="AJ135">
            <v>693430.91233892506</v>
          </cell>
          <cell r="AK135">
            <v>0</v>
          </cell>
          <cell r="AL135">
            <v>0</v>
          </cell>
          <cell r="AM135">
            <v>477666.28612676973</v>
          </cell>
          <cell r="AN135">
            <v>0</v>
          </cell>
          <cell r="AO135">
            <v>44159525.758075774</v>
          </cell>
          <cell r="AP135">
            <v>0</v>
          </cell>
          <cell r="AQ135">
            <v>0</v>
          </cell>
          <cell r="AR135">
            <v>0</v>
          </cell>
          <cell r="AS135">
            <v>0</v>
          </cell>
          <cell r="AT135">
            <v>0</v>
          </cell>
          <cell r="AU135">
            <v>0</v>
          </cell>
          <cell r="AV135">
            <v>0</v>
          </cell>
          <cell r="AW135">
            <v>0</v>
          </cell>
          <cell r="AX135">
            <v>-56385669.160864212</v>
          </cell>
          <cell r="AY135">
            <v>-56385669.160864212</v>
          </cell>
          <cell r="AZ135">
            <v>0</v>
          </cell>
          <cell r="BA135">
            <v>0</v>
          </cell>
          <cell r="BB135">
            <v>-56385669.160864212</v>
          </cell>
          <cell r="BC135">
            <v>0</v>
          </cell>
          <cell r="BD135">
            <v>0</v>
          </cell>
          <cell r="BE135">
            <v>0</v>
          </cell>
          <cell r="BF135">
            <v>-56385669.160864212</v>
          </cell>
          <cell r="BG135">
            <v>0</v>
          </cell>
          <cell r="BH135">
            <v>0</v>
          </cell>
          <cell r="BI135">
            <v>-56385669.160864212</v>
          </cell>
          <cell r="BJ135">
            <v>0</v>
          </cell>
          <cell r="BK135">
            <v>-56385669.160864212</v>
          </cell>
          <cell r="BL135">
            <v>0</v>
          </cell>
          <cell r="BM135">
            <v>0</v>
          </cell>
          <cell r="BN135">
            <v>0</v>
          </cell>
          <cell r="BO135">
            <v>0</v>
          </cell>
          <cell r="BP135">
            <v>0</v>
          </cell>
          <cell r="BQ135">
            <v>0</v>
          </cell>
          <cell r="BR135">
            <v>0</v>
          </cell>
          <cell r="BS135">
            <v>-56385669.160864212</v>
          </cell>
          <cell r="BT135">
            <v>-57072015.710757919</v>
          </cell>
          <cell r="BU135">
            <v>-53342695.032423675</v>
          </cell>
          <cell r="BV135">
            <v>0</v>
          </cell>
          <cell r="BW135">
            <v>0</v>
          </cell>
          <cell r="BX135">
            <v>-56385285.3713177</v>
          </cell>
          <cell r="BY135">
            <v>0</v>
          </cell>
          <cell r="BZ135">
            <v>0</v>
          </cell>
          <cell r="CA135">
            <v>0</v>
          </cell>
          <cell r="CB135">
            <v>-56385659.820282243</v>
          </cell>
          <cell r="CC135">
            <v>0</v>
          </cell>
          <cell r="CD135">
            <v>0</v>
          </cell>
          <cell r="CE135">
            <v>-56385596.871673711</v>
          </cell>
          <cell r="CF135">
            <v>0</v>
          </cell>
          <cell r="CG135">
            <v>-56384903.993158534</v>
          </cell>
          <cell r="CH135">
            <v>0</v>
          </cell>
          <cell r="CI135">
            <v>0</v>
          </cell>
          <cell r="CJ135">
            <v>0</v>
          </cell>
          <cell r="CK135">
            <v>0</v>
          </cell>
          <cell r="CL135">
            <v>0</v>
          </cell>
          <cell r="CM135">
            <v>0</v>
          </cell>
          <cell r="CN135">
            <v>0</v>
          </cell>
          <cell r="CO135">
            <v>-56763987.517259561</v>
          </cell>
          <cell r="CP135">
            <v>-56507693.783270232</v>
          </cell>
          <cell r="CQ135">
            <v>0</v>
          </cell>
          <cell r="CR135">
            <v>0</v>
          </cell>
          <cell r="CS135">
            <v>-12596300.025637479</v>
          </cell>
          <cell r="CT135">
            <v>0</v>
          </cell>
          <cell r="CU135">
            <v>-12596300.025637479</v>
          </cell>
          <cell r="CV135">
            <v>0</v>
          </cell>
          <cell r="CW135">
            <v>-56507693.783270232</v>
          </cell>
          <cell r="CX135">
            <v>0</v>
          </cell>
          <cell r="CY135">
            <v>-56507693.783270232</v>
          </cell>
          <cell r="CZ135">
            <v>-37615918.67520836</v>
          </cell>
          <cell r="DA135">
            <v>0</v>
          </cell>
          <cell r="DB135">
            <v>0</v>
          </cell>
          <cell r="DC135">
            <v>-6111135.4136187825</v>
          </cell>
          <cell r="DD135">
            <v>0</v>
          </cell>
          <cell r="DE135">
            <v>4339302.5852803253</v>
          </cell>
          <cell r="DF135">
            <v>0</v>
          </cell>
          <cell r="DG135">
            <v>-53220753.327679448</v>
          </cell>
          <cell r="DH135">
            <v>0</v>
          </cell>
          <cell r="DI135">
            <v>-36888464.962815911</v>
          </cell>
          <cell r="DJ135">
            <v>0</v>
          </cell>
          <cell r="DK135">
            <v>0</v>
          </cell>
          <cell r="DL135">
            <v>0</v>
          </cell>
          <cell r="DM135">
            <v>0</v>
          </cell>
          <cell r="DN135">
            <v>0</v>
          </cell>
          <cell r="DO135">
            <v>0</v>
          </cell>
          <cell r="DP135">
            <v>0</v>
          </cell>
          <cell r="DQ135">
            <v>0</v>
          </cell>
          <cell r="DR135">
            <v>0</v>
          </cell>
          <cell r="DS135">
            <v>0</v>
          </cell>
          <cell r="DT135">
            <v>0</v>
          </cell>
          <cell r="DU135">
            <v>0</v>
          </cell>
          <cell r="DV135">
            <v>0</v>
          </cell>
          <cell r="DW135">
            <v>0</v>
          </cell>
          <cell r="EA135">
            <v>0</v>
          </cell>
          <cell r="EB135">
            <v>-43911393.757632755</v>
          </cell>
          <cell r="EC135">
            <v>-56507693.783270232</v>
          </cell>
          <cell r="ED135">
            <v>-43911393.757632755</v>
          </cell>
          <cell r="EE135">
            <v>0</v>
          </cell>
          <cell r="EF135">
            <v>-43911393.757632755</v>
          </cell>
          <cell r="EG135">
            <v>0</v>
          </cell>
          <cell r="EH135">
            <v>0</v>
          </cell>
          <cell r="EI135">
            <v>0</v>
          </cell>
          <cell r="EJ135">
            <v>0</v>
          </cell>
          <cell r="EK135">
            <v>-41230888.124700353</v>
          </cell>
          <cell r="EL135">
            <v>34377629.925794452</v>
          </cell>
          <cell r="EM135">
            <v>-34629121.618562587</v>
          </cell>
          <cell r="EN135">
            <v>0</v>
          </cell>
          <cell r="EO135">
            <v>-16332564.791960295</v>
          </cell>
          <cell r="EP135">
            <v>0</v>
          </cell>
          <cell r="EQ135">
            <v>0</v>
          </cell>
          <cell r="ER135">
            <v>0</v>
          </cell>
          <cell r="ES135">
            <v>0</v>
          </cell>
          <cell r="ET135">
            <v>0</v>
          </cell>
          <cell r="EU135">
            <v>0</v>
          </cell>
          <cell r="EV135">
            <v>0</v>
          </cell>
          <cell r="EW135">
            <v>0</v>
          </cell>
          <cell r="EX135">
            <v>0</v>
          </cell>
          <cell r="EY135">
            <v>0</v>
          </cell>
          <cell r="EZ135">
            <v>0</v>
          </cell>
          <cell r="FA135">
            <v>0</v>
          </cell>
          <cell r="FB135">
            <v>0</v>
          </cell>
          <cell r="FC135">
            <v>0</v>
          </cell>
          <cell r="FD135">
            <v>11404746.320269365</v>
          </cell>
          <cell r="FE135">
            <v>-67790415.48113358</v>
          </cell>
          <cell r="FF135">
            <v>-56871060.187566943</v>
          </cell>
          <cell r="FG135">
            <v>-54040660.509199098</v>
          </cell>
          <cell r="FH135">
            <v>0</v>
          </cell>
          <cell r="FI135">
            <v>0</v>
          </cell>
          <cell r="FJ135">
            <v>-56494526.501751922</v>
          </cell>
          <cell r="FK135">
            <v>0</v>
          </cell>
          <cell r="FL135">
            <v>0</v>
          </cell>
          <cell r="FM135">
            <v>0</v>
          </cell>
          <cell r="FN135">
            <v>-56415499.812261567</v>
          </cell>
          <cell r="FO135">
            <v>0</v>
          </cell>
          <cell r="FP135">
            <v>0</v>
          </cell>
          <cell r="FQ135">
            <v>-56388991.664555721</v>
          </cell>
          <cell r="FR135">
            <v>0</v>
          </cell>
          <cell r="FS135">
            <v>-56533851.505948961</v>
          </cell>
          <cell r="FT135">
            <v>0</v>
          </cell>
          <cell r="FU135">
            <v>0</v>
          </cell>
          <cell r="FV135">
            <v>0</v>
          </cell>
          <cell r="FW135">
            <v>0</v>
          </cell>
          <cell r="FX135">
            <v>0</v>
          </cell>
          <cell r="FY135">
            <v>0</v>
          </cell>
          <cell r="FZ135">
            <v>0</v>
          </cell>
          <cell r="GA135">
            <v>-56698299.754390277</v>
          </cell>
          <cell r="GB135">
            <v>-46330226.608377233</v>
          </cell>
          <cell r="GC135">
            <v>0</v>
          </cell>
          <cell r="GD135">
            <v>0</v>
          </cell>
          <cell r="GE135">
            <v>-8053894.4941390771</v>
          </cell>
          <cell r="GF135">
            <v>0</v>
          </cell>
          <cell r="GG135">
            <v>-1265686.273180759</v>
          </cell>
          <cell r="GH135">
            <v>0</v>
          </cell>
          <cell r="GI135">
            <v>-54004367.705780491</v>
          </cell>
          <cell r="GJ135">
            <v>0</v>
          </cell>
          <cell r="GK135">
            <v>-34725211.088332616</v>
          </cell>
          <cell r="GL135">
            <v>0</v>
          </cell>
          <cell r="GM135">
            <v>-41230888.124700353</v>
          </cell>
          <cell r="GN135">
            <v>25633797.140470237</v>
          </cell>
          <cell r="GO135">
            <v>-34629121.618562587</v>
          </cell>
          <cell r="GP135">
            <v>0</v>
          </cell>
          <cell r="GQ135">
            <v>-16332564.791960295</v>
          </cell>
          <cell r="GR135">
            <v>0</v>
          </cell>
          <cell r="GS135">
            <v>0</v>
          </cell>
          <cell r="GT135">
            <v>0</v>
          </cell>
          <cell r="GZ135">
            <v>10580730500</v>
          </cell>
        </row>
        <row r="136">
          <cell r="A136" t="str">
            <v>F_BPP_NRF_CPT_PRP_FRCE_AFP</v>
          </cell>
          <cell r="B136">
            <v>0</v>
          </cell>
          <cell r="C136">
            <v>0</v>
          </cell>
          <cell r="D136">
            <v>125009175.6148514</v>
          </cell>
          <cell r="E136">
            <v>0</v>
          </cell>
          <cell r="F136">
            <v>119339278.27244765</v>
          </cell>
          <cell r="G136">
            <v>119339278.27244765</v>
          </cell>
          <cell r="H136">
            <v>0</v>
          </cell>
          <cell r="I136">
            <v>0</v>
          </cell>
          <cell r="J136">
            <v>8571016.5817945935</v>
          </cell>
          <cell r="K136">
            <v>0</v>
          </cell>
          <cell r="L136">
            <v>0</v>
          </cell>
          <cell r="M136">
            <v>0</v>
          </cell>
          <cell r="N136">
            <v>2497915.1035885732</v>
          </cell>
          <cell r="O136">
            <v>0</v>
          </cell>
          <cell r="P136">
            <v>0</v>
          </cell>
          <cell r="Q136">
            <v>1150833.2204803384</v>
          </cell>
          <cell r="R136">
            <v>0</v>
          </cell>
          <cell r="S136">
            <v>85934452.692117676</v>
          </cell>
          <cell r="T136">
            <v>0</v>
          </cell>
          <cell r="U136">
            <v>0</v>
          </cell>
          <cell r="V136">
            <v>0</v>
          </cell>
          <cell r="W136">
            <v>0</v>
          </cell>
          <cell r="X136">
            <v>0</v>
          </cell>
          <cell r="Y136">
            <v>0</v>
          </cell>
          <cell r="Z136">
            <v>0</v>
          </cell>
          <cell r="AA136">
            <v>0</v>
          </cell>
          <cell r="AB136">
            <v>121512775.64521229</v>
          </cell>
          <cell r="AC136">
            <v>110618261.88283148</v>
          </cell>
          <cell r="AD136">
            <v>0</v>
          </cell>
          <cell r="AE136">
            <v>0</v>
          </cell>
          <cell r="AF136">
            <v>3918854.3694657721</v>
          </cell>
          <cell r="AG136">
            <v>0</v>
          </cell>
          <cell r="AH136">
            <v>0</v>
          </cell>
          <cell r="AI136">
            <v>0</v>
          </cell>
          <cell r="AJ136">
            <v>820481.63251122041</v>
          </cell>
          <cell r="AK136">
            <v>0</v>
          </cell>
          <cell r="AL136">
            <v>0</v>
          </cell>
          <cell r="AM136">
            <v>776209.04246892105</v>
          </cell>
          <cell r="AN136">
            <v>0</v>
          </cell>
          <cell r="AO136">
            <v>79335498.245981947</v>
          </cell>
          <cell r="AP136">
            <v>0</v>
          </cell>
          <cell r="AQ136">
            <v>0</v>
          </cell>
          <cell r="AR136">
            <v>0</v>
          </cell>
          <cell r="AS136">
            <v>0</v>
          </cell>
          <cell r="AT136">
            <v>0</v>
          </cell>
          <cell r="AU136">
            <v>0</v>
          </cell>
          <cell r="AV136">
            <v>0</v>
          </cell>
          <cell r="AW136">
            <v>0</v>
          </cell>
          <cell r="AX136">
            <v>0</v>
          </cell>
          <cell r="AY136">
            <v>0</v>
          </cell>
          <cell r="AZ136">
            <v>0</v>
          </cell>
          <cell r="BA136">
            <v>0</v>
          </cell>
          <cell r="BB136">
            <v>0</v>
          </cell>
          <cell r="BC136">
            <v>0</v>
          </cell>
          <cell r="BD136">
            <v>0</v>
          </cell>
          <cell r="BE136">
            <v>0</v>
          </cell>
          <cell r="BF136">
            <v>0</v>
          </cell>
          <cell r="BG136">
            <v>0</v>
          </cell>
          <cell r="BH136">
            <v>0</v>
          </cell>
          <cell r="BI136">
            <v>0</v>
          </cell>
          <cell r="BJ136">
            <v>0</v>
          </cell>
          <cell r="BK136">
            <v>0</v>
          </cell>
          <cell r="BL136">
            <v>0</v>
          </cell>
          <cell r="BM136">
            <v>0</v>
          </cell>
          <cell r="BN136">
            <v>0</v>
          </cell>
          <cell r="BO136">
            <v>0</v>
          </cell>
          <cell r="BP136">
            <v>0</v>
          </cell>
          <cell r="BQ136">
            <v>0</v>
          </cell>
          <cell r="BR136">
            <v>0</v>
          </cell>
          <cell r="BS136">
            <v>0</v>
          </cell>
          <cell r="BT136">
            <v>0</v>
          </cell>
          <cell r="BU136">
            <v>0</v>
          </cell>
          <cell r="BV136">
            <v>0</v>
          </cell>
          <cell r="BW136">
            <v>0</v>
          </cell>
          <cell r="BX136">
            <v>0</v>
          </cell>
          <cell r="BY136">
            <v>0</v>
          </cell>
          <cell r="BZ136">
            <v>0</v>
          </cell>
          <cell r="CA136">
            <v>0</v>
          </cell>
          <cell r="CB136">
            <v>0</v>
          </cell>
          <cell r="CC136">
            <v>0</v>
          </cell>
          <cell r="CD136">
            <v>0</v>
          </cell>
          <cell r="CE136">
            <v>0</v>
          </cell>
          <cell r="CF136">
            <v>0</v>
          </cell>
          <cell r="CG136">
            <v>0</v>
          </cell>
          <cell r="CH136">
            <v>0</v>
          </cell>
          <cell r="CI136">
            <v>0</v>
          </cell>
          <cell r="CJ136">
            <v>0</v>
          </cell>
          <cell r="CK136">
            <v>0</v>
          </cell>
          <cell r="CL136">
            <v>0</v>
          </cell>
          <cell r="CM136">
            <v>0</v>
          </cell>
          <cell r="CN136">
            <v>0</v>
          </cell>
          <cell r="CO136">
            <v>0</v>
          </cell>
          <cell r="CP136">
            <v>0</v>
          </cell>
          <cell r="CQ136">
            <v>0</v>
          </cell>
          <cell r="CR136">
            <v>0</v>
          </cell>
          <cell r="CS136">
            <v>0</v>
          </cell>
          <cell r="CT136">
            <v>0</v>
          </cell>
          <cell r="CU136">
            <v>0</v>
          </cell>
          <cell r="CV136">
            <v>0</v>
          </cell>
          <cell r="CW136">
            <v>0</v>
          </cell>
          <cell r="CX136">
            <v>0</v>
          </cell>
          <cell r="CY136">
            <v>0</v>
          </cell>
          <cell r="CZ136">
            <v>0</v>
          </cell>
          <cell r="DA136">
            <v>0</v>
          </cell>
          <cell r="DB136">
            <v>0</v>
          </cell>
          <cell r="DC136">
            <v>0</v>
          </cell>
          <cell r="DD136">
            <v>0</v>
          </cell>
          <cell r="DE136">
            <v>0</v>
          </cell>
          <cell r="DF136">
            <v>0</v>
          </cell>
          <cell r="DG136">
            <v>0</v>
          </cell>
          <cell r="DH136">
            <v>0</v>
          </cell>
          <cell r="DI136">
            <v>0</v>
          </cell>
          <cell r="DJ136">
            <v>0</v>
          </cell>
          <cell r="DK136">
            <v>0</v>
          </cell>
          <cell r="DL136">
            <v>0</v>
          </cell>
          <cell r="DM136">
            <v>0</v>
          </cell>
          <cell r="DN136">
            <v>0</v>
          </cell>
          <cell r="DO136">
            <v>0</v>
          </cell>
          <cell r="DP136">
            <v>0</v>
          </cell>
          <cell r="DQ136">
            <v>0</v>
          </cell>
          <cell r="DR136">
            <v>0</v>
          </cell>
          <cell r="DS136">
            <v>0</v>
          </cell>
          <cell r="DT136">
            <v>0</v>
          </cell>
          <cell r="DU136">
            <v>0</v>
          </cell>
          <cell r="DV136">
            <v>0</v>
          </cell>
          <cell r="DW136">
            <v>0</v>
          </cell>
          <cell r="EA136">
            <v>0</v>
          </cell>
          <cell r="EB136">
            <v>0</v>
          </cell>
          <cell r="EC136">
            <v>0</v>
          </cell>
          <cell r="ED136">
            <v>0</v>
          </cell>
          <cell r="EE136">
            <v>0</v>
          </cell>
          <cell r="EF136">
            <v>0</v>
          </cell>
          <cell r="EG136">
            <v>0</v>
          </cell>
          <cell r="EH136">
            <v>0</v>
          </cell>
          <cell r="EI136">
            <v>0</v>
          </cell>
          <cell r="EJ136">
            <v>0</v>
          </cell>
          <cell r="EK136">
            <v>0</v>
          </cell>
          <cell r="EL136">
            <v>0</v>
          </cell>
          <cell r="EM136">
            <v>0</v>
          </cell>
          <cell r="EN136">
            <v>0</v>
          </cell>
          <cell r="EO136">
            <v>0</v>
          </cell>
          <cell r="EP136">
            <v>0</v>
          </cell>
          <cell r="EQ136">
            <v>0</v>
          </cell>
          <cell r="ER136">
            <v>0</v>
          </cell>
          <cell r="ES136">
            <v>0</v>
          </cell>
          <cell r="ET136">
            <v>0</v>
          </cell>
          <cell r="EU136">
            <v>0</v>
          </cell>
          <cell r="EV136">
            <v>0</v>
          </cell>
          <cell r="EW136">
            <v>0</v>
          </cell>
          <cell r="EX136">
            <v>0</v>
          </cell>
          <cell r="EY136">
            <v>0</v>
          </cell>
          <cell r="EZ136">
            <v>0</v>
          </cell>
          <cell r="FA136">
            <v>0</v>
          </cell>
          <cell r="FB136">
            <v>0</v>
          </cell>
          <cell r="FC136">
            <v>0</v>
          </cell>
          <cell r="FD136">
            <v>0</v>
          </cell>
          <cell r="FE136">
            <v>0</v>
          </cell>
          <cell r="FF136">
            <v>0</v>
          </cell>
          <cell r="FG136">
            <v>0</v>
          </cell>
          <cell r="FH136">
            <v>0</v>
          </cell>
          <cell r="FI136">
            <v>0</v>
          </cell>
          <cell r="FJ136">
            <v>0</v>
          </cell>
          <cell r="FK136">
            <v>0</v>
          </cell>
          <cell r="FL136">
            <v>0</v>
          </cell>
          <cell r="FM136">
            <v>0</v>
          </cell>
          <cell r="FN136">
            <v>0</v>
          </cell>
          <cell r="FO136">
            <v>0</v>
          </cell>
          <cell r="FP136">
            <v>0</v>
          </cell>
          <cell r="FQ136">
            <v>0</v>
          </cell>
          <cell r="FR136">
            <v>0</v>
          </cell>
          <cell r="FS136">
            <v>0</v>
          </cell>
          <cell r="FT136">
            <v>0</v>
          </cell>
          <cell r="FU136">
            <v>0</v>
          </cell>
          <cell r="FV136">
            <v>0</v>
          </cell>
          <cell r="FW136">
            <v>0</v>
          </cell>
          <cell r="FX136">
            <v>0</v>
          </cell>
          <cell r="FY136">
            <v>0</v>
          </cell>
          <cell r="FZ136">
            <v>0</v>
          </cell>
          <cell r="GA136">
            <v>0</v>
          </cell>
          <cell r="GB136">
            <v>0</v>
          </cell>
          <cell r="GC136">
            <v>0</v>
          </cell>
          <cell r="GD136">
            <v>0</v>
          </cell>
          <cell r="GE136">
            <v>0</v>
          </cell>
          <cell r="GF136">
            <v>0</v>
          </cell>
          <cell r="GG136">
            <v>0</v>
          </cell>
          <cell r="GH136">
            <v>0</v>
          </cell>
          <cell r="GI136">
            <v>0</v>
          </cell>
          <cell r="GJ136">
            <v>0</v>
          </cell>
          <cell r="GK136">
            <v>0</v>
          </cell>
          <cell r="GL136">
            <v>0</v>
          </cell>
          <cell r="GM136">
            <v>0</v>
          </cell>
          <cell r="GN136">
            <v>0</v>
          </cell>
          <cell r="GO136">
            <v>0</v>
          </cell>
          <cell r="GP136">
            <v>0</v>
          </cell>
          <cell r="GQ136">
            <v>0</v>
          </cell>
          <cell r="GR136">
            <v>0</v>
          </cell>
          <cell r="GS136">
            <v>0</v>
          </cell>
          <cell r="GT136">
            <v>0</v>
          </cell>
          <cell r="GZ136">
            <v>0</v>
          </cell>
        </row>
        <row r="137">
          <cell r="A137" t="str">
            <v>F_ITV_NRF_EPA_EUR_FRCE_ITA</v>
          </cell>
          <cell r="B137">
            <v>555172454.18112004</v>
          </cell>
          <cell r="D137">
            <v>668114736.12711</v>
          </cell>
          <cell r="E137">
            <v>640217970.30875003</v>
          </cell>
          <cell r="F137">
            <v>668114736.12711</v>
          </cell>
          <cell r="G137">
            <v>668114736.12711</v>
          </cell>
          <cell r="H137">
            <v>0</v>
          </cell>
          <cell r="I137">
            <v>0</v>
          </cell>
          <cell r="J137">
            <v>668114736.12711</v>
          </cell>
          <cell r="K137">
            <v>668114736.12711</v>
          </cell>
          <cell r="L137">
            <v>668114736.12711</v>
          </cell>
          <cell r="M137">
            <v>0</v>
          </cell>
          <cell r="N137">
            <v>668114736.12711</v>
          </cell>
          <cell r="O137">
            <v>668114736.12711</v>
          </cell>
          <cell r="P137">
            <v>668114736.12711</v>
          </cell>
          <cell r="Q137">
            <v>668114736.12711</v>
          </cell>
          <cell r="R137">
            <v>0</v>
          </cell>
          <cell r="S137">
            <v>668114736.12711</v>
          </cell>
          <cell r="T137">
            <v>668114736.12711</v>
          </cell>
          <cell r="U137">
            <v>668114736.12711</v>
          </cell>
          <cell r="V137">
            <v>668114736.12711</v>
          </cell>
          <cell r="W137">
            <v>668114736.12711</v>
          </cell>
          <cell r="X137">
            <v>668114736.12711</v>
          </cell>
          <cell r="Y137">
            <v>668114736.12711</v>
          </cell>
          <cell r="Z137">
            <v>668114736.12711</v>
          </cell>
          <cell r="AA137">
            <v>668114736.12711</v>
          </cell>
          <cell r="AB137">
            <v>675153093.92095006</v>
          </cell>
          <cell r="AC137">
            <v>641226295.12084997</v>
          </cell>
          <cell r="AD137">
            <v>0</v>
          </cell>
          <cell r="AE137">
            <v>0</v>
          </cell>
          <cell r="AF137">
            <v>642266185.22152996</v>
          </cell>
          <cell r="AG137">
            <v>642266185.22152996</v>
          </cell>
          <cell r="AH137">
            <v>642266185.22152996</v>
          </cell>
          <cell r="AI137">
            <v>0</v>
          </cell>
          <cell r="AJ137">
            <v>665692565.81148005</v>
          </cell>
          <cell r="AK137">
            <v>665692565.81148005</v>
          </cell>
          <cell r="AL137">
            <v>665692565.81148005</v>
          </cell>
          <cell r="AM137">
            <v>668114736.12711</v>
          </cell>
          <cell r="AN137">
            <v>0</v>
          </cell>
          <cell r="AO137">
            <v>628233684.23683</v>
          </cell>
          <cell r="AP137">
            <v>628233684.23683</v>
          </cell>
          <cell r="AQ137">
            <v>628233684.23683</v>
          </cell>
          <cell r="AR137">
            <v>628233684.23683</v>
          </cell>
          <cell r="AS137">
            <v>628233684.23683</v>
          </cell>
          <cell r="AT137">
            <v>628233684.23683</v>
          </cell>
          <cell r="AU137">
            <v>628233684.23683</v>
          </cell>
          <cell r="AV137">
            <v>665451322.45895004</v>
          </cell>
          <cell r="AW137">
            <v>668114736.12711</v>
          </cell>
          <cell r="AX137">
            <v>640217970.30875003</v>
          </cell>
          <cell r="AY137">
            <v>640217970.30875003</v>
          </cell>
          <cell r="AZ137">
            <v>0</v>
          </cell>
          <cell r="BA137">
            <v>0</v>
          </cell>
          <cell r="BB137">
            <v>640217970.30875003</v>
          </cell>
          <cell r="BC137">
            <v>640217970.30875003</v>
          </cell>
          <cell r="BD137">
            <v>640217970.30875003</v>
          </cell>
          <cell r="BE137">
            <v>0</v>
          </cell>
          <cell r="BF137">
            <v>640217970.30875003</v>
          </cell>
          <cell r="BG137">
            <v>640217970.30875003</v>
          </cell>
          <cell r="BH137">
            <v>640217970.30875003</v>
          </cell>
          <cell r="BI137">
            <v>640217970.30875003</v>
          </cell>
          <cell r="BJ137">
            <v>0</v>
          </cell>
          <cell r="BK137">
            <v>640217970.30875003</v>
          </cell>
          <cell r="BL137">
            <v>640217970.30875003</v>
          </cell>
          <cell r="BM137">
            <v>640217970.30875003</v>
          </cell>
          <cell r="BN137">
            <v>640217970.30875003</v>
          </cell>
          <cell r="BO137">
            <v>640217970.30875003</v>
          </cell>
          <cell r="BP137">
            <v>640217970.30875003</v>
          </cell>
          <cell r="BQ137">
            <v>640217970.30875003</v>
          </cell>
          <cell r="BR137">
            <v>640217970.30875003</v>
          </cell>
          <cell r="BS137">
            <v>640217970.30875003</v>
          </cell>
          <cell r="BT137">
            <v>654271237.69783998</v>
          </cell>
          <cell r="BU137">
            <v>602075954.10757005</v>
          </cell>
          <cell r="BV137">
            <v>0</v>
          </cell>
          <cell r="BW137">
            <v>0</v>
          </cell>
          <cell r="BX137">
            <v>640217970.30875003</v>
          </cell>
          <cell r="BY137">
            <v>640217970.30875003</v>
          </cell>
          <cell r="BZ137">
            <v>640217970.30875003</v>
          </cell>
          <cell r="CA137">
            <v>0</v>
          </cell>
          <cell r="CB137">
            <v>640217970.30875003</v>
          </cell>
          <cell r="CC137">
            <v>640217970.30875003</v>
          </cell>
          <cell r="CD137">
            <v>640217970.30875003</v>
          </cell>
          <cell r="CE137">
            <v>640217970.30875003</v>
          </cell>
          <cell r="CF137">
            <v>0</v>
          </cell>
          <cell r="CG137">
            <v>640217970.30875003</v>
          </cell>
          <cell r="CH137">
            <v>640217970.30875003</v>
          </cell>
          <cell r="CI137">
            <v>640217970.30875003</v>
          </cell>
          <cell r="CJ137">
            <v>640217970.30875003</v>
          </cell>
          <cell r="CK137">
            <v>640217970.30875003</v>
          </cell>
          <cell r="CL137">
            <v>640217970.30875003</v>
          </cell>
          <cell r="CM137">
            <v>640217970.30875003</v>
          </cell>
          <cell r="CN137">
            <v>640217970.30875003</v>
          </cell>
          <cell r="CO137">
            <v>639737513.31221008</v>
          </cell>
          <cell r="CP137">
            <v>640217970.30875003</v>
          </cell>
          <cell r="CQ137">
            <v>640217970.30875003</v>
          </cell>
          <cell r="CR137">
            <v>640217970.30875003</v>
          </cell>
          <cell r="CS137">
            <v>640217970.30875003</v>
          </cell>
          <cell r="CT137">
            <v>640217970.30875003</v>
          </cell>
          <cell r="CU137">
            <v>640217970.30875003</v>
          </cell>
          <cell r="CV137">
            <v>640217970.30875003</v>
          </cell>
          <cell r="CW137">
            <v>640217970.30875003</v>
          </cell>
          <cell r="CX137">
            <v>640217970.30875003</v>
          </cell>
          <cell r="CY137">
            <v>640217970.30875003</v>
          </cell>
          <cell r="CZ137">
            <v>640217970.30875003</v>
          </cell>
          <cell r="DA137">
            <v>640217970.30875003</v>
          </cell>
          <cell r="DB137">
            <v>640217970.30875003</v>
          </cell>
          <cell r="DC137">
            <v>645894843.35854006</v>
          </cell>
          <cell r="DD137">
            <v>640217970.30875003</v>
          </cell>
          <cell r="DE137">
            <v>499869070.94825995</v>
          </cell>
          <cell r="DF137">
            <v>785156107.78177011</v>
          </cell>
          <cell r="DG137">
            <v>640299184.43493009</v>
          </cell>
          <cell r="DH137">
            <v>640217970.30875003</v>
          </cell>
          <cell r="DI137">
            <v>640229376.54355001</v>
          </cell>
          <cell r="DJ137">
            <v>0</v>
          </cell>
          <cell r="DK137">
            <v>0</v>
          </cell>
          <cell r="DL137">
            <v>0</v>
          </cell>
          <cell r="DM137">
            <v>0</v>
          </cell>
          <cell r="DN137">
            <v>0</v>
          </cell>
          <cell r="DO137">
            <v>0</v>
          </cell>
          <cell r="DP137">
            <v>0</v>
          </cell>
          <cell r="DQ137">
            <v>0</v>
          </cell>
          <cell r="DR137">
            <v>0</v>
          </cell>
          <cell r="DS137">
            <v>0</v>
          </cell>
          <cell r="DT137">
            <v>0</v>
          </cell>
          <cell r="DU137">
            <v>0</v>
          </cell>
          <cell r="DV137">
            <v>0</v>
          </cell>
          <cell r="DW137">
            <v>0</v>
          </cell>
          <cell r="DX137" t="str">
            <v/>
          </cell>
          <cell r="DY137" t="str">
            <v/>
          </cell>
          <cell r="DZ137" t="str">
            <v/>
          </cell>
          <cell r="EA137">
            <v>640217970.30875003</v>
          </cell>
          <cell r="EB137">
            <v>640217970.30875003</v>
          </cell>
          <cell r="EC137">
            <v>640217970.30875003</v>
          </cell>
          <cell r="ED137">
            <v>640217970.30875003</v>
          </cell>
          <cell r="EE137">
            <v>640217970.30875003</v>
          </cell>
          <cell r="EF137">
            <v>640217970.30875003</v>
          </cell>
          <cell r="EG137">
            <v>640217970.30875003</v>
          </cell>
          <cell r="EH137">
            <v>640217970.30875003</v>
          </cell>
          <cell r="EI137">
            <v>640217970.30875003</v>
          </cell>
          <cell r="EJ137">
            <v>640217970.30875003</v>
          </cell>
          <cell r="EK137">
            <v>640217970.30875003</v>
          </cell>
          <cell r="EL137">
            <v>640217970.30875003</v>
          </cell>
          <cell r="EM137">
            <v>640217970.30875003</v>
          </cell>
          <cell r="EN137">
            <v>640217970.30875003</v>
          </cell>
          <cell r="EO137">
            <v>495279832.83572996</v>
          </cell>
          <cell r="EP137">
            <v>785156107.78177011</v>
          </cell>
          <cell r="EQ137">
            <v>640217970.30875003</v>
          </cell>
          <cell r="ER137">
            <v>640217970.30875003</v>
          </cell>
          <cell r="ES137">
            <v>0</v>
          </cell>
          <cell r="ET137">
            <v>0</v>
          </cell>
          <cell r="EU137">
            <v>0</v>
          </cell>
          <cell r="EV137">
            <v>0</v>
          </cell>
          <cell r="EW137">
            <v>0</v>
          </cell>
          <cell r="EX137">
            <v>0</v>
          </cell>
          <cell r="EY137">
            <v>0</v>
          </cell>
          <cell r="EZ137">
            <v>0</v>
          </cell>
          <cell r="FA137">
            <v>0</v>
          </cell>
          <cell r="FB137">
            <v>0</v>
          </cell>
          <cell r="FC137">
            <v>0</v>
          </cell>
          <cell r="FD137">
            <v>144938137.47302008</v>
          </cell>
          <cell r="FE137">
            <v>495279832.83572996</v>
          </cell>
          <cell r="FF137">
            <v>648269788.22741997</v>
          </cell>
          <cell r="FG137">
            <v>611027372.31887007</v>
          </cell>
          <cell r="FH137">
            <v>0</v>
          </cell>
          <cell r="FI137">
            <v>0</v>
          </cell>
          <cell r="FJ137">
            <v>616612385.48268008</v>
          </cell>
          <cell r="FK137">
            <v>616612385.48268008</v>
          </cell>
          <cell r="FL137">
            <v>616612385.48268008</v>
          </cell>
          <cell r="FM137">
            <v>0</v>
          </cell>
          <cell r="FN137">
            <v>637906810.44888997</v>
          </cell>
          <cell r="FO137">
            <v>637906810.44888997</v>
          </cell>
          <cell r="FP137">
            <v>637906810.44888997</v>
          </cell>
          <cell r="FQ137">
            <v>640217970.30875003</v>
          </cell>
          <cell r="FR137">
            <v>0</v>
          </cell>
          <cell r="FS137">
            <v>605442526.99220002</v>
          </cell>
          <cell r="FT137">
            <v>605442526.99220002</v>
          </cell>
          <cell r="FU137">
            <v>605442526.99220002</v>
          </cell>
          <cell r="FV137">
            <v>605442526.99220002</v>
          </cell>
          <cell r="FW137">
            <v>605442526.99220002</v>
          </cell>
          <cell r="FX137">
            <v>605442526.99220002</v>
          </cell>
          <cell r="FY137">
            <v>605442526.99220002</v>
          </cell>
          <cell r="FZ137">
            <v>637672031.17467988</v>
          </cell>
          <cell r="GA137">
            <v>639702698.86976004</v>
          </cell>
          <cell r="GB137">
            <v>640218157.61140001</v>
          </cell>
          <cell r="GC137">
            <v>640217970.30875003</v>
          </cell>
          <cell r="GD137">
            <v>640217970.30875003</v>
          </cell>
          <cell r="GE137">
            <v>648718031.5934</v>
          </cell>
          <cell r="GF137">
            <v>649479995.56908</v>
          </cell>
          <cell r="GG137">
            <v>642253014.31823003</v>
          </cell>
          <cell r="GH137">
            <v>640217970.30875003</v>
          </cell>
          <cell r="GI137">
            <v>640305069.29983997</v>
          </cell>
          <cell r="GJ137">
            <v>640217970.30875003</v>
          </cell>
          <cell r="GK137">
            <v>640242485.04586005</v>
          </cell>
          <cell r="GL137">
            <v>640217970.30875003</v>
          </cell>
          <cell r="GM137">
            <v>640217970.30875003</v>
          </cell>
          <cell r="GN137">
            <v>640217970.30875003</v>
          </cell>
          <cell r="GO137">
            <v>640217970.30875003</v>
          </cell>
          <cell r="GP137">
            <v>640217970.30875003</v>
          </cell>
          <cell r="GQ137">
            <v>640217970.30875003</v>
          </cell>
          <cell r="GR137">
            <v>640217970.30875003</v>
          </cell>
          <cell r="GS137">
            <v>640217970.30875003</v>
          </cell>
          <cell r="GT137">
            <v>640217970.30875003</v>
          </cell>
          <cell r="GU137" t="str">
            <v/>
          </cell>
          <cell r="GZ137">
            <v>0</v>
          </cell>
        </row>
        <row r="138">
          <cell r="A138" t="str">
            <v>F_ITV_NRF_CPT_PRP_FRCE_ITF</v>
          </cell>
          <cell r="B138">
            <v>0</v>
          </cell>
          <cell r="D138">
            <v>0</v>
          </cell>
          <cell r="E138">
            <v>0</v>
          </cell>
          <cell r="F138">
            <v>0</v>
          </cell>
          <cell r="G138">
            <v>0</v>
          </cell>
          <cell r="H138">
            <v>0</v>
          </cell>
          <cell r="I138">
            <v>0</v>
          </cell>
          <cell r="J138">
            <v>0</v>
          </cell>
          <cell r="K138">
            <v>0</v>
          </cell>
          <cell r="L138">
            <v>0</v>
          </cell>
          <cell r="M138">
            <v>0</v>
          </cell>
          <cell r="N138">
            <v>0</v>
          </cell>
          <cell r="O138">
            <v>0</v>
          </cell>
          <cell r="P138">
            <v>0</v>
          </cell>
          <cell r="Q138">
            <v>0</v>
          </cell>
          <cell r="R138">
            <v>0</v>
          </cell>
          <cell r="S138">
            <v>0</v>
          </cell>
          <cell r="T138">
            <v>0</v>
          </cell>
          <cell r="U138">
            <v>0</v>
          </cell>
          <cell r="V138">
            <v>0</v>
          </cell>
          <cell r="W138">
            <v>0</v>
          </cell>
          <cell r="X138">
            <v>0</v>
          </cell>
          <cell r="Y138">
            <v>0</v>
          </cell>
          <cell r="Z138">
            <v>0</v>
          </cell>
          <cell r="AA138">
            <v>0</v>
          </cell>
          <cell r="AB138">
            <v>0</v>
          </cell>
          <cell r="AC138">
            <v>0</v>
          </cell>
          <cell r="AD138">
            <v>0</v>
          </cell>
          <cell r="AE138">
            <v>0</v>
          </cell>
          <cell r="AF138">
            <v>0</v>
          </cell>
          <cell r="AG138">
            <v>0</v>
          </cell>
          <cell r="AH138">
            <v>0</v>
          </cell>
          <cell r="AI138">
            <v>0</v>
          </cell>
          <cell r="AJ138">
            <v>0</v>
          </cell>
          <cell r="AK138">
            <v>0</v>
          </cell>
          <cell r="AL138">
            <v>0</v>
          </cell>
          <cell r="AM138">
            <v>0</v>
          </cell>
          <cell r="AN138">
            <v>0</v>
          </cell>
          <cell r="AO138">
            <v>0</v>
          </cell>
          <cell r="AP138">
            <v>0</v>
          </cell>
          <cell r="AQ138">
            <v>0</v>
          </cell>
          <cell r="AR138">
            <v>0</v>
          </cell>
          <cell r="AS138">
            <v>0</v>
          </cell>
          <cell r="AT138">
            <v>0</v>
          </cell>
          <cell r="AU138">
            <v>0</v>
          </cell>
          <cell r="AV138">
            <v>0</v>
          </cell>
          <cell r="AW138">
            <v>0</v>
          </cell>
          <cell r="AX138">
            <v>0</v>
          </cell>
          <cell r="AY138">
            <v>0</v>
          </cell>
          <cell r="AZ138">
            <v>0</v>
          </cell>
          <cell r="BA138">
            <v>0</v>
          </cell>
          <cell r="BB138">
            <v>0</v>
          </cell>
          <cell r="BC138">
            <v>0</v>
          </cell>
          <cell r="BD138">
            <v>0</v>
          </cell>
          <cell r="BE138">
            <v>0</v>
          </cell>
          <cell r="BF138">
            <v>0</v>
          </cell>
          <cell r="BG138">
            <v>0</v>
          </cell>
          <cell r="BH138">
            <v>0</v>
          </cell>
          <cell r="BI138">
            <v>0</v>
          </cell>
          <cell r="BJ138">
            <v>0</v>
          </cell>
          <cell r="BK138">
            <v>0</v>
          </cell>
          <cell r="BL138">
            <v>0</v>
          </cell>
          <cell r="BM138">
            <v>0</v>
          </cell>
          <cell r="BN138">
            <v>0</v>
          </cell>
          <cell r="BO138">
            <v>0</v>
          </cell>
          <cell r="BP138">
            <v>0</v>
          </cell>
          <cell r="BQ138">
            <v>0</v>
          </cell>
          <cell r="BR138">
            <v>0</v>
          </cell>
          <cell r="BS138">
            <v>0</v>
          </cell>
          <cell r="BT138">
            <v>0</v>
          </cell>
          <cell r="BU138">
            <v>0</v>
          </cell>
          <cell r="BV138">
            <v>0</v>
          </cell>
          <cell r="BW138">
            <v>0</v>
          </cell>
          <cell r="BX138">
            <v>0</v>
          </cell>
          <cell r="BY138">
            <v>0</v>
          </cell>
          <cell r="BZ138">
            <v>0</v>
          </cell>
          <cell r="CA138">
            <v>0</v>
          </cell>
          <cell r="CB138">
            <v>0</v>
          </cell>
          <cell r="CC138">
            <v>0</v>
          </cell>
          <cell r="CD138">
            <v>0</v>
          </cell>
          <cell r="CE138">
            <v>0</v>
          </cell>
          <cell r="CF138">
            <v>0</v>
          </cell>
          <cell r="CG138">
            <v>0</v>
          </cell>
          <cell r="CH138">
            <v>0</v>
          </cell>
          <cell r="CI138">
            <v>0</v>
          </cell>
          <cell r="CJ138">
            <v>0</v>
          </cell>
          <cell r="CK138">
            <v>0</v>
          </cell>
          <cell r="CL138">
            <v>0</v>
          </cell>
          <cell r="CM138">
            <v>0</v>
          </cell>
          <cell r="CN138">
            <v>0</v>
          </cell>
          <cell r="CO138">
            <v>0</v>
          </cell>
          <cell r="CP138">
            <v>0</v>
          </cell>
          <cell r="CQ138">
            <v>0</v>
          </cell>
          <cell r="CR138">
            <v>0</v>
          </cell>
          <cell r="CS138">
            <v>0</v>
          </cell>
          <cell r="CT138">
            <v>0</v>
          </cell>
          <cell r="CU138">
            <v>0</v>
          </cell>
          <cell r="CV138">
            <v>0</v>
          </cell>
          <cell r="CW138">
            <v>0</v>
          </cell>
          <cell r="CX138">
            <v>0</v>
          </cell>
          <cell r="CY138">
            <v>0</v>
          </cell>
          <cell r="CZ138">
            <v>0</v>
          </cell>
          <cell r="DA138">
            <v>0</v>
          </cell>
          <cell r="DB138">
            <v>0</v>
          </cell>
          <cell r="DC138">
            <v>0</v>
          </cell>
          <cell r="DD138">
            <v>0</v>
          </cell>
          <cell r="DE138">
            <v>0</v>
          </cell>
          <cell r="DF138">
            <v>0</v>
          </cell>
          <cell r="DG138">
            <v>0</v>
          </cell>
          <cell r="DH138">
            <v>0</v>
          </cell>
          <cell r="DI138">
            <v>0</v>
          </cell>
          <cell r="DJ138">
            <v>0</v>
          </cell>
          <cell r="DK138">
            <v>0</v>
          </cell>
          <cell r="DL138">
            <v>0</v>
          </cell>
          <cell r="DM138">
            <v>0</v>
          </cell>
          <cell r="DN138">
            <v>0</v>
          </cell>
          <cell r="DO138">
            <v>0</v>
          </cell>
          <cell r="DP138">
            <v>0</v>
          </cell>
          <cell r="DQ138">
            <v>0</v>
          </cell>
          <cell r="DR138">
            <v>0</v>
          </cell>
          <cell r="DS138">
            <v>0</v>
          </cell>
          <cell r="DT138">
            <v>0</v>
          </cell>
          <cell r="DU138">
            <v>0</v>
          </cell>
          <cell r="DV138">
            <v>0</v>
          </cell>
          <cell r="DW138">
            <v>0</v>
          </cell>
          <cell r="DX138" t="str">
            <v/>
          </cell>
          <cell r="DY138" t="str">
            <v/>
          </cell>
          <cell r="DZ138" t="str">
            <v/>
          </cell>
          <cell r="EA138">
            <v>0</v>
          </cell>
          <cell r="EB138">
            <v>0</v>
          </cell>
          <cell r="EC138">
            <v>0</v>
          </cell>
          <cell r="ED138">
            <v>0</v>
          </cell>
          <cell r="EE138">
            <v>0</v>
          </cell>
          <cell r="EF138">
            <v>0</v>
          </cell>
          <cell r="EG138">
            <v>0</v>
          </cell>
          <cell r="EH138">
            <v>0</v>
          </cell>
          <cell r="EI138">
            <v>0</v>
          </cell>
          <cell r="EJ138">
            <v>0</v>
          </cell>
          <cell r="EK138">
            <v>0</v>
          </cell>
          <cell r="EL138">
            <v>0</v>
          </cell>
          <cell r="EM138">
            <v>0</v>
          </cell>
          <cell r="EN138">
            <v>0</v>
          </cell>
          <cell r="EO138">
            <v>0</v>
          </cell>
          <cell r="EP138">
            <v>0</v>
          </cell>
          <cell r="EQ138">
            <v>0</v>
          </cell>
          <cell r="ER138">
            <v>0</v>
          </cell>
          <cell r="ES138">
            <v>0</v>
          </cell>
          <cell r="ET138">
            <v>0</v>
          </cell>
          <cell r="EU138">
            <v>0</v>
          </cell>
          <cell r="EV138">
            <v>0</v>
          </cell>
          <cell r="EW138">
            <v>0</v>
          </cell>
          <cell r="EX138">
            <v>0</v>
          </cell>
          <cell r="EY138">
            <v>0</v>
          </cell>
          <cell r="EZ138">
            <v>0</v>
          </cell>
          <cell r="FA138">
            <v>0</v>
          </cell>
          <cell r="FB138">
            <v>0</v>
          </cell>
          <cell r="FC138">
            <v>0</v>
          </cell>
          <cell r="FD138">
            <v>0</v>
          </cell>
          <cell r="FE138">
            <v>0</v>
          </cell>
          <cell r="FF138">
            <v>0</v>
          </cell>
          <cell r="FG138">
            <v>0</v>
          </cell>
          <cell r="FH138">
            <v>0</v>
          </cell>
          <cell r="FI138">
            <v>0</v>
          </cell>
          <cell r="FJ138">
            <v>0</v>
          </cell>
          <cell r="FK138">
            <v>0</v>
          </cell>
          <cell r="FL138">
            <v>0</v>
          </cell>
          <cell r="FM138">
            <v>0</v>
          </cell>
          <cell r="FN138">
            <v>0</v>
          </cell>
          <cell r="FO138">
            <v>0</v>
          </cell>
          <cell r="FP138">
            <v>0</v>
          </cell>
          <cell r="FQ138">
            <v>0</v>
          </cell>
          <cell r="FR138">
            <v>0</v>
          </cell>
          <cell r="FS138">
            <v>0</v>
          </cell>
          <cell r="FT138">
            <v>0</v>
          </cell>
          <cell r="FU138">
            <v>0</v>
          </cell>
          <cell r="FV138">
            <v>0</v>
          </cell>
          <cell r="FW138">
            <v>0</v>
          </cell>
          <cell r="FX138">
            <v>0</v>
          </cell>
          <cell r="FY138">
            <v>0</v>
          </cell>
          <cell r="FZ138">
            <v>0</v>
          </cell>
          <cell r="GA138">
            <v>0</v>
          </cell>
          <cell r="GB138">
            <v>0</v>
          </cell>
          <cell r="GC138">
            <v>0</v>
          </cell>
          <cell r="GD138">
            <v>0</v>
          </cell>
          <cell r="GE138">
            <v>0</v>
          </cell>
          <cell r="GF138">
            <v>0</v>
          </cell>
          <cell r="GG138">
            <v>0</v>
          </cell>
          <cell r="GH138">
            <v>0</v>
          </cell>
          <cell r="GI138">
            <v>0</v>
          </cell>
          <cell r="GJ138">
            <v>0</v>
          </cell>
          <cell r="GK138">
            <v>0</v>
          </cell>
          <cell r="GL138">
            <v>0</v>
          </cell>
          <cell r="GM138">
            <v>0</v>
          </cell>
          <cell r="GN138">
            <v>0</v>
          </cell>
          <cell r="GO138">
            <v>0</v>
          </cell>
          <cell r="GP138">
            <v>0</v>
          </cell>
          <cell r="GQ138">
            <v>0</v>
          </cell>
          <cell r="GR138">
            <v>0</v>
          </cell>
          <cell r="GS138">
            <v>0</v>
          </cell>
          <cell r="GT138">
            <v>0</v>
          </cell>
          <cell r="GU138">
            <v>0</v>
          </cell>
          <cell r="GZ138">
            <v>0</v>
          </cell>
        </row>
        <row r="139">
          <cell r="A139" t="str">
            <v>F_PVP_NRF_EPA_EUR_FRCE_PVA</v>
          </cell>
          <cell r="B139">
            <v>1728197108.5403399</v>
          </cell>
          <cell r="D139">
            <v>1961114850.9712698</v>
          </cell>
          <cell r="E139">
            <v>1929700047.96962</v>
          </cell>
          <cell r="F139">
            <v>1961114850.9712698</v>
          </cell>
          <cell r="G139">
            <v>1961114850.9712698</v>
          </cell>
          <cell r="H139">
            <v>0</v>
          </cell>
          <cell r="I139">
            <v>0</v>
          </cell>
          <cell r="J139">
            <v>1961114850.9712698</v>
          </cell>
          <cell r="K139">
            <v>1961114850.9712698</v>
          </cell>
          <cell r="L139">
            <v>1961114850.9712698</v>
          </cell>
          <cell r="M139">
            <v>0</v>
          </cell>
          <cell r="N139">
            <v>1961114850.9712698</v>
          </cell>
          <cell r="O139">
            <v>1961114850.9712698</v>
          </cell>
          <cell r="P139">
            <v>1961114850.9712698</v>
          </cell>
          <cell r="Q139">
            <v>1961114850.9712698</v>
          </cell>
          <cell r="R139">
            <v>0</v>
          </cell>
          <cell r="S139">
            <v>1961114850.9712698</v>
          </cell>
          <cell r="T139">
            <v>1961114850.9712698</v>
          </cell>
          <cell r="U139">
            <v>1961114850.9712698</v>
          </cell>
          <cell r="V139">
            <v>1961114850.9712698</v>
          </cell>
          <cell r="W139">
            <v>1961114850.9712698</v>
          </cell>
          <cell r="X139">
            <v>1961114850.9712698</v>
          </cell>
          <cell r="Y139">
            <v>1961114850.9712698</v>
          </cell>
          <cell r="Z139">
            <v>1961114850.9712698</v>
          </cell>
          <cell r="AA139">
            <v>1961114850.9712698</v>
          </cell>
          <cell r="AB139">
            <v>1980008785.7643702</v>
          </cell>
          <cell r="AC139">
            <v>1888078747.6970501</v>
          </cell>
          <cell r="AD139">
            <v>0</v>
          </cell>
          <cell r="AE139">
            <v>0</v>
          </cell>
          <cell r="AF139">
            <v>1886533864.61374</v>
          </cell>
          <cell r="AG139">
            <v>1886533864.61374</v>
          </cell>
          <cell r="AH139">
            <v>1886533864.61374</v>
          </cell>
          <cell r="AI139">
            <v>0</v>
          </cell>
          <cell r="AJ139">
            <v>1957230851.31568</v>
          </cell>
          <cell r="AK139">
            <v>1957230851.31568</v>
          </cell>
          <cell r="AL139">
            <v>1957230851.31568</v>
          </cell>
          <cell r="AM139">
            <v>1961114850.9712698</v>
          </cell>
          <cell r="AN139">
            <v>0</v>
          </cell>
          <cell r="AO139">
            <v>1876875926.6737802</v>
          </cell>
          <cell r="AP139">
            <v>1876875926.6737802</v>
          </cell>
          <cell r="AQ139">
            <v>1876875926.6737802</v>
          </cell>
          <cell r="AR139">
            <v>1876875926.6737802</v>
          </cell>
          <cell r="AS139">
            <v>1876875926.6737802</v>
          </cell>
          <cell r="AT139">
            <v>1876875926.6737802</v>
          </cell>
          <cell r="AU139">
            <v>1876875926.6737802</v>
          </cell>
          <cell r="AV139">
            <v>1958078652.7594099</v>
          </cell>
          <cell r="AW139">
            <v>1961114850.9712698</v>
          </cell>
          <cell r="AX139">
            <v>1929700047.96962</v>
          </cell>
          <cell r="AY139">
            <v>1929700047.96962</v>
          </cell>
          <cell r="AZ139">
            <v>0</v>
          </cell>
          <cell r="BA139">
            <v>0</v>
          </cell>
          <cell r="BB139">
            <v>1929700047.96962</v>
          </cell>
          <cell r="BC139">
            <v>1929700047.96962</v>
          </cell>
          <cell r="BD139">
            <v>1929700047.96962</v>
          </cell>
          <cell r="BE139">
            <v>0</v>
          </cell>
          <cell r="BF139">
            <v>1929700047.96962</v>
          </cell>
          <cell r="BG139">
            <v>1929700047.96962</v>
          </cell>
          <cell r="BH139">
            <v>1929700047.96962</v>
          </cell>
          <cell r="BI139">
            <v>1929700047.96962</v>
          </cell>
          <cell r="BJ139">
            <v>0</v>
          </cell>
          <cell r="BK139">
            <v>1929700047.96962</v>
          </cell>
          <cell r="BL139">
            <v>1929700047.96962</v>
          </cell>
          <cell r="BM139">
            <v>1929700047.96962</v>
          </cell>
          <cell r="BN139">
            <v>1929700047.96962</v>
          </cell>
          <cell r="BO139">
            <v>1929700047.96962</v>
          </cell>
          <cell r="BP139">
            <v>1929700047.96962</v>
          </cell>
          <cell r="BQ139">
            <v>1929700047.96962</v>
          </cell>
          <cell r="BR139">
            <v>1929700047.96962</v>
          </cell>
          <cell r="BS139">
            <v>1929700047.96962</v>
          </cell>
          <cell r="BT139">
            <v>1969272290.2234995</v>
          </cell>
          <cell r="BU139">
            <v>1811917005.4775498</v>
          </cell>
          <cell r="BV139">
            <v>0</v>
          </cell>
          <cell r="BW139">
            <v>0</v>
          </cell>
          <cell r="BX139">
            <v>1929700047.96962</v>
          </cell>
          <cell r="BY139">
            <v>1929700047.96962</v>
          </cell>
          <cell r="BZ139">
            <v>1929700047.96962</v>
          </cell>
          <cell r="CA139">
            <v>0</v>
          </cell>
          <cell r="CB139">
            <v>1929700047.96962</v>
          </cell>
          <cell r="CC139">
            <v>1929700047.96962</v>
          </cell>
          <cell r="CD139">
            <v>1929700047.96962</v>
          </cell>
          <cell r="CE139">
            <v>1929700047.96962</v>
          </cell>
          <cell r="CF139">
            <v>0</v>
          </cell>
          <cell r="CG139">
            <v>1929700047.96962</v>
          </cell>
          <cell r="CH139">
            <v>1929700047.96962</v>
          </cell>
          <cell r="CI139">
            <v>1929700047.96962</v>
          </cell>
          <cell r="CJ139">
            <v>1929700047.96962</v>
          </cell>
          <cell r="CK139">
            <v>1929700047.96962</v>
          </cell>
          <cell r="CL139">
            <v>1929700047.96962</v>
          </cell>
          <cell r="CM139">
            <v>1929700047.96962</v>
          </cell>
          <cell r="CN139">
            <v>1929700047.96962</v>
          </cell>
          <cell r="CO139">
            <v>1920362191.4637797</v>
          </cell>
          <cell r="CP139">
            <v>1929700047.96962</v>
          </cell>
          <cell r="CQ139">
            <v>1929700047.96962</v>
          </cell>
          <cell r="CR139">
            <v>1929700047.96962</v>
          </cell>
          <cell r="CS139">
            <v>1929700047.96962</v>
          </cell>
          <cell r="CT139">
            <v>1929700047.96962</v>
          </cell>
          <cell r="CU139">
            <v>1929700047.96962</v>
          </cell>
          <cell r="CV139">
            <v>1929700047.96962</v>
          </cell>
          <cell r="CW139">
            <v>1929700047.96962</v>
          </cell>
          <cell r="CX139">
            <v>1929700047.96962</v>
          </cell>
          <cell r="CY139">
            <v>1929700047.96962</v>
          </cell>
          <cell r="CZ139">
            <v>1929700047.96962</v>
          </cell>
          <cell r="DA139">
            <v>1929700047.96962</v>
          </cell>
          <cell r="DB139">
            <v>1929700047.96962</v>
          </cell>
          <cell r="DC139">
            <v>1942579329.7766597</v>
          </cell>
          <cell r="DD139">
            <v>1929700047.96962</v>
          </cell>
          <cell r="DE139">
            <v>1618189012.9524002</v>
          </cell>
          <cell r="DF139">
            <v>2241211082.9868398</v>
          </cell>
          <cell r="DG139">
            <v>1931284854.8807199</v>
          </cell>
          <cell r="DH139">
            <v>1929700047.96962</v>
          </cell>
          <cell r="DI139">
            <v>1929775042.6483297</v>
          </cell>
          <cell r="DJ139">
            <v>0</v>
          </cell>
          <cell r="DK139">
            <v>0</v>
          </cell>
          <cell r="DL139">
            <v>0</v>
          </cell>
          <cell r="DM139">
            <v>0</v>
          </cell>
          <cell r="DN139">
            <v>0</v>
          </cell>
          <cell r="DO139">
            <v>0</v>
          </cell>
          <cell r="DP139">
            <v>0</v>
          </cell>
          <cell r="DQ139">
            <v>0</v>
          </cell>
          <cell r="DR139">
            <v>0</v>
          </cell>
          <cell r="DS139">
            <v>0</v>
          </cell>
          <cell r="DT139">
            <v>0</v>
          </cell>
          <cell r="DU139">
            <v>0</v>
          </cell>
          <cell r="DV139">
            <v>0</v>
          </cell>
          <cell r="DW139">
            <v>0</v>
          </cell>
          <cell r="DX139" t="str">
            <v/>
          </cell>
          <cell r="DY139" t="str">
            <v/>
          </cell>
          <cell r="DZ139" t="str">
            <v/>
          </cell>
          <cell r="EA139">
            <v>1929700047.96962</v>
          </cell>
          <cell r="EB139">
            <v>1929700047.96962</v>
          </cell>
          <cell r="EC139">
            <v>1929700047.96962</v>
          </cell>
          <cell r="ED139">
            <v>1929700047.96962</v>
          </cell>
          <cell r="EE139">
            <v>1929700047.96962</v>
          </cell>
          <cell r="EF139">
            <v>1929700047.96962</v>
          </cell>
          <cell r="EG139">
            <v>1929700047.96962</v>
          </cell>
          <cell r="EH139">
            <v>1929700047.96962</v>
          </cell>
          <cell r="EI139">
            <v>1929700047.96962</v>
          </cell>
          <cell r="EJ139">
            <v>1929700047.96962</v>
          </cell>
          <cell r="EK139">
            <v>1929700047.96962</v>
          </cell>
          <cell r="EL139">
            <v>1929700047.96962</v>
          </cell>
          <cell r="EM139">
            <v>1929700047.96962</v>
          </cell>
          <cell r="EN139">
            <v>1929700047.96962</v>
          </cell>
          <cell r="EO139">
            <v>1618189012.9524002</v>
          </cell>
          <cell r="EP139">
            <v>2241211082.9868398</v>
          </cell>
          <cell r="EQ139">
            <v>1929700047.96962</v>
          </cell>
          <cell r="ER139">
            <v>1929700047.96962</v>
          </cell>
          <cell r="ES139">
            <v>0</v>
          </cell>
          <cell r="ET139">
            <v>0</v>
          </cell>
          <cell r="EU139">
            <v>0</v>
          </cell>
          <cell r="EV139">
            <v>0</v>
          </cell>
          <cell r="EW139">
            <v>0</v>
          </cell>
          <cell r="EX139">
            <v>0</v>
          </cell>
          <cell r="EY139">
            <v>0</v>
          </cell>
          <cell r="EZ139">
            <v>0</v>
          </cell>
          <cell r="FA139">
            <v>0</v>
          </cell>
          <cell r="FB139">
            <v>0</v>
          </cell>
          <cell r="FC139">
            <v>0</v>
          </cell>
          <cell r="FD139">
            <v>311511017.88161993</v>
          </cell>
          <cell r="FE139">
            <v>1618189012.9524002</v>
          </cell>
          <cell r="FF139">
            <v>1948921155.3587</v>
          </cell>
          <cell r="FG139">
            <v>1856648518.6256199</v>
          </cell>
          <cell r="FH139">
            <v>0</v>
          </cell>
          <cell r="FI139">
            <v>0</v>
          </cell>
          <cell r="FJ139">
            <v>1858619769.8334701</v>
          </cell>
          <cell r="FK139">
            <v>1858619769.8334701</v>
          </cell>
          <cell r="FL139">
            <v>1858619769.8334701</v>
          </cell>
          <cell r="FM139">
            <v>0</v>
          </cell>
          <cell r="FN139">
            <v>1925914720.4069002</v>
          </cell>
          <cell r="FO139">
            <v>1925914720.4069002</v>
          </cell>
          <cell r="FP139">
            <v>1925914720.4069002</v>
          </cell>
          <cell r="FQ139">
            <v>1929700047.96962</v>
          </cell>
          <cell r="FR139">
            <v>0</v>
          </cell>
          <cell r="FS139">
            <v>1849460439.0834699</v>
          </cell>
          <cell r="FT139">
            <v>1849460439.0834699</v>
          </cell>
          <cell r="FU139">
            <v>1849460439.0834699</v>
          </cell>
          <cell r="FV139">
            <v>1849460439.0834699</v>
          </cell>
          <cell r="FW139">
            <v>1849460439.0834699</v>
          </cell>
          <cell r="FX139">
            <v>1849460439.0834699</v>
          </cell>
          <cell r="FY139">
            <v>1849460439.0834699</v>
          </cell>
          <cell r="FZ139">
            <v>1926768294.05198</v>
          </cell>
          <cell r="GA139">
            <v>1919962188.79915</v>
          </cell>
          <cell r="GB139">
            <v>1929700073.8731699</v>
          </cell>
          <cell r="GC139">
            <v>1929700047.96962</v>
          </cell>
          <cell r="GD139">
            <v>1929700047.96962</v>
          </cell>
          <cell r="GE139">
            <v>1939164931.61658</v>
          </cell>
          <cell r="GF139">
            <v>1935320268.6579499</v>
          </cell>
          <cell r="GG139">
            <v>1929700047.96962</v>
          </cell>
          <cell r="GH139">
            <v>1929700047.96962</v>
          </cell>
          <cell r="GI139">
            <v>1931284203.6515601</v>
          </cell>
          <cell r="GJ139">
            <v>1929700047.96962</v>
          </cell>
          <cell r="GK139">
            <v>1929745513.34131</v>
          </cell>
          <cell r="GL139">
            <v>1929700047.96962</v>
          </cell>
          <cell r="GM139">
            <v>1929700047.96962</v>
          </cell>
          <cell r="GN139">
            <v>1929700047.96962</v>
          </cell>
          <cell r="GO139">
            <v>1929700047.96962</v>
          </cell>
          <cell r="GP139">
            <v>1929700047.96962</v>
          </cell>
          <cell r="GQ139">
            <v>1929700047.96962</v>
          </cell>
          <cell r="GR139">
            <v>1929700047.96962</v>
          </cell>
          <cell r="GS139">
            <v>1929700047.96962</v>
          </cell>
          <cell r="GT139">
            <v>1929700047.96962</v>
          </cell>
          <cell r="GU139" t="str">
            <v/>
          </cell>
          <cell r="GZ139">
            <v>0</v>
          </cell>
        </row>
        <row r="140">
          <cell r="A140" t="str">
            <v>F_PVP_NRF_EPA_EUR_FRCE_PVI</v>
          </cell>
          <cell r="B140">
            <v>5054293166.6383905</v>
          </cell>
          <cell r="D140">
            <v>5675272642.1716995</v>
          </cell>
          <cell r="E140">
            <v>5436530754.8514805</v>
          </cell>
          <cell r="F140">
            <v>5675272642.1716995</v>
          </cell>
          <cell r="G140">
            <v>5675272642.1716995</v>
          </cell>
          <cell r="H140">
            <v>0</v>
          </cell>
          <cell r="I140">
            <v>0</v>
          </cell>
          <cell r="J140">
            <v>5675272642.1716995</v>
          </cell>
          <cell r="K140">
            <v>5675272642.1716995</v>
          </cell>
          <cell r="L140">
            <v>5675272642.1716995</v>
          </cell>
          <cell r="M140">
            <v>0</v>
          </cell>
          <cell r="N140">
            <v>5675272642.1716995</v>
          </cell>
          <cell r="O140">
            <v>5675272642.1716995</v>
          </cell>
          <cell r="P140">
            <v>5675272642.1716995</v>
          </cell>
          <cell r="Q140">
            <v>5675272642.1716995</v>
          </cell>
          <cell r="R140">
            <v>0</v>
          </cell>
          <cell r="S140">
            <v>5675272642.1716995</v>
          </cell>
          <cell r="T140">
            <v>5675272642.1716995</v>
          </cell>
          <cell r="U140">
            <v>5675272642.1716995</v>
          </cell>
          <cell r="V140">
            <v>5675272642.1716995</v>
          </cell>
          <cell r="W140">
            <v>5675272642.1716995</v>
          </cell>
          <cell r="X140">
            <v>5675272642.1716995</v>
          </cell>
          <cell r="Y140">
            <v>5675272642.1716995</v>
          </cell>
          <cell r="Z140">
            <v>5675272642.1716995</v>
          </cell>
          <cell r="AA140">
            <v>5675272642.1716995</v>
          </cell>
          <cell r="AB140">
            <v>5718668874.3650703</v>
          </cell>
          <cell r="AC140">
            <v>5497462322.9257393</v>
          </cell>
          <cell r="AD140">
            <v>0</v>
          </cell>
          <cell r="AE140">
            <v>0</v>
          </cell>
          <cell r="AF140">
            <v>5480463488.9735394</v>
          </cell>
          <cell r="AG140">
            <v>5480463488.9735394</v>
          </cell>
          <cell r="AH140">
            <v>5480463488.9735394</v>
          </cell>
          <cell r="AI140">
            <v>0</v>
          </cell>
          <cell r="AJ140">
            <v>5653160392.5999002</v>
          </cell>
          <cell r="AK140">
            <v>5653160392.5999002</v>
          </cell>
          <cell r="AL140">
            <v>5653160392.5999002</v>
          </cell>
          <cell r="AM140">
            <v>5675272543.3491096</v>
          </cell>
          <cell r="AN140">
            <v>0</v>
          </cell>
          <cell r="AO140">
            <v>5438971814.6108398</v>
          </cell>
          <cell r="AP140">
            <v>5438971814.6108398</v>
          </cell>
          <cell r="AQ140">
            <v>5438971814.6108398</v>
          </cell>
          <cell r="AR140">
            <v>5438971814.6108398</v>
          </cell>
          <cell r="AS140">
            <v>5438971814.6108398</v>
          </cell>
          <cell r="AT140">
            <v>5438971814.6108398</v>
          </cell>
          <cell r="AU140">
            <v>5438971814.6108398</v>
          </cell>
          <cell r="AV140">
            <v>5666575853.6386995</v>
          </cell>
          <cell r="AW140">
            <v>5675272642.1716995</v>
          </cell>
          <cell r="AX140">
            <v>5436530754.8514805</v>
          </cell>
          <cell r="AY140">
            <v>5436530754.8514805</v>
          </cell>
          <cell r="AZ140">
            <v>0</v>
          </cell>
          <cell r="BA140">
            <v>0</v>
          </cell>
          <cell r="BB140">
            <v>5436530754.8514805</v>
          </cell>
          <cell r="BC140">
            <v>5436530754.8514805</v>
          </cell>
          <cell r="BD140">
            <v>5436530754.8514805</v>
          </cell>
          <cell r="BE140">
            <v>0</v>
          </cell>
          <cell r="BF140">
            <v>5436530754.8514805</v>
          </cell>
          <cell r="BG140">
            <v>5436530754.8514805</v>
          </cell>
          <cell r="BH140">
            <v>5436530754.8514805</v>
          </cell>
          <cell r="BI140">
            <v>5436530754.8514805</v>
          </cell>
          <cell r="BJ140">
            <v>0</v>
          </cell>
          <cell r="BK140">
            <v>5436530754.8514805</v>
          </cell>
          <cell r="BL140">
            <v>5436530754.8514805</v>
          </cell>
          <cell r="BM140">
            <v>5436530754.8514805</v>
          </cell>
          <cell r="BN140">
            <v>5436530754.8514805</v>
          </cell>
          <cell r="BO140">
            <v>5436530754.8514805</v>
          </cell>
          <cell r="BP140">
            <v>5436530754.8514805</v>
          </cell>
          <cell r="BQ140">
            <v>5436530754.8514805</v>
          </cell>
          <cell r="BR140">
            <v>5436530754.8514805</v>
          </cell>
          <cell r="BS140">
            <v>5436530754.8514805</v>
          </cell>
          <cell r="BT140">
            <v>5591987522.9922304</v>
          </cell>
          <cell r="BU140">
            <v>5066883475.4888287</v>
          </cell>
          <cell r="BV140">
            <v>0</v>
          </cell>
          <cell r="BW140">
            <v>0</v>
          </cell>
          <cell r="BX140">
            <v>5436530754.8514805</v>
          </cell>
          <cell r="BY140">
            <v>5436530754.8514805</v>
          </cell>
          <cell r="BZ140">
            <v>5436530754.8514805</v>
          </cell>
          <cell r="CA140">
            <v>0</v>
          </cell>
          <cell r="CB140">
            <v>5436530754.8514805</v>
          </cell>
          <cell r="CC140">
            <v>5436530754.8514805</v>
          </cell>
          <cell r="CD140">
            <v>5436530754.8514805</v>
          </cell>
          <cell r="CE140">
            <v>5436530754.8514805</v>
          </cell>
          <cell r="CF140">
            <v>0</v>
          </cell>
          <cell r="CG140">
            <v>5436530754.8514805</v>
          </cell>
          <cell r="CH140">
            <v>5436530754.8514805</v>
          </cell>
          <cell r="CI140">
            <v>5436530754.8514805</v>
          </cell>
          <cell r="CJ140">
            <v>5436530754.8514805</v>
          </cell>
          <cell r="CK140">
            <v>5436530754.8514805</v>
          </cell>
          <cell r="CL140">
            <v>5436530754.8514805</v>
          </cell>
          <cell r="CM140">
            <v>5436530754.8514805</v>
          </cell>
          <cell r="CN140">
            <v>5436530754.8514805</v>
          </cell>
          <cell r="CO140">
            <v>5429173182.1904402</v>
          </cell>
          <cell r="CP140">
            <v>5436530754.8514805</v>
          </cell>
          <cell r="CQ140">
            <v>5436530754.8514805</v>
          </cell>
          <cell r="CR140">
            <v>5436530754.8514805</v>
          </cell>
          <cell r="CS140">
            <v>5436530754.8514805</v>
          </cell>
          <cell r="CT140">
            <v>5436530754.8514805</v>
          </cell>
          <cell r="CU140">
            <v>5436530754.8514805</v>
          </cell>
          <cell r="CV140">
            <v>5436530754.8514805</v>
          </cell>
          <cell r="CW140">
            <v>5436530754.8514805</v>
          </cell>
          <cell r="CX140">
            <v>5436530754.8514805</v>
          </cell>
          <cell r="CY140">
            <v>5436530754.8514805</v>
          </cell>
          <cell r="CZ140">
            <v>5473553383.8733397</v>
          </cell>
          <cell r="DA140">
            <v>5436530754.8514805</v>
          </cell>
          <cell r="DB140">
            <v>5436530754.8514805</v>
          </cell>
          <cell r="DC140">
            <v>5533049749.5040302</v>
          </cell>
          <cell r="DD140">
            <v>5436530754.8514805</v>
          </cell>
          <cell r="DE140">
            <v>4395541052.7854109</v>
          </cell>
          <cell r="DF140">
            <v>6477520456.9175501</v>
          </cell>
          <cell r="DG140">
            <v>5438422721.6297598</v>
          </cell>
          <cell r="DH140">
            <v>5436530754.8514805</v>
          </cell>
          <cell r="DI140">
            <v>5437309141.5597095</v>
          </cell>
          <cell r="DJ140">
            <v>0</v>
          </cell>
          <cell r="DK140">
            <v>0</v>
          </cell>
          <cell r="DL140">
            <v>0</v>
          </cell>
          <cell r="DM140">
            <v>0</v>
          </cell>
          <cell r="DN140">
            <v>0</v>
          </cell>
          <cell r="DO140">
            <v>0</v>
          </cell>
          <cell r="DP140">
            <v>0</v>
          </cell>
          <cell r="DQ140">
            <v>0</v>
          </cell>
          <cell r="DR140">
            <v>0</v>
          </cell>
          <cell r="DS140">
            <v>0</v>
          </cell>
          <cell r="DT140">
            <v>0</v>
          </cell>
          <cell r="DU140">
            <v>0</v>
          </cell>
          <cell r="DV140">
            <v>0</v>
          </cell>
          <cell r="DW140">
            <v>0</v>
          </cell>
          <cell r="DX140" t="str">
            <v/>
          </cell>
          <cell r="DY140" t="str">
            <v/>
          </cell>
          <cell r="DZ140" t="str">
            <v/>
          </cell>
          <cell r="EA140">
            <v>5436530754.8514805</v>
          </cell>
          <cell r="EB140">
            <v>5436530754.8514805</v>
          </cell>
          <cell r="EC140">
            <v>5436530754.8514805</v>
          </cell>
          <cell r="ED140">
            <v>5436530754.8514805</v>
          </cell>
          <cell r="EE140">
            <v>5436530754.8514805</v>
          </cell>
          <cell r="EF140">
            <v>5436530754.8514805</v>
          </cell>
          <cell r="EG140">
            <v>5436530754.8514805</v>
          </cell>
          <cell r="EH140">
            <v>5436530754.8514805</v>
          </cell>
          <cell r="EI140">
            <v>5436530754.8514805</v>
          </cell>
          <cell r="EJ140">
            <v>5436530754.8514805</v>
          </cell>
          <cell r="EK140">
            <v>5436530754.8514805</v>
          </cell>
          <cell r="EL140">
            <v>5436530754.8514805</v>
          </cell>
          <cell r="EM140">
            <v>5436530754.8514805</v>
          </cell>
          <cell r="EN140">
            <v>5436530754.8514805</v>
          </cell>
          <cell r="EO140">
            <v>4395541052.7854109</v>
          </cell>
          <cell r="EP140">
            <v>6477520456.9175501</v>
          </cell>
          <cell r="EQ140">
            <v>5436530754.8514805</v>
          </cell>
          <cell r="ER140">
            <v>5436530754.8514805</v>
          </cell>
          <cell r="ES140">
            <v>0</v>
          </cell>
          <cell r="ET140">
            <v>0</v>
          </cell>
          <cell r="EU140">
            <v>0</v>
          </cell>
          <cell r="EV140">
            <v>0</v>
          </cell>
          <cell r="EW140">
            <v>0</v>
          </cell>
          <cell r="EX140">
            <v>0</v>
          </cell>
          <cell r="EY140">
            <v>0</v>
          </cell>
          <cell r="EZ140">
            <v>0</v>
          </cell>
          <cell r="FA140">
            <v>0</v>
          </cell>
          <cell r="FB140">
            <v>0</v>
          </cell>
          <cell r="FC140">
            <v>0</v>
          </cell>
          <cell r="FD140">
            <v>1040989803.8141985</v>
          </cell>
          <cell r="FE140">
            <v>4395541052.7854109</v>
          </cell>
          <cell r="FF140">
            <v>5507314978.2351398</v>
          </cell>
          <cell r="FG140">
            <v>5223119408.3324203</v>
          </cell>
          <cell r="FH140">
            <v>0</v>
          </cell>
          <cell r="FI140">
            <v>0</v>
          </cell>
          <cell r="FJ140">
            <v>5286680253.7507992</v>
          </cell>
          <cell r="FK140">
            <v>5286680253.7507992</v>
          </cell>
          <cell r="FL140">
            <v>5286680253.7507992</v>
          </cell>
          <cell r="FM140">
            <v>0</v>
          </cell>
          <cell r="FN140">
            <v>5418772214.709939</v>
          </cell>
          <cell r="FO140">
            <v>5418772214.709939</v>
          </cell>
          <cell r="FP140">
            <v>5418772214.709939</v>
          </cell>
          <cell r="FQ140">
            <v>5436530656.0288992</v>
          </cell>
          <cell r="FR140">
            <v>0</v>
          </cell>
          <cell r="FS140">
            <v>5245543812.7666006</v>
          </cell>
          <cell r="FT140">
            <v>5245543812.7666006</v>
          </cell>
          <cell r="FU140">
            <v>5245543812.7666006</v>
          </cell>
          <cell r="FV140">
            <v>5245543812.7666006</v>
          </cell>
          <cell r="FW140">
            <v>5245543812.7666006</v>
          </cell>
          <cell r="FX140">
            <v>5245543812.7666006</v>
          </cell>
          <cell r="FY140">
            <v>5245543812.7666006</v>
          </cell>
          <cell r="FZ140">
            <v>5429599536.0864697</v>
          </cell>
          <cell r="GA140">
            <v>5428958311.5511494</v>
          </cell>
          <cell r="GB140">
            <v>5445120439.80299</v>
          </cell>
          <cell r="GC140">
            <v>5436530754.8514805</v>
          </cell>
          <cell r="GD140">
            <v>5436530754.8514805</v>
          </cell>
          <cell r="GE140">
            <v>5458802828.2041597</v>
          </cell>
          <cell r="GF140">
            <v>5436589782.3970804</v>
          </cell>
          <cell r="GG140">
            <v>5436530754.8514805</v>
          </cell>
          <cell r="GH140">
            <v>5436530754.8514805</v>
          </cell>
          <cell r="GI140">
            <v>5437840794.2754202</v>
          </cell>
          <cell r="GJ140">
            <v>5436530754.8514805</v>
          </cell>
          <cell r="GK140">
            <v>5436714257.6901903</v>
          </cell>
          <cell r="GL140">
            <v>5436530754.8514805</v>
          </cell>
          <cell r="GM140">
            <v>5436530754.8514805</v>
          </cell>
          <cell r="GN140">
            <v>5436530754.8514805</v>
          </cell>
          <cell r="GO140">
            <v>5436530754.8514805</v>
          </cell>
          <cell r="GP140">
            <v>5436530754.8514805</v>
          </cell>
          <cell r="GQ140">
            <v>5436530754.8514805</v>
          </cell>
          <cell r="GR140">
            <v>5436530754.8514805</v>
          </cell>
          <cell r="GS140">
            <v>5436530754.8514805</v>
          </cell>
          <cell r="GT140">
            <v>5436530754.8514805</v>
          </cell>
          <cell r="GU140" t="str">
            <v/>
          </cell>
          <cell r="GZ140">
            <v>0</v>
          </cell>
        </row>
        <row r="141">
          <cell r="A141" t="str">
            <v>F_PVP_NRF_CPT_PRP_FRCE_PVF</v>
          </cell>
          <cell r="B141">
            <v>0</v>
          </cell>
          <cell r="D141">
            <v>0</v>
          </cell>
          <cell r="E141">
            <v>0</v>
          </cell>
          <cell r="F141">
            <v>0</v>
          </cell>
          <cell r="G141">
            <v>0</v>
          </cell>
          <cell r="H141">
            <v>0</v>
          </cell>
          <cell r="I141">
            <v>0</v>
          </cell>
          <cell r="J141">
            <v>0</v>
          </cell>
          <cell r="K141">
            <v>0</v>
          </cell>
          <cell r="L141">
            <v>0</v>
          </cell>
          <cell r="M141">
            <v>0</v>
          </cell>
          <cell r="N141">
            <v>0</v>
          </cell>
          <cell r="O141">
            <v>0</v>
          </cell>
          <cell r="P141">
            <v>0</v>
          </cell>
          <cell r="Q141">
            <v>0</v>
          </cell>
          <cell r="R141">
            <v>0</v>
          </cell>
          <cell r="S141">
            <v>0</v>
          </cell>
          <cell r="T141">
            <v>0</v>
          </cell>
          <cell r="U141">
            <v>0</v>
          </cell>
          <cell r="V141">
            <v>0</v>
          </cell>
          <cell r="W141">
            <v>0</v>
          </cell>
          <cell r="X141">
            <v>0</v>
          </cell>
          <cell r="Y141">
            <v>0</v>
          </cell>
          <cell r="Z141">
            <v>0</v>
          </cell>
          <cell r="AA141">
            <v>0</v>
          </cell>
          <cell r="AB141">
            <v>0</v>
          </cell>
          <cell r="AC141">
            <v>0</v>
          </cell>
          <cell r="AD141">
            <v>0</v>
          </cell>
          <cell r="AE141">
            <v>0</v>
          </cell>
          <cell r="AF141">
            <v>0</v>
          </cell>
          <cell r="AG141">
            <v>0</v>
          </cell>
          <cell r="AH141">
            <v>0</v>
          </cell>
          <cell r="AI141">
            <v>0</v>
          </cell>
          <cell r="AJ141">
            <v>0</v>
          </cell>
          <cell r="AK141">
            <v>0</v>
          </cell>
          <cell r="AL141">
            <v>0</v>
          </cell>
          <cell r="AM141">
            <v>0</v>
          </cell>
          <cell r="AN141">
            <v>0</v>
          </cell>
          <cell r="AO141">
            <v>0</v>
          </cell>
          <cell r="AP141">
            <v>0</v>
          </cell>
          <cell r="AQ141">
            <v>0</v>
          </cell>
          <cell r="AR141">
            <v>0</v>
          </cell>
          <cell r="AS141">
            <v>0</v>
          </cell>
          <cell r="AT141">
            <v>0</v>
          </cell>
          <cell r="AU141">
            <v>0</v>
          </cell>
          <cell r="AV141">
            <v>0</v>
          </cell>
          <cell r="AW141">
            <v>0</v>
          </cell>
          <cell r="AX141">
            <v>0</v>
          </cell>
          <cell r="AY141">
            <v>0</v>
          </cell>
          <cell r="AZ141">
            <v>0</v>
          </cell>
          <cell r="BA141">
            <v>0</v>
          </cell>
          <cell r="BB141">
            <v>0</v>
          </cell>
          <cell r="BC141">
            <v>0</v>
          </cell>
          <cell r="BD141">
            <v>0</v>
          </cell>
          <cell r="BE141">
            <v>0</v>
          </cell>
          <cell r="BF141">
            <v>0</v>
          </cell>
          <cell r="BG141">
            <v>0</v>
          </cell>
          <cell r="BH141">
            <v>0</v>
          </cell>
          <cell r="BI141">
            <v>0</v>
          </cell>
          <cell r="BJ141">
            <v>0</v>
          </cell>
          <cell r="BK141">
            <v>0</v>
          </cell>
          <cell r="BL141">
            <v>0</v>
          </cell>
          <cell r="BM141">
            <v>0</v>
          </cell>
          <cell r="BN141">
            <v>0</v>
          </cell>
          <cell r="BO141">
            <v>0</v>
          </cell>
          <cell r="BP141">
            <v>0</v>
          </cell>
          <cell r="BQ141">
            <v>0</v>
          </cell>
          <cell r="BR141">
            <v>0</v>
          </cell>
          <cell r="BS141">
            <v>0</v>
          </cell>
          <cell r="BT141">
            <v>0</v>
          </cell>
          <cell r="BU141">
            <v>0</v>
          </cell>
          <cell r="BV141">
            <v>0</v>
          </cell>
          <cell r="BW141">
            <v>0</v>
          </cell>
          <cell r="BX141">
            <v>0</v>
          </cell>
          <cell r="BY141">
            <v>0</v>
          </cell>
          <cell r="BZ141">
            <v>0</v>
          </cell>
          <cell r="CA141">
            <v>0</v>
          </cell>
          <cell r="CB141">
            <v>0</v>
          </cell>
          <cell r="CC141">
            <v>0</v>
          </cell>
          <cell r="CD141">
            <v>0</v>
          </cell>
          <cell r="CE141">
            <v>0</v>
          </cell>
          <cell r="CF141">
            <v>0</v>
          </cell>
          <cell r="CG141">
            <v>0</v>
          </cell>
          <cell r="CH141">
            <v>0</v>
          </cell>
          <cell r="CI141">
            <v>0</v>
          </cell>
          <cell r="CJ141">
            <v>0</v>
          </cell>
          <cell r="CK141">
            <v>0</v>
          </cell>
          <cell r="CL141">
            <v>0</v>
          </cell>
          <cell r="CM141">
            <v>0</v>
          </cell>
          <cell r="CN141">
            <v>0</v>
          </cell>
          <cell r="CO141">
            <v>0</v>
          </cell>
          <cell r="CP141">
            <v>0</v>
          </cell>
          <cell r="CQ141">
            <v>0</v>
          </cell>
          <cell r="CR141">
            <v>0</v>
          </cell>
          <cell r="CS141">
            <v>0</v>
          </cell>
          <cell r="CT141">
            <v>0</v>
          </cell>
          <cell r="CU141">
            <v>0</v>
          </cell>
          <cell r="CV141">
            <v>0</v>
          </cell>
          <cell r="CW141">
            <v>0</v>
          </cell>
          <cell r="CX141">
            <v>0</v>
          </cell>
          <cell r="CY141">
            <v>0</v>
          </cell>
          <cell r="CZ141">
            <v>0</v>
          </cell>
          <cell r="DA141">
            <v>0</v>
          </cell>
          <cell r="DB141">
            <v>0</v>
          </cell>
          <cell r="DC141">
            <v>0</v>
          </cell>
          <cell r="DD141">
            <v>0</v>
          </cell>
          <cell r="DE141">
            <v>0</v>
          </cell>
          <cell r="DF141">
            <v>-1</v>
          </cell>
          <cell r="DG141">
            <v>0</v>
          </cell>
          <cell r="DH141">
            <v>0</v>
          </cell>
          <cell r="DI141">
            <v>0</v>
          </cell>
          <cell r="DJ141">
            <v>0</v>
          </cell>
          <cell r="DK141">
            <v>0</v>
          </cell>
          <cell r="DL141">
            <v>0</v>
          </cell>
          <cell r="DM141">
            <v>0</v>
          </cell>
          <cell r="DN141">
            <v>0</v>
          </cell>
          <cell r="DO141">
            <v>0</v>
          </cell>
          <cell r="DP141">
            <v>0</v>
          </cell>
          <cell r="DQ141">
            <v>0</v>
          </cell>
          <cell r="DR141">
            <v>0</v>
          </cell>
          <cell r="DS141">
            <v>0</v>
          </cell>
          <cell r="DT141">
            <v>0</v>
          </cell>
          <cell r="DU141">
            <v>0</v>
          </cell>
          <cell r="DV141">
            <v>0</v>
          </cell>
          <cell r="DW141">
            <v>0</v>
          </cell>
          <cell r="DX141" t="str">
            <v/>
          </cell>
          <cell r="DY141" t="str">
            <v/>
          </cell>
          <cell r="DZ141" t="str">
            <v/>
          </cell>
          <cell r="EA141">
            <v>0</v>
          </cell>
          <cell r="EB141">
            <v>0</v>
          </cell>
          <cell r="EC141">
            <v>0</v>
          </cell>
          <cell r="ED141">
            <v>0</v>
          </cell>
          <cell r="EE141">
            <v>0</v>
          </cell>
          <cell r="EF141">
            <v>0</v>
          </cell>
          <cell r="EG141">
            <v>0</v>
          </cell>
          <cell r="EH141">
            <v>0</v>
          </cell>
          <cell r="EI141">
            <v>0</v>
          </cell>
          <cell r="EJ141">
            <v>0</v>
          </cell>
          <cell r="EK141">
            <v>0</v>
          </cell>
          <cell r="EL141">
            <v>0</v>
          </cell>
          <cell r="EM141">
            <v>0</v>
          </cell>
          <cell r="EN141">
            <v>0</v>
          </cell>
          <cell r="EO141">
            <v>0</v>
          </cell>
          <cell r="EP141">
            <v>0</v>
          </cell>
          <cell r="EQ141">
            <v>0</v>
          </cell>
          <cell r="ER141">
            <v>0</v>
          </cell>
          <cell r="ES141">
            <v>0</v>
          </cell>
          <cell r="ET141">
            <v>0</v>
          </cell>
          <cell r="EU141">
            <v>0</v>
          </cell>
          <cell r="EV141">
            <v>0</v>
          </cell>
          <cell r="EW141">
            <v>0</v>
          </cell>
          <cell r="EX141">
            <v>0</v>
          </cell>
          <cell r="EY141">
            <v>0</v>
          </cell>
          <cell r="EZ141">
            <v>0</v>
          </cell>
          <cell r="FA141">
            <v>0</v>
          </cell>
          <cell r="FB141">
            <v>0</v>
          </cell>
          <cell r="FC141">
            <v>0</v>
          </cell>
          <cell r="FD141">
            <v>0</v>
          </cell>
          <cell r="FE141">
            <v>0</v>
          </cell>
          <cell r="FF141">
            <v>0</v>
          </cell>
          <cell r="FG141">
            <v>0</v>
          </cell>
          <cell r="FH141">
            <v>0</v>
          </cell>
          <cell r="FI141">
            <v>0</v>
          </cell>
          <cell r="FJ141">
            <v>0</v>
          </cell>
          <cell r="FK141">
            <v>0</v>
          </cell>
          <cell r="FL141">
            <v>0</v>
          </cell>
          <cell r="FM141">
            <v>0</v>
          </cell>
          <cell r="FN141">
            <v>0</v>
          </cell>
          <cell r="FO141">
            <v>0</v>
          </cell>
          <cell r="FP141">
            <v>0</v>
          </cell>
          <cell r="FQ141">
            <v>0</v>
          </cell>
          <cell r="FR141">
            <v>0</v>
          </cell>
          <cell r="FS141">
            <v>0</v>
          </cell>
          <cell r="FT141">
            <v>0</v>
          </cell>
          <cell r="FU141">
            <v>0</v>
          </cell>
          <cell r="FV141">
            <v>0</v>
          </cell>
          <cell r="FW141">
            <v>0</v>
          </cell>
          <cell r="FX141">
            <v>0</v>
          </cell>
          <cell r="FY141">
            <v>0</v>
          </cell>
          <cell r="FZ141">
            <v>0</v>
          </cell>
          <cell r="GA141">
            <v>0</v>
          </cell>
          <cell r="GB141">
            <v>0</v>
          </cell>
          <cell r="GC141">
            <v>0</v>
          </cell>
          <cell r="GD141">
            <v>0</v>
          </cell>
          <cell r="GE141">
            <v>0</v>
          </cell>
          <cell r="GF141">
            <v>0</v>
          </cell>
          <cell r="GG141">
            <v>0</v>
          </cell>
          <cell r="GH141">
            <v>132</v>
          </cell>
          <cell r="GI141">
            <v>0</v>
          </cell>
          <cell r="GJ141">
            <v>0</v>
          </cell>
          <cell r="GK141">
            <v>0</v>
          </cell>
          <cell r="GL141">
            <v>0</v>
          </cell>
          <cell r="GM141">
            <v>0</v>
          </cell>
          <cell r="GN141">
            <v>0</v>
          </cell>
          <cell r="GO141">
            <v>0</v>
          </cell>
          <cell r="GP141">
            <v>0</v>
          </cell>
          <cell r="GQ141">
            <v>0</v>
          </cell>
          <cell r="GR141">
            <v>0</v>
          </cell>
          <cell r="GS141">
            <v>0</v>
          </cell>
          <cell r="GT141">
            <v>0</v>
          </cell>
          <cell r="GZ141">
            <v>0</v>
          </cell>
        </row>
        <row r="142">
          <cell r="A142" t="str">
            <v>F_MFP_NRF_RIS_COL_FRCE_MFP</v>
          </cell>
          <cell r="B142">
            <v>814642521.21920252</v>
          </cell>
          <cell r="C142">
            <v>0</v>
          </cell>
          <cell r="D142">
            <v>497801939.40600002</v>
          </cell>
          <cell r="E142">
            <v>532178295.23231691</v>
          </cell>
          <cell r="F142">
            <v>497801939.40600002</v>
          </cell>
          <cell r="G142">
            <v>497801939.40600002</v>
          </cell>
          <cell r="H142">
            <v>0</v>
          </cell>
          <cell r="I142">
            <v>0</v>
          </cell>
          <cell r="J142">
            <v>497801939.40600002</v>
          </cell>
          <cell r="K142">
            <v>0</v>
          </cell>
          <cell r="L142">
            <v>0</v>
          </cell>
          <cell r="M142">
            <v>0</v>
          </cell>
          <cell r="N142">
            <v>497801939.40600002</v>
          </cell>
          <cell r="O142">
            <v>0</v>
          </cell>
          <cell r="P142">
            <v>0</v>
          </cell>
          <cell r="Q142">
            <v>497801939.40600002</v>
          </cell>
          <cell r="R142">
            <v>0</v>
          </cell>
          <cell r="S142">
            <v>497801939.40600002</v>
          </cell>
          <cell r="T142">
            <v>0</v>
          </cell>
          <cell r="U142">
            <v>0</v>
          </cell>
          <cell r="V142">
            <v>0</v>
          </cell>
          <cell r="W142">
            <v>0</v>
          </cell>
          <cell r="X142">
            <v>0</v>
          </cell>
          <cell r="Y142">
            <v>0</v>
          </cell>
          <cell r="Z142">
            <v>497801939.40600002</v>
          </cell>
          <cell r="AA142">
            <v>497801939.40600002</v>
          </cell>
          <cell r="AB142">
            <v>522232971.03407788</v>
          </cell>
          <cell r="AC142">
            <v>482841315.59582347</v>
          </cell>
          <cell r="AD142">
            <v>0</v>
          </cell>
          <cell r="AE142">
            <v>0</v>
          </cell>
          <cell r="AF142">
            <v>484654381.60912007</v>
          </cell>
          <cell r="AG142">
            <v>0</v>
          </cell>
          <cell r="AH142">
            <v>0</v>
          </cell>
          <cell r="AI142">
            <v>0</v>
          </cell>
          <cell r="AJ142">
            <v>493152517.67269784</v>
          </cell>
          <cell r="AK142">
            <v>0</v>
          </cell>
          <cell r="AL142">
            <v>0</v>
          </cell>
          <cell r="AM142">
            <v>497801939.40600002</v>
          </cell>
          <cell r="AN142">
            <v>0</v>
          </cell>
          <cell r="AO142">
            <v>477597420.78816682</v>
          </cell>
          <cell r="AP142">
            <v>0</v>
          </cell>
          <cell r="AQ142">
            <v>0</v>
          </cell>
          <cell r="AR142">
            <v>0</v>
          </cell>
          <cell r="AS142">
            <v>0</v>
          </cell>
          <cell r="AT142">
            <v>0</v>
          </cell>
          <cell r="AU142">
            <v>0</v>
          </cell>
          <cell r="AV142">
            <v>494845899.00370955</v>
          </cell>
          <cell r="AW142">
            <v>497801939.40600002</v>
          </cell>
          <cell r="AX142">
            <v>532178295.23231691</v>
          </cell>
          <cell r="AY142">
            <v>532178295.23231691</v>
          </cell>
          <cell r="AZ142">
            <v>0</v>
          </cell>
          <cell r="BA142">
            <v>0</v>
          </cell>
          <cell r="BB142">
            <v>0</v>
          </cell>
          <cell r="BC142">
            <v>0</v>
          </cell>
          <cell r="BD142">
            <v>0</v>
          </cell>
          <cell r="BE142">
            <v>0</v>
          </cell>
          <cell r="BF142">
            <v>0</v>
          </cell>
          <cell r="BG142">
            <v>0</v>
          </cell>
          <cell r="BH142">
            <v>0</v>
          </cell>
          <cell r="BI142">
            <v>0</v>
          </cell>
          <cell r="BJ142">
            <v>0</v>
          </cell>
          <cell r="BK142">
            <v>0</v>
          </cell>
          <cell r="BL142">
            <v>0</v>
          </cell>
          <cell r="BM142">
            <v>0</v>
          </cell>
          <cell r="BN142">
            <v>0</v>
          </cell>
          <cell r="BO142">
            <v>0</v>
          </cell>
          <cell r="BP142">
            <v>0</v>
          </cell>
          <cell r="BQ142">
            <v>0</v>
          </cell>
          <cell r="BR142">
            <v>0</v>
          </cell>
          <cell r="BS142">
            <v>532178295.23231691</v>
          </cell>
          <cell r="BT142">
            <v>560089141.13746881</v>
          </cell>
          <cell r="BU142">
            <v>510012740.8201319</v>
          </cell>
          <cell r="BV142">
            <v>0</v>
          </cell>
          <cell r="BW142">
            <v>0</v>
          </cell>
          <cell r="BX142">
            <v>0</v>
          </cell>
          <cell r="BY142">
            <v>0</v>
          </cell>
          <cell r="BZ142">
            <v>0</v>
          </cell>
          <cell r="CA142">
            <v>0</v>
          </cell>
          <cell r="CB142">
            <v>0</v>
          </cell>
          <cell r="CC142">
            <v>0</v>
          </cell>
          <cell r="CD142">
            <v>0</v>
          </cell>
          <cell r="CE142">
            <v>0</v>
          </cell>
          <cell r="CF142">
            <v>0</v>
          </cell>
          <cell r="CG142">
            <v>0</v>
          </cell>
          <cell r="CH142">
            <v>0</v>
          </cell>
          <cell r="CI142">
            <v>0</v>
          </cell>
          <cell r="CJ142">
            <v>0</v>
          </cell>
          <cell r="CK142">
            <v>0</v>
          </cell>
          <cell r="CL142">
            <v>0</v>
          </cell>
          <cell r="CM142">
            <v>0</v>
          </cell>
          <cell r="CN142">
            <v>0</v>
          </cell>
          <cell r="CO142">
            <v>537815746.02755165</v>
          </cell>
          <cell r="CP142">
            <v>42481827.8528198</v>
          </cell>
          <cell r="CQ142">
            <v>42481827.8528198</v>
          </cell>
          <cell r="CR142">
            <v>42481827.8528198</v>
          </cell>
          <cell r="CS142">
            <v>42481827.8528198</v>
          </cell>
          <cell r="CT142">
            <v>42481827.8528198</v>
          </cell>
          <cell r="CU142">
            <v>42481827.8528198</v>
          </cell>
          <cell r="CV142">
            <v>0</v>
          </cell>
          <cell r="CW142">
            <v>42481827.8528198</v>
          </cell>
          <cell r="CX142">
            <v>42481827.8528198</v>
          </cell>
          <cell r="CY142">
            <v>42481827.8528198</v>
          </cell>
          <cell r="CZ142">
            <v>47313503.583129011</v>
          </cell>
          <cell r="DA142">
            <v>42586877.633518338</v>
          </cell>
          <cell r="DB142">
            <v>42481827.8528198</v>
          </cell>
          <cell r="DC142">
            <v>42481827.8528198</v>
          </cell>
          <cell r="DD142">
            <v>42481827.8528198</v>
          </cell>
          <cell r="DE142">
            <v>42481827.8528198</v>
          </cell>
          <cell r="DF142">
            <v>0</v>
          </cell>
          <cell r="DG142">
            <v>42852726.494819798</v>
          </cell>
          <cell r="DH142">
            <v>42492734.29947193</v>
          </cell>
          <cell r="DI142">
            <v>55440880.766868427</v>
          </cell>
          <cell r="DJ142">
            <v>0</v>
          </cell>
          <cell r="DK142">
            <v>0</v>
          </cell>
          <cell r="DL142">
            <v>0</v>
          </cell>
          <cell r="DM142">
            <v>0</v>
          </cell>
          <cell r="DN142">
            <v>0</v>
          </cell>
          <cell r="DO142">
            <v>0</v>
          </cell>
          <cell r="DP142">
            <v>0</v>
          </cell>
          <cell r="DQ142">
            <v>0</v>
          </cell>
          <cell r="DR142">
            <v>0</v>
          </cell>
          <cell r="DS142">
            <v>0</v>
          </cell>
          <cell r="DT142">
            <v>0</v>
          </cell>
          <cell r="DU142">
            <v>0</v>
          </cell>
          <cell r="DV142">
            <v>0</v>
          </cell>
          <cell r="DW142">
            <v>0</v>
          </cell>
          <cell r="EA142">
            <v>489696467.37949711</v>
          </cell>
          <cell r="EB142">
            <v>489696467.37949711</v>
          </cell>
          <cell r="EC142">
            <v>489696467.37949711</v>
          </cell>
          <cell r="ED142">
            <v>489696467.37949711</v>
          </cell>
          <cell r="EE142">
            <v>489696467.37949711</v>
          </cell>
          <cell r="EF142">
            <v>489696467.37949711</v>
          </cell>
          <cell r="EG142">
            <v>489696467.37949711</v>
          </cell>
          <cell r="EH142">
            <v>489696467.37949711</v>
          </cell>
          <cell r="EI142">
            <v>489696467.37949711</v>
          </cell>
          <cell r="EJ142">
            <v>489703526.03969824</v>
          </cell>
          <cell r="EK142">
            <v>546872995.01180828</v>
          </cell>
          <cell r="EL142">
            <v>506981183.45284629</v>
          </cell>
          <cell r="EM142">
            <v>489696467.37949711</v>
          </cell>
          <cell r="EN142">
            <v>489696467.37949711</v>
          </cell>
          <cell r="EO142">
            <v>489696467.37949711</v>
          </cell>
          <cell r="EP142">
            <v>0</v>
          </cell>
          <cell r="EQ142">
            <v>492039408.48061907</v>
          </cell>
          <cell r="ER142">
            <v>500744084.50979316</v>
          </cell>
          <cell r="ES142">
            <v>0</v>
          </cell>
          <cell r="ET142">
            <v>0</v>
          </cell>
          <cell r="EU142">
            <v>0</v>
          </cell>
          <cell r="EV142">
            <v>0</v>
          </cell>
          <cell r="EW142">
            <v>0</v>
          </cell>
          <cell r="EX142">
            <v>0</v>
          </cell>
          <cell r="EY142">
            <v>0</v>
          </cell>
          <cell r="EZ142">
            <v>0</v>
          </cell>
          <cell r="FA142">
            <v>0</v>
          </cell>
          <cell r="FB142">
            <v>0</v>
          </cell>
          <cell r="FC142">
            <v>0</v>
          </cell>
          <cell r="FD142">
            <v>66562688.219292045</v>
          </cell>
          <cell r="FE142">
            <v>407655645.5141207</v>
          </cell>
          <cell r="FF142">
            <v>545852922.3917191</v>
          </cell>
          <cell r="FG142">
            <v>527398938.64707863</v>
          </cell>
          <cell r="FH142">
            <v>-11604261.142910231</v>
          </cell>
          <cell r="FI142">
            <v>-8572673.4588731155</v>
          </cell>
          <cell r="FJ142">
            <v>-8572673.4588731155</v>
          </cell>
          <cell r="FK142">
            <v>0</v>
          </cell>
          <cell r="FL142">
            <v>0</v>
          </cell>
          <cell r="FM142">
            <v>-3031587.6840371159</v>
          </cell>
          <cell r="FN142">
            <v>-3031587.6840371159</v>
          </cell>
          <cell r="FO142">
            <v>0</v>
          </cell>
          <cell r="FP142">
            <v>0</v>
          </cell>
          <cell r="FQ142">
            <v>0</v>
          </cell>
          <cell r="FR142">
            <v>-13174061.919355864</v>
          </cell>
          <cell r="FS142">
            <v>-13174061.919355864</v>
          </cell>
          <cell r="FT142">
            <v>0</v>
          </cell>
          <cell r="FU142">
            <v>0</v>
          </cell>
          <cell r="FV142">
            <v>0</v>
          </cell>
          <cell r="FW142">
            <v>0</v>
          </cell>
          <cell r="FX142">
            <v>0</v>
          </cell>
          <cell r="FY142">
            <v>0</v>
          </cell>
          <cell r="FZ142">
            <v>-1927443.0652121408</v>
          </cell>
          <cell r="GA142">
            <v>533845442.02755171</v>
          </cell>
          <cell r="GB142">
            <v>44657299.721993096</v>
          </cell>
          <cell r="GC142">
            <v>41700280.647967845</v>
          </cell>
          <cell r="GD142">
            <v>42481827.8528198</v>
          </cell>
          <cell r="GE142">
            <v>42481827.8528198</v>
          </cell>
          <cell r="GF142">
            <v>42481827.8528198</v>
          </cell>
          <cell r="GG142">
            <v>42481827.8528198</v>
          </cell>
          <cell r="GH142">
            <v>0</v>
          </cell>
          <cell r="GI142">
            <v>42852726.494819798</v>
          </cell>
          <cell r="GJ142">
            <v>42172242.701555178</v>
          </cell>
          <cell r="GK142">
            <v>49199652.052243829</v>
          </cell>
          <cell r="GL142">
            <v>489703526.03969824</v>
          </cell>
          <cell r="GM142">
            <v>531641545.86211526</v>
          </cell>
          <cell r="GN142">
            <v>499968333.86617684</v>
          </cell>
          <cell r="GO142">
            <v>489696467.37949711</v>
          </cell>
          <cell r="GP142">
            <v>489696467.37949711</v>
          </cell>
          <cell r="GQ142">
            <v>489696467.37949711</v>
          </cell>
          <cell r="GR142">
            <v>0</v>
          </cell>
          <cell r="GS142">
            <v>492039408.48061907</v>
          </cell>
          <cell r="GT142">
            <v>500925085.57381159</v>
          </cell>
          <cell r="GZ142">
            <v>19136793531.311428</v>
          </cell>
        </row>
        <row r="143">
          <cell r="A143" t="str">
            <v>F_MFP_NRF_ASS_EMP_FRCE_MFP</v>
          </cell>
          <cell r="B143">
            <v>401333000</v>
          </cell>
          <cell r="C143">
            <v>0</v>
          </cell>
          <cell r="D143">
            <v>0</v>
          </cell>
          <cell r="E143">
            <v>361579327.85699993</v>
          </cell>
          <cell r="F143">
            <v>0</v>
          </cell>
          <cell r="G143">
            <v>0</v>
          </cell>
          <cell r="H143">
            <v>0</v>
          </cell>
          <cell r="I143">
            <v>0</v>
          </cell>
          <cell r="J143">
            <v>0</v>
          </cell>
          <cell r="K143">
            <v>0</v>
          </cell>
          <cell r="L143">
            <v>0</v>
          </cell>
          <cell r="M143">
            <v>0</v>
          </cell>
          <cell r="N143">
            <v>0</v>
          </cell>
          <cell r="O143">
            <v>0</v>
          </cell>
          <cell r="P143">
            <v>0</v>
          </cell>
          <cell r="Q143">
            <v>0</v>
          </cell>
          <cell r="R143">
            <v>0</v>
          </cell>
          <cell r="S143">
            <v>0</v>
          </cell>
          <cell r="T143">
            <v>0</v>
          </cell>
          <cell r="U143">
            <v>0</v>
          </cell>
          <cell r="V143">
            <v>0</v>
          </cell>
          <cell r="W143">
            <v>0</v>
          </cell>
          <cell r="X143">
            <v>0</v>
          </cell>
          <cell r="Y143">
            <v>0</v>
          </cell>
          <cell r="Z143">
            <v>0</v>
          </cell>
          <cell r="AA143">
            <v>0</v>
          </cell>
          <cell r="AB143">
            <v>0</v>
          </cell>
          <cell r="AC143">
            <v>0</v>
          </cell>
          <cell r="AD143">
            <v>0</v>
          </cell>
          <cell r="AE143">
            <v>0</v>
          </cell>
          <cell r="AF143">
            <v>0</v>
          </cell>
          <cell r="AG143">
            <v>0</v>
          </cell>
          <cell r="AH143">
            <v>0</v>
          </cell>
          <cell r="AI143">
            <v>0</v>
          </cell>
          <cell r="AJ143">
            <v>0</v>
          </cell>
          <cell r="AK143">
            <v>0</v>
          </cell>
          <cell r="AL143">
            <v>0</v>
          </cell>
          <cell r="AM143">
            <v>0</v>
          </cell>
          <cell r="AN143">
            <v>0</v>
          </cell>
          <cell r="AO143">
            <v>0</v>
          </cell>
          <cell r="AP143">
            <v>0</v>
          </cell>
          <cell r="AQ143">
            <v>0</v>
          </cell>
          <cell r="AR143">
            <v>0</v>
          </cell>
          <cell r="AS143">
            <v>0</v>
          </cell>
          <cell r="AT143">
            <v>0</v>
          </cell>
          <cell r="AU143">
            <v>0</v>
          </cell>
          <cell r="AV143">
            <v>0</v>
          </cell>
          <cell r="AW143">
            <v>0</v>
          </cell>
          <cell r="AX143">
            <v>361579327.85699993</v>
          </cell>
          <cell r="AY143">
            <v>361579327.85699993</v>
          </cell>
          <cell r="AZ143">
            <v>0</v>
          </cell>
          <cell r="BA143">
            <v>0</v>
          </cell>
          <cell r="BB143">
            <v>0</v>
          </cell>
          <cell r="BC143">
            <v>0</v>
          </cell>
          <cell r="BD143">
            <v>0</v>
          </cell>
          <cell r="BE143">
            <v>0</v>
          </cell>
          <cell r="BF143">
            <v>0</v>
          </cell>
          <cell r="BG143">
            <v>0</v>
          </cell>
          <cell r="BH143">
            <v>0</v>
          </cell>
          <cell r="BI143">
            <v>0</v>
          </cell>
          <cell r="BJ143">
            <v>0</v>
          </cell>
          <cell r="BK143">
            <v>0</v>
          </cell>
          <cell r="BL143">
            <v>0</v>
          </cell>
          <cell r="BM143">
            <v>0</v>
          </cell>
          <cell r="BN143">
            <v>0</v>
          </cell>
          <cell r="BO143">
            <v>0</v>
          </cell>
          <cell r="BP143">
            <v>0</v>
          </cell>
          <cell r="BQ143">
            <v>0</v>
          </cell>
          <cell r="BR143">
            <v>0</v>
          </cell>
          <cell r="BS143">
            <v>361579327.85699993</v>
          </cell>
          <cell r="BT143">
            <v>389589631.00869346</v>
          </cell>
          <cell r="BU143">
            <v>336674319.32332522</v>
          </cell>
          <cell r="BV143">
            <v>0</v>
          </cell>
          <cell r="BW143">
            <v>0</v>
          </cell>
          <cell r="BX143">
            <v>0</v>
          </cell>
          <cell r="BY143">
            <v>0</v>
          </cell>
          <cell r="BZ143">
            <v>0</v>
          </cell>
          <cell r="CA143">
            <v>0</v>
          </cell>
          <cell r="CB143">
            <v>0</v>
          </cell>
          <cell r="CC143">
            <v>0</v>
          </cell>
          <cell r="CD143">
            <v>0</v>
          </cell>
          <cell r="CE143">
            <v>0</v>
          </cell>
          <cell r="CF143">
            <v>0</v>
          </cell>
          <cell r="CG143">
            <v>0</v>
          </cell>
          <cell r="CH143">
            <v>0</v>
          </cell>
          <cell r="CI143">
            <v>0</v>
          </cell>
          <cell r="CJ143">
            <v>0</v>
          </cell>
          <cell r="CK143">
            <v>0</v>
          </cell>
          <cell r="CL143">
            <v>0</v>
          </cell>
          <cell r="CM143">
            <v>0</v>
          </cell>
          <cell r="CN143">
            <v>0</v>
          </cell>
          <cell r="CO143">
            <v>367152897.41625386</v>
          </cell>
          <cell r="CP143">
            <v>-14578451.562999999</v>
          </cell>
          <cell r="CQ143">
            <v>-14578451.562999999</v>
          </cell>
          <cell r="CR143">
            <v>-14578451.562999999</v>
          </cell>
          <cell r="CS143">
            <v>-14578451.562999999</v>
          </cell>
          <cell r="CT143">
            <v>-14578451.562999999</v>
          </cell>
          <cell r="CU143">
            <v>-14578451.562999999</v>
          </cell>
          <cell r="CV143">
            <v>0</v>
          </cell>
          <cell r="CW143">
            <v>-14578451.562999999</v>
          </cell>
          <cell r="CX143">
            <v>-14578451.562999999</v>
          </cell>
          <cell r="CY143">
            <v>-14578451.562999999</v>
          </cell>
          <cell r="CZ143">
            <v>7189081.3830000106</v>
          </cell>
          <cell r="DA143">
            <v>-14578451.562999999</v>
          </cell>
          <cell r="DB143">
            <v>-14578451.562999999</v>
          </cell>
          <cell r="DC143">
            <v>-4876373.8409999982</v>
          </cell>
          <cell r="DD143">
            <v>-29739827.432999998</v>
          </cell>
          <cell r="DE143">
            <v>-1932921.9159999974</v>
          </cell>
          <cell r="DF143">
            <v>0</v>
          </cell>
          <cell r="DG143">
            <v>-14574518.562999999</v>
          </cell>
          <cell r="DH143">
            <v>-14578451.562999999</v>
          </cell>
          <cell r="DI143">
            <v>22729541.029999994</v>
          </cell>
          <cell r="DJ143">
            <v>0</v>
          </cell>
          <cell r="DK143">
            <v>0</v>
          </cell>
          <cell r="DL143">
            <v>0</v>
          </cell>
          <cell r="DM143">
            <v>0</v>
          </cell>
          <cell r="DN143">
            <v>0</v>
          </cell>
          <cell r="DO143">
            <v>0</v>
          </cell>
          <cell r="DP143">
            <v>0</v>
          </cell>
          <cell r="DQ143">
            <v>0</v>
          </cell>
          <cell r="DR143">
            <v>0</v>
          </cell>
          <cell r="DS143">
            <v>0</v>
          </cell>
          <cell r="DT143">
            <v>0</v>
          </cell>
          <cell r="DU143">
            <v>0</v>
          </cell>
          <cell r="DV143">
            <v>0</v>
          </cell>
          <cell r="DW143">
            <v>0</v>
          </cell>
          <cell r="EA143">
            <v>376157779.41999996</v>
          </cell>
          <cell r="EB143">
            <v>376157779.41999996</v>
          </cell>
          <cell r="EC143">
            <v>376157779.41999996</v>
          </cell>
          <cell r="ED143">
            <v>376157779.41999996</v>
          </cell>
          <cell r="EE143">
            <v>376157779.41999996</v>
          </cell>
          <cell r="EF143">
            <v>376157779.41999996</v>
          </cell>
          <cell r="EG143">
            <v>376157779.41999996</v>
          </cell>
          <cell r="EH143">
            <v>376157779.41999996</v>
          </cell>
          <cell r="EI143">
            <v>376157779.41999996</v>
          </cell>
          <cell r="EJ143">
            <v>376157779.41999996</v>
          </cell>
          <cell r="EK143">
            <v>385469590.42499995</v>
          </cell>
          <cell r="EL143">
            <v>776164161.01199996</v>
          </cell>
          <cell r="EM143">
            <v>336867842.32700002</v>
          </cell>
          <cell r="EN143">
            <v>442710628.04399997</v>
          </cell>
          <cell r="EO143">
            <v>339940216.94099998</v>
          </cell>
          <cell r="EP143">
            <v>0</v>
          </cell>
          <cell r="EQ143">
            <v>376251717.41999996</v>
          </cell>
          <cell r="ER143">
            <v>376157779.41999996</v>
          </cell>
          <cell r="ES143">
            <v>0</v>
          </cell>
          <cell r="ET143">
            <v>0</v>
          </cell>
          <cell r="EU143">
            <v>0</v>
          </cell>
          <cell r="EV143">
            <v>0</v>
          </cell>
          <cell r="EW143">
            <v>0</v>
          </cell>
          <cell r="EX143">
            <v>0</v>
          </cell>
          <cell r="EY143">
            <v>0</v>
          </cell>
          <cell r="EZ143">
            <v>0</v>
          </cell>
          <cell r="FA143">
            <v>0</v>
          </cell>
          <cell r="FB143">
            <v>0</v>
          </cell>
          <cell r="FC143">
            <v>0</v>
          </cell>
          <cell r="FD143">
            <v>81114587.589780003</v>
          </cell>
          <cell r="FE143">
            <v>267584797.85699996</v>
          </cell>
          <cell r="FF143">
            <v>374757569.00869352</v>
          </cell>
          <cell r="FG143">
            <v>352060957.32332522</v>
          </cell>
          <cell r="FH143">
            <v>0</v>
          </cell>
          <cell r="FI143">
            <v>0</v>
          </cell>
          <cell r="FJ143">
            <v>0</v>
          </cell>
          <cell r="FK143">
            <v>0</v>
          </cell>
          <cell r="FL143">
            <v>0</v>
          </cell>
          <cell r="FM143">
            <v>0</v>
          </cell>
          <cell r="FN143">
            <v>0</v>
          </cell>
          <cell r="FO143">
            <v>0</v>
          </cell>
          <cell r="FP143">
            <v>0</v>
          </cell>
          <cell r="FQ143">
            <v>0</v>
          </cell>
          <cell r="FR143">
            <v>0</v>
          </cell>
          <cell r="FS143">
            <v>0</v>
          </cell>
          <cell r="FT143">
            <v>0</v>
          </cell>
          <cell r="FU143">
            <v>0</v>
          </cell>
          <cell r="FV143">
            <v>0</v>
          </cell>
          <cell r="FW143">
            <v>0</v>
          </cell>
          <cell r="FX143">
            <v>0</v>
          </cell>
          <cell r="FY143">
            <v>0</v>
          </cell>
          <cell r="FZ143">
            <v>0</v>
          </cell>
          <cell r="GA143">
            <v>363856799.41625386</v>
          </cell>
          <cell r="GB143">
            <v>-3835884.6169999894</v>
          </cell>
          <cell r="GC143">
            <v>-14578451.562999999</v>
          </cell>
          <cell r="GD143">
            <v>-14578451.562999999</v>
          </cell>
          <cell r="GE143">
            <v>2864922.159</v>
          </cell>
          <cell r="GF143">
            <v>-34924497.432999998</v>
          </cell>
          <cell r="GG143">
            <v>9072888.0840000007</v>
          </cell>
          <cell r="GH143">
            <v>0</v>
          </cell>
          <cell r="GI143">
            <v>-14574518.562999999</v>
          </cell>
          <cell r="GJ143">
            <v>-14578451.562999999</v>
          </cell>
          <cell r="GK143">
            <v>11119541.029999996</v>
          </cell>
          <cell r="GL143">
            <v>376157779.41999996</v>
          </cell>
          <cell r="GM143">
            <v>378292000.42499995</v>
          </cell>
          <cell r="GN143">
            <v>737296515.01199996</v>
          </cell>
          <cell r="GO143">
            <v>343882182.32700002</v>
          </cell>
          <cell r="GP143">
            <v>436742260.04400003</v>
          </cell>
          <cell r="GQ143">
            <v>346870188.94099998</v>
          </cell>
          <cell r="GR143">
            <v>0</v>
          </cell>
          <cell r="GS143">
            <v>376251717.41999996</v>
          </cell>
          <cell r="GT143">
            <v>376157779.41999996</v>
          </cell>
          <cell r="GZ143">
            <v>31216393174.379089</v>
          </cell>
        </row>
        <row r="144">
          <cell r="A144" t="str">
            <v>F_MFP_NRF_CPT_PRP_FRCE_MFP</v>
          </cell>
          <cell r="B144">
            <v>0</v>
          </cell>
          <cell r="C144">
            <v>0</v>
          </cell>
          <cell r="D144">
            <v>151367060.59400001</v>
          </cell>
          <cell r="E144">
            <v>0</v>
          </cell>
          <cell r="F144">
            <v>151367060.59400001</v>
          </cell>
          <cell r="G144">
            <v>151367060.59400001</v>
          </cell>
          <cell r="H144">
            <v>0</v>
          </cell>
          <cell r="I144">
            <v>0</v>
          </cell>
          <cell r="J144">
            <v>151367060.59400001</v>
          </cell>
          <cell r="K144">
            <v>0</v>
          </cell>
          <cell r="L144">
            <v>0</v>
          </cell>
          <cell r="M144">
            <v>0</v>
          </cell>
          <cell r="N144">
            <v>151367060.59400001</v>
          </cell>
          <cell r="O144">
            <v>0</v>
          </cell>
          <cell r="P144">
            <v>0</v>
          </cell>
          <cell r="Q144">
            <v>151367060.59400001</v>
          </cell>
          <cell r="R144">
            <v>0</v>
          </cell>
          <cell r="S144">
            <v>151367060.59400001</v>
          </cell>
          <cell r="T144">
            <v>0</v>
          </cell>
          <cell r="U144">
            <v>0</v>
          </cell>
          <cell r="V144">
            <v>0</v>
          </cell>
          <cell r="W144">
            <v>0</v>
          </cell>
          <cell r="X144">
            <v>0</v>
          </cell>
          <cell r="Y144">
            <v>0</v>
          </cell>
          <cell r="Z144">
            <v>151367060.59400001</v>
          </cell>
          <cell r="AA144">
            <v>151367060.59400001</v>
          </cell>
          <cell r="AB144">
            <v>158795825.23327377</v>
          </cell>
          <cell r="AC144">
            <v>146817970.94300106</v>
          </cell>
          <cell r="AD144">
            <v>0</v>
          </cell>
          <cell r="AE144">
            <v>0</v>
          </cell>
          <cell r="AF144">
            <v>147369271.47313374</v>
          </cell>
          <cell r="AG144">
            <v>0</v>
          </cell>
          <cell r="AH144">
            <v>0</v>
          </cell>
          <cell r="AI144">
            <v>0</v>
          </cell>
          <cell r="AJ144">
            <v>149953306.95922795</v>
          </cell>
          <cell r="AK144">
            <v>0</v>
          </cell>
          <cell r="AL144">
            <v>0</v>
          </cell>
          <cell r="AM144">
            <v>151367060.59400001</v>
          </cell>
          <cell r="AN144">
            <v>0</v>
          </cell>
          <cell r="AO144">
            <v>145223455.37312147</v>
          </cell>
          <cell r="AP144">
            <v>0</v>
          </cell>
          <cell r="AQ144">
            <v>0</v>
          </cell>
          <cell r="AR144">
            <v>0</v>
          </cell>
          <cell r="AS144">
            <v>0</v>
          </cell>
          <cell r="AT144">
            <v>0</v>
          </cell>
          <cell r="AU144">
            <v>0</v>
          </cell>
          <cell r="AV144">
            <v>150468214.86586618</v>
          </cell>
          <cell r="AW144">
            <v>151367060.59400001</v>
          </cell>
          <cell r="AX144">
            <v>0</v>
          </cell>
          <cell r="AY144">
            <v>0</v>
          </cell>
          <cell r="AZ144">
            <v>0</v>
          </cell>
          <cell r="BA144">
            <v>0</v>
          </cell>
          <cell r="BB144">
            <v>0</v>
          </cell>
          <cell r="BC144">
            <v>0</v>
          </cell>
          <cell r="BD144">
            <v>0</v>
          </cell>
          <cell r="BE144">
            <v>0</v>
          </cell>
          <cell r="BF144">
            <v>0</v>
          </cell>
          <cell r="BG144">
            <v>0</v>
          </cell>
          <cell r="BH144">
            <v>0</v>
          </cell>
          <cell r="BI144">
            <v>0</v>
          </cell>
          <cell r="BJ144">
            <v>0</v>
          </cell>
          <cell r="BK144">
            <v>0</v>
          </cell>
          <cell r="BL144">
            <v>0</v>
          </cell>
          <cell r="BM144">
            <v>0</v>
          </cell>
          <cell r="BN144">
            <v>0</v>
          </cell>
          <cell r="BO144">
            <v>0</v>
          </cell>
          <cell r="BP144">
            <v>0</v>
          </cell>
          <cell r="BQ144">
            <v>0</v>
          </cell>
          <cell r="BR144">
            <v>0</v>
          </cell>
          <cell r="BS144">
            <v>0</v>
          </cell>
          <cell r="BT144">
            <v>0</v>
          </cell>
          <cell r="BU144">
            <v>0</v>
          </cell>
          <cell r="BV144">
            <v>0</v>
          </cell>
          <cell r="BW144">
            <v>0</v>
          </cell>
          <cell r="BX144">
            <v>0</v>
          </cell>
          <cell r="BY144">
            <v>0</v>
          </cell>
          <cell r="BZ144">
            <v>0</v>
          </cell>
          <cell r="CA144">
            <v>0</v>
          </cell>
          <cell r="CB144">
            <v>0</v>
          </cell>
          <cell r="CC144">
            <v>0</v>
          </cell>
          <cell r="CD144">
            <v>0</v>
          </cell>
          <cell r="CE144">
            <v>0</v>
          </cell>
          <cell r="CF144">
            <v>0</v>
          </cell>
          <cell r="CG144">
            <v>0</v>
          </cell>
          <cell r="CH144">
            <v>0</v>
          </cell>
          <cell r="CI144">
            <v>0</v>
          </cell>
          <cell r="CJ144">
            <v>0</v>
          </cell>
          <cell r="CK144">
            <v>0</v>
          </cell>
          <cell r="CL144">
            <v>0</v>
          </cell>
          <cell r="CM144">
            <v>0</v>
          </cell>
          <cell r="CN144">
            <v>0</v>
          </cell>
          <cell r="CO144">
            <v>0</v>
          </cell>
          <cell r="CP144">
            <v>0</v>
          </cell>
          <cell r="CQ144">
            <v>0</v>
          </cell>
          <cell r="CR144">
            <v>0</v>
          </cell>
          <cell r="CS144">
            <v>0</v>
          </cell>
          <cell r="CT144">
            <v>0</v>
          </cell>
          <cell r="CU144">
            <v>0</v>
          </cell>
          <cell r="CV144">
            <v>0</v>
          </cell>
          <cell r="CW144">
            <v>0</v>
          </cell>
          <cell r="CX144">
            <v>0</v>
          </cell>
          <cell r="CY144">
            <v>0</v>
          </cell>
          <cell r="CZ144">
            <v>0</v>
          </cell>
          <cell r="DA144">
            <v>0</v>
          </cell>
          <cell r="DB144">
            <v>0</v>
          </cell>
          <cell r="DC144">
            <v>0</v>
          </cell>
          <cell r="DD144">
            <v>0</v>
          </cell>
          <cell r="DE144">
            <v>0</v>
          </cell>
          <cell r="DF144">
            <v>0</v>
          </cell>
          <cell r="DG144">
            <v>0</v>
          </cell>
          <cell r="DH144">
            <v>0</v>
          </cell>
          <cell r="DI144">
            <v>0</v>
          </cell>
          <cell r="DJ144">
            <v>0</v>
          </cell>
          <cell r="DK144">
            <v>0</v>
          </cell>
          <cell r="DL144">
            <v>0</v>
          </cell>
          <cell r="DM144">
            <v>0</v>
          </cell>
          <cell r="DN144">
            <v>0</v>
          </cell>
          <cell r="DO144">
            <v>0</v>
          </cell>
          <cell r="DP144">
            <v>0</v>
          </cell>
          <cell r="DQ144">
            <v>0</v>
          </cell>
          <cell r="DR144">
            <v>0</v>
          </cell>
          <cell r="DS144">
            <v>0</v>
          </cell>
          <cell r="DT144">
            <v>0</v>
          </cell>
          <cell r="DU144">
            <v>0</v>
          </cell>
          <cell r="DV144">
            <v>0</v>
          </cell>
          <cell r="DW144">
            <v>0</v>
          </cell>
          <cell r="EA144">
            <v>0</v>
          </cell>
          <cell r="EB144">
            <v>0</v>
          </cell>
          <cell r="EC144">
            <v>0</v>
          </cell>
          <cell r="ED144">
            <v>0</v>
          </cell>
          <cell r="EE144">
            <v>0</v>
          </cell>
          <cell r="EF144">
            <v>0</v>
          </cell>
          <cell r="EG144">
            <v>0</v>
          </cell>
          <cell r="EH144">
            <v>0</v>
          </cell>
          <cell r="EI144">
            <v>0</v>
          </cell>
          <cell r="EJ144">
            <v>0</v>
          </cell>
          <cell r="EK144">
            <v>0</v>
          </cell>
          <cell r="EL144">
            <v>0</v>
          </cell>
          <cell r="EM144">
            <v>0</v>
          </cell>
          <cell r="EN144">
            <v>0</v>
          </cell>
          <cell r="EO144">
            <v>0</v>
          </cell>
          <cell r="EP144">
            <v>0</v>
          </cell>
          <cell r="EQ144">
            <v>0</v>
          </cell>
          <cell r="ER144">
            <v>0</v>
          </cell>
          <cell r="ES144">
            <v>0</v>
          </cell>
          <cell r="ET144">
            <v>0</v>
          </cell>
          <cell r="EU144">
            <v>0</v>
          </cell>
          <cell r="EV144">
            <v>0</v>
          </cell>
          <cell r="EW144">
            <v>0</v>
          </cell>
          <cell r="EX144">
            <v>0</v>
          </cell>
          <cell r="EY144">
            <v>0</v>
          </cell>
          <cell r="EZ144">
            <v>0</v>
          </cell>
          <cell r="FA144">
            <v>0</v>
          </cell>
          <cell r="FB144">
            <v>0</v>
          </cell>
          <cell r="FC144">
            <v>0</v>
          </cell>
          <cell r="FD144">
            <v>0</v>
          </cell>
          <cell r="FE144">
            <v>0</v>
          </cell>
          <cell r="FF144">
            <v>0</v>
          </cell>
          <cell r="FG144">
            <v>0</v>
          </cell>
          <cell r="FH144">
            <v>0</v>
          </cell>
          <cell r="FI144">
            <v>0</v>
          </cell>
          <cell r="FJ144">
            <v>0</v>
          </cell>
          <cell r="FK144">
            <v>0</v>
          </cell>
          <cell r="FL144">
            <v>0</v>
          </cell>
          <cell r="FM144">
            <v>0</v>
          </cell>
          <cell r="FN144">
            <v>0</v>
          </cell>
          <cell r="FO144">
            <v>0</v>
          </cell>
          <cell r="FP144">
            <v>0</v>
          </cell>
          <cell r="FQ144">
            <v>0</v>
          </cell>
          <cell r="FR144">
            <v>0</v>
          </cell>
          <cell r="FS144">
            <v>0</v>
          </cell>
          <cell r="FT144">
            <v>0</v>
          </cell>
          <cell r="FU144">
            <v>0</v>
          </cell>
          <cell r="FV144">
            <v>0</v>
          </cell>
          <cell r="FW144">
            <v>0</v>
          </cell>
          <cell r="FX144">
            <v>0</v>
          </cell>
          <cell r="FY144">
            <v>0</v>
          </cell>
          <cell r="FZ144">
            <v>0</v>
          </cell>
          <cell r="GA144">
            <v>0</v>
          </cell>
          <cell r="GB144">
            <v>0</v>
          </cell>
          <cell r="GC144">
            <v>0</v>
          </cell>
          <cell r="GD144">
            <v>0</v>
          </cell>
          <cell r="GE144">
            <v>0</v>
          </cell>
          <cell r="GF144">
            <v>0</v>
          </cell>
          <cell r="GG144">
            <v>0</v>
          </cell>
          <cell r="GH144">
            <v>0</v>
          </cell>
          <cell r="GI144">
            <v>0</v>
          </cell>
          <cell r="GJ144">
            <v>0</v>
          </cell>
          <cell r="GK144">
            <v>0</v>
          </cell>
          <cell r="GL144">
            <v>0</v>
          </cell>
          <cell r="GM144">
            <v>0</v>
          </cell>
          <cell r="GN144">
            <v>0</v>
          </cell>
          <cell r="GO144">
            <v>0</v>
          </cell>
          <cell r="GP144">
            <v>0</v>
          </cell>
          <cell r="GQ144">
            <v>0</v>
          </cell>
          <cell r="GR144">
            <v>0</v>
          </cell>
          <cell r="GS144">
            <v>0</v>
          </cell>
          <cell r="GT144">
            <v>0</v>
          </cell>
          <cell r="GZ144">
            <v>0</v>
          </cell>
        </row>
        <row r="145">
          <cell r="A145" t="str">
            <v>F_IAM_NRF_CPT_PRP_FRCE_IPS</v>
          </cell>
          <cell r="B145">
            <v>0</v>
          </cell>
          <cell r="D145">
            <v>0</v>
          </cell>
          <cell r="E145">
            <v>0</v>
          </cell>
          <cell r="F145">
            <v>0</v>
          </cell>
          <cell r="G145">
            <v>0</v>
          </cell>
          <cell r="J145">
            <v>0</v>
          </cell>
          <cell r="K145">
            <v>0</v>
          </cell>
          <cell r="L145">
            <v>0</v>
          </cell>
          <cell r="N145">
            <v>0</v>
          </cell>
          <cell r="O145">
            <v>0</v>
          </cell>
          <cell r="P145">
            <v>0</v>
          </cell>
          <cell r="Q145">
            <v>0</v>
          </cell>
          <cell r="S145">
            <v>0</v>
          </cell>
          <cell r="T145">
            <v>0</v>
          </cell>
          <cell r="U145">
            <v>0</v>
          </cell>
          <cell r="V145">
            <v>0</v>
          </cell>
          <cell r="W145">
            <v>0</v>
          </cell>
          <cell r="X145">
            <v>0</v>
          </cell>
          <cell r="Y145">
            <v>0</v>
          </cell>
          <cell r="Z145">
            <v>0</v>
          </cell>
          <cell r="AA145">
            <v>0</v>
          </cell>
          <cell r="AB145">
            <v>0</v>
          </cell>
          <cell r="AC145">
            <v>0</v>
          </cell>
          <cell r="AF145">
            <v>0</v>
          </cell>
          <cell r="AG145">
            <v>0</v>
          </cell>
          <cell r="AH145">
            <v>0</v>
          </cell>
          <cell r="AJ145">
            <v>0</v>
          </cell>
          <cell r="AK145">
            <v>0</v>
          </cell>
          <cell r="AL145">
            <v>0</v>
          </cell>
          <cell r="AM145">
            <v>0</v>
          </cell>
          <cell r="AO145">
            <v>0</v>
          </cell>
          <cell r="AP145">
            <v>0</v>
          </cell>
          <cell r="AQ145">
            <v>0</v>
          </cell>
          <cell r="AR145">
            <v>0</v>
          </cell>
          <cell r="AS145">
            <v>0</v>
          </cell>
          <cell r="AT145">
            <v>0</v>
          </cell>
          <cell r="AU145">
            <v>0</v>
          </cell>
          <cell r="AV145">
            <v>0</v>
          </cell>
          <cell r="AW145">
            <v>0</v>
          </cell>
          <cell r="AX145">
            <v>0</v>
          </cell>
          <cell r="AY145">
            <v>0</v>
          </cell>
          <cell r="BB145">
            <v>0</v>
          </cell>
          <cell r="BC145">
            <v>0</v>
          </cell>
          <cell r="BD145">
            <v>0</v>
          </cell>
          <cell r="BF145">
            <v>0</v>
          </cell>
          <cell r="BG145">
            <v>0</v>
          </cell>
          <cell r="BH145">
            <v>0</v>
          </cell>
          <cell r="BI145">
            <v>0</v>
          </cell>
          <cell r="BK145">
            <v>0</v>
          </cell>
          <cell r="BL145">
            <v>0</v>
          </cell>
          <cell r="BM145">
            <v>0</v>
          </cell>
          <cell r="BN145">
            <v>0</v>
          </cell>
          <cell r="BO145">
            <v>0</v>
          </cell>
          <cell r="BP145">
            <v>0</v>
          </cell>
          <cell r="BQ145">
            <v>0</v>
          </cell>
          <cell r="BR145">
            <v>0</v>
          </cell>
          <cell r="BS145">
            <v>0</v>
          </cell>
          <cell r="BT145">
            <v>0</v>
          </cell>
          <cell r="BU145">
            <v>0</v>
          </cell>
          <cell r="BX145">
            <v>0</v>
          </cell>
          <cell r="BY145">
            <v>0</v>
          </cell>
          <cell r="BZ145">
            <v>0</v>
          </cell>
          <cell r="CB145">
            <v>0</v>
          </cell>
          <cell r="CC145">
            <v>0</v>
          </cell>
          <cell r="CD145">
            <v>0</v>
          </cell>
          <cell r="CE145">
            <v>0</v>
          </cell>
          <cell r="CG145">
            <v>0</v>
          </cell>
          <cell r="CH145">
            <v>0</v>
          </cell>
          <cell r="CI145">
            <v>0</v>
          </cell>
          <cell r="CJ145">
            <v>0</v>
          </cell>
          <cell r="CK145">
            <v>0</v>
          </cell>
          <cell r="CL145">
            <v>0</v>
          </cell>
          <cell r="CM145">
            <v>0</v>
          </cell>
          <cell r="CN145">
            <v>0</v>
          </cell>
          <cell r="CO145">
            <v>0</v>
          </cell>
          <cell r="CP145">
            <v>0</v>
          </cell>
          <cell r="CQ145">
            <v>0</v>
          </cell>
          <cell r="CR145">
            <v>0</v>
          </cell>
          <cell r="CS145">
            <v>0</v>
          </cell>
          <cell r="CT145">
            <v>0</v>
          </cell>
          <cell r="CU145">
            <v>0</v>
          </cell>
          <cell r="CV145">
            <v>0</v>
          </cell>
          <cell r="CW145">
            <v>0</v>
          </cell>
          <cell r="CX145">
            <v>0</v>
          </cell>
          <cell r="CY145">
            <v>0</v>
          </cell>
          <cell r="CZ145">
            <v>0</v>
          </cell>
          <cell r="DA145">
            <v>0</v>
          </cell>
          <cell r="DB145">
            <v>0</v>
          </cell>
          <cell r="DC145">
            <v>0</v>
          </cell>
          <cell r="DD145">
            <v>0</v>
          </cell>
          <cell r="DE145">
            <v>0</v>
          </cell>
          <cell r="DF145">
            <v>-1</v>
          </cell>
          <cell r="DG145">
            <v>0</v>
          </cell>
          <cell r="DH145">
            <v>0</v>
          </cell>
          <cell r="DI145">
            <v>0</v>
          </cell>
          <cell r="EA145">
            <v>0</v>
          </cell>
          <cell r="EB145">
            <v>0</v>
          </cell>
          <cell r="EC145">
            <v>0</v>
          </cell>
          <cell r="ED145">
            <v>0</v>
          </cell>
          <cell r="EE145">
            <v>0</v>
          </cell>
          <cell r="EF145">
            <v>0</v>
          </cell>
          <cell r="EG145">
            <v>0</v>
          </cell>
          <cell r="EH145">
            <v>0</v>
          </cell>
          <cell r="EI145">
            <v>0</v>
          </cell>
          <cell r="EJ145">
            <v>0</v>
          </cell>
          <cell r="EK145">
            <v>0</v>
          </cell>
          <cell r="EL145">
            <v>0</v>
          </cell>
          <cell r="EM145">
            <v>0</v>
          </cell>
          <cell r="EN145">
            <v>0</v>
          </cell>
          <cell r="EO145">
            <v>0</v>
          </cell>
          <cell r="EP145">
            <v>0</v>
          </cell>
          <cell r="EQ145">
            <v>0</v>
          </cell>
          <cell r="ER145">
            <v>0</v>
          </cell>
          <cell r="FE145">
            <v>0</v>
          </cell>
          <cell r="FF145">
            <v>0</v>
          </cell>
          <cell r="FG145">
            <v>0</v>
          </cell>
          <cell r="FJ145">
            <v>0</v>
          </cell>
          <cell r="FK145">
            <v>0</v>
          </cell>
          <cell r="FL145">
            <v>0</v>
          </cell>
          <cell r="FN145">
            <v>0</v>
          </cell>
          <cell r="FO145">
            <v>0</v>
          </cell>
          <cell r="FP145">
            <v>0</v>
          </cell>
          <cell r="FQ145">
            <v>0</v>
          </cell>
          <cell r="FS145">
            <v>0</v>
          </cell>
          <cell r="FT145">
            <v>0</v>
          </cell>
          <cell r="FU145">
            <v>0</v>
          </cell>
          <cell r="FV145">
            <v>0</v>
          </cell>
          <cell r="FW145">
            <v>0</v>
          </cell>
          <cell r="FX145">
            <v>0</v>
          </cell>
          <cell r="FY145">
            <v>0</v>
          </cell>
          <cell r="FZ145">
            <v>0</v>
          </cell>
          <cell r="GA145">
            <v>0</v>
          </cell>
          <cell r="GB145">
            <v>0</v>
          </cell>
          <cell r="GC145">
            <v>0</v>
          </cell>
          <cell r="GD145">
            <v>0</v>
          </cell>
          <cell r="GE145">
            <v>0</v>
          </cell>
          <cell r="GF145">
            <v>0</v>
          </cell>
          <cell r="GG145">
            <v>0</v>
          </cell>
          <cell r="GH145">
            <v>136</v>
          </cell>
          <cell r="GI145">
            <v>0</v>
          </cell>
          <cell r="GJ145">
            <v>0</v>
          </cell>
          <cell r="GK145">
            <v>0</v>
          </cell>
          <cell r="GL145">
            <v>0</v>
          </cell>
          <cell r="GM145">
            <v>0</v>
          </cell>
          <cell r="GN145">
            <v>0</v>
          </cell>
          <cell r="GO145">
            <v>0</v>
          </cell>
          <cell r="GP145">
            <v>0</v>
          </cell>
          <cell r="GQ145">
            <v>0</v>
          </cell>
          <cell r="GR145">
            <v>0</v>
          </cell>
          <cell r="GS145">
            <v>0</v>
          </cell>
          <cell r="GT145">
            <v>0</v>
          </cell>
          <cell r="GZ145">
            <v>0</v>
          </cell>
        </row>
        <row r="146">
          <cell r="A146" t="str">
            <v>F_CNP_NRF_ASS_EMP_FRCE_ECS</v>
          </cell>
          <cell r="B146">
            <v>0</v>
          </cell>
          <cell r="D146">
            <v>0</v>
          </cell>
          <cell r="E146">
            <v>74298021.112920001</v>
          </cell>
          <cell r="F146">
            <v>0</v>
          </cell>
          <cell r="G146">
            <v>0</v>
          </cell>
          <cell r="J146">
            <v>0</v>
          </cell>
          <cell r="K146">
            <v>0</v>
          </cell>
          <cell r="L146">
            <v>0</v>
          </cell>
          <cell r="N146">
            <v>0</v>
          </cell>
          <cell r="O146">
            <v>0</v>
          </cell>
          <cell r="P146">
            <v>0</v>
          </cell>
          <cell r="Q146">
            <v>0</v>
          </cell>
          <cell r="S146">
            <v>0</v>
          </cell>
          <cell r="T146">
            <v>0</v>
          </cell>
          <cell r="U146">
            <v>0</v>
          </cell>
          <cell r="V146">
            <v>0</v>
          </cell>
          <cell r="W146">
            <v>0</v>
          </cell>
          <cell r="X146">
            <v>0</v>
          </cell>
          <cell r="Y146">
            <v>0</v>
          </cell>
          <cell r="Z146">
            <v>0</v>
          </cell>
          <cell r="AA146">
            <v>0</v>
          </cell>
          <cell r="AB146">
            <v>0</v>
          </cell>
          <cell r="AC146">
            <v>0</v>
          </cell>
          <cell r="AF146">
            <v>0</v>
          </cell>
          <cell r="AG146">
            <v>0</v>
          </cell>
          <cell r="AH146">
            <v>0</v>
          </cell>
          <cell r="AJ146">
            <v>0</v>
          </cell>
          <cell r="AK146">
            <v>0</v>
          </cell>
          <cell r="AL146">
            <v>0</v>
          </cell>
          <cell r="AM146">
            <v>0</v>
          </cell>
          <cell r="AO146">
            <v>0</v>
          </cell>
          <cell r="AP146">
            <v>0</v>
          </cell>
          <cell r="AQ146">
            <v>0</v>
          </cell>
          <cell r="AR146">
            <v>0</v>
          </cell>
          <cell r="AS146">
            <v>0</v>
          </cell>
          <cell r="AT146">
            <v>0</v>
          </cell>
          <cell r="AU146">
            <v>0</v>
          </cell>
          <cell r="AV146">
            <v>0</v>
          </cell>
          <cell r="AW146">
            <v>0</v>
          </cell>
          <cell r="AX146">
            <v>0</v>
          </cell>
          <cell r="AY146">
            <v>0</v>
          </cell>
          <cell r="BB146">
            <v>0</v>
          </cell>
          <cell r="BC146">
            <v>0</v>
          </cell>
          <cell r="BD146">
            <v>0</v>
          </cell>
          <cell r="BF146">
            <v>0</v>
          </cell>
          <cell r="BG146">
            <v>0</v>
          </cell>
          <cell r="BH146">
            <v>0</v>
          </cell>
          <cell r="BI146">
            <v>0</v>
          </cell>
          <cell r="BK146">
            <v>0</v>
          </cell>
          <cell r="BL146">
            <v>0</v>
          </cell>
          <cell r="BM146">
            <v>0</v>
          </cell>
          <cell r="BN146">
            <v>0</v>
          </cell>
          <cell r="BO146">
            <v>0</v>
          </cell>
          <cell r="BP146">
            <v>0</v>
          </cell>
          <cell r="BQ146">
            <v>0</v>
          </cell>
          <cell r="BR146">
            <v>0</v>
          </cell>
          <cell r="BS146">
            <v>0</v>
          </cell>
          <cell r="BT146">
            <v>0</v>
          </cell>
          <cell r="BU146">
            <v>0</v>
          </cell>
          <cell r="BX146">
            <v>0</v>
          </cell>
          <cell r="BY146">
            <v>0</v>
          </cell>
          <cell r="BZ146">
            <v>0</v>
          </cell>
          <cell r="CB146">
            <v>0</v>
          </cell>
          <cell r="CC146">
            <v>0</v>
          </cell>
          <cell r="CD146">
            <v>0</v>
          </cell>
          <cell r="CE146">
            <v>0</v>
          </cell>
          <cell r="CG146">
            <v>0</v>
          </cell>
          <cell r="CH146">
            <v>0</v>
          </cell>
          <cell r="CI146">
            <v>0</v>
          </cell>
          <cell r="CJ146">
            <v>0</v>
          </cell>
          <cell r="CK146">
            <v>0</v>
          </cell>
          <cell r="CL146">
            <v>0</v>
          </cell>
          <cell r="CM146">
            <v>0</v>
          </cell>
          <cell r="CN146">
            <v>0</v>
          </cell>
          <cell r="CO146">
            <v>0</v>
          </cell>
          <cell r="CP146">
            <v>0</v>
          </cell>
          <cell r="CQ146">
            <v>0</v>
          </cell>
          <cell r="CR146">
            <v>0</v>
          </cell>
          <cell r="CS146">
            <v>0</v>
          </cell>
          <cell r="CT146">
            <v>0</v>
          </cell>
          <cell r="CU146">
            <v>0</v>
          </cell>
          <cell r="CV146">
            <v>0</v>
          </cell>
          <cell r="CW146">
            <v>0</v>
          </cell>
          <cell r="CX146">
            <v>0</v>
          </cell>
          <cell r="CY146">
            <v>0</v>
          </cell>
          <cell r="CZ146">
            <v>0</v>
          </cell>
          <cell r="DA146">
            <v>0</v>
          </cell>
          <cell r="DB146">
            <v>0</v>
          </cell>
          <cell r="DC146">
            <v>0</v>
          </cell>
          <cell r="DD146">
            <v>0</v>
          </cell>
          <cell r="DE146">
            <v>0</v>
          </cell>
          <cell r="DF146">
            <v>-1</v>
          </cell>
          <cell r="DG146">
            <v>0</v>
          </cell>
          <cell r="DH146">
            <v>0</v>
          </cell>
          <cell r="DI146">
            <v>0</v>
          </cell>
          <cell r="EA146">
            <v>0</v>
          </cell>
          <cell r="EB146">
            <v>0</v>
          </cell>
          <cell r="EC146">
            <v>0</v>
          </cell>
          <cell r="ED146">
            <v>0</v>
          </cell>
          <cell r="EE146">
            <v>0</v>
          </cell>
          <cell r="EF146">
            <v>0</v>
          </cell>
          <cell r="EG146">
            <v>0</v>
          </cell>
          <cell r="EH146">
            <v>0</v>
          </cell>
          <cell r="EI146">
            <v>0</v>
          </cell>
          <cell r="EJ146">
            <v>0</v>
          </cell>
          <cell r="EK146">
            <v>0</v>
          </cell>
          <cell r="EL146">
            <v>0</v>
          </cell>
          <cell r="EM146">
            <v>0</v>
          </cell>
          <cell r="EN146">
            <v>0</v>
          </cell>
          <cell r="EO146">
            <v>0</v>
          </cell>
          <cell r="EP146">
            <v>0</v>
          </cell>
          <cell r="EQ146">
            <v>0</v>
          </cell>
          <cell r="ER146">
            <v>0</v>
          </cell>
          <cell r="FE146">
            <v>74298021.112920001</v>
          </cell>
          <cell r="FF146">
            <v>0</v>
          </cell>
          <cell r="FG146">
            <v>0</v>
          </cell>
          <cell r="FJ146">
            <v>0</v>
          </cell>
          <cell r="FK146">
            <v>0</v>
          </cell>
          <cell r="FL146">
            <v>0</v>
          </cell>
          <cell r="FN146">
            <v>0</v>
          </cell>
          <cell r="FO146">
            <v>0</v>
          </cell>
          <cell r="FP146">
            <v>0</v>
          </cell>
          <cell r="FQ146">
            <v>0</v>
          </cell>
          <cell r="FS146">
            <v>0</v>
          </cell>
          <cell r="FT146">
            <v>0</v>
          </cell>
          <cell r="FU146">
            <v>0</v>
          </cell>
          <cell r="FV146">
            <v>0</v>
          </cell>
          <cell r="FW146">
            <v>0</v>
          </cell>
          <cell r="FX146">
            <v>0</v>
          </cell>
          <cell r="FY146">
            <v>0</v>
          </cell>
          <cell r="FZ146">
            <v>0</v>
          </cell>
          <cell r="GA146">
            <v>0</v>
          </cell>
          <cell r="GB146">
            <v>0</v>
          </cell>
          <cell r="GC146">
            <v>0</v>
          </cell>
          <cell r="GD146">
            <v>0</v>
          </cell>
          <cell r="GE146">
            <v>0</v>
          </cell>
          <cell r="GF146">
            <v>0</v>
          </cell>
          <cell r="GG146">
            <v>0</v>
          </cell>
          <cell r="GH146">
            <v>137</v>
          </cell>
          <cell r="GI146">
            <v>0</v>
          </cell>
          <cell r="GJ146">
            <v>0</v>
          </cell>
          <cell r="GK146">
            <v>0</v>
          </cell>
          <cell r="GL146">
            <v>0</v>
          </cell>
          <cell r="GM146">
            <v>0</v>
          </cell>
          <cell r="GN146">
            <v>0</v>
          </cell>
          <cell r="GO146">
            <v>0</v>
          </cell>
          <cell r="GP146">
            <v>0</v>
          </cell>
          <cell r="GQ146">
            <v>0</v>
          </cell>
          <cell r="GR146">
            <v>0</v>
          </cell>
          <cell r="GS146">
            <v>0</v>
          </cell>
          <cell r="GT146">
            <v>0</v>
          </cell>
          <cell r="GZ146">
            <v>0</v>
          </cell>
        </row>
        <row r="147">
          <cell r="A147" t="str">
            <v>F_CNP_NRF_ASS_EMP_ITAS_301</v>
          </cell>
          <cell r="B147">
            <v>0</v>
          </cell>
          <cell r="D147">
            <v>0</v>
          </cell>
          <cell r="E147">
            <v>0</v>
          </cell>
          <cell r="F147">
            <v>0</v>
          </cell>
          <cell r="G147">
            <v>0</v>
          </cell>
          <cell r="H147">
            <v>0</v>
          </cell>
          <cell r="I147">
            <v>0</v>
          </cell>
          <cell r="J147">
            <v>0</v>
          </cell>
          <cell r="K147">
            <v>0</v>
          </cell>
          <cell r="L147">
            <v>0</v>
          </cell>
          <cell r="M147">
            <v>0</v>
          </cell>
          <cell r="N147">
            <v>0</v>
          </cell>
          <cell r="O147">
            <v>0</v>
          </cell>
          <cell r="P147">
            <v>0</v>
          </cell>
          <cell r="Q147">
            <v>0</v>
          </cell>
          <cell r="R147">
            <v>0</v>
          </cell>
          <cell r="S147">
            <v>0</v>
          </cell>
          <cell r="T147">
            <v>0</v>
          </cell>
          <cell r="U147">
            <v>0</v>
          </cell>
          <cell r="V147">
            <v>0</v>
          </cell>
          <cell r="W147">
            <v>0</v>
          </cell>
          <cell r="X147">
            <v>0</v>
          </cell>
          <cell r="Y147">
            <v>0</v>
          </cell>
          <cell r="Z147">
            <v>0</v>
          </cell>
          <cell r="AA147">
            <v>0</v>
          </cell>
          <cell r="AB147">
            <v>0</v>
          </cell>
          <cell r="AC147">
            <v>0</v>
          </cell>
          <cell r="AD147">
            <v>0</v>
          </cell>
          <cell r="AE147">
            <v>0</v>
          </cell>
          <cell r="AF147">
            <v>0</v>
          </cell>
          <cell r="AG147">
            <v>0</v>
          </cell>
          <cell r="AH147">
            <v>0</v>
          </cell>
          <cell r="AI147">
            <v>0</v>
          </cell>
          <cell r="AJ147">
            <v>0</v>
          </cell>
          <cell r="AK147">
            <v>0</v>
          </cell>
          <cell r="AL147">
            <v>0</v>
          </cell>
          <cell r="AM147">
            <v>0</v>
          </cell>
          <cell r="AN147">
            <v>0</v>
          </cell>
          <cell r="AO147">
            <v>0</v>
          </cell>
          <cell r="AP147">
            <v>0</v>
          </cell>
          <cell r="AQ147">
            <v>0</v>
          </cell>
          <cell r="AR147">
            <v>0</v>
          </cell>
          <cell r="AS147">
            <v>0</v>
          </cell>
          <cell r="AT147">
            <v>0</v>
          </cell>
          <cell r="AU147">
            <v>0</v>
          </cell>
          <cell r="AV147">
            <v>0</v>
          </cell>
          <cell r="AW147">
            <v>0</v>
          </cell>
          <cell r="AX147">
            <v>0</v>
          </cell>
          <cell r="AY147">
            <v>0</v>
          </cell>
          <cell r="AZ147">
            <v>0</v>
          </cell>
          <cell r="BA147">
            <v>0</v>
          </cell>
          <cell r="BB147">
            <v>0</v>
          </cell>
          <cell r="BC147">
            <v>0</v>
          </cell>
          <cell r="BD147">
            <v>0</v>
          </cell>
          <cell r="BE147">
            <v>0</v>
          </cell>
          <cell r="BF147">
            <v>0</v>
          </cell>
          <cell r="BG147">
            <v>0</v>
          </cell>
          <cell r="BH147">
            <v>0</v>
          </cell>
          <cell r="BI147">
            <v>0</v>
          </cell>
          <cell r="BJ147">
            <v>0</v>
          </cell>
          <cell r="BK147">
            <v>0</v>
          </cell>
          <cell r="BL147">
            <v>0</v>
          </cell>
          <cell r="BM147">
            <v>0</v>
          </cell>
          <cell r="BN147">
            <v>0</v>
          </cell>
          <cell r="BO147">
            <v>0</v>
          </cell>
          <cell r="BP147">
            <v>0</v>
          </cell>
          <cell r="BQ147">
            <v>0</v>
          </cell>
          <cell r="BR147">
            <v>0</v>
          </cell>
          <cell r="BS147">
            <v>0</v>
          </cell>
          <cell r="BT147">
            <v>0</v>
          </cell>
          <cell r="BU147">
            <v>0</v>
          </cell>
          <cell r="BV147">
            <v>0</v>
          </cell>
          <cell r="BW147">
            <v>0</v>
          </cell>
          <cell r="BX147">
            <v>0</v>
          </cell>
          <cell r="BY147">
            <v>0</v>
          </cell>
          <cell r="BZ147">
            <v>0</v>
          </cell>
          <cell r="CA147">
            <v>0</v>
          </cell>
          <cell r="CB147">
            <v>0</v>
          </cell>
          <cell r="CC147">
            <v>0</v>
          </cell>
          <cell r="CD147">
            <v>0</v>
          </cell>
          <cell r="CE147">
            <v>0</v>
          </cell>
          <cell r="CF147">
            <v>0</v>
          </cell>
          <cell r="CG147">
            <v>0</v>
          </cell>
          <cell r="CH147">
            <v>0</v>
          </cell>
          <cell r="CI147">
            <v>0</v>
          </cell>
          <cell r="CJ147">
            <v>0</v>
          </cell>
          <cell r="CK147">
            <v>0</v>
          </cell>
          <cell r="CL147">
            <v>0</v>
          </cell>
          <cell r="CM147">
            <v>0</v>
          </cell>
          <cell r="CN147">
            <v>0</v>
          </cell>
          <cell r="CO147">
            <v>0</v>
          </cell>
          <cell r="CP147">
            <v>0</v>
          </cell>
          <cell r="CQ147">
            <v>0</v>
          </cell>
          <cell r="CR147">
            <v>0</v>
          </cell>
          <cell r="CS147">
            <v>0</v>
          </cell>
          <cell r="CT147">
            <v>0</v>
          </cell>
          <cell r="CU147">
            <v>0</v>
          </cell>
          <cell r="CV147">
            <v>0</v>
          </cell>
          <cell r="CW147">
            <v>0</v>
          </cell>
          <cell r="CX147">
            <v>0</v>
          </cell>
          <cell r="CY147">
            <v>0</v>
          </cell>
          <cell r="CZ147">
            <v>0</v>
          </cell>
          <cell r="DA147">
            <v>0</v>
          </cell>
          <cell r="DB147">
            <v>0</v>
          </cell>
          <cell r="DC147">
            <v>0</v>
          </cell>
          <cell r="DD147">
            <v>0</v>
          </cell>
          <cell r="DE147">
            <v>0</v>
          </cell>
          <cell r="DF147">
            <v>0</v>
          </cell>
          <cell r="DG147">
            <v>0</v>
          </cell>
          <cell r="DH147">
            <v>0</v>
          </cell>
          <cell r="DI147">
            <v>0</v>
          </cell>
          <cell r="DJ147">
            <v>0</v>
          </cell>
          <cell r="DK147">
            <v>0</v>
          </cell>
          <cell r="DL147">
            <v>0</v>
          </cell>
          <cell r="DM147">
            <v>0</v>
          </cell>
          <cell r="DN147">
            <v>0</v>
          </cell>
          <cell r="DO147">
            <v>0</v>
          </cell>
          <cell r="DP147">
            <v>0</v>
          </cell>
          <cell r="DQ147">
            <v>0</v>
          </cell>
          <cell r="DR147">
            <v>0</v>
          </cell>
          <cell r="DS147">
            <v>0</v>
          </cell>
          <cell r="DT147">
            <v>0</v>
          </cell>
          <cell r="DU147">
            <v>0</v>
          </cell>
          <cell r="DV147">
            <v>0</v>
          </cell>
          <cell r="DW147">
            <v>0</v>
          </cell>
          <cell r="DX147" t="str">
            <v/>
          </cell>
          <cell r="DY147" t="str">
            <v/>
          </cell>
          <cell r="DZ147" t="str">
            <v/>
          </cell>
          <cell r="EA147">
            <v>0</v>
          </cell>
          <cell r="EB147">
            <v>0</v>
          </cell>
          <cell r="EC147">
            <v>0</v>
          </cell>
          <cell r="ED147">
            <v>0</v>
          </cell>
          <cell r="EE147">
            <v>0</v>
          </cell>
          <cell r="EF147">
            <v>0</v>
          </cell>
          <cell r="EG147">
            <v>0</v>
          </cell>
          <cell r="EH147">
            <v>0</v>
          </cell>
          <cell r="EI147">
            <v>0</v>
          </cell>
          <cell r="EJ147">
            <v>0</v>
          </cell>
          <cell r="EK147">
            <v>0</v>
          </cell>
          <cell r="EL147">
            <v>0</v>
          </cell>
          <cell r="EM147">
            <v>0</v>
          </cell>
          <cell r="EN147">
            <v>0</v>
          </cell>
          <cell r="EO147">
            <v>0</v>
          </cell>
          <cell r="EP147">
            <v>0</v>
          </cell>
          <cell r="EQ147">
            <v>0</v>
          </cell>
          <cell r="ER147">
            <v>0</v>
          </cell>
          <cell r="ES147">
            <v>0</v>
          </cell>
          <cell r="ET147">
            <v>0</v>
          </cell>
          <cell r="EU147">
            <v>0</v>
          </cell>
          <cell r="EV147">
            <v>0</v>
          </cell>
          <cell r="EW147">
            <v>0</v>
          </cell>
          <cell r="EX147">
            <v>0</v>
          </cell>
          <cell r="EY147">
            <v>0</v>
          </cell>
          <cell r="EZ147">
            <v>0</v>
          </cell>
          <cell r="FA147">
            <v>0</v>
          </cell>
          <cell r="FB147">
            <v>0</v>
          </cell>
          <cell r="FC147">
            <v>0</v>
          </cell>
          <cell r="FD147">
            <v>0</v>
          </cell>
          <cell r="FE147">
            <v>0</v>
          </cell>
          <cell r="FF147">
            <v>0</v>
          </cell>
          <cell r="FG147">
            <v>0</v>
          </cell>
          <cell r="FH147">
            <v>0</v>
          </cell>
          <cell r="FI147">
            <v>0</v>
          </cell>
          <cell r="FJ147">
            <v>0</v>
          </cell>
          <cell r="FK147">
            <v>0</v>
          </cell>
          <cell r="FL147">
            <v>0</v>
          </cell>
          <cell r="FM147">
            <v>0</v>
          </cell>
          <cell r="FN147">
            <v>0</v>
          </cell>
          <cell r="FO147">
            <v>0</v>
          </cell>
          <cell r="FP147">
            <v>0</v>
          </cell>
          <cell r="FQ147">
            <v>0</v>
          </cell>
          <cell r="FR147">
            <v>0</v>
          </cell>
          <cell r="FS147">
            <v>0</v>
          </cell>
          <cell r="FT147">
            <v>0</v>
          </cell>
          <cell r="FU147">
            <v>0</v>
          </cell>
          <cell r="FV147">
            <v>0</v>
          </cell>
          <cell r="FW147">
            <v>0</v>
          </cell>
          <cell r="FX147">
            <v>0</v>
          </cell>
          <cell r="FY147">
            <v>0</v>
          </cell>
          <cell r="FZ147">
            <v>0</v>
          </cell>
          <cell r="GA147">
            <v>0</v>
          </cell>
          <cell r="GB147">
            <v>0</v>
          </cell>
          <cell r="GC147">
            <v>0</v>
          </cell>
          <cell r="GD147">
            <v>0</v>
          </cell>
          <cell r="GE147">
            <v>0</v>
          </cell>
          <cell r="GF147">
            <v>0</v>
          </cell>
          <cell r="GG147">
            <v>0</v>
          </cell>
          <cell r="GH147">
            <v>0</v>
          </cell>
          <cell r="GI147">
            <v>0</v>
          </cell>
          <cell r="GJ147">
            <v>0</v>
          </cell>
          <cell r="GK147">
            <v>0</v>
          </cell>
          <cell r="GL147">
            <v>0</v>
          </cell>
          <cell r="GM147">
            <v>0</v>
          </cell>
          <cell r="GN147">
            <v>0</v>
          </cell>
          <cell r="GO147">
            <v>0</v>
          </cell>
          <cell r="GP147">
            <v>0</v>
          </cell>
          <cell r="GQ147">
            <v>0</v>
          </cell>
          <cell r="GR147">
            <v>0</v>
          </cell>
          <cell r="GS147">
            <v>0</v>
          </cell>
          <cell r="GT147">
            <v>0</v>
          </cell>
          <cell r="GU147">
            <v>0</v>
          </cell>
          <cell r="GZ147">
            <v>0</v>
          </cell>
        </row>
        <row r="148">
          <cell r="A148" t="str">
            <v>F_FIL_NRF_IRD_IRD_FRCE_AUT</v>
          </cell>
          <cell r="B148">
            <v>334343.8</v>
          </cell>
          <cell r="C148">
            <v>0</v>
          </cell>
          <cell r="D148">
            <v>11081154.360000001</v>
          </cell>
          <cell r="E148">
            <v>-5130092.6943831723</v>
          </cell>
          <cell r="F148">
            <v>8785668.6799999997</v>
          </cell>
          <cell r="G148">
            <v>8785668.6799999997</v>
          </cell>
          <cell r="H148">
            <v>0</v>
          </cell>
          <cell r="I148">
            <v>0</v>
          </cell>
          <cell r="J148">
            <v>2000</v>
          </cell>
          <cell r="K148">
            <v>0</v>
          </cell>
          <cell r="L148">
            <v>6611697.9799999995</v>
          </cell>
          <cell r="M148">
            <v>0</v>
          </cell>
          <cell r="N148">
            <v>0</v>
          </cell>
          <cell r="O148">
            <v>0</v>
          </cell>
          <cell r="P148">
            <v>0</v>
          </cell>
          <cell r="Q148">
            <v>0</v>
          </cell>
          <cell r="R148">
            <v>0</v>
          </cell>
          <cell r="S148">
            <v>8785668.6799999997</v>
          </cell>
          <cell r="T148">
            <v>0</v>
          </cell>
          <cell r="U148">
            <v>0</v>
          </cell>
          <cell r="V148">
            <v>0</v>
          </cell>
          <cell r="W148">
            <v>0</v>
          </cell>
          <cell r="X148">
            <v>0</v>
          </cell>
          <cell r="Y148">
            <v>0</v>
          </cell>
          <cell r="Z148">
            <v>0</v>
          </cell>
          <cell r="AA148">
            <v>0</v>
          </cell>
          <cell r="AB148">
            <v>8416513.934792133</v>
          </cell>
          <cell r="AC148">
            <v>8433734.7064479031</v>
          </cell>
          <cell r="AD148">
            <v>0</v>
          </cell>
          <cell r="AE148">
            <v>0</v>
          </cell>
          <cell r="AF148">
            <v>1560</v>
          </cell>
          <cell r="AG148">
            <v>0</v>
          </cell>
          <cell r="AH148">
            <v>6308111.6956214663</v>
          </cell>
          <cell r="AI148">
            <v>0</v>
          </cell>
          <cell r="AJ148">
            <v>0</v>
          </cell>
          <cell r="AK148">
            <v>0</v>
          </cell>
          <cell r="AL148">
            <v>0</v>
          </cell>
          <cell r="AM148">
            <v>0</v>
          </cell>
          <cell r="AN148">
            <v>0</v>
          </cell>
          <cell r="AO148">
            <v>8582781.7502916399</v>
          </cell>
          <cell r="AP148">
            <v>0</v>
          </cell>
          <cell r="AQ148">
            <v>0</v>
          </cell>
          <cell r="AR148">
            <v>0</v>
          </cell>
          <cell r="AS148">
            <v>0</v>
          </cell>
          <cell r="AT148">
            <v>0</v>
          </cell>
          <cell r="AU148">
            <v>0</v>
          </cell>
          <cell r="AV148">
            <v>0</v>
          </cell>
          <cell r="AW148">
            <v>0</v>
          </cell>
          <cell r="AX148">
            <v>0</v>
          </cell>
          <cell r="AY148">
            <v>0</v>
          </cell>
          <cell r="AZ148">
            <v>0</v>
          </cell>
          <cell r="BA148">
            <v>0</v>
          </cell>
          <cell r="BB148">
            <v>0</v>
          </cell>
          <cell r="BC148">
            <v>0</v>
          </cell>
          <cell r="BD148">
            <v>0</v>
          </cell>
          <cell r="BE148">
            <v>0</v>
          </cell>
          <cell r="BF148">
            <v>0</v>
          </cell>
          <cell r="BG148">
            <v>0</v>
          </cell>
          <cell r="BH148">
            <v>0</v>
          </cell>
          <cell r="BI148">
            <v>0</v>
          </cell>
          <cell r="BJ148">
            <v>0</v>
          </cell>
          <cell r="BK148">
            <v>0</v>
          </cell>
          <cell r="BL148">
            <v>0</v>
          </cell>
          <cell r="BM148">
            <v>0</v>
          </cell>
          <cell r="BN148">
            <v>0</v>
          </cell>
          <cell r="BO148">
            <v>0</v>
          </cell>
          <cell r="BP148">
            <v>0</v>
          </cell>
          <cell r="BQ148">
            <v>0</v>
          </cell>
          <cell r="BR148">
            <v>0</v>
          </cell>
          <cell r="BS148">
            <v>0</v>
          </cell>
          <cell r="BT148">
            <v>0</v>
          </cell>
          <cell r="BU148">
            <v>0</v>
          </cell>
          <cell r="BV148">
            <v>0</v>
          </cell>
          <cell r="BW148">
            <v>0</v>
          </cell>
          <cell r="BX148">
            <v>0</v>
          </cell>
          <cell r="BY148">
            <v>0</v>
          </cell>
          <cell r="BZ148">
            <v>0</v>
          </cell>
          <cell r="CA148">
            <v>0</v>
          </cell>
          <cell r="CB148">
            <v>0</v>
          </cell>
          <cell r="CC148">
            <v>0</v>
          </cell>
          <cell r="CD148">
            <v>0</v>
          </cell>
          <cell r="CE148">
            <v>0</v>
          </cell>
          <cell r="CF148">
            <v>0</v>
          </cell>
          <cell r="CG148">
            <v>0</v>
          </cell>
          <cell r="CH148">
            <v>0</v>
          </cell>
          <cell r="CI148">
            <v>0</v>
          </cell>
          <cell r="CJ148">
            <v>0</v>
          </cell>
          <cell r="CK148">
            <v>0</v>
          </cell>
          <cell r="CL148">
            <v>0</v>
          </cell>
          <cell r="CM148">
            <v>0</v>
          </cell>
          <cell r="CN148">
            <v>0</v>
          </cell>
          <cell r="CO148">
            <v>0</v>
          </cell>
          <cell r="CP148">
            <v>0</v>
          </cell>
          <cell r="CQ148">
            <v>0</v>
          </cell>
          <cell r="CR148">
            <v>0</v>
          </cell>
          <cell r="CS148">
            <v>0</v>
          </cell>
          <cell r="CT148">
            <v>0</v>
          </cell>
          <cell r="CU148">
            <v>0</v>
          </cell>
          <cell r="CV148">
            <v>0</v>
          </cell>
          <cell r="CW148">
            <v>0</v>
          </cell>
          <cell r="CX148">
            <v>0</v>
          </cell>
          <cell r="CY148">
            <v>0</v>
          </cell>
          <cell r="CZ148">
            <v>0</v>
          </cell>
          <cell r="DA148">
            <v>0</v>
          </cell>
          <cell r="DB148">
            <v>0</v>
          </cell>
          <cell r="DC148">
            <v>0</v>
          </cell>
          <cell r="DD148">
            <v>0</v>
          </cell>
          <cell r="DE148">
            <v>0</v>
          </cell>
          <cell r="DF148">
            <v>0</v>
          </cell>
          <cell r="DG148">
            <v>0</v>
          </cell>
          <cell r="DH148">
            <v>0</v>
          </cell>
          <cell r="DI148">
            <v>0</v>
          </cell>
          <cell r="DJ148">
            <v>0</v>
          </cell>
          <cell r="DK148">
            <v>0</v>
          </cell>
          <cell r="DL148">
            <v>0</v>
          </cell>
          <cell r="DM148">
            <v>0</v>
          </cell>
          <cell r="DN148">
            <v>0</v>
          </cell>
          <cell r="DO148">
            <v>0</v>
          </cell>
          <cell r="DP148">
            <v>0</v>
          </cell>
          <cell r="DQ148">
            <v>0</v>
          </cell>
          <cell r="DR148">
            <v>0</v>
          </cell>
          <cell r="DS148">
            <v>0</v>
          </cell>
          <cell r="DT148">
            <v>0</v>
          </cell>
          <cell r="DU148">
            <v>0</v>
          </cell>
          <cell r="DV148">
            <v>0</v>
          </cell>
          <cell r="DW148">
            <v>0</v>
          </cell>
          <cell r="EA148">
            <v>0</v>
          </cell>
          <cell r="EB148">
            <v>0</v>
          </cell>
          <cell r="EC148">
            <v>0</v>
          </cell>
          <cell r="ED148">
            <v>0</v>
          </cell>
          <cell r="EE148">
            <v>0</v>
          </cell>
          <cell r="EF148">
            <v>0</v>
          </cell>
          <cell r="EG148">
            <v>0</v>
          </cell>
          <cell r="EH148">
            <v>0</v>
          </cell>
          <cell r="EI148">
            <v>0</v>
          </cell>
          <cell r="EJ148">
            <v>0</v>
          </cell>
          <cell r="EK148">
            <v>0</v>
          </cell>
          <cell r="EL148">
            <v>0</v>
          </cell>
          <cell r="EM148">
            <v>0</v>
          </cell>
          <cell r="EN148">
            <v>0</v>
          </cell>
          <cell r="EO148">
            <v>0</v>
          </cell>
          <cell r="EP148">
            <v>0</v>
          </cell>
          <cell r="EQ148">
            <v>0</v>
          </cell>
          <cell r="ER148">
            <v>0</v>
          </cell>
          <cell r="ES148">
            <v>0</v>
          </cell>
          <cell r="ET148">
            <v>0</v>
          </cell>
          <cell r="EU148">
            <v>0</v>
          </cell>
          <cell r="EV148">
            <v>0</v>
          </cell>
          <cell r="EW148">
            <v>0</v>
          </cell>
          <cell r="EX148">
            <v>0</v>
          </cell>
          <cell r="EY148">
            <v>0</v>
          </cell>
          <cell r="EZ148">
            <v>0</v>
          </cell>
          <cell r="FA148">
            <v>0</v>
          </cell>
          <cell r="FB148">
            <v>0</v>
          </cell>
          <cell r="FC148">
            <v>0</v>
          </cell>
          <cell r="FD148">
            <v>0</v>
          </cell>
          <cell r="FE148">
            <v>0</v>
          </cell>
          <cell r="FF148">
            <v>0</v>
          </cell>
          <cell r="FG148">
            <v>0</v>
          </cell>
          <cell r="FH148">
            <v>0</v>
          </cell>
          <cell r="FI148">
            <v>0</v>
          </cell>
          <cell r="FJ148">
            <v>0</v>
          </cell>
          <cell r="FK148">
            <v>0</v>
          </cell>
          <cell r="FL148">
            <v>0</v>
          </cell>
          <cell r="FM148">
            <v>0</v>
          </cell>
          <cell r="FN148">
            <v>0</v>
          </cell>
          <cell r="FO148">
            <v>0</v>
          </cell>
          <cell r="FP148">
            <v>0</v>
          </cell>
          <cell r="FQ148">
            <v>0</v>
          </cell>
          <cell r="FR148">
            <v>0</v>
          </cell>
          <cell r="FS148">
            <v>0</v>
          </cell>
          <cell r="FT148">
            <v>0</v>
          </cell>
          <cell r="FU148">
            <v>0</v>
          </cell>
          <cell r="FV148">
            <v>0</v>
          </cell>
          <cell r="FW148">
            <v>0</v>
          </cell>
          <cell r="FX148">
            <v>0</v>
          </cell>
          <cell r="FY148">
            <v>0</v>
          </cell>
          <cell r="FZ148">
            <v>0</v>
          </cell>
          <cell r="GA148">
            <v>0</v>
          </cell>
          <cell r="GB148">
            <v>0</v>
          </cell>
          <cell r="GC148">
            <v>0</v>
          </cell>
          <cell r="GD148">
            <v>0</v>
          </cell>
          <cell r="GE148">
            <v>0</v>
          </cell>
          <cell r="GF148">
            <v>0</v>
          </cell>
          <cell r="GG148">
            <v>0</v>
          </cell>
          <cell r="GH148">
            <v>0</v>
          </cell>
          <cell r="GI148">
            <v>0</v>
          </cell>
          <cell r="GJ148">
            <v>0</v>
          </cell>
          <cell r="GK148">
            <v>0</v>
          </cell>
          <cell r="GL148">
            <v>0</v>
          </cell>
          <cell r="GM148">
            <v>0</v>
          </cell>
          <cell r="GN148">
            <v>0</v>
          </cell>
          <cell r="GO148">
            <v>0</v>
          </cell>
          <cell r="GP148">
            <v>0</v>
          </cell>
          <cell r="GQ148">
            <v>0</v>
          </cell>
          <cell r="GR148">
            <v>0</v>
          </cell>
          <cell r="GS148">
            <v>0</v>
          </cell>
          <cell r="GT148">
            <v>0</v>
          </cell>
          <cell r="GZ148">
            <v>0</v>
          </cell>
        </row>
        <row r="149">
          <cell r="A149" t="str">
            <v>F_GAR_NRF_IRD_IRD_FRCE_SWL</v>
          </cell>
          <cell r="B149">
            <v>0</v>
          </cell>
          <cell r="C149">
            <v>0</v>
          </cell>
          <cell r="D149">
            <v>12533529.23</v>
          </cell>
          <cell r="E149">
            <v>3328056.0730134905</v>
          </cell>
          <cell r="F149">
            <v>11065261.370000001</v>
          </cell>
          <cell r="G149">
            <v>11065261.370000001</v>
          </cell>
          <cell r="H149">
            <v>0</v>
          </cell>
          <cell r="I149">
            <v>0</v>
          </cell>
          <cell r="J149">
            <v>38653.57</v>
          </cell>
          <cell r="K149">
            <v>0</v>
          </cell>
          <cell r="L149">
            <v>1145962.1200000001</v>
          </cell>
          <cell r="M149">
            <v>0</v>
          </cell>
          <cell r="N149">
            <v>0</v>
          </cell>
          <cell r="O149">
            <v>0</v>
          </cell>
          <cell r="P149">
            <v>0</v>
          </cell>
          <cell r="Q149">
            <v>0</v>
          </cell>
          <cell r="R149">
            <v>0</v>
          </cell>
          <cell r="S149">
            <v>11293370.120000001</v>
          </cell>
          <cell r="T149">
            <v>0</v>
          </cell>
          <cell r="U149">
            <v>0</v>
          </cell>
          <cell r="V149">
            <v>0</v>
          </cell>
          <cell r="W149">
            <v>0</v>
          </cell>
          <cell r="X149">
            <v>0</v>
          </cell>
          <cell r="Y149">
            <v>0</v>
          </cell>
          <cell r="Z149">
            <v>0</v>
          </cell>
          <cell r="AA149">
            <v>0</v>
          </cell>
          <cell r="AB149">
            <v>9521875.8954218403</v>
          </cell>
          <cell r="AC149">
            <v>9696012.3269898444</v>
          </cell>
          <cell r="AD149">
            <v>0</v>
          </cell>
          <cell r="AE149">
            <v>0</v>
          </cell>
          <cell r="AF149">
            <v>30149.784600000003</v>
          </cell>
          <cell r="AG149">
            <v>0</v>
          </cell>
          <cell r="AH149">
            <v>1120856.2688937625</v>
          </cell>
          <cell r="AI149">
            <v>0</v>
          </cell>
          <cell r="AJ149">
            <v>0</v>
          </cell>
          <cell r="AK149">
            <v>0</v>
          </cell>
          <cell r="AL149">
            <v>0</v>
          </cell>
          <cell r="AM149">
            <v>0</v>
          </cell>
          <cell r="AN149">
            <v>0</v>
          </cell>
          <cell r="AO149">
            <v>10126954.465345761</v>
          </cell>
          <cell r="AP149">
            <v>0</v>
          </cell>
          <cell r="AQ149">
            <v>0</v>
          </cell>
          <cell r="AR149">
            <v>0</v>
          </cell>
          <cell r="AS149">
            <v>0</v>
          </cell>
          <cell r="AT149">
            <v>0</v>
          </cell>
          <cell r="AU149">
            <v>0</v>
          </cell>
          <cell r="AV149">
            <v>0</v>
          </cell>
          <cell r="AW149">
            <v>0</v>
          </cell>
          <cell r="AX149">
            <v>0</v>
          </cell>
          <cell r="AY149">
            <v>0</v>
          </cell>
          <cell r="AZ149">
            <v>0</v>
          </cell>
          <cell r="BA149">
            <v>0</v>
          </cell>
          <cell r="BB149">
            <v>0</v>
          </cell>
          <cell r="BC149">
            <v>0</v>
          </cell>
          <cell r="BD149">
            <v>0</v>
          </cell>
          <cell r="BE149">
            <v>0</v>
          </cell>
          <cell r="BF149">
            <v>0</v>
          </cell>
          <cell r="BG149">
            <v>0</v>
          </cell>
          <cell r="BH149">
            <v>0</v>
          </cell>
          <cell r="BI149">
            <v>0</v>
          </cell>
          <cell r="BJ149">
            <v>0</v>
          </cell>
          <cell r="BK149">
            <v>0</v>
          </cell>
          <cell r="BL149">
            <v>0</v>
          </cell>
          <cell r="BM149">
            <v>0</v>
          </cell>
          <cell r="BN149">
            <v>0</v>
          </cell>
          <cell r="BO149">
            <v>0</v>
          </cell>
          <cell r="BP149">
            <v>0</v>
          </cell>
          <cell r="BQ149">
            <v>0</v>
          </cell>
          <cell r="BR149">
            <v>0</v>
          </cell>
          <cell r="BS149">
            <v>0</v>
          </cell>
          <cell r="BT149">
            <v>0</v>
          </cell>
          <cell r="BU149">
            <v>0</v>
          </cell>
          <cell r="BV149">
            <v>0</v>
          </cell>
          <cell r="BW149">
            <v>0</v>
          </cell>
          <cell r="BX149">
            <v>0</v>
          </cell>
          <cell r="BY149">
            <v>0</v>
          </cell>
          <cell r="BZ149">
            <v>0</v>
          </cell>
          <cell r="CA149">
            <v>0</v>
          </cell>
          <cell r="CB149">
            <v>0</v>
          </cell>
          <cell r="CC149">
            <v>0</v>
          </cell>
          <cell r="CD149">
            <v>0</v>
          </cell>
          <cell r="CE149">
            <v>0</v>
          </cell>
          <cell r="CF149">
            <v>0</v>
          </cell>
          <cell r="CG149">
            <v>0</v>
          </cell>
          <cell r="CH149">
            <v>0</v>
          </cell>
          <cell r="CI149">
            <v>0</v>
          </cell>
          <cell r="CJ149">
            <v>0</v>
          </cell>
          <cell r="CK149">
            <v>0</v>
          </cell>
          <cell r="CL149">
            <v>0</v>
          </cell>
          <cell r="CM149">
            <v>0</v>
          </cell>
          <cell r="CN149">
            <v>0</v>
          </cell>
          <cell r="CO149">
            <v>0</v>
          </cell>
          <cell r="CP149">
            <v>0</v>
          </cell>
          <cell r="CQ149">
            <v>0</v>
          </cell>
          <cell r="CR149">
            <v>0</v>
          </cell>
          <cell r="CS149">
            <v>0</v>
          </cell>
          <cell r="CT149">
            <v>0</v>
          </cell>
          <cell r="CU149">
            <v>0</v>
          </cell>
          <cell r="CV149">
            <v>0</v>
          </cell>
          <cell r="CW149">
            <v>0</v>
          </cell>
          <cell r="CX149">
            <v>0</v>
          </cell>
          <cell r="CY149">
            <v>0</v>
          </cell>
          <cell r="CZ149">
            <v>0</v>
          </cell>
          <cell r="DA149">
            <v>0</v>
          </cell>
          <cell r="DB149">
            <v>0</v>
          </cell>
          <cell r="DC149">
            <v>0</v>
          </cell>
          <cell r="DD149">
            <v>0</v>
          </cell>
          <cell r="DE149">
            <v>0</v>
          </cell>
          <cell r="DF149">
            <v>0</v>
          </cell>
          <cell r="DG149">
            <v>0</v>
          </cell>
          <cell r="DH149">
            <v>0</v>
          </cell>
          <cell r="DI149">
            <v>0</v>
          </cell>
          <cell r="DJ149">
            <v>0</v>
          </cell>
          <cell r="DK149">
            <v>0</v>
          </cell>
          <cell r="DL149">
            <v>0</v>
          </cell>
          <cell r="DM149">
            <v>0</v>
          </cell>
          <cell r="DN149">
            <v>0</v>
          </cell>
          <cell r="DO149">
            <v>0</v>
          </cell>
          <cell r="DP149">
            <v>0</v>
          </cell>
          <cell r="DQ149">
            <v>0</v>
          </cell>
          <cell r="DR149">
            <v>0</v>
          </cell>
          <cell r="DS149">
            <v>0</v>
          </cell>
          <cell r="DT149">
            <v>0</v>
          </cell>
          <cell r="DU149">
            <v>0</v>
          </cell>
          <cell r="DV149">
            <v>0</v>
          </cell>
          <cell r="DW149">
            <v>0</v>
          </cell>
          <cell r="EA149">
            <v>0</v>
          </cell>
          <cell r="EB149">
            <v>0</v>
          </cell>
          <cell r="EC149">
            <v>0</v>
          </cell>
          <cell r="ED149">
            <v>0</v>
          </cell>
          <cell r="EE149">
            <v>0</v>
          </cell>
          <cell r="EF149">
            <v>0</v>
          </cell>
          <cell r="EG149">
            <v>0</v>
          </cell>
          <cell r="EH149">
            <v>0</v>
          </cell>
          <cell r="EI149">
            <v>0</v>
          </cell>
          <cell r="EJ149">
            <v>0</v>
          </cell>
          <cell r="EK149">
            <v>0</v>
          </cell>
          <cell r="EL149">
            <v>0</v>
          </cell>
          <cell r="EM149">
            <v>0</v>
          </cell>
          <cell r="EN149">
            <v>0</v>
          </cell>
          <cell r="EO149">
            <v>0</v>
          </cell>
          <cell r="EP149">
            <v>0</v>
          </cell>
          <cell r="EQ149">
            <v>0</v>
          </cell>
          <cell r="ER149">
            <v>0</v>
          </cell>
          <cell r="ES149">
            <v>0</v>
          </cell>
          <cell r="ET149">
            <v>0</v>
          </cell>
          <cell r="EU149">
            <v>0</v>
          </cell>
          <cell r="EV149">
            <v>0</v>
          </cell>
          <cell r="EW149">
            <v>0</v>
          </cell>
          <cell r="EX149">
            <v>0</v>
          </cell>
          <cell r="EY149">
            <v>0</v>
          </cell>
          <cell r="EZ149">
            <v>0</v>
          </cell>
          <cell r="FA149">
            <v>0</v>
          </cell>
          <cell r="FB149">
            <v>0</v>
          </cell>
          <cell r="FC149">
            <v>0</v>
          </cell>
          <cell r="FD149">
            <v>0</v>
          </cell>
          <cell r="FE149">
            <v>0</v>
          </cell>
          <cell r="FF149">
            <v>0</v>
          </cell>
          <cell r="FG149">
            <v>0</v>
          </cell>
          <cell r="FH149">
            <v>0</v>
          </cell>
          <cell r="FI149">
            <v>0</v>
          </cell>
          <cell r="FJ149">
            <v>0</v>
          </cell>
          <cell r="FK149">
            <v>0</v>
          </cell>
          <cell r="FL149">
            <v>0</v>
          </cell>
          <cell r="FM149">
            <v>0</v>
          </cell>
          <cell r="FN149">
            <v>0</v>
          </cell>
          <cell r="FO149">
            <v>0</v>
          </cell>
          <cell r="FP149">
            <v>0</v>
          </cell>
          <cell r="FQ149">
            <v>0</v>
          </cell>
          <cell r="FR149">
            <v>0</v>
          </cell>
          <cell r="FS149">
            <v>0</v>
          </cell>
          <cell r="FT149">
            <v>0</v>
          </cell>
          <cell r="FU149">
            <v>0</v>
          </cell>
          <cell r="FV149">
            <v>0</v>
          </cell>
          <cell r="FW149">
            <v>0</v>
          </cell>
          <cell r="FX149">
            <v>0</v>
          </cell>
          <cell r="FY149">
            <v>0</v>
          </cell>
          <cell r="FZ149">
            <v>0</v>
          </cell>
          <cell r="GA149">
            <v>0</v>
          </cell>
          <cell r="GB149">
            <v>0</v>
          </cell>
          <cell r="GC149">
            <v>0</v>
          </cell>
          <cell r="GD149">
            <v>0</v>
          </cell>
          <cell r="GE149">
            <v>0</v>
          </cell>
          <cell r="GF149">
            <v>0</v>
          </cell>
          <cell r="GG149">
            <v>0</v>
          </cell>
          <cell r="GH149">
            <v>0</v>
          </cell>
          <cell r="GI149">
            <v>0</v>
          </cell>
          <cell r="GJ149">
            <v>0</v>
          </cell>
          <cell r="GK149">
            <v>0</v>
          </cell>
          <cell r="GL149">
            <v>0</v>
          </cell>
          <cell r="GM149">
            <v>0</v>
          </cell>
          <cell r="GN149">
            <v>0</v>
          </cell>
          <cell r="GO149">
            <v>0</v>
          </cell>
          <cell r="GP149">
            <v>0</v>
          </cell>
          <cell r="GQ149">
            <v>0</v>
          </cell>
          <cell r="GR149">
            <v>0</v>
          </cell>
          <cell r="GS149">
            <v>0</v>
          </cell>
          <cell r="GT149">
            <v>0</v>
          </cell>
          <cell r="GZ149">
            <v>0</v>
          </cell>
        </row>
        <row r="150">
          <cell r="A150">
            <v>0</v>
          </cell>
        </row>
        <row r="151">
          <cell r="A151">
            <v>0</v>
          </cell>
        </row>
        <row r="152">
          <cell r="A152">
            <v>0</v>
          </cell>
        </row>
        <row r="153">
          <cell r="A153">
            <v>0</v>
          </cell>
        </row>
        <row r="154">
          <cell r="A154">
            <v>0</v>
          </cell>
        </row>
        <row r="155">
          <cell r="A155">
            <v>0</v>
          </cell>
        </row>
        <row r="156">
          <cell r="A156">
            <v>0</v>
          </cell>
        </row>
        <row r="157">
          <cell r="A157">
            <v>0</v>
          </cell>
        </row>
        <row r="158">
          <cell r="A158">
            <v>0</v>
          </cell>
        </row>
        <row r="159">
          <cell r="A159">
            <v>0</v>
          </cell>
        </row>
        <row r="160">
          <cell r="A160">
            <v>0</v>
          </cell>
        </row>
        <row r="161">
          <cell r="A161">
            <v>0</v>
          </cell>
        </row>
        <row r="162">
          <cell r="A162">
            <v>0</v>
          </cell>
        </row>
        <row r="163">
          <cell r="A163">
            <v>0</v>
          </cell>
        </row>
        <row r="164">
          <cell r="A164">
            <v>0</v>
          </cell>
        </row>
        <row r="165">
          <cell r="A165" t="str">
            <v>I_CAI_NRF_CPT_PRP_INTR_B01</v>
          </cell>
          <cell r="B165">
            <v>0</v>
          </cell>
          <cell r="C165">
            <v>0</v>
          </cell>
          <cell r="D165">
            <v>773282278.8189255</v>
          </cell>
          <cell r="E165">
            <v>0</v>
          </cell>
          <cell r="F165">
            <v>773282278.8189255</v>
          </cell>
          <cell r="G165">
            <v>773282278.8189255</v>
          </cell>
          <cell r="H165">
            <v>0</v>
          </cell>
          <cell r="I165">
            <v>0</v>
          </cell>
          <cell r="J165">
            <v>773282278.8189255</v>
          </cell>
          <cell r="K165">
            <v>0</v>
          </cell>
          <cell r="L165">
            <v>0</v>
          </cell>
          <cell r="M165">
            <v>0</v>
          </cell>
          <cell r="N165">
            <v>773282278.8189255</v>
          </cell>
          <cell r="O165">
            <v>0</v>
          </cell>
          <cell r="P165">
            <v>0</v>
          </cell>
          <cell r="Q165">
            <v>773282278.8189255</v>
          </cell>
          <cell r="R165">
            <v>0</v>
          </cell>
          <cell r="S165">
            <v>773282278.8189255</v>
          </cell>
          <cell r="T165">
            <v>0</v>
          </cell>
          <cell r="U165">
            <v>0</v>
          </cell>
          <cell r="V165">
            <v>0</v>
          </cell>
          <cell r="W165">
            <v>0</v>
          </cell>
          <cell r="X165">
            <v>0</v>
          </cell>
          <cell r="Y165">
            <v>0</v>
          </cell>
          <cell r="Z165">
            <v>773282278.8189255</v>
          </cell>
          <cell r="AA165">
            <v>0</v>
          </cell>
          <cell r="AB165">
            <v>835752591.06428993</v>
          </cell>
          <cell r="AC165">
            <v>720615914.8451587</v>
          </cell>
          <cell r="AD165">
            <v>0</v>
          </cell>
          <cell r="AE165">
            <v>0</v>
          </cell>
          <cell r="AF165">
            <v>773282278.8189255</v>
          </cell>
          <cell r="AG165">
            <v>0</v>
          </cell>
          <cell r="AH165">
            <v>0</v>
          </cell>
          <cell r="AI165">
            <v>0</v>
          </cell>
          <cell r="AJ165">
            <v>744807381.7736057</v>
          </cell>
          <cell r="AK165">
            <v>0</v>
          </cell>
          <cell r="AL165">
            <v>0</v>
          </cell>
          <cell r="AM165">
            <v>773282278.8189255</v>
          </cell>
          <cell r="AN165">
            <v>0</v>
          </cell>
          <cell r="AO165">
            <v>726812652.04857731</v>
          </cell>
          <cell r="AP165">
            <v>0</v>
          </cell>
          <cell r="AQ165">
            <v>0</v>
          </cell>
          <cell r="AR165">
            <v>0</v>
          </cell>
          <cell r="AS165">
            <v>0</v>
          </cell>
          <cell r="AT165">
            <v>0</v>
          </cell>
          <cell r="AU165">
            <v>0</v>
          </cell>
          <cell r="AV165">
            <v>773282278.8189255</v>
          </cell>
          <cell r="AW165">
            <v>0</v>
          </cell>
          <cell r="AX165">
            <v>0</v>
          </cell>
          <cell r="AY165">
            <v>0</v>
          </cell>
          <cell r="AZ165">
            <v>0</v>
          </cell>
          <cell r="BA165">
            <v>0</v>
          </cell>
          <cell r="BB165">
            <v>0</v>
          </cell>
          <cell r="BC165">
            <v>0</v>
          </cell>
          <cell r="BD165">
            <v>0</v>
          </cell>
          <cell r="BE165">
            <v>0</v>
          </cell>
          <cell r="BF165">
            <v>0</v>
          </cell>
          <cell r="BG165">
            <v>0</v>
          </cell>
          <cell r="BH165">
            <v>0</v>
          </cell>
          <cell r="BI165">
            <v>0</v>
          </cell>
          <cell r="BJ165">
            <v>0</v>
          </cell>
          <cell r="BK165">
            <v>0</v>
          </cell>
          <cell r="BL165">
            <v>0</v>
          </cell>
          <cell r="BM165">
            <v>0</v>
          </cell>
          <cell r="BN165">
            <v>0</v>
          </cell>
          <cell r="BO165">
            <v>0</v>
          </cell>
          <cell r="BP165">
            <v>0</v>
          </cell>
          <cell r="BQ165">
            <v>0</v>
          </cell>
          <cell r="BR165">
            <v>0</v>
          </cell>
          <cell r="BS165">
            <v>0</v>
          </cell>
          <cell r="BT165">
            <v>0</v>
          </cell>
          <cell r="BU165">
            <v>0</v>
          </cell>
          <cell r="BV165">
            <v>0</v>
          </cell>
          <cell r="BW165">
            <v>0</v>
          </cell>
          <cell r="BX165">
            <v>0</v>
          </cell>
          <cell r="BY165">
            <v>0</v>
          </cell>
          <cell r="BZ165">
            <v>0</v>
          </cell>
          <cell r="CA165">
            <v>0</v>
          </cell>
          <cell r="CB165">
            <v>0</v>
          </cell>
          <cell r="CC165">
            <v>0</v>
          </cell>
          <cell r="CD165">
            <v>0</v>
          </cell>
          <cell r="CE165">
            <v>0</v>
          </cell>
          <cell r="CF165">
            <v>0</v>
          </cell>
          <cell r="CG165">
            <v>0</v>
          </cell>
          <cell r="CH165">
            <v>0</v>
          </cell>
          <cell r="CI165">
            <v>0</v>
          </cell>
          <cell r="CJ165">
            <v>0</v>
          </cell>
          <cell r="CK165">
            <v>0</v>
          </cell>
          <cell r="CL165">
            <v>0</v>
          </cell>
          <cell r="CM165">
            <v>0</v>
          </cell>
          <cell r="CN165">
            <v>0</v>
          </cell>
          <cell r="CO165">
            <v>0</v>
          </cell>
          <cell r="CP165">
            <v>0</v>
          </cell>
          <cell r="CQ165">
            <v>0</v>
          </cell>
          <cell r="CR165">
            <v>0</v>
          </cell>
          <cell r="CS165">
            <v>0</v>
          </cell>
          <cell r="CT165">
            <v>0</v>
          </cell>
          <cell r="CU165">
            <v>0</v>
          </cell>
          <cell r="CV165">
            <v>0</v>
          </cell>
          <cell r="CW165">
            <v>0</v>
          </cell>
          <cell r="CX165">
            <v>0</v>
          </cell>
          <cell r="CY165">
            <v>0</v>
          </cell>
          <cell r="CZ165">
            <v>0</v>
          </cell>
          <cell r="DA165">
            <v>0</v>
          </cell>
          <cell r="DB165">
            <v>0</v>
          </cell>
          <cell r="DC165">
            <v>0</v>
          </cell>
          <cell r="DD165">
            <v>0</v>
          </cell>
          <cell r="DE165">
            <v>0</v>
          </cell>
          <cell r="DF165">
            <v>0</v>
          </cell>
          <cell r="DG165">
            <v>0</v>
          </cell>
          <cell r="DH165">
            <v>0</v>
          </cell>
          <cell r="DI165">
            <v>0</v>
          </cell>
          <cell r="DJ165">
            <v>0</v>
          </cell>
          <cell r="DK165">
            <v>0</v>
          </cell>
          <cell r="DL165">
            <v>0</v>
          </cell>
          <cell r="DM165">
            <v>0</v>
          </cell>
          <cell r="DN165">
            <v>0</v>
          </cell>
          <cell r="DO165">
            <v>0</v>
          </cell>
          <cell r="DP165">
            <v>0</v>
          </cell>
          <cell r="DQ165">
            <v>0</v>
          </cell>
          <cell r="DR165">
            <v>0</v>
          </cell>
          <cell r="DS165">
            <v>0</v>
          </cell>
          <cell r="DT165">
            <v>0</v>
          </cell>
          <cell r="DU165">
            <v>0</v>
          </cell>
          <cell r="DV165">
            <v>0</v>
          </cell>
          <cell r="DW165">
            <v>0</v>
          </cell>
          <cell r="EA165">
            <v>0</v>
          </cell>
          <cell r="EB165">
            <v>0</v>
          </cell>
          <cell r="EC165">
            <v>0</v>
          </cell>
          <cell r="ED165">
            <v>0</v>
          </cell>
          <cell r="EE165">
            <v>0</v>
          </cell>
          <cell r="EF165">
            <v>0</v>
          </cell>
          <cell r="EG165">
            <v>0</v>
          </cell>
          <cell r="EH165">
            <v>0</v>
          </cell>
          <cell r="EI165">
            <v>0</v>
          </cell>
          <cell r="EJ165">
            <v>0</v>
          </cell>
          <cell r="EK165">
            <v>0</v>
          </cell>
          <cell r="EL165">
            <v>0</v>
          </cell>
          <cell r="EM165">
            <v>0</v>
          </cell>
          <cell r="EN165">
            <v>0</v>
          </cell>
          <cell r="EO165">
            <v>0</v>
          </cell>
          <cell r="EP165">
            <v>0</v>
          </cell>
          <cell r="EQ165">
            <v>0</v>
          </cell>
          <cell r="ER165">
            <v>0</v>
          </cell>
          <cell r="ES165">
            <v>0</v>
          </cell>
          <cell r="ET165">
            <v>0</v>
          </cell>
          <cell r="EU165">
            <v>0</v>
          </cell>
          <cell r="EV165">
            <v>0</v>
          </cell>
          <cell r="EW165">
            <v>0</v>
          </cell>
          <cell r="EX165">
            <v>0</v>
          </cell>
          <cell r="EY165">
            <v>0</v>
          </cell>
          <cell r="EZ165">
            <v>0</v>
          </cell>
          <cell r="FA165">
            <v>0</v>
          </cell>
          <cell r="FB165">
            <v>0</v>
          </cell>
          <cell r="FC165">
            <v>0</v>
          </cell>
          <cell r="FD165">
            <v>0</v>
          </cell>
          <cell r="FE165">
            <v>0</v>
          </cell>
          <cell r="FF165">
            <v>0</v>
          </cell>
          <cell r="FG165">
            <v>0</v>
          </cell>
          <cell r="FH165">
            <v>0</v>
          </cell>
          <cell r="FI165">
            <v>0</v>
          </cell>
          <cell r="FJ165">
            <v>0</v>
          </cell>
          <cell r="FK165">
            <v>0</v>
          </cell>
          <cell r="FL165">
            <v>0</v>
          </cell>
          <cell r="FM165">
            <v>0</v>
          </cell>
          <cell r="FN165">
            <v>0</v>
          </cell>
          <cell r="FO165">
            <v>0</v>
          </cell>
          <cell r="FP165">
            <v>0</v>
          </cell>
          <cell r="FQ165">
            <v>0</v>
          </cell>
          <cell r="FR165">
            <v>0</v>
          </cell>
          <cell r="FS165">
            <v>0</v>
          </cell>
          <cell r="FT165">
            <v>0</v>
          </cell>
          <cell r="FU165">
            <v>0</v>
          </cell>
          <cell r="FV165">
            <v>0</v>
          </cell>
          <cell r="FW165">
            <v>0</v>
          </cell>
          <cell r="FX165">
            <v>0</v>
          </cell>
          <cell r="FY165">
            <v>0</v>
          </cell>
          <cell r="FZ165">
            <v>0</v>
          </cell>
          <cell r="GA165">
            <v>0</v>
          </cell>
          <cell r="GB165">
            <v>0</v>
          </cell>
          <cell r="GC165">
            <v>0</v>
          </cell>
          <cell r="GD165">
            <v>0</v>
          </cell>
          <cell r="GE165">
            <v>0</v>
          </cell>
          <cell r="GF165">
            <v>0</v>
          </cell>
          <cell r="GG165">
            <v>0</v>
          </cell>
          <cell r="GH165">
            <v>0</v>
          </cell>
          <cell r="GI165">
            <v>0</v>
          </cell>
          <cell r="GJ165">
            <v>0</v>
          </cell>
          <cell r="GK165">
            <v>0</v>
          </cell>
          <cell r="GL165">
            <v>0</v>
          </cell>
          <cell r="GM165">
            <v>0</v>
          </cell>
          <cell r="GN165">
            <v>0</v>
          </cell>
          <cell r="GO165">
            <v>0</v>
          </cell>
          <cell r="GP165">
            <v>0</v>
          </cell>
          <cell r="GQ165">
            <v>0</v>
          </cell>
          <cell r="GR165">
            <v>0</v>
          </cell>
          <cell r="GS165">
            <v>0</v>
          </cell>
          <cell r="GT165">
            <v>0</v>
          </cell>
          <cell r="GZ165">
            <v>0</v>
          </cell>
        </row>
        <row r="166">
          <cell r="A166" t="str">
            <v>I_CAI_NRF_EPA_EUR_INTR_B02</v>
          </cell>
          <cell r="B166">
            <v>407406075.26003671</v>
          </cell>
          <cell r="C166">
            <v>0</v>
          </cell>
          <cell r="D166">
            <v>407406075.26003671</v>
          </cell>
          <cell r="E166">
            <v>336109345.90723407</v>
          </cell>
          <cell r="F166">
            <v>407406075.26003671</v>
          </cell>
          <cell r="G166">
            <v>407406075.26003671</v>
          </cell>
          <cell r="H166">
            <v>0</v>
          </cell>
          <cell r="I166">
            <v>0</v>
          </cell>
          <cell r="J166">
            <v>407406075.26003671</v>
          </cell>
          <cell r="K166">
            <v>0</v>
          </cell>
          <cell r="L166">
            <v>0</v>
          </cell>
          <cell r="M166">
            <v>0</v>
          </cell>
          <cell r="N166">
            <v>407406075.26003671</v>
          </cell>
          <cell r="O166">
            <v>0</v>
          </cell>
          <cell r="P166">
            <v>0</v>
          </cell>
          <cell r="Q166">
            <v>407406075.26003671</v>
          </cell>
          <cell r="R166">
            <v>0</v>
          </cell>
          <cell r="S166">
            <v>407406075.26003671</v>
          </cell>
          <cell r="T166">
            <v>0</v>
          </cell>
          <cell r="U166">
            <v>0</v>
          </cell>
          <cell r="V166">
            <v>0</v>
          </cell>
          <cell r="W166">
            <v>0</v>
          </cell>
          <cell r="X166">
            <v>0</v>
          </cell>
          <cell r="Y166">
            <v>0</v>
          </cell>
          <cell r="Z166">
            <v>407406075.26003671</v>
          </cell>
          <cell r="AA166">
            <v>0</v>
          </cell>
          <cell r="AB166">
            <v>476334621.07009828</v>
          </cell>
          <cell r="AC166">
            <v>347850807.99697506</v>
          </cell>
          <cell r="AD166">
            <v>0</v>
          </cell>
          <cell r="AE166">
            <v>0</v>
          </cell>
          <cell r="AF166">
            <v>407406075.26003671</v>
          </cell>
          <cell r="AG166">
            <v>0</v>
          </cell>
          <cell r="AH166">
            <v>0</v>
          </cell>
          <cell r="AI166">
            <v>0</v>
          </cell>
          <cell r="AJ166">
            <v>407406075.26003671</v>
          </cell>
          <cell r="AK166">
            <v>0</v>
          </cell>
          <cell r="AL166">
            <v>0</v>
          </cell>
          <cell r="AM166">
            <v>407406075.26003671</v>
          </cell>
          <cell r="AN166">
            <v>0</v>
          </cell>
          <cell r="AO166">
            <v>335633836.08455998</v>
          </cell>
          <cell r="AP166">
            <v>0</v>
          </cell>
          <cell r="AQ166">
            <v>0</v>
          </cell>
          <cell r="AR166">
            <v>0</v>
          </cell>
          <cell r="AS166">
            <v>0</v>
          </cell>
          <cell r="AT166">
            <v>0</v>
          </cell>
          <cell r="AU166">
            <v>0</v>
          </cell>
          <cell r="AV166">
            <v>407406075.26003671</v>
          </cell>
          <cell r="AW166">
            <v>0</v>
          </cell>
          <cell r="AX166">
            <v>336109345.90723407</v>
          </cell>
          <cell r="AY166">
            <v>336109345.90723407</v>
          </cell>
          <cell r="AZ166">
            <v>0</v>
          </cell>
          <cell r="BA166">
            <v>0</v>
          </cell>
          <cell r="BB166">
            <v>336109345.90723407</v>
          </cell>
          <cell r="BC166">
            <v>0</v>
          </cell>
          <cell r="BD166">
            <v>0</v>
          </cell>
          <cell r="BE166">
            <v>0</v>
          </cell>
          <cell r="BF166">
            <v>336109345.90723407</v>
          </cell>
          <cell r="BG166">
            <v>0</v>
          </cell>
          <cell r="BH166">
            <v>0</v>
          </cell>
          <cell r="BI166">
            <v>336109345.90723407</v>
          </cell>
          <cell r="BJ166">
            <v>0</v>
          </cell>
          <cell r="BK166">
            <v>336109345.90723407</v>
          </cell>
          <cell r="BL166">
            <v>0</v>
          </cell>
          <cell r="BM166">
            <v>0</v>
          </cell>
          <cell r="BN166">
            <v>0</v>
          </cell>
          <cell r="BO166">
            <v>0</v>
          </cell>
          <cell r="BP166">
            <v>0</v>
          </cell>
          <cell r="BQ166">
            <v>0</v>
          </cell>
          <cell r="BR166">
            <v>336109345.90723407</v>
          </cell>
          <cell r="BS166">
            <v>0</v>
          </cell>
          <cell r="BT166">
            <v>399553377.44384634</v>
          </cell>
          <cell r="BU166">
            <v>281143821.97925621</v>
          </cell>
          <cell r="BV166">
            <v>0</v>
          </cell>
          <cell r="BW166">
            <v>0</v>
          </cell>
          <cell r="BX166">
            <v>336109345.90723407</v>
          </cell>
          <cell r="BY166">
            <v>0</v>
          </cell>
          <cell r="BZ166">
            <v>0</v>
          </cell>
          <cell r="CA166">
            <v>0</v>
          </cell>
          <cell r="CB166">
            <v>336109345.90723407</v>
          </cell>
          <cell r="CC166">
            <v>0</v>
          </cell>
          <cell r="CD166">
            <v>0</v>
          </cell>
          <cell r="CE166">
            <v>336109345.90723407</v>
          </cell>
          <cell r="CF166">
            <v>0</v>
          </cell>
          <cell r="CG166">
            <v>336109345.90723407</v>
          </cell>
          <cell r="CH166">
            <v>0</v>
          </cell>
          <cell r="CI166">
            <v>0</v>
          </cell>
          <cell r="CJ166">
            <v>0</v>
          </cell>
          <cell r="CK166">
            <v>0</v>
          </cell>
          <cell r="CL166">
            <v>0</v>
          </cell>
          <cell r="CM166">
            <v>0</v>
          </cell>
          <cell r="CN166">
            <v>336109345.90723407</v>
          </cell>
          <cell r="CO166">
            <v>0</v>
          </cell>
          <cell r="CP166">
            <v>336109345.90723407</v>
          </cell>
          <cell r="CQ166">
            <v>336109345.90723407</v>
          </cell>
          <cell r="CR166">
            <v>336109345.90723407</v>
          </cell>
          <cell r="CS166">
            <v>336109345.90723407</v>
          </cell>
          <cell r="CT166">
            <v>336109345.90723407</v>
          </cell>
          <cell r="CU166">
            <v>336109345.90723407</v>
          </cell>
          <cell r="CV166">
            <v>336109345.90723407</v>
          </cell>
          <cell r="CW166">
            <v>336109345.90723407</v>
          </cell>
          <cell r="CX166">
            <v>336109345.90723407</v>
          </cell>
          <cell r="CY166">
            <v>336109345.90723407</v>
          </cell>
          <cell r="CZ166">
            <v>336150141.3922264</v>
          </cell>
          <cell r="DA166">
            <v>336109345.90723407</v>
          </cell>
          <cell r="DB166">
            <v>336109345.90723407</v>
          </cell>
          <cell r="DC166">
            <v>350034596.17004812</v>
          </cell>
          <cell r="DD166">
            <v>316366875.98076779</v>
          </cell>
          <cell r="DE166">
            <v>336109345.90723407</v>
          </cell>
          <cell r="DF166">
            <v>354823614.10090297</v>
          </cell>
          <cell r="DG166">
            <v>337538698.63994557</v>
          </cell>
          <cell r="DH166">
            <v>336109345.90723407</v>
          </cell>
          <cell r="DI166">
            <v>336174657.20362091</v>
          </cell>
          <cell r="DJ166">
            <v>0</v>
          </cell>
          <cell r="DK166">
            <v>0</v>
          </cell>
          <cell r="DL166">
            <v>0</v>
          </cell>
          <cell r="DM166">
            <v>0</v>
          </cell>
          <cell r="DN166">
            <v>0</v>
          </cell>
          <cell r="DO166">
            <v>0</v>
          </cell>
          <cell r="DP166">
            <v>0</v>
          </cell>
          <cell r="DQ166">
            <v>0</v>
          </cell>
          <cell r="DR166">
            <v>0</v>
          </cell>
          <cell r="DS166">
            <v>0</v>
          </cell>
          <cell r="DT166">
            <v>0</v>
          </cell>
          <cell r="DU166">
            <v>0</v>
          </cell>
          <cell r="DV166">
            <v>0</v>
          </cell>
          <cell r="DW166">
            <v>0</v>
          </cell>
          <cell r="EA166">
            <v>0</v>
          </cell>
          <cell r="EB166">
            <v>0</v>
          </cell>
          <cell r="EC166">
            <v>0</v>
          </cell>
          <cell r="ED166">
            <v>0</v>
          </cell>
          <cell r="EE166">
            <v>0</v>
          </cell>
          <cell r="EF166">
            <v>0</v>
          </cell>
          <cell r="EG166">
            <v>0</v>
          </cell>
          <cell r="EH166">
            <v>0</v>
          </cell>
          <cell r="EI166">
            <v>0</v>
          </cell>
          <cell r="EJ166">
            <v>0</v>
          </cell>
          <cell r="EK166">
            <v>0</v>
          </cell>
          <cell r="EL166">
            <v>0</v>
          </cell>
          <cell r="EM166">
            <v>0</v>
          </cell>
          <cell r="EN166">
            <v>0</v>
          </cell>
          <cell r="EO166">
            <v>0</v>
          </cell>
          <cell r="EP166">
            <v>0</v>
          </cell>
          <cell r="EQ166">
            <v>0</v>
          </cell>
          <cell r="ER166">
            <v>0</v>
          </cell>
          <cell r="ES166">
            <v>0</v>
          </cell>
          <cell r="ET166">
            <v>0</v>
          </cell>
          <cell r="EU166">
            <v>0</v>
          </cell>
          <cell r="EV166">
            <v>0</v>
          </cell>
          <cell r="EW166">
            <v>0</v>
          </cell>
          <cell r="EX166">
            <v>0</v>
          </cell>
          <cell r="EY166">
            <v>0</v>
          </cell>
          <cell r="EZ166">
            <v>0</v>
          </cell>
          <cell r="FA166">
            <v>0</v>
          </cell>
          <cell r="FB166">
            <v>0</v>
          </cell>
          <cell r="FC166">
            <v>0</v>
          </cell>
          <cell r="FD166">
            <v>0</v>
          </cell>
          <cell r="FE166">
            <v>0</v>
          </cell>
          <cell r="FF166">
            <v>399553377.44384634</v>
          </cell>
          <cell r="FG166">
            <v>281143821.97925621</v>
          </cell>
          <cell r="FH166">
            <v>0</v>
          </cell>
          <cell r="FI166">
            <v>0</v>
          </cell>
          <cell r="FJ166">
            <v>336109345.90723407</v>
          </cell>
          <cell r="FK166">
            <v>0</v>
          </cell>
          <cell r="FL166">
            <v>0</v>
          </cell>
          <cell r="FM166">
            <v>0</v>
          </cell>
          <cell r="FN166">
            <v>336109345.90723407</v>
          </cell>
          <cell r="FO166">
            <v>0</v>
          </cell>
          <cell r="FP166">
            <v>0</v>
          </cell>
          <cell r="FQ166">
            <v>336109345.90723407</v>
          </cell>
          <cell r="FR166">
            <v>0</v>
          </cell>
          <cell r="FS166">
            <v>336109345.90723407</v>
          </cell>
          <cell r="FT166">
            <v>0</v>
          </cell>
          <cell r="FU166">
            <v>0</v>
          </cell>
          <cell r="FV166">
            <v>0</v>
          </cell>
          <cell r="FW166">
            <v>0</v>
          </cell>
          <cell r="FX166">
            <v>0</v>
          </cell>
          <cell r="FY166">
            <v>0</v>
          </cell>
          <cell r="FZ166">
            <v>336109345.90723407</v>
          </cell>
          <cell r="GA166">
            <v>0</v>
          </cell>
          <cell r="GB166">
            <v>336150141.3922264</v>
          </cell>
          <cell r="GC166">
            <v>336109345.90723407</v>
          </cell>
          <cell r="GD166">
            <v>336109345.90723407</v>
          </cell>
          <cell r="GE166">
            <v>350034596.17004812</v>
          </cell>
          <cell r="GF166">
            <v>316366875.98076779</v>
          </cell>
          <cell r="GG166">
            <v>336109345.90723407</v>
          </cell>
          <cell r="GH166">
            <v>354823614.10090297</v>
          </cell>
          <cell r="GI166">
            <v>337538698.63994557</v>
          </cell>
          <cell r="GJ166">
            <v>336109345.90723407</v>
          </cell>
          <cell r="GK166">
            <v>336174657.20362091</v>
          </cell>
          <cell r="GL166">
            <v>0</v>
          </cell>
          <cell r="GM166">
            <v>0</v>
          </cell>
          <cell r="GN166">
            <v>0</v>
          </cell>
          <cell r="GO166">
            <v>0</v>
          </cell>
          <cell r="GP166">
            <v>0</v>
          </cell>
          <cell r="GQ166">
            <v>0</v>
          </cell>
          <cell r="GR166">
            <v>0</v>
          </cell>
          <cell r="GS166">
            <v>0</v>
          </cell>
          <cell r="GT166">
            <v>0</v>
          </cell>
          <cell r="GZ166">
            <v>0</v>
          </cell>
        </row>
        <row r="167">
          <cell r="A167" t="str">
            <v>I_CAI_NRF_RIS_IND_INTR_B03</v>
          </cell>
          <cell r="B167">
            <v>366763176.42610717</v>
          </cell>
          <cell r="C167">
            <v>0</v>
          </cell>
          <cell r="D167">
            <v>366763176.42610717</v>
          </cell>
          <cell r="E167">
            <v>215524209.79477447</v>
          </cell>
          <cell r="F167">
            <v>366763176.42610717</v>
          </cell>
          <cell r="G167">
            <v>366763176.42610717</v>
          </cell>
          <cell r="H167">
            <v>0</v>
          </cell>
          <cell r="I167">
            <v>0</v>
          </cell>
          <cell r="J167">
            <v>366763176.42610717</v>
          </cell>
          <cell r="K167">
            <v>0</v>
          </cell>
          <cell r="L167">
            <v>0</v>
          </cell>
          <cell r="M167">
            <v>0</v>
          </cell>
          <cell r="N167">
            <v>366763176.42610717</v>
          </cell>
          <cell r="O167">
            <v>0</v>
          </cell>
          <cell r="P167">
            <v>0</v>
          </cell>
          <cell r="Q167">
            <v>366763176.42610717</v>
          </cell>
          <cell r="R167">
            <v>0</v>
          </cell>
          <cell r="S167">
            <v>366763176.42610717</v>
          </cell>
          <cell r="T167">
            <v>0</v>
          </cell>
          <cell r="U167">
            <v>0</v>
          </cell>
          <cell r="V167">
            <v>0</v>
          </cell>
          <cell r="W167">
            <v>0</v>
          </cell>
          <cell r="X167">
            <v>0</v>
          </cell>
          <cell r="Y167">
            <v>0</v>
          </cell>
          <cell r="Z167">
            <v>366763176.42610717</v>
          </cell>
          <cell r="AA167">
            <v>0</v>
          </cell>
          <cell r="AB167">
            <v>434661872.43000996</v>
          </cell>
          <cell r="AC167">
            <v>308405939.15436995</v>
          </cell>
          <cell r="AD167">
            <v>0</v>
          </cell>
          <cell r="AE167">
            <v>0</v>
          </cell>
          <cell r="AF167">
            <v>366763176.42610717</v>
          </cell>
          <cell r="AG167">
            <v>0</v>
          </cell>
          <cell r="AH167">
            <v>0</v>
          </cell>
          <cell r="AI167">
            <v>0</v>
          </cell>
          <cell r="AJ167">
            <v>355483414.31497473</v>
          </cell>
          <cell r="AK167">
            <v>0</v>
          </cell>
          <cell r="AL167">
            <v>0</v>
          </cell>
          <cell r="AM167">
            <v>366763176.42610717</v>
          </cell>
          <cell r="AN167">
            <v>0</v>
          </cell>
          <cell r="AO167">
            <v>293140875.87581444</v>
          </cell>
          <cell r="AP167">
            <v>0</v>
          </cell>
          <cell r="AQ167">
            <v>0</v>
          </cell>
          <cell r="AR167">
            <v>0</v>
          </cell>
          <cell r="AS167">
            <v>0</v>
          </cell>
          <cell r="AT167">
            <v>0</v>
          </cell>
          <cell r="AU167">
            <v>0</v>
          </cell>
          <cell r="AV167">
            <v>366763176.42610717</v>
          </cell>
          <cell r="AW167">
            <v>0</v>
          </cell>
          <cell r="AX167">
            <v>215524209.79477447</v>
          </cell>
          <cell r="AY167">
            <v>215524209.79477447</v>
          </cell>
          <cell r="AZ167">
            <v>0</v>
          </cell>
          <cell r="BA167">
            <v>0</v>
          </cell>
          <cell r="BB167">
            <v>215524209.79477447</v>
          </cell>
          <cell r="BC167">
            <v>0</v>
          </cell>
          <cell r="BD167">
            <v>0</v>
          </cell>
          <cell r="BE167">
            <v>0</v>
          </cell>
          <cell r="BF167">
            <v>215524209.79477447</v>
          </cell>
          <cell r="BG167">
            <v>0</v>
          </cell>
          <cell r="BH167">
            <v>0</v>
          </cell>
          <cell r="BI167">
            <v>215524209.79477447</v>
          </cell>
          <cell r="BJ167">
            <v>0</v>
          </cell>
          <cell r="BK167">
            <v>215524209.79477447</v>
          </cell>
          <cell r="BL167">
            <v>0</v>
          </cell>
          <cell r="BM167">
            <v>0</v>
          </cell>
          <cell r="BN167">
            <v>0</v>
          </cell>
          <cell r="BO167">
            <v>0</v>
          </cell>
          <cell r="BP167">
            <v>0</v>
          </cell>
          <cell r="BQ167">
            <v>0</v>
          </cell>
          <cell r="BR167">
            <v>215524209.79477447</v>
          </cell>
          <cell r="BS167">
            <v>0</v>
          </cell>
          <cell r="BT167">
            <v>227147763.02549034</v>
          </cell>
          <cell r="BU167">
            <v>205601189.67308944</v>
          </cell>
          <cell r="BV167">
            <v>0</v>
          </cell>
          <cell r="BW167">
            <v>0</v>
          </cell>
          <cell r="BX167">
            <v>215524209.79477447</v>
          </cell>
          <cell r="BY167">
            <v>0</v>
          </cell>
          <cell r="BZ167">
            <v>0</v>
          </cell>
          <cell r="CA167">
            <v>0</v>
          </cell>
          <cell r="CB167">
            <v>215524209.79477447</v>
          </cell>
          <cell r="CC167">
            <v>0</v>
          </cell>
          <cell r="CD167">
            <v>0</v>
          </cell>
          <cell r="CE167">
            <v>215524209.79477447</v>
          </cell>
          <cell r="CF167">
            <v>0</v>
          </cell>
          <cell r="CG167">
            <v>215524209.79477447</v>
          </cell>
          <cell r="CH167">
            <v>0</v>
          </cell>
          <cell r="CI167">
            <v>0</v>
          </cell>
          <cell r="CJ167">
            <v>0</v>
          </cell>
          <cell r="CK167">
            <v>0</v>
          </cell>
          <cell r="CL167">
            <v>0</v>
          </cell>
          <cell r="CM167">
            <v>0</v>
          </cell>
          <cell r="CN167">
            <v>215524209.79477447</v>
          </cell>
          <cell r="CO167">
            <v>0</v>
          </cell>
          <cell r="CP167">
            <v>215524209.79477447</v>
          </cell>
          <cell r="CQ167">
            <v>215524209.79477447</v>
          </cell>
          <cell r="CR167">
            <v>215524209.79477447</v>
          </cell>
          <cell r="CS167">
            <v>215524209.79477447</v>
          </cell>
          <cell r="CT167">
            <v>215524209.79477447</v>
          </cell>
          <cell r="CU167">
            <v>215524209.79477447</v>
          </cell>
          <cell r="CV167">
            <v>215524209.79477447</v>
          </cell>
          <cell r="CW167">
            <v>215524209.79477447</v>
          </cell>
          <cell r="CX167">
            <v>215524209.79477447</v>
          </cell>
          <cell r="CY167">
            <v>215524209.79477447</v>
          </cell>
          <cell r="CZ167">
            <v>237120361.14049283</v>
          </cell>
          <cell r="DA167">
            <v>215524209.79477447</v>
          </cell>
          <cell r="DB167">
            <v>220573586.6822291</v>
          </cell>
          <cell r="DC167">
            <v>221112421.26786223</v>
          </cell>
          <cell r="DD167">
            <v>209552528.5250797</v>
          </cell>
          <cell r="DE167">
            <v>215524209.79477447</v>
          </cell>
          <cell r="DF167">
            <v>215424908.92435935</v>
          </cell>
          <cell r="DG167">
            <v>216501479.95377883</v>
          </cell>
          <cell r="DH167">
            <v>215524209.79477447</v>
          </cell>
          <cell r="DI167">
            <v>236004993.61501712</v>
          </cell>
          <cell r="DJ167">
            <v>0</v>
          </cell>
          <cell r="DK167">
            <v>0</v>
          </cell>
          <cell r="DL167">
            <v>0</v>
          </cell>
          <cell r="DM167">
            <v>0</v>
          </cell>
          <cell r="DN167">
            <v>0</v>
          </cell>
          <cell r="DO167">
            <v>0</v>
          </cell>
          <cell r="DP167">
            <v>0</v>
          </cell>
          <cell r="DQ167">
            <v>0</v>
          </cell>
          <cell r="DR167">
            <v>0</v>
          </cell>
          <cell r="DS167">
            <v>0</v>
          </cell>
          <cell r="DT167">
            <v>0</v>
          </cell>
          <cell r="DU167">
            <v>0</v>
          </cell>
          <cell r="DV167">
            <v>0</v>
          </cell>
          <cell r="DW167">
            <v>0</v>
          </cell>
          <cell r="EA167">
            <v>0</v>
          </cell>
          <cell r="EB167">
            <v>0</v>
          </cell>
          <cell r="EC167">
            <v>0</v>
          </cell>
          <cell r="ED167">
            <v>0</v>
          </cell>
          <cell r="EE167">
            <v>0</v>
          </cell>
          <cell r="EF167">
            <v>0</v>
          </cell>
          <cell r="EG167">
            <v>0</v>
          </cell>
          <cell r="EH167">
            <v>0</v>
          </cell>
          <cell r="EI167">
            <v>0</v>
          </cell>
          <cell r="EJ167">
            <v>0</v>
          </cell>
          <cell r="EK167">
            <v>0</v>
          </cell>
          <cell r="EL167">
            <v>0</v>
          </cell>
          <cell r="EM167">
            <v>0</v>
          </cell>
          <cell r="EN167">
            <v>0</v>
          </cell>
          <cell r="EO167">
            <v>0</v>
          </cell>
          <cell r="EP167">
            <v>0</v>
          </cell>
          <cell r="EQ167">
            <v>0</v>
          </cell>
          <cell r="ER167">
            <v>0</v>
          </cell>
          <cell r="ES167">
            <v>0</v>
          </cell>
          <cell r="ET167">
            <v>0</v>
          </cell>
          <cell r="EU167">
            <v>0</v>
          </cell>
          <cell r="EV167">
            <v>0</v>
          </cell>
          <cell r="EW167">
            <v>0</v>
          </cell>
          <cell r="EX167">
            <v>0</v>
          </cell>
          <cell r="EY167">
            <v>0</v>
          </cell>
          <cell r="EZ167">
            <v>0</v>
          </cell>
          <cell r="FA167">
            <v>0</v>
          </cell>
          <cell r="FB167">
            <v>0</v>
          </cell>
          <cell r="FC167">
            <v>0</v>
          </cell>
          <cell r="FD167">
            <v>0</v>
          </cell>
          <cell r="FE167">
            <v>0</v>
          </cell>
          <cell r="FF167">
            <v>227147763.02549034</v>
          </cell>
          <cell r="FG167">
            <v>205601189.67308944</v>
          </cell>
          <cell r="FH167">
            <v>0</v>
          </cell>
          <cell r="FI167">
            <v>0</v>
          </cell>
          <cell r="FJ167">
            <v>215524209.79477447</v>
          </cell>
          <cell r="FK167">
            <v>0</v>
          </cell>
          <cell r="FL167">
            <v>0</v>
          </cell>
          <cell r="FM167">
            <v>0</v>
          </cell>
          <cell r="FN167">
            <v>215524209.79477447</v>
          </cell>
          <cell r="FO167">
            <v>0</v>
          </cell>
          <cell r="FP167">
            <v>0</v>
          </cell>
          <cell r="FQ167">
            <v>215524209.79477447</v>
          </cell>
          <cell r="FR167">
            <v>0</v>
          </cell>
          <cell r="FS167">
            <v>215524209.79477447</v>
          </cell>
          <cell r="FT167">
            <v>0</v>
          </cell>
          <cell r="FU167">
            <v>0</v>
          </cell>
          <cell r="FV167">
            <v>0</v>
          </cell>
          <cell r="FW167">
            <v>0</v>
          </cell>
          <cell r="FX167">
            <v>0</v>
          </cell>
          <cell r="FY167">
            <v>0</v>
          </cell>
          <cell r="FZ167">
            <v>215524209.79477447</v>
          </cell>
          <cell r="GA167">
            <v>0</v>
          </cell>
          <cell r="GB167">
            <v>237120361.14049283</v>
          </cell>
          <cell r="GC167">
            <v>215524209.79477447</v>
          </cell>
          <cell r="GD167">
            <v>220573586.6822291</v>
          </cell>
          <cell r="GE167">
            <v>221112421.26786223</v>
          </cell>
          <cell r="GF167">
            <v>209552528.5250797</v>
          </cell>
          <cell r="GG167">
            <v>215524209.79477447</v>
          </cell>
          <cell r="GH167">
            <v>215424908.92435935</v>
          </cell>
          <cell r="GI167">
            <v>216501479.95377883</v>
          </cell>
          <cell r="GJ167">
            <v>215524209.79477447</v>
          </cell>
          <cell r="GK167">
            <v>236004993.61501712</v>
          </cell>
          <cell r="GL167">
            <v>0</v>
          </cell>
          <cell r="GM167">
            <v>0</v>
          </cell>
          <cell r="GN167">
            <v>0</v>
          </cell>
          <cell r="GO167">
            <v>0</v>
          </cell>
          <cell r="GP167">
            <v>0</v>
          </cell>
          <cell r="GQ167">
            <v>0</v>
          </cell>
          <cell r="GR167">
            <v>0</v>
          </cell>
          <cell r="GS167">
            <v>0</v>
          </cell>
          <cell r="GT167">
            <v>0</v>
          </cell>
          <cell r="GZ167">
            <v>0</v>
          </cell>
        </row>
        <row r="168">
          <cell r="A168" t="str">
            <v>I_CAI_NRF_ASS_EMP_INTR_B04</v>
          </cell>
          <cell r="B168">
            <v>397075156.75356728</v>
          </cell>
          <cell r="C168">
            <v>0</v>
          </cell>
          <cell r="D168">
            <v>397075156.75356728</v>
          </cell>
          <cell r="E168">
            <v>-106206757.94618708</v>
          </cell>
          <cell r="F168">
            <v>397075156.75356728</v>
          </cell>
          <cell r="G168">
            <v>397075156.75356728</v>
          </cell>
          <cell r="H168">
            <v>0</v>
          </cell>
          <cell r="I168">
            <v>0</v>
          </cell>
          <cell r="J168">
            <v>397075156.75356728</v>
          </cell>
          <cell r="K168">
            <v>0</v>
          </cell>
          <cell r="L168">
            <v>0</v>
          </cell>
          <cell r="M168">
            <v>0</v>
          </cell>
          <cell r="N168">
            <v>397075156.75356728</v>
          </cell>
          <cell r="O168">
            <v>0</v>
          </cell>
          <cell r="P168">
            <v>0</v>
          </cell>
          <cell r="Q168">
            <v>397075156.75356728</v>
          </cell>
          <cell r="R168">
            <v>0</v>
          </cell>
          <cell r="S168">
            <v>397075156.75356728</v>
          </cell>
          <cell r="T168">
            <v>0</v>
          </cell>
          <cell r="U168">
            <v>0</v>
          </cell>
          <cell r="V168">
            <v>0</v>
          </cell>
          <cell r="W168">
            <v>0</v>
          </cell>
          <cell r="X168">
            <v>0</v>
          </cell>
          <cell r="Y168">
            <v>0</v>
          </cell>
          <cell r="Z168">
            <v>397075156.75356728</v>
          </cell>
          <cell r="AA168">
            <v>0</v>
          </cell>
          <cell r="AB168">
            <v>470629903.64503312</v>
          </cell>
          <cell r="AC168">
            <v>333856431.12608385</v>
          </cell>
          <cell r="AD168">
            <v>0</v>
          </cell>
          <cell r="AE168">
            <v>0</v>
          </cell>
          <cell r="AF168">
            <v>397075156.75356728</v>
          </cell>
          <cell r="AG168">
            <v>0</v>
          </cell>
          <cell r="AH168">
            <v>0</v>
          </cell>
          <cell r="AI168">
            <v>0</v>
          </cell>
          <cell r="AJ168">
            <v>384958493.80622149</v>
          </cell>
          <cell r="AK168">
            <v>0</v>
          </cell>
          <cell r="AL168">
            <v>0</v>
          </cell>
          <cell r="AM168">
            <v>397075156.75356728</v>
          </cell>
          <cell r="AN168">
            <v>0</v>
          </cell>
          <cell r="AO168">
            <v>317314466.66577107</v>
          </cell>
          <cell r="AP168">
            <v>0</v>
          </cell>
          <cell r="AQ168">
            <v>0</v>
          </cell>
          <cell r="AR168">
            <v>0</v>
          </cell>
          <cell r="AS168">
            <v>0</v>
          </cell>
          <cell r="AT168">
            <v>0</v>
          </cell>
          <cell r="AU168">
            <v>0</v>
          </cell>
          <cell r="AV168">
            <v>397075156.75356728</v>
          </cell>
          <cell r="AW168">
            <v>0</v>
          </cell>
          <cell r="AX168">
            <v>-106206757.94618708</v>
          </cell>
          <cell r="AY168">
            <v>-106206757.94618708</v>
          </cell>
          <cell r="AZ168">
            <v>0</v>
          </cell>
          <cell r="BA168">
            <v>0</v>
          </cell>
          <cell r="BB168">
            <v>-106206757.94618708</v>
          </cell>
          <cell r="BC168">
            <v>0</v>
          </cell>
          <cell r="BD168">
            <v>0</v>
          </cell>
          <cell r="BE168">
            <v>0</v>
          </cell>
          <cell r="BF168">
            <v>-106206757.94618708</v>
          </cell>
          <cell r="BG168">
            <v>0</v>
          </cell>
          <cell r="BH168">
            <v>0</v>
          </cell>
          <cell r="BI168">
            <v>-106206757.94618708</v>
          </cell>
          <cell r="BJ168">
            <v>0</v>
          </cell>
          <cell r="BK168">
            <v>-106206757.94618708</v>
          </cell>
          <cell r="BL168">
            <v>0</v>
          </cell>
          <cell r="BM168">
            <v>0</v>
          </cell>
          <cell r="BN168">
            <v>0</v>
          </cell>
          <cell r="BO168">
            <v>0</v>
          </cell>
          <cell r="BP168">
            <v>0</v>
          </cell>
          <cell r="BQ168">
            <v>0</v>
          </cell>
          <cell r="BR168">
            <v>-106206757.94618708</v>
          </cell>
          <cell r="BS168">
            <v>0</v>
          </cell>
          <cell r="BT168">
            <v>-170507665.52943355</v>
          </cell>
          <cell r="BU168">
            <v>-53012400.559415646</v>
          </cell>
          <cell r="BV168">
            <v>0</v>
          </cell>
          <cell r="BW168">
            <v>0</v>
          </cell>
          <cell r="BX168">
            <v>-106206757.94618708</v>
          </cell>
          <cell r="BY168">
            <v>0</v>
          </cell>
          <cell r="BZ168">
            <v>0</v>
          </cell>
          <cell r="CA168">
            <v>0</v>
          </cell>
          <cell r="CB168">
            <v>-106206757.94618708</v>
          </cell>
          <cell r="CC168">
            <v>0</v>
          </cell>
          <cell r="CD168">
            <v>0</v>
          </cell>
          <cell r="CE168">
            <v>-106206757.94618708</v>
          </cell>
          <cell r="CF168">
            <v>0</v>
          </cell>
          <cell r="CG168">
            <v>-106206757.94618708</v>
          </cell>
          <cell r="CH168">
            <v>0</v>
          </cell>
          <cell r="CI168">
            <v>0</v>
          </cell>
          <cell r="CJ168">
            <v>0</v>
          </cell>
          <cell r="CK168">
            <v>0</v>
          </cell>
          <cell r="CL168">
            <v>0</v>
          </cell>
          <cell r="CM168">
            <v>0</v>
          </cell>
          <cell r="CN168">
            <v>-106206757.94618708</v>
          </cell>
          <cell r="CO168">
            <v>0</v>
          </cell>
          <cell r="CP168">
            <v>-106206757.94618708</v>
          </cell>
          <cell r="CQ168">
            <v>-106206757.94618708</v>
          </cell>
          <cell r="CR168">
            <v>-106206757.94618708</v>
          </cell>
          <cell r="CS168">
            <v>-106206757.94618708</v>
          </cell>
          <cell r="CT168">
            <v>-106206757.94618708</v>
          </cell>
          <cell r="CU168">
            <v>-106206757.94618708</v>
          </cell>
          <cell r="CV168">
            <v>-106206757.94618708</v>
          </cell>
          <cell r="CW168">
            <v>-106206757.94618708</v>
          </cell>
          <cell r="CX168">
            <v>-106206757.94618708</v>
          </cell>
          <cell r="CY168">
            <v>-106206757.94618708</v>
          </cell>
          <cell r="CZ168">
            <v>54702147.507726856</v>
          </cell>
          <cell r="DA168">
            <v>-106206757.94618708</v>
          </cell>
          <cell r="DB168">
            <v>-23330548.130515072</v>
          </cell>
          <cell r="DC168">
            <v>-65700107.168525189</v>
          </cell>
          <cell r="DD168">
            <v>-160505732.53107989</v>
          </cell>
          <cell r="DE168">
            <v>-106206757.94618708</v>
          </cell>
          <cell r="DF168">
            <v>-4953503.0390499178</v>
          </cell>
          <cell r="DG168">
            <v>-96461384.787137151</v>
          </cell>
          <cell r="DH168">
            <v>-106206757.94618708</v>
          </cell>
          <cell r="DI168">
            <v>-20291373.427038617</v>
          </cell>
          <cell r="DJ168">
            <v>0</v>
          </cell>
          <cell r="DK168">
            <v>0</v>
          </cell>
          <cell r="DL168">
            <v>0</v>
          </cell>
          <cell r="DM168">
            <v>0</v>
          </cell>
          <cell r="DN168">
            <v>0</v>
          </cell>
          <cell r="DO168">
            <v>0</v>
          </cell>
          <cell r="DP168">
            <v>0</v>
          </cell>
          <cell r="DQ168">
            <v>0</v>
          </cell>
          <cell r="DR168">
            <v>0</v>
          </cell>
          <cell r="DS168">
            <v>0</v>
          </cell>
          <cell r="DT168">
            <v>0</v>
          </cell>
          <cell r="DU168">
            <v>0</v>
          </cell>
          <cell r="DV168">
            <v>0</v>
          </cell>
          <cell r="DW168">
            <v>0</v>
          </cell>
          <cell r="EA168">
            <v>0</v>
          </cell>
          <cell r="EB168">
            <v>0</v>
          </cell>
          <cell r="EC168">
            <v>0</v>
          </cell>
          <cell r="ED168">
            <v>0</v>
          </cell>
          <cell r="EE168">
            <v>0</v>
          </cell>
          <cell r="EF168">
            <v>0</v>
          </cell>
          <cell r="EG168">
            <v>0</v>
          </cell>
          <cell r="EH168">
            <v>0</v>
          </cell>
          <cell r="EI168">
            <v>0</v>
          </cell>
          <cell r="EJ168">
            <v>0</v>
          </cell>
          <cell r="EK168">
            <v>0</v>
          </cell>
          <cell r="EL168">
            <v>0</v>
          </cell>
          <cell r="EM168">
            <v>0</v>
          </cell>
          <cell r="EN168">
            <v>0</v>
          </cell>
          <cell r="EO168">
            <v>0</v>
          </cell>
          <cell r="EP168">
            <v>0</v>
          </cell>
          <cell r="EQ168">
            <v>0</v>
          </cell>
          <cell r="ER168">
            <v>0</v>
          </cell>
          <cell r="ES168">
            <v>0</v>
          </cell>
          <cell r="ET168">
            <v>0</v>
          </cell>
          <cell r="EU168">
            <v>0</v>
          </cell>
          <cell r="EV168">
            <v>0</v>
          </cell>
          <cell r="EW168">
            <v>0</v>
          </cell>
          <cell r="EX168">
            <v>0</v>
          </cell>
          <cell r="EY168">
            <v>0</v>
          </cell>
          <cell r="EZ168">
            <v>0</v>
          </cell>
          <cell r="FA168">
            <v>0</v>
          </cell>
          <cell r="FB168">
            <v>0</v>
          </cell>
          <cell r="FC168">
            <v>0</v>
          </cell>
          <cell r="FD168">
            <v>0</v>
          </cell>
          <cell r="FE168">
            <v>0</v>
          </cell>
          <cell r="FF168">
            <v>-170507665.52943355</v>
          </cell>
          <cell r="FG168">
            <v>-53012400.559415646</v>
          </cell>
          <cell r="FH168">
            <v>0</v>
          </cell>
          <cell r="FI168">
            <v>0</v>
          </cell>
          <cell r="FJ168">
            <v>-106206757.94618708</v>
          </cell>
          <cell r="FK168">
            <v>0</v>
          </cell>
          <cell r="FL168">
            <v>0</v>
          </cell>
          <cell r="FM168">
            <v>0</v>
          </cell>
          <cell r="FN168">
            <v>-106206757.94618708</v>
          </cell>
          <cell r="FO168">
            <v>0</v>
          </cell>
          <cell r="FP168">
            <v>0</v>
          </cell>
          <cell r="FQ168">
            <v>-106206757.94618708</v>
          </cell>
          <cell r="FR168">
            <v>0</v>
          </cell>
          <cell r="FS168">
            <v>-106206757.94618708</v>
          </cell>
          <cell r="FT168">
            <v>0</v>
          </cell>
          <cell r="FU168">
            <v>0</v>
          </cell>
          <cell r="FV168">
            <v>0</v>
          </cell>
          <cell r="FW168">
            <v>0</v>
          </cell>
          <cell r="FX168">
            <v>0</v>
          </cell>
          <cell r="FY168">
            <v>0</v>
          </cell>
          <cell r="FZ168">
            <v>-106206757.94618708</v>
          </cell>
          <cell r="GA168">
            <v>0</v>
          </cell>
          <cell r="GB168">
            <v>54702147.507726856</v>
          </cell>
          <cell r="GC168">
            <v>-106206757.94618708</v>
          </cell>
          <cell r="GD168">
            <v>-23330548.130515072</v>
          </cell>
          <cell r="GE168">
            <v>-65700107.168525189</v>
          </cell>
          <cell r="GF168">
            <v>-160505732.53107989</v>
          </cell>
          <cell r="GG168">
            <v>-106206757.94618708</v>
          </cell>
          <cell r="GH168">
            <v>-4953503.0390499178</v>
          </cell>
          <cell r="GI168">
            <v>-96461384.787137151</v>
          </cell>
          <cell r="GJ168">
            <v>-106206757.94618708</v>
          </cell>
          <cell r="GK168">
            <v>-20291373.427038617</v>
          </cell>
          <cell r="GL168">
            <v>0</v>
          </cell>
          <cell r="GM168">
            <v>0</v>
          </cell>
          <cell r="GN168">
            <v>0</v>
          </cell>
          <cell r="GO168">
            <v>0</v>
          </cell>
          <cell r="GP168">
            <v>0</v>
          </cell>
          <cell r="GQ168">
            <v>0</v>
          </cell>
          <cell r="GR168">
            <v>0</v>
          </cell>
          <cell r="GS168">
            <v>0</v>
          </cell>
          <cell r="GT168">
            <v>0</v>
          </cell>
          <cell r="GZ168">
            <v>0</v>
          </cell>
        </row>
        <row r="169">
          <cell r="A169" t="str">
            <v>I_CAI_NRF_RIS_IND_INTR_B05</v>
          </cell>
          <cell r="B169">
            <v>56796261.81885922</v>
          </cell>
          <cell r="C169">
            <v>0</v>
          </cell>
          <cell r="D169">
            <v>56796261.81885922</v>
          </cell>
          <cell r="E169">
            <v>56796261.81885922</v>
          </cell>
          <cell r="F169">
            <v>56796261.81885922</v>
          </cell>
          <cell r="G169">
            <v>56796261.81885922</v>
          </cell>
          <cell r="H169">
            <v>0</v>
          </cell>
          <cell r="I169">
            <v>0</v>
          </cell>
          <cell r="J169">
            <v>56796261.81885922</v>
          </cell>
          <cell r="K169">
            <v>0</v>
          </cell>
          <cell r="L169">
            <v>0</v>
          </cell>
          <cell r="M169">
            <v>0</v>
          </cell>
          <cell r="N169">
            <v>56796261.81885922</v>
          </cell>
          <cell r="O169">
            <v>0</v>
          </cell>
          <cell r="P169">
            <v>0</v>
          </cell>
          <cell r="Q169">
            <v>56796261.81885922</v>
          </cell>
          <cell r="R169">
            <v>0</v>
          </cell>
          <cell r="S169">
            <v>56796261.81885922</v>
          </cell>
          <cell r="T169">
            <v>0</v>
          </cell>
          <cell r="U169">
            <v>0</v>
          </cell>
          <cell r="V169">
            <v>0</v>
          </cell>
          <cell r="W169">
            <v>0</v>
          </cell>
          <cell r="X169">
            <v>0</v>
          </cell>
          <cell r="Y169">
            <v>0</v>
          </cell>
          <cell r="Z169">
            <v>56796261.81885922</v>
          </cell>
          <cell r="AA169">
            <v>0</v>
          </cell>
          <cell r="AB169">
            <v>67317279.292285144</v>
          </cell>
          <cell r="AC169">
            <v>47753673.201758802</v>
          </cell>
          <cell r="AD169">
            <v>0</v>
          </cell>
          <cell r="AE169">
            <v>0</v>
          </cell>
          <cell r="AF169">
            <v>56796261.81885922</v>
          </cell>
          <cell r="AG169">
            <v>0</v>
          </cell>
          <cell r="AH169">
            <v>0</v>
          </cell>
          <cell r="AI169">
            <v>0</v>
          </cell>
          <cell r="AJ169">
            <v>55063136.113502085</v>
          </cell>
          <cell r="AK169">
            <v>0</v>
          </cell>
          <cell r="AL169">
            <v>0</v>
          </cell>
          <cell r="AM169">
            <v>56796261.81885922</v>
          </cell>
          <cell r="AN169">
            <v>0</v>
          </cell>
          <cell r="AO169">
            <v>45387567.620720707</v>
          </cell>
          <cell r="AP169">
            <v>0</v>
          </cell>
          <cell r="AQ169">
            <v>0</v>
          </cell>
          <cell r="AR169">
            <v>0</v>
          </cell>
          <cell r="AS169">
            <v>0</v>
          </cell>
          <cell r="AT169">
            <v>0</v>
          </cell>
          <cell r="AU169">
            <v>0</v>
          </cell>
          <cell r="AV169">
            <v>56796261.81885922</v>
          </cell>
          <cell r="AW169">
            <v>0</v>
          </cell>
          <cell r="AX169">
            <v>56796261.81885922</v>
          </cell>
          <cell r="AY169">
            <v>56796261.81885922</v>
          </cell>
          <cell r="AZ169">
            <v>0</v>
          </cell>
          <cell r="BA169">
            <v>0</v>
          </cell>
          <cell r="BB169">
            <v>56796261.81885922</v>
          </cell>
          <cell r="BC169">
            <v>0</v>
          </cell>
          <cell r="BD169">
            <v>0</v>
          </cell>
          <cell r="BE169">
            <v>0</v>
          </cell>
          <cell r="BF169">
            <v>56796261.81885922</v>
          </cell>
          <cell r="BG169">
            <v>0</v>
          </cell>
          <cell r="BH169">
            <v>0</v>
          </cell>
          <cell r="BI169">
            <v>56796261.81885922</v>
          </cell>
          <cell r="BJ169">
            <v>0</v>
          </cell>
          <cell r="BK169">
            <v>56796261.81885922</v>
          </cell>
          <cell r="BL169">
            <v>0</v>
          </cell>
          <cell r="BM169">
            <v>0</v>
          </cell>
          <cell r="BN169">
            <v>0</v>
          </cell>
          <cell r="BO169">
            <v>0</v>
          </cell>
          <cell r="BP169">
            <v>0</v>
          </cell>
          <cell r="BQ169">
            <v>0</v>
          </cell>
          <cell r="BR169">
            <v>56796261.81885922</v>
          </cell>
          <cell r="BS169">
            <v>0</v>
          </cell>
          <cell r="BT169">
            <v>56796261.81885922</v>
          </cell>
          <cell r="BU169">
            <v>56796261.81885922</v>
          </cell>
          <cell r="BV169">
            <v>0</v>
          </cell>
          <cell r="BW169">
            <v>0</v>
          </cell>
          <cell r="BX169">
            <v>56796261.81885922</v>
          </cell>
          <cell r="BY169">
            <v>0</v>
          </cell>
          <cell r="BZ169">
            <v>0</v>
          </cell>
          <cell r="CA169">
            <v>0</v>
          </cell>
          <cell r="CB169">
            <v>56796261.81885922</v>
          </cell>
          <cell r="CC169">
            <v>0</v>
          </cell>
          <cell r="CD169">
            <v>0</v>
          </cell>
          <cell r="CE169">
            <v>56796261.81885922</v>
          </cell>
          <cell r="CF169">
            <v>0</v>
          </cell>
          <cell r="CG169">
            <v>56796261.81885922</v>
          </cell>
          <cell r="CH169">
            <v>0</v>
          </cell>
          <cell r="CI169">
            <v>0</v>
          </cell>
          <cell r="CJ169">
            <v>0</v>
          </cell>
          <cell r="CK169">
            <v>0</v>
          </cell>
          <cell r="CL169">
            <v>0</v>
          </cell>
          <cell r="CM169">
            <v>0</v>
          </cell>
          <cell r="CN169">
            <v>56796261.81885922</v>
          </cell>
          <cell r="CO169">
            <v>0</v>
          </cell>
          <cell r="CP169">
            <v>56796261.81885922</v>
          </cell>
          <cell r="CQ169">
            <v>56796261.81885922</v>
          </cell>
          <cell r="CR169">
            <v>56796261.81885922</v>
          </cell>
          <cell r="CS169">
            <v>56796261.81885922</v>
          </cell>
          <cell r="CT169">
            <v>56796261.81885922</v>
          </cell>
          <cell r="CU169">
            <v>56796261.81885922</v>
          </cell>
          <cell r="CV169">
            <v>56796261.81885922</v>
          </cell>
          <cell r="CW169">
            <v>56796261.81885922</v>
          </cell>
          <cell r="CX169">
            <v>56796261.81885922</v>
          </cell>
          <cell r="CY169">
            <v>56796261.81885922</v>
          </cell>
          <cell r="CZ169">
            <v>56796261.81885922</v>
          </cell>
          <cell r="DA169">
            <v>56796261.81885922</v>
          </cell>
          <cell r="DB169">
            <v>56796261.81885922</v>
          </cell>
          <cell r="DC169">
            <v>56796261.81885922</v>
          </cell>
          <cell r="DD169">
            <v>56796261.81885922</v>
          </cell>
          <cell r="DE169">
            <v>56796261.81885922</v>
          </cell>
          <cell r="DF169">
            <v>56796261.81885922</v>
          </cell>
          <cell r="DG169">
            <v>56796261.81885922</v>
          </cell>
          <cell r="DH169">
            <v>56796261.81885922</v>
          </cell>
          <cell r="DI169">
            <v>56796261.81885922</v>
          </cell>
          <cell r="DJ169">
            <v>0</v>
          </cell>
          <cell r="DK169">
            <v>0</v>
          </cell>
          <cell r="DL169">
            <v>0</v>
          </cell>
          <cell r="DM169">
            <v>0</v>
          </cell>
          <cell r="DN169">
            <v>0</v>
          </cell>
          <cell r="DO169">
            <v>0</v>
          </cell>
          <cell r="DP169">
            <v>0</v>
          </cell>
          <cell r="DQ169">
            <v>0</v>
          </cell>
          <cell r="DR169">
            <v>0</v>
          </cell>
          <cell r="DS169">
            <v>0</v>
          </cell>
          <cell r="DT169">
            <v>0</v>
          </cell>
          <cell r="DU169">
            <v>0</v>
          </cell>
          <cell r="DV169">
            <v>0</v>
          </cell>
          <cell r="DW169">
            <v>0</v>
          </cell>
          <cell r="EA169">
            <v>0</v>
          </cell>
          <cell r="EB169">
            <v>0</v>
          </cell>
          <cell r="EC169">
            <v>0</v>
          </cell>
          <cell r="ED169">
            <v>0</v>
          </cell>
          <cell r="EE169">
            <v>0</v>
          </cell>
          <cell r="EF169">
            <v>0</v>
          </cell>
          <cell r="EG169">
            <v>0</v>
          </cell>
          <cell r="EH169">
            <v>0</v>
          </cell>
          <cell r="EI169">
            <v>0</v>
          </cell>
          <cell r="EJ169">
            <v>0</v>
          </cell>
          <cell r="EK169">
            <v>0</v>
          </cell>
          <cell r="EL169">
            <v>0</v>
          </cell>
          <cell r="EM169">
            <v>0</v>
          </cell>
          <cell r="EN169">
            <v>0</v>
          </cell>
          <cell r="EO169">
            <v>0</v>
          </cell>
          <cell r="EP169">
            <v>0</v>
          </cell>
          <cell r="EQ169">
            <v>0</v>
          </cell>
          <cell r="ER169">
            <v>0</v>
          </cell>
          <cell r="ES169">
            <v>0</v>
          </cell>
          <cell r="ET169">
            <v>0</v>
          </cell>
          <cell r="EU169">
            <v>0</v>
          </cell>
          <cell r="EV169">
            <v>0</v>
          </cell>
          <cell r="EW169">
            <v>0</v>
          </cell>
          <cell r="EX169">
            <v>0</v>
          </cell>
          <cell r="EY169">
            <v>0</v>
          </cell>
          <cell r="EZ169">
            <v>0</v>
          </cell>
          <cell r="FA169">
            <v>0</v>
          </cell>
          <cell r="FB169">
            <v>0</v>
          </cell>
          <cell r="FC169">
            <v>0</v>
          </cell>
          <cell r="FD169">
            <v>0</v>
          </cell>
          <cell r="FE169">
            <v>0</v>
          </cell>
          <cell r="FF169">
            <v>56796261.81885922</v>
          </cell>
          <cell r="FG169">
            <v>56796261.81885922</v>
          </cell>
          <cell r="FH169">
            <v>0</v>
          </cell>
          <cell r="FI169">
            <v>0</v>
          </cell>
          <cell r="FJ169">
            <v>56796261.81885922</v>
          </cell>
          <cell r="FK169">
            <v>0</v>
          </cell>
          <cell r="FL169">
            <v>0</v>
          </cell>
          <cell r="FM169">
            <v>0</v>
          </cell>
          <cell r="FN169">
            <v>56796261.81885922</v>
          </cell>
          <cell r="FO169">
            <v>0</v>
          </cell>
          <cell r="FP169">
            <v>0</v>
          </cell>
          <cell r="FQ169">
            <v>56796261.81885922</v>
          </cell>
          <cell r="FR169">
            <v>0</v>
          </cell>
          <cell r="FS169">
            <v>56796261.81885922</v>
          </cell>
          <cell r="FT169">
            <v>0</v>
          </cell>
          <cell r="FU169">
            <v>0</v>
          </cell>
          <cell r="FV169">
            <v>0</v>
          </cell>
          <cell r="FW169">
            <v>0</v>
          </cell>
          <cell r="FX169">
            <v>0</v>
          </cell>
          <cell r="FY169">
            <v>0</v>
          </cell>
          <cell r="FZ169">
            <v>56796261.81885922</v>
          </cell>
          <cell r="GA169">
            <v>0</v>
          </cell>
          <cell r="GB169">
            <v>56796261.81885922</v>
          </cell>
          <cell r="GC169">
            <v>56796261.81885922</v>
          </cell>
          <cell r="GD169">
            <v>56796261.81885922</v>
          </cell>
          <cell r="GE169">
            <v>56796261.81885922</v>
          </cell>
          <cell r="GF169">
            <v>56796261.81885922</v>
          </cell>
          <cell r="GG169">
            <v>56796261.81885922</v>
          </cell>
          <cell r="GH169">
            <v>56796261.81885922</v>
          </cell>
          <cell r="GI169">
            <v>56796261.81885922</v>
          </cell>
          <cell r="GJ169">
            <v>56796261.81885922</v>
          </cell>
          <cell r="GK169">
            <v>56796261.81885922</v>
          </cell>
          <cell r="GL169">
            <v>0</v>
          </cell>
          <cell r="GM169">
            <v>0</v>
          </cell>
          <cell r="GN169">
            <v>0</v>
          </cell>
          <cell r="GO169">
            <v>0</v>
          </cell>
          <cell r="GP169">
            <v>0</v>
          </cell>
          <cell r="GQ169">
            <v>0</v>
          </cell>
          <cell r="GR169">
            <v>0</v>
          </cell>
          <cell r="GS169">
            <v>0</v>
          </cell>
          <cell r="GT169">
            <v>0</v>
          </cell>
          <cell r="GZ169">
            <v>0</v>
          </cell>
        </row>
        <row r="170">
          <cell r="A170" t="str">
            <v>I_CAI_NRF_RET_IND_INTR_B06</v>
          </cell>
          <cell r="B170">
            <v>126117341.3349857</v>
          </cell>
          <cell r="C170">
            <v>0</v>
          </cell>
          <cell r="D170">
            <v>126117341.3349857</v>
          </cell>
          <cell r="E170">
            <v>119367038.69462055</v>
          </cell>
          <cell r="F170">
            <v>126117341.3349857</v>
          </cell>
          <cell r="G170">
            <v>126117341.3349857</v>
          </cell>
          <cell r="H170">
            <v>0</v>
          </cell>
          <cell r="I170">
            <v>0</v>
          </cell>
          <cell r="J170">
            <v>126117341.3349857</v>
          </cell>
          <cell r="K170">
            <v>0</v>
          </cell>
          <cell r="L170">
            <v>0</v>
          </cell>
          <cell r="M170">
            <v>0</v>
          </cell>
          <cell r="N170">
            <v>126117341.3349857</v>
          </cell>
          <cell r="O170">
            <v>0</v>
          </cell>
          <cell r="P170">
            <v>0</v>
          </cell>
          <cell r="Q170">
            <v>126117341.3349857</v>
          </cell>
          <cell r="R170">
            <v>0</v>
          </cell>
          <cell r="S170">
            <v>126117341.3349857</v>
          </cell>
          <cell r="T170">
            <v>0</v>
          </cell>
          <cell r="U170">
            <v>0</v>
          </cell>
          <cell r="V170">
            <v>0</v>
          </cell>
          <cell r="W170">
            <v>0</v>
          </cell>
          <cell r="X170">
            <v>0</v>
          </cell>
          <cell r="Y170">
            <v>0</v>
          </cell>
          <cell r="Z170">
            <v>126117341.3349857</v>
          </cell>
          <cell r="AA170">
            <v>0</v>
          </cell>
          <cell r="AB170">
            <v>132986782.2201732</v>
          </cell>
          <cell r="AC170">
            <v>120343278.71275249</v>
          </cell>
          <cell r="AD170">
            <v>0</v>
          </cell>
          <cell r="AE170">
            <v>0</v>
          </cell>
          <cell r="AF170">
            <v>126117341.3349857</v>
          </cell>
          <cell r="AG170">
            <v>0</v>
          </cell>
          <cell r="AH170">
            <v>0</v>
          </cell>
          <cell r="AI170">
            <v>0</v>
          </cell>
          <cell r="AJ170">
            <v>124930623.96121272</v>
          </cell>
          <cell r="AK170">
            <v>0</v>
          </cell>
          <cell r="AL170">
            <v>0</v>
          </cell>
          <cell r="AM170">
            <v>126117341.3349857</v>
          </cell>
          <cell r="AN170">
            <v>0</v>
          </cell>
          <cell r="AO170">
            <v>121500444.36622998</v>
          </cell>
          <cell r="AP170">
            <v>0</v>
          </cell>
          <cell r="AQ170">
            <v>0</v>
          </cell>
          <cell r="AR170">
            <v>0</v>
          </cell>
          <cell r="AS170">
            <v>0</v>
          </cell>
          <cell r="AT170">
            <v>0</v>
          </cell>
          <cell r="AU170">
            <v>0</v>
          </cell>
          <cell r="AV170">
            <v>126117341.3349857</v>
          </cell>
          <cell r="AW170">
            <v>0</v>
          </cell>
          <cell r="AX170">
            <v>119367038.69462055</v>
          </cell>
          <cell r="AY170">
            <v>119367038.69462055</v>
          </cell>
          <cell r="AZ170">
            <v>0</v>
          </cell>
          <cell r="BA170">
            <v>0</v>
          </cell>
          <cell r="BB170">
            <v>119367038.69462055</v>
          </cell>
          <cell r="BC170">
            <v>0</v>
          </cell>
          <cell r="BD170">
            <v>0</v>
          </cell>
          <cell r="BE170">
            <v>0</v>
          </cell>
          <cell r="BF170">
            <v>119367038.69462055</v>
          </cell>
          <cell r="BG170">
            <v>0</v>
          </cell>
          <cell r="BH170">
            <v>0</v>
          </cell>
          <cell r="BI170">
            <v>119367038.69462055</v>
          </cell>
          <cell r="BJ170">
            <v>0</v>
          </cell>
          <cell r="BK170">
            <v>119367038.69462055</v>
          </cell>
          <cell r="BL170">
            <v>0</v>
          </cell>
          <cell r="BM170">
            <v>0</v>
          </cell>
          <cell r="BN170">
            <v>0</v>
          </cell>
          <cell r="BO170">
            <v>0</v>
          </cell>
          <cell r="BP170">
            <v>0</v>
          </cell>
          <cell r="BQ170">
            <v>0</v>
          </cell>
          <cell r="BR170">
            <v>119367038.69462055</v>
          </cell>
          <cell r="BS170">
            <v>0</v>
          </cell>
          <cell r="BT170">
            <v>149084382.01124102</v>
          </cell>
          <cell r="BU170">
            <v>94282948.114322588</v>
          </cell>
          <cell r="BV170">
            <v>0</v>
          </cell>
          <cell r="BW170">
            <v>0</v>
          </cell>
          <cell r="BX170">
            <v>119367038.69462055</v>
          </cell>
          <cell r="BY170">
            <v>0</v>
          </cell>
          <cell r="BZ170">
            <v>0</v>
          </cell>
          <cell r="CA170">
            <v>0</v>
          </cell>
          <cell r="CB170">
            <v>119363221.94033618</v>
          </cell>
          <cell r="CC170">
            <v>0</v>
          </cell>
          <cell r="CD170">
            <v>0</v>
          </cell>
          <cell r="CE170">
            <v>119367038.69462055</v>
          </cell>
          <cell r="CF170">
            <v>0</v>
          </cell>
          <cell r="CG170">
            <v>119352189.69883147</v>
          </cell>
          <cell r="CH170">
            <v>0</v>
          </cell>
          <cell r="CI170">
            <v>0</v>
          </cell>
          <cell r="CJ170">
            <v>0</v>
          </cell>
          <cell r="CK170">
            <v>0</v>
          </cell>
          <cell r="CL170">
            <v>0</v>
          </cell>
          <cell r="CM170">
            <v>0</v>
          </cell>
          <cell r="CN170">
            <v>119367038.69462055</v>
          </cell>
          <cell r="CO170">
            <v>0</v>
          </cell>
          <cell r="CP170">
            <v>119367038.69462055</v>
          </cell>
          <cell r="CQ170">
            <v>119367038.69462055</v>
          </cell>
          <cell r="CR170">
            <v>119367038.69462055</v>
          </cell>
          <cell r="CS170">
            <v>119367038.69462055</v>
          </cell>
          <cell r="CT170">
            <v>119367038.69462055</v>
          </cell>
          <cell r="CU170">
            <v>119367038.69462055</v>
          </cell>
          <cell r="CV170">
            <v>119367038.69462055</v>
          </cell>
          <cell r="CW170">
            <v>119367038.69462055</v>
          </cell>
          <cell r="CX170">
            <v>119367038.69462055</v>
          </cell>
          <cell r="CY170">
            <v>119367038.69462055</v>
          </cell>
          <cell r="CZ170">
            <v>119370736.32276267</v>
          </cell>
          <cell r="DA170">
            <v>122848215.7872725</v>
          </cell>
          <cell r="DB170">
            <v>119367963.72737816</v>
          </cell>
          <cell r="DC170">
            <v>119626194.73327726</v>
          </cell>
          <cell r="DD170">
            <v>119111814.5536336</v>
          </cell>
          <cell r="DE170">
            <v>119367038.69462055</v>
          </cell>
          <cell r="DF170">
            <v>120474868.83255972</v>
          </cell>
          <cell r="DG170">
            <v>119384463.56403103</v>
          </cell>
          <cell r="DH170">
            <v>119367038.69462055</v>
          </cell>
          <cell r="DI170">
            <v>119371043.69888598</v>
          </cell>
          <cell r="DJ170">
            <v>0</v>
          </cell>
          <cell r="DK170">
            <v>0</v>
          </cell>
          <cell r="DL170">
            <v>0</v>
          </cell>
          <cell r="DM170">
            <v>0</v>
          </cell>
          <cell r="DN170">
            <v>0</v>
          </cell>
          <cell r="DO170">
            <v>0</v>
          </cell>
          <cell r="DP170">
            <v>0</v>
          </cell>
          <cell r="DQ170">
            <v>0</v>
          </cell>
          <cell r="DR170">
            <v>0</v>
          </cell>
          <cell r="DS170">
            <v>0</v>
          </cell>
          <cell r="DT170">
            <v>0</v>
          </cell>
          <cell r="DU170">
            <v>0</v>
          </cell>
          <cell r="DV170">
            <v>0</v>
          </cell>
          <cell r="DW170">
            <v>0</v>
          </cell>
          <cell r="EA170">
            <v>0</v>
          </cell>
          <cell r="EB170">
            <v>0</v>
          </cell>
          <cell r="EC170">
            <v>0</v>
          </cell>
          <cell r="ED170">
            <v>0</v>
          </cell>
          <cell r="EE170">
            <v>0</v>
          </cell>
          <cell r="EF170">
            <v>0</v>
          </cell>
          <cell r="EG170">
            <v>0</v>
          </cell>
          <cell r="EH170">
            <v>0</v>
          </cell>
          <cell r="EI170">
            <v>0</v>
          </cell>
          <cell r="EJ170">
            <v>0</v>
          </cell>
          <cell r="EK170">
            <v>0</v>
          </cell>
          <cell r="EL170">
            <v>0</v>
          </cell>
          <cell r="EM170">
            <v>0</v>
          </cell>
          <cell r="EN170">
            <v>0</v>
          </cell>
          <cell r="EO170">
            <v>0</v>
          </cell>
          <cell r="EP170">
            <v>0</v>
          </cell>
          <cell r="EQ170">
            <v>0</v>
          </cell>
          <cell r="ER170">
            <v>0</v>
          </cell>
          <cell r="ES170">
            <v>0</v>
          </cell>
          <cell r="ET170">
            <v>0</v>
          </cell>
          <cell r="EU170">
            <v>0</v>
          </cell>
          <cell r="EV170">
            <v>0</v>
          </cell>
          <cell r="EW170">
            <v>0</v>
          </cell>
          <cell r="EX170">
            <v>0</v>
          </cell>
          <cell r="EY170">
            <v>0</v>
          </cell>
          <cell r="EZ170">
            <v>0</v>
          </cell>
          <cell r="FA170">
            <v>0</v>
          </cell>
          <cell r="FB170">
            <v>0</v>
          </cell>
          <cell r="FC170">
            <v>0</v>
          </cell>
          <cell r="FD170">
            <v>0</v>
          </cell>
          <cell r="FE170">
            <v>0</v>
          </cell>
          <cell r="FF170">
            <v>149084382.01124102</v>
          </cell>
          <cell r="FG170">
            <v>94282948.114322588</v>
          </cell>
          <cell r="FH170">
            <v>0</v>
          </cell>
          <cell r="FI170">
            <v>0</v>
          </cell>
          <cell r="FJ170">
            <v>119367038.69462055</v>
          </cell>
          <cell r="FK170">
            <v>0</v>
          </cell>
          <cell r="FL170">
            <v>0</v>
          </cell>
          <cell r="FM170">
            <v>0</v>
          </cell>
          <cell r="FN170">
            <v>119363221.94033618</v>
          </cell>
          <cell r="FO170">
            <v>0</v>
          </cell>
          <cell r="FP170">
            <v>0</v>
          </cell>
          <cell r="FQ170">
            <v>119367038.69462055</v>
          </cell>
          <cell r="FR170">
            <v>0</v>
          </cell>
          <cell r="FS170">
            <v>119352189.69883147</v>
          </cell>
          <cell r="FT170">
            <v>0</v>
          </cell>
          <cell r="FU170">
            <v>0</v>
          </cell>
          <cell r="FV170">
            <v>0</v>
          </cell>
          <cell r="FW170">
            <v>0</v>
          </cell>
          <cell r="FX170">
            <v>0</v>
          </cell>
          <cell r="FY170">
            <v>0</v>
          </cell>
          <cell r="FZ170">
            <v>119367038.69462055</v>
          </cell>
          <cell r="GA170">
            <v>0</v>
          </cell>
          <cell r="GB170">
            <v>119370736.32276267</v>
          </cell>
          <cell r="GC170">
            <v>122848215.7872725</v>
          </cell>
          <cell r="GD170">
            <v>119367963.72737816</v>
          </cell>
          <cell r="GE170">
            <v>119626194.73327726</v>
          </cell>
          <cell r="GF170">
            <v>119111814.5536336</v>
          </cell>
          <cell r="GG170">
            <v>119367038.69462055</v>
          </cell>
          <cell r="GH170">
            <v>120474868.83255972</v>
          </cell>
          <cell r="GI170">
            <v>119384463.56403103</v>
          </cell>
          <cell r="GJ170">
            <v>119367038.69462055</v>
          </cell>
          <cell r="GK170">
            <v>119371043.69888598</v>
          </cell>
          <cell r="GL170">
            <v>0</v>
          </cell>
          <cell r="GM170">
            <v>0</v>
          </cell>
          <cell r="GN170">
            <v>0</v>
          </cell>
          <cell r="GO170">
            <v>0</v>
          </cell>
          <cell r="GP170">
            <v>0</v>
          </cell>
          <cell r="GQ170">
            <v>0</v>
          </cell>
          <cell r="GR170">
            <v>0</v>
          </cell>
          <cell r="GS170">
            <v>0</v>
          </cell>
          <cell r="GT170">
            <v>0</v>
          </cell>
          <cell r="GZ170">
            <v>0</v>
          </cell>
        </row>
        <row r="171">
          <cell r="A171" t="str">
            <v>I_CAI_NRF_RET_IND_INTR_B07</v>
          </cell>
          <cell r="B171">
            <v>7497078624.3306513</v>
          </cell>
          <cell r="C171">
            <v>0</v>
          </cell>
          <cell r="D171">
            <v>7497078624.3306513</v>
          </cell>
          <cell r="E171">
            <v>6782846871.6730728</v>
          </cell>
          <cell r="F171">
            <v>7497078624.3306513</v>
          </cell>
          <cell r="G171">
            <v>7497078624.3306513</v>
          </cell>
          <cell r="H171">
            <v>0</v>
          </cell>
          <cell r="I171">
            <v>0</v>
          </cell>
          <cell r="J171">
            <v>7497078624.3306513</v>
          </cell>
          <cell r="K171">
            <v>0</v>
          </cell>
          <cell r="L171">
            <v>0</v>
          </cell>
          <cell r="M171">
            <v>0</v>
          </cell>
          <cell r="N171">
            <v>7497078624.3306513</v>
          </cell>
          <cell r="O171">
            <v>0</v>
          </cell>
          <cell r="P171">
            <v>0</v>
          </cell>
          <cell r="Q171">
            <v>7497078624.3306513</v>
          </cell>
          <cell r="R171">
            <v>0</v>
          </cell>
          <cell r="S171">
            <v>7497078624.3306513</v>
          </cell>
          <cell r="T171">
            <v>0</v>
          </cell>
          <cell r="U171">
            <v>0</v>
          </cell>
          <cell r="V171">
            <v>0</v>
          </cell>
          <cell r="W171">
            <v>0</v>
          </cell>
          <cell r="X171">
            <v>0</v>
          </cell>
          <cell r="Y171">
            <v>0</v>
          </cell>
          <cell r="Z171">
            <v>7497078624.3306513</v>
          </cell>
          <cell r="AA171">
            <v>0</v>
          </cell>
          <cell r="AB171">
            <v>7905434349.8501806</v>
          </cell>
          <cell r="AC171">
            <v>7153837948.6038256</v>
          </cell>
          <cell r="AD171">
            <v>0</v>
          </cell>
          <cell r="AE171">
            <v>0</v>
          </cell>
          <cell r="AF171">
            <v>7497078624.3306513</v>
          </cell>
          <cell r="AG171">
            <v>0</v>
          </cell>
          <cell r="AH171">
            <v>0</v>
          </cell>
          <cell r="AI171">
            <v>0</v>
          </cell>
          <cell r="AJ171">
            <v>7426533897.0008554</v>
          </cell>
          <cell r="AK171">
            <v>0</v>
          </cell>
          <cell r="AL171">
            <v>0</v>
          </cell>
          <cell r="AM171">
            <v>7497078624.3306513</v>
          </cell>
          <cell r="AN171">
            <v>0</v>
          </cell>
          <cell r="AO171">
            <v>7222625966.125164</v>
          </cell>
          <cell r="AP171">
            <v>0</v>
          </cell>
          <cell r="AQ171">
            <v>0</v>
          </cell>
          <cell r="AR171">
            <v>0</v>
          </cell>
          <cell r="AS171">
            <v>0</v>
          </cell>
          <cell r="AT171">
            <v>0</v>
          </cell>
          <cell r="AU171">
            <v>0</v>
          </cell>
          <cell r="AV171">
            <v>7497078624.3306513</v>
          </cell>
          <cell r="AW171">
            <v>0</v>
          </cell>
          <cell r="AX171">
            <v>6782846871.6730728</v>
          </cell>
          <cell r="AY171">
            <v>6782846871.6730728</v>
          </cell>
          <cell r="AZ171">
            <v>0</v>
          </cell>
          <cell r="BA171">
            <v>0</v>
          </cell>
          <cell r="BB171">
            <v>6782846871.6730728</v>
          </cell>
          <cell r="BC171">
            <v>0</v>
          </cell>
          <cell r="BD171">
            <v>0</v>
          </cell>
          <cell r="BE171">
            <v>0</v>
          </cell>
          <cell r="BF171">
            <v>6782846871.6730728</v>
          </cell>
          <cell r="BG171">
            <v>0</v>
          </cell>
          <cell r="BH171">
            <v>0</v>
          </cell>
          <cell r="BI171">
            <v>6782846871.6730728</v>
          </cell>
          <cell r="BJ171">
            <v>0</v>
          </cell>
          <cell r="BK171">
            <v>6782846871.6730728</v>
          </cell>
          <cell r="BL171">
            <v>0</v>
          </cell>
          <cell r="BM171">
            <v>0</v>
          </cell>
          <cell r="BN171">
            <v>0</v>
          </cell>
          <cell r="BO171">
            <v>0</v>
          </cell>
          <cell r="BP171">
            <v>0</v>
          </cell>
          <cell r="BQ171">
            <v>0</v>
          </cell>
          <cell r="BR171">
            <v>6782846871.6730728</v>
          </cell>
          <cell r="BS171">
            <v>0</v>
          </cell>
          <cell r="BT171">
            <v>7131536013.2481346</v>
          </cell>
          <cell r="BU171">
            <v>6491098161.4160404</v>
          </cell>
          <cell r="BV171">
            <v>0</v>
          </cell>
          <cell r="BW171">
            <v>0</v>
          </cell>
          <cell r="BX171">
            <v>6782846871.6730728</v>
          </cell>
          <cell r="BY171">
            <v>0</v>
          </cell>
          <cell r="BZ171">
            <v>0</v>
          </cell>
          <cell r="CA171">
            <v>0</v>
          </cell>
          <cell r="CB171">
            <v>6717890749.8844662</v>
          </cell>
          <cell r="CC171">
            <v>0</v>
          </cell>
          <cell r="CD171">
            <v>0</v>
          </cell>
          <cell r="CE171">
            <v>6782846871.6730728</v>
          </cell>
          <cell r="CF171">
            <v>0</v>
          </cell>
          <cell r="CG171">
            <v>6530153930.331727</v>
          </cell>
          <cell r="CH171">
            <v>0</v>
          </cell>
          <cell r="CI171">
            <v>0</v>
          </cell>
          <cell r="CJ171">
            <v>0</v>
          </cell>
          <cell r="CK171">
            <v>0</v>
          </cell>
          <cell r="CL171">
            <v>0</v>
          </cell>
          <cell r="CM171">
            <v>0</v>
          </cell>
          <cell r="CN171">
            <v>6782846871.6730728</v>
          </cell>
          <cell r="CO171">
            <v>0</v>
          </cell>
          <cell r="CP171">
            <v>6782846871.6730728</v>
          </cell>
          <cell r="CQ171">
            <v>6782846871.6730728</v>
          </cell>
          <cell r="CR171">
            <v>6782846871.6730728</v>
          </cell>
          <cell r="CS171">
            <v>6782846871.6730728</v>
          </cell>
          <cell r="CT171">
            <v>6782846871.6730728</v>
          </cell>
          <cell r="CU171">
            <v>6782846871.6730728</v>
          </cell>
          <cell r="CV171">
            <v>6782846871.6730728</v>
          </cell>
          <cell r="CW171">
            <v>6782846871.6730728</v>
          </cell>
          <cell r="CX171">
            <v>6782846871.6730728</v>
          </cell>
          <cell r="CY171">
            <v>6782846871.6730728</v>
          </cell>
          <cell r="CZ171">
            <v>6786380539.1710043</v>
          </cell>
          <cell r="DA171">
            <v>6788346315.1864824</v>
          </cell>
          <cell r="DB171">
            <v>6783731265.7700939</v>
          </cell>
          <cell r="DC171">
            <v>7008944221.8364363</v>
          </cell>
          <cell r="DD171">
            <v>6310683134.3273468</v>
          </cell>
          <cell r="DE171">
            <v>6782846871.6730728</v>
          </cell>
          <cell r="DF171">
            <v>7093036978.6986618</v>
          </cell>
          <cell r="DG171">
            <v>6784158637.5539827</v>
          </cell>
          <cell r="DH171">
            <v>6782846871.6730728</v>
          </cell>
          <cell r="DI171">
            <v>6788826512.7729597</v>
          </cell>
          <cell r="DJ171">
            <v>0</v>
          </cell>
          <cell r="DK171">
            <v>0</v>
          </cell>
          <cell r="DL171">
            <v>0</v>
          </cell>
          <cell r="DM171">
            <v>0</v>
          </cell>
          <cell r="DN171">
            <v>0</v>
          </cell>
          <cell r="DO171">
            <v>0</v>
          </cell>
          <cell r="DP171">
            <v>0</v>
          </cell>
          <cell r="DQ171">
            <v>0</v>
          </cell>
          <cell r="DR171">
            <v>0</v>
          </cell>
          <cell r="DS171">
            <v>0</v>
          </cell>
          <cell r="DT171">
            <v>0</v>
          </cell>
          <cell r="DU171">
            <v>0</v>
          </cell>
          <cell r="DV171">
            <v>0</v>
          </cell>
          <cell r="DW171">
            <v>0</v>
          </cell>
          <cell r="EA171">
            <v>0</v>
          </cell>
          <cell r="EB171">
            <v>0</v>
          </cell>
          <cell r="EC171">
            <v>0</v>
          </cell>
          <cell r="ED171">
            <v>0</v>
          </cell>
          <cell r="EE171">
            <v>0</v>
          </cell>
          <cell r="EF171">
            <v>0</v>
          </cell>
          <cell r="EG171">
            <v>0</v>
          </cell>
          <cell r="EH171">
            <v>0</v>
          </cell>
          <cell r="EI171">
            <v>0</v>
          </cell>
          <cell r="EJ171">
            <v>0</v>
          </cell>
          <cell r="EK171">
            <v>0</v>
          </cell>
          <cell r="EL171">
            <v>0</v>
          </cell>
          <cell r="EM171">
            <v>0</v>
          </cell>
          <cell r="EN171">
            <v>0</v>
          </cell>
          <cell r="EO171">
            <v>0</v>
          </cell>
          <cell r="EP171">
            <v>0</v>
          </cell>
          <cell r="EQ171">
            <v>0</v>
          </cell>
          <cell r="ER171">
            <v>0</v>
          </cell>
          <cell r="ES171">
            <v>0</v>
          </cell>
          <cell r="ET171">
            <v>0</v>
          </cell>
          <cell r="EU171">
            <v>0</v>
          </cell>
          <cell r="EV171">
            <v>0</v>
          </cell>
          <cell r="EW171">
            <v>0</v>
          </cell>
          <cell r="EX171">
            <v>0</v>
          </cell>
          <cell r="EY171">
            <v>0</v>
          </cell>
          <cell r="EZ171">
            <v>0</v>
          </cell>
          <cell r="FA171">
            <v>0</v>
          </cell>
          <cell r="FB171">
            <v>0</v>
          </cell>
          <cell r="FC171">
            <v>0</v>
          </cell>
          <cell r="FD171">
            <v>0</v>
          </cell>
          <cell r="FE171">
            <v>0</v>
          </cell>
          <cell r="FF171">
            <v>7131536013.2481346</v>
          </cell>
          <cell r="FG171">
            <v>6491098161.4160404</v>
          </cell>
          <cell r="FH171">
            <v>0</v>
          </cell>
          <cell r="FI171">
            <v>0</v>
          </cell>
          <cell r="FJ171">
            <v>6782846871.6730728</v>
          </cell>
          <cell r="FK171">
            <v>0</v>
          </cell>
          <cell r="FL171">
            <v>0</v>
          </cell>
          <cell r="FM171">
            <v>0</v>
          </cell>
          <cell r="FN171">
            <v>6717890749.8844662</v>
          </cell>
          <cell r="FO171">
            <v>0</v>
          </cell>
          <cell r="FP171">
            <v>0</v>
          </cell>
          <cell r="FQ171">
            <v>6782846871.6730728</v>
          </cell>
          <cell r="FR171">
            <v>0</v>
          </cell>
          <cell r="FS171">
            <v>6530153930.331727</v>
          </cell>
          <cell r="FT171">
            <v>0</v>
          </cell>
          <cell r="FU171">
            <v>0</v>
          </cell>
          <cell r="FV171">
            <v>0</v>
          </cell>
          <cell r="FW171">
            <v>0</v>
          </cell>
          <cell r="FX171">
            <v>0</v>
          </cell>
          <cell r="FY171">
            <v>0</v>
          </cell>
          <cell r="FZ171">
            <v>6782846871.6730728</v>
          </cell>
          <cell r="GA171">
            <v>0</v>
          </cell>
          <cell r="GB171">
            <v>6786380539.1710043</v>
          </cell>
          <cell r="GC171">
            <v>6788346315.1864824</v>
          </cell>
          <cell r="GD171">
            <v>6783731265.7700939</v>
          </cell>
          <cell r="GE171">
            <v>7008944221.8364363</v>
          </cell>
          <cell r="GF171">
            <v>6310683134.3273468</v>
          </cell>
          <cell r="GG171">
            <v>6782846871.6730728</v>
          </cell>
          <cell r="GH171">
            <v>7093036978.6986618</v>
          </cell>
          <cell r="GI171">
            <v>6784158637.5539827</v>
          </cell>
          <cell r="GJ171">
            <v>6782846871.6730728</v>
          </cell>
          <cell r="GK171">
            <v>6788826512.7729597</v>
          </cell>
          <cell r="GL171">
            <v>0</v>
          </cell>
          <cell r="GM171">
            <v>0</v>
          </cell>
          <cell r="GN171">
            <v>0</v>
          </cell>
          <cell r="GO171">
            <v>0</v>
          </cell>
          <cell r="GP171">
            <v>0</v>
          </cell>
          <cell r="GQ171">
            <v>0</v>
          </cell>
          <cell r="GR171">
            <v>0</v>
          </cell>
          <cell r="GS171">
            <v>0</v>
          </cell>
          <cell r="GT171">
            <v>0</v>
          </cell>
          <cell r="GZ171">
            <v>0</v>
          </cell>
        </row>
        <row r="172">
          <cell r="A172" t="str">
            <v>I_CAI_NRF_RIS_IND_INTR_B08</v>
          </cell>
          <cell r="B172">
            <v>29910473.359140195</v>
          </cell>
          <cell r="C172">
            <v>0</v>
          </cell>
          <cell r="D172">
            <v>29910473.359140199</v>
          </cell>
          <cell r="E172">
            <v>-91932751.442845061</v>
          </cell>
          <cell r="F172">
            <v>29910473.359140199</v>
          </cell>
          <cell r="G172">
            <v>29910473.359140199</v>
          </cell>
          <cell r="H172">
            <v>0</v>
          </cell>
          <cell r="I172">
            <v>0</v>
          </cell>
          <cell r="J172">
            <v>29910473.359140199</v>
          </cell>
          <cell r="K172">
            <v>0</v>
          </cell>
          <cell r="L172">
            <v>0</v>
          </cell>
          <cell r="M172">
            <v>0</v>
          </cell>
          <cell r="N172">
            <v>29910473.359140199</v>
          </cell>
          <cell r="O172">
            <v>0</v>
          </cell>
          <cell r="P172">
            <v>0</v>
          </cell>
          <cell r="Q172">
            <v>29910473.359140199</v>
          </cell>
          <cell r="R172">
            <v>0</v>
          </cell>
          <cell r="S172">
            <v>29910473.359140199</v>
          </cell>
          <cell r="T172">
            <v>0</v>
          </cell>
          <cell r="U172">
            <v>0</v>
          </cell>
          <cell r="V172">
            <v>0</v>
          </cell>
          <cell r="W172">
            <v>0</v>
          </cell>
          <cell r="X172">
            <v>0</v>
          </cell>
          <cell r="Y172">
            <v>0</v>
          </cell>
          <cell r="Z172">
            <v>29910473.359140199</v>
          </cell>
          <cell r="AA172">
            <v>0</v>
          </cell>
          <cell r="AB172">
            <v>31539656.359777965</v>
          </cell>
          <cell r="AC172">
            <v>28541074.477050029</v>
          </cell>
          <cell r="AD172">
            <v>0</v>
          </cell>
          <cell r="AE172">
            <v>0</v>
          </cell>
          <cell r="AF172">
            <v>29910473.359140199</v>
          </cell>
          <cell r="AG172">
            <v>0</v>
          </cell>
          <cell r="AH172">
            <v>0</v>
          </cell>
          <cell r="AI172">
            <v>0</v>
          </cell>
          <cell r="AJ172">
            <v>29629026.906040739</v>
          </cell>
          <cell r="AK172">
            <v>0</v>
          </cell>
          <cell r="AL172">
            <v>0</v>
          </cell>
          <cell r="AM172">
            <v>29910473.359140199</v>
          </cell>
          <cell r="AN172">
            <v>0</v>
          </cell>
          <cell r="AO172">
            <v>28815512.33059245</v>
          </cell>
          <cell r="AP172">
            <v>0</v>
          </cell>
          <cell r="AQ172">
            <v>0</v>
          </cell>
          <cell r="AR172">
            <v>0</v>
          </cell>
          <cell r="AS172">
            <v>0</v>
          </cell>
          <cell r="AT172">
            <v>0</v>
          </cell>
          <cell r="AU172">
            <v>0</v>
          </cell>
          <cell r="AV172">
            <v>29910473.359140199</v>
          </cell>
          <cell r="AW172">
            <v>0</v>
          </cell>
          <cell r="AX172">
            <v>-91932751.442845061</v>
          </cell>
          <cell r="AY172">
            <v>-91932751.442845061</v>
          </cell>
          <cell r="AZ172">
            <v>0</v>
          </cell>
          <cell r="BA172">
            <v>0</v>
          </cell>
          <cell r="BB172">
            <v>-91932751.442845061</v>
          </cell>
          <cell r="BC172">
            <v>0</v>
          </cell>
          <cell r="BD172">
            <v>0</v>
          </cell>
          <cell r="BE172">
            <v>0</v>
          </cell>
          <cell r="BF172">
            <v>-91932751.442845061</v>
          </cell>
          <cell r="BG172">
            <v>0</v>
          </cell>
          <cell r="BH172">
            <v>0</v>
          </cell>
          <cell r="BI172">
            <v>-91932751.442845061</v>
          </cell>
          <cell r="BJ172">
            <v>0</v>
          </cell>
          <cell r="BK172">
            <v>-91932751.442845061</v>
          </cell>
          <cell r="BL172">
            <v>0</v>
          </cell>
          <cell r="BM172">
            <v>0</v>
          </cell>
          <cell r="BN172">
            <v>0</v>
          </cell>
          <cell r="BO172">
            <v>0</v>
          </cell>
          <cell r="BP172">
            <v>0</v>
          </cell>
          <cell r="BQ172">
            <v>0</v>
          </cell>
          <cell r="BR172">
            <v>-91932751.442845061</v>
          </cell>
          <cell r="BS172">
            <v>0</v>
          </cell>
          <cell r="BT172">
            <v>-127413847.02762587</v>
          </cell>
          <cell r="BU172">
            <v>-64411991.590472251</v>
          </cell>
          <cell r="BV172">
            <v>0</v>
          </cell>
          <cell r="BW172">
            <v>0</v>
          </cell>
          <cell r="BX172">
            <v>-91932751.442845061</v>
          </cell>
          <cell r="BY172">
            <v>0</v>
          </cell>
          <cell r="BZ172">
            <v>0</v>
          </cell>
          <cell r="CA172">
            <v>0</v>
          </cell>
          <cell r="CB172">
            <v>-91932751.442845061</v>
          </cell>
          <cell r="CC172">
            <v>0</v>
          </cell>
          <cell r="CD172">
            <v>0</v>
          </cell>
          <cell r="CE172">
            <v>-91932751.442845061</v>
          </cell>
          <cell r="CF172">
            <v>0</v>
          </cell>
          <cell r="CG172">
            <v>-91932751.442845061</v>
          </cell>
          <cell r="CH172">
            <v>0</v>
          </cell>
          <cell r="CI172">
            <v>0</v>
          </cell>
          <cell r="CJ172">
            <v>0</v>
          </cell>
          <cell r="CK172">
            <v>0</v>
          </cell>
          <cell r="CL172">
            <v>0</v>
          </cell>
          <cell r="CM172">
            <v>0</v>
          </cell>
          <cell r="CN172">
            <v>-91932751.442845061</v>
          </cell>
          <cell r="CO172">
            <v>0</v>
          </cell>
          <cell r="CP172">
            <v>-91932751.442845061</v>
          </cell>
          <cell r="CQ172">
            <v>-91932751.442845061</v>
          </cell>
          <cell r="CR172">
            <v>-91932751.442845061</v>
          </cell>
          <cell r="CS172">
            <v>-91932751.442845061</v>
          </cell>
          <cell r="CT172">
            <v>-91932751.442845061</v>
          </cell>
          <cell r="CU172">
            <v>-91932751.442845061</v>
          </cell>
          <cell r="CV172">
            <v>-91932751.442845061</v>
          </cell>
          <cell r="CW172">
            <v>-91932751.442845061</v>
          </cell>
          <cell r="CX172">
            <v>-91932751.442845061</v>
          </cell>
          <cell r="CY172">
            <v>-91932751.442845061</v>
          </cell>
          <cell r="CZ172">
            <v>-84686224.156295791</v>
          </cell>
          <cell r="DA172">
            <v>-91932751.442845061</v>
          </cell>
          <cell r="DB172">
            <v>-90256631.316660717</v>
          </cell>
          <cell r="DC172">
            <v>-59005543.622500144</v>
          </cell>
          <cell r="DD172">
            <v>-149016631.50949708</v>
          </cell>
          <cell r="DE172">
            <v>-91932751.442845061</v>
          </cell>
          <cell r="DF172">
            <v>24018137.228284206</v>
          </cell>
          <cell r="DG172">
            <v>-91615073.168613255</v>
          </cell>
          <cell r="DH172">
            <v>-91932751.442845061</v>
          </cell>
          <cell r="DI172">
            <v>-84678017.183457136</v>
          </cell>
          <cell r="DJ172">
            <v>0</v>
          </cell>
          <cell r="DK172">
            <v>0</v>
          </cell>
          <cell r="DL172">
            <v>0</v>
          </cell>
          <cell r="DM172">
            <v>0</v>
          </cell>
          <cell r="DN172">
            <v>0</v>
          </cell>
          <cell r="DO172">
            <v>0</v>
          </cell>
          <cell r="DP172">
            <v>0</v>
          </cell>
          <cell r="DQ172">
            <v>0</v>
          </cell>
          <cell r="DR172">
            <v>0</v>
          </cell>
          <cell r="DS172">
            <v>0</v>
          </cell>
          <cell r="DT172">
            <v>0</v>
          </cell>
          <cell r="DU172">
            <v>0</v>
          </cell>
          <cell r="DV172">
            <v>0</v>
          </cell>
          <cell r="DW172">
            <v>0</v>
          </cell>
          <cell r="EA172">
            <v>0</v>
          </cell>
          <cell r="EB172">
            <v>0</v>
          </cell>
          <cell r="EC172">
            <v>0</v>
          </cell>
          <cell r="ED172">
            <v>0</v>
          </cell>
          <cell r="EE172">
            <v>0</v>
          </cell>
          <cell r="EF172">
            <v>0</v>
          </cell>
          <cell r="EG172">
            <v>0</v>
          </cell>
          <cell r="EH172">
            <v>0</v>
          </cell>
          <cell r="EI172">
            <v>0</v>
          </cell>
          <cell r="EJ172">
            <v>0</v>
          </cell>
          <cell r="EK172">
            <v>0</v>
          </cell>
          <cell r="EL172">
            <v>0</v>
          </cell>
          <cell r="EM172">
            <v>0</v>
          </cell>
          <cell r="EN172">
            <v>0</v>
          </cell>
          <cell r="EO172">
            <v>0</v>
          </cell>
          <cell r="EP172">
            <v>0</v>
          </cell>
          <cell r="EQ172">
            <v>0</v>
          </cell>
          <cell r="ER172">
            <v>0</v>
          </cell>
          <cell r="ES172">
            <v>0</v>
          </cell>
          <cell r="ET172">
            <v>0</v>
          </cell>
          <cell r="EU172">
            <v>0</v>
          </cell>
          <cell r="EV172">
            <v>0</v>
          </cell>
          <cell r="EW172">
            <v>0</v>
          </cell>
          <cell r="EX172">
            <v>0</v>
          </cell>
          <cell r="EY172">
            <v>0</v>
          </cell>
          <cell r="EZ172">
            <v>0</v>
          </cell>
          <cell r="FA172">
            <v>0</v>
          </cell>
          <cell r="FB172">
            <v>0</v>
          </cell>
          <cell r="FC172">
            <v>0</v>
          </cell>
          <cell r="FD172">
            <v>0</v>
          </cell>
          <cell r="FE172">
            <v>0</v>
          </cell>
          <cell r="FF172">
            <v>-127413847.02762587</v>
          </cell>
          <cell r="FG172">
            <v>-64411991.590472251</v>
          </cell>
          <cell r="FH172">
            <v>0</v>
          </cell>
          <cell r="FI172">
            <v>0</v>
          </cell>
          <cell r="FJ172">
            <v>-91932751.442845061</v>
          </cell>
          <cell r="FK172">
            <v>0</v>
          </cell>
          <cell r="FL172">
            <v>0</v>
          </cell>
          <cell r="FM172">
            <v>0</v>
          </cell>
          <cell r="FN172">
            <v>-91932751.442845061</v>
          </cell>
          <cell r="FO172">
            <v>0</v>
          </cell>
          <cell r="FP172">
            <v>0</v>
          </cell>
          <cell r="FQ172">
            <v>-91932751.442845061</v>
          </cell>
          <cell r="FR172">
            <v>0</v>
          </cell>
          <cell r="FS172">
            <v>-91932751.442845061</v>
          </cell>
          <cell r="FT172">
            <v>0</v>
          </cell>
          <cell r="FU172">
            <v>0</v>
          </cell>
          <cell r="FV172">
            <v>0</v>
          </cell>
          <cell r="FW172">
            <v>0</v>
          </cell>
          <cell r="FX172">
            <v>0</v>
          </cell>
          <cell r="FY172">
            <v>0</v>
          </cell>
          <cell r="FZ172">
            <v>-91932751.442845061</v>
          </cell>
          <cell r="GA172">
            <v>0</v>
          </cell>
          <cell r="GB172">
            <v>-84686224.156295791</v>
          </cell>
          <cell r="GC172">
            <v>-91932751.442845061</v>
          </cell>
          <cell r="GD172">
            <v>-90256631.316660717</v>
          </cell>
          <cell r="GE172">
            <v>-59005543.622500144</v>
          </cell>
          <cell r="GF172">
            <v>-149016631.50949708</v>
          </cell>
          <cell r="GG172">
            <v>-91932751.442845061</v>
          </cell>
          <cell r="GH172">
            <v>24018137.228284206</v>
          </cell>
          <cell r="GI172">
            <v>-91615073.168613255</v>
          </cell>
          <cell r="GJ172">
            <v>-91932751.442845061</v>
          </cell>
          <cell r="GK172">
            <v>-84678017.183457136</v>
          </cell>
          <cell r="GL172">
            <v>0</v>
          </cell>
          <cell r="GM172">
            <v>0</v>
          </cell>
          <cell r="GN172">
            <v>0</v>
          </cell>
          <cell r="GO172">
            <v>0</v>
          </cell>
          <cell r="GP172">
            <v>0</v>
          </cell>
          <cell r="GQ172">
            <v>0</v>
          </cell>
          <cell r="GR172">
            <v>0</v>
          </cell>
          <cell r="GS172">
            <v>0</v>
          </cell>
          <cell r="GT172">
            <v>0</v>
          </cell>
          <cell r="GZ172">
            <v>0</v>
          </cell>
        </row>
        <row r="173">
          <cell r="A173" t="str">
            <v>I_CAI_NRF_IRD_IRD_INTR_B09</v>
          </cell>
          <cell r="B173">
            <v>272106176.38654476</v>
          </cell>
          <cell r="C173">
            <v>0</v>
          </cell>
          <cell r="D173">
            <v>272106176.38654476</v>
          </cell>
          <cell r="E173">
            <v>-79467208.551942945</v>
          </cell>
          <cell r="F173">
            <v>272106176.38654476</v>
          </cell>
          <cell r="G173">
            <v>272106176.38654476</v>
          </cell>
          <cell r="H173">
            <v>0</v>
          </cell>
          <cell r="I173">
            <v>0</v>
          </cell>
          <cell r="J173">
            <v>272106176.38654476</v>
          </cell>
          <cell r="K173">
            <v>0</v>
          </cell>
          <cell r="L173">
            <v>0</v>
          </cell>
          <cell r="M173">
            <v>0</v>
          </cell>
          <cell r="N173">
            <v>272106176.38654476</v>
          </cell>
          <cell r="O173">
            <v>0</v>
          </cell>
          <cell r="P173">
            <v>0</v>
          </cell>
          <cell r="Q173">
            <v>272106176.38654476</v>
          </cell>
          <cell r="R173">
            <v>0</v>
          </cell>
          <cell r="S173">
            <v>272106176.38654476</v>
          </cell>
          <cell r="T173">
            <v>0</v>
          </cell>
          <cell r="U173">
            <v>0</v>
          </cell>
          <cell r="V173">
            <v>0</v>
          </cell>
          <cell r="W173">
            <v>0</v>
          </cell>
          <cell r="X173">
            <v>0</v>
          </cell>
          <cell r="Y173">
            <v>0</v>
          </cell>
          <cell r="Z173">
            <v>272106176.38654476</v>
          </cell>
          <cell r="AA173">
            <v>0</v>
          </cell>
          <cell r="AB173">
            <v>322511497.87619519</v>
          </cell>
          <cell r="AC173">
            <v>228783884.84061307</v>
          </cell>
          <cell r="AD173">
            <v>0</v>
          </cell>
          <cell r="AE173">
            <v>0</v>
          </cell>
          <cell r="AF173">
            <v>272106176.38654476</v>
          </cell>
          <cell r="AG173">
            <v>0</v>
          </cell>
          <cell r="AH173">
            <v>0</v>
          </cell>
          <cell r="AI173">
            <v>0</v>
          </cell>
          <cell r="AJ173">
            <v>263802914.9784961</v>
          </cell>
          <cell r="AK173">
            <v>0</v>
          </cell>
          <cell r="AL173">
            <v>0</v>
          </cell>
          <cell r="AM173">
            <v>272106176.38654476</v>
          </cell>
          <cell r="AN173">
            <v>0</v>
          </cell>
          <cell r="AO173">
            <v>217448069.38436851</v>
          </cell>
          <cell r="AP173">
            <v>0</v>
          </cell>
          <cell r="AQ173">
            <v>0</v>
          </cell>
          <cell r="AR173">
            <v>0</v>
          </cell>
          <cell r="AS173">
            <v>0</v>
          </cell>
          <cell r="AT173">
            <v>0</v>
          </cell>
          <cell r="AU173">
            <v>0</v>
          </cell>
          <cell r="AV173">
            <v>272106176.38654476</v>
          </cell>
          <cell r="AW173">
            <v>0</v>
          </cell>
          <cell r="AX173">
            <v>-79467208.551942945</v>
          </cell>
          <cell r="AY173">
            <v>-79467208.551942945</v>
          </cell>
          <cell r="AZ173">
            <v>0</v>
          </cell>
          <cell r="BA173">
            <v>0</v>
          </cell>
          <cell r="BB173">
            <v>-79467208.551942945</v>
          </cell>
          <cell r="BC173">
            <v>0</v>
          </cell>
          <cell r="BD173">
            <v>0</v>
          </cell>
          <cell r="BE173">
            <v>0</v>
          </cell>
          <cell r="BF173">
            <v>-79467208.551942945</v>
          </cell>
          <cell r="BG173">
            <v>0</v>
          </cell>
          <cell r="BH173">
            <v>0</v>
          </cell>
          <cell r="BI173">
            <v>-79467208.551942945</v>
          </cell>
          <cell r="BJ173">
            <v>0</v>
          </cell>
          <cell r="BK173">
            <v>-79467208.551942945</v>
          </cell>
          <cell r="BL173">
            <v>0</v>
          </cell>
          <cell r="BM173">
            <v>0</v>
          </cell>
          <cell r="BN173">
            <v>0</v>
          </cell>
          <cell r="BO173">
            <v>0</v>
          </cell>
          <cell r="BP173">
            <v>0</v>
          </cell>
          <cell r="BQ173">
            <v>0</v>
          </cell>
          <cell r="BR173">
            <v>-79467208.551942945</v>
          </cell>
          <cell r="BS173">
            <v>0</v>
          </cell>
          <cell r="BT173">
            <v>-92928232.031636134</v>
          </cell>
          <cell r="BU173">
            <v>-66049007.605942309</v>
          </cell>
          <cell r="BV173">
            <v>0</v>
          </cell>
          <cell r="BW173">
            <v>0</v>
          </cell>
          <cell r="BX173">
            <v>-79467208.551942945</v>
          </cell>
          <cell r="BY173">
            <v>0</v>
          </cell>
          <cell r="BZ173">
            <v>0</v>
          </cell>
          <cell r="CA173">
            <v>0</v>
          </cell>
          <cell r="CB173">
            <v>-79467208.551942945</v>
          </cell>
          <cell r="CC173">
            <v>0</v>
          </cell>
          <cell r="CD173">
            <v>0</v>
          </cell>
          <cell r="CE173">
            <v>-79467208.551942945</v>
          </cell>
          <cell r="CF173">
            <v>0</v>
          </cell>
          <cell r="CG173">
            <v>-79467208.551942945</v>
          </cell>
          <cell r="CH173">
            <v>0</v>
          </cell>
          <cell r="CI173">
            <v>0</v>
          </cell>
          <cell r="CJ173">
            <v>0</v>
          </cell>
          <cell r="CK173">
            <v>0</v>
          </cell>
          <cell r="CL173">
            <v>0</v>
          </cell>
          <cell r="CM173">
            <v>0</v>
          </cell>
          <cell r="CN173">
            <v>-79467208.551942945</v>
          </cell>
          <cell r="CO173">
            <v>0</v>
          </cell>
          <cell r="CP173">
            <v>0</v>
          </cell>
          <cell r="CQ173">
            <v>0</v>
          </cell>
          <cell r="CR173">
            <v>0</v>
          </cell>
          <cell r="CS173">
            <v>0</v>
          </cell>
          <cell r="CT173">
            <v>0</v>
          </cell>
          <cell r="CU173">
            <v>0</v>
          </cell>
          <cell r="CV173">
            <v>0</v>
          </cell>
          <cell r="CW173">
            <v>0</v>
          </cell>
          <cell r="CX173">
            <v>0</v>
          </cell>
          <cell r="CY173">
            <v>0</v>
          </cell>
          <cell r="CZ173">
            <v>0</v>
          </cell>
          <cell r="DA173">
            <v>0</v>
          </cell>
          <cell r="DB173">
            <v>0</v>
          </cell>
          <cell r="DC173">
            <v>0</v>
          </cell>
          <cell r="DD173">
            <v>0</v>
          </cell>
          <cell r="DE173">
            <v>0</v>
          </cell>
          <cell r="DF173">
            <v>0</v>
          </cell>
          <cell r="DG173">
            <v>0</v>
          </cell>
          <cell r="DH173">
            <v>0</v>
          </cell>
          <cell r="DI173">
            <v>0</v>
          </cell>
          <cell r="DJ173">
            <v>0</v>
          </cell>
          <cell r="DK173">
            <v>0</v>
          </cell>
          <cell r="DL173">
            <v>0</v>
          </cell>
          <cell r="DM173">
            <v>0</v>
          </cell>
          <cell r="DN173">
            <v>0</v>
          </cell>
          <cell r="DO173">
            <v>0</v>
          </cell>
          <cell r="DP173">
            <v>0</v>
          </cell>
          <cell r="DQ173">
            <v>0</v>
          </cell>
          <cell r="DR173">
            <v>0</v>
          </cell>
          <cell r="DS173">
            <v>0</v>
          </cell>
          <cell r="DT173">
            <v>0</v>
          </cell>
          <cell r="DU173">
            <v>0</v>
          </cell>
          <cell r="DV173">
            <v>0</v>
          </cell>
          <cell r="DW173">
            <v>0</v>
          </cell>
          <cell r="EA173">
            <v>0</v>
          </cell>
          <cell r="EB173">
            <v>0</v>
          </cell>
          <cell r="EC173">
            <v>0</v>
          </cell>
          <cell r="ED173">
            <v>0</v>
          </cell>
          <cell r="EE173">
            <v>0</v>
          </cell>
          <cell r="EF173">
            <v>0</v>
          </cell>
          <cell r="EG173">
            <v>0</v>
          </cell>
          <cell r="EH173">
            <v>0</v>
          </cell>
          <cell r="EI173">
            <v>0</v>
          </cell>
          <cell r="EJ173">
            <v>0</v>
          </cell>
          <cell r="EK173">
            <v>0</v>
          </cell>
          <cell r="EL173">
            <v>0</v>
          </cell>
          <cell r="EM173">
            <v>0</v>
          </cell>
          <cell r="EN173">
            <v>0</v>
          </cell>
          <cell r="EO173">
            <v>0</v>
          </cell>
          <cell r="EP173">
            <v>0</v>
          </cell>
          <cell r="EQ173">
            <v>0</v>
          </cell>
          <cell r="ER173">
            <v>0</v>
          </cell>
          <cell r="ES173">
            <v>0</v>
          </cell>
          <cell r="ET173">
            <v>0</v>
          </cell>
          <cell r="EU173">
            <v>0</v>
          </cell>
          <cell r="EV173">
            <v>0</v>
          </cell>
          <cell r="EW173">
            <v>0</v>
          </cell>
          <cell r="EX173">
            <v>0</v>
          </cell>
          <cell r="EY173">
            <v>0</v>
          </cell>
          <cell r="EZ173">
            <v>0</v>
          </cell>
          <cell r="FA173">
            <v>0</v>
          </cell>
          <cell r="FB173">
            <v>0</v>
          </cell>
          <cell r="FC173">
            <v>0</v>
          </cell>
          <cell r="FD173">
            <v>0</v>
          </cell>
          <cell r="FE173">
            <v>0</v>
          </cell>
          <cell r="FF173">
            <v>-92928232.031636134</v>
          </cell>
          <cell r="FG173">
            <v>-66049007.605942309</v>
          </cell>
          <cell r="FH173">
            <v>0</v>
          </cell>
          <cell r="FI173">
            <v>0</v>
          </cell>
          <cell r="FJ173">
            <v>-79467208.551942945</v>
          </cell>
          <cell r="FK173">
            <v>0</v>
          </cell>
          <cell r="FL173">
            <v>0</v>
          </cell>
          <cell r="FM173">
            <v>0</v>
          </cell>
          <cell r="FN173">
            <v>-79467208.551942945</v>
          </cell>
          <cell r="FO173">
            <v>0</v>
          </cell>
          <cell r="FP173">
            <v>0</v>
          </cell>
          <cell r="FQ173">
            <v>-79467208.551942945</v>
          </cell>
          <cell r="FR173">
            <v>0</v>
          </cell>
          <cell r="FS173">
            <v>-79467208.551942945</v>
          </cell>
          <cell r="FT173">
            <v>0</v>
          </cell>
          <cell r="FU173">
            <v>0</v>
          </cell>
          <cell r="FV173">
            <v>0</v>
          </cell>
          <cell r="FW173">
            <v>0</v>
          </cell>
          <cell r="FX173">
            <v>0</v>
          </cell>
          <cell r="FY173">
            <v>0</v>
          </cell>
          <cell r="FZ173">
            <v>-79467208.551942945</v>
          </cell>
          <cell r="GA173">
            <v>0</v>
          </cell>
          <cell r="GB173">
            <v>0</v>
          </cell>
          <cell r="GC173">
            <v>0</v>
          </cell>
          <cell r="GD173">
            <v>0</v>
          </cell>
          <cell r="GE173">
            <v>0</v>
          </cell>
          <cell r="GF173">
            <v>0</v>
          </cell>
          <cell r="GG173">
            <v>0</v>
          </cell>
          <cell r="GH173">
            <v>0</v>
          </cell>
          <cell r="GI173">
            <v>0</v>
          </cell>
          <cell r="GJ173">
            <v>0</v>
          </cell>
          <cell r="GK173">
            <v>0</v>
          </cell>
          <cell r="GL173">
            <v>0</v>
          </cell>
          <cell r="GM173">
            <v>0</v>
          </cell>
          <cell r="GN173">
            <v>0</v>
          </cell>
          <cell r="GO173">
            <v>0</v>
          </cell>
          <cell r="GP173">
            <v>0</v>
          </cell>
          <cell r="GQ173">
            <v>0</v>
          </cell>
          <cell r="GR173">
            <v>0</v>
          </cell>
          <cell r="GS173">
            <v>0</v>
          </cell>
          <cell r="GT173">
            <v>0</v>
          </cell>
          <cell r="GZ173">
            <v>0</v>
          </cell>
        </row>
        <row r="174">
          <cell r="A174" t="str">
            <v>I_CAI_NRF_IRD_IRD_INTR_B10</v>
          </cell>
          <cell r="B174">
            <v>0</v>
          </cell>
          <cell r="C174">
            <v>0</v>
          </cell>
          <cell r="D174">
            <v>0</v>
          </cell>
          <cell r="E174">
            <v>0</v>
          </cell>
          <cell r="F174">
            <v>0</v>
          </cell>
          <cell r="G174">
            <v>0</v>
          </cell>
          <cell r="H174">
            <v>0</v>
          </cell>
          <cell r="I174">
            <v>0</v>
          </cell>
          <cell r="J174">
            <v>0</v>
          </cell>
          <cell r="K174">
            <v>0</v>
          </cell>
          <cell r="L174">
            <v>0</v>
          </cell>
          <cell r="M174">
            <v>0</v>
          </cell>
          <cell r="N174">
            <v>0</v>
          </cell>
          <cell r="O174">
            <v>0</v>
          </cell>
          <cell r="P174">
            <v>0</v>
          </cell>
          <cell r="Q174">
            <v>0</v>
          </cell>
          <cell r="R174">
            <v>0</v>
          </cell>
          <cell r="S174">
            <v>0</v>
          </cell>
          <cell r="T174">
            <v>0</v>
          </cell>
          <cell r="U174">
            <v>0</v>
          </cell>
          <cell r="V174">
            <v>0</v>
          </cell>
          <cell r="W174">
            <v>0</v>
          </cell>
          <cell r="X174">
            <v>0</v>
          </cell>
          <cell r="Y174">
            <v>0</v>
          </cell>
          <cell r="Z174">
            <v>0</v>
          </cell>
          <cell r="AA174">
            <v>0</v>
          </cell>
          <cell r="AB174">
            <v>0</v>
          </cell>
          <cell r="AC174">
            <v>0</v>
          </cell>
          <cell r="AD174">
            <v>0</v>
          </cell>
          <cell r="AE174">
            <v>0</v>
          </cell>
          <cell r="AF174">
            <v>0</v>
          </cell>
          <cell r="AG174">
            <v>0</v>
          </cell>
          <cell r="AH174">
            <v>0</v>
          </cell>
          <cell r="AI174">
            <v>0</v>
          </cell>
          <cell r="AJ174">
            <v>0</v>
          </cell>
          <cell r="AK174">
            <v>0</v>
          </cell>
          <cell r="AL174">
            <v>0</v>
          </cell>
          <cell r="AM174">
            <v>0</v>
          </cell>
          <cell r="AN174">
            <v>0</v>
          </cell>
          <cell r="AO174">
            <v>0</v>
          </cell>
          <cell r="AP174">
            <v>0</v>
          </cell>
          <cell r="AQ174">
            <v>0</v>
          </cell>
          <cell r="AR174">
            <v>0</v>
          </cell>
          <cell r="AS174">
            <v>0</v>
          </cell>
          <cell r="AT174">
            <v>0</v>
          </cell>
          <cell r="AU174">
            <v>0</v>
          </cell>
          <cell r="AV174">
            <v>0</v>
          </cell>
          <cell r="AW174">
            <v>0</v>
          </cell>
          <cell r="AX174">
            <v>0</v>
          </cell>
          <cell r="AY174">
            <v>0</v>
          </cell>
          <cell r="AZ174">
            <v>0</v>
          </cell>
          <cell r="BA174">
            <v>0</v>
          </cell>
          <cell r="BB174">
            <v>0</v>
          </cell>
          <cell r="BC174">
            <v>0</v>
          </cell>
          <cell r="BD174">
            <v>0</v>
          </cell>
          <cell r="BE174">
            <v>0</v>
          </cell>
          <cell r="BF174">
            <v>0</v>
          </cell>
          <cell r="BG174">
            <v>0</v>
          </cell>
          <cell r="BH174">
            <v>0</v>
          </cell>
          <cell r="BI174">
            <v>0</v>
          </cell>
          <cell r="BJ174">
            <v>0</v>
          </cell>
          <cell r="BK174">
            <v>0</v>
          </cell>
          <cell r="BL174">
            <v>0</v>
          </cell>
          <cell r="BM174">
            <v>0</v>
          </cell>
          <cell r="BN174">
            <v>0</v>
          </cell>
          <cell r="BO174">
            <v>0</v>
          </cell>
          <cell r="BP174">
            <v>0</v>
          </cell>
          <cell r="BQ174">
            <v>0</v>
          </cell>
          <cell r="BR174">
            <v>0</v>
          </cell>
          <cell r="BS174">
            <v>0</v>
          </cell>
          <cell r="BT174">
            <v>0</v>
          </cell>
          <cell r="BU174">
            <v>0</v>
          </cell>
          <cell r="BV174">
            <v>0</v>
          </cell>
          <cell r="BW174">
            <v>0</v>
          </cell>
          <cell r="BX174">
            <v>0</v>
          </cell>
          <cell r="BY174">
            <v>0</v>
          </cell>
          <cell r="BZ174">
            <v>0</v>
          </cell>
          <cell r="CA174">
            <v>0</v>
          </cell>
          <cell r="CB174">
            <v>0</v>
          </cell>
          <cell r="CC174">
            <v>0</v>
          </cell>
          <cell r="CD174">
            <v>0</v>
          </cell>
          <cell r="CE174">
            <v>0</v>
          </cell>
          <cell r="CF174">
            <v>0</v>
          </cell>
          <cell r="CG174">
            <v>0</v>
          </cell>
          <cell r="CH174">
            <v>0</v>
          </cell>
          <cell r="CI174">
            <v>0</v>
          </cell>
          <cell r="CJ174">
            <v>0</v>
          </cell>
          <cell r="CK174">
            <v>0</v>
          </cell>
          <cell r="CL174">
            <v>0</v>
          </cell>
          <cell r="CM174">
            <v>0</v>
          </cell>
          <cell r="CN174">
            <v>0</v>
          </cell>
          <cell r="CO174">
            <v>0</v>
          </cell>
          <cell r="CP174">
            <v>0</v>
          </cell>
          <cell r="CQ174">
            <v>0</v>
          </cell>
          <cell r="CR174">
            <v>0</v>
          </cell>
          <cell r="CS174">
            <v>0</v>
          </cell>
          <cell r="CT174">
            <v>0</v>
          </cell>
          <cell r="CU174">
            <v>0</v>
          </cell>
          <cell r="CV174">
            <v>0</v>
          </cell>
          <cell r="CW174">
            <v>0</v>
          </cell>
          <cell r="CX174">
            <v>0</v>
          </cell>
          <cell r="CY174">
            <v>0</v>
          </cell>
          <cell r="CZ174">
            <v>0</v>
          </cell>
          <cell r="DA174">
            <v>0</v>
          </cell>
          <cell r="DB174">
            <v>0</v>
          </cell>
          <cell r="DC174">
            <v>0</v>
          </cell>
          <cell r="DD174">
            <v>0</v>
          </cell>
          <cell r="DE174">
            <v>0</v>
          </cell>
          <cell r="DF174">
            <v>0</v>
          </cell>
          <cell r="DG174">
            <v>0</v>
          </cell>
          <cell r="DH174">
            <v>0</v>
          </cell>
          <cell r="DI174">
            <v>0</v>
          </cell>
          <cell r="DJ174">
            <v>0</v>
          </cell>
          <cell r="DK174">
            <v>0</v>
          </cell>
          <cell r="DL174">
            <v>0</v>
          </cell>
          <cell r="DM174">
            <v>0</v>
          </cell>
          <cell r="DN174">
            <v>0</v>
          </cell>
          <cell r="DO174">
            <v>0</v>
          </cell>
          <cell r="DP174">
            <v>0</v>
          </cell>
          <cell r="DQ174">
            <v>0</v>
          </cell>
          <cell r="DR174">
            <v>0</v>
          </cell>
          <cell r="DS174">
            <v>0</v>
          </cell>
          <cell r="DT174">
            <v>0</v>
          </cell>
          <cell r="DU174">
            <v>0</v>
          </cell>
          <cell r="DV174">
            <v>0</v>
          </cell>
          <cell r="DW174">
            <v>0</v>
          </cell>
          <cell r="EA174">
            <v>0</v>
          </cell>
          <cell r="EB174">
            <v>0</v>
          </cell>
          <cell r="EC174">
            <v>0</v>
          </cell>
          <cell r="ED174">
            <v>0</v>
          </cell>
          <cell r="EE174">
            <v>0</v>
          </cell>
          <cell r="EF174">
            <v>0</v>
          </cell>
          <cell r="EG174">
            <v>0</v>
          </cell>
          <cell r="EH174">
            <v>0</v>
          </cell>
          <cell r="EI174">
            <v>0</v>
          </cell>
          <cell r="EJ174">
            <v>0</v>
          </cell>
          <cell r="EK174">
            <v>0</v>
          </cell>
          <cell r="EL174">
            <v>0</v>
          </cell>
          <cell r="EM174">
            <v>0</v>
          </cell>
          <cell r="EN174">
            <v>0</v>
          </cell>
          <cell r="EO174">
            <v>0</v>
          </cell>
          <cell r="EP174">
            <v>0</v>
          </cell>
          <cell r="EQ174">
            <v>0</v>
          </cell>
          <cell r="ER174">
            <v>0</v>
          </cell>
          <cell r="ES174">
            <v>0</v>
          </cell>
          <cell r="ET174">
            <v>0</v>
          </cell>
          <cell r="EU174">
            <v>0</v>
          </cell>
          <cell r="EV174">
            <v>0</v>
          </cell>
          <cell r="EW174">
            <v>0</v>
          </cell>
          <cell r="EX174">
            <v>0</v>
          </cell>
          <cell r="EY174">
            <v>0</v>
          </cell>
          <cell r="EZ174">
            <v>0</v>
          </cell>
          <cell r="FA174">
            <v>0</v>
          </cell>
          <cell r="FB174">
            <v>0</v>
          </cell>
          <cell r="FC174">
            <v>0</v>
          </cell>
          <cell r="FD174">
            <v>0</v>
          </cell>
          <cell r="FE174">
            <v>0</v>
          </cell>
          <cell r="FF174">
            <v>0</v>
          </cell>
          <cell r="FG174">
            <v>0</v>
          </cell>
          <cell r="FH174">
            <v>0</v>
          </cell>
          <cell r="FI174">
            <v>0</v>
          </cell>
          <cell r="FJ174">
            <v>0</v>
          </cell>
          <cell r="FK174">
            <v>0</v>
          </cell>
          <cell r="FL174">
            <v>0</v>
          </cell>
          <cell r="FM174">
            <v>0</v>
          </cell>
          <cell r="FN174">
            <v>0</v>
          </cell>
          <cell r="FO174">
            <v>0</v>
          </cell>
          <cell r="FP174">
            <v>0</v>
          </cell>
          <cell r="FQ174">
            <v>0</v>
          </cell>
          <cell r="FR174">
            <v>0</v>
          </cell>
          <cell r="FS174">
            <v>0</v>
          </cell>
          <cell r="FT174">
            <v>0</v>
          </cell>
          <cell r="FU174">
            <v>0</v>
          </cell>
          <cell r="FV174">
            <v>0</v>
          </cell>
          <cell r="FW174">
            <v>0</v>
          </cell>
          <cell r="FX174">
            <v>0</v>
          </cell>
          <cell r="FY174">
            <v>0</v>
          </cell>
          <cell r="FZ174">
            <v>0</v>
          </cell>
          <cell r="GA174">
            <v>0</v>
          </cell>
          <cell r="GB174">
            <v>0</v>
          </cell>
          <cell r="GC174">
            <v>0</v>
          </cell>
          <cell r="GD174">
            <v>0</v>
          </cell>
          <cell r="GE174">
            <v>0</v>
          </cell>
          <cell r="GF174">
            <v>0</v>
          </cell>
          <cell r="GG174">
            <v>0</v>
          </cell>
          <cell r="GH174">
            <v>0</v>
          </cell>
          <cell r="GI174">
            <v>0</v>
          </cell>
          <cell r="GJ174">
            <v>0</v>
          </cell>
          <cell r="GK174">
            <v>0</v>
          </cell>
          <cell r="GL174">
            <v>0</v>
          </cell>
          <cell r="GM174">
            <v>0</v>
          </cell>
          <cell r="GN174">
            <v>0</v>
          </cell>
          <cell r="GO174">
            <v>0</v>
          </cell>
          <cell r="GP174">
            <v>0</v>
          </cell>
          <cell r="GQ174">
            <v>0</v>
          </cell>
          <cell r="GR174">
            <v>0</v>
          </cell>
          <cell r="GS174">
            <v>0</v>
          </cell>
          <cell r="GT174">
            <v>0</v>
          </cell>
          <cell r="GZ174">
            <v>0</v>
          </cell>
        </row>
        <row r="175">
          <cell r="A175" t="str">
            <v>I_CAI_NRF_IRD_IRD_INTR_B11</v>
          </cell>
          <cell r="B175">
            <v>334511.80178222124</v>
          </cell>
          <cell r="C175">
            <v>0</v>
          </cell>
          <cell r="D175">
            <v>334511.80178222124</v>
          </cell>
          <cell r="E175">
            <v>0</v>
          </cell>
          <cell r="F175">
            <v>334511.80178222124</v>
          </cell>
          <cell r="G175">
            <v>334511.80178222124</v>
          </cell>
          <cell r="H175">
            <v>0</v>
          </cell>
          <cell r="I175">
            <v>0</v>
          </cell>
          <cell r="J175">
            <v>334511.80178222124</v>
          </cell>
          <cell r="K175">
            <v>0</v>
          </cell>
          <cell r="L175">
            <v>0</v>
          </cell>
          <cell r="M175">
            <v>0</v>
          </cell>
          <cell r="N175">
            <v>334511.80178222124</v>
          </cell>
          <cell r="O175">
            <v>0</v>
          </cell>
          <cell r="P175">
            <v>0</v>
          </cell>
          <cell r="Q175">
            <v>334511.80178222124</v>
          </cell>
          <cell r="R175">
            <v>0</v>
          </cell>
          <cell r="S175">
            <v>334511.80178222124</v>
          </cell>
          <cell r="T175">
            <v>0</v>
          </cell>
          <cell r="U175">
            <v>0</v>
          </cell>
          <cell r="V175">
            <v>0</v>
          </cell>
          <cell r="W175">
            <v>0</v>
          </cell>
          <cell r="X175">
            <v>0</v>
          </cell>
          <cell r="Y175">
            <v>0</v>
          </cell>
          <cell r="Z175">
            <v>334511.80178222124</v>
          </cell>
          <cell r="AA175">
            <v>0</v>
          </cell>
          <cell r="AB175">
            <v>396477.22695126495</v>
          </cell>
          <cell r="AC175">
            <v>281253.84933582868</v>
          </cell>
          <cell r="AD175">
            <v>0</v>
          </cell>
          <cell r="AE175">
            <v>0</v>
          </cell>
          <cell r="AF175">
            <v>334511.80178222124</v>
          </cell>
          <cell r="AG175">
            <v>0</v>
          </cell>
          <cell r="AH175">
            <v>0</v>
          </cell>
          <cell r="AI175">
            <v>0</v>
          </cell>
          <cell r="AJ175">
            <v>324304.24614655098</v>
          </cell>
          <cell r="AK175">
            <v>0</v>
          </cell>
          <cell r="AL175">
            <v>0</v>
          </cell>
          <cell r="AM175">
            <v>334511.80178222124</v>
          </cell>
          <cell r="AN175">
            <v>0</v>
          </cell>
          <cell r="AO175">
            <v>267318.24484755576</v>
          </cell>
          <cell r="AP175">
            <v>0</v>
          </cell>
          <cell r="AQ175">
            <v>0</v>
          </cell>
          <cell r="AR175">
            <v>0</v>
          </cell>
          <cell r="AS175">
            <v>0</v>
          </cell>
          <cell r="AT175">
            <v>0</v>
          </cell>
          <cell r="AU175">
            <v>0</v>
          </cell>
          <cell r="AV175">
            <v>334511.80178222124</v>
          </cell>
          <cell r="AW175">
            <v>0</v>
          </cell>
          <cell r="AX175">
            <v>0</v>
          </cell>
          <cell r="AY175">
            <v>0</v>
          </cell>
          <cell r="AZ175">
            <v>0</v>
          </cell>
          <cell r="BA175">
            <v>0</v>
          </cell>
          <cell r="BB175">
            <v>0</v>
          </cell>
          <cell r="BC175">
            <v>0</v>
          </cell>
          <cell r="BD175">
            <v>0</v>
          </cell>
          <cell r="BE175">
            <v>0</v>
          </cell>
          <cell r="BF175">
            <v>0</v>
          </cell>
          <cell r="BG175">
            <v>0</v>
          </cell>
          <cell r="BH175">
            <v>0</v>
          </cell>
          <cell r="BI175">
            <v>0</v>
          </cell>
          <cell r="BJ175">
            <v>0</v>
          </cell>
          <cell r="BK175">
            <v>0</v>
          </cell>
          <cell r="BL175">
            <v>0</v>
          </cell>
          <cell r="BM175">
            <v>0</v>
          </cell>
          <cell r="BN175">
            <v>0</v>
          </cell>
          <cell r="BO175">
            <v>0</v>
          </cell>
          <cell r="BP175">
            <v>0</v>
          </cell>
          <cell r="BQ175">
            <v>0</v>
          </cell>
          <cell r="BR175">
            <v>0</v>
          </cell>
          <cell r="BS175">
            <v>0</v>
          </cell>
          <cell r="BT175">
            <v>0</v>
          </cell>
          <cell r="BU175">
            <v>0</v>
          </cell>
          <cell r="BV175">
            <v>0</v>
          </cell>
          <cell r="BW175">
            <v>0</v>
          </cell>
          <cell r="BX175">
            <v>0</v>
          </cell>
          <cell r="BY175">
            <v>0</v>
          </cell>
          <cell r="BZ175">
            <v>0</v>
          </cell>
          <cell r="CA175">
            <v>0</v>
          </cell>
          <cell r="CB175">
            <v>0</v>
          </cell>
          <cell r="CC175">
            <v>0</v>
          </cell>
          <cell r="CD175">
            <v>0</v>
          </cell>
          <cell r="CE175">
            <v>0</v>
          </cell>
          <cell r="CF175">
            <v>0</v>
          </cell>
          <cell r="CG175">
            <v>0</v>
          </cell>
          <cell r="CH175">
            <v>0</v>
          </cell>
          <cell r="CI175">
            <v>0</v>
          </cell>
          <cell r="CJ175">
            <v>0</v>
          </cell>
          <cell r="CK175">
            <v>0</v>
          </cell>
          <cell r="CL175">
            <v>0</v>
          </cell>
          <cell r="CM175">
            <v>0</v>
          </cell>
          <cell r="CN175">
            <v>0</v>
          </cell>
          <cell r="CO175">
            <v>0</v>
          </cell>
          <cell r="CP175">
            <v>0</v>
          </cell>
          <cell r="CQ175">
            <v>0</v>
          </cell>
          <cell r="CR175">
            <v>0</v>
          </cell>
          <cell r="CS175">
            <v>0</v>
          </cell>
          <cell r="CT175">
            <v>0</v>
          </cell>
          <cell r="CU175">
            <v>0</v>
          </cell>
          <cell r="CV175">
            <v>0</v>
          </cell>
          <cell r="CW175">
            <v>0</v>
          </cell>
          <cell r="CX175">
            <v>0</v>
          </cell>
          <cell r="CY175">
            <v>0</v>
          </cell>
          <cell r="CZ175">
            <v>0</v>
          </cell>
          <cell r="DA175">
            <v>0</v>
          </cell>
          <cell r="DB175">
            <v>0</v>
          </cell>
          <cell r="DC175">
            <v>0</v>
          </cell>
          <cell r="DD175">
            <v>0</v>
          </cell>
          <cell r="DE175">
            <v>0</v>
          </cell>
          <cell r="DF175">
            <v>0</v>
          </cell>
          <cell r="DG175">
            <v>0</v>
          </cell>
          <cell r="DH175">
            <v>0</v>
          </cell>
          <cell r="DI175">
            <v>0</v>
          </cell>
          <cell r="DJ175">
            <v>0</v>
          </cell>
          <cell r="DK175">
            <v>0</v>
          </cell>
          <cell r="DL175">
            <v>0</v>
          </cell>
          <cell r="DM175">
            <v>0</v>
          </cell>
          <cell r="DN175">
            <v>0</v>
          </cell>
          <cell r="DO175">
            <v>0</v>
          </cell>
          <cell r="DP175">
            <v>0</v>
          </cell>
          <cell r="DQ175">
            <v>0</v>
          </cell>
          <cell r="DR175">
            <v>0</v>
          </cell>
          <cell r="DS175">
            <v>0</v>
          </cell>
          <cell r="DT175">
            <v>0</v>
          </cell>
          <cell r="DU175">
            <v>0</v>
          </cell>
          <cell r="DV175">
            <v>0</v>
          </cell>
          <cell r="DW175">
            <v>0</v>
          </cell>
          <cell r="EA175">
            <v>0</v>
          </cell>
          <cell r="EB175">
            <v>0</v>
          </cell>
          <cell r="EC175">
            <v>0</v>
          </cell>
          <cell r="ED175">
            <v>0</v>
          </cell>
          <cell r="EE175">
            <v>0</v>
          </cell>
          <cell r="EF175">
            <v>0</v>
          </cell>
          <cell r="EG175">
            <v>0</v>
          </cell>
          <cell r="EH175">
            <v>0</v>
          </cell>
          <cell r="EI175">
            <v>0</v>
          </cell>
          <cell r="EJ175">
            <v>0</v>
          </cell>
          <cell r="EK175">
            <v>0</v>
          </cell>
          <cell r="EL175">
            <v>0</v>
          </cell>
          <cell r="EM175">
            <v>0</v>
          </cell>
          <cell r="EN175">
            <v>0</v>
          </cell>
          <cell r="EO175">
            <v>0</v>
          </cell>
          <cell r="EP175">
            <v>0</v>
          </cell>
          <cell r="EQ175">
            <v>0</v>
          </cell>
          <cell r="ER175">
            <v>0</v>
          </cell>
          <cell r="ES175">
            <v>0</v>
          </cell>
          <cell r="ET175">
            <v>0</v>
          </cell>
          <cell r="EU175">
            <v>0</v>
          </cell>
          <cell r="EV175">
            <v>0</v>
          </cell>
          <cell r="EW175">
            <v>0</v>
          </cell>
          <cell r="EX175">
            <v>0</v>
          </cell>
          <cell r="EY175">
            <v>0</v>
          </cell>
          <cell r="EZ175">
            <v>0</v>
          </cell>
          <cell r="FA175">
            <v>0</v>
          </cell>
          <cell r="FB175">
            <v>0</v>
          </cell>
          <cell r="FC175">
            <v>0</v>
          </cell>
          <cell r="FD175">
            <v>0</v>
          </cell>
          <cell r="FE175">
            <v>0</v>
          </cell>
          <cell r="FF175">
            <v>0</v>
          </cell>
          <cell r="FG175">
            <v>0</v>
          </cell>
          <cell r="FH175">
            <v>0</v>
          </cell>
          <cell r="FI175">
            <v>0</v>
          </cell>
          <cell r="FJ175">
            <v>0</v>
          </cell>
          <cell r="FK175">
            <v>0</v>
          </cell>
          <cell r="FL175">
            <v>0</v>
          </cell>
          <cell r="FM175">
            <v>0</v>
          </cell>
          <cell r="FN175">
            <v>0</v>
          </cell>
          <cell r="FO175">
            <v>0</v>
          </cell>
          <cell r="FP175">
            <v>0</v>
          </cell>
          <cell r="FQ175">
            <v>0</v>
          </cell>
          <cell r="FR175">
            <v>0</v>
          </cell>
          <cell r="FS175">
            <v>0</v>
          </cell>
          <cell r="FT175">
            <v>0</v>
          </cell>
          <cell r="FU175">
            <v>0</v>
          </cell>
          <cell r="FV175">
            <v>0</v>
          </cell>
          <cell r="FW175">
            <v>0</v>
          </cell>
          <cell r="FX175">
            <v>0</v>
          </cell>
          <cell r="FY175">
            <v>0</v>
          </cell>
          <cell r="FZ175">
            <v>0</v>
          </cell>
          <cell r="GA175">
            <v>0</v>
          </cell>
          <cell r="GB175">
            <v>0</v>
          </cell>
          <cell r="GC175">
            <v>0</v>
          </cell>
          <cell r="GD175">
            <v>0</v>
          </cell>
          <cell r="GE175">
            <v>0</v>
          </cell>
          <cell r="GF175">
            <v>0</v>
          </cell>
          <cell r="GG175">
            <v>0</v>
          </cell>
          <cell r="GH175">
            <v>0</v>
          </cell>
          <cell r="GI175">
            <v>0</v>
          </cell>
          <cell r="GJ175">
            <v>0</v>
          </cell>
          <cell r="GK175">
            <v>0</v>
          </cell>
          <cell r="GL175">
            <v>0</v>
          </cell>
          <cell r="GM175">
            <v>0</v>
          </cell>
          <cell r="GN175">
            <v>0</v>
          </cell>
          <cell r="GO175">
            <v>0</v>
          </cell>
          <cell r="GP175">
            <v>0</v>
          </cell>
          <cell r="GQ175">
            <v>0</v>
          </cell>
          <cell r="GR175">
            <v>0</v>
          </cell>
          <cell r="GS175">
            <v>0</v>
          </cell>
          <cell r="GT175">
            <v>0</v>
          </cell>
          <cell r="GZ175">
            <v>0</v>
          </cell>
        </row>
        <row r="176">
          <cell r="A176" t="str">
            <v>I_CAI_NRF_IRD_IRD_INTR_B12</v>
          </cell>
          <cell r="B176">
            <v>27415458.440711647</v>
          </cell>
          <cell r="C176">
            <v>0</v>
          </cell>
          <cell r="D176">
            <v>27415458.440711647</v>
          </cell>
          <cell r="E176">
            <v>40213583.197150201</v>
          </cell>
          <cell r="F176">
            <v>27415458.440711647</v>
          </cell>
          <cell r="G176">
            <v>27415458.440711647</v>
          </cell>
          <cell r="H176">
            <v>0</v>
          </cell>
          <cell r="I176">
            <v>0</v>
          </cell>
          <cell r="J176">
            <v>27415458.440711647</v>
          </cell>
          <cell r="K176">
            <v>0</v>
          </cell>
          <cell r="L176">
            <v>0</v>
          </cell>
          <cell r="M176">
            <v>0</v>
          </cell>
          <cell r="N176">
            <v>27415458.440711647</v>
          </cell>
          <cell r="O176">
            <v>0</v>
          </cell>
          <cell r="P176">
            <v>0</v>
          </cell>
          <cell r="Q176">
            <v>27415458.440711647</v>
          </cell>
          <cell r="R176">
            <v>0</v>
          </cell>
          <cell r="S176">
            <v>27415458.440711647</v>
          </cell>
          <cell r="T176">
            <v>0</v>
          </cell>
          <cell r="U176">
            <v>0</v>
          </cell>
          <cell r="V176">
            <v>0</v>
          </cell>
          <cell r="W176">
            <v>0</v>
          </cell>
          <cell r="X176">
            <v>0</v>
          </cell>
          <cell r="Y176">
            <v>0</v>
          </cell>
          <cell r="Z176">
            <v>27415458.440711647</v>
          </cell>
          <cell r="AA176">
            <v>0</v>
          </cell>
          <cell r="AB176">
            <v>32493935.580926064</v>
          </cell>
          <cell r="AC176">
            <v>23050616.380872928</v>
          </cell>
          <cell r="AD176">
            <v>0</v>
          </cell>
          <cell r="AE176">
            <v>0</v>
          </cell>
          <cell r="AF176">
            <v>27415458.440711647</v>
          </cell>
          <cell r="AG176">
            <v>0</v>
          </cell>
          <cell r="AH176">
            <v>0</v>
          </cell>
          <cell r="AI176">
            <v>0</v>
          </cell>
          <cell r="AJ176">
            <v>26578881.626919121</v>
          </cell>
          <cell r="AK176">
            <v>0</v>
          </cell>
          <cell r="AL176">
            <v>0</v>
          </cell>
          <cell r="AM176">
            <v>27415458.440711647</v>
          </cell>
          <cell r="AN176">
            <v>0</v>
          </cell>
          <cell r="AO176">
            <v>21908501.263681427</v>
          </cell>
          <cell r="AP176">
            <v>0</v>
          </cell>
          <cell r="AQ176">
            <v>0</v>
          </cell>
          <cell r="AR176">
            <v>0</v>
          </cell>
          <cell r="AS176">
            <v>0</v>
          </cell>
          <cell r="AT176">
            <v>0</v>
          </cell>
          <cell r="AU176">
            <v>0</v>
          </cell>
          <cell r="AV176">
            <v>27415458.440711647</v>
          </cell>
          <cell r="AW176">
            <v>0</v>
          </cell>
          <cell r="AX176">
            <v>40213583.197150201</v>
          </cell>
          <cell r="AY176">
            <v>40213583.197150201</v>
          </cell>
          <cell r="AZ176">
            <v>0</v>
          </cell>
          <cell r="BA176">
            <v>0</v>
          </cell>
          <cell r="BB176">
            <v>40213583.197150201</v>
          </cell>
          <cell r="BC176">
            <v>0</v>
          </cell>
          <cell r="BD176">
            <v>0</v>
          </cell>
          <cell r="BE176">
            <v>0</v>
          </cell>
          <cell r="BF176">
            <v>40213583.197150201</v>
          </cell>
          <cell r="BG176">
            <v>0</v>
          </cell>
          <cell r="BH176">
            <v>0</v>
          </cell>
          <cell r="BI176">
            <v>40213583.197150201</v>
          </cell>
          <cell r="BJ176">
            <v>0</v>
          </cell>
          <cell r="BK176">
            <v>40213583.197150201</v>
          </cell>
          <cell r="BL176">
            <v>0</v>
          </cell>
          <cell r="BM176">
            <v>0</v>
          </cell>
          <cell r="BN176">
            <v>0</v>
          </cell>
          <cell r="BO176">
            <v>0</v>
          </cell>
          <cell r="BP176">
            <v>0</v>
          </cell>
          <cell r="BQ176">
            <v>0</v>
          </cell>
          <cell r="BR176">
            <v>40213583.197150201</v>
          </cell>
          <cell r="BS176">
            <v>0</v>
          </cell>
          <cell r="BT176">
            <v>44152096.634478755</v>
          </cell>
          <cell r="BU176">
            <v>37071395.67023968</v>
          </cell>
          <cell r="BV176">
            <v>0</v>
          </cell>
          <cell r="BW176">
            <v>0</v>
          </cell>
          <cell r="BX176">
            <v>40213583.197150201</v>
          </cell>
          <cell r="BY176">
            <v>0</v>
          </cell>
          <cell r="BZ176">
            <v>0</v>
          </cell>
          <cell r="CA176">
            <v>0</v>
          </cell>
          <cell r="CB176">
            <v>40213583.197150201</v>
          </cell>
          <cell r="CC176">
            <v>0</v>
          </cell>
          <cell r="CD176">
            <v>0</v>
          </cell>
          <cell r="CE176">
            <v>40213583.197150201</v>
          </cell>
          <cell r="CF176">
            <v>0</v>
          </cell>
          <cell r="CG176">
            <v>40213583.197150201</v>
          </cell>
          <cell r="CH176">
            <v>0</v>
          </cell>
          <cell r="CI176">
            <v>0</v>
          </cell>
          <cell r="CJ176">
            <v>0</v>
          </cell>
          <cell r="CK176">
            <v>0</v>
          </cell>
          <cell r="CL176">
            <v>0</v>
          </cell>
          <cell r="CM176">
            <v>0</v>
          </cell>
          <cell r="CN176">
            <v>40213583.197150201</v>
          </cell>
          <cell r="CO176">
            <v>0</v>
          </cell>
          <cell r="CP176">
            <v>0</v>
          </cell>
          <cell r="CQ176">
            <v>0</v>
          </cell>
          <cell r="CR176">
            <v>0</v>
          </cell>
          <cell r="CS176">
            <v>0</v>
          </cell>
          <cell r="CT176">
            <v>0</v>
          </cell>
          <cell r="CU176">
            <v>0</v>
          </cell>
          <cell r="CV176">
            <v>0</v>
          </cell>
          <cell r="CW176">
            <v>0</v>
          </cell>
          <cell r="CX176">
            <v>0</v>
          </cell>
          <cell r="CY176">
            <v>0</v>
          </cell>
          <cell r="CZ176">
            <v>0</v>
          </cell>
          <cell r="DA176">
            <v>0</v>
          </cell>
          <cell r="DB176">
            <v>0</v>
          </cell>
          <cell r="DC176">
            <v>0</v>
          </cell>
          <cell r="DD176">
            <v>0</v>
          </cell>
          <cell r="DE176">
            <v>0</v>
          </cell>
          <cell r="DF176">
            <v>0</v>
          </cell>
          <cell r="DG176">
            <v>0</v>
          </cell>
          <cell r="DH176">
            <v>0</v>
          </cell>
          <cell r="DI176">
            <v>0</v>
          </cell>
          <cell r="DJ176">
            <v>0</v>
          </cell>
          <cell r="DK176">
            <v>0</v>
          </cell>
          <cell r="DL176">
            <v>0</v>
          </cell>
          <cell r="DM176">
            <v>0</v>
          </cell>
          <cell r="DN176">
            <v>0</v>
          </cell>
          <cell r="DO176">
            <v>0</v>
          </cell>
          <cell r="DP176">
            <v>0</v>
          </cell>
          <cell r="DQ176">
            <v>0</v>
          </cell>
          <cell r="DR176">
            <v>0</v>
          </cell>
          <cell r="DS176">
            <v>0</v>
          </cell>
          <cell r="DT176">
            <v>0</v>
          </cell>
          <cell r="DU176">
            <v>0</v>
          </cell>
          <cell r="DV176">
            <v>0</v>
          </cell>
          <cell r="DW176">
            <v>0</v>
          </cell>
          <cell r="EA176">
            <v>0</v>
          </cell>
          <cell r="EB176">
            <v>0</v>
          </cell>
          <cell r="EC176">
            <v>0</v>
          </cell>
          <cell r="ED176">
            <v>0</v>
          </cell>
          <cell r="EE176">
            <v>0</v>
          </cell>
          <cell r="EF176">
            <v>0</v>
          </cell>
          <cell r="EG176">
            <v>0</v>
          </cell>
          <cell r="EH176">
            <v>0</v>
          </cell>
          <cell r="EI176">
            <v>0</v>
          </cell>
          <cell r="EJ176">
            <v>0</v>
          </cell>
          <cell r="EK176">
            <v>0</v>
          </cell>
          <cell r="EL176">
            <v>0</v>
          </cell>
          <cell r="EM176">
            <v>0</v>
          </cell>
          <cell r="EN176">
            <v>0</v>
          </cell>
          <cell r="EO176">
            <v>0</v>
          </cell>
          <cell r="EP176">
            <v>0</v>
          </cell>
          <cell r="EQ176">
            <v>0</v>
          </cell>
          <cell r="ER176">
            <v>0</v>
          </cell>
          <cell r="ES176">
            <v>0</v>
          </cell>
          <cell r="ET176">
            <v>0</v>
          </cell>
          <cell r="EU176">
            <v>0</v>
          </cell>
          <cell r="EV176">
            <v>0</v>
          </cell>
          <cell r="EW176">
            <v>0</v>
          </cell>
          <cell r="EX176">
            <v>0</v>
          </cell>
          <cell r="EY176">
            <v>0</v>
          </cell>
          <cell r="EZ176">
            <v>0</v>
          </cell>
          <cell r="FA176">
            <v>0</v>
          </cell>
          <cell r="FB176">
            <v>0</v>
          </cell>
          <cell r="FC176">
            <v>0</v>
          </cell>
          <cell r="FD176">
            <v>0</v>
          </cell>
          <cell r="FE176">
            <v>0</v>
          </cell>
          <cell r="FF176">
            <v>44152096.634478755</v>
          </cell>
          <cell r="FG176">
            <v>37071395.67023968</v>
          </cell>
          <cell r="FH176">
            <v>0</v>
          </cell>
          <cell r="FI176">
            <v>0</v>
          </cell>
          <cell r="FJ176">
            <v>40213583.197150201</v>
          </cell>
          <cell r="FK176">
            <v>0</v>
          </cell>
          <cell r="FL176">
            <v>0</v>
          </cell>
          <cell r="FM176">
            <v>0</v>
          </cell>
          <cell r="FN176">
            <v>40213583.197150201</v>
          </cell>
          <cell r="FO176">
            <v>0</v>
          </cell>
          <cell r="FP176">
            <v>0</v>
          </cell>
          <cell r="FQ176">
            <v>40213583.197150201</v>
          </cell>
          <cell r="FR176">
            <v>0</v>
          </cell>
          <cell r="FS176">
            <v>40213583.197150201</v>
          </cell>
          <cell r="FT176">
            <v>0</v>
          </cell>
          <cell r="FU176">
            <v>0</v>
          </cell>
          <cell r="FV176">
            <v>0</v>
          </cell>
          <cell r="FW176">
            <v>0</v>
          </cell>
          <cell r="FX176">
            <v>0</v>
          </cell>
          <cell r="FY176">
            <v>0</v>
          </cell>
          <cell r="FZ176">
            <v>40213583.197150201</v>
          </cell>
          <cell r="GA176">
            <v>0</v>
          </cell>
          <cell r="GB176">
            <v>0</v>
          </cell>
          <cell r="GC176">
            <v>0</v>
          </cell>
          <cell r="GD176">
            <v>0</v>
          </cell>
          <cell r="GE176">
            <v>0</v>
          </cell>
          <cell r="GF176">
            <v>0</v>
          </cell>
          <cell r="GG176">
            <v>0</v>
          </cell>
          <cell r="GH176">
            <v>0</v>
          </cell>
          <cell r="GI176">
            <v>0</v>
          </cell>
          <cell r="GJ176">
            <v>0</v>
          </cell>
          <cell r="GK176">
            <v>0</v>
          </cell>
          <cell r="GL176">
            <v>0</v>
          </cell>
          <cell r="GM176">
            <v>0</v>
          </cell>
          <cell r="GN176">
            <v>0</v>
          </cell>
          <cell r="GO176">
            <v>0</v>
          </cell>
          <cell r="GP176">
            <v>0</v>
          </cell>
          <cell r="GQ176">
            <v>0</v>
          </cell>
          <cell r="GR176">
            <v>0</v>
          </cell>
          <cell r="GS176">
            <v>0</v>
          </cell>
          <cell r="GT176">
            <v>0</v>
          </cell>
          <cell r="GZ176">
            <v>0</v>
          </cell>
        </row>
        <row r="177">
          <cell r="A177" t="str">
            <v>I_CAI_NRF_IRD_IRD_INTR_B13</v>
          </cell>
          <cell r="B177">
            <v>0</v>
          </cell>
          <cell r="C177">
            <v>0</v>
          </cell>
          <cell r="D177">
            <v>0</v>
          </cell>
          <cell r="E177">
            <v>0</v>
          </cell>
          <cell r="F177">
            <v>0</v>
          </cell>
          <cell r="G177">
            <v>0</v>
          </cell>
          <cell r="H177">
            <v>0</v>
          </cell>
          <cell r="I177">
            <v>0</v>
          </cell>
          <cell r="J177">
            <v>0</v>
          </cell>
          <cell r="K177">
            <v>0</v>
          </cell>
          <cell r="L177">
            <v>0</v>
          </cell>
          <cell r="M177">
            <v>0</v>
          </cell>
          <cell r="N177">
            <v>0</v>
          </cell>
          <cell r="O177">
            <v>0</v>
          </cell>
          <cell r="P177">
            <v>0</v>
          </cell>
          <cell r="Q177">
            <v>0</v>
          </cell>
          <cell r="R177">
            <v>0</v>
          </cell>
          <cell r="S177">
            <v>0</v>
          </cell>
          <cell r="T177">
            <v>0</v>
          </cell>
          <cell r="U177">
            <v>0</v>
          </cell>
          <cell r="V177">
            <v>0</v>
          </cell>
          <cell r="W177">
            <v>0</v>
          </cell>
          <cell r="X177">
            <v>0</v>
          </cell>
          <cell r="Y177">
            <v>0</v>
          </cell>
          <cell r="Z177">
            <v>0</v>
          </cell>
          <cell r="AA177">
            <v>0</v>
          </cell>
          <cell r="AB177">
            <v>0</v>
          </cell>
          <cell r="AC177">
            <v>0</v>
          </cell>
          <cell r="AD177">
            <v>0</v>
          </cell>
          <cell r="AE177">
            <v>0</v>
          </cell>
          <cell r="AF177">
            <v>0</v>
          </cell>
          <cell r="AG177">
            <v>0</v>
          </cell>
          <cell r="AH177">
            <v>0</v>
          </cell>
          <cell r="AI177">
            <v>0</v>
          </cell>
          <cell r="AJ177">
            <v>0</v>
          </cell>
          <cell r="AK177">
            <v>0</v>
          </cell>
          <cell r="AL177">
            <v>0</v>
          </cell>
          <cell r="AM177">
            <v>0</v>
          </cell>
          <cell r="AN177">
            <v>0</v>
          </cell>
          <cell r="AO177">
            <v>0</v>
          </cell>
          <cell r="AP177">
            <v>0</v>
          </cell>
          <cell r="AQ177">
            <v>0</v>
          </cell>
          <cell r="AR177">
            <v>0</v>
          </cell>
          <cell r="AS177">
            <v>0</v>
          </cell>
          <cell r="AT177">
            <v>0</v>
          </cell>
          <cell r="AU177">
            <v>0</v>
          </cell>
          <cell r="AV177">
            <v>0</v>
          </cell>
          <cell r="AW177">
            <v>0</v>
          </cell>
          <cell r="AX177">
            <v>0</v>
          </cell>
          <cell r="AY177">
            <v>0</v>
          </cell>
          <cell r="AZ177">
            <v>0</v>
          </cell>
          <cell r="BA177">
            <v>0</v>
          </cell>
          <cell r="BB177">
            <v>0</v>
          </cell>
          <cell r="BC177">
            <v>0</v>
          </cell>
          <cell r="BD177">
            <v>0</v>
          </cell>
          <cell r="BE177">
            <v>0</v>
          </cell>
          <cell r="BF177">
            <v>0</v>
          </cell>
          <cell r="BG177">
            <v>0</v>
          </cell>
          <cell r="BH177">
            <v>0</v>
          </cell>
          <cell r="BI177">
            <v>0</v>
          </cell>
          <cell r="BJ177">
            <v>0</v>
          </cell>
          <cell r="BK177">
            <v>0</v>
          </cell>
          <cell r="BL177">
            <v>0</v>
          </cell>
          <cell r="BM177">
            <v>0</v>
          </cell>
          <cell r="BN177">
            <v>0</v>
          </cell>
          <cell r="BO177">
            <v>0</v>
          </cell>
          <cell r="BP177">
            <v>0</v>
          </cell>
          <cell r="BQ177">
            <v>0</v>
          </cell>
          <cell r="BR177">
            <v>0</v>
          </cell>
          <cell r="BS177">
            <v>0</v>
          </cell>
          <cell r="BT177">
            <v>0</v>
          </cell>
          <cell r="BU177">
            <v>0</v>
          </cell>
          <cell r="BV177">
            <v>0</v>
          </cell>
          <cell r="BW177">
            <v>0</v>
          </cell>
          <cell r="BX177">
            <v>0</v>
          </cell>
          <cell r="BY177">
            <v>0</v>
          </cell>
          <cell r="BZ177">
            <v>0</v>
          </cell>
          <cell r="CA177">
            <v>0</v>
          </cell>
          <cell r="CB177">
            <v>0</v>
          </cell>
          <cell r="CC177">
            <v>0</v>
          </cell>
          <cell r="CD177">
            <v>0</v>
          </cell>
          <cell r="CE177">
            <v>0</v>
          </cell>
          <cell r="CF177">
            <v>0</v>
          </cell>
          <cell r="CG177">
            <v>0</v>
          </cell>
          <cell r="CH177">
            <v>0</v>
          </cell>
          <cell r="CI177">
            <v>0</v>
          </cell>
          <cell r="CJ177">
            <v>0</v>
          </cell>
          <cell r="CK177">
            <v>0</v>
          </cell>
          <cell r="CL177">
            <v>0</v>
          </cell>
          <cell r="CM177">
            <v>0</v>
          </cell>
          <cell r="CN177">
            <v>0</v>
          </cell>
          <cell r="CO177">
            <v>0</v>
          </cell>
          <cell r="CP177">
            <v>0</v>
          </cell>
          <cell r="CQ177">
            <v>0</v>
          </cell>
          <cell r="CR177">
            <v>0</v>
          </cell>
          <cell r="CS177">
            <v>0</v>
          </cell>
          <cell r="CT177">
            <v>0</v>
          </cell>
          <cell r="CU177">
            <v>0</v>
          </cell>
          <cell r="CV177">
            <v>0</v>
          </cell>
          <cell r="CW177">
            <v>0</v>
          </cell>
          <cell r="CX177">
            <v>0</v>
          </cell>
          <cell r="CY177">
            <v>0</v>
          </cell>
          <cell r="CZ177">
            <v>0</v>
          </cell>
          <cell r="DA177">
            <v>0</v>
          </cell>
          <cell r="DB177">
            <v>0</v>
          </cell>
          <cell r="DC177">
            <v>0</v>
          </cell>
          <cell r="DD177">
            <v>0</v>
          </cell>
          <cell r="DE177">
            <v>0</v>
          </cell>
          <cell r="DF177">
            <v>0</v>
          </cell>
          <cell r="DG177">
            <v>0</v>
          </cell>
          <cell r="DH177">
            <v>0</v>
          </cell>
          <cell r="DI177">
            <v>0</v>
          </cell>
          <cell r="DJ177">
            <v>0</v>
          </cell>
          <cell r="DK177">
            <v>0</v>
          </cell>
          <cell r="DL177">
            <v>0</v>
          </cell>
          <cell r="DM177">
            <v>0</v>
          </cell>
          <cell r="DN177">
            <v>0</v>
          </cell>
          <cell r="DO177">
            <v>0</v>
          </cell>
          <cell r="DP177">
            <v>0</v>
          </cell>
          <cell r="DQ177">
            <v>0</v>
          </cell>
          <cell r="DR177">
            <v>0</v>
          </cell>
          <cell r="DS177">
            <v>0</v>
          </cell>
          <cell r="DT177">
            <v>0</v>
          </cell>
          <cell r="DU177">
            <v>0</v>
          </cell>
          <cell r="DV177">
            <v>0</v>
          </cell>
          <cell r="DW177">
            <v>0</v>
          </cell>
          <cell r="EA177">
            <v>0</v>
          </cell>
          <cell r="EB177">
            <v>0</v>
          </cell>
          <cell r="EC177">
            <v>0</v>
          </cell>
          <cell r="ED177">
            <v>0</v>
          </cell>
          <cell r="EE177">
            <v>0</v>
          </cell>
          <cell r="EF177">
            <v>0</v>
          </cell>
          <cell r="EG177">
            <v>0</v>
          </cell>
          <cell r="EH177">
            <v>0</v>
          </cell>
          <cell r="EI177">
            <v>0</v>
          </cell>
          <cell r="EJ177">
            <v>0</v>
          </cell>
          <cell r="EK177">
            <v>0</v>
          </cell>
          <cell r="EL177">
            <v>0</v>
          </cell>
          <cell r="EM177">
            <v>0</v>
          </cell>
          <cell r="EN177">
            <v>0</v>
          </cell>
          <cell r="EO177">
            <v>0</v>
          </cell>
          <cell r="EP177">
            <v>0</v>
          </cell>
          <cell r="EQ177">
            <v>0</v>
          </cell>
          <cell r="ER177">
            <v>0</v>
          </cell>
          <cell r="ES177">
            <v>0</v>
          </cell>
          <cell r="ET177">
            <v>0</v>
          </cell>
          <cell r="EU177">
            <v>0</v>
          </cell>
          <cell r="EV177">
            <v>0</v>
          </cell>
          <cell r="EW177">
            <v>0</v>
          </cell>
          <cell r="EX177">
            <v>0</v>
          </cell>
          <cell r="EY177">
            <v>0</v>
          </cell>
          <cell r="EZ177">
            <v>0</v>
          </cell>
          <cell r="FA177">
            <v>0</v>
          </cell>
          <cell r="FB177">
            <v>0</v>
          </cell>
          <cell r="FC177">
            <v>0</v>
          </cell>
          <cell r="FD177">
            <v>0</v>
          </cell>
          <cell r="FE177">
            <v>0</v>
          </cell>
          <cell r="FF177">
            <v>0</v>
          </cell>
          <cell r="FG177">
            <v>0</v>
          </cell>
          <cell r="FH177">
            <v>0</v>
          </cell>
          <cell r="FI177">
            <v>0</v>
          </cell>
          <cell r="FJ177">
            <v>0</v>
          </cell>
          <cell r="FK177">
            <v>0</v>
          </cell>
          <cell r="FL177">
            <v>0</v>
          </cell>
          <cell r="FM177">
            <v>0</v>
          </cell>
          <cell r="FN177">
            <v>0</v>
          </cell>
          <cell r="FO177">
            <v>0</v>
          </cell>
          <cell r="FP177">
            <v>0</v>
          </cell>
          <cell r="FQ177">
            <v>0</v>
          </cell>
          <cell r="FR177">
            <v>0</v>
          </cell>
          <cell r="FS177">
            <v>0</v>
          </cell>
          <cell r="FT177">
            <v>0</v>
          </cell>
          <cell r="FU177">
            <v>0</v>
          </cell>
          <cell r="FV177">
            <v>0</v>
          </cell>
          <cell r="FW177">
            <v>0</v>
          </cell>
          <cell r="FX177">
            <v>0</v>
          </cell>
          <cell r="FY177">
            <v>0</v>
          </cell>
          <cell r="FZ177">
            <v>0</v>
          </cell>
          <cell r="GA177">
            <v>0</v>
          </cell>
          <cell r="GB177">
            <v>0</v>
          </cell>
          <cell r="GC177">
            <v>0</v>
          </cell>
          <cell r="GD177">
            <v>0</v>
          </cell>
          <cell r="GE177">
            <v>0</v>
          </cell>
          <cell r="GF177">
            <v>0</v>
          </cell>
          <cell r="GG177">
            <v>0</v>
          </cell>
          <cell r="GH177">
            <v>0</v>
          </cell>
          <cell r="GI177">
            <v>0</v>
          </cell>
          <cell r="GJ177">
            <v>0</v>
          </cell>
          <cell r="GK177">
            <v>0</v>
          </cell>
          <cell r="GL177">
            <v>0</v>
          </cell>
          <cell r="GM177">
            <v>0</v>
          </cell>
          <cell r="GN177">
            <v>0</v>
          </cell>
          <cell r="GO177">
            <v>0</v>
          </cell>
          <cell r="GP177">
            <v>0</v>
          </cell>
          <cell r="GQ177">
            <v>0</v>
          </cell>
          <cell r="GR177">
            <v>0</v>
          </cell>
          <cell r="GS177">
            <v>0</v>
          </cell>
          <cell r="GT177">
            <v>0</v>
          </cell>
          <cell r="GZ177">
            <v>0</v>
          </cell>
        </row>
        <row r="178">
          <cell r="A178" t="str">
            <v>I_CAI_NRF_IRD_IRD_INTR_B14</v>
          </cell>
          <cell r="B178">
            <v>21103450.740522247</v>
          </cell>
          <cell r="C178">
            <v>0</v>
          </cell>
          <cell r="D178">
            <v>21103450.740522247</v>
          </cell>
          <cell r="E178">
            <v>20180706.813376341</v>
          </cell>
          <cell r="F178">
            <v>21103450.740522247</v>
          </cell>
          <cell r="G178">
            <v>21103450.740522247</v>
          </cell>
          <cell r="H178">
            <v>0</v>
          </cell>
          <cell r="I178">
            <v>0</v>
          </cell>
          <cell r="J178">
            <v>21103450.740522247</v>
          </cell>
          <cell r="K178">
            <v>0</v>
          </cell>
          <cell r="L178">
            <v>0</v>
          </cell>
          <cell r="M178">
            <v>0</v>
          </cell>
          <cell r="N178">
            <v>21103450.740522247</v>
          </cell>
          <cell r="O178">
            <v>0</v>
          </cell>
          <cell r="P178">
            <v>0</v>
          </cell>
          <cell r="Q178">
            <v>21103450.740522247</v>
          </cell>
          <cell r="R178">
            <v>0</v>
          </cell>
          <cell r="S178">
            <v>21103450.740522247</v>
          </cell>
          <cell r="T178">
            <v>0</v>
          </cell>
          <cell r="U178">
            <v>0</v>
          </cell>
          <cell r="V178">
            <v>0</v>
          </cell>
          <cell r="W178">
            <v>0</v>
          </cell>
          <cell r="X178">
            <v>0</v>
          </cell>
          <cell r="Y178">
            <v>0</v>
          </cell>
          <cell r="Z178">
            <v>21103450.740522247</v>
          </cell>
          <cell r="AA178">
            <v>0</v>
          </cell>
          <cell r="AB178">
            <v>25012682.913208876</v>
          </cell>
          <cell r="AC178">
            <v>17743549.624910079</v>
          </cell>
          <cell r="AD178">
            <v>0</v>
          </cell>
          <cell r="AE178">
            <v>0</v>
          </cell>
          <cell r="AF178">
            <v>21103450.740522247</v>
          </cell>
          <cell r="AG178">
            <v>0</v>
          </cell>
          <cell r="AH178">
            <v>0</v>
          </cell>
          <cell r="AI178">
            <v>0</v>
          </cell>
          <cell r="AJ178">
            <v>20459483.483191371</v>
          </cell>
          <cell r="AK178">
            <v>0</v>
          </cell>
          <cell r="AL178">
            <v>0</v>
          </cell>
          <cell r="AM178">
            <v>21103450.740522247</v>
          </cell>
          <cell r="AN178">
            <v>0</v>
          </cell>
          <cell r="AO178">
            <v>16864389.78274364</v>
          </cell>
          <cell r="AP178">
            <v>0</v>
          </cell>
          <cell r="AQ178">
            <v>0</v>
          </cell>
          <cell r="AR178">
            <v>0</v>
          </cell>
          <cell r="AS178">
            <v>0</v>
          </cell>
          <cell r="AT178">
            <v>0</v>
          </cell>
          <cell r="AU178">
            <v>0</v>
          </cell>
          <cell r="AV178">
            <v>21103450.740522247</v>
          </cell>
          <cell r="AW178">
            <v>0</v>
          </cell>
          <cell r="AX178">
            <v>20180706.813376341</v>
          </cell>
          <cell r="AY178">
            <v>20180706.813376341</v>
          </cell>
          <cell r="AZ178">
            <v>0</v>
          </cell>
          <cell r="BA178">
            <v>0</v>
          </cell>
          <cell r="BB178">
            <v>20180706.813376341</v>
          </cell>
          <cell r="BC178">
            <v>0</v>
          </cell>
          <cell r="BD178">
            <v>0</v>
          </cell>
          <cell r="BE178">
            <v>0</v>
          </cell>
          <cell r="BF178">
            <v>20180706.813376341</v>
          </cell>
          <cell r="BG178">
            <v>0</v>
          </cell>
          <cell r="BH178">
            <v>0</v>
          </cell>
          <cell r="BI178">
            <v>20180706.813376341</v>
          </cell>
          <cell r="BJ178">
            <v>0</v>
          </cell>
          <cell r="BK178">
            <v>20180706.813376341</v>
          </cell>
          <cell r="BL178">
            <v>0</v>
          </cell>
          <cell r="BM178">
            <v>0</v>
          </cell>
          <cell r="BN178">
            <v>0</v>
          </cell>
          <cell r="BO178">
            <v>0</v>
          </cell>
          <cell r="BP178">
            <v>0</v>
          </cell>
          <cell r="BQ178">
            <v>0</v>
          </cell>
          <cell r="BR178">
            <v>20180706.813376341</v>
          </cell>
          <cell r="BS178">
            <v>0</v>
          </cell>
          <cell r="BT178">
            <v>23465417.789778769</v>
          </cell>
          <cell r="BU178">
            <v>17324747.301591769</v>
          </cell>
          <cell r="BV178">
            <v>0</v>
          </cell>
          <cell r="BW178">
            <v>0</v>
          </cell>
          <cell r="BX178">
            <v>20180706.813376341</v>
          </cell>
          <cell r="BY178">
            <v>0</v>
          </cell>
          <cell r="BZ178">
            <v>0</v>
          </cell>
          <cell r="CA178">
            <v>0</v>
          </cell>
          <cell r="CB178">
            <v>20180706.813376341</v>
          </cell>
          <cell r="CC178">
            <v>0</v>
          </cell>
          <cell r="CD178">
            <v>0</v>
          </cell>
          <cell r="CE178">
            <v>20180706.813376341</v>
          </cell>
          <cell r="CF178">
            <v>0</v>
          </cell>
          <cell r="CG178">
            <v>20180706.813376341</v>
          </cell>
          <cell r="CH178">
            <v>0</v>
          </cell>
          <cell r="CI178">
            <v>0</v>
          </cell>
          <cell r="CJ178">
            <v>0</v>
          </cell>
          <cell r="CK178">
            <v>0</v>
          </cell>
          <cell r="CL178">
            <v>0</v>
          </cell>
          <cell r="CM178">
            <v>0</v>
          </cell>
          <cell r="CN178">
            <v>20180706.813376341</v>
          </cell>
          <cell r="CO178">
            <v>0</v>
          </cell>
          <cell r="CP178">
            <v>0</v>
          </cell>
          <cell r="CQ178">
            <v>0</v>
          </cell>
          <cell r="CR178">
            <v>0</v>
          </cell>
          <cell r="CS178">
            <v>0</v>
          </cell>
          <cell r="CT178">
            <v>0</v>
          </cell>
          <cell r="CU178">
            <v>0</v>
          </cell>
          <cell r="CV178">
            <v>0</v>
          </cell>
          <cell r="CW178">
            <v>0</v>
          </cell>
          <cell r="CX178">
            <v>0</v>
          </cell>
          <cell r="CY178">
            <v>0</v>
          </cell>
          <cell r="CZ178">
            <v>0</v>
          </cell>
          <cell r="DA178">
            <v>0</v>
          </cell>
          <cell r="DB178">
            <v>0</v>
          </cell>
          <cell r="DC178">
            <v>0</v>
          </cell>
          <cell r="DD178">
            <v>0</v>
          </cell>
          <cell r="DE178">
            <v>0</v>
          </cell>
          <cell r="DF178">
            <v>0</v>
          </cell>
          <cell r="DG178">
            <v>0</v>
          </cell>
          <cell r="DH178">
            <v>0</v>
          </cell>
          <cell r="DI178">
            <v>0</v>
          </cell>
          <cell r="DJ178">
            <v>0</v>
          </cell>
          <cell r="DK178">
            <v>0</v>
          </cell>
          <cell r="DL178">
            <v>0</v>
          </cell>
          <cell r="DM178">
            <v>0</v>
          </cell>
          <cell r="DN178">
            <v>0</v>
          </cell>
          <cell r="DO178">
            <v>0</v>
          </cell>
          <cell r="DP178">
            <v>0</v>
          </cell>
          <cell r="DQ178">
            <v>0</v>
          </cell>
          <cell r="DR178">
            <v>0</v>
          </cell>
          <cell r="DS178">
            <v>0</v>
          </cell>
          <cell r="DT178">
            <v>0</v>
          </cell>
          <cell r="DU178">
            <v>0</v>
          </cell>
          <cell r="DV178">
            <v>0</v>
          </cell>
          <cell r="DW178">
            <v>0</v>
          </cell>
          <cell r="EA178">
            <v>0</v>
          </cell>
          <cell r="EB178">
            <v>0</v>
          </cell>
          <cell r="EC178">
            <v>0</v>
          </cell>
          <cell r="ED178">
            <v>0</v>
          </cell>
          <cell r="EE178">
            <v>0</v>
          </cell>
          <cell r="EF178">
            <v>0</v>
          </cell>
          <cell r="EG178">
            <v>0</v>
          </cell>
          <cell r="EH178">
            <v>0</v>
          </cell>
          <cell r="EI178">
            <v>0</v>
          </cell>
          <cell r="EJ178">
            <v>0</v>
          </cell>
          <cell r="EK178">
            <v>0</v>
          </cell>
          <cell r="EL178">
            <v>0</v>
          </cell>
          <cell r="EM178">
            <v>0</v>
          </cell>
          <cell r="EN178">
            <v>0</v>
          </cell>
          <cell r="EO178">
            <v>0</v>
          </cell>
          <cell r="EP178">
            <v>0</v>
          </cell>
          <cell r="EQ178">
            <v>0</v>
          </cell>
          <cell r="ER178">
            <v>0</v>
          </cell>
          <cell r="ES178">
            <v>0</v>
          </cell>
          <cell r="ET178">
            <v>0</v>
          </cell>
          <cell r="EU178">
            <v>0</v>
          </cell>
          <cell r="EV178">
            <v>0</v>
          </cell>
          <cell r="EW178">
            <v>0</v>
          </cell>
          <cell r="EX178">
            <v>0</v>
          </cell>
          <cell r="EY178">
            <v>0</v>
          </cell>
          <cell r="EZ178">
            <v>0</v>
          </cell>
          <cell r="FA178">
            <v>0</v>
          </cell>
          <cell r="FB178">
            <v>0</v>
          </cell>
          <cell r="FC178">
            <v>0</v>
          </cell>
          <cell r="FD178">
            <v>0</v>
          </cell>
          <cell r="FE178">
            <v>0</v>
          </cell>
          <cell r="FF178">
            <v>23465417.789778769</v>
          </cell>
          <cell r="FG178">
            <v>17324747.301591769</v>
          </cell>
          <cell r="FH178">
            <v>0</v>
          </cell>
          <cell r="FI178">
            <v>0</v>
          </cell>
          <cell r="FJ178">
            <v>20180706.813376341</v>
          </cell>
          <cell r="FK178">
            <v>0</v>
          </cell>
          <cell r="FL178">
            <v>0</v>
          </cell>
          <cell r="FM178">
            <v>0</v>
          </cell>
          <cell r="FN178">
            <v>20180706.813376341</v>
          </cell>
          <cell r="FO178">
            <v>0</v>
          </cell>
          <cell r="FP178">
            <v>0</v>
          </cell>
          <cell r="FQ178">
            <v>20180706.813376341</v>
          </cell>
          <cell r="FR178">
            <v>0</v>
          </cell>
          <cell r="FS178">
            <v>20180706.813376341</v>
          </cell>
          <cell r="FT178">
            <v>0</v>
          </cell>
          <cell r="FU178">
            <v>0</v>
          </cell>
          <cell r="FV178">
            <v>0</v>
          </cell>
          <cell r="FW178">
            <v>0</v>
          </cell>
          <cell r="FX178">
            <v>0</v>
          </cell>
          <cell r="FY178">
            <v>0</v>
          </cell>
          <cell r="FZ178">
            <v>20180706.813376341</v>
          </cell>
          <cell r="GA178">
            <v>0</v>
          </cell>
          <cell r="GB178">
            <v>0</v>
          </cell>
          <cell r="GC178">
            <v>0</v>
          </cell>
          <cell r="GD178">
            <v>0</v>
          </cell>
          <cell r="GE178">
            <v>0</v>
          </cell>
          <cell r="GF178">
            <v>0</v>
          </cell>
          <cell r="GG178">
            <v>0</v>
          </cell>
          <cell r="GH178">
            <v>0</v>
          </cell>
          <cell r="GI178">
            <v>0</v>
          </cell>
          <cell r="GJ178">
            <v>0</v>
          </cell>
          <cell r="GK178">
            <v>0</v>
          </cell>
          <cell r="GL178">
            <v>0</v>
          </cell>
          <cell r="GM178">
            <v>0</v>
          </cell>
          <cell r="GN178">
            <v>0</v>
          </cell>
          <cell r="GO178">
            <v>0</v>
          </cell>
          <cell r="GP178">
            <v>0</v>
          </cell>
          <cell r="GQ178">
            <v>0</v>
          </cell>
          <cell r="GR178">
            <v>0</v>
          </cell>
          <cell r="GS178">
            <v>0</v>
          </cell>
          <cell r="GT178">
            <v>0</v>
          </cell>
          <cell r="GZ178">
            <v>0</v>
          </cell>
        </row>
        <row r="179">
          <cell r="A179" t="str">
            <v>I_CAI_NRF_IRD_IRD_INTR_B15</v>
          </cell>
          <cell r="B179">
            <v>11780136.274722889</v>
          </cell>
          <cell r="C179">
            <v>0</v>
          </cell>
          <cell r="D179">
            <v>11780136.274722889</v>
          </cell>
          <cell r="E179">
            <v>13288593.959269894</v>
          </cell>
          <cell r="F179">
            <v>11780136.274722889</v>
          </cell>
          <cell r="G179">
            <v>11780136.274722889</v>
          </cell>
          <cell r="H179">
            <v>0</v>
          </cell>
          <cell r="I179">
            <v>0</v>
          </cell>
          <cell r="J179">
            <v>11780136.274722889</v>
          </cell>
          <cell r="K179">
            <v>0</v>
          </cell>
          <cell r="L179">
            <v>0</v>
          </cell>
          <cell r="M179">
            <v>0</v>
          </cell>
          <cell r="N179">
            <v>11780136.274722889</v>
          </cell>
          <cell r="O179">
            <v>0</v>
          </cell>
          <cell r="P179">
            <v>0</v>
          </cell>
          <cell r="Q179">
            <v>11780136.274722889</v>
          </cell>
          <cell r="R179">
            <v>0</v>
          </cell>
          <cell r="S179">
            <v>11780136.274722889</v>
          </cell>
          <cell r="T179">
            <v>0</v>
          </cell>
          <cell r="U179">
            <v>0</v>
          </cell>
          <cell r="V179">
            <v>0</v>
          </cell>
          <cell r="W179">
            <v>0</v>
          </cell>
          <cell r="X179">
            <v>0</v>
          </cell>
          <cell r="Y179">
            <v>0</v>
          </cell>
          <cell r="Z179">
            <v>11780136.274722889</v>
          </cell>
          <cell r="AA179">
            <v>0</v>
          </cell>
          <cell r="AB179">
            <v>13962304.882596727</v>
          </cell>
          <cell r="AC179">
            <v>9904609.2105397675</v>
          </cell>
          <cell r="AD179">
            <v>0</v>
          </cell>
          <cell r="AE179">
            <v>0</v>
          </cell>
          <cell r="AF179">
            <v>11780136.274722889</v>
          </cell>
          <cell r="AG179">
            <v>0</v>
          </cell>
          <cell r="AH179">
            <v>0</v>
          </cell>
          <cell r="AI179">
            <v>0</v>
          </cell>
          <cell r="AJ179">
            <v>11420667.951694051</v>
          </cell>
          <cell r="AK179">
            <v>0</v>
          </cell>
          <cell r="AL179">
            <v>0</v>
          </cell>
          <cell r="AM179">
            <v>11780136.274722889</v>
          </cell>
          <cell r="AN179">
            <v>0</v>
          </cell>
          <cell r="AO179">
            <v>9413854.2683587708</v>
          </cell>
          <cell r="AP179">
            <v>0</v>
          </cell>
          <cell r="AQ179">
            <v>0</v>
          </cell>
          <cell r="AR179">
            <v>0</v>
          </cell>
          <cell r="AS179">
            <v>0</v>
          </cell>
          <cell r="AT179">
            <v>0</v>
          </cell>
          <cell r="AU179">
            <v>0</v>
          </cell>
          <cell r="AV179">
            <v>11780136.274722889</v>
          </cell>
          <cell r="AW179">
            <v>0</v>
          </cell>
          <cell r="AX179">
            <v>13288593.959269894</v>
          </cell>
          <cell r="AY179">
            <v>13288593.959269894</v>
          </cell>
          <cell r="AZ179">
            <v>0</v>
          </cell>
          <cell r="BA179">
            <v>0</v>
          </cell>
          <cell r="BB179">
            <v>13288593.959269894</v>
          </cell>
          <cell r="BC179">
            <v>0</v>
          </cell>
          <cell r="BD179">
            <v>0</v>
          </cell>
          <cell r="BE179">
            <v>0</v>
          </cell>
          <cell r="BF179">
            <v>13288593.959269894</v>
          </cell>
          <cell r="BG179">
            <v>0</v>
          </cell>
          <cell r="BH179">
            <v>0</v>
          </cell>
          <cell r="BI179">
            <v>13288593.959269894</v>
          </cell>
          <cell r="BJ179">
            <v>0</v>
          </cell>
          <cell r="BK179">
            <v>13288593.959269894</v>
          </cell>
          <cell r="BL179">
            <v>0</v>
          </cell>
          <cell r="BM179">
            <v>0</v>
          </cell>
          <cell r="BN179">
            <v>0</v>
          </cell>
          <cell r="BO179">
            <v>0</v>
          </cell>
          <cell r="BP179">
            <v>0</v>
          </cell>
          <cell r="BQ179">
            <v>0</v>
          </cell>
          <cell r="BR179">
            <v>13288593.959269894</v>
          </cell>
          <cell r="BS179">
            <v>0</v>
          </cell>
          <cell r="BT179">
            <v>14465624.653252503</v>
          </cell>
          <cell r="BU179">
            <v>12374009.286663527</v>
          </cell>
          <cell r="BV179">
            <v>0</v>
          </cell>
          <cell r="BW179">
            <v>0</v>
          </cell>
          <cell r="BX179">
            <v>13288593.959269894</v>
          </cell>
          <cell r="BY179">
            <v>0</v>
          </cell>
          <cell r="BZ179">
            <v>0</v>
          </cell>
          <cell r="CA179">
            <v>0</v>
          </cell>
          <cell r="CB179">
            <v>13288593.959269894</v>
          </cell>
          <cell r="CC179">
            <v>0</v>
          </cell>
          <cell r="CD179">
            <v>0</v>
          </cell>
          <cell r="CE179">
            <v>13288593.959269894</v>
          </cell>
          <cell r="CF179">
            <v>0</v>
          </cell>
          <cell r="CG179">
            <v>13288593.959269894</v>
          </cell>
          <cell r="CH179">
            <v>0</v>
          </cell>
          <cell r="CI179">
            <v>0</v>
          </cell>
          <cell r="CJ179">
            <v>0</v>
          </cell>
          <cell r="CK179">
            <v>0</v>
          </cell>
          <cell r="CL179">
            <v>0</v>
          </cell>
          <cell r="CM179">
            <v>0</v>
          </cell>
          <cell r="CN179">
            <v>13288593.959269894</v>
          </cell>
          <cell r="CO179">
            <v>0</v>
          </cell>
          <cell r="CP179">
            <v>0</v>
          </cell>
          <cell r="CQ179">
            <v>0</v>
          </cell>
          <cell r="CR179">
            <v>0</v>
          </cell>
          <cell r="CS179">
            <v>0</v>
          </cell>
          <cell r="CT179">
            <v>0</v>
          </cell>
          <cell r="CU179">
            <v>0</v>
          </cell>
          <cell r="CV179">
            <v>0</v>
          </cell>
          <cell r="CW179">
            <v>0</v>
          </cell>
          <cell r="CX179">
            <v>0</v>
          </cell>
          <cell r="CY179">
            <v>0</v>
          </cell>
          <cell r="CZ179">
            <v>0</v>
          </cell>
          <cell r="DA179">
            <v>0</v>
          </cell>
          <cell r="DB179">
            <v>0</v>
          </cell>
          <cell r="DC179">
            <v>0</v>
          </cell>
          <cell r="DD179">
            <v>0</v>
          </cell>
          <cell r="DE179">
            <v>0</v>
          </cell>
          <cell r="DF179">
            <v>0</v>
          </cell>
          <cell r="DG179">
            <v>0</v>
          </cell>
          <cell r="DH179">
            <v>0</v>
          </cell>
          <cell r="DI179">
            <v>0</v>
          </cell>
          <cell r="DJ179">
            <v>0</v>
          </cell>
          <cell r="DK179">
            <v>0</v>
          </cell>
          <cell r="DL179">
            <v>0</v>
          </cell>
          <cell r="DM179">
            <v>0</v>
          </cell>
          <cell r="DN179">
            <v>0</v>
          </cell>
          <cell r="DO179">
            <v>0</v>
          </cell>
          <cell r="DP179">
            <v>0</v>
          </cell>
          <cell r="DQ179">
            <v>0</v>
          </cell>
          <cell r="DR179">
            <v>0</v>
          </cell>
          <cell r="DS179">
            <v>0</v>
          </cell>
          <cell r="DT179">
            <v>0</v>
          </cell>
          <cell r="DU179">
            <v>0</v>
          </cell>
          <cell r="DV179">
            <v>0</v>
          </cell>
          <cell r="DW179">
            <v>0</v>
          </cell>
          <cell r="EA179">
            <v>0</v>
          </cell>
          <cell r="EB179">
            <v>0</v>
          </cell>
          <cell r="EC179">
            <v>0</v>
          </cell>
          <cell r="ED179">
            <v>0</v>
          </cell>
          <cell r="EE179">
            <v>0</v>
          </cell>
          <cell r="EF179">
            <v>0</v>
          </cell>
          <cell r="EG179">
            <v>0</v>
          </cell>
          <cell r="EH179">
            <v>0</v>
          </cell>
          <cell r="EI179">
            <v>0</v>
          </cell>
          <cell r="EJ179">
            <v>0</v>
          </cell>
          <cell r="EK179">
            <v>0</v>
          </cell>
          <cell r="EL179">
            <v>0</v>
          </cell>
          <cell r="EM179">
            <v>0</v>
          </cell>
          <cell r="EN179">
            <v>0</v>
          </cell>
          <cell r="EO179">
            <v>0</v>
          </cell>
          <cell r="EP179">
            <v>0</v>
          </cell>
          <cell r="EQ179">
            <v>0</v>
          </cell>
          <cell r="ER179">
            <v>0</v>
          </cell>
          <cell r="ES179">
            <v>0</v>
          </cell>
          <cell r="ET179">
            <v>0</v>
          </cell>
          <cell r="EU179">
            <v>0</v>
          </cell>
          <cell r="EV179">
            <v>0</v>
          </cell>
          <cell r="EW179">
            <v>0</v>
          </cell>
          <cell r="EX179">
            <v>0</v>
          </cell>
          <cell r="EY179">
            <v>0</v>
          </cell>
          <cell r="EZ179">
            <v>0</v>
          </cell>
          <cell r="FA179">
            <v>0</v>
          </cell>
          <cell r="FB179">
            <v>0</v>
          </cell>
          <cell r="FC179">
            <v>0</v>
          </cell>
          <cell r="FD179">
            <v>0</v>
          </cell>
          <cell r="FE179">
            <v>0</v>
          </cell>
          <cell r="FF179">
            <v>14465624.653252503</v>
          </cell>
          <cell r="FG179">
            <v>12374009.286663527</v>
          </cell>
          <cell r="FH179">
            <v>0</v>
          </cell>
          <cell r="FI179">
            <v>0</v>
          </cell>
          <cell r="FJ179">
            <v>13288593.959269894</v>
          </cell>
          <cell r="FK179">
            <v>0</v>
          </cell>
          <cell r="FL179">
            <v>0</v>
          </cell>
          <cell r="FM179">
            <v>0</v>
          </cell>
          <cell r="FN179">
            <v>13288593.959269894</v>
          </cell>
          <cell r="FO179">
            <v>0</v>
          </cell>
          <cell r="FP179">
            <v>0</v>
          </cell>
          <cell r="FQ179">
            <v>13288593.959269894</v>
          </cell>
          <cell r="FR179">
            <v>0</v>
          </cell>
          <cell r="FS179">
            <v>13288593.959269894</v>
          </cell>
          <cell r="FT179">
            <v>0</v>
          </cell>
          <cell r="FU179">
            <v>0</v>
          </cell>
          <cell r="FV179">
            <v>0</v>
          </cell>
          <cell r="FW179">
            <v>0</v>
          </cell>
          <cell r="FX179">
            <v>0</v>
          </cell>
          <cell r="FY179">
            <v>0</v>
          </cell>
          <cell r="FZ179">
            <v>13288593.959269894</v>
          </cell>
          <cell r="GA179">
            <v>0</v>
          </cell>
          <cell r="GB179">
            <v>0</v>
          </cell>
          <cell r="GC179">
            <v>0</v>
          </cell>
          <cell r="GD179">
            <v>0</v>
          </cell>
          <cell r="GE179">
            <v>0</v>
          </cell>
          <cell r="GF179">
            <v>0</v>
          </cell>
          <cell r="GG179">
            <v>0</v>
          </cell>
          <cell r="GH179">
            <v>0</v>
          </cell>
          <cell r="GI179">
            <v>0</v>
          </cell>
          <cell r="GJ179">
            <v>0</v>
          </cell>
          <cell r="GK179">
            <v>0</v>
          </cell>
          <cell r="GL179">
            <v>0</v>
          </cell>
          <cell r="GM179">
            <v>0</v>
          </cell>
          <cell r="GN179">
            <v>0</v>
          </cell>
          <cell r="GO179">
            <v>0</v>
          </cell>
          <cell r="GP179">
            <v>0</v>
          </cell>
          <cell r="GQ179">
            <v>0</v>
          </cell>
          <cell r="GR179">
            <v>0</v>
          </cell>
          <cell r="GS179">
            <v>0</v>
          </cell>
          <cell r="GT179">
            <v>0</v>
          </cell>
          <cell r="GZ179">
            <v>0</v>
          </cell>
        </row>
        <row r="180">
          <cell r="A180" t="str">
            <v>I_CAI_NRF_IRD_IRD_INTR_B16</v>
          </cell>
          <cell r="B180">
            <v>80896911.416772768</v>
          </cell>
          <cell r="C180">
            <v>0</v>
          </cell>
          <cell r="D180">
            <v>80896911.416772768</v>
          </cell>
          <cell r="E180">
            <v>83394437.852040514</v>
          </cell>
          <cell r="F180">
            <v>80896911.416772768</v>
          </cell>
          <cell r="G180">
            <v>80896911.416772768</v>
          </cell>
          <cell r="H180">
            <v>0</v>
          </cell>
          <cell r="I180">
            <v>0</v>
          </cell>
          <cell r="J180">
            <v>80896911.416772768</v>
          </cell>
          <cell r="K180">
            <v>0</v>
          </cell>
          <cell r="L180">
            <v>0</v>
          </cell>
          <cell r="M180">
            <v>0</v>
          </cell>
          <cell r="N180">
            <v>80896911.416772768</v>
          </cell>
          <cell r="O180">
            <v>0</v>
          </cell>
          <cell r="P180">
            <v>0</v>
          </cell>
          <cell r="Q180">
            <v>80896911.416772768</v>
          </cell>
          <cell r="R180">
            <v>0</v>
          </cell>
          <cell r="S180">
            <v>80896911.416772768</v>
          </cell>
          <cell r="T180">
            <v>0</v>
          </cell>
          <cell r="U180">
            <v>0</v>
          </cell>
          <cell r="V180">
            <v>0</v>
          </cell>
          <cell r="W180">
            <v>0</v>
          </cell>
          <cell r="X180">
            <v>0</v>
          </cell>
          <cell r="Y180">
            <v>0</v>
          </cell>
          <cell r="Z180">
            <v>80896911.416772768</v>
          </cell>
          <cell r="AA180">
            <v>0</v>
          </cell>
          <cell r="AB180">
            <v>95882366.291893467</v>
          </cell>
          <cell r="AC180">
            <v>68017234.710778892</v>
          </cell>
          <cell r="AD180">
            <v>0</v>
          </cell>
          <cell r="AE180">
            <v>0</v>
          </cell>
          <cell r="AF180">
            <v>80896911.416772768</v>
          </cell>
          <cell r="AG180">
            <v>0</v>
          </cell>
          <cell r="AH180">
            <v>0</v>
          </cell>
          <cell r="AI180">
            <v>0</v>
          </cell>
          <cell r="AJ180">
            <v>78428359.576027274</v>
          </cell>
          <cell r="AK180">
            <v>0</v>
          </cell>
          <cell r="AL180">
            <v>0</v>
          </cell>
          <cell r="AM180">
            <v>80896911.416772768</v>
          </cell>
          <cell r="AN180">
            <v>0</v>
          </cell>
          <cell r="AO180">
            <v>64647107.391441621</v>
          </cell>
          <cell r="AP180">
            <v>0</v>
          </cell>
          <cell r="AQ180">
            <v>0</v>
          </cell>
          <cell r="AR180">
            <v>0</v>
          </cell>
          <cell r="AS180">
            <v>0</v>
          </cell>
          <cell r="AT180">
            <v>0</v>
          </cell>
          <cell r="AU180">
            <v>0</v>
          </cell>
          <cell r="AV180">
            <v>80896911.416772768</v>
          </cell>
          <cell r="AW180">
            <v>0</v>
          </cell>
          <cell r="AX180">
            <v>83394437.852040514</v>
          </cell>
          <cell r="AY180">
            <v>83394437.852040514</v>
          </cell>
          <cell r="AZ180">
            <v>0</v>
          </cell>
          <cell r="BA180">
            <v>0</v>
          </cell>
          <cell r="BB180">
            <v>83394437.852040514</v>
          </cell>
          <cell r="BC180">
            <v>0</v>
          </cell>
          <cell r="BD180">
            <v>0</v>
          </cell>
          <cell r="BE180">
            <v>0</v>
          </cell>
          <cell r="BF180">
            <v>83394437.852040514</v>
          </cell>
          <cell r="BG180">
            <v>0</v>
          </cell>
          <cell r="BH180">
            <v>0</v>
          </cell>
          <cell r="BI180">
            <v>83394437.852040514</v>
          </cell>
          <cell r="BJ180">
            <v>0</v>
          </cell>
          <cell r="BK180">
            <v>83394437.852040514</v>
          </cell>
          <cell r="BL180">
            <v>0</v>
          </cell>
          <cell r="BM180">
            <v>0</v>
          </cell>
          <cell r="BN180">
            <v>0</v>
          </cell>
          <cell r="BO180">
            <v>0</v>
          </cell>
          <cell r="BP180">
            <v>0</v>
          </cell>
          <cell r="BQ180">
            <v>0</v>
          </cell>
          <cell r="BR180">
            <v>83394437.852040514</v>
          </cell>
          <cell r="BS180">
            <v>0</v>
          </cell>
          <cell r="BT180">
            <v>90222894.117675155</v>
          </cell>
          <cell r="BU180">
            <v>78205785.20920977</v>
          </cell>
          <cell r="BV180">
            <v>0</v>
          </cell>
          <cell r="BW180">
            <v>0</v>
          </cell>
          <cell r="BX180">
            <v>83394437.852040514</v>
          </cell>
          <cell r="BY180">
            <v>0</v>
          </cell>
          <cell r="BZ180">
            <v>0</v>
          </cell>
          <cell r="CA180">
            <v>0</v>
          </cell>
          <cell r="CB180">
            <v>83394437.852040514</v>
          </cell>
          <cell r="CC180">
            <v>0</v>
          </cell>
          <cell r="CD180">
            <v>0</v>
          </cell>
          <cell r="CE180">
            <v>83394437.852040514</v>
          </cell>
          <cell r="CF180">
            <v>0</v>
          </cell>
          <cell r="CG180">
            <v>83394437.852040514</v>
          </cell>
          <cell r="CH180">
            <v>0</v>
          </cell>
          <cell r="CI180">
            <v>0</v>
          </cell>
          <cell r="CJ180">
            <v>0</v>
          </cell>
          <cell r="CK180">
            <v>0</v>
          </cell>
          <cell r="CL180">
            <v>0</v>
          </cell>
          <cell r="CM180">
            <v>0</v>
          </cell>
          <cell r="CN180">
            <v>83394437.852040514</v>
          </cell>
          <cell r="CO180">
            <v>0</v>
          </cell>
          <cell r="CP180">
            <v>0</v>
          </cell>
          <cell r="CQ180">
            <v>0</v>
          </cell>
          <cell r="CR180">
            <v>0</v>
          </cell>
          <cell r="CS180">
            <v>0</v>
          </cell>
          <cell r="CT180">
            <v>0</v>
          </cell>
          <cell r="CU180">
            <v>0</v>
          </cell>
          <cell r="CV180">
            <v>0</v>
          </cell>
          <cell r="CW180">
            <v>0</v>
          </cell>
          <cell r="CX180">
            <v>0</v>
          </cell>
          <cell r="CY180">
            <v>0</v>
          </cell>
          <cell r="CZ180">
            <v>0</v>
          </cell>
          <cell r="DA180">
            <v>0</v>
          </cell>
          <cell r="DB180">
            <v>0</v>
          </cell>
          <cell r="DC180">
            <v>0</v>
          </cell>
          <cell r="DD180">
            <v>0</v>
          </cell>
          <cell r="DE180">
            <v>0</v>
          </cell>
          <cell r="DF180">
            <v>0</v>
          </cell>
          <cell r="DG180">
            <v>0</v>
          </cell>
          <cell r="DH180">
            <v>0</v>
          </cell>
          <cell r="DI180">
            <v>0</v>
          </cell>
          <cell r="DJ180">
            <v>0</v>
          </cell>
          <cell r="DK180">
            <v>0</v>
          </cell>
          <cell r="DL180">
            <v>0</v>
          </cell>
          <cell r="DM180">
            <v>0</v>
          </cell>
          <cell r="DN180">
            <v>0</v>
          </cell>
          <cell r="DO180">
            <v>0</v>
          </cell>
          <cell r="DP180">
            <v>0</v>
          </cell>
          <cell r="DQ180">
            <v>0</v>
          </cell>
          <cell r="DR180">
            <v>0</v>
          </cell>
          <cell r="DS180">
            <v>0</v>
          </cell>
          <cell r="DT180">
            <v>0</v>
          </cell>
          <cell r="DU180">
            <v>0</v>
          </cell>
          <cell r="DV180">
            <v>0</v>
          </cell>
          <cell r="DW180">
            <v>0</v>
          </cell>
          <cell r="EA180">
            <v>0</v>
          </cell>
          <cell r="EB180">
            <v>0</v>
          </cell>
          <cell r="EC180">
            <v>0</v>
          </cell>
          <cell r="ED180">
            <v>0</v>
          </cell>
          <cell r="EE180">
            <v>0</v>
          </cell>
          <cell r="EF180">
            <v>0</v>
          </cell>
          <cell r="EG180">
            <v>0</v>
          </cell>
          <cell r="EH180">
            <v>0</v>
          </cell>
          <cell r="EI180">
            <v>0</v>
          </cell>
          <cell r="EJ180">
            <v>0</v>
          </cell>
          <cell r="EK180">
            <v>0</v>
          </cell>
          <cell r="EL180">
            <v>0</v>
          </cell>
          <cell r="EM180">
            <v>0</v>
          </cell>
          <cell r="EN180">
            <v>0</v>
          </cell>
          <cell r="EO180">
            <v>0</v>
          </cell>
          <cell r="EP180">
            <v>0</v>
          </cell>
          <cell r="EQ180">
            <v>0</v>
          </cell>
          <cell r="ER180">
            <v>0</v>
          </cell>
          <cell r="ES180">
            <v>0</v>
          </cell>
          <cell r="ET180">
            <v>0</v>
          </cell>
          <cell r="EU180">
            <v>0</v>
          </cell>
          <cell r="EV180">
            <v>0</v>
          </cell>
          <cell r="EW180">
            <v>0</v>
          </cell>
          <cell r="EX180">
            <v>0</v>
          </cell>
          <cell r="EY180">
            <v>0</v>
          </cell>
          <cell r="EZ180">
            <v>0</v>
          </cell>
          <cell r="FA180">
            <v>0</v>
          </cell>
          <cell r="FB180">
            <v>0</v>
          </cell>
          <cell r="FC180">
            <v>0</v>
          </cell>
          <cell r="FD180">
            <v>0</v>
          </cell>
          <cell r="FE180">
            <v>0</v>
          </cell>
          <cell r="FF180">
            <v>90222894.117675155</v>
          </cell>
          <cell r="FG180">
            <v>78205785.20920977</v>
          </cell>
          <cell r="FH180">
            <v>0</v>
          </cell>
          <cell r="FI180">
            <v>0</v>
          </cell>
          <cell r="FJ180">
            <v>83394437.852040514</v>
          </cell>
          <cell r="FK180">
            <v>0</v>
          </cell>
          <cell r="FL180">
            <v>0</v>
          </cell>
          <cell r="FM180">
            <v>0</v>
          </cell>
          <cell r="FN180">
            <v>83394437.852040514</v>
          </cell>
          <cell r="FO180">
            <v>0</v>
          </cell>
          <cell r="FP180">
            <v>0</v>
          </cell>
          <cell r="FQ180">
            <v>83394437.852040514</v>
          </cell>
          <cell r="FR180">
            <v>0</v>
          </cell>
          <cell r="FS180">
            <v>83394437.852040514</v>
          </cell>
          <cell r="FT180">
            <v>0</v>
          </cell>
          <cell r="FU180">
            <v>0</v>
          </cell>
          <cell r="FV180">
            <v>0</v>
          </cell>
          <cell r="FW180">
            <v>0</v>
          </cell>
          <cell r="FX180">
            <v>0</v>
          </cell>
          <cell r="FY180">
            <v>0</v>
          </cell>
          <cell r="FZ180">
            <v>83394437.852040514</v>
          </cell>
          <cell r="GA180">
            <v>0</v>
          </cell>
          <cell r="GB180">
            <v>0</v>
          </cell>
          <cell r="GC180">
            <v>0</v>
          </cell>
          <cell r="GD180">
            <v>0</v>
          </cell>
          <cell r="GE180">
            <v>0</v>
          </cell>
          <cell r="GF180">
            <v>0</v>
          </cell>
          <cell r="GG180">
            <v>0</v>
          </cell>
          <cell r="GH180">
            <v>0</v>
          </cell>
          <cell r="GI180">
            <v>0</v>
          </cell>
          <cell r="GJ180">
            <v>0</v>
          </cell>
          <cell r="GK180">
            <v>0</v>
          </cell>
          <cell r="GL180">
            <v>0</v>
          </cell>
          <cell r="GM180">
            <v>0</v>
          </cell>
          <cell r="GN180">
            <v>0</v>
          </cell>
          <cell r="GO180">
            <v>0</v>
          </cell>
          <cell r="GP180">
            <v>0</v>
          </cell>
          <cell r="GQ180">
            <v>0</v>
          </cell>
          <cell r="GR180">
            <v>0</v>
          </cell>
          <cell r="GS180">
            <v>0</v>
          </cell>
          <cell r="GT180">
            <v>0</v>
          </cell>
          <cell r="GZ180">
            <v>0</v>
          </cell>
        </row>
        <row r="181">
          <cell r="A181" t="str">
            <v>I_CAI_NRF_IRD_IRD_INTR_B17</v>
          </cell>
          <cell r="B181">
            <v>12461370.332536405</v>
          </cell>
          <cell r="C181">
            <v>0</v>
          </cell>
          <cell r="D181">
            <v>12461370.332536405</v>
          </cell>
          <cell r="E181">
            <v>-5267450.7572927913</v>
          </cell>
          <cell r="F181">
            <v>12461370.332536405</v>
          </cell>
          <cell r="G181">
            <v>12461370.332536405</v>
          </cell>
          <cell r="H181">
            <v>0</v>
          </cell>
          <cell r="I181">
            <v>0</v>
          </cell>
          <cell r="J181">
            <v>12461370.332536405</v>
          </cell>
          <cell r="K181">
            <v>0</v>
          </cell>
          <cell r="L181">
            <v>0</v>
          </cell>
          <cell r="M181">
            <v>0</v>
          </cell>
          <cell r="N181">
            <v>12461370.332536405</v>
          </cell>
          <cell r="O181">
            <v>0</v>
          </cell>
          <cell r="P181">
            <v>0</v>
          </cell>
          <cell r="Q181">
            <v>12461370.332536405</v>
          </cell>
          <cell r="R181">
            <v>0</v>
          </cell>
          <cell r="S181">
            <v>12461370.332536405</v>
          </cell>
          <cell r="T181">
            <v>0</v>
          </cell>
          <cell r="U181">
            <v>0</v>
          </cell>
          <cell r="V181">
            <v>0</v>
          </cell>
          <cell r="W181">
            <v>0</v>
          </cell>
          <cell r="X181">
            <v>0</v>
          </cell>
          <cell r="Y181">
            <v>0</v>
          </cell>
          <cell r="Z181">
            <v>12461370.332536405</v>
          </cell>
          <cell r="AA181">
            <v>0</v>
          </cell>
          <cell r="AB181">
            <v>12461370.332536405</v>
          </cell>
          <cell r="AC181">
            <v>12461370.332536405</v>
          </cell>
          <cell r="AD181">
            <v>0</v>
          </cell>
          <cell r="AE181">
            <v>0</v>
          </cell>
          <cell r="AF181">
            <v>12461370.332536405</v>
          </cell>
          <cell r="AG181">
            <v>0</v>
          </cell>
          <cell r="AH181">
            <v>0</v>
          </cell>
          <cell r="AI181">
            <v>0</v>
          </cell>
          <cell r="AJ181">
            <v>6020088.0076483367</v>
          </cell>
          <cell r="AK181">
            <v>0</v>
          </cell>
          <cell r="AL181">
            <v>0</v>
          </cell>
          <cell r="AM181">
            <v>12461370.332536405</v>
          </cell>
          <cell r="AN181">
            <v>0</v>
          </cell>
          <cell r="AO181">
            <v>12461370.332536405</v>
          </cell>
          <cell r="AP181">
            <v>0</v>
          </cell>
          <cell r="AQ181">
            <v>0</v>
          </cell>
          <cell r="AR181">
            <v>0</v>
          </cell>
          <cell r="AS181">
            <v>0</v>
          </cell>
          <cell r="AT181">
            <v>0</v>
          </cell>
          <cell r="AU181">
            <v>0</v>
          </cell>
          <cell r="AV181">
            <v>12461370.332536405</v>
          </cell>
          <cell r="AW181">
            <v>0</v>
          </cell>
          <cell r="AX181">
            <v>-5267450.7572927913</v>
          </cell>
          <cell r="AY181">
            <v>-5267450.7572927913</v>
          </cell>
          <cell r="AZ181">
            <v>0</v>
          </cell>
          <cell r="BA181">
            <v>0</v>
          </cell>
          <cell r="BB181">
            <v>-5267450.7572927913</v>
          </cell>
          <cell r="BC181">
            <v>0</v>
          </cell>
          <cell r="BD181">
            <v>0</v>
          </cell>
          <cell r="BE181">
            <v>0</v>
          </cell>
          <cell r="BF181">
            <v>-5267450.7572927913</v>
          </cell>
          <cell r="BG181">
            <v>0</v>
          </cell>
          <cell r="BH181">
            <v>0</v>
          </cell>
          <cell r="BI181">
            <v>-5267450.7572927913</v>
          </cell>
          <cell r="BJ181">
            <v>0</v>
          </cell>
          <cell r="BK181">
            <v>-5267450.7572927913</v>
          </cell>
          <cell r="BL181">
            <v>0</v>
          </cell>
          <cell r="BM181">
            <v>0</v>
          </cell>
          <cell r="BN181">
            <v>0</v>
          </cell>
          <cell r="BO181">
            <v>0</v>
          </cell>
          <cell r="BP181">
            <v>0</v>
          </cell>
          <cell r="BQ181">
            <v>0</v>
          </cell>
          <cell r="BR181">
            <v>-5267450.7572927913</v>
          </cell>
          <cell r="BS181">
            <v>0</v>
          </cell>
          <cell r="BT181">
            <v>-6536482.9152958468</v>
          </cell>
          <cell r="BU181">
            <v>-4148884.0422538561</v>
          </cell>
          <cell r="BV181">
            <v>0</v>
          </cell>
          <cell r="BW181">
            <v>0</v>
          </cell>
          <cell r="BX181">
            <v>-5267450.7572927913</v>
          </cell>
          <cell r="BY181">
            <v>0</v>
          </cell>
          <cell r="BZ181">
            <v>0</v>
          </cell>
          <cell r="CA181">
            <v>0</v>
          </cell>
          <cell r="CB181">
            <v>-5267450.7572927913</v>
          </cell>
          <cell r="CC181">
            <v>0</v>
          </cell>
          <cell r="CD181">
            <v>0</v>
          </cell>
          <cell r="CE181">
            <v>-5267450.7572927913</v>
          </cell>
          <cell r="CF181">
            <v>0</v>
          </cell>
          <cell r="CG181">
            <v>-5267450.7572927913</v>
          </cell>
          <cell r="CH181">
            <v>0</v>
          </cell>
          <cell r="CI181">
            <v>0</v>
          </cell>
          <cell r="CJ181">
            <v>0</v>
          </cell>
          <cell r="CK181">
            <v>0</v>
          </cell>
          <cell r="CL181">
            <v>0</v>
          </cell>
          <cell r="CM181">
            <v>0</v>
          </cell>
          <cell r="CN181">
            <v>-5267450.7572927913</v>
          </cell>
          <cell r="CO181">
            <v>0</v>
          </cell>
          <cell r="CP181">
            <v>0</v>
          </cell>
          <cell r="CQ181">
            <v>0</v>
          </cell>
          <cell r="CR181">
            <v>0</v>
          </cell>
          <cell r="CS181">
            <v>0</v>
          </cell>
          <cell r="CT181">
            <v>0</v>
          </cell>
          <cell r="CU181">
            <v>0</v>
          </cell>
          <cell r="CV181">
            <v>0</v>
          </cell>
          <cell r="CW181">
            <v>0</v>
          </cell>
          <cell r="CX181">
            <v>0</v>
          </cell>
          <cell r="CY181">
            <v>0</v>
          </cell>
          <cell r="CZ181">
            <v>0</v>
          </cell>
          <cell r="DA181">
            <v>0</v>
          </cell>
          <cell r="DB181">
            <v>0</v>
          </cell>
          <cell r="DC181">
            <v>0</v>
          </cell>
          <cell r="DD181">
            <v>0</v>
          </cell>
          <cell r="DE181">
            <v>0</v>
          </cell>
          <cell r="DF181">
            <v>0</v>
          </cell>
          <cell r="DG181">
            <v>0</v>
          </cell>
          <cell r="DH181">
            <v>0</v>
          </cell>
          <cell r="DI181">
            <v>0</v>
          </cell>
          <cell r="DJ181">
            <v>0</v>
          </cell>
          <cell r="DK181">
            <v>0</v>
          </cell>
          <cell r="DL181">
            <v>0</v>
          </cell>
          <cell r="DM181">
            <v>0</v>
          </cell>
          <cell r="DN181">
            <v>0</v>
          </cell>
          <cell r="DO181">
            <v>0</v>
          </cell>
          <cell r="DP181">
            <v>0</v>
          </cell>
          <cell r="DQ181">
            <v>0</v>
          </cell>
          <cell r="DR181">
            <v>0</v>
          </cell>
          <cell r="DS181">
            <v>0</v>
          </cell>
          <cell r="DT181">
            <v>0</v>
          </cell>
          <cell r="DU181">
            <v>0</v>
          </cell>
          <cell r="DV181">
            <v>0</v>
          </cell>
          <cell r="DW181">
            <v>0</v>
          </cell>
          <cell r="EA181">
            <v>0</v>
          </cell>
          <cell r="EB181">
            <v>0</v>
          </cell>
          <cell r="EC181">
            <v>0</v>
          </cell>
          <cell r="ED181">
            <v>0</v>
          </cell>
          <cell r="EE181">
            <v>0</v>
          </cell>
          <cell r="EF181">
            <v>0</v>
          </cell>
          <cell r="EG181">
            <v>0</v>
          </cell>
          <cell r="EH181">
            <v>0</v>
          </cell>
          <cell r="EI181">
            <v>0</v>
          </cell>
          <cell r="EJ181">
            <v>0</v>
          </cell>
          <cell r="EK181">
            <v>0</v>
          </cell>
          <cell r="EL181">
            <v>0</v>
          </cell>
          <cell r="EM181">
            <v>0</v>
          </cell>
          <cell r="EN181">
            <v>0</v>
          </cell>
          <cell r="EO181">
            <v>0</v>
          </cell>
          <cell r="EP181">
            <v>0</v>
          </cell>
          <cell r="EQ181">
            <v>0</v>
          </cell>
          <cell r="ER181">
            <v>0</v>
          </cell>
          <cell r="ES181">
            <v>0</v>
          </cell>
          <cell r="ET181">
            <v>0</v>
          </cell>
          <cell r="EU181">
            <v>0</v>
          </cell>
          <cell r="EV181">
            <v>0</v>
          </cell>
          <cell r="EW181">
            <v>0</v>
          </cell>
          <cell r="EX181">
            <v>0</v>
          </cell>
          <cell r="EY181">
            <v>0</v>
          </cell>
          <cell r="EZ181">
            <v>0</v>
          </cell>
          <cell r="FA181">
            <v>0</v>
          </cell>
          <cell r="FB181">
            <v>0</v>
          </cell>
          <cell r="FC181">
            <v>0</v>
          </cell>
          <cell r="FD181">
            <v>0</v>
          </cell>
          <cell r="FE181">
            <v>0</v>
          </cell>
          <cell r="FF181">
            <v>-6536482.9152958468</v>
          </cell>
          <cell r="FG181">
            <v>-4148884.0422538561</v>
          </cell>
          <cell r="FH181">
            <v>0</v>
          </cell>
          <cell r="FI181">
            <v>0</v>
          </cell>
          <cell r="FJ181">
            <v>-5267450.7572927913</v>
          </cell>
          <cell r="FK181">
            <v>0</v>
          </cell>
          <cell r="FL181">
            <v>0</v>
          </cell>
          <cell r="FM181">
            <v>0</v>
          </cell>
          <cell r="FN181">
            <v>-5267450.7572927913</v>
          </cell>
          <cell r="FO181">
            <v>0</v>
          </cell>
          <cell r="FP181">
            <v>0</v>
          </cell>
          <cell r="FQ181">
            <v>-5267450.7572927913</v>
          </cell>
          <cell r="FR181">
            <v>0</v>
          </cell>
          <cell r="FS181">
            <v>-5267450.7572927913</v>
          </cell>
          <cell r="FT181">
            <v>0</v>
          </cell>
          <cell r="FU181">
            <v>0</v>
          </cell>
          <cell r="FV181">
            <v>0</v>
          </cell>
          <cell r="FW181">
            <v>0</v>
          </cell>
          <cell r="FX181">
            <v>0</v>
          </cell>
          <cell r="FY181">
            <v>0</v>
          </cell>
          <cell r="FZ181">
            <v>-5267450.7572927913</v>
          </cell>
          <cell r="GA181">
            <v>0</v>
          </cell>
          <cell r="GB181">
            <v>0</v>
          </cell>
          <cell r="GC181">
            <v>0</v>
          </cell>
          <cell r="GD181">
            <v>0</v>
          </cell>
          <cell r="GE181">
            <v>0</v>
          </cell>
          <cell r="GF181">
            <v>0</v>
          </cell>
          <cell r="GG181">
            <v>0</v>
          </cell>
          <cell r="GH181">
            <v>0</v>
          </cell>
          <cell r="GI181">
            <v>0</v>
          </cell>
          <cell r="GJ181">
            <v>0</v>
          </cell>
          <cell r="GK181">
            <v>0</v>
          </cell>
          <cell r="GL181">
            <v>0</v>
          </cell>
          <cell r="GM181">
            <v>0</v>
          </cell>
          <cell r="GN181">
            <v>0</v>
          </cell>
          <cell r="GO181">
            <v>0</v>
          </cell>
          <cell r="GP181">
            <v>0</v>
          </cell>
          <cell r="GQ181">
            <v>0</v>
          </cell>
          <cell r="GR181">
            <v>0</v>
          </cell>
          <cell r="GS181">
            <v>0</v>
          </cell>
          <cell r="GT181">
            <v>0</v>
          </cell>
          <cell r="GZ181">
            <v>0</v>
          </cell>
        </row>
        <row r="182">
          <cell r="A182" t="str">
            <v>I_BVP_NRF_CPT_PRP_INTR_S11</v>
          </cell>
          <cell r="B182">
            <v>0</v>
          </cell>
          <cell r="C182">
            <v>0</v>
          </cell>
          <cell r="D182">
            <v>148348944.83999997</v>
          </cell>
          <cell r="E182">
            <v>0</v>
          </cell>
          <cell r="F182">
            <v>148348944.83999997</v>
          </cell>
          <cell r="G182">
            <v>148348944.83999997</v>
          </cell>
          <cell r="H182">
            <v>0</v>
          </cell>
          <cell r="I182">
            <v>0</v>
          </cell>
          <cell r="J182">
            <v>0</v>
          </cell>
          <cell r="K182">
            <v>0</v>
          </cell>
          <cell r="L182">
            <v>0</v>
          </cell>
          <cell r="M182">
            <v>0</v>
          </cell>
          <cell r="N182">
            <v>0</v>
          </cell>
          <cell r="O182">
            <v>0</v>
          </cell>
          <cell r="P182">
            <v>0</v>
          </cell>
          <cell r="Q182">
            <v>0</v>
          </cell>
          <cell r="R182">
            <v>0</v>
          </cell>
          <cell r="S182">
            <v>148348944.83999997</v>
          </cell>
          <cell r="T182">
            <v>0</v>
          </cell>
          <cell r="U182">
            <v>0</v>
          </cell>
          <cell r="V182">
            <v>0</v>
          </cell>
          <cell r="W182">
            <v>0</v>
          </cell>
          <cell r="X182">
            <v>0</v>
          </cell>
          <cell r="Y182">
            <v>0</v>
          </cell>
          <cell r="Z182">
            <v>0</v>
          </cell>
          <cell r="AA182">
            <v>148348944.83999997</v>
          </cell>
          <cell r="AB182">
            <v>151686165.34491977</v>
          </cell>
          <cell r="AC182">
            <v>144954076.29268143</v>
          </cell>
          <cell r="AD182">
            <v>0</v>
          </cell>
          <cell r="AE182">
            <v>0</v>
          </cell>
          <cell r="AF182">
            <v>0</v>
          </cell>
          <cell r="AG182">
            <v>0</v>
          </cell>
          <cell r="AH182">
            <v>0</v>
          </cell>
          <cell r="AI182">
            <v>0</v>
          </cell>
          <cell r="AJ182">
            <v>0</v>
          </cell>
          <cell r="AK182">
            <v>0</v>
          </cell>
          <cell r="AL182">
            <v>0</v>
          </cell>
          <cell r="AM182">
            <v>0</v>
          </cell>
          <cell r="AN182">
            <v>0</v>
          </cell>
          <cell r="AO182">
            <v>138638441.30589736</v>
          </cell>
          <cell r="AP182">
            <v>0</v>
          </cell>
          <cell r="AQ182">
            <v>0</v>
          </cell>
          <cell r="AR182">
            <v>0</v>
          </cell>
          <cell r="AS182">
            <v>0</v>
          </cell>
          <cell r="AT182">
            <v>0</v>
          </cell>
          <cell r="AU182">
            <v>0</v>
          </cell>
          <cell r="AV182">
            <v>0</v>
          </cell>
          <cell r="AW182">
            <v>148348944.83999997</v>
          </cell>
          <cell r="AX182">
            <v>0</v>
          </cell>
          <cell r="AY182">
            <v>0</v>
          </cell>
          <cell r="AZ182">
            <v>0</v>
          </cell>
          <cell r="BA182">
            <v>0</v>
          </cell>
          <cell r="BB182">
            <v>0</v>
          </cell>
          <cell r="BC182">
            <v>0</v>
          </cell>
          <cell r="BD182">
            <v>0</v>
          </cell>
          <cell r="BE182">
            <v>0</v>
          </cell>
          <cell r="BF182">
            <v>0</v>
          </cell>
          <cell r="BG182">
            <v>0</v>
          </cell>
          <cell r="BH182">
            <v>0</v>
          </cell>
          <cell r="BI182">
            <v>0</v>
          </cell>
          <cell r="BJ182">
            <v>0</v>
          </cell>
          <cell r="BK182">
            <v>0</v>
          </cell>
          <cell r="BL182">
            <v>0</v>
          </cell>
          <cell r="BM182">
            <v>0</v>
          </cell>
          <cell r="BN182">
            <v>0</v>
          </cell>
          <cell r="BO182">
            <v>0</v>
          </cell>
          <cell r="BP182">
            <v>0</v>
          </cell>
          <cell r="BQ182">
            <v>0</v>
          </cell>
          <cell r="BR182">
            <v>0</v>
          </cell>
          <cell r="BS182">
            <v>0</v>
          </cell>
          <cell r="BT182">
            <v>0</v>
          </cell>
          <cell r="BU182">
            <v>0</v>
          </cell>
          <cell r="BV182">
            <v>0</v>
          </cell>
          <cell r="BW182">
            <v>0</v>
          </cell>
          <cell r="BX182">
            <v>0</v>
          </cell>
          <cell r="BY182">
            <v>0</v>
          </cell>
          <cell r="BZ182">
            <v>0</v>
          </cell>
          <cell r="CA182">
            <v>0</v>
          </cell>
          <cell r="CB182">
            <v>0</v>
          </cell>
          <cell r="CC182">
            <v>0</v>
          </cell>
          <cell r="CD182">
            <v>0</v>
          </cell>
          <cell r="CE182">
            <v>0</v>
          </cell>
          <cell r="CF182">
            <v>0</v>
          </cell>
          <cell r="CG182">
            <v>0</v>
          </cell>
          <cell r="CH182">
            <v>0</v>
          </cell>
          <cell r="CI182">
            <v>0</v>
          </cell>
          <cell r="CJ182">
            <v>0</v>
          </cell>
          <cell r="CK182">
            <v>0</v>
          </cell>
          <cell r="CL182">
            <v>0</v>
          </cell>
          <cell r="CM182">
            <v>0</v>
          </cell>
          <cell r="CN182">
            <v>0</v>
          </cell>
          <cell r="CO182">
            <v>0</v>
          </cell>
          <cell r="CP182">
            <v>0</v>
          </cell>
          <cell r="CQ182">
            <v>0</v>
          </cell>
          <cell r="CR182">
            <v>0</v>
          </cell>
          <cell r="CS182">
            <v>0</v>
          </cell>
          <cell r="CT182">
            <v>0</v>
          </cell>
          <cell r="CU182">
            <v>0</v>
          </cell>
          <cell r="CV182">
            <v>0</v>
          </cell>
          <cell r="CW182">
            <v>0</v>
          </cell>
          <cell r="CX182">
            <v>0</v>
          </cell>
          <cell r="CY182">
            <v>0</v>
          </cell>
          <cell r="CZ182">
            <v>0</v>
          </cell>
          <cell r="DA182">
            <v>0</v>
          </cell>
          <cell r="DB182">
            <v>0</v>
          </cell>
          <cell r="DC182">
            <v>0</v>
          </cell>
          <cell r="DD182">
            <v>0</v>
          </cell>
          <cell r="DE182">
            <v>0</v>
          </cell>
          <cell r="DF182">
            <v>0</v>
          </cell>
          <cell r="DG182">
            <v>0</v>
          </cell>
          <cell r="DH182">
            <v>0</v>
          </cell>
          <cell r="DI182">
            <v>0</v>
          </cell>
          <cell r="DJ182">
            <v>0</v>
          </cell>
          <cell r="DK182">
            <v>0</v>
          </cell>
          <cell r="DL182">
            <v>0</v>
          </cell>
          <cell r="DM182">
            <v>0</v>
          </cell>
          <cell r="DN182">
            <v>0</v>
          </cell>
          <cell r="DO182">
            <v>0</v>
          </cell>
          <cell r="DP182">
            <v>0</v>
          </cell>
          <cell r="DQ182">
            <v>0</v>
          </cell>
          <cell r="DR182">
            <v>0</v>
          </cell>
          <cell r="DS182">
            <v>0</v>
          </cell>
          <cell r="DT182">
            <v>0</v>
          </cell>
          <cell r="DU182">
            <v>0</v>
          </cell>
          <cell r="DV182">
            <v>0</v>
          </cell>
          <cell r="DW182">
            <v>0</v>
          </cell>
          <cell r="EA182">
            <v>0</v>
          </cell>
          <cell r="EB182">
            <v>0</v>
          </cell>
          <cell r="EC182">
            <v>0</v>
          </cell>
          <cell r="ED182">
            <v>0</v>
          </cell>
          <cell r="EE182">
            <v>0</v>
          </cell>
          <cell r="EF182">
            <v>0</v>
          </cell>
          <cell r="EG182">
            <v>0</v>
          </cell>
          <cell r="EH182">
            <v>0</v>
          </cell>
          <cell r="EI182">
            <v>0</v>
          </cell>
          <cell r="EJ182">
            <v>0</v>
          </cell>
          <cell r="EK182">
            <v>0</v>
          </cell>
          <cell r="EL182">
            <v>0</v>
          </cell>
          <cell r="EM182">
            <v>0</v>
          </cell>
          <cell r="EN182">
            <v>0</v>
          </cell>
          <cell r="EO182">
            <v>0</v>
          </cell>
          <cell r="EP182">
            <v>0</v>
          </cell>
          <cell r="EQ182">
            <v>0</v>
          </cell>
          <cell r="ER182">
            <v>0</v>
          </cell>
          <cell r="ES182">
            <v>0</v>
          </cell>
          <cell r="ET182">
            <v>0</v>
          </cell>
          <cell r="EU182">
            <v>0</v>
          </cell>
          <cell r="EV182">
            <v>0</v>
          </cell>
          <cell r="EW182">
            <v>0</v>
          </cell>
          <cell r="EX182">
            <v>0</v>
          </cell>
          <cell r="EY182">
            <v>0</v>
          </cell>
          <cell r="EZ182">
            <v>0</v>
          </cell>
          <cell r="FA182">
            <v>0</v>
          </cell>
          <cell r="FB182">
            <v>0</v>
          </cell>
          <cell r="FC182">
            <v>0</v>
          </cell>
          <cell r="FD182">
            <v>0</v>
          </cell>
          <cell r="FE182">
            <v>0</v>
          </cell>
          <cell r="FF182">
            <v>0</v>
          </cell>
          <cell r="FG182">
            <v>0</v>
          </cell>
          <cell r="FH182">
            <v>0</v>
          </cell>
          <cell r="FI182">
            <v>0</v>
          </cell>
          <cell r="FJ182">
            <v>0</v>
          </cell>
          <cell r="FK182">
            <v>0</v>
          </cell>
          <cell r="FL182">
            <v>0</v>
          </cell>
          <cell r="FM182">
            <v>0</v>
          </cell>
          <cell r="FN182">
            <v>0</v>
          </cell>
          <cell r="FO182">
            <v>0</v>
          </cell>
          <cell r="FP182">
            <v>0</v>
          </cell>
          <cell r="FQ182">
            <v>0</v>
          </cell>
          <cell r="FR182">
            <v>0</v>
          </cell>
          <cell r="FS182">
            <v>0</v>
          </cell>
          <cell r="FT182">
            <v>0</v>
          </cell>
          <cell r="FU182">
            <v>0</v>
          </cell>
          <cell r="FV182">
            <v>0</v>
          </cell>
          <cell r="FW182">
            <v>0</v>
          </cell>
          <cell r="FX182">
            <v>0</v>
          </cell>
          <cell r="FY182">
            <v>0</v>
          </cell>
          <cell r="FZ182">
            <v>0</v>
          </cell>
          <cell r="GA182">
            <v>0</v>
          </cell>
          <cell r="GB182">
            <v>0</v>
          </cell>
          <cell r="GC182">
            <v>0</v>
          </cell>
          <cell r="GD182">
            <v>0</v>
          </cell>
          <cell r="GE182">
            <v>0</v>
          </cell>
          <cell r="GF182">
            <v>0</v>
          </cell>
          <cell r="GG182">
            <v>0</v>
          </cell>
          <cell r="GH182">
            <v>0</v>
          </cell>
          <cell r="GI182">
            <v>0</v>
          </cell>
          <cell r="GJ182">
            <v>0</v>
          </cell>
          <cell r="GK182">
            <v>0</v>
          </cell>
          <cell r="GL182">
            <v>0</v>
          </cell>
          <cell r="GM182">
            <v>0</v>
          </cell>
          <cell r="GN182">
            <v>0</v>
          </cell>
          <cell r="GO182">
            <v>0</v>
          </cell>
          <cell r="GP182">
            <v>0</v>
          </cell>
          <cell r="GQ182">
            <v>0</v>
          </cell>
          <cell r="GR182">
            <v>0</v>
          </cell>
          <cell r="GS182">
            <v>0</v>
          </cell>
          <cell r="GT182">
            <v>0</v>
          </cell>
          <cell r="GZ182">
            <v>0</v>
          </cell>
        </row>
        <row r="183">
          <cell r="A183" t="str">
            <v>I_BVP_NRF_ASS_EMP_INTR_S12</v>
          </cell>
          <cell r="B183">
            <v>74441812.88000001</v>
          </cell>
          <cell r="C183">
            <v>0</v>
          </cell>
          <cell r="D183">
            <v>74441812.88000001</v>
          </cell>
          <cell r="E183">
            <v>34931442.830446169</v>
          </cell>
          <cell r="F183">
            <v>74441812.88000001</v>
          </cell>
          <cell r="G183">
            <v>74441812.88000001</v>
          </cell>
          <cell r="H183">
            <v>0</v>
          </cell>
          <cell r="I183">
            <v>0</v>
          </cell>
          <cell r="J183">
            <v>0</v>
          </cell>
          <cell r="K183">
            <v>0</v>
          </cell>
          <cell r="L183">
            <v>0</v>
          </cell>
          <cell r="M183">
            <v>0</v>
          </cell>
          <cell r="N183">
            <v>0</v>
          </cell>
          <cell r="O183">
            <v>0</v>
          </cell>
          <cell r="P183">
            <v>0</v>
          </cell>
          <cell r="Q183">
            <v>0</v>
          </cell>
          <cell r="R183">
            <v>0</v>
          </cell>
          <cell r="S183">
            <v>74441812.88000001</v>
          </cell>
          <cell r="T183">
            <v>0</v>
          </cell>
          <cell r="U183">
            <v>0</v>
          </cell>
          <cell r="V183">
            <v>0</v>
          </cell>
          <cell r="W183">
            <v>0</v>
          </cell>
          <cell r="X183">
            <v>0</v>
          </cell>
          <cell r="Y183">
            <v>0</v>
          </cell>
          <cell r="Z183">
            <v>0</v>
          </cell>
          <cell r="AA183">
            <v>74441812.88000001</v>
          </cell>
          <cell r="AB183">
            <v>75407550.146376327</v>
          </cell>
          <cell r="AC183">
            <v>73440186.247156233</v>
          </cell>
          <cell r="AD183">
            <v>0</v>
          </cell>
          <cell r="AE183">
            <v>0</v>
          </cell>
          <cell r="AF183">
            <v>0</v>
          </cell>
          <cell r="AG183">
            <v>0</v>
          </cell>
          <cell r="AH183">
            <v>0</v>
          </cell>
          <cell r="AI183">
            <v>0</v>
          </cell>
          <cell r="AJ183">
            <v>0</v>
          </cell>
          <cell r="AK183">
            <v>0</v>
          </cell>
          <cell r="AL183">
            <v>0</v>
          </cell>
          <cell r="AM183">
            <v>0</v>
          </cell>
          <cell r="AN183">
            <v>0</v>
          </cell>
          <cell r="AO183">
            <v>73215572.000699341</v>
          </cell>
          <cell r="AP183">
            <v>0</v>
          </cell>
          <cell r="AQ183">
            <v>0</v>
          </cell>
          <cell r="AR183">
            <v>0</v>
          </cell>
          <cell r="AS183">
            <v>0</v>
          </cell>
          <cell r="AT183">
            <v>0</v>
          </cell>
          <cell r="AU183">
            <v>0</v>
          </cell>
          <cell r="AV183">
            <v>0</v>
          </cell>
          <cell r="AW183">
            <v>74441812.88000001</v>
          </cell>
          <cell r="AX183">
            <v>34931442.830446169</v>
          </cell>
          <cell r="AY183">
            <v>34931442.830446169</v>
          </cell>
          <cell r="AZ183">
            <v>0</v>
          </cell>
          <cell r="BA183">
            <v>0</v>
          </cell>
          <cell r="BB183">
            <v>0</v>
          </cell>
          <cell r="BC183">
            <v>0</v>
          </cell>
          <cell r="BD183">
            <v>0</v>
          </cell>
          <cell r="BE183">
            <v>0</v>
          </cell>
          <cell r="BF183">
            <v>0</v>
          </cell>
          <cell r="BG183">
            <v>0</v>
          </cell>
          <cell r="BH183">
            <v>0</v>
          </cell>
          <cell r="BI183">
            <v>0</v>
          </cell>
          <cell r="BJ183">
            <v>0</v>
          </cell>
          <cell r="BK183">
            <v>34931442.830446169</v>
          </cell>
          <cell r="BL183">
            <v>0</v>
          </cell>
          <cell r="BM183">
            <v>0</v>
          </cell>
          <cell r="BN183">
            <v>0</v>
          </cell>
          <cell r="BO183">
            <v>0</v>
          </cell>
          <cell r="BP183">
            <v>0</v>
          </cell>
          <cell r="BQ183">
            <v>0</v>
          </cell>
          <cell r="BR183">
            <v>0</v>
          </cell>
          <cell r="BS183">
            <v>34931442.830446169</v>
          </cell>
          <cell r="BT183">
            <v>35923499.298971593</v>
          </cell>
          <cell r="BU183">
            <v>33948291.19288291</v>
          </cell>
          <cell r="BV183">
            <v>0</v>
          </cell>
          <cell r="BW183">
            <v>0</v>
          </cell>
          <cell r="BX183">
            <v>0</v>
          </cell>
          <cell r="BY183">
            <v>0</v>
          </cell>
          <cell r="BZ183">
            <v>0</v>
          </cell>
          <cell r="CA183">
            <v>0</v>
          </cell>
          <cell r="CB183">
            <v>0</v>
          </cell>
          <cell r="CC183">
            <v>0</v>
          </cell>
          <cell r="CD183">
            <v>0</v>
          </cell>
          <cell r="CE183">
            <v>0</v>
          </cell>
          <cell r="CF183">
            <v>0</v>
          </cell>
          <cell r="CG183">
            <v>34931442.830446169</v>
          </cell>
          <cell r="CH183">
            <v>0</v>
          </cell>
          <cell r="CI183">
            <v>0</v>
          </cell>
          <cell r="CJ183">
            <v>0</v>
          </cell>
          <cell r="CK183">
            <v>0</v>
          </cell>
          <cell r="CL183">
            <v>0</v>
          </cell>
          <cell r="CM183">
            <v>0</v>
          </cell>
          <cell r="CN183">
            <v>0</v>
          </cell>
          <cell r="CO183">
            <v>35074214.837511383</v>
          </cell>
          <cell r="CP183">
            <v>34931442.830446169</v>
          </cell>
          <cell r="CQ183">
            <v>34931442.830446169</v>
          </cell>
          <cell r="CR183">
            <v>34931442.830446169</v>
          </cell>
          <cell r="CS183">
            <v>34931442.830446169</v>
          </cell>
          <cell r="CT183">
            <v>34931442.830446169</v>
          </cell>
          <cell r="CU183">
            <v>0</v>
          </cell>
          <cell r="CV183">
            <v>34931442.830446169</v>
          </cell>
          <cell r="CW183">
            <v>34931442.830446169</v>
          </cell>
          <cell r="CX183">
            <v>0</v>
          </cell>
          <cell r="CY183">
            <v>34931442.830446169</v>
          </cell>
          <cell r="CZ183">
            <v>38430531.841422789</v>
          </cell>
          <cell r="DA183">
            <v>34931442.830446169</v>
          </cell>
          <cell r="DB183">
            <v>36444046.133391805</v>
          </cell>
          <cell r="DC183">
            <v>40221967.127992339</v>
          </cell>
          <cell r="DD183">
            <v>26297499.668208547</v>
          </cell>
          <cell r="DE183">
            <v>0</v>
          </cell>
          <cell r="DF183">
            <v>47347582.726636089</v>
          </cell>
          <cell r="DG183">
            <v>36272835.682091706</v>
          </cell>
          <cell r="DH183">
            <v>0</v>
          </cell>
          <cell r="DI183">
            <v>41198963.430194303</v>
          </cell>
          <cell r="DJ183">
            <v>0</v>
          </cell>
          <cell r="DK183">
            <v>0</v>
          </cell>
          <cell r="DL183">
            <v>0</v>
          </cell>
          <cell r="DM183">
            <v>0</v>
          </cell>
          <cell r="DN183">
            <v>0</v>
          </cell>
          <cell r="DO183">
            <v>0</v>
          </cell>
          <cell r="DP183">
            <v>0</v>
          </cell>
          <cell r="DQ183">
            <v>0</v>
          </cell>
          <cell r="DR183">
            <v>0</v>
          </cell>
          <cell r="DS183">
            <v>0</v>
          </cell>
          <cell r="DT183">
            <v>0</v>
          </cell>
          <cell r="DU183">
            <v>0</v>
          </cell>
          <cell r="DV183">
            <v>0</v>
          </cell>
          <cell r="DW183">
            <v>0</v>
          </cell>
          <cell r="EA183">
            <v>0</v>
          </cell>
          <cell r="EB183">
            <v>0</v>
          </cell>
          <cell r="EC183">
            <v>0</v>
          </cell>
          <cell r="ED183">
            <v>0</v>
          </cell>
          <cell r="EE183">
            <v>0</v>
          </cell>
          <cell r="EF183">
            <v>0</v>
          </cell>
          <cell r="EG183">
            <v>0</v>
          </cell>
          <cell r="EH183">
            <v>0</v>
          </cell>
          <cell r="EI183">
            <v>0</v>
          </cell>
          <cell r="EJ183">
            <v>0</v>
          </cell>
          <cell r="EK183">
            <v>0</v>
          </cell>
          <cell r="EL183">
            <v>0</v>
          </cell>
          <cell r="EM183">
            <v>0</v>
          </cell>
          <cell r="EN183">
            <v>0</v>
          </cell>
          <cell r="EO183">
            <v>0</v>
          </cell>
          <cell r="EP183">
            <v>0</v>
          </cell>
          <cell r="EQ183">
            <v>0</v>
          </cell>
          <cell r="ER183">
            <v>0</v>
          </cell>
          <cell r="ES183">
            <v>0</v>
          </cell>
          <cell r="ET183">
            <v>0</v>
          </cell>
          <cell r="EU183">
            <v>0</v>
          </cell>
          <cell r="EV183">
            <v>0</v>
          </cell>
          <cell r="EW183">
            <v>0</v>
          </cell>
          <cell r="EX183">
            <v>0</v>
          </cell>
          <cell r="EY183">
            <v>0</v>
          </cell>
          <cell r="EZ183">
            <v>0</v>
          </cell>
          <cell r="FA183">
            <v>0</v>
          </cell>
          <cell r="FB183">
            <v>0</v>
          </cell>
          <cell r="FC183">
            <v>0</v>
          </cell>
          <cell r="FD183">
            <v>0</v>
          </cell>
          <cell r="FE183">
            <v>34931442.830446169</v>
          </cell>
          <cell r="FF183">
            <v>35923499.298971593</v>
          </cell>
          <cell r="FG183">
            <v>33948291.19288291</v>
          </cell>
          <cell r="FH183">
            <v>0</v>
          </cell>
          <cell r="FI183">
            <v>0</v>
          </cell>
          <cell r="FJ183">
            <v>0</v>
          </cell>
          <cell r="FK183">
            <v>0</v>
          </cell>
          <cell r="FL183">
            <v>0</v>
          </cell>
          <cell r="FM183">
            <v>0</v>
          </cell>
          <cell r="FN183">
            <v>0</v>
          </cell>
          <cell r="FO183">
            <v>0</v>
          </cell>
          <cell r="FP183">
            <v>0</v>
          </cell>
          <cell r="FQ183">
            <v>0</v>
          </cell>
          <cell r="FR183">
            <v>0</v>
          </cell>
          <cell r="FS183">
            <v>34931442.830446169</v>
          </cell>
          <cell r="FT183">
            <v>0</v>
          </cell>
          <cell r="FU183">
            <v>0</v>
          </cell>
          <cell r="FV183">
            <v>0</v>
          </cell>
          <cell r="FW183">
            <v>0</v>
          </cell>
          <cell r="FX183">
            <v>0</v>
          </cell>
          <cell r="FY183">
            <v>0</v>
          </cell>
          <cell r="FZ183">
            <v>0</v>
          </cell>
          <cell r="GA183">
            <v>35074214.837511383</v>
          </cell>
          <cell r="GB183">
            <v>38430531.841422789</v>
          </cell>
          <cell r="GC183">
            <v>34931442.830446169</v>
          </cell>
          <cell r="GD183">
            <v>36444046.133391805</v>
          </cell>
          <cell r="GE183">
            <v>40221967.127992339</v>
          </cell>
          <cell r="GF183">
            <v>26297499.668208547</v>
          </cell>
          <cell r="GG183">
            <v>0</v>
          </cell>
          <cell r="GH183">
            <v>47347582.726636089</v>
          </cell>
          <cell r="GI183">
            <v>36272835.682091706</v>
          </cell>
          <cell r="GJ183">
            <v>0</v>
          </cell>
          <cell r="GK183">
            <v>41198963.430194303</v>
          </cell>
          <cell r="GL183">
            <v>0</v>
          </cell>
          <cell r="GM183">
            <v>0</v>
          </cell>
          <cell r="GN183">
            <v>0</v>
          </cell>
          <cell r="GO183">
            <v>0</v>
          </cell>
          <cell r="GP183">
            <v>0</v>
          </cell>
          <cell r="GQ183">
            <v>0</v>
          </cell>
          <cell r="GR183">
            <v>0</v>
          </cell>
          <cell r="GS183">
            <v>0</v>
          </cell>
          <cell r="GT183">
            <v>0</v>
          </cell>
          <cell r="GZ183">
            <v>6113985886.0200014</v>
          </cell>
        </row>
        <row r="184">
          <cell r="A184" t="str">
            <v>I_BVP_NRF_RIS_IND_INTR_S13</v>
          </cell>
          <cell r="B184">
            <v>2439189.64</v>
          </cell>
          <cell r="C184">
            <v>0</v>
          </cell>
          <cell r="D184">
            <v>2439189.64</v>
          </cell>
          <cell r="E184">
            <v>7902.07</v>
          </cell>
          <cell r="F184">
            <v>2439189.64</v>
          </cell>
          <cell r="G184">
            <v>2439189.64</v>
          </cell>
          <cell r="H184">
            <v>0</v>
          </cell>
          <cell r="I184">
            <v>0</v>
          </cell>
          <cell r="J184">
            <v>0</v>
          </cell>
          <cell r="K184">
            <v>0</v>
          </cell>
          <cell r="L184">
            <v>0</v>
          </cell>
          <cell r="M184">
            <v>0</v>
          </cell>
          <cell r="N184">
            <v>0</v>
          </cell>
          <cell r="O184">
            <v>0</v>
          </cell>
          <cell r="P184">
            <v>0</v>
          </cell>
          <cell r="Q184">
            <v>0</v>
          </cell>
          <cell r="R184">
            <v>0</v>
          </cell>
          <cell r="S184">
            <v>2439189.64</v>
          </cell>
          <cell r="T184">
            <v>0</v>
          </cell>
          <cell r="U184">
            <v>0</v>
          </cell>
          <cell r="V184">
            <v>0</v>
          </cell>
          <cell r="W184">
            <v>0</v>
          </cell>
          <cell r="X184">
            <v>0</v>
          </cell>
          <cell r="Y184">
            <v>0</v>
          </cell>
          <cell r="Z184">
            <v>0</v>
          </cell>
          <cell r="AA184">
            <v>2439189.64</v>
          </cell>
          <cell r="AB184">
            <v>2439189.64</v>
          </cell>
          <cell r="AC184">
            <v>2439189.64</v>
          </cell>
          <cell r="AD184">
            <v>0</v>
          </cell>
          <cell r="AE184">
            <v>0</v>
          </cell>
          <cell r="AF184">
            <v>0</v>
          </cell>
          <cell r="AG184">
            <v>0</v>
          </cell>
          <cell r="AH184">
            <v>0</v>
          </cell>
          <cell r="AI184">
            <v>0</v>
          </cell>
          <cell r="AJ184">
            <v>0</v>
          </cell>
          <cell r="AK184">
            <v>0</v>
          </cell>
          <cell r="AL184">
            <v>0</v>
          </cell>
          <cell r="AM184">
            <v>0</v>
          </cell>
          <cell r="AN184">
            <v>0</v>
          </cell>
          <cell r="AO184">
            <v>2439189.64</v>
          </cell>
          <cell r="AP184">
            <v>0</v>
          </cell>
          <cell r="AQ184">
            <v>0</v>
          </cell>
          <cell r="AR184">
            <v>0</v>
          </cell>
          <cell r="AS184">
            <v>0</v>
          </cell>
          <cell r="AT184">
            <v>0</v>
          </cell>
          <cell r="AU184">
            <v>0</v>
          </cell>
          <cell r="AV184">
            <v>0</v>
          </cell>
          <cell r="AW184">
            <v>2439189.64</v>
          </cell>
          <cell r="AX184">
            <v>7902.07</v>
          </cell>
          <cell r="AY184">
            <v>7902.07</v>
          </cell>
          <cell r="AZ184">
            <v>0</v>
          </cell>
          <cell r="BA184">
            <v>0</v>
          </cell>
          <cell r="BB184">
            <v>0</v>
          </cell>
          <cell r="BC184">
            <v>0</v>
          </cell>
          <cell r="BD184">
            <v>0</v>
          </cell>
          <cell r="BE184">
            <v>0</v>
          </cell>
          <cell r="BF184">
            <v>0</v>
          </cell>
          <cell r="BG184">
            <v>0</v>
          </cell>
          <cell r="BH184">
            <v>0</v>
          </cell>
          <cell r="BI184">
            <v>0</v>
          </cell>
          <cell r="BJ184">
            <v>0</v>
          </cell>
          <cell r="BK184">
            <v>7902.07</v>
          </cell>
          <cell r="BL184">
            <v>0</v>
          </cell>
          <cell r="BM184">
            <v>0</v>
          </cell>
          <cell r="BN184">
            <v>0</v>
          </cell>
          <cell r="BO184">
            <v>0</v>
          </cell>
          <cell r="BP184">
            <v>0</v>
          </cell>
          <cell r="BQ184">
            <v>0</v>
          </cell>
          <cell r="BR184">
            <v>0</v>
          </cell>
          <cell r="BS184">
            <v>7902.07</v>
          </cell>
          <cell r="BT184">
            <v>7902.07</v>
          </cell>
          <cell r="BU184">
            <v>7902.07</v>
          </cell>
          <cell r="BV184">
            <v>0</v>
          </cell>
          <cell r="BW184">
            <v>0</v>
          </cell>
          <cell r="BX184">
            <v>0</v>
          </cell>
          <cell r="BY184">
            <v>0</v>
          </cell>
          <cell r="BZ184">
            <v>0</v>
          </cell>
          <cell r="CA184">
            <v>0</v>
          </cell>
          <cell r="CB184">
            <v>0</v>
          </cell>
          <cell r="CC184">
            <v>0</v>
          </cell>
          <cell r="CD184">
            <v>0</v>
          </cell>
          <cell r="CE184">
            <v>0</v>
          </cell>
          <cell r="CF184">
            <v>0</v>
          </cell>
          <cell r="CG184">
            <v>7902.07</v>
          </cell>
          <cell r="CH184">
            <v>0</v>
          </cell>
          <cell r="CI184">
            <v>0</v>
          </cell>
          <cell r="CJ184">
            <v>0</v>
          </cell>
          <cell r="CK184">
            <v>0</v>
          </cell>
          <cell r="CL184">
            <v>0</v>
          </cell>
          <cell r="CM184">
            <v>0</v>
          </cell>
          <cell r="CN184">
            <v>0</v>
          </cell>
          <cell r="CO184">
            <v>7902.07</v>
          </cell>
          <cell r="CP184">
            <v>7902.07</v>
          </cell>
          <cell r="CQ184">
            <v>7902.07</v>
          </cell>
          <cell r="CR184">
            <v>7902.07</v>
          </cell>
          <cell r="CS184">
            <v>7902.07</v>
          </cell>
          <cell r="CT184">
            <v>7902.07</v>
          </cell>
          <cell r="CU184">
            <v>0</v>
          </cell>
          <cell r="CV184">
            <v>7902.07</v>
          </cell>
          <cell r="CW184">
            <v>7902.07</v>
          </cell>
          <cell r="CX184">
            <v>0</v>
          </cell>
          <cell r="CY184">
            <v>7902.07</v>
          </cell>
          <cell r="CZ184">
            <v>0</v>
          </cell>
          <cell r="DA184">
            <v>0</v>
          </cell>
          <cell r="DB184">
            <v>0</v>
          </cell>
          <cell r="DC184">
            <v>7902.07</v>
          </cell>
          <cell r="DD184">
            <v>7902.07</v>
          </cell>
          <cell r="DE184">
            <v>0</v>
          </cell>
          <cell r="DF184">
            <v>7902.07</v>
          </cell>
          <cell r="DG184">
            <v>0</v>
          </cell>
          <cell r="DH184">
            <v>0</v>
          </cell>
          <cell r="DI184">
            <v>0</v>
          </cell>
          <cell r="DJ184">
            <v>0</v>
          </cell>
          <cell r="DK184">
            <v>0</v>
          </cell>
          <cell r="DL184">
            <v>0</v>
          </cell>
          <cell r="DM184">
            <v>0</v>
          </cell>
          <cell r="DN184">
            <v>0</v>
          </cell>
          <cell r="DO184">
            <v>0</v>
          </cell>
          <cell r="DP184">
            <v>0</v>
          </cell>
          <cell r="DQ184">
            <v>0</v>
          </cell>
          <cell r="DR184">
            <v>0</v>
          </cell>
          <cell r="DS184">
            <v>0</v>
          </cell>
          <cell r="DT184">
            <v>0</v>
          </cell>
          <cell r="DU184">
            <v>0</v>
          </cell>
          <cell r="DV184">
            <v>0</v>
          </cell>
          <cell r="DW184">
            <v>0</v>
          </cell>
          <cell r="EA184">
            <v>0</v>
          </cell>
          <cell r="EB184">
            <v>0</v>
          </cell>
          <cell r="EC184">
            <v>0</v>
          </cell>
          <cell r="ED184">
            <v>0</v>
          </cell>
          <cell r="EE184">
            <v>0</v>
          </cell>
          <cell r="EF184">
            <v>0</v>
          </cell>
          <cell r="EG184">
            <v>0</v>
          </cell>
          <cell r="EH184">
            <v>0</v>
          </cell>
          <cell r="EI184">
            <v>0</v>
          </cell>
          <cell r="EJ184">
            <v>0</v>
          </cell>
          <cell r="EK184">
            <v>0</v>
          </cell>
          <cell r="EL184">
            <v>0</v>
          </cell>
          <cell r="EM184">
            <v>0</v>
          </cell>
          <cell r="EN184">
            <v>0</v>
          </cell>
          <cell r="EO184">
            <v>0</v>
          </cell>
          <cell r="EP184">
            <v>0</v>
          </cell>
          <cell r="EQ184">
            <v>0</v>
          </cell>
          <cell r="ER184">
            <v>0</v>
          </cell>
          <cell r="ES184">
            <v>0</v>
          </cell>
          <cell r="ET184">
            <v>0</v>
          </cell>
          <cell r="EU184">
            <v>0</v>
          </cell>
          <cell r="EV184">
            <v>0</v>
          </cell>
          <cell r="EW184">
            <v>0</v>
          </cell>
          <cell r="EX184">
            <v>0</v>
          </cell>
          <cell r="EY184">
            <v>0</v>
          </cell>
          <cell r="EZ184">
            <v>0</v>
          </cell>
          <cell r="FA184">
            <v>0</v>
          </cell>
          <cell r="FB184">
            <v>0</v>
          </cell>
          <cell r="FC184">
            <v>0</v>
          </cell>
          <cell r="FD184">
            <v>0</v>
          </cell>
          <cell r="FE184">
            <v>7902.07</v>
          </cell>
          <cell r="FF184">
            <v>7902.07</v>
          </cell>
          <cell r="FG184">
            <v>7902.07</v>
          </cell>
          <cell r="FH184">
            <v>0</v>
          </cell>
          <cell r="FI184">
            <v>0</v>
          </cell>
          <cell r="FJ184">
            <v>0</v>
          </cell>
          <cell r="FK184">
            <v>0</v>
          </cell>
          <cell r="FL184">
            <v>0</v>
          </cell>
          <cell r="FM184">
            <v>0</v>
          </cell>
          <cell r="FN184">
            <v>0</v>
          </cell>
          <cell r="FO184">
            <v>0</v>
          </cell>
          <cell r="FP184">
            <v>0</v>
          </cell>
          <cell r="FQ184">
            <v>0</v>
          </cell>
          <cell r="FR184">
            <v>0</v>
          </cell>
          <cell r="FS184">
            <v>7902.07</v>
          </cell>
          <cell r="FT184">
            <v>0</v>
          </cell>
          <cell r="FU184">
            <v>0</v>
          </cell>
          <cell r="FV184">
            <v>0</v>
          </cell>
          <cell r="FW184">
            <v>0</v>
          </cell>
          <cell r="FX184">
            <v>0</v>
          </cell>
          <cell r="FY184">
            <v>0</v>
          </cell>
          <cell r="FZ184">
            <v>0</v>
          </cell>
          <cell r="GA184">
            <v>7902.07</v>
          </cell>
          <cell r="GB184">
            <v>0</v>
          </cell>
          <cell r="GC184">
            <v>0</v>
          </cell>
          <cell r="GD184">
            <v>0</v>
          </cell>
          <cell r="GE184">
            <v>7902.07</v>
          </cell>
          <cell r="GF184">
            <v>7902.07</v>
          </cell>
          <cell r="GG184">
            <v>0</v>
          </cell>
          <cell r="GH184">
            <v>7902.07</v>
          </cell>
          <cell r="GI184">
            <v>0</v>
          </cell>
          <cell r="GJ184">
            <v>0</v>
          </cell>
          <cell r="GK184">
            <v>0</v>
          </cell>
          <cell r="GL184">
            <v>0</v>
          </cell>
          <cell r="GM184">
            <v>0</v>
          </cell>
          <cell r="GN184">
            <v>0</v>
          </cell>
          <cell r="GO184">
            <v>0</v>
          </cell>
          <cell r="GP184">
            <v>0</v>
          </cell>
          <cell r="GQ184">
            <v>0</v>
          </cell>
          <cell r="GR184">
            <v>0</v>
          </cell>
          <cell r="GS184">
            <v>0</v>
          </cell>
          <cell r="GT184">
            <v>0</v>
          </cell>
          <cell r="GZ184">
            <v>12093156.189999999</v>
          </cell>
        </row>
        <row r="185">
          <cell r="A185" t="str">
            <v>I_BVP_NRF_EPA_UCS_INTR_S14</v>
          </cell>
          <cell r="B185">
            <v>34665685.320000008</v>
          </cell>
          <cell r="C185">
            <v>0</v>
          </cell>
          <cell r="D185">
            <v>43500675.291099995</v>
          </cell>
          <cell r="E185">
            <v>34516376.755810246</v>
          </cell>
          <cell r="F185">
            <v>43500675.291099995</v>
          </cell>
          <cell r="G185">
            <v>43500675.291099995</v>
          </cell>
          <cell r="H185">
            <v>0</v>
          </cell>
          <cell r="I185">
            <v>0</v>
          </cell>
          <cell r="J185">
            <v>0</v>
          </cell>
          <cell r="K185">
            <v>0</v>
          </cell>
          <cell r="L185">
            <v>0</v>
          </cell>
          <cell r="M185">
            <v>0</v>
          </cell>
          <cell r="N185">
            <v>0</v>
          </cell>
          <cell r="O185">
            <v>0</v>
          </cell>
          <cell r="P185">
            <v>0</v>
          </cell>
          <cell r="Q185">
            <v>0</v>
          </cell>
          <cell r="R185">
            <v>0</v>
          </cell>
          <cell r="S185">
            <v>43500675.291099995</v>
          </cell>
          <cell r="T185">
            <v>0</v>
          </cell>
          <cell r="U185">
            <v>0</v>
          </cell>
          <cell r="V185">
            <v>0</v>
          </cell>
          <cell r="W185">
            <v>0</v>
          </cell>
          <cell r="X185">
            <v>0</v>
          </cell>
          <cell r="Y185">
            <v>0</v>
          </cell>
          <cell r="Z185">
            <v>0</v>
          </cell>
          <cell r="AA185">
            <v>43500675.291099995</v>
          </cell>
          <cell r="AB185">
            <v>44223959.707189582</v>
          </cell>
          <cell r="AC185">
            <v>42689745.251780018</v>
          </cell>
          <cell r="AD185">
            <v>0</v>
          </cell>
          <cell r="AE185">
            <v>0</v>
          </cell>
          <cell r="AF185">
            <v>0</v>
          </cell>
          <cell r="AG185">
            <v>0</v>
          </cell>
          <cell r="AH185">
            <v>0</v>
          </cell>
          <cell r="AI185">
            <v>0</v>
          </cell>
          <cell r="AJ185">
            <v>0</v>
          </cell>
          <cell r="AK185">
            <v>0</v>
          </cell>
          <cell r="AL185">
            <v>0</v>
          </cell>
          <cell r="AM185">
            <v>0</v>
          </cell>
          <cell r="AN185">
            <v>0</v>
          </cell>
          <cell r="AO185">
            <v>42669535.532268815</v>
          </cell>
          <cell r="AP185">
            <v>0</v>
          </cell>
          <cell r="AQ185">
            <v>0</v>
          </cell>
          <cell r="AR185">
            <v>0</v>
          </cell>
          <cell r="AS185">
            <v>0</v>
          </cell>
          <cell r="AT185">
            <v>0</v>
          </cell>
          <cell r="AU185">
            <v>0</v>
          </cell>
          <cell r="AV185">
            <v>0</v>
          </cell>
          <cell r="AW185">
            <v>43500675.291099995</v>
          </cell>
          <cell r="AX185">
            <v>34516376.755810246</v>
          </cell>
          <cell r="AY185">
            <v>34516376.755810246</v>
          </cell>
          <cell r="AZ185">
            <v>0</v>
          </cell>
          <cell r="BA185">
            <v>0</v>
          </cell>
          <cell r="BB185">
            <v>0</v>
          </cell>
          <cell r="BC185">
            <v>0</v>
          </cell>
          <cell r="BD185">
            <v>0</v>
          </cell>
          <cell r="BE185">
            <v>0</v>
          </cell>
          <cell r="BF185">
            <v>0</v>
          </cell>
          <cell r="BG185">
            <v>0</v>
          </cell>
          <cell r="BH185">
            <v>0</v>
          </cell>
          <cell r="BI185">
            <v>0</v>
          </cell>
          <cell r="BJ185">
            <v>0</v>
          </cell>
          <cell r="BK185">
            <v>34516376.755810246</v>
          </cell>
          <cell r="BL185">
            <v>0</v>
          </cell>
          <cell r="BM185">
            <v>0</v>
          </cell>
          <cell r="BN185">
            <v>0</v>
          </cell>
          <cell r="BO185">
            <v>0</v>
          </cell>
          <cell r="BP185">
            <v>0</v>
          </cell>
          <cell r="BQ185">
            <v>0</v>
          </cell>
          <cell r="BR185">
            <v>0</v>
          </cell>
          <cell r="BS185">
            <v>34516376.755810246</v>
          </cell>
          <cell r="BT185">
            <v>35235654.81346783</v>
          </cell>
          <cell r="BU185">
            <v>34100376.042130947</v>
          </cell>
          <cell r="BV185">
            <v>0</v>
          </cell>
          <cell r="BW185">
            <v>0</v>
          </cell>
          <cell r="BX185">
            <v>0</v>
          </cell>
          <cell r="BY185">
            <v>0</v>
          </cell>
          <cell r="BZ185">
            <v>0</v>
          </cell>
          <cell r="CA185">
            <v>0</v>
          </cell>
          <cell r="CB185">
            <v>0</v>
          </cell>
          <cell r="CC185">
            <v>0</v>
          </cell>
          <cell r="CD185">
            <v>0</v>
          </cell>
          <cell r="CE185">
            <v>0</v>
          </cell>
          <cell r="CF185">
            <v>0</v>
          </cell>
          <cell r="CG185">
            <v>34516376.755810246</v>
          </cell>
          <cell r="CH185">
            <v>0</v>
          </cell>
          <cell r="CI185">
            <v>0</v>
          </cell>
          <cell r="CJ185">
            <v>0</v>
          </cell>
          <cell r="CK185">
            <v>0</v>
          </cell>
          <cell r="CL185">
            <v>0</v>
          </cell>
          <cell r="CM185">
            <v>0</v>
          </cell>
          <cell r="CN185">
            <v>0</v>
          </cell>
          <cell r="CO185">
            <v>34872677.048242986</v>
          </cell>
          <cell r="CP185">
            <v>34516376.755810246</v>
          </cell>
          <cell r="CQ185">
            <v>34516376.755810246</v>
          </cell>
          <cell r="CR185">
            <v>34516376.755810246</v>
          </cell>
          <cell r="CS185">
            <v>34516376.755810246</v>
          </cell>
          <cell r="CT185">
            <v>34516376.755810246</v>
          </cell>
          <cell r="CU185">
            <v>0</v>
          </cell>
          <cell r="CV185">
            <v>34516376.755810246</v>
          </cell>
          <cell r="CW185">
            <v>34516376.755810246</v>
          </cell>
          <cell r="CX185">
            <v>0</v>
          </cell>
          <cell r="CY185">
            <v>34516376.755810246</v>
          </cell>
          <cell r="CZ185">
            <v>34560497.652255751</v>
          </cell>
          <cell r="DA185">
            <v>34516376.755810246</v>
          </cell>
          <cell r="DB185">
            <v>34516376.755810246</v>
          </cell>
          <cell r="DC185">
            <v>34646038.911968924</v>
          </cell>
          <cell r="DD185">
            <v>34252649.769537427</v>
          </cell>
          <cell r="DE185">
            <v>0</v>
          </cell>
          <cell r="DF185">
            <v>34984587.332173683</v>
          </cell>
          <cell r="DG185">
            <v>34549640.249632291</v>
          </cell>
          <cell r="DH185">
            <v>0</v>
          </cell>
          <cell r="DI185">
            <v>34520114.51445087</v>
          </cell>
          <cell r="DJ185">
            <v>0</v>
          </cell>
          <cell r="DK185">
            <v>0</v>
          </cell>
          <cell r="DL185">
            <v>0</v>
          </cell>
          <cell r="DM185">
            <v>0</v>
          </cell>
          <cell r="DN185">
            <v>0</v>
          </cell>
          <cell r="DO185">
            <v>0</v>
          </cell>
          <cell r="DP185">
            <v>0</v>
          </cell>
          <cell r="DQ185">
            <v>0</v>
          </cell>
          <cell r="DR185">
            <v>0</v>
          </cell>
          <cell r="DS185">
            <v>0</v>
          </cell>
          <cell r="DT185">
            <v>0</v>
          </cell>
          <cell r="DU185">
            <v>0</v>
          </cell>
          <cell r="DV185">
            <v>0</v>
          </cell>
          <cell r="DW185">
            <v>0</v>
          </cell>
          <cell r="EA185">
            <v>0</v>
          </cell>
          <cell r="EB185">
            <v>0</v>
          </cell>
          <cell r="EC185">
            <v>0</v>
          </cell>
          <cell r="ED185">
            <v>0</v>
          </cell>
          <cell r="EE185">
            <v>0</v>
          </cell>
          <cell r="EF185">
            <v>0</v>
          </cell>
          <cell r="EG185">
            <v>0</v>
          </cell>
          <cell r="EH185">
            <v>0</v>
          </cell>
          <cell r="EI185">
            <v>0</v>
          </cell>
          <cell r="EJ185">
            <v>0</v>
          </cell>
          <cell r="EK185">
            <v>0</v>
          </cell>
          <cell r="EL185">
            <v>0</v>
          </cell>
          <cell r="EM185">
            <v>0</v>
          </cell>
          <cell r="EN185">
            <v>0</v>
          </cell>
          <cell r="EO185">
            <v>0</v>
          </cell>
          <cell r="EP185">
            <v>0</v>
          </cell>
          <cell r="EQ185">
            <v>0</v>
          </cell>
          <cell r="ER185">
            <v>0</v>
          </cell>
          <cell r="ES185">
            <v>0</v>
          </cell>
          <cell r="ET185">
            <v>0</v>
          </cell>
          <cell r="EU185">
            <v>0</v>
          </cell>
          <cell r="EV185">
            <v>0</v>
          </cell>
          <cell r="EW185">
            <v>0</v>
          </cell>
          <cell r="EX185">
            <v>0</v>
          </cell>
          <cell r="EY185">
            <v>0</v>
          </cell>
          <cell r="EZ185">
            <v>0</v>
          </cell>
          <cell r="FA185">
            <v>0</v>
          </cell>
          <cell r="FB185">
            <v>0</v>
          </cell>
          <cell r="FC185">
            <v>0</v>
          </cell>
          <cell r="FD185">
            <v>0</v>
          </cell>
          <cell r="FE185">
            <v>34516376.755810246</v>
          </cell>
          <cell r="FF185">
            <v>35235654.81346783</v>
          </cell>
          <cell r="FG185">
            <v>34100376.042130947</v>
          </cell>
          <cell r="FH185">
            <v>0</v>
          </cell>
          <cell r="FI185">
            <v>0</v>
          </cell>
          <cell r="FJ185">
            <v>0</v>
          </cell>
          <cell r="FK185">
            <v>0</v>
          </cell>
          <cell r="FL185">
            <v>0</v>
          </cell>
          <cell r="FM185">
            <v>0</v>
          </cell>
          <cell r="FN185">
            <v>0</v>
          </cell>
          <cell r="FO185">
            <v>0</v>
          </cell>
          <cell r="FP185">
            <v>0</v>
          </cell>
          <cell r="FQ185">
            <v>0</v>
          </cell>
          <cell r="FR185">
            <v>0</v>
          </cell>
          <cell r="FS185">
            <v>34516376.755810246</v>
          </cell>
          <cell r="FT185">
            <v>0</v>
          </cell>
          <cell r="FU185">
            <v>0</v>
          </cell>
          <cell r="FV185">
            <v>0</v>
          </cell>
          <cell r="FW185">
            <v>0</v>
          </cell>
          <cell r="FX185">
            <v>0</v>
          </cell>
          <cell r="FY185">
            <v>0</v>
          </cell>
          <cell r="FZ185">
            <v>0</v>
          </cell>
          <cell r="GA185">
            <v>34872677.048242986</v>
          </cell>
          <cell r="GB185">
            <v>34560497.652255751</v>
          </cell>
          <cell r="GC185">
            <v>34516376.755810246</v>
          </cell>
          <cell r="GD185">
            <v>34516376.755810246</v>
          </cell>
          <cell r="GE185">
            <v>34646038.911968924</v>
          </cell>
          <cell r="GF185">
            <v>34252649.769537427</v>
          </cell>
          <cell r="GG185">
            <v>0</v>
          </cell>
          <cell r="GH185">
            <v>34984587.332173683</v>
          </cell>
          <cell r="GI185">
            <v>34549640.249632291</v>
          </cell>
          <cell r="GJ185">
            <v>0</v>
          </cell>
          <cell r="GK185">
            <v>34520114.51445087</v>
          </cell>
          <cell r="GL185">
            <v>0</v>
          </cell>
          <cell r="GM185">
            <v>0</v>
          </cell>
          <cell r="GN185">
            <v>0</v>
          </cell>
          <cell r="GO185">
            <v>0</v>
          </cell>
          <cell r="GP185">
            <v>0</v>
          </cell>
          <cell r="GQ185">
            <v>0</v>
          </cell>
          <cell r="GR185">
            <v>0</v>
          </cell>
          <cell r="GS185">
            <v>0</v>
          </cell>
          <cell r="GT185">
            <v>0</v>
          </cell>
          <cell r="GZ185">
            <v>7604103.04</v>
          </cell>
        </row>
        <row r="186">
          <cell r="A186" t="str">
            <v>I_BVP_NRF_EPA_UCS_INTR_S15</v>
          </cell>
          <cell r="B186">
            <v>284425047.97999996</v>
          </cell>
          <cell r="C186">
            <v>0</v>
          </cell>
          <cell r="D186">
            <v>284425047.97999996</v>
          </cell>
          <cell r="E186">
            <v>275710593.66106325</v>
          </cell>
          <cell r="F186">
            <v>284425047.97999996</v>
          </cell>
          <cell r="G186">
            <v>284425047.97999996</v>
          </cell>
          <cell r="H186">
            <v>0</v>
          </cell>
          <cell r="I186">
            <v>0</v>
          </cell>
          <cell r="J186">
            <v>284425047.97999996</v>
          </cell>
          <cell r="K186">
            <v>0</v>
          </cell>
          <cell r="L186">
            <v>0</v>
          </cell>
          <cell r="M186">
            <v>0</v>
          </cell>
          <cell r="N186">
            <v>0</v>
          </cell>
          <cell r="O186">
            <v>0</v>
          </cell>
          <cell r="P186">
            <v>0</v>
          </cell>
          <cell r="Q186">
            <v>0</v>
          </cell>
          <cell r="R186">
            <v>0</v>
          </cell>
          <cell r="S186">
            <v>284425047.97999996</v>
          </cell>
          <cell r="T186">
            <v>0</v>
          </cell>
          <cell r="U186">
            <v>0</v>
          </cell>
          <cell r="V186">
            <v>0</v>
          </cell>
          <cell r="W186">
            <v>0</v>
          </cell>
          <cell r="X186">
            <v>0</v>
          </cell>
          <cell r="Y186">
            <v>0</v>
          </cell>
          <cell r="Z186">
            <v>0</v>
          </cell>
          <cell r="AA186">
            <v>284425047.97999996</v>
          </cell>
          <cell r="AB186">
            <v>288903029.54737037</v>
          </cell>
          <cell r="AC186">
            <v>279947066.41262954</v>
          </cell>
          <cell r="AD186">
            <v>0</v>
          </cell>
          <cell r="AE186">
            <v>0</v>
          </cell>
          <cell r="AF186">
            <v>274196808.99982631</v>
          </cell>
          <cell r="AG186">
            <v>0</v>
          </cell>
          <cell r="AH186">
            <v>0</v>
          </cell>
          <cell r="AI186">
            <v>0</v>
          </cell>
          <cell r="AJ186">
            <v>0</v>
          </cell>
          <cell r="AK186">
            <v>0</v>
          </cell>
          <cell r="AL186">
            <v>0</v>
          </cell>
          <cell r="AM186">
            <v>0</v>
          </cell>
          <cell r="AN186">
            <v>0</v>
          </cell>
          <cell r="AO186">
            <v>277302095.90210098</v>
          </cell>
          <cell r="AP186">
            <v>0</v>
          </cell>
          <cell r="AQ186">
            <v>0</v>
          </cell>
          <cell r="AR186">
            <v>0</v>
          </cell>
          <cell r="AS186">
            <v>0</v>
          </cell>
          <cell r="AT186">
            <v>0</v>
          </cell>
          <cell r="AU186">
            <v>0</v>
          </cell>
          <cell r="AV186">
            <v>0</v>
          </cell>
          <cell r="AW186">
            <v>284425047.97999996</v>
          </cell>
          <cell r="AX186">
            <v>275710593.66106325</v>
          </cell>
          <cell r="AY186">
            <v>275710593.66106325</v>
          </cell>
          <cell r="AZ186">
            <v>0</v>
          </cell>
          <cell r="BA186">
            <v>0</v>
          </cell>
          <cell r="BB186">
            <v>275710593.66106325</v>
          </cell>
          <cell r="BC186">
            <v>0</v>
          </cell>
          <cell r="BD186">
            <v>0</v>
          </cell>
          <cell r="BE186">
            <v>0</v>
          </cell>
          <cell r="BF186">
            <v>0</v>
          </cell>
          <cell r="BG186">
            <v>0</v>
          </cell>
          <cell r="BH186">
            <v>0</v>
          </cell>
          <cell r="BI186">
            <v>0</v>
          </cell>
          <cell r="BJ186">
            <v>0</v>
          </cell>
          <cell r="BK186">
            <v>275710593.66106325</v>
          </cell>
          <cell r="BL186">
            <v>0</v>
          </cell>
          <cell r="BM186">
            <v>0</v>
          </cell>
          <cell r="BN186">
            <v>0</v>
          </cell>
          <cell r="BO186">
            <v>0</v>
          </cell>
          <cell r="BP186">
            <v>0</v>
          </cell>
          <cell r="BQ186">
            <v>0</v>
          </cell>
          <cell r="BR186">
            <v>0</v>
          </cell>
          <cell r="BS186">
            <v>275710593.66106325</v>
          </cell>
          <cell r="BT186">
            <v>279831263.1473068</v>
          </cell>
          <cell r="BU186">
            <v>271618323.69824648</v>
          </cell>
          <cell r="BV186">
            <v>0</v>
          </cell>
          <cell r="BW186">
            <v>0</v>
          </cell>
          <cell r="BX186">
            <v>265868348.36236447</v>
          </cell>
          <cell r="BY186">
            <v>0</v>
          </cell>
          <cell r="BZ186">
            <v>0</v>
          </cell>
          <cell r="CA186">
            <v>0</v>
          </cell>
          <cell r="CB186">
            <v>0</v>
          </cell>
          <cell r="CC186">
            <v>0</v>
          </cell>
          <cell r="CD186">
            <v>0</v>
          </cell>
          <cell r="CE186">
            <v>0</v>
          </cell>
          <cell r="CF186">
            <v>0</v>
          </cell>
          <cell r="CG186">
            <v>268856247.85030264</v>
          </cell>
          <cell r="CH186">
            <v>0</v>
          </cell>
          <cell r="CI186">
            <v>0</v>
          </cell>
          <cell r="CJ186">
            <v>0</v>
          </cell>
          <cell r="CK186">
            <v>0</v>
          </cell>
          <cell r="CL186">
            <v>0</v>
          </cell>
          <cell r="CM186">
            <v>0</v>
          </cell>
          <cell r="CN186">
            <v>0</v>
          </cell>
          <cell r="CO186">
            <v>275710593.66106325</v>
          </cell>
          <cell r="CP186">
            <v>275710593.66106325</v>
          </cell>
          <cell r="CQ186">
            <v>275710593.66106325</v>
          </cell>
          <cell r="CR186">
            <v>275710593.66106325</v>
          </cell>
          <cell r="CS186">
            <v>275710593.66106325</v>
          </cell>
          <cell r="CT186">
            <v>275710593.66106325</v>
          </cell>
          <cell r="CU186">
            <v>0</v>
          </cell>
          <cell r="CV186">
            <v>275710593.66106325</v>
          </cell>
          <cell r="CW186">
            <v>275710593.66106325</v>
          </cell>
          <cell r="CX186">
            <v>0</v>
          </cell>
          <cell r="CY186">
            <v>275710593.66106325</v>
          </cell>
          <cell r="CZ186">
            <v>275888265.09985101</v>
          </cell>
          <cell r="DA186">
            <v>275710593.66106325</v>
          </cell>
          <cell r="DB186">
            <v>275710593.66106325</v>
          </cell>
          <cell r="DC186">
            <v>278605957.26674074</v>
          </cell>
          <cell r="DD186">
            <v>268906651.54373193</v>
          </cell>
          <cell r="DE186">
            <v>0</v>
          </cell>
          <cell r="DF186">
            <v>277740605.33235824</v>
          </cell>
          <cell r="DG186">
            <v>276056377.60809898</v>
          </cell>
          <cell r="DH186">
            <v>0</v>
          </cell>
          <cell r="DI186">
            <v>275751423.67347628</v>
          </cell>
          <cell r="DJ186">
            <v>0</v>
          </cell>
          <cell r="DK186">
            <v>0</v>
          </cell>
          <cell r="DL186">
            <v>0</v>
          </cell>
          <cell r="DM186">
            <v>0</v>
          </cell>
          <cell r="DN186">
            <v>0</v>
          </cell>
          <cell r="DO186">
            <v>0</v>
          </cell>
          <cell r="DP186">
            <v>0</v>
          </cell>
          <cell r="DQ186">
            <v>0</v>
          </cell>
          <cell r="DR186">
            <v>0</v>
          </cell>
          <cell r="DS186">
            <v>0</v>
          </cell>
          <cell r="DT186">
            <v>0</v>
          </cell>
          <cell r="DU186">
            <v>0</v>
          </cell>
          <cell r="DV186">
            <v>0</v>
          </cell>
          <cell r="DW186">
            <v>0</v>
          </cell>
          <cell r="EA186">
            <v>0</v>
          </cell>
          <cell r="EB186">
            <v>0</v>
          </cell>
          <cell r="EC186">
            <v>0</v>
          </cell>
          <cell r="ED186">
            <v>0</v>
          </cell>
          <cell r="EE186">
            <v>0</v>
          </cell>
          <cell r="EF186">
            <v>0</v>
          </cell>
          <cell r="EG186">
            <v>0</v>
          </cell>
          <cell r="EH186">
            <v>0</v>
          </cell>
          <cell r="EI186">
            <v>0</v>
          </cell>
          <cell r="EJ186">
            <v>0</v>
          </cell>
          <cell r="EK186">
            <v>0</v>
          </cell>
          <cell r="EL186">
            <v>0</v>
          </cell>
          <cell r="EM186">
            <v>0</v>
          </cell>
          <cell r="EN186">
            <v>0</v>
          </cell>
          <cell r="EO186">
            <v>0</v>
          </cell>
          <cell r="EP186">
            <v>0</v>
          </cell>
          <cell r="EQ186">
            <v>0</v>
          </cell>
          <cell r="ER186">
            <v>0</v>
          </cell>
          <cell r="ES186">
            <v>0</v>
          </cell>
          <cell r="ET186">
            <v>0</v>
          </cell>
          <cell r="EU186">
            <v>0</v>
          </cell>
          <cell r="EV186">
            <v>0</v>
          </cell>
          <cell r="EW186">
            <v>0</v>
          </cell>
          <cell r="EX186">
            <v>0</v>
          </cell>
          <cell r="EY186">
            <v>0</v>
          </cell>
          <cell r="EZ186">
            <v>0</v>
          </cell>
          <cell r="FA186">
            <v>0</v>
          </cell>
          <cell r="FB186">
            <v>0</v>
          </cell>
          <cell r="FC186">
            <v>0</v>
          </cell>
          <cell r="FD186">
            <v>0</v>
          </cell>
          <cell r="FE186">
            <v>275710593.66106325</v>
          </cell>
          <cell r="FF186">
            <v>279831263.1473068</v>
          </cell>
          <cell r="FG186">
            <v>271618323.69824648</v>
          </cell>
          <cell r="FH186">
            <v>0</v>
          </cell>
          <cell r="FI186">
            <v>0</v>
          </cell>
          <cell r="FJ186">
            <v>265868348.36236447</v>
          </cell>
          <cell r="FK186">
            <v>0</v>
          </cell>
          <cell r="FL186">
            <v>0</v>
          </cell>
          <cell r="FM186">
            <v>0</v>
          </cell>
          <cell r="FN186">
            <v>0</v>
          </cell>
          <cell r="FO186">
            <v>0</v>
          </cell>
          <cell r="FP186">
            <v>0</v>
          </cell>
          <cell r="FQ186">
            <v>0</v>
          </cell>
          <cell r="FR186">
            <v>0</v>
          </cell>
          <cell r="FS186">
            <v>268856247.85030264</v>
          </cell>
          <cell r="FT186">
            <v>0</v>
          </cell>
          <cell r="FU186">
            <v>0</v>
          </cell>
          <cell r="FV186">
            <v>0</v>
          </cell>
          <cell r="FW186">
            <v>0</v>
          </cell>
          <cell r="FX186">
            <v>0</v>
          </cell>
          <cell r="FY186">
            <v>0</v>
          </cell>
          <cell r="FZ186">
            <v>0</v>
          </cell>
          <cell r="GA186">
            <v>275710593.66106325</v>
          </cell>
          <cell r="GB186">
            <v>275888265.09985101</v>
          </cell>
          <cell r="GC186">
            <v>275710593.66106325</v>
          </cell>
          <cell r="GD186">
            <v>275710593.66106325</v>
          </cell>
          <cell r="GE186">
            <v>278605957.26674074</v>
          </cell>
          <cell r="GF186">
            <v>268906651.54373193</v>
          </cell>
          <cell r="GG186">
            <v>0</v>
          </cell>
          <cell r="GH186">
            <v>277740605.33235824</v>
          </cell>
          <cell r="GI186">
            <v>276056377.60809898</v>
          </cell>
          <cell r="GJ186">
            <v>0</v>
          </cell>
          <cell r="GK186">
            <v>275751423.67347628</v>
          </cell>
          <cell r="GL186">
            <v>0</v>
          </cell>
          <cell r="GM186">
            <v>0</v>
          </cell>
          <cell r="GN186">
            <v>0</v>
          </cell>
          <cell r="GO186">
            <v>0</v>
          </cell>
          <cell r="GP186">
            <v>0</v>
          </cell>
          <cell r="GQ186">
            <v>0</v>
          </cell>
          <cell r="GR186">
            <v>0</v>
          </cell>
          <cell r="GS186">
            <v>0</v>
          </cell>
          <cell r="GT186">
            <v>0</v>
          </cell>
          <cell r="GZ186">
            <v>17529365.070000004</v>
          </cell>
        </row>
        <row r="187">
          <cell r="A187" t="str">
            <v>I_BVP_NRF_EPA_EUR_INTR_S16</v>
          </cell>
          <cell r="B187">
            <v>44166284.32</v>
          </cell>
          <cell r="C187">
            <v>0</v>
          </cell>
          <cell r="D187">
            <v>49685415.410000004</v>
          </cell>
          <cell r="E187">
            <v>58207741.317828581</v>
          </cell>
          <cell r="F187">
            <v>49685415.410000004</v>
          </cell>
          <cell r="G187">
            <v>49685415.410000004</v>
          </cell>
          <cell r="H187">
            <v>0</v>
          </cell>
          <cell r="I187">
            <v>0</v>
          </cell>
          <cell r="J187">
            <v>0</v>
          </cell>
          <cell r="K187">
            <v>0</v>
          </cell>
          <cell r="L187">
            <v>0</v>
          </cell>
          <cell r="M187">
            <v>0</v>
          </cell>
          <cell r="N187">
            <v>0</v>
          </cell>
          <cell r="O187">
            <v>0</v>
          </cell>
          <cell r="P187">
            <v>0</v>
          </cell>
          <cell r="Q187">
            <v>0</v>
          </cell>
          <cell r="R187">
            <v>0</v>
          </cell>
          <cell r="S187">
            <v>49685415.410000004</v>
          </cell>
          <cell r="T187">
            <v>0</v>
          </cell>
          <cell r="U187">
            <v>0</v>
          </cell>
          <cell r="V187">
            <v>0</v>
          </cell>
          <cell r="W187">
            <v>0</v>
          </cell>
          <cell r="X187">
            <v>0</v>
          </cell>
          <cell r="Y187">
            <v>0</v>
          </cell>
          <cell r="Z187">
            <v>0</v>
          </cell>
          <cell r="AA187">
            <v>49685415.410000004</v>
          </cell>
          <cell r="AB187">
            <v>52892632.967796944</v>
          </cell>
          <cell r="AC187">
            <v>46626729.07735756</v>
          </cell>
          <cell r="AD187">
            <v>0</v>
          </cell>
          <cell r="AE187">
            <v>0</v>
          </cell>
          <cell r="AF187">
            <v>0</v>
          </cell>
          <cell r="AG187">
            <v>0</v>
          </cell>
          <cell r="AH187">
            <v>0</v>
          </cell>
          <cell r="AI187">
            <v>0</v>
          </cell>
          <cell r="AJ187">
            <v>0</v>
          </cell>
          <cell r="AK187">
            <v>0</v>
          </cell>
          <cell r="AL187">
            <v>0</v>
          </cell>
          <cell r="AM187">
            <v>0</v>
          </cell>
          <cell r="AN187">
            <v>0</v>
          </cell>
          <cell r="AO187">
            <v>47270052.956464268</v>
          </cell>
          <cell r="AP187">
            <v>0</v>
          </cell>
          <cell r="AQ187">
            <v>0</v>
          </cell>
          <cell r="AR187">
            <v>0</v>
          </cell>
          <cell r="AS187">
            <v>0</v>
          </cell>
          <cell r="AT187">
            <v>0</v>
          </cell>
          <cell r="AU187">
            <v>0</v>
          </cell>
          <cell r="AV187">
            <v>0</v>
          </cell>
          <cell r="AW187">
            <v>49685415.410000004</v>
          </cell>
          <cell r="AX187">
            <v>58207741.317828581</v>
          </cell>
          <cell r="AY187">
            <v>58207741.317828581</v>
          </cell>
          <cell r="AZ187">
            <v>0</v>
          </cell>
          <cell r="BA187">
            <v>0</v>
          </cell>
          <cell r="BB187">
            <v>0</v>
          </cell>
          <cell r="BC187">
            <v>0</v>
          </cell>
          <cell r="BD187">
            <v>0</v>
          </cell>
          <cell r="BE187">
            <v>0</v>
          </cell>
          <cell r="BF187">
            <v>0</v>
          </cell>
          <cell r="BG187">
            <v>0</v>
          </cell>
          <cell r="BH187">
            <v>0</v>
          </cell>
          <cell r="BI187">
            <v>0</v>
          </cell>
          <cell r="BJ187">
            <v>0</v>
          </cell>
          <cell r="BK187">
            <v>58207741.317828581</v>
          </cell>
          <cell r="BL187">
            <v>0</v>
          </cell>
          <cell r="BM187">
            <v>0</v>
          </cell>
          <cell r="BN187">
            <v>0</v>
          </cell>
          <cell r="BO187">
            <v>0</v>
          </cell>
          <cell r="BP187">
            <v>0</v>
          </cell>
          <cell r="BQ187">
            <v>0</v>
          </cell>
          <cell r="BR187">
            <v>0</v>
          </cell>
          <cell r="BS187">
            <v>58207741.317828581</v>
          </cell>
          <cell r="BT187">
            <v>64111659.40014232</v>
          </cell>
          <cell r="BU187">
            <v>53224417.425462507</v>
          </cell>
          <cell r="BV187">
            <v>0</v>
          </cell>
          <cell r="BW187">
            <v>0</v>
          </cell>
          <cell r="BX187">
            <v>0</v>
          </cell>
          <cell r="BY187">
            <v>0</v>
          </cell>
          <cell r="BZ187">
            <v>0</v>
          </cell>
          <cell r="CA187">
            <v>0</v>
          </cell>
          <cell r="CB187">
            <v>0</v>
          </cell>
          <cell r="CC187">
            <v>0</v>
          </cell>
          <cell r="CD187">
            <v>0</v>
          </cell>
          <cell r="CE187">
            <v>0</v>
          </cell>
          <cell r="CF187">
            <v>0</v>
          </cell>
          <cell r="CG187">
            <v>58207741.317828581</v>
          </cell>
          <cell r="CH187">
            <v>0</v>
          </cell>
          <cell r="CI187">
            <v>0</v>
          </cell>
          <cell r="CJ187">
            <v>0</v>
          </cell>
          <cell r="CK187">
            <v>0</v>
          </cell>
          <cell r="CL187">
            <v>0</v>
          </cell>
          <cell r="CM187">
            <v>0</v>
          </cell>
          <cell r="CN187">
            <v>0</v>
          </cell>
          <cell r="CO187">
            <v>59230528.155155145</v>
          </cell>
          <cell r="CP187">
            <v>58207741.317828581</v>
          </cell>
          <cell r="CQ187">
            <v>58207741.317828581</v>
          </cell>
          <cell r="CR187">
            <v>58207741.317828581</v>
          </cell>
          <cell r="CS187">
            <v>58207741.317828581</v>
          </cell>
          <cell r="CT187">
            <v>58207741.317828581</v>
          </cell>
          <cell r="CU187">
            <v>0</v>
          </cell>
          <cell r="CV187">
            <v>58207741.317828581</v>
          </cell>
          <cell r="CW187">
            <v>58207741.317828581</v>
          </cell>
          <cell r="CX187">
            <v>0</v>
          </cell>
          <cell r="CY187">
            <v>58207741.317828581</v>
          </cell>
          <cell r="CZ187">
            <v>58213832.272311755</v>
          </cell>
          <cell r="DA187">
            <v>58372056.454392172</v>
          </cell>
          <cell r="DB187">
            <v>58207741.317828581</v>
          </cell>
          <cell r="DC187">
            <v>55951938.054628663</v>
          </cell>
          <cell r="DD187">
            <v>61563630.595435582</v>
          </cell>
          <cell r="DE187">
            <v>0</v>
          </cell>
          <cell r="DF187">
            <v>53424409.665732145</v>
          </cell>
          <cell r="DG187">
            <v>58264003.555510424</v>
          </cell>
          <cell r="DH187">
            <v>0</v>
          </cell>
          <cell r="DI187">
            <v>58183794.131706499</v>
          </cell>
          <cell r="DJ187">
            <v>0</v>
          </cell>
          <cell r="DK187">
            <v>0</v>
          </cell>
          <cell r="DL187">
            <v>0</v>
          </cell>
          <cell r="DM187">
            <v>0</v>
          </cell>
          <cell r="DN187">
            <v>0</v>
          </cell>
          <cell r="DO187">
            <v>0</v>
          </cell>
          <cell r="DP187">
            <v>0</v>
          </cell>
          <cell r="DQ187">
            <v>0</v>
          </cell>
          <cell r="DR187">
            <v>0</v>
          </cell>
          <cell r="DS187">
            <v>0</v>
          </cell>
          <cell r="DT187">
            <v>0</v>
          </cell>
          <cell r="DU187">
            <v>0</v>
          </cell>
          <cell r="DV187">
            <v>0</v>
          </cell>
          <cell r="DW187">
            <v>0</v>
          </cell>
          <cell r="EA187">
            <v>0</v>
          </cell>
          <cell r="EB187">
            <v>0</v>
          </cell>
          <cell r="EC187">
            <v>0</v>
          </cell>
          <cell r="ED187">
            <v>0</v>
          </cell>
          <cell r="EE187">
            <v>0</v>
          </cell>
          <cell r="EF187">
            <v>0</v>
          </cell>
          <cell r="EG187">
            <v>0</v>
          </cell>
          <cell r="EH187">
            <v>0</v>
          </cell>
          <cell r="EI187">
            <v>0</v>
          </cell>
          <cell r="EJ187">
            <v>0</v>
          </cell>
          <cell r="EK187">
            <v>0</v>
          </cell>
          <cell r="EL187">
            <v>0</v>
          </cell>
          <cell r="EM187">
            <v>0</v>
          </cell>
          <cell r="EN187">
            <v>0</v>
          </cell>
          <cell r="EO187">
            <v>0</v>
          </cell>
          <cell r="EP187">
            <v>0</v>
          </cell>
          <cell r="EQ187">
            <v>0</v>
          </cell>
          <cell r="ER187">
            <v>0</v>
          </cell>
          <cell r="ES187">
            <v>0</v>
          </cell>
          <cell r="ET187">
            <v>0</v>
          </cell>
          <cell r="EU187">
            <v>0</v>
          </cell>
          <cell r="EV187">
            <v>0</v>
          </cell>
          <cell r="EW187">
            <v>0</v>
          </cell>
          <cell r="EX187">
            <v>0</v>
          </cell>
          <cell r="EY187">
            <v>0</v>
          </cell>
          <cell r="EZ187">
            <v>0</v>
          </cell>
          <cell r="FA187">
            <v>0</v>
          </cell>
          <cell r="FB187">
            <v>0</v>
          </cell>
          <cell r="FC187">
            <v>0</v>
          </cell>
          <cell r="FD187">
            <v>0</v>
          </cell>
          <cell r="FE187">
            <v>58207741.317828581</v>
          </cell>
          <cell r="FF187">
            <v>64111659.40014232</v>
          </cell>
          <cell r="FG187">
            <v>53224417.425462507</v>
          </cell>
          <cell r="FH187">
            <v>0</v>
          </cell>
          <cell r="FI187">
            <v>0</v>
          </cell>
          <cell r="FJ187">
            <v>0</v>
          </cell>
          <cell r="FK187">
            <v>0</v>
          </cell>
          <cell r="FL187">
            <v>0</v>
          </cell>
          <cell r="FM187">
            <v>0</v>
          </cell>
          <cell r="FN187">
            <v>0</v>
          </cell>
          <cell r="FO187">
            <v>0</v>
          </cell>
          <cell r="FP187">
            <v>0</v>
          </cell>
          <cell r="FQ187">
            <v>0</v>
          </cell>
          <cell r="FR187">
            <v>0</v>
          </cell>
          <cell r="FS187">
            <v>58207741.317828581</v>
          </cell>
          <cell r="FT187">
            <v>0</v>
          </cell>
          <cell r="FU187">
            <v>0</v>
          </cell>
          <cell r="FV187">
            <v>0</v>
          </cell>
          <cell r="FW187">
            <v>0</v>
          </cell>
          <cell r="FX187">
            <v>0</v>
          </cell>
          <cell r="FY187">
            <v>0</v>
          </cell>
          <cell r="FZ187">
            <v>0</v>
          </cell>
          <cell r="GA187">
            <v>59230528.155155145</v>
          </cell>
          <cell r="GB187">
            <v>58213832.272311755</v>
          </cell>
          <cell r="GC187">
            <v>58372056.454392172</v>
          </cell>
          <cell r="GD187">
            <v>58207741.317828581</v>
          </cell>
          <cell r="GE187">
            <v>55951938.054628663</v>
          </cell>
          <cell r="GF187">
            <v>61563630.595435582</v>
          </cell>
          <cell r="GG187">
            <v>0</v>
          </cell>
          <cell r="GH187">
            <v>53424409.665732145</v>
          </cell>
          <cell r="GI187">
            <v>58264003.555510424</v>
          </cell>
          <cell r="GJ187">
            <v>0</v>
          </cell>
          <cell r="GK187">
            <v>58183794.131706499</v>
          </cell>
          <cell r="GL187">
            <v>0</v>
          </cell>
          <cell r="GM187">
            <v>0</v>
          </cell>
          <cell r="GN187">
            <v>0</v>
          </cell>
          <cell r="GO187">
            <v>0</v>
          </cell>
          <cell r="GP187">
            <v>0</v>
          </cell>
          <cell r="GQ187">
            <v>0</v>
          </cell>
          <cell r="GR187">
            <v>0</v>
          </cell>
          <cell r="GS187">
            <v>0</v>
          </cell>
          <cell r="GT187">
            <v>0</v>
          </cell>
          <cell r="GZ187">
            <v>4398487.0099999979</v>
          </cell>
        </row>
        <row r="188">
          <cell r="A188" t="str">
            <v>I_BVP_NRF_EPA_EUR_INTR_S17</v>
          </cell>
          <cell r="B188">
            <v>36513650</v>
          </cell>
          <cell r="C188">
            <v>0</v>
          </cell>
          <cell r="D188">
            <v>40703517.479999997</v>
          </cell>
          <cell r="E188">
            <v>39905996.900417194</v>
          </cell>
          <cell r="F188">
            <v>40703517.479999997</v>
          </cell>
          <cell r="G188">
            <v>40703517.479999997</v>
          </cell>
          <cell r="H188">
            <v>0</v>
          </cell>
          <cell r="I188">
            <v>0</v>
          </cell>
          <cell r="J188">
            <v>0</v>
          </cell>
          <cell r="K188">
            <v>0</v>
          </cell>
          <cell r="L188">
            <v>0</v>
          </cell>
          <cell r="M188">
            <v>0</v>
          </cell>
          <cell r="N188">
            <v>0</v>
          </cell>
          <cell r="O188">
            <v>0</v>
          </cell>
          <cell r="P188">
            <v>0</v>
          </cell>
          <cell r="Q188">
            <v>0</v>
          </cell>
          <cell r="R188">
            <v>0</v>
          </cell>
          <cell r="S188">
            <v>40703517.479999997</v>
          </cell>
          <cell r="T188">
            <v>0</v>
          </cell>
          <cell r="U188">
            <v>0</v>
          </cell>
          <cell r="V188">
            <v>0</v>
          </cell>
          <cell r="W188">
            <v>0</v>
          </cell>
          <cell r="X188">
            <v>0</v>
          </cell>
          <cell r="Y188">
            <v>0</v>
          </cell>
          <cell r="Z188">
            <v>0</v>
          </cell>
          <cell r="AA188">
            <v>40703517.479999997</v>
          </cell>
          <cell r="AB188">
            <v>40728238.441260189</v>
          </cell>
          <cell r="AC188">
            <v>40677123.461592659</v>
          </cell>
          <cell r="AD188">
            <v>0</v>
          </cell>
          <cell r="AE188">
            <v>0</v>
          </cell>
          <cell r="AF188">
            <v>0</v>
          </cell>
          <cell r="AG188">
            <v>0</v>
          </cell>
          <cell r="AH188">
            <v>0</v>
          </cell>
          <cell r="AI188">
            <v>0</v>
          </cell>
          <cell r="AJ188">
            <v>0</v>
          </cell>
          <cell r="AK188">
            <v>0</v>
          </cell>
          <cell r="AL188">
            <v>0</v>
          </cell>
          <cell r="AM188">
            <v>0</v>
          </cell>
          <cell r="AN188">
            <v>0</v>
          </cell>
          <cell r="AO188">
            <v>40387109.647391744</v>
          </cell>
          <cell r="AP188">
            <v>0</v>
          </cell>
          <cell r="AQ188">
            <v>0</v>
          </cell>
          <cell r="AR188">
            <v>0</v>
          </cell>
          <cell r="AS188">
            <v>0</v>
          </cell>
          <cell r="AT188">
            <v>0</v>
          </cell>
          <cell r="AU188">
            <v>0</v>
          </cell>
          <cell r="AV188">
            <v>0</v>
          </cell>
          <cell r="AW188">
            <v>40703517.479999997</v>
          </cell>
          <cell r="AX188">
            <v>39905996.900417194</v>
          </cell>
          <cell r="AY188">
            <v>39905996.900417194</v>
          </cell>
          <cell r="AZ188">
            <v>0</v>
          </cell>
          <cell r="BA188">
            <v>0</v>
          </cell>
          <cell r="BB188">
            <v>0</v>
          </cell>
          <cell r="BC188">
            <v>0</v>
          </cell>
          <cell r="BD188">
            <v>0</v>
          </cell>
          <cell r="BE188">
            <v>0</v>
          </cell>
          <cell r="BF188">
            <v>0</v>
          </cell>
          <cell r="BG188">
            <v>0</v>
          </cell>
          <cell r="BH188">
            <v>0</v>
          </cell>
          <cell r="BI188">
            <v>0</v>
          </cell>
          <cell r="BJ188">
            <v>0</v>
          </cell>
          <cell r="BK188">
            <v>39905996.900417194</v>
          </cell>
          <cell r="BL188">
            <v>0</v>
          </cell>
          <cell r="BM188">
            <v>0</v>
          </cell>
          <cell r="BN188">
            <v>0</v>
          </cell>
          <cell r="BO188">
            <v>0</v>
          </cell>
          <cell r="BP188">
            <v>0</v>
          </cell>
          <cell r="BQ188">
            <v>0</v>
          </cell>
          <cell r="BR188">
            <v>0</v>
          </cell>
          <cell r="BS188">
            <v>39905996.900417194</v>
          </cell>
          <cell r="BT188">
            <v>39906011.553313635</v>
          </cell>
          <cell r="BU188">
            <v>39905979.514132313</v>
          </cell>
          <cell r="BV188">
            <v>0</v>
          </cell>
          <cell r="BW188">
            <v>0</v>
          </cell>
          <cell r="BX188">
            <v>0</v>
          </cell>
          <cell r="BY188">
            <v>0</v>
          </cell>
          <cell r="BZ188">
            <v>0</v>
          </cell>
          <cell r="CA188">
            <v>0</v>
          </cell>
          <cell r="CB188">
            <v>0</v>
          </cell>
          <cell r="CC188">
            <v>0</v>
          </cell>
          <cell r="CD188">
            <v>0</v>
          </cell>
          <cell r="CE188">
            <v>0</v>
          </cell>
          <cell r="CF188">
            <v>0</v>
          </cell>
          <cell r="CG188">
            <v>39905996.900417194</v>
          </cell>
          <cell r="CH188">
            <v>0</v>
          </cell>
          <cell r="CI188">
            <v>0</v>
          </cell>
          <cell r="CJ188">
            <v>0</v>
          </cell>
          <cell r="CK188">
            <v>0</v>
          </cell>
          <cell r="CL188">
            <v>0</v>
          </cell>
          <cell r="CM188">
            <v>0</v>
          </cell>
          <cell r="CN188">
            <v>0</v>
          </cell>
          <cell r="CO188">
            <v>39906001.778377473</v>
          </cell>
          <cell r="CP188">
            <v>39905996.900417194</v>
          </cell>
          <cell r="CQ188">
            <v>39905996.900417194</v>
          </cell>
          <cell r="CR188">
            <v>39905996.900417194</v>
          </cell>
          <cell r="CS188">
            <v>39905996.900417194</v>
          </cell>
          <cell r="CT188">
            <v>39905996.900417194</v>
          </cell>
          <cell r="CU188">
            <v>0</v>
          </cell>
          <cell r="CV188">
            <v>39905996.900417194</v>
          </cell>
          <cell r="CW188">
            <v>39905996.900417194</v>
          </cell>
          <cell r="CX188">
            <v>0</v>
          </cell>
          <cell r="CY188">
            <v>39905996.900417194</v>
          </cell>
          <cell r="CZ188">
            <v>39905996.900417194</v>
          </cell>
          <cell r="DA188">
            <v>39905996.900417194</v>
          </cell>
          <cell r="DB188">
            <v>39905996.900417194</v>
          </cell>
          <cell r="DC188">
            <v>39905996.900417194</v>
          </cell>
          <cell r="DD188">
            <v>39905996.900417194</v>
          </cell>
          <cell r="DE188">
            <v>0</v>
          </cell>
          <cell r="DF188">
            <v>39905996.900417194</v>
          </cell>
          <cell r="DG188">
            <v>40259756.368745767</v>
          </cell>
          <cell r="DH188">
            <v>0</v>
          </cell>
          <cell r="DI188">
            <v>39905996.900417194</v>
          </cell>
          <cell r="DJ188">
            <v>0</v>
          </cell>
          <cell r="DK188">
            <v>0</v>
          </cell>
          <cell r="DL188">
            <v>0</v>
          </cell>
          <cell r="DM188">
            <v>0</v>
          </cell>
          <cell r="DN188">
            <v>0</v>
          </cell>
          <cell r="DO188">
            <v>0</v>
          </cell>
          <cell r="DP188">
            <v>0</v>
          </cell>
          <cell r="DQ188">
            <v>0</v>
          </cell>
          <cell r="DR188">
            <v>0</v>
          </cell>
          <cell r="DS188">
            <v>0</v>
          </cell>
          <cell r="DT188">
            <v>0</v>
          </cell>
          <cell r="DU188">
            <v>0</v>
          </cell>
          <cell r="DV188">
            <v>0</v>
          </cell>
          <cell r="DW188">
            <v>0</v>
          </cell>
          <cell r="EA188">
            <v>0</v>
          </cell>
          <cell r="EB188">
            <v>0</v>
          </cell>
          <cell r="EC188">
            <v>0</v>
          </cell>
          <cell r="ED188">
            <v>0</v>
          </cell>
          <cell r="EE188">
            <v>0</v>
          </cell>
          <cell r="EF188">
            <v>0</v>
          </cell>
          <cell r="EG188">
            <v>0</v>
          </cell>
          <cell r="EH188">
            <v>0</v>
          </cell>
          <cell r="EI188">
            <v>0</v>
          </cell>
          <cell r="EJ188">
            <v>0</v>
          </cell>
          <cell r="EK188">
            <v>0</v>
          </cell>
          <cell r="EL188">
            <v>0</v>
          </cell>
          <cell r="EM188">
            <v>0</v>
          </cell>
          <cell r="EN188">
            <v>0</v>
          </cell>
          <cell r="EO188">
            <v>0</v>
          </cell>
          <cell r="EP188">
            <v>0</v>
          </cell>
          <cell r="EQ188">
            <v>0</v>
          </cell>
          <cell r="ER188">
            <v>0</v>
          </cell>
          <cell r="ES188">
            <v>0</v>
          </cell>
          <cell r="ET188">
            <v>0</v>
          </cell>
          <cell r="EU188">
            <v>0</v>
          </cell>
          <cell r="EV188">
            <v>0</v>
          </cell>
          <cell r="EW188">
            <v>0</v>
          </cell>
          <cell r="EX188">
            <v>0</v>
          </cell>
          <cell r="EY188">
            <v>0</v>
          </cell>
          <cell r="EZ188">
            <v>0</v>
          </cell>
          <cell r="FA188">
            <v>0</v>
          </cell>
          <cell r="FB188">
            <v>0</v>
          </cell>
          <cell r="FC188">
            <v>0</v>
          </cell>
          <cell r="FD188">
            <v>0</v>
          </cell>
          <cell r="FE188">
            <v>39905996.900417194</v>
          </cell>
          <cell r="FF188">
            <v>39906011.553313635</v>
          </cell>
          <cell r="FG188">
            <v>39905979.514132313</v>
          </cell>
          <cell r="FH188">
            <v>0</v>
          </cell>
          <cell r="FI188">
            <v>0</v>
          </cell>
          <cell r="FJ188">
            <v>0</v>
          </cell>
          <cell r="FK188">
            <v>0</v>
          </cell>
          <cell r="FL188">
            <v>0</v>
          </cell>
          <cell r="FM188">
            <v>0</v>
          </cell>
          <cell r="FN188">
            <v>0</v>
          </cell>
          <cell r="FO188">
            <v>0</v>
          </cell>
          <cell r="FP188">
            <v>0</v>
          </cell>
          <cell r="FQ188">
            <v>0</v>
          </cell>
          <cell r="FR188">
            <v>0</v>
          </cell>
          <cell r="FS188">
            <v>39905996.900417194</v>
          </cell>
          <cell r="FT188">
            <v>0</v>
          </cell>
          <cell r="FU188">
            <v>0</v>
          </cell>
          <cell r="FV188">
            <v>0</v>
          </cell>
          <cell r="FW188">
            <v>0</v>
          </cell>
          <cell r="FX188">
            <v>0</v>
          </cell>
          <cell r="FY188">
            <v>0</v>
          </cell>
          <cell r="FZ188">
            <v>0</v>
          </cell>
          <cell r="GA188">
            <v>39906001.778377473</v>
          </cell>
          <cell r="GB188">
            <v>39905996.900417194</v>
          </cell>
          <cell r="GC188">
            <v>39905996.900417194</v>
          </cell>
          <cell r="GD188">
            <v>39905996.900417194</v>
          </cell>
          <cell r="GE188">
            <v>39905996.900417194</v>
          </cell>
          <cell r="GF188">
            <v>39905996.900417194</v>
          </cell>
          <cell r="GG188">
            <v>0</v>
          </cell>
          <cell r="GH188">
            <v>39905996.900417194</v>
          </cell>
          <cell r="GI188">
            <v>40259756.368745767</v>
          </cell>
          <cell r="GJ188">
            <v>0</v>
          </cell>
          <cell r="GK188">
            <v>39905996.900417194</v>
          </cell>
          <cell r="GL188">
            <v>0</v>
          </cell>
          <cell r="GM188">
            <v>0</v>
          </cell>
          <cell r="GN188">
            <v>0</v>
          </cell>
          <cell r="GO188">
            <v>0</v>
          </cell>
          <cell r="GP188">
            <v>0</v>
          </cell>
          <cell r="GQ188">
            <v>0</v>
          </cell>
          <cell r="GR188">
            <v>0</v>
          </cell>
          <cell r="GS188">
            <v>0</v>
          </cell>
          <cell r="GT188">
            <v>0</v>
          </cell>
          <cell r="GZ188">
            <v>217784808.70000002</v>
          </cell>
        </row>
        <row r="189">
          <cell r="A189" t="str">
            <v>I_BVP_NRF_RIS_COL_INTR_S18</v>
          </cell>
          <cell r="B189">
            <v>3012364.54</v>
          </cell>
          <cell r="C189">
            <v>0</v>
          </cell>
          <cell r="D189">
            <v>3012364.54</v>
          </cell>
          <cell r="E189">
            <v>446013.35</v>
          </cell>
          <cell r="F189">
            <v>3012364.54</v>
          </cell>
          <cell r="G189">
            <v>3012364.54</v>
          </cell>
          <cell r="H189">
            <v>0</v>
          </cell>
          <cell r="I189">
            <v>0</v>
          </cell>
          <cell r="J189">
            <v>0</v>
          </cell>
          <cell r="K189">
            <v>0</v>
          </cell>
          <cell r="L189">
            <v>0</v>
          </cell>
          <cell r="M189">
            <v>0</v>
          </cell>
          <cell r="N189">
            <v>0</v>
          </cell>
          <cell r="O189">
            <v>0</v>
          </cell>
          <cell r="P189">
            <v>0</v>
          </cell>
          <cell r="Q189">
            <v>0</v>
          </cell>
          <cell r="R189">
            <v>0</v>
          </cell>
          <cell r="S189">
            <v>3012364.54</v>
          </cell>
          <cell r="T189">
            <v>0</v>
          </cell>
          <cell r="U189">
            <v>0</v>
          </cell>
          <cell r="V189">
            <v>0</v>
          </cell>
          <cell r="W189">
            <v>0</v>
          </cell>
          <cell r="X189">
            <v>0</v>
          </cell>
          <cell r="Y189">
            <v>0</v>
          </cell>
          <cell r="Z189">
            <v>0</v>
          </cell>
          <cell r="AA189">
            <v>3012364.54</v>
          </cell>
          <cell r="AB189">
            <v>3012364.54</v>
          </cell>
          <cell r="AC189">
            <v>3012364.54</v>
          </cell>
          <cell r="AD189">
            <v>0</v>
          </cell>
          <cell r="AE189">
            <v>0</v>
          </cell>
          <cell r="AF189">
            <v>0</v>
          </cell>
          <cell r="AG189">
            <v>0</v>
          </cell>
          <cell r="AH189">
            <v>0</v>
          </cell>
          <cell r="AI189">
            <v>0</v>
          </cell>
          <cell r="AJ189">
            <v>0</v>
          </cell>
          <cell r="AK189">
            <v>0</v>
          </cell>
          <cell r="AL189">
            <v>0</v>
          </cell>
          <cell r="AM189">
            <v>0</v>
          </cell>
          <cell r="AN189">
            <v>0</v>
          </cell>
          <cell r="AO189">
            <v>2930633.56670052</v>
          </cell>
          <cell r="AP189">
            <v>0</v>
          </cell>
          <cell r="AQ189">
            <v>0</v>
          </cell>
          <cell r="AR189">
            <v>0</v>
          </cell>
          <cell r="AS189">
            <v>0</v>
          </cell>
          <cell r="AT189">
            <v>0</v>
          </cell>
          <cell r="AU189">
            <v>0</v>
          </cell>
          <cell r="AV189">
            <v>0</v>
          </cell>
          <cell r="AW189">
            <v>3012364.54</v>
          </cell>
          <cell r="AX189">
            <v>446013.35</v>
          </cell>
          <cell r="AY189">
            <v>446013.35</v>
          </cell>
          <cell r="AZ189">
            <v>0</v>
          </cell>
          <cell r="BA189">
            <v>0</v>
          </cell>
          <cell r="BB189">
            <v>0</v>
          </cell>
          <cell r="BC189">
            <v>0</v>
          </cell>
          <cell r="BD189">
            <v>0</v>
          </cell>
          <cell r="BE189">
            <v>0</v>
          </cell>
          <cell r="BF189">
            <v>0</v>
          </cell>
          <cell r="BG189">
            <v>0</v>
          </cell>
          <cell r="BH189">
            <v>0</v>
          </cell>
          <cell r="BI189">
            <v>0</v>
          </cell>
          <cell r="BJ189">
            <v>0</v>
          </cell>
          <cell r="BK189">
            <v>446013.35</v>
          </cell>
          <cell r="BL189">
            <v>0</v>
          </cell>
          <cell r="BM189">
            <v>0</v>
          </cell>
          <cell r="BN189">
            <v>0</v>
          </cell>
          <cell r="BO189">
            <v>0</v>
          </cell>
          <cell r="BP189">
            <v>0</v>
          </cell>
          <cell r="BQ189">
            <v>0</v>
          </cell>
          <cell r="BR189">
            <v>0</v>
          </cell>
          <cell r="BS189">
            <v>446013.35</v>
          </cell>
          <cell r="BT189">
            <v>446013.35</v>
          </cell>
          <cell r="BU189">
            <v>446013.35</v>
          </cell>
          <cell r="BV189">
            <v>0</v>
          </cell>
          <cell r="BW189">
            <v>0</v>
          </cell>
          <cell r="BX189">
            <v>0</v>
          </cell>
          <cell r="BY189">
            <v>0</v>
          </cell>
          <cell r="BZ189">
            <v>0</v>
          </cell>
          <cell r="CA189">
            <v>0</v>
          </cell>
          <cell r="CB189">
            <v>0</v>
          </cell>
          <cell r="CC189">
            <v>0</v>
          </cell>
          <cell r="CD189">
            <v>0</v>
          </cell>
          <cell r="CE189">
            <v>0</v>
          </cell>
          <cell r="CF189">
            <v>0</v>
          </cell>
          <cell r="CG189">
            <v>446013.35</v>
          </cell>
          <cell r="CH189">
            <v>0</v>
          </cell>
          <cell r="CI189">
            <v>0</v>
          </cell>
          <cell r="CJ189">
            <v>0</v>
          </cell>
          <cell r="CK189">
            <v>0</v>
          </cell>
          <cell r="CL189">
            <v>0</v>
          </cell>
          <cell r="CM189">
            <v>0</v>
          </cell>
          <cell r="CN189">
            <v>0</v>
          </cell>
          <cell r="CO189">
            <v>446013.35</v>
          </cell>
          <cell r="CP189">
            <v>446013.35</v>
          </cell>
          <cell r="CQ189">
            <v>446013.35</v>
          </cell>
          <cell r="CR189">
            <v>446013.35</v>
          </cell>
          <cell r="CS189">
            <v>446013.35</v>
          </cell>
          <cell r="CT189">
            <v>446013.35</v>
          </cell>
          <cell r="CU189">
            <v>0</v>
          </cell>
          <cell r="CV189">
            <v>446013.35</v>
          </cell>
          <cell r="CW189">
            <v>446013.35</v>
          </cell>
          <cell r="CX189">
            <v>0</v>
          </cell>
          <cell r="CY189">
            <v>446013.35</v>
          </cell>
          <cell r="CZ189">
            <v>446013.35</v>
          </cell>
          <cell r="DA189">
            <v>446013.35</v>
          </cell>
          <cell r="DB189">
            <v>446013.35</v>
          </cell>
          <cell r="DC189">
            <v>446013.35</v>
          </cell>
          <cell r="DD189">
            <v>446013.35</v>
          </cell>
          <cell r="DE189">
            <v>0</v>
          </cell>
          <cell r="DF189">
            <v>446013.35</v>
          </cell>
          <cell r="DG189">
            <v>446013.35</v>
          </cell>
          <cell r="DH189">
            <v>0</v>
          </cell>
          <cell r="DI189">
            <v>446013.35</v>
          </cell>
          <cell r="DJ189">
            <v>0</v>
          </cell>
          <cell r="DK189">
            <v>0</v>
          </cell>
          <cell r="DL189">
            <v>0</v>
          </cell>
          <cell r="DM189">
            <v>0</v>
          </cell>
          <cell r="DN189">
            <v>0</v>
          </cell>
          <cell r="DO189">
            <v>0</v>
          </cell>
          <cell r="DP189">
            <v>0</v>
          </cell>
          <cell r="DQ189">
            <v>0</v>
          </cell>
          <cell r="DR189">
            <v>0</v>
          </cell>
          <cell r="DS189">
            <v>0</v>
          </cell>
          <cell r="DT189">
            <v>0</v>
          </cell>
          <cell r="DU189">
            <v>0</v>
          </cell>
          <cell r="DV189">
            <v>0</v>
          </cell>
          <cell r="DW189">
            <v>0</v>
          </cell>
          <cell r="EA189">
            <v>0</v>
          </cell>
          <cell r="EB189">
            <v>0</v>
          </cell>
          <cell r="EC189">
            <v>0</v>
          </cell>
          <cell r="ED189">
            <v>0</v>
          </cell>
          <cell r="EE189">
            <v>0</v>
          </cell>
          <cell r="EF189">
            <v>0</v>
          </cell>
          <cell r="EG189">
            <v>0</v>
          </cell>
          <cell r="EH189">
            <v>0</v>
          </cell>
          <cell r="EI189">
            <v>0</v>
          </cell>
          <cell r="EJ189">
            <v>0</v>
          </cell>
          <cell r="EK189">
            <v>0</v>
          </cell>
          <cell r="EL189">
            <v>0</v>
          </cell>
          <cell r="EM189">
            <v>0</v>
          </cell>
          <cell r="EN189">
            <v>0</v>
          </cell>
          <cell r="EO189">
            <v>0</v>
          </cell>
          <cell r="EP189">
            <v>0</v>
          </cell>
          <cell r="EQ189">
            <v>0</v>
          </cell>
          <cell r="ER189">
            <v>0</v>
          </cell>
          <cell r="ES189">
            <v>0</v>
          </cell>
          <cell r="ET189">
            <v>0</v>
          </cell>
          <cell r="EU189">
            <v>0</v>
          </cell>
          <cell r="EV189">
            <v>0</v>
          </cell>
          <cell r="EW189">
            <v>0</v>
          </cell>
          <cell r="EX189">
            <v>0</v>
          </cell>
          <cell r="EY189">
            <v>0</v>
          </cell>
          <cell r="EZ189">
            <v>0</v>
          </cell>
          <cell r="FA189">
            <v>0</v>
          </cell>
          <cell r="FB189">
            <v>0</v>
          </cell>
          <cell r="FC189">
            <v>0</v>
          </cell>
          <cell r="FD189">
            <v>0</v>
          </cell>
          <cell r="FE189">
            <v>446013.35</v>
          </cell>
          <cell r="FF189">
            <v>446013.35</v>
          </cell>
          <cell r="FG189">
            <v>446013.35</v>
          </cell>
          <cell r="FH189">
            <v>0</v>
          </cell>
          <cell r="FI189">
            <v>0</v>
          </cell>
          <cell r="FJ189">
            <v>0</v>
          </cell>
          <cell r="FK189">
            <v>0</v>
          </cell>
          <cell r="FL189">
            <v>0</v>
          </cell>
          <cell r="FM189">
            <v>0</v>
          </cell>
          <cell r="FN189">
            <v>0</v>
          </cell>
          <cell r="FO189">
            <v>0</v>
          </cell>
          <cell r="FP189">
            <v>0</v>
          </cell>
          <cell r="FQ189">
            <v>0</v>
          </cell>
          <cell r="FR189">
            <v>0</v>
          </cell>
          <cell r="FS189">
            <v>446013.35</v>
          </cell>
          <cell r="FT189">
            <v>0</v>
          </cell>
          <cell r="FU189">
            <v>0</v>
          </cell>
          <cell r="FV189">
            <v>0</v>
          </cell>
          <cell r="FW189">
            <v>0</v>
          </cell>
          <cell r="FX189">
            <v>0</v>
          </cell>
          <cell r="FY189">
            <v>0</v>
          </cell>
          <cell r="FZ189">
            <v>0</v>
          </cell>
          <cell r="GA189">
            <v>446013.35</v>
          </cell>
          <cell r="GB189">
            <v>446013.35</v>
          </cell>
          <cell r="GC189">
            <v>446013.35</v>
          </cell>
          <cell r="GD189">
            <v>446013.35</v>
          </cell>
          <cell r="GE189">
            <v>446013.35</v>
          </cell>
          <cell r="GF189">
            <v>446013.35</v>
          </cell>
          <cell r="GG189">
            <v>0</v>
          </cell>
          <cell r="GH189">
            <v>446013.35</v>
          </cell>
          <cell r="GI189">
            <v>446013.35</v>
          </cell>
          <cell r="GJ189">
            <v>0</v>
          </cell>
          <cell r="GK189">
            <v>446013.35</v>
          </cell>
          <cell r="GL189">
            <v>0</v>
          </cell>
          <cell r="GM189">
            <v>0</v>
          </cell>
          <cell r="GN189">
            <v>0</v>
          </cell>
          <cell r="GO189">
            <v>0</v>
          </cell>
          <cell r="GP189">
            <v>0</v>
          </cell>
          <cell r="GQ189">
            <v>0</v>
          </cell>
          <cell r="GR189">
            <v>0</v>
          </cell>
          <cell r="GS189">
            <v>0</v>
          </cell>
          <cell r="GT189">
            <v>0</v>
          </cell>
          <cell r="GZ189">
            <v>382417966.00999999</v>
          </cell>
        </row>
        <row r="190">
          <cell r="A190" t="str">
            <v>I_BVP_NRF_RIS_IND_INTR_S19</v>
          </cell>
          <cell r="B190">
            <v>0</v>
          </cell>
          <cell r="C190">
            <v>0</v>
          </cell>
          <cell r="D190">
            <v>2270.09</v>
          </cell>
          <cell r="E190">
            <v>2270.09</v>
          </cell>
          <cell r="F190">
            <v>0</v>
          </cell>
          <cell r="G190">
            <v>0</v>
          </cell>
          <cell r="H190">
            <v>0</v>
          </cell>
          <cell r="I190">
            <v>0</v>
          </cell>
          <cell r="J190">
            <v>0</v>
          </cell>
          <cell r="K190">
            <v>0</v>
          </cell>
          <cell r="L190">
            <v>0</v>
          </cell>
          <cell r="M190">
            <v>0</v>
          </cell>
          <cell r="N190">
            <v>0</v>
          </cell>
          <cell r="O190">
            <v>0</v>
          </cell>
          <cell r="P190">
            <v>0</v>
          </cell>
          <cell r="Q190">
            <v>0</v>
          </cell>
          <cell r="R190">
            <v>0</v>
          </cell>
          <cell r="S190">
            <v>0</v>
          </cell>
          <cell r="T190">
            <v>0</v>
          </cell>
          <cell r="U190">
            <v>0</v>
          </cell>
          <cell r="V190">
            <v>0</v>
          </cell>
          <cell r="W190">
            <v>0</v>
          </cell>
          <cell r="X190">
            <v>0</v>
          </cell>
          <cell r="Y190">
            <v>0</v>
          </cell>
          <cell r="Z190">
            <v>0</v>
          </cell>
          <cell r="AA190">
            <v>0</v>
          </cell>
          <cell r="AB190">
            <v>0</v>
          </cell>
          <cell r="AC190">
            <v>0</v>
          </cell>
          <cell r="AD190">
            <v>0</v>
          </cell>
          <cell r="AE190">
            <v>0</v>
          </cell>
          <cell r="AF190">
            <v>0</v>
          </cell>
          <cell r="AG190">
            <v>0</v>
          </cell>
          <cell r="AH190">
            <v>0</v>
          </cell>
          <cell r="AI190">
            <v>0</v>
          </cell>
          <cell r="AJ190">
            <v>0</v>
          </cell>
          <cell r="AK190">
            <v>0</v>
          </cell>
          <cell r="AL190">
            <v>0</v>
          </cell>
          <cell r="AM190">
            <v>0</v>
          </cell>
          <cell r="AN190">
            <v>0</v>
          </cell>
          <cell r="AO190">
            <v>0</v>
          </cell>
          <cell r="AP190">
            <v>0</v>
          </cell>
          <cell r="AQ190">
            <v>0</v>
          </cell>
          <cell r="AR190">
            <v>0</v>
          </cell>
          <cell r="AS190">
            <v>0</v>
          </cell>
          <cell r="AT190">
            <v>0</v>
          </cell>
          <cell r="AU190">
            <v>0</v>
          </cell>
          <cell r="AV190">
            <v>0</v>
          </cell>
          <cell r="AW190">
            <v>0</v>
          </cell>
          <cell r="AX190">
            <v>2270.09</v>
          </cell>
          <cell r="AY190">
            <v>2270.09</v>
          </cell>
          <cell r="AZ190">
            <v>0</v>
          </cell>
          <cell r="BA190">
            <v>0</v>
          </cell>
          <cell r="BB190">
            <v>0</v>
          </cell>
          <cell r="BC190">
            <v>0</v>
          </cell>
          <cell r="BD190">
            <v>0</v>
          </cell>
          <cell r="BE190">
            <v>0</v>
          </cell>
          <cell r="BF190">
            <v>0</v>
          </cell>
          <cell r="BG190">
            <v>0</v>
          </cell>
          <cell r="BH190">
            <v>0</v>
          </cell>
          <cell r="BI190">
            <v>0</v>
          </cell>
          <cell r="BJ190">
            <v>0</v>
          </cell>
          <cell r="BK190">
            <v>2270.09</v>
          </cell>
          <cell r="BL190">
            <v>0</v>
          </cell>
          <cell r="BM190">
            <v>0</v>
          </cell>
          <cell r="BN190">
            <v>0</v>
          </cell>
          <cell r="BO190">
            <v>0</v>
          </cell>
          <cell r="BP190">
            <v>0</v>
          </cell>
          <cell r="BQ190">
            <v>0</v>
          </cell>
          <cell r="BR190">
            <v>0</v>
          </cell>
          <cell r="BS190">
            <v>2270.09</v>
          </cell>
          <cell r="BT190">
            <v>2270.09</v>
          </cell>
          <cell r="BU190">
            <v>2270.09</v>
          </cell>
          <cell r="BV190">
            <v>0</v>
          </cell>
          <cell r="BW190">
            <v>0</v>
          </cell>
          <cell r="BX190">
            <v>0</v>
          </cell>
          <cell r="BY190">
            <v>0</v>
          </cell>
          <cell r="BZ190">
            <v>0</v>
          </cell>
          <cell r="CA190">
            <v>0</v>
          </cell>
          <cell r="CB190">
            <v>0</v>
          </cell>
          <cell r="CC190">
            <v>0</v>
          </cell>
          <cell r="CD190">
            <v>0</v>
          </cell>
          <cell r="CE190">
            <v>0</v>
          </cell>
          <cell r="CF190">
            <v>0</v>
          </cell>
          <cell r="CG190">
            <v>2270.09</v>
          </cell>
          <cell r="CH190">
            <v>0</v>
          </cell>
          <cell r="CI190">
            <v>0</v>
          </cell>
          <cell r="CJ190">
            <v>0</v>
          </cell>
          <cell r="CK190">
            <v>0</v>
          </cell>
          <cell r="CL190">
            <v>0</v>
          </cell>
          <cell r="CM190">
            <v>0</v>
          </cell>
          <cell r="CN190">
            <v>0</v>
          </cell>
          <cell r="CO190">
            <v>2270.09</v>
          </cell>
          <cell r="CP190">
            <v>0</v>
          </cell>
          <cell r="CQ190">
            <v>0</v>
          </cell>
          <cell r="CR190">
            <v>0</v>
          </cell>
          <cell r="CS190">
            <v>0</v>
          </cell>
          <cell r="CT190">
            <v>0</v>
          </cell>
          <cell r="CU190">
            <v>0</v>
          </cell>
          <cell r="CV190">
            <v>0</v>
          </cell>
          <cell r="CW190">
            <v>0</v>
          </cell>
          <cell r="CX190">
            <v>0</v>
          </cell>
          <cell r="CY190">
            <v>0</v>
          </cell>
          <cell r="CZ190">
            <v>0</v>
          </cell>
          <cell r="DA190">
            <v>0</v>
          </cell>
          <cell r="DB190">
            <v>0</v>
          </cell>
          <cell r="DC190">
            <v>0</v>
          </cell>
          <cell r="DD190">
            <v>0</v>
          </cell>
          <cell r="DE190">
            <v>0</v>
          </cell>
          <cell r="DF190">
            <v>0</v>
          </cell>
          <cell r="DG190">
            <v>0</v>
          </cell>
          <cell r="DH190">
            <v>0</v>
          </cell>
          <cell r="DI190">
            <v>0</v>
          </cell>
          <cell r="DJ190">
            <v>0</v>
          </cell>
          <cell r="DK190">
            <v>0</v>
          </cell>
          <cell r="DL190">
            <v>0</v>
          </cell>
          <cell r="DM190">
            <v>0</v>
          </cell>
          <cell r="DN190">
            <v>0</v>
          </cell>
          <cell r="DO190">
            <v>0</v>
          </cell>
          <cell r="DP190">
            <v>0</v>
          </cell>
          <cell r="DQ190">
            <v>0</v>
          </cell>
          <cell r="DR190">
            <v>0</v>
          </cell>
          <cell r="DS190">
            <v>0</v>
          </cell>
          <cell r="DT190">
            <v>0</v>
          </cell>
          <cell r="DU190">
            <v>0</v>
          </cell>
          <cell r="DV190">
            <v>0</v>
          </cell>
          <cell r="DW190">
            <v>0</v>
          </cell>
          <cell r="EA190">
            <v>0</v>
          </cell>
          <cell r="EB190">
            <v>0</v>
          </cell>
          <cell r="EC190">
            <v>0</v>
          </cell>
          <cell r="ED190">
            <v>0</v>
          </cell>
          <cell r="EE190">
            <v>0</v>
          </cell>
          <cell r="EF190">
            <v>0</v>
          </cell>
          <cell r="EG190">
            <v>0</v>
          </cell>
          <cell r="EH190">
            <v>0</v>
          </cell>
          <cell r="EI190">
            <v>0</v>
          </cell>
          <cell r="EJ190">
            <v>0</v>
          </cell>
          <cell r="EK190">
            <v>0</v>
          </cell>
          <cell r="EL190">
            <v>0</v>
          </cell>
          <cell r="EM190">
            <v>0</v>
          </cell>
          <cell r="EN190">
            <v>0</v>
          </cell>
          <cell r="EO190">
            <v>0</v>
          </cell>
          <cell r="EP190">
            <v>0</v>
          </cell>
          <cell r="EQ190">
            <v>0</v>
          </cell>
          <cell r="ER190">
            <v>0</v>
          </cell>
          <cell r="ES190">
            <v>0</v>
          </cell>
          <cell r="ET190">
            <v>0</v>
          </cell>
          <cell r="EU190">
            <v>0</v>
          </cell>
          <cell r="EV190">
            <v>0</v>
          </cell>
          <cell r="EW190">
            <v>0</v>
          </cell>
          <cell r="EX190">
            <v>0</v>
          </cell>
          <cell r="EY190">
            <v>0</v>
          </cell>
          <cell r="EZ190">
            <v>0</v>
          </cell>
          <cell r="FA190">
            <v>0</v>
          </cell>
          <cell r="FB190">
            <v>0</v>
          </cell>
          <cell r="FC190">
            <v>0</v>
          </cell>
          <cell r="FD190">
            <v>0</v>
          </cell>
          <cell r="FE190">
            <v>0</v>
          </cell>
          <cell r="FF190">
            <v>0</v>
          </cell>
          <cell r="FG190">
            <v>0</v>
          </cell>
          <cell r="FH190">
            <v>0</v>
          </cell>
          <cell r="FI190">
            <v>0</v>
          </cell>
          <cell r="FJ190">
            <v>0</v>
          </cell>
          <cell r="FK190">
            <v>0</v>
          </cell>
          <cell r="FL190">
            <v>0</v>
          </cell>
          <cell r="FM190">
            <v>0</v>
          </cell>
          <cell r="FN190">
            <v>0</v>
          </cell>
          <cell r="FO190">
            <v>0</v>
          </cell>
          <cell r="FP190">
            <v>0</v>
          </cell>
          <cell r="FQ190">
            <v>0</v>
          </cell>
          <cell r="FR190">
            <v>0</v>
          </cell>
          <cell r="FS190">
            <v>0</v>
          </cell>
          <cell r="FT190">
            <v>0</v>
          </cell>
          <cell r="FU190">
            <v>0</v>
          </cell>
          <cell r="FV190">
            <v>0</v>
          </cell>
          <cell r="FW190">
            <v>0</v>
          </cell>
          <cell r="FX190">
            <v>0</v>
          </cell>
          <cell r="FY190">
            <v>0</v>
          </cell>
          <cell r="FZ190">
            <v>0</v>
          </cell>
          <cell r="GA190">
            <v>0</v>
          </cell>
          <cell r="GB190">
            <v>0</v>
          </cell>
          <cell r="GC190">
            <v>0</v>
          </cell>
          <cell r="GD190">
            <v>0</v>
          </cell>
          <cell r="GE190">
            <v>0</v>
          </cell>
          <cell r="GF190">
            <v>0</v>
          </cell>
          <cell r="GG190">
            <v>0</v>
          </cell>
          <cell r="GH190">
            <v>0</v>
          </cell>
          <cell r="GI190">
            <v>0</v>
          </cell>
          <cell r="GJ190">
            <v>0</v>
          </cell>
          <cell r="GK190">
            <v>0</v>
          </cell>
          <cell r="GL190">
            <v>0</v>
          </cell>
          <cell r="GM190">
            <v>0</v>
          </cell>
          <cell r="GN190">
            <v>0</v>
          </cell>
          <cell r="GO190">
            <v>0</v>
          </cell>
          <cell r="GP190">
            <v>0</v>
          </cell>
          <cell r="GQ190">
            <v>0</v>
          </cell>
          <cell r="GR190">
            <v>0</v>
          </cell>
          <cell r="GS190">
            <v>0</v>
          </cell>
          <cell r="GT190">
            <v>0</v>
          </cell>
          <cell r="GZ190">
            <v>147201392.22999999</v>
          </cell>
        </row>
        <row r="191">
          <cell r="A191" t="str">
            <v>I_BVP_NRF_RIS_IND_INTR_S20</v>
          </cell>
          <cell r="B191">
            <v>4662966.03</v>
          </cell>
          <cell r="C191">
            <v>0</v>
          </cell>
          <cell r="D191">
            <v>4662966.03</v>
          </cell>
          <cell r="E191">
            <v>3021393.9184405785</v>
          </cell>
          <cell r="F191">
            <v>4662966.03</v>
          </cell>
          <cell r="G191">
            <v>4662966.03</v>
          </cell>
          <cell r="H191">
            <v>0</v>
          </cell>
          <cell r="I191">
            <v>0</v>
          </cell>
          <cell r="J191">
            <v>0</v>
          </cell>
          <cell r="K191">
            <v>0</v>
          </cell>
          <cell r="L191">
            <v>0</v>
          </cell>
          <cell r="M191">
            <v>0</v>
          </cell>
          <cell r="N191">
            <v>0</v>
          </cell>
          <cell r="O191">
            <v>0</v>
          </cell>
          <cell r="P191">
            <v>0</v>
          </cell>
          <cell r="Q191">
            <v>0</v>
          </cell>
          <cell r="R191">
            <v>0</v>
          </cell>
          <cell r="S191">
            <v>4662966.03</v>
          </cell>
          <cell r="T191">
            <v>0</v>
          </cell>
          <cell r="U191">
            <v>0</v>
          </cell>
          <cell r="V191">
            <v>0</v>
          </cell>
          <cell r="W191">
            <v>0</v>
          </cell>
          <cell r="X191">
            <v>0</v>
          </cell>
          <cell r="Y191">
            <v>0</v>
          </cell>
          <cell r="Z191">
            <v>0</v>
          </cell>
          <cell r="AA191">
            <v>4662966.03</v>
          </cell>
          <cell r="AB191">
            <v>4714988.7085911203</v>
          </cell>
          <cell r="AC191">
            <v>4610110.1660924768</v>
          </cell>
          <cell r="AD191">
            <v>0</v>
          </cell>
          <cell r="AE191">
            <v>0</v>
          </cell>
          <cell r="AF191">
            <v>0</v>
          </cell>
          <cell r="AG191">
            <v>0</v>
          </cell>
          <cell r="AH191">
            <v>0</v>
          </cell>
          <cell r="AI191">
            <v>0</v>
          </cell>
          <cell r="AJ191">
            <v>0</v>
          </cell>
          <cell r="AK191">
            <v>0</v>
          </cell>
          <cell r="AL191">
            <v>0</v>
          </cell>
          <cell r="AM191">
            <v>0</v>
          </cell>
          <cell r="AN191">
            <v>0</v>
          </cell>
          <cell r="AO191">
            <v>4514271.8862318005</v>
          </cell>
          <cell r="AP191">
            <v>0</v>
          </cell>
          <cell r="AQ191">
            <v>0</v>
          </cell>
          <cell r="AR191">
            <v>0</v>
          </cell>
          <cell r="AS191">
            <v>0</v>
          </cell>
          <cell r="AT191">
            <v>0</v>
          </cell>
          <cell r="AU191">
            <v>0</v>
          </cell>
          <cell r="AV191">
            <v>0</v>
          </cell>
          <cell r="AW191">
            <v>4662966.03</v>
          </cell>
          <cell r="AX191">
            <v>3021393.9184405785</v>
          </cell>
          <cell r="AY191">
            <v>3021393.9184405785</v>
          </cell>
          <cell r="AZ191">
            <v>0</v>
          </cell>
          <cell r="BA191">
            <v>0</v>
          </cell>
          <cell r="BB191">
            <v>0</v>
          </cell>
          <cell r="BC191">
            <v>0</v>
          </cell>
          <cell r="BD191">
            <v>0</v>
          </cell>
          <cell r="BE191">
            <v>0</v>
          </cell>
          <cell r="BF191">
            <v>0</v>
          </cell>
          <cell r="BG191">
            <v>0</v>
          </cell>
          <cell r="BH191">
            <v>0</v>
          </cell>
          <cell r="BI191">
            <v>0</v>
          </cell>
          <cell r="BJ191">
            <v>0</v>
          </cell>
          <cell r="BK191">
            <v>3021393.9184405785</v>
          </cell>
          <cell r="BL191">
            <v>0</v>
          </cell>
          <cell r="BM191">
            <v>0</v>
          </cell>
          <cell r="BN191">
            <v>0</v>
          </cell>
          <cell r="BO191">
            <v>0</v>
          </cell>
          <cell r="BP191">
            <v>0</v>
          </cell>
          <cell r="BQ191">
            <v>0</v>
          </cell>
          <cell r="BR191">
            <v>0</v>
          </cell>
          <cell r="BS191">
            <v>3021393.9184405785</v>
          </cell>
          <cell r="BT191">
            <v>3078506.7205269779</v>
          </cell>
          <cell r="BU191">
            <v>2959351.3279604251</v>
          </cell>
          <cell r="BV191">
            <v>0</v>
          </cell>
          <cell r="BW191">
            <v>0</v>
          </cell>
          <cell r="BX191">
            <v>0</v>
          </cell>
          <cell r="BY191">
            <v>0</v>
          </cell>
          <cell r="BZ191">
            <v>0</v>
          </cell>
          <cell r="CA191">
            <v>0</v>
          </cell>
          <cell r="CB191">
            <v>0</v>
          </cell>
          <cell r="CC191">
            <v>0</v>
          </cell>
          <cell r="CD191">
            <v>0</v>
          </cell>
          <cell r="CE191">
            <v>0</v>
          </cell>
          <cell r="CF191">
            <v>0</v>
          </cell>
          <cell r="CG191">
            <v>3021393.9184405785</v>
          </cell>
          <cell r="CH191">
            <v>0</v>
          </cell>
          <cell r="CI191">
            <v>0</v>
          </cell>
          <cell r="CJ191">
            <v>0</v>
          </cell>
          <cell r="CK191">
            <v>0</v>
          </cell>
          <cell r="CL191">
            <v>0</v>
          </cell>
          <cell r="CM191">
            <v>0</v>
          </cell>
          <cell r="CN191">
            <v>0</v>
          </cell>
          <cell r="CO191">
            <v>3030207.3906785455</v>
          </cell>
          <cell r="CP191">
            <v>3021393.9184405785</v>
          </cell>
          <cell r="CQ191">
            <v>3021393.9184405785</v>
          </cell>
          <cell r="CR191">
            <v>3021393.9184405785</v>
          </cell>
          <cell r="CS191">
            <v>3021393.9184405785</v>
          </cell>
          <cell r="CT191">
            <v>3021393.9184405785</v>
          </cell>
          <cell r="CU191">
            <v>0</v>
          </cell>
          <cell r="CV191">
            <v>3021393.9184405785</v>
          </cell>
          <cell r="CW191">
            <v>3021393.9184405785</v>
          </cell>
          <cell r="CX191">
            <v>0</v>
          </cell>
          <cell r="CY191">
            <v>3021393.9184405785</v>
          </cell>
          <cell r="CZ191">
            <v>3156460.9928444736</v>
          </cell>
          <cell r="DA191">
            <v>3021393.9184405785</v>
          </cell>
          <cell r="DB191">
            <v>3097670.8417369518</v>
          </cell>
          <cell r="DC191">
            <v>3048827.7213732246</v>
          </cell>
          <cell r="DD191">
            <v>2992968.1619739844</v>
          </cell>
          <cell r="DE191">
            <v>0</v>
          </cell>
          <cell r="DF191">
            <v>3306006.7641562074</v>
          </cell>
          <cell r="DG191">
            <v>3079355.6362729426</v>
          </cell>
          <cell r="DH191">
            <v>0</v>
          </cell>
          <cell r="DI191">
            <v>3317705.9440269275</v>
          </cell>
          <cell r="DJ191">
            <v>0</v>
          </cell>
          <cell r="DK191">
            <v>0</v>
          </cell>
          <cell r="DL191">
            <v>0</v>
          </cell>
          <cell r="DM191">
            <v>0</v>
          </cell>
          <cell r="DN191">
            <v>0</v>
          </cell>
          <cell r="DO191">
            <v>0</v>
          </cell>
          <cell r="DP191">
            <v>0</v>
          </cell>
          <cell r="DQ191">
            <v>0</v>
          </cell>
          <cell r="DR191">
            <v>0</v>
          </cell>
          <cell r="DS191">
            <v>0</v>
          </cell>
          <cell r="DT191">
            <v>0</v>
          </cell>
          <cell r="DU191">
            <v>0</v>
          </cell>
          <cell r="DV191">
            <v>0</v>
          </cell>
          <cell r="DW191">
            <v>0</v>
          </cell>
          <cell r="EA191">
            <v>0</v>
          </cell>
          <cell r="EB191">
            <v>0</v>
          </cell>
          <cell r="EC191">
            <v>0</v>
          </cell>
          <cell r="ED191">
            <v>0</v>
          </cell>
          <cell r="EE191">
            <v>0</v>
          </cell>
          <cell r="EF191">
            <v>0</v>
          </cell>
          <cell r="EG191">
            <v>0</v>
          </cell>
          <cell r="EH191">
            <v>0</v>
          </cell>
          <cell r="EI191">
            <v>0</v>
          </cell>
          <cell r="EJ191">
            <v>0</v>
          </cell>
          <cell r="EK191">
            <v>0</v>
          </cell>
          <cell r="EL191">
            <v>0</v>
          </cell>
          <cell r="EM191">
            <v>0</v>
          </cell>
          <cell r="EN191">
            <v>0</v>
          </cell>
          <cell r="EO191">
            <v>0</v>
          </cell>
          <cell r="EP191">
            <v>0</v>
          </cell>
          <cell r="EQ191">
            <v>0</v>
          </cell>
          <cell r="ER191">
            <v>0</v>
          </cell>
          <cell r="ES191">
            <v>0</v>
          </cell>
          <cell r="ET191">
            <v>0</v>
          </cell>
          <cell r="EU191">
            <v>0</v>
          </cell>
          <cell r="EV191">
            <v>0</v>
          </cell>
          <cell r="EW191">
            <v>0</v>
          </cell>
          <cell r="EX191">
            <v>0</v>
          </cell>
          <cell r="EY191">
            <v>0</v>
          </cell>
          <cell r="EZ191">
            <v>0</v>
          </cell>
          <cell r="FA191">
            <v>0</v>
          </cell>
          <cell r="FB191">
            <v>0</v>
          </cell>
          <cell r="FC191">
            <v>0</v>
          </cell>
          <cell r="FD191">
            <v>0</v>
          </cell>
          <cell r="FE191">
            <v>3021393.9184405785</v>
          </cell>
          <cell r="FF191">
            <v>3078506.7205269779</v>
          </cell>
          <cell r="FG191">
            <v>2959351.3279604251</v>
          </cell>
          <cell r="FH191">
            <v>0</v>
          </cell>
          <cell r="FI191">
            <v>0</v>
          </cell>
          <cell r="FJ191">
            <v>0</v>
          </cell>
          <cell r="FK191">
            <v>0</v>
          </cell>
          <cell r="FL191">
            <v>0</v>
          </cell>
          <cell r="FM191">
            <v>0</v>
          </cell>
          <cell r="FN191">
            <v>0</v>
          </cell>
          <cell r="FO191">
            <v>0</v>
          </cell>
          <cell r="FP191">
            <v>0</v>
          </cell>
          <cell r="FQ191">
            <v>0</v>
          </cell>
          <cell r="FR191">
            <v>0</v>
          </cell>
          <cell r="FS191">
            <v>3021393.9184405785</v>
          </cell>
          <cell r="FT191">
            <v>0</v>
          </cell>
          <cell r="FU191">
            <v>0</v>
          </cell>
          <cell r="FV191">
            <v>0</v>
          </cell>
          <cell r="FW191">
            <v>0</v>
          </cell>
          <cell r="FX191">
            <v>0</v>
          </cell>
          <cell r="FY191">
            <v>0</v>
          </cell>
          <cell r="FZ191">
            <v>0</v>
          </cell>
          <cell r="GA191">
            <v>3030207.3906785455</v>
          </cell>
          <cell r="GB191">
            <v>3156460.9928444736</v>
          </cell>
          <cell r="GC191">
            <v>3021393.9184405785</v>
          </cell>
          <cell r="GD191">
            <v>3097670.8417369518</v>
          </cell>
          <cell r="GE191">
            <v>3048827.7213732246</v>
          </cell>
          <cell r="GF191">
            <v>2992968.1619739844</v>
          </cell>
          <cell r="GG191">
            <v>0</v>
          </cell>
          <cell r="GH191">
            <v>3306006.7641562074</v>
          </cell>
          <cell r="GI191">
            <v>3079355.6362729426</v>
          </cell>
          <cell r="GJ191">
            <v>0</v>
          </cell>
          <cell r="GK191">
            <v>3317705.9440269275</v>
          </cell>
          <cell r="GL191">
            <v>0</v>
          </cell>
          <cell r="GM191">
            <v>0</v>
          </cell>
          <cell r="GN191">
            <v>0</v>
          </cell>
          <cell r="GO191">
            <v>0</v>
          </cell>
          <cell r="GP191">
            <v>0</v>
          </cell>
          <cell r="GQ191">
            <v>0</v>
          </cell>
          <cell r="GR191">
            <v>0</v>
          </cell>
          <cell r="GS191">
            <v>0</v>
          </cell>
          <cell r="GT191">
            <v>0</v>
          </cell>
          <cell r="GZ191">
            <v>39978287.989999995</v>
          </cell>
        </row>
        <row r="192">
          <cell r="A192" t="str">
            <v>I_BVP_NRF_RIS_IND_INTR_S21</v>
          </cell>
          <cell r="B192">
            <v>8633998</v>
          </cell>
          <cell r="C192">
            <v>0</v>
          </cell>
          <cell r="D192">
            <v>8633998</v>
          </cell>
          <cell r="E192">
            <v>273213.1512433989</v>
          </cell>
          <cell r="F192">
            <v>8633998</v>
          </cell>
          <cell r="G192">
            <v>8633998</v>
          </cell>
          <cell r="H192">
            <v>0</v>
          </cell>
          <cell r="I192">
            <v>0</v>
          </cell>
          <cell r="J192">
            <v>0</v>
          </cell>
          <cell r="K192">
            <v>0</v>
          </cell>
          <cell r="L192">
            <v>0</v>
          </cell>
          <cell r="M192">
            <v>0</v>
          </cell>
          <cell r="N192">
            <v>0</v>
          </cell>
          <cell r="O192">
            <v>0</v>
          </cell>
          <cell r="P192">
            <v>0</v>
          </cell>
          <cell r="Q192">
            <v>0</v>
          </cell>
          <cell r="R192">
            <v>0</v>
          </cell>
          <cell r="S192">
            <v>8633998</v>
          </cell>
          <cell r="T192">
            <v>0</v>
          </cell>
          <cell r="U192">
            <v>0</v>
          </cell>
          <cell r="V192">
            <v>0</v>
          </cell>
          <cell r="W192">
            <v>0</v>
          </cell>
          <cell r="X192">
            <v>0</v>
          </cell>
          <cell r="Y192">
            <v>0</v>
          </cell>
          <cell r="Z192">
            <v>0</v>
          </cell>
          <cell r="AA192">
            <v>8633998</v>
          </cell>
          <cell r="AB192">
            <v>8845073.3046785928</v>
          </cell>
          <cell r="AC192">
            <v>8429662.3926434591</v>
          </cell>
          <cell r="AD192">
            <v>0</v>
          </cell>
          <cell r="AE192">
            <v>0</v>
          </cell>
          <cell r="AF192">
            <v>0</v>
          </cell>
          <cell r="AG192">
            <v>0</v>
          </cell>
          <cell r="AH192">
            <v>0</v>
          </cell>
          <cell r="AI192">
            <v>0</v>
          </cell>
          <cell r="AJ192">
            <v>0</v>
          </cell>
          <cell r="AK192">
            <v>0</v>
          </cell>
          <cell r="AL192">
            <v>0</v>
          </cell>
          <cell r="AM192">
            <v>0</v>
          </cell>
          <cell r="AN192">
            <v>0</v>
          </cell>
          <cell r="AO192">
            <v>8417192.9293284789</v>
          </cell>
          <cell r="AP192">
            <v>0</v>
          </cell>
          <cell r="AQ192">
            <v>0</v>
          </cell>
          <cell r="AR192">
            <v>0</v>
          </cell>
          <cell r="AS192">
            <v>0</v>
          </cell>
          <cell r="AT192">
            <v>0</v>
          </cell>
          <cell r="AU192">
            <v>0</v>
          </cell>
          <cell r="AV192">
            <v>0</v>
          </cell>
          <cell r="AW192">
            <v>8633998</v>
          </cell>
          <cell r="AX192">
            <v>273213.1512433989</v>
          </cell>
          <cell r="AY192">
            <v>273213.1512433989</v>
          </cell>
          <cell r="AZ192">
            <v>0</v>
          </cell>
          <cell r="BA192">
            <v>0</v>
          </cell>
          <cell r="BB192">
            <v>0</v>
          </cell>
          <cell r="BC192">
            <v>0</v>
          </cell>
          <cell r="BD192">
            <v>0</v>
          </cell>
          <cell r="BE192">
            <v>0</v>
          </cell>
          <cell r="BF192">
            <v>0</v>
          </cell>
          <cell r="BG192">
            <v>0</v>
          </cell>
          <cell r="BH192">
            <v>0</v>
          </cell>
          <cell r="BI192">
            <v>0</v>
          </cell>
          <cell r="BJ192">
            <v>0</v>
          </cell>
          <cell r="BK192">
            <v>273213.1512433989</v>
          </cell>
          <cell r="BL192">
            <v>0</v>
          </cell>
          <cell r="BM192">
            <v>0</v>
          </cell>
          <cell r="BN192">
            <v>0</v>
          </cell>
          <cell r="BO192">
            <v>0</v>
          </cell>
          <cell r="BP192">
            <v>0</v>
          </cell>
          <cell r="BQ192">
            <v>0</v>
          </cell>
          <cell r="BR192">
            <v>0</v>
          </cell>
          <cell r="BS192">
            <v>273213.1512433989</v>
          </cell>
          <cell r="BT192">
            <v>-28971.450081347488</v>
          </cell>
          <cell r="BU192">
            <v>557360.92265674565</v>
          </cell>
          <cell r="BV192">
            <v>0</v>
          </cell>
          <cell r="BW192">
            <v>0</v>
          </cell>
          <cell r="BX192">
            <v>0</v>
          </cell>
          <cell r="BY192">
            <v>0</v>
          </cell>
          <cell r="BZ192">
            <v>0</v>
          </cell>
          <cell r="CA192">
            <v>0</v>
          </cell>
          <cell r="CB192">
            <v>0</v>
          </cell>
          <cell r="CC192">
            <v>0</v>
          </cell>
          <cell r="CD192">
            <v>0</v>
          </cell>
          <cell r="CE192">
            <v>0</v>
          </cell>
          <cell r="CF192">
            <v>0</v>
          </cell>
          <cell r="CG192">
            <v>273213.1512433989</v>
          </cell>
          <cell r="CH192">
            <v>0</v>
          </cell>
          <cell r="CI192">
            <v>0</v>
          </cell>
          <cell r="CJ192">
            <v>0</v>
          </cell>
          <cell r="CK192">
            <v>0</v>
          </cell>
          <cell r="CL192">
            <v>0</v>
          </cell>
          <cell r="CM192">
            <v>0</v>
          </cell>
          <cell r="CN192">
            <v>0</v>
          </cell>
          <cell r="CO192">
            <v>231542.22232925706</v>
          </cell>
          <cell r="CP192">
            <v>273213.1512433989</v>
          </cell>
          <cell r="CQ192">
            <v>273213.1512433989</v>
          </cell>
          <cell r="CR192">
            <v>273213.1512433989</v>
          </cell>
          <cell r="CS192">
            <v>273213.1512433989</v>
          </cell>
          <cell r="CT192">
            <v>273213.1512433989</v>
          </cell>
          <cell r="CU192">
            <v>0</v>
          </cell>
          <cell r="CV192">
            <v>273213.1512433989</v>
          </cell>
          <cell r="CW192">
            <v>273213.1512433989</v>
          </cell>
          <cell r="CX192">
            <v>0</v>
          </cell>
          <cell r="CY192">
            <v>273213.1512433989</v>
          </cell>
          <cell r="CZ192">
            <v>671150.47126530949</v>
          </cell>
          <cell r="DA192">
            <v>273213.1512433989</v>
          </cell>
          <cell r="DB192">
            <v>481351.24293891806</v>
          </cell>
          <cell r="DC192">
            <v>2515110.8536186935</v>
          </cell>
          <cell r="DD192">
            <v>-4856534.5888438122</v>
          </cell>
          <cell r="DE192">
            <v>0</v>
          </cell>
          <cell r="DF192">
            <v>1893585.2202037983</v>
          </cell>
          <cell r="DG192">
            <v>451686.2649915535</v>
          </cell>
          <cell r="DH192">
            <v>0</v>
          </cell>
          <cell r="DI192">
            <v>701411.25318642147</v>
          </cell>
          <cell r="DJ192">
            <v>0</v>
          </cell>
          <cell r="DK192">
            <v>0</v>
          </cell>
          <cell r="DL192">
            <v>0</v>
          </cell>
          <cell r="DM192">
            <v>0</v>
          </cell>
          <cell r="DN192">
            <v>0</v>
          </cell>
          <cell r="DO192">
            <v>0</v>
          </cell>
          <cell r="DP192">
            <v>0</v>
          </cell>
          <cell r="DQ192">
            <v>0</v>
          </cell>
          <cell r="DR192">
            <v>0</v>
          </cell>
          <cell r="DS192">
            <v>0</v>
          </cell>
          <cell r="DT192">
            <v>0</v>
          </cell>
          <cell r="DU192">
            <v>0</v>
          </cell>
          <cell r="DV192">
            <v>0</v>
          </cell>
          <cell r="DW192">
            <v>0</v>
          </cell>
          <cell r="EA192">
            <v>0</v>
          </cell>
          <cell r="EB192">
            <v>0</v>
          </cell>
          <cell r="EC192">
            <v>0</v>
          </cell>
          <cell r="ED192">
            <v>0</v>
          </cell>
          <cell r="EE192">
            <v>0</v>
          </cell>
          <cell r="EF192">
            <v>0</v>
          </cell>
          <cell r="EG192">
            <v>0</v>
          </cell>
          <cell r="EH192">
            <v>0</v>
          </cell>
          <cell r="EI192">
            <v>0</v>
          </cell>
          <cell r="EJ192">
            <v>0</v>
          </cell>
          <cell r="EK192">
            <v>0</v>
          </cell>
          <cell r="EL192">
            <v>0</v>
          </cell>
          <cell r="EM192">
            <v>0</v>
          </cell>
          <cell r="EN192">
            <v>0</v>
          </cell>
          <cell r="EO192">
            <v>0</v>
          </cell>
          <cell r="EP192">
            <v>0</v>
          </cell>
          <cell r="EQ192">
            <v>0</v>
          </cell>
          <cell r="ER192">
            <v>0</v>
          </cell>
          <cell r="ES192">
            <v>0</v>
          </cell>
          <cell r="ET192">
            <v>0</v>
          </cell>
          <cell r="EU192">
            <v>0</v>
          </cell>
          <cell r="EV192">
            <v>0</v>
          </cell>
          <cell r="EW192">
            <v>0</v>
          </cell>
          <cell r="EX192">
            <v>0</v>
          </cell>
          <cell r="EY192">
            <v>0</v>
          </cell>
          <cell r="EZ192">
            <v>0</v>
          </cell>
          <cell r="FA192">
            <v>0</v>
          </cell>
          <cell r="FB192">
            <v>0</v>
          </cell>
          <cell r="FC192">
            <v>0</v>
          </cell>
          <cell r="FD192">
            <v>0</v>
          </cell>
          <cell r="FE192">
            <v>273213.1512433989</v>
          </cell>
          <cell r="FF192">
            <v>-28971.450081347488</v>
          </cell>
          <cell r="FG192">
            <v>557360.92265674565</v>
          </cell>
          <cell r="FH192">
            <v>0</v>
          </cell>
          <cell r="FI192">
            <v>0</v>
          </cell>
          <cell r="FJ192">
            <v>0</v>
          </cell>
          <cell r="FK192">
            <v>0</v>
          </cell>
          <cell r="FL192">
            <v>0</v>
          </cell>
          <cell r="FM192">
            <v>0</v>
          </cell>
          <cell r="FN192">
            <v>0</v>
          </cell>
          <cell r="FO192">
            <v>0</v>
          </cell>
          <cell r="FP192">
            <v>0</v>
          </cell>
          <cell r="FQ192">
            <v>0</v>
          </cell>
          <cell r="FR192">
            <v>0</v>
          </cell>
          <cell r="FS192">
            <v>273213.1512433989</v>
          </cell>
          <cell r="FT192">
            <v>0</v>
          </cell>
          <cell r="FU192">
            <v>0</v>
          </cell>
          <cell r="FV192">
            <v>0</v>
          </cell>
          <cell r="FW192">
            <v>0</v>
          </cell>
          <cell r="FX192">
            <v>0</v>
          </cell>
          <cell r="FY192">
            <v>0</v>
          </cell>
          <cell r="FZ192">
            <v>0</v>
          </cell>
          <cell r="GA192">
            <v>231542.22232925706</v>
          </cell>
          <cell r="GB192">
            <v>671150.47126530949</v>
          </cell>
          <cell r="GC192">
            <v>273213.1512433989</v>
          </cell>
          <cell r="GD192">
            <v>481351.24293891806</v>
          </cell>
          <cell r="GE192">
            <v>2515110.8536186935</v>
          </cell>
          <cell r="GF192">
            <v>-4856534.5888438122</v>
          </cell>
          <cell r="GG192">
            <v>0</v>
          </cell>
          <cell r="GH192">
            <v>1893585.2202037983</v>
          </cell>
          <cell r="GI192">
            <v>451686.2649915535</v>
          </cell>
          <cell r="GJ192">
            <v>0</v>
          </cell>
          <cell r="GK192">
            <v>701411.25318642147</v>
          </cell>
          <cell r="GL192">
            <v>0</v>
          </cell>
          <cell r="GM192">
            <v>0</v>
          </cell>
          <cell r="GN192">
            <v>0</v>
          </cell>
          <cell r="GO192">
            <v>0</v>
          </cell>
          <cell r="GP192">
            <v>0</v>
          </cell>
          <cell r="GQ192">
            <v>0</v>
          </cell>
          <cell r="GR192">
            <v>0</v>
          </cell>
          <cell r="GS192">
            <v>0</v>
          </cell>
          <cell r="GT192">
            <v>0</v>
          </cell>
          <cell r="GZ192">
            <v>1606424278.5699999</v>
          </cell>
        </row>
        <row r="193">
          <cell r="A193" t="str">
            <v>I_BVP_NRF_RET_COL_INTR_S22</v>
          </cell>
          <cell r="B193">
            <v>24887725.260000002</v>
          </cell>
          <cell r="C193">
            <v>0</v>
          </cell>
          <cell r="D193">
            <v>38371221.826500006</v>
          </cell>
          <cell r="E193">
            <v>32113615.732956372</v>
          </cell>
          <cell r="F193">
            <v>38371221.826500006</v>
          </cell>
          <cell r="G193">
            <v>38371221.826500006</v>
          </cell>
          <cell r="H193">
            <v>0</v>
          </cell>
          <cell r="I193">
            <v>0</v>
          </cell>
          <cell r="J193">
            <v>0</v>
          </cell>
          <cell r="K193">
            <v>0</v>
          </cell>
          <cell r="L193">
            <v>0</v>
          </cell>
          <cell r="M193">
            <v>0</v>
          </cell>
          <cell r="N193">
            <v>0</v>
          </cell>
          <cell r="O193">
            <v>0</v>
          </cell>
          <cell r="P193">
            <v>0</v>
          </cell>
          <cell r="Q193">
            <v>0</v>
          </cell>
          <cell r="R193">
            <v>0</v>
          </cell>
          <cell r="S193">
            <v>38371221.826500006</v>
          </cell>
          <cell r="T193">
            <v>0</v>
          </cell>
          <cell r="U193">
            <v>0</v>
          </cell>
          <cell r="V193">
            <v>0</v>
          </cell>
          <cell r="W193">
            <v>0</v>
          </cell>
          <cell r="X193">
            <v>0</v>
          </cell>
          <cell r="Y193">
            <v>0</v>
          </cell>
          <cell r="Z193">
            <v>0</v>
          </cell>
          <cell r="AA193">
            <v>38371221.826500006</v>
          </cell>
          <cell r="AB193">
            <v>42119215.267426707</v>
          </cell>
          <cell r="AC193">
            <v>35007952.011412367</v>
          </cell>
          <cell r="AD193">
            <v>0</v>
          </cell>
          <cell r="AE193">
            <v>0</v>
          </cell>
          <cell r="AF193">
            <v>0</v>
          </cell>
          <cell r="AG193">
            <v>0</v>
          </cell>
          <cell r="AH193">
            <v>0</v>
          </cell>
          <cell r="AI193">
            <v>0</v>
          </cell>
          <cell r="AJ193">
            <v>0</v>
          </cell>
          <cell r="AK193">
            <v>0</v>
          </cell>
          <cell r="AL193">
            <v>0</v>
          </cell>
          <cell r="AM193">
            <v>0</v>
          </cell>
          <cell r="AN193">
            <v>0</v>
          </cell>
          <cell r="AO193">
            <v>36420968.26218234</v>
          </cell>
          <cell r="AP193">
            <v>0</v>
          </cell>
          <cell r="AQ193">
            <v>0</v>
          </cell>
          <cell r="AR193">
            <v>0</v>
          </cell>
          <cell r="AS193">
            <v>0</v>
          </cell>
          <cell r="AT193">
            <v>0</v>
          </cell>
          <cell r="AU193">
            <v>0</v>
          </cell>
          <cell r="AV193">
            <v>0</v>
          </cell>
          <cell r="AW193">
            <v>38371221.826500006</v>
          </cell>
          <cell r="AX193">
            <v>32113615.732956372</v>
          </cell>
          <cell r="AY193">
            <v>32113615.732956372</v>
          </cell>
          <cell r="AZ193">
            <v>0</v>
          </cell>
          <cell r="BA193">
            <v>0</v>
          </cell>
          <cell r="BB193">
            <v>0</v>
          </cell>
          <cell r="BC193">
            <v>0</v>
          </cell>
          <cell r="BD193">
            <v>0</v>
          </cell>
          <cell r="BE193">
            <v>0</v>
          </cell>
          <cell r="BF193">
            <v>0</v>
          </cell>
          <cell r="BG193">
            <v>0</v>
          </cell>
          <cell r="BH193">
            <v>0</v>
          </cell>
          <cell r="BI193">
            <v>0</v>
          </cell>
          <cell r="BJ193">
            <v>0</v>
          </cell>
          <cell r="BK193">
            <v>32113615.732956372</v>
          </cell>
          <cell r="BL193">
            <v>0</v>
          </cell>
          <cell r="BM193">
            <v>0</v>
          </cell>
          <cell r="BN193">
            <v>0</v>
          </cell>
          <cell r="BO193">
            <v>0</v>
          </cell>
          <cell r="BP193">
            <v>0</v>
          </cell>
          <cell r="BQ193">
            <v>0</v>
          </cell>
          <cell r="BR193">
            <v>0</v>
          </cell>
          <cell r="BS193">
            <v>32113615.732956372</v>
          </cell>
          <cell r="BT193">
            <v>35381978.427508488</v>
          </cell>
          <cell r="BU193">
            <v>29310790.394297238</v>
          </cell>
          <cell r="BV193">
            <v>0</v>
          </cell>
          <cell r="BW193">
            <v>0</v>
          </cell>
          <cell r="BX193">
            <v>0</v>
          </cell>
          <cell r="BY193">
            <v>0</v>
          </cell>
          <cell r="BZ193">
            <v>0</v>
          </cell>
          <cell r="CA193">
            <v>0</v>
          </cell>
          <cell r="CB193">
            <v>0</v>
          </cell>
          <cell r="CC193">
            <v>0</v>
          </cell>
          <cell r="CD193">
            <v>0</v>
          </cell>
          <cell r="CE193">
            <v>0</v>
          </cell>
          <cell r="CF193">
            <v>0</v>
          </cell>
          <cell r="CG193">
            <v>32113615.732956372</v>
          </cell>
          <cell r="CH193">
            <v>0</v>
          </cell>
          <cell r="CI193">
            <v>0</v>
          </cell>
          <cell r="CJ193">
            <v>0</v>
          </cell>
          <cell r="CK193">
            <v>0</v>
          </cell>
          <cell r="CL193">
            <v>0</v>
          </cell>
          <cell r="CM193">
            <v>0</v>
          </cell>
          <cell r="CN193">
            <v>0</v>
          </cell>
          <cell r="CO193">
            <v>32922366.588768687</v>
          </cell>
          <cell r="CP193">
            <v>32113615.732956372</v>
          </cell>
          <cell r="CQ193">
            <v>32113615.732956372</v>
          </cell>
          <cell r="CR193">
            <v>32113615.732956372</v>
          </cell>
          <cell r="CS193">
            <v>32113615.732956372</v>
          </cell>
          <cell r="CT193">
            <v>32113615.732956372</v>
          </cell>
          <cell r="CU193">
            <v>0</v>
          </cell>
          <cell r="CV193">
            <v>32113615.732956372</v>
          </cell>
          <cell r="CW193">
            <v>32113615.732956372</v>
          </cell>
          <cell r="CX193">
            <v>0</v>
          </cell>
          <cell r="CY193">
            <v>32113615.732956372</v>
          </cell>
          <cell r="CZ193">
            <v>32113615.732956372</v>
          </cell>
          <cell r="DA193">
            <v>34317530.82836432</v>
          </cell>
          <cell r="DB193">
            <v>32113615.732956372</v>
          </cell>
          <cell r="DC193">
            <v>32113615.732956372</v>
          </cell>
          <cell r="DD193">
            <v>32113615.732956372</v>
          </cell>
          <cell r="DE193">
            <v>0</v>
          </cell>
          <cell r="DF193">
            <v>32113615.732956372</v>
          </cell>
          <cell r="DG193">
            <v>32176489.358235992</v>
          </cell>
          <cell r="DH193">
            <v>0</v>
          </cell>
          <cell r="DI193">
            <v>32113615.732956372</v>
          </cell>
          <cell r="DJ193">
            <v>0</v>
          </cell>
          <cell r="DK193">
            <v>0</v>
          </cell>
          <cell r="DL193">
            <v>0</v>
          </cell>
          <cell r="DM193">
            <v>0</v>
          </cell>
          <cell r="DN193">
            <v>0</v>
          </cell>
          <cell r="DO193">
            <v>0</v>
          </cell>
          <cell r="DP193">
            <v>0</v>
          </cell>
          <cell r="DQ193">
            <v>0</v>
          </cell>
          <cell r="DR193">
            <v>0</v>
          </cell>
          <cell r="DS193">
            <v>0</v>
          </cell>
          <cell r="DT193">
            <v>0</v>
          </cell>
          <cell r="DU193">
            <v>0</v>
          </cell>
          <cell r="DV193">
            <v>0</v>
          </cell>
          <cell r="DW193">
            <v>0</v>
          </cell>
          <cell r="EA193">
            <v>0</v>
          </cell>
          <cell r="EB193">
            <v>0</v>
          </cell>
          <cell r="EC193">
            <v>0</v>
          </cell>
          <cell r="ED193">
            <v>0</v>
          </cell>
          <cell r="EE193">
            <v>0</v>
          </cell>
          <cell r="EF193">
            <v>0</v>
          </cell>
          <cell r="EG193">
            <v>0</v>
          </cell>
          <cell r="EH193">
            <v>0</v>
          </cell>
          <cell r="EI193">
            <v>0</v>
          </cell>
          <cell r="EJ193">
            <v>0</v>
          </cell>
          <cell r="EK193">
            <v>0</v>
          </cell>
          <cell r="EL193">
            <v>0</v>
          </cell>
          <cell r="EM193">
            <v>0</v>
          </cell>
          <cell r="EN193">
            <v>0</v>
          </cell>
          <cell r="EO193">
            <v>0</v>
          </cell>
          <cell r="EP193">
            <v>0</v>
          </cell>
          <cell r="EQ193">
            <v>0</v>
          </cell>
          <cell r="ER193">
            <v>0</v>
          </cell>
          <cell r="ES193">
            <v>0</v>
          </cell>
          <cell r="ET193">
            <v>0</v>
          </cell>
          <cell r="EU193">
            <v>0</v>
          </cell>
          <cell r="EV193">
            <v>0</v>
          </cell>
          <cell r="EW193">
            <v>0</v>
          </cell>
          <cell r="EX193">
            <v>0</v>
          </cell>
          <cell r="EY193">
            <v>0</v>
          </cell>
          <cell r="EZ193">
            <v>0</v>
          </cell>
          <cell r="FA193">
            <v>0</v>
          </cell>
          <cell r="FB193">
            <v>0</v>
          </cell>
          <cell r="FC193">
            <v>0</v>
          </cell>
          <cell r="FD193">
            <v>0</v>
          </cell>
          <cell r="FE193">
            <v>32113615.732956372</v>
          </cell>
          <cell r="FF193">
            <v>35381978.427508488</v>
          </cell>
          <cell r="FG193">
            <v>29310790.394297238</v>
          </cell>
          <cell r="FH193">
            <v>0</v>
          </cell>
          <cell r="FI193">
            <v>0</v>
          </cell>
          <cell r="FJ193">
            <v>0</v>
          </cell>
          <cell r="FK193">
            <v>0</v>
          </cell>
          <cell r="FL193">
            <v>0</v>
          </cell>
          <cell r="FM193">
            <v>0</v>
          </cell>
          <cell r="FN193">
            <v>0</v>
          </cell>
          <cell r="FO193">
            <v>0</v>
          </cell>
          <cell r="FP193">
            <v>0</v>
          </cell>
          <cell r="FQ193">
            <v>0</v>
          </cell>
          <cell r="FR193">
            <v>0</v>
          </cell>
          <cell r="FS193">
            <v>32113615.732956372</v>
          </cell>
          <cell r="FT193">
            <v>0</v>
          </cell>
          <cell r="FU193">
            <v>0</v>
          </cell>
          <cell r="FV193">
            <v>0</v>
          </cell>
          <cell r="FW193">
            <v>0</v>
          </cell>
          <cell r="FX193">
            <v>0</v>
          </cell>
          <cell r="FY193">
            <v>0</v>
          </cell>
          <cell r="FZ193">
            <v>0</v>
          </cell>
          <cell r="GA193">
            <v>32922366.588768687</v>
          </cell>
          <cell r="GB193">
            <v>32113615.732956372</v>
          </cell>
          <cell r="GC193">
            <v>34317530.82836432</v>
          </cell>
          <cell r="GD193">
            <v>32113615.732956372</v>
          </cell>
          <cell r="GE193">
            <v>32113615.732956372</v>
          </cell>
          <cell r="GF193">
            <v>32113615.732956372</v>
          </cell>
          <cell r="GG193">
            <v>0</v>
          </cell>
          <cell r="GH193">
            <v>32113615.732956372</v>
          </cell>
          <cell r="GI193">
            <v>32176489.358235992</v>
          </cell>
          <cell r="GJ193">
            <v>0</v>
          </cell>
          <cell r="GK193">
            <v>32113615.732956372</v>
          </cell>
          <cell r="GL193">
            <v>0</v>
          </cell>
          <cell r="GM193">
            <v>0</v>
          </cell>
          <cell r="GN193">
            <v>0</v>
          </cell>
          <cell r="GO193">
            <v>0</v>
          </cell>
          <cell r="GP193">
            <v>0</v>
          </cell>
          <cell r="GQ193">
            <v>0</v>
          </cell>
          <cell r="GR193">
            <v>0</v>
          </cell>
          <cell r="GS193">
            <v>0</v>
          </cell>
          <cell r="GT193">
            <v>0</v>
          </cell>
          <cell r="GZ193">
            <v>0</v>
          </cell>
        </row>
        <row r="194">
          <cell r="A194" t="str">
            <v>I_BVP_NRF_RET_IND_INTR_S23</v>
          </cell>
          <cell r="B194">
            <v>333794186.50999987</v>
          </cell>
          <cell r="C194">
            <v>0</v>
          </cell>
          <cell r="D194">
            <v>361682110.7433002</v>
          </cell>
          <cell r="E194">
            <v>371466655.10529339</v>
          </cell>
          <cell r="F194">
            <v>361682110.7433002</v>
          </cell>
          <cell r="G194">
            <v>361682110.7433002</v>
          </cell>
          <cell r="H194">
            <v>0</v>
          </cell>
          <cell r="I194">
            <v>0</v>
          </cell>
          <cell r="J194">
            <v>0</v>
          </cell>
          <cell r="K194">
            <v>0</v>
          </cell>
          <cell r="L194">
            <v>0</v>
          </cell>
          <cell r="M194">
            <v>0</v>
          </cell>
          <cell r="N194">
            <v>0</v>
          </cell>
          <cell r="O194">
            <v>0</v>
          </cell>
          <cell r="P194">
            <v>0</v>
          </cell>
          <cell r="Q194">
            <v>0</v>
          </cell>
          <cell r="R194">
            <v>0</v>
          </cell>
          <cell r="S194">
            <v>361682110.7433002</v>
          </cell>
          <cell r="T194">
            <v>0</v>
          </cell>
          <cell r="U194">
            <v>0</v>
          </cell>
          <cell r="V194">
            <v>0</v>
          </cell>
          <cell r="W194">
            <v>0</v>
          </cell>
          <cell r="X194">
            <v>0</v>
          </cell>
          <cell r="Y194">
            <v>0</v>
          </cell>
          <cell r="Z194">
            <v>0</v>
          </cell>
          <cell r="AA194">
            <v>361682110.7433002</v>
          </cell>
          <cell r="AB194">
            <v>383609617.5671351</v>
          </cell>
          <cell r="AC194">
            <v>340342239.00497115</v>
          </cell>
          <cell r="AD194">
            <v>0</v>
          </cell>
          <cell r="AE194">
            <v>0</v>
          </cell>
          <cell r="AF194">
            <v>0</v>
          </cell>
          <cell r="AG194">
            <v>0</v>
          </cell>
          <cell r="AH194">
            <v>0</v>
          </cell>
          <cell r="AI194">
            <v>0</v>
          </cell>
          <cell r="AJ194">
            <v>0</v>
          </cell>
          <cell r="AK194">
            <v>0</v>
          </cell>
          <cell r="AL194">
            <v>0</v>
          </cell>
          <cell r="AM194">
            <v>0</v>
          </cell>
          <cell r="AN194">
            <v>0</v>
          </cell>
          <cell r="AO194">
            <v>349254301.18804854</v>
          </cell>
          <cell r="AP194">
            <v>0</v>
          </cell>
          <cell r="AQ194">
            <v>0</v>
          </cell>
          <cell r="AR194">
            <v>0</v>
          </cell>
          <cell r="AS194">
            <v>0</v>
          </cell>
          <cell r="AT194">
            <v>0</v>
          </cell>
          <cell r="AU194">
            <v>0</v>
          </cell>
          <cell r="AV194">
            <v>0</v>
          </cell>
          <cell r="AW194">
            <v>361682110.7433002</v>
          </cell>
          <cell r="AX194">
            <v>371466655.10529339</v>
          </cell>
          <cell r="AY194">
            <v>371466655.10529339</v>
          </cell>
          <cell r="AZ194">
            <v>0</v>
          </cell>
          <cell r="BA194">
            <v>0</v>
          </cell>
          <cell r="BB194">
            <v>0</v>
          </cell>
          <cell r="BC194">
            <v>0</v>
          </cell>
          <cell r="BD194">
            <v>0</v>
          </cell>
          <cell r="BE194">
            <v>0</v>
          </cell>
          <cell r="BF194">
            <v>0</v>
          </cell>
          <cell r="BG194">
            <v>0</v>
          </cell>
          <cell r="BH194">
            <v>0</v>
          </cell>
          <cell r="BI194">
            <v>0</v>
          </cell>
          <cell r="BJ194">
            <v>0</v>
          </cell>
          <cell r="BK194">
            <v>371466655.10529339</v>
          </cell>
          <cell r="BL194">
            <v>0</v>
          </cell>
          <cell r="BM194">
            <v>0</v>
          </cell>
          <cell r="BN194">
            <v>0</v>
          </cell>
          <cell r="BO194">
            <v>0</v>
          </cell>
          <cell r="BP194">
            <v>0</v>
          </cell>
          <cell r="BQ194">
            <v>0</v>
          </cell>
          <cell r="BR194">
            <v>0</v>
          </cell>
          <cell r="BS194">
            <v>371466655.10529339</v>
          </cell>
          <cell r="BT194">
            <v>389259518.36132902</v>
          </cell>
          <cell r="BU194">
            <v>355477838.40619653</v>
          </cell>
          <cell r="BV194">
            <v>0</v>
          </cell>
          <cell r="BW194">
            <v>0</v>
          </cell>
          <cell r="BX194">
            <v>0</v>
          </cell>
          <cell r="BY194">
            <v>0</v>
          </cell>
          <cell r="BZ194">
            <v>0</v>
          </cell>
          <cell r="CA194">
            <v>0</v>
          </cell>
          <cell r="CB194">
            <v>0</v>
          </cell>
          <cell r="CC194">
            <v>0</v>
          </cell>
          <cell r="CD194">
            <v>0</v>
          </cell>
          <cell r="CE194">
            <v>0</v>
          </cell>
          <cell r="CF194">
            <v>0</v>
          </cell>
          <cell r="CG194">
            <v>371466655.10529339</v>
          </cell>
          <cell r="CH194">
            <v>0</v>
          </cell>
          <cell r="CI194">
            <v>0</v>
          </cell>
          <cell r="CJ194">
            <v>0</v>
          </cell>
          <cell r="CK194">
            <v>0</v>
          </cell>
          <cell r="CL194">
            <v>0</v>
          </cell>
          <cell r="CM194">
            <v>0</v>
          </cell>
          <cell r="CN194">
            <v>0</v>
          </cell>
          <cell r="CO194">
            <v>376882252.96503496</v>
          </cell>
          <cell r="CP194">
            <v>371466655.10529339</v>
          </cell>
          <cell r="CQ194">
            <v>371466655.10529339</v>
          </cell>
          <cell r="CR194">
            <v>371466655.10529339</v>
          </cell>
          <cell r="CS194">
            <v>371466655.10529339</v>
          </cell>
          <cell r="CT194">
            <v>371466655.10529339</v>
          </cell>
          <cell r="CU194">
            <v>0</v>
          </cell>
          <cell r="CV194">
            <v>371466655.10529339</v>
          </cell>
          <cell r="CW194">
            <v>371466655.10529339</v>
          </cell>
          <cell r="CX194">
            <v>0</v>
          </cell>
          <cell r="CY194">
            <v>371466655.10529339</v>
          </cell>
          <cell r="CZ194">
            <v>371466655.10529339</v>
          </cell>
          <cell r="DA194">
            <v>372250792.39158958</v>
          </cell>
          <cell r="DB194">
            <v>371466655.10529339</v>
          </cell>
          <cell r="DC194">
            <v>370985111.27754027</v>
          </cell>
          <cell r="DD194">
            <v>371875854.54398477</v>
          </cell>
          <cell r="DE194">
            <v>0</v>
          </cell>
          <cell r="DF194">
            <v>360462975.93422985</v>
          </cell>
          <cell r="DG194">
            <v>372119499.473032</v>
          </cell>
          <cell r="DH194">
            <v>0</v>
          </cell>
          <cell r="DI194">
            <v>371466655.10529339</v>
          </cell>
          <cell r="DJ194">
            <v>0</v>
          </cell>
          <cell r="DK194">
            <v>0</v>
          </cell>
          <cell r="DL194">
            <v>0</v>
          </cell>
          <cell r="DM194">
            <v>0</v>
          </cell>
          <cell r="DN194">
            <v>0</v>
          </cell>
          <cell r="DO194">
            <v>0</v>
          </cell>
          <cell r="DP194">
            <v>0</v>
          </cell>
          <cell r="DQ194">
            <v>0</v>
          </cell>
          <cell r="DR194">
            <v>0</v>
          </cell>
          <cell r="DS194">
            <v>0</v>
          </cell>
          <cell r="DT194">
            <v>0</v>
          </cell>
          <cell r="DU194">
            <v>0</v>
          </cell>
          <cell r="DV194">
            <v>0</v>
          </cell>
          <cell r="DW194">
            <v>0</v>
          </cell>
          <cell r="EA194">
            <v>0</v>
          </cell>
          <cell r="EB194">
            <v>0</v>
          </cell>
          <cell r="EC194">
            <v>0</v>
          </cell>
          <cell r="ED194">
            <v>0</v>
          </cell>
          <cell r="EE194">
            <v>0</v>
          </cell>
          <cell r="EF194">
            <v>0</v>
          </cell>
          <cell r="EG194">
            <v>0</v>
          </cell>
          <cell r="EH194">
            <v>0</v>
          </cell>
          <cell r="EI194">
            <v>0</v>
          </cell>
          <cell r="EJ194">
            <v>0</v>
          </cell>
          <cell r="EK194">
            <v>0</v>
          </cell>
          <cell r="EL194">
            <v>0</v>
          </cell>
          <cell r="EM194">
            <v>0</v>
          </cell>
          <cell r="EN194">
            <v>0</v>
          </cell>
          <cell r="EO194">
            <v>0</v>
          </cell>
          <cell r="EP194">
            <v>0</v>
          </cell>
          <cell r="EQ194">
            <v>0</v>
          </cell>
          <cell r="ER194">
            <v>0</v>
          </cell>
          <cell r="ES194">
            <v>0</v>
          </cell>
          <cell r="ET194">
            <v>0</v>
          </cell>
          <cell r="EU194">
            <v>0</v>
          </cell>
          <cell r="EV194">
            <v>0</v>
          </cell>
          <cell r="EW194">
            <v>0</v>
          </cell>
          <cell r="EX194">
            <v>0</v>
          </cell>
          <cell r="EY194">
            <v>0</v>
          </cell>
          <cell r="EZ194">
            <v>0</v>
          </cell>
          <cell r="FA194">
            <v>0</v>
          </cell>
          <cell r="FB194">
            <v>0</v>
          </cell>
          <cell r="FC194">
            <v>0</v>
          </cell>
          <cell r="FD194">
            <v>0</v>
          </cell>
          <cell r="FE194">
            <v>371466655.10529339</v>
          </cell>
          <cell r="FF194">
            <v>389259518.36132902</v>
          </cell>
          <cell r="FG194">
            <v>355477838.40619653</v>
          </cell>
          <cell r="FH194">
            <v>0</v>
          </cell>
          <cell r="FI194">
            <v>0</v>
          </cell>
          <cell r="FJ194">
            <v>0</v>
          </cell>
          <cell r="FK194">
            <v>0</v>
          </cell>
          <cell r="FL194">
            <v>0</v>
          </cell>
          <cell r="FM194">
            <v>0</v>
          </cell>
          <cell r="FN194">
            <v>0</v>
          </cell>
          <cell r="FO194">
            <v>0</v>
          </cell>
          <cell r="FP194">
            <v>0</v>
          </cell>
          <cell r="FQ194">
            <v>0</v>
          </cell>
          <cell r="FR194">
            <v>0</v>
          </cell>
          <cell r="FS194">
            <v>371466655.10529339</v>
          </cell>
          <cell r="FT194">
            <v>0</v>
          </cell>
          <cell r="FU194">
            <v>0</v>
          </cell>
          <cell r="FV194">
            <v>0</v>
          </cell>
          <cell r="FW194">
            <v>0</v>
          </cell>
          <cell r="FX194">
            <v>0</v>
          </cell>
          <cell r="FY194">
            <v>0</v>
          </cell>
          <cell r="FZ194">
            <v>0</v>
          </cell>
          <cell r="GA194">
            <v>376882252.96503496</v>
          </cell>
          <cell r="GB194">
            <v>371466655.10529339</v>
          </cell>
          <cell r="GC194">
            <v>372250792.39158958</v>
          </cell>
          <cell r="GD194">
            <v>371466655.10529339</v>
          </cell>
          <cell r="GE194">
            <v>370985111.27754027</v>
          </cell>
          <cell r="GF194">
            <v>371875854.54398477</v>
          </cell>
          <cell r="GG194">
            <v>0</v>
          </cell>
          <cell r="GH194">
            <v>360462975.93422985</v>
          </cell>
          <cell r="GI194">
            <v>372119499.473032</v>
          </cell>
          <cell r="GJ194">
            <v>0</v>
          </cell>
          <cell r="GK194">
            <v>371466655.10529339</v>
          </cell>
          <cell r="GL194">
            <v>0</v>
          </cell>
          <cell r="GM194">
            <v>0</v>
          </cell>
          <cell r="GN194">
            <v>0</v>
          </cell>
          <cell r="GO194">
            <v>0</v>
          </cell>
          <cell r="GP194">
            <v>0</v>
          </cell>
          <cell r="GQ194">
            <v>0</v>
          </cell>
          <cell r="GR194">
            <v>0</v>
          </cell>
          <cell r="GS194">
            <v>0</v>
          </cell>
          <cell r="GT194">
            <v>0</v>
          </cell>
          <cell r="GZ194">
            <v>10303482.960000001</v>
          </cell>
        </row>
        <row r="195">
          <cell r="A195" t="str">
            <v>I_BVP_NRF_CPT_PRP_INTR_P01</v>
          </cell>
          <cell r="B195">
            <v>0</v>
          </cell>
          <cell r="C195">
            <v>0</v>
          </cell>
          <cell r="D195">
            <v>47274347.609999999</v>
          </cell>
          <cell r="E195">
            <v>0</v>
          </cell>
          <cell r="F195">
            <v>47274347.609999999</v>
          </cell>
          <cell r="G195">
            <v>47274347.609999999</v>
          </cell>
          <cell r="H195">
            <v>0</v>
          </cell>
          <cell r="I195">
            <v>0</v>
          </cell>
          <cell r="J195">
            <v>0</v>
          </cell>
          <cell r="K195">
            <v>0</v>
          </cell>
          <cell r="L195">
            <v>0</v>
          </cell>
          <cell r="M195">
            <v>0</v>
          </cell>
          <cell r="N195">
            <v>0</v>
          </cell>
          <cell r="O195">
            <v>0</v>
          </cell>
          <cell r="P195">
            <v>0</v>
          </cell>
          <cell r="Q195">
            <v>0</v>
          </cell>
          <cell r="R195">
            <v>0</v>
          </cell>
          <cell r="S195">
            <v>47274347.609999999</v>
          </cell>
          <cell r="T195">
            <v>0</v>
          </cell>
          <cell r="U195">
            <v>0</v>
          </cell>
          <cell r="V195">
            <v>0</v>
          </cell>
          <cell r="W195">
            <v>0</v>
          </cell>
          <cell r="X195">
            <v>0</v>
          </cell>
          <cell r="Y195">
            <v>0</v>
          </cell>
          <cell r="Z195">
            <v>0</v>
          </cell>
          <cell r="AA195">
            <v>47274347.609999999</v>
          </cell>
          <cell r="AB195">
            <v>48718641.790704176</v>
          </cell>
          <cell r="AC195">
            <v>45721100.844940484</v>
          </cell>
          <cell r="AD195">
            <v>0</v>
          </cell>
          <cell r="AE195">
            <v>0</v>
          </cell>
          <cell r="AF195">
            <v>0</v>
          </cell>
          <cell r="AG195">
            <v>0</v>
          </cell>
          <cell r="AH195">
            <v>0</v>
          </cell>
          <cell r="AI195">
            <v>0</v>
          </cell>
          <cell r="AJ195">
            <v>0</v>
          </cell>
          <cell r="AK195">
            <v>0</v>
          </cell>
          <cell r="AL195">
            <v>0</v>
          </cell>
          <cell r="AM195">
            <v>0</v>
          </cell>
          <cell r="AN195">
            <v>0</v>
          </cell>
          <cell r="AO195">
            <v>43877166.251668148</v>
          </cell>
          <cell r="AP195">
            <v>0</v>
          </cell>
          <cell r="AQ195">
            <v>0</v>
          </cell>
          <cell r="AR195">
            <v>0</v>
          </cell>
          <cell r="AS195">
            <v>0</v>
          </cell>
          <cell r="AT195">
            <v>0</v>
          </cell>
          <cell r="AU195">
            <v>0</v>
          </cell>
          <cell r="AV195">
            <v>0</v>
          </cell>
          <cell r="AW195">
            <v>47274347.609999999</v>
          </cell>
          <cell r="AX195">
            <v>0</v>
          </cell>
          <cell r="AY195">
            <v>0</v>
          </cell>
          <cell r="AZ195">
            <v>0</v>
          </cell>
          <cell r="BA195">
            <v>0</v>
          </cell>
          <cell r="BB195">
            <v>0</v>
          </cell>
          <cell r="BC195">
            <v>0</v>
          </cell>
          <cell r="BD195">
            <v>0</v>
          </cell>
          <cell r="BE195">
            <v>0</v>
          </cell>
          <cell r="BF195">
            <v>0</v>
          </cell>
          <cell r="BG195">
            <v>0</v>
          </cell>
          <cell r="BH195">
            <v>0</v>
          </cell>
          <cell r="BI195">
            <v>0</v>
          </cell>
          <cell r="BJ195">
            <v>0</v>
          </cell>
          <cell r="BK195">
            <v>0</v>
          </cell>
          <cell r="BL195">
            <v>0</v>
          </cell>
          <cell r="BM195">
            <v>0</v>
          </cell>
          <cell r="BN195">
            <v>0</v>
          </cell>
          <cell r="BO195">
            <v>0</v>
          </cell>
          <cell r="BP195">
            <v>0</v>
          </cell>
          <cell r="BQ195">
            <v>0</v>
          </cell>
          <cell r="BR195">
            <v>0</v>
          </cell>
          <cell r="BS195">
            <v>0</v>
          </cell>
          <cell r="BT195">
            <v>0</v>
          </cell>
          <cell r="BU195">
            <v>0</v>
          </cell>
          <cell r="BV195">
            <v>0</v>
          </cell>
          <cell r="BW195">
            <v>0</v>
          </cell>
          <cell r="BX195">
            <v>0</v>
          </cell>
          <cell r="BY195">
            <v>0</v>
          </cell>
          <cell r="BZ195">
            <v>0</v>
          </cell>
          <cell r="CA195">
            <v>0</v>
          </cell>
          <cell r="CB195">
            <v>0</v>
          </cell>
          <cell r="CC195">
            <v>0</v>
          </cell>
          <cell r="CD195">
            <v>0</v>
          </cell>
          <cell r="CE195">
            <v>0</v>
          </cell>
          <cell r="CF195">
            <v>0</v>
          </cell>
          <cell r="CG195">
            <v>0</v>
          </cell>
          <cell r="CH195">
            <v>0</v>
          </cell>
          <cell r="CI195">
            <v>0</v>
          </cell>
          <cell r="CJ195">
            <v>0</v>
          </cell>
          <cell r="CK195">
            <v>0</v>
          </cell>
          <cell r="CL195">
            <v>0</v>
          </cell>
          <cell r="CM195">
            <v>0</v>
          </cell>
          <cell r="CN195">
            <v>0</v>
          </cell>
          <cell r="CO195">
            <v>0</v>
          </cell>
          <cell r="CP195">
            <v>0</v>
          </cell>
          <cell r="CQ195">
            <v>0</v>
          </cell>
          <cell r="CR195">
            <v>0</v>
          </cell>
          <cell r="CS195">
            <v>0</v>
          </cell>
          <cell r="CT195">
            <v>0</v>
          </cell>
          <cell r="CU195">
            <v>0</v>
          </cell>
          <cell r="CV195">
            <v>0</v>
          </cell>
          <cell r="CW195">
            <v>0</v>
          </cell>
          <cell r="CX195">
            <v>0</v>
          </cell>
          <cell r="CY195">
            <v>0</v>
          </cell>
          <cell r="CZ195">
            <v>0</v>
          </cell>
          <cell r="DA195">
            <v>0</v>
          </cell>
          <cell r="DB195">
            <v>0</v>
          </cell>
          <cell r="DC195">
            <v>0</v>
          </cell>
          <cell r="DD195">
            <v>0</v>
          </cell>
          <cell r="DE195">
            <v>0</v>
          </cell>
          <cell r="DF195">
            <v>0</v>
          </cell>
          <cell r="DG195">
            <v>0</v>
          </cell>
          <cell r="DH195">
            <v>0</v>
          </cell>
          <cell r="DI195">
            <v>0</v>
          </cell>
          <cell r="DJ195">
            <v>0</v>
          </cell>
          <cell r="DK195">
            <v>0</v>
          </cell>
          <cell r="DL195">
            <v>0</v>
          </cell>
          <cell r="DM195">
            <v>0</v>
          </cell>
          <cell r="DN195">
            <v>0</v>
          </cell>
          <cell r="DO195">
            <v>0</v>
          </cell>
          <cell r="DP195">
            <v>0</v>
          </cell>
          <cell r="DQ195">
            <v>0</v>
          </cell>
          <cell r="DR195">
            <v>0</v>
          </cell>
          <cell r="DS195">
            <v>0</v>
          </cell>
          <cell r="DT195">
            <v>0</v>
          </cell>
          <cell r="DU195">
            <v>0</v>
          </cell>
          <cell r="DV195">
            <v>0</v>
          </cell>
          <cell r="DW195">
            <v>0</v>
          </cell>
          <cell r="EA195">
            <v>0</v>
          </cell>
          <cell r="EB195">
            <v>0</v>
          </cell>
          <cell r="EC195">
            <v>0</v>
          </cell>
          <cell r="ED195">
            <v>0</v>
          </cell>
          <cell r="EE195">
            <v>0</v>
          </cell>
          <cell r="EF195">
            <v>0</v>
          </cell>
          <cell r="EG195">
            <v>0</v>
          </cell>
          <cell r="EH195">
            <v>0</v>
          </cell>
          <cell r="EI195">
            <v>0</v>
          </cell>
          <cell r="EJ195">
            <v>0</v>
          </cell>
          <cell r="EK195">
            <v>0</v>
          </cell>
          <cell r="EL195">
            <v>0</v>
          </cell>
          <cell r="EM195">
            <v>0</v>
          </cell>
          <cell r="EN195">
            <v>0</v>
          </cell>
          <cell r="EO195">
            <v>0</v>
          </cell>
          <cell r="EP195">
            <v>0</v>
          </cell>
          <cell r="EQ195">
            <v>0</v>
          </cell>
          <cell r="ER195">
            <v>0</v>
          </cell>
          <cell r="ES195">
            <v>0</v>
          </cell>
          <cell r="ET195">
            <v>0</v>
          </cell>
          <cell r="EU195">
            <v>0</v>
          </cell>
          <cell r="EV195">
            <v>0</v>
          </cell>
          <cell r="EW195">
            <v>0</v>
          </cell>
          <cell r="EX195">
            <v>0</v>
          </cell>
          <cell r="EY195">
            <v>0</v>
          </cell>
          <cell r="EZ195">
            <v>0</v>
          </cell>
          <cell r="FA195">
            <v>0</v>
          </cell>
          <cell r="FB195">
            <v>0</v>
          </cell>
          <cell r="FC195">
            <v>0</v>
          </cell>
          <cell r="FD195">
            <v>0</v>
          </cell>
          <cell r="FE195">
            <v>0</v>
          </cell>
          <cell r="FF195">
            <v>0</v>
          </cell>
          <cell r="FG195">
            <v>0</v>
          </cell>
          <cell r="FH195">
            <v>0</v>
          </cell>
          <cell r="FI195">
            <v>0</v>
          </cell>
          <cell r="FJ195">
            <v>0</v>
          </cell>
          <cell r="FK195">
            <v>0</v>
          </cell>
          <cell r="FL195">
            <v>0</v>
          </cell>
          <cell r="FM195">
            <v>0</v>
          </cell>
          <cell r="FN195">
            <v>0</v>
          </cell>
          <cell r="FO195">
            <v>0</v>
          </cell>
          <cell r="FP195">
            <v>0</v>
          </cell>
          <cell r="FQ195">
            <v>0</v>
          </cell>
          <cell r="FR195">
            <v>0</v>
          </cell>
          <cell r="FS195">
            <v>0</v>
          </cell>
          <cell r="FT195">
            <v>0</v>
          </cell>
          <cell r="FU195">
            <v>0</v>
          </cell>
          <cell r="FV195">
            <v>0</v>
          </cell>
          <cell r="FW195">
            <v>0</v>
          </cell>
          <cell r="FX195">
            <v>0</v>
          </cell>
          <cell r="FY195">
            <v>0</v>
          </cell>
          <cell r="FZ195">
            <v>0</v>
          </cell>
          <cell r="GA195">
            <v>0</v>
          </cell>
          <cell r="GB195">
            <v>0</v>
          </cell>
          <cell r="GC195">
            <v>0</v>
          </cell>
          <cell r="GD195">
            <v>0</v>
          </cell>
          <cell r="GE195">
            <v>0</v>
          </cell>
          <cell r="GF195">
            <v>0</v>
          </cell>
          <cell r="GG195">
            <v>0</v>
          </cell>
          <cell r="GH195">
            <v>0</v>
          </cell>
          <cell r="GI195">
            <v>0</v>
          </cell>
          <cell r="GJ195">
            <v>0</v>
          </cell>
          <cell r="GK195">
            <v>0</v>
          </cell>
          <cell r="GL195">
            <v>0</v>
          </cell>
          <cell r="GM195">
            <v>0</v>
          </cell>
          <cell r="GN195">
            <v>0</v>
          </cell>
          <cell r="GO195">
            <v>0</v>
          </cell>
          <cell r="GP195">
            <v>0</v>
          </cell>
          <cell r="GQ195">
            <v>0</v>
          </cell>
          <cell r="GR195">
            <v>0</v>
          </cell>
          <cell r="GS195">
            <v>0</v>
          </cell>
          <cell r="GT195">
            <v>0</v>
          </cell>
          <cell r="GZ195">
            <v>0</v>
          </cell>
        </row>
        <row r="196">
          <cell r="A196" t="str">
            <v>I_BVP_NRF_ASS_EMP_INTR_P02</v>
          </cell>
          <cell r="B196">
            <v>17132210.82</v>
          </cell>
          <cell r="C196">
            <v>0</v>
          </cell>
          <cell r="D196">
            <v>17132210.82</v>
          </cell>
          <cell r="E196">
            <v>-93928694.34576948</v>
          </cell>
          <cell r="F196">
            <v>17132210.82</v>
          </cell>
          <cell r="G196">
            <v>17132210.82</v>
          </cell>
          <cell r="H196">
            <v>0</v>
          </cell>
          <cell r="I196">
            <v>0</v>
          </cell>
          <cell r="J196">
            <v>0</v>
          </cell>
          <cell r="K196">
            <v>0</v>
          </cell>
          <cell r="L196">
            <v>0</v>
          </cell>
          <cell r="M196">
            <v>0</v>
          </cell>
          <cell r="N196">
            <v>0</v>
          </cell>
          <cell r="O196">
            <v>0</v>
          </cell>
          <cell r="P196">
            <v>0</v>
          </cell>
          <cell r="Q196">
            <v>0</v>
          </cell>
          <cell r="R196">
            <v>0</v>
          </cell>
          <cell r="S196">
            <v>17132210.82</v>
          </cell>
          <cell r="T196">
            <v>0</v>
          </cell>
          <cell r="U196">
            <v>0</v>
          </cell>
          <cell r="V196">
            <v>0</v>
          </cell>
          <cell r="W196">
            <v>0</v>
          </cell>
          <cell r="X196">
            <v>0</v>
          </cell>
          <cell r="Y196">
            <v>0</v>
          </cell>
          <cell r="Z196">
            <v>0</v>
          </cell>
          <cell r="AA196">
            <v>17132210.82</v>
          </cell>
          <cell r="AB196">
            <v>17419543.610802591</v>
          </cell>
          <cell r="AC196">
            <v>16792561.216293227</v>
          </cell>
          <cell r="AD196">
            <v>0</v>
          </cell>
          <cell r="AE196">
            <v>0</v>
          </cell>
          <cell r="AF196">
            <v>0</v>
          </cell>
          <cell r="AG196">
            <v>0</v>
          </cell>
          <cell r="AH196">
            <v>0</v>
          </cell>
          <cell r="AI196">
            <v>0</v>
          </cell>
          <cell r="AJ196">
            <v>0</v>
          </cell>
          <cell r="AK196">
            <v>0</v>
          </cell>
          <cell r="AL196">
            <v>0</v>
          </cell>
          <cell r="AM196">
            <v>0</v>
          </cell>
          <cell r="AN196">
            <v>0</v>
          </cell>
          <cell r="AO196">
            <v>16335293.761549879</v>
          </cell>
          <cell r="AP196">
            <v>0</v>
          </cell>
          <cell r="AQ196">
            <v>0</v>
          </cell>
          <cell r="AR196">
            <v>0</v>
          </cell>
          <cell r="AS196">
            <v>0</v>
          </cell>
          <cell r="AT196">
            <v>0</v>
          </cell>
          <cell r="AU196">
            <v>0</v>
          </cell>
          <cell r="AV196">
            <v>0</v>
          </cell>
          <cell r="AW196">
            <v>17132210.82</v>
          </cell>
          <cell r="AX196">
            <v>-93928694.34576948</v>
          </cell>
          <cell r="AY196">
            <v>-93928694.34576948</v>
          </cell>
          <cell r="AZ196">
            <v>0</v>
          </cell>
          <cell r="BA196">
            <v>0</v>
          </cell>
          <cell r="BB196">
            <v>0</v>
          </cell>
          <cell r="BC196">
            <v>0</v>
          </cell>
          <cell r="BD196">
            <v>0</v>
          </cell>
          <cell r="BE196">
            <v>0</v>
          </cell>
          <cell r="BF196">
            <v>0</v>
          </cell>
          <cell r="BG196">
            <v>0</v>
          </cell>
          <cell r="BH196">
            <v>0</v>
          </cell>
          <cell r="BI196">
            <v>0</v>
          </cell>
          <cell r="BJ196">
            <v>0</v>
          </cell>
          <cell r="BK196">
            <v>-93928694.34576948</v>
          </cell>
          <cell r="BL196">
            <v>0</v>
          </cell>
          <cell r="BM196">
            <v>0</v>
          </cell>
          <cell r="BN196">
            <v>0</v>
          </cell>
          <cell r="BO196">
            <v>0</v>
          </cell>
          <cell r="BP196">
            <v>0</v>
          </cell>
          <cell r="BQ196">
            <v>0</v>
          </cell>
          <cell r="BR196">
            <v>0</v>
          </cell>
          <cell r="BS196">
            <v>-93928694.34576948</v>
          </cell>
          <cell r="BT196">
            <v>-102800044.24395806</v>
          </cell>
          <cell r="BU196">
            <v>-85995606.589459211</v>
          </cell>
          <cell r="BV196">
            <v>0</v>
          </cell>
          <cell r="BW196">
            <v>0</v>
          </cell>
          <cell r="BX196">
            <v>0</v>
          </cell>
          <cell r="BY196">
            <v>0</v>
          </cell>
          <cell r="BZ196">
            <v>0</v>
          </cell>
          <cell r="CA196">
            <v>0</v>
          </cell>
          <cell r="CB196">
            <v>0</v>
          </cell>
          <cell r="CC196">
            <v>0</v>
          </cell>
          <cell r="CD196">
            <v>0</v>
          </cell>
          <cell r="CE196">
            <v>0</v>
          </cell>
          <cell r="CF196">
            <v>0</v>
          </cell>
          <cell r="CG196">
            <v>-93928694.34576948</v>
          </cell>
          <cell r="CH196">
            <v>0</v>
          </cell>
          <cell r="CI196">
            <v>0</v>
          </cell>
          <cell r="CJ196">
            <v>0</v>
          </cell>
          <cell r="CK196">
            <v>0</v>
          </cell>
          <cell r="CL196">
            <v>0</v>
          </cell>
          <cell r="CM196">
            <v>0</v>
          </cell>
          <cell r="CN196">
            <v>0</v>
          </cell>
          <cell r="CO196">
            <v>-95083298.422174841</v>
          </cell>
          <cell r="CP196">
            <v>-93928694.34576948</v>
          </cell>
          <cell r="CQ196">
            <v>-93928694.34576948</v>
          </cell>
          <cell r="CR196">
            <v>-93928694.34576948</v>
          </cell>
          <cell r="CS196">
            <v>-93928694.34576948</v>
          </cell>
          <cell r="CT196">
            <v>-93928694.34576948</v>
          </cell>
          <cell r="CU196">
            <v>0</v>
          </cell>
          <cell r="CV196">
            <v>-93928694.34576948</v>
          </cell>
          <cell r="CW196">
            <v>-93928694.34576948</v>
          </cell>
          <cell r="CX196">
            <v>0</v>
          </cell>
          <cell r="CY196">
            <v>-93928694.34576948</v>
          </cell>
          <cell r="CZ196">
            <v>-79138791.045215771</v>
          </cell>
          <cell r="DA196">
            <v>-93928694.34576948</v>
          </cell>
          <cell r="DB196">
            <v>-93928694.34576948</v>
          </cell>
          <cell r="DC196">
            <v>-64175023.678936079</v>
          </cell>
          <cell r="DD196">
            <v>-153270763.34422117</v>
          </cell>
          <cell r="DE196">
            <v>0</v>
          </cell>
          <cell r="DF196">
            <v>-57512617.566707022</v>
          </cell>
          <cell r="DG196">
            <v>-93269335.784442246</v>
          </cell>
          <cell r="DH196">
            <v>0</v>
          </cell>
          <cell r="DI196">
            <v>-85669563.865852058</v>
          </cell>
          <cell r="DJ196">
            <v>0</v>
          </cell>
          <cell r="DK196">
            <v>0</v>
          </cell>
          <cell r="DL196">
            <v>0</v>
          </cell>
          <cell r="DM196">
            <v>0</v>
          </cell>
          <cell r="DN196">
            <v>0</v>
          </cell>
          <cell r="DO196">
            <v>0</v>
          </cell>
          <cell r="DP196">
            <v>0</v>
          </cell>
          <cell r="DQ196">
            <v>0</v>
          </cell>
          <cell r="DR196">
            <v>0</v>
          </cell>
          <cell r="DS196">
            <v>0</v>
          </cell>
          <cell r="DT196">
            <v>0</v>
          </cell>
          <cell r="DU196">
            <v>0</v>
          </cell>
          <cell r="DV196">
            <v>0</v>
          </cell>
          <cell r="DW196">
            <v>0</v>
          </cell>
          <cell r="EA196">
            <v>0</v>
          </cell>
          <cell r="EB196">
            <v>0</v>
          </cell>
          <cell r="EC196">
            <v>0</v>
          </cell>
          <cell r="ED196">
            <v>0</v>
          </cell>
          <cell r="EE196">
            <v>0</v>
          </cell>
          <cell r="EF196">
            <v>0</v>
          </cell>
          <cell r="EG196">
            <v>0</v>
          </cell>
          <cell r="EH196">
            <v>0</v>
          </cell>
          <cell r="EI196">
            <v>0</v>
          </cell>
          <cell r="EJ196">
            <v>0</v>
          </cell>
          <cell r="EK196">
            <v>0</v>
          </cell>
          <cell r="EL196">
            <v>0</v>
          </cell>
          <cell r="EM196">
            <v>0</v>
          </cell>
          <cell r="EN196">
            <v>0</v>
          </cell>
          <cell r="EO196">
            <v>0</v>
          </cell>
          <cell r="EP196">
            <v>0</v>
          </cell>
          <cell r="EQ196">
            <v>0</v>
          </cell>
          <cell r="ER196">
            <v>0</v>
          </cell>
          <cell r="ES196">
            <v>0</v>
          </cell>
          <cell r="ET196">
            <v>0</v>
          </cell>
          <cell r="EU196">
            <v>0</v>
          </cell>
          <cell r="EV196">
            <v>0</v>
          </cell>
          <cell r="EW196">
            <v>0</v>
          </cell>
          <cell r="EX196">
            <v>0</v>
          </cell>
          <cell r="EY196">
            <v>0</v>
          </cell>
          <cell r="EZ196">
            <v>0</v>
          </cell>
          <cell r="FA196">
            <v>0</v>
          </cell>
          <cell r="FB196">
            <v>0</v>
          </cell>
          <cell r="FC196">
            <v>0</v>
          </cell>
          <cell r="FD196">
            <v>0</v>
          </cell>
          <cell r="FE196">
            <v>-93928694.34576948</v>
          </cell>
          <cell r="FF196">
            <v>-102800044.24395806</v>
          </cell>
          <cell r="FG196">
            <v>-85995606.589459211</v>
          </cell>
          <cell r="FH196">
            <v>0</v>
          </cell>
          <cell r="FI196">
            <v>0</v>
          </cell>
          <cell r="FJ196">
            <v>0</v>
          </cell>
          <cell r="FK196">
            <v>0</v>
          </cell>
          <cell r="FL196">
            <v>0</v>
          </cell>
          <cell r="FM196">
            <v>0</v>
          </cell>
          <cell r="FN196">
            <v>0</v>
          </cell>
          <cell r="FO196">
            <v>0</v>
          </cell>
          <cell r="FP196">
            <v>0</v>
          </cell>
          <cell r="FQ196">
            <v>0</v>
          </cell>
          <cell r="FR196">
            <v>0</v>
          </cell>
          <cell r="FS196">
            <v>-93928694.34576948</v>
          </cell>
          <cell r="FT196">
            <v>0</v>
          </cell>
          <cell r="FU196">
            <v>0</v>
          </cell>
          <cell r="FV196">
            <v>0</v>
          </cell>
          <cell r="FW196">
            <v>0</v>
          </cell>
          <cell r="FX196">
            <v>0</v>
          </cell>
          <cell r="FY196">
            <v>0</v>
          </cell>
          <cell r="FZ196">
            <v>0</v>
          </cell>
          <cell r="GA196">
            <v>-95083298.422174841</v>
          </cell>
          <cell r="GB196">
            <v>-79138791.045215771</v>
          </cell>
          <cell r="GC196">
            <v>-93928694.34576948</v>
          </cell>
          <cell r="GD196">
            <v>-93928694.34576948</v>
          </cell>
          <cell r="GE196">
            <v>-64175023.678936079</v>
          </cell>
          <cell r="GF196">
            <v>-153270763.34422117</v>
          </cell>
          <cell r="GG196">
            <v>0</v>
          </cell>
          <cell r="GH196">
            <v>-57512617.566707022</v>
          </cell>
          <cell r="GI196">
            <v>-93269335.784442246</v>
          </cell>
          <cell r="GJ196">
            <v>0</v>
          </cell>
          <cell r="GK196">
            <v>-85669563.865852058</v>
          </cell>
          <cell r="GL196">
            <v>0</v>
          </cell>
          <cell r="GM196">
            <v>0</v>
          </cell>
          <cell r="GN196">
            <v>0</v>
          </cell>
          <cell r="GO196">
            <v>0</v>
          </cell>
          <cell r="GP196">
            <v>0</v>
          </cell>
          <cell r="GQ196">
            <v>0</v>
          </cell>
          <cell r="GR196">
            <v>0</v>
          </cell>
          <cell r="GS196">
            <v>0</v>
          </cell>
          <cell r="GT196">
            <v>0</v>
          </cell>
          <cell r="GZ196">
            <v>5535413384.7699995</v>
          </cell>
        </row>
        <row r="197">
          <cell r="A197" t="str">
            <v>I_BVP_NRF_RIS_IND_INTR_P03</v>
          </cell>
          <cell r="B197">
            <v>4206848.71</v>
          </cell>
          <cell r="C197">
            <v>0</v>
          </cell>
          <cell r="D197">
            <v>4206848.71</v>
          </cell>
          <cell r="E197">
            <v>3013654.5295035546</v>
          </cell>
          <cell r="F197">
            <v>4206848.71</v>
          </cell>
          <cell r="G197">
            <v>4206848.71</v>
          </cell>
          <cell r="H197">
            <v>0</v>
          </cell>
          <cell r="I197">
            <v>0</v>
          </cell>
          <cell r="J197">
            <v>0</v>
          </cell>
          <cell r="K197">
            <v>0</v>
          </cell>
          <cell r="L197">
            <v>0</v>
          </cell>
          <cell r="M197">
            <v>0</v>
          </cell>
          <cell r="N197">
            <v>0</v>
          </cell>
          <cell r="O197">
            <v>0</v>
          </cell>
          <cell r="P197">
            <v>0</v>
          </cell>
          <cell r="Q197">
            <v>0</v>
          </cell>
          <cell r="R197">
            <v>0</v>
          </cell>
          <cell r="S197">
            <v>4206848.71</v>
          </cell>
          <cell r="T197">
            <v>0</v>
          </cell>
          <cell r="U197">
            <v>0</v>
          </cell>
          <cell r="V197">
            <v>0</v>
          </cell>
          <cell r="W197">
            <v>0</v>
          </cell>
          <cell r="X197">
            <v>0</v>
          </cell>
          <cell r="Y197">
            <v>0</v>
          </cell>
          <cell r="Z197">
            <v>0</v>
          </cell>
          <cell r="AA197">
            <v>4206848.71</v>
          </cell>
          <cell r="AB197">
            <v>4206848.71</v>
          </cell>
          <cell r="AC197">
            <v>4206848.71</v>
          </cell>
          <cell r="AD197">
            <v>0</v>
          </cell>
          <cell r="AE197">
            <v>0</v>
          </cell>
          <cell r="AF197">
            <v>0</v>
          </cell>
          <cell r="AG197">
            <v>0</v>
          </cell>
          <cell r="AH197">
            <v>0</v>
          </cell>
          <cell r="AI197">
            <v>0</v>
          </cell>
          <cell r="AJ197">
            <v>0</v>
          </cell>
          <cell r="AK197">
            <v>0</v>
          </cell>
          <cell r="AL197">
            <v>0</v>
          </cell>
          <cell r="AM197">
            <v>0</v>
          </cell>
          <cell r="AN197">
            <v>0</v>
          </cell>
          <cell r="AO197">
            <v>4206848.71</v>
          </cell>
          <cell r="AP197">
            <v>0</v>
          </cell>
          <cell r="AQ197">
            <v>0</v>
          </cell>
          <cell r="AR197">
            <v>0</v>
          </cell>
          <cell r="AS197">
            <v>0</v>
          </cell>
          <cell r="AT197">
            <v>0</v>
          </cell>
          <cell r="AU197">
            <v>0</v>
          </cell>
          <cell r="AV197">
            <v>0</v>
          </cell>
          <cell r="AW197">
            <v>4206848.71</v>
          </cell>
          <cell r="AX197">
            <v>3013654.5295035546</v>
          </cell>
          <cell r="AY197">
            <v>3013654.5295035546</v>
          </cell>
          <cell r="AZ197">
            <v>0</v>
          </cell>
          <cell r="BA197">
            <v>0</v>
          </cell>
          <cell r="BB197">
            <v>0</v>
          </cell>
          <cell r="BC197">
            <v>0</v>
          </cell>
          <cell r="BD197">
            <v>0</v>
          </cell>
          <cell r="BE197">
            <v>0</v>
          </cell>
          <cell r="BF197">
            <v>0</v>
          </cell>
          <cell r="BG197">
            <v>0</v>
          </cell>
          <cell r="BH197">
            <v>0</v>
          </cell>
          <cell r="BI197">
            <v>0</v>
          </cell>
          <cell r="BJ197">
            <v>0</v>
          </cell>
          <cell r="BK197">
            <v>3013654.5295035546</v>
          </cell>
          <cell r="BL197">
            <v>0</v>
          </cell>
          <cell r="BM197">
            <v>0</v>
          </cell>
          <cell r="BN197">
            <v>0</v>
          </cell>
          <cell r="BO197">
            <v>0</v>
          </cell>
          <cell r="BP197">
            <v>0</v>
          </cell>
          <cell r="BQ197">
            <v>0</v>
          </cell>
          <cell r="BR197">
            <v>0</v>
          </cell>
          <cell r="BS197">
            <v>3013654.5295035546</v>
          </cell>
          <cell r="BT197">
            <v>3048526.1790507254</v>
          </cell>
          <cell r="BU197">
            <v>2974568.3059535678</v>
          </cell>
          <cell r="BV197">
            <v>0</v>
          </cell>
          <cell r="BW197">
            <v>0</v>
          </cell>
          <cell r="BX197">
            <v>0</v>
          </cell>
          <cell r="BY197">
            <v>0</v>
          </cell>
          <cell r="BZ197">
            <v>0</v>
          </cell>
          <cell r="CA197">
            <v>0</v>
          </cell>
          <cell r="CB197">
            <v>0</v>
          </cell>
          <cell r="CC197">
            <v>0</v>
          </cell>
          <cell r="CD197">
            <v>0</v>
          </cell>
          <cell r="CE197">
            <v>0</v>
          </cell>
          <cell r="CF197">
            <v>0</v>
          </cell>
          <cell r="CG197">
            <v>3013654.5295035546</v>
          </cell>
          <cell r="CH197">
            <v>0</v>
          </cell>
          <cell r="CI197">
            <v>0</v>
          </cell>
          <cell r="CJ197">
            <v>0</v>
          </cell>
          <cell r="CK197">
            <v>0</v>
          </cell>
          <cell r="CL197">
            <v>0</v>
          </cell>
          <cell r="CM197">
            <v>0</v>
          </cell>
          <cell r="CN197">
            <v>0</v>
          </cell>
          <cell r="CO197">
            <v>3019860.9907358522</v>
          </cell>
          <cell r="CP197">
            <v>3013654.5295035546</v>
          </cell>
          <cell r="CQ197">
            <v>3013654.5295035546</v>
          </cell>
          <cell r="CR197">
            <v>3013654.5295035546</v>
          </cell>
          <cell r="CS197">
            <v>3013654.5295035546</v>
          </cell>
          <cell r="CT197">
            <v>3013654.5295035546</v>
          </cell>
          <cell r="CU197">
            <v>0</v>
          </cell>
          <cell r="CV197">
            <v>3013654.5295035546</v>
          </cell>
          <cell r="CW197">
            <v>3013654.5295035546</v>
          </cell>
          <cell r="CX197">
            <v>0</v>
          </cell>
          <cell r="CY197">
            <v>3013654.5295035546</v>
          </cell>
          <cell r="CZ197">
            <v>3174047.8612978952</v>
          </cell>
          <cell r="DA197">
            <v>3013654.5295035546</v>
          </cell>
          <cell r="DB197">
            <v>3013654.5295035546</v>
          </cell>
          <cell r="DC197">
            <v>2901457.6130744666</v>
          </cell>
          <cell r="DD197">
            <v>3131787.79164067</v>
          </cell>
          <cell r="DE197">
            <v>0</v>
          </cell>
          <cell r="DF197">
            <v>2405741.8015037309</v>
          </cell>
          <cell r="DG197">
            <v>3120331.4867119165</v>
          </cell>
          <cell r="DH197">
            <v>0</v>
          </cell>
          <cell r="DI197">
            <v>3266516.6487171445</v>
          </cell>
          <cell r="DJ197">
            <v>0</v>
          </cell>
          <cell r="DK197">
            <v>0</v>
          </cell>
          <cell r="DL197">
            <v>0</v>
          </cell>
          <cell r="DM197">
            <v>0</v>
          </cell>
          <cell r="DN197">
            <v>0</v>
          </cell>
          <cell r="DO197">
            <v>0</v>
          </cell>
          <cell r="DP197">
            <v>0</v>
          </cell>
          <cell r="DQ197">
            <v>0</v>
          </cell>
          <cell r="DR197">
            <v>0</v>
          </cell>
          <cell r="DS197">
            <v>0</v>
          </cell>
          <cell r="DT197">
            <v>0</v>
          </cell>
          <cell r="DU197">
            <v>0</v>
          </cell>
          <cell r="DV197">
            <v>0</v>
          </cell>
          <cell r="DW197">
            <v>0</v>
          </cell>
          <cell r="EA197">
            <v>0</v>
          </cell>
          <cell r="EB197">
            <v>0</v>
          </cell>
          <cell r="EC197">
            <v>0</v>
          </cell>
          <cell r="ED197">
            <v>0</v>
          </cell>
          <cell r="EE197">
            <v>0</v>
          </cell>
          <cell r="EF197">
            <v>0</v>
          </cell>
          <cell r="EG197">
            <v>0</v>
          </cell>
          <cell r="EH197">
            <v>0</v>
          </cell>
          <cell r="EI197">
            <v>0</v>
          </cell>
          <cell r="EJ197">
            <v>0</v>
          </cell>
          <cell r="EK197">
            <v>0</v>
          </cell>
          <cell r="EL197">
            <v>0</v>
          </cell>
          <cell r="EM197">
            <v>0</v>
          </cell>
          <cell r="EN197">
            <v>0</v>
          </cell>
          <cell r="EO197">
            <v>0</v>
          </cell>
          <cell r="EP197">
            <v>0</v>
          </cell>
          <cell r="EQ197">
            <v>0</v>
          </cell>
          <cell r="ER197">
            <v>0</v>
          </cell>
          <cell r="ES197">
            <v>0</v>
          </cell>
          <cell r="ET197">
            <v>0</v>
          </cell>
          <cell r="EU197">
            <v>0</v>
          </cell>
          <cell r="EV197">
            <v>0</v>
          </cell>
          <cell r="EW197">
            <v>0</v>
          </cell>
          <cell r="EX197">
            <v>0</v>
          </cell>
          <cell r="EY197">
            <v>0</v>
          </cell>
          <cell r="EZ197">
            <v>0</v>
          </cell>
          <cell r="FA197">
            <v>0</v>
          </cell>
          <cell r="FB197">
            <v>0</v>
          </cell>
          <cell r="FC197">
            <v>0</v>
          </cell>
          <cell r="FD197">
            <v>0</v>
          </cell>
          <cell r="FE197">
            <v>3013654.5295035546</v>
          </cell>
          <cell r="FF197">
            <v>3048526.1790507254</v>
          </cell>
          <cell r="FG197">
            <v>2974568.3059535678</v>
          </cell>
          <cell r="FH197">
            <v>0</v>
          </cell>
          <cell r="FI197">
            <v>0</v>
          </cell>
          <cell r="FJ197">
            <v>0</v>
          </cell>
          <cell r="FK197">
            <v>0</v>
          </cell>
          <cell r="FL197">
            <v>0</v>
          </cell>
          <cell r="FM197">
            <v>0</v>
          </cell>
          <cell r="FN197">
            <v>0</v>
          </cell>
          <cell r="FO197">
            <v>0</v>
          </cell>
          <cell r="FP197">
            <v>0</v>
          </cell>
          <cell r="FQ197">
            <v>0</v>
          </cell>
          <cell r="FR197">
            <v>0</v>
          </cell>
          <cell r="FS197">
            <v>3013654.5295035546</v>
          </cell>
          <cell r="FT197">
            <v>0</v>
          </cell>
          <cell r="FU197">
            <v>0</v>
          </cell>
          <cell r="FV197">
            <v>0</v>
          </cell>
          <cell r="FW197">
            <v>0</v>
          </cell>
          <cell r="FX197">
            <v>0</v>
          </cell>
          <cell r="FY197">
            <v>0</v>
          </cell>
          <cell r="FZ197">
            <v>0</v>
          </cell>
          <cell r="GA197">
            <v>3019860.9907358522</v>
          </cell>
          <cell r="GB197">
            <v>3174047.8612978952</v>
          </cell>
          <cell r="GC197">
            <v>3013654.5295035546</v>
          </cell>
          <cell r="GD197">
            <v>3013654.5295035546</v>
          </cell>
          <cell r="GE197">
            <v>2901457.6130744666</v>
          </cell>
          <cell r="GF197">
            <v>3131787.79164067</v>
          </cell>
          <cell r="GG197">
            <v>0</v>
          </cell>
          <cell r="GH197">
            <v>2405741.8015037309</v>
          </cell>
          <cell r="GI197">
            <v>3120331.4867119165</v>
          </cell>
          <cell r="GJ197">
            <v>0</v>
          </cell>
          <cell r="GK197">
            <v>3266516.6487171445</v>
          </cell>
          <cell r="GL197">
            <v>0</v>
          </cell>
          <cell r="GM197">
            <v>0</v>
          </cell>
          <cell r="GN197">
            <v>0</v>
          </cell>
          <cell r="GO197">
            <v>0</v>
          </cell>
          <cell r="GP197">
            <v>0</v>
          </cell>
          <cell r="GQ197">
            <v>0</v>
          </cell>
          <cell r="GR197">
            <v>0</v>
          </cell>
          <cell r="GS197">
            <v>0</v>
          </cell>
          <cell r="GT197">
            <v>0</v>
          </cell>
          <cell r="GZ197">
            <v>353969991.84000003</v>
          </cell>
        </row>
        <row r="198">
          <cell r="A198" t="str">
            <v>I_BVP_NRF_EPA_EUR_INTR_P04</v>
          </cell>
          <cell r="B198">
            <v>66926167.239999987</v>
          </cell>
          <cell r="C198">
            <v>0</v>
          </cell>
          <cell r="D198">
            <v>71246415.574477568</v>
          </cell>
          <cell r="E198">
            <v>64237034.574629486</v>
          </cell>
          <cell r="F198">
            <v>71246415.574477568</v>
          </cell>
          <cell r="G198">
            <v>71246415.574477568</v>
          </cell>
          <cell r="H198">
            <v>0</v>
          </cell>
          <cell r="I198">
            <v>0</v>
          </cell>
          <cell r="J198">
            <v>0</v>
          </cell>
          <cell r="K198">
            <v>0</v>
          </cell>
          <cell r="L198">
            <v>0</v>
          </cell>
          <cell r="M198">
            <v>0</v>
          </cell>
          <cell r="N198">
            <v>0</v>
          </cell>
          <cell r="O198">
            <v>0</v>
          </cell>
          <cell r="P198">
            <v>0</v>
          </cell>
          <cell r="Q198">
            <v>0</v>
          </cell>
          <cell r="R198">
            <v>0</v>
          </cell>
          <cell r="S198">
            <v>71246415.574477568</v>
          </cell>
          <cell r="T198">
            <v>0</v>
          </cell>
          <cell r="U198">
            <v>0</v>
          </cell>
          <cell r="V198">
            <v>0</v>
          </cell>
          <cell r="W198">
            <v>0</v>
          </cell>
          <cell r="X198">
            <v>0</v>
          </cell>
          <cell r="Y198">
            <v>0</v>
          </cell>
          <cell r="Z198">
            <v>0</v>
          </cell>
          <cell r="AA198">
            <v>71246415.574477568</v>
          </cell>
          <cell r="AB198">
            <v>73560740.270776972</v>
          </cell>
          <cell r="AC198">
            <v>68917175.886307657</v>
          </cell>
          <cell r="AD198">
            <v>0</v>
          </cell>
          <cell r="AE198">
            <v>0</v>
          </cell>
          <cell r="AF198">
            <v>0</v>
          </cell>
          <cell r="AG198">
            <v>0</v>
          </cell>
          <cell r="AH198">
            <v>0</v>
          </cell>
          <cell r="AI198">
            <v>0</v>
          </cell>
          <cell r="AJ198">
            <v>0</v>
          </cell>
          <cell r="AK198">
            <v>0</v>
          </cell>
          <cell r="AL198">
            <v>0</v>
          </cell>
          <cell r="AM198">
            <v>0</v>
          </cell>
          <cell r="AN198">
            <v>0</v>
          </cell>
          <cell r="AO198">
            <v>67636140.099667519</v>
          </cell>
          <cell r="AP198">
            <v>0</v>
          </cell>
          <cell r="AQ198">
            <v>0</v>
          </cell>
          <cell r="AR198">
            <v>0</v>
          </cell>
          <cell r="AS198">
            <v>0</v>
          </cell>
          <cell r="AT198">
            <v>0</v>
          </cell>
          <cell r="AU198">
            <v>0</v>
          </cell>
          <cell r="AV198">
            <v>0</v>
          </cell>
          <cell r="AW198">
            <v>71246415.574477568</v>
          </cell>
          <cell r="AX198">
            <v>64237034.574629486</v>
          </cell>
          <cell r="AY198">
            <v>64237034.574629486</v>
          </cell>
          <cell r="AZ198">
            <v>0</v>
          </cell>
          <cell r="BA198">
            <v>0</v>
          </cell>
          <cell r="BB198">
            <v>0</v>
          </cell>
          <cell r="BC198">
            <v>0</v>
          </cell>
          <cell r="BD198">
            <v>0</v>
          </cell>
          <cell r="BE198">
            <v>0</v>
          </cell>
          <cell r="BF198">
            <v>0</v>
          </cell>
          <cell r="BG198">
            <v>0</v>
          </cell>
          <cell r="BH198">
            <v>0</v>
          </cell>
          <cell r="BI198">
            <v>0</v>
          </cell>
          <cell r="BJ198">
            <v>0</v>
          </cell>
          <cell r="BK198">
            <v>64237034.574629486</v>
          </cell>
          <cell r="BL198">
            <v>0</v>
          </cell>
          <cell r="BM198">
            <v>0</v>
          </cell>
          <cell r="BN198">
            <v>0</v>
          </cell>
          <cell r="BO198">
            <v>0</v>
          </cell>
          <cell r="BP198">
            <v>0</v>
          </cell>
          <cell r="BQ198">
            <v>0</v>
          </cell>
          <cell r="BR198">
            <v>0</v>
          </cell>
          <cell r="BS198">
            <v>64237034.574629486</v>
          </cell>
          <cell r="BT198">
            <v>66748349.120830432</v>
          </cell>
          <cell r="BU198">
            <v>62129286.312518224</v>
          </cell>
          <cell r="BV198">
            <v>0</v>
          </cell>
          <cell r="BW198">
            <v>0</v>
          </cell>
          <cell r="BX198">
            <v>0</v>
          </cell>
          <cell r="BY198">
            <v>0</v>
          </cell>
          <cell r="BZ198">
            <v>0</v>
          </cell>
          <cell r="CA198">
            <v>0</v>
          </cell>
          <cell r="CB198">
            <v>0</v>
          </cell>
          <cell r="CC198">
            <v>0</v>
          </cell>
          <cell r="CD198">
            <v>0</v>
          </cell>
          <cell r="CE198">
            <v>0</v>
          </cell>
          <cell r="CF198">
            <v>0</v>
          </cell>
          <cell r="CG198">
            <v>64237034.574629486</v>
          </cell>
          <cell r="CH198">
            <v>0</v>
          </cell>
          <cell r="CI198">
            <v>0</v>
          </cell>
          <cell r="CJ198">
            <v>0</v>
          </cell>
          <cell r="CK198">
            <v>0</v>
          </cell>
          <cell r="CL198">
            <v>0</v>
          </cell>
          <cell r="CM198">
            <v>0</v>
          </cell>
          <cell r="CN198">
            <v>0</v>
          </cell>
          <cell r="CO198">
            <v>64889033.010649435</v>
          </cell>
          <cell r="CP198">
            <v>64237034.574629486</v>
          </cell>
          <cell r="CQ198">
            <v>64237034.574629486</v>
          </cell>
          <cell r="CR198">
            <v>64237034.574629486</v>
          </cell>
          <cell r="CS198">
            <v>64237034.574629486</v>
          </cell>
          <cell r="CT198">
            <v>64237034.574629486</v>
          </cell>
          <cell r="CU198">
            <v>0</v>
          </cell>
          <cell r="CV198">
            <v>64237034.574629486</v>
          </cell>
          <cell r="CW198">
            <v>64237034.574629486</v>
          </cell>
          <cell r="CX198">
            <v>0</v>
          </cell>
          <cell r="CY198">
            <v>64237034.574629486</v>
          </cell>
          <cell r="CZ198">
            <v>64254357.49437359</v>
          </cell>
          <cell r="DA198">
            <v>64237034.574629486</v>
          </cell>
          <cell r="DB198">
            <v>64237034.574629486</v>
          </cell>
          <cell r="DC198">
            <v>65119400.735464618</v>
          </cell>
          <cell r="DD198">
            <v>62605137.618684344</v>
          </cell>
          <cell r="DE198">
            <v>0</v>
          </cell>
          <cell r="DF198">
            <v>64948440.325962991</v>
          </cell>
          <cell r="DG198">
            <v>64499761.171028689</v>
          </cell>
          <cell r="DH198">
            <v>0</v>
          </cell>
          <cell r="DI198">
            <v>64241397.765892811</v>
          </cell>
          <cell r="DJ198">
            <v>0</v>
          </cell>
          <cell r="DK198">
            <v>0</v>
          </cell>
          <cell r="DL198">
            <v>0</v>
          </cell>
          <cell r="DM198">
            <v>0</v>
          </cell>
          <cell r="DN198">
            <v>0</v>
          </cell>
          <cell r="DO198">
            <v>0</v>
          </cell>
          <cell r="DP198">
            <v>0</v>
          </cell>
          <cell r="DQ198">
            <v>0</v>
          </cell>
          <cell r="DR198">
            <v>0</v>
          </cell>
          <cell r="DS198">
            <v>0</v>
          </cell>
          <cell r="DT198">
            <v>0</v>
          </cell>
          <cell r="DU198">
            <v>0</v>
          </cell>
          <cell r="DV198">
            <v>0</v>
          </cell>
          <cell r="DW198">
            <v>0</v>
          </cell>
          <cell r="EA198">
            <v>0</v>
          </cell>
          <cell r="EB198">
            <v>0</v>
          </cell>
          <cell r="EC198">
            <v>0</v>
          </cell>
          <cell r="ED198">
            <v>0</v>
          </cell>
          <cell r="EE198">
            <v>0</v>
          </cell>
          <cell r="EF198">
            <v>0</v>
          </cell>
          <cell r="EG198">
            <v>0</v>
          </cell>
          <cell r="EH198">
            <v>0</v>
          </cell>
          <cell r="EI198">
            <v>0</v>
          </cell>
          <cell r="EJ198">
            <v>0</v>
          </cell>
          <cell r="EK198">
            <v>0</v>
          </cell>
          <cell r="EL198">
            <v>0</v>
          </cell>
          <cell r="EM198">
            <v>0</v>
          </cell>
          <cell r="EN198">
            <v>0</v>
          </cell>
          <cell r="EO198">
            <v>0</v>
          </cell>
          <cell r="EP198">
            <v>0</v>
          </cell>
          <cell r="EQ198">
            <v>0</v>
          </cell>
          <cell r="ER198">
            <v>0</v>
          </cell>
          <cell r="ES198">
            <v>0</v>
          </cell>
          <cell r="ET198">
            <v>0</v>
          </cell>
          <cell r="EU198">
            <v>0</v>
          </cell>
          <cell r="EV198">
            <v>0</v>
          </cell>
          <cell r="EW198">
            <v>0</v>
          </cell>
          <cell r="EX198">
            <v>0</v>
          </cell>
          <cell r="EY198">
            <v>0</v>
          </cell>
          <cell r="EZ198">
            <v>0</v>
          </cell>
          <cell r="FA198">
            <v>0</v>
          </cell>
          <cell r="FB198">
            <v>0</v>
          </cell>
          <cell r="FC198">
            <v>0</v>
          </cell>
          <cell r="FD198">
            <v>0</v>
          </cell>
          <cell r="FE198">
            <v>64237034.574629486</v>
          </cell>
          <cell r="FF198">
            <v>66748349.120830432</v>
          </cell>
          <cell r="FG198">
            <v>62129286.312518224</v>
          </cell>
          <cell r="FH198">
            <v>0</v>
          </cell>
          <cell r="FI198">
            <v>0</v>
          </cell>
          <cell r="FJ198">
            <v>0</v>
          </cell>
          <cell r="FK198">
            <v>0</v>
          </cell>
          <cell r="FL198">
            <v>0</v>
          </cell>
          <cell r="FM198">
            <v>0</v>
          </cell>
          <cell r="FN198">
            <v>0</v>
          </cell>
          <cell r="FO198">
            <v>0</v>
          </cell>
          <cell r="FP198">
            <v>0</v>
          </cell>
          <cell r="FQ198">
            <v>0</v>
          </cell>
          <cell r="FR198">
            <v>0</v>
          </cell>
          <cell r="FS198">
            <v>64237034.574629486</v>
          </cell>
          <cell r="FT198">
            <v>0</v>
          </cell>
          <cell r="FU198">
            <v>0</v>
          </cell>
          <cell r="FV198">
            <v>0</v>
          </cell>
          <cell r="FW198">
            <v>0</v>
          </cell>
          <cell r="FX198">
            <v>0</v>
          </cell>
          <cell r="FY198">
            <v>0</v>
          </cell>
          <cell r="FZ198">
            <v>0</v>
          </cell>
          <cell r="GA198">
            <v>64889033.010649435</v>
          </cell>
          <cell r="GB198">
            <v>64254357.49437359</v>
          </cell>
          <cell r="GC198">
            <v>64237034.574629486</v>
          </cell>
          <cell r="GD198">
            <v>64237034.574629486</v>
          </cell>
          <cell r="GE198">
            <v>65119400.735464618</v>
          </cell>
          <cell r="GF198">
            <v>62605137.618684344</v>
          </cell>
          <cell r="GG198">
            <v>0</v>
          </cell>
          <cell r="GH198">
            <v>64948440.325962991</v>
          </cell>
          <cell r="GI198">
            <v>64499761.171028689</v>
          </cell>
          <cell r="GJ198">
            <v>0</v>
          </cell>
          <cell r="GK198">
            <v>64241397.765892811</v>
          </cell>
          <cell r="GL198">
            <v>0</v>
          </cell>
          <cell r="GM198">
            <v>0</v>
          </cell>
          <cell r="GN198">
            <v>0</v>
          </cell>
          <cell r="GO198">
            <v>0</v>
          </cell>
          <cell r="GP198">
            <v>0</v>
          </cell>
          <cell r="GQ198">
            <v>0</v>
          </cell>
          <cell r="GR198">
            <v>0</v>
          </cell>
          <cell r="GS198">
            <v>0</v>
          </cell>
          <cell r="GT198">
            <v>0</v>
          </cell>
          <cell r="GZ198">
            <v>440957871.58126104</v>
          </cell>
        </row>
        <row r="199">
          <cell r="A199" t="str">
            <v>I_BVP_NRF_EPA_UCS_INTR_P05</v>
          </cell>
          <cell r="B199">
            <v>543062186.02999997</v>
          </cell>
          <cell r="C199">
            <v>0</v>
          </cell>
          <cell r="D199">
            <v>543062186.02999997</v>
          </cell>
          <cell r="E199">
            <v>532663184.57678682</v>
          </cell>
          <cell r="F199">
            <v>543062186.02999997</v>
          </cell>
          <cell r="G199">
            <v>543062186.02999997</v>
          </cell>
          <cell r="H199">
            <v>0</v>
          </cell>
          <cell r="I199">
            <v>0</v>
          </cell>
          <cell r="J199">
            <v>543062186.02999997</v>
          </cell>
          <cell r="K199">
            <v>0</v>
          </cell>
          <cell r="L199">
            <v>0</v>
          </cell>
          <cell r="M199">
            <v>0</v>
          </cell>
          <cell r="N199">
            <v>0</v>
          </cell>
          <cell r="O199">
            <v>0</v>
          </cell>
          <cell r="P199">
            <v>0</v>
          </cell>
          <cell r="Q199">
            <v>0</v>
          </cell>
          <cell r="R199">
            <v>0</v>
          </cell>
          <cell r="S199">
            <v>543062186.02999997</v>
          </cell>
          <cell r="T199">
            <v>0</v>
          </cell>
          <cell r="U199">
            <v>0</v>
          </cell>
          <cell r="V199">
            <v>0</v>
          </cell>
          <cell r="W199">
            <v>0</v>
          </cell>
          <cell r="X199">
            <v>0</v>
          </cell>
          <cell r="Y199">
            <v>0</v>
          </cell>
          <cell r="Z199">
            <v>0</v>
          </cell>
          <cell r="AA199">
            <v>543062186.02999997</v>
          </cell>
          <cell r="AB199">
            <v>549533327.12850487</v>
          </cell>
          <cell r="AC199">
            <v>536591044.93149495</v>
          </cell>
          <cell r="AD199">
            <v>0</v>
          </cell>
          <cell r="AE199">
            <v>0</v>
          </cell>
          <cell r="AF199">
            <v>504564842.4786796</v>
          </cell>
          <cell r="AG199">
            <v>0</v>
          </cell>
          <cell r="AH199">
            <v>0</v>
          </cell>
          <cell r="AI199">
            <v>0</v>
          </cell>
          <cell r="AJ199">
            <v>0</v>
          </cell>
          <cell r="AK199">
            <v>0</v>
          </cell>
          <cell r="AL199">
            <v>0</v>
          </cell>
          <cell r="AM199">
            <v>0</v>
          </cell>
          <cell r="AN199">
            <v>0</v>
          </cell>
          <cell r="AO199">
            <v>524938736.36367261</v>
          </cell>
          <cell r="AP199">
            <v>0</v>
          </cell>
          <cell r="AQ199">
            <v>0</v>
          </cell>
          <cell r="AR199">
            <v>0</v>
          </cell>
          <cell r="AS199">
            <v>0</v>
          </cell>
          <cell r="AT199">
            <v>0</v>
          </cell>
          <cell r="AU199">
            <v>0</v>
          </cell>
          <cell r="AV199">
            <v>0</v>
          </cell>
          <cell r="AW199">
            <v>543062186.02999997</v>
          </cell>
          <cell r="AX199">
            <v>532663184.57678682</v>
          </cell>
          <cell r="AY199">
            <v>532663184.57678682</v>
          </cell>
          <cell r="AZ199">
            <v>0</v>
          </cell>
          <cell r="BA199">
            <v>0</v>
          </cell>
          <cell r="BB199">
            <v>532663184.57678682</v>
          </cell>
          <cell r="BC199">
            <v>0</v>
          </cell>
          <cell r="BD199">
            <v>0</v>
          </cell>
          <cell r="BE199">
            <v>0</v>
          </cell>
          <cell r="BF199">
            <v>0</v>
          </cell>
          <cell r="BG199">
            <v>0</v>
          </cell>
          <cell r="BH199">
            <v>0</v>
          </cell>
          <cell r="BI199">
            <v>0</v>
          </cell>
          <cell r="BJ199">
            <v>0</v>
          </cell>
          <cell r="BK199">
            <v>532663184.57678682</v>
          </cell>
          <cell r="BL199">
            <v>0</v>
          </cell>
          <cell r="BM199">
            <v>0</v>
          </cell>
          <cell r="BN199">
            <v>0</v>
          </cell>
          <cell r="BO199">
            <v>0</v>
          </cell>
          <cell r="BP199">
            <v>0</v>
          </cell>
          <cell r="BQ199">
            <v>0</v>
          </cell>
          <cell r="BR199">
            <v>0</v>
          </cell>
          <cell r="BS199">
            <v>532663184.57678682</v>
          </cell>
          <cell r="BT199">
            <v>538660229.46234834</v>
          </cell>
          <cell r="BU199">
            <v>526719102.35603845</v>
          </cell>
          <cell r="BV199">
            <v>0</v>
          </cell>
          <cell r="BW199">
            <v>0</v>
          </cell>
          <cell r="BX199">
            <v>495397432.25390893</v>
          </cell>
          <cell r="BY199">
            <v>0</v>
          </cell>
          <cell r="BZ199">
            <v>0</v>
          </cell>
          <cell r="CA199">
            <v>0</v>
          </cell>
          <cell r="CB199">
            <v>0</v>
          </cell>
          <cell r="CC199">
            <v>0</v>
          </cell>
          <cell r="CD199">
            <v>0</v>
          </cell>
          <cell r="CE199">
            <v>0</v>
          </cell>
          <cell r="CF199">
            <v>0</v>
          </cell>
          <cell r="CG199">
            <v>511341781.03260964</v>
          </cell>
          <cell r="CH199">
            <v>0</v>
          </cell>
          <cell r="CI199">
            <v>0</v>
          </cell>
          <cell r="CJ199">
            <v>0</v>
          </cell>
          <cell r="CK199">
            <v>0</v>
          </cell>
          <cell r="CL199">
            <v>0</v>
          </cell>
          <cell r="CM199">
            <v>0</v>
          </cell>
          <cell r="CN199">
            <v>0</v>
          </cell>
          <cell r="CO199">
            <v>532663184.57678682</v>
          </cell>
          <cell r="CP199">
            <v>532663184.57678682</v>
          </cell>
          <cell r="CQ199">
            <v>532663184.57678682</v>
          </cell>
          <cell r="CR199">
            <v>532663184.57678682</v>
          </cell>
          <cell r="CS199">
            <v>532663184.57678682</v>
          </cell>
          <cell r="CT199">
            <v>532663184.57678682</v>
          </cell>
          <cell r="CU199">
            <v>0</v>
          </cell>
          <cell r="CV199">
            <v>532663184.57678682</v>
          </cell>
          <cell r="CW199">
            <v>532663184.57678682</v>
          </cell>
          <cell r="CX199">
            <v>0</v>
          </cell>
          <cell r="CY199">
            <v>532663184.57678682</v>
          </cell>
          <cell r="CZ199">
            <v>532736167.96861422</v>
          </cell>
          <cell r="DA199">
            <v>532663184.57678682</v>
          </cell>
          <cell r="DB199">
            <v>532663184.57678682</v>
          </cell>
          <cell r="DC199">
            <v>535896687.97630912</v>
          </cell>
          <cell r="DD199">
            <v>526397218.69209379</v>
          </cell>
          <cell r="DE199">
            <v>0</v>
          </cell>
          <cell r="DF199">
            <v>534973905.84830743</v>
          </cell>
          <cell r="DG199">
            <v>532854191.93036586</v>
          </cell>
          <cell r="DH199">
            <v>0</v>
          </cell>
          <cell r="DI199">
            <v>532676928.64150649</v>
          </cell>
          <cell r="DJ199">
            <v>0</v>
          </cell>
          <cell r="DK199">
            <v>0</v>
          </cell>
          <cell r="DL199">
            <v>0</v>
          </cell>
          <cell r="DM199">
            <v>0</v>
          </cell>
          <cell r="DN199">
            <v>0</v>
          </cell>
          <cell r="DO199">
            <v>0</v>
          </cell>
          <cell r="DP199">
            <v>0</v>
          </cell>
          <cell r="DQ199">
            <v>0</v>
          </cell>
          <cell r="DR199">
            <v>0</v>
          </cell>
          <cell r="DS199">
            <v>0</v>
          </cell>
          <cell r="DT199">
            <v>0</v>
          </cell>
          <cell r="DU199">
            <v>0</v>
          </cell>
          <cell r="DV199">
            <v>0</v>
          </cell>
          <cell r="DW199">
            <v>0</v>
          </cell>
          <cell r="EA199">
            <v>0</v>
          </cell>
          <cell r="EB199">
            <v>0</v>
          </cell>
          <cell r="EC199">
            <v>0</v>
          </cell>
          <cell r="ED199">
            <v>0</v>
          </cell>
          <cell r="EE199">
            <v>0</v>
          </cell>
          <cell r="EF199">
            <v>0</v>
          </cell>
          <cell r="EG199">
            <v>0</v>
          </cell>
          <cell r="EH199">
            <v>0</v>
          </cell>
          <cell r="EI199">
            <v>0</v>
          </cell>
          <cell r="EJ199">
            <v>0</v>
          </cell>
          <cell r="EK199">
            <v>0</v>
          </cell>
          <cell r="EL199">
            <v>0</v>
          </cell>
          <cell r="EM199">
            <v>0</v>
          </cell>
          <cell r="EN199">
            <v>0</v>
          </cell>
          <cell r="EO199">
            <v>0</v>
          </cell>
          <cell r="EP199">
            <v>0</v>
          </cell>
          <cell r="EQ199">
            <v>0</v>
          </cell>
          <cell r="ER199">
            <v>0</v>
          </cell>
          <cell r="ES199">
            <v>0</v>
          </cell>
          <cell r="ET199">
            <v>0</v>
          </cell>
          <cell r="EU199">
            <v>0</v>
          </cell>
          <cell r="EV199">
            <v>0</v>
          </cell>
          <cell r="EW199">
            <v>0</v>
          </cell>
          <cell r="EX199">
            <v>0</v>
          </cell>
          <cell r="EY199">
            <v>0</v>
          </cell>
          <cell r="EZ199">
            <v>0</v>
          </cell>
          <cell r="FA199">
            <v>0</v>
          </cell>
          <cell r="FB199">
            <v>0</v>
          </cell>
          <cell r="FC199">
            <v>0</v>
          </cell>
          <cell r="FD199">
            <v>0</v>
          </cell>
          <cell r="FE199">
            <v>532663184.57678682</v>
          </cell>
          <cell r="FF199">
            <v>538660229.46234834</v>
          </cell>
          <cell r="FG199">
            <v>526719102.35603845</v>
          </cell>
          <cell r="FH199">
            <v>0</v>
          </cell>
          <cell r="FI199">
            <v>0</v>
          </cell>
          <cell r="FJ199">
            <v>495397432.25390893</v>
          </cell>
          <cell r="FK199">
            <v>0</v>
          </cell>
          <cell r="FL199">
            <v>0</v>
          </cell>
          <cell r="FM199">
            <v>0</v>
          </cell>
          <cell r="FN199">
            <v>0</v>
          </cell>
          <cell r="FO199">
            <v>0</v>
          </cell>
          <cell r="FP199">
            <v>0</v>
          </cell>
          <cell r="FQ199">
            <v>0</v>
          </cell>
          <cell r="FR199">
            <v>0</v>
          </cell>
          <cell r="FS199">
            <v>511341781.03260964</v>
          </cell>
          <cell r="FT199">
            <v>0</v>
          </cell>
          <cell r="FU199">
            <v>0</v>
          </cell>
          <cell r="FV199">
            <v>0</v>
          </cell>
          <cell r="FW199">
            <v>0</v>
          </cell>
          <cell r="FX199">
            <v>0</v>
          </cell>
          <cell r="FY199">
            <v>0</v>
          </cell>
          <cell r="FZ199">
            <v>0</v>
          </cell>
          <cell r="GA199">
            <v>532663184.57678682</v>
          </cell>
          <cell r="GB199">
            <v>532736167.96861422</v>
          </cell>
          <cell r="GC199">
            <v>532663184.57678682</v>
          </cell>
          <cell r="GD199">
            <v>532663184.57678682</v>
          </cell>
          <cell r="GE199">
            <v>535896687.97630912</v>
          </cell>
          <cell r="GF199">
            <v>526397218.69209379</v>
          </cell>
          <cell r="GG199">
            <v>0</v>
          </cell>
          <cell r="GH199">
            <v>534973905.84830743</v>
          </cell>
          <cell r="GI199">
            <v>532854191.93036586</v>
          </cell>
          <cell r="GJ199">
            <v>0</v>
          </cell>
          <cell r="GK199">
            <v>532676928.64150649</v>
          </cell>
          <cell r="GL199">
            <v>0</v>
          </cell>
          <cell r="GM199">
            <v>0</v>
          </cell>
          <cell r="GN199">
            <v>0</v>
          </cell>
          <cell r="GO199">
            <v>0</v>
          </cell>
          <cell r="GP199">
            <v>0</v>
          </cell>
          <cell r="GQ199">
            <v>0</v>
          </cell>
          <cell r="GR199">
            <v>0</v>
          </cell>
          <cell r="GS199">
            <v>0</v>
          </cell>
          <cell r="GT199">
            <v>0</v>
          </cell>
          <cell r="GZ199">
            <v>0</v>
          </cell>
        </row>
        <row r="200">
          <cell r="A200" t="str">
            <v>I_BVP_NRF_EPA_EUR_INTR_P06</v>
          </cell>
          <cell r="B200">
            <v>315178981.98000002</v>
          </cell>
          <cell r="C200">
            <v>0</v>
          </cell>
          <cell r="D200">
            <v>333584600.66552246</v>
          </cell>
          <cell r="E200">
            <v>315031527.07970852</v>
          </cell>
          <cell r="F200">
            <v>333584600.66552246</v>
          </cell>
          <cell r="G200">
            <v>333584600.66552246</v>
          </cell>
          <cell r="H200">
            <v>0</v>
          </cell>
          <cell r="I200">
            <v>0</v>
          </cell>
          <cell r="J200">
            <v>0</v>
          </cell>
          <cell r="K200">
            <v>0</v>
          </cell>
          <cell r="L200">
            <v>0</v>
          </cell>
          <cell r="M200">
            <v>0</v>
          </cell>
          <cell r="N200">
            <v>0</v>
          </cell>
          <cell r="O200">
            <v>0</v>
          </cell>
          <cell r="P200">
            <v>0</v>
          </cell>
          <cell r="Q200">
            <v>0</v>
          </cell>
          <cell r="R200">
            <v>0</v>
          </cell>
          <cell r="S200">
            <v>333584600.66552246</v>
          </cell>
          <cell r="T200">
            <v>0</v>
          </cell>
          <cell r="U200">
            <v>0</v>
          </cell>
          <cell r="V200">
            <v>0</v>
          </cell>
          <cell r="W200">
            <v>0</v>
          </cell>
          <cell r="X200">
            <v>0</v>
          </cell>
          <cell r="Y200">
            <v>0</v>
          </cell>
          <cell r="Z200">
            <v>0</v>
          </cell>
          <cell r="AA200">
            <v>333584600.66552246</v>
          </cell>
          <cell r="AB200">
            <v>342402733.07796705</v>
          </cell>
          <cell r="AC200">
            <v>323089895.7738595</v>
          </cell>
          <cell r="AD200">
            <v>0</v>
          </cell>
          <cell r="AE200">
            <v>0</v>
          </cell>
          <cell r="AF200">
            <v>0</v>
          </cell>
          <cell r="AG200">
            <v>0</v>
          </cell>
          <cell r="AH200">
            <v>0</v>
          </cell>
          <cell r="AI200">
            <v>0</v>
          </cell>
          <cell r="AJ200">
            <v>0</v>
          </cell>
          <cell r="AK200">
            <v>0</v>
          </cell>
          <cell r="AL200">
            <v>0</v>
          </cell>
          <cell r="AM200">
            <v>0</v>
          </cell>
          <cell r="AN200">
            <v>0</v>
          </cell>
          <cell r="AO200">
            <v>314211663.03327382</v>
          </cell>
          <cell r="AP200">
            <v>0</v>
          </cell>
          <cell r="AQ200">
            <v>0</v>
          </cell>
          <cell r="AR200">
            <v>0</v>
          </cell>
          <cell r="AS200">
            <v>0</v>
          </cell>
          <cell r="AT200">
            <v>0</v>
          </cell>
          <cell r="AU200">
            <v>0</v>
          </cell>
          <cell r="AV200">
            <v>0</v>
          </cell>
          <cell r="AW200">
            <v>333584600.66552246</v>
          </cell>
          <cell r="AX200">
            <v>315031527.07970852</v>
          </cell>
          <cell r="AY200">
            <v>315031527.07970852</v>
          </cell>
          <cell r="AZ200">
            <v>0</v>
          </cell>
          <cell r="BA200">
            <v>0</v>
          </cell>
          <cell r="BB200">
            <v>0</v>
          </cell>
          <cell r="BC200">
            <v>0</v>
          </cell>
          <cell r="BD200">
            <v>0</v>
          </cell>
          <cell r="BE200">
            <v>0</v>
          </cell>
          <cell r="BF200">
            <v>0</v>
          </cell>
          <cell r="BG200">
            <v>0</v>
          </cell>
          <cell r="BH200">
            <v>0</v>
          </cell>
          <cell r="BI200">
            <v>0</v>
          </cell>
          <cell r="BJ200">
            <v>0</v>
          </cell>
          <cell r="BK200">
            <v>315031527.07970852</v>
          </cell>
          <cell r="BL200">
            <v>0</v>
          </cell>
          <cell r="BM200">
            <v>0</v>
          </cell>
          <cell r="BN200">
            <v>0</v>
          </cell>
          <cell r="BO200">
            <v>0</v>
          </cell>
          <cell r="BP200">
            <v>0</v>
          </cell>
          <cell r="BQ200">
            <v>0</v>
          </cell>
          <cell r="BR200">
            <v>0</v>
          </cell>
          <cell r="BS200">
            <v>315031527.07970852</v>
          </cell>
          <cell r="BT200">
            <v>323544996.16446829</v>
          </cell>
          <cell r="BU200">
            <v>305316755.92245412</v>
          </cell>
          <cell r="BV200">
            <v>0</v>
          </cell>
          <cell r="BW200">
            <v>0</v>
          </cell>
          <cell r="BX200">
            <v>0</v>
          </cell>
          <cell r="BY200">
            <v>0</v>
          </cell>
          <cell r="BZ200">
            <v>0</v>
          </cell>
          <cell r="CA200">
            <v>0</v>
          </cell>
          <cell r="CB200">
            <v>0</v>
          </cell>
          <cell r="CC200">
            <v>0</v>
          </cell>
          <cell r="CD200">
            <v>0</v>
          </cell>
          <cell r="CE200">
            <v>0</v>
          </cell>
          <cell r="CF200">
            <v>0</v>
          </cell>
          <cell r="CG200">
            <v>315031527.07970852</v>
          </cell>
          <cell r="CH200">
            <v>0</v>
          </cell>
          <cell r="CI200">
            <v>0</v>
          </cell>
          <cell r="CJ200">
            <v>0</v>
          </cell>
          <cell r="CK200">
            <v>0</v>
          </cell>
          <cell r="CL200">
            <v>0</v>
          </cell>
          <cell r="CM200">
            <v>0</v>
          </cell>
          <cell r="CN200">
            <v>0</v>
          </cell>
          <cell r="CO200">
            <v>317137745.4549216</v>
          </cell>
          <cell r="CP200">
            <v>315031527.07970852</v>
          </cell>
          <cell r="CQ200">
            <v>315031527.07970852</v>
          </cell>
          <cell r="CR200">
            <v>315031527.07970852</v>
          </cell>
          <cell r="CS200">
            <v>315031527.07970852</v>
          </cell>
          <cell r="CT200">
            <v>315031527.07970852</v>
          </cell>
          <cell r="CU200">
            <v>0</v>
          </cell>
          <cell r="CV200">
            <v>315031527.07970852</v>
          </cell>
          <cell r="CW200">
            <v>315031527.07970852</v>
          </cell>
          <cell r="CX200">
            <v>0</v>
          </cell>
          <cell r="CY200">
            <v>315031527.07970852</v>
          </cell>
          <cell r="CZ200">
            <v>315363352.54748052</v>
          </cell>
          <cell r="DA200">
            <v>315031527.07970852</v>
          </cell>
          <cell r="DB200">
            <v>315031527.07970852</v>
          </cell>
          <cell r="DC200">
            <v>323987326.12137455</v>
          </cell>
          <cell r="DD200">
            <v>296363667.89593977</v>
          </cell>
          <cell r="DE200">
            <v>0</v>
          </cell>
          <cell r="DF200">
            <v>321080043.97780323</v>
          </cell>
          <cell r="DG200">
            <v>315216751.24726039</v>
          </cell>
          <cell r="DH200">
            <v>0</v>
          </cell>
          <cell r="DI200">
            <v>315056786.2588746</v>
          </cell>
          <cell r="DJ200">
            <v>0</v>
          </cell>
          <cell r="DK200">
            <v>0</v>
          </cell>
          <cell r="DL200">
            <v>0</v>
          </cell>
          <cell r="DM200">
            <v>0</v>
          </cell>
          <cell r="DN200">
            <v>0</v>
          </cell>
          <cell r="DO200">
            <v>0</v>
          </cell>
          <cell r="DP200">
            <v>0</v>
          </cell>
          <cell r="DQ200">
            <v>0</v>
          </cell>
          <cell r="DR200">
            <v>0</v>
          </cell>
          <cell r="DS200">
            <v>0</v>
          </cell>
          <cell r="DT200">
            <v>0</v>
          </cell>
          <cell r="DU200">
            <v>0</v>
          </cell>
          <cell r="DV200">
            <v>0</v>
          </cell>
          <cell r="DW200">
            <v>0</v>
          </cell>
          <cell r="EA200">
            <v>0</v>
          </cell>
          <cell r="EB200">
            <v>0</v>
          </cell>
          <cell r="EC200">
            <v>0</v>
          </cell>
          <cell r="ED200">
            <v>0</v>
          </cell>
          <cell r="EE200">
            <v>0</v>
          </cell>
          <cell r="EF200">
            <v>0</v>
          </cell>
          <cell r="EG200">
            <v>0</v>
          </cell>
          <cell r="EH200">
            <v>0</v>
          </cell>
          <cell r="EI200">
            <v>0</v>
          </cell>
          <cell r="EJ200">
            <v>0</v>
          </cell>
          <cell r="EK200">
            <v>0</v>
          </cell>
          <cell r="EL200">
            <v>0</v>
          </cell>
          <cell r="EM200">
            <v>0</v>
          </cell>
          <cell r="EN200">
            <v>0</v>
          </cell>
          <cell r="EO200">
            <v>0</v>
          </cell>
          <cell r="EP200">
            <v>0</v>
          </cell>
          <cell r="EQ200">
            <v>0</v>
          </cell>
          <cell r="ER200">
            <v>0</v>
          </cell>
          <cell r="ES200">
            <v>0</v>
          </cell>
          <cell r="ET200">
            <v>0</v>
          </cell>
          <cell r="EU200">
            <v>0</v>
          </cell>
          <cell r="EV200">
            <v>0</v>
          </cell>
          <cell r="EW200">
            <v>0</v>
          </cell>
          <cell r="EX200">
            <v>0</v>
          </cell>
          <cell r="EY200">
            <v>0</v>
          </cell>
          <cell r="EZ200">
            <v>0</v>
          </cell>
          <cell r="FA200">
            <v>0</v>
          </cell>
          <cell r="FB200">
            <v>0</v>
          </cell>
          <cell r="FC200">
            <v>0</v>
          </cell>
          <cell r="FD200">
            <v>0</v>
          </cell>
          <cell r="FE200">
            <v>302074438.72974336</v>
          </cell>
          <cell r="FF200">
            <v>323544996.16446829</v>
          </cell>
          <cell r="FG200">
            <v>305316755.92245412</v>
          </cell>
          <cell r="FH200">
            <v>0</v>
          </cell>
          <cell r="FI200">
            <v>0</v>
          </cell>
          <cell r="FJ200">
            <v>0</v>
          </cell>
          <cell r="FK200">
            <v>0</v>
          </cell>
          <cell r="FL200">
            <v>0</v>
          </cell>
          <cell r="FM200">
            <v>0</v>
          </cell>
          <cell r="FN200">
            <v>0</v>
          </cell>
          <cell r="FO200">
            <v>0</v>
          </cell>
          <cell r="FP200">
            <v>0</v>
          </cell>
          <cell r="FQ200">
            <v>0</v>
          </cell>
          <cell r="FR200">
            <v>0</v>
          </cell>
          <cell r="FS200">
            <v>315031527.07970852</v>
          </cell>
          <cell r="FT200">
            <v>0</v>
          </cell>
          <cell r="FU200">
            <v>0</v>
          </cell>
          <cell r="FV200">
            <v>0</v>
          </cell>
          <cell r="FW200">
            <v>0</v>
          </cell>
          <cell r="FX200">
            <v>0</v>
          </cell>
          <cell r="FY200">
            <v>0</v>
          </cell>
          <cell r="FZ200">
            <v>0</v>
          </cell>
          <cell r="GA200">
            <v>317137745.4549216</v>
          </cell>
          <cell r="GB200">
            <v>315193952.27054375</v>
          </cell>
          <cell r="GC200">
            <v>315031527.07970852</v>
          </cell>
          <cell r="GD200">
            <v>315031527.07970852</v>
          </cell>
          <cell r="GE200">
            <v>318595949.96840489</v>
          </cell>
          <cell r="GF200">
            <v>307994359.41615748</v>
          </cell>
          <cell r="GG200">
            <v>0</v>
          </cell>
          <cell r="GH200">
            <v>318544557.85148513</v>
          </cell>
          <cell r="GI200">
            <v>315216309.71250677</v>
          </cell>
          <cell r="GJ200">
            <v>0</v>
          </cell>
          <cell r="GK200">
            <v>315037013.63286459</v>
          </cell>
          <cell r="GL200">
            <v>0</v>
          </cell>
          <cell r="GM200">
            <v>0</v>
          </cell>
          <cell r="GN200">
            <v>0</v>
          </cell>
          <cell r="GO200">
            <v>0</v>
          </cell>
          <cell r="GP200">
            <v>0</v>
          </cell>
          <cell r="GQ200">
            <v>0</v>
          </cell>
          <cell r="GR200">
            <v>0</v>
          </cell>
          <cell r="GS200">
            <v>0</v>
          </cell>
          <cell r="GT200">
            <v>0</v>
          </cell>
          <cell r="GZ200">
            <v>0</v>
          </cell>
        </row>
        <row r="201">
          <cell r="A201" t="str">
            <v>I_BVP_NRF_CPT_PRP_INTR_I21</v>
          </cell>
          <cell r="B201">
            <v>0</v>
          </cell>
          <cell r="C201">
            <v>0</v>
          </cell>
          <cell r="D201">
            <v>7495206.1400000006</v>
          </cell>
          <cell r="E201">
            <v>0</v>
          </cell>
          <cell r="F201">
            <v>7495206.1400000006</v>
          </cell>
          <cell r="G201">
            <v>7495206.1400000006</v>
          </cell>
          <cell r="H201">
            <v>0</v>
          </cell>
          <cell r="I201">
            <v>0</v>
          </cell>
          <cell r="J201">
            <v>0</v>
          </cell>
          <cell r="K201">
            <v>0</v>
          </cell>
          <cell r="L201">
            <v>0</v>
          </cell>
          <cell r="M201">
            <v>0</v>
          </cell>
          <cell r="N201">
            <v>0</v>
          </cell>
          <cell r="O201">
            <v>0</v>
          </cell>
          <cell r="P201">
            <v>0</v>
          </cell>
          <cell r="Q201">
            <v>0</v>
          </cell>
          <cell r="R201">
            <v>0</v>
          </cell>
          <cell r="S201">
            <v>7495206.1400000006</v>
          </cell>
          <cell r="T201">
            <v>0</v>
          </cell>
          <cell r="U201">
            <v>0</v>
          </cell>
          <cell r="V201">
            <v>0</v>
          </cell>
          <cell r="W201">
            <v>0</v>
          </cell>
          <cell r="X201">
            <v>0</v>
          </cell>
          <cell r="Y201">
            <v>0</v>
          </cell>
          <cell r="Z201">
            <v>0</v>
          </cell>
          <cell r="AA201">
            <v>7495206.1400000006</v>
          </cell>
          <cell r="AB201">
            <v>7495206.1400000006</v>
          </cell>
          <cell r="AC201">
            <v>7495206.1400000006</v>
          </cell>
          <cell r="AD201">
            <v>0</v>
          </cell>
          <cell r="AE201">
            <v>0</v>
          </cell>
          <cell r="AF201">
            <v>0</v>
          </cell>
          <cell r="AG201">
            <v>0</v>
          </cell>
          <cell r="AH201">
            <v>0</v>
          </cell>
          <cell r="AI201">
            <v>0</v>
          </cell>
          <cell r="AJ201">
            <v>0</v>
          </cell>
          <cell r="AK201">
            <v>0</v>
          </cell>
          <cell r="AL201">
            <v>0</v>
          </cell>
          <cell r="AM201">
            <v>0</v>
          </cell>
          <cell r="AN201">
            <v>0</v>
          </cell>
          <cell r="AO201">
            <v>7495206.1400000006</v>
          </cell>
          <cell r="AP201">
            <v>0</v>
          </cell>
          <cell r="AQ201">
            <v>0</v>
          </cell>
          <cell r="AR201">
            <v>0</v>
          </cell>
          <cell r="AS201">
            <v>0</v>
          </cell>
          <cell r="AT201">
            <v>0</v>
          </cell>
          <cell r="AU201">
            <v>0</v>
          </cell>
          <cell r="AV201">
            <v>0</v>
          </cell>
          <cell r="AW201">
            <v>7495206.1400000006</v>
          </cell>
          <cell r="AX201">
            <v>0</v>
          </cell>
          <cell r="AY201">
            <v>0</v>
          </cell>
          <cell r="AZ201">
            <v>0</v>
          </cell>
          <cell r="BA201">
            <v>0</v>
          </cell>
          <cell r="BB201">
            <v>0</v>
          </cell>
          <cell r="BC201">
            <v>0</v>
          </cell>
          <cell r="BD201">
            <v>0</v>
          </cell>
          <cell r="BE201">
            <v>0</v>
          </cell>
          <cell r="BF201">
            <v>0</v>
          </cell>
          <cell r="BG201">
            <v>0</v>
          </cell>
          <cell r="BH201">
            <v>0</v>
          </cell>
          <cell r="BI201">
            <v>0</v>
          </cell>
          <cell r="BJ201">
            <v>0</v>
          </cell>
          <cell r="BK201">
            <v>0</v>
          </cell>
          <cell r="BL201">
            <v>0</v>
          </cell>
          <cell r="BM201">
            <v>0</v>
          </cell>
          <cell r="BN201">
            <v>0</v>
          </cell>
          <cell r="BO201">
            <v>0</v>
          </cell>
          <cell r="BP201">
            <v>0</v>
          </cell>
          <cell r="BQ201">
            <v>0</v>
          </cell>
          <cell r="BR201">
            <v>0</v>
          </cell>
          <cell r="BS201">
            <v>0</v>
          </cell>
          <cell r="BT201">
            <v>0</v>
          </cell>
          <cell r="BU201">
            <v>0</v>
          </cell>
          <cell r="BV201">
            <v>0</v>
          </cell>
          <cell r="BW201">
            <v>0</v>
          </cell>
          <cell r="BX201">
            <v>0</v>
          </cell>
          <cell r="BY201">
            <v>0</v>
          </cell>
          <cell r="BZ201">
            <v>0</v>
          </cell>
          <cell r="CA201">
            <v>0</v>
          </cell>
          <cell r="CB201">
            <v>0</v>
          </cell>
          <cell r="CC201">
            <v>0</v>
          </cell>
          <cell r="CD201">
            <v>0</v>
          </cell>
          <cell r="CE201">
            <v>0</v>
          </cell>
          <cell r="CF201">
            <v>0</v>
          </cell>
          <cell r="CG201">
            <v>0</v>
          </cell>
          <cell r="CH201">
            <v>0</v>
          </cell>
          <cell r="CI201">
            <v>0</v>
          </cell>
          <cell r="CJ201">
            <v>0</v>
          </cell>
          <cell r="CK201">
            <v>0</v>
          </cell>
          <cell r="CL201">
            <v>0</v>
          </cell>
          <cell r="CM201">
            <v>0</v>
          </cell>
          <cell r="CN201">
            <v>0</v>
          </cell>
          <cell r="CO201">
            <v>0</v>
          </cell>
          <cell r="CP201">
            <v>0</v>
          </cell>
          <cell r="CQ201">
            <v>0</v>
          </cell>
          <cell r="CR201">
            <v>0</v>
          </cell>
          <cell r="CS201">
            <v>0</v>
          </cell>
          <cell r="CT201">
            <v>0</v>
          </cell>
          <cell r="CU201">
            <v>0</v>
          </cell>
          <cell r="CV201">
            <v>0</v>
          </cell>
          <cell r="CW201">
            <v>0</v>
          </cell>
          <cell r="CX201">
            <v>0</v>
          </cell>
          <cell r="CY201">
            <v>0</v>
          </cell>
          <cell r="CZ201">
            <v>0</v>
          </cell>
          <cell r="DA201">
            <v>0</v>
          </cell>
          <cell r="DB201">
            <v>0</v>
          </cell>
          <cell r="DC201">
            <v>0</v>
          </cell>
          <cell r="DD201">
            <v>0</v>
          </cell>
          <cell r="DE201">
            <v>0</v>
          </cell>
          <cell r="DF201">
            <v>0</v>
          </cell>
          <cell r="DG201">
            <v>0</v>
          </cell>
          <cell r="DH201">
            <v>0</v>
          </cell>
          <cell r="DI201">
            <v>0</v>
          </cell>
          <cell r="DJ201">
            <v>0</v>
          </cell>
          <cell r="DK201">
            <v>0</v>
          </cell>
          <cell r="DL201">
            <v>0</v>
          </cell>
          <cell r="DM201">
            <v>0</v>
          </cell>
          <cell r="DN201">
            <v>0</v>
          </cell>
          <cell r="DO201">
            <v>0</v>
          </cell>
          <cell r="DP201">
            <v>0</v>
          </cell>
          <cell r="DQ201">
            <v>0</v>
          </cell>
          <cell r="DR201">
            <v>0</v>
          </cell>
          <cell r="DS201">
            <v>0</v>
          </cell>
          <cell r="DT201">
            <v>0</v>
          </cell>
          <cell r="DU201">
            <v>0</v>
          </cell>
          <cell r="DV201">
            <v>0</v>
          </cell>
          <cell r="DW201">
            <v>0</v>
          </cell>
          <cell r="EA201">
            <v>0</v>
          </cell>
          <cell r="EB201">
            <v>0</v>
          </cell>
          <cell r="EC201">
            <v>0</v>
          </cell>
          <cell r="ED201">
            <v>0</v>
          </cell>
          <cell r="EE201">
            <v>0</v>
          </cell>
          <cell r="EF201">
            <v>0</v>
          </cell>
          <cell r="EG201">
            <v>0</v>
          </cell>
          <cell r="EH201">
            <v>0</v>
          </cell>
          <cell r="EI201">
            <v>0</v>
          </cell>
          <cell r="EJ201">
            <v>0</v>
          </cell>
          <cell r="EK201">
            <v>0</v>
          </cell>
          <cell r="EL201">
            <v>0</v>
          </cell>
          <cell r="EM201">
            <v>0</v>
          </cell>
          <cell r="EN201">
            <v>0</v>
          </cell>
          <cell r="EO201">
            <v>0</v>
          </cell>
          <cell r="EP201">
            <v>0</v>
          </cell>
          <cell r="EQ201">
            <v>0</v>
          </cell>
          <cell r="ER201">
            <v>0</v>
          </cell>
          <cell r="ES201">
            <v>0</v>
          </cell>
          <cell r="ET201">
            <v>0</v>
          </cell>
          <cell r="EU201">
            <v>0</v>
          </cell>
          <cell r="EV201">
            <v>0</v>
          </cell>
          <cell r="EW201">
            <v>0</v>
          </cell>
          <cell r="EX201">
            <v>0</v>
          </cell>
          <cell r="EY201">
            <v>0</v>
          </cell>
          <cell r="EZ201">
            <v>0</v>
          </cell>
          <cell r="FA201">
            <v>0</v>
          </cell>
          <cell r="FB201">
            <v>0</v>
          </cell>
          <cell r="FC201">
            <v>0</v>
          </cell>
          <cell r="FD201">
            <v>0</v>
          </cell>
          <cell r="FE201">
            <v>0</v>
          </cell>
          <cell r="FF201">
            <v>0</v>
          </cell>
          <cell r="FG201">
            <v>0</v>
          </cell>
          <cell r="FH201">
            <v>0</v>
          </cell>
          <cell r="FI201">
            <v>0</v>
          </cell>
          <cell r="FJ201">
            <v>0</v>
          </cell>
          <cell r="FK201">
            <v>0</v>
          </cell>
          <cell r="FL201">
            <v>0</v>
          </cell>
          <cell r="FM201">
            <v>0</v>
          </cell>
          <cell r="FN201">
            <v>0</v>
          </cell>
          <cell r="FO201">
            <v>0</v>
          </cell>
          <cell r="FP201">
            <v>0</v>
          </cell>
          <cell r="FQ201">
            <v>0</v>
          </cell>
          <cell r="FR201">
            <v>0</v>
          </cell>
          <cell r="FS201">
            <v>0</v>
          </cell>
          <cell r="FT201">
            <v>0</v>
          </cell>
          <cell r="FU201">
            <v>0</v>
          </cell>
          <cell r="FV201">
            <v>0</v>
          </cell>
          <cell r="FW201">
            <v>0</v>
          </cell>
          <cell r="FX201">
            <v>0</v>
          </cell>
          <cell r="FY201">
            <v>0</v>
          </cell>
          <cell r="FZ201">
            <v>0</v>
          </cell>
          <cell r="GA201">
            <v>0</v>
          </cell>
          <cell r="GB201">
            <v>0</v>
          </cell>
          <cell r="GC201">
            <v>0</v>
          </cell>
          <cell r="GD201">
            <v>0</v>
          </cell>
          <cell r="GE201">
            <v>0</v>
          </cell>
          <cell r="GF201">
            <v>0</v>
          </cell>
          <cell r="GG201">
            <v>0</v>
          </cell>
          <cell r="GH201">
            <v>0</v>
          </cell>
          <cell r="GI201">
            <v>0</v>
          </cell>
          <cell r="GJ201">
            <v>0</v>
          </cell>
          <cell r="GK201">
            <v>0</v>
          </cell>
          <cell r="GL201">
            <v>0</v>
          </cell>
          <cell r="GM201">
            <v>0</v>
          </cell>
          <cell r="GN201">
            <v>0</v>
          </cell>
          <cell r="GO201">
            <v>0</v>
          </cell>
          <cell r="GP201">
            <v>0</v>
          </cell>
          <cell r="GQ201">
            <v>0</v>
          </cell>
          <cell r="GR201">
            <v>0</v>
          </cell>
          <cell r="GS201">
            <v>0</v>
          </cell>
          <cell r="GT201">
            <v>0</v>
          </cell>
          <cell r="GZ201">
            <v>0</v>
          </cell>
        </row>
        <row r="202">
          <cell r="A202" t="str">
            <v>I_BVP_NRF_ASS_EMP_INTR_I22</v>
          </cell>
          <cell r="B202">
            <v>67458532.75999999</v>
          </cell>
          <cell r="C202">
            <v>0</v>
          </cell>
          <cell r="D202">
            <v>67458532.75999999</v>
          </cell>
          <cell r="E202">
            <v>56566670.973149016</v>
          </cell>
          <cell r="F202">
            <v>67458532.75999999</v>
          </cell>
          <cell r="G202">
            <v>67458532.75999999</v>
          </cell>
          <cell r="H202">
            <v>0</v>
          </cell>
          <cell r="I202">
            <v>0</v>
          </cell>
          <cell r="J202">
            <v>0</v>
          </cell>
          <cell r="K202">
            <v>0</v>
          </cell>
          <cell r="L202">
            <v>0</v>
          </cell>
          <cell r="M202">
            <v>0</v>
          </cell>
          <cell r="N202">
            <v>0</v>
          </cell>
          <cell r="O202">
            <v>0</v>
          </cell>
          <cell r="P202">
            <v>0</v>
          </cell>
          <cell r="Q202">
            <v>0</v>
          </cell>
          <cell r="R202">
            <v>0</v>
          </cell>
          <cell r="S202">
            <v>67458532.75999999</v>
          </cell>
          <cell r="T202">
            <v>0</v>
          </cell>
          <cell r="U202">
            <v>0</v>
          </cell>
          <cell r="V202">
            <v>0</v>
          </cell>
          <cell r="W202">
            <v>0</v>
          </cell>
          <cell r="X202">
            <v>0</v>
          </cell>
          <cell r="Y202">
            <v>0</v>
          </cell>
          <cell r="Z202">
            <v>0</v>
          </cell>
          <cell r="AA202">
            <v>67458532.75999999</v>
          </cell>
          <cell r="AB202">
            <v>69297828.688534409</v>
          </cell>
          <cell r="AC202">
            <v>65482037.06469503</v>
          </cell>
          <cell r="AD202">
            <v>0</v>
          </cell>
          <cell r="AE202">
            <v>0</v>
          </cell>
          <cell r="AF202">
            <v>0</v>
          </cell>
          <cell r="AG202">
            <v>0</v>
          </cell>
          <cell r="AH202">
            <v>0</v>
          </cell>
          <cell r="AI202">
            <v>0</v>
          </cell>
          <cell r="AJ202">
            <v>0</v>
          </cell>
          <cell r="AK202">
            <v>0</v>
          </cell>
          <cell r="AL202">
            <v>0</v>
          </cell>
          <cell r="AM202">
            <v>0</v>
          </cell>
          <cell r="AN202">
            <v>0</v>
          </cell>
          <cell r="AO202">
            <v>64297011.770718813</v>
          </cell>
          <cell r="AP202">
            <v>0</v>
          </cell>
          <cell r="AQ202">
            <v>0</v>
          </cell>
          <cell r="AR202">
            <v>0</v>
          </cell>
          <cell r="AS202">
            <v>0</v>
          </cell>
          <cell r="AT202">
            <v>0</v>
          </cell>
          <cell r="AU202">
            <v>0</v>
          </cell>
          <cell r="AV202">
            <v>0</v>
          </cell>
          <cell r="AW202">
            <v>67458532.75999999</v>
          </cell>
          <cell r="AX202">
            <v>56566670.973149016</v>
          </cell>
          <cell r="AY202">
            <v>56566670.973149016</v>
          </cell>
          <cell r="AZ202">
            <v>0</v>
          </cell>
          <cell r="BA202">
            <v>0</v>
          </cell>
          <cell r="BB202">
            <v>0</v>
          </cell>
          <cell r="BC202">
            <v>0</v>
          </cell>
          <cell r="BD202">
            <v>0</v>
          </cell>
          <cell r="BE202">
            <v>0</v>
          </cell>
          <cell r="BF202">
            <v>0</v>
          </cell>
          <cell r="BG202">
            <v>0</v>
          </cell>
          <cell r="BH202">
            <v>0</v>
          </cell>
          <cell r="BI202">
            <v>0</v>
          </cell>
          <cell r="BJ202">
            <v>0</v>
          </cell>
          <cell r="BK202">
            <v>56566670.973149016</v>
          </cell>
          <cell r="BL202">
            <v>0</v>
          </cell>
          <cell r="BM202">
            <v>0</v>
          </cell>
          <cell r="BN202">
            <v>0</v>
          </cell>
          <cell r="BO202">
            <v>0</v>
          </cell>
          <cell r="BP202">
            <v>0</v>
          </cell>
          <cell r="BQ202">
            <v>0</v>
          </cell>
          <cell r="BR202">
            <v>0</v>
          </cell>
          <cell r="BS202">
            <v>56566670.973149016</v>
          </cell>
          <cell r="BT202">
            <v>58733678.396625243</v>
          </cell>
          <cell r="BU202">
            <v>55124526.967459492</v>
          </cell>
          <cell r="BV202">
            <v>0</v>
          </cell>
          <cell r="BW202">
            <v>0</v>
          </cell>
          <cell r="BX202">
            <v>0</v>
          </cell>
          <cell r="BY202">
            <v>0</v>
          </cell>
          <cell r="BZ202">
            <v>0</v>
          </cell>
          <cell r="CA202">
            <v>0</v>
          </cell>
          <cell r="CB202">
            <v>0</v>
          </cell>
          <cell r="CC202">
            <v>0</v>
          </cell>
          <cell r="CD202">
            <v>0</v>
          </cell>
          <cell r="CE202">
            <v>0</v>
          </cell>
          <cell r="CF202">
            <v>0</v>
          </cell>
          <cell r="CG202">
            <v>56566670.973149016</v>
          </cell>
          <cell r="CH202">
            <v>0</v>
          </cell>
          <cell r="CI202">
            <v>0</v>
          </cell>
          <cell r="CJ202">
            <v>0</v>
          </cell>
          <cell r="CK202">
            <v>0</v>
          </cell>
          <cell r="CL202">
            <v>0</v>
          </cell>
          <cell r="CM202">
            <v>0</v>
          </cell>
          <cell r="CN202">
            <v>0</v>
          </cell>
          <cell r="CO202">
            <v>56829251.851098426</v>
          </cell>
          <cell r="CP202">
            <v>56566670.973149016</v>
          </cell>
          <cell r="CQ202">
            <v>56566670.973149016</v>
          </cell>
          <cell r="CR202">
            <v>56566670.973149016</v>
          </cell>
          <cell r="CS202">
            <v>56566670.973149016</v>
          </cell>
          <cell r="CT202">
            <v>56566670.973149016</v>
          </cell>
          <cell r="CU202">
            <v>0</v>
          </cell>
          <cell r="CV202">
            <v>56566670.973149016</v>
          </cell>
          <cell r="CW202">
            <v>56566670.973149016</v>
          </cell>
          <cell r="CX202">
            <v>0</v>
          </cell>
          <cell r="CY202">
            <v>56566670.973149016</v>
          </cell>
          <cell r="CZ202">
            <v>58293733.658845946</v>
          </cell>
          <cell r="DA202">
            <v>56566670.973149016</v>
          </cell>
          <cell r="DB202">
            <v>56566670.973149016</v>
          </cell>
          <cell r="DC202">
            <v>61145164.617665187</v>
          </cell>
          <cell r="DD202">
            <v>51570548.145871036</v>
          </cell>
          <cell r="DE202">
            <v>0</v>
          </cell>
          <cell r="DF202">
            <v>77271990.763124391</v>
          </cell>
          <cell r="DG202">
            <v>58160504.879402444</v>
          </cell>
          <cell r="DH202">
            <v>0</v>
          </cell>
          <cell r="DI202">
            <v>59733757.991314285</v>
          </cell>
          <cell r="DJ202">
            <v>0</v>
          </cell>
          <cell r="DK202">
            <v>0</v>
          </cell>
          <cell r="DL202">
            <v>0</v>
          </cell>
          <cell r="DM202">
            <v>0</v>
          </cell>
          <cell r="DN202">
            <v>0</v>
          </cell>
          <cell r="DO202">
            <v>0</v>
          </cell>
          <cell r="DP202">
            <v>0</v>
          </cell>
          <cell r="DQ202">
            <v>0</v>
          </cell>
          <cell r="DR202">
            <v>0</v>
          </cell>
          <cell r="DS202">
            <v>0</v>
          </cell>
          <cell r="DT202">
            <v>0</v>
          </cell>
          <cell r="DU202">
            <v>0</v>
          </cell>
          <cell r="DV202">
            <v>0</v>
          </cell>
          <cell r="DW202">
            <v>0</v>
          </cell>
          <cell r="EA202">
            <v>0</v>
          </cell>
          <cell r="EB202">
            <v>0</v>
          </cell>
          <cell r="EC202">
            <v>0</v>
          </cell>
          <cell r="ED202">
            <v>0</v>
          </cell>
          <cell r="EE202">
            <v>0</v>
          </cell>
          <cell r="EF202">
            <v>0</v>
          </cell>
          <cell r="EG202">
            <v>0</v>
          </cell>
          <cell r="EH202">
            <v>0</v>
          </cell>
          <cell r="EI202">
            <v>0</v>
          </cell>
          <cell r="EJ202">
            <v>0</v>
          </cell>
          <cell r="EK202">
            <v>0</v>
          </cell>
          <cell r="EL202">
            <v>0</v>
          </cell>
          <cell r="EM202">
            <v>0</v>
          </cell>
          <cell r="EN202">
            <v>0</v>
          </cell>
          <cell r="EO202">
            <v>0</v>
          </cell>
          <cell r="EP202">
            <v>0</v>
          </cell>
          <cell r="EQ202">
            <v>0</v>
          </cell>
          <cell r="ER202">
            <v>0</v>
          </cell>
          <cell r="ES202">
            <v>0</v>
          </cell>
          <cell r="ET202">
            <v>0</v>
          </cell>
          <cell r="EU202">
            <v>0</v>
          </cell>
          <cell r="EV202">
            <v>0</v>
          </cell>
          <cell r="EW202">
            <v>0</v>
          </cell>
          <cell r="EX202">
            <v>0</v>
          </cell>
          <cell r="EY202">
            <v>0</v>
          </cell>
          <cell r="EZ202">
            <v>0</v>
          </cell>
          <cell r="FA202">
            <v>0</v>
          </cell>
          <cell r="FB202">
            <v>0</v>
          </cell>
          <cell r="FC202">
            <v>0</v>
          </cell>
          <cell r="FD202">
            <v>0</v>
          </cell>
          <cell r="FE202">
            <v>56566670.973149016</v>
          </cell>
          <cell r="FF202">
            <v>58733678.396625243</v>
          </cell>
          <cell r="FG202">
            <v>55124526.967459492</v>
          </cell>
          <cell r="FH202">
            <v>0</v>
          </cell>
          <cell r="FI202">
            <v>0</v>
          </cell>
          <cell r="FJ202">
            <v>0</v>
          </cell>
          <cell r="FK202">
            <v>0</v>
          </cell>
          <cell r="FL202">
            <v>0</v>
          </cell>
          <cell r="FM202">
            <v>0</v>
          </cell>
          <cell r="FN202">
            <v>0</v>
          </cell>
          <cell r="FO202">
            <v>0</v>
          </cell>
          <cell r="FP202">
            <v>0</v>
          </cell>
          <cell r="FQ202">
            <v>0</v>
          </cell>
          <cell r="FR202">
            <v>0</v>
          </cell>
          <cell r="FS202">
            <v>56566670.973149016</v>
          </cell>
          <cell r="FT202">
            <v>0</v>
          </cell>
          <cell r="FU202">
            <v>0</v>
          </cell>
          <cell r="FV202">
            <v>0</v>
          </cell>
          <cell r="FW202">
            <v>0</v>
          </cell>
          <cell r="FX202">
            <v>0</v>
          </cell>
          <cell r="FY202">
            <v>0</v>
          </cell>
          <cell r="FZ202">
            <v>0</v>
          </cell>
          <cell r="GA202">
            <v>56829251.851098426</v>
          </cell>
          <cell r="GB202">
            <v>58293733.658845946</v>
          </cell>
          <cell r="GC202">
            <v>56566670.973149016</v>
          </cell>
          <cell r="GD202">
            <v>56566670.973149016</v>
          </cell>
          <cell r="GE202">
            <v>61145164.617665187</v>
          </cell>
          <cell r="GF202">
            <v>51570548.145871036</v>
          </cell>
          <cell r="GG202">
            <v>0</v>
          </cell>
          <cell r="GH202">
            <v>77271990.763124391</v>
          </cell>
          <cell r="GI202">
            <v>58160504.879402444</v>
          </cell>
          <cell r="GJ202">
            <v>0</v>
          </cell>
          <cell r="GK202">
            <v>59733757.991314285</v>
          </cell>
          <cell r="GL202">
            <v>0</v>
          </cell>
          <cell r="GM202">
            <v>0</v>
          </cell>
          <cell r="GN202">
            <v>0</v>
          </cell>
          <cell r="GO202">
            <v>0</v>
          </cell>
          <cell r="GP202">
            <v>0</v>
          </cell>
          <cell r="GQ202">
            <v>0</v>
          </cell>
          <cell r="GR202">
            <v>0</v>
          </cell>
          <cell r="GS202">
            <v>0</v>
          </cell>
          <cell r="GT202">
            <v>0</v>
          </cell>
          <cell r="GZ202">
            <v>44106549.07</v>
          </cell>
        </row>
        <row r="203">
          <cell r="A203" t="str">
            <v>I_BVP_NRF_EPA_EUR_INTR_I23</v>
          </cell>
          <cell r="B203">
            <v>0</v>
          </cell>
          <cell r="C203">
            <v>0</v>
          </cell>
          <cell r="D203">
            <v>0</v>
          </cell>
          <cell r="E203">
            <v>0</v>
          </cell>
          <cell r="F203">
            <v>0</v>
          </cell>
          <cell r="G203">
            <v>0</v>
          </cell>
          <cell r="H203">
            <v>0</v>
          </cell>
          <cell r="I203">
            <v>0</v>
          </cell>
          <cell r="J203">
            <v>0</v>
          </cell>
          <cell r="K203">
            <v>0</v>
          </cell>
          <cell r="L203">
            <v>0</v>
          </cell>
          <cell r="M203">
            <v>0</v>
          </cell>
          <cell r="N203">
            <v>0</v>
          </cell>
          <cell r="O203">
            <v>0</v>
          </cell>
          <cell r="P203">
            <v>0</v>
          </cell>
          <cell r="Q203">
            <v>0</v>
          </cell>
          <cell r="R203">
            <v>0</v>
          </cell>
          <cell r="S203">
            <v>0</v>
          </cell>
          <cell r="T203">
            <v>0</v>
          </cell>
          <cell r="U203">
            <v>0</v>
          </cell>
          <cell r="V203">
            <v>0</v>
          </cell>
          <cell r="W203">
            <v>0</v>
          </cell>
          <cell r="X203">
            <v>0</v>
          </cell>
          <cell r="Y203">
            <v>0</v>
          </cell>
          <cell r="Z203">
            <v>0</v>
          </cell>
          <cell r="AA203">
            <v>0</v>
          </cell>
          <cell r="AB203">
            <v>0</v>
          </cell>
          <cell r="AC203">
            <v>0</v>
          </cell>
          <cell r="AD203">
            <v>0</v>
          </cell>
          <cell r="AE203">
            <v>0</v>
          </cell>
          <cell r="AF203">
            <v>0</v>
          </cell>
          <cell r="AG203">
            <v>0</v>
          </cell>
          <cell r="AH203">
            <v>0</v>
          </cell>
          <cell r="AI203">
            <v>0</v>
          </cell>
          <cell r="AJ203">
            <v>0</v>
          </cell>
          <cell r="AK203">
            <v>0</v>
          </cell>
          <cell r="AL203">
            <v>0</v>
          </cell>
          <cell r="AM203">
            <v>0</v>
          </cell>
          <cell r="AN203">
            <v>0</v>
          </cell>
          <cell r="AO203">
            <v>0</v>
          </cell>
          <cell r="AP203">
            <v>0</v>
          </cell>
          <cell r="AQ203">
            <v>0</v>
          </cell>
          <cell r="AR203">
            <v>0</v>
          </cell>
          <cell r="AS203">
            <v>0</v>
          </cell>
          <cell r="AT203">
            <v>0</v>
          </cell>
          <cell r="AU203">
            <v>0</v>
          </cell>
          <cell r="AV203">
            <v>0</v>
          </cell>
          <cell r="AW203">
            <v>0</v>
          </cell>
          <cell r="AX203">
            <v>0</v>
          </cell>
          <cell r="AY203">
            <v>0</v>
          </cell>
          <cell r="AZ203">
            <v>0</v>
          </cell>
          <cell r="BA203">
            <v>0</v>
          </cell>
          <cell r="BB203">
            <v>0</v>
          </cell>
          <cell r="BC203">
            <v>0</v>
          </cell>
          <cell r="BD203">
            <v>0</v>
          </cell>
          <cell r="BE203">
            <v>0</v>
          </cell>
          <cell r="BF203">
            <v>0</v>
          </cell>
          <cell r="BG203">
            <v>0</v>
          </cell>
          <cell r="BH203">
            <v>0</v>
          </cell>
          <cell r="BI203">
            <v>0</v>
          </cell>
          <cell r="BJ203">
            <v>0</v>
          </cell>
          <cell r="BK203">
            <v>0</v>
          </cell>
          <cell r="BL203">
            <v>0</v>
          </cell>
          <cell r="BM203">
            <v>0</v>
          </cell>
          <cell r="BN203">
            <v>0</v>
          </cell>
          <cell r="BO203">
            <v>0</v>
          </cell>
          <cell r="BP203">
            <v>0</v>
          </cell>
          <cell r="BQ203">
            <v>0</v>
          </cell>
          <cell r="BR203">
            <v>0</v>
          </cell>
          <cell r="BS203">
            <v>0</v>
          </cell>
          <cell r="BT203">
            <v>0</v>
          </cell>
          <cell r="BU203">
            <v>0</v>
          </cell>
          <cell r="BV203">
            <v>0</v>
          </cell>
          <cell r="BW203">
            <v>0</v>
          </cell>
          <cell r="BX203">
            <v>0</v>
          </cell>
          <cell r="BY203">
            <v>0</v>
          </cell>
          <cell r="BZ203">
            <v>0</v>
          </cell>
          <cell r="CA203">
            <v>0</v>
          </cell>
          <cell r="CB203">
            <v>0</v>
          </cell>
          <cell r="CC203">
            <v>0</v>
          </cell>
          <cell r="CD203">
            <v>0</v>
          </cell>
          <cell r="CE203">
            <v>0</v>
          </cell>
          <cell r="CF203">
            <v>0</v>
          </cell>
          <cell r="CG203">
            <v>0</v>
          </cell>
          <cell r="CH203">
            <v>0</v>
          </cell>
          <cell r="CI203">
            <v>0</v>
          </cell>
          <cell r="CJ203">
            <v>0</v>
          </cell>
          <cell r="CK203">
            <v>0</v>
          </cell>
          <cell r="CL203">
            <v>0</v>
          </cell>
          <cell r="CM203">
            <v>0</v>
          </cell>
          <cell r="CN203">
            <v>0</v>
          </cell>
          <cell r="CO203">
            <v>0</v>
          </cell>
          <cell r="CP203">
            <v>0</v>
          </cell>
          <cell r="CQ203">
            <v>0</v>
          </cell>
          <cell r="CR203">
            <v>0</v>
          </cell>
          <cell r="CS203">
            <v>0</v>
          </cell>
          <cell r="CT203">
            <v>0</v>
          </cell>
          <cell r="CU203">
            <v>0</v>
          </cell>
          <cell r="CV203">
            <v>0</v>
          </cell>
          <cell r="CW203">
            <v>0</v>
          </cell>
          <cell r="CX203">
            <v>0</v>
          </cell>
          <cell r="CY203">
            <v>0</v>
          </cell>
          <cell r="CZ203">
            <v>0</v>
          </cell>
          <cell r="DA203">
            <v>0</v>
          </cell>
          <cell r="DB203">
            <v>0</v>
          </cell>
          <cell r="DC203">
            <v>0</v>
          </cell>
          <cell r="DD203">
            <v>0</v>
          </cell>
          <cell r="DE203">
            <v>0</v>
          </cell>
          <cell r="DF203">
            <v>0</v>
          </cell>
          <cell r="DG203">
            <v>0</v>
          </cell>
          <cell r="DH203">
            <v>0</v>
          </cell>
          <cell r="DI203">
            <v>0</v>
          </cell>
          <cell r="DJ203">
            <v>0</v>
          </cell>
          <cell r="DK203">
            <v>0</v>
          </cell>
          <cell r="DL203">
            <v>0</v>
          </cell>
          <cell r="DM203">
            <v>0</v>
          </cell>
          <cell r="DN203">
            <v>0</v>
          </cell>
          <cell r="DO203">
            <v>0</v>
          </cell>
          <cell r="DP203">
            <v>0</v>
          </cell>
          <cell r="DQ203">
            <v>0</v>
          </cell>
          <cell r="DR203">
            <v>0</v>
          </cell>
          <cell r="DS203">
            <v>0</v>
          </cell>
          <cell r="DT203">
            <v>0</v>
          </cell>
          <cell r="DU203">
            <v>0</v>
          </cell>
          <cell r="DV203">
            <v>0</v>
          </cell>
          <cell r="DW203">
            <v>0</v>
          </cell>
          <cell r="EA203">
            <v>0</v>
          </cell>
          <cell r="EB203">
            <v>0</v>
          </cell>
          <cell r="EC203">
            <v>0</v>
          </cell>
          <cell r="ED203">
            <v>0</v>
          </cell>
          <cell r="EE203">
            <v>0</v>
          </cell>
          <cell r="EF203">
            <v>0</v>
          </cell>
          <cell r="EG203">
            <v>0</v>
          </cell>
          <cell r="EH203">
            <v>0</v>
          </cell>
          <cell r="EI203">
            <v>0</v>
          </cell>
          <cell r="EJ203">
            <v>0</v>
          </cell>
          <cell r="EK203">
            <v>0</v>
          </cell>
          <cell r="EL203">
            <v>0</v>
          </cell>
          <cell r="EM203">
            <v>0</v>
          </cell>
          <cell r="EN203">
            <v>0</v>
          </cell>
          <cell r="EO203">
            <v>0</v>
          </cell>
          <cell r="EP203">
            <v>0</v>
          </cell>
          <cell r="EQ203">
            <v>0</v>
          </cell>
          <cell r="ER203">
            <v>0</v>
          </cell>
          <cell r="ES203">
            <v>0</v>
          </cell>
          <cell r="ET203">
            <v>0</v>
          </cell>
          <cell r="EU203">
            <v>0</v>
          </cell>
          <cell r="EV203">
            <v>0</v>
          </cell>
          <cell r="EW203">
            <v>0</v>
          </cell>
          <cell r="EX203">
            <v>0</v>
          </cell>
          <cell r="EY203">
            <v>0</v>
          </cell>
          <cell r="EZ203">
            <v>0</v>
          </cell>
          <cell r="FA203">
            <v>0</v>
          </cell>
          <cell r="FB203">
            <v>0</v>
          </cell>
          <cell r="FC203">
            <v>0</v>
          </cell>
          <cell r="FD203">
            <v>0</v>
          </cell>
          <cell r="FE203">
            <v>0</v>
          </cell>
          <cell r="FF203">
            <v>0</v>
          </cell>
          <cell r="FG203">
            <v>0</v>
          </cell>
          <cell r="FH203">
            <v>0</v>
          </cell>
          <cell r="FI203">
            <v>0</v>
          </cell>
          <cell r="FJ203">
            <v>0</v>
          </cell>
          <cell r="FK203">
            <v>0</v>
          </cell>
          <cell r="FL203">
            <v>0</v>
          </cell>
          <cell r="FM203">
            <v>0</v>
          </cell>
          <cell r="FN203">
            <v>0</v>
          </cell>
          <cell r="FO203">
            <v>0</v>
          </cell>
          <cell r="FP203">
            <v>0</v>
          </cell>
          <cell r="FQ203">
            <v>0</v>
          </cell>
          <cell r="FR203">
            <v>0</v>
          </cell>
          <cell r="FS203">
            <v>0</v>
          </cell>
          <cell r="FT203">
            <v>0</v>
          </cell>
          <cell r="FU203">
            <v>0</v>
          </cell>
          <cell r="FV203">
            <v>0</v>
          </cell>
          <cell r="FW203">
            <v>0</v>
          </cell>
          <cell r="FX203">
            <v>0</v>
          </cell>
          <cell r="FY203">
            <v>0</v>
          </cell>
          <cell r="FZ203">
            <v>0</v>
          </cell>
          <cell r="GA203">
            <v>0</v>
          </cell>
          <cell r="GB203">
            <v>0</v>
          </cell>
          <cell r="GC203">
            <v>0</v>
          </cell>
          <cell r="GD203">
            <v>0</v>
          </cell>
          <cell r="GE203">
            <v>0</v>
          </cell>
          <cell r="GF203">
            <v>0</v>
          </cell>
          <cell r="GG203">
            <v>0</v>
          </cell>
          <cell r="GH203">
            <v>0</v>
          </cell>
          <cell r="GI203">
            <v>0</v>
          </cell>
          <cell r="GJ203">
            <v>0</v>
          </cell>
          <cell r="GK203">
            <v>0</v>
          </cell>
          <cell r="GL203">
            <v>0</v>
          </cell>
          <cell r="GM203">
            <v>0</v>
          </cell>
          <cell r="GN203">
            <v>0</v>
          </cell>
          <cell r="GO203">
            <v>0</v>
          </cell>
          <cell r="GP203">
            <v>0</v>
          </cell>
          <cell r="GQ203">
            <v>0</v>
          </cell>
          <cell r="GR203">
            <v>0</v>
          </cell>
          <cell r="GS203">
            <v>0</v>
          </cell>
          <cell r="GT203">
            <v>0</v>
          </cell>
          <cell r="GZ203">
            <v>0</v>
          </cell>
        </row>
        <row r="204">
          <cell r="A204" t="str">
            <v>I_BVP_NRF_EPA_UCS_INTR_I24</v>
          </cell>
          <cell r="B204">
            <v>148051868.06</v>
          </cell>
          <cell r="C204">
            <v>0</v>
          </cell>
          <cell r="D204">
            <v>148051868.06</v>
          </cell>
          <cell r="E204">
            <v>145324338.93916145</v>
          </cell>
          <cell r="F204">
            <v>148051868.06</v>
          </cell>
          <cell r="G204">
            <v>148051868.06</v>
          </cell>
          <cell r="H204">
            <v>0</v>
          </cell>
          <cell r="I204">
            <v>0</v>
          </cell>
          <cell r="J204">
            <v>148051868.06</v>
          </cell>
          <cell r="K204">
            <v>0</v>
          </cell>
          <cell r="L204">
            <v>0</v>
          </cell>
          <cell r="M204">
            <v>0</v>
          </cell>
          <cell r="N204">
            <v>0</v>
          </cell>
          <cell r="O204">
            <v>0</v>
          </cell>
          <cell r="P204">
            <v>0</v>
          </cell>
          <cell r="Q204">
            <v>0</v>
          </cell>
          <cell r="R204">
            <v>0</v>
          </cell>
          <cell r="S204">
            <v>148051868.06</v>
          </cell>
          <cell r="T204">
            <v>0</v>
          </cell>
          <cell r="U204">
            <v>0</v>
          </cell>
          <cell r="V204">
            <v>0</v>
          </cell>
          <cell r="W204">
            <v>0</v>
          </cell>
          <cell r="X204">
            <v>0</v>
          </cell>
          <cell r="Y204">
            <v>0</v>
          </cell>
          <cell r="Z204">
            <v>0</v>
          </cell>
          <cell r="AA204">
            <v>148051868.06</v>
          </cell>
          <cell r="AB204">
            <v>148051868.06</v>
          </cell>
          <cell r="AC204">
            <v>148051868.06</v>
          </cell>
          <cell r="AD204">
            <v>0</v>
          </cell>
          <cell r="AE204">
            <v>0</v>
          </cell>
          <cell r="AF204">
            <v>122031892.97877161</v>
          </cell>
          <cell r="AG204">
            <v>0</v>
          </cell>
          <cell r="AH204">
            <v>0</v>
          </cell>
          <cell r="AI204">
            <v>0</v>
          </cell>
          <cell r="AJ204">
            <v>0</v>
          </cell>
          <cell r="AK204">
            <v>0</v>
          </cell>
          <cell r="AL204">
            <v>0</v>
          </cell>
          <cell r="AM204">
            <v>0</v>
          </cell>
          <cell r="AN204">
            <v>0</v>
          </cell>
          <cell r="AO204">
            <v>148051868.06</v>
          </cell>
          <cell r="AP204">
            <v>0</v>
          </cell>
          <cell r="AQ204">
            <v>0</v>
          </cell>
          <cell r="AR204">
            <v>0</v>
          </cell>
          <cell r="AS204">
            <v>0</v>
          </cell>
          <cell r="AT204">
            <v>0</v>
          </cell>
          <cell r="AU204">
            <v>0</v>
          </cell>
          <cell r="AV204">
            <v>0</v>
          </cell>
          <cell r="AW204">
            <v>148051868.06</v>
          </cell>
          <cell r="AX204">
            <v>145324338.93916145</v>
          </cell>
          <cell r="AY204">
            <v>145324338.93916145</v>
          </cell>
          <cell r="AZ204">
            <v>0</v>
          </cell>
          <cell r="BA204">
            <v>0</v>
          </cell>
          <cell r="BB204">
            <v>145324338.93916145</v>
          </cell>
          <cell r="BC204">
            <v>0</v>
          </cell>
          <cell r="BD204">
            <v>0</v>
          </cell>
          <cell r="BE204">
            <v>0</v>
          </cell>
          <cell r="BF204">
            <v>0</v>
          </cell>
          <cell r="BG204">
            <v>0</v>
          </cell>
          <cell r="BH204">
            <v>0</v>
          </cell>
          <cell r="BI204">
            <v>0</v>
          </cell>
          <cell r="BJ204">
            <v>0</v>
          </cell>
          <cell r="BK204">
            <v>145324338.93916145</v>
          </cell>
          <cell r="BL204">
            <v>0</v>
          </cell>
          <cell r="BM204">
            <v>0</v>
          </cell>
          <cell r="BN204">
            <v>0</v>
          </cell>
          <cell r="BO204">
            <v>0</v>
          </cell>
          <cell r="BP204">
            <v>0</v>
          </cell>
          <cell r="BQ204">
            <v>0</v>
          </cell>
          <cell r="BR204">
            <v>0</v>
          </cell>
          <cell r="BS204">
            <v>145324338.93916145</v>
          </cell>
          <cell r="BT204">
            <v>145211515.86425489</v>
          </cell>
          <cell r="BU204">
            <v>145455819.11415437</v>
          </cell>
          <cell r="BV204">
            <v>0</v>
          </cell>
          <cell r="BW204">
            <v>0</v>
          </cell>
          <cell r="BX204">
            <v>120437567.39056928</v>
          </cell>
          <cell r="BY204">
            <v>0</v>
          </cell>
          <cell r="BZ204">
            <v>0</v>
          </cell>
          <cell r="CA204">
            <v>0</v>
          </cell>
          <cell r="CB204">
            <v>0</v>
          </cell>
          <cell r="CC204">
            <v>0</v>
          </cell>
          <cell r="CD204">
            <v>0</v>
          </cell>
          <cell r="CE204">
            <v>0</v>
          </cell>
          <cell r="CF204">
            <v>0</v>
          </cell>
          <cell r="CG204">
            <v>145324338.93916145</v>
          </cell>
          <cell r="CH204">
            <v>0</v>
          </cell>
          <cell r="CI204">
            <v>0</v>
          </cell>
          <cell r="CJ204">
            <v>0</v>
          </cell>
          <cell r="CK204">
            <v>0</v>
          </cell>
          <cell r="CL204">
            <v>0</v>
          </cell>
          <cell r="CM204">
            <v>0</v>
          </cell>
          <cell r="CN204">
            <v>0</v>
          </cell>
          <cell r="CO204">
            <v>145324338.93916145</v>
          </cell>
          <cell r="CP204">
            <v>145324338.93916145</v>
          </cell>
          <cell r="CQ204">
            <v>145324338.93916145</v>
          </cell>
          <cell r="CR204">
            <v>145324338.93916145</v>
          </cell>
          <cell r="CS204">
            <v>145324338.93916145</v>
          </cell>
          <cell r="CT204">
            <v>145324338.93916145</v>
          </cell>
          <cell r="CU204">
            <v>0</v>
          </cell>
          <cell r="CV204">
            <v>145324338.93916145</v>
          </cell>
          <cell r="CW204">
            <v>145324338.93916145</v>
          </cell>
          <cell r="CX204">
            <v>0</v>
          </cell>
          <cell r="CY204">
            <v>145324338.93916145</v>
          </cell>
          <cell r="CZ204">
            <v>145347081.81414983</v>
          </cell>
          <cell r="DA204">
            <v>145324338.93916145</v>
          </cell>
          <cell r="DB204">
            <v>145324338.93916145</v>
          </cell>
          <cell r="DC204">
            <v>145387814.08186984</v>
          </cell>
          <cell r="DD204">
            <v>144753313.73076767</v>
          </cell>
          <cell r="DE204">
            <v>0</v>
          </cell>
          <cell r="DF204">
            <v>145027099.93086916</v>
          </cell>
          <cell r="DG204">
            <v>145590960.51488978</v>
          </cell>
          <cell r="DH204">
            <v>0</v>
          </cell>
          <cell r="DI204">
            <v>145329275.50772113</v>
          </cell>
          <cell r="DJ204">
            <v>0</v>
          </cell>
          <cell r="DK204">
            <v>0</v>
          </cell>
          <cell r="DL204">
            <v>0</v>
          </cell>
          <cell r="DM204">
            <v>0</v>
          </cell>
          <cell r="DN204">
            <v>0</v>
          </cell>
          <cell r="DO204">
            <v>0</v>
          </cell>
          <cell r="DP204">
            <v>0</v>
          </cell>
          <cell r="DQ204">
            <v>0</v>
          </cell>
          <cell r="DR204">
            <v>0</v>
          </cell>
          <cell r="DS204">
            <v>0</v>
          </cell>
          <cell r="DT204">
            <v>0</v>
          </cell>
          <cell r="DU204">
            <v>0</v>
          </cell>
          <cell r="DV204">
            <v>0</v>
          </cell>
          <cell r="DW204">
            <v>0</v>
          </cell>
          <cell r="EA204">
            <v>0</v>
          </cell>
          <cell r="EB204">
            <v>0</v>
          </cell>
          <cell r="EC204">
            <v>0</v>
          </cell>
          <cell r="ED204">
            <v>0</v>
          </cell>
          <cell r="EE204">
            <v>0</v>
          </cell>
          <cell r="EF204">
            <v>0</v>
          </cell>
          <cell r="EG204">
            <v>0</v>
          </cell>
          <cell r="EH204">
            <v>0</v>
          </cell>
          <cell r="EI204">
            <v>0</v>
          </cell>
          <cell r="EJ204">
            <v>0</v>
          </cell>
          <cell r="EK204">
            <v>0</v>
          </cell>
          <cell r="EL204">
            <v>0</v>
          </cell>
          <cell r="EM204">
            <v>0</v>
          </cell>
          <cell r="EN204">
            <v>0</v>
          </cell>
          <cell r="EO204">
            <v>0</v>
          </cell>
          <cell r="EP204">
            <v>0</v>
          </cell>
          <cell r="EQ204">
            <v>0</v>
          </cell>
          <cell r="ER204">
            <v>0</v>
          </cell>
          <cell r="ES204">
            <v>0</v>
          </cell>
          <cell r="ET204">
            <v>0</v>
          </cell>
          <cell r="EU204">
            <v>0</v>
          </cell>
          <cell r="EV204">
            <v>0</v>
          </cell>
          <cell r="EW204">
            <v>0</v>
          </cell>
          <cell r="EX204">
            <v>0</v>
          </cell>
          <cell r="EY204">
            <v>0</v>
          </cell>
          <cell r="EZ204">
            <v>0</v>
          </cell>
          <cell r="FA204">
            <v>0</v>
          </cell>
          <cell r="FB204">
            <v>0</v>
          </cell>
          <cell r="FC204">
            <v>0</v>
          </cell>
          <cell r="FD204">
            <v>0</v>
          </cell>
          <cell r="FE204">
            <v>145324338.93916145</v>
          </cell>
          <cell r="FF204">
            <v>145211515.86425489</v>
          </cell>
          <cell r="FG204">
            <v>145455819.11415437</v>
          </cell>
          <cell r="FH204">
            <v>0</v>
          </cell>
          <cell r="FI204">
            <v>0</v>
          </cell>
          <cell r="FJ204">
            <v>120437567.39056928</v>
          </cell>
          <cell r="FK204">
            <v>0</v>
          </cell>
          <cell r="FL204">
            <v>0</v>
          </cell>
          <cell r="FM204">
            <v>0</v>
          </cell>
          <cell r="FN204">
            <v>0</v>
          </cell>
          <cell r="FO204">
            <v>0</v>
          </cell>
          <cell r="FP204">
            <v>0</v>
          </cell>
          <cell r="FQ204">
            <v>0</v>
          </cell>
          <cell r="FR204">
            <v>0</v>
          </cell>
          <cell r="FS204">
            <v>145324338.93916145</v>
          </cell>
          <cell r="FT204">
            <v>0</v>
          </cell>
          <cell r="FU204">
            <v>0</v>
          </cell>
          <cell r="FV204">
            <v>0</v>
          </cell>
          <cell r="FW204">
            <v>0</v>
          </cell>
          <cell r="FX204">
            <v>0</v>
          </cell>
          <cell r="FY204">
            <v>0</v>
          </cell>
          <cell r="FZ204">
            <v>0</v>
          </cell>
          <cell r="GA204">
            <v>145324338.93916145</v>
          </cell>
          <cell r="GB204">
            <v>145347081.81414983</v>
          </cell>
          <cell r="GC204">
            <v>145324338.93916145</v>
          </cell>
          <cell r="GD204">
            <v>145324338.93916145</v>
          </cell>
          <cell r="GE204">
            <v>145387814.08186984</v>
          </cell>
          <cell r="GF204">
            <v>144753313.73076767</v>
          </cell>
          <cell r="GG204">
            <v>0</v>
          </cell>
          <cell r="GH204">
            <v>145027099.93086916</v>
          </cell>
          <cell r="GI204">
            <v>145590960.51488978</v>
          </cell>
          <cell r="GJ204">
            <v>0</v>
          </cell>
          <cell r="GK204">
            <v>145329275.50772113</v>
          </cell>
          <cell r="GL204">
            <v>0</v>
          </cell>
          <cell r="GM204">
            <v>0</v>
          </cell>
          <cell r="GN204">
            <v>0</v>
          </cell>
          <cell r="GO204">
            <v>0</v>
          </cell>
          <cell r="GP204">
            <v>0</v>
          </cell>
          <cell r="GQ204">
            <v>0</v>
          </cell>
          <cell r="GR204">
            <v>0</v>
          </cell>
          <cell r="GS204">
            <v>0</v>
          </cell>
          <cell r="GT204">
            <v>0</v>
          </cell>
          <cell r="GZ204">
            <v>3452610.150000006</v>
          </cell>
        </row>
        <row r="205">
          <cell r="A205" t="str">
            <v>I_BVP_NRF_EPA_EUR_INTR_I25</v>
          </cell>
          <cell r="B205">
            <v>256539587.37</v>
          </cell>
          <cell r="C205">
            <v>0</v>
          </cell>
          <cell r="D205">
            <v>273817853.7099998</v>
          </cell>
          <cell r="E205">
            <v>262234097.60794169</v>
          </cell>
          <cell r="F205">
            <v>273817853.7099998</v>
          </cell>
          <cell r="G205">
            <v>273817853.7099998</v>
          </cell>
          <cell r="H205">
            <v>0</v>
          </cell>
          <cell r="I205">
            <v>0</v>
          </cell>
          <cell r="J205">
            <v>0</v>
          </cell>
          <cell r="K205">
            <v>0</v>
          </cell>
          <cell r="L205">
            <v>0</v>
          </cell>
          <cell r="M205">
            <v>0</v>
          </cell>
          <cell r="N205">
            <v>0</v>
          </cell>
          <cell r="O205">
            <v>0</v>
          </cell>
          <cell r="P205">
            <v>0</v>
          </cell>
          <cell r="Q205">
            <v>0</v>
          </cell>
          <cell r="R205">
            <v>0</v>
          </cell>
          <cell r="S205">
            <v>273817853.7099998</v>
          </cell>
          <cell r="T205">
            <v>0</v>
          </cell>
          <cell r="U205">
            <v>0</v>
          </cell>
          <cell r="V205">
            <v>0</v>
          </cell>
          <cell r="W205">
            <v>0</v>
          </cell>
          <cell r="X205">
            <v>0</v>
          </cell>
          <cell r="Y205">
            <v>0</v>
          </cell>
          <cell r="Z205">
            <v>0</v>
          </cell>
          <cell r="AA205">
            <v>273817853.7099998</v>
          </cell>
          <cell r="AB205">
            <v>283248092.96491373</v>
          </cell>
          <cell r="AC205">
            <v>263767305.61112127</v>
          </cell>
          <cell r="AD205">
            <v>0</v>
          </cell>
          <cell r="AE205">
            <v>0</v>
          </cell>
          <cell r="AF205">
            <v>0</v>
          </cell>
          <cell r="AG205">
            <v>0</v>
          </cell>
          <cell r="AH205">
            <v>0</v>
          </cell>
          <cell r="AI205">
            <v>0</v>
          </cell>
          <cell r="AJ205">
            <v>0</v>
          </cell>
          <cell r="AK205">
            <v>0</v>
          </cell>
          <cell r="AL205">
            <v>0</v>
          </cell>
          <cell r="AM205">
            <v>0</v>
          </cell>
          <cell r="AN205">
            <v>0</v>
          </cell>
          <cell r="AO205">
            <v>257968367.08924988</v>
          </cell>
          <cell r="AP205">
            <v>0</v>
          </cell>
          <cell r="AQ205">
            <v>0</v>
          </cell>
          <cell r="AR205">
            <v>0</v>
          </cell>
          <cell r="AS205">
            <v>0</v>
          </cell>
          <cell r="AT205">
            <v>0</v>
          </cell>
          <cell r="AU205">
            <v>0</v>
          </cell>
          <cell r="AV205">
            <v>0</v>
          </cell>
          <cell r="AW205">
            <v>273817853.7099998</v>
          </cell>
          <cell r="AX205">
            <v>262234097.60794169</v>
          </cell>
          <cell r="AY205">
            <v>262234097.60794169</v>
          </cell>
          <cell r="AZ205">
            <v>0</v>
          </cell>
          <cell r="BA205">
            <v>0</v>
          </cell>
          <cell r="BB205">
            <v>0</v>
          </cell>
          <cell r="BC205">
            <v>0</v>
          </cell>
          <cell r="BD205">
            <v>0</v>
          </cell>
          <cell r="BE205">
            <v>0</v>
          </cell>
          <cell r="BF205">
            <v>0</v>
          </cell>
          <cell r="BG205">
            <v>0</v>
          </cell>
          <cell r="BH205">
            <v>0</v>
          </cell>
          <cell r="BI205">
            <v>0</v>
          </cell>
          <cell r="BJ205">
            <v>0</v>
          </cell>
          <cell r="BK205">
            <v>262234097.60794169</v>
          </cell>
          <cell r="BL205">
            <v>0</v>
          </cell>
          <cell r="BM205">
            <v>0</v>
          </cell>
          <cell r="BN205">
            <v>0</v>
          </cell>
          <cell r="BO205">
            <v>0</v>
          </cell>
          <cell r="BP205">
            <v>0</v>
          </cell>
          <cell r="BQ205">
            <v>0</v>
          </cell>
          <cell r="BR205">
            <v>0</v>
          </cell>
          <cell r="BS205">
            <v>262234097.60794169</v>
          </cell>
          <cell r="BT205">
            <v>271244720.06753612</v>
          </cell>
          <cell r="BU205">
            <v>253237607.76074323</v>
          </cell>
          <cell r="BV205">
            <v>0</v>
          </cell>
          <cell r="BW205">
            <v>0</v>
          </cell>
          <cell r="BX205">
            <v>0</v>
          </cell>
          <cell r="BY205">
            <v>0</v>
          </cell>
          <cell r="BZ205">
            <v>0</v>
          </cell>
          <cell r="CA205">
            <v>0</v>
          </cell>
          <cell r="CB205">
            <v>0</v>
          </cell>
          <cell r="CC205">
            <v>0</v>
          </cell>
          <cell r="CD205">
            <v>0</v>
          </cell>
          <cell r="CE205">
            <v>0</v>
          </cell>
          <cell r="CF205">
            <v>0</v>
          </cell>
          <cell r="CG205">
            <v>262234097.60794169</v>
          </cell>
          <cell r="CH205">
            <v>0</v>
          </cell>
          <cell r="CI205">
            <v>0</v>
          </cell>
          <cell r="CJ205">
            <v>0</v>
          </cell>
          <cell r="CK205">
            <v>0</v>
          </cell>
          <cell r="CL205">
            <v>0</v>
          </cell>
          <cell r="CM205">
            <v>0</v>
          </cell>
          <cell r="CN205">
            <v>0</v>
          </cell>
          <cell r="CO205">
            <v>264284275.22671282</v>
          </cell>
          <cell r="CP205">
            <v>262234097.60794169</v>
          </cell>
          <cell r="CQ205">
            <v>262234097.60794169</v>
          </cell>
          <cell r="CR205">
            <v>262234097.60794169</v>
          </cell>
          <cell r="CS205">
            <v>262234097.60794169</v>
          </cell>
          <cell r="CT205">
            <v>262234097.60794169</v>
          </cell>
          <cell r="CU205">
            <v>0</v>
          </cell>
          <cell r="CV205">
            <v>262234097.60794169</v>
          </cell>
          <cell r="CW205">
            <v>262234097.60794169</v>
          </cell>
          <cell r="CX205">
            <v>0</v>
          </cell>
          <cell r="CY205">
            <v>262234097.60794169</v>
          </cell>
          <cell r="CZ205">
            <v>262855763.05427629</v>
          </cell>
          <cell r="DA205">
            <v>262234097.60794169</v>
          </cell>
          <cell r="DB205">
            <v>262234097.60794169</v>
          </cell>
          <cell r="DC205">
            <v>272738989.67563009</v>
          </cell>
          <cell r="DD205">
            <v>238206373.58463663</v>
          </cell>
          <cell r="DE205">
            <v>0</v>
          </cell>
          <cell r="DF205">
            <v>268444436.40434456</v>
          </cell>
          <cell r="DG205">
            <v>262782829.82843769</v>
          </cell>
          <cell r="DH205">
            <v>0</v>
          </cell>
          <cell r="DI205">
            <v>262271401.26501656</v>
          </cell>
          <cell r="DJ205">
            <v>0</v>
          </cell>
          <cell r="DK205">
            <v>0</v>
          </cell>
          <cell r="DL205">
            <v>0</v>
          </cell>
          <cell r="DM205">
            <v>0</v>
          </cell>
          <cell r="DN205">
            <v>0</v>
          </cell>
          <cell r="DO205">
            <v>0</v>
          </cell>
          <cell r="DP205">
            <v>0</v>
          </cell>
          <cell r="DQ205">
            <v>0</v>
          </cell>
          <cell r="DR205">
            <v>0</v>
          </cell>
          <cell r="DS205">
            <v>0</v>
          </cell>
          <cell r="DT205">
            <v>0</v>
          </cell>
          <cell r="DU205">
            <v>0</v>
          </cell>
          <cell r="DV205">
            <v>0</v>
          </cell>
          <cell r="DW205">
            <v>0</v>
          </cell>
          <cell r="EA205">
            <v>0</v>
          </cell>
          <cell r="EB205">
            <v>0</v>
          </cell>
          <cell r="EC205">
            <v>0</v>
          </cell>
          <cell r="ED205">
            <v>0</v>
          </cell>
          <cell r="EE205">
            <v>0</v>
          </cell>
          <cell r="EF205">
            <v>0</v>
          </cell>
          <cell r="EG205">
            <v>0</v>
          </cell>
          <cell r="EH205">
            <v>0</v>
          </cell>
          <cell r="EI205">
            <v>0</v>
          </cell>
          <cell r="EJ205">
            <v>0</v>
          </cell>
          <cell r="EK205">
            <v>0</v>
          </cell>
          <cell r="EL205">
            <v>0</v>
          </cell>
          <cell r="EM205">
            <v>0</v>
          </cell>
          <cell r="EN205">
            <v>0</v>
          </cell>
          <cell r="EO205">
            <v>0</v>
          </cell>
          <cell r="EP205">
            <v>0</v>
          </cell>
          <cell r="EQ205">
            <v>0</v>
          </cell>
          <cell r="ER205">
            <v>0</v>
          </cell>
          <cell r="ES205">
            <v>0</v>
          </cell>
          <cell r="ET205">
            <v>0</v>
          </cell>
          <cell r="EU205">
            <v>0</v>
          </cell>
          <cell r="EV205">
            <v>0</v>
          </cell>
          <cell r="EW205">
            <v>0</v>
          </cell>
          <cell r="EX205">
            <v>0</v>
          </cell>
          <cell r="EY205">
            <v>0</v>
          </cell>
          <cell r="EZ205">
            <v>0</v>
          </cell>
          <cell r="FA205">
            <v>0</v>
          </cell>
          <cell r="FB205">
            <v>0</v>
          </cell>
          <cell r="FC205">
            <v>0</v>
          </cell>
          <cell r="FD205">
            <v>0</v>
          </cell>
          <cell r="FE205">
            <v>239610602.68077895</v>
          </cell>
          <cell r="FF205">
            <v>271244720.06753612</v>
          </cell>
          <cell r="FG205">
            <v>253237607.76074323</v>
          </cell>
          <cell r="FH205">
            <v>0</v>
          </cell>
          <cell r="FI205">
            <v>0</v>
          </cell>
          <cell r="FJ205">
            <v>0</v>
          </cell>
          <cell r="FK205">
            <v>0</v>
          </cell>
          <cell r="FL205">
            <v>0</v>
          </cell>
          <cell r="FM205">
            <v>0</v>
          </cell>
          <cell r="FN205">
            <v>0</v>
          </cell>
          <cell r="FO205">
            <v>0</v>
          </cell>
          <cell r="FP205">
            <v>0</v>
          </cell>
          <cell r="FQ205">
            <v>0</v>
          </cell>
          <cell r="FR205">
            <v>0</v>
          </cell>
          <cell r="FS205">
            <v>262234097.60794169</v>
          </cell>
          <cell r="FT205">
            <v>0</v>
          </cell>
          <cell r="FU205">
            <v>0</v>
          </cell>
          <cell r="FV205">
            <v>0</v>
          </cell>
          <cell r="FW205">
            <v>0</v>
          </cell>
          <cell r="FX205">
            <v>0</v>
          </cell>
          <cell r="FY205">
            <v>0</v>
          </cell>
          <cell r="FZ205">
            <v>0</v>
          </cell>
          <cell r="GA205">
            <v>264284275.22671282</v>
          </cell>
          <cell r="GB205">
            <v>262412324.67734441</v>
          </cell>
          <cell r="GC205">
            <v>262234097.60794169</v>
          </cell>
          <cell r="GD205">
            <v>262234097.60794169</v>
          </cell>
          <cell r="GE205">
            <v>264234082.08991215</v>
          </cell>
          <cell r="GF205">
            <v>259093154.02226639</v>
          </cell>
          <cell r="GG205">
            <v>0</v>
          </cell>
          <cell r="GH205">
            <v>263425910.68971008</v>
          </cell>
          <cell r="GI205">
            <v>262818199.68771064</v>
          </cell>
          <cell r="GJ205">
            <v>0</v>
          </cell>
          <cell r="GK205">
            <v>262239619.94886804</v>
          </cell>
          <cell r="GL205">
            <v>0</v>
          </cell>
          <cell r="GM205">
            <v>0</v>
          </cell>
          <cell r="GN205">
            <v>0</v>
          </cell>
          <cell r="GO205">
            <v>0</v>
          </cell>
          <cell r="GP205">
            <v>0</v>
          </cell>
          <cell r="GQ205">
            <v>0</v>
          </cell>
          <cell r="GR205">
            <v>0</v>
          </cell>
          <cell r="GS205">
            <v>0</v>
          </cell>
          <cell r="GT205">
            <v>0</v>
          </cell>
          <cell r="GZ205">
            <v>0</v>
          </cell>
        </row>
        <row r="206">
          <cell r="A206" t="str">
            <v>I_VID_NRF_CPT_PRP_INTR_S01</v>
          </cell>
          <cell r="B206">
            <v>0</v>
          </cell>
          <cell r="C206">
            <v>0</v>
          </cell>
          <cell r="D206">
            <v>233058058.58000004</v>
          </cell>
          <cell r="E206">
            <v>0</v>
          </cell>
          <cell r="F206">
            <v>233058058.58000004</v>
          </cell>
          <cell r="G206">
            <v>233058058.58000004</v>
          </cell>
          <cell r="H206">
            <v>0</v>
          </cell>
          <cell r="I206">
            <v>0</v>
          </cell>
          <cell r="J206">
            <v>8562558.4600000009</v>
          </cell>
          <cell r="K206">
            <v>0</v>
          </cell>
          <cell r="L206">
            <v>0</v>
          </cell>
          <cell r="M206">
            <v>0</v>
          </cell>
          <cell r="N206">
            <v>0</v>
          </cell>
          <cell r="O206">
            <v>0</v>
          </cell>
          <cell r="P206">
            <v>0</v>
          </cell>
          <cell r="Q206">
            <v>0</v>
          </cell>
          <cell r="R206">
            <v>0</v>
          </cell>
          <cell r="S206">
            <v>233058058.58000004</v>
          </cell>
          <cell r="T206">
            <v>0</v>
          </cell>
          <cell r="U206">
            <v>0</v>
          </cell>
          <cell r="V206">
            <v>0</v>
          </cell>
          <cell r="W206">
            <v>0</v>
          </cell>
          <cell r="X206">
            <v>0</v>
          </cell>
          <cell r="Y206">
            <v>0</v>
          </cell>
          <cell r="Z206">
            <v>0</v>
          </cell>
          <cell r="AA206">
            <v>233058058.58000004</v>
          </cell>
          <cell r="AB206">
            <v>237886568.78698266</v>
          </cell>
          <cell r="AC206">
            <v>228030979.57002723</v>
          </cell>
          <cell r="AD206">
            <v>0</v>
          </cell>
          <cell r="AE206">
            <v>0</v>
          </cell>
          <cell r="AF206">
            <v>6678795.5988000007</v>
          </cell>
          <cell r="AG206">
            <v>0</v>
          </cell>
          <cell r="AH206">
            <v>0</v>
          </cell>
          <cell r="AI206">
            <v>0</v>
          </cell>
          <cell r="AJ206">
            <v>0</v>
          </cell>
          <cell r="AK206">
            <v>0</v>
          </cell>
          <cell r="AL206">
            <v>0</v>
          </cell>
          <cell r="AM206">
            <v>0</v>
          </cell>
          <cell r="AN206">
            <v>0</v>
          </cell>
          <cell r="AO206">
            <v>225214564.89296678</v>
          </cell>
          <cell r="AP206">
            <v>0</v>
          </cell>
          <cell r="AQ206">
            <v>0</v>
          </cell>
          <cell r="AR206">
            <v>0</v>
          </cell>
          <cell r="AS206">
            <v>0</v>
          </cell>
          <cell r="AT206">
            <v>0</v>
          </cell>
          <cell r="AU206">
            <v>0</v>
          </cell>
          <cell r="AV206">
            <v>0</v>
          </cell>
          <cell r="AW206">
            <v>233058058.58000004</v>
          </cell>
          <cell r="AX206">
            <v>0</v>
          </cell>
          <cell r="AY206">
            <v>0</v>
          </cell>
          <cell r="AZ206">
            <v>0</v>
          </cell>
          <cell r="BA206">
            <v>0</v>
          </cell>
          <cell r="BB206">
            <v>0</v>
          </cell>
          <cell r="BC206">
            <v>0</v>
          </cell>
          <cell r="BD206">
            <v>0</v>
          </cell>
          <cell r="BE206">
            <v>0</v>
          </cell>
          <cell r="BF206">
            <v>0</v>
          </cell>
          <cell r="BG206">
            <v>0</v>
          </cell>
          <cell r="BH206">
            <v>0</v>
          </cell>
          <cell r="BI206">
            <v>0</v>
          </cell>
          <cell r="BJ206">
            <v>0</v>
          </cell>
          <cell r="BK206">
            <v>0</v>
          </cell>
          <cell r="BL206">
            <v>0</v>
          </cell>
          <cell r="BM206">
            <v>0</v>
          </cell>
          <cell r="BN206">
            <v>0</v>
          </cell>
          <cell r="BO206">
            <v>0</v>
          </cell>
          <cell r="BP206">
            <v>0</v>
          </cell>
          <cell r="BQ206">
            <v>0</v>
          </cell>
          <cell r="BR206">
            <v>0</v>
          </cell>
          <cell r="BS206">
            <v>0</v>
          </cell>
          <cell r="BT206">
            <v>0</v>
          </cell>
          <cell r="BU206">
            <v>0</v>
          </cell>
          <cell r="BV206">
            <v>0</v>
          </cell>
          <cell r="BW206">
            <v>0</v>
          </cell>
          <cell r="BX206">
            <v>0</v>
          </cell>
          <cell r="BY206">
            <v>0</v>
          </cell>
          <cell r="BZ206">
            <v>0</v>
          </cell>
          <cell r="CA206">
            <v>0</v>
          </cell>
          <cell r="CB206">
            <v>0</v>
          </cell>
          <cell r="CC206">
            <v>0</v>
          </cell>
          <cell r="CD206">
            <v>0</v>
          </cell>
          <cell r="CE206">
            <v>0</v>
          </cell>
          <cell r="CF206">
            <v>0</v>
          </cell>
          <cell r="CG206">
            <v>0</v>
          </cell>
          <cell r="CH206">
            <v>0</v>
          </cell>
          <cell r="CI206">
            <v>0</v>
          </cell>
          <cell r="CJ206">
            <v>0</v>
          </cell>
          <cell r="CK206">
            <v>0</v>
          </cell>
          <cell r="CL206">
            <v>0</v>
          </cell>
          <cell r="CM206">
            <v>0</v>
          </cell>
          <cell r="CN206">
            <v>0</v>
          </cell>
          <cell r="CO206">
            <v>0</v>
          </cell>
          <cell r="CP206">
            <v>0</v>
          </cell>
          <cell r="CQ206">
            <v>0</v>
          </cell>
          <cell r="CR206">
            <v>0</v>
          </cell>
          <cell r="CS206">
            <v>0</v>
          </cell>
          <cell r="CT206">
            <v>0</v>
          </cell>
          <cell r="CU206">
            <v>0</v>
          </cell>
          <cell r="CV206">
            <v>0</v>
          </cell>
          <cell r="CW206">
            <v>0</v>
          </cell>
          <cell r="CX206">
            <v>0</v>
          </cell>
          <cell r="CY206">
            <v>0</v>
          </cell>
          <cell r="CZ206">
            <v>0</v>
          </cell>
          <cell r="DA206">
            <v>0</v>
          </cell>
          <cell r="DB206">
            <v>0</v>
          </cell>
          <cell r="DC206">
            <v>0</v>
          </cell>
          <cell r="DD206">
            <v>0</v>
          </cell>
          <cell r="DE206">
            <v>0</v>
          </cell>
          <cell r="DF206">
            <v>0</v>
          </cell>
          <cell r="DG206">
            <v>0</v>
          </cell>
          <cell r="DH206">
            <v>0</v>
          </cell>
          <cell r="DI206">
            <v>0</v>
          </cell>
          <cell r="DJ206">
            <v>0</v>
          </cell>
          <cell r="DK206">
            <v>0</v>
          </cell>
          <cell r="DL206">
            <v>0</v>
          </cell>
          <cell r="DM206">
            <v>0</v>
          </cell>
          <cell r="DN206">
            <v>0</v>
          </cell>
          <cell r="DO206">
            <v>0</v>
          </cell>
          <cell r="DP206">
            <v>0</v>
          </cell>
          <cell r="DQ206">
            <v>0</v>
          </cell>
          <cell r="DR206">
            <v>0</v>
          </cell>
          <cell r="DS206">
            <v>0</v>
          </cell>
          <cell r="DT206">
            <v>0</v>
          </cell>
          <cell r="DU206">
            <v>0</v>
          </cell>
          <cell r="DV206">
            <v>0</v>
          </cell>
          <cell r="DW206">
            <v>0</v>
          </cell>
          <cell r="EA206">
            <v>0</v>
          </cell>
          <cell r="EB206">
            <v>0</v>
          </cell>
          <cell r="EC206">
            <v>0</v>
          </cell>
          <cell r="ED206">
            <v>0</v>
          </cell>
          <cell r="EE206">
            <v>0</v>
          </cell>
          <cell r="EF206">
            <v>0</v>
          </cell>
          <cell r="EG206">
            <v>0</v>
          </cell>
          <cell r="EH206">
            <v>0</v>
          </cell>
          <cell r="EI206">
            <v>0</v>
          </cell>
          <cell r="EJ206">
            <v>0</v>
          </cell>
          <cell r="EK206">
            <v>0</v>
          </cell>
          <cell r="EL206">
            <v>0</v>
          </cell>
          <cell r="EM206">
            <v>0</v>
          </cell>
          <cell r="EN206">
            <v>0</v>
          </cell>
          <cell r="EO206">
            <v>0</v>
          </cell>
          <cell r="EP206">
            <v>0</v>
          </cell>
          <cell r="EQ206">
            <v>0</v>
          </cell>
          <cell r="ER206">
            <v>0</v>
          </cell>
          <cell r="ES206">
            <v>0</v>
          </cell>
          <cell r="ET206">
            <v>0</v>
          </cell>
          <cell r="EU206">
            <v>0</v>
          </cell>
          <cell r="EV206">
            <v>0</v>
          </cell>
          <cell r="EW206">
            <v>0</v>
          </cell>
          <cell r="EX206">
            <v>0</v>
          </cell>
          <cell r="EY206">
            <v>0</v>
          </cell>
          <cell r="EZ206">
            <v>0</v>
          </cell>
          <cell r="FA206">
            <v>0</v>
          </cell>
          <cell r="FB206">
            <v>0</v>
          </cell>
          <cell r="FC206">
            <v>0</v>
          </cell>
          <cell r="FD206">
            <v>0</v>
          </cell>
          <cell r="FE206">
            <v>0</v>
          </cell>
          <cell r="FF206">
            <v>0</v>
          </cell>
          <cell r="FG206">
            <v>0</v>
          </cell>
          <cell r="FH206">
            <v>0</v>
          </cell>
          <cell r="FI206">
            <v>0</v>
          </cell>
          <cell r="FJ206">
            <v>0</v>
          </cell>
          <cell r="FK206">
            <v>0</v>
          </cell>
          <cell r="FL206">
            <v>0</v>
          </cell>
          <cell r="FM206">
            <v>0</v>
          </cell>
          <cell r="FN206">
            <v>0</v>
          </cell>
          <cell r="FO206">
            <v>0</v>
          </cell>
          <cell r="FP206">
            <v>0</v>
          </cell>
          <cell r="FQ206">
            <v>0</v>
          </cell>
          <cell r="FR206">
            <v>0</v>
          </cell>
          <cell r="FS206">
            <v>0</v>
          </cell>
          <cell r="FT206">
            <v>0</v>
          </cell>
          <cell r="FU206">
            <v>0</v>
          </cell>
          <cell r="FV206">
            <v>0</v>
          </cell>
          <cell r="FW206">
            <v>0</v>
          </cell>
          <cell r="FX206">
            <v>0</v>
          </cell>
          <cell r="FY206">
            <v>0</v>
          </cell>
          <cell r="FZ206">
            <v>0</v>
          </cell>
          <cell r="GA206">
            <v>0</v>
          </cell>
          <cell r="GB206">
            <v>0</v>
          </cell>
          <cell r="GC206">
            <v>0</v>
          </cell>
          <cell r="GD206">
            <v>0</v>
          </cell>
          <cell r="GE206">
            <v>0</v>
          </cell>
          <cell r="GF206">
            <v>0</v>
          </cell>
          <cell r="GG206">
            <v>0</v>
          </cell>
          <cell r="GH206">
            <v>0</v>
          </cell>
          <cell r="GI206">
            <v>0</v>
          </cell>
          <cell r="GJ206">
            <v>0</v>
          </cell>
          <cell r="GK206">
            <v>0</v>
          </cell>
          <cell r="GL206">
            <v>0</v>
          </cell>
          <cell r="GM206">
            <v>0</v>
          </cell>
          <cell r="GN206">
            <v>0</v>
          </cell>
          <cell r="GO206">
            <v>0</v>
          </cell>
          <cell r="GP206">
            <v>0</v>
          </cell>
          <cell r="GQ206">
            <v>0</v>
          </cell>
          <cell r="GR206">
            <v>0</v>
          </cell>
          <cell r="GS206">
            <v>0</v>
          </cell>
          <cell r="GT206">
            <v>0</v>
          </cell>
          <cell r="GZ206">
            <v>0</v>
          </cell>
        </row>
        <row r="207">
          <cell r="A207" t="str">
            <v>I_VID_NRF_IRD_IRD_INTR_S02</v>
          </cell>
          <cell r="B207">
            <v>74301154.529999986</v>
          </cell>
          <cell r="C207">
            <v>0</v>
          </cell>
          <cell r="D207">
            <v>62297003.839999989</v>
          </cell>
          <cell r="E207">
            <v>27973538.090325005</v>
          </cell>
          <cell r="F207">
            <v>62297003.839999989</v>
          </cell>
          <cell r="G207">
            <v>62297003.839999989</v>
          </cell>
          <cell r="H207">
            <v>0</v>
          </cell>
          <cell r="I207">
            <v>0</v>
          </cell>
          <cell r="J207">
            <v>0</v>
          </cell>
          <cell r="K207">
            <v>0</v>
          </cell>
          <cell r="L207">
            <v>0</v>
          </cell>
          <cell r="M207">
            <v>0</v>
          </cell>
          <cell r="N207">
            <v>0</v>
          </cell>
          <cell r="O207">
            <v>0</v>
          </cell>
          <cell r="P207">
            <v>0</v>
          </cell>
          <cell r="Q207">
            <v>0</v>
          </cell>
          <cell r="R207">
            <v>0</v>
          </cell>
          <cell r="S207">
            <v>62297003.839999989</v>
          </cell>
          <cell r="T207">
            <v>0</v>
          </cell>
          <cell r="U207">
            <v>0</v>
          </cell>
          <cell r="V207">
            <v>0</v>
          </cell>
          <cell r="W207">
            <v>0</v>
          </cell>
          <cell r="X207">
            <v>0</v>
          </cell>
          <cell r="Y207">
            <v>0</v>
          </cell>
          <cell r="Z207">
            <v>0</v>
          </cell>
          <cell r="AA207">
            <v>62297003.839999989</v>
          </cell>
          <cell r="AB207">
            <v>62297003.839999989</v>
          </cell>
          <cell r="AC207">
            <v>62297003.839999989</v>
          </cell>
          <cell r="AD207">
            <v>0</v>
          </cell>
          <cell r="AE207">
            <v>0</v>
          </cell>
          <cell r="AF207">
            <v>0</v>
          </cell>
          <cell r="AG207">
            <v>0</v>
          </cell>
          <cell r="AH207">
            <v>0</v>
          </cell>
          <cell r="AI207">
            <v>0</v>
          </cell>
          <cell r="AJ207">
            <v>0</v>
          </cell>
          <cell r="AK207">
            <v>0</v>
          </cell>
          <cell r="AL207">
            <v>0</v>
          </cell>
          <cell r="AM207">
            <v>0</v>
          </cell>
          <cell r="AN207">
            <v>0</v>
          </cell>
          <cell r="AO207">
            <v>62297003.839999989</v>
          </cell>
          <cell r="AP207">
            <v>0</v>
          </cell>
          <cell r="AQ207">
            <v>0</v>
          </cell>
          <cell r="AR207">
            <v>0</v>
          </cell>
          <cell r="AS207">
            <v>0</v>
          </cell>
          <cell r="AT207">
            <v>0</v>
          </cell>
          <cell r="AU207">
            <v>0</v>
          </cell>
          <cell r="AV207">
            <v>0</v>
          </cell>
          <cell r="AW207">
            <v>62297003.839999989</v>
          </cell>
          <cell r="AX207">
            <v>27973538.090325005</v>
          </cell>
          <cell r="AY207">
            <v>27973538.090325005</v>
          </cell>
          <cell r="AZ207">
            <v>0</v>
          </cell>
          <cell r="BA207">
            <v>0</v>
          </cell>
          <cell r="BB207">
            <v>0</v>
          </cell>
          <cell r="BC207">
            <v>0</v>
          </cell>
          <cell r="BD207">
            <v>0</v>
          </cell>
          <cell r="BE207">
            <v>0</v>
          </cell>
          <cell r="BF207">
            <v>0</v>
          </cell>
          <cell r="BG207">
            <v>0</v>
          </cell>
          <cell r="BH207">
            <v>0</v>
          </cell>
          <cell r="BI207">
            <v>0</v>
          </cell>
          <cell r="BJ207">
            <v>0</v>
          </cell>
          <cell r="BK207">
            <v>27973538.090325005</v>
          </cell>
          <cell r="BL207">
            <v>0</v>
          </cell>
          <cell r="BM207">
            <v>0</v>
          </cell>
          <cell r="BN207">
            <v>0</v>
          </cell>
          <cell r="BO207">
            <v>0</v>
          </cell>
          <cell r="BP207">
            <v>0</v>
          </cell>
          <cell r="BQ207">
            <v>0</v>
          </cell>
          <cell r="BR207">
            <v>0</v>
          </cell>
          <cell r="BS207">
            <v>27973538.090325005</v>
          </cell>
          <cell r="BT207">
            <v>27973538.090325005</v>
          </cell>
          <cell r="BU207">
            <v>27973538.090325005</v>
          </cell>
          <cell r="BV207">
            <v>0</v>
          </cell>
          <cell r="BW207">
            <v>0</v>
          </cell>
          <cell r="BX207">
            <v>0</v>
          </cell>
          <cell r="BY207">
            <v>0</v>
          </cell>
          <cell r="BZ207">
            <v>0</v>
          </cell>
          <cell r="CA207">
            <v>0</v>
          </cell>
          <cell r="CB207">
            <v>0</v>
          </cell>
          <cell r="CC207">
            <v>0</v>
          </cell>
          <cell r="CD207">
            <v>0</v>
          </cell>
          <cell r="CE207">
            <v>0</v>
          </cell>
          <cell r="CF207">
            <v>0</v>
          </cell>
          <cell r="CG207">
            <v>27973538.090325005</v>
          </cell>
          <cell r="CH207">
            <v>0</v>
          </cell>
          <cell r="CI207">
            <v>0</v>
          </cell>
          <cell r="CJ207">
            <v>0</v>
          </cell>
          <cell r="CK207">
            <v>0</v>
          </cell>
          <cell r="CL207">
            <v>0</v>
          </cell>
          <cell r="CM207">
            <v>0</v>
          </cell>
          <cell r="CN207">
            <v>0</v>
          </cell>
          <cell r="CO207">
            <v>27973538.090325005</v>
          </cell>
          <cell r="CP207">
            <v>27973538.090325005</v>
          </cell>
          <cell r="CQ207">
            <v>27973538.090325005</v>
          </cell>
          <cell r="CR207">
            <v>27973538.090325005</v>
          </cell>
          <cell r="CS207">
            <v>27973538.090325005</v>
          </cell>
          <cell r="CT207">
            <v>27973538.090325005</v>
          </cell>
          <cell r="CU207">
            <v>0</v>
          </cell>
          <cell r="CV207">
            <v>27973538.090325005</v>
          </cell>
          <cell r="CW207">
            <v>27973538.090325005</v>
          </cell>
          <cell r="CX207">
            <v>0</v>
          </cell>
          <cell r="CY207">
            <v>27973538.090325005</v>
          </cell>
          <cell r="CZ207">
            <v>0</v>
          </cell>
          <cell r="DA207">
            <v>0</v>
          </cell>
          <cell r="DB207">
            <v>0</v>
          </cell>
          <cell r="DC207">
            <v>28262736.490492489</v>
          </cell>
          <cell r="DD207">
            <v>27664673.018734261</v>
          </cell>
          <cell r="DE207">
            <v>0</v>
          </cell>
          <cell r="DF207">
            <v>29644626.21127459</v>
          </cell>
          <cell r="DG207">
            <v>0</v>
          </cell>
          <cell r="DH207">
            <v>0</v>
          </cell>
          <cell r="DI207">
            <v>0</v>
          </cell>
          <cell r="DJ207">
            <v>0</v>
          </cell>
          <cell r="DK207">
            <v>0</v>
          </cell>
          <cell r="DL207">
            <v>0</v>
          </cell>
          <cell r="DM207">
            <v>0</v>
          </cell>
          <cell r="DN207">
            <v>0</v>
          </cell>
          <cell r="DO207">
            <v>0</v>
          </cell>
          <cell r="DP207">
            <v>0</v>
          </cell>
          <cell r="DQ207">
            <v>0</v>
          </cell>
          <cell r="DR207">
            <v>0</v>
          </cell>
          <cell r="DS207">
            <v>0</v>
          </cell>
          <cell r="DT207">
            <v>0</v>
          </cell>
          <cell r="DU207">
            <v>0</v>
          </cell>
          <cell r="DV207">
            <v>0</v>
          </cell>
          <cell r="DW207">
            <v>0</v>
          </cell>
          <cell r="EA207">
            <v>0</v>
          </cell>
          <cell r="EB207">
            <v>0</v>
          </cell>
          <cell r="EC207">
            <v>0</v>
          </cell>
          <cell r="ED207">
            <v>0</v>
          </cell>
          <cell r="EE207">
            <v>0</v>
          </cell>
          <cell r="EF207">
            <v>0</v>
          </cell>
          <cell r="EG207">
            <v>0</v>
          </cell>
          <cell r="EH207">
            <v>0</v>
          </cell>
          <cell r="EI207">
            <v>0</v>
          </cell>
          <cell r="EJ207">
            <v>0</v>
          </cell>
          <cell r="EK207">
            <v>0</v>
          </cell>
          <cell r="EL207">
            <v>0</v>
          </cell>
          <cell r="EM207">
            <v>0</v>
          </cell>
          <cell r="EN207">
            <v>0</v>
          </cell>
          <cell r="EO207">
            <v>0</v>
          </cell>
          <cell r="EP207">
            <v>0</v>
          </cell>
          <cell r="EQ207">
            <v>0</v>
          </cell>
          <cell r="ER207">
            <v>0</v>
          </cell>
          <cell r="ES207">
            <v>0</v>
          </cell>
          <cell r="ET207">
            <v>0</v>
          </cell>
          <cell r="EU207">
            <v>0</v>
          </cell>
          <cell r="EV207">
            <v>0</v>
          </cell>
          <cell r="EW207">
            <v>0</v>
          </cell>
          <cell r="EX207">
            <v>0</v>
          </cell>
          <cell r="EY207">
            <v>0</v>
          </cell>
          <cell r="EZ207">
            <v>0</v>
          </cell>
          <cell r="FA207">
            <v>0</v>
          </cell>
          <cell r="FB207">
            <v>0</v>
          </cell>
          <cell r="FC207">
            <v>0</v>
          </cell>
          <cell r="FD207">
            <v>0</v>
          </cell>
          <cell r="FE207">
            <v>27973538.090325005</v>
          </cell>
          <cell r="FF207">
            <v>27973538.090325005</v>
          </cell>
          <cell r="FG207">
            <v>27973538.090325005</v>
          </cell>
          <cell r="FH207">
            <v>0</v>
          </cell>
          <cell r="FI207">
            <v>0</v>
          </cell>
          <cell r="FJ207">
            <v>0</v>
          </cell>
          <cell r="FK207">
            <v>0</v>
          </cell>
          <cell r="FL207">
            <v>0</v>
          </cell>
          <cell r="FM207">
            <v>0</v>
          </cell>
          <cell r="FN207">
            <v>0</v>
          </cell>
          <cell r="FO207">
            <v>0</v>
          </cell>
          <cell r="FP207">
            <v>0</v>
          </cell>
          <cell r="FQ207">
            <v>0</v>
          </cell>
          <cell r="FR207">
            <v>0</v>
          </cell>
          <cell r="FS207">
            <v>27973538.090325005</v>
          </cell>
          <cell r="FT207">
            <v>0</v>
          </cell>
          <cell r="FU207">
            <v>0</v>
          </cell>
          <cell r="FV207">
            <v>0</v>
          </cell>
          <cell r="FW207">
            <v>0</v>
          </cell>
          <cell r="FX207">
            <v>0</v>
          </cell>
          <cell r="FY207">
            <v>0</v>
          </cell>
          <cell r="FZ207">
            <v>0</v>
          </cell>
          <cell r="GA207">
            <v>27973538.090325005</v>
          </cell>
          <cell r="GB207">
            <v>0</v>
          </cell>
          <cell r="GC207">
            <v>0</v>
          </cell>
          <cell r="GD207">
            <v>0</v>
          </cell>
          <cell r="GE207">
            <v>28262736.490492489</v>
          </cell>
          <cell r="GF207">
            <v>27664673.018734261</v>
          </cell>
          <cell r="GG207">
            <v>0</v>
          </cell>
          <cell r="GH207">
            <v>29644626.21127459</v>
          </cell>
          <cell r="GI207">
            <v>0</v>
          </cell>
          <cell r="GJ207">
            <v>0</v>
          </cell>
          <cell r="GK207">
            <v>0</v>
          </cell>
          <cell r="GL207">
            <v>0</v>
          </cell>
          <cell r="GM207">
            <v>0</v>
          </cell>
          <cell r="GN207">
            <v>0</v>
          </cell>
          <cell r="GO207">
            <v>0</v>
          </cell>
          <cell r="GP207">
            <v>0</v>
          </cell>
          <cell r="GQ207">
            <v>0</v>
          </cell>
          <cell r="GR207">
            <v>0</v>
          </cell>
          <cell r="GS207">
            <v>0</v>
          </cell>
          <cell r="GT207">
            <v>0</v>
          </cell>
          <cell r="GZ207">
            <v>0</v>
          </cell>
        </row>
        <row r="208">
          <cell r="A208" t="str">
            <v>I_VID_NRF_EPA_UCS_INTR_S03</v>
          </cell>
          <cell r="B208">
            <v>308249242.75999993</v>
          </cell>
          <cell r="C208">
            <v>0</v>
          </cell>
          <cell r="D208">
            <v>197158615.33000076</v>
          </cell>
          <cell r="E208">
            <v>197926198.07417783</v>
          </cell>
          <cell r="F208">
            <v>197158615.33000076</v>
          </cell>
          <cell r="G208">
            <v>197158615.33000076</v>
          </cell>
          <cell r="H208">
            <v>0</v>
          </cell>
          <cell r="I208">
            <v>0</v>
          </cell>
          <cell r="J208">
            <v>197158615.33000076</v>
          </cell>
          <cell r="K208">
            <v>0</v>
          </cell>
          <cell r="L208">
            <v>0</v>
          </cell>
          <cell r="M208">
            <v>0</v>
          </cell>
          <cell r="N208">
            <v>0</v>
          </cell>
          <cell r="O208">
            <v>0</v>
          </cell>
          <cell r="P208">
            <v>0</v>
          </cell>
          <cell r="Q208">
            <v>0</v>
          </cell>
          <cell r="R208">
            <v>0</v>
          </cell>
          <cell r="S208">
            <v>197158615.33000076</v>
          </cell>
          <cell r="T208">
            <v>0</v>
          </cell>
          <cell r="U208">
            <v>0</v>
          </cell>
          <cell r="V208">
            <v>0</v>
          </cell>
          <cell r="W208">
            <v>0</v>
          </cell>
          <cell r="X208">
            <v>0</v>
          </cell>
          <cell r="Y208">
            <v>0</v>
          </cell>
          <cell r="Z208">
            <v>0</v>
          </cell>
          <cell r="AA208">
            <v>197158615.33000076</v>
          </cell>
          <cell r="AB208">
            <v>197620752.34690505</v>
          </cell>
          <cell r="AC208">
            <v>196696478.31309646</v>
          </cell>
          <cell r="AD208">
            <v>0</v>
          </cell>
          <cell r="AE208">
            <v>0</v>
          </cell>
          <cell r="AF208">
            <v>195846251.34440881</v>
          </cell>
          <cell r="AG208">
            <v>0</v>
          </cell>
          <cell r="AH208">
            <v>0</v>
          </cell>
          <cell r="AI208">
            <v>0</v>
          </cell>
          <cell r="AJ208">
            <v>0</v>
          </cell>
          <cell r="AK208">
            <v>0</v>
          </cell>
          <cell r="AL208">
            <v>0</v>
          </cell>
          <cell r="AM208">
            <v>0</v>
          </cell>
          <cell r="AN208">
            <v>0</v>
          </cell>
          <cell r="AO208">
            <v>196406075.63450077</v>
          </cell>
          <cell r="AP208">
            <v>0</v>
          </cell>
          <cell r="AQ208">
            <v>0</v>
          </cell>
          <cell r="AR208">
            <v>0</v>
          </cell>
          <cell r="AS208">
            <v>0</v>
          </cell>
          <cell r="AT208">
            <v>0</v>
          </cell>
          <cell r="AU208">
            <v>0</v>
          </cell>
          <cell r="AV208">
            <v>0</v>
          </cell>
          <cell r="AW208">
            <v>197158615.33000076</v>
          </cell>
          <cell r="AX208">
            <v>197926198.07417783</v>
          </cell>
          <cell r="AY208">
            <v>197926198.07417783</v>
          </cell>
          <cell r="AZ208">
            <v>0</v>
          </cell>
          <cell r="BA208">
            <v>0</v>
          </cell>
          <cell r="BB208">
            <v>197926198.07417783</v>
          </cell>
          <cell r="BC208">
            <v>0</v>
          </cell>
          <cell r="BD208">
            <v>0</v>
          </cell>
          <cell r="BE208">
            <v>0</v>
          </cell>
          <cell r="BF208">
            <v>0</v>
          </cell>
          <cell r="BG208">
            <v>0</v>
          </cell>
          <cell r="BH208">
            <v>0</v>
          </cell>
          <cell r="BI208">
            <v>0</v>
          </cell>
          <cell r="BJ208">
            <v>0</v>
          </cell>
          <cell r="BK208">
            <v>197926198.07417783</v>
          </cell>
          <cell r="BL208">
            <v>0</v>
          </cell>
          <cell r="BM208">
            <v>0</v>
          </cell>
          <cell r="BN208">
            <v>0</v>
          </cell>
          <cell r="BO208">
            <v>0</v>
          </cell>
          <cell r="BP208">
            <v>0</v>
          </cell>
          <cell r="BQ208">
            <v>0</v>
          </cell>
          <cell r="BR208">
            <v>0</v>
          </cell>
          <cell r="BS208">
            <v>197926198.07417783</v>
          </cell>
          <cell r="BT208">
            <v>198240209.96683353</v>
          </cell>
          <cell r="BU208">
            <v>197636367.20002988</v>
          </cell>
          <cell r="BV208">
            <v>0</v>
          </cell>
          <cell r="BW208">
            <v>0</v>
          </cell>
          <cell r="BX208">
            <v>196672171.8657532</v>
          </cell>
          <cell r="BY208">
            <v>0</v>
          </cell>
          <cell r="BZ208">
            <v>0</v>
          </cell>
          <cell r="CA208">
            <v>0</v>
          </cell>
          <cell r="CB208">
            <v>0</v>
          </cell>
          <cell r="CC208">
            <v>0</v>
          </cell>
          <cell r="CD208">
            <v>0</v>
          </cell>
          <cell r="CE208">
            <v>0</v>
          </cell>
          <cell r="CF208">
            <v>0</v>
          </cell>
          <cell r="CG208">
            <v>197207117.09512675</v>
          </cell>
          <cell r="CH208">
            <v>0</v>
          </cell>
          <cell r="CI208">
            <v>0</v>
          </cell>
          <cell r="CJ208">
            <v>0</v>
          </cell>
          <cell r="CK208">
            <v>0</v>
          </cell>
          <cell r="CL208">
            <v>0</v>
          </cell>
          <cell r="CM208">
            <v>0</v>
          </cell>
          <cell r="CN208">
            <v>0</v>
          </cell>
          <cell r="CO208">
            <v>197926198.07417783</v>
          </cell>
          <cell r="CP208">
            <v>197926198.07417783</v>
          </cell>
          <cell r="CQ208">
            <v>197926198.07417783</v>
          </cell>
          <cell r="CR208">
            <v>197926198.07417783</v>
          </cell>
          <cell r="CS208">
            <v>197926198.07417783</v>
          </cell>
          <cell r="CT208">
            <v>197926198.07417783</v>
          </cell>
          <cell r="CU208">
            <v>0</v>
          </cell>
          <cell r="CV208">
            <v>197926198.07417783</v>
          </cell>
          <cell r="CW208">
            <v>197926198.07417783</v>
          </cell>
          <cell r="CX208">
            <v>0</v>
          </cell>
          <cell r="CY208">
            <v>197926198.07417783</v>
          </cell>
          <cell r="CZ208">
            <v>197947334.23452845</v>
          </cell>
          <cell r="DA208">
            <v>197926198.07417783</v>
          </cell>
          <cell r="DB208">
            <v>197926198.07417783</v>
          </cell>
          <cell r="DC208">
            <v>197984716.98366135</v>
          </cell>
          <cell r="DD208">
            <v>197784797.46659631</v>
          </cell>
          <cell r="DE208">
            <v>0</v>
          </cell>
          <cell r="DF208">
            <v>197769254.50327662</v>
          </cell>
          <cell r="DG208">
            <v>198093866.3606225</v>
          </cell>
          <cell r="DH208">
            <v>0</v>
          </cell>
          <cell r="DI208">
            <v>197931847.99876902</v>
          </cell>
          <cell r="DJ208">
            <v>0</v>
          </cell>
          <cell r="DK208">
            <v>0</v>
          </cell>
          <cell r="DL208">
            <v>0</v>
          </cell>
          <cell r="DM208">
            <v>0</v>
          </cell>
          <cell r="DN208">
            <v>0</v>
          </cell>
          <cell r="DO208">
            <v>0</v>
          </cell>
          <cell r="DP208">
            <v>0</v>
          </cell>
          <cell r="DQ208">
            <v>0</v>
          </cell>
          <cell r="DR208">
            <v>0</v>
          </cell>
          <cell r="DS208">
            <v>0</v>
          </cell>
          <cell r="DT208">
            <v>0</v>
          </cell>
          <cell r="DU208">
            <v>0</v>
          </cell>
          <cell r="DV208">
            <v>0</v>
          </cell>
          <cell r="DW208">
            <v>0</v>
          </cell>
          <cell r="EA208">
            <v>0</v>
          </cell>
          <cell r="EB208">
            <v>0</v>
          </cell>
          <cell r="EC208">
            <v>0</v>
          </cell>
          <cell r="ED208">
            <v>0</v>
          </cell>
          <cell r="EE208">
            <v>0</v>
          </cell>
          <cell r="EF208">
            <v>0</v>
          </cell>
          <cell r="EG208">
            <v>0</v>
          </cell>
          <cell r="EH208">
            <v>0</v>
          </cell>
          <cell r="EI208">
            <v>0</v>
          </cell>
          <cell r="EJ208">
            <v>0</v>
          </cell>
          <cell r="EK208">
            <v>0</v>
          </cell>
          <cell r="EL208">
            <v>0</v>
          </cell>
          <cell r="EM208">
            <v>0</v>
          </cell>
          <cell r="EN208">
            <v>0</v>
          </cell>
          <cell r="EO208">
            <v>0</v>
          </cell>
          <cell r="EP208">
            <v>0</v>
          </cell>
          <cell r="EQ208">
            <v>0</v>
          </cell>
          <cell r="ER208">
            <v>0</v>
          </cell>
          <cell r="ES208">
            <v>0</v>
          </cell>
          <cell r="ET208">
            <v>0</v>
          </cell>
          <cell r="EU208">
            <v>0</v>
          </cell>
          <cell r="EV208">
            <v>0</v>
          </cell>
          <cell r="EW208">
            <v>0</v>
          </cell>
          <cell r="EX208">
            <v>0</v>
          </cell>
          <cell r="EY208">
            <v>0</v>
          </cell>
          <cell r="EZ208">
            <v>0</v>
          </cell>
          <cell r="FA208">
            <v>0</v>
          </cell>
          <cell r="FB208">
            <v>0</v>
          </cell>
          <cell r="FC208">
            <v>0</v>
          </cell>
          <cell r="FD208">
            <v>0</v>
          </cell>
          <cell r="FE208">
            <v>197926198.07417783</v>
          </cell>
          <cell r="FF208">
            <v>198240209.96683353</v>
          </cell>
          <cell r="FG208">
            <v>197636367.20002988</v>
          </cell>
          <cell r="FH208">
            <v>0</v>
          </cell>
          <cell r="FI208">
            <v>0</v>
          </cell>
          <cell r="FJ208">
            <v>196672171.8657532</v>
          </cell>
          <cell r="FK208">
            <v>0</v>
          </cell>
          <cell r="FL208">
            <v>0</v>
          </cell>
          <cell r="FM208">
            <v>0</v>
          </cell>
          <cell r="FN208">
            <v>0</v>
          </cell>
          <cell r="FO208">
            <v>0</v>
          </cell>
          <cell r="FP208">
            <v>0</v>
          </cell>
          <cell r="FQ208">
            <v>0</v>
          </cell>
          <cell r="FR208">
            <v>0</v>
          </cell>
          <cell r="FS208">
            <v>197207117.09512675</v>
          </cell>
          <cell r="FT208">
            <v>0</v>
          </cell>
          <cell r="FU208">
            <v>0</v>
          </cell>
          <cell r="FV208">
            <v>0</v>
          </cell>
          <cell r="FW208">
            <v>0</v>
          </cell>
          <cell r="FX208">
            <v>0</v>
          </cell>
          <cell r="FY208">
            <v>0</v>
          </cell>
          <cell r="FZ208">
            <v>0</v>
          </cell>
          <cell r="GA208">
            <v>197926198.07417783</v>
          </cell>
          <cell r="GB208">
            <v>197947334.23452845</v>
          </cell>
          <cell r="GC208">
            <v>197926198.07417783</v>
          </cell>
          <cell r="GD208">
            <v>197926198.07417783</v>
          </cell>
          <cell r="GE208">
            <v>197984716.98366135</v>
          </cell>
          <cell r="GF208">
            <v>197784797.46659631</v>
          </cell>
          <cell r="GG208">
            <v>0</v>
          </cell>
          <cell r="GH208">
            <v>197769254.50327662</v>
          </cell>
          <cell r="GI208">
            <v>198093866.3606225</v>
          </cell>
          <cell r="GJ208">
            <v>0</v>
          </cell>
          <cell r="GK208">
            <v>197931847.99876902</v>
          </cell>
          <cell r="GL208">
            <v>0</v>
          </cell>
          <cell r="GM208">
            <v>0</v>
          </cell>
          <cell r="GN208">
            <v>0</v>
          </cell>
          <cell r="GO208">
            <v>0</v>
          </cell>
          <cell r="GP208">
            <v>0</v>
          </cell>
          <cell r="GQ208">
            <v>0</v>
          </cell>
          <cell r="GR208">
            <v>0</v>
          </cell>
          <cell r="GS208">
            <v>0</v>
          </cell>
          <cell r="GT208">
            <v>0</v>
          </cell>
          <cell r="GZ208">
            <v>13330309.289999995</v>
          </cell>
        </row>
        <row r="209">
          <cell r="A209" t="str">
            <v>I_VID_NRF_EPA_EUR_INTR_S04</v>
          </cell>
          <cell r="B209">
            <v>406647642.26999998</v>
          </cell>
          <cell r="C209">
            <v>0</v>
          </cell>
          <cell r="D209">
            <v>330250044.46000004</v>
          </cell>
          <cell r="E209">
            <v>430534770.69710493</v>
          </cell>
          <cell r="F209">
            <v>330250044.46000004</v>
          </cell>
          <cell r="G209">
            <v>330250044.46000004</v>
          </cell>
          <cell r="H209">
            <v>0</v>
          </cell>
          <cell r="I209">
            <v>0</v>
          </cell>
          <cell r="J209">
            <v>0</v>
          </cell>
          <cell r="K209">
            <v>0</v>
          </cell>
          <cell r="L209">
            <v>0</v>
          </cell>
          <cell r="M209">
            <v>0</v>
          </cell>
          <cell r="N209">
            <v>0</v>
          </cell>
          <cell r="O209">
            <v>0</v>
          </cell>
          <cell r="P209">
            <v>0</v>
          </cell>
          <cell r="Q209">
            <v>0</v>
          </cell>
          <cell r="R209">
            <v>0</v>
          </cell>
          <cell r="S209">
            <v>330250044.46000004</v>
          </cell>
          <cell r="T209">
            <v>0</v>
          </cell>
          <cell r="U209">
            <v>0</v>
          </cell>
          <cell r="V209">
            <v>0</v>
          </cell>
          <cell r="W209">
            <v>0</v>
          </cell>
          <cell r="X209">
            <v>0</v>
          </cell>
          <cell r="Y209">
            <v>0</v>
          </cell>
          <cell r="Z209">
            <v>0</v>
          </cell>
          <cell r="AA209">
            <v>330250044.46000004</v>
          </cell>
          <cell r="AB209">
            <v>336420906.73407614</v>
          </cell>
          <cell r="AC209">
            <v>324136338.71023357</v>
          </cell>
          <cell r="AD209">
            <v>0</v>
          </cell>
          <cell r="AE209">
            <v>0</v>
          </cell>
          <cell r="AF209">
            <v>0</v>
          </cell>
          <cell r="AG209">
            <v>0</v>
          </cell>
          <cell r="AH209">
            <v>0</v>
          </cell>
          <cell r="AI209">
            <v>0</v>
          </cell>
          <cell r="AJ209">
            <v>0</v>
          </cell>
          <cell r="AK209">
            <v>0</v>
          </cell>
          <cell r="AL209">
            <v>0</v>
          </cell>
          <cell r="AM209">
            <v>0</v>
          </cell>
          <cell r="AN209">
            <v>0</v>
          </cell>
          <cell r="AO209">
            <v>320431930.02762485</v>
          </cell>
          <cell r="AP209">
            <v>0</v>
          </cell>
          <cell r="AQ209">
            <v>0</v>
          </cell>
          <cell r="AR209">
            <v>0</v>
          </cell>
          <cell r="AS209">
            <v>0</v>
          </cell>
          <cell r="AT209">
            <v>0</v>
          </cell>
          <cell r="AU209">
            <v>0</v>
          </cell>
          <cell r="AV209">
            <v>0</v>
          </cell>
          <cell r="AW209">
            <v>330250044.46000004</v>
          </cell>
          <cell r="AX209">
            <v>430534770.69710493</v>
          </cell>
          <cell r="AY209">
            <v>430534770.69710493</v>
          </cell>
          <cell r="AZ209">
            <v>0</v>
          </cell>
          <cell r="BA209">
            <v>0</v>
          </cell>
          <cell r="BB209">
            <v>0</v>
          </cell>
          <cell r="BC209">
            <v>0</v>
          </cell>
          <cell r="BD209">
            <v>0</v>
          </cell>
          <cell r="BE209">
            <v>0</v>
          </cell>
          <cell r="BF209">
            <v>0</v>
          </cell>
          <cell r="BG209">
            <v>0</v>
          </cell>
          <cell r="BH209">
            <v>0</v>
          </cell>
          <cell r="BI209">
            <v>0</v>
          </cell>
          <cell r="BJ209">
            <v>0</v>
          </cell>
          <cell r="BK209">
            <v>430534770.69710493</v>
          </cell>
          <cell r="BL209">
            <v>0</v>
          </cell>
          <cell r="BM209">
            <v>0</v>
          </cell>
          <cell r="BN209">
            <v>0</v>
          </cell>
          <cell r="BO209">
            <v>0</v>
          </cell>
          <cell r="BP209">
            <v>0</v>
          </cell>
          <cell r="BQ209">
            <v>0</v>
          </cell>
          <cell r="BR209">
            <v>0</v>
          </cell>
          <cell r="BS209">
            <v>430534770.69710493</v>
          </cell>
          <cell r="BT209">
            <v>437735059.62071651</v>
          </cell>
          <cell r="BU209">
            <v>423693458.79945028</v>
          </cell>
          <cell r="BV209">
            <v>0</v>
          </cell>
          <cell r="BW209">
            <v>0</v>
          </cell>
          <cell r="BX209">
            <v>0</v>
          </cell>
          <cell r="BY209">
            <v>0</v>
          </cell>
          <cell r="BZ209">
            <v>0</v>
          </cell>
          <cell r="CA209">
            <v>0</v>
          </cell>
          <cell r="CB209">
            <v>0</v>
          </cell>
          <cell r="CC209">
            <v>0</v>
          </cell>
          <cell r="CD209">
            <v>0</v>
          </cell>
          <cell r="CE209">
            <v>0</v>
          </cell>
          <cell r="CF209">
            <v>0</v>
          </cell>
          <cell r="CG209">
            <v>430534770.69710493</v>
          </cell>
          <cell r="CH209">
            <v>0</v>
          </cell>
          <cell r="CI209">
            <v>0</v>
          </cell>
          <cell r="CJ209">
            <v>0</v>
          </cell>
          <cell r="CK209">
            <v>0</v>
          </cell>
          <cell r="CL209">
            <v>0</v>
          </cell>
          <cell r="CM209">
            <v>0</v>
          </cell>
          <cell r="CN209">
            <v>0</v>
          </cell>
          <cell r="CO209">
            <v>432025095.69982362</v>
          </cell>
          <cell r="CP209">
            <v>430534770.69710493</v>
          </cell>
          <cell r="CQ209">
            <v>430534770.69710493</v>
          </cell>
          <cell r="CR209">
            <v>430534770.69710493</v>
          </cell>
          <cell r="CS209">
            <v>430534770.69710493</v>
          </cell>
          <cell r="CT209">
            <v>430534770.69710493</v>
          </cell>
          <cell r="CU209">
            <v>0</v>
          </cell>
          <cell r="CV209">
            <v>430534770.69710493</v>
          </cell>
          <cell r="CW209">
            <v>430534770.69710493</v>
          </cell>
          <cell r="CX209">
            <v>0</v>
          </cell>
          <cell r="CY209">
            <v>430534770.69710493</v>
          </cell>
          <cell r="CZ209">
            <v>430542667.24452478</v>
          </cell>
          <cell r="DA209">
            <v>430534770.69710493</v>
          </cell>
          <cell r="DB209">
            <v>430534978.04087704</v>
          </cell>
          <cell r="DC209">
            <v>426653048.84800547</v>
          </cell>
          <cell r="DD209">
            <v>435635332.76025748</v>
          </cell>
          <cell r="DE209">
            <v>0</v>
          </cell>
          <cell r="DF209">
            <v>426461688.26433575</v>
          </cell>
          <cell r="DG209">
            <v>431120704.37296927</v>
          </cell>
          <cell r="DH209">
            <v>0</v>
          </cell>
          <cell r="DI209">
            <v>430545830.151528</v>
          </cell>
          <cell r="DJ209">
            <v>0</v>
          </cell>
          <cell r="DK209">
            <v>0</v>
          </cell>
          <cell r="DL209">
            <v>0</v>
          </cell>
          <cell r="DM209">
            <v>0</v>
          </cell>
          <cell r="DN209">
            <v>0</v>
          </cell>
          <cell r="DO209">
            <v>0</v>
          </cell>
          <cell r="DP209">
            <v>0</v>
          </cell>
          <cell r="DQ209">
            <v>0</v>
          </cell>
          <cell r="DR209">
            <v>0</v>
          </cell>
          <cell r="DS209">
            <v>0</v>
          </cell>
          <cell r="DT209">
            <v>0</v>
          </cell>
          <cell r="DU209">
            <v>0</v>
          </cell>
          <cell r="DV209">
            <v>0</v>
          </cell>
          <cell r="DW209">
            <v>0</v>
          </cell>
          <cell r="EA209">
            <v>0</v>
          </cell>
          <cell r="EB209">
            <v>0</v>
          </cell>
          <cell r="EC209">
            <v>0</v>
          </cell>
          <cell r="ED209">
            <v>0</v>
          </cell>
          <cell r="EE209">
            <v>0</v>
          </cell>
          <cell r="EF209">
            <v>0</v>
          </cell>
          <cell r="EG209">
            <v>0</v>
          </cell>
          <cell r="EH209">
            <v>0</v>
          </cell>
          <cell r="EI209">
            <v>0</v>
          </cell>
          <cell r="EJ209">
            <v>0</v>
          </cell>
          <cell r="EK209">
            <v>0</v>
          </cell>
          <cell r="EL209">
            <v>0</v>
          </cell>
          <cell r="EM209">
            <v>0</v>
          </cell>
          <cell r="EN209">
            <v>0</v>
          </cell>
          <cell r="EO209">
            <v>0</v>
          </cell>
          <cell r="EP209">
            <v>0</v>
          </cell>
          <cell r="EQ209">
            <v>0</v>
          </cell>
          <cell r="ER209">
            <v>0</v>
          </cell>
          <cell r="ES209">
            <v>0</v>
          </cell>
          <cell r="ET209">
            <v>0</v>
          </cell>
          <cell r="EU209">
            <v>0</v>
          </cell>
          <cell r="EV209">
            <v>0</v>
          </cell>
          <cell r="EW209">
            <v>0</v>
          </cell>
          <cell r="EX209">
            <v>0</v>
          </cell>
          <cell r="EY209">
            <v>0</v>
          </cell>
          <cell r="EZ209">
            <v>0</v>
          </cell>
          <cell r="FA209">
            <v>0</v>
          </cell>
          <cell r="FB209">
            <v>0</v>
          </cell>
          <cell r="FC209">
            <v>0</v>
          </cell>
          <cell r="FD209">
            <v>0</v>
          </cell>
          <cell r="FE209">
            <v>430534770.69710493</v>
          </cell>
          <cell r="FF209">
            <v>437735059.62071651</v>
          </cell>
          <cell r="FG209">
            <v>423693458.79945028</v>
          </cell>
          <cell r="FH209">
            <v>0</v>
          </cell>
          <cell r="FI209">
            <v>0</v>
          </cell>
          <cell r="FJ209">
            <v>0</v>
          </cell>
          <cell r="FK209">
            <v>0</v>
          </cell>
          <cell r="FL209">
            <v>0</v>
          </cell>
          <cell r="FM209">
            <v>0</v>
          </cell>
          <cell r="FN209">
            <v>0</v>
          </cell>
          <cell r="FO209">
            <v>0</v>
          </cell>
          <cell r="FP209">
            <v>0</v>
          </cell>
          <cell r="FQ209">
            <v>0</v>
          </cell>
          <cell r="FR209">
            <v>0</v>
          </cell>
          <cell r="FS209">
            <v>430534770.69710493</v>
          </cell>
          <cell r="FT209">
            <v>0</v>
          </cell>
          <cell r="FU209">
            <v>0</v>
          </cell>
          <cell r="FV209">
            <v>0</v>
          </cell>
          <cell r="FW209">
            <v>0</v>
          </cell>
          <cell r="FX209">
            <v>0</v>
          </cell>
          <cell r="FY209">
            <v>0</v>
          </cell>
          <cell r="FZ209">
            <v>0</v>
          </cell>
          <cell r="GA209">
            <v>432025095.69982362</v>
          </cell>
          <cell r="GB209">
            <v>430542667.24452478</v>
          </cell>
          <cell r="GC209">
            <v>430534770.69710493</v>
          </cell>
          <cell r="GD209">
            <v>430534978.04087704</v>
          </cell>
          <cell r="GE209">
            <v>426653048.84800547</v>
          </cell>
          <cell r="GF209">
            <v>435635332.76025748</v>
          </cell>
          <cell r="GG209">
            <v>0</v>
          </cell>
          <cell r="GH209">
            <v>426461688.26433575</v>
          </cell>
          <cell r="GI209">
            <v>431120704.37296927</v>
          </cell>
          <cell r="GJ209">
            <v>0</v>
          </cell>
          <cell r="GK209">
            <v>430545830.151528</v>
          </cell>
          <cell r="GL209">
            <v>0</v>
          </cell>
          <cell r="GM209">
            <v>0</v>
          </cell>
          <cell r="GN209">
            <v>0</v>
          </cell>
          <cell r="GO209">
            <v>0</v>
          </cell>
          <cell r="GP209">
            <v>0</v>
          </cell>
          <cell r="GQ209">
            <v>0</v>
          </cell>
          <cell r="GR209">
            <v>0</v>
          </cell>
          <cell r="GS209">
            <v>0</v>
          </cell>
          <cell r="GT209">
            <v>0</v>
          </cell>
          <cell r="GZ209">
            <v>65763441.299996421</v>
          </cell>
        </row>
        <row r="210">
          <cell r="A210" t="str">
            <v>I_VID_NRF_EPA_EUR_INTR_S05</v>
          </cell>
          <cell r="B210">
            <v>4362098.8599999994</v>
          </cell>
          <cell r="C210">
            <v>0</v>
          </cell>
          <cell r="D210">
            <v>4211031.41</v>
          </cell>
          <cell r="E210">
            <v>4492431.439805951</v>
          </cell>
          <cell r="F210">
            <v>4211031.41</v>
          </cell>
          <cell r="G210">
            <v>4211031.41</v>
          </cell>
          <cell r="H210">
            <v>0</v>
          </cell>
          <cell r="I210">
            <v>0</v>
          </cell>
          <cell r="J210">
            <v>0</v>
          </cell>
          <cell r="K210">
            <v>0</v>
          </cell>
          <cell r="L210">
            <v>0</v>
          </cell>
          <cell r="M210">
            <v>0</v>
          </cell>
          <cell r="N210">
            <v>0</v>
          </cell>
          <cell r="O210">
            <v>0</v>
          </cell>
          <cell r="P210">
            <v>0</v>
          </cell>
          <cell r="Q210">
            <v>0</v>
          </cell>
          <cell r="R210">
            <v>0</v>
          </cell>
          <cell r="S210">
            <v>4211031.41</v>
          </cell>
          <cell r="T210">
            <v>0</v>
          </cell>
          <cell r="U210">
            <v>0</v>
          </cell>
          <cell r="V210">
            <v>0</v>
          </cell>
          <cell r="W210">
            <v>0</v>
          </cell>
          <cell r="X210">
            <v>0</v>
          </cell>
          <cell r="Y210">
            <v>0</v>
          </cell>
          <cell r="Z210">
            <v>0</v>
          </cell>
          <cell r="AA210">
            <v>4211031.41</v>
          </cell>
          <cell r="AB210">
            <v>4211031.41</v>
          </cell>
          <cell r="AC210">
            <v>4211031.41</v>
          </cell>
          <cell r="AD210">
            <v>0</v>
          </cell>
          <cell r="AE210">
            <v>0</v>
          </cell>
          <cell r="AF210">
            <v>0</v>
          </cell>
          <cell r="AG210">
            <v>0</v>
          </cell>
          <cell r="AH210">
            <v>0</v>
          </cell>
          <cell r="AI210">
            <v>0</v>
          </cell>
          <cell r="AJ210">
            <v>0</v>
          </cell>
          <cell r="AK210">
            <v>0</v>
          </cell>
          <cell r="AL210">
            <v>0</v>
          </cell>
          <cell r="AM210">
            <v>0</v>
          </cell>
          <cell r="AN210">
            <v>0</v>
          </cell>
          <cell r="AO210">
            <v>4211031.41</v>
          </cell>
          <cell r="AP210">
            <v>0</v>
          </cell>
          <cell r="AQ210">
            <v>0</v>
          </cell>
          <cell r="AR210">
            <v>0</v>
          </cell>
          <cell r="AS210">
            <v>0</v>
          </cell>
          <cell r="AT210">
            <v>0</v>
          </cell>
          <cell r="AU210">
            <v>0</v>
          </cell>
          <cell r="AV210">
            <v>0</v>
          </cell>
          <cell r="AW210">
            <v>4211031.41</v>
          </cell>
          <cell r="AX210">
            <v>4492431.439805951</v>
          </cell>
          <cell r="AY210">
            <v>4492431.439805951</v>
          </cell>
          <cell r="AZ210">
            <v>0</v>
          </cell>
          <cell r="BA210">
            <v>0</v>
          </cell>
          <cell r="BB210">
            <v>0</v>
          </cell>
          <cell r="BC210">
            <v>0</v>
          </cell>
          <cell r="BD210">
            <v>0</v>
          </cell>
          <cell r="BE210">
            <v>0</v>
          </cell>
          <cell r="BF210">
            <v>0</v>
          </cell>
          <cell r="BG210">
            <v>0</v>
          </cell>
          <cell r="BH210">
            <v>0</v>
          </cell>
          <cell r="BI210">
            <v>0</v>
          </cell>
          <cell r="BJ210">
            <v>0</v>
          </cell>
          <cell r="BK210">
            <v>4492431.439805951</v>
          </cell>
          <cell r="BL210">
            <v>0</v>
          </cell>
          <cell r="BM210">
            <v>0</v>
          </cell>
          <cell r="BN210">
            <v>0</v>
          </cell>
          <cell r="BO210">
            <v>0</v>
          </cell>
          <cell r="BP210">
            <v>0</v>
          </cell>
          <cell r="BQ210">
            <v>0</v>
          </cell>
          <cell r="BR210">
            <v>0</v>
          </cell>
          <cell r="BS210">
            <v>4492431.439805951</v>
          </cell>
          <cell r="BT210">
            <v>4492431.439805951</v>
          </cell>
          <cell r="BU210">
            <v>4492431.439805951</v>
          </cell>
          <cell r="BV210">
            <v>0</v>
          </cell>
          <cell r="BW210">
            <v>0</v>
          </cell>
          <cell r="BX210">
            <v>0</v>
          </cell>
          <cell r="BY210">
            <v>0</v>
          </cell>
          <cell r="BZ210">
            <v>0</v>
          </cell>
          <cell r="CA210">
            <v>0</v>
          </cell>
          <cell r="CB210">
            <v>0</v>
          </cell>
          <cell r="CC210">
            <v>0</v>
          </cell>
          <cell r="CD210">
            <v>0</v>
          </cell>
          <cell r="CE210">
            <v>0</v>
          </cell>
          <cell r="CF210">
            <v>0</v>
          </cell>
          <cell r="CG210">
            <v>4492431.439805951</v>
          </cell>
          <cell r="CH210">
            <v>0</v>
          </cell>
          <cell r="CI210">
            <v>0</v>
          </cell>
          <cell r="CJ210">
            <v>0</v>
          </cell>
          <cell r="CK210">
            <v>0</v>
          </cell>
          <cell r="CL210">
            <v>0</v>
          </cell>
          <cell r="CM210">
            <v>0</v>
          </cell>
          <cell r="CN210">
            <v>0</v>
          </cell>
          <cell r="CO210">
            <v>4492431.439805951</v>
          </cell>
          <cell r="CP210">
            <v>4492431.439805951</v>
          </cell>
          <cell r="CQ210">
            <v>4492431.439805951</v>
          </cell>
          <cell r="CR210">
            <v>4492431.439805951</v>
          </cell>
          <cell r="CS210">
            <v>4492431.439805951</v>
          </cell>
          <cell r="CT210">
            <v>4492431.439805951</v>
          </cell>
          <cell r="CU210">
            <v>0</v>
          </cell>
          <cell r="CV210">
            <v>4492431.439805951</v>
          </cell>
          <cell r="CW210">
            <v>4492431.439805951</v>
          </cell>
          <cell r="CX210">
            <v>0</v>
          </cell>
          <cell r="CY210">
            <v>4492431.439805951</v>
          </cell>
          <cell r="CZ210">
            <v>4492223.6271805251</v>
          </cell>
          <cell r="DA210">
            <v>4492431.439805951</v>
          </cell>
          <cell r="DB210">
            <v>4492431.439805951</v>
          </cell>
          <cell r="DC210">
            <v>4492431.439805951</v>
          </cell>
          <cell r="DD210">
            <v>4492431.439805951</v>
          </cell>
          <cell r="DE210">
            <v>0</v>
          </cell>
          <cell r="DF210">
            <v>4492431.439805951</v>
          </cell>
          <cell r="DG210">
            <v>4492431.439805951</v>
          </cell>
          <cell r="DH210">
            <v>0</v>
          </cell>
          <cell r="DI210">
            <v>4492085.0743465982</v>
          </cell>
          <cell r="DJ210">
            <v>0</v>
          </cell>
          <cell r="DK210">
            <v>0</v>
          </cell>
          <cell r="DL210">
            <v>0</v>
          </cell>
          <cell r="DM210">
            <v>0</v>
          </cell>
          <cell r="DN210">
            <v>0</v>
          </cell>
          <cell r="DO210">
            <v>0</v>
          </cell>
          <cell r="DP210">
            <v>0</v>
          </cell>
          <cell r="DQ210">
            <v>0</v>
          </cell>
          <cell r="DR210">
            <v>0</v>
          </cell>
          <cell r="DS210">
            <v>0</v>
          </cell>
          <cell r="DT210">
            <v>0</v>
          </cell>
          <cell r="DU210">
            <v>0</v>
          </cell>
          <cell r="DV210">
            <v>0</v>
          </cell>
          <cell r="DW210">
            <v>0</v>
          </cell>
          <cell r="EA210">
            <v>0</v>
          </cell>
          <cell r="EB210">
            <v>0</v>
          </cell>
          <cell r="EC210">
            <v>0</v>
          </cell>
          <cell r="ED210">
            <v>0</v>
          </cell>
          <cell r="EE210">
            <v>0</v>
          </cell>
          <cell r="EF210">
            <v>0</v>
          </cell>
          <cell r="EG210">
            <v>0</v>
          </cell>
          <cell r="EH210">
            <v>0</v>
          </cell>
          <cell r="EI210">
            <v>0</v>
          </cell>
          <cell r="EJ210">
            <v>0</v>
          </cell>
          <cell r="EK210">
            <v>0</v>
          </cell>
          <cell r="EL210">
            <v>0</v>
          </cell>
          <cell r="EM210">
            <v>0</v>
          </cell>
          <cell r="EN210">
            <v>0</v>
          </cell>
          <cell r="EO210">
            <v>0</v>
          </cell>
          <cell r="EP210">
            <v>0</v>
          </cell>
          <cell r="EQ210">
            <v>0</v>
          </cell>
          <cell r="ER210">
            <v>0</v>
          </cell>
          <cell r="ES210">
            <v>0</v>
          </cell>
          <cell r="ET210">
            <v>0</v>
          </cell>
          <cell r="EU210">
            <v>0</v>
          </cell>
          <cell r="EV210">
            <v>0</v>
          </cell>
          <cell r="EW210">
            <v>0</v>
          </cell>
          <cell r="EX210">
            <v>0</v>
          </cell>
          <cell r="EY210">
            <v>0</v>
          </cell>
          <cell r="EZ210">
            <v>0</v>
          </cell>
          <cell r="FA210">
            <v>0</v>
          </cell>
          <cell r="FB210">
            <v>0</v>
          </cell>
          <cell r="FC210">
            <v>0</v>
          </cell>
          <cell r="FD210">
            <v>0</v>
          </cell>
          <cell r="FE210">
            <v>4492431.439805951</v>
          </cell>
          <cell r="FF210">
            <v>4492431.439805951</v>
          </cell>
          <cell r="FG210">
            <v>4492431.439805951</v>
          </cell>
          <cell r="FH210">
            <v>0</v>
          </cell>
          <cell r="FI210">
            <v>0</v>
          </cell>
          <cell r="FJ210">
            <v>0</v>
          </cell>
          <cell r="FK210">
            <v>0</v>
          </cell>
          <cell r="FL210">
            <v>0</v>
          </cell>
          <cell r="FM210">
            <v>0</v>
          </cell>
          <cell r="FN210">
            <v>0</v>
          </cell>
          <cell r="FO210">
            <v>0</v>
          </cell>
          <cell r="FP210">
            <v>0</v>
          </cell>
          <cell r="FQ210">
            <v>0</v>
          </cell>
          <cell r="FR210">
            <v>0</v>
          </cell>
          <cell r="FS210">
            <v>4492431.439805951</v>
          </cell>
          <cell r="FT210">
            <v>0</v>
          </cell>
          <cell r="FU210">
            <v>0</v>
          </cell>
          <cell r="FV210">
            <v>0</v>
          </cell>
          <cell r="FW210">
            <v>0</v>
          </cell>
          <cell r="FX210">
            <v>0</v>
          </cell>
          <cell r="FY210">
            <v>0</v>
          </cell>
          <cell r="FZ210">
            <v>0</v>
          </cell>
          <cell r="GA210">
            <v>4492431.439805951</v>
          </cell>
          <cell r="GB210">
            <v>4492223.6271805251</v>
          </cell>
          <cell r="GC210">
            <v>4492431.439805951</v>
          </cell>
          <cell r="GD210">
            <v>4492431.439805951</v>
          </cell>
          <cell r="GE210">
            <v>4492431.439805951</v>
          </cell>
          <cell r="GF210">
            <v>4492431.439805951</v>
          </cell>
          <cell r="GG210">
            <v>0</v>
          </cell>
          <cell r="GH210">
            <v>4492431.439805951</v>
          </cell>
          <cell r="GI210">
            <v>4492431.439805951</v>
          </cell>
          <cell r="GJ210">
            <v>0</v>
          </cell>
          <cell r="GK210">
            <v>4492085.0743465982</v>
          </cell>
          <cell r="GL210">
            <v>0</v>
          </cell>
          <cell r="GM210">
            <v>0</v>
          </cell>
          <cell r="GN210">
            <v>0</v>
          </cell>
          <cell r="GO210">
            <v>0</v>
          </cell>
          <cell r="GP210">
            <v>0</v>
          </cell>
          <cell r="GQ210">
            <v>0</v>
          </cell>
          <cell r="GR210">
            <v>0</v>
          </cell>
          <cell r="GS210">
            <v>0</v>
          </cell>
          <cell r="GT210">
            <v>0</v>
          </cell>
          <cell r="GZ210">
            <v>0</v>
          </cell>
        </row>
        <row r="211">
          <cell r="A211" t="str">
            <v>I_VID_NRF_RIS_COL_INTR_S06</v>
          </cell>
          <cell r="B211">
            <v>95876.57</v>
          </cell>
          <cell r="C211">
            <v>0</v>
          </cell>
          <cell r="D211">
            <v>102205.19999999998</v>
          </cell>
          <cell r="E211">
            <v>99910.19734149483</v>
          </cell>
          <cell r="F211">
            <v>102205.19999999998</v>
          </cell>
          <cell r="G211">
            <v>102205.19999999998</v>
          </cell>
          <cell r="H211">
            <v>0</v>
          </cell>
          <cell r="I211">
            <v>0</v>
          </cell>
          <cell r="J211">
            <v>0</v>
          </cell>
          <cell r="K211">
            <v>0</v>
          </cell>
          <cell r="L211">
            <v>0</v>
          </cell>
          <cell r="M211">
            <v>0</v>
          </cell>
          <cell r="N211">
            <v>0</v>
          </cell>
          <cell r="O211">
            <v>0</v>
          </cell>
          <cell r="P211">
            <v>0</v>
          </cell>
          <cell r="Q211">
            <v>0</v>
          </cell>
          <cell r="R211">
            <v>0</v>
          </cell>
          <cell r="S211">
            <v>102205.19999999998</v>
          </cell>
          <cell r="T211">
            <v>0</v>
          </cell>
          <cell r="U211">
            <v>0</v>
          </cell>
          <cell r="V211">
            <v>0</v>
          </cell>
          <cell r="W211">
            <v>0</v>
          </cell>
          <cell r="X211">
            <v>0</v>
          </cell>
          <cell r="Y211">
            <v>0</v>
          </cell>
          <cell r="Z211">
            <v>0</v>
          </cell>
          <cell r="AA211">
            <v>102205.19999999998</v>
          </cell>
          <cell r="AB211">
            <v>102205.19999999998</v>
          </cell>
          <cell r="AC211">
            <v>102205.19999999998</v>
          </cell>
          <cell r="AD211">
            <v>0</v>
          </cell>
          <cell r="AE211">
            <v>0</v>
          </cell>
          <cell r="AF211">
            <v>0</v>
          </cell>
          <cell r="AG211">
            <v>0</v>
          </cell>
          <cell r="AH211">
            <v>0</v>
          </cell>
          <cell r="AI211">
            <v>0</v>
          </cell>
          <cell r="AJ211">
            <v>0</v>
          </cell>
          <cell r="AK211">
            <v>0</v>
          </cell>
          <cell r="AL211">
            <v>0</v>
          </cell>
          <cell r="AM211">
            <v>0</v>
          </cell>
          <cell r="AN211">
            <v>0</v>
          </cell>
          <cell r="AO211">
            <v>102205.19999999998</v>
          </cell>
          <cell r="AP211">
            <v>0</v>
          </cell>
          <cell r="AQ211">
            <v>0</v>
          </cell>
          <cell r="AR211">
            <v>0</v>
          </cell>
          <cell r="AS211">
            <v>0</v>
          </cell>
          <cell r="AT211">
            <v>0</v>
          </cell>
          <cell r="AU211">
            <v>0</v>
          </cell>
          <cell r="AV211">
            <v>0</v>
          </cell>
          <cell r="AW211">
            <v>102205.19999999998</v>
          </cell>
          <cell r="AX211">
            <v>99910.19734149483</v>
          </cell>
          <cell r="AY211">
            <v>99910.19734149483</v>
          </cell>
          <cell r="AZ211">
            <v>0</v>
          </cell>
          <cell r="BA211">
            <v>0</v>
          </cell>
          <cell r="BB211">
            <v>0</v>
          </cell>
          <cell r="BC211">
            <v>0</v>
          </cell>
          <cell r="BD211">
            <v>0</v>
          </cell>
          <cell r="BE211">
            <v>0</v>
          </cell>
          <cell r="BF211">
            <v>0</v>
          </cell>
          <cell r="BG211">
            <v>0</v>
          </cell>
          <cell r="BH211">
            <v>0</v>
          </cell>
          <cell r="BI211">
            <v>0</v>
          </cell>
          <cell r="BJ211">
            <v>0</v>
          </cell>
          <cell r="BK211">
            <v>99910.19734149483</v>
          </cell>
          <cell r="BL211">
            <v>0</v>
          </cell>
          <cell r="BM211">
            <v>0</v>
          </cell>
          <cell r="BN211">
            <v>0</v>
          </cell>
          <cell r="BO211">
            <v>0</v>
          </cell>
          <cell r="BP211">
            <v>0</v>
          </cell>
          <cell r="BQ211">
            <v>0</v>
          </cell>
          <cell r="BR211">
            <v>0</v>
          </cell>
          <cell r="BS211">
            <v>99910.19734149483</v>
          </cell>
          <cell r="BT211">
            <v>99910.19734149483</v>
          </cell>
          <cell r="BU211">
            <v>99910.19734149483</v>
          </cell>
          <cell r="BV211">
            <v>0</v>
          </cell>
          <cell r="BW211">
            <v>0</v>
          </cell>
          <cell r="BX211">
            <v>0</v>
          </cell>
          <cell r="BY211">
            <v>0</v>
          </cell>
          <cell r="BZ211">
            <v>0</v>
          </cell>
          <cell r="CA211">
            <v>0</v>
          </cell>
          <cell r="CB211">
            <v>0</v>
          </cell>
          <cell r="CC211">
            <v>0</v>
          </cell>
          <cell r="CD211">
            <v>0</v>
          </cell>
          <cell r="CE211">
            <v>0</v>
          </cell>
          <cell r="CF211">
            <v>0</v>
          </cell>
          <cell r="CG211">
            <v>99910.19734149483</v>
          </cell>
          <cell r="CH211">
            <v>0</v>
          </cell>
          <cell r="CI211">
            <v>0</v>
          </cell>
          <cell r="CJ211">
            <v>0</v>
          </cell>
          <cell r="CK211">
            <v>0</v>
          </cell>
          <cell r="CL211">
            <v>0</v>
          </cell>
          <cell r="CM211">
            <v>0</v>
          </cell>
          <cell r="CN211">
            <v>0</v>
          </cell>
          <cell r="CO211">
            <v>99910.19734149483</v>
          </cell>
          <cell r="CP211">
            <v>99910.19734149483</v>
          </cell>
          <cell r="CQ211">
            <v>99910.19734149483</v>
          </cell>
          <cell r="CR211">
            <v>99910.19734149483</v>
          </cell>
          <cell r="CS211">
            <v>99910.19734149483</v>
          </cell>
          <cell r="CT211">
            <v>99910.19734149483</v>
          </cell>
          <cell r="CU211">
            <v>99910.19734149483</v>
          </cell>
          <cell r="CV211">
            <v>0</v>
          </cell>
          <cell r="CW211">
            <v>99910.19734149483</v>
          </cell>
          <cell r="CX211">
            <v>0</v>
          </cell>
          <cell r="CY211">
            <v>99910.19734149483</v>
          </cell>
          <cell r="CZ211">
            <v>99950.664593589507</v>
          </cell>
          <cell r="DA211">
            <v>99910.19734149483</v>
          </cell>
          <cell r="DB211">
            <v>101081.78368059208</v>
          </cell>
          <cell r="DC211">
            <v>99910.19734149483</v>
          </cell>
          <cell r="DD211">
            <v>99910.19734149483</v>
          </cell>
          <cell r="DE211">
            <v>99910.19734149483</v>
          </cell>
          <cell r="DF211">
            <v>0</v>
          </cell>
          <cell r="DG211">
            <v>99910.843514673194</v>
          </cell>
          <cell r="DH211">
            <v>0</v>
          </cell>
          <cell r="DI211">
            <v>100271.18797754226</v>
          </cell>
          <cell r="DJ211">
            <v>0</v>
          </cell>
          <cell r="DK211">
            <v>0</v>
          </cell>
          <cell r="DL211">
            <v>0</v>
          </cell>
          <cell r="DM211">
            <v>0</v>
          </cell>
          <cell r="DN211">
            <v>0</v>
          </cell>
          <cell r="DO211">
            <v>0</v>
          </cell>
          <cell r="DP211">
            <v>0</v>
          </cell>
          <cell r="DQ211">
            <v>0</v>
          </cell>
          <cell r="DR211">
            <v>0</v>
          </cell>
          <cell r="DS211">
            <v>0</v>
          </cell>
          <cell r="DT211">
            <v>0</v>
          </cell>
          <cell r="DU211">
            <v>0</v>
          </cell>
          <cell r="DV211">
            <v>0</v>
          </cell>
          <cell r="DW211">
            <v>0</v>
          </cell>
          <cell r="EA211">
            <v>0</v>
          </cell>
          <cell r="EB211">
            <v>0</v>
          </cell>
          <cell r="EC211">
            <v>0</v>
          </cell>
          <cell r="ED211">
            <v>0</v>
          </cell>
          <cell r="EE211">
            <v>0</v>
          </cell>
          <cell r="EF211">
            <v>0</v>
          </cell>
          <cell r="EG211">
            <v>0</v>
          </cell>
          <cell r="EH211">
            <v>0</v>
          </cell>
          <cell r="EI211">
            <v>0</v>
          </cell>
          <cell r="EJ211">
            <v>0</v>
          </cell>
          <cell r="EK211">
            <v>0</v>
          </cell>
          <cell r="EL211">
            <v>0</v>
          </cell>
          <cell r="EM211">
            <v>0</v>
          </cell>
          <cell r="EN211">
            <v>0</v>
          </cell>
          <cell r="EO211">
            <v>0</v>
          </cell>
          <cell r="EP211">
            <v>0</v>
          </cell>
          <cell r="EQ211">
            <v>0</v>
          </cell>
          <cell r="ER211">
            <v>0</v>
          </cell>
          <cell r="ES211">
            <v>0</v>
          </cell>
          <cell r="ET211">
            <v>0</v>
          </cell>
          <cell r="EU211">
            <v>0</v>
          </cell>
          <cell r="EV211">
            <v>0</v>
          </cell>
          <cell r="EW211">
            <v>0</v>
          </cell>
          <cell r="EX211">
            <v>0</v>
          </cell>
          <cell r="EY211">
            <v>0</v>
          </cell>
          <cell r="EZ211">
            <v>0</v>
          </cell>
          <cell r="FA211">
            <v>0</v>
          </cell>
          <cell r="FB211">
            <v>0</v>
          </cell>
          <cell r="FC211">
            <v>0</v>
          </cell>
          <cell r="FD211">
            <v>0</v>
          </cell>
          <cell r="FE211">
            <v>99910.19734149483</v>
          </cell>
          <cell r="FF211">
            <v>99910.19734149483</v>
          </cell>
          <cell r="FG211">
            <v>99910.19734149483</v>
          </cell>
          <cell r="FH211">
            <v>0</v>
          </cell>
          <cell r="FI211">
            <v>0</v>
          </cell>
          <cell r="FJ211">
            <v>0</v>
          </cell>
          <cell r="FK211">
            <v>0</v>
          </cell>
          <cell r="FL211">
            <v>0</v>
          </cell>
          <cell r="FM211">
            <v>0</v>
          </cell>
          <cell r="FN211">
            <v>0</v>
          </cell>
          <cell r="FO211">
            <v>0</v>
          </cell>
          <cell r="FP211">
            <v>0</v>
          </cell>
          <cell r="FQ211">
            <v>0</v>
          </cell>
          <cell r="FR211">
            <v>0</v>
          </cell>
          <cell r="FS211">
            <v>99910.19734149483</v>
          </cell>
          <cell r="FT211">
            <v>0</v>
          </cell>
          <cell r="FU211">
            <v>0</v>
          </cell>
          <cell r="FV211">
            <v>0</v>
          </cell>
          <cell r="FW211">
            <v>0</v>
          </cell>
          <cell r="FX211">
            <v>0</v>
          </cell>
          <cell r="FY211">
            <v>0</v>
          </cell>
          <cell r="FZ211">
            <v>0</v>
          </cell>
          <cell r="GA211">
            <v>99910.19734149483</v>
          </cell>
          <cell r="GB211">
            <v>99950.664593589507</v>
          </cell>
          <cell r="GC211">
            <v>99910.19734149483</v>
          </cell>
          <cell r="GD211">
            <v>101081.78368059208</v>
          </cell>
          <cell r="GE211">
            <v>99910.19734149483</v>
          </cell>
          <cell r="GF211">
            <v>99910.19734149483</v>
          </cell>
          <cell r="GG211">
            <v>99910.19734149483</v>
          </cell>
          <cell r="GH211">
            <v>0</v>
          </cell>
          <cell r="GI211">
            <v>99910.843514673194</v>
          </cell>
          <cell r="GJ211">
            <v>0</v>
          </cell>
          <cell r="GK211">
            <v>100271.18797754226</v>
          </cell>
          <cell r="GL211">
            <v>0</v>
          </cell>
          <cell r="GM211">
            <v>0</v>
          </cell>
          <cell r="GN211">
            <v>0</v>
          </cell>
          <cell r="GO211">
            <v>0</v>
          </cell>
          <cell r="GP211">
            <v>0</v>
          </cell>
          <cell r="GQ211">
            <v>0</v>
          </cell>
          <cell r="GR211">
            <v>0</v>
          </cell>
          <cell r="GS211">
            <v>0</v>
          </cell>
          <cell r="GT211">
            <v>0</v>
          </cell>
          <cell r="GZ211">
            <v>37002066.436484136</v>
          </cell>
        </row>
        <row r="212">
          <cell r="A212" t="str">
            <v>I_VID_NRF_RIS_IND_INTR_S07</v>
          </cell>
          <cell r="B212">
            <v>316205.43</v>
          </cell>
          <cell r="C212">
            <v>0</v>
          </cell>
          <cell r="D212">
            <v>105355.26000000001</v>
          </cell>
          <cell r="E212">
            <v>-3160484.2753051901</v>
          </cell>
          <cell r="F212">
            <v>105355.26000000001</v>
          </cell>
          <cell r="G212">
            <v>105355.26000000001</v>
          </cell>
          <cell r="H212">
            <v>0</v>
          </cell>
          <cell r="I212">
            <v>0</v>
          </cell>
          <cell r="J212">
            <v>0</v>
          </cell>
          <cell r="K212">
            <v>0</v>
          </cell>
          <cell r="L212">
            <v>0</v>
          </cell>
          <cell r="M212">
            <v>0</v>
          </cell>
          <cell r="N212">
            <v>0</v>
          </cell>
          <cell r="O212">
            <v>0</v>
          </cell>
          <cell r="P212">
            <v>0</v>
          </cell>
          <cell r="Q212">
            <v>0</v>
          </cell>
          <cell r="R212">
            <v>0</v>
          </cell>
          <cell r="S212">
            <v>105355.26000000001</v>
          </cell>
          <cell r="T212">
            <v>0</v>
          </cell>
          <cell r="U212">
            <v>0</v>
          </cell>
          <cell r="V212">
            <v>0</v>
          </cell>
          <cell r="W212">
            <v>0</v>
          </cell>
          <cell r="X212">
            <v>0</v>
          </cell>
          <cell r="Y212">
            <v>0</v>
          </cell>
          <cell r="Z212">
            <v>0</v>
          </cell>
          <cell r="AA212">
            <v>105355.26000000001</v>
          </cell>
          <cell r="AB212">
            <v>105355.26000000001</v>
          </cell>
          <cell r="AC212">
            <v>105355.26000000001</v>
          </cell>
          <cell r="AD212">
            <v>0</v>
          </cell>
          <cell r="AE212">
            <v>0</v>
          </cell>
          <cell r="AF212">
            <v>0</v>
          </cell>
          <cell r="AG212">
            <v>0</v>
          </cell>
          <cell r="AH212">
            <v>0</v>
          </cell>
          <cell r="AI212">
            <v>0</v>
          </cell>
          <cell r="AJ212">
            <v>0</v>
          </cell>
          <cell r="AK212">
            <v>0</v>
          </cell>
          <cell r="AL212">
            <v>0</v>
          </cell>
          <cell r="AM212">
            <v>0</v>
          </cell>
          <cell r="AN212">
            <v>0</v>
          </cell>
          <cell r="AO212">
            <v>105355.26000000001</v>
          </cell>
          <cell r="AP212">
            <v>0</v>
          </cell>
          <cell r="AQ212">
            <v>0</v>
          </cell>
          <cell r="AR212">
            <v>0</v>
          </cell>
          <cell r="AS212">
            <v>0</v>
          </cell>
          <cell r="AT212">
            <v>0</v>
          </cell>
          <cell r="AU212">
            <v>0</v>
          </cell>
          <cell r="AV212">
            <v>0</v>
          </cell>
          <cell r="AW212">
            <v>105355.26000000001</v>
          </cell>
          <cell r="AX212">
            <v>-3160484.2753051901</v>
          </cell>
          <cell r="AY212">
            <v>-3160484.2753051901</v>
          </cell>
          <cell r="AZ212">
            <v>0</v>
          </cell>
          <cell r="BA212">
            <v>0</v>
          </cell>
          <cell r="BB212">
            <v>0</v>
          </cell>
          <cell r="BC212">
            <v>0</v>
          </cell>
          <cell r="BD212">
            <v>0</v>
          </cell>
          <cell r="BE212">
            <v>0</v>
          </cell>
          <cell r="BF212">
            <v>0</v>
          </cell>
          <cell r="BG212">
            <v>0</v>
          </cell>
          <cell r="BH212">
            <v>0</v>
          </cell>
          <cell r="BI212">
            <v>0</v>
          </cell>
          <cell r="BJ212">
            <v>0</v>
          </cell>
          <cell r="BK212">
            <v>-3160484.2753051901</v>
          </cell>
          <cell r="BL212">
            <v>0</v>
          </cell>
          <cell r="BM212">
            <v>0</v>
          </cell>
          <cell r="BN212">
            <v>0</v>
          </cell>
          <cell r="BO212">
            <v>0</v>
          </cell>
          <cell r="BP212">
            <v>0</v>
          </cell>
          <cell r="BQ212">
            <v>0</v>
          </cell>
          <cell r="BR212">
            <v>0</v>
          </cell>
          <cell r="BS212">
            <v>-3160484.2753051901</v>
          </cell>
          <cell r="BT212">
            <v>-3160484.2753051901</v>
          </cell>
          <cell r="BU212">
            <v>-3160484.2753051901</v>
          </cell>
          <cell r="BV212">
            <v>0</v>
          </cell>
          <cell r="BW212">
            <v>0</v>
          </cell>
          <cell r="BX212">
            <v>0</v>
          </cell>
          <cell r="BY212">
            <v>0</v>
          </cell>
          <cell r="BZ212">
            <v>0</v>
          </cell>
          <cell r="CA212">
            <v>0</v>
          </cell>
          <cell r="CB212">
            <v>0</v>
          </cell>
          <cell r="CC212">
            <v>0</v>
          </cell>
          <cell r="CD212">
            <v>0</v>
          </cell>
          <cell r="CE212">
            <v>0</v>
          </cell>
          <cell r="CF212">
            <v>0</v>
          </cell>
          <cell r="CG212">
            <v>-3160484.2753051901</v>
          </cell>
          <cell r="CH212">
            <v>0</v>
          </cell>
          <cell r="CI212">
            <v>0</v>
          </cell>
          <cell r="CJ212">
            <v>0</v>
          </cell>
          <cell r="CK212">
            <v>0</v>
          </cell>
          <cell r="CL212">
            <v>0</v>
          </cell>
          <cell r="CM212">
            <v>0</v>
          </cell>
          <cell r="CN212">
            <v>0</v>
          </cell>
          <cell r="CO212">
            <v>-3160484.2753051901</v>
          </cell>
          <cell r="CP212">
            <v>-3160484.2753051901</v>
          </cell>
          <cell r="CQ212">
            <v>-3160484.2753051901</v>
          </cell>
          <cell r="CR212">
            <v>-3160484.2753051901</v>
          </cell>
          <cell r="CS212">
            <v>-3160484.2753051901</v>
          </cell>
          <cell r="CT212">
            <v>-3160484.2753051901</v>
          </cell>
          <cell r="CU212">
            <v>0</v>
          </cell>
          <cell r="CV212">
            <v>-3160484.2753051901</v>
          </cell>
          <cell r="CW212">
            <v>-3160484.2753051901</v>
          </cell>
          <cell r="CX212">
            <v>0</v>
          </cell>
          <cell r="CY212">
            <v>-3160484.2753051901</v>
          </cell>
          <cell r="CZ212">
            <v>-2953182.2861409606</v>
          </cell>
          <cell r="DA212">
            <v>-3160484.2753051901</v>
          </cell>
          <cell r="DB212">
            <v>-3113665.5669918624</v>
          </cell>
          <cell r="DC212">
            <v>-1665113.4711019574</v>
          </cell>
          <cell r="DD212">
            <v>-7830584.0033091335</v>
          </cell>
          <cell r="DE212">
            <v>0</v>
          </cell>
          <cell r="DF212">
            <v>-2211245.7599329525</v>
          </cell>
          <cell r="DG212">
            <v>-3160484.2753051901</v>
          </cell>
          <cell r="DH212">
            <v>0</v>
          </cell>
          <cell r="DI212">
            <v>-2997613.7670665509</v>
          </cell>
          <cell r="DJ212">
            <v>0</v>
          </cell>
          <cell r="DK212">
            <v>0</v>
          </cell>
          <cell r="DL212">
            <v>0</v>
          </cell>
          <cell r="DM212">
            <v>0</v>
          </cell>
          <cell r="DN212">
            <v>0</v>
          </cell>
          <cell r="DO212">
            <v>0</v>
          </cell>
          <cell r="DP212">
            <v>0</v>
          </cell>
          <cell r="DQ212">
            <v>0</v>
          </cell>
          <cell r="DR212">
            <v>0</v>
          </cell>
          <cell r="DS212">
            <v>0</v>
          </cell>
          <cell r="DT212">
            <v>0</v>
          </cell>
          <cell r="DU212">
            <v>0</v>
          </cell>
          <cell r="DV212">
            <v>0</v>
          </cell>
          <cell r="DW212">
            <v>0</v>
          </cell>
          <cell r="EA212">
            <v>0</v>
          </cell>
          <cell r="EB212">
            <v>0</v>
          </cell>
          <cell r="EC212">
            <v>0</v>
          </cell>
          <cell r="ED212">
            <v>0</v>
          </cell>
          <cell r="EE212">
            <v>0</v>
          </cell>
          <cell r="EF212">
            <v>0</v>
          </cell>
          <cell r="EG212">
            <v>0</v>
          </cell>
          <cell r="EH212">
            <v>0</v>
          </cell>
          <cell r="EI212">
            <v>0</v>
          </cell>
          <cell r="EJ212">
            <v>0</v>
          </cell>
          <cell r="EK212">
            <v>0</v>
          </cell>
          <cell r="EL212">
            <v>0</v>
          </cell>
          <cell r="EM212">
            <v>0</v>
          </cell>
          <cell r="EN212">
            <v>0</v>
          </cell>
          <cell r="EO212">
            <v>0</v>
          </cell>
          <cell r="EP212">
            <v>0</v>
          </cell>
          <cell r="EQ212">
            <v>0</v>
          </cell>
          <cell r="ER212">
            <v>0</v>
          </cell>
          <cell r="ES212">
            <v>0</v>
          </cell>
          <cell r="ET212">
            <v>0</v>
          </cell>
          <cell r="EU212">
            <v>0</v>
          </cell>
          <cell r="EV212">
            <v>0</v>
          </cell>
          <cell r="EW212">
            <v>0</v>
          </cell>
          <cell r="EX212">
            <v>0</v>
          </cell>
          <cell r="EY212">
            <v>0</v>
          </cell>
          <cell r="EZ212">
            <v>0</v>
          </cell>
          <cell r="FA212">
            <v>0</v>
          </cell>
          <cell r="FB212">
            <v>0</v>
          </cell>
          <cell r="FC212">
            <v>0</v>
          </cell>
          <cell r="FD212">
            <v>0</v>
          </cell>
          <cell r="FE212">
            <v>-3160484.2753051901</v>
          </cell>
          <cell r="FF212">
            <v>-3160484.2753051901</v>
          </cell>
          <cell r="FG212">
            <v>-3160484.2753051901</v>
          </cell>
          <cell r="FH212">
            <v>0</v>
          </cell>
          <cell r="FI212">
            <v>0</v>
          </cell>
          <cell r="FJ212">
            <v>0</v>
          </cell>
          <cell r="FK212">
            <v>0</v>
          </cell>
          <cell r="FL212">
            <v>0</v>
          </cell>
          <cell r="FM212">
            <v>0</v>
          </cell>
          <cell r="FN212">
            <v>0</v>
          </cell>
          <cell r="FO212">
            <v>0</v>
          </cell>
          <cell r="FP212">
            <v>0</v>
          </cell>
          <cell r="FQ212">
            <v>0</v>
          </cell>
          <cell r="FR212">
            <v>0</v>
          </cell>
          <cell r="FS212">
            <v>-3160484.2753051901</v>
          </cell>
          <cell r="FT212">
            <v>0</v>
          </cell>
          <cell r="FU212">
            <v>0</v>
          </cell>
          <cell r="FV212">
            <v>0</v>
          </cell>
          <cell r="FW212">
            <v>0</v>
          </cell>
          <cell r="FX212">
            <v>0</v>
          </cell>
          <cell r="FY212">
            <v>0</v>
          </cell>
          <cell r="FZ212">
            <v>0</v>
          </cell>
          <cell r="GA212">
            <v>-3160484.2753051901</v>
          </cell>
          <cell r="GB212">
            <v>-2953182.2861409606</v>
          </cell>
          <cell r="GC212">
            <v>-3160484.2753051901</v>
          </cell>
          <cell r="GD212">
            <v>-3113665.5669918624</v>
          </cell>
          <cell r="GE212">
            <v>-1665113.4711019574</v>
          </cell>
          <cell r="GF212">
            <v>-7830584.0033091335</v>
          </cell>
          <cell r="GG212">
            <v>0</v>
          </cell>
          <cell r="GH212">
            <v>-2211245.7599329525</v>
          </cell>
          <cell r="GI212">
            <v>-3160484.2753051901</v>
          </cell>
          <cell r="GJ212">
            <v>0</v>
          </cell>
          <cell r="GK212">
            <v>-2997613.7670665509</v>
          </cell>
          <cell r="GL212">
            <v>0</v>
          </cell>
          <cell r="GM212">
            <v>0</v>
          </cell>
          <cell r="GN212">
            <v>0</v>
          </cell>
          <cell r="GO212">
            <v>0</v>
          </cell>
          <cell r="GP212">
            <v>0</v>
          </cell>
          <cell r="GQ212">
            <v>0</v>
          </cell>
          <cell r="GR212">
            <v>0</v>
          </cell>
          <cell r="GS212">
            <v>0</v>
          </cell>
          <cell r="GT212">
            <v>0</v>
          </cell>
          <cell r="GZ212">
            <v>38823719.609999999</v>
          </cell>
        </row>
        <row r="213">
          <cell r="A213" t="str">
            <v>I_VID_NRF_RET_COL_INTR_S08</v>
          </cell>
          <cell r="B213">
            <v>176015822.66999996</v>
          </cell>
          <cell r="C213">
            <v>0</v>
          </cell>
          <cell r="D213">
            <v>165694283.50000006</v>
          </cell>
          <cell r="E213">
            <v>199560047.7073347</v>
          </cell>
          <cell r="F213">
            <v>165694283.50000006</v>
          </cell>
          <cell r="G213">
            <v>165694283.50000006</v>
          </cell>
          <cell r="H213">
            <v>0</v>
          </cell>
          <cell r="I213">
            <v>0</v>
          </cell>
          <cell r="J213">
            <v>0</v>
          </cell>
          <cell r="K213">
            <v>0</v>
          </cell>
          <cell r="L213">
            <v>0</v>
          </cell>
          <cell r="M213">
            <v>0</v>
          </cell>
          <cell r="N213">
            <v>0</v>
          </cell>
          <cell r="O213">
            <v>0</v>
          </cell>
          <cell r="P213">
            <v>0</v>
          </cell>
          <cell r="Q213">
            <v>0</v>
          </cell>
          <cell r="R213">
            <v>0</v>
          </cell>
          <cell r="S213">
            <v>165694283.50000006</v>
          </cell>
          <cell r="T213">
            <v>0</v>
          </cell>
          <cell r="U213">
            <v>0</v>
          </cell>
          <cell r="V213">
            <v>0</v>
          </cell>
          <cell r="W213">
            <v>0</v>
          </cell>
          <cell r="X213">
            <v>0</v>
          </cell>
          <cell r="Y213">
            <v>0</v>
          </cell>
          <cell r="Z213">
            <v>0</v>
          </cell>
          <cell r="AA213">
            <v>165694283.50000006</v>
          </cell>
          <cell r="AB213">
            <v>176627387.34976667</v>
          </cell>
          <cell r="AC213">
            <v>155767579.96116844</v>
          </cell>
          <cell r="AD213">
            <v>0</v>
          </cell>
          <cell r="AE213">
            <v>0</v>
          </cell>
          <cell r="AF213">
            <v>0</v>
          </cell>
          <cell r="AG213">
            <v>0</v>
          </cell>
          <cell r="AH213">
            <v>0</v>
          </cell>
          <cell r="AI213">
            <v>0</v>
          </cell>
          <cell r="AJ213">
            <v>0</v>
          </cell>
          <cell r="AK213">
            <v>0</v>
          </cell>
          <cell r="AL213">
            <v>0</v>
          </cell>
          <cell r="AM213">
            <v>0</v>
          </cell>
          <cell r="AN213">
            <v>0</v>
          </cell>
          <cell r="AO213">
            <v>158236499.39635298</v>
          </cell>
          <cell r="AP213">
            <v>0</v>
          </cell>
          <cell r="AQ213">
            <v>0</v>
          </cell>
          <cell r="AR213">
            <v>0</v>
          </cell>
          <cell r="AS213">
            <v>0</v>
          </cell>
          <cell r="AT213">
            <v>0</v>
          </cell>
          <cell r="AU213">
            <v>0</v>
          </cell>
          <cell r="AV213">
            <v>0</v>
          </cell>
          <cell r="AW213">
            <v>165694283.50000006</v>
          </cell>
          <cell r="AX213">
            <v>199560047.7073347</v>
          </cell>
          <cell r="AY213">
            <v>199560047.7073347</v>
          </cell>
          <cell r="AZ213">
            <v>0</v>
          </cell>
          <cell r="BA213">
            <v>0</v>
          </cell>
          <cell r="BB213">
            <v>0</v>
          </cell>
          <cell r="BC213">
            <v>0</v>
          </cell>
          <cell r="BD213">
            <v>0</v>
          </cell>
          <cell r="BE213">
            <v>0</v>
          </cell>
          <cell r="BF213">
            <v>0</v>
          </cell>
          <cell r="BG213">
            <v>0</v>
          </cell>
          <cell r="BH213">
            <v>0</v>
          </cell>
          <cell r="BI213">
            <v>0</v>
          </cell>
          <cell r="BJ213">
            <v>0</v>
          </cell>
          <cell r="BK213">
            <v>199560047.7073347</v>
          </cell>
          <cell r="BL213">
            <v>0</v>
          </cell>
          <cell r="BM213">
            <v>0</v>
          </cell>
          <cell r="BN213">
            <v>0</v>
          </cell>
          <cell r="BO213">
            <v>0</v>
          </cell>
          <cell r="BP213">
            <v>0</v>
          </cell>
          <cell r="BQ213">
            <v>0</v>
          </cell>
          <cell r="BR213">
            <v>0</v>
          </cell>
          <cell r="BS213">
            <v>199560047.7073347</v>
          </cell>
          <cell r="BT213">
            <v>213614530.99637222</v>
          </cell>
          <cell r="BU213">
            <v>187110196.04848287</v>
          </cell>
          <cell r="BV213">
            <v>0</v>
          </cell>
          <cell r="BW213">
            <v>0</v>
          </cell>
          <cell r="BX213">
            <v>0</v>
          </cell>
          <cell r="BY213">
            <v>0</v>
          </cell>
          <cell r="BZ213">
            <v>0</v>
          </cell>
          <cell r="CA213">
            <v>0</v>
          </cell>
          <cell r="CB213">
            <v>0</v>
          </cell>
          <cell r="CC213">
            <v>0</v>
          </cell>
          <cell r="CD213">
            <v>0</v>
          </cell>
          <cell r="CE213">
            <v>0</v>
          </cell>
          <cell r="CF213">
            <v>0</v>
          </cell>
          <cell r="CG213">
            <v>199560047.7073347</v>
          </cell>
          <cell r="CH213">
            <v>0</v>
          </cell>
          <cell r="CI213">
            <v>0</v>
          </cell>
          <cell r="CJ213">
            <v>0</v>
          </cell>
          <cell r="CK213">
            <v>0</v>
          </cell>
          <cell r="CL213">
            <v>0</v>
          </cell>
          <cell r="CM213">
            <v>0</v>
          </cell>
          <cell r="CN213">
            <v>0</v>
          </cell>
          <cell r="CO213">
            <v>203202900.43107003</v>
          </cell>
          <cell r="CP213">
            <v>199560047.7073347</v>
          </cell>
          <cell r="CQ213">
            <v>199560047.7073347</v>
          </cell>
          <cell r="CR213">
            <v>199560047.7073347</v>
          </cell>
          <cell r="CS213">
            <v>199560047.7073347</v>
          </cell>
          <cell r="CT213">
            <v>199560047.7073347</v>
          </cell>
          <cell r="CU213">
            <v>199560047.7073347</v>
          </cell>
          <cell r="CV213">
            <v>0</v>
          </cell>
          <cell r="CW213">
            <v>199560047.7073347</v>
          </cell>
          <cell r="CX213">
            <v>0</v>
          </cell>
          <cell r="CY213">
            <v>199560047.7073347</v>
          </cell>
          <cell r="CZ213">
            <v>199560047.7073347</v>
          </cell>
          <cell r="DA213">
            <v>216402483.86883092</v>
          </cell>
          <cell r="DB213">
            <v>199560047.7073347</v>
          </cell>
          <cell r="DC213">
            <v>199560047.7073347</v>
          </cell>
          <cell r="DD213">
            <v>199560047.7073347</v>
          </cell>
          <cell r="DE213">
            <v>199560047.7073347</v>
          </cell>
          <cell r="DF213">
            <v>0</v>
          </cell>
          <cell r="DG213">
            <v>200047317.63012704</v>
          </cell>
          <cell r="DH213">
            <v>0</v>
          </cell>
          <cell r="DI213">
            <v>199560047.7073347</v>
          </cell>
          <cell r="DJ213">
            <v>0</v>
          </cell>
          <cell r="DK213">
            <v>0</v>
          </cell>
          <cell r="DL213">
            <v>0</v>
          </cell>
          <cell r="DM213">
            <v>0</v>
          </cell>
          <cell r="DN213">
            <v>0</v>
          </cell>
          <cell r="DO213">
            <v>0</v>
          </cell>
          <cell r="DP213">
            <v>0</v>
          </cell>
          <cell r="DQ213">
            <v>0</v>
          </cell>
          <cell r="DR213">
            <v>0</v>
          </cell>
          <cell r="DS213">
            <v>0</v>
          </cell>
          <cell r="DT213">
            <v>0</v>
          </cell>
          <cell r="DU213">
            <v>0</v>
          </cell>
          <cell r="DV213">
            <v>0</v>
          </cell>
          <cell r="DW213">
            <v>0</v>
          </cell>
          <cell r="EA213">
            <v>0</v>
          </cell>
          <cell r="EB213">
            <v>0</v>
          </cell>
          <cell r="EC213">
            <v>0</v>
          </cell>
          <cell r="ED213">
            <v>0</v>
          </cell>
          <cell r="EE213">
            <v>0</v>
          </cell>
          <cell r="EF213">
            <v>0</v>
          </cell>
          <cell r="EG213">
            <v>0</v>
          </cell>
          <cell r="EH213">
            <v>0</v>
          </cell>
          <cell r="EI213">
            <v>0</v>
          </cell>
          <cell r="EJ213">
            <v>0</v>
          </cell>
          <cell r="EK213">
            <v>0</v>
          </cell>
          <cell r="EL213">
            <v>0</v>
          </cell>
          <cell r="EM213">
            <v>0</v>
          </cell>
          <cell r="EN213">
            <v>0</v>
          </cell>
          <cell r="EO213">
            <v>0</v>
          </cell>
          <cell r="EP213">
            <v>0</v>
          </cell>
          <cell r="EQ213">
            <v>0</v>
          </cell>
          <cell r="ER213">
            <v>0</v>
          </cell>
          <cell r="ES213">
            <v>0</v>
          </cell>
          <cell r="ET213">
            <v>0</v>
          </cell>
          <cell r="EU213">
            <v>0</v>
          </cell>
          <cell r="EV213">
            <v>0</v>
          </cell>
          <cell r="EW213">
            <v>0</v>
          </cell>
          <cell r="EX213">
            <v>0</v>
          </cell>
          <cell r="EY213">
            <v>0</v>
          </cell>
          <cell r="EZ213">
            <v>0</v>
          </cell>
          <cell r="FA213">
            <v>0</v>
          </cell>
          <cell r="FB213">
            <v>0</v>
          </cell>
          <cell r="FC213">
            <v>0</v>
          </cell>
          <cell r="FD213">
            <v>0</v>
          </cell>
          <cell r="FE213">
            <v>199560047.7073347</v>
          </cell>
          <cell r="FF213">
            <v>213614530.99637222</v>
          </cell>
          <cell r="FG213">
            <v>187110196.04848287</v>
          </cell>
          <cell r="FH213">
            <v>0</v>
          </cell>
          <cell r="FI213">
            <v>0</v>
          </cell>
          <cell r="FJ213">
            <v>0</v>
          </cell>
          <cell r="FK213">
            <v>0</v>
          </cell>
          <cell r="FL213">
            <v>0</v>
          </cell>
          <cell r="FM213">
            <v>0</v>
          </cell>
          <cell r="FN213">
            <v>0</v>
          </cell>
          <cell r="FO213">
            <v>0</v>
          </cell>
          <cell r="FP213">
            <v>0</v>
          </cell>
          <cell r="FQ213">
            <v>0</v>
          </cell>
          <cell r="FR213">
            <v>0</v>
          </cell>
          <cell r="FS213">
            <v>199560047.7073347</v>
          </cell>
          <cell r="FT213">
            <v>0</v>
          </cell>
          <cell r="FU213">
            <v>0</v>
          </cell>
          <cell r="FV213">
            <v>0</v>
          </cell>
          <cell r="FW213">
            <v>0</v>
          </cell>
          <cell r="FX213">
            <v>0</v>
          </cell>
          <cell r="FY213">
            <v>0</v>
          </cell>
          <cell r="FZ213">
            <v>0</v>
          </cell>
          <cell r="GA213">
            <v>203202900.43107003</v>
          </cell>
          <cell r="GB213">
            <v>199560047.7073347</v>
          </cell>
          <cell r="GC213">
            <v>216402483.86883092</v>
          </cell>
          <cell r="GD213">
            <v>199560047.7073347</v>
          </cell>
          <cell r="GE213">
            <v>199560047.7073347</v>
          </cell>
          <cell r="GF213">
            <v>199560047.7073347</v>
          </cell>
          <cell r="GG213">
            <v>199560047.7073347</v>
          </cell>
          <cell r="GH213">
            <v>0</v>
          </cell>
          <cell r="GI213">
            <v>200047317.63012704</v>
          </cell>
          <cell r="GJ213">
            <v>0</v>
          </cell>
          <cell r="GK213">
            <v>199560047.7073347</v>
          </cell>
          <cell r="GL213">
            <v>0</v>
          </cell>
          <cell r="GM213">
            <v>0</v>
          </cell>
          <cell r="GN213">
            <v>0</v>
          </cell>
          <cell r="GO213">
            <v>0</v>
          </cell>
          <cell r="GP213">
            <v>0</v>
          </cell>
          <cell r="GQ213">
            <v>0</v>
          </cell>
          <cell r="GR213">
            <v>0</v>
          </cell>
          <cell r="GS213">
            <v>0</v>
          </cell>
          <cell r="GT213">
            <v>0</v>
          </cell>
          <cell r="GZ213">
            <v>0</v>
          </cell>
        </row>
        <row r="214">
          <cell r="A214" t="str">
            <v>I_VID_NRF_RET_IND_INTR_S09</v>
          </cell>
          <cell r="B214">
            <v>61028961.460000008</v>
          </cell>
          <cell r="C214">
            <v>0</v>
          </cell>
          <cell r="D214">
            <v>59746234.860034302</v>
          </cell>
          <cell r="E214">
            <v>88537080.433852121</v>
          </cell>
          <cell r="F214">
            <v>59746234.860034302</v>
          </cell>
          <cell r="G214">
            <v>59746234.860034302</v>
          </cell>
          <cell r="H214">
            <v>0</v>
          </cell>
          <cell r="I214">
            <v>0</v>
          </cell>
          <cell r="J214">
            <v>0</v>
          </cell>
          <cell r="K214">
            <v>0</v>
          </cell>
          <cell r="L214">
            <v>0</v>
          </cell>
          <cell r="M214">
            <v>0</v>
          </cell>
          <cell r="N214">
            <v>0</v>
          </cell>
          <cell r="O214">
            <v>0</v>
          </cell>
          <cell r="P214">
            <v>0</v>
          </cell>
          <cell r="Q214">
            <v>0</v>
          </cell>
          <cell r="R214">
            <v>0</v>
          </cell>
          <cell r="S214">
            <v>59746234.860034302</v>
          </cell>
          <cell r="T214">
            <v>0</v>
          </cell>
          <cell r="U214">
            <v>0</v>
          </cell>
          <cell r="V214">
            <v>0</v>
          </cell>
          <cell r="W214">
            <v>0</v>
          </cell>
          <cell r="X214">
            <v>0</v>
          </cell>
          <cell r="Y214">
            <v>0</v>
          </cell>
          <cell r="Z214">
            <v>0</v>
          </cell>
          <cell r="AA214">
            <v>59746234.860034302</v>
          </cell>
          <cell r="AB214">
            <v>61914614.707706183</v>
          </cell>
          <cell r="AC214">
            <v>57816719.524747744</v>
          </cell>
          <cell r="AD214">
            <v>0</v>
          </cell>
          <cell r="AE214">
            <v>0</v>
          </cell>
          <cell r="AF214">
            <v>0</v>
          </cell>
          <cell r="AG214">
            <v>0</v>
          </cell>
          <cell r="AH214">
            <v>0</v>
          </cell>
          <cell r="AI214">
            <v>0</v>
          </cell>
          <cell r="AJ214">
            <v>0</v>
          </cell>
          <cell r="AK214">
            <v>0</v>
          </cell>
          <cell r="AL214">
            <v>0</v>
          </cell>
          <cell r="AM214">
            <v>0</v>
          </cell>
          <cell r="AN214">
            <v>0</v>
          </cell>
          <cell r="AO214">
            <v>58145606.706509426</v>
          </cell>
          <cell r="AP214">
            <v>0</v>
          </cell>
          <cell r="AQ214">
            <v>0</v>
          </cell>
          <cell r="AR214">
            <v>0</v>
          </cell>
          <cell r="AS214">
            <v>0</v>
          </cell>
          <cell r="AT214">
            <v>0</v>
          </cell>
          <cell r="AU214">
            <v>0</v>
          </cell>
          <cell r="AV214">
            <v>0</v>
          </cell>
          <cell r="AW214">
            <v>59746234.860034302</v>
          </cell>
          <cell r="AX214">
            <v>88537080.433852121</v>
          </cell>
          <cell r="AY214">
            <v>88537080.433852121</v>
          </cell>
          <cell r="AZ214">
            <v>0</v>
          </cell>
          <cell r="BA214">
            <v>0</v>
          </cell>
          <cell r="BB214">
            <v>0</v>
          </cell>
          <cell r="BC214">
            <v>0</v>
          </cell>
          <cell r="BD214">
            <v>0</v>
          </cell>
          <cell r="BE214">
            <v>0</v>
          </cell>
          <cell r="BF214">
            <v>0</v>
          </cell>
          <cell r="BG214">
            <v>0</v>
          </cell>
          <cell r="BH214">
            <v>0</v>
          </cell>
          <cell r="BI214">
            <v>0</v>
          </cell>
          <cell r="BJ214">
            <v>0</v>
          </cell>
          <cell r="BK214">
            <v>88537080.433852121</v>
          </cell>
          <cell r="BL214">
            <v>0</v>
          </cell>
          <cell r="BM214">
            <v>0</v>
          </cell>
          <cell r="BN214">
            <v>0</v>
          </cell>
          <cell r="BO214">
            <v>0</v>
          </cell>
          <cell r="BP214">
            <v>0</v>
          </cell>
          <cell r="BQ214">
            <v>0</v>
          </cell>
          <cell r="BR214">
            <v>0</v>
          </cell>
          <cell r="BS214">
            <v>88537080.433852121</v>
          </cell>
          <cell r="BT214">
            <v>90871810.259337395</v>
          </cell>
          <cell r="BU214">
            <v>86477233.243862942</v>
          </cell>
          <cell r="BV214">
            <v>0</v>
          </cell>
          <cell r="BW214">
            <v>0</v>
          </cell>
          <cell r="BX214">
            <v>0</v>
          </cell>
          <cell r="BY214">
            <v>0</v>
          </cell>
          <cell r="BZ214">
            <v>0</v>
          </cell>
          <cell r="CA214">
            <v>0</v>
          </cell>
          <cell r="CB214">
            <v>0</v>
          </cell>
          <cell r="CC214">
            <v>0</v>
          </cell>
          <cell r="CD214">
            <v>0</v>
          </cell>
          <cell r="CE214">
            <v>0</v>
          </cell>
          <cell r="CF214">
            <v>0</v>
          </cell>
          <cell r="CG214">
            <v>88537080.433852121</v>
          </cell>
          <cell r="CH214">
            <v>0</v>
          </cell>
          <cell r="CI214">
            <v>0</v>
          </cell>
          <cell r="CJ214">
            <v>0</v>
          </cell>
          <cell r="CK214">
            <v>0</v>
          </cell>
          <cell r="CL214">
            <v>0</v>
          </cell>
          <cell r="CM214">
            <v>0</v>
          </cell>
          <cell r="CN214">
            <v>0</v>
          </cell>
          <cell r="CO214">
            <v>89140884.08531107</v>
          </cell>
          <cell r="CP214">
            <v>88537080.433852121</v>
          </cell>
          <cell r="CQ214">
            <v>88537080.433852121</v>
          </cell>
          <cell r="CR214">
            <v>88537080.433852121</v>
          </cell>
          <cell r="CS214">
            <v>88537080.433852121</v>
          </cell>
          <cell r="CT214">
            <v>88537080.433852121</v>
          </cell>
          <cell r="CU214">
            <v>0</v>
          </cell>
          <cell r="CV214">
            <v>88537080.433852121</v>
          </cell>
          <cell r="CW214">
            <v>88537080.433852121</v>
          </cell>
          <cell r="CX214">
            <v>0</v>
          </cell>
          <cell r="CY214">
            <v>88537080.433852121</v>
          </cell>
          <cell r="CZ214">
            <v>88537080.433852121</v>
          </cell>
          <cell r="DA214">
            <v>94311539.68303749</v>
          </cell>
          <cell r="DB214">
            <v>88537080.433852121</v>
          </cell>
          <cell r="DC214">
            <v>88537080.433852121</v>
          </cell>
          <cell r="DD214">
            <v>88537080.433852121</v>
          </cell>
          <cell r="DE214">
            <v>0</v>
          </cell>
          <cell r="DF214">
            <v>88537080.433852121</v>
          </cell>
          <cell r="DG214">
            <v>88685831.291235819</v>
          </cell>
          <cell r="DH214">
            <v>0</v>
          </cell>
          <cell r="DI214">
            <v>88537080.433852121</v>
          </cell>
          <cell r="DJ214">
            <v>0</v>
          </cell>
          <cell r="DK214">
            <v>0</v>
          </cell>
          <cell r="DL214">
            <v>0</v>
          </cell>
          <cell r="DM214">
            <v>0</v>
          </cell>
          <cell r="DN214">
            <v>0</v>
          </cell>
          <cell r="DO214">
            <v>0</v>
          </cell>
          <cell r="DP214">
            <v>0</v>
          </cell>
          <cell r="DQ214">
            <v>0</v>
          </cell>
          <cell r="DR214">
            <v>0</v>
          </cell>
          <cell r="DS214">
            <v>0</v>
          </cell>
          <cell r="DT214">
            <v>0</v>
          </cell>
          <cell r="DU214">
            <v>0</v>
          </cell>
          <cell r="DV214">
            <v>0</v>
          </cell>
          <cell r="DW214">
            <v>0</v>
          </cell>
          <cell r="EA214">
            <v>0</v>
          </cell>
          <cell r="EB214">
            <v>0</v>
          </cell>
          <cell r="EC214">
            <v>0</v>
          </cell>
          <cell r="ED214">
            <v>0</v>
          </cell>
          <cell r="EE214">
            <v>0</v>
          </cell>
          <cell r="EF214">
            <v>0</v>
          </cell>
          <cell r="EG214">
            <v>0</v>
          </cell>
          <cell r="EH214">
            <v>0</v>
          </cell>
          <cell r="EI214">
            <v>0</v>
          </cell>
          <cell r="EJ214">
            <v>0</v>
          </cell>
          <cell r="EK214">
            <v>0</v>
          </cell>
          <cell r="EL214">
            <v>0</v>
          </cell>
          <cell r="EM214">
            <v>0</v>
          </cell>
          <cell r="EN214">
            <v>0</v>
          </cell>
          <cell r="EO214">
            <v>0</v>
          </cell>
          <cell r="EP214">
            <v>0</v>
          </cell>
          <cell r="EQ214">
            <v>0</v>
          </cell>
          <cell r="ER214">
            <v>0</v>
          </cell>
          <cell r="ES214">
            <v>0</v>
          </cell>
          <cell r="ET214">
            <v>0</v>
          </cell>
          <cell r="EU214">
            <v>0</v>
          </cell>
          <cell r="EV214">
            <v>0</v>
          </cell>
          <cell r="EW214">
            <v>0</v>
          </cell>
          <cell r="EX214">
            <v>0</v>
          </cell>
          <cell r="EY214">
            <v>0</v>
          </cell>
          <cell r="EZ214">
            <v>0</v>
          </cell>
          <cell r="FA214">
            <v>0</v>
          </cell>
          <cell r="FB214">
            <v>0</v>
          </cell>
          <cell r="FC214">
            <v>0</v>
          </cell>
          <cell r="FD214">
            <v>0</v>
          </cell>
          <cell r="FE214">
            <v>88537080.433852121</v>
          </cell>
          <cell r="FF214">
            <v>90871810.259337395</v>
          </cell>
          <cell r="FG214">
            <v>86477233.243862942</v>
          </cell>
          <cell r="FH214">
            <v>0</v>
          </cell>
          <cell r="FI214">
            <v>0</v>
          </cell>
          <cell r="FJ214">
            <v>0</v>
          </cell>
          <cell r="FK214">
            <v>0</v>
          </cell>
          <cell r="FL214">
            <v>0</v>
          </cell>
          <cell r="FM214">
            <v>0</v>
          </cell>
          <cell r="FN214">
            <v>0</v>
          </cell>
          <cell r="FO214">
            <v>0</v>
          </cell>
          <cell r="FP214">
            <v>0</v>
          </cell>
          <cell r="FQ214">
            <v>0</v>
          </cell>
          <cell r="FR214">
            <v>0</v>
          </cell>
          <cell r="FS214">
            <v>88537080.433852121</v>
          </cell>
          <cell r="FT214">
            <v>0</v>
          </cell>
          <cell r="FU214">
            <v>0</v>
          </cell>
          <cell r="FV214">
            <v>0</v>
          </cell>
          <cell r="FW214">
            <v>0</v>
          </cell>
          <cell r="FX214">
            <v>0</v>
          </cell>
          <cell r="FY214">
            <v>0</v>
          </cell>
          <cell r="FZ214">
            <v>0</v>
          </cell>
          <cell r="GA214">
            <v>89140884.08531107</v>
          </cell>
          <cell r="GB214">
            <v>88537080.433852121</v>
          </cell>
          <cell r="GC214">
            <v>94311539.68303749</v>
          </cell>
          <cell r="GD214">
            <v>88537080.433852121</v>
          </cell>
          <cell r="GE214">
            <v>88537080.433852121</v>
          </cell>
          <cell r="GF214">
            <v>88537080.433852121</v>
          </cell>
          <cell r="GG214">
            <v>0</v>
          </cell>
          <cell r="GH214">
            <v>88537080.433852121</v>
          </cell>
          <cell r="GI214">
            <v>88685831.291235819</v>
          </cell>
          <cell r="GJ214">
            <v>0</v>
          </cell>
          <cell r="GK214">
            <v>88537080.433852121</v>
          </cell>
          <cell r="GL214">
            <v>0</v>
          </cell>
          <cell r="GM214">
            <v>0</v>
          </cell>
          <cell r="GN214">
            <v>0</v>
          </cell>
          <cell r="GO214">
            <v>0</v>
          </cell>
          <cell r="GP214">
            <v>0</v>
          </cell>
          <cell r="GQ214">
            <v>0</v>
          </cell>
          <cell r="GR214">
            <v>0</v>
          </cell>
          <cell r="GS214">
            <v>0</v>
          </cell>
          <cell r="GT214">
            <v>0</v>
          </cell>
          <cell r="GZ214">
            <v>0</v>
          </cell>
        </row>
        <row r="215">
          <cell r="A215" t="str">
            <v>I_VID_NRF_CPT_PRP_INTR_S25</v>
          </cell>
          <cell r="B215">
            <v>0</v>
          </cell>
          <cell r="C215">
            <v>0</v>
          </cell>
          <cell r="D215">
            <v>25142331.840000004</v>
          </cell>
          <cell r="E215">
            <v>0</v>
          </cell>
          <cell r="F215">
            <v>25142331.840000004</v>
          </cell>
          <cell r="G215">
            <v>25142331.840000004</v>
          </cell>
          <cell r="H215">
            <v>0</v>
          </cell>
          <cell r="I215">
            <v>0</v>
          </cell>
          <cell r="J215">
            <v>0</v>
          </cell>
          <cell r="K215">
            <v>0</v>
          </cell>
          <cell r="L215">
            <v>0</v>
          </cell>
          <cell r="M215">
            <v>0</v>
          </cell>
          <cell r="N215">
            <v>0</v>
          </cell>
          <cell r="O215">
            <v>0</v>
          </cell>
          <cell r="P215">
            <v>0</v>
          </cell>
          <cell r="Q215">
            <v>0</v>
          </cell>
          <cell r="R215">
            <v>0</v>
          </cell>
          <cell r="S215">
            <v>25142331.840000004</v>
          </cell>
          <cell r="T215">
            <v>0</v>
          </cell>
          <cell r="U215">
            <v>0</v>
          </cell>
          <cell r="V215">
            <v>0</v>
          </cell>
          <cell r="W215">
            <v>0</v>
          </cell>
          <cell r="X215">
            <v>0</v>
          </cell>
          <cell r="Y215">
            <v>0</v>
          </cell>
          <cell r="Z215">
            <v>0</v>
          </cell>
          <cell r="AA215">
            <v>25142331.840000004</v>
          </cell>
          <cell r="AB215">
            <v>26081251.983192522</v>
          </cell>
          <cell r="AC215">
            <v>24144015.358073257</v>
          </cell>
          <cell r="AD215">
            <v>0</v>
          </cell>
          <cell r="AE215">
            <v>0</v>
          </cell>
          <cell r="AF215">
            <v>0</v>
          </cell>
          <cell r="AG215">
            <v>0</v>
          </cell>
          <cell r="AH215">
            <v>0</v>
          </cell>
          <cell r="AI215">
            <v>0</v>
          </cell>
          <cell r="AJ215">
            <v>0</v>
          </cell>
          <cell r="AK215">
            <v>0</v>
          </cell>
          <cell r="AL215">
            <v>0</v>
          </cell>
          <cell r="AM215">
            <v>0</v>
          </cell>
          <cell r="AN215">
            <v>0</v>
          </cell>
          <cell r="AO215">
            <v>23606959.701199926</v>
          </cell>
          <cell r="AP215">
            <v>0</v>
          </cell>
          <cell r="AQ215">
            <v>0</v>
          </cell>
          <cell r="AR215">
            <v>0</v>
          </cell>
          <cell r="AS215">
            <v>0</v>
          </cell>
          <cell r="AT215">
            <v>0</v>
          </cell>
          <cell r="AU215">
            <v>0</v>
          </cell>
          <cell r="AV215">
            <v>0</v>
          </cell>
          <cell r="AW215">
            <v>25142331.840000004</v>
          </cell>
          <cell r="AX215">
            <v>0</v>
          </cell>
          <cell r="AY215">
            <v>0</v>
          </cell>
          <cell r="AZ215">
            <v>0</v>
          </cell>
          <cell r="BA215">
            <v>0</v>
          </cell>
          <cell r="BB215">
            <v>0</v>
          </cell>
          <cell r="BC215">
            <v>0</v>
          </cell>
          <cell r="BD215">
            <v>0</v>
          </cell>
          <cell r="BE215">
            <v>0</v>
          </cell>
          <cell r="BF215">
            <v>0</v>
          </cell>
          <cell r="BG215">
            <v>0</v>
          </cell>
          <cell r="BH215">
            <v>0</v>
          </cell>
          <cell r="BI215">
            <v>0</v>
          </cell>
          <cell r="BJ215">
            <v>0</v>
          </cell>
          <cell r="BK215">
            <v>0</v>
          </cell>
          <cell r="BL215">
            <v>0</v>
          </cell>
          <cell r="BM215">
            <v>0</v>
          </cell>
          <cell r="BN215">
            <v>0</v>
          </cell>
          <cell r="BO215">
            <v>0</v>
          </cell>
          <cell r="BP215">
            <v>0</v>
          </cell>
          <cell r="BQ215">
            <v>0</v>
          </cell>
          <cell r="BR215">
            <v>0</v>
          </cell>
          <cell r="BS215">
            <v>0</v>
          </cell>
          <cell r="BT215">
            <v>0</v>
          </cell>
          <cell r="BU215">
            <v>0</v>
          </cell>
          <cell r="BV215">
            <v>0</v>
          </cell>
          <cell r="BW215">
            <v>0</v>
          </cell>
          <cell r="BX215">
            <v>0</v>
          </cell>
          <cell r="BY215">
            <v>0</v>
          </cell>
          <cell r="BZ215">
            <v>0</v>
          </cell>
          <cell r="CA215">
            <v>0</v>
          </cell>
          <cell r="CB215">
            <v>0</v>
          </cell>
          <cell r="CC215">
            <v>0</v>
          </cell>
          <cell r="CD215">
            <v>0</v>
          </cell>
          <cell r="CE215">
            <v>0</v>
          </cell>
          <cell r="CF215">
            <v>0</v>
          </cell>
          <cell r="CG215">
            <v>0</v>
          </cell>
          <cell r="CH215">
            <v>0</v>
          </cell>
          <cell r="CI215">
            <v>0</v>
          </cell>
          <cell r="CJ215">
            <v>0</v>
          </cell>
          <cell r="CK215">
            <v>0</v>
          </cell>
          <cell r="CL215">
            <v>0</v>
          </cell>
          <cell r="CM215">
            <v>0</v>
          </cell>
          <cell r="CN215">
            <v>0</v>
          </cell>
          <cell r="CO215">
            <v>0</v>
          </cell>
          <cell r="CP215">
            <v>0</v>
          </cell>
          <cell r="CQ215">
            <v>0</v>
          </cell>
          <cell r="CR215">
            <v>0</v>
          </cell>
          <cell r="CS215">
            <v>0</v>
          </cell>
          <cell r="CT215">
            <v>0</v>
          </cell>
          <cell r="CU215">
            <v>0</v>
          </cell>
          <cell r="CV215">
            <v>0</v>
          </cell>
          <cell r="CW215">
            <v>0</v>
          </cell>
          <cell r="CX215">
            <v>0</v>
          </cell>
          <cell r="CY215">
            <v>0</v>
          </cell>
          <cell r="CZ215">
            <v>0</v>
          </cell>
          <cell r="DA215">
            <v>0</v>
          </cell>
          <cell r="DB215">
            <v>0</v>
          </cell>
          <cell r="DC215">
            <v>0</v>
          </cell>
          <cell r="DD215">
            <v>0</v>
          </cell>
          <cell r="DE215">
            <v>0</v>
          </cell>
          <cell r="DF215">
            <v>0</v>
          </cell>
          <cell r="DG215">
            <v>0</v>
          </cell>
          <cell r="DH215">
            <v>0</v>
          </cell>
          <cell r="DI215">
            <v>0</v>
          </cell>
          <cell r="DJ215">
            <v>0</v>
          </cell>
          <cell r="DK215">
            <v>0</v>
          </cell>
          <cell r="DL215">
            <v>0</v>
          </cell>
          <cell r="DM215">
            <v>0</v>
          </cell>
          <cell r="DN215">
            <v>0</v>
          </cell>
          <cell r="DO215">
            <v>0</v>
          </cell>
          <cell r="DP215">
            <v>0</v>
          </cell>
          <cell r="DQ215">
            <v>0</v>
          </cell>
          <cell r="DR215">
            <v>0</v>
          </cell>
          <cell r="DS215">
            <v>0</v>
          </cell>
          <cell r="DT215">
            <v>0</v>
          </cell>
          <cell r="DU215">
            <v>0</v>
          </cell>
          <cell r="DV215">
            <v>0</v>
          </cell>
          <cell r="DW215">
            <v>0</v>
          </cell>
          <cell r="EA215">
            <v>0</v>
          </cell>
          <cell r="EB215">
            <v>0</v>
          </cell>
          <cell r="EC215">
            <v>0</v>
          </cell>
          <cell r="ED215">
            <v>0</v>
          </cell>
          <cell r="EE215">
            <v>0</v>
          </cell>
          <cell r="EF215">
            <v>0</v>
          </cell>
          <cell r="EG215">
            <v>0</v>
          </cell>
          <cell r="EH215">
            <v>0</v>
          </cell>
          <cell r="EI215">
            <v>0</v>
          </cell>
          <cell r="EJ215">
            <v>0</v>
          </cell>
          <cell r="EK215">
            <v>0</v>
          </cell>
          <cell r="EL215">
            <v>0</v>
          </cell>
          <cell r="EM215">
            <v>0</v>
          </cell>
          <cell r="EN215">
            <v>0</v>
          </cell>
          <cell r="EO215">
            <v>0</v>
          </cell>
          <cell r="EP215">
            <v>0</v>
          </cell>
          <cell r="EQ215">
            <v>0</v>
          </cell>
          <cell r="ER215">
            <v>0</v>
          </cell>
          <cell r="ES215">
            <v>0</v>
          </cell>
          <cell r="ET215">
            <v>0</v>
          </cell>
          <cell r="EU215">
            <v>0</v>
          </cell>
          <cell r="EV215">
            <v>0</v>
          </cell>
          <cell r="EW215">
            <v>0</v>
          </cell>
          <cell r="EX215">
            <v>0</v>
          </cell>
          <cell r="EY215">
            <v>0</v>
          </cell>
          <cell r="EZ215">
            <v>0</v>
          </cell>
          <cell r="FA215">
            <v>0</v>
          </cell>
          <cell r="FB215">
            <v>0</v>
          </cell>
          <cell r="FC215">
            <v>0</v>
          </cell>
          <cell r="FD215">
            <v>0</v>
          </cell>
          <cell r="FE215">
            <v>0</v>
          </cell>
          <cell r="FF215">
            <v>0</v>
          </cell>
          <cell r="FG215">
            <v>0</v>
          </cell>
          <cell r="FH215">
            <v>0</v>
          </cell>
          <cell r="FI215">
            <v>0</v>
          </cell>
          <cell r="FJ215">
            <v>0</v>
          </cell>
          <cell r="FK215">
            <v>0</v>
          </cell>
          <cell r="FL215">
            <v>0</v>
          </cell>
          <cell r="FM215">
            <v>0</v>
          </cell>
          <cell r="FN215">
            <v>0</v>
          </cell>
          <cell r="FO215">
            <v>0</v>
          </cell>
          <cell r="FP215">
            <v>0</v>
          </cell>
          <cell r="FQ215">
            <v>0</v>
          </cell>
          <cell r="FR215">
            <v>0</v>
          </cell>
          <cell r="FS215">
            <v>0</v>
          </cell>
          <cell r="FT215">
            <v>0</v>
          </cell>
          <cell r="FU215">
            <v>0</v>
          </cell>
          <cell r="FV215">
            <v>0</v>
          </cell>
          <cell r="FW215">
            <v>0</v>
          </cell>
          <cell r="FX215">
            <v>0</v>
          </cell>
          <cell r="FY215">
            <v>0</v>
          </cell>
          <cell r="FZ215">
            <v>0</v>
          </cell>
          <cell r="GA215">
            <v>0</v>
          </cell>
          <cell r="GB215">
            <v>0</v>
          </cell>
          <cell r="GC215">
            <v>0</v>
          </cell>
          <cell r="GD215">
            <v>0</v>
          </cell>
          <cell r="GE215">
            <v>0</v>
          </cell>
          <cell r="GF215">
            <v>0</v>
          </cell>
          <cell r="GG215">
            <v>0</v>
          </cell>
          <cell r="GH215">
            <v>0</v>
          </cell>
          <cell r="GI215">
            <v>0</v>
          </cell>
          <cell r="GJ215">
            <v>0</v>
          </cell>
          <cell r="GK215">
            <v>0</v>
          </cell>
          <cell r="GL215">
            <v>0</v>
          </cell>
          <cell r="GM215">
            <v>0</v>
          </cell>
          <cell r="GN215">
            <v>0</v>
          </cell>
          <cell r="GO215">
            <v>0</v>
          </cell>
          <cell r="GP215">
            <v>0</v>
          </cell>
          <cell r="GQ215">
            <v>0</v>
          </cell>
          <cell r="GR215">
            <v>0</v>
          </cell>
          <cell r="GS215">
            <v>0</v>
          </cell>
          <cell r="GT215">
            <v>0</v>
          </cell>
          <cell r="GZ215">
            <v>0</v>
          </cell>
        </row>
        <row r="216">
          <cell r="A216" t="str">
            <v>I_VID_NRF_EPA_UCS_INTR_S27</v>
          </cell>
          <cell r="B216">
            <v>1741919.8900000141</v>
          </cell>
          <cell r="C216">
            <v>0</v>
          </cell>
          <cell r="D216">
            <v>176053.84999999884</v>
          </cell>
          <cell r="E216">
            <v>1375819.5489548799</v>
          </cell>
          <cell r="F216">
            <v>176053.84999999884</v>
          </cell>
          <cell r="G216">
            <v>176053.84999999884</v>
          </cell>
          <cell r="H216">
            <v>0</v>
          </cell>
          <cell r="I216">
            <v>0</v>
          </cell>
          <cell r="J216">
            <v>176053.84999999884</v>
          </cell>
          <cell r="K216">
            <v>0</v>
          </cell>
          <cell r="L216">
            <v>0</v>
          </cell>
          <cell r="M216">
            <v>0</v>
          </cell>
          <cell r="N216">
            <v>0</v>
          </cell>
          <cell r="O216">
            <v>0</v>
          </cell>
          <cell r="P216">
            <v>0</v>
          </cell>
          <cell r="Q216">
            <v>0</v>
          </cell>
          <cell r="R216">
            <v>0</v>
          </cell>
          <cell r="S216">
            <v>176053.84999999884</v>
          </cell>
          <cell r="T216">
            <v>0</v>
          </cell>
          <cell r="U216">
            <v>0</v>
          </cell>
          <cell r="V216">
            <v>0</v>
          </cell>
          <cell r="W216">
            <v>0</v>
          </cell>
          <cell r="X216">
            <v>0</v>
          </cell>
          <cell r="Y216">
            <v>0</v>
          </cell>
          <cell r="Z216">
            <v>0</v>
          </cell>
          <cell r="AA216">
            <v>176053.84999999884</v>
          </cell>
          <cell r="AB216">
            <v>176053.84999999884</v>
          </cell>
          <cell r="AC216">
            <v>176053.84999999884</v>
          </cell>
          <cell r="AD216">
            <v>0</v>
          </cell>
          <cell r="AE216">
            <v>0</v>
          </cell>
          <cell r="AF216">
            <v>176053.84999999884</v>
          </cell>
          <cell r="AG216">
            <v>0</v>
          </cell>
          <cell r="AH216">
            <v>0</v>
          </cell>
          <cell r="AI216">
            <v>0</v>
          </cell>
          <cell r="AJ216">
            <v>0</v>
          </cell>
          <cell r="AK216">
            <v>0</v>
          </cell>
          <cell r="AL216">
            <v>0</v>
          </cell>
          <cell r="AM216">
            <v>0</v>
          </cell>
          <cell r="AN216">
            <v>0</v>
          </cell>
          <cell r="AO216">
            <v>176053.84999999884</v>
          </cell>
          <cell r="AP216">
            <v>0</v>
          </cell>
          <cell r="AQ216">
            <v>0</v>
          </cell>
          <cell r="AR216">
            <v>0</v>
          </cell>
          <cell r="AS216">
            <v>0</v>
          </cell>
          <cell r="AT216">
            <v>0</v>
          </cell>
          <cell r="AU216">
            <v>0</v>
          </cell>
          <cell r="AV216">
            <v>0</v>
          </cell>
          <cell r="AW216">
            <v>176053.84999999884</v>
          </cell>
          <cell r="AX216">
            <v>1375819.5489548799</v>
          </cell>
          <cell r="AY216">
            <v>1375819.5489548799</v>
          </cell>
          <cell r="AZ216">
            <v>0</v>
          </cell>
          <cell r="BA216">
            <v>0</v>
          </cell>
          <cell r="BB216">
            <v>1375819.5489548799</v>
          </cell>
          <cell r="BC216">
            <v>0</v>
          </cell>
          <cell r="BD216">
            <v>0</v>
          </cell>
          <cell r="BE216">
            <v>0</v>
          </cell>
          <cell r="BF216">
            <v>0</v>
          </cell>
          <cell r="BG216">
            <v>0</v>
          </cell>
          <cell r="BH216">
            <v>0</v>
          </cell>
          <cell r="BI216">
            <v>0</v>
          </cell>
          <cell r="BJ216">
            <v>0</v>
          </cell>
          <cell r="BK216">
            <v>1375819.5489548799</v>
          </cell>
          <cell r="BL216">
            <v>0</v>
          </cell>
          <cell r="BM216">
            <v>0</v>
          </cell>
          <cell r="BN216">
            <v>0</v>
          </cell>
          <cell r="BO216">
            <v>0</v>
          </cell>
          <cell r="BP216">
            <v>0</v>
          </cell>
          <cell r="BQ216">
            <v>0</v>
          </cell>
          <cell r="BR216">
            <v>0</v>
          </cell>
          <cell r="BS216">
            <v>1375819.5489548799</v>
          </cell>
          <cell r="BT216">
            <v>1375087.7054520403</v>
          </cell>
          <cell r="BU216">
            <v>1376888.5945998605</v>
          </cell>
          <cell r="BV216">
            <v>0</v>
          </cell>
          <cell r="BW216">
            <v>0</v>
          </cell>
          <cell r="BX216">
            <v>1375819.5489548799</v>
          </cell>
          <cell r="BY216">
            <v>0</v>
          </cell>
          <cell r="BZ216">
            <v>0</v>
          </cell>
          <cell r="CA216">
            <v>0</v>
          </cell>
          <cell r="CB216">
            <v>0</v>
          </cell>
          <cell r="CC216">
            <v>0</v>
          </cell>
          <cell r="CD216">
            <v>0</v>
          </cell>
          <cell r="CE216">
            <v>0</v>
          </cell>
          <cell r="CF216">
            <v>0</v>
          </cell>
          <cell r="CG216">
            <v>1375819.5489548799</v>
          </cell>
          <cell r="CH216">
            <v>0</v>
          </cell>
          <cell r="CI216">
            <v>0</v>
          </cell>
          <cell r="CJ216">
            <v>0</v>
          </cell>
          <cell r="CK216">
            <v>0</v>
          </cell>
          <cell r="CL216">
            <v>0</v>
          </cell>
          <cell r="CM216">
            <v>0</v>
          </cell>
          <cell r="CN216">
            <v>0</v>
          </cell>
          <cell r="CO216">
            <v>1375819.5489548799</v>
          </cell>
          <cell r="CP216">
            <v>1375819.5489548799</v>
          </cell>
          <cell r="CQ216">
            <v>1375819.5489548799</v>
          </cell>
          <cell r="CR216">
            <v>1375819.5489548799</v>
          </cell>
          <cell r="CS216">
            <v>1375819.5489548799</v>
          </cell>
          <cell r="CT216">
            <v>1375819.5489548799</v>
          </cell>
          <cell r="CU216">
            <v>0</v>
          </cell>
          <cell r="CV216">
            <v>1375819.5489548799</v>
          </cell>
          <cell r="CW216">
            <v>1375819.5489548799</v>
          </cell>
          <cell r="CX216">
            <v>0</v>
          </cell>
          <cell r="CY216">
            <v>1375819.5489548799</v>
          </cell>
          <cell r="CZ216">
            <v>1375812.1581743222</v>
          </cell>
          <cell r="DA216">
            <v>1375819.5489548799</v>
          </cell>
          <cell r="DB216">
            <v>1375819.5489548799</v>
          </cell>
          <cell r="DC216">
            <v>1374260.0996002199</v>
          </cell>
          <cell r="DD216">
            <v>1379668.2635945815</v>
          </cell>
          <cell r="DE216">
            <v>0</v>
          </cell>
          <cell r="DF216">
            <v>1375838.9242073284</v>
          </cell>
          <cell r="DG216">
            <v>1376630.8795495743</v>
          </cell>
          <cell r="DH216">
            <v>0</v>
          </cell>
          <cell r="DI216">
            <v>1375816.4267337429</v>
          </cell>
          <cell r="DJ216">
            <v>0</v>
          </cell>
          <cell r="DK216">
            <v>0</v>
          </cell>
          <cell r="DL216">
            <v>0</v>
          </cell>
          <cell r="DM216">
            <v>0</v>
          </cell>
          <cell r="DN216">
            <v>0</v>
          </cell>
          <cell r="DO216">
            <v>0</v>
          </cell>
          <cell r="DP216">
            <v>0</v>
          </cell>
          <cell r="DQ216">
            <v>0</v>
          </cell>
          <cell r="DR216">
            <v>0</v>
          </cell>
          <cell r="DS216">
            <v>0</v>
          </cell>
          <cell r="DT216">
            <v>0</v>
          </cell>
          <cell r="DU216">
            <v>0</v>
          </cell>
          <cell r="DV216">
            <v>0</v>
          </cell>
          <cell r="DW216">
            <v>0</v>
          </cell>
          <cell r="EA216">
            <v>0</v>
          </cell>
          <cell r="EB216">
            <v>0</v>
          </cell>
          <cell r="EC216">
            <v>0</v>
          </cell>
          <cell r="ED216">
            <v>0</v>
          </cell>
          <cell r="EE216">
            <v>0</v>
          </cell>
          <cell r="EF216">
            <v>0</v>
          </cell>
          <cell r="EG216">
            <v>0</v>
          </cell>
          <cell r="EH216">
            <v>0</v>
          </cell>
          <cell r="EI216">
            <v>0</v>
          </cell>
          <cell r="EJ216">
            <v>0</v>
          </cell>
          <cell r="EK216">
            <v>0</v>
          </cell>
          <cell r="EL216">
            <v>0</v>
          </cell>
          <cell r="EM216">
            <v>0</v>
          </cell>
          <cell r="EN216">
            <v>0</v>
          </cell>
          <cell r="EO216">
            <v>0</v>
          </cell>
          <cell r="EP216">
            <v>0</v>
          </cell>
          <cell r="EQ216">
            <v>0</v>
          </cell>
          <cell r="ER216">
            <v>0</v>
          </cell>
          <cell r="ES216">
            <v>0</v>
          </cell>
          <cell r="ET216">
            <v>0</v>
          </cell>
          <cell r="EU216">
            <v>0</v>
          </cell>
          <cell r="EV216">
            <v>0</v>
          </cell>
          <cell r="EW216">
            <v>0</v>
          </cell>
          <cell r="EX216">
            <v>0</v>
          </cell>
          <cell r="EY216">
            <v>0</v>
          </cell>
          <cell r="EZ216">
            <v>0</v>
          </cell>
          <cell r="FA216">
            <v>0</v>
          </cell>
          <cell r="FB216">
            <v>0</v>
          </cell>
          <cell r="FC216">
            <v>0</v>
          </cell>
          <cell r="FD216">
            <v>0</v>
          </cell>
          <cell r="FE216">
            <v>1375819.5489548799</v>
          </cell>
          <cell r="FF216">
            <v>1375087.7054520403</v>
          </cell>
          <cell r="FG216">
            <v>1376888.5945998605</v>
          </cell>
          <cell r="FH216">
            <v>0</v>
          </cell>
          <cell r="FI216">
            <v>0</v>
          </cell>
          <cell r="FJ216">
            <v>0</v>
          </cell>
          <cell r="FK216">
            <v>0</v>
          </cell>
          <cell r="FL216">
            <v>0</v>
          </cell>
          <cell r="FM216">
            <v>0</v>
          </cell>
          <cell r="FN216">
            <v>0</v>
          </cell>
          <cell r="FO216">
            <v>0</v>
          </cell>
          <cell r="FP216">
            <v>0</v>
          </cell>
          <cell r="FQ216">
            <v>0</v>
          </cell>
          <cell r="FR216">
            <v>0</v>
          </cell>
          <cell r="FS216">
            <v>1375819.5489548799</v>
          </cell>
          <cell r="FT216">
            <v>0</v>
          </cell>
          <cell r="FU216">
            <v>0</v>
          </cell>
          <cell r="FV216">
            <v>0</v>
          </cell>
          <cell r="FW216">
            <v>0</v>
          </cell>
          <cell r="FX216">
            <v>0</v>
          </cell>
          <cell r="FY216">
            <v>0</v>
          </cell>
          <cell r="FZ216">
            <v>0</v>
          </cell>
          <cell r="GA216">
            <v>1375819.5489548799</v>
          </cell>
          <cell r="GB216">
            <v>1375812.1581743222</v>
          </cell>
          <cell r="GC216">
            <v>1375819.5489548799</v>
          </cell>
          <cell r="GD216">
            <v>1375819.5489548799</v>
          </cell>
          <cell r="GE216">
            <v>1374260.0996002199</v>
          </cell>
          <cell r="GF216">
            <v>1379668.2635945815</v>
          </cell>
          <cell r="GG216">
            <v>0</v>
          </cell>
          <cell r="GH216">
            <v>1375838.9242073284</v>
          </cell>
          <cell r="GI216">
            <v>1376630.8795495743</v>
          </cell>
          <cell r="GJ216">
            <v>0</v>
          </cell>
          <cell r="GK216">
            <v>1375816.4267337429</v>
          </cell>
          <cell r="GL216">
            <v>0</v>
          </cell>
          <cell r="GM216">
            <v>0</v>
          </cell>
          <cell r="GN216">
            <v>0</v>
          </cell>
          <cell r="GO216">
            <v>0</v>
          </cell>
          <cell r="GP216">
            <v>0</v>
          </cell>
          <cell r="GQ216">
            <v>0</v>
          </cell>
          <cell r="GR216">
            <v>0</v>
          </cell>
          <cell r="GS216">
            <v>0</v>
          </cell>
          <cell r="GT216">
            <v>0</v>
          </cell>
          <cell r="GZ216">
            <v>73515.149999999994</v>
          </cell>
        </row>
        <row r="217">
          <cell r="A217" t="str">
            <v>I_VID_NRF_EPA_EUR_INTR_S28</v>
          </cell>
          <cell r="B217">
            <v>69371257.099999949</v>
          </cell>
          <cell r="C217">
            <v>0</v>
          </cell>
          <cell r="D217">
            <v>45502613.499999993</v>
          </cell>
          <cell r="E217">
            <v>47997217.162273288</v>
          </cell>
          <cell r="F217">
            <v>45502613.499999993</v>
          </cell>
          <cell r="G217">
            <v>45502613.499999993</v>
          </cell>
          <cell r="H217">
            <v>0</v>
          </cell>
          <cell r="I217">
            <v>0</v>
          </cell>
          <cell r="J217">
            <v>0</v>
          </cell>
          <cell r="K217">
            <v>0</v>
          </cell>
          <cell r="L217">
            <v>0</v>
          </cell>
          <cell r="M217">
            <v>0</v>
          </cell>
          <cell r="N217">
            <v>0</v>
          </cell>
          <cell r="O217">
            <v>0</v>
          </cell>
          <cell r="P217">
            <v>0</v>
          </cell>
          <cell r="Q217">
            <v>0</v>
          </cell>
          <cell r="R217">
            <v>0</v>
          </cell>
          <cell r="S217">
            <v>45502613.499999993</v>
          </cell>
          <cell r="T217">
            <v>0</v>
          </cell>
          <cell r="U217">
            <v>0</v>
          </cell>
          <cell r="V217">
            <v>0</v>
          </cell>
          <cell r="W217">
            <v>0</v>
          </cell>
          <cell r="X217">
            <v>0</v>
          </cell>
          <cell r="Y217">
            <v>0</v>
          </cell>
          <cell r="Z217">
            <v>0</v>
          </cell>
          <cell r="AA217">
            <v>45502613.499999993</v>
          </cell>
          <cell r="AB217">
            <v>45502613.499999993</v>
          </cell>
          <cell r="AC217">
            <v>45502613.499999993</v>
          </cell>
          <cell r="AD217">
            <v>0</v>
          </cell>
          <cell r="AE217">
            <v>0</v>
          </cell>
          <cell r="AF217">
            <v>0</v>
          </cell>
          <cell r="AG217">
            <v>0</v>
          </cell>
          <cell r="AH217">
            <v>0</v>
          </cell>
          <cell r="AI217">
            <v>0</v>
          </cell>
          <cell r="AJ217">
            <v>0</v>
          </cell>
          <cell r="AK217">
            <v>0</v>
          </cell>
          <cell r="AL217">
            <v>0</v>
          </cell>
          <cell r="AM217">
            <v>0</v>
          </cell>
          <cell r="AN217">
            <v>0</v>
          </cell>
          <cell r="AO217">
            <v>45502613.499999993</v>
          </cell>
          <cell r="AP217">
            <v>0</v>
          </cell>
          <cell r="AQ217">
            <v>0</v>
          </cell>
          <cell r="AR217">
            <v>0</v>
          </cell>
          <cell r="AS217">
            <v>0</v>
          </cell>
          <cell r="AT217">
            <v>0</v>
          </cell>
          <cell r="AU217">
            <v>0</v>
          </cell>
          <cell r="AV217">
            <v>0</v>
          </cell>
          <cell r="AW217">
            <v>45502613.499999993</v>
          </cell>
          <cell r="AX217">
            <v>47997217.162273288</v>
          </cell>
          <cell r="AY217">
            <v>47997217.162273288</v>
          </cell>
          <cell r="AZ217">
            <v>0</v>
          </cell>
          <cell r="BA217">
            <v>0</v>
          </cell>
          <cell r="BB217">
            <v>0</v>
          </cell>
          <cell r="BC217">
            <v>0</v>
          </cell>
          <cell r="BD217">
            <v>0</v>
          </cell>
          <cell r="BE217">
            <v>0</v>
          </cell>
          <cell r="BF217">
            <v>0</v>
          </cell>
          <cell r="BG217">
            <v>0</v>
          </cell>
          <cell r="BH217">
            <v>0</v>
          </cell>
          <cell r="BI217">
            <v>0</v>
          </cell>
          <cell r="BJ217">
            <v>0</v>
          </cell>
          <cell r="BK217">
            <v>47997217.162273288</v>
          </cell>
          <cell r="BL217">
            <v>0</v>
          </cell>
          <cell r="BM217">
            <v>0</v>
          </cell>
          <cell r="BN217">
            <v>0</v>
          </cell>
          <cell r="BO217">
            <v>0</v>
          </cell>
          <cell r="BP217">
            <v>0</v>
          </cell>
          <cell r="BQ217">
            <v>0</v>
          </cell>
          <cell r="BR217">
            <v>0</v>
          </cell>
          <cell r="BS217">
            <v>47997217.162273288</v>
          </cell>
          <cell r="BT217">
            <v>47997217.162273288</v>
          </cell>
          <cell r="BU217">
            <v>47997217.162273288</v>
          </cell>
          <cell r="BV217">
            <v>0</v>
          </cell>
          <cell r="BW217">
            <v>0</v>
          </cell>
          <cell r="BX217">
            <v>0</v>
          </cell>
          <cell r="BY217">
            <v>0</v>
          </cell>
          <cell r="BZ217">
            <v>0</v>
          </cell>
          <cell r="CA217">
            <v>0</v>
          </cell>
          <cell r="CB217">
            <v>0</v>
          </cell>
          <cell r="CC217">
            <v>0</v>
          </cell>
          <cell r="CD217">
            <v>0</v>
          </cell>
          <cell r="CE217">
            <v>0</v>
          </cell>
          <cell r="CF217">
            <v>0</v>
          </cell>
          <cell r="CG217">
            <v>47997217.162273288</v>
          </cell>
          <cell r="CH217">
            <v>0</v>
          </cell>
          <cell r="CI217">
            <v>0</v>
          </cell>
          <cell r="CJ217">
            <v>0</v>
          </cell>
          <cell r="CK217">
            <v>0</v>
          </cell>
          <cell r="CL217">
            <v>0</v>
          </cell>
          <cell r="CM217">
            <v>0</v>
          </cell>
          <cell r="CN217">
            <v>0</v>
          </cell>
          <cell r="CO217">
            <v>47997217.162273288</v>
          </cell>
          <cell r="CP217">
            <v>47997217.162273288</v>
          </cell>
          <cell r="CQ217">
            <v>47997217.162273288</v>
          </cell>
          <cell r="CR217">
            <v>47997217.162273288</v>
          </cell>
          <cell r="CS217">
            <v>47997217.162273288</v>
          </cell>
          <cell r="CT217">
            <v>47997217.162273288</v>
          </cell>
          <cell r="CU217">
            <v>0</v>
          </cell>
          <cell r="CV217">
            <v>47997217.162273288</v>
          </cell>
          <cell r="CW217">
            <v>47997217.162273288</v>
          </cell>
          <cell r="CX217">
            <v>0</v>
          </cell>
          <cell r="CY217">
            <v>47997217.162273288</v>
          </cell>
          <cell r="CZ217">
            <v>47997166.751444496</v>
          </cell>
          <cell r="DA217">
            <v>47997217.162273288</v>
          </cell>
          <cell r="DB217">
            <v>47997220.661094628</v>
          </cell>
          <cell r="DC217">
            <v>47763464.151448548</v>
          </cell>
          <cell r="DD217">
            <v>48158161.555716962</v>
          </cell>
          <cell r="DE217">
            <v>0</v>
          </cell>
          <cell r="DF217">
            <v>48953079.154262468</v>
          </cell>
          <cell r="DG217">
            <v>48021708.979430765</v>
          </cell>
          <cell r="DH217">
            <v>0</v>
          </cell>
          <cell r="DI217">
            <v>47997051.265024103</v>
          </cell>
          <cell r="DJ217">
            <v>0</v>
          </cell>
          <cell r="DK217">
            <v>0</v>
          </cell>
          <cell r="DL217">
            <v>0</v>
          </cell>
          <cell r="DM217">
            <v>0</v>
          </cell>
          <cell r="DN217">
            <v>0</v>
          </cell>
          <cell r="DO217">
            <v>0</v>
          </cell>
          <cell r="DP217">
            <v>0</v>
          </cell>
          <cell r="DQ217">
            <v>0</v>
          </cell>
          <cell r="DR217">
            <v>0</v>
          </cell>
          <cell r="DS217">
            <v>0</v>
          </cell>
          <cell r="DT217">
            <v>0</v>
          </cell>
          <cell r="DU217">
            <v>0</v>
          </cell>
          <cell r="DV217">
            <v>0</v>
          </cell>
          <cell r="DW217">
            <v>0</v>
          </cell>
          <cell r="EA217">
            <v>0</v>
          </cell>
          <cell r="EB217">
            <v>0</v>
          </cell>
          <cell r="EC217">
            <v>0</v>
          </cell>
          <cell r="ED217">
            <v>0</v>
          </cell>
          <cell r="EE217">
            <v>0</v>
          </cell>
          <cell r="EF217">
            <v>0</v>
          </cell>
          <cell r="EG217">
            <v>0</v>
          </cell>
          <cell r="EH217">
            <v>0</v>
          </cell>
          <cell r="EI217">
            <v>0</v>
          </cell>
          <cell r="EJ217">
            <v>0</v>
          </cell>
          <cell r="EK217">
            <v>0</v>
          </cell>
          <cell r="EL217">
            <v>0</v>
          </cell>
          <cell r="EM217">
            <v>0</v>
          </cell>
          <cell r="EN217">
            <v>0</v>
          </cell>
          <cell r="EO217">
            <v>0</v>
          </cell>
          <cell r="EP217">
            <v>0</v>
          </cell>
          <cell r="EQ217">
            <v>0</v>
          </cell>
          <cell r="ER217">
            <v>0</v>
          </cell>
          <cell r="ES217">
            <v>0</v>
          </cell>
          <cell r="ET217">
            <v>0</v>
          </cell>
          <cell r="EU217">
            <v>0</v>
          </cell>
          <cell r="EV217">
            <v>0</v>
          </cell>
          <cell r="EW217">
            <v>0</v>
          </cell>
          <cell r="EX217">
            <v>0</v>
          </cell>
          <cell r="EY217">
            <v>0</v>
          </cell>
          <cell r="EZ217">
            <v>0</v>
          </cell>
          <cell r="FA217">
            <v>0</v>
          </cell>
          <cell r="FB217">
            <v>0</v>
          </cell>
          <cell r="FC217">
            <v>0</v>
          </cell>
          <cell r="FD217">
            <v>0</v>
          </cell>
          <cell r="FE217">
            <v>47997217.162273288</v>
          </cell>
          <cell r="FF217">
            <v>47997217.162273288</v>
          </cell>
          <cell r="FG217">
            <v>47997217.162273288</v>
          </cell>
          <cell r="FH217">
            <v>0</v>
          </cell>
          <cell r="FI217">
            <v>0</v>
          </cell>
          <cell r="FJ217">
            <v>0</v>
          </cell>
          <cell r="FK217">
            <v>0</v>
          </cell>
          <cell r="FL217">
            <v>0</v>
          </cell>
          <cell r="FM217">
            <v>0</v>
          </cell>
          <cell r="FN217">
            <v>0</v>
          </cell>
          <cell r="FO217">
            <v>0</v>
          </cell>
          <cell r="FP217">
            <v>0</v>
          </cell>
          <cell r="FQ217">
            <v>0</v>
          </cell>
          <cell r="FR217">
            <v>0</v>
          </cell>
          <cell r="FS217">
            <v>47997217.162273288</v>
          </cell>
          <cell r="FT217">
            <v>0</v>
          </cell>
          <cell r="FU217">
            <v>0</v>
          </cell>
          <cell r="FV217">
            <v>0</v>
          </cell>
          <cell r="FW217">
            <v>0</v>
          </cell>
          <cell r="FX217">
            <v>0</v>
          </cell>
          <cell r="FY217">
            <v>0</v>
          </cell>
          <cell r="FZ217">
            <v>0</v>
          </cell>
          <cell r="GA217">
            <v>47997217.162273288</v>
          </cell>
          <cell r="GB217">
            <v>47997166.751444496</v>
          </cell>
          <cell r="GC217">
            <v>47997217.162273288</v>
          </cell>
          <cell r="GD217">
            <v>47997220.661094628</v>
          </cell>
          <cell r="GE217">
            <v>47763464.151448548</v>
          </cell>
          <cell r="GF217">
            <v>48158161.555716962</v>
          </cell>
          <cell r="GG217">
            <v>0</v>
          </cell>
          <cell r="GH217">
            <v>48953079.154262468</v>
          </cell>
          <cell r="GI217">
            <v>48021708.979430765</v>
          </cell>
          <cell r="GJ217">
            <v>0</v>
          </cell>
          <cell r="GK217">
            <v>47997051.265024103</v>
          </cell>
          <cell r="GL217">
            <v>0</v>
          </cell>
          <cell r="GM217">
            <v>0</v>
          </cell>
          <cell r="GN217">
            <v>0</v>
          </cell>
          <cell r="GO217">
            <v>0</v>
          </cell>
          <cell r="GP217">
            <v>0</v>
          </cell>
          <cell r="GQ217">
            <v>0</v>
          </cell>
          <cell r="GR217">
            <v>0</v>
          </cell>
          <cell r="GS217">
            <v>0</v>
          </cell>
          <cell r="GT217">
            <v>0</v>
          </cell>
          <cell r="GZ217">
            <v>15359989.739999998</v>
          </cell>
        </row>
        <row r="218">
          <cell r="A218" t="str">
            <v>I_VID_NRF_EPA_EUR_INTR_S29</v>
          </cell>
          <cell r="B218">
            <v>434023.24</v>
          </cell>
          <cell r="C218">
            <v>0</v>
          </cell>
          <cell r="D218">
            <v>10254.719999999998</v>
          </cell>
          <cell r="E218">
            <v>0.39000000000669388</v>
          </cell>
          <cell r="F218">
            <v>10254.719999999998</v>
          </cell>
          <cell r="G218">
            <v>10254.719999999998</v>
          </cell>
          <cell r="H218">
            <v>0</v>
          </cell>
          <cell r="I218">
            <v>0</v>
          </cell>
          <cell r="J218">
            <v>0</v>
          </cell>
          <cell r="K218">
            <v>0</v>
          </cell>
          <cell r="L218">
            <v>0</v>
          </cell>
          <cell r="M218">
            <v>0</v>
          </cell>
          <cell r="N218">
            <v>0</v>
          </cell>
          <cell r="O218">
            <v>0</v>
          </cell>
          <cell r="P218">
            <v>0</v>
          </cell>
          <cell r="Q218">
            <v>0</v>
          </cell>
          <cell r="R218">
            <v>0</v>
          </cell>
          <cell r="S218">
            <v>10254.719999999998</v>
          </cell>
          <cell r="T218">
            <v>0</v>
          </cell>
          <cell r="U218">
            <v>0</v>
          </cell>
          <cell r="V218">
            <v>0</v>
          </cell>
          <cell r="W218">
            <v>0</v>
          </cell>
          <cell r="X218">
            <v>0</v>
          </cell>
          <cell r="Y218">
            <v>0</v>
          </cell>
          <cell r="Z218">
            <v>0</v>
          </cell>
          <cell r="AA218">
            <v>10254.719999999998</v>
          </cell>
          <cell r="AB218">
            <v>10254.719999999998</v>
          </cell>
          <cell r="AC218">
            <v>10254.719999999998</v>
          </cell>
          <cell r="AD218">
            <v>0</v>
          </cell>
          <cell r="AE218">
            <v>0</v>
          </cell>
          <cell r="AF218">
            <v>0</v>
          </cell>
          <cell r="AG218">
            <v>0</v>
          </cell>
          <cell r="AH218">
            <v>0</v>
          </cell>
          <cell r="AI218">
            <v>0</v>
          </cell>
          <cell r="AJ218">
            <v>0</v>
          </cell>
          <cell r="AK218">
            <v>0</v>
          </cell>
          <cell r="AL218">
            <v>0</v>
          </cell>
          <cell r="AM218">
            <v>0</v>
          </cell>
          <cell r="AN218">
            <v>0</v>
          </cell>
          <cell r="AO218">
            <v>10254.719999999998</v>
          </cell>
          <cell r="AP218">
            <v>0</v>
          </cell>
          <cell r="AQ218">
            <v>0</v>
          </cell>
          <cell r="AR218">
            <v>0</v>
          </cell>
          <cell r="AS218">
            <v>0</v>
          </cell>
          <cell r="AT218">
            <v>0</v>
          </cell>
          <cell r="AU218">
            <v>0</v>
          </cell>
          <cell r="AV218">
            <v>0</v>
          </cell>
          <cell r="AW218">
            <v>10254.719999999998</v>
          </cell>
          <cell r="AX218">
            <v>0.39000000000669388</v>
          </cell>
          <cell r="AY218">
            <v>0.39000000000669388</v>
          </cell>
          <cell r="AZ218">
            <v>0</v>
          </cell>
          <cell r="BA218">
            <v>0</v>
          </cell>
          <cell r="BB218">
            <v>0</v>
          </cell>
          <cell r="BC218">
            <v>0</v>
          </cell>
          <cell r="BD218">
            <v>0</v>
          </cell>
          <cell r="BE218">
            <v>0</v>
          </cell>
          <cell r="BF218">
            <v>0</v>
          </cell>
          <cell r="BG218">
            <v>0</v>
          </cell>
          <cell r="BH218">
            <v>0</v>
          </cell>
          <cell r="BI218">
            <v>0</v>
          </cell>
          <cell r="BJ218">
            <v>0</v>
          </cell>
          <cell r="BK218">
            <v>0.39000000000669388</v>
          </cell>
          <cell r="BL218">
            <v>0</v>
          </cell>
          <cell r="BM218">
            <v>0</v>
          </cell>
          <cell r="BN218">
            <v>0</v>
          </cell>
          <cell r="BO218">
            <v>0</v>
          </cell>
          <cell r="BP218">
            <v>0</v>
          </cell>
          <cell r="BQ218">
            <v>0</v>
          </cell>
          <cell r="BR218">
            <v>0</v>
          </cell>
          <cell r="BS218">
            <v>0.39000000000669388</v>
          </cell>
          <cell r="BT218">
            <v>0.39000000000669388</v>
          </cell>
          <cell r="BU218">
            <v>0.39000000000669388</v>
          </cell>
          <cell r="BV218">
            <v>0</v>
          </cell>
          <cell r="BW218">
            <v>0</v>
          </cell>
          <cell r="BX218">
            <v>0</v>
          </cell>
          <cell r="BY218">
            <v>0</v>
          </cell>
          <cell r="BZ218">
            <v>0</v>
          </cell>
          <cell r="CA218">
            <v>0</v>
          </cell>
          <cell r="CB218">
            <v>0</v>
          </cell>
          <cell r="CC218">
            <v>0</v>
          </cell>
          <cell r="CD218">
            <v>0</v>
          </cell>
          <cell r="CE218">
            <v>0</v>
          </cell>
          <cell r="CF218">
            <v>0</v>
          </cell>
          <cell r="CG218">
            <v>0.39000000000669388</v>
          </cell>
          <cell r="CH218">
            <v>0</v>
          </cell>
          <cell r="CI218">
            <v>0</v>
          </cell>
          <cell r="CJ218">
            <v>0</v>
          </cell>
          <cell r="CK218">
            <v>0</v>
          </cell>
          <cell r="CL218">
            <v>0</v>
          </cell>
          <cell r="CM218">
            <v>0</v>
          </cell>
          <cell r="CN218">
            <v>0</v>
          </cell>
          <cell r="CO218">
            <v>0.39000000000669388</v>
          </cell>
          <cell r="CP218">
            <v>0.39000000000669388</v>
          </cell>
          <cell r="CQ218">
            <v>0.39000000000669388</v>
          </cell>
          <cell r="CR218">
            <v>0.39000000000669388</v>
          </cell>
          <cell r="CS218">
            <v>0.39000000000669388</v>
          </cell>
          <cell r="CT218">
            <v>0.39000000000669388</v>
          </cell>
          <cell r="CU218">
            <v>0</v>
          </cell>
          <cell r="CV218">
            <v>0.39000000000669388</v>
          </cell>
          <cell r="CW218">
            <v>0.39000000000669388</v>
          </cell>
          <cell r="CX218">
            <v>0</v>
          </cell>
          <cell r="CY218">
            <v>0.39000000000669388</v>
          </cell>
          <cell r="CZ218">
            <v>0.39000000000669388</v>
          </cell>
          <cell r="DA218">
            <v>0.39000000000669388</v>
          </cell>
          <cell r="DB218">
            <v>0.39000000000669388</v>
          </cell>
          <cell r="DC218">
            <v>0.39000000000669388</v>
          </cell>
          <cell r="DD218">
            <v>0.39000000000669388</v>
          </cell>
          <cell r="DE218">
            <v>0</v>
          </cell>
          <cell r="DF218">
            <v>0.39000000000669388</v>
          </cell>
          <cell r="DG218">
            <v>0.39000000000669388</v>
          </cell>
          <cell r="DH218">
            <v>0</v>
          </cell>
          <cell r="DI218">
            <v>0.39000000000669388</v>
          </cell>
          <cell r="DJ218">
            <v>0</v>
          </cell>
          <cell r="DK218">
            <v>0</v>
          </cell>
          <cell r="DL218">
            <v>0</v>
          </cell>
          <cell r="DM218">
            <v>0</v>
          </cell>
          <cell r="DN218">
            <v>0</v>
          </cell>
          <cell r="DO218">
            <v>0</v>
          </cell>
          <cell r="DP218">
            <v>0</v>
          </cell>
          <cell r="DQ218">
            <v>0</v>
          </cell>
          <cell r="DR218">
            <v>0</v>
          </cell>
          <cell r="DS218">
            <v>0</v>
          </cell>
          <cell r="DT218">
            <v>0</v>
          </cell>
          <cell r="DU218">
            <v>0</v>
          </cell>
          <cell r="DV218">
            <v>0</v>
          </cell>
          <cell r="DW218">
            <v>0</v>
          </cell>
          <cell r="EA218">
            <v>0</v>
          </cell>
          <cell r="EB218">
            <v>0</v>
          </cell>
          <cell r="EC218">
            <v>0</v>
          </cell>
          <cell r="ED218">
            <v>0</v>
          </cell>
          <cell r="EE218">
            <v>0</v>
          </cell>
          <cell r="EF218">
            <v>0</v>
          </cell>
          <cell r="EG218">
            <v>0</v>
          </cell>
          <cell r="EH218">
            <v>0</v>
          </cell>
          <cell r="EI218">
            <v>0</v>
          </cell>
          <cell r="EJ218">
            <v>0</v>
          </cell>
          <cell r="EK218">
            <v>0</v>
          </cell>
          <cell r="EL218">
            <v>0</v>
          </cell>
          <cell r="EM218">
            <v>0</v>
          </cell>
          <cell r="EN218">
            <v>0</v>
          </cell>
          <cell r="EO218">
            <v>0</v>
          </cell>
          <cell r="EP218">
            <v>0</v>
          </cell>
          <cell r="EQ218">
            <v>0</v>
          </cell>
          <cell r="ER218">
            <v>0</v>
          </cell>
          <cell r="ES218">
            <v>0</v>
          </cell>
          <cell r="ET218">
            <v>0</v>
          </cell>
          <cell r="EU218">
            <v>0</v>
          </cell>
          <cell r="EV218">
            <v>0</v>
          </cell>
          <cell r="EW218">
            <v>0</v>
          </cell>
          <cell r="EX218">
            <v>0</v>
          </cell>
          <cell r="EY218">
            <v>0</v>
          </cell>
          <cell r="EZ218">
            <v>0</v>
          </cell>
          <cell r="FA218">
            <v>0</v>
          </cell>
          <cell r="FB218">
            <v>0</v>
          </cell>
          <cell r="FC218">
            <v>0</v>
          </cell>
          <cell r="FD218">
            <v>0</v>
          </cell>
          <cell r="FE218">
            <v>0.39000000000669388</v>
          </cell>
          <cell r="FF218">
            <v>0.39000000000669388</v>
          </cell>
          <cell r="FG218">
            <v>0.39000000000669388</v>
          </cell>
          <cell r="FH218">
            <v>0</v>
          </cell>
          <cell r="FI218">
            <v>0</v>
          </cell>
          <cell r="FJ218">
            <v>0</v>
          </cell>
          <cell r="FK218">
            <v>0</v>
          </cell>
          <cell r="FL218">
            <v>0</v>
          </cell>
          <cell r="FM218">
            <v>0</v>
          </cell>
          <cell r="FN218">
            <v>0</v>
          </cell>
          <cell r="FO218">
            <v>0</v>
          </cell>
          <cell r="FP218">
            <v>0</v>
          </cell>
          <cell r="FQ218">
            <v>0</v>
          </cell>
          <cell r="FR218">
            <v>0</v>
          </cell>
          <cell r="FS218">
            <v>0.39000000000669388</v>
          </cell>
          <cell r="FT218">
            <v>0</v>
          </cell>
          <cell r="FU218">
            <v>0</v>
          </cell>
          <cell r="FV218">
            <v>0</v>
          </cell>
          <cell r="FW218">
            <v>0</v>
          </cell>
          <cell r="FX218">
            <v>0</v>
          </cell>
          <cell r="FY218">
            <v>0</v>
          </cell>
          <cell r="FZ218">
            <v>0</v>
          </cell>
          <cell r="GA218">
            <v>0.39000000000669388</v>
          </cell>
          <cell r="GB218">
            <v>0.39000000000669388</v>
          </cell>
          <cell r="GC218">
            <v>0.39000000000669388</v>
          </cell>
          <cell r="GD218">
            <v>0.39000000000669388</v>
          </cell>
          <cell r="GE218">
            <v>0.39000000000669388</v>
          </cell>
          <cell r="GF218">
            <v>0.39000000000669388</v>
          </cell>
          <cell r="GG218">
            <v>0</v>
          </cell>
          <cell r="GH218">
            <v>0.39000000000669388</v>
          </cell>
          <cell r="GI218">
            <v>0.39000000000669388</v>
          </cell>
          <cell r="GJ218">
            <v>0</v>
          </cell>
          <cell r="GK218">
            <v>0.39000000000669388</v>
          </cell>
          <cell r="GL218">
            <v>0</v>
          </cell>
          <cell r="GM218">
            <v>0</v>
          </cell>
          <cell r="GN218">
            <v>0</v>
          </cell>
          <cell r="GO218">
            <v>0</v>
          </cell>
          <cell r="GP218">
            <v>0</v>
          </cell>
          <cell r="GQ218">
            <v>0</v>
          </cell>
          <cell r="GR218">
            <v>0</v>
          </cell>
          <cell r="GS218">
            <v>0</v>
          </cell>
          <cell r="GT218">
            <v>0</v>
          </cell>
          <cell r="GZ218">
            <v>0</v>
          </cell>
        </row>
        <row r="219">
          <cell r="A219" t="str">
            <v>I_VID_NRF_RIS_COL_INTR_S30</v>
          </cell>
          <cell r="B219">
            <v>0</v>
          </cell>
          <cell r="C219">
            <v>0</v>
          </cell>
          <cell r="D219">
            <v>0</v>
          </cell>
          <cell r="E219">
            <v>0</v>
          </cell>
          <cell r="F219">
            <v>0</v>
          </cell>
          <cell r="G219">
            <v>0</v>
          </cell>
          <cell r="H219">
            <v>0</v>
          </cell>
          <cell r="I219">
            <v>0</v>
          </cell>
          <cell r="J219">
            <v>0</v>
          </cell>
          <cell r="K219">
            <v>0</v>
          </cell>
          <cell r="L219">
            <v>0</v>
          </cell>
          <cell r="M219">
            <v>0</v>
          </cell>
          <cell r="N219">
            <v>0</v>
          </cell>
          <cell r="O219">
            <v>0</v>
          </cell>
          <cell r="P219">
            <v>0</v>
          </cell>
          <cell r="Q219">
            <v>0</v>
          </cell>
          <cell r="R219">
            <v>0</v>
          </cell>
          <cell r="S219">
            <v>0</v>
          </cell>
          <cell r="T219">
            <v>0</v>
          </cell>
          <cell r="U219">
            <v>0</v>
          </cell>
          <cell r="V219">
            <v>0</v>
          </cell>
          <cell r="W219">
            <v>0</v>
          </cell>
          <cell r="X219">
            <v>0</v>
          </cell>
          <cell r="Y219">
            <v>0</v>
          </cell>
          <cell r="Z219">
            <v>0</v>
          </cell>
          <cell r="AA219">
            <v>0</v>
          </cell>
          <cell r="AB219">
            <v>0</v>
          </cell>
          <cell r="AC219">
            <v>0</v>
          </cell>
          <cell r="AD219">
            <v>0</v>
          </cell>
          <cell r="AE219">
            <v>0</v>
          </cell>
          <cell r="AF219">
            <v>0</v>
          </cell>
          <cell r="AG219">
            <v>0</v>
          </cell>
          <cell r="AH219">
            <v>0</v>
          </cell>
          <cell r="AI219">
            <v>0</v>
          </cell>
          <cell r="AJ219">
            <v>0</v>
          </cell>
          <cell r="AK219">
            <v>0</v>
          </cell>
          <cell r="AL219">
            <v>0</v>
          </cell>
          <cell r="AM219">
            <v>0</v>
          </cell>
          <cell r="AN219">
            <v>0</v>
          </cell>
          <cell r="AO219">
            <v>0</v>
          </cell>
          <cell r="AP219">
            <v>0</v>
          </cell>
          <cell r="AQ219">
            <v>0</v>
          </cell>
          <cell r="AR219">
            <v>0</v>
          </cell>
          <cell r="AS219">
            <v>0</v>
          </cell>
          <cell r="AT219">
            <v>0</v>
          </cell>
          <cell r="AU219">
            <v>0</v>
          </cell>
          <cell r="AV219">
            <v>0</v>
          </cell>
          <cell r="AW219">
            <v>0</v>
          </cell>
          <cell r="AX219">
            <v>0</v>
          </cell>
          <cell r="AY219">
            <v>0</v>
          </cell>
          <cell r="AZ219">
            <v>0</v>
          </cell>
          <cell r="BA219">
            <v>0</v>
          </cell>
          <cell r="BB219">
            <v>0</v>
          </cell>
          <cell r="BC219">
            <v>0</v>
          </cell>
          <cell r="BD219">
            <v>0</v>
          </cell>
          <cell r="BE219">
            <v>0</v>
          </cell>
          <cell r="BF219">
            <v>0</v>
          </cell>
          <cell r="BG219">
            <v>0</v>
          </cell>
          <cell r="BH219">
            <v>0</v>
          </cell>
          <cell r="BI219">
            <v>0</v>
          </cell>
          <cell r="BJ219">
            <v>0</v>
          </cell>
          <cell r="BK219">
            <v>0</v>
          </cell>
          <cell r="BL219">
            <v>0</v>
          </cell>
          <cell r="BM219">
            <v>0</v>
          </cell>
          <cell r="BN219">
            <v>0</v>
          </cell>
          <cell r="BO219">
            <v>0</v>
          </cell>
          <cell r="BP219">
            <v>0</v>
          </cell>
          <cell r="BQ219">
            <v>0</v>
          </cell>
          <cell r="BR219">
            <v>0</v>
          </cell>
          <cell r="BS219">
            <v>0</v>
          </cell>
          <cell r="BT219">
            <v>0</v>
          </cell>
          <cell r="BU219">
            <v>0</v>
          </cell>
          <cell r="BV219">
            <v>0</v>
          </cell>
          <cell r="BW219">
            <v>0</v>
          </cell>
          <cell r="BX219">
            <v>0</v>
          </cell>
          <cell r="BY219">
            <v>0</v>
          </cell>
          <cell r="BZ219">
            <v>0</v>
          </cell>
          <cell r="CA219">
            <v>0</v>
          </cell>
          <cell r="CB219">
            <v>0</v>
          </cell>
          <cell r="CC219">
            <v>0</v>
          </cell>
          <cell r="CD219">
            <v>0</v>
          </cell>
          <cell r="CE219">
            <v>0</v>
          </cell>
          <cell r="CF219">
            <v>0</v>
          </cell>
          <cell r="CG219">
            <v>0</v>
          </cell>
          <cell r="CH219">
            <v>0</v>
          </cell>
          <cell r="CI219">
            <v>0</v>
          </cell>
          <cell r="CJ219">
            <v>0</v>
          </cell>
          <cell r="CK219">
            <v>0</v>
          </cell>
          <cell r="CL219">
            <v>0</v>
          </cell>
          <cell r="CM219">
            <v>0</v>
          </cell>
          <cell r="CN219">
            <v>0</v>
          </cell>
          <cell r="CO219">
            <v>0</v>
          </cell>
          <cell r="CP219">
            <v>0</v>
          </cell>
          <cell r="CQ219">
            <v>0</v>
          </cell>
          <cell r="CR219">
            <v>0</v>
          </cell>
          <cell r="CS219">
            <v>0</v>
          </cell>
          <cell r="CT219">
            <v>0</v>
          </cell>
          <cell r="CU219">
            <v>0</v>
          </cell>
          <cell r="CV219">
            <v>0</v>
          </cell>
          <cell r="CW219">
            <v>0</v>
          </cell>
          <cell r="CX219">
            <v>0</v>
          </cell>
          <cell r="CY219">
            <v>0</v>
          </cell>
          <cell r="CZ219">
            <v>0</v>
          </cell>
          <cell r="DA219">
            <v>0</v>
          </cell>
          <cell r="DB219">
            <v>0</v>
          </cell>
          <cell r="DC219">
            <v>0</v>
          </cell>
          <cell r="DD219">
            <v>0</v>
          </cell>
          <cell r="DE219">
            <v>0</v>
          </cell>
          <cell r="DF219">
            <v>0</v>
          </cell>
          <cell r="DG219">
            <v>0</v>
          </cell>
          <cell r="DH219">
            <v>0</v>
          </cell>
          <cell r="DI219">
            <v>0</v>
          </cell>
          <cell r="DJ219">
            <v>0</v>
          </cell>
          <cell r="DK219">
            <v>0</v>
          </cell>
          <cell r="DL219">
            <v>0</v>
          </cell>
          <cell r="DM219">
            <v>0</v>
          </cell>
          <cell r="DN219">
            <v>0</v>
          </cell>
          <cell r="DO219">
            <v>0</v>
          </cell>
          <cell r="DP219">
            <v>0</v>
          </cell>
          <cell r="DQ219">
            <v>0</v>
          </cell>
          <cell r="DR219">
            <v>0</v>
          </cell>
          <cell r="DS219">
            <v>0</v>
          </cell>
          <cell r="DT219">
            <v>0</v>
          </cell>
          <cell r="DU219">
            <v>0</v>
          </cell>
          <cell r="DV219">
            <v>0</v>
          </cell>
          <cell r="DW219">
            <v>0</v>
          </cell>
          <cell r="EA219">
            <v>0</v>
          </cell>
          <cell r="EB219">
            <v>0</v>
          </cell>
          <cell r="EC219">
            <v>0</v>
          </cell>
          <cell r="ED219">
            <v>0</v>
          </cell>
          <cell r="EE219">
            <v>0</v>
          </cell>
          <cell r="EF219">
            <v>0</v>
          </cell>
          <cell r="EG219">
            <v>0</v>
          </cell>
          <cell r="EH219">
            <v>0</v>
          </cell>
          <cell r="EI219">
            <v>0</v>
          </cell>
          <cell r="EJ219">
            <v>0</v>
          </cell>
          <cell r="EK219">
            <v>0</v>
          </cell>
          <cell r="EL219">
            <v>0</v>
          </cell>
          <cell r="EM219">
            <v>0</v>
          </cell>
          <cell r="EN219">
            <v>0</v>
          </cell>
          <cell r="EO219">
            <v>0</v>
          </cell>
          <cell r="EP219">
            <v>0</v>
          </cell>
          <cell r="EQ219">
            <v>0</v>
          </cell>
          <cell r="ER219">
            <v>0</v>
          </cell>
          <cell r="ES219">
            <v>0</v>
          </cell>
          <cell r="ET219">
            <v>0</v>
          </cell>
          <cell r="EU219">
            <v>0</v>
          </cell>
          <cell r="EV219">
            <v>0</v>
          </cell>
          <cell r="EW219">
            <v>0</v>
          </cell>
          <cell r="EX219">
            <v>0</v>
          </cell>
          <cell r="EY219">
            <v>0</v>
          </cell>
          <cell r="EZ219">
            <v>0</v>
          </cell>
          <cell r="FA219">
            <v>0</v>
          </cell>
          <cell r="FB219">
            <v>0</v>
          </cell>
          <cell r="FC219">
            <v>0</v>
          </cell>
          <cell r="FD219">
            <v>0</v>
          </cell>
          <cell r="FE219">
            <v>0</v>
          </cell>
          <cell r="FF219">
            <v>0</v>
          </cell>
          <cell r="FG219">
            <v>0</v>
          </cell>
          <cell r="FH219">
            <v>0</v>
          </cell>
          <cell r="FI219">
            <v>0</v>
          </cell>
          <cell r="FJ219">
            <v>0</v>
          </cell>
          <cell r="FK219">
            <v>0</v>
          </cell>
          <cell r="FL219">
            <v>0</v>
          </cell>
          <cell r="FM219">
            <v>0</v>
          </cell>
          <cell r="FN219">
            <v>0</v>
          </cell>
          <cell r="FO219">
            <v>0</v>
          </cell>
          <cell r="FP219">
            <v>0</v>
          </cell>
          <cell r="FQ219">
            <v>0</v>
          </cell>
          <cell r="FR219">
            <v>0</v>
          </cell>
          <cell r="FS219">
            <v>0</v>
          </cell>
          <cell r="FT219">
            <v>0</v>
          </cell>
          <cell r="FU219">
            <v>0</v>
          </cell>
          <cell r="FV219">
            <v>0</v>
          </cell>
          <cell r="FW219">
            <v>0</v>
          </cell>
          <cell r="FX219">
            <v>0</v>
          </cell>
          <cell r="FY219">
            <v>0</v>
          </cell>
          <cell r="FZ219">
            <v>0</v>
          </cell>
          <cell r="GA219">
            <v>0</v>
          </cell>
          <cell r="GB219">
            <v>0</v>
          </cell>
          <cell r="GC219">
            <v>0</v>
          </cell>
          <cell r="GD219">
            <v>0</v>
          </cell>
          <cell r="GE219">
            <v>0</v>
          </cell>
          <cell r="GF219">
            <v>0</v>
          </cell>
          <cell r="GG219">
            <v>0</v>
          </cell>
          <cell r="GH219">
            <v>0</v>
          </cell>
          <cell r="GI219">
            <v>0</v>
          </cell>
          <cell r="GJ219">
            <v>0</v>
          </cell>
          <cell r="GK219">
            <v>0</v>
          </cell>
          <cell r="GL219">
            <v>0</v>
          </cell>
          <cell r="GM219">
            <v>0</v>
          </cell>
          <cell r="GN219">
            <v>0</v>
          </cell>
          <cell r="GO219">
            <v>0</v>
          </cell>
          <cell r="GP219">
            <v>0</v>
          </cell>
          <cell r="GQ219">
            <v>0</v>
          </cell>
          <cell r="GR219">
            <v>0</v>
          </cell>
          <cell r="GS219">
            <v>0</v>
          </cell>
          <cell r="GT219">
            <v>0</v>
          </cell>
          <cell r="GZ219">
            <v>0</v>
          </cell>
        </row>
        <row r="220">
          <cell r="A220" t="str">
            <v>I_VID_NRF_RIS_IND_INTR_S31</v>
          </cell>
          <cell r="B220">
            <v>1107378.7599999998</v>
          </cell>
          <cell r="C220">
            <v>0</v>
          </cell>
          <cell r="D220">
            <v>1008740.9299999997</v>
          </cell>
          <cell r="E220">
            <v>791273.47758567426</v>
          </cell>
          <cell r="F220">
            <v>1008740.9299999997</v>
          </cell>
          <cell r="G220">
            <v>1008740.9299999997</v>
          </cell>
          <cell r="H220">
            <v>0</v>
          </cell>
          <cell r="I220">
            <v>0</v>
          </cell>
          <cell r="J220">
            <v>0</v>
          </cell>
          <cell r="K220">
            <v>0</v>
          </cell>
          <cell r="L220">
            <v>0</v>
          </cell>
          <cell r="M220">
            <v>0</v>
          </cell>
          <cell r="N220">
            <v>0</v>
          </cell>
          <cell r="O220">
            <v>0</v>
          </cell>
          <cell r="P220">
            <v>0</v>
          </cell>
          <cell r="Q220">
            <v>0</v>
          </cell>
          <cell r="R220">
            <v>0</v>
          </cell>
          <cell r="S220">
            <v>1008740.9299999997</v>
          </cell>
          <cell r="T220">
            <v>0</v>
          </cell>
          <cell r="U220">
            <v>0</v>
          </cell>
          <cell r="V220">
            <v>0</v>
          </cell>
          <cell r="W220">
            <v>0</v>
          </cell>
          <cell r="X220">
            <v>0</v>
          </cell>
          <cell r="Y220">
            <v>0</v>
          </cell>
          <cell r="Z220">
            <v>0</v>
          </cell>
          <cell r="AA220">
            <v>1008740.9299999997</v>
          </cell>
          <cell r="AB220">
            <v>1008740.9299999997</v>
          </cell>
          <cell r="AC220">
            <v>1008740.9299999997</v>
          </cell>
          <cell r="AD220">
            <v>0</v>
          </cell>
          <cell r="AE220">
            <v>0</v>
          </cell>
          <cell r="AF220">
            <v>0</v>
          </cell>
          <cell r="AG220">
            <v>0</v>
          </cell>
          <cell r="AH220">
            <v>0</v>
          </cell>
          <cell r="AI220">
            <v>0</v>
          </cell>
          <cell r="AJ220">
            <v>0</v>
          </cell>
          <cell r="AK220">
            <v>0</v>
          </cell>
          <cell r="AL220">
            <v>0</v>
          </cell>
          <cell r="AM220">
            <v>0</v>
          </cell>
          <cell r="AN220">
            <v>0</v>
          </cell>
          <cell r="AO220">
            <v>1008740.9299999997</v>
          </cell>
          <cell r="AP220">
            <v>0</v>
          </cell>
          <cell r="AQ220">
            <v>0</v>
          </cell>
          <cell r="AR220">
            <v>0</v>
          </cell>
          <cell r="AS220">
            <v>0</v>
          </cell>
          <cell r="AT220">
            <v>0</v>
          </cell>
          <cell r="AU220">
            <v>0</v>
          </cell>
          <cell r="AV220">
            <v>0</v>
          </cell>
          <cell r="AW220">
            <v>1008740.9299999997</v>
          </cell>
          <cell r="AX220">
            <v>791273.47758567426</v>
          </cell>
          <cell r="AY220">
            <v>791273.47758567426</v>
          </cell>
          <cell r="AZ220">
            <v>0</v>
          </cell>
          <cell r="BA220">
            <v>0</v>
          </cell>
          <cell r="BB220">
            <v>0</v>
          </cell>
          <cell r="BC220">
            <v>0</v>
          </cell>
          <cell r="BD220">
            <v>0</v>
          </cell>
          <cell r="BE220">
            <v>0</v>
          </cell>
          <cell r="BF220">
            <v>0</v>
          </cell>
          <cell r="BG220">
            <v>0</v>
          </cell>
          <cell r="BH220">
            <v>0</v>
          </cell>
          <cell r="BI220">
            <v>0</v>
          </cell>
          <cell r="BJ220">
            <v>0</v>
          </cell>
          <cell r="BK220">
            <v>791273.47758567426</v>
          </cell>
          <cell r="BL220">
            <v>0</v>
          </cell>
          <cell r="BM220">
            <v>0</v>
          </cell>
          <cell r="BN220">
            <v>0</v>
          </cell>
          <cell r="BO220">
            <v>0</v>
          </cell>
          <cell r="BP220">
            <v>0</v>
          </cell>
          <cell r="BQ220">
            <v>0</v>
          </cell>
          <cell r="BR220">
            <v>0</v>
          </cell>
          <cell r="BS220">
            <v>791273.47758567426</v>
          </cell>
          <cell r="BT220">
            <v>791273.47758567426</v>
          </cell>
          <cell r="BU220">
            <v>791273.47758567426</v>
          </cell>
          <cell r="BV220">
            <v>0</v>
          </cell>
          <cell r="BW220">
            <v>0</v>
          </cell>
          <cell r="BX220">
            <v>0</v>
          </cell>
          <cell r="BY220">
            <v>0</v>
          </cell>
          <cell r="BZ220">
            <v>0</v>
          </cell>
          <cell r="CA220">
            <v>0</v>
          </cell>
          <cell r="CB220">
            <v>0</v>
          </cell>
          <cell r="CC220">
            <v>0</v>
          </cell>
          <cell r="CD220">
            <v>0</v>
          </cell>
          <cell r="CE220">
            <v>0</v>
          </cell>
          <cell r="CF220">
            <v>0</v>
          </cell>
          <cell r="CG220">
            <v>791273.47758567426</v>
          </cell>
          <cell r="CH220">
            <v>0</v>
          </cell>
          <cell r="CI220">
            <v>0</v>
          </cell>
          <cell r="CJ220">
            <v>0</v>
          </cell>
          <cell r="CK220">
            <v>0</v>
          </cell>
          <cell r="CL220">
            <v>0</v>
          </cell>
          <cell r="CM220">
            <v>0</v>
          </cell>
          <cell r="CN220">
            <v>0</v>
          </cell>
          <cell r="CO220">
            <v>791273.47758567426</v>
          </cell>
          <cell r="CP220">
            <v>791273.47758567426</v>
          </cell>
          <cell r="CQ220">
            <v>791273.47758567426</v>
          </cell>
          <cell r="CR220">
            <v>791273.47758567426</v>
          </cell>
          <cell r="CS220">
            <v>791273.47758567426</v>
          </cell>
          <cell r="CT220">
            <v>791273.47758567426</v>
          </cell>
          <cell r="CU220">
            <v>0</v>
          </cell>
          <cell r="CV220">
            <v>791273.47758567426</v>
          </cell>
          <cell r="CW220">
            <v>791273.47758567426</v>
          </cell>
          <cell r="CX220">
            <v>0</v>
          </cell>
          <cell r="CY220">
            <v>791273.47758567426</v>
          </cell>
          <cell r="CZ220">
            <v>793027.8641946537</v>
          </cell>
          <cell r="DA220">
            <v>791273.47758567426</v>
          </cell>
          <cell r="DB220">
            <v>791128.61103712628</v>
          </cell>
          <cell r="DC220">
            <v>868931.29581480939</v>
          </cell>
          <cell r="DD220">
            <v>432921.83903089573</v>
          </cell>
          <cell r="DE220">
            <v>0</v>
          </cell>
          <cell r="DF220">
            <v>817911.34771096939</v>
          </cell>
          <cell r="DG220">
            <v>851068.47444355162</v>
          </cell>
          <cell r="DH220">
            <v>0</v>
          </cell>
          <cell r="DI220">
            <v>791384.57412319374</v>
          </cell>
          <cell r="DJ220">
            <v>0</v>
          </cell>
          <cell r="DK220">
            <v>0</v>
          </cell>
          <cell r="DL220">
            <v>0</v>
          </cell>
          <cell r="DM220">
            <v>0</v>
          </cell>
          <cell r="DN220">
            <v>0</v>
          </cell>
          <cell r="DO220">
            <v>0</v>
          </cell>
          <cell r="DP220">
            <v>0</v>
          </cell>
          <cell r="DQ220">
            <v>0</v>
          </cell>
          <cell r="DR220">
            <v>0</v>
          </cell>
          <cell r="DS220">
            <v>0</v>
          </cell>
          <cell r="DT220">
            <v>0</v>
          </cell>
          <cell r="DU220">
            <v>0</v>
          </cell>
          <cell r="DV220">
            <v>0</v>
          </cell>
          <cell r="DW220">
            <v>0</v>
          </cell>
          <cell r="EA220">
            <v>0</v>
          </cell>
          <cell r="EB220">
            <v>0</v>
          </cell>
          <cell r="EC220">
            <v>0</v>
          </cell>
          <cell r="ED220">
            <v>0</v>
          </cell>
          <cell r="EE220">
            <v>0</v>
          </cell>
          <cell r="EF220">
            <v>0</v>
          </cell>
          <cell r="EG220">
            <v>0</v>
          </cell>
          <cell r="EH220">
            <v>0</v>
          </cell>
          <cell r="EI220">
            <v>0</v>
          </cell>
          <cell r="EJ220">
            <v>0</v>
          </cell>
          <cell r="EK220">
            <v>0</v>
          </cell>
          <cell r="EL220">
            <v>0</v>
          </cell>
          <cell r="EM220">
            <v>0</v>
          </cell>
          <cell r="EN220">
            <v>0</v>
          </cell>
          <cell r="EO220">
            <v>0</v>
          </cell>
          <cell r="EP220">
            <v>0</v>
          </cell>
          <cell r="EQ220">
            <v>0</v>
          </cell>
          <cell r="ER220">
            <v>0</v>
          </cell>
          <cell r="ES220">
            <v>0</v>
          </cell>
          <cell r="ET220">
            <v>0</v>
          </cell>
          <cell r="EU220">
            <v>0</v>
          </cell>
          <cell r="EV220">
            <v>0</v>
          </cell>
          <cell r="EW220">
            <v>0</v>
          </cell>
          <cell r="EX220">
            <v>0</v>
          </cell>
          <cell r="EY220">
            <v>0</v>
          </cell>
          <cell r="EZ220">
            <v>0</v>
          </cell>
          <cell r="FA220">
            <v>0</v>
          </cell>
          <cell r="FB220">
            <v>0</v>
          </cell>
          <cell r="FC220">
            <v>0</v>
          </cell>
          <cell r="FD220">
            <v>0</v>
          </cell>
          <cell r="FE220">
            <v>791273.47758567426</v>
          </cell>
          <cell r="FF220">
            <v>791273.47758567426</v>
          </cell>
          <cell r="FG220">
            <v>791273.47758567426</v>
          </cell>
          <cell r="FH220">
            <v>0</v>
          </cell>
          <cell r="FI220">
            <v>0</v>
          </cell>
          <cell r="FJ220">
            <v>0</v>
          </cell>
          <cell r="FK220">
            <v>0</v>
          </cell>
          <cell r="FL220">
            <v>0</v>
          </cell>
          <cell r="FM220">
            <v>0</v>
          </cell>
          <cell r="FN220">
            <v>0</v>
          </cell>
          <cell r="FO220">
            <v>0</v>
          </cell>
          <cell r="FP220">
            <v>0</v>
          </cell>
          <cell r="FQ220">
            <v>0</v>
          </cell>
          <cell r="FR220">
            <v>0</v>
          </cell>
          <cell r="FS220">
            <v>791273.47758567426</v>
          </cell>
          <cell r="FT220">
            <v>0</v>
          </cell>
          <cell r="FU220">
            <v>0</v>
          </cell>
          <cell r="FV220">
            <v>0</v>
          </cell>
          <cell r="FW220">
            <v>0</v>
          </cell>
          <cell r="FX220">
            <v>0</v>
          </cell>
          <cell r="FY220">
            <v>0</v>
          </cell>
          <cell r="FZ220">
            <v>0</v>
          </cell>
          <cell r="GA220">
            <v>791273.47758567426</v>
          </cell>
          <cell r="GB220">
            <v>793027.8641946537</v>
          </cell>
          <cell r="GC220">
            <v>791273.47758567426</v>
          </cell>
          <cell r="GD220">
            <v>791128.61103712628</v>
          </cell>
          <cell r="GE220">
            <v>868931.29581480939</v>
          </cell>
          <cell r="GF220">
            <v>432921.83903089573</v>
          </cell>
          <cell r="GG220">
            <v>0</v>
          </cell>
          <cell r="GH220">
            <v>817911.34771096939</v>
          </cell>
          <cell r="GI220">
            <v>851068.47444355162</v>
          </cell>
          <cell r="GJ220">
            <v>0</v>
          </cell>
          <cell r="GK220">
            <v>791384.57412319374</v>
          </cell>
          <cell r="GL220">
            <v>0</v>
          </cell>
          <cell r="GM220">
            <v>0</v>
          </cell>
          <cell r="GN220">
            <v>0</v>
          </cell>
          <cell r="GO220">
            <v>0</v>
          </cell>
          <cell r="GP220">
            <v>0</v>
          </cell>
          <cell r="GQ220">
            <v>0</v>
          </cell>
          <cell r="GR220">
            <v>0</v>
          </cell>
          <cell r="GS220">
            <v>0</v>
          </cell>
          <cell r="GT220">
            <v>0</v>
          </cell>
          <cell r="GZ220">
            <v>370920377.63000524</v>
          </cell>
        </row>
        <row r="221">
          <cell r="A221" t="str">
            <v>I_VID_NRF_RET_COL_INTR_S32</v>
          </cell>
          <cell r="B221">
            <v>15349592.16</v>
          </cell>
          <cell r="C221">
            <v>0</v>
          </cell>
          <cell r="D221">
            <v>15179461.710000001</v>
          </cell>
          <cell r="E221">
            <v>11285453.92914186</v>
          </cell>
          <cell r="F221">
            <v>15179461.710000001</v>
          </cell>
          <cell r="G221">
            <v>15179461.710000001</v>
          </cell>
          <cell r="H221">
            <v>0</v>
          </cell>
          <cell r="I221">
            <v>0</v>
          </cell>
          <cell r="J221">
            <v>0</v>
          </cell>
          <cell r="K221">
            <v>0</v>
          </cell>
          <cell r="L221">
            <v>0</v>
          </cell>
          <cell r="M221">
            <v>0</v>
          </cell>
          <cell r="N221">
            <v>0</v>
          </cell>
          <cell r="O221">
            <v>0</v>
          </cell>
          <cell r="P221">
            <v>0</v>
          </cell>
          <cell r="Q221">
            <v>0</v>
          </cell>
          <cell r="R221">
            <v>0</v>
          </cell>
          <cell r="S221">
            <v>15179461.710000001</v>
          </cell>
          <cell r="T221">
            <v>0</v>
          </cell>
          <cell r="U221">
            <v>0</v>
          </cell>
          <cell r="V221">
            <v>0</v>
          </cell>
          <cell r="W221">
            <v>0</v>
          </cell>
          <cell r="X221">
            <v>0</v>
          </cell>
          <cell r="Y221">
            <v>0</v>
          </cell>
          <cell r="Z221">
            <v>0</v>
          </cell>
          <cell r="AA221">
            <v>15179461.710000001</v>
          </cell>
          <cell r="AB221">
            <v>15179461.710000001</v>
          </cell>
          <cell r="AC221">
            <v>15179461.710000001</v>
          </cell>
          <cell r="AD221">
            <v>0</v>
          </cell>
          <cell r="AE221">
            <v>0</v>
          </cell>
          <cell r="AF221">
            <v>0</v>
          </cell>
          <cell r="AG221">
            <v>0</v>
          </cell>
          <cell r="AH221">
            <v>0</v>
          </cell>
          <cell r="AI221">
            <v>0</v>
          </cell>
          <cell r="AJ221">
            <v>0</v>
          </cell>
          <cell r="AK221">
            <v>0</v>
          </cell>
          <cell r="AL221">
            <v>0</v>
          </cell>
          <cell r="AM221">
            <v>0</v>
          </cell>
          <cell r="AN221">
            <v>0</v>
          </cell>
          <cell r="AO221">
            <v>15179461.710000001</v>
          </cell>
          <cell r="AP221">
            <v>0</v>
          </cell>
          <cell r="AQ221">
            <v>0</v>
          </cell>
          <cell r="AR221">
            <v>0</v>
          </cell>
          <cell r="AS221">
            <v>0</v>
          </cell>
          <cell r="AT221">
            <v>0</v>
          </cell>
          <cell r="AU221">
            <v>0</v>
          </cell>
          <cell r="AV221">
            <v>0</v>
          </cell>
          <cell r="AW221">
            <v>15179461.710000001</v>
          </cell>
          <cell r="AX221">
            <v>11285453.92914186</v>
          </cell>
          <cell r="AY221">
            <v>11285453.92914186</v>
          </cell>
          <cell r="AZ221">
            <v>0</v>
          </cell>
          <cell r="BA221">
            <v>0</v>
          </cell>
          <cell r="BB221">
            <v>0</v>
          </cell>
          <cell r="BC221">
            <v>0</v>
          </cell>
          <cell r="BD221">
            <v>0</v>
          </cell>
          <cell r="BE221">
            <v>0</v>
          </cell>
          <cell r="BF221">
            <v>0</v>
          </cell>
          <cell r="BG221">
            <v>0</v>
          </cell>
          <cell r="BH221">
            <v>0</v>
          </cell>
          <cell r="BI221">
            <v>0</v>
          </cell>
          <cell r="BJ221">
            <v>0</v>
          </cell>
          <cell r="BK221">
            <v>11285453.92914186</v>
          </cell>
          <cell r="BL221">
            <v>0</v>
          </cell>
          <cell r="BM221">
            <v>0</v>
          </cell>
          <cell r="BN221">
            <v>0</v>
          </cell>
          <cell r="BO221">
            <v>0</v>
          </cell>
          <cell r="BP221">
            <v>0</v>
          </cell>
          <cell r="BQ221">
            <v>0</v>
          </cell>
          <cell r="BR221">
            <v>0</v>
          </cell>
          <cell r="BS221">
            <v>11285453.92914186</v>
          </cell>
          <cell r="BT221">
            <v>11285453.92914186</v>
          </cell>
          <cell r="BU221">
            <v>11285453.92914186</v>
          </cell>
          <cell r="BV221">
            <v>0</v>
          </cell>
          <cell r="BW221">
            <v>0</v>
          </cell>
          <cell r="BX221">
            <v>0</v>
          </cell>
          <cell r="BY221">
            <v>0</v>
          </cell>
          <cell r="BZ221">
            <v>0</v>
          </cell>
          <cell r="CA221">
            <v>0</v>
          </cell>
          <cell r="CB221">
            <v>0</v>
          </cell>
          <cell r="CC221">
            <v>0</v>
          </cell>
          <cell r="CD221">
            <v>0</v>
          </cell>
          <cell r="CE221">
            <v>0</v>
          </cell>
          <cell r="CF221">
            <v>0</v>
          </cell>
          <cell r="CG221">
            <v>11285453.92914186</v>
          </cell>
          <cell r="CH221">
            <v>0</v>
          </cell>
          <cell r="CI221">
            <v>0</v>
          </cell>
          <cell r="CJ221">
            <v>0</v>
          </cell>
          <cell r="CK221">
            <v>0</v>
          </cell>
          <cell r="CL221">
            <v>0</v>
          </cell>
          <cell r="CM221">
            <v>0</v>
          </cell>
          <cell r="CN221">
            <v>0</v>
          </cell>
          <cell r="CO221">
            <v>11285453.92914186</v>
          </cell>
          <cell r="CP221">
            <v>11285453.92914186</v>
          </cell>
          <cell r="CQ221">
            <v>11285453.92914186</v>
          </cell>
          <cell r="CR221">
            <v>11285453.92914186</v>
          </cell>
          <cell r="CS221">
            <v>11285453.92914186</v>
          </cell>
          <cell r="CT221">
            <v>11285453.92914186</v>
          </cell>
          <cell r="CU221">
            <v>0</v>
          </cell>
          <cell r="CV221">
            <v>11285453.92914186</v>
          </cell>
          <cell r="CW221">
            <v>11285453.92914186</v>
          </cell>
          <cell r="CX221">
            <v>0</v>
          </cell>
          <cell r="CY221">
            <v>11285453.92914186</v>
          </cell>
          <cell r="CZ221">
            <v>11285453.92914186</v>
          </cell>
          <cell r="DA221">
            <v>11298177.39237559</v>
          </cell>
          <cell r="DB221">
            <v>11285453.92914186</v>
          </cell>
          <cell r="DC221">
            <v>11285453.92914186</v>
          </cell>
          <cell r="DD221">
            <v>11285453.92914186</v>
          </cell>
          <cell r="DE221">
            <v>0</v>
          </cell>
          <cell r="DF221">
            <v>11285453.92914186</v>
          </cell>
          <cell r="DG221">
            <v>11390013.868406003</v>
          </cell>
          <cell r="DH221">
            <v>0</v>
          </cell>
          <cell r="DI221">
            <v>11285453.92914186</v>
          </cell>
          <cell r="DJ221">
            <v>0</v>
          </cell>
          <cell r="DK221">
            <v>0</v>
          </cell>
          <cell r="DL221">
            <v>0</v>
          </cell>
          <cell r="DM221">
            <v>0</v>
          </cell>
          <cell r="DN221">
            <v>0</v>
          </cell>
          <cell r="DO221">
            <v>0</v>
          </cell>
          <cell r="DP221">
            <v>0</v>
          </cell>
          <cell r="DQ221">
            <v>0</v>
          </cell>
          <cell r="DR221">
            <v>0</v>
          </cell>
          <cell r="DS221">
            <v>0</v>
          </cell>
          <cell r="DT221">
            <v>0</v>
          </cell>
          <cell r="DU221">
            <v>0</v>
          </cell>
          <cell r="DV221">
            <v>0</v>
          </cell>
          <cell r="DW221">
            <v>0</v>
          </cell>
          <cell r="EA221">
            <v>0</v>
          </cell>
          <cell r="EB221">
            <v>0</v>
          </cell>
          <cell r="EC221">
            <v>0</v>
          </cell>
          <cell r="ED221">
            <v>0</v>
          </cell>
          <cell r="EE221">
            <v>0</v>
          </cell>
          <cell r="EF221">
            <v>0</v>
          </cell>
          <cell r="EG221">
            <v>0</v>
          </cell>
          <cell r="EH221">
            <v>0</v>
          </cell>
          <cell r="EI221">
            <v>0</v>
          </cell>
          <cell r="EJ221">
            <v>0</v>
          </cell>
          <cell r="EK221">
            <v>0</v>
          </cell>
          <cell r="EL221">
            <v>0</v>
          </cell>
          <cell r="EM221">
            <v>0</v>
          </cell>
          <cell r="EN221">
            <v>0</v>
          </cell>
          <cell r="EO221">
            <v>0</v>
          </cell>
          <cell r="EP221">
            <v>0</v>
          </cell>
          <cell r="EQ221">
            <v>0</v>
          </cell>
          <cell r="ER221">
            <v>0</v>
          </cell>
          <cell r="ES221">
            <v>0</v>
          </cell>
          <cell r="ET221">
            <v>0</v>
          </cell>
          <cell r="EU221">
            <v>0</v>
          </cell>
          <cell r="EV221">
            <v>0</v>
          </cell>
          <cell r="EW221">
            <v>0</v>
          </cell>
          <cell r="EX221">
            <v>0</v>
          </cell>
          <cell r="EY221">
            <v>0</v>
          </cell>
          <cell r="EZ221">
            <v>0</v>
          </cell>
          <cell r="FA221">
            <v>0</v>
          </cell>
          <cell r="FB221">
            <v>0</v>
          </cell>
          <cell r="FC221">
            <v>0</v>
          </cell>
          <cell r="FD221">
            <v>0</v>
          </cell>
          <cell r="FE221">
            <v>11285453.92914186</v>
          </cell>
          <cell r="FF221">
            <v>11285453.92914186</v>
          </cell>
          <cell r="FG221">
            <v>11285453.92914186</v>
          </cell>
          <cell r="FH221">
            <v>0</v>
          </cell>
          <cell r="FI221">
            <v>0</v>
          </cell>
          <cell r="FJ221">
            <v>0</v>
          </cell>
          <cell r="FK221">
            <v>0</v>
          </cell>
          <cell r="FL221">
            <v>0</v>
          </cell>
          <cell r="FM221">
            <v>0</v>
          </cell>
          <cell r="FN221">
            <v>0</v>
          </cell>
          <cell r="FO221">
            <v>0</v>
          </cell>
          <cell r="FP221">
            <v>0</v>
          </cell>
          <cell r="FQ221">
            <v>0</v>
          </cell>
          <cell r="FR221">
            <v>0</v>
          </cell>
          <cell r="FS221">
            <v>11285453.92914186</v>
          </cell>
          <cell r="FT221">
            <v>0</v>
          </cell>
          <cell r="FU221">
            <v>0</v>
          </cell>
          <cell r="FV221">
            <v>0</v>
          </cell>
          <cell r="FW221">
            <v>0</v>
          </cell>
          <cell r="FX221">
            <v>0</v>
          </cell>
          <cell r="FY221">
            <v>0</v>
          </cell>
          <cell r="FZ221">
            <v>0</v>
          </cell>
          <cell r="GA221">
            <v>11285453.92914186</v>
          </cell>
          <cell r="GB221">
            <v>11285453.92914186</v>
          </cell>
          <cell r="GC221">
            <v>11298177.39237559</v>
          </cell>
          <cell r="GD221">
            <v>11285453.92914186</v>
          </cell>
          <cell r="GE221">
            <v>11285453.92914186</v>
          </cell>
          <cell r="GF221">
            <v>11285453.92914186</v>
          </cell>
          <cell r="GG221">
            <v>0</v>
          </cell>
          <cell r="GH221">
            <v>11285453.92914186</v>
          </cell>
          <cell r="GI221">
            <v>11390013.868406003</v>
          </cell>
          <cell r="GJ221">
            <v>0</v>
          </cell>
          <cell r="GK221">
            <v>11285453.92914186</v>
          </cell>
          <cell r="GL221">
            <v>0</v>
          </cell>
          <cell r="GM221">
            <v>0</v>
          </cell>
          <cell r="GN221">
            <v>0</v>
          </cell>
          <cell r="GO221">
            <v>0</v>
          </cell>
          <cell r="GP221">
            <v>0</v>
          </cell>
          <cell r="GQ221">
            <v>0</v>
          </cell>
          <cell r="GR221">
            <v>0</v>
          </cell>
          <cell r="GS221">
            <v>0</v>
          </cell>
          <cell r="GT221">
            <v>0</v>
          </cell>
          <cell r="GZ221">
            <v>0</v>
          </cell>
        </row>
        <row r="222">
          <cell r="A222" t="str">
            <v>I_VID_NRF_RET_IND_INTR_S33</v>
          </cell>
          <cell r="B222">
            <v>10059843.359999998</v>
          </cell>
          <cell r="C222">
            <v>0</v>
          </cell>
          <cell r="D222">
            <v>9873244.3988489602</v>
          </cell>
          <cell r="E222">
            <v>13290566.45239439</v>
          </cell>
          <cell r="F222">
            <v>9873244.3988489602</v>
          </cell>
          <cell r="G222">
            <v>9873244.3988489602</v>
          </cell>
          <cell r="H222">
            <v>0</v>
          </cell>
          <cell r="I222">
            <v>0</v>
          </cell>
          <cell r="J222">
            <v>0</v>
          </cell>
          <cell r="K222">
            <v>0</v>
          </cell>
          <cell r="L222">
            <v>0</v>
          </cell>
          <cell r="M222">
            <v>0</v>
          </cell>
          <cell r="N222">
            <v>0</v>
          </cell>
          <cell r="O222">
            <v>0</v>
          </cell>
          <cell r="P222">
            <v>0</v>
          </cell>
          <cell r="Q222">
            <v>0</v>
          </cell>
          <cell r="R222">
            <v>0</v>
          </cell>
          <cell r="S222">
            <v>9873244.3988489602</v>
          </cell>
          <cell r="T222">
            <v>0</v>
          </cell>
          <cell r="U222">
            <v>0</v>
          </cell>
          <cell r="V222">
            <v>0</v>
          </cell>
          <cell r="W222">
            <v>0</v>
          </cell>
          <cell r="X222">
            <v>0</v>
          </cell>
          <cell r="Y222">
            <v>0</v>
          </cell>
          <cell r="Z222">
            <v>0</v>
          </cell>
          <cell r="AA222">
            <v>9873244.3988489602</v>
          </cell>
          <cell r="AB222">
            <v>9873244.3988489602</v>
          </cell>
          <cell r="AC222">
            <v>9873244.3988489602</v>
          </cell>
          <cell r="AD222">
            <v>0</v>
          </cell>
          <cell r="AE222">
            <v>0</v>
          </cell>
          <cell r="AF222">
            <v>0</v>
          </cell>
          <cell r="AG222">
            <v>0</v>
          </cell>
          <cell r="AH222">
            <v>0</v>
          </cell>
          <cell r="AI222">
            <v>0</v>
          </cell>
          <cell r="AJ222">
            <v>0</v>
          </cell>
          <cell r="AK222">
            <v>0</v>
          </cell>
          <cell r="AL222">
            <v>0</v>
          </cell>
          <cell r="AM222">
            <v>0</v>
          </cell>
          <cell r="AN222">
            <v>0</v>
          </cell>
          <cell r="AO222">
            <v>8996815.3219286297</v>
          </cell>
          <cell r="AP222">
            <v>0</v>
          </cell>
          <cell r="AQ222">
            <v>0</v>
          </cell>
          <cell r="AR222">
            <v>0</v>
          </cell>
          <cell r="AS222">
            <v>0</v>
          </cell>
          <cell r="AT222">
            <v>0</v>
          </cell>
          <cell r="AU222">
            <v>0</v>
          </cell>
          <cell r="AV222">
            <v>0</v>
          </cell>
          <cell r="AW222">
            <v>9873244.3988489602</v>
          </cell>
          <cell r="AX222">
            <v>13290566.45239439</v>
          </cell>
          <cell r="AY222">
            <v>13290566.45239439</v>
          </cell>
          <cell r="AZ222">
            <v>0</v>
          </cell>
          <cell r="BA222">
            <v>0</v>
          </cell>
          <cell r="BB222">
            <v>0</v>
          </cell>
          <cell r="BC222">
            <v>0</v>
          </cell>
          <cell r="BD222">
            <v>0</v>
          </cell>
          <cell r="BE222">
            <v>0</v>
          </cell>
          <cell r="BF222">
            <v>0</v>
          </cell>
          <cell r="BG222">
            <v>0</v>
          </cell>
          <cell r="BH222">
            <v>0</v>
          </cell>
          <cell r="BI222">
            <v>0</v>
          </cell>
          <cell r="BJ222">
            <v>0</v>
          </cell>
          <cell r="BK222">
            <v>13290566.45239439</v>
          </cell>
          <cell r="BL222">
            <v>0</v>
          </cell>
          <cell r="BM222">
            <v>0</v>
          </cell>
          <cell r="BN222">
            <v>0</v>
          </cell>
          <cell r="BO222">
            <v>0</v>
          </cell>
          <cell r="BP222">
            <v>0</v>
          </cell>
          <cell r="BQ222">
            <v>0</v>
          </cell>
          <cell r="BR222">
            <v>0</v>
          </cell>
          <cell r="BS222">
            <v>13290566.45239439</v>
          </cell>
          <cell r="BT222">
            <v>13290566.45239439</v>
          </cell>
          <cell r="BU222">
            <v>13290566.45239439</v>
          </cell>
          <cell r="BV222">
            <v>0</v>
          </cell>
          <cell r="BW222">
            <v>0</v>
          </cell>
          <cell r="BX222">
            <v>0</v>
          </cell>
          <cell r="BY222">
            <v>0</v>
          </cell>
          <cell r="BZ222">
            <v>0</v>
          </cell>
          <cell r="CA222">
            <v>0</v>
          </cell>
          <cell r="CB222">
            <v>0</v>
          </cell>
          <cell r="CC222">
            <v>0</v>
          </cell>
          <cell r="CD222">
            <v>0</v>
          </cell>
          <cell r="CE222">
            <v>0</v>
          </cell>
          <cell r="CF222">
            <v>0</v>
          </cell>
          <cell r="CG222">
            <v>13290566.45239439</v>
          </cell>
          <cell r="CH222">
            <v>0</v>
          </cell>
          <cell r="CI222">
            <v>0</v>
          </cell>
          <cell r="CJ222">
            <v>0</v>
          </cell>
          <cell r="CK222">
            <v>0</v>
          </cell>
          <cell r="CL222">
            <v>0</v>
          </cell>
          <cell r="CM222">
            <v>0</v>
          </cell>
          <cell r="CN222">
            <v>0</v>
          </cell>
          <cell r="CO222">
            <v>13290566.45239439</v>
          </cell>
          <cell r="CP222">
            <v>13290566.45239439</v>
          </cell>
          <cell r="CQ222">
            <v>13290566.45239439</v>
          </cell>
          <cell r="CR222">
            <v>13290566.45239439</v>
          </cell>
          <cell r="CS222">
            <v>13290566.45239439</v>
          </cell>
          <cell r="CT222">
            <v>13290566.45239439</v>
          </cell>
          <cell r="CU222">
            <v>0</v>
          </cell>
          <cell r="CV222">
            <v>13290566.45239439</v>
          </cell>
          <cell r="CW222">
            <v>13290566.45239439</v>
          </cell>
          <cell r="CX222">
            <v>0</v>
          </cell>
          <cell r="CY222">
            <v>13290566.45239439</v>
          </cell>
          <cell r="CZ222">
            <v>13290566.45239439</v>
          </cell>
          <cell r="DA222">
            <v>13373361.282775274</v>
          </cell>
          <cell r="DB222">
            <v>13290566.45239439</v>
          </cell>
          <cell r="DC222">
            <v>13290566.45239439</v>
          </cell>
          <cell r="DD222">
            <v>13290566.45239439</v>
          </cell>
          <cell r="DE222">
            <v>0</v>
          </cell>
          <cell r="DF222">
            <v>13290566.45239439</v>
          </cell>
          <cell r="DG222">
            <v>13358344.80467625</v>
          </cell>
          <cell r="DH222">
            <v>0</v>
          </cell>
          <cell r="DI222">
            <v>13290566.45239439</v>
          </cell>
          <cell r="DJ222">
            <v>0</v>
          </cell>
          <cell r="DK222">
            <v>0</v>
          </cell>
          <cell r="DL222">
            <v>0</v>
          </cell>
          <cell r="DM222">
            <v>0</v>
          </cell>
          <cell r="DN222">
            <v>0</v>
          </cell>
          <cell r="DO222">
            <v>0</v>
          </cell>
          <cell r="DP222">
            <v>0</v>
          </cell>
          <cell r="DQ222">
            <v>0</v>
          </cell>
          <cell r="DR222">
            <v>0</v>
          </cell>
          <cell r="DS222">
            <v>0</v>
          </cell>
          <cell r="DT222">
            <v>0</v>
          </cell>
          <cell r="DU222">
            <v>0</v>
          </cell>
          <cell r="DV222">
            <v>0</v>
          </cell>
          <cell r="DW222">
            <v>0</v>
          </cell>
          <cell r="EA222">
            <v>0</v>
          </cell>
          <cell r="EB222">
            <v>0</v>
          </cell>
          <cell r="EC222">
            <v>0</v>
          </cell>
          <cell r="ED222">
            <v>0</v>
          </cell>
          <cell r="EE222">
            <v>0</v>
          </cell>
          <cell r="EF222">
            <v>0</v>
          </cell>
          <cell r="EG222">
            <v>0</v>
          </cell>
          <cell r="EH222">
            <v>0</v>
          </cell>
          <cell r="EI222">
            <v>0</v>
          </cell>
          <cell r="EJ222">
            <v>0</v>
          </cell>
          <cell r="EK222">
            <v>0</v>
          </cell>
          <cell r="EL222">
            <v>0</v>
          </cell>
          <cell r="EM222">
            <v>0</v>
          </cell>
          <cell r="EN222">
            <v>0</v>
          </cell>
          <cell r="EO222">
            <v>0</v>
          </cell>
          <cell r="EP222">
            <v>0</v>
          </cell>
          <cell r="EQ222">
            <v>0</v>
          </cell>
          <cell r="ER222">
            <v>0</v>
          </cell>
          <cell r="ES222">
            <v>0</v>
          </cell>
          <cell r="ET222">
            <v>0</v>
          </cell>
          <cell r="EU222">
            <v>0</v>
          </cell>
          <cell r="EV222">
            <v>0</v>
          </cell>
          <cell r="EW222">
            <v>0</v>
          </cell>
          <cell r="EX222">
            <v>0</v>
          </cell>
          <cell r="EY222">
            <v>0</v>
          </cell>
          <cell r="EZ222">
            <v>0</v>
          </cell>
          <cell r="FA222">
            <v>0</v>
          </cell>
          <cell r="FB222">
            <v>0</v>
          </cell>
          <cell r="FC222">
            <v>0</v>
          </cell>
          <cell r="FD222">
            <v>0</v>
          </cell>
          <cell r="FE222">
            <v>13290566.45239439</v>
          </cell>
          <cell r="FF222">
            <v>13290566.45239439</v>
          </cell>
          <cell r="FG222">
            <v>13290566.45239439</v>
          </cell>
          <cell r="FH222">
            <v>0</v>
          </cell>
          <cell r="FI222">
            <v>0</v>
          </cell>
          <cell r="FJ222">
            <v>0</v>
          </cell>
          <cell r="FK222">
            <v>0</v>
          </cell>
          <cell r="FL222">
            <v>0</v>
          </cell>
          <cell r="FM222">
            <v>0</v>
          </cell>
          <cell r="FN222">
            <v>0</v>
          </cell>
          <cell r="FO222">
            <v>0</v>
          </cell>
          <cell r="FP222">
            <v>0</v>
          </cell>
          <cell r="FQ222">
            <v>0</v>
          </cell>
          <cell r="FR222">
            <v>0</v>
          </cell>
          <cell r="FS222">
            <v>13290566.45239439</v>
          </cell>
          <cell r="FT222">
            <v>0</v>
          </cell>
          <cell r="FU222">
            <v>0</v>
          </cell>
          <cell r="FV222">
            <v>0</v>
          </cell>
          <cell r="FW222">
            <v>0</v>
          </cell>
          <cell r="FX222">
            <v>0</v>
          </cell>
          <cell r="FY222">
            <v>0</v>
          </cell>
          <cell r="FZ222">
            <v>0</v>
          </cell>
          <cell r="GA222">
            <v>13290566.45239439</v>
          </cell>
          <cell r="GB222">
            <v>13290566.45239439</v>
          </cell>
          <cell r="GC222">
            <v>13373361.282775274</v>
          </cell>
          <cell r="GD222">
            <v>13290566.45239439</v>
          </cell>
          <cell r="GE222">
            <v>13290566.45239439</v>
          </cell>
          <cell r="GF222">
            <v>13290566.45239439</v>
          </cell>
          <cell r="GG222">
            <v>0</v>
          </cell>
          <cell r="GH222">
            <v>13290566.45239439</v>
          </cell>
          <cell r="GI222">
            <v>13358344.80467625</v>
          </cell>
          <cell r="GJ222">
            <v>0</v>
          </cell>
          <cell r="GK222">
            <v>13290566.45239439</v>
          </cell>
          <cell r="GL222">
            <v>0</v>
          </cell>
          <cell r="GM222">
            <v>0</v>
          </cell>
          <cell r="GN222">
            <v>0</v>
          </cell>
          <cell r="GO222">
            <v>0</v>
          </cell>
          <cell r="GP222">
            <v>0</v>
          </cell>
          <cell r="GQ222">
            <v>0</v>
          </cell>
          <cell r="GR222">
            <v>0</v>
          </cell>
          <cell r="GS222">
            <v>0</v>
          </cell>
          <cell r="GT222">
            <v>0</v>
          </cell>
          <cell r="GZ222">
            <v>290852.86999999994</v>
          </cell>
        </row>
        <row r="223">
          <cell r="A223" t="str">
            <v>I_VIT_NRF_CPT_PRP_INTR_I01</v>
          </cell>
          <cell r="B223">
            <v>0</v>
          </cell>
          <cell r="C223">
            <v>0</v>
          </cell>
          <cell r="D223">
            <v>184203967.8710404</v>
          </cell>
          <cell r="E223">
            <v>0</v>
          </cell>
          <cell r="F223">
            <v>184203967.8710404</v>
          </cell>
          <cell r="G223">
            <v>184203967.8710404</v>
          </cell>
          <cell r="H223">
            <v>0</v>
          </cell>
          <cell r="I223">
            <v>0</v>
          </cell>
          <cell r="J223">
            <v>184203967.8710404</v>
          </cell>
          <cell r="K223">
            <v>0</v>
          </cell>
          <cell r="L223">
            <v>0</v>
          </cell>
          <cell r="M223">
            <v>0</v>
          </cell>
          <cell r="N223">
            <v>184203967.8710404</v>
          </cell>
          <cell r="O223">
            <v>0</v>
          </cell>
          <cell r="P223">
            <v>0</v>
          </cell>
          <cell r="Q223">
            <v>184203967.8710404</v>
          </cell>
          <cell r="R223">
            <v>0</v>
          </cell>
          <cell r="S223">
            <v>184203967.8710404</v>
          </cell>
          <cell r="T223">
            <v>0</v>
          </cell>
          <cell r="U223">
            <v>0</v>
          </cell>
          <cell r="V223">
            <v>0</v>
          </cell>
          <cell r="W223">
            <v>0</v>
          </cell>
          <cell r="X223">
            <v>0</v>
          </cell>
          <cell r="Y223">
            <v>0</v>
          </cell>
          <cell r="Z223">
            <v>184203967.8710404</v>
          </cell>
          <cell r="AA223">
            <v>184203967.8710404</v>
          </cell>
          <cell r="AB223">
            <v>185232996.51791474</v>
          </cell>
          <cell r="AC223">
            <v>182780180.32324705</v>
          </cell>
          <cell r="AD223">
            <v>0</v>
          </cell>
          <cell r="AE223">
            <v>0</v>
          </cell>
          <cell r="AF223">
            <v>164733312.44887927</v>
          </cell>
          <cell r="AG223">
            <v>0</v>
          </cell>
          <cell r="AH223">
            <v>0</v>
          </cell>
          <cell r="AI223">
            <v>0</v>
          </cell>
          <cell r="AJ223">
            <v>182803281.17791957</v>
          </cell>
          <cell r="AK223">
            <v>0</v>
          </cell>
          <cell r="AL223">
            <v>0</v>
          </cell>
          <cell r="AM223">
            <v>172874279.90794787</v>
          </cell>
          <cell r="AN223">
            <v>0</v>
          </cell>
          <cell r="AO223">
            <v>183239850.75261477</v>
          </cell>
          <cell r="AP223">
            <v>0</v>
          </cell>
          <cell r="AQ223">
            <v>0</v>
          </cell>
          <cell r="AR223">
            <v>0</v>
          </cell>
          <cell r="AS223">
            <v>0</v>
          </cell>
          <cell r="AT223">
            <v>0</v>
          </cell>
          <cell r="AU223">
            <v>0</v>
          </cell>
          <cell r="AV223">
            <v>180554782.24333534</v>
          </cell>
          <cell r="AW223">
            <v>184203967.8710404</v>
          </cell>
          <cell r="AX223">
            <v>0</v>
          </cell>
          <cell r="AY223">
            <v>0</v>
          </cell>
          <cell r="AZ223">
            <v>0</v>
          </cell>
          <cell r="BA223">
            <v>0</v>
          </cell>
          <cell r="BB223">
            <v>0</v>
          </cell>
          <cell r="BC223">
            <v>0</v>
          </cell>
          <cell r="BD223">
            <v>0</v>
          </cell>
          <cell r="BE223">
            <v>0</v>
          </cell>
          <cell r="BF223">
            <v>0</v>
          </cell>
          <cell r="BG223">
            <v>0</v>
          </cell>
          <cell r="BH223">
            <v>0</v>
          </cell>
          <cell r="BI223">
            <v>0</v>
          </cell>
          <cell r="BJ223">
            <v>0</v>
          </cell>
          <cell r="BK223">
            <v>0</v>
          </cell>
          <cell r="BL223">
            <v>0</v>
          </cell>
          <cell r="BM223">
            <v>0</v>
          </cell>
          <cell r="BN223">
            <v>0</v>
          </cell>
          <cell r="BO223">
            <v>0</v>
          </cell>
          <cell r="BP223">
            <v>0</v>
          </cell>
          <cell r="BQ223">
            <v>0</v>
          </cell>
          <cell r="BR223">
            <v>0</v>
          </cell>
          <cell r="BS223">
            <v>0</v>
          </cell>
          <cell r="BT223">
            <v>0</v>
          </cell>
          <cell r="BU223">
            <v>0</v>
          </cell>
          <cell r="BV223">
            <v>0</v>
          </cell>
          <cell r="BW223">
            <v>0</v>
          </cell>
          <cell r="BX223">
            <v>0</v>
          </cell>
          <cell r="BY223">
            <v>0</v>
          </cell>
          <cell r="BZ223">
            <v>0</v>
          </cell>
          <cell r="CA223">
            <v>0</v>
          </cell>
          <cell r="CB223">
            <v>0</v>
          </cell>
          <cell r="CC223">
            <v>0</v>
          </cell>
          <cell r="CD223">
            <v>0</v>
          </cell>
          <cell r="CE223">
            <v>0</v>
          </cell>
          <cell r="CF223">
            <v>0</v>
          </cell>
          <cell r="CG223">
            <v>0</v>
          </cell>
          <cell r="CH223">
            <v>0</v>
          </cell>
          <cell r="CI223">
            <v>0</v>
          </cell>
          <cell r="CJ223">
            <v>0</v>
          </cell>
          <cell r="CK223">
            <v>0</v>
          </cell>
          <cell r="CL223">
            <v>0</v>
          </cell>
          <cell r="CM223">
            <v>0</v>
          </cell>
          <cell r="CN223">
            <v>0</v>
          </cell>
          <cell r="CO223">
            <v>0</v>
          </cell>
          <cell r="CP223">
            <v>0</v>
          </cell>
          <cell r="CQ223">
            <v>0</v>
          </cell>
          <cell r="CR223">
            <v>0</v>
          </cell>
          <cell r="CS223">
            <v>0</v>
          </cell>
          <cell r="CT223">
            <v>0</v>
          </cell>
          <cell r="CU223">
            <v>0</v>
          </cell>
          <cell r="CV223">
            <v>0</v>
          </cell>
          <cell r="CW223">
            <v>0</v>
          </cell>
          <cell r="CX223">
            <v>0</v>
          </cell>
          <cell r="CY223">
            <v>0</v>
          </cell>
          <cell r="CZ223">
            <v>0</v>
          </cell>
          <cell r="DA223">
            <v>0</v>
          </cell>
          <cell r="DB223">
            <v>0</v>
          </cell>
          <cell r="DC223">
            <v>0</v>
          </cell>
          <cell r="DD223">
            <v>0</v>
          </cell>
          <cell r="DE223">
            <v>0</v>
          </cell>
          <cell r="DF223">
            <v>0</v>
          </cell>
          <cell r="DG223">
            <v>0</v>
          </cell>
          <cell r="DH223">
            <v>0</v>
          </cell>
          <cell r="DI223">
            <v>0</v>
          </cell>
          <cell r="DJ223">
            <v>0</v>
          </cell>
          <cell r="DK223">
            <v>0</v>
          </cell>
          <cell r="DL223">
            <v>0</v>
          </cell>
          <cell r="DM223">
            <v>0</v>
          </cell>
          <cell r="DN223">
            <v>0</v>
          </cell>
          <cell r="DO223">
            <v>0</v>
          </cell>
          <cell r="DP223">
            <v>0</v>
          </cell>
          <cell r="DQ223">
            <v>0</v>
          </cell>
          <cell r="DR223">
            <v>0</v>
          </cell>
          <cell r="DS223">
            <v>0</v>
          </cell>
          <cell r="DT223">
            <v>0</v>
          </cell>
          <cell r="DU223">
            <v>0</v>
          </cell>
          <cell r="DV223">
            <v>0</v>
          </cell>
          <cell r="DW223">
            <v>0</v>
          </cell>
          <cell r="EA223">
            <v>0</v>
          </cell>
          <cell r="EB223">
            <v>0</v>
          </cell>
          <cell r="EC223">
            <v>0</v>
          </cell>
          <cell r="ED223">
            <v>0</v>
          </cell>
          <cell r="EE223">
            <v>0</v>
          </cell>
          <cell r="EF223">
            <v>0</v>
          </cell>
          <cell r="EG223">
            <v>0</v>
          </cell>
          <cell r="EH223">
            <v>0</v>
          </cell>
          <cell r="EI223">
            <v>0</v>
          </cell>
          <cell r="EJ223">
            <v>0</v>
          </cell>
          <cell r="EK223">
            <v>0</v>
          </cell>
          <cell r="EL223">
            <v>0</v>
          </cell>
          <cell r="EM223">
            <v>0</v>
          </cell>
          <cell r="EN223">
            <v>0</v>
          </cell>
          <cell r="EO223">
            <v>0</v>
          </cell>
          <cell r="EP223">
            <v>0</v>
          </cell>
          <cell r="EQ223">
            <v>0</v>
          </cell>
          <cell r="ER223">
            <v>0</v>
          </cell>
          <cell r="ES223">
            <v>0</v>
          </cell>
          <cell r="ET223">
            <v>0</v>
          </cell>
          <cell r="EU223">
            <v>0</v>
          </cell>
          <cell r="EV223">
            <v>0</v>
          </cell>
          <cell r="EW223">
            <v>0</v>
          </cell>
          <cell r="EX223">
            <v>0</v>
          </cell>
          <cell r="EY223">
            <v>0</v>
          </cell>
          <cell r="EZ223">
            <v>0</v>
          </cell>
          <cell r="FA223">
            <v>0</v>
          </cell>
          <cell r="FB223">
            <v>0</v>
          </cell>
          <cell r="FC223">
            <v>0</v>
          </cell>
          <cell r="FE223">
            <v>0</v>
          </cell>
          <cell r="FF223">
            <v>0</v>
          </cell>
          <cell r="FG223">
            <v>0</v>
          </cell>
          <cell r="FH223">
            <v>0</v>
          </cell>
          <cell r="FI223">
            <v>0</v>
          </cell>
          <cell r="FJ223">
            <v>0</v>
          </cell>
          <cell r="FK223">
            <v>0</v>
          </cell>
          <cell r="FL223">
            <v>0</v>
          </cell>
          <cell r="FM223">
            <v>0</v>
          </cell>
          <cell r="FN223">
            <v>0</v>
          </cell>
          <cell r="FO223">
            <v>0</v>
          </cell>
          <cell r="FP223">
            <v>0</v>
          </cell>
          <cell r="FQ223">
            <v>0</v>
          </cell>
          <cell r="FR223">
            <v>0</v>
          </cell>
          <cell r="FS223">
            <v>0</v>
          </cell>
          <cell r="FT223">
            <v>0</v>
          </cell>
          <cell r="FU223">
            <v>0</v>
          </cell>
          <cell r="FV223">
            <v>0</v>
          </cell>
          <cell r="FW223">
            <v>0</v>
          </cell>
          <cell r="FX223">
            <v>0</v>
          </cell>
          <cell r="FY223">
            <v>0</v>
          </cell>
          <cell r="FZ223">
            <v>0</v>
          </cell>
          <cell r="GA223">
            <v>0</v>
          </cell>
          <cell r="GB223">
            <v>0</v>
          </cell>
          <cell r="GC223">
            <v>0</v>
          </cell>
          <cell r="GD223">
            <v>0</v>
          </cell>
          <cell r="GE223">
            <v>0</v>
          </cell>
          <cell r="GF223">
            <v>0</v>
          </cell>
          <cell r="GG223">
            <v>0</v>
          </cell>
          <cell r="GH223">
            <v>0</v>
          </cell>
          <cell r="GI223">
            <v>0</v>
          </cell>
          <cell r="GJ223">
            <v>0</v>
          </cell>
          <cell r="GK223">
            <v>0</v>
          </cell>
          <cell r="GL223">
            <v>0</v>
          </cell>
          <cell r="GM223">
            <v>0</v>
          </cell>
          <cell r="GN223">
            <v>0</v>
          </cell>
          <cell r="GO223">
            <v>0</v>
          </cell>
          <cell r="GP223">
            <v>0</v>
          </cell>
          <cell r="GQ223">
            <v>0</v>
          </cell>
          <cell r="GR223">
            <v>0</v>
          </cell>
          <cell r="GS223">
            <v>0</v>
          </cell>
          <cell r="GT223">
            <v>0</v>
          </cell>
          <cell r="GZ223">
            <v>0</v>
          </cell>
        </row>
        <row r="224">
          <cell r="A224" t="str">
            <v>I_VIT_NRF_EPA_EUR_INTR_I02</v>
          </cell>
          <cell r="B224">
            <v>4638497651.7399998</v>
          </cell>
          <cell r="C224">
            <v>0</v>
          </cell>
          <cell r="D224">
            <v>4889339466.000061</v>
          </cell>
          <cell r="E224">
            <v>4778974384.114007</v>
          </cell>
          <cell r="F224">
            <v>4889339466.000061</v>
          </cell>
          <cell r="G224">
            <v>4889339466.000061</v>
          </cell>
          <cell r="H224">
            <v>0</v>
          </cell>
          <cell r="I224">
            <v>0</v>
          </cell>
          <cell r="J224">
            <v>4889339466.000061</v>
          </cell>
          <cell r="K224">
            <v>0</v>
          </cell>
          <cell r="L224">
            <v>0</v>
          </cell>
          <cell r="M224">
            <v>0</v>
          </cell>
          <cell r="N224">
            <v>4889339466.000061</v>
          </cell>
          <cell r="O224">
            <v>0</v>
          </cell>
          <cell r="P224">
            <v>0</v>
          </cell>
          <cell r="Q224">
            <v>4889339466.000061</v>
          </cell>
          <cell r="R224">
            <v>0</v>
          </cell>
          <cell r="S224">
            <v>4889339466.000061</v>
          </cell>
          <cell r="T224">
            <v>0</v>
          </cell>
          <cell r="U224">
            <v>0</v>
          </cell>
          <cell r="V224">
            <v>0</v>
          </cell>
          <cell r="W224">
            <v>0</v>
          </cell>
          <cell r="X224">
            <v>0</v>
          </cell>
          <cell r="Y224">
            <v>0</v>
          </cell>
          <cell r="Z224">
            <v>4889339466.000061</v>
          </cell>
          <cell r="AA224">
            <v>4889339466.000061</v>
          </cell>
          <cell r="AB224">
            <v>5050414567.0996037</v>
          </cell>
          <cell r="AC224">
            <v>4714740578.2957296</v>
          </cell>
          <cell r="AD224">
            <v>0</v>
          </cell>
          <cell r="AE224">
            <v>0</v>
          </cell>
          <cell r="AF224">
            <v>4775082653.0212879</v>
          </cell>
          <cell r="AG224">
            <v>0</v>
          </cell>
          <cell r="AH224">
            <v>0</v>
          </cell>
          <cell r="AI224">
            <v>0</v>
          </cell>
          <cell r="AJ224">
            <v>4879964136.6072073</v>
          </cell>
          <cell r="AK224">
            <v>0</v>
          </cell>
          <cell r="AL224">
            <v>0</v>
          </cell>
          <cell r="AM224">
            <v>4887616187.0595789</v>
          </cell>
          <cell r="AN224">
            <v>0</v>
          </cell>
          <cell r="AO224">
            <v>4834546005.9276199</v>
          </cell>
          <cell r="AP224">
            <v>0</v>
          </cell>
          <cell r="AQ224">
            <v>0</v>
          </cell>
          <cell r="AR224">
            <v>0</v>
          </cell>
          <cell r="AS224">
            <v>0</v>
          </cell>
          <cell r="AT224">
            <v>0</v>
          </cell>
          <cell r="AU224">
            <v>0</v>
          </cell>
          <cell r="AV224">
            <v>4861385140</v>
          </cell>
          <cell r="AW224">
            <v>4889339466.000061</v>
          </cell>
          <cell r="AX224">
            <v>4778974384.114007</v>
          </cell>
          <cell r="AY224">
            <v>4778974384.114007</v>
          </cell>
          <cell r="AZ224">
            <v>0</v>
          </cell>
          <cell r="BA224">
            <v>0</v>
          </cell>
          <cell r="BB224">
            <v>4778974384.114007</v>
          </cell>
          <cell r="BC224">
            <v>0</v>
          </cell>
          <cell r="BD224">
            <v>0</v>
          </cell>
          <cell r="BE224">
            <v>0</v>
          </cell>
          <cell r="BF224">
            <v>4778974384.114007</v>
          </cell>
          <cell r="BG224">
            <v>0</v>
          </cell>
          <cell r="BH224">
            <v>0</v>
          </cell>
          <cell r="BI224">
            <v>4778974384.114007</v>
          </cell>
          <cell r="BJ224">
            <v>0</v>
          </cell>
          <cell r="BK224">
            <v>4778974384.114007</v>
          </cell>
          <cell r="BL224">
            <v>0</v>
          </cell>
          <cell r="BM224">
            <v>0</v>
          </cell>
          <cell r="BN224">
            <v>0</v>
          </cell>
          <cell r="BO224">
            <v>0</v>
          </cell>
          <cell r="BP224">
            <v>0</v>
          </cell>
          <cell r="BQ224">
            <v>0</v>
          </cell>
          <cell r="BR224">
            <v>4778974384.114007</v>
          </cell>
          <cell r="BS224">
            <v>4778974384.114007</v>
          </cell>
          <cell r="BT224">
            <v>4961075958.7670345</v>
          </cell>
          <cell r="BU224">
            <v>4609730814.7735195</v>
          </cell>
          <cell r="BV224">
            <v>0</v>
          </cell>
          <cell r="BW224">
            <v>0</v>
          </cell>
          <cell r="BX224">
            <v>4729882956.3683109</v>
          </cell>
          <cell r="BY224">
            <v>0</v>
          </cell>
          <cell r="BZ224">
            <v>0</v>
          </cell>
          <cell r="CA224">
            <v>0</v>
          </cell>
          <cell r="CB224">
            <v>4773527425.1074419</v>
          </cell>
          <cell r="CC224">
            <v>0</v>
          </cell>
          <cell r="CD224">
            <v>0</v>
          </cell>
          <cell r="CE224">
            <v>4777582409.8463402</v>
          </cell>
          <cell r="CF224">
            <v>0</v>
          </cell>
          <cell r="CG224">
            <v>4758524681.8485775</v>
          </cell>
          <cell r="CH224">
            <v>0</v>
          </cell>
          <cell r="CI224">
            <v>0</v>
          </cell>
          <cell r="CJ224">
            <v>0</v>
          </cell>
          <cell r="CK224">
            <v>0</v>
          </cell>
          <cell r="CL224">
            <v>0</v>
          </cell>
          <cell r="CM224">
            <v>0</v>
          </cell>
          <cell r="CN224">
            <v>4766963566.2097254</v>
          </cell>
          <cell r="CO224">
            <v>4809572937.0545406</v>
          </cell>
          <cell r="CP224">
            <v>4778974384.114007</v>
          </cell>
          <cell r="CQ224">
            <v>4778974384.114007</v>
          </cell>
          <cell r="CR224">
            <v>4778974384.114007</v>
          </cell>
          <cell r="CS224">
            <v>4778974384.114007</v>
          </cell>
          <cell r="CT224">
            <v>4778974384.114007</v>
          </cell>
          <cell r="CU224">
            <v>0</v>
          </cell>
          <cell r="CV224">
            <v>4778974384.114007</v>
          </cell>
          <cell r="CW224">
            <v>4778974384.114007</v>
          </cell>
          <cell r="CX224">
            <v>4778974384.114007</v>
          </cell>
          <cell r="CY224">
            <v>4778974384.114007</v>
          </cell>
          <cell r="CZ224">
            <v>4783664732.9774179</v>
          </cell>
          <cell r="DA224">
            <v>4771497650.0269756</v>
          </cell>
          <cell r="DB224">
            <v>4778974384.114007</v>
          </cell>
          <cell r="DC224">
            <v>4825967602.0769691</v>
          </cell>
          <cell r="DD224">
            <v>4640284724.238759</v>
          </cell>
          <cell r="DE224">
            <v>0</v>
          </cell>
          <cell r="DF224">
            <v>4760221575.4392681</v>
          </cell>
          <cell r="DG224">
            <v>4784506891.3878756</v>
          </cell>
          <cell r="DH224">
            <v>4778974384.114007</v>
          </cell>
          <cell r="DI224">
            <v>4779028502.4966335</v>
          </cell>
          <cell r="DJ224">
            <v>0</v>
          </cell>
          <cell r="DK224">
            <v>0</v>
          </cell>
          <cell r="DL224">
            <v>0</v>
          </cell>
          <cell r="DM224">
            <v>0</v>
          </cell>
          <cell r="DN224">
            <v>0</v>
          </cell>
          <cell r="DO224">
            <v>0</v>
          </cell>
          <cell r="DP224">
            <v>0</v>
          </cell>
          <cell r="DQ224">
            <v>0</v>
          </cell>
          <cell r="DR224">
            <v>0</v>
          </cell>
          <cell r="DS224">
            <v>0</v>
          </cell>
          <cell r="DT224">
            <v>0</v>
          </cell>
          <cell r="DU224">
            <v>0</v>
          </cell>
          <cell r="DV224">
            <v>0</v>
          </cell>
          <cell r="DW224">
            <v>0</v>
          </cell>
          <cell r="EA224">
            <v>0</v>
          </cell>
          <cell r="EB224">
            <v>0</v>
          </cell>
          <cell r="EC224">
            <v>0</v>
          </cell>
          <cell r="ED224">
            <v>0</v>
          </cell>
          <cell r="EE224">
            <v>0</v>
          </cell>
          <cell r="EF224">
            <v>0</v>
          </cell>
          <cell r="EG224">
            <v>0</v>
          </cell>
          <cell r="EH224">
            <v>0</v>
          </cell>
          <cell r="EI224">
            <v>0</v>
          </cell>
          <cell r="EJ224">
            <v>0</v>
          </cell>
          <cell r="EK224">
            <v>0</v>
          </cell>
          <cell r="EL224">
            <v>0</v>
          </cell>
          <cell r="EM224">
            <v>0</v>
          </cell>
          <cell r="EN224">
            <v>0</v>
          </cell>
          <cell r="EO224">
            <v>0</v>
          </cell>
          <cell r="EP224">
            <v>0</v>
          </cell>
          <cell r="EQ224">
            <v>0</v>
          </cell>
          <cell r="ER224">
            <v>0</v>
          </cell>
          <cell r="ES224">
            <v>0</v>
          </cell>
          <cell r="ET224">
            <v>0</v>
          </cell>
          <cell r="EU224">
            <v>0</v>
          </cell>
          <cell r="EV224">
            <v>0</v>
          </cell>
          <cell r="EW224">
            <v>0</v>
          </cell>
          <cell r="EX224">
            <v>0</v>
          </cell>
          <cell r="EY224">
            <v>0</v>
          </cell>
          <cell r="EZ224">
            <v>0</v>
          </cell>
          <cell r="FA224">
            <v>0</v>
          </cell>
          <cell r="FB224">
            <v>0</v>
          </cell>
          <cell r="FC224">
            <v>0</v>
          </cell>
          <cell r="FE224">
            <v>4695070958.9814644</v>
          </cell>
          <cell r="FF224">
            <v>4936856944.4035225</v>
          </cell>
          <cell r="FG224">
            <v>4619368406.6675415</v>
          </cell>
          <cell r="FH224">
            <v>0</v>
          </cell>
          <cell r="FI224">
            <v>0</v>
          </cell>
          <cell r="FJ224">
            <v>4729882956.3683109</v>
          </cell>
          <cell r="FK224">
            <v>0</v>
          </cell>
          <cell r="FL224">
            <v>0</v>
          </cell>
          <cell r="FM224">
            <v>0</v>
          </cell>
          <cell r="FN224">
            <v>4773527425.1074419</v>
          </cell>
          <cell r="FO224">
            <v>0</v>
          </cell>
          <cell r="FP224">
            <v>0</v>
          </cell>
          <cell r="FQ224">
            <v>4777582409.8463402</v>
          </cell>
          <cell r="FR224">
            <v>0</v>
          </cell>
          <cell r="FS224">
            <v>4758524681.8485775</v>
          </cell>
          <cell r="FT224">
            <v>0</v>
          </cell>
          <cell r="FU224">
            <v>0</v>
          </cell>
          <cell r="FV224">
            <v>0</v>
          </cell>
          <cell r="FW224">
            <v>0</v>
          </cell>
          <cell r="FX224">
            <v>0</v>
          </cell>
          <cell r="FY224">
            <v>0</v>
          </cell>
          <cell r="FZ224">
            <v>4766963566.2097254</v>
          </cell>
          <cell r="GA224">
            <v>4799785613.8215427</v>
          </cell>
          <cell r="GB224">
            <v>4780183790.0702009</v>
          </cell>
          <cell r="GC224">
            <v>4777146770.4631586</v>
          </cell>
          <cell r="GD224">
            <v>4778974384.114007</v>
          </cell>
          <cell r="GE224">
            <v>4787011356.8933868</v>
          </cell>
          <cell r="GF224">
            <v>4755291368.6846094</v>
          </cell>
          <cell r="GG224">
            <v>0</v>
          </cell>
          <cell r="GH224">
            <v>4758734011.5843811</v>
          </cell>
          <cell r="GI224">
            <v>4784508911.9028482</v>
          </cell>
          <cell r="GJ224">
            <v>4695070958.9814644</v>
          </cell>
          <cell r="GK224">
            <v>4778926861.9501257</v>
          </cell>
          <cell r="GL224">
            <v>0</v>
          </cell>
          <cell r="GM224">
            <v>0</v>
          </cell>
          <cell r="GN224">
            <v>0</v>
          </cell>
          <cell r="GO224">
            <v>0</v>
          </cell>
          <cell r="GP224">
            <v>0</v>
          </cell>
          <cell r="GQ224">
            <v>0</v>
          </cell>
          <cell r="GR224">
            <v>0</v>
          </cell>
          <cell r="GS224">
            <v>0</v>
          </cell>
          <cell r="GT224">
            <v>0</v>
          </cell>
          <cell r="GZ224">
            <v>0</v>
          </cell>
        </row>
        <row r="225">
          <cell r="A225" t="str">
            <v>I_VIT_NRF_EPA_EUR_INTR_I03</v>
          </cell>
          <cell r="B225">
            <v>1100905918.6613677</v>
          </cell>
          <cell r="C225">
            <v>0</v>
          </cell>
          <cell r="D225">
            <v>1189344802</v>
          </cell>
          <cell r="E225">
            <v>1096034035.5370815</v>
          </cell>
          <cell r="F225">
            <v>1189344802</v>
          </cell>
          <cell r="G225">
            <v>1189344802</v>
          </cell>
          <cell r="H225">
            <v>0</v>
          </cell>
          <cell r="I225">
            <v>0</v>
          </cell>
          <cell r="J225">
            <v>1189344802</v>
          </cell>
          <cell r="K225">
            <v>0</v>
          </cell>
          <cell r="L225">
            <v>0</v>
          </cell>
          <cell r="M225">
            <v>0</v>
          </cell>
          <cell r="N225">
            <v>1189344802</v>
          </cell>
          <cell r="O225">
            <v>0</v>
          </cell>
          <cell r="P225">
            <v>0</v>
          </cell>
          <cell r="Q225">
            <v>1189344802</v>
          </cell>
          <cell r="R225">
            <v>0</v>
          </cell>
          <cell r="S225">
            <v>1189344802</v>
          </cell>
          <cell r="T225">
            <v>0</v>
          </cell>
          <cell r="U225">
            <v>0</v>
          </cell>
          <cell r="V225">
            <v>0</v>
          </cell>
          <cell r="W225">
            <v>0</v>
          </cell>
          <cell r="X225">
            <v>0</v>
          </cell>
          <cell r="Y225">
            <v>0</v>
          </cell>
          <cell r="Z225">
            <v>1189344802</v>
          </cell>
          <cell r="AA225">
            <v>1189344802</v>
          </cell>
          <cell r="AB225">
            <v>1224170639</v>
          </cell>
          <cell r="AC225">
            <v>1150123227</v>
          </cell>
          <cell r="AD225">
            <v>0</v>
          </cell>
          <cell r="AE225">
            <v>0</v>
          </cell>
          <cell r="AF225">
            <v>1164756132.2977359</v>
          </cell>
          <cell r="AG225">
            <v>0</v>
          </cell>
          <cell r="AH225">
            <v>0</v>
          </cell>
          <cell r="AI225">
            <v>0</v>
          </cell>
          <cell r="AJ225">
            <v>1187470692.8277993</v>
          </cell>
          <cell r="AK225">
            <v>0</v>
          </cell>
          <cell r="AL225">
            <v>0</v>
          </cell>
          <cell r="AM225">
            <v>1188916476</v>
          </cell>
          <cell r="AN225">
            <v>0</v>
          </cell>
          <cell r="AO225">
            <v>1170694155</v>
          </cell>
          <cell r="AP225">
            <v>0</v>
          </cell>
          <cell r="AQ225">
            <v>0</v>
          </cell>
          <cell r="AR225">
            <v>0</v>
          </cell>
          <cell r="AS225">
            <v>0</v>
          </cell>
          <cell r="AT225">
            <v>0</v>
          </cell>
          <cell r="AU225">
            <v>0</v>
          </cell>
          <cell r="AV225">
            <v>1185354883</v>
          </cell>
          <cell r="AW225">
            <v>1189344802</v>
          </cell>
          <cell r="AX225">
            <v>1096034035.5370815</v>
          </cell>
          <cell r="AY225">
            <v>1096034035.5370815</v>
          </cell>
          <cell r="AZ225">
            <v>0</v>
          </cell>
          <cell r="BA225">
            <v>0</v>
          </cell>
          <cell r="BB225">
            <v>1096034035.5370815</v>
          </cell>
          <cell r="BC225">
            <v>0</v>
          </cell>
          <cell r="BD225">
            <v>0</v>
          </cell>
          <cell r="BE225">
            <v>0</v>
          </cell>
          <cell r="BF225">
            <v>1096034035.5370815</v>
          </cell>
          <cell r="BG225">
            <v>0</v>
          </cell>
          <cell r="BH225">
            <v>0</v>
          </cell>
          <cell r="BI225">
            <v>1096034035.5370815</v>
          </cell>
          <cell r="BJ225">
            <v>0</v>
          </cell>
          <cell r="BK225">
            <v>1096034035.5370815</v>
          </cell>
          <cell r="BL225">
            <v>0</v>
          </cell>
          <cell r="BM225">
            <v>0</v>
          </cell>
          <cell r="BN225">
            <v>0</v>
          </cell>
          <cell r="BO225">
            <v>0</v>
          </cell>
          <cell r="BP225">
            <v>0</v>
          </cell>
          <cell r="BQ225">
            <v>0</v>
          </cell>
          <cell r="BR225">
            <v>1096034035.5370815</v>
          </cell>
          <cell r="BS225">
            <v>1096034035.5370815</v>
          </cell>
          <cell r="BT225">
            <v>1147752696.6482527</v>
          </cell>
          <cell r="BU225">
            <v>1041472700.8422676</v>
          </cell>
          <cell r="BV225">
            <v>0</v>
          </cell>
          <cell r="BW225">
            <v>0</v>
          </cell>
          <cell r="BX225">
            <v>1096034035.5370815</v>
          </cell>
          <cell r="BY225">
            <v>0</v>
          </cell>
          <cell r="BZ225">
            <v>0</v>
          </cell>
          <cell r="CA225">
            <v>0</v>
          </cell>
          <cell r="CB225">
            <v>1096034035.5370815</v>
          </cell>
          <cell r="CC225">
            <v>0</v>
          </cell>
          <cell r="CD225">
            <v>0</v>
          </cell>
          <cell r="CE225">
            <v>1096034035.5370815</v>
          </cell>
          <cell r="CF225">
            <v>0</v>
          </cell>
          <cell r="CG225">
            <v>1096034035.5370815</v>
          </cell>
          <cell r="CH225">
            <v>0</v>
          </cell>
          <cell r="CI225">
            <v>0</v>
          </cell>
          <cell r="CJ225">
            <v>0</v>
          </cell>
          <cell r="CK225">
            <v>0</v>
          </cell>
          <cell r="CL225">
            <v>0</v>
          </cell>
          <cell r="CM225">
            <v>0</v>
          </cell>
          <cell r="CN225">
            <v>1096034035.5370815</v>
          </cell>
          <cell r="CO225">
            <v>1107872813.941258</v>
          </cell>
          <cell r="CP225">
            <v>1096034035.5370815</v>
          </cell>
          <cell r="CQ225">
            <v>1096034035.5370815</v>
          </cell>
          <cell r="CR225">
            <v>1096034035.5370815</v>
          </cell>
          <cell r="CS225">
            <v>1096034035.5370815</v>
          </cell>
          <cell r="CT225">
            <v>1096034035.5370815</v>
          </cell>
          <cell r="CU225">
            <v>0</v>
          </cell>
          <cell r="CV225">
            <v>1096034035.5370815</v>
          </cell>
          <cell r="CW225">
            <v>1096034035.5370815</v>
          </cell>
          <cell r="CX225">
            <v>1096034035.5370815</v>
          </cell>
          <cell r="CY225">
            <v>1096034035.5370815</v>
          </cell>
          <cell r="CZ225">
            <v>1099652371.3877168</v>
          </cell>
          <cell r="DA225">
            <v>1096034035.5370815</v>
          </cell>
          <cell r="DB225">
            <v>1096034035.5370815</v>
          </cell>
          <cell r="DC225">
            <v>1130818574.6448889</v>
          </cell>
          <cell r="DD225">
            <v>1033056366.354655</v>
          </cell>
          <cell r="DE225">
            <v>0</v>
          </cell>
          <cell r="DF225">
            <v>1134903907.2850947</v>
          </cell>
          <cell r="DG225">
            <v>1098122621.5453708</v>
          </cell>
          <cell r="DH225">
            <v>1096034035.5370815</v>
          </cell>
          <cell r="DI225">
            <v>1096199209.1664011</v>
          </cell>
          <cell r="DJ225">
            <v>0</v>
          </cell>
          <cell r="DK225">
            <v>0</v>
          </cell>
          <cell r="DL225">
            <v>0</v>
          </cell>
          <cell r="DM225">
            <v>0</v>
          </cell>
          <cell r="DN225">
            <v>0</v>
          </cell>
          <cell r="DO225">
            <v>0</v>
          </cell>
          <cell r="DP225">
            <v>0</v>
          </cell>
          <cell r="DQ225">
            <v>0</v>
          </cell>
          <cell r="DR225">
            <v>0</v>
          </cell>
          <cell r="DS225">
            <v>0</v>
          </cell>
          <cell r="DT225">
            <v>0</v>
          </cell>
          <cell r="DU225">
            <v>0</v>
          </cell>
          <cell r="DV225">
            <v>0</v>
          </cell>
          <cell r="DW225">
            <v>0</v>
          </cell>
          <cell r="EA225">
            <v>0</v>
          </cell>
          <cell r="EB225">
            <v>0</v>
          </cell>
          <cell r="EC225">
            <v>0</v>
          </cell>
          <cell r="ED225">
            <v>0</v>
          </cell>
          <cell r="EE225">
            <v>0</v>
          </cell>
          <cell r="EF225">
            <v>0</v>
          </cell>
          <cell r="EG225">
            <v>0</v>
          </cell>
          <cell r="EH225">
            <v>0</v>
          </cell>
          <cell r="EI225">
            <v>0</v>
          </cell>
          <cell r="EJ225">
            <v>0</v>
          </cell>
          <cell r="EK225">
            <v>0</v>
          </cell>
          <cell r="EL225">
            <v>0</v>
          </cell>
          <cell r="EM225">
            <v>0</v>
          </cell>
          <cell r="EN225">
            <v>0</v>
          </cell>
          <cell r="EO225">
            <v>0</v>
          </cell>
          <cell r="EP225">
            <v>0</v>
          </cell>
          <cell r="EQ225">
            <v>0</v>
          </cell>
          <cell r="ER225">
            <v>0</v>
          </cell>
          <cell r="ES225">
            <v>0</v>
          </cell>
          <cell r="ET225">
            <v>0</v>
          </cell>
          <cell r="EU225">
            <v>0</v>
          </cell>
          <cell r="EV225">
            <v>0</v>
          </cell>
          <cell r="EW225">
            <v>0</v>
          </cell>
          <cell r="EX225">
            <v>0</v>
          </cell>
          <cell r="EY225">
            <v>0</v>
          </cell>
          <cell r="EZ225">
            <v>0</v>
          </cell>
          <cell r="FA225">
            <v>0</v>
          </cell>
          <cell r="FB225">
            <v>0</v>
          </cell>
          <cell r="FC225">
            <v>0</v>
          </cell>
          <cell r="FE225">
            <v>995413121.15626979</v>
          </cell>
          <cell r="FF225">
            <v>1117892923.5115995</v>
          </cell>
          <cell r="FG225">
            <v>1074114581.0007796</v>
          </cell>
          <cell r="FH225">
            <v>0</v>
          </cell>
          <cell r="FI225">
            <v>0</v>
          </cell>
          <cell r="FJ225">
            <v>1096034035.5370815</v>
          </cell>
          <cell r="FK225">
            <v>0</v>
          </cell>
          <cell r="FL225">
            <v>0</v>
          </cell>
          <cell r="FM225">
            <v>0</v>
          </cell>
          <cell r="FN225">
            <v>1096034035.5370815</v>
          </cell>
          <cell r="FO225">
            <v>0</v>
          </cell>
          <cell r="FP225">
            <v>0</v>
          </cell>
          <cell r="FQ225">
            <v>1096034035.5370815</v>
          </cell>
          <cell r="FR225">
            <v>0</v>
          </cell>
          <cell r="FS225">
            <v>1096034035.5370815</v>
          </cell>
          <cell r="FT225">
            <v>0</v>
          </cell>
          <cell r="FU225">
            <v>0</v>
          </cell>
          <cell r="FV225">
            <v>0</v>
          </cell>
          <cell r="FW225">
            <v>0</v>
          </cell>
          <cell r="FX225">
            <v>0</v>
          </cell>
          <cell r="FY225">
            <v>0</v>
          </cell>
          <cell r="FZ225">
            <v>1096034035.5370815</v>
          </cell>
          <cell r="GA225">
            <v>1101512289.6393642</v>
          </cell>
          <cell r="GB225">
            <v>1096681267.0006058</v>
          </cell>
          <cell r="GC225">
            <v>1096034035.5370815</v>
          </cell>
          <cell r="GD225">
            <v>1096034035.5370815</v>
          </cell>
          <cell r="GE225">
            <v>1100223297.5384462</v>
          </cell>
          <cell r="GF225">
            <v>1087447941.4081373</v>
          </cell>
          <cell r="GG225">
            <v>0</v>
          </cell>
          <cell r="GH225">
            <v>1095784306.4619868</v>
          </cell>
          <cell r="GI225">
            <v>1098122621.5453708</v>
          </cell>
          <cell r="GJ225">
            <v>995413121.15626979</v>
          </cell>
          <cell r="GK225">
            <v>1096051817.8503284</v>
          </cell>
          <cell r="GL225">
            <v>0</v>
          </cell>
          <cell r="GM225">
            <v>0</v>
          </cell>
          <cell r="GN225">
            <v>0</v>
          </cell>
          <cell r="GO225">
            <v>0</v>
          </cell>
          <cell r="GP225">
            <v>0</v>
          </cell>
          <cell r="GQ225">
            <v>0</v>
          </cell>
          <cell r="GR225">
            <v>0</v>
          </cell>
          <cell r="GS225">
            <v>0</v>
          </cell>
          <cell r="GT225">
            <v>0</v>
          </cell>
          <cell r="GZ225">
            <v>0</v>
          </cell>
        </row>
        <row r="226">
          <cell r="A226" t="str">
            <v>I_VIT_NRF_EPA_EUR_INTR_I04</v>
          </cell>
          <cell r="B226">
            <v>50683483.229999997</v>
          </cell>
          <cell r="C226">
            <v>0</v>
          </cell>
          <cell r="D226">
            <v>61856400</v>
          </cell>
          <cell r="E226">
            <v>52479847.571835682</v>
          </cell>
          <cell r="F226">
            <v>61856400</v>
          </cell>
          <cell r="G226">
            <v>61856400</v>
          </cell>
          <cell r="H226">
            <v>0</v>
          </cell>
          <cell r="I226">
            <v>0</v>
          </cell>
          <cell r="J226">
            <v>61856400</v>
          </cell>
          <cell r="K226">
            <v>0</v>
          </cell>
          <cell r="L226">
            <v>0</v>
          </cell>
          <cell r="M226">
            <v>0</v>
          </cell>
          <cell r="N226">
            <v>61856400</v>
          </cell>
          <cell r="O226">
            <v>0</v>
          </cell>
          <cell r="P226">
            <v>0</v>
          </cell>
          <cell r="Q226">
            <v>61856400</v>
          </cell>
          <cell r="R226">
            <v>0</v>
          </cell>
          <cell r="S226">
            <v>61856400</v>
          </cell>
          <cell r="T226">
            <v>0</v>
          </cell>
          <cell r="U226">
            <v>0</v>
          </cell>
          <cell r="V226">
            <v>0</v>
          </cell>
          <cell r="W226">
            <v>0</v>
          </cell>
          <cell r="X226">
            <v>0</v>
          </cell>
          <cell r="Y226">
            <v>0</v>
          </cell>
          <cell r="Z226">
            <v>61856400</v>
          </cell>
          <cell r="AA226">
            <v>61856400</v>
          </cell>
          <cell r="AB226">
            <v>62116906</v>
          </cell>
          <cell r="AC226">
            <v>61124982</v>
          </cell>
          <cell r="AD226">
            <v>0</v>
          </cell>
          <cell r="AE226">
            <v>0</v>
          </cell>
          <cell r="AF226">
            <v>61856400</v>
          </cell>
          <cell r="AG226">
            <v>0</v>
          </cell>
          <cell r="AH226">
            <v>0</v>
          </cell>
          <cell r="AI226">
            <v>0</v>
          </cell>
          <cell r="AJ226">
            <v>61856400</v>
          </cell>
          <cell r="AK226">
            <v>0</v>
          </cell>
          <cell r="AL226">
            <v>0</v>
          </cell>
          <cell r="AM226">
            <v>61856400</v>
          </cell>
          <cell r="AN226">
            <v>0</v>
          </cell>
          <cell r="AO226">
            <v>60388836</v>
          </cell>
          <cell r="AP226">
            <v>0</v>
          </cell>
          <cell r="AQ226">
            <v>0</v>
          </cell>
          <cell r="AR226">
            <v>0</v>
          </cell>
          <cell r="AS226">
            <v>0</v>
          </cell>
          <cell r="AT226">
            <v>0</v>
          </cell>
          <cell r="AU226">
            <v>0</v>
          </cell>
          <cell r="AV226">
            <v>61856400</v>
          </cell>
          <cell r="AW226">
            <v>61856400</v>
          </cell>
          <cell r="AX226">
            <v>52479847.571835682</v>
          </cell>
          <cell r="AY226">
            <v>52479847.571835682</v>
          </cell>
          <cell r="AZ226">
            <v>0</v>
          </cell>
          <cell r="BA226">
            <v>0</v>
          </cell>
          <cell r="BB226">
            <v>52479847.571835682</v>
          </cell>
          <cell r="BC226">
            <v>0</v>
          </cell>
          <cell r="BD226">
            <v>0</v>
          </cell>
          <cell r="BE226">
            <v>0</v>
          </cell>
          <cell r="BF226">
            <v>52479847.571835682</v>
          </cell>
          <cell r="BG226">
            <v>0</v>
          </cell>
          <cell r="BH226">
            <v>0</v>
          </cell>
          <cell r="BI226">
            <v>52479847.571835682</v>
          </cell>
          <cell r="BJ226">
            <v>0</v>
          </cell>
          <cell r="BK226">
            <v>52479847.571835682</v>
          </cell>
          <cell r="BL226">
            <v>0</v>
          </cell>
          <cell r="BM226">
            <v>0</v>
          </cell>
          <cell r="BN226">
            <v>0</v>
          </cell>
          <cell r="BO226">
            <v>0</v>
          </cell>
          <cell r="BP226">
            <v>0</v>
          </cell>
          <cell r="BQ226">
            <v>0</v>
          </cell>
          <cell r="BR226">
            <v>52479847.571835682</v>
          </cell>
          <cell r="BS226">
            <v>52479847.571835682</v>
          </cell>
          <cell r="BT226">
            <v>57400056.327945739</v>
          </cell>
          <cell r="BU226">
            <v>48060372.439889014</v>
          </cell>
          <cell r="BV226">
            <v>0</v>
          </cell>
          <cell r="BW226">
            <v>0</v>
          </cell>
          <cell r="BX226">
            <v>52479847.571835682</v>
          </cell>
          <cell r="BY226">
            <v>0</v>
          </cell>
          <cell r="BZ226">
            <v>0</v>
          </cell>
          <cell r="CA226">
            <v>0</v>
          </cell>
          <cell r="CB226">
            <v>52479847.571835682</v>
          </cell>
          <cell r="CC226">
            <v>0</v>
          </cell>
          <cell r="CD226">
            <v>0</v>
          </cell>
          <cell r="CE226">
            <v>52479847.571835682</v>
          </cell>
          <cell r="CF226">
            <v>0</v>
          </cell>
          <cell r="CG226">
            <v>52479847.571835682</v>
          </cell>
          <cell r="CH226">
            <v>0</v>
          </cell>
          <cell r="CI226">
            <v>0</v>
          </cell>
          <cell r="CJ226">
            <v>0</v>
          </cell>
          <cell r="CK226">
            <v>0</v>
          </cell>
          <cell r="CL226">
            <v>0</v>
          </cell>
          <cell r="CM226">
            <v>0</v>
          </cell>
          <cell r="CN226">
            <v>52479847.571835682</v>
          </cell>
          <cell r="CO226">
            <v>53395428.373672582</v>
          </cell>
          <cell r="CP226">
            <v>52479847.571835682</v>
          </cell>
          <cell r="CQ226">
            <v>52479847.571835682</v>
          </cell>
          <cell r="CR226">
            <v>52479847.571835682</v>
          </cell>
          <cell r="CS226">
            <v>52479847.571835682</v>
          </cell>
          <cell r="CT226">
            <v>52479847.571835682</v>
          </cell>
          <cell r="CU226">
            <v>0</v>
          </cell>
          <cell r="CV226">
            <v>52479847.571835682</v>
          </cell>
          <cell r="CW226">
            <v>52479847.571835682</v>
          </cell>
          <cell r="CX226">
            <v>52479847.571835682</v>
          </cell>
          <cell r="CY226">
            <v>52479847.571835682</v>
          </cell>
          <cell r="CZ226">
            <v>53063973.323303141</v>
          </cell>
          <cell r="DA226">
            <v>52479847.571835682</v>
          </cell>
          <cell r="DB226">
            <v>52479847.571835682</v>
          </cell>
          <cell r="DC226">
            <v>54507107.460923202</v>
          </cell>
          <cell r="DD226">
            <v>49968400.735111646</v>
          </cell>
          <cell r="DE226">
            <v>0</v>
          </cell>
          <cell r="DF226">
            <v>56333170.262118995</v>
          </cell>
          <cell r="DG226">
            <v>53153534.532690227</v>
          </cell>
          <cell r="DH226">
            <v>52479847.571835682</v>
          </cell>
          <cell r="DI226">
            <v>52496915.595210731</v>
          </cell>
          <cell r="DJ226">
            <v>0</v>
          </cell>
          <cell r="DK226">
            <v>0</v>
          </cell>
          <cell r="DL226">
            <v>0</v>
          </cell>
          <cell r="DM226">
            <v>0</v>
          </cell>
          <cell r="DN226">
            <v>0</v>
          </cell>
          <cell r="DO226">
            <v>0</v>
          </cell>
          <cell r="DP226">
            <v>0</v>
          </cell>
          <cell r="DQ226">
            <v>0</v>
          </cell>
          <cell r="DR226">
            <v>0</v>
          </cell>
          <cell r="DS226">
            <v>0</v>
          </cell>
          <cell r="DT226">
            <v>0</v>
          </cell>
          <cell r="DU226">
            <v>0</v>
          </cell>
          <cell r="DV226">
            <v>0</v>
          </cell>
          <cell r="DW226">
            <v>0</v>
          </cell>
          <cell r="EA226">
            <v>0</v>
          </cell>
          <cell r="EB226">
            <v>0</v>
          </cell>
          <cell r="EC226">
            <v>0</v>
          </cell>
          <cell r="ED226">
            <v>0</v>
          </cell>
          <cell r="EE226">
            <v>0</v>
          </cell>
          <cell r="EF226">
            <v>0</v>
          </cell>
          <cell r="EG226">
            <v>0</v>
          </cell>
          <cell r="EH226">
            <v>0</v>
          </cell>
          <cell r="EI226">
            <v>0</v>
          </cell>
          <cell r="EJ226">
            <v>0</v>
          </cell>
          <cell r="EK226">
            <v>0</v>
          </cell>
          <cell r="EL226">
            <v>0</v>
          </cell>
          <cell r="EM226">
            <v>0</v>
          </cell>
          <cell r="EN226">
            <v>0</v>
          </cell>
          <cell r="EO226">
            <v>0</v>
          </cell>
          <cell r="EP226">
            <v>0</v>
          </cell>
          <cell r="EQ226">
            <v>0</v>
          </cell>
          <cell r="ER226">
            <v>0</v>
          </cell>
          <cell r="ES226">
            <v>0</v>
          </cell>
          <cell r="ET226">
            <v>0</v>
          </cell>
          <cell r="EU226">
            <v>0</v>
          </cell>
          <cell r="EV226">
            <v>0</v>
          </cell>
          <cell r="EW226">
            <v>0</v>
          </cell>
          <cell r="EX226">
            <v>0</v>
          </cell>
          <cell r="EY226">
            <v>0</v>
          </cell>
          <cell r="EZ226">
            <v>0</v>
          </cell>
          <cell r="FA226">
            <v>0</v>
          </cell>
          <cell r="FB226">
            <v>0</v>
          </cell>
          <cell r="FC226">
            <v>0</v>
          </cell>
          <cell r="FE226">
            <v>40491228.48160436</v>
          </cell>
          <cell r="FF226">
            <v>54435916.697004668</v>
          </cell>
          <cell r="FG226">
            <v>50287590.188336618</v>
          </cell>
          <cell r="FH226">
            <v>0</v>
          </cell>
          <cell r="FI226">
            <v>0</v>
          </cell>
          <cell r="FJ226">
            <v>52479847.571835682</v>
          </cell>
          <cell r="FK226">
            <v>0</v>
          </cell>
          <cell r="FL226">
            <v>0</v>
          </cell>
          <cell r="FM226">
            <v>0</v>
          </cell>
          <cell r="FN226">
            <v>52479847.571835682</v>
          </cell>
          <cell r="FO226">
            <v>0</v>
          </cell>
          <cell r="FP226">
            <v>0</v>
          </cell>
          <cell r="FQ226">
            <v>52479847.571835682</v>
          </cell>
          <cell r="FR226">
            <v>0</v>
          </cell>
          <cell r="FS226">
            <v>52479847.571835682</v>
          </cell>
          <cell r="FT226">
            <v>0</v>
          </cell>
          <cell r="FU226">
            <v>0</v>
          </cell>
          <cell r="FV226">
            <v>0</v>
          </cell>
          <cell r="FW226">
            <v>0</v>
          </cell>
          <cell r="FX226">
            <v>0</v>
          </cell>
          <cell r="FY226">
            <v>0</v>
          </cell>
          <cell r="FZ226">
            <v>52479847.571835682</v>
          </cell>
          <cell r="GA226">
            <v>52992953.238260664</v>
          </cell>
          <cell r="GB226">
            <v>52557810.12758559</v>
          </cell>
          <cell r="GC226">
            <v>52479847.571835682</v>
          </cell>
          <cell r="GD226">
            <v>52479847.571835682</v>
          </cell>
          <cell r="GE226">
            <v>52674516.268199183</v>
          </cell>
          <cell r="GF226">
            <v>52213226.455806911</v>
          </cell>
          <cell r="GG226">
            <v>0</v>
          </cell>
          <cell r="GH226">
            <v>51524293.875520281</v>
          </cell>
          <cell r="GI226">
            <v>53153534.532690227</v>
          </cell>
          <cell r="GJ226">
            <v>40491228.48160436</v>
          </cell>
          <cell r="GK226">
            <v>52478759.293639116</v>
          </cell>
          <cell r="GL226">
            <v>0</v>
          </cell>
          <cell r="GM226">
            <v>0</v>
          </cell>
          <cell r="GN226">
            <v>0</v>
          </cell>
          <cell r="GO226">
            <v>0</v>
          </cell>
          <cell r="GP226">
            <v>0</v>
          </cell>
          <cell r="GQ226">
            <v>0</v>
          </cell>
          <cell r="GR226">
            <v>0</v>
          </cell>
          <cell r="GS226">
            <v>0</v>
          </cell>
          <cell r="GT226">
            <v>0</v>
          </cell>
          <cell r="GZ226">
            <v>0</v>
          </cell>
        </row>
        <row r="227">
          <cell r="A227" t="str">
            <v>I_VIT_NRF_EPA_UCS_INTR_I05</v>
          </cell>
          <cell r="B227">
            <v>562626743.21960795</v>
          </cell>
          <cell r="C227">
            <v>0</v>
          </cell>
          <cell r="D227">
            <v>554735026</v>
          </cell>
          <cell r="E227">
            <v>562565696.85999155</v>
          </cell>
          <cell r="F227">
            <v>554735026</v>
          </cell>
          <cell r="G227">
            <v>554735026</v>
          </cell>
          <cell r="H227">
            <v>0</v>
          </cell>
          <cell r="I227">
            <v>0</v>
          </cell>
          <cell r="J227">
            <v>554735026</v>
          </cell>
          <cell r="K227">
            <v>0</v>
          </cell>
          <cell r="L227">
            <v>0</v>
          </cell>
          <cell r="M227">
            <v>0</v>
          </cell>
          <cell r="N227">
            <v>554735026</v>
          </cell>
          <cell r="O227">
            <v>0</v>
          </cell>
          <cell r="P227">
            <v>0</v>
          </cell>
          <cell r="Q227">
            <v>554735026</v>
          </cell>
          <cell r="R227">
            <v>0</v>
          </cell>
          <cell r="S227">
            <v>554735026</v>
          </cell>
          <cell r="T227">
            <v>0</v>
          </cell>
          <cell r="U227">
            <v>0</v>
          </cell>
          <cell r="V227">
            <v>0</v>
          </cell>
          <cell r="W227">
            <v>0</v>
          </cell>
          <cell r="X227">
            <v>0</v>
          </cell>
          <cell r="Y227">
            <v>0</v>
          </cell>
          <cell r="Z227">
            <v>554735026</v>
          </cell>
          <cell r="AA227">
            <v>554735026</v>
          </cell>
          <cell r="AB227">
            <v>562926688</v>
          </cell>
          <cell r="AC227">
            <v>543533393</v>
          </cell>
          <cell r="AD227">
            <v>0</v>
          </cell>
          <cell r="AE227">
            <v>0</v>
          </cell>
          <cell r="AF227">
            <v>554735026.00999999</v>
          </cell>
          <cell r="AG227">
            <v>0</v>
          </cell>
          <cell r="AH227">
            <v>0</v>
          </cell>
          <cell r="AI227">
            <v>0</v>
          </cell>
          <cell r="AJ227">
            <v>554735026.00999999</v>
          </cell>
          <cell r="AK227">
            <v>0</v>
          </cell>
          <cell r="AL227">
            <v>0</v>
          </cell>
          <cell r="AM227">
            <v>554735026</v>
          </cell>
          <cell r="AN227">
            <v>0</v>
          </cell>
          <cell r="AO227">
            <v>552104432</v>
          </cell>
          <cell r="AP227">
            <v>0</v>
          </cell>
          <cell r="AQ227">
            <v>0</v>
          </cell>
          <cell r="AR227">
            <v>0</v>
          </cell>
          <cell r="AS227">
            <v>0</v>
          </cell>
          <cell r="AT227">
            <v>0</v>
          </cell>
          <cell r="AU227">
            <v>0</v>
          </cell>
          <cell r="AV227">
            <v>554735026</v>
          </cell>
          <cell r="AW227">
            <v>554735026</v>
          </cell>
          <cell r="AX227">
            <v>562565696.85999155</v>
          </cell>
          <cell r="AY227">
            <v>562565696.85999155</v>
          </cell>
          <cell r="AZ227">
            <v>0</v>
          </cell>
          <cell r="BA227">
            <v>0</v>
          </cell>
          <cell r="BB227">
            <v>562565696.85999155</v>
          </cell>
          <cell r="BC227">
            <v>0</v>
          </cell>
          <cell r="BD227">
            <v>0</v>
          </cell>
          <cell r="BE227">
            <v>0</v>
          </cell>
          <cell r="BF227">
            <v>562565696.85999155</v>
          </cell>
          <cell r="BG227">
            <v>0</v>
          </cell>
          <cell r="BH227">
            <v>0</v>
          </cell>
          <cell r="BI227">
            <v>562565696.85999155</v>
          </cell>
          <cell r="BJ227">
            <v>0</v>
          </cell>
          <cell r="BK227">
            <v>562565696.85999155</v>
          </cell>
          <cell r="BL227">
            <v>0</v>
          </cell>
          <cell r="BM227">
            <v>0</v>
          </cell>
          <cell r="BN227">
            <v>0</v>
          </cell>
          <cell r="BO227">
            <v>0</v>
          </cell>
          <cell r="BP227">
            <v>0</v>
          </cell>
          <cell r="BQ227">
            <v>0</v>
          </cell>
          <cell r="BR227">
            <v>562565696.85999155</v>
          </cell>
          <cell r="BS227">
            <v>562565696.85999155</v>
          </cell>
          <cell r="BT227">
            <v>570841336.47177756</v>
          </cell>
          <cell r="BU227">
            <v>551238748.85683107</v>
          </cell>
          <cell r="BV227">
            <v>0</v>
          </cell>
          <cell r="BW227">
            <v>0</v>
          </cell>
          <cell r="BX227">
            <v>562565696.85999155</v>
          </cell>
          <cell r="BY227">
            <v>0</v>
          </cell>
          <cell r="BZ227">
            <v>0</v>
          </cell>
          <cell r="CA227">
            <v>0</v>
          </cell>
          <cell r="CB227">
            <v>562565696.85999155</v>
          </cell>
          <cell r="CC227">
            <v>0</v>
          </cell>
          <cell r="CD227">
            <v>0</v>
          </cell>
          <cell r="CE227">
            <v>562565696.85999155</v>
          </cell>
          <cell r="CF227">
            <v>0</v>
          </cell>
          <cell r="CG227">
            <v>559917189.42976916</v>
          </cell>
          <cell r="CH227">
            <v>0</v>
          </cell>
          <cell r="CI227">
            <v>0</v>
          </cell>
          <cell r="CJ227">
            <v>0</v>
          </cell>
          <cell r="CK227">
            <v>0</v>
          </cell>
          <cell r="CL227">
            <v>0</v>
          </cell>
          <cell r="CM227">
            <v>0</v>
          </cell>
          <cell r="CN227">
            <v>562565696.85999155</v>
          </cell>
          <cell r="CO227">
            <v>562572704.63253808</v>
          </cell>
          <cell r="CP227">
            <v>562565696.85999155</v>
          </cell>
          <cell r="CQ227">
            <v>562565696.85999155</v>
          </cell>
          <cell r="CR227">
            <v>562565696.85999155</v>
          </cell>
          <cell r="CS227">
            <v>562565696.85999155</v>
          </cell>
          <cell r="CT227">
            <v>562565696.85999155</v>
          </cell>
          <cell r="CU227">
            <v>0</v>
          </cell>
          <cell r="CV227">
            <v>562565696.85999155</v>
          </cell>
          <cell r="CW227">
            <v>562565696.85999155</v>
          </cell>
          <cell r="CX227">
            <v>562565696.85999155</v>
          </cell>
          <cell r="CY227">
            <v>562565696.85999155</v>
          </cell>
          <cell r="CZ227">
            <v>562560347.94194186</v>
          </cell>
          <cell r="DA227">
            <v>562565696.85999155</v>
          </cell>
          <cell r="DB227">
            <v>562565696.85999155</v>
          </cell>
          <cell r="DC227">
            <v>562471107.6721108</v>
          </cell>
          <cell r="DD227">
            <v>562663250.91376925</v>
          </cell>
          <cell r="DE227">
            <v>0</v>
          </cell>
          <cell r="DF227">
            <v>561517386.31935441</v>
          </cell>
          <cell r="DG227">
            <v>562903293.4621563</v>
          </cell>
          <cell r="DH227">
            <v>562565696.85999155</v>
          </cell>
          <cell r="DI227">
            <v>562563160.84662056</v>
          </cell>
          <cell r="DJ227">
            <v>0</v>
          </cell>
          <cell r="DK227">
            <v>0</v>
          </cell>
          <cell r="DL227">
            <v>0</v>
          </cell>
          <cell r="DM227">
            <v>0</v>
          </cell>
          <cell r="DN227">
            <v>0</v>
          </cell>
          <cell r="DO227">
            <v>0</v>
          </cell>
          <cell r="DP227">
            <v>0</v>
          </cell>
          <cell r="DQ227">
            <v>0</v>
          </cell>
          <cell r="DR227">
            <v>0</v>
          </cell>
          <cell r="DS227">
            <v>0</v>
          </cell>
          <cell r="DT227">
            <v>0</v>
          </cell>
          <cell r="DU227">
            <v>0</v>
          </cell>
          <cell r="DV227">
            <v>0</v>
          </cell>
          <cell r="DW227">
            <v>0</v>
          </cell>
          <cell r="EA227">
            <v>0</v>
          </cell>
          <cell r="EB227">
            <v>0</v>
          </cell>
          <cell r="EC227">
            <v>0</v>
          </cell>
          <cell r="ED227">
            <v>0</v>
          </cell>
          <cell r="EE227">
            <v>0</v>
          </cell>
          <cell r="EF227">
            <v>0</v>
          </cell>
          <cell r="EG227">
            <v>0</v>
          </cell>
          <cell r="EH227">
            <v>0</v>
          </cell>
          <cell r="EI227">
            <v>0</v>
          </cell>
          <cell r="EJ227">
            <v>0</v>
          </cell>
          <cell r="EK227">
            <v>0</v>
          </cell>
          <cell r="EL227">
            <v>0</v>
          </cell>
          <cell r="EM227">
            <v>0</v>
          </cell>
          <cell r="EN227">
            <v>0</v>
          </cell>
          <cell r="EO227">
            <v>0</v>
          </cell>
          <cell r="EP227">
            <v>0</v>
          </cell>
          <cell r="EQ227">
            <v>0</v>
          </cell>
          <cell r="ER227">
            <v>0</v>
          </cell>
          <cell r="ES227">
            <v>0</v>
          </cell>
          <cell r="ET227">
            <v>0</v>
          </cell>
          <cell r="EU227">
            <v>0</v>
          </cell>
          <cell r="EV227">
            <v>0</v>
          </cell>
          <cell r="EW227">
            <v>0</v>
          </cell>
          <cell r="EX227">
            <v>0</v>
          </cell>
          <cell r="EY227">
            <v>0</v>
          </cell>
          <cell r="EZ227">
            <v>0</v>
          </cell>
          <cell r="FA227">
            <v>0</v>
          </cell>
          <cell r="FB227">
            <v>0</v>
          </cell>
          <cell r="FC227">
            <v>0</v>
          </cell>
          <cell r="FE227">
            <v>562565696.85999155</v>
          </cell>
          <cell r="FF227">
            <v>570841336.47177756</v>
          </cell>
          <cell r="FG227">
            <v>551238748.85683107</v>
          </cell>
          <cell r="FH227">
            <v>0</v>
          </cell>
          <cell r="FI227">
            <v>0</v>
          </cell>
          <cell r="FJ227">
            <v>562565696.85999155</v>
          </cell>
          <cell r="FK227">
            <v>0</v>
          </cell>
          <cell r="FL227">
            <v>0</v>
          </cell>
          <cell r="FM227">
            <v>0</v>
          </cell>
          <cell r="FN227">
            <v>562565696.85999155</v>
          </cell>
          <cell r="FO227">
            <v>0</v>
          </cell>
          <cell r="FP227">
            <v>0</v>
          </cell>
          <cell r="FQ227">
            <v>562565696.85999155</v>
          </cell>
          <cell r="FR227">
            <v>0</v>
          </cell>
          <cell r="FS227">
            <v>559917189.42976916</v>
          </cell>
          <cell r="FT227">
            <v>0</v>
          </cell>
          <cell r="FU227">
            <v>0</v>
          </cell>
          <cell r="FV227">
            <v>0</v>
          </cell>
          <cell r="FW227">
            <v>0</v>
          </cell>
          <cell r="FX227">
            <v>0</v>
          </cell>
          <cell r="FY227">
            <v>0</v>
          </cell>
          <cell r="FZ227">
            <v>562565696.85999155</v>
          </cell>
          <cell r="GA227">
            <v>562572704.63253808</v>
          </cell>
          <cell r="GB227">
            <v>562560347.94194186</v>
          </cell>
          <cell r="GC227">
            <v>562565696.85999155</v>
          </cell>
          <cell r="GD227">
            <v>562565696.85999155</v>
          </cell>
          <cell r="GE227">
            <v>562471107.6721108</v>
          </cell>
          <cell r="GF227">
            <v>562663250.91376925</v>
          </cell>
          <cell r="GG227">
            <v>0</v>
          </cell>
          <cell r="GH227">
            <v>561517386.31935441</v>
          </cell>
          <cell r="GI227">
            <v>562903293.4621563</v>
          </cell>
          <cell r="GJ227">
            <v>562565696.85999155</v>
          </cell>
          <cell r="GK227">
            <v>562563160.84662056</v>
          </cell>
          <cell r="GL227">
            <v>0</v>
          </cell>
          <cell r="GM227">
            <v>0</v>
          </cell>
          <cell r="GN227">
            <v>0</v>
          </cell>
          <cell r="GO227">
            <v>0</v>
          </cell>
          <cell r="GP227">
            <v>0</v>
          </cell>
          <cell r="GQ227">
            <v>0</v>
          </cell>
          <cell r="GR227">
            <v>0</v>
          </cell>
          <cell r="GS227">
            <v>0</v>
          </cell>
          <cell r="GT227">
            <v>0</v>
          </cell>
          <cell r="GZ227">
            <v>0</v>
          </cell>
        </row>
        <row r="228">
          <cell r="A228" t="str">
            <v>I_VIT_NRF_EPA_UCS_INTR_I06</v>
          </cell>
          <cell r="B228">
            <v>2853125305.1558537</v>
          </cell>
          <cell r="C228">
            <v>0</v>
          </cell>
          <cell r="D228">
            <v>2853498457</v>
          </cell>
          <cell r="E228">
            <v>2743451436.9720278</v>
          </cell>
          <cell r="F228">
            <v>2853498457</v>
          </cell>
          <cell r="G228">
            <v>2853498457</v>
          </cell>
          <cell r="H228">
            <v>0</v>
          </cell>
          <cell r="I228">
            <v>0</v>
          </cell>
          <cell r="J228">
            <v>2853498457</v>
          </cell>
          <cell r="K228">
            <v>0</v>
          </cell>
          <cell r="L228">
            <v>0</v>
          </cell>
          <cell r="M228">
            <v>0</v>
          </cell>
          <cell r="N228">
            <v>2853498457</v>
          </cell>
          <cell r="O228">
            <v>0</v>
          </cell>
          <cell r="P228">
            <v>0</v>
          </cell>
          <cell r="Q228">
            <v>2853498457</v>
          </cell>
          <cell r="R228">
            <v>0</v>
          </cell>
          <cell r="S228">
            <v>2853498457</v>
          </cell>
          <cell r="T228">
            <v>0</v>
          </cell>
          <cell r="U228">
            <v>0</v>
          </cell>
          <cell r="V228">
            <v>0</v>
          </cell>
          <cell r="W228">
            <v>0</v>
          </cell>
          <cell r="X228">
            <v>0</v>
          </cell>
          <cell r="Y228">
            <v>0</v>
          </cell>
          <cell r="Z228">
            <v>2853498457</v>
          </cell>
          <cell r="AA228">
            <v>2853498457</v>
          </cell>
          <cell r="AB228">
            <v>2893069886</v>
          </cell>
          <cell r="AC228">
            <v>2808880283</v>
          </cell>
          <cell r="AD228">
            <v>0</v>
          </cell>
          <cell r="AE228">
            <v>0</v>
          </cell>
          <cell r="AF228">
            <v>2288247004.048862</v>
          </cell>
          <cell r="AG228">
            <v>0</v>
          </cell>
          <cell r="AH228">
            <v>0</v>
          </cell>
          <cell r="AI228">
            <v>0</v>
          </cell>
          <cell r="AJ228">
            <v>2787579017.5457582</v>
          </cell>
          <cell r="AK228">
            <v>0</v>
          </cell>
          <cell r="AL228">
            <v>0</v>
          </cell>
          <cell r="AM228">
            <v>2853498457</v>
          </cell>
          <cell r="AN228">
            <v>0</v>
          </cell>
          <cell r="AO228">
            <v>2807298513</v>
          </cell>
          <cell r="AP228">
            <v>0</v>
          </cell>
          <cell r="AQ228">
            <v>0</v>
          </cell>
          <cell r="AR228">
            <v>0</v>
          </cell>
          <cell r="AS228">
            <v>0</v>
          </cell>
          <cell r="AT228">
            <v>0</v>
          </cell>
          <cell r="AU228">
            <v>0</v>
          </cell>
          <cell r="AV228">
            <v>2594771966</v>
          </cell>
          <cell r="AW228">
            <v>2853498457</v>
          </cell>
          <cell r="AX228">
            <v>2743451436.9720278</v>
          </cell>
          <cell r="AY228">
            <v>2743451436.9720278</v>
          </cell>
          <cell r="AZ228">
            <v>0</v>
          </cell>
          <cell r="BA228">
            <v>0</v>
          </cell>
          <cell r="BB228">
            <v>2743451436.9720278</v>
          </cell>
          <cell r="BC228">
            <v>0</v>
          </cell>
          <cell r="BD228">
            <v>0</v>
          </cell>
          <cell r="BE228">
            <v>0</v>
          </cell>
          <cell r="BF228">
            <v>2743451436.9720278</v>
          </cell>
          <cell r="BG228">
            <v>0</v>
          </cell>
          <cell r="BH228">
            <v>0</v>
          </cell>
          <cell r="BI228">
            <v>2743451436.9720278</v>
          </cell>
          <cell r="BJ228">
            <v>0</v>
          </cell>
          <cell r="BK228">
            <v>2743451436.9720278</v>
          </cell>
          <cell r="BL228">
            <v>0</v>
          </cell>
          <cell r="BM228">
            <v>0</v>
          </cell>
          <cell r="BN228">
            <v>0</v>
          </cell>
          <cell r="BO228">
            <v>0</v>
          </cell>
          <cell r="BP228">
            <v>0</v>
          </cell>
          <cell r="BQ228">
            <v>0</v>
          </cell>
          <cell r="BR228">
            <v>2743451436.9720278</v>
          </cell>
          <cell r="BS228">
            <v>2743451436.9720278</v>
          </cell>
          <cell r="BT228">
            <v>2782191852.7899113</v>
          </cell>
          <cell r="BU228">
            <v>2699513978.3015356</v>
          </cell>
          <cell r="BV228">
            <v>0</v>
          </cell>
          <cell r="BW228">
            <v>0</v>
          </cell>
          <cell r="BX228">
            <v>2207063743.8869443</v>
          </cell>
          <cell r="BY228">
            <v>0</v>
          </cell>
          <cell r="BZ228">
            <v>0</v>
          </cell>
          <cell r="CA228">
            <v>0</v>
          </cell>
          <cell r="CB228">
            <v>2680901734.629838</v>
          </cell>
          <cell r="CC228">
            <v>0</v>
          </cell>
          <cell r="CD228">
            <v>0</v>
          </cell>
          <cell r="CE228">
            <v>2743451436.9720278</v>
          </cell>
          <cell r="CF228">
            <v>0</v>
          </cell>
          <cell r="CG228">
            <v>2699610790.3447762</v>
          </cell>
          <cell r="CH228">
            <v>0</v>
          </cell>
          <cell r="CI228">
            <v>0</v>
          </cell>
          <cell r="CJ228">
            <v>0</v>
          </cell>
          <cell r="CK228">
            <v>0</v>
          </cell>
          <cell r="CL228">
            <v>0</v>
          </cell>
          <cell r="CM228">
            <v>0</v>
          </cell>
          <cell r="CN228">
            <v>2497936614.405314</v>
          </cell>
          <cell r="CO228">
            <v>2743683315.0557117</v>
          </cell>
          <cell r="CP228">
            <v>2743451436.9720278</v>
          </cell>
          <cell r="CQ228">
            <v>2743451436.9720278</v>
          </cell>
          <cell r="CR228">
            <v>2743451436.9720278</v>
          </cell>
          <cell r="CS228">
            <v>2743451436.9720278</v>
          </cell>
          <cell r="CT228">
            <v>2743451436.9720278</v>
          </cell>
          <cell r="CU228">
            <v>0</v>
          </cell>
          <cell r="CV228">
            <v>2743451436.9720278</v>
          </cell>
          <cell r="CW228">
            <v>2743451436.9720278</v>
          </cell>
          <cell r="CX228">
            <v>2743451436.9720278</v>
          </cell>
          <cell r="CY228">
            <v>2743451436.9720278</v>
          </cell>
          <cell r="CZ228">
            <v>2743862227.8131599</v>
          </cell>
          <cell r="DA228">
            <v>2743451436.9720278</v>
          </cell>
          <cell r="DB228">
            <v>2743451436.9720278</v>
          </cell>
          <cell r="DC228">
            <v>2736211829.965456</v>
          </cell>
          <cell r="DD228">
            <v>2749442942.3925424</v>
          </cell>
          <cell r="DE228">
            <v>0</v>
          </cell>
          <cell r="DF228">
            <v>2730659858.4270906</v>
          </cell>
          <cell r="DG228">
            <v>2747974059.3526711</v>
          </cell>
          <cell r="DH228">
            <v>2743451436.9720278</v>
          </cell>
          <cell r="DI228">
            <v>2743704643.7444749</v>
          </cell>
          <cell r="DJ228">
            <v>0</v>
          </cell>
          <cell r="DK228">
            <v>0</v>
          </cell>
          <cell r="DL228">
            <v>0</v>
          </cell>
          <cell r="DM228">
            <v>0</v>
          </cell>
          <cell r="DN228">
            <v>0</v>
          </cell>
          <cell r="DO228">
            <v>0</v>
          </cell>
          <cell r="DP228">
            <v>0</v>
          </cell>
          <cell r="DQ228">
            <v>0</v>
          </cell>
          <cell r="DR228">
            <v>0</v>
          </cell>
          <cell r="DS228">
            <v>0</v>
          </cell>
          <cell r="DT228">
            <v>0</v>
          </cell>
          <cell r="DU228">
            <v>0</v>
          </cell>
          <cell r="DV228">
            <v>0</v>
          </cell>
          <cell r="DW228">
            <v>0</v>
          </cell>
          <cell r="EA228">
            <v>0</v>
          </cell>
          <cell r="EB228">
            <v>0</v>
          </cell>
          <cell r="EC228">
            <v>0</v>
          </cell>
          <cell r="ED228">
            <v>0</v>
          </cell>
          <cell r="EE228">
            <v>0</v>
          </cell>
          <cell r="EF228">
            <v>0</v>
          </cell>
          <cell r="EG228">
            <v>0</v>
          </cell>
          <cell r="EH228">
            <v>0</v>
          </cell>
          <cell r="EI228">
            <v>0</v>
          </cell>
          <cell r="EJ228">
            <v>0</v>
          </cell>
          <cell r="EK228">
            <v>0</v>
          </cell>
          <cell r="EL228">
            <v>0</v>
          </cell>
          <cell r="EM228">
            <v>0</v>
          </cell>
          <cell r="EN228">
            <v>0</v>
          </cell>
          <cell r="EO228">
            <v>0</v>
          </cell>
          <cell r="EP228">
            <v>0</v>
          </cell>
          <cell r="EQ228">
            <v>0</v>
          </cell>
          <cell r="ER228">
            <v>0</v>
          </cell>
          <cell r="ES228">
            <v>0</v>
          </cell>
          <cell r="ET228">
            <v>0</v>
          </cell>
          <cell r="EU228">
            <v>0</v>
          </cell>
          <cell r="EV228">
            <v>0</v>
          </cell>
          <cell r="EW228">
            <v>0</v>
          </cell>
          <cell r="EX228">
            <v>0</v>
          </cell>
          <cell r="EY228">
            <v>0</v>
          </cell>
          <cell r="EZ228">
            <v>0</v>
          </cell>
          <cell r="FA228">
            <v>0</v>
          </cell>
          <cell r="FB228">
            <v>0</v>
          </cell>
          <cell r="FC228">
            <v>0</v>
          </cell>
          <cell r="FE228">
            <v>2743451436.9720278</v>
          </cell>
          <cell r="FF228">
            <v>2782191852.7899113</v>
          </cell>
          <cell r="FG228">
            <v>2699513978.3015356</v>
          </cell>
          <cell r="FH228">
            <v>0</v>
          </cell>
          <cell r="FI228">
            <v>0</v>
          </cell>
          <cell r="FJ228">
            <v>2207063743.8869443</v>
          </cell>
          <cell r="FK228">
            <v>0</v>
          </cell>
          <cell r="FL228">
            <v>0</v>
          </cell>
          <cell r="FM228">
            <v>0</v>
          </cell>
          <cell r="FN228">
            <v>2680901734.629838</v>
          </cell>
          <cell r="FO228">
            <v>0</v>
          </cell>
          <cell r="FP228">
            <v>0</v>
          </cell>
          <cell r="FQ228">
            <v>2743451436.9720278</v>
          </cell>
          <cell r="FR228">
            <v>0</v>
          </cell>
          <cell r="FS228">
            <v>2699610790.3447762</v>
          </cell>
          <cell r="FT228">
            <v>0</v>
          </cell>
          <cell r="FU228">
            <v>0</v>
          </cell>
          <cell r="FV228">
            <v>0</v>
          </cell>
          <cell r="FW228">
            <v>0</v>
          </cell>
          <cell r="FX228">
            <v>0</v>
          </cell>
          <cell r="FY228">
            <v>0</v>
          </cell>
          <cell r="FZ228">
            <v>2497936614.405314</v>
          </cell>
          <cell r="GA228">
            <v>2743683315.0557117</v>
          </cell>
          <cell r="GB228">
            <v>2743862227.8131599</v>
          </cell>
          <cell r="GC228">
            <v>2743451436.9720278</v>
          </cell>
          <cell r="GD228">
            <v>2743451436.9720278</v>
          </cell>
          <cell r="GE228">
            <v>2736211829.965456</v>
          </cell>
          <cell r="GF228">
            <v>2749442942.3925424</v>
          </cell>
          <cell r="GG228">
            <v>0</v>
          </cell>
          <cell r="GH228">
            <v>2730659858.4270906</v>
          </cell>
          <cell r="GI228">
            <v>2747974059.3526711</v>
          </cell>
          <cell r="GJ228">
            <v>2743451436.9720278</v>
          </cell>
          <cell r="GK228">
            <v>2743704643.7444749</v>
          </cell>
          <cell r="GL228">
            <v>0</v>
          </cell>
          <cell r="GM228">
            <v>0</v>
          </cell>
          <cell r="GN228">
            <v>0</v>
          </cell>
          <cell r="GO228">
            <v>0</v>
          </cell>
          <cell r="GP228">
            <v>0</v>
          </cell>
          <cell r="GQ228">
            <v>0</v>
          </cell>
          <cell r="GR228">
            <v>0</v>
          </cell>
          <cell r="GS228">
            <v>0</v>
          </cell>
          <cell r="GT228">
            <v>0</v>
          </cell>
          <cell r="GZ228">
            <v>0</v>
          </cell>
        </row>
        <row r="229">
          <cell r="A229" t="str">
            <v>I_VIT_NRF_ASS_EMP_INTR_I07</v>
          </cell>
          <cell r="B229">
            <v>45082993.620000012</v>
          </cell>
          <cell r="C229">
            <v>0</v>
          </cell>
          <cell r="D229">
            <v>45082992.875406876</v>
          </cell>
          <cell r="E229">
            <v>3061413.4202319048</v>
          </cell>
          <cell r="F229">
            <v>45082992.875406876</v>
          </cell>
          <cell r="G229">
            <v>45082992.875406876</v>
          </cell>
          <cell r="H229">
            <v>0</v>
          </cell>
          <cell r="I229">
            <v>0</v>
          </cell>
          <cell r="J229">
            <v>45082992.875406876</v>
          </cell>
          <cell r="K229">
            <v>0</v>
          </cell>
          <cell r="L229">
            <v>0</v>
          </cell>
          <cell r="M229">
            <v>0</v>
          </cell>
          <cell r="N229">
            <v>45082992.875406876</v>
          </cell>
          <cell r="O229">
            <v>0</v>
          </cell>
          <cell r="P229">
            <v>0</v>
          </cell>
          <cell r="Q229">
            <v>45082992.875406876</v>
          </cell>
          <cell r="R229">
            <v>0</v>
          </cell>
          <cell r="S229">
            <v>45082992.875406876</v>
          </cell>
          <cell r="T229">
            <v>0</v>
          </cell>
          <cell r="U229">
            <v>0</v>
          </cell>
          <cell r="V229">
            <v>0</v>
          </cell>
          <cell r="W229">
            <v>0</v>
          </cell>
          <cell r="X229">
            <v>0</v>
          </cell>
          <cell r="Y229">
            <v>0</v>
          </cell>
          <cell r="Z229">
            <v>45082992.875406876</v>
          </cell>
          <cell r="AA229">
            <v>45082992.875406876</v>
          </cell>
          <cell r="AB229">
            <v>47184087.748779327</v>
          </cell>
          <cell r="AC229">
            <v>42990444.261451699</v>
          </cell>
          <cell r="AD229">
            <v>0</v>
          </cell>
          <cell r="AE229">
            <v>0</v>
          </cell>
          <cell r="AF229">
            <v>45082992.882458694</v>
          </cell>
          <cell r="AG229">
            <v>0</v>
          </cell>
          <cell r="AH229">
            <v>0</v>
          </cell>
          <cell r="AI229">
            <v>0</v>
          </cell>
          <cell r="AJ229">
            <v>45082992.882458694</v>
          </cell>
          <cell r="AK229">
            <v>0</v>
          </cell>
          <cell r="AL229">
            <v>0</v>
          </cell>
          <cell r="AM229">
            <v>45082992.875406876</v>
          </cell>
          <cell r="AN229">
            <v>0</v>
          </cell>
          <cell r="AO229">
            <v>43660767.73846487</v>
          </cell>
          <cell r="AP229">
            <v>0</v>
          </cell>
          <cell r="AQ229">
            <v>0</v>
          </cell>
          <cell r="AR229">
            <v>0</v>
          </cell>
          <cell r="AS229">
            <v>0</v>
          </cell>
          <cell r="AT229">
            <v>0</v>
          </cell>
          <cell r="AU229">
            <v>0</v>
          </cell>
          <cell r="AV229">
            <v>45082992.875406876</v>
          </cell>
          <cell r="AW229">
            <v>45082992.875406876</v>
          </cell>
          <cell r="AX229">
            <v>3061413.4202319048</v>
          </cell>
          <cell r="AY229">
            <v>3061413.4202319048</v>
          </cell>
          <cell r="AZ229">
            <v>0</v>
          </cell>
          <cell r="BA229">
            <v>0</v>
          </cell>
          <cell r="BB229">
            <v>3061413.4202319048</v>
          </cell>
          <cell r="BC229">
            <v>0</v>
          </cell>
          <cell r="BD229">
            <v>0</v>
          </cell>
          <cell r="BE229">
            <v>0</v>
          </cell>
          <cell r="BF229">
            <v>3061413.4202319048</v>
          </cell>
          <cell r="BG229">
            <v>0</v>
          </cell>
          <cell r="BH229">
            <v>0</v>
          </cell>
          <cell r="BI229">
            <v>3061413.4202319048</v>
          </cell>
          <cell r="BJ229">
            <v>0</v>
          </cell>
          <cell r="BK229">
            <v>3061413.4202319048</v>
          </cell>
          <cell r="BL229">
            <v>0</v>
          </cell>
          <cell r="BM229">
            <v>0</v>
          </cell>
          <cell r="BN229">
            <v>0</v>
          </cell>
          <cell r="BO229">
            <v>0</v>
          </cell>
          <cell r="BP229">
            <v>0</v>
          </cell>
          <cell r="BQ229">
            <v>0</v>
          </cell>
          <cell r="BR229">
            <v>3061413.4202319048</v>
          </cell>
          <cell r="BS229">
            <v>3061413.4202319048</v>
          </cell>
          <cell r="BT229">
            <v>3262419.1014167122</v>
          </cell>
          <cell r="BU229">
            <v>2844028.0642086477</v>
          </cell>
          <cell r="BV229">
            <v>0</v>
          </cell>
          <cell r="BW229">
            <v>0</v>
          </cell>
          <cell r="BX229">
            <v>3061413.4202319048</v>
          </cell>
          <cell r="BY229">
            <v>0</v>
          </cell>
          <cell r="BZ229">
            <v>0</v>
          </cell>
          <cell r="CA229">
            <v>0</v>
          </cell>
          <cell r="CB229">
            <v>3061413.4202319048</v>
          </cell>
          <cell r="CC229">
            <v>0</v>
          </cell>
          <cell r="CD229">
            <v>0</v>
          </cell>
          <cell r="CE229">
            <v>3061413.4202319048</v>
          </cell>
          <cell r="CF229">
            <v>0</v>
          </cell>
          <cell r="CG229">
            <v>3061413.4202319048</v>
          </cell>
          <cell r="CH229">
            <v>0</v>
          </cell>
          <cell r="CI229">
            <v>0</v>
          </cell>
          <cell r="CJ229">
            <v>0</v>
          </cell>
          <cell r="CK229">
            <v>0</v>
          </cell>
          <cell r="CL229">
            <v>0</v>
          </cell>
          <cell r="CM229">
            <v>0</v>
          </cell>
          <cell r="CN229">
            <v>3061413.4202319048</v>
          </cell>
          <cell r="CO229">
            <v>3093179.9074246599</v>
          </cell>
          <cell r="CP229">
            <v>3061413.4202319048</v>
          </cell>
          <cell r="CQ229">
            <v>3061413.4202319048</v>
          </cell>
          <cell r="CR229">
            <v>3061413.4202319048</v>
          </cell>
          <cell r="CS229">
            <v>3061413.4202319048</v>
          </cell>
          <cell r="CT229">
            <v>3061413.4202319048</v>
          </cell>
          <cell r="CU229">
            <v>0</v>
          </cell>
          <cell r="CV229">
            <v>3061413.4202319048</v>
          </cell>
          <cell r="CW229">
            <v>3061413.4202319048</v>
          </cell>
          <cell r="CX229">
            <v>3061413.4202319048</v>
          </cell>
          <cell r="CY229">
            <v>3061413.4202319048</v>
          </cell>
          <cell r="CZ229">
            <v>5511868.4568516174</v>
          </cell>
          <cell r="DA229">
            <v>3061413.4202319048</v>
          </cell>
          <cell r="DB229">
            <v>3061413.4202319048</v>
          </cell>
          <cell r="DC229">
            <v>2435392.8938095793</v>
          </cell>
          <cell r="DD229">
            <v>3914368.5780072822</v>
          </cell>
          <cell r="DE229">
            <v>0</v>
          </cell>
          <cell r="DF229">
            <v>3088763.8956537903</v>
          </cell>
          <cell r="DG229">
            <v>3687031.2025573696</v>
          </cell>
          <cell r="DH229">
            <v>3061413.4202319048</v>
          </cell>
          <cell r="DI229">
            <v>4713749.9494138258</v>
          </cell>
          <cell r="DJ229">
            <v>0</v>
          </cell>
          <cell r="DK229">
            <v>0</v>
          </cell>
          <cell r="DL229">
            <v>0</v>
          </cell>
          <cell r="DM229">
            <v>0</v>
          </cell>
          <cell r="DN229">
            <v>0</v>
          </cell>
          <cell r="DO229">
            <v>0</v>
          </cell>
          <cell r="DP229">
            <v>0</v>
          </cell>
          <cell r="DQ229">
            <v>0</v>
          </cell>
          <cell r="DR229">
            <v>0</v>
          </cell>
          <cell r="DS229">
            <v>0</v>
          </cell>
          <cell r="DT229">
            <v>0</v>
          </cell>
          <cell r="DU229">
            <v>0</v>
          </cell>
          <cell r="DV229">
            <v>0</v>
          </cell>
          <cell r="DW229">
            <v>0</v>
          </cell>
          <cell r="EA229">
            <v>0</v>
          </cell>
          <cell r="EB229">
            <v>0</v>
          </cell>
          <cell r="EC229">
            <v>0</v>
          </cell>
          <cell r="ED229">
            <v>0</v>
          </cell>
          <cell r="EE229">
            <v>0</v>
          </cell>
          <cell r="EF229">
            <v>0</v>
          </cell>
          <cell r="EG229">
            <v>0</v>
          </cell>
          <cell r="EH229">
            <v>0</v>
          </cell>
          <cell r="EI229">
            <v>0</v>
          </cell>
          <cell r="EJ229">
            <v>0</v>
          </cell>
          <cell r="EK229">
            <v>0</v>
          </cell>
          <cell r="EL229">
            <v>0</v>
          </cell>
          <cell r="EM229">
            <v>0</v>
          </cell>
          <cell r="EN229">
            <v>0</v>
          </cell>
          <cell r="EO229">
            <v>0</v>
          </cell>
          <cell r="EP229">
            <v>0</v>
          </cell>
          <cell r="EQ229">
            <v>0</v>
          </cell>
          <cell r="ER229">
            <v>0</v>
          </cell>
          <cell r="ES229">
            <v>0</v>
          </cell>
          <cell r="ET229">
            <v>0</v>
          </cell>
          <cell r="EU229">
            <v>0</v>
          </cell>
          <cell r="EV229">
            <v>0</v>
          </cell>
          <cell r="EW229">
            <v>0</v>
          </cell>
          <cell r="EX229">
            <v>0</v>
          </cell>
          <cell r="EY229">
            <v>0</v>
          </cell>
          <cell r="EZ229">
            <v>0</v>
          </cell>
          <cell r="FA229">
            <v>0</v>
          </cell>
          <cell r="FB229">
            <v>0</v>
          </cell>
          <cell r="FC229">
            <v>0</v>
          </cell>
          <cell r="FE229">
            <v>3061413.4202319048</v>
          </cell>
          <cell r="FF229">
            <v>3262419.1014167122</v>
          </cell>
          <cell r="FG229">
            <v>2844028.0642086477</v>
          </cell>
          <cell r="FH229">
            <v>0</v>
          </cell>
          <cell r="FI229">
            <v>0</v>
          </cell>
          <cell r="FJ229">
            <v>3061413.4202319048</v>
          </cell>
          <cell r="FK229">
            <v>0</v>
          </cell>
          <cell r="FL229">
            <v>0</v>
          </cell>
          <cell r="FM229">
            <v>0</v>
          </cell>
          <cell r="FN229">
            <v>3061413.4202319048</v>
          </cell>
          <cell r="FO229">
            <v>0</v>
          </cell>
          <cell r="FP229">
            <v>0</v>
          </cell>
          <cell r="FQ229">
            <v>3061413.4202319048</v>
          </cell>
          <cell r="FR229">
            <v>0</v>
          </cell>
          <cell r="FS229">
            <v>3061413.4202319048</v>
          </cell>
          <cell r="FT229">
            <v>0</v>
          </cell>
          <cell r="FU229">
            <v>0</v>
          </cell>
          <cell r="FV229">
            <v>0</v>
          </cell>
          <cell r="FW229">
            <v>0</v>
          </cell>
          <cell r="FX229">
            <v>0</v>
          </cell>
          <cell r="FY229">
            <v>0</v>
          </cell>
          <cell r="FZ229">
            <v>3061413.4202319048</v>
          </cell>
          <cell r="GA229">
            <v>3093179.9074246599</v>
          </cell>
          <cell r="GB229">
            <v>5511868.4568516174</v>
          </cell>
          <cell r="GC229">
            <v>3061413.4202319048</v>
          </cell>
          <cell r="GD229">
            <v>3061413.4202319048</v>
          </cell>
          <cell r="GE229">
            <v>2435392.8938095793</v>
          </cell>
          <cell r="GF229">
            <v>3914368.5780072822</v>
          </cell>
          <cell r="GG229">
            <v>0</v>
          </cell>
          <cell r="GH229">
            <v>3088763.8956537903</v>
          </cell>
          <cell r="GI229">
            <v>3687031.2025573696</v>
          </cell>
          <cell r="GJ229">
            <v>3061413.4202319048</v>
          </cell>
          <cell r="GK229">
            <v>4713749.9494138258</v>
          </cell>
          <cell r="GL229">
            <v>0</v>
          </cell>
          <cell r="GM229">
            <v>0</v>
          </cell>
          <cell r="GN229">
            <v>0</v>
          </cell>
          <cell r="GO229">
            <v>0</v>
          </cell>
          <cell r="GP229">
            <v>0</v>
          </cell>
          <cell r="GQ229">
            <v>0</v>
          </cell>
          <cell r="GR229">
            <v>0</v>
          </cell>
          <cell r="GS229">
            <v>0</v>
          </cell>
          <cell r="GT229">
            <v>0</v>
          </cell>
          <cell r="GZ229">
            <v>2849371834.4883475</v>
          </cell>
        </row>
        <row r="230">
          <cell r="A230" t="str">
            <v>I_VIT_NRF_RIS_IND_INTR_I08</v>
          </cell>
          <cell r="B230">
            <v>354179.14</v>
          </cell>
          <cell r="C230">
            <v>0</v>
          </cell>
          <cell r="D230">
            <v>354177.70966550242</v>
          </cell>
          <cell r="E230">
            <v>154777.25226805385</v>
          </cell>
          <cell r="F230">
            <v>354177.70966550242</v>
          </cell>
          <cell r="G230">
            <v>354177.70966550242</v>
          </cell>
          <cell r="H230">
            <v>0</v>
          </cell>
          <cell r="I230">
            <v>0</v>
          </cell>
          <cell r="J230">
            <v>354177.70966550242</v>
          </cell>
          <cell r="K230">
            <v>0</v>
          </cell>
          <cell r="L230">
            <v>0</v>
          </cell>
          <cell r="M230">
            <v>0</v>
          </cell>
          <cell r="N230">
            <v>354177.70966550242</v>
          </cell>
          <cell r="O230">
            <v>0</v>
          </cell>
          <cell r="P230">
            <v>0</v>
          </cell>
          <cell r="Q230">
            <v>354177.70966550242</v>
          </cell>
          <cell r="R230">
            <v>0</v>
          </cell>
          <cell r="S230">
            <v>354177.70966550242</v>
          </cell>
          <cell r="T230">
            <v>0</v>
          </cell>
          <cell r="U230">
            <v>0</v>
          </cell>
          <cell r="V230">
            <v>0</v>
          </cell>
          <cell r="W230">
            <v>0</v>
          </cell>
          <cell r="X230">
            <v>0</v>
          </cell>
          <cell r="Y230">
            <v>0</v>
          </cell>
          <cell r="Z230">
            <v>354177.70966550242</v>
          </cell>
          <cell r="AA230">
            <v>354177.70966550242</v>
          </cell>
          <cell r="AB230">
            <v>370684.84992916608</v>
          </cell>
          <cell r="AC230">
            <v>337739.29708650958</v>
          </cell>
          <cell r="AD230">
            <v>0</v>
          </cell>
          <cell r="AE230">
            <v>0</v>
          </cell>
          <cell r="AF230">
            <v>354178.13067299407</v>
          </cell>
          <cell r="AG230">
            <v>0</v>
          </cell>
          <cell r="AH230">
            <v>0</v>
          </cell>
          <cell r="AI230">
            <v>0</v>
          </cell>
          <cell r="AJ230">
            <v>354178.13067299407</v>
          </cell>
          <cell r="AK230">
            <v>0</v>
          </cell>
          <cell r="AL230">
            <v>0</v>
          </cell>
          <cell r="AM230">
            <v>354177.70966550242</v>
          </cell>
          <cell r="AN230">
            <v>0</v>
          </cell>
          <cell r="AO230">
            <v>343005.29559227207</v>
          </cell>
          <cell r="AP230">
            <v>0</v>
          </cell>
          <cell r="AQ230">
            <v>0</v>
          </cell>
          <cell r="AR230">
            <v>0</v>
          </cell>
          <cell r="AS230">
            <v>0</v>
          </cell>
          <cell r="AT230">
            <v>0</v>
          </cell>
          <cell r="AU230">
            <v>0</v>
          </cell>
          <cell r="AV230">
            <v>354177.70966550242</v>
          </cell>
          <cell r="AW230">
            <v>354177.70966550242</v>
          </cell>
          <cell r="AX230">
            <v>154777.25226805385</v>
          </cell>
          <cell r="AY230">
            <v>154777.25226805385</v>
          </cell>
          <cell r="AZ230">
            <v>0</v>
          </cell>
          <cell r="BA230">
            <v>0</v>
          </cell>
          <cell r="BB230">
            <v>154777.25226805385</v>
          </cell>
          <cell r="BC230">
            <v>0</v>
          </cell>
          <cell r="BD230">
            <v>0</v>
          </cell>
          <cell r="BE230">
            <v>0</v>
          </cell>
          <cell r="BF230">
            <v>154777.25226805385</v>
          </cell>
          <cell r="BG230">
            <v>0</v>
          </cell>
          <cell r="BH230">
            <v>0</v>
          </cell>
          <cell r="BI230">
            <v>154777.25226805385</v>
          </cell>
          <cell r="BJ230">
            <v>0</v>
          </cell>
          <cell r="BK230">
            <v>154777.25226805385</v>
          </cell>
          <cell r="BL230">
            <v>0</v>
          </cell>
          <cell r="BM230">
            <v>0</v>
          </cell>
          <cell r="BN230">
            <v>0</v>
          </cell>
          <cell r="BO230">
            <v>0</v>
          </cell>
          <cell r="BP230">
            <v>0</v>
          </cell>
          <cell r="BQ230">
            <v>0</v>
          </cell>
          <cell r="BR230">
            <v>154777.25226805385</v>
          </cell>
          <cell r="BS230">
            <v>154777.25226805385</v>
          </cell>
          <cell r="BT230">
            <v>155047.23345290913</v>
          </cell>
          <cell r="BU230">
            <v>153987.33829066664</v>
          </cell>
          <cell r="BV230">
            <v>0</v>
          </cell>
          <cell r="BW230">
            <v>0</v>
          </cell>
          <cell r="BX230">
            <v>154777.25226805385</v>
          </cell>
          <cell r="BY230">
            <v>0</v>
          </cell>
          <cell r="BZ230">
            <v>0</v>
          </cell>
          <cell r="CA230">
            <v>0</v>
          </cell>
          <cell r="CB230">
            <v>154777.25226805385</v>
          </cell>
          <cell r="CC230">
            <v>0</v>
          </cell>
          <cell r="CD230">
            <v>0</v>
          </cell>
          <cell r="CE230">
            <v>154777.25226805385</v>
          </cell>
          <cell r="CF230">
            <v>0</v>
          </cell>
          <cell r="CG230">
            <v>154777.25226805385</v>
          </cell>
          <cell r="CH230">
            <v>0</v>
          </cell>
          <cell r="CI230">
            <v>0</v>
          </cell>
          <cell r="CJ230">
            <v>0</v>
          </cell>
          <cell r="CK230">
            <v>0</v>
          </cell>
          <cell r="CL230">
            <v>0</v>
          </cell>
          <cell r="CM230">
            <v>0</v>
          </cell>
          <cell r="CN230">
            <v>154777.25226805385</v>
          </cell>
          <cell r="CO230">
            <v>154888.92888169255</v>
          </cell>
          <cell r="CP230">
            <v>154777.25226805385</v>
          </cell>
          <cell r="CQ230">
            <v>154777.25226805385</v>
          </cell>
          <cell r="CR230">
            <v>154777.25226805385</v>
          </cell>
          <cell r="CS230">
            <v>154777.25226805385</v>
          </cell>
          <cell r="CT230">
            <v>154777.25226805385</v>
          </cell>
          <cell r="CU230">
            <v>0</v>
          </cell>
          <cell r="CV230">
            <v>154777.25226805385</v>
          </cell>
          <cell r="CW230">
            <v>154777.25226805385</v>
          </cell>
          <cell r="CX230">
            <v>154777.25226805385</v>
          </cell>
          <cell r="CY230">
            <v>154777.25226805385</v>
          </cell>
          <cell r="CZ230">
            <v>165155.28569682071</v>
          </cell>
          <cell r="DA230">
            <v>154777.25226805385</v>
          </cell>
          <cell r="DB230">
            <v>154777.25226805385</v>
          </cell>
          <cell r="DC230">
            <v>153921.27153488123</v>
          </cell>
          <cell r="DD230">
            <v>155609.37946132995</v>
          </cell>
          <cell r="DE230">
            <v>0</v>
          </cell>
          <cell r="DF230">
            <v>126551.86205756257</v>
          </cell>
          <cell r="DG230">
            <v>164870.56953411928</v>
          </cell>
          <cell r="DH230">
            <v>154777.25226805385</v>
          </cell>
          <cell r="DI230">
            <v>190291.52600280428</v>
          </cell>
          <cell r="DJ230">
            <v>0</v>
          </cell>
          <cell r="DK230">
            <v>0</v>
          </cell>
          <cell r="DL230">
            <v>0</v>
          </cell>
          <cell r="DM230">
            <v>0</v>
          </cell>
          <cell r="DN230">
            <v>0</v>
          </cell>
          <cell r="DO230">
            <v>0</v>
          </cell>
          <cell r="DP230">
            <v>0</v>
          </cell>
          <cell r="DQ230">
            <v>0</v>
          </cell>
          <cell r="DR230">
            <v>0</v>
          </cell>
          <cell r="DS230">
            <v>0</v>
          </cell>
          <cell r="DT230">
            <v>0</v>
          </cell>
          <cell r="DU230">
            <v>0</v>
          </cell>
          <cell r="DV230">
            <v>0</v>
          </cell>
          <cell r="DW230">
            <v>0</v>
          </cell>
          <cell r="EA230">
            <v>0</v>
          </cell>
          <cell r="EB230">
            <v>0</v>
          </cell>
          <cell r="EC230">
            <v>0</v>
          </cell>
          <cell r="ED230">
            <v>0</v>
          </cell>
          <cell r="EE230">
            <v>0</v>
          </cell>
          <cell r="EF230">
            <v>0</v>
          </cell>
          <cell r="EG230">
            <v>0</v>
          </cell>
          <cell r="EH230">
            <v>0</v>
          </cell>
          <cell r="EI230">
            <v>0</v>
          </cell>
          <cell r="EJ230">
            <v>0</v>
          </cell>
          <cell r="EK230">
            <v>0</v>
          </cell>
          <cell r="EL230">
            <v>0</v>
          </cell>
          <cell r="EM230">
            <v>0</v>
          </cell>
          <cell r="EN230">
            <v>0</v>
          </cell>
          <cell r="EO230">
            <v>0</v>
          </cell>
          <cell r="EP230">
            <v>0</v>
          </cell>
          <cell r="EQ230">
            <v>0</v>
          </cell>
          <cell r="ER230">
            <v>0</v>
          </cell>
          <cell r="ES230">
            <v>0</v>
          </cell>
          <cell r="ET230">
            <v>0</v>
          </cell>
          <cell r="EU230">
            <v>0</v>
          </cell>
          <cell r="EV230">
            <v>0</v>
          </cell>
          <cell r="EW230">
            <v>0</v>
          </cell>
          <cell r="EX230">
            <v>0</v>
          </cell>
          <cell r="EY230">
            <v>0</v>
          </cell>
          <cell r="EZ230">
            <v>0</v>
          </cell>
          <cell r="FA230">
            <v>0</v>
          </cell>
          <cell r="FB230">
            <v>0</v>
          </cell>
          <cell r="FC230">
            <v>0</v>
          </cell>
          <cell r="FE230">
            <v>154777.25226805385</v>
          </cell>
          <cell r="FF230">
            <v>155047.23345290913</v>
          </cell>
          <cell r="FG230">
            <v>153987.33829066664</v>
          </cell>
          <cell r="FH230">
            <v>0</v>
          </cell>
          <cell r="FI230">
            <v>0</v>
          </cell>
          <cell r="FJ230">
            <v>154777.25226805385</v>
          </cell>
          <cell r="FK230">
            <v>0</v>
          </cell>
          <cell r="FL230">
            <v>0</v>
          </cell>
          <cell r="FM230">
            <v>0</v>
          </cell>
          <cell r="FN230">
            <v>154777.25226805385</v>
          </cell>
          <cell r="FO230">
            <v>0</v>
          </cell>
          <cell r="FP230">
            <v>0</v>
          </cell>
          <cell r="FQ230">
            <v>154777.25226805385</v>
          </cell>
          <cell r="FR230">
            <v>0</v>
          </cell>
          <cell r="FS230">
            <v>154777.25226805385</v>
          </cell>
          <cell r="FT230">
            <v>0</v>
          </cell>
          <cell r="FU230">
            <v>0</v>
          </cell>
          <cell r="FV230">
            <v>0</v>
          </cell>
          <cell r="FW230">
            <v>0</v>
          </cell>
          <cell r="FX230">
            <v>0</v>
          </cell>
          <cell r="FY230">
            <v>0</v>
          </cell>
          <cell r="FZ230">
            <v>154777.25226805385</v>
          </cell>
          <cell r="GA230">
            <v>154888.92888169255</v>
          </cell>
          <cell r="GB230">
            <v>165155.28569682071</v>
          </cell>
          <cell r="GC230">
            <v>154777.25226805385</v>
          </cell>
          <cell r="GD230">
            <v>154777.25226805385</v>
          </cell>
          <cell r="GE230">
            <v>153921.27153488123</v>
          </cell>
          <cell r="GF230">
            <v>155609.37946132995</v>
          </cell>
          <cell r="GG230">
            <v>0</v>
          </cell>
          <cell r="GH230">
            <v>126551.86205756257</v>
          </cell>
          <cell r="GI230">
            <v>164870.56953411928</v>
          </cell>
          <cell r="GJ230">
            <v>154777.25226805385</v>
          </cell>
          <cell r="GK230">
            <v>190291.52600280428</v>
          </cell>
          <cell r="GL230">
            <v>0</v>
          </cell>
          <cell r="GM230">
            <v>0</v>
          </cell>
          <cell r="GN230">
            <v>0</v>
          </cell>
          <cell r="GO230">
            <v>0</v>
          </cell>
          <cell r="GP230">
            <v>0</v>
          </cell>
          <cell r="GQ230">
            <v>0</v>
          </cell>
          <cell r="GR230">
            <v>0</v>
          </cell>
          <cell r="GS230">
            <v>0</v>
          </cell>
          <cell r="GT230">
            <v>0</v>
          </cell>
          <cell r="GZ230">
            <v>53280011.737796776</v>
          </cell>
        </row>
        <row r="231">
          <cell r="A231" t="str">
            <v>I_VIT_NRF_RIS_IND_INTR_I09</v>
          </cell>
          <cell r="B231">
            <v>8437944.2699999996</v>
          </cell>
          <cell r="C231">
            <v>0</v>
          </cell>
          <cell r="D231">
            <v>8437919.50799587</v>
          </cell>
          <cell r="E231">
            <v>-21412226.227566697</v>
          </cell>
          <cell r="F231">
            <v>8437919.50799587</v>
          </cell>
          <cell r="G231">
            <v>8437919.50799587</v>
          </cell>
          <cell r="H231">
            <v>0</v>
          </cell>
          <cell r="I231">
            <v>0</v>
          </cell>
          <cell r="J231">
            <v>8437919.50799587</v>
          </cell>
          <cell r="K231">
            <v>0</v>
          </cell>
          <cell r="L231">
            <v>0</v>
          </cell>
          <cell r="M231">
            <v>0</v>
          </cell>
          <cell r="N231">
            <v>8437919.50799587</v>
          </cell>
          <cell r="O231">
            <v>0</v>
          </cell>
          <cell r="P231">
            <v>0</v>
          </cell>
          <cell r="Q231">
            <v>8437919.50799587</v>
          </cell>
          <cell r="R231">
            <v>0</v>
          </cell>
          <cell r="S231">
            <v>8437919.50799587</v>
          </cell>
          <cell r="T231">
            <v>0</v>
          </cell>
          <cell r="U231">
            <v>0</v>
          </cell>
          <cell r="V231">
            <v>0</v>
          </cell>
          <cell r="W231">
            <v>0</v>
          </cell>
          <cell r="X231">
            <v>0</v>
          </cell>
          <cell r="Y231">
            <v>0</v>
          </cell>
          <cell r="Z231">
            <v>8437919.50799587</v>
          </cell>
          <cell r="AA231">
            <v>8437919.50799587</v>
          </cell>
          <cell r="AB231">
            <v>8831169.7154345401</v>
          </cell>
          <cell r="AC231">
            <v>8046269.7675857209</v>
          </cell>
          <cell r="AD231">
            <v>0</v>
          </cell>
          <cell r="AE231">
            <v>0</v>
          </cell>
          <cell r="AF231">
            <v>8437919.8977304343</v>
          </cell>
          <cell r="AG231">
            <v>0</v>
          </cell>
          <cell r="AH231">
            <v>0</v>
          </cell>
          <cell r="AI231">
            <v>0</v>
          </cell>
          <cell r="AJ231">
            <v>8437919.8977304343</v>
          </cell>
          <cell r="AK231">
            <v>0</v>
          </cell>
          <cell r="AL231">
            <v>0</v>
          </cell>
          <cell r="AM231">
            <v>8437919.50799587</v>
          </cell>
          <cell r="AN231">
            <v>0</v>
          </cell>
          <cell r="AO231">
            <v>8171730.0909968764</v>
          </cell>
          <cell r="AP231">
            <v>0</v>
          </cell>
          <cell r="AQ231">
            <v>0</v>
          </cell>
          <cell r="AR231">
            <v>0</v>
          </cell>
          <cell r="AS231">
            <v>0</v>
          </cell>
          <cell r="AT231">
            <v>0</v>
          </cell>
          <cell r="AU231">
            <v>0</v>
          </cell>
          <cell r="AV231">
            <v>8437919.50799587</v>
          </cell>
          <cell r="AW231">
            <v>8437919.50799587</v>
          </cell>
          <cell r="AX231">
            <v>-21412226.227566697</v>
          </cell>
          <cell r="AY231">
            <v>-21412226.227566697</v>
          </cell>
          <cell r="AZ231">
            <v>0</v>
          </cell>
          <cell r="BA231">
            <v>0</v>
          </cell>
          <cell r="BB231">
            <v>-21412226.227566697</v>
          </cell>
          <cell r="BC231">
            <v>0</v>
          </cell>
          <cell r="BD231">
            <v>0</v>
          </cell>
          <cell r="BE231">
            <v>0</v>
          </cell>
          <cell r="BF231">
            <v>-21412226.227566697</v>
          </cell>
          <cell r="BG231">
            <v>0</v>
          </cell>
          <cell r="BH231">
            <v>0</v>
          </cell>
          <cell r="BI231">
            <v>-21412226.227566697</v>
          </cell>
          <cell r="BJ231">
            <v>0</v>
          </cell>
          <cell r="BK231">
            <v>-21412226.227566697</v>
          </cell>
          <cell r="BL231">
            <v>0</v>
          </cell>
          <cell r="BM231">
            <v>0</v>
          </cell>
          <cell r="BN231">
            <v>0</v>
          </cell>
          <cell r="BO231">
            <v>0</v>
          </cell>
          <cell r="BP231">
            <v>0</v>
          </cell>
          <cell r="BQ231">
            <v>0</v>
          </cell>
          <cell r="BR231">
            <v>-21412226.227566697</v>
          </cell>
          <cell r="BS231">
            <v>-21412226.227566697</v>
          </cell>
          <cell r="BT231">
            <v>-21788490.062899601</v>
          </cell>
          <cell r="BU231">
            <v>-20884925.348418713</v>
          </cell>
          <cell r="BV231">
            <v>0</v>
          </cell>
          <cell r="BW231">
            <v>0</v>
          </cell>
          <cell r="BX231">
            <v>-21412226.227566697</v>
          </cell>
          <cell r="BY231">
            <v>0</v>
          </cell>
          <cell r="BZ231">
            <v>0</v>
          </cell>
          <cell r="CA231">
            <v>0</v>
          </cell>
          <cell r="CB231">
            <v>-21412226.227566697</v>
          </cell>
          <cell r="CC231">
            <v>0</v>
          </cell>
          <cell r="CD231">
            <v>0</v>
          </cell>
          <cell r="CE231">
            <v>-21412226.227566697</v>
          </cell>
          <cell r="CF231">
            <v>0</v>
          </cell>
          <cell r="CG231">
            <v>-21412226.227566697</v>
          </cell>
          <cell r="CH231">
            <v>0</v>
          </cell>
          <cell r="CI231">
            <v>0</v>
          </cell>
          <cell r="CJ231">
            <v>0</v>
          </cell>
          <cell r="CK231">
            <v>0</v>
          </cell>
          <cell r="CL231">
            <v>0</v>
          </cell>
          <cell r="CM231">
            <v>0</v>
          </cell>
          <cell r="CN231">
            <v>-21412226.227566697</v>
          </cell>
          <cell r="CO231">
            <v>-21487964.142599594</v>
          </cell>
          <cell r="CP231">
            <v>-21412226.227566697</v>
          </cell>
          <cell r="CQ231">
            <v>-21412226.227566697</v>
          </cell>
          <cell r="CR231">
            <v>-21412226.227566697</v>
          </cell>
          <cell r="CS231">
            <v>-21412226.227566697</v>
          </cell>
          <cell r="CT231">
            <v>-21412226.227566697</v>
          </cell>
          <cell r="CU231">
            <v>0</v>
          </cell>
          <cell r="CV231">
            <v>-21412226.227566697</v>
          </cell>
          <cell r="CW231">
            <v>-21412226.227566697</v>
          </cell>
          <cell r="CX231">
            <v>-21412226.227566697</v>
          </cell>
          <cell r="CY231">
            <v>-21412226.227566697</v>
          </cell>
          <cell r="CZ231">
            <v>-19551781.729613721</v>
          </cell>
          <cell r="DA231">
            <v>-21412226.227566697</v>
          </cell>
          <cell r="DB231">
            <v>-21412226.227566697</v>
          </cell>
          <cell r="DC231">
            <v>-17474655.082320325</v>
          </cell>
          <cell r="DD231">
            <v>-26947736.361712582</v>
          </cell>
          <cell r="DE231">
            <v>0</v>
          </cell>
          <cell r="DF231">
            <v>-14998637.953452332</v>
          </cell>
          <cell r="DG231">
            <v>-21204127.455890737</v>
          </cell>
          <cell r="DH231">
            <v>-21412226.227566697</v>
          </cell>
          <cell r="DI231">
            <v>-17448290.738046493</v>
          </cell>
          <cell r="DJ231">
            <v>0</v>
          </cell>
          <cell r="DK231">
            <v>0</v>
          </cell>
          <cell r="DL231">
            <v>0</v>
          </cell>
          <cell r="DM231">
            <v>0</v>
          </cell>
          <cell r="DN231">
            <v>0</v>
          </cell>
          <cell r="DO231">
            <v>0</v>
          </cell>
          <cell r="DP231">
            <v>0</v>
          </cell>
          <cell r="DQ231">
            <v>0</v>
          </cell>
          <cell r="DR231">
            <v>0</v>
          </cell>
          <cell r="DS231">
            <v>0</v>
          </cell>
          <cell r="DT231">
            <v>0</v>
          </cell>
          <cell r="DU231">
            <v>0</v>
          </cell>
          <cell r="DV231">
            <v>0</v>
          </cell>
          <cell r="DW231">
            <v>0</v>
          </cell>
          <cell r="EA231">
            <v>0</v>
          </cell>
          <cell r="EB231">
            <v>0</v>
          </cell>
          <cell r="EC231">
            <v>0</v>
          </cell>
          <cell r="ED231">
            <v>0</v>
          </cell>
          <cell r="EE231">
            <v>0</v>
          </cell>
          <cell r="EF231">
            <v>0</v>
          </cell>
          <cell r="EG231">
            <v>0</v>
          </cell>
          <cell r="EH231">
            <v>0</v>
          </cell>
          <cell r="EI231">
            <v>0</v>
          </cell>
          <cell r="EJ231">
            <v>0</v>
          </cell>
          <cell r="EK231">
            <v>0</v>
          </cell>
          <cell r="EL231">
            <v>0</v>
          </cell>
          <cell r="EM231">
            <v>0</v>
          </cell>
          <cell r="EN231">
            <v>0</v>
          </cell>
          <cell r="EO231">
            <v>0</v>
          </cell>
          <cell r="EP231">
            <v>0</v>
          </cell>
          <cell r="EQ231">
            <v>0</v>
          </cell>
          <cell r="ER231">
            <v>0</v>
          </cell>
          <cell r="ES231">
            <v>0</v>
          </cell>
          <cell r="ET231">
            <v>0</v>
          </cell>
          <cell r="EU231">
            <v>0</v>
          </cell>
          <cell r="EV231">
            <v>0</v>
          </cell>
          <cell r="EW231">
            <v>0</v>
          </cell>
          <cell r="EX231">
            <v>0</v>
          </cell>
          <cell r="EY231">
            <v>0</v>
          </cell>
          <cell r="EZ231">
            <v>0</v>
          </cell>
          <cell r="FA231">
            <v>0</v>
          </cell>
          <cell r="FB231">
            <v>0</v>
          </cell>
          <cell r="FC231">
            <v>0</v>
          </cell>
          <cell r="FE231">
            <v>-21412226.227566697</v>
          </cell>
          <cell r="FF231">
            <v>-21788490.062899601</v>
          </cell>
          <cell r="FG231">
            <v>-20884925.348418713</v>
          </cell>
          <cell r="FH231">
            <v>0</v>
          </cell>
          <cell r="FI231">
            <v>0</v>
          </cell>
          <cell r="FJ231">
            <v>-21412226.227566697</v>
          </cell>
          <cell r="FK231">
            <v>0</v>
          </cell>
          <cell r="FL231">
            <v>0</v>
          </cell>
          <cell r="FM231">
            <v>0</v>
          </cell>
          <cell r="FN231">
            <v>-21412226.227566697</v>
          </cell>
          <cell r="FO231">
            <v>0</v>
          </cell>
          <cell r="FP231">
            <v>0</v>
          </cell>
          <cell r="FQ231">
            <v>-21412226.227566697</v>
          </cell>
          <cell r="FR231">
            <v>0</v>
          </cell>
          <cell r="FS231">
            <v>-21412226.227566697</v>
          </cell>
          <cell r="FT231">
            <v>0</v>
          </cell>
          <cell r="FU231">
            <v>0</v>
          </cell>
          <cell r="FV231">
            <v>0</v>
          </cell>
          <cell r="FW231">
            <v>0</v>
          </cell>
          <cell r="FX231">
            <v>0</v>
          </cell>
          <cell r="FY231">
            <v>0</v>
          </cell>
          <cell r="FZ231">
            <v>-21412226.227566697</v>
          </cell>
          <cell r="GA231">
            <v>-21487964.142599594</v>
          </cell>
          <cell r="GB231">
            <v>-19551781.729613721</v>
          </cell>
          <cell r="GC231">
            <v>-21412226.227566697</v>
          </cell>
          <cell r="GD231">
            <v>-21412226.227566697</v>
          </cell>
          <cell r="GE231">
            <v>-17474655.082320325</v>
          </cell>
          <cell r="GF231">
            <v>-26947736.361712582</v>
          </cell>
          <cell r="GG231">
            <v>0</v>
          </cell>
          <cell r="GH231">
            <v>-14998637.953452332</v>
          </cell>
          <cell r="GI231">
            <v>-21204127.455890737</v>
          </cell>
          <cell r="GJ231">
            <v>-21412226.227566697</v>
          </cell>
          <cell r="GK231">
            <v>-17448290.738046493</v>
          </cell>
          <cell r="GL231">
            <v>0</v>
          </cell>
          <cell r="GM231">
            <v>0</v>
          </cell>
          <cell r="GN231">
            <v>0</v>
          </cell>
          <cell r="GO231">
            <v>0</v>
          </cell>
          <cell r="GP231">
            <v>0</v>
          </cell>
          <cell r="GQ231">
            <v>0</v>
          </cell>
          <cell r="GR231">
            <v>0</v>
          </cell>
          <cell r="GS231">
            <v>0</v>
          </cell>
          <cell r="GT231">
            <v>0</v>
          </cell>
          <cell r="GZ231">
            <v>3652683921.8665433</v>
          </cell>
        </row>
        <row r="232">
          <cell r="A232" t="str">
            <v>I_VIT_NRF_RIS_COL_INTR_I10</v>
          </cell>
          <cell r="B232">
            <v>101575685.66</v>
          </cell>
          <cell r="C232">
            <v>0</v>
          </cell>
          <cell r="D232">
            <v>101575671.03589137</v>
          </cell>
          <cell r="E232">
            <v>17778408.276033077</v>
          </cell>
          <cell r="F232">
            <v>101575671.03589137</v>
          </cell>
          <cell r="G232">
            <v>101575671.03589137</v>
          </cell>
          <cell r="H232">
            <v>0</v>
          </cell>
          <cell r="I232">
            <v>0</v>
          </cell>
          <cell r="J232">
            <v>101575671.03589137</v>
          </cell>
          <cell r="K232">
            <v>0</v>
          </cell>
          <cell r="L232">
            <v>0</v>
          </cell>
          <cell r="M232">
            <v>0</v>
          </cell>
          <cell r="N232">
            <v>101575671.03589137</v>
          </cell>
          <cell r="O232">
            <v>0</v>
          </cell>
          <cell r="P232">
            <v>0</v>
          </cell>
          <cell r="Q232">
            <v>101575671.03589137</v>
          </cell>
          <cell r="R232">
            <v>0</v>
          </cell>
          <cell r="S232">
            <v>101575671.03589137</v>
          </cell>
          <cell r="T232">
            <v>0</v>
          </cell>
          <cell r="U232">
            <v>0</v>
          </cell>
          <cell r="V232">
            <v>0</v>
          </cell>
          <cell r="W232">
            <v>0</v>
          </cell>
          <cell r="X232">
            <v>0</v>
          </cell>
          <cell r="Y232">
            <v>0</v>
          </cell>
          <cell r="Z232">
            <v>101575671.03589137</v>
          </cell>
          <cell r="AA232">
            <v>101575671.03589137</v>
          </cell>
          <cell r="AB232">
            <v>106309610.32416388</v>
          </cell>
          <cell r="AC232">
            <v>96860987.441900834</v>
          </cell>
          <cell r="AD232">
            <v>0</v>
          </cell>
          <cell r="AE232">
            <v>0</v>
          </cell>
          <cell r="AF232">
            <v>101575671.07238227</v>
          </cell>
          <cell r="AG232">
            <v>0</v>
          </cell>
          <cell r="AH232">
            <v>0</v>
          </cell>
          <cell r="AI232">
            <v>0</v>
          </cell>
          <cell r="AJ232">
            <v>101575671.07238227</v>
          </cell>
          <cell r="AK232">
            <v>0</v>
          </cell>
          <cell r="AL232">
            <v>0</v>
          </cell>
          <cell r="AM232">
            <v>101575671.03589137</v>
          </cell>
          <cell r="AN232">
            <v>0</v>
          </cell>
          <cell r="AO232">
            <v>98371281.14867194</v>
          </cell>
          <cell r="AP232">
            <v>0</v>
          </cell>
          <cell r="AQ232">
            <v>0</v>
          </cell>
          <cell r="AR232">
            <v>0</v>
          </cell>
          <cell r="AS232">
            <v>0</v>
          </cell>
          <cell r="AT232">
            <v>0</v>
          </cell>
          <cell r="AU232">
            <v>0</v>
          </cell>
          <cell r="AV232">
            <v>101575671.03589137</v>
          </cell>
          <cell r="AW232">
            <v>101575671.03589137</v>
          </cell>
          <cell r="AX232">
            <v>17778408.276033077</v>
          </cell>
          <cell r="AY232">
            <v>17778408.276033077</v>
          </cell>
          <cell r="AZ232">
            <v>0</v>
          </cell>
          <cell r="BA232">
            <v>0</v>
          </cell>
          <cell r="BB232">
            <v>17778408.276033077</v>
          </cell>
          <cell r="BC232">
            <v>0</v>
          </cell>
          <cell r="BD232">
            <v>0</v>
          </cell>
          <cell r="BE232">
            <v>0</v>
          </cell>
          <cell r="BF232">
            <v>17778408.276033077</v>
          </cell>
          <cell r="BG232">
            <v>0</v>
          </cell>
          <cell r="BH232">
            <v>0</v>
          </cell>
          <cell r="BI232">
            <v>17778408.276033077</v>
          </cell>
          <cell r="BJ232">
            <v>0</v>
          </cell>
          <cell r="BK232">
            <v>17778408.276033077</v>
          </cell>
          <cell r="BL232">
            <v>0</v>
          </cell>
          <cell r="BM232">
            <v>0</v>
          </cell>
          <cell r="BN232">
            <v>0</v>
          </cell>
          <cell r="BO232">
            <v>0</v>
          </cell>
          <cell r="BP232">
            <v>0</v>
          </cell>
          <cell r="BQ232">
            <v>0</v>
          </cell>
          <cell r="BR232">
            <v>17778408.276033077</v>
          </cell>
          <cell r="BS232">
            <v>17778408.276033077</v>
          </cell>
          <cell r="BT232">
            <v>17891525.886048976</v>
          </cell>
          <cell r="BU232">
            <v>17525392.131316137</v>
          </cell>
          <cell r="BV232">
            <v>0</v>
          </cell>
          <cell r="BW232">
            <v>0</v>
          </cell>
          <cell r="BX232">
            <v>17778408.276033077</v>
          </cell>
          <cell r="BY232">
            <v>0</v>
          </cell>
          <cell r="BZ232">
            <v>0</v>
          </cell>
          <cell r="CA232">
            <v>0</v>
          </cell>
          <cell r="CB232">
            <v>17778408.276033077</v>
          </cell>
          <cell r="CC232">
            <v>0</v>
          </cell>
          <cell r="CD232">
            <v>0</v>
          </cell>
          <cell r="CE232">
            <v>17778408.276033077</v>
          </cell>
          <cell r="CF232">
            <v>0</v>
          </cell>
          <cell r="CG232">
            <v>17778408.276033077</v>
          </cell>
          <cell r="CH232">
            <v>0</v>
          </cell>
          <cell r="CI232">
            <v>0</v>
          </cell>
          <cell r="CJ232">
            <v>0</v>
          </cell>
          <cell r="CK232">
            <v>0</v>
          </cell>
          <cell r="CL232">
            <v>0</v>
          </cell>
          <cell r="CM232">
            <v>0</v>
          </cell>
          <cell r="CN232">
            <v>17778408.276033077</v>
          </cell>
          <cell r="CO232">
            <v>17813554.136440843</v>
          </cell>
          <cell r="CP232">
            <v>17778408.276033077</v>
          </cell>
          <cell r="CQ232">
            <v>17778408.276033077</v>
          </cell>
          <cell r="CR232">
            <v>17778408.276033077</v>
          </cell>
          <cell r="CS232">
            <v>17778408.276033077</v>
          </cell>
          <cell r="CT232">
            <v>17778408.276033077</v>
          </cell>
          <cell r="CU232">
            <v>0</v>
          </cell>
          <cell r="CV232">
            <v>17778408.276033077</v>
          </cell>
          <cell r="CW232">
            <v>17778408.276033077</v>
          </cell>
          <cell r="CX232">
            <v>17778408.276033077</v>
          </cell>
          <cell r="CY232">
            <v>17778408.276033077</v>
          </cell>
          <cell r="CZ232">
            <v>20746870.243495915</v>
          </cell>
          <cell r="DA232">
            <v>17778408.276033077</v>
          </cell>
          <cell r="DB232">
            <v>17778408.276033077</v>
          </cell>
          <cell r="DC232">
            <v>18837547.91223475</v>
          </cell>
          <cell r="DD232">
            <v>16565645.017802987</v>
          </cell>
          <cell r="DE232">
            <v>0</v>
          </cell>
          <cell r="DF232">
            <v>25813224.111968152</v>
          </cell>
          <cell r="DG232">
            <v>18920400.926276013</v>
          </cell>
          <cell r="DH232">
            <v>17778408.276033077</v>
          </cell>
          <cell r="DI232">
            <v>20114187.418086756</v>
          </cell>
          <cell r="DJ232">
            <v>0</v>
          </cell>
          <cell r="DK232">
            <v>0</v>
          </cell>
          <cell r="DL232">
            <v>0</v>
          </cell>
          <cell r="DM232">
            <v>0</v>
          </cell>
          <cell r="DN232">
            <v>0</v>
          </cell>
          <cell r="DO232">
            <v>0</v>
          </cell>
          <cell r="DP232">
            <v>0</v>
          </cell>
          <cell r="DQ232">
            <v>0</v>
          </cell>
          <cell r="DR232">
            <v>0</v>
          </cell>
          <cell r="DS232">
            <v>0</v>
          </cell>
          <cell r="DT232">
            <v>0</v>
          </cell>
          <cell r="DU232">
            <v>0</v>
          </cell>
          <cell r="DV232">
            <v>0</v>
          </cell>
          <cell r="DW232">
            <v>0</v>
          </cell>
          <cell r="EA232">
            <v>0</v>
          </cell>
          <cell r="EB232">
            <v>0</v>
          </cell>
          <cell r="EC232">
            <v>0</v>
          </cell>
          <cell r="ED232">
            <v>0</v>
          </cell>
          <cell r="EE232">
            <v>0</v>
          </cell>
          <cell r="EF232">
            <v>0</v>
          </cell>
          <cell r="EG232">
            <v>0</v>
          </cell>
          <cell r="EH232">
            <v>0</v>
          </cell>
          <cell r="EI232">
            <v>0</v>
          </cell>
          <cell r="EJ232">
            <v>0</v>
          </cell>
          <cell r="EK232">
            <v>0</v>
          </cell>
          <cell r="EL232">
            <v>0</v>
          </cell>
          <cell r="EM232">
            <v>0</v>
          </cell>
          <cell r="EN232">
            <v>0</v>
          </cell>
          <cell r="EO232">
            <v>0</v>
          </cell>
          <cell r="EP232">
            <v>0</v>
          </cell>
          <cell r="EQ232">
            <v>0</v>
          </cell>
          <cell r="ER232">
            <v>0</v>
          </cell>
          <cell r="ES232">
            <v>0</v>
          </cell>
          <cell r="ET232">
            <v>0</v>
          </cell>
          <cell r="EU232">
            <v>0</v>
          </cell>
          <cell r="EV232">
            <v>0</v>
          </cell>
          <cell r="EW232">
            <v>0</v>
          </cell>
          <cell r="EX232">
            <v>0</v>
          </cell>
          <cell r="EY232">
            <v>0</v>
          </cell>
          <cell r="EZ232">
            <v>0</v>
          </cell>
          <cell r="FA232">
            <v>0</v>
          </cell>
          <cell r="FB232">
            <v>0</v>
          </cell>
          <cell r="FC232">
            <v>0</v>
          </cell>
          <cell r="FE232">
            <v>17778408.276033077</v>
          </cell>
          <cell r="FF232">
            <v>17891525.886048976</v>
          </cell>
          <cell r="FG232">
            <v>17525392.131316137</v>
          </cell>
          <cell r="FH232">
            <v>0</v>
          </cell>
          <cell r="FI232">
            <v>0</v>
          </cell>
          <cell r="FJ232">
            <v>17778408.276033077</v>
          </cell>
          <cell r="FK232">
            <v>0</v>
          </cell>
          <cell r="FL232">
            <v>0</v>
          </cell>
          <cell r="FM232">
            <v>0</v>
          </cell>
          <cell r="FN232">
            <v>17778408.276033077</v>
          </cell>
          <cell r="FO232">
            <v>0</v>
          </cell>
          <cell r="FP232">
            <v>0</v>
          </cell>
          <cell r="FQ232">
            <v>17778408.276033077</v>
          </cell>
          <cell r="FR232">
            <v>0</v>
          </cell>
          <cell r="FS232">
            <v>17778408.276033077</v>
          </cell>
          <cell r="FT232">
            <v>0</v>
          </cell>
          <cell r="FU232">
            <v>0</v>
          </cell>
          <cell r="FV232">
            <v>0</v>
          </cell>
          <cell r="FW232">
            <v>0</v>
          </cell>
          <cell r="FX232">
            <v>0</v>
          </cell>
          <cell r="FY232">
            <v>0</v>
          </cell>
          <cell r="FZ232">
            <v>17778408.276033077</v>
          </cell>
          <cell r="GA232">
            <v>17813554.136440843</v>
          </cell>
          <cell r="GB232">
            <v>20746870.243495915</v>
          </cell>
          <cell r="GC232">
            <v>17778408.276033077</v>
          </cell>
          <cell r="GD232">
            <v>17778408.276033077</v>
          </cell>
          <cell r="GE232">
            <v>18837547.91223475</v>
          </cell>
          <cell r="GF232">
            <v>16565645.017802987</v>
          </cell>
          <cell r="GG232">
            <v>0</v>
          </cell>
          <cell r="GH232">
            <v>25813224.111968152</v>
          </cell>
          <cell r="GI232">
            <v>18920400.926276013</v>
          </cell>
          <cell r="GJ232">
            <v>17778408.276033077</v>
          </cell>
          <cell r="GK232">
            <v>20114187.418086756</v>
          </cell>
          <cell r="GL232">
            <v>0</v>
          </cell>
          <cell r="GM232">
            <v>0</v>
          </cell>
          <cell r="GN232">
            <v>0</v>
          </cell>
          <cell r="GO232">
            <v>0</v>
          </cell>
          <cell r="GP232">
            <v>0</v>
          </cell>
          <cell r="GQ232">
            <v>0</v>
          </cell>
          <cell r="GR232">
            <v>0</v>
          </cell>
          <cell r="GS232">
            <v>0</v>
          </cell>
          <cell r="GT232">
            <v>0</v>
          </cell>
          <cell r="GZ232">
            <v>6050146453.1702814</v>
          </cell>
        </row>
        <row r="233">
          <cell r="A233" t="str">
            <v>I_VIT_NRF_RET_IND_INTR_I11</v>
          </cell>
          <cell r="B233">
            <v>253954967.6159277</v>
          </cell>
          <cell r="C233">
            <v>0</v>
          </cell>
          <cell r="D233">
            <v>252737326</v>
          </cell>
          <cell r="E233">
            <v>241078402.15912464</v>
          </cell>
          <cell r="F233">
            <v>252737326</v>
          </cell>
          <cell r="G233">
            <v>252737326</v>
          </cell>
          <cell r="H233">
            <v>0</v>
          </cell>
          <cell r="I233">
            <v>0</v>
          </cell>
          <cell r="J233">
            <v>252737326</v>
          </cell>
          <cell r="K233">
            <v>0</v>
          </cell>
          <cell r="L233">
            <v>0</v>
          </cell>
          <cell r="M233">
            <v>0</v>
          </cell>
          <cell r="N233">
            <v>252737326</v>
          </cell>
          <cell r="O233">
            <v>0</v>
          </cell>
          <cell r="P233">
            <v>0</v>
          </cell>
          <cell r="Q233">
            <v>252737326</v>
          </cell>
          <cell r="R233">
            <v>0</v>
          </cell>
          <cell r="S233">
            <v>252737326</v>
          </cell>
          <cell r="T233">
            <v>0</v>
          </cell>
          <cell r="U233">
            <v>0</v>
          </cell>
          <cell r="V233">
            <v>0</v>
          </cell>
          <cell r="W233">
            <v>0</v>
          </cell>
          <cell r="X233">
            <v>0</v>
          </cell>
          <cell r="Y233">
            <v>0</v>
          </cell>
          <cell r="Z233">
            <v>252737326</v>
          </cell>
          <cell r="AA233">
            <v>252737326</v>
          </cell>
          <cell r="AB233">
            <v>254219531</v>
          </cell>
          <cell r="AC233">
            <v>251060005</v>
          </cell>
          <cell r="AD233">
            <v>0</v>
          </cell>
          <cell r="AE233">
            <v>0</v>
          </cell>
          <cell r="AF233">
            <v>163479660.99245265</v>
          </cell>
          <cell r="AG233">
            <v>0</v>
          </cell>
          <cell r="AH233">
            <v>0</v>
          </cell>
          <cell r="AI233">
            <v>0</v>
          </cell>
          <cell r="AJ233">
            <v>251764784.2436462</v>
          </cell>
          <cell r="AK233">
            <v>0</v>
          </cell>
          <cell r="AL233">
            <v>0</v>
          </cell>
          <cell r="AM233">
            <v>252737326</v>
          </cell>
          <cell r="AN233">
            <v>0</v>
          </cell>
          <cell r="AO233">
            <v>252398797</v>
          </cell>
          <cell r="AP233">
            <v>0</v>
          </cell>
          <cell r="AQ233">
            <v>0</v>
          </cell>
          <cell r="AR233">
            <v>0</v>
          </cell>
          <cell r="AS233">
            <v>0</v>
          </cell>
          <cell r="AT233">
            <v>0</v>
          </cell>
          <cell r="AU233">
            <v>0</v>
          </cell>
          <cell r="AV233">
            <v>211463239</v>
          </cell>
          <cell r="AW233">
            <v>252737326</v>
          </cell>
          <cell r="AX233">
            <v>241078402.15912464</v>
          </cell>
          <cell r="AY233">
            <v>241078402.15912464</v>
          </cell>
          <cell r="AZ233">
            <v>0</v>
          </cell>
          <cell r="BA233">
            <v>0</v>
          </cell>
          <cell r="BB233">
            <v>241078402.15912464</v>
          </cell>
          <cell r="BC233">
            <v>0</v>
          </cell>
          <cell r="BD233">
            <v>0</v>
          </cell>
          <cell r="BE233">
            <v>0</v>
          </cell>
          <cell r="BF233">
            <v>241078402.15912464</v>
          </cell>
          <cell r="BG233">
            <v>0</v>
          </cell>
          <cell r="BH233">
            <v>0</v>
          </cell>
          <cell r="BI233">
            <v>241078402.15912464</v>
          </cell>
          <cell r="BJ233">
            <v>0</v>
          </cell>
          <cell r="BK233">
            <v>241078402.15912464</v>
          </cell>
          <cell r="BL233">
            <v>0</v>
          </cell>
          <cell r="BM233">
            <v>0</v>
          </cell>
          <cell r="BN233">
            <v>0</v>
          </cell>
          <cell r="BO233">
            <v>0</v>
          </cell>
          <cell r="BP233">
            <v>0</v>
          </cell>
          <cell r="BQ233">
            <v>0</v>
          </cell>
          <cell r="BR233">
            <v>241078402.15912464</v>
          </cell>
          <cell r="BS233">
            <v>241078402.15912464</v>
          </cell>
          <cell r="BT233">
            <v>242945654.91273516</v>
          </cell>
          <cell r="BU233">
            <v>239018627.67454314</v>
          </cell>
          <cell r="BV233">
            <v>0</v>
          </cell>
          <cell r="BW233">
            <v>0</v>
          </cell>
          <cell r="BX233">
            <v>162002597.72352037</v>
          </cell>
          <cell r="BY233">
            <v>0</v>
          </cell>
          <cell r="BZ233">
            <v>0</v>
          </cell>
          <cell r="CA233">
            <v>0</v>
          </cell>
          <cell r="CB233">
            <v>240218590.49010018</v>
          </cell>
          <cell r="CC233">
            <v>0</v>
          </cell>
          <cell r="CD233">
            <v>0</v>
          </cell>
          <cell r="CE233">
            <v>241078402.15912464</v>
          </cell>
          <cell r="CF233">
            <v>0</v>
          </cell>
          <cell r="CG233">
            <v>240778486.54204002</v>
          </cell>
          <cell r="CH233">
            <v>0</v>
          </cell>
          <cell r="CI233">
            <v>0</v>
          </cell>
          <cell r="CJ233">
            <v>0</v>
          </cell>
          <cell r="CK233">
            <v>0</v>
          </cell>
          <cell r="CL233">
            <v>0</v>
          </cell>
          <cell r="CM233">
            <v>0</v>
          </cell>
          <cell r="CN233">
            <v>204512170.59763241</v>
          </cell>
          <cell r="CO233">
            <v>241166125.76786199</v>
          </cell>
          <cell r="CP233">
            <v>241078402.15912464</v>
          </cell>
          <cell r="CQ233">
            <v>241078402.15912464</v>
          </cell>
          <cell r="CR233">
            <v>241078402.15912464</v>
          </cell>
          <cell r="CS233">
            <v>241078402.15912464</v>
          </cell>
          <cell r="CT233">
            <v>241078402.15912464</v>
          </cell>
          <cell r="CU233">
            <v>0</v>
          </cell>
          <cell r="CV233">
            <v>241078402.15912464</v>
          </cell>
          <cell r="CW233">
            <v>241078402.15912464</v>
          </cell>
          <cell r="CX233">
            <v>241078402.15912464</v>
          </cell>
          <cell r="CY233">
            <v>241078402.15912464</v>
          </cell>
          <cell r="CZ233">
            <v>241108901.70782036</v>
          </cell>
          <cell r="DA233">
            <v>241078402.15912464</v>
          </cell>
          <cell r="DB233">
            <v>241078402.15912464</v>
          </cell>
          <cell r="DC233">
            <v>242907150.42313078</v>
          </cell>
          <cell r="DD233">
            <v>238664317.16580543</v>
          </cell>
          <cell r="DE233">
            <v>0</v>
          </cell>
          <cell r="DF233">
            <v>245905177.98056859</v>
          </cell>
          <cell r="DG233">
            <v>242616657.39897743</v>
          </cell>
          <cell r="DH233">
            <v>241078402.15912464</v>
          </cell>
          <cell r="DI233">
            <v>241094936.41653949</v>
          </cell>
          <cell r="DJ233">
            <v>0</v>
          </cell>
          <cell r="DK233">
            <v>0</v>
          </cell>
          <cell r="DL233">
            <v>0</v>
          </cell>
          <cell r="DM233">
            <v>0</v>
          </cell>
          <cell r="DN233">
            <v>0</v>
          </cell>
          <cell r="DO233">
            <v>0</v>
          </cell>
          <cell r="DP233">
            <v>0</v>
          </cell>
          <cell r="DQ233">
            <v>0</v>
          </cell>
          <cell r="DR233">
            <v>0</v>
          </cell>
          <cell r="DS233">
            <v>0</v>
          </cell>
          <cell r="DT233">
            <v>0</v>
          </cell>
          <cell r="DU233">
            <v>0</v>
          </cell>
          <cell r="DV233">
            <v>0</v>
          </cell>
          <cell r="DW233">
            <v>0</v>
          </cell>
          <cell r="EA233">
            <v>0</v>
          </cell>
          <cell r="EB233">
            <v>0</v>
          </cell>
          <cell r="EC233">
            <v>0</v>
          </cell>
          <cell r="ED233">
            <v>0</v>
          </cell>
          <cell r="EE233">
            <v>0</v>
          </cell>
          <cell r="EF233">
            <v>0</v>
          </cell>
          <cell r="EG233">
            <v>0</v>
          </cell>
          <cell r="EH233">
            <v>0</v>
          </cell>
          <cell r="EI233">
            <v>0</v>
          </cell>
          <cell r="EJ233">
            <v>0</v>
          </cell>
          <cell r="EK233">
            <v>0</v>
          </cell>
          <cell r="EL233">
            <v>0</v>
          </cell>
          <cell r="EM233">
            <v>0</v>
          </cell>
          <cell r="EN233">
            <v>0</v>
          </cell>
          <cell r="EO233">
            <v>0</v>
          </cell>
          <cell r="EP233">
            <v>0</v>
          </cell>
          <cell r="EQ233">
            <v>0</v>
          </cell>
          <cell r="ER233">
            <v>0</v>
          </cell>
          <cell r="ES233">
            <v>0</v>
          </cell>
          <cell r="ET233">
            <v>0</v>
          </cell>
          <cell r="EU233">
            <v>0</v>
          </cell>
          <cell r="EV233">
            <v>0</v>
          </cell>
          <cell r="EW233">
            <v>0</v>
          </cell>
          <cell r="EX233">
            <v>0</v>
          </cell>
          <cell r="EY233">
            <v>0</v>
          </cell>
          <cell r="EZ233">
            <v>0</v>
          </cell>
          <cell r="FA233">
            <v>0</v>
          </cell>
          <cell r="FB233">
            <v>0</v>
          </cell>
          <cell r="FC233">
            <v>0</v>
          </cell>
          <cell r="FE233">
            <v>241078402.15912464</v>
          </cell>
          <cell r="FF233">
            <v>242945654.91273516</v>
          </cell>
          <cell r="FG233">
            <v>239018627.67454314</v>
          </cell>
          <cell r="FH233">
            <v>0</v>
          </cell>
          <cell r="FI233">
            <v>0</v>
          </cell>
          <cell r="FJ233">
            <v>162002597.72352037</v>
          </cell>
          <cell r="FK233">
            <v>0</v>
          </cell>
          <cell r="FL233">
            <v>0</v>
          </cell>
          <cell r="FM233">
            <v>0</v>
          </cell>
          <cell r="FN233">
            <v>240218590.49010018</v>
          </cell>
          <cell r="FO233">
            <v>0</v>
          </cell>
          <cell r="FP233">
            <v>0</v>
          </cell>
          <cell r="FQ233">
            <v>241078402.15912464</v>
          </cell>
          <cell r="FR233">
            <v>0</v>
          </cell>
          <cell r="FS233">
            <v>240778486.54204002</v>
          </cell>
          <cell r="FT233">
            <v>0</v>
          </cell>
          <cell r="FU233">
            <v>0</v>
          </cell>
          <cell r="FV233">
            <v>0</v>
          </cell>
          <cell r="FW233">
            <v>0</v>
          </cell>
          <cell r="FX233">
            <v>0</v>
          </cell>
          <cell r="FY233">
            <v>0</v>
          </cell>
          <cell r="FZ233">
            <v>204512170.59763241</v>
          </cell>
          <cell r="GA233">
            <v>241166125.76786199</v>
          </cell>
          <cell r="GB233">
            <v>241108901.70782036</v>
          </cell>
          <cell r="GC233">
            <v>241078402.15912464</v>
          </cell>
          <cell r="GD233">
            <v>241078402.15912464</v>
          </cell>
          <cell r="GE233">
            <v>242907150.42313078</v>
          </cell>
          <cell r="GF233">
            <v>238664317.16580543</v>
          </cell>
          <cell r="GG233">
            <v>0</v>
          </cell>
          <cell r="GH233">
            <v>245905177.98056859</v>
          </cell>
          <cell r="GI233">
            <v>242616657.39897743</v>
          </cell>
          <cell r="GJ233">
            <v>241078402.15912464</v>
          </cell>
          <cell r="GK233">
            <v>241094936.41653949</v>
          </cell>
          <cell r="GL233">
            <v>0</v>
          </cell>
          <cell r="GM233">
            <v>0</v>
          </cell>
          <cell r="GN233">
            <v>0</v>
          </cell>
          <cell r="GO233">
            <v>0</v>
          </cell>
          <cell r="GP233">
            <v>0</v>
          </cell>
          <cell r="GQ233">
            <v>0</v>
          </cell>
          <cell r="GR233">
            <v>0</v>
          </cell>
          <cell r="GS233">
            <v>0</v>
          </cell>
          <cell r="GT233">
            <v>0</v>
          </cell>
          <cell r="GZ233">
            <v>0</v>
          </cell>
        </row>
        <row r="234">
          <cell r="A234" t="str">
            <v>I_LKC_NRF_CPT_PRP_INTR_C01</v>
          </cell>
          <cell r="B234">
            <v>0</v>
          </cell>
          <cell r="C234">
            <v>0</v>
          </cell>
          <cell r="D234">
            <v>82390636.534406886</v>
          </cell>
          <cell r="E234">
            <v>0</v>
          </cell>
          <cell r="F234">
            <v>30946264.511998184</v>
          </cell>
          <cell r="G234">
            <v>30946264.511998184</v>
          </cell>
          <cell r="H234">
            <v>0</v>
          </cell>
          <cell r="I234">
            <v>0</v>
          </cell>
          <cell r="J234">
            <v>4775466.7310704589</v>
          </cell>
          <cell r="K234">
            <v>0</v>
          </cell>
          <cell r="L234">
            <v>0</v>
          </cell>
          <cell r="M234">
            <v>0</v>
          </cell>
          <cell r="N234">
            <v>0</v>
          </cell>
          <cell r="O234">
            <v>0</v>
          </cell>
          <cell r="P234">
            <v>0</v>
          </cell>
          <cell r="Q234">
            <v>14041623.673662674</v>
          </cell>
          <cell r="R234">
            <v>0</v>
          </cell>
          <cell r="S234">
            <v>30946264.511998184</v>
          </cell>
          <cell r="T234">
            <v>0</v>
          </cell>
          <cell r="U234">
            <v>0</v>
          </cell>
          <cell r="V234">
            <v>0</v>
          </cell>
          <cell r="W234">
            <v>0</v>
          </cell>
          <cell r="X234">
            <v>0</v>
          </cell>
          <cell r="Y234">
            <v>0</v>
          </cell>
          <cell r="Z234">
            <v>0</v>
          </cell>
          <cell r="AA234">
            <v>0</v>
          </cell>
          <cell r="AB234">
            <v>31611022.180881396</v>
          </cell>
          <cell r="AC234">
            <v>30268727.761220817</v>
          </cell>
          <cell r="AD234">
            <v>0</v>
          </cell>
          <cell r="AE234">
            <v>0</v>
          </cell>
          <cell r="AF234">
            <v>2494655.9383866242</v>
          </cell>
          <cell r="AG234">
            <v>0</v>
          </cell>
          <cell r="AH234">
            <v>0</v>
          </cell>
          <cell r="AI234">
            <v>0</v>
          </cell>
          <cell r="AJ234">
            <v>0</v>
          </cell>
          <cell r="AK234">
            <v>0</v>
          </cell>
          <cell r="AL234">
            <v>0</v>
          </cell>
          <cell r="AM234">
            <v>10531217.755247006</v>
          </cell>
          <cell r="AN234">
            <v>0</v>
          </cell>
          <cell r="AO234">
            <v>29373498.683001772</v>
          </cell>
          <cell r="AP234">
            <v>0</v>
          </cell>
          <cell r="AQ234">
            <v>0</v>
          </cell>
          <cell r="AR234">
            <v>0</v>
          </cell>
          <cell r="AS234">
            <v>0</v>
          </cell>
          <cell r="AT234">
            <v>0</v>
          </cell>
          <cell r="AU234">
            <v>0</v>
          </cell>
          <cell r="AV234">
            <v>0</v>
          </cell>
          <cell r="AW234">
            <v>0</v>
          </cell>
          <cell r="AX234">
            <v>0</v>
          </cell>
          <cell r="AY234">
            <v>0</v>
          </cell>
          <cell r="AZ234">
            <v>0</v>
          </cell>
          <cell r="BA234">
            <v>0</v>
          </cell>
          <cell r="BB234">
            <v>0</v>
          </cell>
          <cell r="BC234">
            <v>0</v>
          </cell>
          <cell r="BD234">
            <v>0</v>
          </cell>
          <cell r="BE234">
            <v>0</v>
          </cell>
          <cell r="BF234">
            <v>0</v>
          </cell>
          <cell r="BG234">
            <v>0</v>
          </cell>
          <cell r="BH234">
            <v>0</v>
          </cell>
          <cell r="BI234">
            <v>0</v>
          </cell>
          <cell r="BJ234">
            <v>0</v>
          </cell>
          <cell r="BK234">
            <v>0</v>
          </cell>
          <cell r="BL234">
            <v>0</v>
          </cell>
          <cell r="BM234">
            <v>0</v>
          </cell>
          <cell r="BN234">
            <v>0</v>
          </cell>
          <cell r="BO234">
            <v>0</v>
          </cell>
          <cell r="BP234">
            <v>0</v>
          </cell>
          <cell r="BQ234">
            <v>0</v>
          </cell>
          <cell r="BR234">
            <v>0</v>
          </cell>
          <cell r="BS234">
            <v>0</v>
          </cell>
          <cell r="BT234">
            <v>0</v>
          </cell>
          <cell r="BU234">
            <v>0</v>
          </cell>
          <cell r="BV234">
            <v>0</v>
          </cell>
          <cell r="BW234">
            <v>0</v>
          </cell>
          <cell r="BX234">
            <v>0</v>
          </cell>
          <cell r="BY234">
            <v>0</v>
          </cell>
          <cell r="BZ234">
            <v>0</v>
          </cell>
          <cell r="CA234">
            <v>0</v>
          </cell>
          <cell r="CB234">
            <v>0</v>
          </cell>
          <cell r="CC234">
            <v>0</v>
          </cell>
          <cell r="CD234">
            <v>0</v>
          </cell>
          <cell r="CE234">
            <v>0</v>
          </cell>
          <cell r="CF234">
            <v>0</v>
          </cell>
          <cell r="CG234">
            <v>0</v>
          </cell>
          <cell r="CH234">
            <v>0</v>
          </cell>
          <cell r="CI234">
            <v>0</v>
          </cell>
          <cell r="CJ234">
            <v>0</v>
          </cell>
          <cell r="CK234">
            <v>0</v>
          </cell>
          <cell r="CL234">
            <v>0</v>
          </cell>
          <cell r="CM234">
            <v>0</v>
          </cell>
          <cell r="CN234">
            <v>0</v>
          </cell>
          <cell r="CO234">
            <v>0</v>
          </cell>
          <cell r="CP234">
            <v>0</v>
          </cell>
          <cell r="CQ234">
            <v>0</v>
          </cell>
          <cell r="CR234">
            <v>0</v>
          </cell>
          <cell r="CS234">
            <v>0</v>
          </cell>
          <cell r="CT234">
            <v>0</v>
          </cell>
          <cell r="CU234">
            <v>0</v>
          </cell>
          <cell r="CV234">
            <v>0</v>
          </cell>
          <cell r="CW234">
            <v>0</v>
          </cell>
          <cell r="CX234">
            <v>0</v>
          </cell>
          <cell r="CY234">
            <v>0</v>
          </cell>
          <cell r="CZ234">
            <v>0</v>
          </cell>
          <cell r="DA234">
            <v>0</v>
          </cell>
          <cell r="DB234">
            <v>0</v>
          </cell>
          <cell r="DC234">
            <v>0</v>
          </cell>
          <cell r="DD234">
            <v>0</v>
          </cell>
          <cell r="DE234">
            <v>0</v>
          </cell>
          <cell r="DF234">
            <v>0</v>
          </cell>
          <cell r="DG234">
            <v>0</v>
          </cell>
          <cell r="DH234">
            <v>0</v>
          </cell>
          <cell r="DI234">
            <v>0</v>
          </cell>
          <cell r="DJ234">
            <v>0</v>
          </cell>
          <cell r="DK234">
            <v>0</v>
          </cell>
          <cell r="DL234">
            <v>0</v>
          </cell>
          <cell r="DM234">
            <v>0</v>
          </cell>
          <cell r="DN234">
            <v>0</v>
          </cell>
          <cell r="DO234">
            <v>0</v>
          </cell>
          <cell r="DP234">
            <v>0</v>
          </cell>
          <cell r="DQ234">
            <v>0</v>
          </cell>
          <cell r="DR234">
            <v>0</v>
          </cell>
          <cell r="DS234">
            <v>0</v>
          </cell>
          <cell r="DT234">
            <v>0</v>
          </cell>
          <cell r="DU234">
            <v>0</v>
          </cell>
          <cell r="DV234">
            <v>0</v>
          </cell>
          <cell r="DW234">
            <v>0</v>
          </cell>
          <cell r="EA234">
            <v>0</v>
          </cell>
          <cell r="EB234">
            <v>0</v>
          </cell>
          <cell r="EC234">
            <v>0</v>
          </cell>
          <cell r="ED234">
            <v>0</v>
          </cell>
          <cell r="EE234">
            <v>0</v>
          </cell>
          <cell r="EF234">
            <v>0</v>
          </cell>
          <cell r="EG234">
            <v>0</v>
          </cell>
          <cell r="EH234">
            <v>0</v>
          </cell>
          <cell r="EI234">
            <v>0</v>
          </cell>
          <cell r="EJ234">
            <v>0</v>
          </cell>
          <cell r="EK234">
            <v>0</v>
          </cell>
          <cell r="EL234">
            <v>0</v>
          </cell>
          <cell r="EM234">
            <v>0</v>
          </cell>
          <cell r="EN234">
            <v>0</v>
          </cell>
          <cell r="EO234">
            <v>0</v>
          </cell>
          <cell r="EP234">
            <v>0</v>
          </cell>
          <cell r="EQ234">
            <v>0</v>
          </cell>
          <cell r="ER234">
            <v>0</v>
          </cell>
          <cell r="ES234">
            <v>0</v>
          </cell>
          <cell r="ET234">
            <v>0</v>
          </cell>
          <cell r="EU234">
            <v>0</v>
          </cell>
          <cell r="EV234">
            <v>0</v>
          </cell>
          <cell r="EW234">
            <v>0</v>
          </cell>
          <cell r="EX234">
            <v>0</v>
          </cell>
          <cell r="EY234">
            <v>0</v>
          </cell>
          <cell r="EZ234">
            <v>0</v>
          </cell>
          <cell r="FA234">
            <v>0</v>
          </cell>
          <cell r="FB234">
            <v>0</v>
          </cell>
          <cell r="FC234">
            <v>0</v>
          </cell>
          <cell r="FE234">
            <v>0</v>
          </cell>
          <cell r="FF234">
            <v>0</v>
          </cell>
          <cell r="FG234">
            <v>0</v>
          </cell>
          <cell r="FH234">
            <v>0</v>
          </cell>
          <cell r="FI234">
            <v>0</v>
          </cell>
          <cell r="FJ234">
            <v>0</v>
          </cell>
          <cell r="FK234">
            <v>0</v>
          </cell>
          <cell r="FL234">
            <v>0</v>
          </cell>
          <cell r="FM234">
            <v>0</v>
          </cell>
          <cell r="FN234">
            <v>0</v>
          </cell>
          <cell r="FO234">
            <v>0</v>
          </cell>
          <cell r="FP234">
            <v>0</v>
          </cell>
          <cell r="FQ234">
            <v>0</v>
          </cell>
          <cell r="FR234">
            <v>0</v>
          </cell>
          <cell r="FS234">
            <v>0</v>
          </cell>
          <cell r="FT234">
            <v>0</v>
          </cell>
          <cell r="FU234">
            <v>0</v>
          </cell>
          <cell r="FV234">
            <v>0</v>
          </cell>
          <cell r="FW234">
            <v>0</v>
          </cell>
          <cell r="FX234">
            <v>0</v>
          </cell>
          <cell r="FY234">
            <v>0</v>
          </cell>
          <cell r="FZ234">
            <v>0</v>
          </cell>
          <cell r="GA234">
            <v>0</v>
          </cell>
          <cell r="GB234">
            <v>0</v>
          </cell>
          <cell r="GC234">
            <v>0</v>
          </cell>
          <cell r="GD234">
            <v>0</v>
          </cell>
          <cell r="GE234">
            <v>0</v>
          </cell>
          <cell r="GF234">
            <v>0</v>
          </cell>
          <cell r="GG234">
            <v>0</v>
          </cell>
          <cell r="GH234">
            <v>0</v>
          </cell>
          <cell r="GI234">
            <v>0</v>
          </cell>
          <cell r="GJ234">
            <v>0</v>
          </cell>
          <cell r="GK234">
            <v>0</v>
          </cell>
          <cell r="GL234">
            <v>0</v>
          </cell>
          <cell r="GM234">
            <v>0</v>
          </cell>
          <cell r="GN234">
            <v>0</v>
          </cell>
          <cell r="GO234">
            <v>0</v>
          </cell>
          <cell r="GP234">
            <v>0</v>
          </cell>
          <cell r="GQ234">
            <v>0</v>
          </cell>
          <cell r="GR234">
            <v>0</v>
          </cell>
          <cell r="GS234">
            <v>0</v>
          </cell>
          <cell r="GT234">
            <v>0</v>
          </cell>
          <cell r="GZ234">
            <v>0</v>
          </cell>
        </row>
        <row r="235">
          <cell r="A235" t="str">
            <v>I_LKC_NRF_EPA_UCS_INTR_C02</v>
          </cell>
          <cell r="B235">
            <v>217408885.1482909</v>
          </cell>
          <cell r="C235">
            <v>0</v>
          </cell>
          <cell r="D235">
            <v>217409457.6532442</v>
          </cell>
          <cell r="E235">
            <v>181821556.17164966</v>
          </cell>
          <cell r="F235">
            <v>100252327.78517622</v>
          </cell>
          <cell r="G235">
            <v>100252327.78517622</v>
          </cell>
          <cell r="H235">
            <v>0</v>
          </cell>
          <cell r="I235">
            <v>0</v>
          </cell>
          <cell r="J235">
            <v>57948847.724574737</v>
          </cell>
          <cell r="K235">
            <v>0</v>
          </cell>
          <cell r="L235">
            <v>0</v>
          </cell>
          <cell r="M235">
            <v>0</v>
          </cell>
          <cell r="N235">
            <v>0</v>
          </cell>
          <cell r="O235">
            <v>0</v>
          </cell>
          <cell r="P235">
            <v>0</v>
          </cell>
          <cell r="Q235">
            <v>15815179.002011847</v>
          </cell>
          <cell r="R235">
            <v>0</v>
          </cell>
          <cell r="S235">
            <v>100252327.78612332</v>
          </cell>
          <cell r="T235">
            <v>0</v>
          </cell>
          <cell r="U235">
            <v>0</v>
          </cell>
          <cell r="V235">
            <v>0</v>
          </cell>
          <cell r="W235">
            <v>0</v>
          </cell>
          <cell r="X235">
            <v>0</v>
          </cell>
          <cell r="Y235">
            <v>0</v>
          </cell>
          <cell r="Z235">
            <v>0</v>
          </cell>
          <cell r="AA235">
            <v>0</v>
          </cell>
          <cell r="AB235">
            <v>104183487.88622274</v>
          </cell>
          <cell r="AC235">
            <v>96131320.228755847</v>
          </cell>
          <cell r="AD235">
            <v>0</v>
          </cell>
          <cell r="AE235">
            <v>0</v>
          </cell>
          <cell r="AF235">
            <v>31109751.888263192</v>
          </cell>
          <cell r="AG235">
            <v>0</v>
          </cell>
          <cell r="AH235">
            <v>0</v>
          </cell>
          <cell r="AI235">
            <v>0</v>
          </cell>
          <cell r="AJ235">
            <v>0</v>
          </cell>
          <cell r="AK235">
            <v>0</v>
          </cell>
          <cell r="AL235">
            <v>0</v>
          </cell>
          <cell r="AM235">
            <v>11861384.251508886</v>
          </cell>
          <cell r="AN235">
            <v>0</v>
          </cell>
          <cell r="AO235">
            <v>93702890.682604745</v>
          </cell>
          <cell r="AP235">
            <v>0</v>
          </cell>
          <cell r="AQ235">
            <v>0</v>
          </cell>
          <cell r="AR235">
            <v>0</v>
          </cell>
          <cell r="AS235">
            <v>0</v>
          </cell>
          <cell r="AT235">
            <v>0</v>
          </cell>
          <cell r="AU235">
            <v>0</v>
          </cell>
          <cell r="AV235">
            <v>0</v>
          </cell>
          <cell r="AW235">
            <v>0</v>
          </cell>
          <cell r="AX235">
            <v>181821556.17164966</v>
          </cell>
          <cell r="AY235">
            <v>181821556.17164966</v>
          </cell>
          <cell r="AZ235">
            <v>0</v>
          </cell>
          <cell r="BA235">
            <v>0</v>
          </cell>
          <cell r="BB235">
            <v>181821556.17164966</v>
          </cell>
          <cell r="BC235">
            <v>0</v>
          </cell>
          <cell r="BD235">
            <v>0</v>
          </cell>
          <cell r="BE235">
            <v>0</v>
          </cell>
          <cell r="BF235">
            <v>0</v>
          </cell>
          <cell r="BG235">
            <v>0</v>
          </cell>
          <cell r="BH235">
            <v>0</v>
          </cell>
          <cell r="BI235">
            <v>181821556.17164966</v>
          </cell>
          <cell r="BJ235">
            <v>0</v>
          </cell>
          <cell r="BK235">
            <v>181821556.17164966</v>
          </cell>
          <cell r="BL235">
            <v>0</v>
          </cell>
          <cell r="BM235">
            <v>0</v>
          </cell>
          <cell r="BN235">
            <v>0</v>
          </cell>
          <cell r="BO235">
            <v>0</v>
          </cell>
          <cell r="BP235">
            <v>0</v>
          </cell>
          <cell r="BQ235">
            <v>0</v>
          </cell>
          <cell r="BR235">
            <v>0</v>
          </cell>
          <cell r="BS235">
            <v>181821556.17164966</v>
          </cell>
          <cell r="BT235">
            <v>184330272.44263986</v>
          </cell>
          <cell r="BU235">
            <v>179244049.963581</v>
          </cell>
          <cell r="BV235">
            <v>0</v>
          </cell>
          <cell r="BW235">
            <v>0</v>
          </cell>
          <cell r="BX235">
            <v>156300082.31489843</v>
          </cell>
          <cell r="BY235">
            <v>0</v>
          </cell>
          <cell r="BZ235">
            <v>0</v>
          </cell>
          <cell r="CA235">
            <v>0</v>
          </cell>
          <cell r="CB235">
            <v>0</v>
          </cell>
          <cell r="CC235">
            <v>0</v>
          </cell>
          <cell r="CD235">
            <v>0</v>
          </cell>
          <cell r="CE235">
            <v>179137601.74614447</v>
          </cell>
          <cell r="CF235">
            <v>0</v>
          </cell>
          <cell r="CG235">
            <v>176837791.89642978</v>
          </cell>
          <cell r="CH235">
            <v>0</v>
          </cell>
          <cell r="CI235">
            <v>0</v>
          </cell>
          <cell r="CJ235">
            <v>0</v>
          </cell>
          <cell r="CK235">
            <v>0</v>
          </cell>
          <cell r="CL235">
            <v>0</v>
          </cell>
          <cell r="CM235">
            <v>0</v>
          </cell>
          <cell r="CN235">
            <v>0</v>
          </cell>
          <cell r="CO235">
            <v>181701688.95923945</v>
          </cell>
          <cell r="CP235">
            <v>181821556.17164966</v>
          </cell>
          <cell r="CQ235">
            <v>181821556.17164966</v>
          </cell>
          <cell r="CR235">
            <v>181821556.17164966</v>
          </cell>
          <cell r="CS235">
            <v>181821556.17164966</v>
          </cell>
          <cell r="CT235">
            <v>181821556.17164966</v>
          </cell>
          <cell r="CU235">
            <v>0</v>
          </cell>
          <cell r="CV235">
            <v>181821556.17164966</v>
          </cell>
          <cell r="CW235">
            <v>181821556.17164966</v>
          </cell>
          <cell r="CX235">
            <v>0</v>
          </cell>
          <cell r="CY235">
            <v>181821556.17164966</v>
          </cell>
          <cell r="CZ235">
            <v>183115951.69282469</v>
          </cell>
          <cell r="DA235">
            <v>181821556.17164966</v>
          </cell>
          <cell r="DB235">
            <v>181858289.6929785</v>
          </cell>
          <cell r="DC235">
            <v>184926959.97302917</v>
          </cell>
          <cell r="DD235">
            <v>176353633.31033912</v>
          </cell>
          <cell r="DE235">
            <v>0</v>
          </cell>
          <cell r="DF235">
            <v>186301201.27901071</v>
          </cell>
          <cell r="DG235">
            <v>184587385.1597794</v>
          </cell>
          <cell r="DH235">
            <v>0</v>
          </cell>
          <cell r="DI235">
            <v>183460402.11934087</v>
          </cell>
          <cell r="DJ235">
            <v>0</v>
          </cell>
          <cell r="DK235">
            <v>0</v>
          </cell>
          <cell r="DL235">
            <v>0</v>
          </cell>
          <cell r="DM235">
            <v>0</v>
          </cell>
          <cell r="DN235">
            <v>0</v>
          </cell>
          <cell r="DO235">
            <v>0</v>
          </cell>
          <cell r="DP235">
            <v>0</v>
          </cell>
          <cell r="DQ235">
            <v>0</v>
          </cell>
          <cell r="DR235">
            <v>0</v>
          </cell>
          <cell r="DS235">
            <v>0</v>
          </cell>
          <cell r="DT235">
            <v>0</v>
          </cell>
          <cell r="DU235">
            <v>0</v>
          </cell>
          <cell r="DV235">
            <v>0</v>
          </cell>
          <cell r="DW235">
            <v>0</v>
          </cell>
          <cell r="EA235">
            <v>0</v>
          </cell>
          <cell r="EB235">
            <v>0</v>
          </cell>
          <cell r="EC235">
            <v>0</v>
          </cell>
          <cell r="ED235">
            <v>0</v>
          </cell>
          <cell r="EE235">
            <v>0</v>
          </cell>
          <cell r="EF235">
            <v>0</v>
          </cell>
          <cell r="EG235">
            <v>0</v>
          </cell>
          <cell r="EH235">
            <v>0</v>
          </cell>
          <cell r="EI235">
            <v>0</v>
          </cell>
          <cell r="EJ235">
            <v>0</v>
          </cell>
          <cell r="EK235">
            <v>0</v>
          </cell>
          <cell r="EL235">
            <v>0</v>
          </cell>
          <cell r="EM235">
            <v>0</v>
          </cell>
          <cell r="EN235">
            <v>0</v>
          </cell>
          <cell r="EO235">
            <v>0</v>
          </cell>
          <cell r="EP235">
            <v>0</v>
          </cell>
          <cell r="EQ235">
            <v>0</v>
          </cell>
          <cell r="ER235">
            <v>0</v>
          </cell>
          <cell r="ES235">
            <v>0</v>
          </cell>
          <cell r="ET235">
            <v>0</v>
          </cell>
          <cell r="EU235">
            <v>0</v>
          </cell>
          <cell r="EV235">
            <v>0</v>
          </cell>
          <cell r="EW235">
            <v>0</v>
          </cell>
          <cell r="EX235">
            <v>0</v>
          </cell>
          <cell r="EY235">
            <v>0</v>
          </cell>
          <cell r="EZ235">
            <v>0</v>
          </cell>
          <cell r="FA235">
            <v>0</v>
          </cell>
          <cell r="FB235">
            <v>0</v>
          </cell>
          <cell r="FC235">
            <v>0</v>
          </cell>
          <cell r="FE235">
            <v>181821556.17164966</v>
          </cell>
          <cell r="FF235">
            <v>184330272.44263986</v>
          </cell>
          <cell r="FG235">
            <v>179244049.963581</v>
          </cell>
          <cell r="FH235">
            <v>0</v>
          </cell>
          <cell r="FI235">
            <v>0</v>
          </cell>
          <cell r="FJ235">
            <v>156300082.31489843</v>
          </cell>
          <cell r="FK235">
            <v>0</v>
          </cell>
          <cell r="FL235">
            <v>0</v>
          </cell>
          <cell r="FM235">
            <v>0</v>
          </cell>
          <cell r="FN235">
            <v>0</v>
          </cell>
          <cell r="FO235">
            <v>0</v>
          </cell>
          <cell r="FP235">
            <v>0</v>
          </cell>
          <cell r="FQ235">
            <v>179137601.74614447</v>
          </cell>
          <cell r="FR235">
            <v>0</v>
          </cell>
          <cell r="FS235">
            <v>176837791.89642978</v>
          </cell>
          <cell r="FT235">
            <v>0</v>
          </cell>
          <cell r="FU235">
            <v>0</v>
          </cell>
          <cell r="FV235">
            <v>0</v>
          </cell>
          <cell r="FW235">
            <v>0</v>
          </cell>
          <cell r="FX235">
            <v>0</v>
          </cell>
          <cell r="FY235">
            <v>0</v>
          </cell>
          <cell r="FZ235">
            <v>0</v>
          </cell>
          <cell r="GA235">
            <v>181701688.95923945</v>
          </cell>
          <cell r="GB235">
            <v>183115951.69282469</v>
          </cell>
          <cell r="GC235">
            <v>181821556.17164966</v>
          </cell>
          <cell r="GD235">
            <v>181858289.6929785</v>
          </cell>
          <cell r="GE235">
            <v>184926959.97302917</v>
          </cell>
          <cell r="GF235">
            <v>176353633.31033912</v>
          </cell>
          <cell r="GG235">
            <v>0</v>
          </cell>
          <cell r="GH235">
            <v>186301201.27901071</v>
          </cell>
          <cell r="GI235">
            <v>184587385.1597794</v>
          </cell>
          <cell r="GJ235">
            <v>0</v>
          </cell>
          <cell r="GK235">
            <v>183460402.11934087</v>
          </cell>
          <cell r="GL235">
            <v>0</v>
          </cell>
          <cell r="GM235">
            <v>0</v>
          </cell>
          <cell r="GN235">
            <v>0</v>
          </cell>
          <cell r="GO235">
            <v>0</v>
          </cell>
          <cell r="GP235">
            <v>0</v>
          </cell>
          <cell r="GQ235">
            <v>0</v>
          </cell>
          <cell r="GR235">
            <v>0</v>
          </cell>
          <cell r="GS235">
            <v>0</v>
          </cell>
          <cell r="GT235">
            <v>0</v>
          </cell>
          <cell r="GZ235">
            <v>0</v>
          </cell>
        </row>
        <row r="236">
          <cell r="A236" t="str">
            <v>I_LKC_NRF_EPA_UCS_INTR_C03</v>
          </cell>
          <cell r="B236">
            <v>45481429.454516016</v>
          </cell>
          <cell r="C236">
            <v>0</v>
          </cell>
          <cell r="D236">
            <v>45480847.08516825</v>
          </cell>
          <cell r="E236">
            <v>42767365.179172926</v>
          </cell>
          <cell r="F236">
            <v>26239852.74057401</v>
          </cell>
          <cell r="G236">
            <v>26239852.74057401</v>
          </cell>
          <cell r="H236">
            <v>0</v>
          </cell>
          <cell r="I236">
            <v>0</v>
          </cell>
          <cell r="J236">
            <v>7344629.4998675697</v>
          </cell>
          <cell r="K236">
            <v>0</v>
          </cell>
          <cell r="L236">
            <v>0</v>
          </cell>
          <cell r="M236">
            <v>0</v>
          </cell>
          <cell r="N236">
            <v>0</v>
          </cell>
          <cell r="O236">
            <v>0</v>
          </cell>
          <cell r="P236">
            <v>0</v>
          </cell>
          <cell r="Q236">
            <v>4376233.2009170111</v>
          </cell>
          <cell r="R236">
            <v>0</v>
          </cell>
          <cell r="S236">
            <v>26239852.740731347</v>
          </cell>
          <cell r="T236">
            <v>0</v>
          </cell>
          <cell r="U236">
            <v>0</v>
          </cell>
          <cell r="V236">
            <v>0</v>
          </cell>
          <cell r="W236">
            <v>0</v>
          </cell>
          <cell r="X236">
            <v>0</v>
          </cell>
          <cell r="Y236">
            <v>0</v>
          </cell>
          <cell r="Z236">
            <v>0</v>
          </cell>
          <cell r="AA236">
            <v>0</v>
          </cell>
          <cell r="AB236">
            <v>27300950.606987149</v>
          </cell>
          <cell r="AC236">
            <v>25131717.188048594</v>
          </cell>
          <cell r="AD236">
            <v>0</v>
          </cell>
          <cell r="AE236">
            <v>0</v>
          </cell>
          <cell r="AF236">
            <v>3726060.4447977548</v>
          </cell>
          <cell r="AG236">
            <v>0</v>
          </cell>
          <cell r="AH236">
            <v>0</v>
          </cell>
          <cell r="AI236">
            <v>0</v>
          </cell>
          <cell r="AJ236">
            <v>0</v>
          </cell>
          <cell r="AK236">
            <v>0</v>
          </cell>
          <cell r="AL236">
            <v>0</v>
          </cell>
          <cell r="AM236">
            <v>3282174.9006877579</v>
          </cell>
          <cell r="AN236">
            <v>0</v>
          </cell>
          <cell r="AO236">
            <v>25032577.889056653</v>
          </cell>
          <cell r="AP236">
            <v>0</v>
          </cell>
          <cell r="AQ236">
            <v>0</v>
          </cell>
          <cell r="AR236">
            <v>0</v>
          </cell>
          <cell r="AS236">
            <v>0</v>
          </cell>
          <cell r="AT236">
            <v>0</v>
          </cell>
          <cell r="AU236">
            <v>0</v>
          </cell>
          <cell r="AV236">
            <v>0</v>
          </cell>
          <cell r="AW236">
            <v>0</v>
          </cell>
          <cell r="AX236">
            <v>42767365.179172926</v>
          </cell>
          <cell r="AY236">
            <v>42767365.179172926</v>
          </cell>
          <cell r="AZ236">
            <v>0</v>
          </cell>
          <cell r="BA236">
            <v>0</v>
          </cell>
          <cell r="BB236">
            <v>42767365.179172926</v>
          </cell>
          <cell r="BC236">
            <v>0</v>
          </cell>
          <cell r="BD236">
            <v>0</v>
          </cell>
          <cell r="BE236">
            <v>0</v>
          </cell>
          <cell r="BF236">
            <v>0</v>
          </cell>
          <cell r="BG236">
            <v>0</v>
          </cell>
          <cell r="BH236">
            <v>0</v>
          </cell>
          <cell r="BI236">
            <v>42767365.179172926</v>
          </cell>
          <cell r="BJ236">
            <v>0</v>
          </cell>
          <cell r="BK236">
            <v>42767365.179172926</v>
          </cell>
          <cell r="BL236">
            <v>0</v>
          </cell>
          <cell r="BM236">
            <v>0</v>
          </cell>
          <cell r="BN236">
            <v>0</v>
          </cell>
          <cell r="BO236">
            <v>0</v>
          </cell>
          <cell r="BP236">
            <v>0</v>
          </cell>
          <cell r="BQ236">
            <v>0</v>
          </cell>
          <cell r="BR236">
            <v>0</v>
          </cell>
          <cell r="BS236">
            <v>42767365.179172926</v>
          </cell>
          <cell r="BT236">
            <v>46731929.299665943</v>
          </cell>
          <cell r="BU236">
            <v>40627832.938803993</v>
          </cell>
          <cell r="BV236">
            <v>0</v>
          </cell>
          <cell r="BW236">
            <v>0</v>
          </cell>
          <cell r="BX236">
            <v>40575956.263732634</v>
          </cell>
          <cell r="BY236">
            <v>0</v>
          </cell>
          <cell r="BZ236">
            <v>0</v>
          </cell>
          <cell r="CA236">
            <v>0</v>
          </cell>
          <cell r="CB236">
            <v>0</v>
          </cell>
          <cell r="CC236">
            <v>0</v>
          </cell>
          <cell r="CD236">
            <v>0</v>
          </cell>
          <cell r="CE236">
            <v>42309795.930516995</v>
          </cell>
          <cell r="CF236">
            <v>0</v>
          </cell>
          <cell r="CG236">
            <v>42264681.761976816</v>
          </cell>
          <cell r="CH236">
            <v>0</v>
          </cell>
          <cell r="CI236">
            <v>0</v>
          </cell>
          <cell r="CJ236">
            <v>0</v>
          </cell>
          <cell r="CK236">
            <v>0</v>
          </cell>
          <cell r="CL236">
            <v>0</v>
          </cell>
          <cell r="CM236">
            <v>0</v>
          </cell>
          <cell r="CN236">
            <v>0</v>
          </cell>
          <cell r="CO236">
            <v>43025363.804702781</v>
          </cell>
          <cell r="CP236">
            <v>42767365.179172926</v>
          </cell>
          <cell r="CQ236">
            <v>42767365.179172926</v>
          </cell>
          <cell r="CR236">
            <v>42767365.179172926</v>
          </cell>
          <cell r="CS236">
            <v>42767365.179172926</v>
          </cell>
          <cell r="CT236">
            <v>42767365.179172926</v>
          </cell>
          <cell r="CU236">
            <v>0</v>
          </cell>
          <cell r="CV236">
            <v>42767365.179172926</v>
          </cell>
          <cell r="CW236">
            <v>42767365.179172926</v>
          </cell>
          <cell r="CX236">
            <v>0</v>
          </cell>
          <cell r="CY236">
            <v>42767365.179172926</v>
          </cell>
          <cell r="CZ236">
            <v>42757344.481491059</v>
          </cell>
          <cell r="DA236">
            <v>42828205.268158607</v>
          </cell>
          <cell r="DB236">
            <v>42767365.179172926</v>
          </cell>
          <cell r="DC236">
            <v>42232717.670643553</v>
          </cell>
          <cell r="DD236">
            <v>43970198.451913498</v>
          </cell>
          <cell r="DE236">
            <v>0</v>
          </cell>
          <cell r="DF236">
            <v>42546049.229727857</v>
          </cell>
          <cell r="DG236">
            <v>42953469.047636598</v>
          </cell>
          <cell r="DH236">
            <v>0</v>
          </cell>
          <cell r="DI236">
            <v>42815591.794084951</v>
          </cell>
          <cell r="DJ236">
            <v>0</v>
          </cell>
          <cell r="DK236">
            <v>0</v>
          </cell>
          <cell r="DL236">
            <v>0</v>
          </cell>
          <cell r="DM236">
            <v>0</v>
          </cell>
          <cell r="DN236">
            <v>0</v>
          </cell>
          <cell r="DO236">
            <v>0</v>
          </cell>
          <cell r="DP236">
            <v>0</v>
          </cell>
          <cell r="DQ236">
            <v>0</v>
          </cell>
          <cell r="DR236">
            <v>0</v>
          </cell>
          <cell r="DS236">
            <v>0</v>
          </cell>
          <cell r="DT236">
            <v>0</v>
          </cell>
          <cell r="DU236">
            <v>0</v>
          </cell>
          <cell r="DV236">
            <v>0</v>
          </cell>
          <cell r="DW236">
            <v>0</v>
          </cell>
          <cell r="EA236">
            <v>0</v>
          </cell>
          <cell r="EB236">
            <v>0</v>
          </cell>
          <cell r="EC236">
            <v>0</v>
          </cell>
          <cell r="ED236">
            <v>0</v>
          </cell>
          <cell r="EE236">
            <v>0</v>
          </cell>
          <cell r="EF236">
            <v>0</v>
          </cell>
          <cell r="EG236">
            <v>0</v>
          </cell>
          <cell r="EH236">
            <v>0</v>
          </cell>
          <cell r="EI236">
            <v>0</v>
          </cell>
          <cell r="EJ236">
            <v>0</v>
          </cell>
          <cell r="EK236">
            <v>0</v>
          </cell>
          <cell r="EL236">
            <v>0</v>
          </cell>
          <cell r="EM236">
            <v>0</v>
          </cell>
          <cell r="EN236">
            <v>0</v>
          </cell>
          <cell r="EO236">
            <v>0</v>
          </cell>
          <cell r="EP236">
            <v>0</v>
          </cell>
          <cell r="EQ236">
            <v>0</v>
          </cell>
          <cell r="ER236">
            <v>0</v>
          </cell>
          <cell r="ES236">
            <v>0</v>
          </cell>
          <cell r="ET236">
            <v>0</v>
          </cell>
          <cell r="EU236">
            <v>0</v>
          </cell>
          <cell r="EV236">
            <v>0</v>
          </cell>
          <cell r="EW236">
            <v>0</v>
          </cell>
          <cell r="EX236">
            <v>0</v>
          </cell>
          <cell r="EY236">
            <v>0</v>
          </cell>
          <cell r="EZ236">
            <v>0</v>
          </cell>
          <cell r="FA236">
            <v>0</v>
          </cell>
          <cell r="FB236">
            <v>0</v>
          </cell>
          <cell r="FC236">
            <v>0</v>
          </cell>
          <cell r="FE236">
            <v>42767365.179172926</v>
          </cell>
          <cell r="FF236">
            <v>46731929.299665943</v>
          </cell>
          <cell r="FG236">
            <v>40627832.938803993</v>
          </cell>
          <cell r="FH236">
            <v>0</v>
          </cell>
          <cell r="FI236">
            <v>0</v>
          </cell>
          <cell r="FJ236">
            <v>40575956.263732634</v>
          </cell>
          <cell r="FK236">
            <v>0</v>
          </cell>
          <cell r="FL236">
            <v>0</v>
          </cell>
          <cell r="FM236">
            <v>0</v>
          </cell>
          <cell r="FN236">
            <v>0</v>
          </cell>
          <cell r="FO236">
            <v>0</v>
          </cell>
          <cell r="FP236">
            <v>0</v>
          </cell>
          <cell r="FQ236">
            <v>42309795.930516995</v>
          </cell>
          <cell r="FR236">
            <v>0</v>
          </cell>
          <cell r="FS236">
            <v>42264681.761976816</v>
          </cell>
          <cell r="FT236">
            <v>0</v>
          </cell>
          <cell r="FU236">
            <v>0</v>
          </cell>
          <cell r="FV236">
            <v>0</v>
          </cell>
          <cell r="FW236">
            <v>0</v>
          </cell>
          <cell r="FX236">
            <v>0</v>
          </cell>
          <cell r="FY236">
            <v>0</v>
          </cell>
          <cell r="FZ236">
            <v>0</v>
          </cell>
          <cell r="GA236">
            <v>43025363.804702781</v>
          </cell>
          <cell r="GB236">
            <v>42757344.481491059</v>
          </cell>
          <cell r="GC236">
            <v>42828205.268158607</v>
          </cell>
          <cell r="GD236">
            <v>42767365.179172926</v>
          </cell>
          <cell r="GE236">
            <v>42232717.670643553</v>
          </cell>
          <cell r="GF236">
            <v>43970198.451913498</v>
          </cell>
          <cell r="GG236">
            <v>0</v>
          </cell>
          <cell r="GH236">
            <v>42546049.229727857</v>
          </cell>
          <cell r="GI236">
            <v>42953469.047636598</v>
          </cell>
          <cell r="GJ236">
            <v>0</v>
          </cell>
          <cell r="GK236">
            <v>42815591.794084951</v>
          </cell>
          <cell r="GL236">
            <v>0</v>
          </cell>
          <cell r="GM236">
            <v>0</v>
          </cell>
          <cell r="GN236">
            <v>0</v>
          </cell>
          <cell r="GO236">
            <v>0</v>
          </cell>
          <cell r="GP236">
            <v>0</v>
          </cell>
          <cell r="GQ236">
            <v>0</v>
          </cell>
          <cell r="GR236">
            <v>0</v>
          </cell>
          <cell r="GS236">
            <v>0</v>
          </cell>
          <cell r="GT236">
            <v>0</v>
          </cell>
          <cell r="GZ236">
            <v>2591250045.4438286</v>
          </cell>
        </row>
        <row r="237">
          <cell r="A237" t="str">
            <v>I_LKC_NRF_EPA_UCS_INTR_C04</v>
          </cell>
          <cell r="B237">
            <v>28032103.44244618</v>
          </cell>
          <cell r="C237">
            <v>0</v>
          </cell>
          <cell r="D237">
            <v>28032113.575977687</v>
          </cell>
          <cell r="E237">
            <v>22835768.74408967</v>
          </cell>
          <cell r="F237">
            <v>11058569.528375275</v>
          </cell>
          <cell r="G237">
            <v>11058569.528375275</v>
          </cell>
          <cell r="H237">
            <v>0</v>
          </cell>
          <cell r="I237">
            <v>0</v>
          </cell>
          <cell r="J237">
            <v>12642088.950804248</v>
          </cell>
          <cell r="K237">
            <v>0</v>
          </cell>
          <cell r="L237">
            <v>0</v>
          </cell>
          <cell r="M237">
            <v>0</v>
          </cell>
          <cell r="N237">
            <v>0</v>
          </cell>
          <cell r="O237">
            <v>0</v>
          </cell>
          <cell r="P237">
            <v>0</v>
          </cell>
          <cell r="Q237">
            <v>2624432.0805156245</v>
          </cell>
          <cell r="R237">
            <v>0</v>
          </cell>
          <cell r="S237">
            <v>11058569.528688293</v>
          </cell>
          <cell r="T237">
            <v>0</v>
          </cell>
          <cell r="U237">
            <v>0</v>
          </cell>
          <cell r="V237">
            <v>0</v>
          </cell>
          <cell r="W237">
            <v>0</v>
          </cell>
          <cell r="X237">
            <v>0</v>
          </cell>
          <cell r="Y237">
            <v>0</v>
          </cell>
          <cell r="Z237">
            <v>0</v>
          </cell>
          <cell r="AA237">
            <v>0</v>
          </cell>
          <cell r="AB237">
            <v>11529743.269642888</v>
          </cell>
          <cell r="AC237">
            <v>10568996.10059665</v>
          </cell>
          <cell r="AD237">
            <v>0</v>
          </cell>
          <cell r="AE237">
            <v>0</v>
          </cell>
          <cell r="AF237">
            <v>6790645.6352002937</v>
          </cell>
          <cell r="AG237">
            <v>0</v>
          </cell>
          <cell r="AH237">
            <v>0</v>
          </cell>
          <cell r="AI237">
            <v>0</v>
          </cell>
          <cell r="AJ237">
            <v>0</v>
          </cell>
          <cell r="AK237">
            <v>0</v>
          </cell>
          <cell r="AL237">
            <v>0</v>
          </cell>
          <cell r="AM237">
            <v>1968324.0603867185</v>
          </cell>
          <cell r="AN237">
            <v>0</v>
          </cell>
          <cell r="AO237">
            <v>10372782.594470013</v>
          </cell>
          <cell r="AP237">
            <v>0</v>
          </cell>
          <cell r="AQ237">
            <v>0</v>
          </cell>
          <cell r="AR237">
            <v>0</v>
          </cell>
          <cell r="AS237">
            <v>0</v>
          </cell>
          <cell r="AT237">
            <v>0</v>
          </cell>
          <cell r="AU237">
            <v>0</v>
          </cell>
          <cell r="AV237">
            <v>0</v>
          </cell>
          <cell r="AW237">
            <v>0</v>
          </cell>
          <cell r="AX237">
            <v>22835768.74408967</v>
          </cell>
          <cell r="AY237">
            <v>22835768.74408967</v>
          </cell>
          <cell r="AZ237">
            <v>0</v>
          </cell>
          <cell r="BA237">
            <v>0</v>
          </cell>
          <cell r="BB237">
            <v>22835768.74408967</v>
          </cell>
          <cell r="BC237">
            <v>0</v>
          </cell>
          <cell r="BD237">
            <v>0</v>
          </cell>
          <cell r="BE237">
            <v>0</v>
          </cell>
          <cell r="BF237">
            <v>0</v>
          </cell>
          <cell r="BG237">
            <v>0</v>
          </cell>
          <cell r="BH237">
            <v>0</v>
          </cell>
          <cell r="BI237">
            <v>22835768.74408967</v>
          </cell>
          <cell r="BJ237">
            <v>0</v>
          </cell>
          <cell r="BK237">
            <v>22835768.74408967</v>
          </cell>
          <cell r="BL237">
            <v>0</v>
          </cell>
          <cell r="BM237">
            <v>0</v>
          </cell>
          <cell r="BN237">
            <v>0</v>
          </cell>
          <cell r="BO237">
            <v>0</v>
          </cell>
          <cell r="BP237">
            <v>0</v>
          </cell>
          <cell r="BQ237">
            <v>0</v>
          </cell>
          <cell r="BR237">
            <v>0</v>
          </cell>
          <cell r="BS237">
            <v>22835768.74408967</v>
          </cell>
          <cell r="BT237">
            <v>23110684.762225315</v>
          </cell>
          <cell r="BU237">
            <v>22532338.856319007</v>
          </cell>
          <cell r="BV237">
            <v>0</v>
          </cell>
          <cell r="BW237">
            <v>0</v>
          </cell>
          <cell r="BX237">
            <v>17414941.374611791</v>
          </cell>
          <cell r="BY237">
            <v>0</v>
          </cell>
          <cell r="BZ237">
            <v>0</v>
          </cell>
          <cell r="CA237">
            <v>0</v>
          </cell>
          <cell r="CB237">
            <v>0</v>
          </cell>
          <cell r="CC237">
            <v>0</v>
          </cell>
          <cell r="CD237">
            <v>0</v>
          </cell>
          <cell r="CE237">
            <v>22377820.02469952</v>
          </cell>
          <cell r="CF237">
            <v>0</v>
          </cell>
          <cell r="CG237">
            <v>22259928.982810214</v>
          </cell>
          <cell r="CH237">
            <v>0</v>
          </cell>
          <cell r="CI237">
            <v>0</v>
          </cell>
          <cell r="CJ237">
            <v>0</v>
          </cell>
          <cell r="CK237">
            <v>0</v>
          </cell>
          <cell r="CL237">
            <v>0</v>
          </cell>
          <cell r="CM237">
            <v>0</v>
          </cell>
          <cell r="CN237">
            <v>0</v>
          </cell>
          <cell r="CO237">
            <v>22788363.769652843</v>
          </cell>
          <cell r="CP237">
            <v>22835768.74408967</v>
          </cell>
          <cell r="CQ237">
            <v>22835768.74408967</v>
          </cell>
          <cell r="CR237">
            <v>22835768.74408967</v>
          </cell>
          <cell r="CS237">
            <v>22835768.74408967</v>
          </cell>
          <cell r="CT237">
            <v>22835768.74408967</v>
          </cell>
          <cell r="CU237">
            <v>0</v>
          </cell>
          <cell r="CV237">
            <v>22835768.74408967</v>
          </cell>
          <cell r="CW237">
            <v>22835768.74408967</v>
          </cell>
          <cell r="CX237">
            <v>0</v>
          </cell>
          <cell r="CY237">
            <v>22835768.74408967</v>
          </cell>
          <cell r="CZ237">
            <v>23034104.607446004</v>
          </cell>
          <cell r="DA237">
            <v>22835768.74408967</v>
          </cell>
          <cell r="DB237">
            <v>22835768.74408967</v>
          </cell>
          <cell r="DC237">
            <v>23700155.345352937</v>
          </cell>
          <cell r="DD237">
            <v>20421688.377191085</v>
          </cell>
          <cell r="DE237">
            <v>0</v>
          </cell>
          <cell r="DF237">
            <v>23948145.251976799</v>
          </cell>
          <cell r="DG237">
            <v>23185137.645673648</v>
          </cell>
          <cell r="DH237">
            <v>0</v>
          </cell>
          <cell r="DI237">
            <v>23042360.747621298</v>
          </cell>
          <cell r="DJ237">
            <v>0</v>
          </cell>
          <cell r="DK237">
            <v>0</v>
          </cell>
          <cell r="DL237">
            <v>0</v>
          </cell>
          <cell r="DM237">
            <v>0</v>
          </cell>
          <cell r="DN237">
            <v>0</v>
          </cell>
          <cell r="DO237">
            <v>0</v>
          </cell>
          <cell r="DP237">
            <v>0</v>
          </cell>
          <cell r="DQ237">
            <v>0</v>
          </cell>
          <cell r="DR237">
            <v>0</v>
          </cell>
          <cell r="DS237">
            <v>0</v>
          </cell>
          <cell r="DT237">
            <v>0</v>
          </cell>
          <cell r="DU237">
            <v>0</v>
          </cell>
          <cell r="DV237">
            <v>0</v>
          </cell>
          <cell r="DW237">
            <v>0</v>
          </cell>
          <cell r="EA237">
            <v>0</v>
          </cell>
          <cell r="EB237">
            <v>0</v>
          </cell>
          <cell r="EC237">
            <v>0</v>
          </cell>
          <cell r="ED237">
            <v>0</v>
          </cell>
          <cell r="EE237">
            <v>0</v>
          </cell>
          <cell r="EF237">
            <v>0</v>
          </cell>
          <cell r="EG237">
            <v>0</v>
          </cell>
          <cell r="EH237">
            <v>0</v>
          </cell>
          <cell r="EI237">
            <v>0</v>
          </cell>
          <cell r="EJ237">
            <v>0</v>
          </cell>
          <cell r="EK237">
            <v>0</v>
          </cell>
          <cell r="EL237">
            <v>0</v>
          </cell>
          <cell r="EM237">
            <v>0</v>
          </cell>
          <cell r="EN237">
            <v>0</v>
          </cell>
          <cell r="EO237">
            <v>0</v>
          </cell>
          <cell r="EP237">
            <v>0</v>
          </cell>
          <cell r="EQ237">
            <v>0</v>
          </cell>
          <cell r="ER237">
            <v>0</v>
          </cell>
          <cell r="ES237">
            <v>0</v>
          </cell>
          <cell r="ET237">
            <v>0</v>
          </cell>
          <cell r="EU237">
            <v>0</v>
          </cell>
          <cell r="EV237">
            <v>0</v>
          </cell>
          <cell r="EW237">
            <v>0</v>
          </cell>
          <cell r="EX237">
            <v>0</v>
          </cell>
          <cell r="EY237">
            <v>0</v>
          </cell>
          <cell r="EZ237">
            <v>0</v>
          </cell>
          <cell r="FA237">
            <v>0</v>
          </cell>
          <cell r="FB237">
            <v>0</v>
          </cell>
          <cell r="FC237">
            <v>0</v>
          </cell>
          <cell r="FE237">
            <v>22835768.74408967</v>
          </cell>
          <cell r="FF237">
            <v>23110684.762225315</v>
          </cell>
          <cell r="FG237">
            <v>22532338.856319007</v>
          </cell>
          <cell r="FH237">
            <v>0</v>
          </cell>
          <cell r="FI237">
            <v>0</v>
          </cell>
          <cell r="FJ237">
            <v>17414941.374611791</v>
          </cell>
          <cell r="FK237">
            <v>0</v>
          </cell>
          <cell r="FL237">
            <v>0</v>
          </cell>
          <cell r="FM237">
            <v>0</v>
          </cell>
          <cell r="FN237">
            <v>0</v>
          </cell>
          <cell r="FO237">
            <v>0</v>
          </cell>
          <cell r="FP237">
            <v>0</v>
          </cell>
          <cell r="FQ237">
            <v>22377820.02469952</v>
          </cell>
          <cell r="FR237">
            <v>0</v>
          </cell>
          <cell r="FS237">
            <v>22259928.982810214</v>
          </cell>
          <cell r="FT237">
            <v>0</v>
          </cell>
          <cell r="FU237">
            <v>0</v>
          </cell>
          <cell r="FV237">
            <v>0</v>
          </cell>
          <cell r="FW237">
            <v>0</v>
          </cell>
          <cell r="FX237">
            <v>0</v>
          </cell>
          <cell r="FY237">
            <v>0</v>
          </cell>
          <cell r="FZ237">
            <v>0</v>
          </cell>
          <cell r="GA237">
            <v>22788363.769652843</v>
          </cell>
          <cell r="GB237">
            <v>23034104.607446004</v>
          </cell>
          <cell r="GC237">
            <v>22835768.74408967</v>
          </cell>
          <cell r="GD237">
            <v>22835768.74408967</v>
          </cell>
          <cell r="GE237">
            <v>23700155.345352937</v>
          </cell>
          <cell r="GF237">
            <v>20421688.377191085</v>
          </cell>
          <cell r="GG237">
            <v>0</v>
          </cell>
          <cell r="GH237">
            <v>23948145.251976799</v>
          </cell>
          <cell r="GI237">
            <v>23185137.645673648</v>
          </cell>
          <cell r="GJ237">
            <v>0</v>
          </cell>
          <cell r="GK237">
            <v>23042360.747621298</v>
          </cell>
          <cell r="GL237">
            <v>0</v>
          </cell>
          <cell r="GM237">
            <v>0</v>
          </cell>
          <cell r="GN237">
            <v>0</v>
          </cell>
          <cell r="GO237">
            <v>0</v>
          </cell>
          <cell r="GP237">
            <v>0</v>
          </cell>
          <cell r="GQ237">
            <v>0</v>
          </cell>
          <cell r="GR237">
            <v>0</v>
          </cell>
          <cell r="GS237">
            <v>0</v>
          </cell>
          <cell r="GT237">
            <v>0</v>
          </cell>
          <cell r="GZ237">
            <v>132375760.86607674</v>
          </cell>
        </row>
        <row r="238">
          <cell r="A238" t="str">
            <v>I_LKC_NRF_EPA_EUR_INTR_C05</v>
          </cell>
          <cell r="B238">
            <v>38689154.338683203</v>
          </cell>
          <cell r="C238">
            <v>0</v>
          </cell>
          <cell r="D238">
            <v>38687521.174091034</v>
          </cell>
          <cell r="E238">
            <v>40380868.300791413</v>
          </cell>
          <cell r="F238">
            <v>25682005.493898008</v>
          </cell>
          <cell r="G238">
            <v>25682005.493898008</v>
          </cell>
          <cell r="H238">
            <v>0</v>
          </cell>
          <cell r="I238">
            <v>0</v>
          </cell>
          <cell r="J238">
            <v>4446558.1323273573</v>
          </cell>
          <cell r="K238">
            <v>0</v>
          </cell>
          <cell r="L238">
            <v>0</v>
          </cell>
          <cell r="M238">
            <v>0</v>
          </cell>
          <cell r="N238">
            <v>0</v>
          </cell>
          <cell r="O238">
            <v>0</v>
          </cell>
          <cell r="P238">
            <v>0</v>
          </cell>
          <cell r="Q238">
            <v>1508647.5536037858</v>
          </cell>
          <cell r="R238">
            <v>0</v>
          </cell>
          <cell r="S238">
            <v>25682005.493898008</v>
          </cell>
          <cell r="T238">
            <v>0</v>
          </cell>
          <cell r="U238">
            <v>0</v>
          </cell>
          <cell r="V238">
            <v>0</v>
          </cell>
          <cell r="W238">
            <v>0</v>
          </cell>
          <cell r="X238">
            <v>0</v>
          </cell>
          <cell r="Y238">
            <v>0</v>
          </cell>
          <cell r="Z238">
            <v>0</v>
          </cell>
          <cell r="AA238">
            <v>0</v>
          </cell>
          <cell r="AB238">
            <v>26912729.2356847</v>
          </cell>
          <cell r="AC238">
            <v>24397335.750038158</v>
          </cell>
          <cell r="AD238">
            <v>0</v>
          </cell>
          <cell r="AE238">
            <v>0</v>
          </cell>
          <cell r="AF238">
            <v>2314090.283047392</v>
          </cell>
          <cell r="AG238">
            <v>0</v>
          </cell>
          <cell r="AH238">
            <v>0</v>
          </cell>
          <cell r="AI238">
            <v>0</v>
          </cell>
          <cell r="AJ238">
            <v>0</v>
          </cell>
          <cell r="AK238">
            <v>0</v>
          </cell>
          <cell r="AL238">
            <v>0</v>
          </cell>
          <cell r="AM238">
            <v>1131485.6652028395</v>
          </cell>
          <cell r="AN238">
            <v>0</v>
          </cell>
          <cell r="AO238">
            <v>24208630.156835757</v>
          </cell>
          <cell r="AP238">
            <v>0</v>
          </cell>
          <cell r="AQ238">
            <v>0</v>
          </cell>
          <cell r="AR238">
            <v>0</v>
          </cell>
          <cell r="AS238">
            <v>0</v>
          </cell>
          <cell r="AT238">
            <v>0</v>
          </cell>
          <cell r="AU238">
            <v>0</v>
          </cell>
          <cell r="AV238">
            <v>0</v>
          </cell>
          <cell r="AW238">
            <v>0</v>
          </cell>
          <cell r="AX238">
            <v>40380868.300791413</v>
          </cell>
          <cell r="AY238">
            <v>40380868.300791413</v>
          </cell>
          <cell r="AZ238">
            <v>0</v>
          </cell>
          <cell r="BA238">
            <v>0</v>
          </cell>
          <cell r="BB238">
            <v>40380868.300791413</v>
          </cell>
          <cell r="BC238">
            <v>0</v>
          </cell>
          <cell r="BD238">
            <v>0</v>
          </cell>
          <cell r="BE238">
            <v>0</v>
          </cell>
          <cell r="BF238">
            <v>0</v>
          </cell>
          <cell r="BG238">
            <v>0</v>
          </cell>
          <cell r="BH238">
            <v>0</v>
          </cell>
          <cell r="BI238">
            <v>40380868.300791413</v>
          </cell>
          <cell r="BJ238">
            <v>0</v>
          </cell>
          <cell r="BK238">
            <v>40380868.300791413</v>
          </cell>
          <cell r="BL238">
            <v>0</v>
          </cell>
          <cell r="BM238">
            <v>0</v>
          </cell>
          <cell r="BN238">
            <v>0</v>
          </cell>
          <cell r="BO238">
            <v>0</v>
          </cell>
          <cell r="BP238">
            <v>0</v>
          </cell>
          <cell r="BQ238">
            <v>0</v>
          </cell>
          <cell r="BR238">
            <v>0</v>
          </cell>
          <cell r="BS238">
            <v>40380868.300791413</v>
          </cell>
          <cell r="BT238">
            <v>42843792.430436157</v>
          </cell>
          <cell r="BU238">
            <v>38111802.273824587</v>
          </cell>
          <cell r="BV238">
            <v>0</v>
          </cell>
          <cell r="BW238">
            <v>0</v>
          </cell>
          <cell r="BX238">
            <v>40380868.300791413</v>
          </cell>
          <cell r="BY238">
            <v>0</v>
          </cell>
          <cell r="BZ238">
            <v>0</v>
          </cell>
          <cell r="CA238">
            <v>0</v>
          </cell>
          <cell r="CB238">
            <v>0</v>
          </cell>
          <cell r="CC238">
            <v>0</v>
          </cell>
          <cell r="CD238">
            <v>0</v>
          </cell>
          <cell r="CE238">
            <v>40380868.300791413</v>
          </cell>
          <cell r="CF238">
            <v>0</v>
          </cell>
          <cell r="CG238">
            <v>40380868.300791413</v>
          </cell>
          <cell r="CH238">
            <v>0</v>
          </cell>
          <cell r="CI238">
            <v>0</v>
          </cell>
          <cell r="CJ238">
            <v>0</v>
          </cell>
          <cell r="CK238">
            <v>0</v>
          </cell>
          <cell r="CL238">
            <v>0</v>
          </cell>
          <cell r="CM238">
            <v>0</v>
          </cell>
          <cell r="CN238">
            <v>0</v>
          </cell>
          <cell r="CO238">
            <v>40891921.607858971</v>
          </cell>
          <cell r="CP238">
            <v>40380868.300791413</v>
          </cell>
          <cell r="CQ238">
            <v>40380868.300791413</v>
          </cell>
          <cell r="CR238">
            <v>40380868.300791413</v>
          </cell>
          <cell r="CS238">
            <v>40380868.300791413</v>
          </cell>
          <cell r="CT238">
            <v>40380868.300791413</v>
          </cell>
          <cell r="CU238">
            <v>0</v>
          </cell>
          <cell r="CV238">
            <v>40380868.300791413</v>
          </cell>
          <cell r="CW238">
            <v>40380868.300791413</v>
          </cell>
          <cell r="CX238">
            <v>0</v>
          </cell>
          <cell r="CY238">
            <v>40380868.300791413</v>
          </cell>
          <cell r="CZ238">
            <v>40490223.123564146</v>
          </cell>
          <cell r="DA238">
            <v>40380868.300791413</v>
          </cell>
          <cell r="DB238">
            <v>40380868.300791413</v>
          </cell>
          <cell r="DC238">
            <v>39518100.078049473</v>
          </cell>
          <cell r="DD238">
            <v>41369695.51573237</v>
          </cell>
          <cell r="DE238">
            <v>0</v>
          </cell>
          <cell r="DF238">
            <v>36670016.365585692</v>
          </cell>
          <cell r="DG238">
            <v>40523496.884795681</v>
          </cell>
          <cell r="DH238">
            <v>0</v>
          </cell>
          <cell r="DI238">
            <v>40480747.753227934</v>
          </cell>
          <cell r="DJ238">
            <v>0</v>
          </cell>
          <cell r="DK238">
            <v>0</v>
          </cell>
          <cell r="DL238">
            <v>0</v>
          </cell>
          <cell r="DM238">
            <v>0</v>
          </cell>
          <cell r="DN238">
            <v>0</v>
          </cell>
          <cell r="DO238">
            <v>0</v>
          </cell>
          <cell r="DP238">
            <v>0</v>
          </cell>
          <cell r="DQ238">
            <v>0</v>
          </cell>
          <cell r="DR238">
            <v>0</v>
          </cell>
          <cell r="DS238">
            <v>0</v>
          </cell>
          <cell r="DT238">
            <v>0</v>
          </cell>
          <cell r="DU238">
            <v>0</v>
          </cell>
          <cell r="DV238">
            <v>0</v>
          </cell>
          <cell r="DW238">
            <v>0</v>
          </cell>
          <cell r="EA238">
            <v>0</v>
          </cell>
          <cell r="EB238">
            <v>0</v>
          </cell>
          <cell r="EC238">
            <v>0</v>
          </cell>
          <cell r="ED238">
            <v>0</v>
          </cell>
          <cell r="EE238">
            <v>0</v>
          </cell>
          <cell r="EF238">
            <v>0</v>
          </cell>
          <cell r="EG238">
            <v>0</v>
          </cell>
          <cell r="EH238">
            <v>0</v>
          </cell>
          <cell r="EI238">
            <v>0</v>
          </cell>
          <cell r="EJ238">
            <v>0</v>
          </cell>
          <cell r="EK238">
            <v>0</v>
          </cell>
          <cell r="EL238">
            <v>0</v>
          </cell>
          <cell r="EM238">
            <v>0</v>
          </cell>
          <cell r="EN238">
            <v>0</v>
          </cell>
          <cell r="EO238">
            <v>0</v>
          </cell>
          <cell r="EP238">
            <v>0</v>
          </cell>
          <cell r="EQ238">
            <v>0</v>
          </cell>
          <cell r="ER238">
            <v>0</v>
          </cell>
          <cell r="ES238">
            <v>0</v>
          </cell>
          <cell r="ET238">
            <v>0</v>
          </cell>
          <cell r="EU238">
            <v>0</v>
          </cell>
          <cell r="EV238">
            <v>0</v>
          </cell>
          <cell r="EW238">
            <v>0</v>
          </cell>
          <cell r="EX238">
            <v>0</v>
          </cell>
          <cell r="EY238">
            <v>0</v>
          </cell>
          <cell r="EZ238">
            <v>0</v>
          </cell>
          <cell r="FA238">
            <v>0</v>
          </cell>
          <cell r="FB238">
            <v>0</v>
          </cell>
          <cell r="FC238">
            <v>0</v>
          </cell>
          <cell r="FE238">
            <v>40380868.300791413</v>
          </cell>
          <cell r="FF238">
            <v>42843792.430436157</v>
          </cell>
          <cell r="FG238">
            <v>38111802.273824587</v>
          </cell>
          <cell r="FH238">
            <v>0</v>
          </cell>
          <cell r="FI238">
            <v>0</v>
          </cell>
          <cell r="FJ238">
            <v>40380868.300791413</v>
          </cell>
          <cell r="FK238">
            <v>0</v>
          </cell>
          <cell r="FL238">
            <v>0</v>
          </cell>
          <cell r="FM238">
            <v>0</v>
          </cell>
          <cell r="FN238">
            <v>0</v>
          </cell>
          <cell r="FO238">
            <v>0</v>
          </cell>
          <cell r="FP238">
            <v>0</v>
          </cell>
          <cell r="FQ238">
            <v>40380868.300791413</v>
          </cell>
          <cell r="FR238">
            <v>0</v>
          </cell>
          <cell r="FS238">
            <v>40380868.300791413</v>
          </cell>
          <cell r="FT238">
            <v>0</v>
          </cell>
          <cell r="FU238">
            <v>0</v>
          </cell>
          <cell r="FV238">
            <v>0</v>
          </cell>
          <cell r="FW238">
            <v>0</v>
          </cell>
          <cell r="FX238">
            <v>0</v>
          </cell>
          <cell r="FY238">
            <v>0</v>
          </cell>
          <cell r="FZ238">
            <v>0</v>
          </cell>
          <cell r="GA238">
            <v>40891921.607858971</v>
          </cell>
          <cell r="GB238">
            <v>40490223.123564146</v>
          </cell>
          <cell r="GC238">
            <v>40380868.300791413</v>
          </cell>
          <cell r="GD238">
            <v>40380868.300791413</v>
          </cell>
          <cell r="GE238">
            <v>39518100.078049473</v>
          </cell>
          <cell r="GF238">
            <v>41369695.51573237</v>
          </cell>
          <cell r="GG238">
            <v>0</v>
          </cell>
          <cell r="GH238">
            <v>36670016.365585692</v>
          </cell>
          <cell r="GI238">
            <v>40523496.884795681</v>
          </cell>
          <cell r="GJ238">
            <v>0</v>
          </cell>
          <cell r="GK238">
            <v>40480747.753227934</v>
          </cell>
          <cell r="GL238">
            <v>0</v>
          </cell>
          <cell r="GM238">
            <v>0</v>
          </cell>
          <cell r="GN238">
            <v>0</v>
          </cell>
          <cell r="GO238">
            <v>0</v>
          </cell>
          <cell r="GP238">
            <v>0</v>
          </cell>
          <cell r="GQ238">
            <v>0</v>
          </cell>
          <cell r="GR238">
            <v>0</v>
          </cell>
          <cell r="GS238">
            <v>0</v>
          </cell>
          <cell r="GT238">
            <v>0</v>
          </cell>
          <cell r="GZ238">
            <v>0</v>
          </cell>
        </row>
        <row r="239">
          <cell r="A239" t="str">
            <v>I_LKC_NRF_EPA_EUR_INTR_C06</v>
          </cell>
          <cell r="B239">
            <v>196285.6</v>
          </cell>
          <cell r="C239">
            <v>0</v>
          </cell>
          <cell r="D239">
            <v>196285.59999999998</v>
          </cell>
          <cell r="E239">
            <v>76599.335620933794</v>
          </cell>
          <cell r="F239">
            <v>89565.566428721984</v>
          </cell>
          <cell r="G239">
            <v>89565.566428721984</v>
          </cell>
          <cell r="H239">
            <v>0</v>
          </cell>
          <cell r="I239">
            <v>0</v>
          </cell>
          <cell r="J239">
            <v>19985.149289338879</v>
          </cell>
          <cell r="K239">
            <v>0</v>
          </cell>
          <cell r="L239">
            <v>0</v>
          </cell>
          <cell r="M239">
            <v>0</v>
          </cell>
          <cell r="N239">
            <v>0</v>
          </cell>
          <cell r="O239">
            <v>0</v>
          </cell>
          <cell r="P239">
            <v>0</v>
          </cell>
          <cell r="Q239">
            <v>0</v>
          </cell>
          <cell r="R239">
            <v>0</v>
          </cell>
          <cell r="S239">
            <v>89565.566428721984</v>
          </cell>
          <cell r="T239">
            <v>0</v>
          </cell>
          <cell r="U239">
            <v>0</v>
          </cell>
          <cell r="V239">
            <v>0</v>
          </cell>
          <cell r="W239">
            <v>0</v>
          </cell>
          <cell r="X239">
            <v>0</v>
          </cell>
          <cell r="Y239">
            <v>0</v>
          </cell>
          <cell r="Z239">
            <v>0</v>
          </cell>
          <cell r="AA239">
            <v>0</v>
          </cell>
          <cell r="AB239">
            <v>90551.116331803656</v>
          </cell>
          <cell r="AC239">
            <v>88586.983329146868</v>
          </cell>
          <cell r="AD239">
            <v>0</v>
          </cell>
          <cell r="AE239">
            <v>0</v>
          </cell>
          <cell r="AF239">
            <v>10369.063117997735</v>
          </cell>
          <cell r="AG239">
            <v>0</v>
          </cell>
          <cell r="AH239">
            <v>0</v>
          </cell>
          <cell r="AI239">
            <v>0</v>
          </cell>
          <cell r="AJ239">
            <v>0</v>
          </cell>
          <cell r="AK239">
            <v>0</v>
          </cell>
          <cell r="AL239">
            <v>0</v>
          </cell>
          <cell r="AM239">
            <v>0</v>
          </cell>
          <cell r="AN239">
            <v>0</v>
          </cell>
          <cell r="AO239">
            <v>85299.782540836619</v>
          </cell>
          <cell r="AP239">
            <v>0</v>
          </cell>
          <cell r="AQ239">
            <v>0</v>
          </cell>
          <cell r="AR239">
            <v>0</v>
          </cell>
          <cell r="AS239">
            <v>0</v>
          </cell>
          <cell r="AT239">
            <v>0</v>
          </cell>
          <cell r="AU239">
            <v>0</v>
          </cell>
          <cell r="AV239">
            <v>0</v>
          </cell>
          <cell r="AW239">
            <v>0</v>
          </cell>
          <cell r="AX239">
            <v>76599.335620933794</v>
          </cell>
          <cell r="AY239">
            <v>76599.335620933794</v>
          </cell>
          <cell r="AZ239">
            <v>0</v>
          </cell>
          <cell r="BA239">
            <v>0</v>
          </cell>
          <cell r="BB239">
            <v>76599.335620933794</v>
          </cell>
          <cell r="BC239">
            <v>0</v>
          </cell>
          <cell r="BD239">
            <v>0</v>
          </cell>
          <cell r="BE239">
            <v>0</v>
          </cell>
          <cell r="BF239">
            <v>0</v>
          </cell>
          <cell r="BG239">
            <v>0</v>
          </cell>
          <cell r="BH239">
            <v>0</v>
          </cell>
          <cell r="BI239">
            <v>76599.335620933794</v>
          </cell>
          <cell r="BJ239">
            <v>0</v>
          </cell>
          <cell r="BK239">
            <v>76599.335620933794</v>
          </cell>
          <cell r="BL239">
            <v>0</v>
          </cell>
          <cell r="BM239">
            <v>0</v>
          </cell>
          <cell r="BN239">
            <v>0</v>
          </cell>
          <cell r="BO239">
            <v>0</v>
          </cell>
          <cell r="BP239">
            <v>0</v>
          </cell>
          <cell r="BQ239">
            <v>0</v>
          </cell>
          <cell r="BR239">
            <v>0</v>
          </cell>
          <cell r="BS239">
            <v>76599.335620933794</v>
          </cell>
          <cell r="BT239">
            <v>86167.524067013102</v>
          </cell>
          <cell r="BU239">
            <v>68530.719287237822</v>
          </cell>
          <cell r="BV239">
            <v>0</v>
          </cell>
          <cell r="BW239">
            <v>0</v>
          </cell>
          <cell r="BX239">
            <v>76599.335620933794</v>
          </cell>
          <cell r="BY239">
            <v>0</v>
          </cell>
          <cell r="BZ239">
            <v>0</v>
          </cell>
          <cell r="CA239">
            <v>0</v>
          </cell>
          <cell r="CB239">
            <v>0</v>
          </cell>
          <cell r="CC239">
            <v>0</v>
          </cell>
          <cell r="CD239">
            <v>0</v>
          </cell>
          <cell r="CE239">
            <v>76599.335620933794</v>
          </cell>
          <cell r="CF239">
            <v>0</v>
          </cell>
          <cell r="CG239">
            <v>76599.335620933794</v>
          </cell>
          <cell r="CH239">
            <v>0</v>
          </cell>
          <cell r="CI239">
            <v>0</v>
          </cell>
          <cell r="CJ239">
            <v>0</v>
          </cell>
          <cell r="CK239">
            <v>0</v>
          </cell>
          <cell r="CL239">
            <v>0</v>
          </cell>
          <cell r="CM239">
            <v>0</v>
          </cell>
          <cell r="CN239">
            <v>0</v>
          </cell>
          <cell r="CO239">
            <v>78417.006186882834</v>
          </cell>
          <cell r="CP239">
            <v>76599.335620933794</v>
          </cell>
          <cell r="CQ239">
            <v>76599.335620933794</v>
          </cell>
          <cell r="CR239">
            <v>76599.335620933794</v>
          </cell>
          <cell r="CS239">
            <v>76599.335620933794</v>
          </cell>
          <cell r="CT239">
            <v>76599.335620933794</v>
          </cell>
          <cell r="CU239">
            <v>0</v>
          </cell>
          <cell r="CV239">
            <v>76599.335620933794</v>
          </cell>
          <cell r="CW239">
            <v>76599.335620933794</v>
          </cell>
          <cell r="CX239">
            <v>0</v>
          </cell>
          <cell r="CY239">
            <v>76599.335620933794</v>
          </cell>
          <cell r="CZ239">
            <v>82138.437881018603</v>
          </cell>
          <cell r="DA239">
            <v>76599.335620933794</v>
          </cell>
          <cell r="DB239">
            <v>76599.335620933794</v>
          </cell>
          <cell r="DC239">
            <v>66276.792937002538</v>
          </cell>
          <cell r="DD239">
            <v>92920.991255675879</v>
          </cell>
          <cell r="DE239">
            <v>0</v>
          </cell>
          <cell r="DF239">
            <v>55179.565200973106</v>
          </cell>
          <cell r="DG239">
            <v>78193.989782512057</v>
          </cell>
          <cell r="DH239">
            <v>0</v>
          </cell>
          <cell r="DI239">
            <v>79648.394177080554</v>
          </cell>
          <cell r="DJ239">
            <v>0</v>
          </cell>
          <cell r="DK239">
            <v>0</v>
          </cell>
          <cell r="DL239">
            <v>0</v>
          </cell>
          <cell r="DM239">
            <v>0</v>
          </cell>
          <cell r="DN239">
            <v>0</v>
          </cell>
          <cell r="DO239">
            <v>0</v>
          </cell>
          <cell r="DP239">
            <v>0</v>
          </cell>
          <cell r="DQ239">
            <v>0</v>
          </cell>
          <cell r="DR239">
            <v>0</v>
          </cell>
          <cell r="DS239">
            <v>0</v>
          </cell>
          <cell r="DT239">
            <v>0</v>
          </cell>
          <cell r="DU239">
            <v>0</v>
          </cell>
          <cell r="DV239">
            <v>0</v>
          </cell>
          <cell r="DW239">
            <v>0</v>
          </cell>
          <cell r="EA239">
            <v>0</v>
          </cell>
          <cell r="EB239">
            <v>0</v>
          </cell>
          <cell r="EC239">
            <v>0</v>
          </cell>
          <cell r="ED239">
            <v>0</v>
          </cell>
          <cell r="EE239">
            <v>0</v>
          </cell>
          <cell r="EF239">
            <v>0</v>
          </cell>
          <cell r="EG239">
            <v>0</v>
          </cell>
          <cell r="EH239">
            <v>0</v>
          </cell>
          <cell r="EI239">
            <v>0</v>
          </cell>
          <cell r="EJ239">
            <v>0</v>
          </cell>
          <cell r="EK239">
            <v>0</v>
          </cell>
          <cell r="EL239">
            <v>0</v>
          </cell>
          <cell r="EM239">
            <v>0</v>
          </cell>
          <cell r="EN239">
            <v>0</v>
          </cell>
          <cell r="EO239">
            <v>0</v>
          </cell>
          <cell r="EP239">
            <v>0</v>
          </cell>
          <cell r="EQ239">
            <v>0</v>
          </cell>
          <cell r="ER239">
            <v>0</v>
          </cell>
          <cell r="ES239">
            <v>0</v>
          </cell>
          <cell r="ET239">
            <v>0</v>
          </cell>
          <cell r="EU239">
            <v>0</v>
          </cell>
          <cell r="EV239">
            <v>0</v>
          </cell>
          <cell r="EW239">
            <v>0</v>
          </cell>
          <cell r="EX239">
            <v>0</v>
          </cell>
          <cell r="EY239">
            <v>0</v>
          </cell>
          <cell r="EZ239">
            <v>0</v>
          </cell>
          <cell r="FA239">
            <v>0</v>
          </cell>
          <cell r="FB239">
            <v>0</v>
          </cell>
          <cell r="FC239">
            <v>0</v>
          </cell>
          <cell r="FE239">
            <v>76599.335620933794</v>
          </cell>
          <cell r="FF239">
            <v>86167.524067013102</v>
          </cell>
          <cell r="FG239">
            <v>68530.719287237822</v>
          </cell>
          <cell r="FH239">
            <v>0</v>
          </cell>
          <cell r="FI239">
            <v>0</v>
          </cell>
          <cell r="FJ239">
            <v>76599.335620933794</v>
          </cell>
          <cell r="FK239">
            <v>0</v>
          </cell>
          <cell r="FL239">
            <v>0</v>
          </cell>
          <cell r="FM239">
            <v>0</v>
          </cell>
          <cell r="FN239">
            <v>0</v>
          </cell>
          <cell r="FO239">
            <v>0</v>
          </cell>
          <cell r="FP239">
            <v>0</v>
          </cell>
          <cell r="FQ239">
            <v>76599.335620933794</v>
          </cell>
          <cell r="FR239">
            <v>0</v>
          </cell>
          <cell r="FS239">
            <v>76599.335620933794</v>
          </cell>
          <cell r="FT239">
            <v>0</v>
          </cell>
          <cell r="FU239">
            <v>0</v>
          </cell>
          <cell r="FV239">
            <v>0</v>
          </cell>
          <cell r="FW239">
            <v>0</v>
          </cell>
          <cell r="FX239">
            <v>0</v>
          </cell>
          <cell r="FY239">
            <v>0</v>
          </cell>
          <cell r="FZ239">
            <v>0</v>
          </cell>
          <cell r="GA239">
            <v>78417.006186882834</v>
          </cell>
          <cell r="GB239">
            <v>82138.437881018603</v>
          </cell>
          <cell r="GC239">
            <v>76599.335620933794</v>
          </cell>
          <cell r="GD239">
            <v>76599.335620933794</v>
          </cell>
          <cell r="GE239">
            <v>66276.792937002538</v>
          </cell>
          <cell r="GF239">
            <v>92920.991255675879</v>
          </cell>
          <cell r="GG239">
            <v>0</v>
          </cell>
          <cell r="GH239">
            <v>55179.565200973106</v>
          </cell>
          <cell r="GI239">
            <v>78193.989782512057</v>
          </cell>
          <cell r="GJ239">
            <v>0</v>
          </cell>
          <cell r="GK239">
            <v>79648.394177080554</v>
          </cell>
          <cell r="GL239">
            <v>0</v>
          </cell>
          <cell r="GM239">
            <v>0</v>
          </cell>
          <cell r="GN239">
            <v>0</v>
          </cell>
          <cell r="GO239">
            <v>0</v>
          </cell>
          <cell r="GP239">
            <v>0</v>
          </cell>
          <cell r="GQ239">
            <v>0</v>
          </cell>
          <cell r="GR239">
            <v>0</v>
          </cell>
          <cell r="GS239">
            <v>0</v>
          </cell>
          <cell r="GT239">
            <v>0</v>
          </cell>
          <cell r="GZ239">
            <v>0</v>
          </cell>
        </row>
        <row r="240">
          <cell r="A240" t="str">
            <v>I_LKC_NRF_RIS_IND_INTR_C07</v>
          </cell>
          <cell r="B240">
            <v>6351475.8569428939</v>
          </cell>
          <cell r="C240">
            <v>0</v>
          </cell>
          <cell r="D240">
            <v>6351475.8581610164</v>
          </cell>
          <cell r="E240">
            <v>-28914866.014754105</v>
          </cell>
          <cell r="F240">
            <v>2862385.7605130263</v>
          </cell>
          <cell r="G240">
            <v>2862385.7605130263</v>
          </cell>
          <cell r="H240">
            <v>0</v>
          </cell>
          <cell r="I240">
            <v>0</v>
          </cell>
          <cell r="J240">
            <v>535883.52645814337</v>
          </cell>
          <cell r="K240">
            <v>0</v>
          </cell>
          <cell r="L240">
            <v>0</v>
          </cell>
          <cell r="M240">
            <v>0</v>
          </cell>
          <cell r="N240">
            <v>0</v>
          </cell>
          <cell r="O240">
            <v>0</v>
          </cell>
          <cell r="P240">
            <v>0</v>
          </cell>
          <cell r="Q240">
            <v>836864.60192104592</v>
          </cell>
          <cell r="R240">
            <v>0</v>
          </cell>
          <cell r="S240">
            <v>2862385.7605130263</v>
          </cell>
          <cell r="T240">
            <v>0</v>
          </cell>
          <cell r="U240">
            <v>0</v>
          </cell>
          <cell r="V240">
            <v>0</v>
          </cell>
          <cell r="W240">
            <v>0</v>
          </cell>
          <cell r="X240">
            <v>0</v>
          </cell>
          <cell r="Y240">
            <v>0</v>
          </cell>
          <cell r="Z240">
            <v>0</v>
          </cell>
          <cell r="AA240">
            <v>0</v>
          </cell>
          <cell r="AB240">
            <v>2930196.3192562284</v>
          </cell>
          <cell r="AC240">
            <v>2792888.2184750154</v>
          </cell>
          <cell r="AD240">
            <v>0</v>
          </cell>
          <cell r="AE240">
            <v>0</v>
          </cell>
          <cell r="AF240">
            <v>272742.09526101121</v>
          </cell>
          <cell r="AG240">
            <v>0</v>
          </cell>
          <cell r="AH240">
            <v>0</v>
          </cell>
          <cell r="AI240">
            <v>0</v>
          </cell>
          <cell r="AJ240">
            <v>0</v>
          </cell>
          <cell r="AK240">
            <v>0</v>
          </cell>
          <cell r="AL240">
            <v>0</v>
          </cell>
          <cell r="AM240">
            <v>627648.4514407845</v>
          </cell>
          <cell r="AN240">
            <v>0</v>
          </cell>
          <cell r="AO240">
            <v>2727613.2206906145</v>
          </cell>
          <cell r="AP240">
            <v>0</v>
          </cell>
          <cell r="AQ240">
            <v>0</v>
          </cell>
          <cell r="AR240">
            <v>0</v>
          </cell>
          <cell r="AS240">
            <v>0</v>
          </cell>
          <cell r="AT240">
            <v>0</v>
          </cell>
          <cell r="AU240">
            <v>0</v>
          </cell>
          <cell r="AV240">
            <v>0</v>
          </cell>
          <cell r="AW240">
            <v>0</v>
          </cell>
          <cell r="AX240">
            <v>-28914866.014754105</v>
          </cell>
          <cell r="AY240">
            <v>-28914866.014754105</v>
          </cell>
          <cell r="AZ240">
            <v>0</v>
          </cell>
          <cell r="BA240">
            <v>0</v>
          </cell>
          <cell r="BB240">
            <v>-28914866.014754105</v>
          </cell>
          <cell r="BC240">
            <v>0</v>
          </cell>
          <cell r="BD240">
            <v>0</v>
          </cell>
          <cell r="BE240">
            <v>0</v>
          </cell>
          <cell r="BF240">
            <v>0</v>
          </cell>
          <cell r="BG240">
            <v>0</v>
          </cell>
          <cell r="BH240">
            <v>0</v>
          </cell>
          <cell r="BI240">
            <v>-28914866.014754105</v>
          </cell>
          <cell r="BJ240">
            <v>0</v>
          </cell>
          <cell r="BK240">
            <v>-28914866.014754105</v>
          </cell>
          <cell r="BL240">
            <v>0</v>
          </cell>
          <cell r="BM240">
            <v>0</v>
          </cell>
          <cell r="BN240">
            <v>0</v>
          </cell>
          <cell r="BO240">
            <v>0</v>
          </cell>
          <cell r="BP240">
            <v>0</v>
          </cell>
          <cell r="BQ240">
            <v>0</v>
          </cell>
          <cell r="BR240">
            <v>0</v>
          </cell>
          <cell r="BS240">
            <v>-28914866.014754105</v>
          </cell>
          <cell r="BT240">
            <v>-30474741.613993548</v>
          </cell>
          <cell r="BU240">
            <v>-27425561.167230107</v>
          </cell>
          <cell r="BV240">
            <v>0</v>
          </cell>
          <cell r="BW240">
            <v>0</v>
          </cell>
          <cell r="BX240">
            <v>-28914866.014754105</v>
          </cell>
          <cell r="BY240">
            <v>0</v>
          </cell>
          <cell r="BZ240">
            <v>0</v>
          </cell>
          <cell r="CA240">
            <v>0</v>
          </cell>
          <cell r="CB240">
            <v>0</v>
          </cell>
          <cell r="CC240">
            <v>0</v>
          </cell>
          <cell r="CD240">
            <v>0</v>
          </cell>
          <cell r="CE240">
            <v>-28914866.014754105</v>
          </cell>
          <cell r="CF240">
            <v>0</v>
          </cell>
          <cell r="CG240">
            <v>-28914866.014754105</v>
          </cell>
          <cell r="CH240">
            <v>0</v>
          </cell>
          <cell r="CI240">
            <v>0</v>
          </cell>
          <cell r="CJ240">
            <v>0</v>
          </cell>
          <cell r="CK240">
            <v>0</v>
          </cell>
          <cell r="CL240">
            <v>0</v>
          </cell>
          <cell r="CM240">
            <v>0</v>
          </cell>
          <cell r="CN240">
            <v>0</v>
          </cell>
          <cell r="CO240">
            <v>-29151633.640167855</v>
          </cell>
          <cell r="CP240">
            <v>-28914866.014754105</v>
          </cell>
          <cell r="CQ240">
            <v>-28914866.014754105</v>
          </cell>
          <cell r="CR240">
            <v>-28914866.014754105</v>
          </cell>
          <cell r="CS240">
            <v>-28914866.014754105</v>
          </cell>
          <cell r="CT240">
            <v>-28914866.014754105</v>
          </cell>
          <cell r="CU240">
            <v>0</v>
          </cell>
          <cell r="CV240">
            <v>-28914866.014754105</v>
          </cell>
          <cell r="CW240">
            <v>-28914866.014754105</v>
          </cell>
          <cell r="CX240">
            <v>0</v>
          </cell>
          <cell r="CY240">
            <v>-28914866.014754105</v>
          </cell>
          <cell r="CZ240">
            <v>-27667156.262273196</v>
          </cell>
          <cell r="DA240">
            <v>-28914866.014754105</v>
          </cell>
          <cell r="DB240">
            <v>-28435751.460136447</v>
          </cell>
          <cell r="DC240">
            <v>-21923889.333705951</v>
          </cell>
          <cell r="DD240">
            <v>-39673052.834170416</v>
          </cell>
          <cell r="DE240">
            <v>0</v>
          </cell>
          <cell r="DF240">
            <v>-17573312.372574292</v>
          </cell>
          <cell r="DG240">
            <v>-28361052.746341947</v>
          </cell>
          <cell r="DH240">
            <v>0</v>
          </cell>
          <cell r="DI240">
            <v>-28248664.688267257</v>
          </cell>
          <cell r="DJ240">
            <v>0</v>
          </cell>
          <cell r="DK240">
            <v>0</v>
          </cell>
          <cell r="DL240">
            <v>0</v>
          </cell>
          <cell r="DM240">
            <v>0</v>
          </cell>
          <cell r="DN240">
            <v>0</v>
          </cell>
          <cell r="DO240">
            <v>0</v>
          </cell>
          <cell r="DP240">
            <v>0</v>
          </cell>
          <cell r="DQ240">
            <v>0</v>
          </cell>
          <cell r="DR240">
            <v>0</v>
          </cell>
          <cell r="DS240">
            <v>0</v>
          </cell>
          <cell r="DT240">
            <v>0</v>
          </cell>
          <cell r="DU240">
            <v>0</v>
          </cell>
          <cell r="DV240">
            <v>0</v>
          </cell>
          <cell r="DW240">
            <v>0</v>
          </cell>
          <cell r="EA240">
            <v>0</v>
          </cell>
          <cell r="EB240">
            <v>0</v>
          </cell>
          <cell r="EC240">
            <v>0</v>
          </cell>
          <cell r="ED240">
            <v>0</v>
          </cell>
          <cell r="EE240">
            <v>0</v>
          </cell>
          <cell r="EF240">
            <v>0</v>
          </cell>
          <cell r="EG240">
            <v>0</v>
          </cell>
          <cell r="EH240">
            <v>0</v>
          </cell>
          <cell r="EI240">
            <v>0</v>
          </cell>
          <cell r="EJ240">
            <v>0</v>
          </cell>
          <cell r="EK240">
            <v>0</v>
          </cell>
          <cell r="EL240">
            <v>0</v>
          </cell>
          <cell r="EM240">
            <v>0</v>
          </cell>
          <cell r="EN240">
            <v>0</v>
          </cell>
          <cell r="EO240">
            <v>0</v>
          </cell>
          <cell r="EP240">
            <v>0</v>
          </cell>
          <cell r="EQ240">
            <v>0</v>
          </cell>
          <cell r="ER240">
            <v>0</v>
          </cell>
          <cell r="ES240">
            <v>0</v>
          </cell>
          <cell r="ET240">
            <v>0</v>
          </cell>
          <cell r="EU240">
            <v>0</v>
          </cell>
          <cell r="EV240">
            <v>0</v>
          </cell>
          <cell r="EW240">
            <v>0</v>
          </cell>
          <cell r="EX240">
            <v>0</v>
          </cell>
          <cell r="EY240">
            <v>0</v>
          </cell>
          <cell r="EZ240">
            <v>0</v>
          </cell>
          <cell r="FA240">
            <v>0</v>
          </cell>
          <cell r="FB240">
            <v>0</v>
          </cell>
          <cell r="FC240">
            <v>0</v>
          </cell>
          <cell r="FE240">
            <v>-28914866.014754105</v>
          </cell>
          <cell r="FF240">
            <v>-30474741.613993548</v>
          </cell>
          <cell r="FG240">
            <v>-27425561.167230107</v>
          </cell>
          <cell r="FH240">
            <v>0</v>
          </cell>
          <cell r="FI240">
            <v>0</v>
          </cell>
          <cell r="FJ240">
            <v>-28914866.014754105</v>
          </cell>
          <cell r="FK240">
            <v>0</v>
          </cell>
          <cell r="FL240">
            <v>0</v>
          </cell>
          <cell r="FM240">
            <v>0</v>
          </cell>
          <cell r="FN240">
            <v>0</v>
          </cell>
          <cell r="FO240">
            <v>0</v>
          </cell>
          <cell r="FP240">
            <v>0</v>
          </cell>
          <cell r="FQ240">
            <v>-28914866.014754105</v>
          </cell>
          <cell r="FR240">
            <v>0</v>
          </cell>
          <cell r="FS240">
            <v>-28914866.014754105</v>
          </cell>
          <cell r="FT240">
            <v>0</v>
          </cell>
          <cell r="FU240">
            <v>0</v>
          </cell>
          <cell r="FV240">
            <v>0</v>
          </cell>
          <cell r="FW240">
            <v>0</v>
          </cell>
          <cell r="FX240">
            <v>0</v>
          </cell>
          <cell r="FY240">
            <v>0</v>
          </cell>
          <cell r="FZ240">
            <v>0</v>
          </cell>
          <cell r="GA240">
            <v>-29151633.640167855</v>
          </cell>
          <cell r="GB240">
            <v>-27667156.262273196</v>
          </cell>
          <cell r="GC240">
            <v>-28914866.014754105</v>
          </cell>
          <cell r="GD240">
            <v>-28435751.460136447</v>
          </cell>
          <cell r="GE240">
            <v>-21923889.333705951</v>
          </cell>
          <cell r="GF240">
            <v>-39673052.834170416</v>
          </cell>
          <cell r="GG240">
            <v>0</v>
          </cell>
          <cell r="GH240">
            <v>-17573312.372574292</v>
          </cell>
          <cell r="GI240">
            <v>-28361052.746341947</v>
          </cell>
          <cell r="GJ240">
            <v>0</v>
          </cell>
          <cell r="GK240">
            <v>-28248664.688267257</v>
          </cell>
          <cell r="GL240">
            <v>0</v>
          </cell>
          <cell r="GM240">
            <v>0</v>
          </cell>
          <cell r="GN240">
            <v>0</v>
          </cell>
          <cell r="GO240">
            <v>0</v>
          </cell>
          <cell r="GP240">
            <v>0</v>
          </cell>
          <cell r="GQ240">
            <v>0</v>
          </cell>
          <cell r="GR240">
            <v>0</v>
          </cell>
          <cell r="GS240">
            <v>0</v>
          </cell>
          <cell r="GT240">
            <v>0</v>
          </cell>
          <cell r="GZ240">
            <v>0</v>
          </cell>
        </row>
        <row r="241">
          <cell r="A241" t="str">
            <v>I_LKC_NRF_RIS_COL_INTR_C08</v>
          </cell>
          <cell r="B241">
            <v>848222.88314806856</v>
          </cell>
          <cell r="C241">
            <v>0</v>
          </cell>
          <cell r="D241">
            <v>848222.88314806821</v>
          </cell>
          <cell r="E241">
            <v>-1316476.7845382332</v>
          </cell>
          <cell r="F241">
            <v>387253.66311974439</v>
          </cell>
          <cell r="G241">
            <v>387253.66311974439</v>
          </cell>
          <cell r="H241">
            <v>0</v>
          </cell>
          <cell r="I241">
            <v>0</v>
          </cell>
          <cell r="J241">
            <v>70671.687482644193</v>
          </cell>
          <cell r="K241">
            <v>0</v>
          </cell>
          <cell r="L241">
            <v>0</v>
          </cell>
          <cell r="M241">
            <v>0</v>
          </cell>
          <cell r="N241">
            <v>0</v>
          </cell>
          <cell r="O241">
            <v>0</v>
          </cell>
          <cell r="P241">
            <v>0</v>
          </cell>
          <cell r="Q241">
            <v>97344.942519667355</v>
          </cell>
          <cell r="R241">
            <v>0</v>
          </cell>
          <cell r="S241">
            <v>387253.66311974439</v>
          </cell>
          <cell r="T241">
            <v>0</v>
          </cell>
          <cell r="U241">
            <v>0</v>
          </cell>
          <cell r="V241">
            <v>0</v>
          </cell>
          <cell r="W241">
            <v>0</v>
          </cell>
          <cell r="X241">
            <v>0</v>
          </cell>
          <cell r="Y241">
            <v>0</v>
          </cell>
          <cell r="Z241">
            <v>0</v>
          </cell>
          <cell r="AA241">
            <v>0</v>
          </cell>
          <cell r="AB241">
            <v>395202.4503486944</v>
          </cell>
          <cell r="AC241">
            <v>379188.58316128759</v>
          </cell>
          <cell r="AD241">
            <v>0</v>
          </cell>
          <cell r="AE241">
            <v>0</v>
          </cell>
          <cell r="AF241">
            <v>35905.767933204537</v>
          </cell>
          <cell r="AG241">
            <v>0</v>
          </cell>
          <cell r="AH241">
            <v>0</v>
          </cell>
          <cell r="AI241">
            <v>0</v>
          </cell>
          <cell r="AJ241">
            <v>0</v>
          </cell>
          <cell r="AK241">
            <v>0</v>
          </cell>
          <cell r="AL241">
            <v>0</v>
          </cell>
          <cell r="AM241">
            <v>73008.706889750509</v>
          </cell>
          <cell r="AN241">
            <v>0</v>
          </cell>
          <cell r="AO241">
            <v>369989.21644074377</v>
          </cell>
          <cell r="AP241">
            <v>0</v>
          </cell>
          <cell r="AQ241">
            <v>0</v>
          </cell>
          <cell r="AR241">
            <v>0</v>
          </cell>
          <cell r="AS241">
            <v>0</v>
          </cell>
          <cell r="AT241">
            <v>0</v>
          </cell>
          <cell r="AU241">
            <v>0</v>
          </cell>
          <cell r="AV241">
            <v>0</v>
          </cell>
          <cell r="AW241">
            <v>0</v>
          </cell>
          <cell r="AX241">
            <v>-1316476.7845382332</v>
          </cell>
          <cell r="AY241">
            <v>-1316476.7845382332</v>
          </cell>
          <cell r="AZ241">
            <v>0</v>
          </cell>
          <cell r="BA241">
            <v>0</v>
          </cell>
          <cell r="BB241">
            <v>-1316476.7845382332</v>
          </cell>
          <cell r="BC241">
            <v>0</v>
          </cell>
          <cell r="BD241">
            <v>0</v>
          </cell>
          <cell r="BE241">
            <v>0</v>
          </cell>
          <cell r="BF241">
            <v>0</v>
          </cell>
          <cell r="BG241">
            <v>0</v>
          </cell>
          <cell r="BH241">
            <v>0</v>
          </cell>
          <cell r="BI241">
            <v>-1316476.7845382332</v>
          </cell>
          <cell r="BJ241">
            <v>0</v>
          </cell>
          <cell r="BK241">
            <v>-1316476.7845382332</v>
          </cell>
          <cell r="BL241">
            <v>0</v>
          </cell>
          <cell r="BM241">
            <v>0</v>
          </cell>
          <cell r="BN241">
            <v>0</v>
          </cell>
          <cell r="BO241">
            <v>0</v>
          </cell>
          <cell r="BP241">
            <v>0</v>
          </cell>
          <cell r="BQ241">
            <v>0</v>
          </cell>
          <cell r="BR241">
            <v>0</v>
          </cell>
          <cell r="BS241">
            <v>-1316476.7845382332</v>
          </cell>
          <cell r="BT241">
            <v>-1320685.5162531119</v>
          </cell>
          <cell r="BU241">
            <v>-1305806.3650265159</v>
          </cell>
          <cell r="BV241">
            <v>0</v>
          </cell>
          <cell r="BW241">
            <v>0</v>
          </cell>
          <cell r="BX241">
            <v>-1316476.7845382332</v>
          </cell>
          <cell r="BY241">
            <v>0</v>
          </cell>
          <cell r="BZ241">
            <v>0</v>
          </cell>
          <cell r="CA241">
            <v>0</v>
          </cell>
          <cell r="CB241">
            <v>0</v>
          </cell>
          <cell r="CC241">
            <v>0</v>
          </cell>
          <cell r="CD241">
            <v>0</v>
          </cell>
          <cell r="CE241">
            <v>-1316476.7845382332</v>
          </cell>
          <cell r="CF241">
            <v>0</v>
          </cell>
          <cell r="CG241">
            <v>-1316476.7845382332</v>
          </cell>
          <cell r="CH241">
            <v>0</v>
          </cell>
          <cell r="CI241">
            <v>0</v>
          </cell>
          <cell r="CJ241">
            <v>0</v>
          </cell>
          <cell r="CK241">
            <v>0</v>
          </cell>
          <cell r="CL241">
            <v>0</v>
          </cell>
          <cell r="CM241">
            <v>0</v>
          </cell>
          <cell r="CN241">
            <v>0</v>
          </cell>
          <cell r="CO241">
            <v>-1318092.3565217135</v>
          </cell>
          <cell r="CP241">
            <v>-1316476.7845382332</v>
          </cell>
          <cell r="CQ241">
            <v>-1316476.7845382332</v>
          </cell>
          <cell r="CR241">
            <v>-1316476.7845382332</v>
          </cell>
          <cell r="CS241">
            <v>-1316476.7845382332</v>
          </cell>
          <cell r="CT241">
            <v>-1316476.7845382332</v>
          </cell>
          <cell r="CU241">
            <v>0</v>
          </cell>
          <cell r="CV241">
            <v>-1316476.7845382332</v>
          </cell>
          <cell r="CW241">
            <v>-1316476.7845382332</v>
          </cell>
          <cell r="CX241">
            <v>0</v>
          </cell>
          <cell r="CY241">
            <v>-1316476.7845382332</v>
          </cell>
          <cell r="CZ241">
            <v>-1255573.8348851847</v>
          </cell>
          <cell r="DA241">
            <v>-1316476.7845382332</v>
          </cell>
          <cell r="DB241">
            <v>-1316476.7845382332</v>
          </cell>
          <cell r="DC241">
            <v>-1316476.7845382332</v>
          </cell>
          <cell r="DD241">
            <v>-1316476.7845382332</v>
          </cell>
          <cell r="DE241">
            <v>0</v>
          </cell>
          <cell r="DF241">
            <v>-500778.46539997519</v>
          </cell>
          <cell r="DG241">
            <v>-1267495.6394475717</v>
          </cell>
          <cell r="DH241">
            <v>0</v>
          </cell>
          <cell r="DI241">
            <v>-1315124.6386513114</v>
          </cell>
          <cell r="DJ241">
            <v>0</v>
          </cell>
          <cell r="DK241">
            <v>0</v>
          </cell>
          <cell r="DL241">
            <v>0</v>
          </cell>
          <cell r="DM241">
            <v>0</v>
          </cell>
          <cell r="DN241">
            <v>0</v>
          </cell>
          <cell r="DO241">
            <v>0</v>
          </cell>
          <cell r="DP241">
            <v>0</v>
          </cell>
          <cell r="DQ241">
            <v>0</v>
          </cell>
          <cell r="DR241">
            <v>0</v>
          </cell>
          <cell r="DS241">
            <v>0</v>
          </cell>
          <cell r="DT241">
            <v>0</v>
          </cell>
          <cell r="DU241">
            <v>0</v>
          </cell>
          <cell r="DV241">
            <v>0</v>
          </cell>
          <cell r="DW241">
            <v>0</v>
          </cell>
          <cell r="EA241">
            <v>0</v>
          </cell>
          <cell r="EB241">
            <v>0</v>
          </cell>
          <cell r="EC241">
            <v>0</v>
          </cell>
          <cell r="ED241">
            <v>0</v>
          </cell>
          <cell r="EE241">
            <v>0</v>
          </cell>
          <cell r="EF241">
            <v>0</v>
          </cell>
          <cell r="EG241">
            <v>0</v>
          </cell>
          <cell r="EH241">
            <v>0</v>
          </cell>
          <cell r="EI241">
            <v>0</v>
          </cell>
          <cell r="EJ241">
            <v>0</v>
          </cell>
          <cell r="EK241">
            <v>0</v>
          </cell>
          <cell r="EL241">
            <v>0</v>
          </cell>
          <cell r="EM241">
            <v>0</v>
          </cell>
          <cell r="EN241">
            <v>0</v>
          </cell>
          <cell r="EO241">
            <v>0</v>
          </cell>
          <cell r="EP241">
            <v>0</v>
          </cell>
          <cell r="EQ241">
            <v>0</v>
          </cell>
          <cell r="ER241">
            <v>0</v>
          </cell>
          <cell r="ES241">
            <v>0</v>
          </cell>
          <cell r="ET241">
            <v>0</v>
          </cell>
          <cell r="EU241">
            <v>0</v>
          </cell>
          <cell r="EV241">
            <v>0</v>
          </cell>
          <cell r="EW241">
            <v>0</v>
          </cell>
          <cell r="EX241">
            <v>0</v>
          </cell>
          <cell r="EY241">
            <v>0</v>
          </cell>
          <cell r="EZ241">
            <v>0</v>
          </cell>
          <cell r="FA241">
            <v>0</v>
          </cell>
          <cell r="FB241">
            <v>0</v>
          </cell>
          <cell r="FC241">
            <v>0</v>
          </cell>
          <cell r="FE241">
            <v>-1316476.7845382332</v>
          </cell>
          <cell r="FF241">
            <v>-1320685.5162531119</v>
          </cell>
          <cell r="FG241">
            <v>-1305806.3650265159</v>
          </cell>
          <cell r="FH241">
            <v>0</v>
          </cell>
          <cell r="FI241">
            <v>0</v>
          </cell>
          <cell r="FJ241">
            <v>-1316476.7845382332</v>
          </cell>
          <cell r="FK241">
            <v>0</v>
          </cell>
          <cell r="FL241">
            <v>0</v>
          </cell>
          <cell r="FM241">
            <v>0</v>
          </cell>
          <cell r="FN241">
            <v>0</v>
          </cell>
          <cell r="FO241">
            <v>0</v>
          </cell>
          <cell r="FP241">
            <v>0</v>
          </cell>
          <cell r="FQ241">
            <v>-1316476.7845382332</v>
          </cell>
          <cell r="FR241">
            <v>0</v>
          </cell>
          <cell r="FS241">
            <v>-1316476.7845382332</v>
          </cell>
          <cell r="FT241">
            <v>0</v>
          </cell>
          <cell r="FU241">
            <v>0</v>
          </cell>
          <cell r="FV241">
            <v>0</v>
          </cell>
          <cell r="FW241">
            <v>0</v>
          </cell>
          <cell r="FX241">
            <v>0</v>
          </cell>
          <cell r="FY241">
            <v>0</v>
          </cell>
          <cell r="FZ241">
            <v>0</v>
          </cell>
          <cell r="GA241">
            <v>-1318092.3565217135</v>
          </cell>
          <cell r="GB241">
            <v>-1255573.8348851847</v>
          </cell>
          <cell r="GC241">
            <v>-1316476.7845382332</v>
          </cell>
          <cell r="GD241">
            <v>-1316476.7845382332</v>
          </cell>
          <cell r="GE241">
            <v>-1316476.7845382332</v>
          </cell>
          <cell r="GF241">
            <v>-1316476.7845382332</v>
          </cell>
          <cell r="GG241">
            <v>0</v>
          </cell>
          <cell r="GH241">
            <v>-500778.46539997519</v>
          </cell>
          <cell r="GI241">
            <v>-1267495.6394475717</v>
          </cell>
          <cell r="GJ241">
            <v>0</v>
          </cell>
          <cell r="GK241">
            <v>-1315124.6386513114</v>
          </cell>
          <cell r="GL241">
            <v>0</v>
          </cell>
          <cell r="GM241">
            <v>0</v>
          </cell>
          <cell r="GN241">
            <v>0</v>
          </cell>
          <cell r="GO241">
            <v>0</v>
          </cell>
          <cell r="GP241">
            <v>0</v>
          </cell>
          <cell r="GQ241">
            <v>0</v>
          </cell>
          <cell r="GR241">
            <v>0</v>
          </cell>
          <cell r="GS241">
            <v>0</v>
          </cell>
          <cell r="GT241">
            <v>0</v>
          </cell>
          <cell r="GZ241">
            <v>0</v>
          </cell>
        </row>
        <row r="242">
          <cell r="A242" t="str">
            <v>I_LKC_NRF_IRD_IRD_INTR_C09</v>
          </cell>
          <cell r="B242">
            <v>0</v>
          </cell>
          <cell r="C242">
            <v>0</v>
          </cell>
          <cell r="D242">
            <v>0</v>
          </cell>
          <cell r="E242">
            <v>0</v>
          </cell>
          <cell r="F242">
            <v>0</v>
          </cell>
          <cell r="G242">
            <v>0</v>
          </cell>
          <cell r="H242">
            <v>0</v>
          </cell>
          <cell r="I242">
            <v>0</v>
          </cell>
          <cell r="J242">
            <v>0</v>
          </cell>
          <cell r="K242">
            <v>0</v>
          </cell>
          <cell r="L242">
            <v>0</v>
          </cell>
          <cell r="M242">
            <v>0</v>
          </cell>
          <cell r="N242">
            <v>0</v>
          </cell>
          <cell r="O242">
            <v>0</v>
          </cell>
          <cell r="P242">
            <v>0</v>
          </cell>
          <cell r="Q242">
            <v>0</v>
          </cell>
          <cell r="R242">
            <v>0</v>
          </cell>
          <cell r="S242">
            <v>0</v>
          </cell>
          <cell r="T242">
            <v>0</v>
          </cell>
          <cell r="U242">
            <v>0</v>
          </cell>
          <cell r="V242">
            <v>0</v>
          </cell>
          <cell r="W242">
            <v>0</v>
          </cell>
          <cell r="X242">
            <v>0</v>
          </cell>
          <cell r="Y242">
            <v>0</v>
          </cell>
          <cell r="Z242">
            <v>0</v>
          </cell>
          <cell r="AA242">
            <v>0</v>
          </cell>
          <cell r="AB242">
            <v>0</v>
          </cell>
          <cell r="AC242">
            <v>0</v>
          </cell>
          <cell r="AD242">
            <v>0</v>
          </cell>
          <cell r="AE242">
            <v>0</v>
          </cell>
          <cell r="AF242">
            <v>0</v>
          </cell>
          <cell r="AG242">
            <v>0</v>
          </cell>
          <cell r="AH242">
            <v>0</v>
          </cell>
          <cell r="AI242">
            <v>0</v>
          </cell>
          <cell r="AJ242">
            <v>0</v>
          </cell>
          <cell r="AK242">
            <v>0</v>
          </cell>
          <cell r="AL242">
            <v>0</v>
          </cell>
          <cell r="AM242">
            <v>0</v>
          </cell>
          <cell r="AN242">
            <v>0</v>
          </cell>
          <cell r="AO242">
            <v>0</v>
          </cell>
          <cell r="AP242">
            <v>0</v>
          </cell>
          <cell r="AQ242">
            <v>0</v>
          </cell>
          <cell r="AR242">
            <v>0</v>
          </cell>
          <cell r="AS242">
            <v>0</v>
          </cell>
          <cell r="AT242">
            <v>0</v>
          </cell>
          <cell r="AU242">
            <v>0</v>
          </cell>
          <cell r="AV242">
            <v>0</v>
          </cell>
          <cell r="AW242">
            <v>0</v>
          </cell>
          <cell r="AX242">
            <v>0</v>
          </cell>
          <cell r="AY242">
            <v>0</v>
          </cell>
          <cell r="AZ242">
            <v>0</v>
          </cell>
          <cell r="BA242">
            <v>0</v>
          </cell>
          <cell r="BB242">
            <v>0</v>
          </cell>
          <cell r="BC242">
            <v>0</v>
          </cell>
          <cell r="BD242">
            <v>0</v>
          </cell>
          <cell r="BE242">
            <v>0</v>
          </cell>
          <cell r="BF242">
            <v>0</v>
          </cell>
          <cell r="BG242">
            <v>0</v>
          </cell>
          <cell r="BH242">
            <v>0</v>
          </cell>
          <cell r="BI242">
            <v>0</v>
          </cell>
          <cell r="BJ242">
            <v>0</v>
          </cell>
          <cell r="BK242">
            <v>0</v>
          </cell>
          <cell r="BL242">
            <v>0</v>
          </cell>
          <cell r="BM242">
            <v>0</v>
          </cell>
          <cell r="BN242">
            <v>0</v>
          </cell>
          <cell r="BO242">
            <v>0</v>
          </cell>
          <cell r="BP242">
            <v>0</v>
          </cell>
          <cell r="BQ242">
            <v>0</v>
          </cell>
          <cell r="BR242">
            <v>0</v>
          </cell>
          <cell r="BS242">
            <v>0</v>
          </cell>
          <cell r="BT242">
            <v>0</v>
          </cell>
          <cell r="BU242">
            <v>0</v>
          </cell>
          <cell r="BV242">
            <v>0</v>
          </cell>
          <cell r="BW242">
            <v>0</v>
          </cell>
          <cell r="BX242">
            <v>0</v>
          </cell>
          <cell r="BY242">
            <v>0</v>
          </cell>
          <cell r="BZ242">
            <v>0</v>
          </cell>
          <cell r="CA242">
            <v>0</v>
          </cell>
          <cell r="CB242">
            <v>0</v>
          </cell>
          <cell r="CC242">
            <v>0</v>
          </cell>
          <cell r="CD242">
            <v>0</v>
          </cell>
          <cell r="CE242">
            <v>0</v>
          </cell>
          <cell r="CF242">
            <v>0</v>
          </cell>
          <cell r="CG242">
            <v>0</v>
          </cell>
          <cell r="CH242">
            <v>0</v>
          </cell>
          <cell r="CI242">
            <v>0</v>
          </cell>
          <cell r="CJ242">
            <v>0</v>
          </cell>
          <cell r="CK242">
            <v>0</v>
          </cell>
          <cell r="CL242">
            <v>0</v>
          </cell>
          <cell r="CM242">
            <v>0</v>
          </cell>
          <cell r="CN242">
            <v>0</v>
          </cell>
          <cell r="CO242">
            <v>0</v>
          </cell>
          <cell r="CP242">
            <v>0</v>
          </cell>
          <cell r="CQ242">
            <v>0</v>
          </cell>
          <cell r="CR242">
            <v>0</v>
          </cell>
          <cell r="CS242">
            <v>0</v>
          </cell>
          <cell r="CT242">
            <v>0</v>
          </cell>
          <cell r="CU242">
            <v>0</v>
          </cell>
          <cell r="CV242">
            <v>0</v>
          </cell>
          <cell r="CW242">
            <v>0</v>
          </cell>
          <cell r="CX242">
            <v>0</v>
          </cell>
          <cell r="CY242">
            <v>0</v>
          </cell>
          <cell r="CZ242">
            <v>0</v>
          </cell>
          <cell r="DA242">
            <v>0</v>
          </cell>
          <cell r="DB242">
            <v>0</v>
          </cell>
          <cell r="DC242">
            <v>0</v>
          </cell>
          <cell r="DD242">
            <v>0</v>
          </cell>
          <cell r="DE242">
            <v>0</v>
          </cell>
          <cell r="DF242">
            <v>0</v>
          </cell>
          <cell r="DG242">
            <v>0</v>
          </cell>
          <cell r="DH242">
            <v>0</v>
          </cell>
          <cell r="DI242">
            <v>0</v>
          </cell>
          <cell r="DJ242">
            <v>0</v>
          </cell>
          <cell r="DK242">
            <v>0</v>
          </cell>
          <cell r="DL242">
            <v>0</v>
          </cell>
          <cell r="DM242">
            <v>0</v>
          </cell>
          <cell r="DN242">
            <v>0</v>
          </cell>
          <cell r="DO242">
            <v>0</v>
          </cell>
          <cell r="DP242">
            <v>0</v>
          </cell>
          <cell r="DQ242">
            <v>0</v>
          </cell>
          <cell r="DR242">
            <v>0</v>
          </cell>
          <cell r="DS242">
            <v>0</v>
          </cell>
          <cell r="DT242">
            <v>0</v>
          </cell>
          <cell r="DU242">
            <v>0</v>
          </cell>
          <cell r="DV242">
            <v>0</v>
          </cell>
          <cell r="DW242">
            <v>0</v>
          </cell>
          <cell r="EA242">
            <v>0</v>
          </cell>
          <cell r="EB242">
            <v>0</v>
          </cell>
          <cell r="EC242">
            <v>0</v>
          </cell>
          <cell r="ED242">
            <v>0</v>
          </cell>
          <cell r="EE242">
            <v>0</v>
          </cell>
          <cell r="EF242">
            <v>0</v>
          </cell>
          <cell r="EG242">
            <v>0</v>
          </cell>
          <cell r="EH242">
            <v>0</v>
          </cell>
          <cell r="EI242">
            <v>0</v>
          </cell>
          <cell r="EJ242">
            <v>0</v>
          </cell>
          <cell r="EK242">
            <v>0</v>
          </cell>
          <cell r="EL242">
            <v>0</v>
          </cell>
          <cell r="EM242">
            <v>0</v>
          </cell>
          <cell r="EN242">
            <v>0</v>
          </cell>
          <cell r="EO242">
            <v>0</v>
          </cell>
          <cell r="EP242">
            <v>0</v>
          </cell>
          <cell r="EQ242">
            <v>0</v>
          </cell>
          <cell r="ER242">
            <v>0</v>
          </cell>
          <cell r="ES242">
            <v>0</v>
          </cell>
          <cell r="ET242">
            <v>0</v>
          </cell>
          <cell r="EU242">
            <v>0</v>
          </cell>
          <cell r="EV242">
            <v>0</v>
          </cell>
          <cell r="EW242">
            <v>0</v>
          </cell>
          <cell r="EX242">
            <v>0</v>
          </cell>
          <cell r="EY242">
            <v>0</v>
          </cell>
          <cell r="EZ242">
            <v>0</v>
          </cell>
          <cell r="FA242">
            <v>0</v>
          </cell>
          <cell r="FB242">
            <v>0</v>
          </cell>
          <cell r="FC242">
            <v>0</v>
          </cell>
          <cell r="FE242">
            <v>0</v>
          </cell>
          <cell r="FF242">
            <v>0</v>
          </cell>
          <cell r="FG242">
            <v>0</v>
          </cell>
          <cell r="FH242">
            <v>0</v>
          </cell>
          <cell r="FI242">
            <v>0</v>
          </cell>
          <cell r="FJ242">
            <v>0</v>
          </cell>
          <cell r="FK242">
            <v>0</v>
          </cell>
          <cell r="FL242">
            <v>0</v>
          </cell>
          <cell r="FM242">
            <v>0</v>
          </cell>
          <cell r="FN242">
            <v>0</v>
          </cell>
          <cell r="FO242">
            <v>0</v>
          </cell>
          <cell r="FP242">
            <v>0</v>
          </cell>
          <cell r="FQ242">
            <v>0</v>
          </cell>
          <cell r="FR242">
            <v>0</v>
          </cell>
          <cell r="FS242">
            <v>0</v>
          </cell>
          <cell r="FT242">
            <v>0</v>
          </cell>
          <cell r="FU242">
            <v>0</v>
          </cell>
          <cell r="FV242">
            <v>0</v>
          </cell>
          <cell r="FW242">
            <v>0</v>
          </cell>
          <cell r="FX242">
            <v>0</v>
          </cell>
          <cell r="FY242">
            <v>0</v>
          </cell>
          <cell r="FZ242">
            <v>0</v>
          </cell>
          <cell r="GA242">
            <v>0</v>
          </cell>
          <cell r="GB242">
            <v>0</v>
          </cell>
          <cell r="GC242">
            <v>0</v>
          </cell>
          <cell r="GD242">
            <v>0</v>
          </cell>
          <cell r="GE242">
            <v>0</v>
          </cell>
          <cell r="GF242">
            <v>0</v>
          </cell>
          <cell r="GG242">
            <v>0</v>
          </cell>
          <cell r="GH242">
            <v>0</v>
          </cell>
          <cell r="GI242">
            <v>0</v>
          </cell>
          <cell r="GJ242">
            <v>0</v>
          </cell>
          <cell r="GK242">
            <v>0</v>
          </cell>
          <cell r="GL242">
            <v>0</v>
          </cell>
          <cell r="GM242">
            <v>0</v>
          </cell>
          <cell r="GN242">
            <v>0</v>
          </cell>
          <cell r="GO242">
            <v>0</v>
          </cell>
          <cell r="GP242">
            <v>0</v>
          </cell>
          <cell r="GQ242">
            <v>0</v>
          </cell>
          <cell r="GR242">
            <v>0</v>
          </cell>
          <cell r="GS242">
            <v>0</v>
          </cell>
          <cell r="GT242">
            <v>0</v>
          </cell>
          <cell r="GZ242">
            <v>0</v>
          </cell>
        </row>
        <row r="243">
          <cell r="A243" t="str">
            <v>I_LKC_NRF_IRD_IRD_INTR_C10</v>
          </cell>
          <cell r="B243">
            <v>3495303</v>
          </cell>
          <cell r="C243">
            <v>0</v>
          </cell>
          <cell r="D243">
            <v>3495359.9632974244</v>
          </cell>
          <cell r="E243">
            <v>1745713.9051207756</v>
          </cell>
          <cell r="F243">
            <v>1312849.369408478</v>
          </cell>
          <cell r="G243">
            <v>1312849.369408478</v>
          </cell>
          <cell r="H243">
            <v>0</v>
          </cell>
          <cell r="I243">
            <v>0</v>
          </cell>
          <cell r="J243">
            <v>202592.09262837784</v>
          </cell>
          <cell r="K243">
            <v>0</v>
          </cell>
          <cell r="L243">
            <v>0</v>
          </cell>
          <cell r="M243">
            <v>0</v>
          </cell>
          <cell r="N243">
            <v>0</v>
          </cell>
          <cell r="O243">
            <v>0</v>
          </cell>
          <cell r="P243">
            <v>0</v>
          </cell>
          <cell r="Q243">
            <v>595695.05645154486</v>
          </cell>
          <cell r="R243">
            <v>0</v>
          </cell>
          <cell r="S243">
            <v>1312849.369408478</v>
          </cell>
          <cell r="T243">
            <v>0</v>
          </cell>
          <cell r="U243">
            <v>0</v>
          </cell>
          <cell r="V243">
            <v>0</v>
          </cell>
          <cell r="W243">
            <v>0</v>
          </cell>
          <cell r="X243">
            <v>0</v>
          </cell>
          <cell r="Y243">
            <v>0</v>
          </cell>
          <cell r="Z243">
            <v>0</v>
          </cell>
          <cell r="AA243">
            <v>0</v>
          </cell>
          <cell r="AB243">
            <v>1341050.7274775398</v>
          </cell>
          <cell r="AC243">
            <v>1284105.8777452346</v>
          </cell>
          <cell r="AD243">
            <v>0</v>
          </cell>
          <cell r="AE243">
            <v>0</v>
          </cell>
          <cell r="AF243">
            <v>105832.07786943726</v>
          </cell>
          <cell r="AG243">
            <v>0</v>
          </cell>
          <cell r="AH243">
            <v>0</v>
          </cell>
          <cell r="AI243">
            <v>0</v>
          </cell>
          <cell r="AJ243">
            <v>0</v>
          </cell>
          <cell r="AK243">
            <v>0</v>
          </cell>
          <cell r="AL243">
            <v>0</v>
          </cell>
          <cell r="AM243">
            <v>446771.29233865859</v>
          </cell>
          <cell r="AN243">
            <v>0</v>
          </cell>
          <cell r="AO243">
            <v>1246127.1119927368</v>
          </cell>
          <cell r="AP243">
            <v>0</v>
          </cell>
          <cell r="AQ243">
            <v>0</v>
          </cell>
          <cell r="AR243">
            <v>0</v>
          </cell>
          <cell r="AS243">
            <v>0</v>
          </cell>
          <cell r="AT243">
            <v>0</v>
          </cell>
          <cell r="AU243">
            <v>0</v>
          </cell>
          <cell r="AV243">
            <v>0</v>
          </cell>
          <cell r="AW243">
            <v>0</v>
          </cell>
          <cell r="AX243">
            <v>1745713.9051207756</v>
          </cell>
          <cell r="AY243">
            <v>1745713.9051207756</v>
          </cell>
          <cell r="AZ243">
            <v>0</v>
          </cell>
          <cell r="BA243">
            <v>0</v>
          </cell>
          <cell r="BB243">
            <v>1745713.9051207756</v>
          </cell>
          <cell r="BC243">
            <v>0</v>
          </cell>
          <cell r="BD243">
            <v>0</v>
          </cell>
          <cell r="BE243">
            <v>0</v>
          </cell>
          <cell r="BF243">
            <v>0</v>
          </cell>
          <cell r="BG243">
            <v>0</v>
          </cell>
          <cell r="BH243">
            <v>0</v>
          </cell>
          <cell r="BI243">
            <v>1745713.9051207756</v>
          </cell>
          <cell r="BJ243">
            <v>0</v>
          </cell>
          <cell r="BK243">
            <v>1745713.9051207756</v>
          </cell>
          <cell r="BL243">
            <v>0</v>
          </cell>
          <cell r="BM243">
            <v>0</v>
          </cell>
          <cell r="BN243">
            <v>0</v>
          </cell>
          <cell r="BO243">
            <v>0</v>
          </cell>
          <cell r="BP243">
            <v>0</v>
          </cell>
          <cell r="BQ243">
            <v>0</v>
          </cell>
          <cell r="BR243">
            <v>0</v>
          </cell>
          <cell r="BS243">
            <v>1745713.9051207756</v>
          </cell>
          <cell r="BT243">
            <v>1553942.4587133804</v>
          </cell>
          <cell r="BU243">
            <v>1533286.8395143242</v>
          </cell>
          <cell r="BV243">
            <v>0</v>
          </cell>
          <cell r="BW243">
            <v>0</v>
          </cell>
          <cell r="BX243">
            <v>1745713.9051207756</v>
          </cell>
          <cell r="BY243">
            <v>0</v>
          </cell>
          <cell r="BZ243">
            <v>0</v>
          </cell>
          <cell r="CA243">
            <v>0</v>
          </cell>
          <cell r="CB243">
            <v>0</v>
          </cell>
          <cell r="CC243">
            <v>0</v>
          </cell>
          <cell r="CD243">
            <v>0</v>
          </cell>
          <cell r="CE243">
            <v>1745713.9051207756</v>
          </cell>
          <cell r="CF243">
            <v>0</v>
          </cell>
          <cell r="CG243">
            <v>1745713.9051207756</v>
          </cell>
          <cell r="CH243">
            <v>0</v>
          </cell>
          <cell r="CI243">
            <v>0</v>
          </cell>
          <cell r="CJ243">
            <v>0</v>
          </cell>
          <cell r="CK243">
            <v>0</v>
          </cell>
          <cell r="CL243">
            <v>0</v>
          </cell>
          <cell r="CM243">
            <v>0</v>
          </cell>
          <cell r="CN243">
            <v>0</v>
          </cell>
          <cell r="CO243">
            <v>1554146.5619035126</v>
          </cell>
          <cell r="CP243">
            <v>1745713.9051207756</v>
          </cell>
          <cell r="CQ243">
            <v>1745713.9051207756</v>
          </cell>
          <cell r="CR243">
            <v>1745713.9051207756</v>
          </cell>
          <cell r="CS243">
            <v>1745713.9051207756</v>
          </cell>
          <cell r="CT243">
            <v>1745713.9051207756</v>
          </cell>
          <cell r="CU243">
            <v>0</v>
          </cell>
          <cell r="CV243">
            <v>1745713.9051207756</v>
          </cell>
          <cell r="CW243">
            <v>1745713.9051207756</v>
          </cell>
          <cell r="CX243">
            <v>0</v>
          </cell>
          <cell r="CY243">
            <v>1745713.9051207756</v>
          </cell>
          <cell r="CZ243">
            <v>1745713.9051207756</v>
          </cell>
          <cell r="DA243">
            <v>1745713.9051207756</v>
          </cell>
          <cell r="DB243">
            <v>1745713.9051207756</v>
          </cell>
          <cell r="DC243">
            <v>1745713.9051207756</v>
          </cell>
          <cell r="DD243">
            <v>1745713.9051207756</v>
          </cell>
          <cell r="DE243">
            <v>0</v>
          </cell>
          <cell r="DF243">
            <v>1745713.9051207756</v>
          </cell>
          <cell r="DG243">
            <v>1745713.9051207756</v>
          </cell>
          <cell r="DH243">
            <v>0</v>
          </cell>
          <cell r="DI243">
            <v>1745713.9051207756</v>
          </cell>
          <cell r="DJ243">
            <v>0</v>
          </cell>
          <cell r="DK243">
            <v>0</v>
          </cell>
          <cell r="DL243">
            <v>0</v>
          </cell>
          <cell r="DM243">
            <v>0</v>
          </cell>
          <cell r="DN243">
            <v>0</v>
          </cell>
          <cell r="DO243">
            <v>0</v>
          </cell>
          <cell r="DP243">
            <v>0</v>
          </cell>
          <cell r="DQ243">
            <v>0</v>
          </cell>
          <cell r="DR243">
            <v>0</v>
          </cell>
          <cell r="DS243">
            <v>0</v>
          </cell>
          <cell r="DT243">
            <v>0</v>
          </cell>
          <cell r="DU243">
            <v>0</v>
          </cell>
          <cell r="DV243">
            <v>0</v>
          </cell>
          <cell r="DW243">
            <v>0</v>
          </cell>
          <cell r="EA243">
            <v>0</v>
          </cell>
          <cell r="EB243">
            <v>0</v>
          </cell>
          <cell r="EC243">
            <v>0</v>
          </cell>
          <cell r="ED243">
            <v>0</v>
          </cell>
          <cell r="EE243">
            <v>0</v>
          </cell>
          <cell r="EF243">
            <v>0</v>
          </cell>
          <cell r="EG243">
            <v>0</v>
          </cell>
          <cell r="EH243">
            <v>0</v>
          </cell>
          <cell r="EI243">
            <v>0</v>
          </cell>
          <cell r="EJ243">
            <v>0</v>
          </cell>
          <cell r="EK243">
            <v>0</v>
          </cell>
          <cell r="EL243">
            <v>0</v>
          </cell>
          <cell r="EM243">
            <v>0</v>
          </cell>
          <cell r="EN243">
            <v>0</v>
          </cell>
          <cell r="EO243">
            <v>0</v>
          </cell>
          <cell r="EP243">
            <v>0</v>
          </cell>
          <cell r="EQ243">
            <v>0</v>
          </cell>
          <cell r="ER243">
            <v>0</v>
          </cell>
          <cell r="ES243">
            <v>0</v>
          </cell>
          <cell r="ET243">
            <v>0</v>
          </cell>
          <cell r="EU243">
            <v>0</v>
          </cell>
          <cell r="EV243">
            <v>0</v>
          </cell>
          <cell r="EW243">
            <v>0</v>
          </cell>
          <cell r="EX243">
            <v>0</v>
          </cell>
          <cell r="EY243">
            <v>0</v>
          </cell>
          <cell r="EZ243">
            <v>0</v>
          </cell>
          <cell r="FA243">
            <v>0</v>
          </cell>
          <cell r="FB243">
            <v>0</v>
          </cell>
          <cell r="FC243">
            <v>0</v>
          </cell>
          <cell r="FE243">
            <v>1745713.9051207756</v>
          </cell>
          <cell r="FF243">
            <v>1553942.4587133804</v>
          </cell>
          <cell r="FG243">
            <v>1533286.8395143242</v>
          </cell>
          <cell r="FH243">
            <v>0</v>
          </cell>
          <cell r="FI243">
            <v>0</v>
          </cell>
          <cell r="FJ243">
            <v>1745713.9051207756</v>
          </cell>
          <cell r="FK243">
            <v>0</v>
          </cell>
          <cell r="FL243">
            <v>0</v>
          </cell>
          <cell r="FM243">
            <v>0</v>
          </cell>
          <cell r="FN243">
            <v>0</v>
          </cell>
          <cell r="FO243">
            <v>0</v>
          </cell>
          <cell r="FP243">
            <v>0</v>
          </cell>
          <cell r="FQ243">
            <v>1745713.9051207756</v>
          </cell>
          <cell r="FR243">
            <v>0</v>
          </cell>
          <cell r="FS243">
            <v>1745713.9051207756</v>
          </cell>
          <cell r="FT243">
            <v>0</v>
          </cell>
          <cell r="FU243">
            <v>0</v>
          </cell>
          <cell r="FV243">
            <v>0</v>
          </cell>
          <cell r="FW243">
            <v>0</v>
          </cell>
          <cell r="FX243">
            <v>0</v>
          </cell>
          <cell r="FY243">
            <v>0</v>
          </cell>
          <cell r="FZ243">
            <v>0</v>
          </cell>
          <cell r="GA243">
            <v>1554146.5619035126</v>
          </cell>
          <cell r="GB243">
            <v>1745713.9051207756</v>
          </cell>
          <cell r="GC243">
            <v>1745713.9051207756</v>
          </cell>
          <cell r="GD243">
            <v>1745713.9051207756</v>
          </cell>
          <cell r="GE243">
            <v>1745713.9051207756</v>
          </cell>
          <cell r="GF243">
            <v>1745713.9051207756</v>
          </cell>
          <cell r="GG243">
            <v>0</v>
          </cell>
          <cell r="GH243">
            <v>1745713.9051207756</v>
          </cell>
          <cell r="GI243">
            <v>1745713.9051207756</v>
          </cell>
          <cell r="GJ243">
            <v>0</v>
          </cell>
          <cell r="GK243">
            <v>1745713.9051207756</v>
          </cell>
          <cell r="GL243">
            <v>0</v>
          </cell>
          <cell r="GM243">
            <v>0</v>
          </cell>
          <cell r="GN243">
            <v>0</v>
          </cell>
          <cell r="GO243">
            <v>0</v>
          </cell>
          <cell r="GP243">
            <v>0</v>
          </cell>
          <cell r="GQ243">
            <v>0</v>
          </cell>
          <cell r="GR243">
            <v>0</v>
          </cell>
          <cell r="GS243">
            <v>0</v>
          </cell>
          <cell r="GT243">
            <v>0</v>
          </cell>
          <cell r="GZ243">
            <v>0</v>
          </cell>
        </row>
        <row r="244">
          <cell r="A244" t="str">
            <v>I_LKI_NRF_CPT_PRP_INTR_C11</v>
          </cell>
          <cell r="B244">
            <v>0</v>
          </cell>
          <cell r="C244">
            <v>0</v>
          </cell>
          <cell r="D244">
            <v>19626542.987926029</v>
          </cell>
          <cell r="E244">
            <v>0</v>
          </cell>
          <cell r="F244">
            <v>7406600.8393369876</v>
          </cell>
          <cell r="G244">
            <v>7406600.8393369876</v>
          </cell>
          <cell r="H244">
            <v>0</v>
          </cell>
          <cell r="I244">
            <v>0</v>
          </cell>
          <cell r="J244">
            <v>0</v>
          </cell>
          <cell r="K244">
            <v>0</v>
          </cell>
          <cell r="L244">
            <v>0</v>
          </cell>
          <cell r="M244">
            <v>0</v>
          </cell>
          <cell r="N244">
            <v>0</v>
          </cell>
          <cell r="O244">
            <v>0</v>
          </cell>
          <cell r="P244">
            <v>0</v>
          </cell>
          <cell r="Q244">
            <v>0</v>
          </cell>
          <cell r="R244">
            <v>0</v>
          </cell>
          <cell r="S244">
            <v>7950459.4993369877</v>
          </cell>
          <cell r="T244">
            <v>0</v>
          </cell>
          <cell r="U244">
            <v>0</v>
          </cell>
          <cell r="V244">
            <v>0</v>
          </cell>
          <cell r="W244">
            <v>0</v>
          </cell>
          <cell r="X244">
            <v>0</v>
          </cell>
          <cell r="Y244">
            <v>0</v>
          </cell>
          <cell r="Z244">
            <v>0</v>
          </cell>
          <cell r="AA244">
            <v>0</v>
          </cell>
          <cell r="AB244">
            <v>7732573.3053916991</v>
          </cell>
          <cell r="AC244">
            <v>7060560.2015679171</v>
          </cell>
          <cell r="AD244">
            <v>0</v>
          </cell>
          <cell r="AE244">
            <v>0</v>
          </cell>
          <cell r="AF244">
            <v>0</v>
          </cell>
          <cell r="AG244">
            <v>0</v>
          </cell>
          <cell r="AH244">
            <v>0</v>
          </cell>
          <cell r="AI244">
            <v>0</v>
          </cell>
          <cell r="AJ244">
            <v>0</v>
          </cell>
          <cell r="AK244">
            <v>0</v>
          </cell>
          <cell r="AL244">
            <v>0</v>
          </cell>
          <cell r="AM244">
            <v>0</v>
          </cell>
          <cell r="AN244">
            <v>0</v>
          </cell>
          <cell r="AO244">
            <v>7008326.2845877688</v>
          </cell>
          <cell r="AP244">
            <v>0</v>
          </cell>
          <cell r="AQ244">
            <v>0</v>
          </cell>
          <cell r="AR244">
            <v>0</v>
          </cell>
          <cell r="AS244">
            <v>0</v>
          </cell>
          <cell r="AT244">
            <v>0</v>
          </cell>
          <cell r="AU244">
            <v>0</v>
          </cell>
          <cell r="AV244">
            <v>0</v>
          </cell>
          <cell r="AW244">
            <v>0</v>
          </cell>
          <cell r="AX244">
            <v>0</v>
          </cell>
          <cell r="AY244">
            <v>0</v>
          </cell>
          <cell r="AZ244">
            <v>0</v>
          </cell>
          <cell r="BA244">
            <v>0</v>
          </cell>
          <cell r="BB244">
            <v>0</v>
          </cell>
          <cell r="BC244">
            <v>0</v>
          </cell>
          <cell r="BD244">
            <v>0</v>
          </cell>
          <cell r="BE244">
            <v>0</v>
          </cell>
          <cell r="BF244">
            <v>0</v>
          </cell>
          <cell r="BG244">
            <v>0</v>
          </cell>
          <cell r="BH244">
            <v>0</v>
          </cell>
          <cell r="BI244">
            <v>0</v>
          </cell>
          <cell r="BJ244">
            <v>0</v>
          </cell>
          <cell r="BK244">
            <v>0</v>
          </cell>
          <cell r="BL244">
            <v>0</v>
          </cell>
          <cell r="BM244">
            <v>0</v>
          </cell>
          <cell r="BN244">
            <v>0</v>
          </cell>
          <cell r="BO244">
            <v>0</v>
          </cell>
          <cell r="BP244">
            <v>0</v>
          </cell>
          <cell r="BQ244">
            <v>0</v>
          </cell>
          <cell r="BR244">
            <v>0</v>
          </cell>
          <cell r="BS244">
            <v>0</v>
          </cell>
          <cell r="BT244">
            <v>0</v>
          </cell>
          <cell r="BU244">
            <v>0</v>
          </cell>
          <cell r="BV244">
            <v>0</v>
          </cell>
          <cell r="BW244">
            <v>0</v>
          </cell>
          <cell r="BX244">
            <v>0</v>
          </cell>
          <cell r="BY244">
            <v>0</v>
          </cell>
          <cell r="BZ244">
            <v>0</v>
          </cell>
          <cell r="CA244">
            <v>0</v>
          </cell>
          <cell r="CB244">
            <v>0</v>
          </cell>
          <cell r="CC244">
            <v>0</v>
          </cell>
          <cell r="CD244">
            <v>0</v>
          </cell>
          <cell r="CE244">
            <v>0</v>
          </cell>
          <cell r="CF244">
            <v>0</v>
          </cell>
          <cell r="CG244">
            <v>0</v>
          </cell>
          <cell r="CH244">
            <v>0</v>
          </cell>
          <cell r="CI244">
            <v>0</v>
          </cell>
          <cell r="CJ244">
            <v>0</v>
          </cell>
          <cell r="CK244">
            <v>0</v>
          </cell>
          <cell r="CL244">
            <v>0</v>
          </cell>
          <cell r="CM244">
            <v>0</v>
          </cell>
          <cell r="CN244">
            <v>0</v>
          </cell>
          <cell r="CO244">
            <v>0</v>
          </cell>
          <cell r="CP244">
            <v>0</v>
          </cell>
          <cell r="CQ244">
            <v>0</v>
          </cell>
          <cell r="CR244">
            <v>0</v>
          </cell>
          <cell r="CS244">
            <v>0</v>
          </cell>
          <cell r="CT244">
            <v>0</v>
          </cell>
          <cell r="CU244">
            <v>0</v>
          </cell>
          <cell r="CV244">
            <v>0</v>
          </cell>
          <cell r="CW244">
            <v>0</v>
          </cell>
          <cell r="CX244">
            <v>0</v>
          </cell>
          <cell r="CY244">
            <v>0</v>
          </cell>
          <cell r="CZ244">
            <v>0</v>
          </cell>
          <cell r="DA244">
            <v>0</v>
          </cell>
          <cell r="DB244">
            <v>0</v>
          </cell>
          <cell r="DC244">
            <v>0</v>
          </cell>
          <cell r="DD244">
            <v>0</v>
          </cell>
          <cell r="DE244">
            <v>0</v>
          </cell>
          <cell r="DF244">
            <v>0</v>
          </cell>
          <cell r="DG244">
            <v>0</v>
          </cell>
          <cell r="DH244">
            <v>0</v>
          </cell>
          <cell r="DI244">
            <v>0</v>
          </cell>
          <cell r="DJ244">
            <v>0</v>
          </cell>
          <cell r="DK244">
            <v>0</v>
          </cell>
          <cell r="DL244">
            <v>0</v>
          </cell>
          <cell r="DM244">
            <v>0</v>
          </cell>
          <cell r="DN244">
            <v>0</v>
          </cell>
          <cell r="DO244">
            <v>0</v>
          </cell>
          <cell r="DP244">
            <v>0</v>
          </cell>
          <cell r="DQ244">
            <v>0</v>
          </cell>
          <cell r="DR244">
            <v>0</v>
          </cell>
          <cell r="DS244">
            <v>0</v>
          </cell>
          <cell r="DT244">
            <v>0</v>
          </cell>
          <cell r="DU244">
            <v>0</v>
          </cell>
          <cell r="DV244">
            <v>0</v>
          </cell>
          <cell r="DW244">
            <v>0</v>
          </cell>
          <cell r="EA244">
            <v>0</v>
          </cell>
          <cell r="EB244">
            <v>0</v>
          </cell>
          <cell r="EC244">
            <v>0</v>
          </cell>
          <cell r="ED244">
            <v>0</v>
          </cell>
          <cell r="EE244">
            <v>0</v>
          </cell>
          <cell r="EF244">
            <v>0</v>
          </cell>
          <cell r="EG244">
            <v>0</v>
          </cell>
          <cell r="EH244">
            <v>0</v>
          </cell>
          <cell r="EI244">
            <v>0</v>
          </cell>
          <cell r="EJ244">
            <v>0</v>
          </cell>
          <cell r="EK244">
            <v>0</v>
          </cell>
          <cell r="EL244">
            <v>0</v>
          </cell>
          <cell r="EM244">
            <v>0</v>
          </cell>
          <cell r="EN244">
            <v>0</v>
          </cell>
          <cell r="EO244">
            <v>0</v>
          </cell>
          <cell r="EP244">
            <v>0</v>
          </cell>
          <cell r="EQ244">
            <v>0</v>
          </cell>
          <cell r="ER244">
            <v>0</v>
          </cell>
          <cell r="ES244">
            <v>0</v>
          </cell>
          <cell r="ET244">
            <v>0</v>
          </cell>
          <cell r="EU244">
            <v>0</v>
          </cell>
          <cell r="EV244">
            <v>0</v>
          </cell>
          <cell r="EW244">
            <v>0</v>
          </cell>
          <cell r="EX244">
            <v>0</v>
          </cell>
          <cell r="EY244">
            <v>0</v>
          </cell>
          <cell r="EZ244">
            <v>0</v>
          </cell>
          <cell r="FA244">
            <v>0</v>
          </cell>
          <cell r="FB244">
            <v>0</v>
          </cell>
          <cell r="FC244">
            <v>0</v>
          </cell>
          <cell r="FE244">
            <v>0</v>
          </cell>
          <cell r="FF244">
            <v>0</v>
          </cell>
          <cell r="FG244">
            <v>0</v>
          </cell>
          <cell r="FH244">
            <v>0</v>
          </cell>
          <cell r="FI244">
            <v>0</v>
          </cell>
          <cell r="FJ244">
            <v>0</v>
          </cell>
          <cell r="FK244">
            <v>0</v>
          </cell>
          <cell r="FL244">
            <v>0</v>
          </cell>
          <cell r="FM244">
            <v>0</v>
          </cell>
          <cell r="FN244">
            <v>0</v>
          </cell>
          <cell r="FO244">
            <v>0</v>
          </cell>
          <cell r="FP244">
            <v>0</v>
          </cell>
          <cell r="FQ244">
            <v>0</v>
          </cell>
          <cell r="FR244">
            <v>0</v>
          </cell>
          <cell r="FS244">
            <v>0</v>
          </cell>
          <cell r="FT244">
            <v>0</v>
          </cell>
          <cell r="FU244">
            <v>0</v>
          </cell>
          <cell r="FV244">
            <v>0</v>
          </cell>
          <cell r="FW244">
            <v>0</v>
          </cell>
          <cell r="FX244">
            <v>0</v>
          </cell>
          <cell r="FY244">
            <v>0</v>
          </cell>
          <cell r="FZ244">
            <v>0</v>
          </cell>
          <cell r="GA244">
            <v>0</v>
          </cell>
          <cell r="GB244">
            <v>0</v>
          </cell>
          <cell r="GC244">
            <v>0</v>
          </cell>
          <cell r="GD244">
            <v>0</v>
          </cell>
          <cell r="GE244">
            <v>0</v>
          </cell>
          <cell r="GF244">
            <v>0</v>
          </cell>
          <cell r="GG244">
            <v>0</v>
          </cell>
          <cell r="GH244">
            <v>0</v>
          </cell>
          <cell r="GI244">
            <v>0</v>
          </cell>
          <cell r="GJ244">
            <v>0</v>
          </cell>
          <cell r="GK244">
            <v>0</v>
          </cell>
          <cell r="GL244">
            <v>0</v>
          </cell>
          <cell r="GM244">
            <v>0</v>
          </cell>
          <cell r="GN244">
            <v>0</v>
          </cell>
          <cell r="GO244">
            <v>0</v>
          </cell>
          <cell r="GP244">
            <v>0</v>
          </cell>
          <cell r="GQ244">
            <v>0</v>
          </cell>
          <cell r="GR244">
            <v>0</v>
          </cell>
          <cell r="GS244">
            <v>0</v>
          </cell>
          <cell r="GT244">
            <v>0</v>
          </cell>
          <cell r="GZ244">
            <v>0</v>
          </cell>
        </row>
        <row r="245">
          <cell r="A245" t="str">
            <v>I_LKI_NRF_IRD_IRD_INTR_C12</v>
          </cell>
          <cell r="B245">
            <v>0</v>
          </cell>
          <cell r="C245">
            <v>0</v>
          </cell>
          <cell r="D245">
            <v>0</v>
          </cell>
          <cell r="E245">
            <v>0</v>
          </cell>
          <cell r="F245">
            <v>0</v>
          </cell>
          <cell r="G245">
            <v>0</v>
          </cell>
          <cell r="H245">
            <v>0</v>
          </cell>
          <cell r="I245">
            <v>0</v>
          </cell>
          <cell r="J245">
            <v>0</v>
          </cell>
          <cell r="K245">
            <v>0</v>
          </cell>
          <cell r="L245">
            <v>0</v>
          </cell>
          <cell r="M245">
            <v>0</v>
          </cell>
          <cell r="N245">
            <v>0</v>
          </cell>
          <cell r="O245">
            <v>0</v>
          </cell>
          <cell r="P245">
            <v>0</v>
          </cell>
          <cell r="Q245">
            <v>0</v>
          </cell>
          <cell r="R245">
            <v>0</v>
          </cell>
          <cell r="S245">
            <v>0</v>
          </cell>
          <cell r="T245">
            <v>0</v>
          </cell>
          <cell r="U245">
            <v>0</v>
          </cell>
          <cell r="V245">
            <v>0</v>
          </cell>
          <cell r="W245">
            <v>0</v>
          </cell>
          <cell r="X245">
            <v>0</v>
          </cell>
          <cell r="Y245">
            <v>0</v>
          </cell>
          <cell r="Z245">
            <v>0</v>
          </cell>
          <cell r="AA245">
            <v>0</v>
          </cell>
          <cell r="AB245">
            <v>0</v>
          </cell>
          <cell r="AC245">
            <v>0</v>
          </cell>
          <cell r="AD245">
            <v>0</v>
          </cell>
          <cell r="AE245">
            <v>0</v>
          </cell>
          <cell r="AF245">
            <v>0</v>
          </cell>
          <cell r="AG245">
            <v>0</v>
          </cell>
          <cell r="AH245">
            <v>0</v>
          </cell>
          <cell r="AI245">
            <v>0</v>
          </cell>
          <cell r="AJ245">
            <v>0</v>
          </cell>
          <cell r="AK245">
            <v>0</v>
          </cell>
          <cell r="AL245">
            <v>0</v>
          </cell>
          <cell r="AM245">
            <v>0</v>
          </cell>
          <cell r="AN245">
            <v>0</v>
          </cell>
          <cell r="AO245">
            <v>0</v>
          </cell>
          <cell r="AP245">
            <v>0</v>
          </cell>
          <cell r="AQ245">
            <v>0</v>
          </cell>
          <cell r="AR245">
            <v>0</v>
          </cell>
          <cell r="AS245">
            <v>0</v>
          </cell>
          <cell r="AT245">
            <v>0</v>
          </cell>
          <cell r="AU245">
            <v>0</v>
          </cell>
          <cell r="AV245">
            <v>0</v>
          </cell>
          <cell r="AW245">
            <v>0</v>
          </cell>
          <cell r="AX245">
            <v>0</v>
          </cell>
          <cell r="AY245">
            <v>0</v>
          </cell>
          <cell r="AZ245">
            <v>0</v>
          </cell>
          <cell r="BA245">
            <v>0</v>
          </cell>
          <cell r="BB245">
            <v>0</v>
          </cell>
          <cell r="BC245">
            <v>0</v>
          </cell>
          <cell r="BD245">
            <v>0</v>
          </cell>
          <cell r="BE245">
            <v>0</v>
          </cell>
          <cell r="BF245">
            <v>0</v>
          </cell>
          <cell r="BG245">
            <v>0</v>
          </cell>
          <cell r="BH245">
            <v>0</v>
          </cell>
          <cell r="BI245">
            <v>0</v>
          </cell>
          <cell r="BJ245">
            <v>0</v>
          </cell>
          <cell r="BK245">
            <v>0</v>
          </cell>
          <cell r="BL245">
            <v>0</v>
          </cell>
          <cell r="BM245">
            <v>0</v>
          </cell>
          <cell r="BN245">
            <v>0</v>
          </cell>
          <cell r="BO245">
            <v>0</v>
          </cell>
          <cell r="BP245">
            <v>0</v>
          </cell>
          <cell r="BQ245">
            <v>0</v>
          </cell>
          <cell r="BR245">
            <v>0</v>
          </cell>
          <cell r="BS245">
            <v>0</v>
          </cell>
          <cell r="BT245">
            <v>0</v>
          </cell>
          <cell r="BU245">
            <v>0</v>
          </cell>
          <cell r="BV245">
            <v>0</v>
          </cell>
          <cell r="BW245">
            <v>0</v>
          </cell>
          <cell r="BX245">
            <v>0</v>
          </cell>
          <cell r="BY245">
            <v>0</v>
          </cell>
          <cell r="BZ245">
            <v>0</v>
          </cell>
          <cell r="CA245">
            <v>0</v>
          </cell>
          <cell r="CB245">
            <v>0</v>
          </cell>
          <cell r="CC245">
            <v>0</v>
          </cell>
          <cell r="CD245">
            <v>0</v>
          </cell>
          <cell r="CE245">
            <v>0</v>
          </cell>
          <cell r="CF245">
            <v>0</v>
          </cell>
          <cell r="CG245">
            <v>0</v>
          </cell>
          <cell r="CH245">
            <v>0</v>
          </cell>
          <cell r="CI245">
            <v>0</v>
          </cell>
          <cell r="CJ245">
            <v>0</v>
          </cell>
          <cell r="CK245">
            <v>0</v>
          </cell>
          <cell r="CL245">
            <v>0</v>
          </cell>
          <cell r="CM245">
            <v>0</v>
          </cell>
          <cell r="CN245">
            <v>0</v>
          </cell>
          <cell r="CO245">
            <v>0</v>
          </cell>
          <cell r="CP245">
            <v>0</v>
          </cell>
          <cell r="CQ245">
            <v>0</v>
          </cell>
          <cell r="CR245">
            <v>0</v>
          </cell>
          <cell r="CS245">
            <v>0</v>
          </cell>
          <cell r="CT245">
            <v>0</v>
          </cell>
          <cell r="CU245">
            <v>0</v>
          </cell>
          <cell r="CV245">
            <v>0</v>
          </cell>
          <cell r="CW245">
            <v>0</v>
          </cell>
          <cell r="CX245">
            <v>0</v>
          </cell>
          <cell r="CY245">
            <v>0</v>
          </cell>
          <cell r="CZ245">
            <v>0</v>
          </cell>
          <cell r="DA245">
            <v>0</v>
          </cell>
          <cell r="DB245">
            <v>0</v>
          </cell>
          <cell r="DC245">
            <v>0</v>
          </cell>
          <cell r="DD245">
            <v>0</v>
          </cell>
          <cell r="DE245">
            <v>0</v>
          </cell>
          <cell r="DF245">
            <v>0</v>
          </cell>
          <cell r="DG245">
            <v>0</v>
          </cell>
          <cell r="DH245">
            <v>0</v>
          </cell>
          <cell r="DI245">
            <v>0</v>
          </cell>
          <cell r="DJ245">
            <v>0</v>
          </cell>
          <cell r="DK245">
            <v>0</v>
          </cell>
          <cell r="DL245">
            <v>0</v>
          </cell>
          <cell r="DM245">
            <v>0</v>
          </cell>
          <cell r="DN245">
            <v>0</v>
          </cell>
          <cell r="DO245">
            <v>0</v>
          </cell>
          <cell r="DP245">
            <v>0</v>
          </cell>
          <cell r="DQ245">
            <v>0</v>
          </cell>
          <cell r="DR245">
            <v>0</v>
          </cell>
          <cell r="DS245">
            <v>0</v>
          </cell>
          <cell r="DT245">
            <v>0</v>
          </cell>
          <cell r="DU245">
            <v>0</v>
          </cell>
          <cell r="DV245">
            <v>0</v>
          </cell>
          <cell r="DW245">
            <v>0</v>
          </cell>
          <cell r="EA245">
            <v>0</v>
          </cell>
          <cell r="EB245">
            <v>0</v>
          </cell>
          <cell r="EC245">
            <v>0</v>
          </cell>
          <cell r="ED245">
            <v>0</v>
          </cell>
          <cell r="EE245">
            <v>0</v>
          </cell>
          <cell r="EF245">
            <v>0</v>
          </cell>
          <cell r="EG245">
            <v>0</v>
          </cell>
          <cell r="EH245">
            <v>0</v>
          </cell>
          <cell r="EI245">
            <v>0</v>
          </cell>
          <cell r="EJ245">
            <v>0</v>
          </cell>
          <cell r="EK245">
            <v>0</v>
          </cell>
          <cell r="EL245">
            <v>0</v>
          </cell>
          <cell r="EM245">
            <v>0</v>
          </cell>
          <cell r="EN245">
            <v>0</v>
          </cell>
          <cell r="EO245">
            <v>0</v>
          </cell>
          <cell r="EP245">
            <v>0</v>
          </cell>
          <cell r="EQ245">
            <v>0</v>
          </cell>
          <cell r="ER245">
            <v>0</v>
          </cell>
          <cell r="ES245">
            <v>0</v>
          </cell>
          <cell r="ET245">
            <v>0</v>
          </cell>
          <cell r="EU245">
            <v>0</v>
          </cell>
          <cell r="EV245">
            <v>0</v>
          </cell>
          <cell r="EW245">
            <v>0</v>
          </cell>
          <cell r="EX245">
            <v>0</v>
          </cell>
          <cell r="EY245">
            <v>0</v>
          </cell>
          <cell r="EZ245">
            <v>0</v>
          </cell>
          <cell r="FA245">
            <v>0</v>
          </cell>
          <cell r="FB245">
            <v>0</v>
          </cell>
          <cell r="FC245">
            <v>0</v>
          </cell>
          <cell r="FE245">
            <v>0</v>
          </cell>
          <cell r="FF245">
            <v>0</v>
          </cell>
          <cell r="FG245">
            <v>0</v>
          </cell>
          <cell r="FH245">
            <v>0</v>
          </cell>
          <cell r="FI245">
            <v>0</v>
          </cell>
          <cell r="FJ245">
            <v>0</v>
          </cell>
          <cell r="FK245">
            <v>0</v>
          </cell>
          <cell r="FL245">
            <v>0</v>
          </cell>
          <cell r="FM245">
            <v>0</v>
          </cell>
          <cell r="FN245">
            <v>0</v>
          </cell>
          <cell r="FO245">
            <v>0</v>
          </cell>
          <cell r="FP245">
            <v>0</v>
          </cell>
          <cell r="FQ245">
            <v>0</v>
          </cell>
          <cell r="FR245">
            <v>0</v>
          </cell>
          <cell r="FS245">
            <v>0</v>
          </cell>
          <cell r="FT245">
            <v>0</v>
          </cell>
          <cell r="FU245">
            <v>0</v>
          </cell>
          <cell r="FV245">
            <v>0</v>
          </cell>
          <cell r="FW245">
            <v>0</v>
          </cell>
          <cell r="FX245">
            <v>0</v>
          </cell>
          <cell r="FY245">
            <v>0</v>
          </cell>
          <cell r="FZ245">
            <v>0</v>
          </cell>
          <cell r="GA245">
            <v>0</v>
          </cell>
          <cell r="GB245">
            <v>0</v>
          </cell>
          <cell r="GC245">
            <v>0</v>
          </cell>
          <cell r="GD245">
            <v>0</v>
          </cell>
          <cell r="GE245">
            <v>0</v>
          </cell>
          <cell r="GF245">
            <v>0</v>
          </cell>
          <cell r="GG245">
            <v>0</v>
          </cell>
          <cell r="GH245">
            <v>0</v>
          </cell>
          <cell r="GI245">
            <v>0</v>
          </cell>
          <cell r="GJ245">
            <v>0</v>
          </cell>
          <cell r="GK245">
            <v>0</v>
          </cell>
          <cell r="GL245">
            <v>0</v>
          </cell>
          <cell r="GM245">
            <v>0</v>
          </cell>
          <cell r="GN245">
            <v>0</v>
          </cell>
          <cell r="GO245">
            <v>0</v>
          </cell>
          <cell r="GP245">
            <v>0</v>
          </cell>
          <cell r="GQ245">
            <v>0</v>
          </cell>
          <cell r="GR245">
            <v>0</v>
          </cell>
          <cell r="GS245">
            <v>0</v>
          </cell>
          <cell r="GT245">
            <v>0</v>
          </cell>
          <cell r="GZ245">
            <v>0</v>
          </cell>
        </row>
        <row r="246">
          <cell r="A246" t="str">
            <v>I_LKI_NRF_IRD_IRD_INTR_C13</v>
          </cell>
          <cell r="B246">
            <v>927677.3899999999</v>
          </cell>
          <cell r="C246">
            <v>0</v>
          </cell>
          <cell r="D246">
            <v>927677.38999999897</v>
          </cell>
          <cell r="E246">
            <v>819586.92577711772</v>
          </cell>
          <cell r="F246">
            <v>535608.10750042868</v>
          </cell>
          <cell r="G246">
            <v>535608.10750042868</v>
          </cell>
          <cell r="H246">
            <v>0</v>
          </cell>
          <cell r="I246">
            <v>0</v>
          </cell>
          <cell r="J246">
            <v>0</v>
          </cell>
          <cell r="K246">
            <v>0</v>
          </cell>
          <cell r="L246">
            <v>0</v>
          </cell>
          <cell r="M246">
            <v>0</v>
          </cell>
          <cell r="N246">
            <v>0</v>
          </cell>
          <cell r="O246">
            <v>0</v>
          </cell>
          <cell r="P246">
            <v>0</v>
          </cell>
          <cell r="Q246">
            <v>0</v>
          </cell>
          <cell r="R246">
            <v>0</v>
          </cell>
          <cell r="S246">
            <v>502894.03881361027</v>
          </cell>
          <cell r="T246">
            <v>0</v>
          </cell>
          <cell r="U246">
            <v>0</v>
          </cell>
          <cell r="V246">
            <v>0</v>
          </cell>
          <cell r="W246">
            <v>0</v>
          </cell>
          <cell r="X246">
            <v>0</v>
          </cell>
          <cell r="Y246">
            <v>0</v>
          </cell>
          <cell r="Z246">
            <v>0</v>
          </cell>
          <cell r="AA246">
            <v>0</v>
          </cell>
          <cell r="AB246">
            <v>542833.45947392285</v>
          </cell>
          <cell r="AC246">
            <v>528393.10446554818</v>
          </cell>
          <cell r="AD246">
            <v>0</v>
          </cell>
          <cell r="AE246">
            <v>0</v>
          </cell>
          <cell r="AF246">
            <v>0</v>
          </cell>
          <cell r="AG246">
            <v>0</v>
          </cell>
          <cell r="AH246">
            <v>0</v>
          </cell>
          <cell r="AI246">
            <v>0</v>
          </cell>
          <cell r="AJ246">
            <v>0</v>
          </cell>
          <cell r="AK246">
            <v>0</v>
          </cell>
          <cell r="AL246">
            <v>0</v>
          </cell>
          <cell r="AM246">
            <v>0</v>
          </cell>
          <cell r="AN246">
            <v>0</v>
          </cell>
          <cell r="AO246">
            <v>475557.99459177867</v>
          </cell>
          <cell r="AP246">
            <v>0</v>
          </cell>
          <cell r="AQ246">
            <v>0</v>
          </cell>
          <cell r="AR246">
            <v>0</v>
          </cell>
          <cell r="AS246">
            <v>0</v>
          </cell>
          <cell r="AT246">
            <v>0</v>
          </cell>
          <cell r="AU246">
            <v>0</v>
          </cell>
          <cell r="AV246">
            <v>0</v>
          </cell>
          <cell r="AW246">
            <v>0</v>
          </cell>
          <cell r="AX246">
            <v>819586.92577711772</v>
          </cell>
          <cell r="AY246">
            <v>819586.92577711772</v>
          </cell>
          <cell r="AZ246">
            <v>0</v>
          </cell>
          <cell r="BA246">
            <v>0</v>
          </cell>
          <cell r="BB246">
            <v>819586.92577711772</v>
          </cell>
          <cell r="BC246">
            <v>0</v>
          </cell>
          <cell r="BD246">
            <v>0</v>
          </cell>
          <cell r="BE246">
            <v>0</v>
          </cell>
          <cell r="BF246">
            <v>0</v>
          </cell>
          <cell r="BG246">
            <v>0</v>
          </cell>
          <cell r="BH246">
            <v>0</v>
          </cell>
          <cell r="BI246">
            <v>819586.92577711772</v>
          </cell>
          <cell r="BJ246">
            <v>0</v>
          </cell>
          <cell r="BK246">
            <v>819586.92577711772</v>
          </cell>
          <cell r="BL246">
            <v>0</v>
          </cell>
          <cell r="BM246">
            <v>0</v>
          </cell>
          <cell r="BN246">
            <v>0</v>
          </cell>
          <cell r="BO246">
            <v>0</v>
          </cell>
          <cell r="BP246">
            <v>0</v>
          </cell>
          <cell r="BQ246">
            <v>0</v>
          </cell>
          <cell r="BR246">
            <v>0</v>
          </cell>
          <cell r="BS246">
            <v>819586.92577711772</v>
          </cell>
          <cell r="BT246">
            <v>828200.59871748486</v>
          </cell>
          <cell r="BU246">
            <v>807557.01006022014</v>
          </cell>
          <cell r="BV246">
            <v>0</v>
          </cell>
          <cell r="BW246">
            <v>0</v>
          </cell>
          <cell r="BX246">
            <v>0</v>
          </cell>
          <cell r="BY246">
            <v>0</v>
          </cell>
          <cell r="BZ246">
            <v>0</v>
          </cell>
          <cell r="CA246">
            <v>0</v>
          </cell>
          <cell r="CB246">
            <v>0</v>
          </cell>
          <cell r="CC246">
            <v>0</v>
          </cell>
          <cell r="CD246">
            <v>0</v>
          </cell>
          <cell r="CE246">
            <v>0</v>
          </cell>
          <cell r="CF246">
            <v>0</v>
          </cell>
          <cell r="CG246">
            <v>819586.92577711772</v>
          </cell>
          <cell r="CH246">
            <v>0</v>
          </cell>
          <cell r="CI246">
            <v>0</v>
          </cell>
          <cell r="CJ246">
            <v>0</v>
          </cell>
          <cell r="CK246">
            <v>0</v>
          </cell>
          <cell r="CL246">
            <v>0</v>
          </cell>
          <cell r="CM246">
            <v>0</v>
          </cell>
          <cell r="CN246">
            <v>0</v>
          </cell>
          <cell r="CO246">
            <v>821372.06960865739</v>
          </cell>
          <cell r="CP246">
            <v>0</v>
          </cell>
          <cell r="CQ246">
            <v>0</v>
          </cell>
          <cell r="CR246">
            <v>0</v>
          </cell>
          <cell r="CS246">
            <v>0</v>
          </cell>
          <cell r="CT246">
            <v>0</v>
          </cell>
          <cell r="CU246">
            <v>0</v>
          </cell>
          <cell r="CV246">
            <v>0</v>
          </cell>
          <cell r="CW246">
            <v>0</v>
          </cell>
          <cell r="CX246">
            <v>0</v>
          </cell>
          <cell r="CY246">
            <v>0</v>
          </cell>
          <cell r="CZ246">
            <v>0</v>
          </cell>
          <cell r="DA246">
            <v>0</v>
          </cell>
          <cell r="DB246">
            <v>0</v>
          </cell>
          <cell r="DC246">
            <v>0</v>
          </cell>
          <cell r="DD246">
            <v>0</v>
          </cell>
          <cell r="DE246">
            <v>0</v>
          </cell>
          <cell r="DF246">
            <v>0</v>
          </cell>
          <cell r="DG246">
            <v>0</v>
          </cell>
          <cell r="DH246">
            <v>0</v>
          </cell>
          <cell r="DI246">
            <v>0</v>
          </cell>
          <cell r="DJ246">
            <v>0</v>
          </cell>
          <cell r="DK246">
            <v>0</v>
          </cell>
          <cell r="DL246">
            <v>0</v>
          </cell>
          <cell r="DM246">
            <v>0</v>
          </cell>
          <cell r="DN246">
            <v>0</v>
          </cell>
          <cell r="DO246">
            <v>0</v>
          </cell>
          <cell r="DP246">
            <v>0</v>
          </cell>
          <cell r="DQ246">
            <v>0</v>
          </cell>
          <cell r="DR246">
            <v>0</v>
          </cell>
          <cell r="DS246">
            <v>0</v>
          </cell>
          <cell r="DT246">
            <v>0</v>
          </cell>
          <cell r="DU246">
            <v>0</v>
          </cell>
          <cell r="DV246">
            <v>0</v>
          </cell>
          <cell r="DW246">
            <v>0</v>
          </cell>
          <cell r="EA246">
            <v>0</v>
          </cell>
          <cell r="EB246">
            <v>0</v>
          </cell>
          <cell r="EC246">
            <v>0</v>
          </cell>
          <cell r="ED246">
            <v>0</v>
          </cell>
          <cell r="EE246">
            <v>0</v>
          </cell>
          <cell r="EF246">
            <v>0</v>
          </cell>
          <cell r="EG246">
            <v>0</v>
          </cell>
          <cell r="EH246">
            <v>0</v>
          </cell>
          <cell r="EI246">
            <v>0</v>
          </cell>
          <cell r="EJ246">
            <v>0</v>
          </cell>
          <cell r="EK246">
            <v>0</v>
          </cell>
          <cell r="EL246">
            <v>0</v>
          </cell>
          <cell r="EM246">
            <v>0</v>
          </cell>
          <cell r="EN246">
            <v>0</v>
          </cell>
          <cell r="EO246">
            <v>0</v>
          </cell>
          <cell r="EP246">
            <v>0</v>
          </cell>
          <cell r="EQ246">
            <v>0</v>
          </cell>
          <cell r="ER246">
            <v>0</v>
          </cell>
          <cell r="ES246">
            <v>0</v>
          </cell>
          <cell r="ET246">
            <v>0</v>
          </cell>
          <cell r="EU246">
            <v>0</v>
          </cell>
          <cell r="EV246">
            <v>0</v>
          </cell>
          <cell r="EW246">
            <v>0</v>
          </cell>
          <cell r="EX246">
            <v>0</v>
          </cell>
          <cell r="EY246">
            <v>0</v>
          </cell>
          <cell r="EZ246">
            <v>0</v>
          </cell>
          <cell r="FA246">
            <v>0</v>
          </cell>
          <cell r="FB246">
            <v>0</v>
          </cell>
          <cell r="FC246">
            <v>0</v>
          </cell>
          <cell r="FE246">
            <v>819586.92577711772</v>
          </cell>
          <cell r="FF246">
            <v>828200.59871748486</v>
          </cell>
          <cell r="FG246">
            <v>807557.01006022014</v>
          </cell>
          <cell r="FH246">
            <v>0</v>
          </cell>
          <cell r="FI246">
            <v>0</v>
          </cell>
          <cell r="FJ246">
            <v>0</v>
          </cell>
          <cell r="FK246">
            <v>0</v>
          </cell>
          <cell r="FL246">
            <v>0</v>
          </cell>
          <cell r="FM246">
            <v>0</v>
          </cell>
          <cell r="FN246">
            <v>0</v>
          </cell>
          <cell r="FO246">
            <v>0</v>
          </cell>
          <cell r="FP246">
            <v>0</v>
          </cell>
          <cell r="FQ246">
            <v>0</v>
          </cell>
          <cell r="FR246">
            <v>0</v>
          </cell>
          <cell r="FS246">
            <v>819586.92577711772</v>
          </cell>
          <cell r="FT246">
            <v>0</v>
          </cell>
          <cell r="FU246">
            <v>0</v>
          </cell>
          <cell r="FV246">
            <v>0</v>
          </cell>
          <cell r="FW246">
            <v>0</v>
          </cell>
          <cell r="FX246">
            <v>0</v>
          </cell>
          <cell r="FY246">
            <v>0</v>
          </cell>
          <cell r="FZ246">
            <v>0</v>
          </cell>
          <cell r="GA246">
            <v>821372.06960865739</v>
          </cell>
          <cell r="GB246">
            <v>0</v>
          </cell>
          <cell r="GC246">
            <v>0</v>
          </cell>
          <cell r="GD246">
            <v>0</v>
          </cell>
          <cell r="GE246">
            <v>0</v>
          </cell>
          <cell r="GF246">
            <v>0</v>
          </cell>
          <cell r="GG246">
            <v>0</v>
          </cell>
          <cell r="GH246">
            <v>0</v>
          </cell>
          <cell r="GI246">
            <v>0</v>
          </cell>
          <cell r="GJ246">
            <v>0</v>
          </cell>
          <cell r="GK246">
            <v>0</v>
          </cell>
          <cell r="GL246">
            <v>0</v>
          </cell>
          <cell r="GM246">
            <v>0</v>
          </cell>
          <cell r="GN246">
            <v>0</v>
          </cell>
          <cell r="GO246">
            <v>0</v>
          </cell>
          <cell r="GP246">
            <v>0</v>
          </cell>
          <cell r="GQ246">
            <v>0</v>
          </cell>
          <cell r="GR246">
            <v>0</v>
          </cell>
          <cell r="GS246">
            <v>0</v>
          </cell>
          <cell r="GT246">
            <v>0</v>
          </cell>
          <cell r="GZ246">
            <v>0</v>
          </cell>
        </row>
        <row r="247">
          <cell r="A247" t="str">
            <v>I_LKI_NRF_IRD_IRD_INTR_C14</v>
          </cell>
          <cell r="B247">
            <v>5456184.3209999995</v>
          </cell>
          <cell r="C247">
            <v>0</v>
          </cell>
          <cell r="D247">
            <v>5456184.3209999967</v>
          </cell>
          <cell r="E247">
            <v>7146292.5695564272</v>
          </cell>
          <cell r="F247">
            <v>3150207.8091439982</v>
          </cell>
          <cell r="G247">
            <v>3150207.8091439982</v>
          </cell>
          <cell r="H247">
            <v>0</v>
          </cell>
          <cell r="I247">
            <v>0</v>
          </cell>
          <cell r="J247">
            <v>0</v>
          </cell>
          <cell r="K247">
            <v>0</v>
          </cell>
          <cell r="L247">
            <v>0</v>
          </cell>
          <cell r="M247">
            <v>0</v>
          </cell>
          <cell r="N247">
            <v>0</v>
          </cell>
          <cell r="O247">
            <v>0</v>
          </cell>
          <cell r="P247">
            <v>0</v>
          </cell>
          <cell r="Q247">
            <v>0</v>
          </cell>
          <cell r="R247">
            <v>0</v>
          </cell>
          <cell r="S247">
            <v>2957798.2596936915</v>
          </cell>
          <cell r="T247">
            <v>0</v>
          </cell>
          <cell r="U247">
            <v>0</v>
          </cell>
          <cell r="V247">
            <v>0</v>
          </cell>
          <cell r="W247">
            <v>0</v>
          </cell>
          <cell r="X247">
            <v>0</v>
          </cell>
          <cell r="Y247">
            <v>0</v>
          </cell>
          <cell r="Z247">
            <v>0</v>
          </cell>
          <cell r="AA247">
            <v>0</v>
          </cell>
          <cell r="AB247">
            <v>3192704.1042746631</v>
          </cell>
          <cell r="AC247">
            <v>3107772.3818508065</v>
          </cell>
          <cell r="AD247">
            <v>0</v>
          </cell>
          <cell r="AE247">
            <v>0</v>
          </cell>
          <cell r="AF247">
            <v>0</v>
          </cell>
          <cell r="AG247">
            <v>0</v>
          </cell>
          <cell r="AH247">
            <v>0</v>
          </cell>
          <cell r="AI247">
            <v>0</v>
          </cell>
          <cell r="AJ247">
            <v>0</v>
          </cell>
          <cell r="AK247">
            <v>0</v>
          </cell>
          <cell r="AL247">
            <v>0</v>
          </cell>
          <cell r="AM247">
            <v>0</v>
          </cell>
          <cell r="AN247">
            <v>0</v>
          </cell>
          <cell r="AO247">
            <v>2797019.8495598412</v>
          </cell>
          <cell r="AP247">
            <v>0</v>
          </cell>
          <cell r="AQ247">
            <v>0</v>
          </cell>
          <cell r="AR247">
            <v>0</v>
          </cell>
          <cell r="AS247">
            <v>0</v>
          </cell>
          <cell r="AT247">
            <v>0</v>
          </cell>
          <cell r="AU247">
            <v>0</v>
          </cell>
          <cell r="AV247">
            <v>0</v>
          </cell>
          <cell r="AW247">
            <v>0</v>
          </cell>
          <cell r="AX247">
            <v>7146292.5695564272</v>
          </cell>
          <cell r="AY247">
            <v>7146292.5695564272</v>
          </cell>
          <cell r="AZ247">
            <v>0</v>
          </cell>
          <cell r="BA247">
            <v>0</v>
          </cell>
          <cell r="BB247">
            <v>7146292.5695564272</v>
          </cell>
          <cell r="BC247">
            <v>0</v>
          </cell>
          <cell r="BD247">
            <v>0</v>
          </cell>
          <cell r="BE247">
            <v>0</v>
          </cell>
          <cell r="BF247">
            <v>0</v>
          </cell>
          <cell r="BG247">
            <v>0</v>
          </cell>
          <cell r="BH247">
            <v>0</v>
          </cell>
          <cell r="BI247">
            <v>7146292.5695564272</v>
          </cell>
          <cell r="BJ247">
            <v>0</v>
          </cell>
          <cell r="BK247">
            <v>7146292.5695564272</v>
          </cell>
          <cell r="BL247">
            <v>0</v>
          </cell>
          <cell r="BM247">
            <v>0</v>
          </cell>
          <cell r="BN247">
            <v>0</v>
          </cell>
          <cell r="BO247">
            <v>0</v>
          </cell>
          <cell r="BP247">
            <v>0</v>
          </cell>
          <cell r="BQ247">
            <v>0</v>
          </cell>
          <cell r="BR247">
            <v>0</v>
          </cell>
          <cell r="BS247">
            <v>7146292.5695564272</v>
          </cell>
          <cell r="BT247">
            <v>7315122.4512750525</v>
          </cell>
          <cell r="BU247">
            <v>6973731.9000278162</v>
          </cell>
          <cell r="BV247">
            <v>0</v>
          </cell>
          <cell r="BW247">
            <v>0</v>
          </cell>
          <cell r="BX247">
            <v>0</v>
          </cell>
          <cell r="BY247">
            <v>0</v>
          </cell>
          <cell r="BZ247">
            <v>0</v>
          </cell>
          <cell r="CA247">
            <v>0</v>
          </cell>
          <cell r="CB247">
            <v>0</v>
          </cell>
          <cell r="CC247">
            <v>0</v>
          </cell>
          <cell r="CD247">
            <v>0</v>
          </cell>
          <cell r="CE247">
            <v>0</v>
          </cell>
          <cell r="CF247">
            <v>0</v>
          </cell>
          <cell r="CG247">
            <v>7146292.5695564272</v>
          </cell>
          <cell r="CH247">
            <v>0</v>
          </cell>
          <cell r="CI247">
            <v>0</v>
          </cell>
          <cell r="CJ247">
            <v>0</v>
          </cell>
          <cell r="CK247">
            <v>0</v>
          </cell>
          <cell r="CL247">
            <v>0</v>
          </cell>
          <cell r="CM247">
            <v>0</v>
          </cell>
          <cell r="CN247">
            <v>0</v>
          </cell>
          <cell r="CO247">
            <v>7172174.0071574589</v>
          </cell>
          <cell r="CP247">
            <v>0</v>
          </cell>
          <cell r="CQ247">
            <v>0</v>
          </cell>
          <cell r="CR247">
            <v>0</v>
          </cell>
          <cell r="CS247">
            <v>0</v>
          </cell>
          <cell r="CT247">
            <v>0</v>
          </cell>
          <cell r="CU247">
            <v>0</v>
          </cell>
          <cell r="CV247">
            <v>0</v>
          </cell>
          <cell r="CW247">
            <v>0</v>
          </cell>
          <cell r="CX247">
            <v>0</v>
          </cell>
          <cell r="CY247">
            <v>0</v>
          </cell>
          <cell r="CZ247">
            <v>0</v>
          </cell>
          <cell r="DA247">
            <v>0</v>
          </cell>
          <cell r="DB247">
            <v>0</v>
          </cell>
          <cell r="DC247">
            <v>0</v>
          </cell>
          <cell r="DD247">
            <v>0</v>
          </cell>
          <cell r="DE247">
            <v>0</v>
          </cell>
          <cell r="DF247">
            <v>0</v>
          </cell>
          <cell r="DG247">
            <v>0</v>
          </cell>
          <cell r="DH247">
            <v>0</v>
          </cell>
          <cell r="DI247">
            <v>0</v>
          </cell>
          <cell r="DJ247">
            <v>0</v>
          </cell>
          <cell r="DK247">
            <v>0</v>
          </cell>
          <cell r="DL247">
            <v>0</v>
          </cell>
          <cell r="DM247">
            <v>0</v>
          </cell>
          <cell r="DN247">
            <v>0</v>
          </cell>
          <cell r="DO247">
            <v>0</v>
          </cell>
          <cell r="DP247">
            <v>0</v>
          </cell>
          <cell r="DQ247">
            <v>0</v>
          </cell>
          <cell r="DR247">
            <v>0</v>
          </cell>
          <cell r="DS247">
            <v>0</v>
          </cell>
          <cell r="DT247">
            <v>0</v>
          </cell>
          <cell r="DU247">
            <v>0</v>
          </cell>
          <cell r="DV247">
            <v>0</v>
          </cell>
          <cell r="DW247">
            <v>0</v>
          </cell>
          <cell r="EA247">
            <v>0</v>
          </cell>
          <cell r="EB247">
            <v>0</v>
          </cell>
          <cell r="EC247">
            <v>0</v>
          </cell>
          <cell r="ED247">
            <v>0</v>
          </cell>
          <cell r="EE247">
            <v>0</v>
          </cell>
          <cell r="EF247">
            <v>0</v>
          </cell>
          <cell r="EG247">
            <v>0</v>
          </cell>
          <cell r="EH247">
            <v>0</v>
          </cell>
          <cell r="EI247">
            <v>0</v>
          </cell>
          <cell r="EJ247">
            <v>0</v>
          </cell>
          <cell r="EK247">
            <v>0</v>
          </cell>
          <cell r="EL247">
            <v>0</v>
          </cell>
          <cell r="EM247">
            <v>0</v>
          </cell>
          <cell r="EN247">
            <v>0</v>
          </cell>
          <cell r="EO247">
            <v>0</v>
          </cell>
          <cell r="EP247">
            <v>0</v>
          </cell>
          <cell r="EQ247">
            <v>0</v>
          </cell>
          <cell r="ER247">
            <v>0</v>
          </cell>
          <cell r="ES247">
            <v>0</v>
          </cell>
          <cell r="ET247">
            <v>0</v>
          </cell>
          <cell r="EU247">
            <v>0</v>
          </cell>
          <cell r="EV247">
            <v>0</v>
          </cell>
          <cell r="EW247">
            <v>0</v>
          </cell>
          <cell r="EX247">
            <v>0</v>
          </cell>
          <cell r="EY247">
            <v>0</v>
          </cell>
          <cell r="EZ247">
            <v>0</v>
          </cell>
          <cell r="FA247">
            <v>0</v>
          </cell>
          <cell r="FB247">
            <v>0</v>
          </cell>
          <cell r="FC247">
            <v>0</v>
          </cell>
          <cell r="FE247">
            <v>7146292.5695564272</v>
          </cell>
          <cell r="FF247">
            <v>7315122.4512750525</v>
          </cell>
          <cell r="FG247">
            <v>6973731.9000278162</v>
          </cell>
          <cell r="FH247">
            <v>0</v>
          </cell>
          <cell r="FI247">
            <v>0</v>
          </cell>
          <cell r="FJ247">
            <v>0</v>
          </cell>
          <cell r="FK247">
            <v>0</v>
          </cell>
          <cell r="FL247">
            <v>0</v>
          </cell>
          <cell r="FM247">
            <v>0</v>
          </cell>
          <cell r="FN247">
            <v>0</v>
          </cell>
          <cell r="FO247">
            <v>0</v>
          </cell>
          <cell r="FP247">
            <v>0</v>
          </cell>
          <cell r="FQ247">
            <v>0</v>
          </cell>
          <cell r="FR247">
            <v>0</v>
          </cell>
          <cell r="FS247">
            <v>7146292.5695564272</v>
          </cell>
          <cell r="FT247">
            <v>0</v>
          </cell>
          <cell r="FU247">
            <v>0</v>
          </cell>
          <cell r="FV247">
            <v>0</v>
          </cell>
          <cell r="FW247">
            <v>0</v>
          </cell>
          <cell r="FX247">
            <v>0</v>
          </cell>
          <cell r="FY247">
            <v>0</v>
          </cell>
          <cell r="FZ247">
            <v>0</v>
          </cell>
          <cell r="GA247">
            <v>7172174.0071574589</v>
          </cell>
          <cell r="GB247">
            <v>0</v>
          </cell>
          <cell r="GC247">
            <v>0</v>
          </cell>
          <cell r="GD247">
            <v>0</v>
          </cell>
          <cell r="GE247">
            <v>0</v>
          </cell>
          <cell r="GF247">
            <v>0</v>
          </cell>
          <cell r="GG247">
            <v>0</v>
          </cell>
          <cell r="GH247">
            <v>0</v>
          </cell>
          <cell r="GI247">
            <v>0</v>
          </cell>
          <cell r="GJ247">
            <v>0</v>
          </cell>
          <cell r="GK247">
            <v>0</v>
          </cell>
          <cell r="GL247">
            <v>0</v>
          </cell>
          <cell r="GM247">
            <v>0</v>
          </cell>
          <cell r="GN247">
            <v>0</v>
          </cell>
          <cell r="GO247">
            <v>0</v>
          </cell>
          <cell r="GP247">
            <v>0</v>
          </cell>
          <cell r="GQ247">
            <v>0</v>
          </cell>
          <cell r="GR247">
            <v>0</v>
          </cell>
          <cell r="GS247">
            <v>0</v>
          </cell>
          <cell r="GT247">
            <v>0</v>
          </cell>
          <cell r="GZ247">
            <v>0</v>
          </cell>
        </row>
        <row r="248">
          <cell r="A248" t="str">
            <v>I_LKI_NRF_IRD_IRD_INTR_C15</v>
          </cell>
          <cell r="B248">
            <v>30918377.818999998</v>
          </cell>
          <cell r="C248">
            <v>0</v>
          </cell>
          <cell r="D248">
            <v>30918377.818999995</v>
          </cell>
          <cell r="E248">
            <v>28585170.278225709</v>
          </cell>
          <cell r="F248">
            <v>17851177.585149322</v>
          </cell>
          <cell r="G248">
            <v>17851177.585149322</v>
          </cell>
          <cell r="H248">
            <v>0</v>
          </cell>
          <cell r="I248">
            <v>0</v>
          </cell>
          <cell r="J248">
            <v>0</v>
          </cell>
          <cell r="K248">
            <v>0</v>
          </cell>
          <cell r="L248">
            <v>0</v>
          </cell>
          <cell r="M248">
            <v>0</v>
          </cell>
          <cell r="N248">
            <v>0</v>
          </cell>
          <cell r="O248">
            <v>0</v>
          </cell>
          <cell r="P248">
            <v>0</v>
          </cell>
          <cell r="Q248">
            <v>0</v>
          </cell>
          <cell r="R248">
            <v>0</v>
          </cell>
          <cell r="S248">
            <v>16760856.804930918</v>
          </cell>
          <cell r="T248">
            <v>0</v>
          </cell>
          <cell r="U248">
            <v>0</v>
          </cell>
          <cell r="V248">
            <v>0</v>
          </cell>
          <cell r="W248">
            <v>0</v>
          </cell>
          <cell r="X248">
            <v>0</v>
          </cell>
          <cell r="Y248">
            <v>0</v>
          </cell>
          <cell r="Z248">
            <v>0</v>
          </cell>
          <cell r="AA248">
            <v>0</v>
          </cell>
          <cell r="AB248">
            <v>18091989.924223095</v>
          </cell>
          <cell r="AC248">
            <v>17610710.163821235</v>
          </cell>
          <cell r="AD248">
            <v>0</v>
          </cell>
          <cell r="AE248">
            <v>0</v>
          </cell>
          <cell r="AF248">
            <v>0</v>
          </cell>
          <cell r="AG248">
            <v>0</v>
          </cell>
          <cell r="AH248">
            <v>0</v>
          </cell>
          <cell r="AI248">
            <v>0</v>
          </cell>
          <cell r="AJ248">
            <v>0</v>
          </cell>
          <cell r="AK248">
            <v>0</v>
          </cell>
          <cell r="AL248">
            <v>0</v>
          </cell>
          <cell r="AM248">
            <v>0</v>
          </cell>
          <cell r="AN248">
            <v>0</v>
          </cell>
          <cell r="AO248">
            <v>15849779.14750577</v>
          </cell>
          <cell r="AP248">
            <v>0</v>
          </cell>
          <cell r="AQ248">
            <v>0</v>
          </cell>
          <cell r="AR248">
            <v>0</v>
          </cell>
          <cell r="AS248">
            <v>0</v>
          </cell>
          <cell r="AT248">
            <v>0</v>
          </cell>
          <cell r="AU248">
            <v>0</v>
          </cell>
          <cell r="AV248">
            <v>0</v>
          </cell>
          <cell r="AW248">
            <v>0</v>
          </cell>
          <cell r="AX248">
            <v>28585170.278225709</v>
          </cell>
          <cell r="AY248">
            <v>28585170.278225709</v>
          </cell>
          <cell r="AZ248">
            <v>0</v>
          </cell>
          <cell r="BA248">
            <v>0</v>
          </cell>
          <cell r="BB248">
            <v>28585170.278225709</v>
          </cell>
          <cell r="BC248">
            <v>0</v>
          </cell>
          <cell r="BD248">
            <v>0</v>
          </cell>
          <cell r="BE248">
            <v>0</v>
          </cell>
          <cell r="BF248">
            <v>0</v>
          </cell>
          <cell r="BG248">
            <v>0</v>
          </cell>
          <cell r="BH248">
            <v>0</v>
          </cell>
          <cell r="BI248">
            <v>28585170.278225709</v>
          </cell>
          <cell r="BJ248">
            <v>0</v>
          </cell>
          <cell r="BK248">
            <v>28585170.278225709</v>
          </cell>
          <cell r="BL248">
            <v>0</v>
          </cell>
          <cell r="BM248">
            <v>0</v>
          </cell>
          <cell r="BN248">
            <v>0</v>
          </cell>
          <cell r="BO248">
            <v>0</v>
          </cell>
          <cell r="BP248">
            <v>0</v>
          </cell>
          <cell r="BQ248">
            <v>0</v>
          </cell>
          <cell r="BR248">
            <v>0</v>
          </cell>
          <cell r="BS248">
            <v>28585170.278225709</v>
          </cell>
          <cell r="BT248">
            <v>29260489.80510021</v>
          </cell>
          <cell r="BU248">
            <v>27894927.600111265</v>
          </cell>
          <cell r="BV248">
            <v>0</v>
          </cell>
          <cell r="BW248">
            <v>0</v>
          </cell>
          <cell r="BX248">
            <v>0</v>
          </cell>
          <cell r="BY248">
            <v>0</v>
          </cell>
          <cell r="BZ248">
            <v>0</v>
          </cell>
          <cell r="CA248">
            <v>0</v>
          </cell>
          <cell r="CB248">
            <v>0</v>
          </cell>
          <cell r="CC248">
            <v>0</v>
          </cell>
          <cell r="CD248">
            <v>0</v>
          </cell>
          <cell r="CE248">
            <v>0</v>
          </cell>
          <cell r="CF248">
            <v>0</v>
          </cell>
          <cell r="CG248">
            <v>28585170.278225709</v>
          </cell>
          <cell r="CH248">
            <v>0</v>
          </cell>
          <cell r="CI248">
            <v>0</v>
          </cell>
          <cell r="CJ248">
            <v>0</v>
          </cell>
          <cell r="CK248">
            <v>0</v>
          </cell>
          <cell r="CL248">
            <v>0</v>
          </cell>
          <cell r="CM248">
            <v>0</v>
          </cell>
          <cell r="CN248">
            <v>0</v>
          </cell>
          <cell r="CO248">
            <v>28688696.028629836</v>
          </cell>
          <cell r="CP248">
            <v>0</v>
          </cell>
          <cell r="CQ248">
            <v>0</v>
          </cell>
          <cell r="CR248">
            <v>0</v>
          </cell>
          <cell r="CS248">
            <v>0</v>
          </cell>
          <cell r="CT248">
            <v>0</v>
          </cell>
          <cell r="CU248">
            <v>0</v>
          </cell>
          <cell r="CV248">
            <v>0</v>
          </cell>
          <cell r="CW248">
            <v>0</v>
          </cell>
          <cell r="CX248">
            <v>0</v>
          </cell>
          <cell r="CY248">
            <v>0</v>
          </cell>
          <cell r="CZ248">
            <v>0</v>
          </cell>
          <cell r="DA248">
            <v>0</v>
          </cell>
          <cell r="DB248">
            <v>0</v>
          </cell>
          <cell r="DC248">
            <v>0</v>
          </cell>
          <cell r="DD248">
            <v>0</v>
          </cell>
          <cell r="DE248">
            <v>0</v>
          </cell>
          <cell r="DF248">
            <v>0</v>
          </cell>
          <cell r="DG248">
            <v>0</v>
          </cell>
          <cell r="DH248">
            <v>0</v>
          </cell>
          <cell r="DI248">
            <v>0</v>
          </cell>
          <cell r="DJ248">
            <v>0</v>
          </cell>
          <cell r="DK248">
            <v>0</v>
          </cell>
          <cell r="DL248">
            <v>0</v>
          </cell>
          <cell r="DM248">
            <v>0</v>
          </cell>
          <cell r="DN248">
            <v>0</v>
          </cell>
          <cell r="DO248">
            <v>0</v>
          </cell>
          <cell r="DP248">
            <v>0</v>
          </cell>
          <cell r="DQ248">
            <v>0</v>
          </cell>
          <cell r="DR248">
            <v>0</v>
          </cell>
          <cell r="DS248">
            <v>0</v>
          </cell>
          <cell r="DT248">
            <v>0</v>
          </cell>
          <cell r="DU248">
            <v>0</v>
          </cell>
          <cell r="DV248">
            <v>0</v>
          </cell>
          <cell r="DW248">
            <v>0</v>
          </cell>
          <cell r="EA248">
            <v>0</v>
          </cell>
          <cell r="EB248">
            <v>0</v>
          </cell>
          <cell r="EC248">
            <v>0</v>
          </cell>
          <cell r="ED248">
            <v>0</v>
          </cell>
          <cell r="EE248">
            <v>0</v>
          </cell>
          <cell r="EF248">
            <v>0</v>
          </cell>
          <cell r="EG248">
            <v>0</v>
          </cell>
          <cell r="EH248">
            <v>0</v>
          </cell>
          <cell r="EI248">
            <v>0</v>
          </cell>
          <cell r="EJ248">
            <v>0</v>
          </cell>
          <cell r="EK248">
            <v>0</v>
          </cell>
          <cell r="EL248">
            <v>0</v>
          </cell>
          <cell r="EM248">
            <v>0</v>
          </cell>
          <cell r="EN248">
            <v>0</v>
          </cell>
          <cell r="EO248">
            <v>0</v>
          </cell>
          <cell r="EP248">
            <v>0</v>
          </cell>
          <cell r="EQ248">
            <v>0</v>
          </cell>
          <cell r="ER248">
            <v>0</v>
          </cell>
          <cell r="ES248">
            <v>0</v>
          </cell>
          <cell r="ET248">
            <v>0</v>
          </cell>
          <cell r="EU248">
            <v>0</v>
          </cell>
          <cell r="EV248">
            <v>0</v>
          </cell>
          <cell r="EW248">
            <v>0</v>
          </cell>
          <cell r="EX248">
            <v>0</v>
          </cell>
          <cell r="EY248">
            <v>0</v>
          </cell>
          <cell r="EZ248">
            <v>0</v>
          </cell>
          <cell r="FA248">
            <v>0</v>
          </cell>
          <cell r="FB248">
            <v>0</v>
          </cell>
          <cell r="FC248">
            <v>0</v>
          </cell>
          <cell r="FE248">
            <v>28585170.278225709</v>
          </cell>
          <cell r="FF248">
            <v>29260489.80510021</v>
          </cell>
          <cell r="FG248">
            <v>27894927.600111265</v>
          </cell>
          <cell r="FH248">
            <v>0</v>
          </cell>
          <cell r="FI248">
            <v>0</v>
          </cell>
          <cell r="FJ248">
            <v>0</v>
          </cell>
          <cell r="FK248">
            <v>0</v>
          </cell>
          <cell r="FL248">
            <v>0</v>
          </cell>
          <cell r="FM248">
            <v>0</v>
          </cell>
          <cell r="FN248">
            <v>0</v>
          </cell>
          <cell r="FO248">
            <v>0</v>
          </cell>
          <cell r="FP248">
            <v>0</v>
          </cell>
          <cell r="FQ248">
            <v>0</v>
          </cell>
          <cell r="FR248">
            <v>0</v>
          </cell>
          <cell r="FS248">
            <v>28585170.278225709</v>
          </cell>
          <cell r="FT248">
            <v>0</v>
          </cell>
          <cell r="FU248">
            <v>0</v>
          </cell>
          <cell r="FV248">
            <v>0</v>
          </cell>
          <cell r="FW248">
            <v>0</v>
          </cell>
          <cell r="FX248">
            <v>0</v>
          </cell>
          <cell r="FY248">
            <v>0</v>
          </cell>
          <cell r="FZ248">
            <v>0</v>
          </cell>
          <cell r="GA248">
            <v>28688696.028629836</v>
          </cell>
          <cell r="GB248">
            <v>0</v>
          </cell>
          <cell r="GC248">
            <v>0</v>
          </cell>
          <cell r="GD248">
            <v>0</v>
          </cell>
          <cell r="GE248">
            <v>0</v>
          </cell>
          <cell r="GF248">
            <v>0</v>
          </cell>
          <cell r="GG248">
            <v>0</v>
          </cell>
          <cell r="GH248">
            <v>0</v>
          </cell>
          <cell r="GI248">
            <v>0</v>
          </cell>
          <cell r="GJ248">
            <v>0</v>
          </cell>
          <cell r="GK248">
            <v>0</v>
          </cell>
          <cell r="GL248">
            <v>0</v>
          </cell>
          <cell r="GM248">
            <v>0</v>
          </cell>
          <cell r="GN248">
            <v>0</v>
          </cell>
          <cell r="GO248">
            <v>0</v>
          </cell>
          <cell r="GP248">
            <v>0</v>
          </cell>
          <cell r="GQ248">
            <v>0</v>
          </cell>
          <cell r="GR248">
            <v>0</v>
          </cell>
          <cell r="GS248">
            <v>0</v>
          </cell>
          <cell r="GT248">
            <v>0</v>
          </cell>
          <cell r="GZ248">
            <v>0</v>
          </cell>
        </row>
        <row r="249">
          <cell r="A249" t="str">
            <v>I_LKI_NRF_IRD_IRD_INTR_C16</v>
          </cell>
          <cell r="B249">
            <v>294768.27</v>
          </cell>
          <cell r="C249">
            <v>0</v>
          </cell>
          <cell r="D249">
            <v>294768.26999999973</v>
          </cell>
          <cell r="E249">
            <v>188774.90704994759</v>
          </cell>
          <cell r="F249">
            <v>170188.77138514217</v>
          </cell>
          <cell r="G249">
            <v>170188.77138514217</v>
          </cell>
          <cell r="H249">
            <v>0</v>
          </cell>
          <cell r="I249">
            <v>0</v>
          </cell>
          <cell r="J249">
            <v>0</v>
          </cell>
          <cell r="K249">
            <v>0</v>
          </cell>
          <cell r="L249">
            <v>0</v>
          </cell>
          <cell r="M249">
            <v>0</v>
          </cell>
          <cell r="N249">
            <v>0</v>
          </cell>
          <cell r="O249">
            <v>0</v>
          </cell>
          <cell r="P249">
            <v>0</v>
          </cell>
          <cell r="Q249">
            <v>0</v>
          </cell>
          <cell r="R249">
            <v>0</v>
          </cell>
          <cell r="S249">
            <v>159793.91910629699</v>
          </cell>
          <cell r="T249">
            <v>0</v>
          </cell>
          <cell r="U249">
            <v>0</v>
          </cell>
          <cell r="V249">
            <v>0</v>
          </cell>
          <cell r="W249">
            <v>0</v>
          </cell>
          <cell r="X249">
            <v>0</v>
          </cell>
          <cell r="Y249">
            <v>0</v>
          </cell>
          <cell r="Z249">
            <v>0</v>
          </cell>
          <cell r="AA249">
            <v>0</v>
          </cell>
          <cell r="AB249">
            <v>172484.61746733243</v>
          </cell>
          <cell r="AC249">
            <v>167896.21366457894</v>
          </cell>
          <cell r="AD249">
            <v>0</v>
          </cell>
          <cell r="AE249">
            <v>0</v>
          </cell>
          <cell r="AF249">
            <v>0</v>
          </cell>
          <cell r="AG249">
            <v>0</v>
          </cell>
          <cell r="AH249">
            <v>0</v>
          </cell>
          <cell r="AI249">
            <v>0</v>
          </cell>
          <cell r="AJ249">
            <v>0</v>
          </cell>
          <cell r="AK249">
            <v>0</v>
          </cell>
          <cell r="AL249">
            <v>0</v>
          </cell>
          <cell r="AM249">
            <v>0</v>
          </cell>
          <cell r="AN249">
            <v>0</v>
          </cell>
          <cell r="AO249">
            <v>151107.92702459637</v>
          </cell>
          <cell r="AP249">
            <v>0</v>
          </cell>
          <cell r="AQ249">
            <v>0</v>
          </cell>
          <cell r="AR249">
            <v>0</v>
          </cell>
          <cell r="AS249">
            <v>0</v>
          </cell>
          <cell r="AT249">
            <v>0</v>
          </cell>
          <cell r="AU249">
            <v>0</v>
          </cell>
          <cell r="AV249">
            <v>0</v>
          </cell>
          <cell r="AW249">
            <v>0</v>
          </cell>
          <cell r="AX249">
            <v>188774.90704994759</v>
          </cell>
          <cell r="AY249">
            <v>188774.90704994759</v>
          </cell>
          <cell r="AZ249">
            <v>0</v>
          </cell>
          <cell r="BA249">
            <v>0</v>
          </cell>
          <cell r="BB249">
            <v>188774.90704994759</v>
          </cell>
          <cell r="BC249">
            <v>0</v>
          </cell>
          <cell r="BD249">
            <v>0</v>
          </cell>
          <cell r="BE249">
            <v>0</v>
          </cell>
          <cell r="BF249">
            <v>0</v>
          </cell>
          <cell r="BG249">
            <v>0</v>
          </cell>
          <cell r="BH249">
            <v>0</v>
          </cell>
          <cell r="BI249">
            <v>188774.90704994759</v>
          </cell>
          <cell r="BJ249">
            <v>0</v>
          </cell>
          <cell r="BK249">
            <v>188774.90704994759</v>
          </cell>
          <cell r="BL249">
            <v>0</v>
          </cell>
          <cell r="BM249">
            <v>0</v>
          </cell>
          <cell r="BN249">
            <v>0</v>
          </cell>
          <cell r="BO249">
            <v>0</v>
          </cell>
          <cell r="BP249">
            <v>0</v>
          </cell>
          <cell r="BQ249">
            <v>0</v>
          </cell>
          <cell r="BR249">
            <v>0</v>
          </cell>
          <cell r="BS249">
            <v>188774.90704994759</v>
          </cell>
          <cell r="BT249">
            <v>191195.66550431351</v>
          </cell>
          <cell r="BU249">
            <v>185706.22911917456</v>
          </cell>
          <cell r="BV249">
            <v>0</v>
          </cell>
          <cell r="BW249">
            <v>0</v>
          </cell>
          <cell r="BX249">
            <v>0</v>
          </cell>
          <cell r="BY249">
            <v>0</v>
          </cell>
          <cell r="BZ249">
            <v>0</v>
          </cell>
          <cell r="CA249">
            <v>0</v>
          </cell>
          <cell r="CB249">
            <v>0</v>
          </cell>
          <cell r="CC249">
            <v>0</v>
          </cell>
          <cell r="CD249">
            <v>0</v>
          </cell>
          <cell r="CE249">
            <v>0</v>
          </cell>
          <cell r="CF249">
            <v>0</v>
          </cell>
          <cell r="CG249">
            <v>188774.90704994759</v>
          </cell>
          <cell r="CH249">
            <v>0</v>
          </cell>
          <cell r="CI249">
            <v>0</v>
          </cell>
          <cell r="CJ249">
            <v>0</v>
          </cell>
          <cell r="CK249">
            <v>0</v>
          </cell>
          <cell r="CL249">
            <v>0</v>
          </cell>
          <cell r="CM249">
            <v>0</v>
          </cell>
          <cell r="CN249">
            <v>0</v>
          </cell>
          <cell r="CO249">
            <v>189231.66425233355</v>
          </cell>
          <cell r="CP249">
            <v>0</v>
          </cell>
          <cell r="CQ249">
            <v>0</v>
          </cell>
          <cell r="CR249">
            <v>0</v>
          </cell>
          <cell r="CS249">
            <v>0</v>
          </cell>
          <cell r="CT249">
            <v>0</v>
          </cell>
          <cell r="CU249">
            <v>0</v>
          </cell>
          <cell r="CV249">
            <v>0</v>
          </cell>
          <cell r="CW249">
            <v>0</v>
          </cell>
          <cell r="CX249">
            <v>0</v>
          </cell>
          <cell r="CY249">
            <v>0</v>
          </cell>
          <cell r="CZ249">
            <v>0</v>
          </cell>
          <cell r="DA249">
            <v>0</v>
          </cell>
          <cell r="DB249">
            <v>0</v>
          </cell>
          <cell r="DC249">
            <v>0</v>
          </cell>
          <cell r="DD249">
            <v>0</v>
          </cell>
          <cell r="DE249">
            <v>0</v>
          </cell>
          <cell r="DF249">
            <v>0</v>
          </cell>
          <cell r="DG249">
            <v>0</v>
          </cell>
          <cell r="DH249">
            <v>0</v>
          </cell>
          <cell r="DI249">
            <v>0</v>
          </cell>
          <cell r="DJ249">
            <v>0</v>
          </cell>
          <cell r="DK249">
            <v>0</v>
          </cell>
          <cell r="DL249">
            <v>0</v>
          </cell>
          <cell r="DM249">
            <v>0</v>
          </cell>
          <cell r="DN249">
            <v>0</v>
          </cell>
          <cell r="DO249">
            <v>0</v>
          </cell>
          <cell r="DP249">
            <v>0</v>
          </cell>
          <cell r="DQ249">
            <v>0</v>
          </cell>
          <cell r="DR249">
            <v>0</v>
          </cell>
          <cell r="DS249">
            <v>0</v>
          </cell>
          <cell r="DT249">
            <v>0</v>
          </cell>
          <cell r="DU249">
            <v>0</v>
          </cell>
          <cell r="DV249">
            <v>0</v>
          </cell>
          <cell r="DW249">
            <v>0</v>
          </cell>
          <cell r="EA249">
            <v>0</v>
          </cell>
          <cell r="EB249">
            <v>0</v>
          </cell>
          <cell r="EC249">
            <v>0</v>
          </cell>
          <cell r="ED249">
            <v>0</v>
          </cell>
          <cell r="EE249">
            <v>0</v>
          </cell>
          <cell r="EF249">
            <v>0</v>
          </cell>
          <cell r="EG249">
            <v>0</v>
          </cell>
          <cell r="EH249">
            <v>0</v>
          </cell>
          <cell r="EI249">
            <v>0</v>
          </cell>
          <cell r="EJ249">
            <v>0</v>
          </cell>
          <cell r="EK249">
            <v>0</v>
          </cell>
          <cell r="EL249">
            <v>0</v>
          </cell>
          <cell r="EM249">
            <v>0</v>
          </cell>
          <cell r="EN249">
            <v>0</v>
          </cell>
          <cell r="EO249">
            <v>0</v>
          </cell>
          <cell r="EP249">
            <v>0</v>
          </cell>
          <cell r="EQ249">
            <v>0</v>
          </cell>
          <cell r="ER249">
            <v>0</v>
          </cell>
          <cell r="ES249">
            <v>0</v>
          </cell>
          <cell r="ET249">
            <v>0</v>
          </cell>
          <cell r="EU249">
            <v>0</v>
          </cell>
          <cell r="EV249">
            <v>0</v>
          </cell>
          <cell r="EW249">
            <v>0</v>
          </cell>
          <cell r="EX249">
            <v>0</v>
          </cell>
          <cell r="EY249">
            <v>0</v>
          </cell>
          <cell r="EZ249">
            <v>0</v>
          </cell>
          <cell r="FA249">
            <v>0</v>
          </cell>
          <cell r="FB249">
            <v>0</v>
          </cell>
          <cell r="FC249">
            <v>0</v>
          </cell>
          <cell r="FE249">
            <v>188774.90704994759</v>
          </cell>
          <cell r="FF249">
            <v>191195.66550431351</v>
          </cell>
          <cell r="FG249">
            <v>185706.22911917456</v>
          </cell>
          <cell r="FH249">
            <v>0</v>
          </cell>
          <cell r="FI249">
            <v>0</v>
          </cell>
          <cell r="FJ249">
            <v>0</v>
          </cell>
          <cell r="FK249">
            <v>0</v>
          </cell>
          <cell r="FL249">
            <v>0</v>
          </cell>
          <cell r="FM249">
            <v>0</v>
          </cell>
          <cell r="FN249">
            <v>0</v>
          </cell>
          <cell r="FO249">
            <v>0</v>
          </cell>
          <cell r="FP249">
            <v>0</v>
          </cell>
          <cell r="FQ249">
            <v>0</v>
          </cell>
          <cell r="FR249">
            <v>0</v>
          </cell>
          <cell r="FS249">
            <v>188774.90704994759</v>
          </cell>
          <cell r="FT249">
            <v>0</v>
          </cell>
          <cell r="FU249">
            <v>0</v>
          </cell>
          <cell r="FV249">
            <v>0</v>
          </cell>
          <cell r="FW249">
            <v>0</v>
          </cell>
          <cell r="FX249">
            <v>0</v>
          </cell>
          <cell r="FY249">
            <v>0</v>
          </cell>
          <cell r="FZ249">
            <v>0</v>
          </cell>
          <cell r="GA249">
            <v>189231.66425233355</v>
          </cell>
          <cell r="GB249">
            <v>0</v>
          </cell>
          <cell r="GC249">
            <v>0</v>
          </cell>
          <cell r="GD249">
            <v>0</v>
          </cell>
          <cell r="GE249">
            <v>0</v>
          </cell>
          <cell r="GF249">
            <v>0</v>
          </cell>
          <cell r="GG249">
            <v>0</v>
          </cell>
          <cell r="GH249">
            <v>0</v>
          </cell>
          <cell r="GI249">
            <v>0</v>
          </cell>
          <cell r="GJ249">
            <v>0</v>
          </cell>
          <cell r="GK249">
            <v>0</v>
          </cell>
          <cell r="GL249">
            <v>0</v>
          </cell>
          <cell r="GM249">
            <v>0</v>
          </cell>
          <cell r="GN249">
            <v>0</v>
          </cell>
          <cell r="GO249">
            <v>0</v>
          </cell>
          <cell r="GP249">
            <v>0</v>
          </cell>
          <cell r="GQ249">
            <v>0</v>
          </cell>
          <cell r="GR249">
            <v>0</v>
          </cell>
          <cell r="GS249">
            <v>0</v>
          </cell>
          <cell r="GT249">
            <v>0</v>
          </cell>
          <cell r="GZ249">
            <v>0</v>
          </cell>
        </row>
        <row r="250">
          <cell r="A250" t="str">
            <v>I_LKI_NRF_IRD_IRD_INTR_C17</v>
          </cell>
          <cell r="B250">
            <v>6427216.5699999994</v>
          </cell>
          <cell r="C250">
            <v>0</v>
          </cell>
          <cell r="D250">
            <v>6427216.5699999975</v>
          </cell>
          <cell r="E250">
            <v>5171571.3523739064</v>
          </cell>
          <cell r="F250">
            <v>3710847.4785109255</v>
          </cell>
          <cell r="G250">
            <v>3710847.4785109255</v>
          </cell>
          <cell r="H250">
            <v>0</v>
          </cell>
          <cell r="I250">
            <v>0</v>
          </cell>
          <cell r="J250">
            <v>0</v>
          </cell>
          <cell r="K250">
            <v>0</v>
          </cell>
          <cell r="L250">
            <v>0</v>
          </cell>
          <cell r="M250">
            <v>0</v>
          </cell>
          <cell r="N250">
            <v>0</v>
          </cell>
          <cell r="O250">
            <v>0</v>
          </cell>
          <cell r="P250">
            <v>0</v>
          </cell>
          <cell r="Q250">
            <v>0</v>
          </cell>
          <cell r="R250">
            <v>0</v>
          </cell>
          <cell r="S250">
            <v>3484194.9734455189</v>
          </cell>
          <cell r="T250">
            <v>0</v>
          </cell>
          <cell r="U250">
            <v>0</v>
          </cell>
          <cell r="V250">
            <v>0</v>
          </cell>
          <cell r="W250">
            <v>0</v>
          </cell>
          <cell r="X250">
            <v>0</v>
          </cell>
          <cell r="Y250">
            <v>0</v>
          </cell>
          <cell r="Z250">
            <v>0</v>
          </cell>
          <cell r="AA250">
            <v>0</v>
          </cell>
          <cell r="AB250">
            <v>3760906.8013193919</v>
          </cell>
          <cell r="AC250">
            <v>3660859.8561345916</v>
          </cell>
          <cell r="AD250">
            <v>0</v>
          </cell>
          <cell r="AE250">
            <v>0</v>
          </cell>
          <cell r="AF250">
            <v>0</v>
          </cell>
          <cell r="AG250">
            <v>0</v>
          </cell>
          <cell r="AH250">
            <v>0</v>
          </cell>
          <cell r="AI250">
            <v>0</v>
          </cell>
          <cell r="AJ250">
            <v>0</v>
          </cell>
          <cell r="AK250">
            <v>0</v>
          </cell>
          <cell r="AL250">
            <v>0</v>
          </cell>
          <cell r="AM250">
            <v>0</v>
          </cell>
          <cell r="AN250">
            <v>0</v>
          </cell>
          <cell r="AO250">
            <v>3294802.9733011504</v>
          </cell>
          <cell r="AP250">
            <v>0</v>
          </cell>
          <cell r="AQ250">
            <v>0</v>
          </cell>
          <cell r="AR250">
            <v>0</v>
          </cell>
          <cell r="AS250">
            <v>0</v>
          </cell>
          <cell r="AT250">
            <v>0</v>
          </cell>
          <cell r="AU250">
            <v>0</v>
          </cell>
          <cell r="AV250">
            <v>0</v>
          </cell>
          <cell r="AW250">
            <v>0</v>
          </cell>
          <cell r="AX250">
            <v>5171571.3523739064</v>
          </cell>
          <cell r="AY250">
            <v>5171571.3523739064</v>
          </cell>
          <cell r="AZ250">
            <v>0</v>
          </cell>
          <cell r="BA250">
            <v>0</v>
          </cell>
          <cell r="BB250">
            <v>5171571.3523739064</v>
          </cell>
          <cell r="BC250">
            <v>0</v>
          </cell>
          <cell r="BD250">
            <v>0</v>
          </cell>
          <cell r="BE250">
            <v>0</v>
          </cell>
          <cell r="BF250">
            <v>0</v>
          </cell>
          <cell r="BG250">
            <v>0</v>
          </cell>
          <cell r="BH250">
            <v>0</v>
          </cell>
          <cell r="BI250">
            <v>5171571.3523739064</v>
          </cell>
          <cell r="BJ250">
            <v>0</v>
          </cell>
          <cell r="BK250">
            <v>5171571.3523739064</v>
          </cell>
          <cell r="BL250">
            <v>0</v>
          </cell>
          <cell r="BM250">
            <v>0</v>
          </cell>
          <cell r="BN250">
            <v>0</v>
          </cell>
          <cell r="BO250">
            <v>0</v>
          </cell>
          <cell r="BP250">
            <v>0</v>
          </cell>
          <cell r="BQ250">
            <v>0</v>
          </cell>
          <cell r="BR250">
            <v>0</v>
          </cell>
          <cell r="BS250">
            <v>5171571.3523739064</v>
          </cell>
          <cell r="BT250">
            <v>5221626.0045883972</v>
          </cell>
          <cell r="BU250">
            <v>5099471.3294300046</v>
          </cell>
          <cell r="BV250">
            <v>0</v>
          </cell>
          <cell r="BW250">
            <v>0</v>
          </cell>
          <cell r="BX250">
            <v>0</v>
          </cell>
          <cell r="BY250">
            <v>0</v>
          </cell>
          <cell r="BZ250">
            <v>0</v>
          </cell>
          <cell r="CA250">
            <v>0</v>
          </cell>
          <cell r="CB250">
            <v>0</v>
          </cell>
          <cell r="CC250">
            <v>0</v>
          </cell>
          <cell r="CD250">
            <v>0</v>
          </cell>
          <cell r="CE250">
            <v>0</v>
          </cell>
          <cell r="CF250">
            <v>0</v>
          </cell>
          <cell r="CG250">
            <v>5171571.3523739064</v>
          </cell>
          <cell r="CH250">
            <v>0</v>
          </cell>
          <cell r="CI250">
            <v>0</v>
          </cell>
          <cell r="CJ250">
            <v>0</v>
          </cell>
          <cell r="CK250">
            <v>0</v>
          </cell>
          <cell r="CL250">
            <v>0</v>
          </cell>
          <cell r="CM250">
            <v>0</v>
          </cell>
          <cell r="CN250">
            <v>0</v>
          </cell>
          <cell r="CO250">
            <v>5182264.9439933393</v>
          </cell>
          <cell r="CP250">
            <v>0</v>
          </cell>
          <cell r="CQ250">
            <v>0</v>
          </cell>
          <cell r="CR250">
            <v>0</v>
          </cell>
          <cell r="CS250">
            <v>0</v>
          </cell>
          <cell r="CT250">
            <v>0</v>
          </cell>
          <cell r="CU250">
            <v>0</v>
          </cell>
          <cell r="CV250">
            <v>0</v>
          </cell>
          <cell r="CW250">
            <v>0</v>
          </cell>
          <cell r="CX250">
            <v>0</v>
          </cell>
          <cell r="CY250">
            <v>0</v>
          </cell>
          <cell r="CZ250">
            <v>0</v>
          </cell>
          <cell r="DA250">
            <v>0</v>
          </cell>
          <cell r="DB250">
            <v>0</v>
          </cell>
          <cell r="DC250">
            <v>0</v>
          </cell>
          <cell r="DD250">
            <v>0</v>
          </cell>
          <cell r="DE250">
            <v>0</v>
          </cell>
          <cell r="DF250">
            <v>0</v>
          </cell>
          <cell r="DG250">
            <v>0</v>
          </cell>
          <cell r="DH250">
            <v>0</v>
          </cell>
          <cell r="DI250">
            <v>0</v>
          </cell>
          <cell r="DJ250">
            <v>0</v>
          </cell>
          <cell r="DK250">
            <v>0</v>
          </cell>
          <cell r="DL250">
            <v>0</v>
          </cell>
          <cell r="DM250">
            <v>0</v>
          </cell>
          <cell r="DN250">
            <v>0</v>
          </cell>
          <cell r="DO250">
            <v>0</v>
          </cell>
          <cell r="DP250">
            <v>0</v>
          </cell>
          <cell r="DQ250">
            <v>0</v>
          </cell>
          <cell r="DR250">
            <v>0</v>
          </cell>
          <cell r="DS250">
            <v>0</v>
          </cell>
          <cell r="DT250">
            <v>0</v>
          </cell>
          <cell r="DU250">
            <v>0</v>
          </cell>
          <cell r="DV250">
            <v>0</v>
          </cell>
          <cell r="DW250">
            <v>0</v>
          </cell>
          <cell r="EA250">
            <v>0</v>
          </cell>
          <cell r="EB250">
            <v>0</v>
          </cell>
          <cell r="EC250">
            <v>0</v>
          </cell>
          <cell r="ED250">
            <v>0</v>
          </cell>
          <cell r="EE250">
            <v>0</v>
          </cell>
          <cell r="EF250">
            <v>0</v>
          </cell>
          <cell r="EG250">
            <v>0</v>
          </cell>
          <cell r="EH250">
            <v>0</v>
          </cell>
          <cell r="EI250">
            <v>0</v>
          </cell>
          <cell r="EJ250">
            <v>0</v>
          </cell>
          <cell r="EK250">
            <v>0</v>
          </cell>
          <cell r="EL250">
            <v>0</v>
          </cell>
          <cell r="EM250">
            <v>0</v>
          </cell>
          <cell r="EN250">
            <v>0</v>
          </cell>
          <cell r="EO250">
            <v>0</v>
          </cell>
          <cell r="EP250">
            <v>0</v>
          </cell>
          <cell r="EQ250">
            <v>0</v>
          </cell>
          <cell r="ER250">
            <v>0</v>
          </cell>
          <cell r="ES250">
            <v>0</v>
          </cell>
          <cell r="ET250">
            <v>0</v>
          </cell>
          <cell r="EU250">
            <v>0</v>
          </cell>
          <cell r="EV250">
            <v>0</v>
          </cell>
          <cell r="EW250">
            <v>0</v>
          </cell>
          <cell r="EX250">
            <v>0</v>
          </cell>
          <cell r="EY250">
            <v>0</v>
          </cell>
          <cell r="EZ250">
            <v>0</v>
          </cell>
          <cell r="FA250">
            <v>0</v>
          </cell>
          <cell r="FB250">
            <v>0</v>
          </cell>
          <cell r="FC250">
            <v>0</v>
          </cell>
          <cell r="FE250">
            <v>5171571.3523739064</v>
          </cell>
          <cell r="FF250">
            <v>5221626.0045883972</v>
          </cell>
          <cell r="FG250">
            <v>5099471.3294300046</v>
          </cell>
          <cell r="FH250">
            <v>0</v>
          </cell>
          <cell r="FI250">
            <v>0</v>
          </cell>
          <cell r="FJ250">
            <v>0</v>
          </cell>
          <cell r="FK250">
            <v>0</v>
          </cell>
          <cell r="FL250">
            <v>0</v>
          </cell>
          <cell r="FM250">
            <v>0</v>
          </cell>
          <cell r="FN250">
            <v>0</v>
          </cell>
          <cell r="FO250">
            <v>0</v>
          </cell>
          <cell r="FP250">
            <v>0</v>
          </cell>
          <cell r="FQ250">
            <v>0</v>
          </cell>
          <cell r="FR250">
            <v>0</v>
          </cell>
          <cell r="FS250">
            <v>5171571.3523739064</v>
          </cell>
          <cell r="FT250">
            <v>0</v>
          </cell>
          <cell r="FU250">
            <v>0</v>
          </cell>
          <cell r="FV250">
            <v>0</v>
          </cell>
          <cell r="FW250">
            <v>0</v>
          </cell>
          <cell r="FX250">
            <v>0</v>
          </cell>
          <cell r="FY250">
            <v>0</v>
          </cell>
          <cell r="FZ250">
            <v>0</v>
          </cell>
          <cell r="GA250">
            <v>5182264.9439933393</v>
          </cell>
          <cell r="GB250">
            <v>0</v>
          </cell>
          <cell r="GC250">
            <v>0</v>
          </cell>
          <cell r="GD250">
            <v>0</v>
          </cell>
          <cell r="GE250">
            <v>0</v>
          </cell>
          <cell r="GF250">
            <v>0</v>
          </cell>
          <cell r="GG250">
            <v>0</v>
          </cell>
          <cell r="GH250">
            <v>0</v>
          </cell>
          <cell r="GI250">
            <v>0</v>
          </cell>
          <cell r="GJ250">
            <v>0</v>
          </cell>
          <cell r="GK250">
            <v>0</v>
          </cell>
          <cell r="GL250">
            <v>0</v>
          </cell>
          <cell r="GM250">
            <v>0</v>
          </cell>
          <cell r="GN250">
            <v>0</v>
          </cell>
          <cell r="GO250">
            <v>0</v>
          </cell>
          <cell r="GP250">
            <v>0</v>
          </cell>
          <cell r="GQ250">
            <v>0</v>
          </cell>
          <cell r="GR250">
            <v>0</v>
          </cell>
          <cell r="GS250">
            <v>0</v>
          </cell>
          <cell r="GT250">
            <v>0</v>
          </cell>
          <cell r="GZ250">
            <v>0</v>
          </cell>
        </row>
        <row r="251">
          <cell r="A251" t="str">
            <v>I_LKI_NRF_IRD_IRD_INTR_C18</v>
          </cell>
          <cell r="B251">
            <v>70449.539999999979</v>
          </cell>
          <cell r="C251">
            <v>0</v>
          </cell>
          <cell r="D251">
            <v>70449.539999999935</v>
          </cell>
          <cell r="E251">
            <v>36781.422393025081</v>
          </cell>
          <cell r="F251">
            <v>40675.07217533428</v>
          </cell>
          <cell r="G251">
            <v>40675.07217533428</v>
          </cell>
          <cell r="H251">
            <v>0</v>
          </cell>
          <cell r="I251">
            <v>0</v>
          </cell>
          <cell r="J251">
            <v>0</v>
          </cell>
          <cell r="K251">
            <v>0</v>
          </cell>
          <cell r="L251">
            <v>0</v>
          </cell>
          <cell r="M251">
            <v>0</v>
          </cell>
          <cell r="N251">
            <v>0</v>
          </cell>
          <cell r="O251">
            <v>0</v>
          </cell>
          <cell r="P251">
            <v>0</v>
          </cell>
          <cell r="Q251">
            <v>0</v>
          </cell>
          <cell r="R251">
            <v>0</v>
          </cell>
          <cell r="S251">
            <v>38190.705179481592</v>
          </cell>
          <cell r="T251">
            <v>0</v>
          </cell>
          <cell r="U251">
            <v>0</v>
          </cell>
          <cell r="V251">
            <v>0</v>
          </cell>
          <cell r="W251">
            <v>0</v>
          </cell>
          <cell r="X251">
            <v>0</v>
          </cell>
          <cell r="Y251">
            <v>0</v>
          </cell>
          <cell r="Z251">
            <v>0</v>
          </cell>
          <cell r="AA251">
            <v>0</v>
          </cell>
          <cell r="AB251">
            <v>41223.778792912592</v>
          </cell>
          <cell r="AC251">
            <v>40127.151475331106</v>
          </cell>
          <cell r="AD251">
            <v>0</v>
          </cell>
          <cell r="AE251">
            <v>0</v>
          </cell>
          <cell r="AF251">
            <v>0</v>
          </cell>
          <cell r="AG251">
            <v>0</v>
          </cell>
          <cell r="AH251">
            <v>0</v>
          </cell>
          <cell r="AI251">
            <v>0</v>
          </cell>
          <cell r="AJ251">
            <v>0</v>
          </cell>
          <cell r="AK251">
            <v>0</v>
          </cell>
          <cell r="AL251">
            <v>0</v>
          </cell>
          <cell r="AM251">
            <v>0</v>
          </cell>
          <cell r="AN251">
            <v>0</v>
          </cell>
          <cell r="AO251">
            <v>36114.755327079059</v>
          </cell>
          <cell r="AP251">
            <v>0</v>
          </cell>
          <cell r="AQ251">
            <v>0</v>
          </cell>
          <cell r="AR251">
            <v>0</v>
          </cell>
          <cell r="AS251">
            <v>0</v>
          </cell>
          <cell r="AT251">
            <v>0</v>
          </cell>
          <cell r="AU251">
            <v>0</v>
          </cell>
          <cell r="AV251">
            <v>0</v>
          </cell>
          <cell r="AW251">
            <v>0</v>
          </cell>
          <cell r="AX251">
            <v>36781.422393025081</v>
          </cell>
          <cell r="AY251">
            <v>36781.422393025081</v>
          </cell>
          <cell r="AZ251">
            <v>0</v>
          </cell>
          <cell r="BA251">
            <v>0</v>
          </cell>
          <cell r="BB251">
            <v>36781.422393025081</v>
          </cell>
          <cell r="BC251">
            <v>0</v>
          </cell>
          <cell r="BD251">
            <v>0</v>
          </cell>
          <cell r="BE251">
            <v>0</v>
          </cell>
          <cell r="BF251">
            <v>0</v>
          </cell>
          <cell r="BG251">
            <v>0</v>
          </cell>
          <cell r="BH251">
            <v>0</v>
          </cell>
          <cell r="BI251">
            <v>36781.422393025081</v>
          </cell>
          <cell r="BJ251">
            <v>0</v>
          </cell>
          <cell r="BK251">
            <v>36781.422393025081</v>
          </cell>
          <cell r="BL251">
            <v>0</v>
          </cell>
          <cell r="BM251">
            <v>0</v>
          </cell>
          <cell r="BN251">
            <v>0</v>
          </cell>
          <cell r="BO251">
            <v>0</v>
          </cell>
          <cell r="BP251">
            <v>0</v>
          </cell>
          <cell r="BQ251">
            <v>0</v>
          </cell>
          <cell r="BR251">
            <v>0</v>
          </cell>
          <cell r="BS251">
            <v>36781.422393025081</v>
          </cell>
          <cell r="BT251">
            <v>36979.404751258575</v>
          </cell>
          <cell r="BU251">
            <v>36419.180418822703</v>
          </cell>
          <cell r="BV251">
            <v>0</v>
          </cell>
          <cell r="BW251">
            <v>0</v>
          </cell>
          <cell r="BX251">
            <v>0</v>
          </cell>
          <cell r="BY251">
            <v>0</v>
          </cell>
          <cell r="BZ251">
            <v>0</v>
          </cell>
          <cell r="CA251">
            <v>0</v>
          </cell>
          <cell r="CB251">
            <v>0</v>
          </cell>
          <cell r="CC251">
            <v>0</v>
          </cell>
          <cell r="CD251">
            <v>0</v>
          </cell>
          <cell r="CE251">
            <v>0</v>
          </cell>
          <cell r="CF251">
            <v>0</v>
          </cell>
          <cell r="CG251">
            <v>36781.422393025081</v>
          </cell>
          <cell r="CH251">
            <v>0</v>
          </cell>
          <cell r="CI251">
            <v>0</v>
          </cell>
          <cell r="CJ251">
            <v>0</v>
          </cell>
          <cell r="CK251">
            <v>0</v>
          </cell>
          <cell r="CL251">
            <v>0</v>
          </cell>
          <cell r="CM251">
            <v>0</v>
          </cell>
          <cell r="CN251">
            <v>0</v>
          </cell>
          <cell r="CO251">
            <v>36834.913441841934</v>
          </cell>
          <cell r="CP251">
            <v>0</v>
          </cell>
          <cell r="CQ251">
            <v>0</v>
          </cell>
          <cell r="CR251">
            <v>0</v>
          </cell>
          <cell r="CS251">
            <v>0</v>
          </cell>
          <cell r="CT251">
            <v>0</v>
          </cell>
          <cell r="CU251">
            <v>0</v>
          </cell>
          <cell r="CV251">
            <v>0</v>
          </cell>
          <cell r="CW251">
            <v>0</v>
          </cell>
          <cell r="CX251">
            <v>0</v>
          </cell>
          <cell r="CY251">
            <v>0</v>
          </cell>
          <cell r="CZ251">
            <v>0</v>
          </cell>
          <cell r="DA251">
            <v>0</v>
          </cell>
          <cell r="DB251">
            <v>0</v>
          </cell>
          <cell r="DC251">
            <v>0</v>
          </cell>
          <cell r="DD251">
            <v>0</v>
          </cell>
          <cell r="DE251">
            <v>0</v>
          </cell>
          <cell r="DF251">
            <v>0</v>
          </cell>
          <cell r="DG251">
            <v>0</v>
          </cell>
          <cell r="DH251">
            <v>0</v>
          </cell>
          <cell r="DI251">
            <v>0</v>
          </cell>
          <cell r="DJ251">
            <v>0</v>
          </cell>
          <cell r="DK251">
            <v>0</v>
          </cell>
          <cell r="DL251">
            <v>0</v>
          </cell>
          <cell r="DM251">
            <v>0</v>
          </cell>
          <cell r="DN251">
            <v>0</v>
          </cell>
          <cell r="DO251">
            <v>0</v>
          </cell>
          <cell r="DP251">
            <v>0</v>
          </cell>
          <cell r="DQ251">
            <v>0</v>
          </cell>
          <cell r="DR251">
            <v>0</v>
          </cell>
          <cell r="DS251">
            <v>0</v>
          </cell>
          <cell r="DT251">
            <v>0</v>
          </cell>
          <cell r="DU251">
            <v>0</v>
          </cell>
          <cell r="DV251">
            <v>0</v>
          </cell>
          <cell r="DW251">
            <v>0</v>
          </cell>
          <cell r="EA251">
            <v>0</v>
          </cell>
          <cell r="EB251">
            <v>0</v>
          </cell>
          <cell r="EC251">
            <v>0</v>
          </cell>
          <cell r="ED251">
            <v>0</v>
          </cell>
          <cell r="EE251">
            <v>0</v>
          </cell>
          <cell r="EF251">
            <v>0</v>
          </cell>
          <cell r="EG251">
            <v>0</v>
          </cell>
          <cell r="EH251">
            <v>0</v>
          </cell>
          <cell r="EI251">
            <v>0</v>
          </cell>
          <cell r="EJ251">
            <v>0</v>
          </cell>
          <cell r="EK251">
            <v>0</v>
          </cell>
          <cell r="EL251">
            <v>0</v>
          </cell>
          <cell r="EM251">
            <v>0</v>
          </cell>
          <cell r="EN251">
            <v>0</v>
          </cell>
          <cell r="EO251">
            <v>0</v>
          </cell>
          <cell r="EP251">
            <v>0</v>
          </cell>
          <cell r="EQ251">
            <v>0</v>
          </cell>
          <cell r="ER251">
            <v>0</v>
          </cell>
          <cell r="ES251">
            <v>0</v>
          </cell>
          <cell r="ET251">
            <v>0</v>
          </cell>
          <cell r="EU251">
            <v>0</v>
          </cell>
          <cell r="EV251">
            <v>0</v>
          </cell>
          <cell r="EW251">
            <v>0</v>
          </cell>
          <cell r="EX251">
            <v>0</v>
          </cell>
          <cell r="EY251">
            <v>0</v>
          </cell>
          <cell r="EZ251">
            <v>0</v>
          </cell>
          <cell r="FA251">
            <v>0</v>
          </cell>
          <cell r="FB251">
            <v>0</v>
          </cell>
          <cell r="FC251">
            <v>0</v>
          </cell>
          <cell r="FE251">
            <v>36781.422393025081</v>
          </cell>
          <cell r="FF251">
            <v>36979.404751258575</v>
          </cell>
          <cell r="FG251">
            <v>36419.180418822703</v>
          </cell>
          <cell r="FH251">
            <v>0</v>
          </cell>
          <cell r="FI251">
            <v>0</v>
          </cell>
          <cell r="FJ251">
            <v>0</v>
          </cell>
          <cell r="FK251">
            <v>0</v>
          </cell>
          <cell r="FL251">
            <v>0</v>
          </cell>
          <cell r="FM251">
            <v>0</v>
          </cell>
          <cell r="FN251">
            <v>0</v>
          </cell>
          <cell r="FO251">
            <v>0</v>
          </cell>
          <cell r="FP251">
            <v>0</v>
          </cell>
          <cell r="FQ251">
            <v>0</v>
          </cell>
          <cell r="FR251">
            <v>0</v>
          </cell>
          <cell r="FS251">
            <v>36781.422393025081</v>
          </cell>
          <cell r="FT251">
            <v>0</v>
          </cell>
          <cell r="FU251">
            <v>0</v>
          </cell>
          <cell r="FV251">
            <v>0</v>
          </cell>
          <cell r="FW251">
            <v>0</v>
          </cell>
          <cell r="FX251">
            <v>0</v>
          </cell>
          <cell r="FY251">
            <v>0</v>
          </cell>
          <cell r="FZ251">
            <v>0</v>
          </cell>
          <cell r="GA251">
            <v>36834.913441841934</v>
          </cell>
          <cell r="GB251">
            <v>0</v>
          </cell>
          <cell r="GC251">
            <v>0</v>
          </cell>
          <cell r="GD251">
            <v>0</v>
          </cell>
          <cell r="GE251">
            <v>0</v>
          </cell>
          <cell r="GF251">
            <v>0</v>
          </cell>
          <cell r="GG251">
            <v>0</v>
          </cell>
          <cell r="GH251">
            <v>0</v>
          </cell>
          <cell r="GI251">
            <v>0</v>
          </cell>
          <cell r="GJ251">
            <v>0</v>
          </cell>
          <cell r="GK251">
            <v>0</v>
          </cell>
          <cell r="GL251">
            <v>0</v>
          </cell>
          <cell r="GM251">
            <v>0</v>
          </cell>
          <cell r="GN251">
            <v>0</v>
          </cell>
          <cell r="GO251">
            <v>0</v>
          </cell>
          <cell r="GP251">
            <v>0</v>
          </cell>
          <cell r="GQ251">
            <v>0</v>
          </cell>
          <cell r="GR251">
            <v>0</v>
          </cell>
          <cell r="GS251">
            <v>0</v>
          </cell>
          <cell r="GT251">
            <v>0</v>
          </cell>
          <cell r="GZ251">
            <v>0</v>
          </cell>
        </row>
        <row r="252">
          <cell r="A252" t="str">
            <v>I_LKI_NRF_IRD_IRD_INTR_C19</v>
          </cell>
          <cell r="B252">
            <v>171468.32999999929</v>
          </cell>
          <cell r="C252">
            <v>0</v>
          </cell>
          <cell r="D252">
            <v>171468.3299999992</v>
          </cell>
          <cell r="E252">
            <v>136613.32468257612</v>
          </cell>
          <cell r="F252">
            <v>98999.747883861448</v>
          </cell>
          <cell r="G252">
            <v>98999.747883861448</v>
          </cell>
          <cell r="H252">
            <v>0</v>
          </cell>
          <cell r="I252">
            <v>0</v>
          </cell>
          <cell r="J252">
            <v>0</v>
          </cell>
          <cell r="K252">
            <v>0</v>
          </cell>
          <cell r="L252">
            <v>0</v>
          </cell>
          <cell r="M252">
            <v>0</v>
          </cell>
          <cell r="N252">
            <v>0</v>
          </cell>
          <cell r="O252">
            <v>0</v>
          </cell>
          <cell r="P252">
            <v>0</v>
          </cell>
          <cell r="Q252">
            <v>0</v>
          </cell>
          <cell r="R252">
            <v>0</v>
          </cell>
          <cell r="S252">
            <v>92953.004925909176</v>
          </cell>
          <cell r="T252">
            <v>0</v>
          </cell>
          <cell r="U252">
            <v>0</v>
          </cell>
          <cell r="V252">
            <v>0</v>
          </cell>
          <cell r="W252">
            <v>0</v>
          </cell>
          <cell r="X252">
            <v>0</v>
          </cell>
          <cell r="Y252">
            <v>0</v>
          </cell>
          <cell r="Z252">
            <v>0</v>
          </cell>
          <cell r="AA252">
            <v>0</v>
          </cell>
          <cell r="AB252">
            <v>100335.25422465657</v>
          </cell>
          <cell r="AC252">
            <v>97666.154401178981</v>
          </cell>
          <cell r="AD252">
            <v>0</v>
          </cell>
          <cell r="AE252">
            <v>0</v>
          </cell>
          <cell r="AF252">
            <v>0</v>
          </cell>
          <cell r="AG252">
            <v>0</v>
          </cell>
          <cell r="AH252">
            <v>0</v>
          </cell>
          <cell r="AI252">
            <v>0</v>
          </cell>
          <cell r="AJ252">
            <v>0</v>
          </cell>
          <cell r="AK252">
            <v>0</v>
          </cell>
          <cell r="AL252">
            <v>0</v>
          </cell>
          <cell r="AM252">
            <v>0</v>
          </cell>
          <cell r="AN252">
            <v>0</v>
          </cell>
          <cell r="AO252">
            <v>87900.315378820436</v>
          </cell>
          <cell r="AP252">
            <v>0</v>
          </cell>
          <cell r="AQ252">
            <v>0</v>
          </cell>
          <cell r="AR252">
            <v>0</v>
          </cell>
          <cell r="AS252">
            <v>0</v>
          </cell>
          <cell r="AT252">
            <v>0</v>
          </cell>
          <cell r="AU252">
            <v>0</v>
          </cell>
          <cell r="AV252">
            <v>0</v>
          </cell>
          <cell r="AW252">
            <v>0</v>
          </cell>
          <cell r="AX252">
            <v>136613.32468257612</v>
          </cell>
          <cell r="AY252">
            <v>136613.32468257612</v>
          </cell>
          <cell r="AZ252">
            <v>0</v>
          </cell>
          <cell r="BA252">
            <v>0</v>
          </cell>
          <cell r="BB252">
            <v>136613.32468257612</v>
          </cell>
          <cell r="BC252">
            <v>0</v>
          </cell>
          <cell r="BD252">
            <v>0</v>
          </cell>
          <cell r="BE252">
            <v>0</v>
          </cell>
          <cell r="BF252">
            <v>0</v>
          </cell>
          <cell r="BG252">
            <v>0</v>
          </cell>
          <cell r="BH252">
            <v>0</v>
          </cell>
          <cell r="BI252">
            <v>136613.32468257612</v>
          </cell>
          <cell r="BJ252">
            <v>0</v>
          </cell>
          <cell r="BK252">
            <v>136613.32468257612</v>
          </cell>
          <cell r="BL252">
            <v>0</v>
          </cell>
          <cell r="BM252">
            <v>0</v>
          </cell>
          <cell r="BN252">
            <v>0</v>
          </cell>
          <cell r="BO252">
            <v>0</v>
          </cell>
          <cell r="BP252">
            <v>0</v>
          </cell>
          <cell r="BQ252">
            <v>0</v>
          </cell>
          <cell r="BR252">
            <v>0</v>
          </cell>
          <cell r="BS252">
            <v>136613.32468257612</v>
          </cell>
          <cell r="BT252">
            <v>137605.05513063088</v>
          </cell>
          <cell r="BU252">
            <v>134989.42011774675</v>
          </cell>
          <cell r="BV252">
            <v>0</v>
          </cell>
          <cell r="BW252">
            <v>0</v>
          </cell>
          <cell r="BX252">
            <v>0</v>
          </cell>
          <cell r="BY252">
            <v>0</v>
          </cell>
          <cell r="BZ252">
            <v>0</v>
          </cell>
          <cell r="CA252">
            <v>0</v>
          </cell>
          <cell r="CB252">
            <v>0</v>
          </cell>
          <cell r="CC252">
            <v>0</v>
          </cell>
          <cell r="CD252">
            <v>0</v>
          </cell>
          <cell r="CE252">
            <v>0</v>
          </cell>
          <cell r="CF252">
            <v>0</v>
          </cell>
          <cell r="CG252">
            <v>136613.32468257612</v>
          </cell>
          <cell r="CH252">
            <v>0</v>
          </cell>
          <cell r="CI252">
            <v>0</v>
          </cell>
          <cell r="CJ252">
            <v>0</v>
          </cell>
          <cell r="CK252">
            <v>0</v>
          </cell>
          <cell r="CL252">
            <v>0</v>
          </cell>
          <cell r="CM252">
            <v>0</v>
          </cell>
          <cell r="CN252">
            <v>0</v>
          </cell>
          <cell r="CO252">
            <v>136853.5979132269</v>
          </cell>
          <cell r="CP252">
            <v>0</v>
          </cell>
          <cell r="CQ252">
            <v>0</v>
          </cell>
          <cell r="CR252">
            <v>0</v>
          </cell>
          <cell r="CS252">
            <v>0</v>
          </cell>
          <cell r="CT252">
            <v>0</v>
          </cell>
          <cell r="CU252">
            <v>0</v>
          </cell>
          <cell r="CV252">
            <v>0</v>
          </cell>
          <cell r="CW252">
            <v>0</v>
          </cell>
          <cell r="CX252">
            <v>0</v>
          </cell>
          <cell r="CY252">
            <v>0</v>
          </cell>
          <cell r="CZ252">
            <v>0</v>
          </cell>
          <cell r="DA252">
            <v>0</v>
          </cell>
          <cell r="DB252">
            <v>0</v>
          </cell>
          <cell r="DC252">
            <v>0</v>
          </cell>
          <cell r="DD252">
            <v>0</v>
          </cell>
          <cell r="DE252">
            <v>0</v>
          </cell>
          <cell r="DF252">
            <v>0</v>
          </cell>
          <cell r="DG252">
            <v>0</v>
          </cell>
          <cell r="DH252">
            <v>0</v>
          </cell>
          <cell r="DI252">
            <v>0</v>
          </cell>
          <cell r="DJ252">
            <v>0</v>
          </cell>
          <cell r="DK252">
            <v>0</v>
          </cell>
          <cell r="DL252">
            <v>0</v>
          </cell>
          <cell r="DM252">
            <v>0</v>
          </cell>
          <cell r="DN252">
            <v>0</v>
          </cell>
          <cell r="DO252">
            <v>0</v>
          </cell>
          <cell r="DP252">
            <v>0</v>
          </cell>
          <cell r="DQ252">
            <v>0</v>
          </cell>
          <cell r="DR252">
            <v>0</v>
          </cell>
          <cell r="DS252">
            <v>0</v>
          </cell>
          <cell r="DT252">
            <v>0</v>
          </cell>
          <cell r="DU252">
            <v>0</v>
          </cell>
          <cell r="DV252">
            <v>0</v>
          </cell>
          <cell r="DW252">
            <v>0</v>
          </cell>
          <cell r="EA252">
            <v>0</v>
          </cell>
          <cell r="EB252">
            <v>0</v>
          </cell>
          <cell r="EC252">
            <v>0</v>
          </cell>
          <cell r="ED252">
            <v>0</v>
          </cell>
          <cell r="EE252">
            <v>0</v>
          </cell>
          <cell r="EF252">
            <v>0</v>
          </cell>
          <cell r="EG252">
            <v>0</v>
          </cell>
          <cell r="EH252">
            <v>0</v>
          </cell>
          <cell r="EI252">
            <v>0</v>
          </cell>
          <cell r="EJ252">
            <v>0</v>
          </cell>
          <cell r="EK252">
            <v>0</v>
          </cell>
          <cell r="EL252">
            <v>0</v>
          </cell>
          <cell r="EM252">
            <v>0</v>
          </cell>
          <cell r="EN252">
            <v>0</v>
          </cell>
          <cell r="EO252">
            <v>0</v>
          </cell>
          <cell r="EP252">
            <v>0</v>
          </cell>
          <cell r="EQ252">
            <v>0</v>
          </cell>
          <cell r="ER252">
            <v>0</v>
          </cell>
          <cell r="ES252">
            <v>0</v>
          </cell>
          <cell r="ET252">
            <v>0</v>
          </cell>
          <cell r="EU252">
            <v>0</v>
          </cell>
          <cell r="EV252">
            <v>0</v>
          </cell>
          <cell r="EW252">
            <v>0</v>
          </cell>
          <cell r="EX252">
            <v>0</v>
          </cell>
          <cell r="EY252">
            <v>0</v>
          </cell>
          <cell r="EZ252">
            <v>0</v>
          </cell>
          <cell r="FA252">
            <v>0</v>
          </cell>
          <cell r="FB252">
            <v>0</v>
          </cell>
          <cell r="FC252">
            <v>0</v>
          </cell>
          <cell r="FE252">
            <v>136613.32468257612</v>
          </cell>
          <cell r="FF252">
            <v>137605.05513063088</v>
          </cell>
          <cell r="FG252">
            <v>134989.42011774675</v>
          </cell>
          <cell r="FH252">
            <v>0</v>
          </cell>
          <cell r="FI252">
            <v>0</v>
          </cell>
          <cell r="FJ252">
            <v>0</v>
          </cell>
          <cell r="FK252">
            <v>0</v>
          </cell>
          <cell r="FL252">
            <v>0</v>
          </cell>
          <cell r="FM252">
            <v>0</v>
          </cell>
          <cell r="FN252">
            <v>0</v>
          </cell>
          <cell r="FO252">
            <v>0</v>
          </cell>
          <cell r="FP252">
            <v>0</v>
          </cell>
          <cell r="FQ252">
            <v>0</v>
          </cell>
          <cell r="FR252">
            <v>0</v>
          </cell>
          <cell r="FS252">
            <v>136613.32468257612</v>
          </cell>
          <cell r="FT252">
            <v>0</v>
          </cell>
          <cell r="FU252">
            <v>0</v>
          </cell>
          <cell r="FV252">
            <v>0</v>
          </cell>
          <cell r="FW252">
            <v>0</v>
          </cell>
          <cell r="FX252">
            <v>0</v>
          </cell>
          <cell r="FY252">
            <v>0</v>
          </cell>
          <cell r="FZ252">
            <v>0</v>
          </cell>
          <cell r="GA252">
            <v>136853.5979132269</v>
          </cell>
          <cell r="GB252">
            <v>0</v>
          </cell>
          <cell r="GC252">
            <v>0</v>
          </cell>
          <cell r="GD252">
            <v>0</v>
          </cell>
          <cell r="GE252">
            <v>0</v>
          </cell>
          <cell r="GF252">
            <v>0</v>
          </cell>
          <cell r="GG252">
            <v>0</v>
          </cell>
          <cell r="GH252">
            <v>0</v>
          </cell>
          <cell r="GI252">
            <v>0</v>
          </cell>
          <cell r="GJ252">
            <v>0</v>
          </cell>
          <cell r="GK252">
            <v>0</v>
          </cell>
          <cell r="GL252">
            <v>0</v>
          </cell>
          <cell r="GM252">
            <v>0</v>
          </cell>
          <cell r="GN252">
            <v>0</v>
          </cell>
          <cell r="GO252">
            <v>0</v>
          </cell>
          <cell r="GP252">
            <v>0</v>
          </cell>
          <cell r="GQ252">
            <v>0</v>
          </cell>
          <cell r="GR252">
            <v>0</v>
          </cell>
          <cell r="GS252">
            <v>0</v>
          </cell>
          <cell r="GT252">
            <v>0</v>
          </cell>
          <cell r="GZ252">
            <v>0</v>
          </cell>
        </row>
        <row r="253">
          <cell r="A253" t="str">
            <v>I_LKI_NRF_IRD_IRD_INTR_C20</v>
          </cell>
          <cell r="B253">
            <v>12750107.060000001</v>
          </cell>
          <cell r="C253">
            <v>0</v>
          </cell>
          <cell r="D253">
            <v>12750164.059999997</v>
          </cell>
          <cell r="E253">
            <v>12156312.04809056</v>
          </cell>
          <cell r="F253">
            <v>7361460.7690659082</v>
          </cell>
          <cell r="G253">
            <v>7361460.7690659082</v>
          </cell>
          <cell r="H253">
            <v>0</v>
          </cell>
          <cell r="I253">
            <v>0</v>
          </cell>
          <cell r="J253">
            <v>0</v>
          </cell>
          <cell r="K253">
            <v>0</v>
          </cell>
          <cell r="L253">
            <v>0</v>
          </cell>
          <cell r="M253">
            <v>0</v>
          </cell>
          <cell r="N253">
            <v>0</v>
          </cell>
          <cell r="O253">
            <v>0</v>
          </cell>
          <cell r="P253">
            <v>0</v>
          </cell>
          <cell r="Q253">
            <v>0</v>
          </cell>
          <cell r="R253">
            <v>0</v>
          </cell>
          <cell r="S253">
            <v>6911834.7647874923</v>
          </cell>
          <cell r="T253">
            <v>0</v>
          </cell>
          <cell r="U253">
            <v>0</v>
          </cell>
          <cell r="V253">
            <v>0</v>
          </cell>
          <cell r="W253">
            <v>0</v>
          </cell>
          <cell r="X253">
            <v>0</v>
          </cell>
          <cell r="Y253">
            <v>0</v>
          </cell>
          <cell r="Z253">
            <v>0</v>
          </cell>
          <cell r="AA253">
            <v>0</v>
          </cell>
          <cell r="AB253">
            <v>7460766.8556443872</v>
          </cell>
          <cell r="AC253">
            <v>7262296.9195158528</v>
          </cell>
          <cell r="AD253">
            <v>0</v>
          </cell>
          <cell r="AE253">
            <v>0</v>
          </cell>
          <cell r="AF253">
            <v>0</v>
          </cell>
          <cell r="AG253">
            <v>0</v>
          </cell>
          <cell r="AH253">
            <v>0</v>
          </cell>
          <cell r="AI253">
            <v>0</v>
          </cell>
          <cell r="AJ253">
            <v>0</v>
          </cell>
          <cell r="AK253">
            <v>0</v>
          </cell>
          <cell r="AL253">
            <v>0</v>
          </cell>
          <cell r="AM253">
            <v>0</v>
          </cell>
          <cell r="AN253">
            <v>0</v>
          </cell>
          <cell r="AO253">
            <v>6536124.9607302397</v>
          </cell>
          <cell r="AP253">
            <v>0</v>
          </cell>
          <cell r="AQ253">
            <v>0</v>
          </cell>
          <cell r="AR253">
            <v>0</v>
          </cell>
          <cell r="AS253">
            <v>0</v>
          </cell>
          <cell r="AT253">
            <v>0</v>
          </cell>
          <cell r="AU253">
            <v>0</v>
          </cell>
          <cell r="AV253">
            <v>0</v>
          </cell>
          <cell r="AW253">
            <v>0</v>
          </cell>
          <cell r="AX253">
            <v>12156312.04809056</v>
          </cell>
          <cell r="AY253">
            <v>12156312.04809056</v>
          </cell>
          <cell r="AZ253">
            <v>0</v>
          </cell>
          <cell r="BA253">
            <v>0</v>
          </cell>
          <cell r="BB253">
            <v>12156312.04809056</v>
          </cell>
          <cell r="BC253">
            <v>0</v>
          </cell>
          <cell r="BD253">
            <v>0</v>
          </cell>
          <cell r="BE253">
            <v>0</v>
          </cell>
          <cell r="BF253">
            <v>0</v>
          </cell>
          <cell r="BG253">
            <v>0</v>
          </cell>
          <cell r="BH253">
            <v>0</v>
          </cell>
          <cell r="BI253">
            <v>12156312.04809056</v>
          </cell>
          <cell r="BJ253">
            <v>0</v>
          </cell>
          <cell r="BK253">
            <v>12156312.04809056</v>
          </cell>
          <cell r="BL253">
            <v>0</v>
          </cell>
          <cell r="BM253">
            <v>0</v>
          </cell>
          <cell r="BN253">
            <v>0</v>
          </cell>
          <cell r="BO253">
            <v>0</v>
          </cell>
          <cell r="BP253">
            <v>0</v>
          </cell>
          <cell r="BQ253">
            <v>0</v>
          </cell>
          <cell r="BR253">
            <v>0</v>
          </cell>
          <cell r="BS253">
            <v>12156312.04809056</v>
          </cell>
          <cell r="BT253">
            <v>12519623.127704639</v>
          </cell>
          <cell r="BU253">
            <v>11807884.291325783</v>
          </cell>
          <cell r="BV253">
            <v>0</v>
          </cell>
          <cell r="BW253">
            <v>0</v>
          </cell>
          <cell r="BX253">
            <v>0</v>
          </cell>
          <cell r="BY253">
            <v>0</v>
          </cell>
          <cell r="BZ253">
            <v>0</v>
          </cell>
          <cell r="CA253">
            <v>0</v>
          </cell>
          <cell r="CB253">
            <v>0</v>
          </cell>
          <cell r="CC253">
            <v>0</v>
          </cell>
          <cell r="CD253">
            <v>0</v>
          </cell>
          <cell r="CE253">
            <v>0</v>
          </cell>
          <cell r="CF253">
            <v>0</v>
          </cell>
          <cell r="CG253">
            <v>12156312.04809056</v>
          </cell>
          <cell r="CH253">
            <v>0</v>
          </cell>
          <cell r="CI253">
            <v>0</v>
          </cell>
          <cell r="CJ253">
            <v>0</v>
          </cell>
          <cell r="CK253">
            <v>0</v>
          </cell>
          <cell r="CL253">
            <v>0</v>
          </cell>
          <cell r="CM253">
            <v>0</v>
          </cell>
          <cell r="CN253">
            <v>0</v>
          </cell>
          <cell r="CO253">
            <v>12208731.147797666</v>
          </cell>
          <cell r="CP253">
            <v>0</v>
          </cell>
          <cell r="CQ253">
            <v>0</v>
          </cell>
          <cell r="CR253">
            <v>0</v>
          </cell>
          <cell r="CS253">
            <v>0</v>
          </cell>
          <cell r="CT253">
            <v>0</v>
          </cell>
          <cell r="CU253">
            <v>0</v>
          </cell>
          <cell r="CV253">
            <v>0</v>
          </cell>
          <cell r="CW253">
            <v>0</v>
          </cell>
          <cell r="CX253">
            <v>0</v>
          </cell>
          <cell r="CY253">
            <v>0</v>
          </cell>
          <cell r="CZ253">
            <v>0</v>
          </cell>
          <cell r="DA253">
            <v>0</v>
          </cell>
          <cell r="DB253">
            <v>0</v>
          </cell>
          <cell r="DC253">
            <v>0</v>
          </cell>
          <cell r="DD253">
            <v>0</v>
          </cell>
          <cell r="DE253">
            <v>0</v>
          </cell>
          <cell r="DF253">
            <v>0</v>
          </cell>
          <cell r="DG253">
            <v>0</v>
          </cell>
          <cell r="DH253">
            <v>0</v>
          </cell>
          <cell r="DI253">
            <v>0</v>
          </cell>
          <cell r="DJ253">
            <v>0</v>
          </cell>
          <cell r="DK253">
            <v>0</v>
          </cell>
          <cell r="DL253">
            <v>0</v>
          </cell>
          <cell r="DM253">
            <v>0</v>
          </cell>
          <cell r="DN253">
            <v>0</v>
          </cell>
          <cell r="DO253">
            <v>0</v>
          </cell>
          <cell r="DP253">
            <v>0</v>
          </cell>
          <cell r="DQ253">
            <v>0</v>
          </cell>
          <cell r="DR253">
            <v>0</v>
          </cell>
          <cell r="DS253">
            <v>0</v>
          </cell>
          <cell r="DT253">
            <v>0</v>
          </cell>
          <cell r="DU253">
            <v>0</v>
          </cell>
          <cell r="DV253">
            <v>0</v>
          </cell>
          <cell r="DW253">
            <v>0</v>
          </cell>
          <cell r="EA253">
            <v>0</v>
          </cell>
          <cell r="EB253">
            <v>0</v>
          </cell>
          <cell r="EC253">
            <v>0</v>
          </cell>
          <cell r="ED253">
            <v>0</v>
          </cell>
          <cell r="EE253">
            <v>0</v>
          </cell>
          <cell r="EF253">
            <v>0</v>
          </cell>
          <cell r="EG253">
            <v>0</v>
          </cell>
          <cell r="EH253">
            <v>0</v>
          </cell>
          <cell r="EI253">
            <v>0</v>
          </cell>
          <cell r="EJ253">
            <v>0</v>
          </cell>
          <cell r="EK253">
            <v>0</v>
          </cell>
          <cell r="EL253">
            <v>0</v>
          </cell>
          <cell r="EM253">
            <v>0</v>
          </cell>
          <cell r="EN253">
            <v>0</v>
          </cell>
          <cell r="EO253">
            <v>0</v>
          </cell>
          <cell r="EP253">
            <v>0</v>
          </cell>
          <cell r="EQ253">
            <v>0</v>
          </cell>
          <cell r="ER253">
            <v>0</v>
          </cell>
          <cell r="ES253">
            <v>0</v>
          </cell>
          <cell r="ET253">
            <v>0</v>
          </cell>
          <cell r="EU253">
            <v>0</v>
          </cell>
          <cell r="EV253">
            <v>0</v>
          </cell>
          <cell r="EW253">
            <v>0</v>
          </cell>
          <cell r="EX253">
            <v>0</v>
          </cell>
          <cell r="EY253">
            <v>0</v>
          </cell>
          <cell r="EZ253">
            <v>0</v>
          </cell>
          <cell r="FA253">
            <v>0</v>
          </cell>
          <cell r="FB253">
            <v>0</v>
          </cell>
          <cell r="FC253">
            <v>0</v>
          </cell>
          <cell r="FE253">
            <v>12156312.04809056</v>
          </cell>
          <cell r="FF253">
            <v>12519623.127704639</v>
          </cell>
          <cell r="FG253">
            <v>11807884.291325783</v>
          </cell>
          <cell r="FH253">
            <v>0</v>
          </cell>
          <cell r="FI253">
            <v>0</v>
          </cell>
          <cell r="FJ253">
            <v>0</v>
          </cell>
          <cell r="FK253">
            <v>0</v>
          </cell>
          <cell r="FL253">
            <v>0</v>
          </cell>
          <cell r="FM253">
            <v>0</v>
          </cell>
          <cell r="FN253">
            <v>0</v>
          </cell>
          <cell r="FO253">
            <v>0</v>
          </cell>
          <cell r="FP253">
            <v>0</v>
          </cell>
          <cell r="FQ253">
            <v>0</v>
          </cell>
          <cell r="FR253">
            <v>0</v>
          </cell>
          <cell r="FS253">
            <v>12156312.04809056</v>
          </cell>
          <cell r="FT253">
            <v>0</v>
          </cell>
          <cell r="FU253">
            <v>0</v>
          </cell>
          <cell r="FV253">
            <v>0</v>
          </cell>
          <cell r="FW253">
            <v>0</v>
          </cell>
          <cell r="FX253">
            <v>0</v>
          </cell>
          <cell r="FY253">
            <v>0</v>
          </cell>
          <cell r="FZ253">
            <v>0</v>
          </cell>
          <cell r="GA253">
            <v>12208731.147797666</v>
          </cell>
          <cell r="GB253">
            <v>0</v>
          </cell>
          <cell r="GC253">
            <v>0</v>
          </cell>
          <cell r="GD253">
            <v>0</v>
          </cell>
          <cell r="GE253">
            <v>0</v>
          </cell>
          <cell r="GF253">
            <v>0</v>
          </cell>
          <cell r="GG253">
            <v>0</v>
          </cell>
          <cell r="GH253">
            <v>0</v>
          </cell>
          <cell r="GI253">
            <v>0</v>
          </cell>
          <cell r="GJ253">
            <v>0</v>
          </cell>
          <cell r="GK253">
            <v>0</v>
          </cell>
          <cell r="GL253">
            <v>0</v>
          </cell>
          <cell r="GM253">
            <v>0</v>
          </cell>
          <cell r="GN253">
            <v>0</v>
          </cell>
          <cell r="GO253">
            <v>0</v>
          </cell>
          <cell r="GP253">
            <v>0</v>
          </cell>
          <cell r="GQ253">
            <v>0</v>
          </cell>
          <cell r="GR253">
            <v>0</v>
          </cell>
          <cell r="GS253">
            <v>0</v>
          </cell>
          <cell r="GT253">
            <v>0</v>
          </cell>
          <cell r="GZ253">
            <v>0</v>
          </cell>
        </row>
        <row r="254">
          <cell r="A254" t="str">
            <v>I_EUL_NRF_CPT_PRP_INTR_E01</v>
          </cell>
          <cell r="B254">
            <v>0</v>
          </cell>
          <cell r="C254">
            <v>0</v>
          </cell>
          <cell r="D254">
            <v>85214514.759438962</v>
          </cell>
          <cell r="E254">
            <v>0</v>
          </cell>
          <cell r="F254">
            <v>85214514.759438962</v>
          </cell>
          <cell r="G254">
            <v>85214514.759438962</v>
          </cell>
          <cell r="H254">
            <v>0</v>
          </cell>
          <cell r="I254">
            <v>0</v>
          </cell>
          <cell r="J254">
            <v>85214514.759438962</v>
          </cell>
          <cell r="K254">
            <v>0</v>
          </cell>
          <cell r="L254">
            <v>0</v>
          </cell>
          <cell r="M254">
            <v>0</v>
          </cell>
          <cell r="N254">
            <v>0</v>
          </cell>
          <cell r="O254">
            <v>0</v>
          </cell>
          <cell r="P254">
            <v>0</v>
          </cell>
          <cell r="Q254">
            <v>0</v>
          </cell>
          <cell r="R254">
            <v>0</v>
          </cell>
          <cell r="S254">
            <v>85214514.759438962</v>
          </cell>
          <cell r="T254">
            <v>0</v>
          </cell>
          <cell r="U254">
            <v>0</v>
          </cell>
          <cell r="V254">
            <v>0</v>
          </cell>
          <cell r="W254">
            <v>0</v>
          </cell>
          <cell r="X254">
            <v>0</v>
          </cell>
          <cell r="Y254">
            <v>0</v>
          </cell>
          <cell r="Z254">
            <v>85214514.759438962</v>
          </cell>
          <cell r="AA254">
            <v>85214514.759438962</v>
          </cell>
          <cell r="AB254">
            <v>88724295.486996725</v>
          </cell>
          <cell r="AC254">
            <v>82576814.756129593</v>
          </cell>
          <cell r="AD254">
            <v>0</v>
          </cell>
          <cell r="AE254">
            <v>0</v>
          </cell>
          <cell r="AF254">
            <v>84804849.268882185</v>
          </cell>
          <cell r="AG254">
            <v>0</v>
          </cell>
          <cell r="AH254">
            <v>0</v>
          </cell>
          <cell r="AI254">
            <v>0</v>
          </cell>
          <cell r="AJ254">
            <v>0</v>
          </cell>
          <cell r="AK254">
            <v>0</v>
          </cell>
          <cell r="AL254">
            <v>0</v>
          </cell>
          <cell r="AM254">
            <v>0</v>
          </cell>
          <cell r="AN254">
            <v>0</v>
          </cell>
          <cell r="AO254">
            <v>85215744.618283451</v>
          </cell>
          <cell r="AP254">
            <v>0</v>
          </cell>
          <cell r="AQ254">
            <v>0</v>
          </cell>
          <cell r="AR254">
            <v>0</v>
          </cell>
          <cell r="AS254">
            <v>0</v>
          </cell>
          <cell r="AT254">
            <v>0</v>
          </cell>
          <cell r="AU254">
            <v>0</v>
          </cell>
          <cell r="AV254">
            <v>83196936.368010923</v>
          </cell>
          <cell r="AW254">
            <v>85243781.425281674</v>
          </cell>
          <cell r="AX254">
            <v>0</v>
          </cell>
          <cell r="AY254">
            <v>0</v>
          </cell>
          <cell r="AZ254">
            <v>0</v>
          </cell>
          <cell r="BA254">
            <v>0</v>
          </cell>
          <cell r="BB254">
            <v>0</v>
          </cell>
          <cell r="BC254">
            <v>0</v>
          </cell>
          <cell r="BD254">
            <v>0</v>
          </cell>
          <cell r="BE254">
            <v>0</v>
          </cell>
          <cell r="BF254">
            <v>0</v>
          </cell>
          <cell r="BG254">
            <v>0</v>
          </cell>
          <cell r="BH254">
            <v>0</v>
          </cell>
          <cell r="BI254">
            <v>0</v>
          </cell>
          <cell r="BJ254">
            <v>0</v>
          </cell>
          <cell r="BK254">
            <v>0</v>
          </cell>
          <cell r="BL254">
            <v>0</v>
          </cell>
          <cell r="BM254">
            <v>0</v>
          </cell>
          <cell r="BN254">
            <v>0</v>
          </cell>
          <cell r="BO254">
            <v>0</v>
          </cell>
          <cell r="BP254">
            <v>0</v>
          </cell>
          <cell r="BQ254">
            <v>0</v>
          </cell>
          <cell r="BR254">
            <v>0</v>
          </cell>
          <cell r="BS254">
            <v>0</v>
          </cell>
          <cell r="BT254">
            <v>0</v>
          </cell>
          <cell r="BU254">
            <v>0</v>
          </cell>
          <cell r="BV254">
            <v>0</v>
          </cell>
          <cell r="BW254">
            <v>0</v>
          </cell>
          <cell r="BX254">
            <v>0</v>
          </cell>
          <cell r="BY254">
            <v>0</v>
          </cell>
          <cell r="BZ254">
            <v>0</v>
          </cell>
          <cell r="CA254">
            <v>0</v>
          </cell>
          <cell r="CB254">
            <v>0</v>
          </cell>
          <cell r="CC254">
            <v>0</v>
          </cell>
          <cell r="CD254">
            <v>0</v>
          </cell>
          <cell r="CE254">
            <v>0</v>
          </cell>
          <cell r="CF254">
            <v>0</v>
          </cell>
          <cell r="CG254">
            <v>0</v>
          </cell>
          <cell r="CH254">
            <v>0</v>
          </cell>
          <cell r="CI254">
            <v>0</v>
          </cell>
          <cell r="CJ254">
            <v>0</v>
          </cell>
          <cell r="CK254">
            <v>0</v>
          </cell>
          <cell r="CL254">
            <v>0</v>
          </cell>
          <cell r="CM254">
            <v>0</v>
          </cell>
          <cell r="CN254">
            <v>0</v>
          </cell>
          <cell r="CO254">
            <v>0</v>
          </cell>
          <cell r="CP254">
            <v>0</v>
          </cell>
          <cell r="CQ254">
            <v>0</v>
          </cell>
          <cell r="CR254">
            <v>0</v>
          </cell>
          <cell r="CS254">
            <v>0</v>
          </cell>
          <cell r="CT254">
            <v>0</v>
          </cell>
          <cell r="CU254">
            <v>0</v>
          </cell>
          <cell r="CV254">
            <v>0</v>
          </cell>
          <cell r="CW254">
            <v>0</v>
          </cell>
          <cell r="CX254">
            <v>0</v>
          </cell>
          <cell r="CY254">
            <v>0</v>
          </cell>
          <cell r="CZ254">
            <v>0</v>
          </cell>
          <cell r="DA254">
            <v>0</v>
          </cell>
          <cell r="DB254">
            <v>0</v>
          </cell>
          <cell r="DC254">
            <v>0</v>
          </cell>
          <cell r="DD254">
            <v>0</v>
          </cell>
          <cell r="DE254">
            <v>0</v>
          </cell>
          <cell r="DF254">
            <v>0</v>
          </cell>
          <cell r="DG254">
            <v>0</v>
          </cell>
          <cell r="DH254">
            <v>0</v>
          </cell>
          <cell r="DI254">
            <v>0</v>
          </cell>
          <cell r="DJ254">
            <v>0</v>
          </cell>
          <cell r="DK254">
            <v>0</v>
          </cell>
          <cell r="DL254">
            <v>0</v>
          </cell>
          <cell r="DM254">
            <v>0</v>
          </cell>
          <cell r="DN254">
            <v>0</v>
          </cell>
          <cell r="DO254">
            <v>0</v>
          </cell>
          <cell r="DP254">
            <v>0</v>
          </cell>
          <cell r="DQ254">
            <v>0</v>
          </cell>
          <cell r="DR254">
            <v>0</v>
          </cell>
          <cell r="DS254">
            <v>0</v>
          </cell>
          <cell r="DT254">
            <v>0</v>
          </cell>
          <cell r="DU254">
            <v>0</v>
          </cell>
          <cell r="DV254">
            <v>0</v>
          </cell>
          <cell r="DW254">
            <v>0</v>
          </cell>
          <cell r="EA254">
            <v>0</v>
          </cell>
          <cell r="EB254">
            <v>0</v>
          </cell>
          <cell r="EC254">
            <v>0</v>
          </cell>
          <cell r="ED254">
            <v>0</v>
          </cell>
          <cell r="EE254">
            <v>0</v>
          </cell>
          <cell r="EF254">
            <v>0</v>
          </cell>
          <cell r="EG254">
            <v>0</v>
          </cell>
          <cell r="EH254">
            <v>0</v>
          </cell>
          <cell r="EI254">
            <v>0</v>
          </cell>
          <cell r="EJ254">
            <v>0</v>
          </cell>
          <cell r="EK254">
            <v>0</v>
          </cell>
          <cell r="EL254">
            <v>0</v>
          </cell>
          <cell r="EM254">
            <v>0</v>
          </cell>
          <cell r="EN254">
            <v>0</v>
          </cell>
          <cell r="EO254">
            <v>0</v>
          </cell>
          <cell r="EP254">
            <v>0</v>
          </cell>
          <cell r="EQ254">
            <v>0</v>
          </cell>
          <cell r="ER254">
            <v>0</v>
          </cell>
          <cell r="ES254">
            <v>0</v>
          </cell>
          <cell r="ET254">
            <v>0</v>
          </cell>
          <cell r="EU254">
            <v>0</v>
          </cell>
          <cell r="EV254">
            <v>0</v>
          </cell>
          <cell r="EW254">
            <v>0</v>
          </cell>
          <cell r="EX254">
            <v>0</v>
          </cell>
          <cell r="EY254">
            <v>0</v>
          </cell>
          <cell r="EZ254">
            <v>0</v>
          </cell>
          <cell r="FA254">
            <v>0</v>
          </cell>
          <cell r="FB254">
            <v>0</v>
          </cell>
          <cell r="FC254">
            <v>0</v>
          </cell>
          <cell r="FD254">
            <v>0</v>
          </cell>
          <cell r="FE254">
            <v>0</v>
          </cell>
          <cell r="FF254">
            <v>0</v>
          </cell>
          <cell r="FG254">
            <v>0</v>
          </cell>
          <cell r="FH254">
            <v>0</v>
          </cell>
          <cell r="FI254">
            <v>0</v>
          </cell>
          <cell r="FJ254">
            <v>0</v>
          </cell>
          <cell r="FK254">
            <v>0</v>
          </cell>
          <cell r="FL254">
            <v>0</v>
          </cell>
          <cell r="FM254">
            <v>0</v>
          </cell>
          <cell r="FN254">
            <v>0</v>
          </cell>
          <cell r="FO254">
            <v>0</v>
          </cell>
          <cell r="FP254">
            <v>0</v>
          </cell>
          <cell r="FQ254">
            <v>0</v>
          </cell>
          <cell r="FR254">
            <v>0</v>
          </cell>
          <cell r="FS254">
            <v>0</v>
          </cell>
          <cell r="FT254">
            <v>0</v>
          </cell>
          <cell r="FU254">
            <v>0</v>
          </cell>
          <cell r="FV254">
            <v>0</v>
          </cell>
          <cell r="FW254">
            <v>0</v>
          </cell>
          <cell r="FX254">
            <v>0</v>
          </cell>
          <cell r="FY254">
            <v>0</v>
          </cell>
          <cell r="FZ254">
            <v>0</v>
          </cell>
          <cell r="GA254">
            <v>0</v>
          </cell>
          <cell r="GB254">
            <v>0</v>
          </cell>
          <cell r="GC254">
            <v>0</v>
          </cell>
          <cell r="GD254">
            <v>0</v>
          </cell>
          <cell r="GE254">
            <v>0</v>
          </cell>
          <cell r="GF254">
            <v>0</v>
          </cell>
          <cell r="GG254">
            <v>0</v>
          </cell>
          <cell r="GH254">
            <v>0</v>
          </cell>
          <cell r="GI254">
            <v>0</v>
          </cell>
          <cell r="GJ254">
            <v>0</v>
          </cell>
          <cell r="GK254">
            <v>0</v>
          </cell>
          <cell r="GL254">
            <v>0</v>
          </cell>
          <cell r="GM254">
            <v>0</v>
          </cell>
          <cell r="GN254">
            <v>0</v>
          </cell>
          <cell r="GO254">
            <v>0</v>
          </cell>
          <cell r="GP254">
            <v>0</v>
          </cell>
          <cell r="GQ254">
            <v>0</v>
          </cell>
          <cell r="GR254">
            <v>0</v>
          </cell>
          <cell r="GS254">
            <v>0</v>
          </cell>
          <cell r="GT254">
            <v>0</v>
          </cell>
          <cell r="GZ254">
            <v>0</v>
          </cell>
        </row>
        <row r="255">
          <cell r="A255" t="str">
            <v>I_EUL_NRF_RIS_COL_INTR_E02</v>
          </cell>
          <cell r="B255">
            <v>606278624.85155427</v>
          </cell>
          <cell r="C255">
            <v>0</v>
          </cell>
          <cell r="D255">
            <v>606400362.08999968</v>
          </cell>
          <cell r="E255">
            <v>606278624.85155427</v>
          </cell>
          <cell r="F255">
            <v>606400362.08999968</v>
          </cell>
          <cell r="G255">
            <v>606400362.08999968</v>
          </cell>
          <cell r="H255">
            <v>0</v>
          </cell>
          <cell r="I255">
            <v>0</v>
          </cell>
          <cell r="J255">
            <v>606400362.08999968</v>
          </cell>
          <cell r="K255">
            <v>0</v>
          </cell>
          <cell r="L255">
            <v>0</v>
          </cell>
          <cell r="M255">
            <v>0</v>
          </cell>
          <cell r="N255">
            <v>0</v>
          </cell>
          <cell r="O255">
            <v>0</v>
          </cell>
          <cell r="P255">
            <v>0</v>
          </cell>
          <cell r="Q255">
            <v>0</v>
          </cell>
          <cell r="R255">
            <v>0</v>
          </cell>
          <cell r="S255">
            <v>606400362.08999968</v>
          </cell>
          <cell r="T255">
            <v>0</v>
          </cell>
          <cell r="U255">
            <v>0</v>
          </cell>
          <cell r="V255">
            <v>0</v>
          </cell>
          <cell r="W255">
            <v>0</v>
          </cell>
          <cell r="X255">
            <v>0</v>
          </cell>
          <cell r="Y255">
            <v>0</v>
          </cell>
          <cell r="Z255">
            <v>606400362.08999968</v>
          </cell>
          <cell r="AA255">
            <v>606400362.08999968</v>
          </cell>
          <cell r="AB255">
            <v>616638163.11874843</v>
          </cell>
          <cell r="AC255">
            <v>595595387.17297053</v>
          </cell>
          <cell r="AD255">
            <v>0</v>
          </cell>
          <cell r="AE255">
            <v>0</v>
          </cell>
          <cell r="AF255">
            <v>564648735.947083</v>
          </cell>
          <cell r="AG255">
            <v>0</v>
          </cell>
          <cell r="AH255">
            <v>0</v>
          </cell>
          <cell r="AI255">
            <v>0</v>
          </cell>
          <cell r="AJ255">
            <v>0</v>
          </cell>
          <cell r="AK255">
            <v>0</v>
          </cell>
          <cell r="AL255">
            <v>0</v>
          </cell>
          <cell r="AM255">
            <v>0</v>
          </cell>
          <cell r="AN255">
            <v>0</v>
          </cell>
          <cell r="AO255">
            <v>573648110.14799237</v>
          </cell>
          <cell r="AP255">
            <v>0</v>
          </cell>
          <cell r="AQ255">
            <v>0</v>
          </cell>
          <cell r="AR255">
            <v>0</v>
          </cell>
          <cell r="AS255">
            <v>0</v>
          </cell>
          <cell r="AT255">
            <v>0</v>
          </cell>
          <cell r="AU255">
            <v>0</v>
          </cell>
          <cell r="AV255">
            <v>606400362.08999968</v>
          </cell>
          <cell r="AW255">
            <v>606400362.08999968</v>
          </cell>
          <cell r="AX255">
            <v>606278624.85155427</v>
          </cell>
          <cell r="AY255">
            <v>606278624.85155427</v>
          </cell>
          <cell r="AZ255">
            <v>0</v>
          </cell>
          <cell r="BA255">
            <v>0</v>
          </cell>
          <cell r="BB255">
            <v>606278624.85155427</v>
          </cell>
          <cell r="BC255">
            <v>0</v>
          </cell>
          <cell r="BD255">
            <v>0</v>
          </cell>
          <cell r="BE255">
            <v>0</v>
          </cell>
          <cell r="BF255">
            <v>0</v>
          </cell>
          <cell r="BG255">
            <v>0</v>
          </cell>
          <cell r="BH255">
            <v>0</v>
          </cell>
          <cell r="BI255">
            <v>0</v>
          </cell>
          <cell r="BJ255">
            <v>0</v>
          </cell>
          <cell r="BK255">
            <v>606278624.85155427</v>
          </cell>
          <cell r="BL255">
            <v>0</v>
          </cell>
          <cell r="BM255">
            <v>0</v>
          </cell>
          <cell r="BN255">
            <v>0</v>
          </cell>
          <cell r="BO255">
            <v>0</v>
          </cell>
          <cell r="BP255">
            <v>0</v>
          </cell>
          <cell r="BQ255">
            <v>0</v>
          </cell>
          <cell r="BR255">
            <v>606278624.85155427</v>
          </cell>
          <cell r="BS255">
            <v>606278624.85155427</v>
          </cell>
          <cell r="BT255">
            <v>616305734.51802194</v>
          </cell>
          <cell r="BU255">
            <v>595645723.25258434</v>
          </cell>
          <cell r="BV255">
            <v>0</v>
          </cell>
          <cell r="BW255">
            <v>0</v>
          </cell>
          <cell r="BX255">
            <v>564653797.92659569</v>
          </cell>
          <cell r="BY255">
            <v>0</v>
          </cell>
          <cell r="BZ255">
            <v>0</v>
          </cell>
          <cell r="CA255">
            <v>0</v>
          </cell>
          <cell r="CB255">
            <v>0</v>
          </cell>
          <cell r="CC255">
            <v>0</v>
          </cell>
          <cell r="CD255">
            <v>0</v>
          </cell>
          <cell r="CE255">
            <v>0</v>
          </cell>
          <cell r="CF255">
            <v>0</v>
          </cell>
          <cell r="CG255">
            <v>573540345.67943263</v>
          </cell>
          <cell r="CH255">
            <v>0</v>
          </cell>
          <cell r="CI255">
            <v>0</v>
          </cell>
          <cell r="CJ255">
            <v>0</v>
          </cell>
          <cell r="CK255">
            <v>0</v>
          </cell>
          <cell r="CL255">
            <v>0</v>
          </cell>
          <cell r="CM255">
            <v>0</v>
          </cell>
          <cell r="CN255">
            <v>606278624.85155427</v>
          </cell>
          <cell r="CO255">
            <v>606257003.96661973</v>
          </cell>
          <cell r="CP255">
            <v>606278624.85155427</v>
          </cell>
          <cell r="CQ255">
            <v>606278624.85155427</v>
          </cell>
          <cell r="CR255">
            <v>606278624.85155427</v>
          </cell>
          <cell r="CS255">
            <v>606278624.85155427</v>
          </cell>
          <cell r="CT255">
            <v>606278624.85155427</v>
          </cell>
          <cell r="CU255">
            <v>0</v>
          </cell>
          <cell r="CV255">
            <v>606278624.85155427</v>
          </cell>
          <cell r="CW255">
            <v>606278624.85155427</v>
          </cell>
          <cell r="CX255">
            <v>606278624.85155427</v>
          </cell>
          <cell r="CY255">
            <v>606278624.85155427</v>
          </cell>
          <cell r="CZ255">
            <v>606278624.85155427</v>
          </cell>
          <cell r="DA255">
            <v>606219233.3633703</v>
          </cell>
          <cell r="DB255">
            <v>606278624.85155427</v>
          </cell>
          <cell r="DC255">
            <v>606269302.15320361</v>
          </cell>
          <cell r="DD255">
            <v>606396989.42487204</v>
          </cell>
          <cell r="DE255">
            <v>0</v>
          </cell>
          <cell r="DF255">
            <v>606382093.43198276</v>
          </cell>
          <cell r="DG255">
            <v>606361832.80703759</v>
          </cell>
          <cell r="DH255">
            <v>606278624.85155427</v>
          </cell>
          <cell r="DI255">
            <v>606278624.85155427</v>
          </cell>
          <cell r="DJ255">
            <v>0</v>
          </cell>
          <cell r="DK255">
            <v>0</v>
          </cell>
          <cell r="DL255">
            <v>0</v>
          </cell>
          <cell r="DM255">
            <v>0</v>
          </cell>
          <cell r="DN255">
            <v>0</v>
          </cell>
          <cell r="DO255">
            <v>0</v>
          </cell>
          <cell r="DP255">
            <v>0</v>
          </cell>
          <cell r="DQ255">
            <v>0</v>
          </cell>
          <cell r="DR255">
            <v>0</v>
          </cell>
          <cell r="DS255">
            <v>0</v>
          </cell>
          <cell r="DT255">
            <v>0</v>
          </cell>
          <cell r="DU255">
            <v>0</v>
          </cell>
          <cell r="DV255">
            <v>0</v>
          </cell>
          <cell r="DW255">
            <v>0</v>
          </cell>
          <cell r="EA255">
            <v>0</v>
          </cell>
          <cell r="EB255">
            <v>0</v>
          </cell>
          <cell r="EC255">
            <v>0</v>
          </cell>
          <cell r="ED255">
            <v>0</v>
          </cell>
          <cell r="EE255">
            <v>0</v>
          </cell>
          <cell r="EF255">
            <v>0</v>
          </cell>
          <cell r="EG255">
            <v>0</v>
          </cell>
          <cell r="EH255">
            <v>0</v>
          </cell>
          <cell r="EI255">
            <v>0</v>
          </cell>
          <cell r="EJ255">
            <v>0</v>
          </cell>
          <cell r="EK255">
            <v>0</v>
          </cell>
          <cell r="EL255">
            <v>0</v>
          </cell>
          <cell r="EM255">
            <v>0</v>
          </cell>
          <cell r="EN255">
            <v>0</v>
          </cell>
          <cell r="EO255">
            <v>0</v>
          </cell>
          <cell r="EP255">
            <v>0</v>
          </cell>
          <cell r="EQ255">
            <v>0</v>
          </cell>
          <cell r="ER255">
            <v>0</v>
          </cell>
          <cell r="ES255">
            <v>0</v>
          </cell>
          <cell r="ET255">
            <v>0</v>
          </cell>
          <cell r="EU255">
            <v>0</v>
          </cell>
          <cell r="EV255">
            <v>0</v>
          </cell>
          <cell r="EW255">
            <v>0</v>
          </cell>
          <cell r="EX255">
            <v>0</v>
          </cell>
          <cell r="EY255">
            <v>0</v>
          </cell>
          <cell r="EZ255">
            <v>0</v>
          </cell>
          <cell r="FA255">
            <v>0</v>
          </cell>
          <cell r="FB255">
            <v>0</v>
          </cell>
          <cell r="FC255">
            <v>0</v>
          </cell>
          <cell r="FD255">
            <v>0</v>
          </cell>
          <cell r="FE255">
            <v>606278624.85155427</v>
          </cell>
          <cell r="FF255">
            <v>616305734.51802194</v>
          </cell>
          <cell r="FG255">
            <v>595645723.25258434</v>
          </cell>
          <cell r="FH255">
            <v>0</v>
          </cell>
          <cell r="FI255">
            <v>0</v>
          </cell>
          <cell r="FJ255">
            <v>564653797.92659569</v>
          </cell>
          <cell r="FK255">
            <v>0</v>
          </cell>
          <cell r="FL255">
            <v>0</v>
          </cell>
          <cell r="FM255">
            <v>0</v>
          </cell>
          <cell r="FN255">
            <v>0</v>
          </cell>
          <cell r="FO255">
            <v>0</v>
          </cell>
          <cell r="FP255">
            <v>0</v>
          </cell>
          <cell r="FQ255">
            <v>0</v>
          </cell>
          <cell r="FR255">
            <v>0</v>
          </cell>
          <cell r="FS255">
            <v>573540345.67943263</v>
          </cell>
          <cell r="FT255">
            <v>0</v>
          </cell>
          <cell r="FU255">
            <v>0</v>
          </cell>
          <cell r="FV255">
            <v>0</v>
          </cell>
          <cell r="FW255">
            <v>0</v>
          </cell>
          <cell r="FX255">
            <v>0</v>
          </cell>
          <cell r="FY255">
            <v>0</v>
          </cell>
          <cell r="FZ255">
            <v>606278624.85155427</v>
          </cell>
          <cell r="GA255">
            <v>606257003.96661973</v>
          </cell>
          <cell r="GB255">
            <v>606278624.85155427</v>
          </cell>
          <cell r="GC255">
            <v>606219233.3633703</v>
          </cell>
          <cell r="GD255">
            <v>606278624.85155427</v>
          </cell>
          <cell r="GE255">
            <v>606269302.15320361</v>
          </cell>
          <cell r="GF255">
            <v>606396989.42487204</v>
          </cell>
          <cell r="GG255">
            <v>0</v>
          </cell>
          <cell r="GH255">
            <v>606382093.43198276</v>
          </cell>
          <cell r="GI255">
            <v>606361832.80703759</v>
          </cell>
          <cell r="GJ255">
            <v>606278624.85155427</v>
          </cell>
          <cell r="GK255">
            <v>606278624.85155427</v>
          </cell>
          <cell r="GL255">
            <v>0</v>
          </cell>
          <cell r="GM255">
            <v>0</v>
          </cell>
          <cell r="GN255">
            <v>0</v>
          </cell>
          <cell r="GO255">
            <v>0</v>
          </cell>
          <cell r="GP255">
            <v>0</v>
          </cell>
          <cell r="GQ255">
            <v>0</v>
          </cell>
          <cell r="GR255">
            <v>0</v>
          </cell>
          <cell r="GS255">
            <v>0</v>
          </cell>
          <cell r="GT255">
            <v>0</v>
          </cell>
          <cell r="GZ255">
            <v>0</v>
          </cell>
        </row>
        <row r="256">
          <cell r="A256" t="str">
            <v>I_EUL_NRF_RIS_COL_INTR_E03</v>
          </cell>
          <cell r="B256">
            <v>166570736.05506554</v>
          </cell>
          <cell r="C256">
            <v>0</v>
          </cell>
          <cell r="D256">
            <v>174084784.49358064</v>
          </cell>
          <cell r="E256">
            <v>166570736.05506554</v>
          </cell>
          <cell r="F256">
            <v>174084784.49358064</v>
          </cell>
          <cell r="G256">
            <v>174084784.49358064</v>
          </cell>
          <cell r="H256">
            <v>0</v>
          </cell>
          <cell r="I256">
            <v>0</v>
          </cell>
          <cell r="J256">
            <v>174084784.49358064</v>
          </cell>
          <cell r="K256">
            <v>0</v>
          </cell>
          <cell r="L256">
            <v>0</v>
          </cell>
          <cell r="M256">
            <v>0</v>
          </cell>
          <cell r="N256">
            <v>0</v>
          </cell>
          <cell r="O256">
            <v>0</v>
          </cell>
          <cell r="P256">
            <v>0</v>
          </cell>
          <cell r="Q256">
            <v>0</v>
          </cell>
          <cell r="R256">
            <v>0</v>
          </cell>
          <cell r="S256">
            <v>174084784.49358064</v>
          </cell>
          <cell r="T256">
            <v>0</v>
          </cell>
          <cell r="U256">
            <v>0</v>
          </cell>
          <cell r="V256">
            <v>0</v>
          </cell>
          <cell r="W256">
            <v>0</v>
          </cell>
          <cell r="X256">
            <v>0</v>
          </cell>
          <cell r="Y256">
            <v>0</v>
          </cell>
          <cell r="Z256">
            <v>174084784.49358064</v>
          </cell>
          <cell r="AA256">
            <v>174084784.49358064</v>
          </cell>
          <cell r="AB256">
            <v>236376823.94181404</v>
          </cell>
          <cell r="AC256">
            <v>130800784.36788712</v>
          </cell>
          <cell r="AD256">
            <v>0</v>
          </cell>
          <cell r="AE256">
            <v>0</v>
          </cell>
          <cell r="AF256">
            <v>174084784.49358064</v>
          </cell>
          <cell r="AG256">
            <v>0</v>
          </cell>
          <cell r="AH256">
            <v>0</v>
          </cell>
          <cell r="AI256">
            <v>0</v>
          </cell>
          <cell r="AJ256">
            <v>0</v>
          </cell>
          <cell r="AK256">
            <v>0</v>
          </cell>
          <cell r="AL256">
            <v>0</v>
          </cell>
          <cell r="AM256">
            <v>0</v>
          </cell>
          <cell r="AN256">
            <v>0</v>
          </cell>
          <cell r="AO256">
            <v>174084784.49358064</v>
          </cell>
          <cell r="AP256">
            <v>0</v>
          </cell>
          <cell r="AQ256">
            <v>0</v>
          </cell>
          <cell r="AR256">
            <v>0</v>
          </cell>
          <cell r="AS256">
            <v>0</v>
          </cell>
          <cell r="AT256">
            <v>0</v>
          </cell>
          <cell r="AU256">
            <v>0</v>
          </cell>
          <cell r="AV256">
            <v>134759279.09334671</v>
          </cell>
          <cell r="AW256">
            <v>175800969.57940596</v>
          </cell>
          <cell r="AX256">
            <v>166570736.05506554</v>
          </cell>
          <cell r="AY256">
            <v>166570736.05506554</v>
          </cell>
          <cell r="AZ256">
            <v>0</v>
          </cell>
          <cell r="BA256">
            <v>0</v>
          </cell>
          <cell r="BB256">
            <v>166570736.05506554</v>
          </cell>
          <cell r="BC256">
            <v>0</v>
          </cell>
          <cell r="BD256">
            <v>0</v>
          </cell>
          <cell r="BE256">
            <v>0</v>
          </cell>
          <cell r="BF256">
            <v>0</v>
          </cell>
          <cell r="BG256">
            <v>0</v>
          </cell>
          <cell r="BH256">
            <v>0</v>
          </cell>
          <cell r="BI256">
            <v>0</v>
          </cell>
          <cell r="BJ256">
            <v>0</v>
          </cell>
          <cell r="BK256">
            <v>166570736.05506554</v>
          </cell>
          <cell r="BL256">
            <v>0</v>
          </cell>
          <cell r="BM256">
            <v>0</v>
          </cell>
          <cell r="BN256">
            <v>0</v>
          </cell>
          <cell r="BO256">
            <v>0</v>
          </cell>
          <cell r="BP256">
            <v>0</v>
          </cell>
          <cell r="BQ256">
            <v>0</v>
          </cell>
          <cell r="BR256">
            <v>166570736.05506554</v>
          </cell>
          <cell r="BS256">
            <v>166570736.05506554</v>
          </cell>
          <cell r="BT256">
            <v>228006278.7025665</v>
          </cell>
          <cell r="BU256">
            <v>124411769.47395754</v>
          </cell>
          <cell r="BV256">
            <v>0</v>
          </cell>
          <cell r="BW256">
            <v>0</v>
          </cell>
          <cell r="BX256">
            <v>166570736.05506554</v>
          </cell>
          <cell r="BY256">
            <v>0</v>
          </cell>
          <cell r="BZ256">
            <v>0</v>
          </cell>
          <cell r="CA256">
            <v>0</v>
          </cell>
          <cell r="CB256">
            <v>0</v>
          </cell>
          <cell r="CC256">
            <v>0</v>
          </cell>
          <cell r="CD256">
            <v>0</v>
          </cell>
          <cell r="CE256">
            <v>0</v>
          </cell>
          <cell r="CF256">
            <v>0</v>
          </cell>
          <cell r="CG256">
            <v>166570736.05506554</v>
          </cell>
          <cell r="CH256">
            <v>0</v>
          </cell>
          <cell r="CI256">
            <v>0</v>
          </cell>
          <cell r="CJ256">
            <v>0</v>
          </cell>
          <cell r="CK256">
            <v>0</v>
          </cell>
          <cell r="CL256">
            <v>0</v>
          </cell>
          <cell r="CM256">
            <v>0</v>
          </cell>
          <cell r="CN256">
            <v>128699556.08881591</v>
          </cell>
          <cell r="CO256">
            <v>178958128.36057734</v>
          </cell>
          <cell r="CP256">
            <v>166570736.05506554</v>
          </cell>
          <cell r="CQ256">
            <v>166570736.05506554</v>
          </cell>
          <cell r="CR256">
            <v>166570736.05506554</v>
          </cell>
          <cell r="CS256">
            <v>166570736.05506554</v>
          </cell>
          <cell r="CT256">
            <v>166570736.05506554</v>
          </cell>
          <cell r="CU256">
            <v>0</v>
          </cell>
          <cell r="CV256">
            <v>166570736.05506554</v>
          </cell>
          <cell r="CW256">
            <v>166570736.05506554</v>
          </cell>
          <cell r="CX256">
            <v>166570736.05506554</v>
          </cell>
          <cell r="CY256">
            <v>166570736.05506554</v>
          </cell>
          <cell r="CZ256">
            <v>166570736.05506554</v>
          </cell>
          <cell r="DA256">
            <v>173175722.81766823</v>
          </cell>
          <cell r="DB256">
            <v>166570736.05506554</v>
          </cell>
          <cell r="DC256">
            <v>166570736.05506554</v>
          </cell>
          <cell r="DD256">
            <v>166570736.05506554</v>
          </cell>
          <cell r="DE256">
            <v>0</v>
          </cell>
          <cell r="DF256">
            <v>166570736.05506554</v>
          </cell>
          <cell r="DG256">
            <v>172005966.49243274</v>
          </cell>
          <cell r="DH256">
            <v>166570736.05506554</v>
          </cell>
          <cell r="DI256">
            <v>166570736.05506554</v>
          </cell>
          <cell r="DJ256">
            <v>0</v>
          </cell>
          <cell r="DK256">
            <v>0</v>
          </cell>
          <cell r="DL256">
            <v>0</v>
          </cell>
          <cell r="DM256">
            <v>0</v>
          </cell>
          <cell r="DN256">
            <v>0</v>
          </cell>
          <cell r="DO256">
            <v>0</v>
          </cell>
          <cell r="DP256">
            <v>0</v>
          </cell>
          <cell r="DQ256">
            <v>0</v>
          </cell>
          <cell r="DR256">
            <v>0</v>
          </cell>
          <cell r="DS256">
            <v>0</v>
          </cell>
          <cell r="DT256">
            <v>0</v>
          </cell>
          <cell r="DU256">
            <v>0</v>
          </cell>
          <cell r="DV256">
            <v>0</v>
          </cell>
          <cell r="DW256">
            <v>0</v>
          </cell>
          <cell r="EA256">
            <v>0</v>
          </cell>
          <cell r="EB256">
            <v>0</v>
          </cell>
          <cell r="EC256">
            <v>0</v>
          </cell>
          <cell r="ED256">
            <v>0</v>
          </cell>
          <cell r="EE256">
            <v>0</v>
          </cell>
          <cell r="EF256">
            <v>0</v>
          </cell>
          <cell r="EG256">
            <v>0</v>
          </cell>
          <cell r="EH256">
            <v>0</v>
          </cell>
          <cell r="EI256">
            <v>0</v>
          </cell>
          <cell r="EJ256">
            <v>0</v>
          </cell>
          <cell r="EK256">
            <v>0</v>
          </cell>
          <cell r="EL256">
            <v>0</v>
          </cell>
          <cell r="EM256">
            <v>0</v>
          </cell>
          <cell r="EN256">
            <v>0</v>
          </cell>
          <cell r="EO256">
            <v>0</v>
          </cell>
          <cell r="EP256">
            <v>0</v>
          </cell>
          <cell r="EQ256">
            <v>0</v>
          </cell>
          <cell r="ER256">
            <v>0</v>
          </cell>
          <cell r="ES256">
            <v>0</v>
          </cell>
          <cell r="ET256">
            <v>0</v>
          </cell>
          <cell r="EU256">
            <v>0</v>
          </cell>
          <cell r="EV256">
            <v>0</v>
          </cell>
          <cell r="EW256">
            <v>0</v>
          </cell>
          <cell r="EX256">
            <v>0</v>
          </cell>
          <cell r="EY256">
            <v>0</v>
          </cell>
          <cell r="EZ256">
            <v>0</v>
          </cell>
          <cell r="FA256">
            <v>0</v>
          </cell>
          <cell r="FB256">
            <v>0</v>
          </cell>
          <cell r="FC256">
            <v>0</v>
          </cell>
          <cell r="FD256">
            <v>0</v>
          </cell>
          <cell r="FE256">
            <v>166570736.05506554</v>
          </cell>
          <cell r="FF256">
            <v>228006278.7025665</v>
          </cell>
          <cell r="FG256">
            <v>124411769.47395754</v>
          </cell>
          <cell r="FH256">
            <v>0</v>
          </cell>
          <cell r="FI256">
            <v>0</v>
          </cell>
          <cell r="FJ256">
            <v>166570736.05506554</v>
          </cell>
          <cell r="FK256">
            <v>0</v>
          </cell>
          <cell r="FL256">
            <v>0</v>
          </cell>
          <cell r="FM256">
            <v>0</v>
          </cell>
          <cell r="FN256">
            <v>0</v>
          </cell>
          <cell r="FO256">
            <v>0</v>
          </cell>
          <cell r="FP256">
            <v>0</v>
          </cell>
          <cell r="FQ256">
            <v>0</v>
          </cell>
          <cell r="FR256">
            <v>0</v>
          </cell>
          <cell r="FS256">
            <v>166570736.05506554</v>
          </cell>
          <cell r="FT256">
            <v>0</v>
          </cell>
          <cell r="FU256">
            <v>0</v>
          </cell>
          <cell r="FV256">
            <v>0</v>
          </cell>
          <cell r="FW256">
            <v>0</v>
          </cell>
          <cell r="FX256">
            <v>0</v>
          </cell>
          <cell r="FY256">
            <v>0</v>
          </cell>
          <cell r="FZ256">
            <v>128699556.08881591</v>
          </cell>
          <cell r="GA256">
            <v>178958128.36057734</v>
          </cell>
          <cell r="GB256">
            <v>166570736.05506554</v>
          </cell>
          <cell r="GC256">
            <v>173175722.81766823</v>
          </cell>
          <cell r="GD256">
            <v>166570736.05506554</v>
          </cell>
          <cell r="GE256">
            <v>166570736.05506554</v>
          </cell>
          <cell r="GF256">
            <v>166570736.05506554</v>
          </cell>
          <cell r="GG256">
            <v>0</v>
          </cell>
          <cell r="GH256">
            <v>166570736.05506554</v>
          </cell>
          <cell r="GI256">
            <v>172005966.49243274</v>
          </cell>
          <cell r="GJ256">
            <v>166570736.05506554</v>
          </cell>
          <cell r="GK256">
            <v>166570736.05506554</v>
          </cell>
          <cell r="GL256">
            <v>0</v>
          </cell>
          <cell r="GM256">
            <v>0</v>
          </cell>
          <cell r="GN256">
            <v>0</v>
          </cell>
          <cell r="GO256">
            <v>0</v>
          </cell>
          <cell r="GP256">
            <v>0</v>
          </cell>
          <cell r="GQ256">
            <v>0</v>
          </cell>
          <cell r="GR256">
            <v>0</v>
          </cell>
          <cell r="GS256">
            <v>0</v>
          </cell>
          <cell r="GT256">
            <v>0</v>
          </cell>
          <cell r="GZ256">
            <v>0</v>
          </cell>
        </row>
        <row r="257">
          <cell r="A257" t="str">
            <v>I_CAI_NRF_CPT_PRP_INTR_TCX</v>
          </cell>
          <cell r="B257">
            <v>0</v>
          </cell>
          <cell r="C257">
            <v>0</v>
          </cell>
          <cell r="D257">
            <v>0</v>
          </cell>
          <cell r="E257">
            <v>0</v>
          </cell>
          <cell r="F257">
            <v>0</v>
          </cell>
          <cell r="G257">
            <v>0</v>
          </cell>
          <cell r="H257">
            <v>0</v>
          </cell>
          <cell r="I257">
            <v>0</v>
          </cell>
          <cell r="J257">
            <v>0</v>
          </cell>
          <cell r="K257">
            <v>0</v>
          </cell>
          <cell r="L257">
            <v>0</v>
          </cell>
          <cell r="M257">
            <v>0</v>
          </cell>
          <cell r="N257">
            <v>0</v>
          </cell>
          <cell r="O257">
            <v>0</v>
          </cell>
          <cell r="P257">
            <v>0</v>
          </cell>
          <cell r="Q257">
            <v>0</v>
          </cell>
          <cell r="R257">
            <v>0</v>
          </cell>
          <cell r="S257">
            <v>0</v>
          </cell>
          <cell r="T257">
            <v>0</v>
          </cell>
          <cell r="U257">
            <v>0</v>
          </cell>
          <cell r="V257">
            <v>0</v>
          </cell>
          <cell r="W257">
            <v>0</v>
          </cell>
          <cell r="X257">
            <v>0</v>
          </cell>
          <cell r="Y257">
            <v>0</v>
          </cell>
          <cell r="Z257">
            <v>0</v>
          </cell>
          <cell r="AA257">
            <v>0</v>
          </cell>
          <cell r="AB257">
            <v>0</v>
          </cell>
          <cell r="AC257">
            <v>0</v>
          </cell>
          <cell r="AD257">
            <v>0</v>
          </cell>
          <cell r="AE257">
            <v>0</v>
          </cell>
          <cell r="AF257">
            <v>0</v>
          </cell>
          <cell r="AG257">
            <v>0</v>
          </cell>
          <cell r="AH257">
            <v>0</v>
          </cell>
          <cell r="AI257">
            <v>0</v>
          </cell>
          <cell r="AJ257">
            <v>0</v>
          </cell>
          <cell r="AK257">
            <v>0</v>
          </cell>
          <cell r="AL257">
            <v>0</v>
          </cell>
          <cell r="AM257">
            <v>0</v>
          </cell>
          <cell r="AN257">
            <v>0</v>
          </cell>
          <cell r="AO257">
            <v>0</v>
          </cell>
          <cell r="AP257">
            <v>0</v>
          </cell>
          <cell r="AQ257">
            <v>0</v>
          </cell>
          <cell r="AR257">
            <v>0</v>
          </cell>
          <cell r="AS257">
            <v>0</v>
          </cell>
          <cell r="AT257">
            <v>0</v>
          </cell>
          <cell r="AU257">
            <v>0</v>
          </cell>
          <cell r="AV257">
            <v>0</v>
          </cell>
          <cell r="AW257">
            <v>0</v>
          </cell>
          <cell r="AX257">
            <v>0</v>
          </cell>
          <cell r="AY257">
            <v>0</v>
          </cell>
          <cell r="AZ257">
            <v>0</v>
          </cell>
          <cell r="BA257">
            <v>0</v>
          </cell>
          <cell r="BB257">
            <v>0</v>
          </cell>
          <cell r="BC257">
            <v>0</v>
          </cell>
          <cell r="BD257">
            <v>0</v>
          </cell>
          <cell r="BE257">
            <v>0</v>
          </cell>
          <cell r="BF257">
            <v>0</v>
          </cell>
          <cell r="BG257">
            <v>0</v>
          </cell>
          <cell r="BH257">
            <v>0</v>
          </cell>
          <cell r="BI257">
            <v>0</v>
          </cell>
          <cell r="BJ257">
            <v>0</v>
          </cell>
          <cell r="BK257">
            <v>0</v>
          </cell>
          <cell r="BL257">
            <v>0</v>
          </cell>
          <cell r="BM257">
            <v>0</v>
          </cell>
          <cell r="BN257">
            <v>0</v>
          </cell>
          <cell r="BO257">
            <v>0</v>
          </cell>
          <cell r="BP257">
            <v>0</v>
          </cell>
          <cell r="BQ257">
            <v>0</v>
          </cell>
          <cell r="BR257">
            <v>0</v>
          </cell>
          <cell r="BS257">
            <v>0</v>
          </cell>
          <cell r="BT257">
            <v>0</v>
          </cell>
          <cell r="BU257">
            <v>0</v>
          </cell>
          <cell r="BV257">
            <v>0</v>
          </cell>
          <cell r="BW257">
            <v>0</v>
          </cell>
          <cell r="BX257">
            <v>0</v>
          </cell>
          <cell r="BY257">
            <v>0</v>
          </cell>
          <cell r="BZ257">
            <v>0</v>
          </cell>
          <cell r="CA257">
            <v>0</v>
          </cell>
          <cell r="CB257">
            <v>0</v>
          </cell>
          <cell r="CC257">
            <v>0</v>
          </cell>
          <cell r="CD257">
            <v>0</v>
          </cell>
          <cell r="CE257">
            <v>0</v>
          </cell>
          <cell r="CF257">
            <v>0</v>
          </cell>
          <cell r="CG257">
            <v>0</v>
          </cell>
          <cell r="CH257">
            <v>0</v>
          </cell>
          <cell r="CI257">
            <v>0</v>
          </cell>
          <cell r="CJ257">
            <v>0</v>
          </cell>
          <cell r="CK257">
            <v>0</v>
          </cell>
          <cell r="CL257">
            <v>0</v>
          </cell>
          <cell r="CM257">
            <v>0</v>
          </cell>
          <cell r="CN257">
            <v>0</v>
          </cell>
          <cell r="CO257">
            <v>0</v>
          </cell>
          <cell r="CP257">
            <v>0</v>
          </cell>
          <cell r="CQ257">
            <v>0</v>
          </cell>
          <cell r="CR257">
            <v>0</v>
          </cell>
          <cell r="CS257">
            <v>0</v>
          </cell>
          <cell r="CT257">
            <v>0</v>
          </cell>
          <cell r="CU257">
            <v>0</v>
          </cell>
          <cell r="CV257">
            <v>0</v>
          </cell>
          <cell r="CW257">
            <v>0</v>
          </cell>
          <cell r="CX257">
            <v>0</v>
          </cell>
          <cell r="CY257">
            <v>0</v>
          </cell>
          <cell r="CZ257">
            <v>0</v>
          </cell>
          <cell r="DA257">
            <v>0</v>
          </cell>
          <cell r="DB257">
            <v>0</v>
          </cell>
          <cell r="DC257">
            <v>0</v>
          </cell>
          <cell r="DD257">
            <v>0</v>
          </cell>
          <cell r="DE257">
            <v>0</v>
          </cell>
          <cell r="DF257">
            <v>0</v>
          </cell>
          <cell r="DG257">
            <v>0</v>
          </cell>
          <cell r="DH257">
            <v>0</v>
          </cell>
          <cell r="DI257">
            <v>0</v>
          </cell>
          <cell r="DJ257">
            <v>0</v>
          </cell>
          <cell r="DK257">
            <v>0</v>
          </cell>
          <cell r="DL257">
            <v>0</v>
          </cell>
          <cell r="DM257">
            <v>0</v>
          </cell>
          <cell r="DN257">
            <v>0</v>
          </cell>
          <cell r="DO257">
            <v>0</v>
          </cell>
          <cell r="DP257">
            <v>0</v>
          </cell>
          <cell r="DQ257">
            <v>0</v>
          </cell>
          <cell r="DR257">
            <v>0</v>
          </cell>
          <cell r="DS257">
            <v>0</v>
          </cell>
          <cell r="DT257">
            <v>0</v>
          </cell>
          <cell r="DU257">
            <v>0</v>
          </cell>
          <cell r="DV257">
            <v>0</v>
          </cell>
          <cell r="DW257">
            <v>0</v>
          </cell>
          <cell r="EA257">
            <v>0</v>
          </cell>
          <cell r="EB257">
            <v>0</v>
          </cell>
          <cell r="EC257">
            <v>0</v>
          </cell>
          <cell r="ED257">
            <v>0</v>
          </cell>
          <cell r="EE257">
            <v>0</v>
          </cell>
          <cell r="EF257">
            <v>0</v>
          </cell>
          <cell r="EG257">
            <v>0</v>
          </cell>
          <cell r="EH257">
            <v>0</v>
          </cell>
          <cell r="EI257">
            <v>0</v>
          </cell>
          <cell r="EJ257">
            <v>0</v>
          </cell>
          <cell r="EK257">
            <v>0</v>
          </cell>
          <cell r="EL257">
            <v>0</v>
          </cell>
          <cell r="EM257">
            <v>0</v>
          </cell>
          <cell r="EN257">
            <v>0</v>
          </cell>
          <cell r="EO257">
            <v>0</v>
          </cell>
          <cell r="EP257">
            <v>0</v>
          </cell>
          <cell r="EQ257">
            <v>0</v>
          </cell>
          <cell r="ER257">
            <v>0</v>
          </cell>
          <cell r="ES257">
            <v>0</v>
          </cell>
          <cell r="ET257">
            <v>0</v>
          </cell>
          <cell r="EU257">
            <v>0</v>
          </cell>
          <cell r="EV257">
            <v>0</v>
          </cell>
          <cell r="EW257">
            <v>0</v>
          </cell>
          <cell r="EX257">
            <v>0</v>
          </cell>
          <cell r="EY257">
            <v>0</v>
          </cell>
          <cell r="EZ257">
            <v>0</v>
          </cell>
          <cell r="FA257">
            <v>0</v>
          </cell>
          <cell r="FB257">
            <v>0</v>
          </cell>
          <cell r="FC257">
            <v>0</v>
          </cell>
          <cell r="FE257">
            <v>0</v>
          </cell>
          <cell r="FF257">
            <v>0</v>
          </cell>
          <cell r="FG257">
            <v>0</v>
          </cell>
          <cell r="FH257">
            <v>0</v>
          </cell>
          <cell r="FI257">
            <v>0</v>
          </cell>
          <cell r="FJ257">
            <v>0</v>
          </cell>
          <cell r="FK257">
            <v>0</v>
          </cell>
          <cell r="FL257">
            <v>0</v>
          </cell>
          <cell r="FM257">
            <v>0</v>
          </cell>
          <cell r="FN257">
            <v>0</v>
          </cell>
          <cell r="FO257">
            <v>0</v>
          </cell>
          <cell r="FP257">
            <v>0</v>
          </cell>
          <cell r="FQ257">
            <v>0</v>
          </cell>
          <cell r="FR257">
            <v>0</v>
          </cell>
          <cell r="FS257">
            <v>0</v>
          </cell>
          <cell r="FT257">
            <v>0</v>
          </cell>
          <cell r="FU257">
            <v>0</v>
          </cell>
          <cell r="FV257">
            <v>0</v>
          </cell>
          <cell r="FW257">
            <v>0</v>
          </cell>
          <cell r="FX257">
            <v>0</v>
          </cell>
          <cell r="FY257">
            <v>0</v>
          </cell>
          <cell r="FZ257">
            <v>0</v>
          </cell>
          <cell r="GA257">
            <v>0</v>
          </cell>
          <cell r="GB257">
            <v>0</v>
          </cell>
          <cell r="GC257">
            <v>0</v>
          </cell>
          <cell r="GD257">
            <v>0</v>
          </cell>
          <cell r="GE257">
            <v>0</v>
          </cell>
          <cell r="GF257">
            <v>0</v>
          </cell>
          <cell r="GG257">
            <v>0</v>
          </cell>
          <cell r="GH257">
            <v>0</v>
          </cell>
          <cell r="GI257">
            <v>0</v>
          </cell>
          <cell r="GJ257">
            <v>0</v>
          </cell>
          <cell r="GK257">
            <v>0</v>
          </cell>
          <cell r="GL257">
            <v>0</v>
          </cell>
          <cell r="GM257">
            <v>0</v>
          </cell>
          <cell r="GN257">
            <v>0</v>
          </cell>
          <cell r="GO257">
            <v>0</v>
          </cell>
          <cell r="GP257">
            <v>0</v>
          </cell>
          <cell r="GQ257">
            <v>0</v>
          </cell>
          <cell r="GR257">
            <v>0</v>
          </cell>
          <cell r="GS257">
            <v>0</v>
          </cell>
          <cell r="GT257">
            <v>0</v>
          </cell>
          <cell r="GZ257">
            <v>0</v>
          </cell>
        </row>
        <row r="258">
          <cell r="A258" t="str">
            <v>I_BVP_NRF_CPT_PRP_INTR_TBV</v>
          </cell>
          <cell r="B258">
            <v>0</v>
          </cell>
          <cell r="C258">
            <v>0</v>
          </cell>
          <cell r="D258">
            <v>0</v>
          </cell>
          <cell r="E258">
            <v>0</v>
          </cell>
          <cell r="F258">
            <v>0</v>
          </cell>
          <cell r="G258">
            <v>0</v>
          </cell>
          <cell r="H258">
            <v>0</v>
          </cell>
          <cell r="I258">
            <v>0</v>
          </cell>
          <cell r="J258">
            <v>0</v>
          </cell>
          <cell r="K258">
            <v>0</v>
          </cell>
          <cell r="L258">
            <v>0</v>
          </cell>
          <cell r="M258">
            <v>0</v>
          </cell>
          <cell r="N258">
            <v>0</v>
          </cell>
          <cell r="O258">
            <v>0</v>
          </cell>
          <cell r="P258">
            <v>0</v>
          </cell>
          <cell r="Q258">
            <v>0</v>
          </cell>
          <cell r="R258">
            <v>0</v>
          </cell>
          <cell r="S258">
            <v>0</v>
          </cell>
          <cell r="T258">
            <v>0</v>
          </cell>
          <cell r="U258">
            <v>0</v>
          </cell>
          <cell r="V258">
            <v>0</v>
          </cell>
          <cell r="W258">
            <v>0</v>
          </cell>
          <cell r="X258">
            <v>0</v>
          </cell>
          <cell r="Y258">
            <v>0</v>
          </cell>
          <cell r="Z258">
            <v>0</v>
          </cell>
          <cell r="AA258">
            <v>0</v>
          </cell>
          <cell r="AB258">
            <v>0</v>
          </cell>
          <cell r="AC258">
            <v>0</v>
          </cell>
          <cell r="AD258">
            <v>0</v>
          </cell>
          <cell r="AE258">
            <v>0</v>
          </cell>
          <cell r="AF258">
            <v>0</v>
          </cell>
          <cell r="AG258">
            <v>0</v>
          </cell>
          <cell r="AH258">
            <v>0</v>
          </cell>
          <cell r="AI258">
            <v>0</v>
          </cell>
          <cell r="AJ258">
            <v>0</v>
          </cell>
          <cell r="AK258">
            <v>0</v>
          </cell>
          <cell r="AL258">
            <v>0</v>
          </cell>
          <cell r="AM258">
            <v>0</v>
          </cell>
          <cell r="AN258">
            <v>0</v>
          </cell>
          <cell r="AO258">
            <v>0</v>
          </cell>
          <cell r="AP258">
            <v>0</v>
          </cell>
          <cell r="AQ258">
            <v>0</v>
          </cell>
          <cell r="AR258">
            <v>0</v>
          </cell>
          <cell r="AS258">
            <v>0</v>
          </cell>
          <cell r="AT258">
            <v>0</v>
          </cell>
          <cell r="AU258">
            <v>0</v>
          </cell>
          <cell r="AV258">
            <v>0</v>
          </cell>
          <cell r="AW258">
            <v>0</v>
          </cell>
          <cell r="AX258">
            <v>0</v>
          </cell>
          <cell r="AY258">
            <v>0</v>
          </cell>
          <cell r="AZ258">
            <v>0</v>
          </cell>
          <cell r="BA258">
            <v>0</v>
          </cell>
          <cell r="BB258">
            <v>0</v>
          </cell>
          <cell r="BC258">
            <v>0</v>
          </cell>
          <cell r="BD258">
            <v>0</v>
          </cell>
          <cell r="BE258">
            <v>0</v>
          </cell>
          <cell r="BF258">
            <v>0</v>
          </cell>
          <cell r="BG258">
            <v>0</v>
          </cell>
          <cell r="BH258">
            <v>0</v>
          </cell>
          <cell r="BI258">
            <v>0</v>
          </cell>
          <cell r="BJ258">
            <v>0</v>
          </cell>
          <cell r="BK258">
            <v>0</v>
          </cell>
          <cell r="BL258">
            <v>0</v>
          </cell>
          <cell r="BM258">
            <v>0</v>
          </cell>
          <cell r="BN258">
            <v>0</v>
          </cell>
          <cell r="BO258">
            <v>0</v>
          </cell>
          <cell r="BP258">
            <v>0</v>
          </cell>
          <cell r="BQ258">
            <v>0</v>
          </cell>
          <cell r="BR258">
            <v>0</v>
          </cell>
          <cell r="BS258">
            <v>0</v>
          </cell>
          <cell r="BT258">
            <v>0</v>
          </cell>
          <cell r="BU258">
            <v>0</v>
          </cell>
          <cell r="BV258">
            <v>0</v>
          </cell>
          <cell r="BW258">
            <v>0</v>
          </cell>
          <cell r="BX258">
            <v>0</v>
          </cell>
          <cell r="BY258">
            <v>0</v>
          </cell>
          <cell r="BZ258">
            <v>0</v>
          </cell>
          <cell r="CA258">
            <v>0</v>
          </cell>
          <cell r="CB258">
            <v>0</v>
          </cell>
          <cell r="CC258">
            <v>0</v>
          </cell>
          <cell r="CD258">
            <v>0</v>
          </cell>
          <cell r="CE258">
            <v>0</v>
          </cell>
          <cell r="CF258">
            <v>0</v>
          </cell>
          <cell r="CG258">
            <v>0</v>
          </cell>
          <cell r="CH258">
            <v>0</v>
          </cell>
          <cell r="CI258">
            <v>0</v>
          </cell>
          <cell r="CJ258">
            <v>0</v>
          </cell>
          <cell r="CK258">
            <v>0</v>
          </cell>
          <cell r="CL258">
            <v>0</v>
          </cell>
          <cell r="CM258">
            <v>0</v>
          </cell>
          <cell r="CN258">
            <v>0</v>
          </cell>
          <cell r="CO258">
            <v>0</v>
          </cell>
          <cell r="CP258">
            <v>0</v>
          </cell>
          <cell r="CQ258">
            <v>0</v>
          </cell>
          <cell r="CR258">
            <v>0</v>
          </cell>
          <cell r="CS258">
            <v>0</v>
          </cell>
          <cell r="CT258">
            <v>0</v>
          </cell>
          <cell r="CU258">
            <v>0</v>
          </cell>
          <cell r="CV258">
            <v>0</v>
          </cell>
          <cell r="CW258">
            <v>0</v>
          </cell>
          <cell r="CX258">
            <v>0</v>
          </cell>
          <cell r="CY258">
            <v>0</v>
          </cell>
          <cell r="CZ258">
            <v>0</v>
          </cell>
          <cell r="DA258">
            <v>0</v>
          </cell>
          <cell r="DB258">
            <v>0</v>
          </cell>
          <cell r="DC258">
            <v>0</v>
          </cell>
          <cell r="DD258">
            <v>0</v>
          </cell>
          <cell r="DE258">
            <v>0</v>
          </cell>
          <cell r="DF258">
            <v>0</v>
          </cell>
          <cell r="DG258">
            <v>0</v>
          </cell>
          <cell r="DH258">
            <v>0</v>
          </cell>
          <cell r="DI258">
            <v>0</v>
          </cell>
          <cell r="DJ258">
            <v>0</v>
          </cell>
          <cell r="DK258">
            <v>0</v>
          </cell>
          <cell r="DL258">
            <v>0</v>
          </cell>
          <cell r="DM258">
            <v>0</v>
          </cell>
          <cell r="DN258">
            <v>0</v>
          </cell>
          <cell r="DO258">
            <v>0</v>
          </cell>
          <cell r="DP258">
            <v>0</v>
          </cell>
          <cell r="DQ258">
            <v>0</v>
          </cell>
          <cell r="DR258">
            <v>0</v>
          </cell>
          <cell r="DS258">
            <v>0</v>
          </cell>
          <cell r="DT258">
            <v>0</v>
          </cell>
          <cell r="DU258">
            <v>0</v>
          </cell>
          <cell r="DV258">
            <v>0</v>
          </cell>
          <cell r="DW258">
            <v>0</v>
          </cell>
          <cell r="EA258">
            <v>0</v>
          </cell>
          <cell r="EB258">
            <v>0</v>
          </cell>
          <cell r="EC258">
            <v>0</v>
          </cell>
          <cell r="ED258">
            <v>0</v>
          </cell>
          <cell r="EE258">
            <v>0</v>
          </cell>
          <cell r="EF258">
            <v>0</v>
          </cell>
          <cell r="EG258">
            <v>0</v>
          </cell>
          <cell r="EH258">
            <v>0</v>
          </cell>
          <cell r="EI258">
            <v>0</v>
          </cell>
          <cell r="EJ258">
            <v>0</v>
          </cell>
          <cell r="EK258">
            <v>0</v>
          </cell>
          <cell r="EL258">
            <v>0</v>
          </cell>
          <cell r="EM258">
            <v>0</v>
          </cell>
          <cell r="EN258">
            <v>0</v>
          </cell>
          <cell r="EO258">
            <v>0</v>
          </cell>
          <cell r="EP258">
            <v>0</v>
          </cell>
          <cell r="EQ258">
            <v>0</v>
          </cell>
          <cell r="ER258">
            <v>0</v>
          </cell>
          <cell r="ES258">
            <v>0</v>
          </cell>
          <cell r="ET258">
            <v>0</v>
          </cell>
          <cell r="EU258">
            <v>0</v>
          </cell>
          <cell r="EV258">
            <v>0</v>
          </cell>
          <cell r="EW258">
            <v>0</v>
          </cell>
          <cell r="EX258">
            <v>0</v>
          </cell>
          <cell r="EY258">
            <v>0</v>
          </cell>
          <cell r="EZ258">
            <v>0</v>
          </cell>
          <cell r="FA258">
            <v>0</v>
          </cell>
          <cell r="FB258">
            <v>0</v>
          </cell>
          <cell r="FC258">
            <v>0</v>
          </cell>
          <cell r="FE258">
            <v>0</v>
          </cell>
          <cell r="FF258">
            <v>0</v>
          </cell>
          <cell r="FG258">
            <v>0</v>
          </cell>
          <cell r="FH258">
            <v>0</v>
          </cell>
          <cell r="FI258">
            <v>0</v>
          </cell>
          <cell r="FJ258">
            <v>0</v>
          </cell>
          <cell r="FK258">
            <v>0</v>
          </cell>
          <cell r="FL258">
            <v>0</v>
          </cell>
          <cell r="FM258">
            <v>0</v>
          </cell>
          <cell r="FN258">
            <v>0</v>
          </cell>
          <cell r="FO258">
            <v>0</v>
          </cell>
          <cell r="FP258">
            <v>0</v>
          </cell>
          <cell r="FQ258">
            <v>0</v>
          </cell>
          <cell r="FR258">
            <v>0</v>
          </cell>
          <cell r="FS258">
            <v>0</v>
          </cell>
          <cell r="FT258">
            <v>0</v>
          </cell>
          <cell r="FU258">
            <v>0</v>
          </cell>
          <cell r="FV258">
            <v>0</v>
          </cell>
          <cell r="FW258">
            <v>0</v>
          </cell>
          <cell r="FX258">
            <v>0</v>
          </cell>
          <cell r="FY258">
            <v>0</v>
          </cell>
          <cell r="FZ258">
            <v>0</v>
          </cell>
          <cell r="GA258">
            <v>0</v>
          </cell>
          <cell r="GB258">
            <v>0</v>
          </cell>
          <cell r="GC258">
            <v>0</v>
          </cell>
          <cell r="GD258">
            <v>0</v>
          </cell>
          <cell r="GE258">
            <v>0</v>
          </cell>
          <cell r="GF258">
            <v>0</v>
          </cell>
          <cell r="GG258">
            <v>0</v>
          </cell>
          <cell r="GH258">
            <v>0</v>
          </cell>
          <cell r="GI258">
            <v>0</v>
          </cell>
          <cell r="GJ258">
            <v>0</v>
          </cell>
          <cell r="GK258">
            <v>0</v>
          </cell>
          <cell r="GL258">
            <v>0</v>
          </cell>
          <cell r="GM258">
            <v>0</v>
          </cell>
          <cell r="GN258">
            <v>0</v>
          </cell>
          <cell r="GO258">
            <v>0</v>
          </cell>
          <cell r="GP258">
            <v>0</v>
          </cell>
          <cell r="GQ258">
            <v>0</v>
          </cell>
          <cell r="GR258">
            <v>0</v>
          </cell>
          <cell r="GS258">
            <v>0</v>
          </cell>
          <cell r="GT258">
            <v>0</v>
          </cell>
          <cell r="GZ258">
            <v>0</v>
          </cell>
        </row>
        <row r="259">
          <cell r="A259" t="str">
            <v>I_VID_NRF_CPT_PRP_INTR_TVD</v>
          </cell>
          <cell r="B259">
            <v>0</v>
          </cell>
          <cell r="C259">
            <v>0</v>
          </cell>
          <cell r="D259">
            <v>0</v>
          </cell>
          <cell r="E259">
            <v>0</v>
          </cell>
          <cell r="F259">
            <v>0</v>
          </cell>
          <cell r="G259">
            <v>0</v>
          </cell>
          <cell r="H259">
            <v>0</v>
          </cell>
          <cell r="I259">
            <v>0</v>
          </cell>
          <cell r="J259">
            <v>0</v>
          </cell>
          <cell r="K259">
            <v>0</v>
          </cell>
          <cell r="L259">
            <v>0</v>
          </cell>
          <cell r="M259">
            <v>0</v>
          </cell>
          <cell r="N259">
            <v>0</v>
          </cell>
          <cell r="O259">
            <v>0</v>
          </cell>
          <cell r="P259">
            <v>0</v>
          </cell>
          <cell r="Q259">
            <v>0</v>
          </cell>
          <cell r="R259">
            <v>0</v>
          </cell>
          <cell r="S259">
            <v>0</v>
          </cell>
          <cell r="T259">
            <v>0</v>
          </cell>
          <cell r="U259">
            <v>0</v>
          </cell>
          <cell r="V259">
            <v>0</v>
          </cell>
          <cell r="W259">
            <v>0</v>
          </cell>
          <cell r="X259">
            <v>0</v>
          </cell>
          <cell r="Y259">
            <v>0</v>
          </cell>
          <cell r="Z259">
            <v>0</v>
          </cell>
          <cell r="AA259">
            <v>0</v>
          </cell>
          <cell r="AB259">
            <v>0</v>
          </cell>
          <cell r="AC259">
            <v>0</v>
          </cell>
          <cell r="AD259">
            <v>0</v>
          </cell>
          <cell r="AE259">
            <v>0</v>
          </cell>
          <cell r="AF259">
            <v>0</v>
          </cell>
          <cell r="AG259">
            <v>0</v>
          </cell>
          <cell r="AH259">
            <v>0</v>
          </cell>
          <cell r="AI259">
            <v>0</v>
          </cell>
          <cell r="AJ259">
            <v>0</v>
          </cell>
          <cell r="AK259">
            <v>0</v>
          </cell>
          <cell r="AL259">
            <v>0</v>
          </cell>
          <cell r="AM259">
            <v>0</v>
          </cell>
          <cell r="AN259">
            <v>0</v>
          </cell>
          <cell r="AO259">
            <v>0</v>
          </cell>
          <cell r="AP259">
            <v>0</v>
          </cell>
          <cell r="AQ259">
            <v>0</v>
          </cell>
          <cell r="AR259">
            <v>0</v>
          </cell>
          <cell r="AS259">
            <v>0</v>
          </cell>
          <cell r="AT259">
            <v>0</v>
          </cell>
          <cell r="AU259">
            <v>0</v>
          </cell>
          <cell r="AV259">
            <v>0</v>
          </cell>
          <cell r="AW259">
            <v>0</v>
          </cell>
          <cell r="AX259">
            <v>0</v>
          </cell>
          <cell r="AY259">
            <v>0</v>
          </cell>
          <cell r="AZ259">
            <v>0</v>
          </cell>
          <cell r="BA259">
            <v>0</v>
          </cell>
          <cell r="BB259">
            <v>0</v>
          </cell>
          <cell r="BC259">
            <v>0</v>
          </cell>
          <cell r="BD259">
            <v>0</v>
          </cell>
          <cell r="BE259">
            <v>0</v>
          </cell>
          <cell r="BF259">
            <v>0</v>
          </cell>
          <cell r="BG259">
            <v>0</v>
          </cell>
          <cell r="BH259">
            <v>0</v>
          </cell>
          <cell r="BI259">
            <v>0</v>
          </cell>
          <cell r="BJ259">
            <v>0</v>
          </cell>
          <cell r="BK259">
            <v>0</v>
          </cell>
          <cell r="BL259">
            <v>0</v>
          </cell>
          <cell r="BM259">
            <v>0</v>
          </cell>
          <cell r="BN259">
            <v>0</v>
          </cell>
          <cell r="BO259">
            <v>0</v>
          </cell>
          <cell r="BP259">
            <v>0</v>
          </cell>
          <cell r="BQ259">
            <v>0</v>
          </cell>
          <cell r="BR259">
            <v>0</v>
          </cell>
          <cell r="BS259">
            <v>0</v>
          </cell>
          <cell r="BT259">
            <v>0</v>
          </cell>
          <cell r="BU259">
            <v>0</v>
          </cell>
          <cell r="BV259">
            <v>0</v>
          </cell>
          <cell r="BW259">
            <v>0</v>
          </cell>
          <cell r="BX259">
            <v>0</v>
          </cell>
          <cell r="BY259">
            <v>0</v>
          </cell>
          <cell r="BZ259">
            <v>0</v>
          </cell>
          <cell r="CA259">
            <v>0</v>
          </cell>
          <cell r="CB259">
            <v>0</v>
          </cell>
          <cell r="CC259">
            <v>0</v>
          </cell>
          <cell r="CD259">
            <v>0</v>
          </cell>
          <cell r="CE259">
            <v>0</v>
          </cell>
          <cell r="CF259">
            <v>0</v>
          </cell>
          <cell r="CG259">
            <v>0</v>
          </cell>
          <cell r="CH259">
            <v>0</v>
          </cell>
          <cell r="CI259">
            <v>0</v>
          </cell>
          <cell r="CJ259">
            <v>0</v>
          </cell>
          <cell r="CK259">
            <v>0</v>
          </cell>
          <cell r="CL259">
            <v>0</v>
          </cell>
          <cell r="CM259">
            <v>0</v>
          </cell>
          <cell r="CN259">
            <v>0</v>
          </cell>
          <cell r="CO259">
            <v>0</v>
          </cell>
          <cell r="CP259">
            <v>0</v>
          </cell>
          <cell r="CQ259">
            <v>0</v>
          </cell>
          <cell r="CR259">
            <v>0</v>
          </cell>
          <cell r="CS259">
            <v>0</v>
          </cell>
          <cell r="CT259">
            <v>0</v>
          </cell>
          <cell r="CU259">
            <v>0</v>
          </cell>
          <cell r="CV259">
            <v>0</v>
          </cell>
          <cell r="CW259">
            <v>0</v>
          </cell>
          <cell r="CX259">
            <v>0</v>
          </cell>
          <cell r="CY259">
            <v>0</v>
          </cell>
          <cell r="CZ259">
            <v>0</v>
          </cell>
          <cell r="DA259">
            <v>0</v>
          </cell>
          <cell r="DB259">
            <v>0</v>
          </cell>
          <cell r="DC259">
            <v>0</v>
          </cell>
          <cell r="DD259">
            <v>0</v>
          </cell>
          <cell r="DE259">
            <v>0</v>
          </cell>
          <cell r="DF259">
            <v>0</v>
          </cell>
          <cell r="DG259">
            <v>0</v>
          </cell>
          <cell r="DH259">
            <v>0</v>
          </cell>
          <cell r="DI259">
            <v>0</v>
          </cell>
          <cell r="DJ259">
            <v>0</v>
          </cell>
          <cell r="DK259">
            <v>0</v>
          </cell>
          <cell r="DL259">
            <v>0</v>
          </cell>
          <cell r="DM259">
            <v>0</v>
          </cell>
          <cell r="DN259">
            <v>0</v>
          </cell>
          <cell r="DO259">
            <v>0</v>
          </cell>
          <cell r="DP259">
            <v>0</v>
          </cell>
          <cell r="DQ259">
            <v>0</v>
          </cell>
          <cell r="DR259">
            <v>0</v>
          </cell>
          <cell r="DS259">
            <v>0</v>
          </cell>
          <cell r="DT259">
            <v>0</v>
          </cell>
          <cell r="DU259">
            <v>0</v>
          </cell>
          <cell r="DV259">
            <v>0</v>
          </cell>
          <cell r="DW259">
            <v>0</v>
          </cell>
          <cell r="EA259">
            <v>0</v>
          </cell>
          <cell r="EB259">
            <v>0</v>
          </cell>
          <cell r="EC259">
            <v>0</v>
          </cell>
          <cell r="ED259">
            <v>0</v>
          </cell>
          <cell r="EE259">
            <v>0</v>
          </cell>
          <cell r="EF259">
            <v>0</v>
          </cell>
          <cell r="EG259">
            <v>0</v>
          </cell>
          <cell r="EH259">
            <v>0</v>
          </cell>
          <cell r="EI259">
            <v>0</v>
          </cell>
          <cell r="EJ259">
            <v>0</v>
          </cell>
          <cell r="EK259">
            <v>0</v>
          </cell>
          <cell r="EL259">
            <v>0</v>
          </cell>
          <cell r="EM259">
            <v>0</v>
          </cell>
          <cell r="EN259">
            <v>0</v>
          </cell>
          <cell r="EO259">
            <v>0</v>
          </cell>
          <cell r="EP259">
            <v>0</v>
          </cell>
          <cell r="EQ259">
            <v>0</v>
          </cell>
          <cell r="ER259">
            <v>0</v>
          </cell>
          <cell r="ES259">
            <v>0</v>
          </cell>
          <cell r="ET259">
            <v>0</v>
          </cell>
          <cell r="EU259">
            <v>0</v>
          </cell>
          <cell r="EV259">
            <v>0</v>
          </cell>
          <cell r="EW259">
            <v>0</v>
          </cell>
          <cell r="EX259">
            <v>0</v>
          </cell>
          <cell r="EY259">
            <v>0</v>
          </cell>
          <cell r="EZ259">
            <v>0</v>
          </cell>
          <cell r="FA259">
            <v>0</v>
          </cell>
          <cell r="FB259">
            <v>0</v>
          </cell>
          <cell r="FC259">
            <v>0</v>
          </cell>
          <cell r="FE259">
            <v>0</v>
          </cell>
          <cell r="FF259">
            <v>0</v>
          </cell>
          <cell r="FG259">
            <v>0</v>
          </cell>
          <cell r="FH259">
            <v>0</v>
          </cell>
          <cell r="FI259">
            <v>0</v>
          </cell>
          <cell r="FJ259">
            <v>0</v>
          </cell>
          <cell r="FK259">
            <v>0</v>
          </cell>
          <cell r="FL259">
            <v>0</v>
          </cell>
          <cell r="FM259">
            <v>0</v>
          </cell>
          <cell r="FN259">
            <v>0</v>
          </cell>
          <cell r="FO259">
            <v>0</v>
          </cell>
          <cell r="FP259">
            <v>0</v>
          </cell>
          <cell r="FQ259">
            <v>0</v>
          </cell>
          <cell r="FR259">
            <v>0</v>
          </cell>
          <cell r="FS259">
            <v>0</v>
          </cell>
          <cell r="FT259">
            <v>0</v>
          </cell>
          <cell r="FU259">
            <v>0</v>
          </cell>
          <cell r="FV259">
            <v>0</v>
          </cell>
          <cell r="FW259">
            <v>0</v>
          </cell>
          <cell r="FX259">
            <v>0</v>
          </cell>
          <cell r="FY259">
            <v>0</v>
          </cell>
          <cell r="FZ259">
            <v>0</v>
          </cell>
          <cell r="GA259">
            <v>0</v>
          </cell>
          <cell r="GB259">
            <v>0</v>
          </cell>
          <cell r="GC259">
            <v>0</v>
          </cell>
          <cell r="GD259">
            <v>0</v>
          </cell>
          <cell r="GE259">
            <v>0</v>
          </cell>
          <cell r="GF259">
            <v>0</v>
          </cell>
          <cell r="GG259">
            <v>0</v>
          </cell>
          <cell r="GH259">
            <v>0</v>
          </cell>
          <cell r="GI259">
            <v>0</v>
          </cell>
          <cell r="GJ259">
            <v>0</v>
          </cell>
          <cell r="GK259">
            <v>0</v>
          </cell>
          <cell r="GL259">
            <v>0</v>
          </cell>
          <cell r="GM259">
            <v>0</v>
          </cell>
          <cell r="GN259">
            <v>0</v>
          </cell>
          <cell r="GO259">
            <v>0</v>
          </cell>
          <cell r="GP259">
            <v>0</v>
          </cell>
          <cell r="GQ259">
            <v>0</v>
          </cell>
          <cell r="GR259">
            <v>0</v>
          </cell>
          <cell r="GS259">
            <v>0</v>
          </cell>
          <cell r="GT259">
            <v>0</v>
          </cell>
          <cell r="GZ259">
            <v>0</v>
          </cell>
        </row>
        <row r="260">
          <cell r="A260" t="str">
            <v>I_VIT_NRF_CPT_PRP_INTR_TVT</v>
          </cell>
          <cell r="B260">
            <v>0</v>
          </cell>
          <cell r="C260">
            <v>0</v>
          </cell>
          <cell r="D260">
            <v>0</v>
          </cell>
          <cell r="E260">
            <v>0</v>
          </cell>
          <cell r="F260">
            <v>0</v>
          </cell>
          <cell r="G260">
            <v>0</v>
          </cell>
          <cell r="H260">
            <v>0</v>
          </cell>
          <cell r="I260">
            <v>0</v>
          </cell>
          <cell r="J260">
            <v>0</v>
          </cell>
          <cell r="K260">
            <v>0</v>
          </cell>
          <cell r="L260">
            <v>0</v>
          </cell>
          <cell r="M260">
            <v>0</v>
          </cell>
          <cell r="N260">
            <v>0</v>
          </cell>
          <cell r="O260">
            <v>0</v>
          </cell>
          <cell r="P260">
            <v>0</v>
          </cell>
          <cell r="Q260">
            <v>0</v>
          </cell>
          <cell r="R260">
            <v>0</v>
          </cell>
          <cell r="S260">
            <v>0</v>
          </cell>
          <cell r="T260">
            <v>0</v>
          </cell>
          <cell r="U260">
            <v>0</v>
          </cell>
          <cell r="V260">
            <v>0</v>
          </cell>
          <cell r="W260">
            <v>0</v>
          </cell>
          <cell r="X260">
            <v>0</v>
          </cell>
          <cell r="Y260">
            <v>0</v>
          </cell>
          <cell r="Z260">
            <v>0</v>
          </cell>
          <cell r="AA260">
            <v>0</v>
          </cell>
          <cell r="AB260">
            <v>0</v>
          </cell>
          <cell r="AC260">
            <v>0</v>
          </cell>
          <cell r="AD260">
            <v>0</v>
          </cell>
          <cell r="AE260">
            <v>0</v>
          </cell>
          <cell r="AF260">
            <v>0</v>
          </cell>
          <cell r="AG260">
            <v>0</v>
          </cell>
          <cell r="AH260">
            <v>0</v>
          </cell>
          <cell r="AI260">
            <v>0</v>
          </cell>
          <cell r="AJ260">
            <v>0</v>
          </cell>
          <cell r="AK260">
            <v>0</v>
          </cell>
          <cell r="AL260">
            <v>0</v>
          </cell>
          <cell r="AM260">
            <v>0</v>
          </cell>
          <cell r="AN260">
            <v>0</v>
          </cell>
          <cell r="AO260">
            <v>0</v>
          </cell>
          <cell r="AP260">
            <v>0</v>
          </cell>
          <cell r="AQ260">
            <v>0</v>
          </cell>
          <cell r="AR260">
            <v>0</v>
          </cell>
          <cell r="AS260">
            <v>0</v>
          </cell>
          <cell r="AT260">
            <v>0</v>
          </cell>
          <cell r="AU260">
            <v>0</v>
          </cell>
          <cell r="AV260">
            <v>0</v>
          </cell>
          <cell r="AW260">
            <v>0</v>
          </cell>
          <cell r="AX260">
            <v>0</v>
          </cell>
          <cell r="AY260">
            <v>0</v>
          </cell>
          <cell r="AZ260">
            <v>0</v>
          </cell>
          <cell r="BA260">
            <v>0</v>
          </cell>
          <cell r="BB260">
            <v>0</v>
          </cell>
          <cell r="BC260">
            <v>0</v>
          </cell>
          <cell r="BD260">
            <v>0</v>
          </cell>
          <cell r="BE260">
            <v>0</v>
          </cell>
          <cell r="BF260">
            <v>0</v>
          </cell>
          <cell r="BG260">
            <v>0</v>
          </cell>
          <cell r="BH260">
            <v>0</v>
          </cell>
          <cell r="BI260">
            <v>0</v>
          </cell>
          <cell r="BJ260">
            <v>0</v>
          </cell>
          <cell r="BK260">
            <v>0</v>
          </cell>
          <cell r="BL260">
            <v>0</v>
          </cell>
          <cell r="BM260">
            <v>0</v>
          </cell>
          <cell r="BN260">
            <v>0</v>
          </cell>
          <cell r="BO260">
            <v>0</v>
          </cell>
          <cell r="BP260">
            <v>0</v>
          </cell>
          <cell r="BQ260">
            <v>0</v>
          </cell>
          <cell r="BR260">
            <v>0</v>
          </cell>
          <cell r="BS260">
            <v>0</v>
          </cell>
          <cell r="BT260">
            <v>0</v>
          </cell>
          <cell r="BU260">
            <v>0</v>
          </cell>
          <cell r="BV260">
            <v>0</v>
          </cell>
          <cell r="BW260">
            <v>0</v>
          </cell>
          <cell r="BX260">
            <v>0</v>
          </cell>
          <cell r="BY260">
            <v>0</v>
          </cell>
          <cell r="BZ260">
            <v>0</v>
          </cell>
          <cell r="CA260">
            <v>0</v>
          </cell>
          <cell r="CB260">
            <v>0</v>
          </cell>
          <cell r="CC260">
            <v>0</v>
          </cell>
          <cell r="CD260">
            <v>0</v>
          </cell>
          <cell r="CE260">
            <v>0</v>
          </cell>
          <cell r="CF260">
            <v>0</v>
          </cell>
          <cell r="CG260">
            <v>0</v>
          </cell>
          <cell r="CH260">
            <v>0</v>
          </cell>
          <cell r="CI260">
            <v>0</v>
          </cell>
          <cell r="CJ260">
            <v>0</v>
          </cell>
          <cell r="CK260">
            <v>0</v>
          </cell>
          <cell r="CL260">
            <v>0</v>
          </cell>
          <cell r="CM260">
            <v>0</v>
          </cell>
          <cell r="CN260">
            <v>0</v>
          </cell>
          <cell r="CO260">
            <v>0</v>
          </cell>
          <cell r="CP260">
            <v>0</v>
          </cell>
          <cell r="CQ260">
            <v>0</v>
          </cell>
          <cell r="CR260">
            <v>0</v>
          </cell>
          <cell r="CS260">
            <v>0</v>
          </cell>
          <cell r="CT260">
            <v>0</v>
          </cell>
          <cell r="CU260">
            <v>0</v>
          </cell>
          <cell r="CV260">
            <v>0</v>
          </cell>
          <cell r="CW260">
            <v>0</v>
          </cell>
          <cell r="CX260">
            <v>0</v>
          </cell>
          <cell r="CY260">
            <v>0</v>
          </cell>
          <cell r="CZ260">
            <v>0</v>
          </cell>
          <cell r="DA260">
            <v>0</v>
          </cell>
          <cell r="DB260">
            <v>0</v>
          </cell>
          <cell r="DC260">
            <v>0</v>
          </cell>
          <cell r="DD260">
            <v>0</v>
          </cell>
          <cell r="DE260">
            <v>0</v>
          </cell>
          <cell r="DF260">
            <v>0</v>
          </cell>
          <cell r="DG260">
            <v>0</v>
          </cell>
          <cell r="DH260">
            <v>0</v>
          </cell>
          <cell r="DI260">
            <v>0</v>
          </cell>
          <cell r="DJ260">
            <v>0</v>
          </cell>
          <cell r="DK260">
            <v>0</v>
          </cell>
          <cell r="DL260">
            <v>0</v>
          </cell>
          <cell r="DM260">
            <v>0</v>
          </cell>
          <cell r="DN260">
            <v>0</v>
          </cell>
          <cell r="DO260">
            <v>0</v>
          </cell>
          <cell r="DP260">
            <v>0</v>
          </cell>
          <cell r="DQ260">
            <v>0</v>
          </cell>
          <cell r="DR260">
            <v>0</v>
          </cell>
          <cell r="DS260">
            <v>0</v>
          </cell>
          <cell r="DT260">
            <v>0</v>
          </cell>
          <cell r="DU260">
            <v>0</v>
          </cell>
          <cell r="DV260">
            <v>0</v>
          </cell>
          <cell r="DW260">
            <v>0</v>
          </cell>
          <cell r="EA260">
            <v>0</v>
          </cell>
          <cell r="EB260">
            <v>0</v>
          </cell>
          <cell r="EC260">
            <v>0</v>
          </cell>
          <cell r="ED260">
            <v>0</v>
          </cell>
          <cell r="EE260">
            <v>0</v>
          </cell>
          <cell r="EF260">
            <v>0</v>
          </cell>
          <cell r="EG260">
            <v>0</v>
          </cell>
          <cell r="EH260">
            <v>0</v>
          </cell>
          <cell r="EI260">
            <v>0</v>
          </cell>
          <cell r="EJ260">
            <v>0</v>
          </cell>
          <cell r="EK260">
            <v>0</v>
          </cell>
          <cell r="EL260">
            <v>0</v>
          </cell>
          <cell r="EM260">
            <v>0</v>
          </cell>
          <cell r="EN260">
            <v>0</v>
          </cell>
          <cell r="EO260">
            <v>0</v>
          </cell>
          <cell r="EP260">
            <v>0</v>
          </cell>
          <cell r="EQ260">
            <v>0</v>
          </cell>
          <cell r="ER260">
            <v>0</v>
          </cell>
          <cell r="ES260">
            <v>0</v>
          </cell>
          <cell r="ET260">
            <v>0</v>
          </cell>
          <cell r="EU260">
            <v>0</v>
          </cell>
          <cell r="EV260">
            <v>0</v>
          </cell>
          <cell r="EW260">
            <v>0</v>
          </cell>
          <cell r="EX260">
            <v>0</v>
          </cell>
          <cell r="EY260">
            <v>0</v>
          </cell>
          <cell r="EZ260">
            <v>0</v>
          </cell>
          <cell r="FA260">
            <v>0</v>
          </cell>
          <cell r="FB260">
            <v>0</v>
          </cell>
          <cell r="FC260">
            <v>0</v>
          </cell>
          <cell r="FE260">
            <v>0</v>
          </cell>
          <cell r="FF260">
            <v>0</v>
          </cell>
          <cell r="FG260">
            <v>0</v>
          </cell>
          <cell r="FH260">
            <v>0</v>
          </cell>
          <cell r="FI260">
            <v>0</v>
          </cell>
          <cell r="FJ260">
            <v>0</v>
          </cell>
          <cell r="FK260">
            <v>0</v>
          </cell>
          <cell r="FL260">
            <v>0</v>
          </cell>
          <cell r="FM260">
            <v>0</v>
          </cell>
          <cell r="FN260">
            <v>0</v>
          </cell>
          <cell r="FO260">
            <v>0</v>
          </cell>
          <cell r="FP260">
            <v>0</v>
          </cell>
          <cell r="FQ260">
            <v>0</v>
          </cell>
          <cell r="FR260">
            <v>0</v>
          </cell>
          <cell r="FS260">
            <v>0</v>
          </cell>
          <cell r="FT260">
            <v>0</v>
          </cell>
          <cell r="FU260">
            <v>0</v>
          </cell>
          <cell r="FV260">
            <v>0</v>
          </cell>
          <cell r="FW260">
            <v>0</v>
          </cell>
          <cell r="FX260">
            <v>0</v>
          </cell>
          <cell r="FY260">
            <v>0</v>
          </cell>
          <cell r="FZ260">
            <v>0</v>
          </cell>
          <cell r="GA260">
            <v>0</v>
          </cell>
          <cell r="GB260">
            <v>0</v>
          </cell>
          <cell r="GC260">
            <v>0</v>
          </cell>
          <cell r="GD260">
            <v>0</v>
          </cell>
          <cell r="GE260">
            <v>0</v>
          </cell>
          <cell r="GF260">
            <v>0</v>
          </cell>
          <cell r="GG260">
            <v>0</v>
          </cell>
          <cell r="GH260">
            <v>0</v>
          </cell>
          <cell r="GI260">
            <v>0</v>
          </cell>
          <cell r="GJ260">
            <v>0</v>
          </cell>
          <cell r="GK260">
            <v>0</v>
          </cell>
          <cell r="GL260">
            <v>0</v>
          </cell>
          <cell r="GM260">
            <v>0</v>
          </cell>
          <cell r="GN260">
            <v>0</v>
          </cell>
          <cell r="GO260">
            <v>0</v>
          </cell>
          <cell r="GP260">
            <v>0</v>
          </cell>
          <cell r="GQ260">
            <v>0</v>
          </cell>
          <cell r="GR260">
            <v>0</v>
          </cell>
          <cell r="GS260">
            <v>0</v>
          </cell>
          <cell r="GT260">
            <v>0</v>
          </cell>
          <cell r="GZ260">
            <v>0</v>
          </cell>
        </row>
        <row r="261">
          <cell r="A261" t="str">
            <v>I_LKC_NRF_CPT_PRP_INTR_TLC</v>
          </cell>
          <cell r="B261">
            <v>0</v>
          </cell>
          <cell r="C261">
            <v>0</v>
          </cell>
          <cell r="D261">
            <v>0</v>
          </cell>
          <cell r="E261">
            <v>0</v>
          </cell>
          <cell r="F261">
            <v>0</v>
          </cell>
          <cell r="G261">
            <v>0</v>
          </cell>
          <cell r="H261">
            <v>0</v>
          </cell>
          <cell r="I261">
            <v>0</v>
          </cell>
          <cell r="J261">
            <v>0</v>
          </cell>
          <cell r="K261">
            <v>0</v>
          </cell>
          <cell r="L261">
            <v>0</v>
          </cell>
          <cell r="M261">
            <v>0</v>
          </cell>
          <cell r="N261">
            <v>0</v>
          </cell>
          <cell r="O261">
            <v>0</v>
          </cell>
          <cell r="P261">
            <v>0</v>
          </cell>
          <cell r="Q261">
            <v>0</v>
          </cell>
          <cell r="R261">
            <v>0</v>
          </cell>
          <cell r="S261">
            <v>0</v>
          </cell>
          <cell r="T261">
            <v>0</v>
          </cell>
          <cell r="U261">
            <v>0</v>
          </cell>
          <cell r="V261">
            <v>0</v>
          </cell>
          <cell r="W261">
            <v>0</v>
          </cell>
          <cell r="X261">
            <v>0</v>
          </cell>
          <cell r="Y261">
            <v>0</v>
          </cell>
          <cell r="Z261">
            <v>0</v>
          </cell>
          <cell r="AA261">
            <v>0</v>
          </cell>
          <cell r="AB261">
            <v>0</v>
          </cell>
          <cell r="AC261">
            <v>0</v>
          </cell>
          <cell r="AD261">
            <v>0</v>
          </cell>
          <cell r="AE261">
            <v>0</v>
          </cell>
          <cell r="AF261">
            <v>0</v>
          </cell>
          <cell r="AG261">
            <v>0</v>
          </cell>
          <cell r="AH261">
            <v>0</v>
          </cell>
          <cell r="AI261">
            <v>0</v>
          </cell>
          <cell r="AJ261">
            <v>0</v>
          </cell>
          <cell r="AK261">
            <v>0</v>
          </cell>
          <cell r="AL261">
            <v>0</v>
          </cell>
          <cell r="AM261">
            <v>0</v>
          </cell>
          <cell r="AN261">
            <v>0</v>
          </cell>
          <cell r="AO261">
            <v>0</v>
          </cell>
          <cell r="AP261">
            <v>0</v>
          </cell>
          <cell r="AQ261">
            <v>0</v>
          </cell>
          <cell r="AR261">
            <v>0</v>
          </cell>
          <cell r="AS261">
            <v>0</v>
          </cell>
          <cell r="AT261">
            <v>0</v>
          </cell>
          <cell r="AU261">
            <v>0</v>
          </cell>
          <cell r="AV261">
            <v>0</v>
          </cell>
          <cell r="AW261">
            <v>0</v>
          </cell>
          <cell r="AX261">
            <v>0</v>
          </cell>
          <cell r="AY261">
            <v>0</v>
          </cell>
          <cell r="AZ261">
            <v>0</v>
          </cell>
          <cell r="BA261">
            <v>0</v>
          </cell>
          <cell r="BB261">
            <v>0</v>
          </cell>
          <cell r="BC261">
            <v>0</v>
          </cell>
          <cell r="BD261">
            <v>0</v>
          </cell>
          <cell r="BE261">
            <v>0</v>
          </cell>
          <cell r="BF261">
            <v>0</v>
          </cell>
          <cell r="BG261">
            <v>0</v>
          </cell>
          <cell r="BH261">
            <v>0</v>
          </cell>
          <cell r="BI261">
            <v>0</v>
          </cell>
          <cell r="BJ261">
            <v>0</v>
          </cell>
          <cell r="BK261">
            <v>0</v>
          </cell>
          <cell r="BL261">
            <v>0</v>
          </cell>
          <cell r="BM261">
            <v>0</v>
          </cell>
          <cell r="BN261">
            <v>0</v>
          </cell>
          <cell r="BO261">
            <v>0</v>
          </cell>
          <cell r="BP261">
            <v>0</v>
          </cell>
          <cell r="BQ261">
            <v>0</v>
          </cell>
          <cell r="BR261">
            <v>0</v>
          </cell>
          <cell r="BS261">
            <v>0</v>
          </cell>
          <cell r="BT261">
            <v>0</v>
          </cell>
          <cell r="BU261">
            <v>0</v>
          </cell>
          <cell r="BV261">
            <v>0</v>
          </cell>
          <cell r="BW261">
            <v>0</v>
          </cell>
          <cell r="BX261">
            <v>0</v>
          </cell>
          <cell r="BY261">
            <v>0</v>
          </cell>
          <cell r="BZ261">
            <v>0</v>
          </cell>
          <cell r="CA261">
            <v>0</v>
          </cell>
          <cell r="CB261">
            <v>0</v>
          </cell>
          <cell r="CC261">
            <v>0</v>
          </cell>
          <cell r="CD261">
            <v>0</v>
          </cell>
          <cell r="CE261">
            <v>0</v>
          </cell>
          <cell r="CF261">
            <v>0</v>
          </cell>
          <cell r="CG261">
            <v>0</v>
          </cell>
          <cell r="CH261">
            <v>0</v>
          </cell>
          <cell r="CI261">
            <v>0</v>
          </cell>
          <cell r="CJ261">
            <v>0</v>
          </cell>
          <cell r="CK261">
            <v>0</v>
          </cell>
          <cell r="CL261">
            <v>0</v>
          </cell>
          <cell r="CM261">
            <v>0</v>
          </cell>
          <cell r="CN261">
            <v>0</v>
          </cell>
          <cell r="CO261">
            <v>0</v>
          </cell>
          <cell r="CP261">
            <v>0</v>
          </cell>
          <cell r="CQ261">
            <v>0</v>
          </cell>
          <cell r="CR261">
            <v>0</v>
          </cell>
          <cell r="CS261">
            <v>0</v>
          </cell>
          <cell r="CT261">
            <v>0</v>
          </cell>
          <cell r="CU261">
            <v>0</v>
          </cell>
          <cell r="CV261">
            <v>0</v>
          </cell>
          <cell r="CW261">
            <v>0</v>
          </cell>
          <cell r="CX261">
            <v>0</v>
          </cell>
          <cell r="CY261">
            <v>0</v>
          </cell>
          <cell r="CZ261">
            <v>0</v>
          </cell>
          <cell r="DA261">
            <v>0</v>
          </cell>
          <cell r="DB261">
            <v>0</v>
          </cell>
          <cell r="DC261">
            <v>0</v>
          </cell>
          <cell r="DD261">
            <v>0</v>
          </cell>
          <cell r="DE261">
            <v>0</v>
          </cell>
          <cell r="DF261">
            <v>0</v>
          </cell>
          <cell r="DG261">
            <v>0</v>
          </cell>
          <cell r="DH261">
            <v>0</v>
          </cell>
          <cell r="DI261">
            <v>0</v>
          </cell>
          <cell r="DJ261">
            <v>0</v>
          </cell>
          <cell r="DK261">
            <v>0</v>
          </cell>
          <cell r="DL261">
            <v>0</v>
          </cell>
          <cell r="DM261">
            <v>0</v>
          </cell>
          <cell r="DN261">
            <v>0</v>
          </cell>
          <cell r="DO261">
            <v>0</v>
          </cell>
          <cell r="DP261">
            <v>0</v>
          </cell>
          <cell r="DQ261">
            <v>0</v>
          </cell>
          <cell r="DR261">
            <v>0</v>
          </cell>
          <cell r="DS261">
            <v>0</v>
          </cell>
          <cell r="DT261">
            <v>0</v>
          </cell>
          <cell r="DU261">
            <v>0</v>
          </cell>
          <cell r="DV261">
            <v>0</v>
          </cell>
          <cell r="DW261">
            <v>0</v>
          </cell>
          <cell r="EA261">
            <v>0</v>
          </cell>
          <cell r="EB261">
            <v>0</v>
          </cell>
          <cell r="EC261">
            <v>0</v>
          </cell>
          <cell r="ED261">
            <v>0</v>
          </cell>
          <cell r="EE261">
            <v>0</v>
          </cell>
          <cell r="EF261">
            <v>0</v>
          </cell>
          <cell r="EG261">
            <v>0</v>
          </cell>
          <cell r="EH261">
            <v>0</v>
          </cell>
          <cell r="EI261">
            <v>0</v>
          </cell>
          <cell r="EJ261">
            <v>0</v>
          </cell>
          <cell r="EK261">
            <v>0</v>
          </cell>
          <cell r="EL261">
            <v>0</v>
          </cell>
          <cell r="EM261">
            <v>0</v>
          </cell>
          <cell r="EN261">
            <v>0</v>
          </cell>
          <cell r="EO261">
            <v>0</v>
          </cell>
          <cell r="EP261">
            <v>0</v>
          </cell>
          <cell r="EQ261">
            <v>0</v>
          </cell>
          <cell r="ER261">
            <v>0</v>
          </cell>
          <cell r="ES261">
            <v>0</v>
          </cell>
          <cell r="ET261">
            <v>0</v>
          </cell>
          <cell r="EU261">
            <v>0</v>
          </cell>
          <cell r="EV261">
            <v>0</v>
          </cell>
          <cell r="EW261">
            <v>0</v>
          </cell>
          <cell r="EX261">
            <v>0</v>
          </cell>
          <cell r="EY261">
            <v>0</v>
          </cell>
          <cell r="EZ261">
            <v>0</v>
          </cell>
          <cell r="FA261">
            <v>0</v>
          </cell>
          <cell r="FB261">
            <v>0</v>
          </cell>
          <cell r="FC261">
            <v>0</v>
          </cell>
          <cell r="FE261">
            <v>0</v>
          </cell>
          <cell r="FF261">
            <v>0</v>
          </cell>
          <cell r="FG261">
            <v>0</v>
          </cell>
          <cell r="FH261">
            <v>0</v>
          </cell>
          <cell r="FI261">
            <v>0</v>
          </cell>
          <cell r="FJ261">
            <v>0</v>
          </cell>
          <cell r="FK261">
            <v>0</v>
          </cell>
          <cell r="FL261">
            <v>0</v>
          </cell>
          <cell r="FM261">
            <v>0</v>
          </cell>
          <cell r="FN261">
            <v>0</v>
          </cell>
          <cell r="FO261">
            <v>0</v>
          </cell>
          <cell r="FP261">
            <v>0</v>
          </cell>
          <cell r="FQ261">
            <v>0</v>
          </cell>
          <cell r="FR261">
            <v>0</v>
          </cell>
          <cell r="FS261">
            <v>0</v>
          </cell>
          <cell r="FT261">
            <v>0</v>
          </cell>
          <cell r="FU261">
            <v>0</v>
          </cell>
          <cell r="FV261">
            <v>0</v>
          </cell>
          <cell r="FW261">
            <v>0</v>
          </cell>
          <cell r="FX261">
            <v>0</v>
          </cell>
          <cell r="FY261">
            <v>0</v>
          </cell>
          <cell r="FZ261">
            <v>0</v>
          </cell>
          <cell r="GA261">
            <v>0</v>
          </cell>
          <cell r="GB261">
            <v>0</v>
          </cell>
          <cell r="GC261">
            <v>0</v>
          </cell>
          <cell r="GD261">
            <v>0</v>
          </cell>
          <cell r="GE261">
            <v>0</v>
          </cell>
          <cell r="GF261">
            <v>0</v>
          </cell>
          <cell r="GG261">
            <v>0</v>
          </cell>
          <cell r="GH261">
            <v>0</v>
          </cell>
          <cell r="GI261">
            <v>0</v>
          </cell>
          <cell r="GJ261">
            <v>0</v>
          </cell>
          <cell r="GK261">
            <v>0</v>
          </cell>
          <cell r="GL261">
            <v>0</v>
          </cell>
          <cell r="GM261">
            <v>0</v>
          </cell>
          <cell r="GN261">
            <v>0</v>
          </cell>
          <cell r="GO261">
            <v>0</v>
          </cell>
          <cell r="GP261">
            <v>0</v>
          </cell>
          <cell r="GQ261">
            <v>0</v>
          </cell>
          <cell r="GR261">
            <v>0</v>
          </cell>
          <cell r="GS261">
            <v>0</v>
          </cell>
          <cell r="GT261">
            <v>0</v>
          </cell>
          <cell r="GZ261">
            <v>0</v>
          </cell>
        </row>
        <row r="262">
          <cell r="A262" t="str">
            <v>I_LKI_NRF_CPT_PRP_INTR_TLI</v>
          </cell>
          <cell r="B262">
            <v>0</v>
          </cell>
          <cell r="C262">
            <v>0</v>
          </cell>
          <cell r="D262">
            <v>0</v>
          </cell>
          <cell r="E262">
            <v>0</v>
          </cell>
          <cell r="F262">
            <v>0</v>
          </cell>
          <cell r="G262">
            <v>0</v>
          </cell>
          <cell r="H262">
            <v>0</v>
          </cell>
          <cell r="I262">
            <v>0</v>
          </cell>
          <cell r="J262">
            <v>0</v>
          </cell>
          <cell r="K262">
            <v>0</v>
          </cell>
          <cell r="L262">
            <v>0</v>
          </cell>
          <cell r="M262">
            <v>0</v>
          </cell>
          <cell r="N262">
            <v>0</v>
          </cell>
          <cell r="O262">
            <v>0</v>
          </cell>
          <cell r="P262">
            <v>0</v>
          </cell>
          <cell r="Q262">
            <v>0</v>
          </cell>
          <cell r="R262">
            <v>0</v>
          </cell>
          <cell r="S262">
            <v>0</v>
          </cell>
          <cell r="T262">
            <v>0</v>
          </cell>
          <cell r="U262">
            <v>0</v>
          </cell>
          <cell r="V262">
            <v>0</v>
          </cell>
          <cell r="W262">
            <v>0</v>
          </cell>
          <cell r="X262">
            <v>0</v>
          </cell>
          <cell r="Y262">
            <v>0</v>
          </cell>
          <cell r="Z262">
            <v>0</v>
          </cell>
          <cell r="AA262">
            <v>0</v>
          </cell>
          <cell r="AB262">
            <v>0</v>
          </cell>
          <cell r="AC262">
            <v>0</v>
          </cell>
          <cell r="AD262">
            <v>0</v>
          </cell>
          <cell r="AE262">
            <v>0</v>
          </cell>
          <cell r="AF262">
            <v>0</v>
          </cell>
          <cell r="AG262">
            <v>0</v>
          </cell>
          <cell r="AH262">
            <v>0</v>
          </cell>
          <cell r="AI262">
            <v>0</v>
          </cell>
          <cell r="AJ262">
            <v>0</v>
          </cell>
          <cell r="AK262">
            <v>0</v>
          </cell>
          <cell r="AL262">
            <v>0</v>
          </cell>
          <cell r="AM262">
            <v>0</v>
          </cell>
          <cell r="AN262">
            <v>0</v>
          </cell>
          <cell r="AO262">
            <v>0</v>
          </cell>
          <cell r="AP262">
            <v>0</v>
          </cell>
          <cell r="AQ262">
            <v>0</v>
          </cell>
          <cell r="AR262">
            <v>0</v>
          </cell>
          <cell r="AS262">
            <v>0</v>
          </cell>
          <cell r="AT262">
            <v>0</v>
          </cell>
          <cell r="AU262">
            <v>0</v>
          </cell>
          <cell r="AV262">
            <v>0</v>
          </cell>
          <cell r="AW262">
            <v>0</v>
          </cell>
          <cell r="AX262">
            <v>0</v>
          </cell>
          <cell r="AY262">
            <v>0</v>
          </cell>
          <cell r="AZ262">
            <v>0</v>
          </cell>
          <cell r="BA262">
            <v>0</v>
          </cell>
          <cell r="BB262">
            <v>0</v>
          </cell>
          <cell r="BC262">
            <v>0</v>
          </cell>
          <cell r="BD262">
            <v>0</v>
          </cell>
          <cell r="BE262">
            <v>0</v>
          </cell>
          <cell r="BF262">
            <v>0</v>
          </cell>
          <cell r="BG262">
            <v>0</v>
          </cell>
          <cell r="BH262">
            <v>0</v>
          </cell>
          <cell r="BI262">
            <v>0</v>
          </cell>
          <cell r="BJ262">
            <v>0</v>
          </cell>
          <cell r="BK262">
            <v>0</v>
          </cell>
          <cell r="BL262">
            <v>0</v>
          </cell>
          <cell r="BM262">
            <v>0</v>
          </cell>
          <cell r="BN262">
            <v>0</v>
          </cell>
          <cell r="BO262">
            <v>0</v>
          </cell>
          <cell r="BP262">
            <v>0</v>
          </cell>
          <cell r="BQ262">
            <v>0</v>
          </cell>
          <cell r="BR262">
            <v>0</v>
          </cell>
          <cell r="BS262">
            <v>0</v>
          </cell>
          <cell r="BT262">
            <v>0</v>
          </cell>
          <cell r="BU262">
            <v>0</v>
          </cell>
          <cell r="BV262">
            <v>0</v>
          </cell>
          <cell r="BW262">
            <v>0</v>
          </cell>
          <cell r="BX262">
            <v>0</v>
          </cell>
          <cell r="BY262">
            <v>0</v>
          </cell>
          <cell r="BZ262">
            <v>0</v>
          </cell>
          <cell r="CA262">
            <v>0</v>
          </cell>
          <cell r="CB262">
            <v>0</v>
          </cell>
          <cell r="CC262">
            <v>0</v>
          </cell>
          <cell r="CD262">
            <v>0</v>
          </cell>
          <cell r="CE262">
            <v>0</v>
          </cell>
          <cell r="CF262">
            <v>0</v>
          </cell>
          <cell r="CG262">
            <v>0</v>
          </cell>
          <cell r="CH262">
            <v>0</v>
          </cell>
          <cell r="CI262">
            <v>0</v>
          </cell>
          <cell r="CJ262">
            <v>0</v>
          </cell>
          <cell r="CK262">
            <v>0</v>
          </cell>
          <cell r="CL262">
            <v>0</v>
          </cell>
          <cell r="CM262">
            <v>0</v>
          </cell>
          <cell r="CN262">
            <v>0</v>
          </cell>
          <cell r="CO262">
            <v>0</v>
          </cell>
          <cell r="CP262">
            <v>0</v>
          </cell>
          <cell r="CQ262">
            <v>0</v>
          </cell>
          <cell r="CR262">
            <v>0</v>
          </cell>
          <cell r="CS262">
            <v>0</v>
          </cell>
          <cell r="CT262">
            <v>0</v>
          </cell>
          <cell r="CU262">
            <v>0</v>
          </cell>
          <cell r="CV262">
            <v>0</v>
          </cell>
          <cell r="CW262">
            <v>0</v>
          </cell>
          <cell r="CX262">
            <v>0</v>
          </cell>
          <cell r="CY262">
            <v>0</v>
          </cell>
          <cell r="CZ262">
            <v>0</v>
          </cell>
          <cell r="DA262">
            <v>0</v>
          </cell>
          <cell r="DB262">
            <v>0</v>
          </cell>
          <cell r="DC262">
            <v>0</v>
          </cell>
          <cell r="DD262">
            <v>0</v>
          </cell>
          <cell r="DE262">
            <v>0</v>
          </cell>
          <cell r="DF262">
            <v>0</v>
          </cell>
          <cell r="DG262">
            <v>0</v>
          </cell>
          <cell r="DH262">
            <v>0</v>
          </cell>
          <cell r="DI262">
            <v>0</v>
          </cell>
          <cell r="DJ262">
            <v>0</v>
          </cell>
          <cell r="DK262">
            <v>0</v>
          </cell>
          <cell r="DL262">
            <v>0</v>
          </cell>
          <cell r="DM262">
            <v>0</v>
          </cell>
          <cell r="DN262">
            <v>0</v>
          </cell>
          <cell r="DO262">
            <v>0</v>
          </cell>
          <cell r="DP262">
            <v>0</v>
          </cell>
          <cell r="DQ262">
            <v>0</v>
          </cell>
          <cell r="DR262">
            <v>0</v>
          </cell>
          <cell r="DS262">
            <v>0</v>
          </cell>
          <cell r="DT262">
            <v>0</v>
          </cell>
          <cell r="DU262">
            <v>0</v>
          </cell>
          <cell r="DV262">
            <v>0</v>
          </cell>
          <cell r="DW262">
            <v>0</v>
          </cell>
          <cell r="EA262">
            <v>0</v>
          </cell>
          <cell r="EB262">
            <v>0</v>
          </cell>
          <cell r="EC262">
            <v>0</v>
          </cell>
          <cell r="ED262">
            <v>0</v>
          </cell>
          <cell r="EE262">
            <v>0</v>
          </cell>
          <cell r="EF262">
            <v>0</v>
          </cell>
          <cell r="EG262">
            <v>0</v>
          </cell>
          <cell r="EH262">
            <v>0</v>
          </cell>
          <cell r="EI262">
            <v>0</v>
          </cell>
          <cell r="EJ262">
            <v>0</v>
          </cell>
          <cell r="EK262">
            <v>0</v>
          </cell>
          <cell r="EL262">
            <v>0</v>
          </cell>
          <cell r="EM262">
            <v>0</v>
          </cell>
          <cell r="EN262">
            <v>0</v>
          </cell>
          <cell r="EO262">
            <v>0</v>
          </cell>
          <cell r="EP262">
            <v>0</v>
          </cell>
          <cell r="EQ262">
            <v>0</v>
          </cell>
          <cell r="ER262">
            <v>0</v>
          </cell>
          <cell r="ES262">
            <v>0</v>
          </cell>
          <cell r="ET262">
            <v>0</v>
          </cell>
          <cell r="EU262">
            <v>0</v>
          </cell>
          <cell r="EV262">
            <v>0</v>
          </cell>
          <cell r="EW262">
            <v>0</v>
          </cell>
          <cell r="EX262">
            <v>0</v>
          </cell>
          <cell r="EY262">
            <v>0</v>
          </cell>
          <cell r="EZ262">
            <v>0</v>
          </cell>
          <cell r="FA262">
            <v>0</v>
          </cell>
          <cell r="FB262">
            <v>0</v>
          </cell>
          <cell r="FC262">
            <v>0</v>
          </cell>
          <cell r="FE262">
            <v>0</v>
          </cell>
          <cell r="FF262">
            <v>0</v>
          </cell>
          <cell r="FG262">
            <v>0</v>
          </cell>
          <cell r="FH262">
            <v>0</v>
          </cell>
          <cell r="FI262">
            <v>0</v>
          </cell>
          <cell r="FJ262">
            <v>0</v>
          </cell>
          <cell r="FK262">
            <v>0</v>
          </cell>
          <cell r="FL262">
            <v>0</v>
          </cell>
          <cell r="FM262">
            <v>0</v>
          </cell>
          <cell r="FN262">
            <v>0</v>
          </cell>
          <cell r="FO262">
            <v>0</v>
          </cell>
          <cell r="FP262">
            <v>0</v>
          </cell>
          <cell r="FQ262">
            <v>0</v>
          </cell>
          <cell r="FR262">
            <v>0</v>
          </cell>
          <cell r="FS262">
            <v>0</v>
          </cell>
          <cell r="FT262">
            <v>0</v>
          </cell>
          <cell r="FU262">
            <v>0</v>
          </cell>
          <cell r="FV262">
            <v>0</v>
          </cell>
          <cell r="FW262">
            <v>0</v>
          </cell>
          <cell r="FX262">
            <v>0</v>
          </cell>
          <cell r="FY262">
            <v>0</v>
          </cell>
          <cell r="FZ262">
            <v>0</v>
          </cell>
          <cell r="GA262">
            <v>0</v>
          </cell>
          <cell r="GB262">
            <v>0</v>
          </cell>
          <cell r="GC262">
            <v>0</v>
          </cell>
          <cell r="GD262">
            <v>0</v>
          </cell>
          <cell r="GE262">
            <v>0</v>
          </cell>
          <cell r="GF262">
            <v>0</v>
          </cell>
          <cell r="GG262">
            <v>0</v>
          </cell>
          <cell r="GH262">
            <v>0</v>
          </cell>
          <cell r="GI262">
            <v>0</v>
          </cell>
          <cell r="GJ262">
            <v>0</v>
          </cell>
          <cell r="GK262">
            <v>0</v>
          </cell>
          <cell r="GL262">
            <v>0</v>
          </cell>
          <cell r="GM262">
            <v>0</v>
          </cell>
          <cell r="GN262">
            <v>0</v>
          </cell>
          <cell r="GO262">
            <v>0</v>
          </cell>
          <cell r="GP262">
            <v>0</v>
          </cell>
          <cell r="GQ262">
            <v>0</v>
          </cell>
          <cell r="GR262">
            <v>0</v>
          </cell>
          <cell r="GS262">
            <v>0</v>
          </cell>
          <cell r="GT262">
            <v>0</v>
          </cell>
          <cell r="GZ262">
            <v>0</v>
          </cell>
        </row>
        <row r="263">
          <cell r="A263" t="str">
            <v>I_EUL_NRF_CPT_PRP_INTR_TEU</v>
          </cell>
          <cell r="B263">
            <v>0</v>
          </cell>
          <cell r="C263">
            <v>0</v>
          </cell>
          <cell r="D263">
            <v>0</v>
          </cell>
          <cell r="E263">
            <v>0</v>
          </cell>
          <cell r="F263">
            <v>0</v>
          </cell>
          <cell r="G263">
            <v>0</v>
          </cell>
          <cell r="H263">
            <v>0</v>
          </cell>
          <cell r="I263">
            <v>0</v>
          </cell>
          <cell r="J263">
            <v>0</v>
          </cell>
          <cell r="K263">
            <v>0</v>
          </cell>
          <cell r="L263">
            <v>0</v>
          </cell>
          <cell r="M263">
            <v>0</v>
          </cell>
          <cell r="N263">
            <v>0</v>
          </cell>
          <cell r="O263">
            <v>0</v>
          </cell>
          <cell r="P263">
            <v>0</v>
          </cell>
          <cell r="Q263">
            <v>0</v>
          </cell>
          <cell r="R263">
            <v>0</v>
          </cell>
          <cell r="S263">
            <v>0</v>
          </cell>
          <cell r="T263">
            <v>0</v>
          </cell>
          <cell r="U263">
            <v>0</v>
          </cell>
          <cell r="V263">
            <v>0</v>
          </cell>
          <cell r="W263">
            <v>0</v>
          </cell>
          <cell r="X263">
            <v>0</v>
          </cell>
          <cell r="Y263">
            <v>0</v>
          </cell>
          <cell r="Z263">
            <v>0</v>
          </cell>
          <cell r="AA263">
            <v>0</v>
          </cell>
          <cell r="AB263">
            <v>0</v>
          </cell>
          <cell r="AC263">
            <v>0</v>
          </cell>
          <cell r="AD263">
            <v>0</v>
          </cell>
          <cell r="AE263">
            <v>0</v>
          </cell>
          <cell r="AF263">
            <v>0</v>
          </cell>
          <cell r="AG263">
            <v>0</v>
          </cell>
          <cell r="AH263">
            <v>0</v>
          </cell>
          <cell r="AI263">
            <v>0</v>
          </cell>
          <cell r="AJ263">
            <v>0</v>
          </cell>
          <cell r="AK263">
            <v>0</v>
          </cell>
          <cell r="AL263">
            <v>0</v>
          </cell>
          <cell r="AM263">
            <v>0</v>
          </cell>
          <cell r="AN263">
            <v>0</v>
          </cell>
          <cell r="AO263">
            <v>0</v>
          </cell>
          <cell r="AP263">
            <v>0</v>
          </cell>
          <cell r="AQ263">
            <v>0</v>
          </cell>
          <cell r="AR263">
            <v>0</v>
          </cell>
          <cell r="AS263">
            <v>0</v>
          </cell>
          <cell r="AT263">
            <v>0</v>
          </cell>
          <cell r="AU263">
            <v>0</v>
          </cell>
          <cell r="AV263">
            <v>0</v>
          </cell>
          <cell r="AW263">
            <v>0</v>
          </cell>
          <cell r="AX263">
            <v>0</v>
          </cell>
          <cell r="AY263">
            <v>0</v>
          </cell>
          <cell r="AZ263">
            <v>0</v>
          </cell>
          <cell r="BA263">
            <v>0</v>
          </cell>
          <cell r="BB263">
            <v>0</v>
          </cell>
          <cell r="BC263">
            <v>0</v>
          </cell>
          <cell r="BD263">
            <v>0</v>
          </cell>
          <cell r="BE263">
            <v>0</v>
          </cell>
          <cell r="BF263">
            <v>0</v>
          </cell>
          <cell r="BG263">
            <v>0</v>
          </cell>
          <cell r="BH263">
            <v>0</v>
          </cell>
          <cell r="BI263">
            <v>0</v>
          </cell>
          <cell r="BJ263">
            <v>0</v>
          </cell>
          <cell r="BK263">
            <v>0</v>
          </cell>
          <cell r="BL263">
            <v>0</v>
          </cell>
          <cell r="BM263">
            <v>0</v>
          </cell>
          <cell r="BN263">
            <v>0</v>
          </cell>
          <cell r="BO263">
            <v>0</v>
          </cell>
          <cell r="BP263">
            <v>0</v>
          </cell>
          <cell r="BQ263">
            <v>0</v>
          </cell>
          <cell r="BR263">
            <v>0</v>
          </cell>
          <cell r="BS263">
            <v>0</v>
          </cell>
          <cell r="BT263">
            <v>0</v>
          </cell>
          <cell r="BU263">
            <v>0</v>
          </cell>
          <cell r="BV263">
            <v>0</v>
          </cell>
          <cell r="BW263">
            <v>0</v>
          </cell>
          <cell r="BX263">
            <v>0</v>
          </cell>
          <cell r="BY263">
            <v>0</v>
          </cell>
          <cell r="BZ263">
            <v>0</v>
          </cell>
          <cell r="CA263">
            <v>0</v>
          </cell>
          <cell r="CB263">
            <v>0</v>
          </cell>
          <cell r="CC263">
            <v>0</v>
          </cell>
          <cell r="CD263">
            <v>0</v>
          </cell>
          <cell r="CE263">
            <v>0</v>
          </cell>
          <cell r="CF263">
            <v>0</v>
          </cell>
          <cell r="CG263">
            <v>0</v>
          </cell>
          <cell r="CH263">
            <v>0</v>
          </cell>
          <cell r="CI263">
            <v>0</v>
          </cell>
          <cell r="CJ263">
            <v>0</v>
          </cell>
          <cell r="CK263">
            <v>0</v>
          </cell>
          <cell r="CL263">
            <v>0</v>
          </cell>
          <cell r="CM263">
            <v>0</v>
          </cell>
          <cell r="CN263">
            <v>0</v>
          </cell>
          <cell r="CO263">
            <v>0</v>
          </cell>
          <cell r="CP263">
            <v>0</v>
          </cell>
          <cell r="CQ263">
            <v>0</v>
          </cell>
          <cell r="CR263">
            <v>0</v>
          </cell>
          <cell r="CS263">
            <v>0</v>
          </cell>
          <cell r="CT263">
            <v>0</v>
          </cell>
          <cell r="CU263">
            <v>0</v>
          </cell>
          <cell r="CV263">
            <v>0</v>
          </cell>
          <cell r="CW263">
            <v>0</v>
          </cell>
          <cell r="CX263">
            <v>0</v>
          </cell>
          <cell r="CY263">
            <v>0</v>
          </cell>
          <cell r="CZ263">
            <v>0</v>
          </cell>
          <cell r="DA263">
            <v>0</v>
          </cell>
          <cell r="DB263">
            <v>0</v>
          </cell>
          <cell r="DC263">
            <v>0</v>
          </cell>
          <cell r="DD263">
            <v>0</v>
          </cell>
          <cell r="DE263">
            <v>0</v>
          </cell>
          <cell r="DF263">
            <v>0</v>
          </cell>
          <cell r="DG263">
            <v>0</v>
          </cell>
          <cell r="DH263">
            <v>0</v>
          </cell>
          <cell r="DI263">
            <v>0</v>
          </cell>
          <cell r="DJ263">
            <v>0</v>
          </cell>
          <cell r="DK263">
            <v>0</v>
          </cell>
          <cell r="DL263">
            <v>0</v>
          </cell>
          <cell r="DM263">
            <v>0</v>
          </cell>
          <cell r="DN263">
            <v>0</v>
          </cell>
          <cell r="DO263">
            <v>0</v>
          </cell>
          <cell r="DP263">
            <v>0</v>
          </cell>
          <cell r="DQ263">
            <v>0</v>
          </cell>
          <cell r="DR263">
            <v>0</v>
          </cell>
          <cell r="DS263">
            <v>0</v>
          </cell>
          <cell r="DT263">
            <v>0</v>
          </cell>
          <cell r="DU263">
            <v>0</v>
          </cell>
          <cell r="DV263">
            <v>0</v>
          </cell>
          <cell r="DW263">
            <v>0</v>
          </cell>
          <cell r="EA263">
            <v>0</v>
          </cell>
          <cell r="EB263">
            <v>0</v>
          </cell>
          <cell r="EC263">
            <v>0</v>
          </cell>
          <cell r="ED263">
            <v>0</v>
          </cell>
          <cell r="EE263">
            <v>0</v>
          </cell>
          <cell r="EF263">
            <v>0</v>
          </cell>
          <cell r="EG263">
            <v>0</v>
          </cell>
          <cell r="EH263">
            <v>0</v>
          </cell>
          <cell r="EI263">
            <v>0</v>
          </cell>
          <cell r="EJ263">
            <v>0</v>
          </cell>
          <cell r="EK263">
            <v>0</v>
          </cell>
          <cell r="EL263">
            <v>0</v>
          </cell>
          <cell r="EM263">
            <v>0</v>
          </cell>
          <cell r="EN263">
            <v>0</v>
          </cell>
          <cell r="EO263">
            <v>0</v>
          </cell>
          <cell r="EP263">
            <v>0</v>
          </cell>
          <cell r="EQ263">
            <v>0</v>
          </cell>
          <cell r="ER263">
            <v>0</v>
          </cell>
          <cell r="ES263">
            <v>0</v>
          </cell>
          <cell r="ET263">
            <v>0</v>
          </cell>
          <cell r="EU263">
            <v>0</v>
          </cell>
          <cell r="EV263">
            <v>0</v>
          </cell>
          <cell r="EW263">
            <v>0</v>
          </cell>
          <cell r="EX263">
            <v>0</v>
          </cell>
          <cell r="EY263">
            <v>0</v>
          </cell>
          <cell r="EZ263">
            <v>0</v>
          </cell>
          <cell r="FA263">
            <v>0</v>
          </cell>
          <cell r="FB263">
            <v>0</v>
          </cell>
          <cell r="FC263">
            <v>0</v>
          </cell>
          <cell r="FD263">
            <v>0</v>
          </cell>
          <cell r="FE263">
            <v>0</v>
          </cell>
          <cell r="FF263">
            <v>0</v>
          </cell>
          <cell r="FG263">
            <v>0</v>
          </cell>
          <cell r="FH263">
            <v>0</v>
          </cell>
          <cell r="FI263">
            <v>0</v>
          </cell>
          <cell r="FJ263">
            <v>0</v>
          </cell>
          <cell r="FK263">
            <v>0</v>
          </cell>
          <cell r="FL263">
            <v>0</v>
          </cell>
          <cell r="FM263">
            <v>0</v>
          </cell>
          <cell r="FN263">
            <v>0</v>
          </cell>
          <cell r="FO263">
            <v>0</v>
          </cell>
          <cell r="FP263">
            <v>0</v>
          </cell>
          <cell r="FQ263">
            <v>0</v>
          </cell>
          <cell r="FR263">
            <v>0</v>
          </cell>
          <cell r="FS263">
            <v>0</v>
          </cell>
          <cell r="FT263">
            <v>0</v>
          </cell>
          <cell r="FU263">
            <v>0</v>
          </cell>
          <cell r="FV263">
            <v>0</v>
          </cell>
          <cell r="FW263">
            <v>0</v>
          </cell>
          <cell r="FX263">
            <v>0</v>
          </cell>
          <cell r="FY263">
            <v>0</v>
          </cell>
          <cell r="FZ263">
            <v>0</v>
          </cell>
          <cell r="GA263">
            <v>0</v>
          </cell>
          <cell r="GB263">
            <v>0</v>
          </cell>
          <cell r="GC263">
            <v>0</v>
          </cell>
          <cell r="GD263">
            <v>0</v>
          </cell>
          <cell r="GE263">
            <v>0</v>
          </cell>
          <cell r="GF263">
            <v>0</v>
          </cell>
          <cell r="GG263">
            <v>0</v>
          </cell>
          <cell r="GH263">
            <v>0</v>
          </cell>
          <cell r="GI263">
            <v>0</v>
          </cell>
          <cell r="GJ263">
            <v>0</v>
          </cell>
          <cell r="GK263">
            <v>0</v>
          </cell>
          <cell r="GL263">
            <v>0</v>
          </cell>
          <cell r="GM263">
            <v>0</v>
          </cell>
          <cell r="GN263">
            <v>0</v>
          </cell>
          <cell r="GO263">
            <v>0</v>
          </cell>
          <cell r="GP263">
            <v>0</v>
          </cell>
          <cell r="GQ263">
            <v>0</v>
          </cell>
          <cell r="GR263">
            <v>0</v>
          </cell>
          <cell r="GS263">
            <v>0</v>
          </cell>
          <cell r="GT263">
            <v>0</v>
          </cell>
          <cell r="GZ263">
            <v>0</v>
          </cell>
        </row>
        <row r="264">
          <cell r="A264" t="str">
            <v>I_EUL_NRF_RET_COL_INTR_E04</v>
          </cell>
          <cell r="B264">
            <v>28373250</v>
          </cell>
          <cell r="C264">
            <v>0</v>
          </cell>
          <cell r="D264">
            <v>0</v>
          </cell>
          <cell r="E264">
            <v>33741195.329517581</v>
          </cell>
          <cell r="F264">
            <v>32709426.5</v>
          </cell>
          <cell r="G264">
            <v>32709426.5</v>
          </cell>
          <cell r="H264">
            <v>0</v>
          </cell>
          <cell r="I264">
            <v>0</v>
          </cell>
          <cell r="J264">
            <v>32709426.5</v>
          </cell>
          <cell r="K264">
            <v>32709426.5</v>
          </cell>
          <cell r="L264">
            <v>32709426.5</v>
          </cell>
          <cell r="M264">
            <v>0</v>
          </cell>
          <cell r="N264">
            <v>32709426.5</v>
          </cell>
          <cell r="O264">
            <v>32709426.5</v>
          </cell>
          <cell r="P264">
            <v>32709426.5</v>
          </cell>
          <cell r="Q264">
            <v>32709426.5</v>
          </cell>
          <cell r="R264">
            <v>0</v>
          </cell>
          <cell r="S264">
            <v>32709426.5</v>
          </cell>
          <cell r="T264">
            <v>32709426.5</v>
          </cell>
          <cell r="U264">
            <v>32709426.5</v>
          </cell>
          <cell r="V264">
            <v>32709426.5</v>
          </cell>
          <cell r="W264">
            <v>32709426.5</v>
          </cell>
          <cell r="X264">
            <v>32709426.5</v>
          </cell>
          <cell r="Y264">
            <v>32709426.5</v>
          </cell>
          <cell r="Z264">
            <v>32709426.5</v>
          </cell>
          <cell r="AA264">
            <v>32709426.5</v>
          </cell>
          <cell r="AB264">
            <v>34656149.75</v>
          </cell>
          <cell r="AC264">
            <v>30951466</v>
          </cell>
          <cell r="AD264">
            <v>0</v>
          </cell>
          <cell r="AE264">
            <v>0</v>
          </cell>
          <cell r="AF264">
            <v>31353296.749999996</v>
          </cell>
          <cell r="AG264">
            <v>32709426.5</v>
          </cell>
          <cell r="AH264">
            <v>32709426.5</v>
          </cell>
          <cell r="AI264">
            <v>0</v>
          </cell>
          <cell r="AJ264">
            <v>32709426.5</v>
          </cell>
          <cell r="AK264">
            <v>32709426.5</v>
          </cell>
          <cell r="AL264">
            <v>32709426.5</v>
          </cell>
          <cell r="AM264">
            <v>32709426.5</v>
          </cell>
          <cell r="AN264">
            <v>0</v>
          </cell>
          <cell r="AO264">
            <v>31679602.5</v>
          </cell>
          <cell r="AP264">
            <v>32709426.5</v>
          </cell>
          <cell r="AQ264">
            <v>32709426.5</v>
          </cell>
          <cell r="AR264">
            <v>32709426.5</v>
          </cell>
          <cell r="AS264">
            <v>32709426.5</v>
          </cell>
          <cell r="AT264">
            <v>32709426.5</v>
          </cell>
          <cell r="AU264">
            <v>32709426.5</v>
          </cell>
          <cell r="AV264">
            <v>32101061.000000004</v>
          </cell>
          <cell r="AW264">
            <v>32709425.75</v>
          </cell>
          <cell r="AX264">
            <v>32535447.32840943</v>
          </cell>
          <cell r="AY264">
            <v>32535447.32840943</v>
          </cell>
          <cell r="AZ264">
            <v>0</v>
          </cell>
          <cell r="BA264">
            <v>0</v>
          </cell>
          <cell r="BB264">
            <v>32535447.32840943</v>
          </cell>
          <cell r="BC264">
            <v>32535447.32840943</v>
          </cell>
          <cell r="BD264">
            <v>32535447.32840943</v>
          </cell>
          <cell r="BE264">
            <v>0</v>
          </cell>
          <cell r="BF264">
            <v>32535447.32840943</v>
          </cell>
          <cell r="BG264">
            <v>32535447.32840943</v>
          </cell>
          <cell r="BH264">
            <v>32535447.32840943</v>
          </cell>
          <cell r="BI264">
            <v>32535447.32840943</v>
          </cell>
          <cell r="BJ264">
            <v>0</v>
          </cell>
          <cell r="BK264">
            <v>32535447.32840943</v>
          </cell>
          <cell r="BL264">
            <v>32535447.32840943</v>
          </cell>
          <cell r="BM264">
            <v>32535447.32840943</v>
          </cell>
          <cell r="BN264">
            <v>32535447.32840943</v>
          </cell>
          <cell r="BO264">
            <v>32535447.32840943</v>
          </cell>
          <cell r="BP264">
            <v>32535447.32840943</v>
          </cell>
          <cell r="BQ264">
            <v>32535447.32840943</v>
          </cell>
          <cell r="BR264">
            <v>32535447.32840943</v>
          </cell>
          <cell r="BS264">
            <v>32535447.32840943</v>
          </cell>
          <cell r="BT264">
            <v>36760393.33122579</v>
          </cell>
          <cell r="BU264">
            <v>28934945.709360763</v>
          </cell>
          <cell r="BV264">
            <v>0</v>
          </cell>
          <cell r="BW264">
            <v>0</v>
          </cell>
          <cell r="BX264">
            <v>32535447.32840943</v>
          </cell>
          <cell r="BY264">
            <v>32535447.32840943</v>
          </cell>
          <cell r="BZ264">
            <v>32535447.32840943</v>
          </cell>
          <cell r="CA264">
            <v>0</v>
          </cell>
          <cell r="CB264">
            <v>32535447.32840943</v>
          </cell>
          <cell r="CC264">
            <v>32535447.32840943</v>
          </cell>
          <cell r="CD264">
            <v>32535447.32840943</v>
          </cell>
          <cell r="CE264">
            <v>32535447.32840943</v>
          </cell>
          <cell r="CF264">
            <v>0</v>
          </cell>
          <cell r="CG264">
            <v>32535447.32840943</v>
          </cell>
          <cell r="CH264">
            <v>32535447.32840943</v>
          </cell>
          <cell r="CI264">
            <v>32535447.32840943</v>
          </cell>
          <cell r="CJ264">
            <v>32535447.32840943</v>
          </cell>
          <cell r="CK264">
            <v>32535447.32840943</v>
          </cell>
          <cell r="CL264">
            <v>32535447.32840943</v>
          </cell>
          <cell r="CM264">
            <v>32535447.32840943</v>
          </cell>
          <cell r="CN264">
            <v>32535447.32840943</v>
          </cell>
          <cell r="CO264">
            <v>33551879.661688626</v>
          </cell>
          <cell r="CP264">
            <v>33741195.329517581</v>
          </cell>
          <cell r="CQ264">
            <v>33741195.329517581</v>
          </cell>
          <cell r="CR264">
            <v>33741195.329517581</v>
          </cell>
          <cell r="CS264">
            <v>33741195.329517581</v>
          </cell>
          <cell r="CT264">
            <v>33741195.329517581</v>
          </cell>
          <cell r="CU264">
            <v>33741195.329517581</v>
          </cell>
          <cell r="CV264">
            <v>0</v>
          </cell>
          <cell r="CW264">
            <v>33741195.329517581</v>
          </cell>
          <cell r="CX264">
            <v>33741195.329517581</v>
          </cell>
          <cell r="CY264">
            <v>33741195.329517581</v>
          </cell>
          <cell r="CZ264">
            <v>32349470.643660996</v>
          </cell>
          <cell r="DA264">
            <v>36030053.583780736</v>
          </cell>
          <cell r="DB264">
            <v>33741195.329517581</v>
          </cell>
          <cell r="DC264">
            <v>33663188.010444917</v>
          </cell>
          <cell r="DD264">
            <v>33699326.790838473</v>
          </cell>
          <cell r="DE264">
            <v>33767732.083662689</v>
          </cell>
          <cell r="DF264">
            <v>25.666666666666668</v>
          </cell>
          <cell r="DG264">
            <v>33992697.357827559</v>
          </cell>
          <cell r="DH264">
            <v>33741195.329517581</v>
          </cell>
          <cell r="DI264">
            <v>33327999.34079678</v>
          </cell>
          <cell r="DJ264">
            <v>0</v>
          </cell>
          <cell r="DK264">
            <v>0</v>
          </cell>
          <cell r="DL264">
            <v>0</v>
          </cell>
          <cell r="DM264">
            <v>0</v>
          </cell>
          <cell r="DN264">
            <v>0</v>
          </cell>
          <cell r="DO264">
            <v>0</v>
          </cell>
          <cell r="DP264">
            <v>0</v>
          </cell>
          <cell r="DQ264">
            <v>0</v>
          </cell>
          <cell r="DR264">
            <v>0</v>
          </cell>
          <cell r="DS264">
            <v>0</v>
          </cell>
          <cell r="DT264">
            <v>0</v>
          </cell>
          <cell r="DU264">
            <v>0</v>
          </cell>
          <cell r="DV264">
            <v>0</v>
          </cell>
          <cell r="DW264">
            <v>0</v>
          </cell>
          <cell r="EA264">
            <v>0</v>
          </cell>
          <cell r="EB264">
            <v>0</v>
          </cell>
          <cell r="EC264">
            <v>0</v>
          </cell>
          <cell r="ED264">
            <v>0</v>
          </cell>
          <cell r="EE264">
            <v>0</v>
          </cell>
          <cell r="EF264">
            <v>0</v>
          </cell>
          <cell r="EG264">
            <v>0</v>
          </cell>
          <cell r="EH264">
            <v>0</v>
          </cell>
          <cell r="EI264">
            <v>0</v>
          </cell>
          <cell r="EJ264">
            <v>0</v>
          </cell>
          <cell r="EK264">
            <v>0</v>
          </cell>
          <cell r="EL264">
            <v>0</v>
          </cell>
          <cell r="EM264">
            <v>0</v>
          </cell>
          <cell r="EN264">
            <v>0</v>
          </cell>
          <cell r="EO264">
            <v>0</v>
          </cell>
          <cell r="EP264">
            <v>0</v>
          </cell>
          <cell r="EQ264">
            <v>0</v>
          </cell>
          <cell r="ER264">
            <v>0</v>
          </cell>
          <cell r="ES264">
            <v>0</v>
          </cell>
          <cell r="ET264">
            <v>0</v>
          </cell>
          <cell r="EU264">
            <v>0</v>
          </cell>
          <cell r="EV264">
            <v>0</v>
          </cell>
          <cell r="EW264">
            <v>0</v>
          </cell>
          <cell r="EX264">
            <v>0</v>
          </cell>
          <cell r="EY264">
            <v>0</v>
          </cell>
          <cell r="EZ264">
            <v>0</v>
          </cell>
          <cell r="FA264">
            <v>0</v>
          </cell>
          <cell r="FB264">
            <v>0</v>
          </cell>
          <cell r="FC264">
            <v>0</v>
          </cell>
          <cell r="FD264">
            <v>13668256.072946668</v>
          </cell>
          <cell r="FE264">
            <v>32469562.742500391</v>
          </cell>
          <cell r="FF264">
            <v>34646165.787010014</v>
          </cell>
          <cell r="FG264">
            <v>30713828.973133903</v>
          </cell>
          <cell r="FH264">
            <v>0</v>
          </cell>
          <cell r="FI264">
            <v>0</v>
          </cell>
          <cell r="FJ264">
            <v>31215932.674950529</v>
          </cell>
          <cell r="FK264">
            <v>32535447.32840943</v>
          </cell>
          <cell r="FL264">
            <v>32535447.32840943</v>
          </cell>
          <cell r="FM264">
            <v>0</v>
          </cell>
          <cell r="FN264">
            <v>32534274.133032233</v>
          </cell>
          <cell r="FO264">
            <v>32535447.32840943</v>
          </cell>
          <cell r="FP264">
            <v>32535447.32840943</v>
          </cell>
          <cell r="FQ264">
            <v>32534395.774361957</v>
          </cell>
          <cell r="FR264">
            <v>0</v>
          </cell>
          <cell r="FS264">
            <v>31513427.884268925</v>
          </cell>
          <cell r="FT264">
            <v>32535447.32840943</v>
          </cell>
          <cell r="FU264">
            <v>32535447.32840943</v>
          </cell>
          <cell r="FV264">
            <v>32535447.32840943</v>
          </cell>
          <cell r="FW264">
            <v>32535447.32840943</v>
          </cell>
          <cell r="FX264">
            <v>32535447.32840943</v>
          </cell>
          <cell r="FY264">
            <v>32535447.32840943</v>
          </cell>
          <cell r="FZ264">
            <v>31946170.286655765</v>
          </cell>
          <cell r="GA264">
            <v>32548931.910444394</v>
          </cell>
          <cell r="GB264">
            <v>33749058.417591684</v>
          </cell>
          <cell r="GC264">
            <v>33750913.34973719</v>
          </cell>
          <cell r="GD264">
            <v>33741195.329517581</v>
          </cell>
          <cell r="GE264">
            <v>33664748.557339154</v>
          </cell>
          <cell r="GF264">
            <v>33697445.791362144</v>
          </cell>
          <cell r="GG264">
            <v>33769649.261667244</v>
          </cell>
          <cell r="GH264">
            <v>25.666666666666668</v>
          </cell>
          <cell r="GI264">
            <v>33983447.249632262</v>
          </cell>
          <cell r="GJ264">
            <v>33741195.329517581</v>
          </cell>
          <cell r="GK264">
            <v>33734090.040546156</v>
          </cell>
          <cell r="GL264">
            <v>0</v>
          </cell>
          <cell r="GM264">
            <v>0</v>
          </cell>
          <cell r="GN264">
            <v>0</v>
          </cell>
          <cell r="GO264">
            <v>0</v>
          </cell>
          <cell r="GP264">
            <v>0</v>
          </cell>
          <cell r="GQ264">
            <v>0</v>
          </cell>
          <cell r="GR264">
            <v>0</v>
          </cell>
          <cell r="GS264">
            <v>0</v>
          </cell>
          <cell r="GT264">
            <v>0</v>
          </cell>
          <cell r="GZ264">
            <v>0</v>
          </cell>
        </row>
        <row r="265">
          <cell r="A265" t="str">
            <v>I_EUL_NRF_CPT_PRP_INTR_E05</v>
          </cell>
          <cell r="B265">
            <v>0</v>
          </cell>
          <cell r="C265">
            <v>0</v>
          </cell>
          <cell r="D265">
            <v>0</v>
          </cell>
          <cell r="E265">
            <v>0</v>
          </cell>
          <cell r="F265">
            <v>0</v>
          </cell>
          <cell r="G265">
            <v>0</v>
          </cell>
          <cell r="H265">
            <v>0</v>
          </cell>
          <cell r="I265">
            <v>0</v>
          </cell>
          <cell r="J265">
            <v>0</v>
          </cell>
          <cell r="K265">
            <v>0</v>
          </cell>
          <cell r="L265">
            <v>0</v>
          </cell>
          <cell r="M265">
            <v>0</v>
          </cell>
          <cell r="N265">
            <v>0</v>
          </cell>
          <cell r="O265">
            <v>0</v>
          </cell>
          <cell r="P265">
            <v>0</v>
          </cell>
          <cell r="Q265">
            <v>0</v>
          </cell>
          <cell r="R265">
            <v>0</v>
          </cell>
          <cell r="S265">
            <v>0</v>
          </cell>
          <cell r="T265">
            <v>0</v>
          </cell>
          <cell r="U265">
            <v>0</v>
          </cell>
          <cell r="V265">
            <v>0</v>
          </cell>
          <cell r="W265">
            <v>0</v>
          </cell>
          <cell r="X265">
            <v>0</v>
          </cell>
          <cell r="Y265">
            <v>0</v>
          </cell>
          <cell r="Z265">
            <v>0</v>
          </cell>
          <cell r="AA265">
            <v>0</v>
          </cell>
          <cell r="AB265">
            <v>0</v>
          </cell>
          <cell r="AC265">
            <v>0</v>
          </cell>
          <cell r="AD265">
            <v>0</v>
          </cell>
          <cell r="AE265">
            <v>0</v>
          </cell>
          <cell r="AF265">
            <v>0</v>
          </cell>
          <cell r="AG265">
            <v>0</v>
          </cell>
          <cell r="AH265">
            <v>0</v>
          </cell>
          <cell r="AI265">
            <v>0</v>
          </cell>
          <cell r="AJ265">
            <v>0</v>
          </cell>
          <cell r="AK265">
            <v>0</v>
          </cell>
          <cell r="AL265">
            <v>0</v>
          </cell>
          <cell r="AM265">
            <v>0</v>
          </cell>
          <cell r="AN265">
            <v>0</v>
          </cell>
          <cell r="AO265">
            <v>0</v>
          </cell>
          <cell r="AP265">
            <v>0</v>
          </cell>
          <cell r="AQ265">
            <v>0</v>
          </cell>
          <cell r="AR265">
            <v>0</v>
          </cell>
          <cell r="AS265">
            <v>0</v>
          </cell>
          <cell r="AT265">
            <v>0</v>
          </cell>
          <cell r="AU265">
            <v>0</v>
          </cell>
          <cell r="AV265">
            <v>0</v>
          </cell>
          <cell r="AW265">
            <v>0</v>
          </cell>
          <cell r="AX265">
            <v>0</v>
          </cell>
          <cell r="AY265">
            <v>0</v>
          </cell>
          <cell r="AZ265">
            <v>0</v>
          </cell>
          <cell r="BA265">
            <v>0</v>
          </cell>
          <cell r="BB265">
            <v>0</v>
          </cell>
          <cell r="BC265">
            <v>0</v>
          </cell>
          <cell r="BD265">
            <v>0</v>
          </cell>
          <cell r="BE265">
            <v>0</v>
          </cell>
          <cell r="BF265">
            <v>0</v>
          </cell>
          <cell r="BG265">
            <v>0</v>
          </cell>
          <cell r="BH265">
            <v>0</v>
          </cell>
          <cell r="BI265">
            <v>0</v>
          </cell>
          <cell r="BJ265">
            <v>0</v>
          </cell>
          <cell r="BK265">
            <v>0</v>
          </cell>
          <cell r="BL265">
            <v>0</v>
          </cell>
          <cell r="BM265">
            <v>0</v>
          </cell>
          <cell r="BN265">
            <v>0</v>
          </cell>
          <cell r="BO265">
            <v>0</v>
          </cell>
          <cell r="BP265">
            <v>0</v>
          </cell>
          <cell r="BQ265">
            <v>0</v>
          </cell>
          <cell r="BR265">
            <v>0</v>
          </cell>
          <cell r="BS265">
            <v>0</v>
          </cell>
          <cell r="BT265">
            <v>0</v>
          </cell>
          <cell r="BU265">
            <v>0</v>
          </cell>
          <cell r="BV265">
            <v>0</v>
          </cell>
          <cell r="BW265">
            <v>0</v>
          </cell>
          <cell r="BX265">
            <v>0</v>
          </cell>
          <cell r="BY265">
            <v>0</v>
          </cell>
          <cell r="BZ265">
            <v>0</v>
          </cell>
          <cell r="CA265">
            <v>0</v>
          </cell>
          <cell r="CB265">
            <v>0</v>
          </cell>
          <cell r="CC265">
            <v>0</v>
          </cell>
          <cell r="CD265">
            <v>0</v>
          </cell>
          <cell r="CE265">
            <v>0</v>
          </cell>
          <cell r="CF265">
            <v>0</v>
          </cell>
          <cell r="CG265">
            <v>0</v>
          </cell>
          <cell r="CH265">
            <v>0</v>
          </cell>
          <cell r="CI265">
            <v>0</v>
          </cell>
          <cell r="CJ265">
            <v>0</v>
          </cell>
          <cell r="CK265">
            <v>0</v>
          </cell>
          <cell r="CL265">
            <v>0</v>
          </cell>
          <cell r="CM265">
            <v>0</v>
          </cell>
          <cell r="CN265">
            <v>0</v>
          </cell>
          <cell r="CO265">
            <v>0</v>
          </cell>
          <cell r="CP265">
            <v>0</v>
          </cell>
          <cell r="CQ265">
            <v>0</v>
          </cell>
          <cell r="CR265">
            <v>0</v>
          </cell>
          <cell r="CS265">
            <v>0</v>
          </cell>
          <cell r="CT265">
            <v>0</v>
          </cell>
          <cell r="CU265">
            <v>0</v>
          </cell>
          <cell r="CV265">
            <v>0</v>
          </cell>
          <cell r="CW265">
            <v>0</v>
          </cell>
          <cell r="CX265">
            <v>0</v>
          </cell>
          <cell r="CY265">
            <v>0</v>
          </cell>
          <cell r="CZ265">
            <v>0</v>
          </cell>
          <cell r="DA265">
            <v>0</v>
          </cell>
          <cell r="DB265">
            <v>0</v>
          </cell>
          <cell r="DC265">
            <v>0</v>
          </cell>
          <cell r="DD265">
            <v>0</v>
          </cell>
          <cell r="DE265">
            <v>0</v>
          </cell>
          <cell r="DF265">
            <v>0</v>
          </cell>
          <cell r="DG265">
            <v>0</v>
          </cell>
          <cell r="DH265">
            <v>0</v>
          </cell>
          <cell r="DI265">
            <v>0</v>
          </cell>
          <cell r="DJ265">
            <v>0</v>
          </cell>
          <cell r="DK265">
            <v>0</v>
          </cell>
          <cell r="DL265">
            <v>0</v>
          </cell>
          <cell r="DM265">
            <v>0</v>
          </cell>
          <cell r="DN265">
            <v>0</v>
          </cell>
          <cell r="DO265">
            <v>0</v>
          </cell>
          <cell r="DP265">
            <v>0</v>
          </cell>
          <cell r="DQ265">
            <v>0</v>
          </cell>
          <cell r="DR265">
            <v>0</v>
          </cell>
          <cell r="DS265">
            <v>0</v>
          </cell>
          <cell r="DT265">
            <v>0</v>
          </cell>
          <cell r="DU265">
            <v>0</v>
          </cell>
          <cell r="DV265">
            <v>0</v>
          </cell>
          <cell r="DW265">
            <v>0</v>
          </cell>
          <cell r="EA265">
            <v>0</v>
          </cell>
          <cell r="EB265">
            <v>0</v>
          </cell>
          <cell r="EC265">
            <v>0</v>
          </cell>
          <cell r="ED265">
            <v>0</v>
          </cell>
          <cell r="EE265">
            <v>0</v>
          </cell>
          <cell r="EF265">
            <v>0</v>
          </cell>
          <cell r="EG265">
            <v>0</v>
          </cell>
          <cell r="EH265">
            <v>0</v>
          </cell>
          <cell r="EI265">
            <v>0</v>
          </cell>
          <cell r="EJ265">
            <v>0</v>
          </cell>
          <cell r="EK265">
            <v>0</v>
          </cell>
          <cell r="EL265">
            <v>0</v>
          </cell>
          <cell r="EM265">
            <v>0</v>
          </cell>
          <cell r="EN265">
            <v>0</v>
          </cell>
          <cell r="EO265">
            <v>0</v>
          </cell>
          <cell r="EP265">
            <v>0</v>
          </cell>
          <cell r="EQ265">
            <v>0</v>
          </cell>
          <cell r="ER265">
            <v>0</v>
          </cell>
          <cell r="ES265">
            <v>0</v>
          </cell>
          <cell r="ET265">
            <v>0</v>
          </cell>
          <cell r="EU265">
            <v>0</v>
          </cell>
          <cell r="EV265">
            <v>0</v>
          </cell>
          <cell r="EW265">
            <v>0</v>
          </cell>
          <cell r="EX265">
            <v>0</v>
          </cell>
          <cell r="EY265">
            <v>0</v>
          </cell>
          <cell r="EZ265">
            <v>0</v>
          </cell>
          <cell r="FA265">
            <v>0</v>
          </cell>
          <cell r="FB265">
            <v>0</v>
          </cell>
          <cell r="FC265">
            <v>0</v>
          </cell>
          <cell r="FD265">
            <v>0</v>
          </cell>
          <cell r="FE265">
            <v>0</v>
          </cell>
          <cell r="FF265">
            <v>0</v>
          </cell>
          <cell r="FG265">
            <v>0</v>
          </cell>
          <cell r="FH265">
            <v>0</v>
          </cell>
          <cell r="FI265">
            <v>0</v>
          </cell>
          <cell r="FJ265">
            <v>0</v>
          </cell>
          <cell r="FK265">
            <v>0</v>
          </cell>
          <cell r="FL265">
            <v>0</v>
          </cell>
          <cell r="FM265">
            <v>0</v>
          </cell>
          <cell r="FN265">
            <v>0</v>
          </cell>
          <cell r="FO265">
            <v>0</v>
          </cell>
          <cell r="FP265">
            <v>0</v>
          </cell>
          <cell r="FQ265">
            <v>0</v>
          </cell>
          <cell r="FR265">
            <v>0</v>
          </cell>
          <cell r="FS265">
            <v>0</v>
          </cell>
          <cell r="FT265">
            <v>0</v>
          </cell>
          <cell r="FU265">
            <v>0</v>
          </cell>
          <cell r="FV265">
            <v>0</v>
          </cell>
          <cell r="FW265">
            <v>0</v>
          </cell>
          <cell r="FX265">
            <v>0</v>
          </cell>
          <cell r="FY265">
            <v>0</v>
          </cell>
          <cell r="FZ265">
            <v>0</v>
          </cell>
          <cell r="GA265">
            <v>0</v>
          </cell>
          <cell r="GB265">
            <v>0</v>
          </cell>
          <cell r="GC265">
            <v>0</v>
          </cell>
          <cell r="GD265">
            <v>0</v>
          </cell>
          <cell r="GE265">
            <v>0</v>
          </cell>
          <cell r="GF265">
            <v>0</v>
          </cell>
          <cell r="GG265">
            <v>0</v>
          </cell>
          <cell r="GH265">
            <v>0</v>
          </cell>
          <cell r="GI265">
            <v>0</v>
          </cell>
          <cell r="GJ265">
            <v>0</v>
          </cell>
          <cell r="GK265">
            <v>0</v>
          </cell>
          <cell r="GL265">
            <v>0</v>
          </cell>
          <cell r="GM265">
            <v>0</v>
          </cell>
          <cell r="GN265">
            <v>0</v>
          </cell>
          <cell r="GO265">
            <v>0</v>
          </cell>
          <cell r="GP265">
            <v>0</v>
          </cell>
          <cell r="GQ265">
            <v>0</v>
          </cell>
          <cell r="GR265">
            <v>0</v>
          </cell>
          <cell r="GS265">
            <v>0</v>
          </cell>
          <cell r="GT265">
            <v>0</v>
          </cell>
          <cell r="GZ265">
            <v>0</v>
          </cell>
        </row>
        <row r="266">
          <cell r="A266" t="str">
            <v>I_BVP_NRF_EPA_EUR_INTR_S24</v>
          </cell>
          <cell r="B266">
            <v>130645366.29000001</v>
          </cell>
          <cell r="C266">
            <v>0</v>
          </cell>
          <cell r="D266">
            <v>141926604.58000001</v>
          </cell>
          <cell r="E266">
            <v>127708186.11313331</v>
          </cell>
          <cell r="F266">
            <v>141926604.58000001</v>
          </cell>
          <cell r="G266">
            <v>141926604.58000001</v>
          </cell>
          <cell r="H266">
            <v>0</v>
          </cell>
          <cell r="I266">
            <v>0</v>
          </cell>
          <cell r="J266">
            <v>0</v>
          </cell>
          <cell r="K266">
            <v>0</v>
          </cell>
          <cell r="L266">
            <v>0</v>
          </cell>
          <cell r="M266">
            <v>0</v>
          </cell>
          <cell r="N266">
            <v>0</v>
          </cell>
          <cell r="O266">
            <v>0</v>
          </cell>
          <cell r="P266">
            <v>0</v>
          </cell>
          <cell r="Q266">
            <v>0</v>
          </cell>
          <cell r="R266">
            <v>0</v>
          </cell>
          <cell r="S266">
            <v>141926604.58000001</v>
          </cell>
          <cell r="T266">
            <v>0</v>
          </cell>
          <cell r="U266">
            <v>0</v>
          </cell>
          <cell r="V266">
            <v>0</v>
          </cell>
          <cell r="W266">
            <v>0</v>
          </cell>
          <cell r="X266">
            <v>0</v>
          </cell>
          <cell r="Y266">
            <v>0</v>
          </cell>
          <cell r="Z266">
            <v>0</v>
          </cell>
          <cell r="AA266">
            <v>141926604.58000001</v>
          </cell>
          <cell r="AB266">
            <v>146606931.45693472</v>
          </cell>
          <cell r="AC266">
            <v>136788540.54652041</v>
          </cell>
          <cell r="AD266">
            <v>0</v>
          </cell>
          <cell r="AE266">
            <v>0</v>
          </cell>
          <cell r="AF266">
            <v>0</v>
          </cell>
          <cell r="AG266">
            <v>0</v>
          </cell>
          <cell r="AH266">
            <v>0</v>
          </cell>
          <cell r="AI266">
            <v>0</v>
          </cell>
          <cell r="AJ266">
            <v>0</v>
          </cell>
          <cell r="AK266">
            <v>0</v>
          </cell>
          <cell r="AL266">
            <v>0</v>
          </cell>
          <cell r="AM266">
            <v>0</v>
          </cell>
          <cell r="AN266">
            <v>0</v>
          </cell>
          <cell r="AO266">
            <v>127010463.06478441</v>
          </cell>
          <cell r="AP266">
            <v>0</v>
          </cell>
          <cell r="AQ266">
            <v>0</v>
          </cell>
          <cell r="AR266">
            <v>0</v>
          </cell>
          <cell r="AS266">
            <v>0</v>
          </cell>
          <cell r="AT266">
            <v>0</v>
          </cell>
          <cell r="AU266">
            <v>0</v>
          </cell>
          <cell r="AV266">
            <v>0</v>
          </cell>
          <cell r="AW266">
            <v>141926604.58000001</v>
          </cell>
          <cell r="AX266">
            <v>127708186.11313331</v>
          </cell>
          <cell r="AY266">
            <v>127708186.11313331</v>
          </cell>
          <cell r="AZ266">
            <v>0</v>
          </cell>
          <cell r="BA266">
            <v>0</v>
          </cell>
          <cell r="BB266">
            <v>0</v>
          </cell>
          <cell r="BC266">
            <v>0</v>
          </cell>
          <cell r="BD266">
            <v>0</v>
          </cell>
          <cell r="BE266">
            <v>0</v>
          </cell>
          <cell r="BF266">
            <v>0</v>
          </cell>
          <cell r="BG266">
            <v>0</v>
          </cell>
          <cell r="BH266">
            <v>0</v>
          </cell>
          <cell r="BI266">
            <v>0</v>
          </cell>
          <cell r="BJ266">
            <v>0</v>
          </cell>
          <cell r="BK266">
            <v>127708186.11313331</v>
          </cell>
          <cell r="BL266">
            <v>0</v>
          </cell>
          <cell r="BM266">
            <v>0</v>
          </cell>
          <cell r="BN266">
            <v>0</v>
          </cell>
          <cell r="BO266">
            <v>0</v>
          </cell>
          <cell r="BP266">
            <v>0</v>
          </cell>
          <cell r="BQ266">
            <v>0</v>
          </cell>
          <cell r="BR266">
            <v>0</v>
          </cell>
          <cell r="BS266">
            <v>127708186.11313331</v>
          </cell>
          <cell r="BT266">
            <v>132634259.15791965</v>
          </cell>
          <cell r="BU266">
            <v>122491775.2714223</v>
          </cell>
          <cell r="BV266">
            <v>0</v>
          </cell>
          <cell r="BW266">
            <v>0</v>
          </cell>
          <cell r="BX266">
            <v>0</v>
          </cell>
          <cell r="BY266">
            <v>0</v>
          </cell>
          <cell r="BZ266">
            <v>0</v>
          </cell>
          <cell r="CA266">
            <v>0</v>
          </cell>
          <cell r="CB266">
            <v>0</v>
          </cell>
          <cell r="CC266">
            <v>0</v>
          </cell>
          <cell r="CD266">
            <v>0</v>
          </cell>
          <cell r="CE266">
            <v>0</v>
          </cell>
          <cell r="CF266">
            <v>0</v>
          </cell>
          <cell r="CG266">
            <v>127708186.11313331</v>
          </cell>
          <cell r="CH266">
            <v>0</v>
          </cell>
          <cell r="CI266">
            <v>0</v>
          </cell>
          <cell r="CJ266">
            <v>0</v>
          </cell>
          <cell r="CK266">
            <v>0</v>
          </cell>
          <cell r="CL266">
            <v>0</v>
          </cell>
          <cell r="CM266">
            <v>0</v>
          </cell>
          <cell r="CN266">
            <v>0</v>
          </cell>
          <cell r="CO266">
            <v>128840545.62245032</v>
          </cell>
          <cell r="CP266">
            <v>127708186.11313331</v>
          </cell>
          <cell r="CQ266">
            <v>127708186.11313331</v>
          </cell>
          <cell r="CR266">
            <v>127708186.11313331</v>
          </cell>
          <cell r="CS266">
            <v>127708186.11313331</v>
          </cell>
          <cell r="CT266">
            <v>127708186.11313331</v>
          </cell>
          <cell r="CU266">
            <v>0</v>
          </cell>
          <cell r="CV266">
            <v>127708186.11313331</v>
          </cell>
          <cell r="CW266">
            <v>127708186.11313331</v>
          </cell>
          <cell r="CX266">
            <v>0</v>
          </cell>
          <cell r="CY266">
            <v>127708186.11313331</v>
          </cell>
          <cell r="CZ266">
            <v>128041541.05940981</v>
          </cell>
          <cell r="DA266">
            <v>127708186.11313331</v>
          </cell>
          <cell r="DB266">
            <v>127708186.11313331</v>
          </cell>
          <cell r="DC266">
            <v>136360109.33281493</v>
          </cell>
          <cell r="DD266">
            <v>108564789.38223058</v>
          </cell>
          <cell r="DE266">
            <v>0</v>
          </cell>
          <cell r="DF266">
            <v>133803090.11728792</v>
          </cell>
          <cell r="DG266">
            <v>128064958.2316696</v>
          </cell>
          <cell r="DH266">
            <v>0</v>
          </cell>
          <cell r="DI266">
            <v>127756940.99858046</v>
          </cell>
          <cell r="DJ266">
            <v>0</v>
          </cell>
          <cell r="DK266">
            <v>0</v>
          </cell>
          <cell r="DL266">
            <v>0</v>
          </cell>
          <cell r="DM266">
            <v>0</v>
          </cell>
          <cell r="DN266">
            <v>0</v>
          </cell>
          <cell r="DO266">
            <v>0</v>
          </cell>
          <cell r="DP266">
            <v>0</v>
          </cell>
          <cell r="DQ266">
            <v>0</v>
          </cell>
          <cell r="DR266">
            <v>0</v>
          </cell>
          <cell r="DS266">
            <v>0</v>
          </cell>
          <cell r="DT266">
            <v>0</v>
          </cell>
          <cell r="DU266">
            <v>0</v>
          </cell>
          <cell r="DV266">
            <v>0</v>
          </cell>
          <cell r="DW266">
            <v>0</v>
          </cell>
          <cell r="EA266">
            <v>0</v>
          </cell>
          <cell r="EB266">
            <v>0</v>
          </cell>
          <cell r="EC266">
            <v>0</v>
          </cell>
          <cell r="ED266">
            <v>0</v>
          </cell>
          <cell r="EE266">
            <v>0</v>
          </cell>
          <cell r="EF266">
            <v>0</v>
          </cell>
          <cell r="EG266">
            <v>0</v>
          </cell>
          <cell r="EH266">
            <v>0</v>
          </cell>
          <cell r="EI266">
            <v>0</v>
          </cell>
          <cell r="EJ266">
            <v>0</v>
          </cell>
          <cell r="EK266">
            <v>0</v>
          </cell>
          <cell r="EL266">
            <v>0</v>
          </cell>
          <cell r="EM266">
            <v>0</v>
          </cell>
          <cell r="EN266">
            <v>0</v>
          </cell>
          <cell r="EO266">
            <v>0</v>
          </cell>
          <cell r="EP266">
            <v>0</v>
          </cell>
          <cell r="EQ266">
            <v>0</v>
          </cell>
          <cell r="ER266">
            <v>0</v>
          </cell>
          <cell r="ES266">
            <v>0</v>
          </cell>
          <cell r="ET266">
            <v>0</v>
          </cell>
          <cell r="EU266">
            <v>0</v>
          </cell>
          <cell r="EV266">
            <v>0</v>
          </cell>
          <cell r="EW266">
            <v>0</v>
          </cell>
          <cell r="EX266">
            <v>0</v>
          </cell>
          <cell r="EY266">
            <v>0</v>
          </cell>
          <cell r="EZ266">
            <v>0</v>
          </cell>
          <cell r="FA266">
            <v>0</v>
          </cell>
          <cell r="FB266">
            <v>0</v>
          </cell>
          <cell r="FC266">
            <v>0</v>
          </cell>
          <cell r="FD266">
            <v>0</v>
          </cell>
          <cell r="FE266">
            <v>112731946.18922262</v>
          </cell>
          <cell r="FF266">
            <v>132634259.15791965</v>
          </cell>
          <cell r="FG266">
            <v>122491775.2714223</v>
          </cell>
          <cell r="FH266">
            <v>0</v>
          </cell>
          <cell r="FI266">
            <v>0</v>
          </cell>
          <cell r="FJ266">
            <v>0</v>
          </cell>
          <cell r="FK266">
            <v>0</v>
          </cell>
          <cell r="FL266">
            <v>0</v>
          </cell>
          <cell r="FM266">
            <v>0</v>
          </cell>
          <cell r="FN266">
            <v>0</v>
          </cell>
          <cell r="FO266">
            <v>0</v>
          </cell>
          <cell r="FP266">
            <v>0</v>
          </cell>
          <cell r="FQ266">
            <v>0</v>
          </cell>
          <cell r="FR266">
            <v>0</v>
          </cell>
          <cell r="FS266">
            <v>127708186.11313331</v>
          </cell>
          <cell r="FT266">
            <v>0</v>
          </cell>
          <cell r="FU266">
            <v>0</v>
          </cell>
          <cell r="FV266">
            <v>0</v>
          </cell>
          <cell r="FW266">
            <v>0</v>
          </cell>
          <cell r="FX266">
            <v>0</v>
          </cell>
          <cell r="FY266">
            <v>0</v>
          </cell>
          <cell r="FZ266">
            <v>0</v>
          </cell>
          <cell r="GA266">
            <v>128840545.62245032</v>
          </cell>
          <cell r="GB266">
            <v>127940516.20308192</v>
          </cell>
          <cell r="GC266">
            <v>127708186.11313331</v>
          </cell>
          <cell r="GD266">
            <v>127708186.11313331</v>
          </cell>
          <cell r="GE266">
            <v>131635632.76566486</v>
          </cell>
          <cell r="GF266">
            <v>122047374.02607267</v>
          </cell>
          <cell r="GG266">
            <v>0</v>
          </cell>
          <cell r="GH266">
            <v>130085152.60962912</v>
          </cell>
          <cell r="GI266">
            <v>128093778.6904297</v>
          </cell>
          <cell r="GJ266">
            <v>0</v>
          </cell>
          <cell r="GK266">
            <v>129078984.58165205</v>
          </cell>
          <cell r="GL266">
            <v>0</v>
          </cell>
          <cell r="GM266">
            <v>0</v>
          </cell>
          <cell r="GN266">
            <v>0</v>
          </cell>
          <cell r="GO266">
            <v>0</v>
          </cell>
          <cell r="GP266">
            <v>0</v>
          </cell>
          <cell r="GQ266">
            <v>0</v>
          </cell>
          <cell r="GR266">
            <v>0</v>
          </cell>
          <cell r="GS266">
            <v>0</v>
          </cell>
          <cell r="GT266">
            <v>0</v>
          </cell>
          <cell r="GZ266">
            <v>6191532.339999998</v>
          </cell>
        </row>
        <row r="267">
          <cell r="A267" t="str">
            <v>I_VID_NRF_EPA_EUR_INTR_S10</v>
          </cell>
          <cell r="B267">
            <v>0</v>
          </cell>
          <cell r="C267">
            <v>0</v>
          </cell>
          <cell r="D267">
            <v>35224935.939999998</v>
          </cell>
          <cell r="E267">
            <v>41963465.673649698</v>
          </cell>
          <cell r="F267">
            <v>35224935.939999998</v>
          </cell>
          <cell r="G267">
            <v>35224935.939999998</v>
          </cell>
          <cell r="H267">
            <v>0</v>
          </cell>
          <cell r="I267">
            <v>0</v>
          </cell>
          <cell r="J267">
            <v>0</v>
          </cell>
          <cell r="K267">
            <v>0</v>
          </cell>
          <cell r="L267">
            <v>0</v>
          </cell>
          <cell r="M267">
            <v>0</v>
          </cell>
          <cell r="N267">
            <v>0</v>
          </cell>
          <cell r="O267">
            <v>0</v>
          </cell>
          <cell r="P267">
            <v>0</v>
          </cell>
          <cell r="Q267">
            <v>0</v>
          </cell>
          <cell r="R267">
            <v>0</v>
          </cell>
          <cell r="S267">
            <v>35224935.939999998</v>
          </cell>
          <cell r="T267">
            <v>0</v>
          </cell>
          <cell r="U267">
            <v>0</v>
          </cell>
          <cell r="V267">
            <v>0</v>
          </cell>
          <cell r="W267">
            <v>0</v>
          </cell>
          <cell r="X267">
            <v>0</v>
          </cell>
          <cell r="Y267">
            <v>0</v>
          </cell>
          <cell r="Z267">
            <v>0</v>
          </cell>
          <cell r="AA267">
            <v>35224935.939999998</v>
          </cell>
          <cell r="AB267">
            <v>36192745.512047708</v>
          </cell>
          <cell r="AC267">
            <v>34167977.467499554</v>
          </cell>
          <cell r="AD267">
            <v>0</v>
          </cell>
          <cell r="AE267">
            <v>0</v>
          </cell>
          <cell r="AF267">
            <v>0</v>
          </cell>
          <cell r="AG267">
            <v>0</v>
          </cell>
          <cell r="AH267">
            <v>0</v>
          </cell>
          <cell r="AI267">
            <v>0</v>
          </cell>
          <cell r="AJ267">
            <v>0</v>
          </cell>
          <cell r="AK267">
            <v>0</v>
          </cell>
          <cell r="AL267">
            <v>0</v>
          </cell>
          <cell r="AM267">
            <v>0</v>
          </cell>
          <cell r="AN267">
            <v>0</v>
          </cell>
          <cell r="AO267">
            <v>34971905.312368535</v>
          </cell>
          <cell r="AP267">
            <v>0</v>
          </cell>
          <cell r="AQ267">
            <v>0</v>
          </cell>
          <cell r="AR267">
            <v>0</v>
          </cell>
          <cell r="AS267">
            <v>0</v>
          </cell>
          <cell r="AT267">
            <v>0</v>
          </cell>
          <cell r="AU267">
            <v>0</v>
          </cell>
          <cell r="AV267">
            <v>0</v>
          </cell>
          <cell r="AW267">
            <v>35224935.939999998</v>
          </cell>
          <cell r="AX267">
            <v>41963465.673649698</v>
          </cell>
          <cell r="AY267">
            <v>41963465.673649698</v>
          </cell>
          <cell r="AZ267">
            <v>0</v>
          </cell>
          <cell r="BA267">
            <v>0</v>
          </cell>
          <cell r="BB267">
            <v>0</v>
          </cell>
          <cell r="BC267">
            <v>0</v>
          </cell>
          <cell r="BD267">
            <v>0</v>
          </cell>
          <cell r="BE267">
            <v>0</v>
          </cell>
          <cell r="BF267">
            <v>0</v>
          </cell>
          <cell r="BG267">
            <v>0</v>
          </cell>
          <cell r="BH267">
            <v>0</v>
          </cell>
          <cell r="BI267">
            <v>0</v>
          </cell>
          <cell r="BJ267">
            <v>0</v>
          </cell>
          <cell r="BK267">
            <v>41963465.673649698</v>
          </cell>
          <cell r="BL267">
            <v>0</v>
          </cell>
          <cell r="BM267">
            <v>0</v>
          </cell>
          <cell r="BN267">
            <v>0</v>
          </cell>
          <cell r="BO267">
            <v>0</v>
          </cell>
          <cell r="BP267">
            <v>0</v>
          </cell>
          <cell r="BQ267">
            <v>0</v>
          </cell>
          <cell r="BR267">
            <v>0</v>
          </cell>
          <cell r="BS267">
            <v>41963465.673649698</v>
          </cell>
          <cell r="BT267">
            <v>43007318.921506844</v>
          </cell>
          <cell r="BU267">
            <v>40873520.510109201</v>
          </cell>
          <cell r="BV267">
            <v>0</v>
          </cell>
          <cell r="BW267">
            <v>0</v>
          </cell>
          <cell r="BX267">
            <v>0</v>
          </cell>
          <cell r="BY267">
            <v>0</v>
          </cell>
          <cell r="BZ267">
            <v>0</v>
          </cell>
          <cell r="CA267">
            <v>0</v>
          </cell>
          <cell r="CB267">
            <v>0</v>
          </cell>
          <cell r="CC267">
            <v>0</v>
          </cell>
          <cell r="CD267">
            <v>0</v>
          </cell>
          <cell r="CE267">
            <v>0</v>
          </cell>
          <cell r="CF267">
            <v>0</v>
          </cell>
          <cell r="CG267">
            <v>41963465.673649698</v>
          </cell>
          <cell r="CH267">
            <v>0</v>
          </cell>
          <cell r="CI267">
            <v>0</v>
          </cell>
          <cell r="CJ267">
            <v>0</v>
          </cell>
          <cell r="CK267">
            <v>0</v>
          </cell>
          <cell r="CL267">
            <v>0</v>
          </cell>
          <cell r="CM267">
            <v>0</v>
          </cell>
          <cell r="CN267">
            <v>0</v>
          </cell>
          <cell r="CO267">
            <v>42202368.455766432</v>
          </cell>
          <cell r="CP267">
            <v>41963465.673649698</v>
          </cell>
          <cell r="CQ267">
            <v>41963465.673649698</v>
          </cell>
          <cell r="CR267">
            <v>41963465.673649698</v>
          </cell>
          <cell r="CS267">
            <v>41963465.673649698</v>
          </cell>
          <cell r="CT267">
            <v>41963465.673649698</v>
          </cell>
          <cell r="CU267">
            <v>0</v>
          </cell>
          <cell r="CV267">
            <v>41963465.673649698</v>
          </cell>
          <cell r="CW267">
            <v>41963465.673649698</v>
          </cell>
          <cell r="CX267">
            <v>0</v>
          </cell>
          <cell r="CY267">
            <v>41963465.673649698</v>
          </cell>
          <cell r="CZ267">
            <v>41971586.751264647</v>
          </cell>
          <cell r="DA267">
            <v>41963465.673649698</v>
          </cell>
          <cell r="DB267">
            <v>41963465.673649698</v>
          </cell>
          <cell r="DC267">
            <v>42074482.449287944</v>
          </cell>
          <cell r="DD267">
            <v>41716262.59495654</v>
          </cell>
          <cell r="DE267">
            <v>0</v>
          </cell>
          <cell r="DF267">
            <v>41615939.315275483</v>
          </cell>
          <cell r="DG267">
            <v>42069163.728926092</v>
          </cell>
          <cell r="DH267">
            <v>0</v>
          </cell>
          <cell r="DI267">
            <v>41963643.405800492</v>
          </cell>
          <cell r="DJ267">
            <v>0</v>
          </cell>
          <cell r="DK267">
            <v>0</v>
          </cell>
          <cell r="DL267">
            <v>0</v>
          </cell>
          <cell r="DM267">
            <v>0</v>
          </cell>
          <cell r="DN267">
            <v>0</v>
          </cell>
          <cell r="DO267">
            <v>0</v>
          </cell>
          <cell r="DP267">
            <v>0</v>
          </cell>
          <cell r="DQ267">
            <v>0</v>
          </cell>
          <cell r="DR267">
            <v>0</v>
          </cell>
          <cell r="DS267">
            <v>0</v>
          </cell>
          <cell r="DT267">
            <v>0</v>
          </cell>
          <cell r="DU267">
            <v>0</v>
          </cell>
          <cell r="DV267">
            <v>0</v>
          </cell>
          <cell r="DW267">
            <v>0</v>
          </cell>
          <cell r="EA267">
            <v>0</v>
          </cell>
          <cell r="EB267">
            <v>0</v>
          </cell>
          <cell r="EC267">
            <v>0</v>
          </cell>
          <cell r="ED267">
            <v>0</v>
          </cell>
          <cell r="EE267">
            <v>0</v>
          </cell>
          <cell r="EF267">
            <v>0</v>
          </cell>
          <cell r="EG267">
            <v>0</v>
          </cell>
          <cell r="EH267">
            <v>0</v>
          </cell>
          <cell r="EI267">
            <v>0</v>
          </cell>
          <cell r="EJ267">
            <v>0</v>
          </cell>
          <cell r="EK267">
            <v>0</v>
          </cell>
          <cell r="EL267">
            <v>0</v>
          </cell>
          <cell r="EM267">
            <v>0</v>
          </cell>
          <cell r="EN267">
            <v>0</v>
          </cell>
          <cell r="EO267">
            <v>0</v>
          </cell>
          <cell r="EP267">
            <v>0</v>
          </cell>
          <cell r="EQ267">
            <v>0</v>
          </cell>
          <cell r="ER267">
            <v>0</v>
          </cell>
          <cell r="ES267">
            <v>0</v>
          </cell>
          <cell r="ET267">
            <v>0</v>
          </cell>
          <cell r="EU267">
            <v>0</v>
          </cell>
          <cell r="EV267">
            <v>0</v>
          </cell>
          <cell r="EW267">
            <v>0</v>
          </cell>
          <cell r="EX267">
            <v>0</v>
          </cell>
          <cell r="EY267">
            <v>0</v>
          </cell>
          <cell r="EZ267">
            <v>0</v>
          </cell>
          <cell r="FA267">
            <v>0</v>
          </cell>
          <cell r="FB267">
            <v>0</v>
          </cell>
          <cell r="FC267">
            <v>0</v>
          </cell>
          <cell r="FE267">
            <v>41963465.673649698</v>
          </cell>
          <cell r="FF267">
            <v>43007318.921506844</v>
          </cell>
          <cell r="FG267">
            <v>40873520.510109201</v>
          </cell>
          <cell r="FH267">
            <v>0</v>
          </cell>
          <cell r="FI267">
            <v>0</v>
          </cell>
          <cell r="FJ267">
            <v>0</v>
          </cell>
          <cell r="FK267">
            <v>0</v>
          </cell>
          <cell r="FL267">
            <v>0</v>
          </cell>
          <cell r="FM267">
            <v>0</v>
          </cell>
          <cell r="FN267">
            <v>0</v>
          </cell>
          <cell r="FO267">
            <v>0</v>
          </cell>
          <cell r="FP267">
            <v>0</v>
          </cell>
          <cell r="FQ267">
            <v>0</v>
          </cell>
          <cell r="FR267">
            <v>0</v>
          </cell>
          <cell r="FS267">
            <v>41963465.673649698</v>
          </cell>
          <cell r="FT267">
            <v>0</v>
          </cell>
          <cell r="FU267">
            <v>0</v>
          </cell>
          <cell r="FV267">
            <v>0</v>
          </cell>
          <cell r="FW267">
            <v>0</v>
          </cell>
          <cell r="FX267">
            <v>0</v>
          </cell>
          <cell r="FY267">
            <v>0</v>
          </cell>
          <cell r="FZ267">
            <v>0</v>
          </cell>
          <cell r="GA267">
            <v>42202368.455766432</v>
          </cell>
          <cell r="GB267">
            <v>41971586.751264647</v>
          </cell>
          <cell r="GC267">
            <v>41963465.673649698</v>
          </cell>
          <cell r="GD267">
            <v>41963465.673649698</v>
          </cell>
          <cell r="GE267">
            <v>42074482.449287944</v>
          </cell>
          <cell r="GF267">
            <v>41716262.59495654</v>
          </cell>
          <cell r="GG267">
            <v>0</v>
          </cell>
          <cell r="GH267">
            <v>41615939.315275483</v>
          </cell>
          <cell r="GI267">
            <v>42069163.728926092</v>
          </cell>
          <cell r="GJ267">
            <v>0</v>
          </cell>
          <cell r="GK267">
            <v>41963643.405800492</v>
          </cell>
          <cell r="GL267">
            <v>0</v>
          </cell>
          <cell r="GM267">
            <v>0</v>
          </cell>
          <cell r="GN267">
            <v>0</v>
          </cell>
          <cell r="GO267">
            <v>0</v>
          </cell>
          <cell r="GP267">
            <v>0</v>
          </cell>
          <cell r="GQ267">
            <v>0</v>
          </cell>
          <cell r="GR267">
            <v>0</v>
          </cell>
          <cell r="GS267">
            <v>0</v>
          </cell>
          <cell r="GT267">
            <v>0</v>
          </cell>
          <cell r="GZ267">
            <v>0</v>
          </cell>
        </row>
        <row r="268">
          <cell r="A268" t="str">
            <v>I_VID_NRF_EPA_EUR_INTR_S34</v>
          </cell>
          <cell r="B268">
            <v>0</v>
          </cell>
          <cell r="C268">
            <v>0</v>
          </cell>
          <cell r="D268">
            <v>5140346.13</v>
          </cell>
          <cell r="E268">
            <v>5196330.8512492049</v>
          </cell>
          <cell r="F268">
            <v>5140346.13</v>
          </cell>
          <cell r="G268">
            <v>5140346.13</v>
          </cell>
          <cell r="H268">
            <v>0</v>
          </cell>
          <cell r="I268">
            <v>0</v>
          </cell>
          <cell r="J268">
            <v>0</v>
          </cell>
          <cell r="K268">
            <v>0</v>
          </cell>
          <cell r="L268">
            <v>0</v>
          </cell>
          <cell r="M268">
            <v>0</v>
          </cell>
          <cell r="N268">
            <v>0</v>
          </cell>
          <cell r="O268">
            <v>0</v>
          </cell>
          <cell r="P268">
            <v>0</v>
          </cell>
          <cell r="Q268">
            <v>0</v>
          </cell>
          <cell r="R268">
            <v>0</v>
          </cell>
          <cell r="S268">
            <v>5140346.13</v>
          </cell>
          <cell r="T268">
            <v>0</v>
          </cell>
          <cell r="U268">
            <v>0</v>
          </cell>
          <cell r="V268">
            <v>0</v>
          </cell>
          <cell r="W268">
            <v>0</v>
          </cell>
          <cell r="X268">
            <v>0</v>
          </cell>
          <cell r="Y268">
            <v>0</v>
          </cell>
          <cell r="Z268">
            <v>0</v>
          </cell>
          <cell r="AA268">
            <v>5140346.13</v>
          </cell>
          <cell r="AB268">
            <v>5622961.2939666128</v>
          </cell>
          <cell r="AC268">
            <v>4677006.6429802412</v>
          </cell>
          <cell r="AD268">
            <v>0</v>
          </cell>
          <cell r="AE268">
            <v>0</v>
          </cell>
          <cell r="AF268">
            <v>0</v>
          </cell>
          <cell r="AG268">
            <v>0</v>
          </cell>
          <cell r="AH268">
            <v>0</v>
          </cell>
          <cell r="AI268">
            <v>0</v>
          </cell>
          <cell r="AJ268">
            <v>0</v>
          </cell>
          <cell r="AK268">
            <v>0</v>
          </cell>
          <cell r="AL268">
            <v>0</v>
          </cell>
          <cell r="AM268">
            <v>0</v>
          </cell>
          <cell r="AN268">
            <v>0</v>
          </cell>
          <cell r="AO268">
            <v>5135348.9205</v>
          </cell>
          <cell r="AP268">
            <v>0</v>
          </cell>
          <cell r="AQ268">
            <v>0</v>
          </cell>
          <cell r="AR268">
            <v>0</v>
          </cell>
          <cell r="AS268">
            <v>0</v>
          </cell>
          <cell r="AT268">
            <v>0</v>
          </cell>
          <cell r="AU268">
            <v>0</v>
          </cell>
          <cell r="AV268">
            <v>0</v>
          </cell>
          <cell r="AW268">
            <v>5140346.13</v>
          </cell>
          <cell r="AX268">
            <v>5196330.8512492049</v>
          </cell>
          <cell r="AY268">
            <v>5196330.8512492049</v>
          </cell>
          <cell r="AZ268">
            <v>0</v>
          </cell>
          <cell r="BA268">
            <v>0</v>
          </cell>
          <cell r="BB268">
            <v>0</v>
          </cell>
          <cell r="BC268">
            <v>0</v>
          </cell>
          <cell r="BD268">
            <v>0</v>
          </cell>
          <cell r="BE268">
            <v>0</v>
          </cell>
          <cell r="BF268">
            <v>0</v>
          </cell>
          <cell r="BG268">
            <v>0</v>
          </cell>
          <cell r="BH268">
            <v>0</v>
          </cell>
          <cell r="BI268">
            <v>0</v>
          </cell>
          <cell r="BJ268">
            <v>0</v>
          </cell>
          <cell r="BK268">
            <v>5196330.8512492049</v>
          </cell>
          <cell r="BL268">
            <v>0</v>
          </cell>
          <cell r="BM268">
            <v>0</v>
          </cell>
          <cell r="BN268">
            <v>0</v>
          </cell>
          <cell r="BO268">
            <v>0</v>
          </cell>
          <cell r="BP268">
            <v>0</v>
          </cell>
          <cell r="BQ268">
            <v>0</v>
          </cell>
          <cell r="BR268">
            <v>0</v>
          </cell>
          <cell r="BS268">
            <v>5196330.8512492049</v>
          </cell>
          <cell r="BT268">
            <v>5671784.6026803758</v>
          </cell>
          <cell r="BU268">
            <v>4762078.492227044</v>
          </cell>
          <cell r="BV268">
            <v>0</v>
          </cell>
          <cell r="BW268">
            <v>0</v>
          </cell>
          <cell r="BX268">
            <v>0</v>
          </cell>
          <cell r="BY268">
            <v>0</v>
          </cell>
          <cell r="BZ268">
            <v>0</v>
          </cell>
          <cell r="CA268">
            <v>0</v>
          </cell>
          <cell r="CB268">
            <v>0</v>
          </cell>
          <cell r="CC268">
            <v>0</v>
          </cell>
          <cell r="CD268">
            <v>0</v>
          </cell>
          <cell r="CE268">
            <v>0</v>
          </cell>
          <cell r="CF268">
            <v>0</v>
          </cell>
          <cell r="CG268">
            <v>5196330.8512492049</v>
          </cell>
          <cell r="CH268">
            <v>0</v>
          </cell>
          <cell r="CI268">
            <v>0</v>
          </cell>
          <cell r="CJ268">
            <v>0</v>
          </cell>
          <cell r="CK268">
            <v>0</v>
          </cell>
          <cell r="CL268">
            <v>0</v>
          </cell>
          <cell r="CM268">
            <v>0</v>
          </cell>
          <cell r="CN268">
            <v>0</v>
          </cell>
          <cell r="CO268">
            <v>5297641.6177997664</v>
          </cell>
          <cell r="CP268">
            <v>5196330.8512492049</v>
          </cell>
          <cell r="CQ268">
            <v>5196330.8512492049</v>
          </cell>
          <cell r="CR268">
            <v>5196330.8512492049</v>
          </cell>
          <cell r="CS268">
            <v>5196330.8512492049</v>
          </cell>
          <cell r="CT268">
            <v>5196330.8512492049</v>
          </cell>
          <cell r="CU268">
            <v>0</v>
          </cell>
          <cell r="CV268">
            <v>5196330.8512492049</v>
          </cell>
          <cell r="CW268">
            <v>5196330.8512492049</v>
          </cell>
          <cell r="CX268">
            <v>0</v>
          </cell>
          <cell r="CY268">
            <v>5196330.8512492049</v>
          </cell>
          <cell r="CZ268">
            <v>5196299.4343185239</v>
          </cell>
          <cell r="DA268">
            <v>5196330.8512492049</v>
          </cell>
          <cell r="DB268">
            <v>5196330.8512492049</v>
          </cell>
          <cell r="DC268">
            <v>5189350.8551488519</v>
          </cell>
          <cell r="DD268">
            <v>5208563.4787723497</v>
          </cell>
          <cell r="DE268">
            <v>0</v>
          </cell>
          <cell r="DF268">
            <v>5188211.8415206559</v>
          </cell>
          <cell r="DG268">
            <v>5210168.688066856</v>
          </cell>
          <cell r="DH268">
            <v>0</v>
          </cell>
          <cell r="DI268">
            <v>5196296.9175982093</v>
          </cell>
          <cell r="DJ268">
            <v>0</v>
          </cell>
          <cell r="DK268">
            <v>0</v>
          </cell>
          <cell r="DL268">
            <v>0</v>
          </cell>
          <cell r="DM268">
            <v>0</v>
          </cell>
          <cell r="DN268">
            <v>0</v>
          </cell>
          <cell r="DO268">
            <v>0</v>
          </cell>
          <cell r="DP268">
            <v>0</v>
          </cell>
          <cell r="DQ268">
            <v>0</v>
          </cell>
          <cell r="DR268">
            <v>0</v>
          </cell>
          <cell r="DS268">
            <v>0</v>
          </cell>
          <cell r="DT268">
            <v>0</v>
          </cell>
          <cell r="DU268">
            <v>0</v>
          </cell>
          <cell r="DV268">
            <v>0</v>
          </cell>
          <cell r="DW268">
            <v>0</v>
          </cell>
          <cell r="EA268">
            <v>0</v>
          </cell>
          <cell r="EB268">
            <v>0</v>
          </cell>
          <cell r="EC268">
            <v>0</v>
          </cell>
          <cell r="ED268">
            <v>0</v>
          </cell>
          <cell r="EE268">
            <v>0</v>
          </cell>
          <cell r="EF268">
            <v>0</v>
          </cell>
          <cell r="EG268">
            <v>0</v>
          </cell>
          <cell r="EH268">
            <v>0</v>
          </cell>
          <cell r="EI268">
            <v>0</v>
          </cell>
          <cell r="EJ268">
            <v>0</v>
          </cell>
          <cell r="EK268">
            <v>0</v>
          </cell>
          <cell r="EL268">
            <v>0</v>
          </cell>
          <cell r="EM268">
            <v>0</v>
          </cell>
          <cell r="EN268">
            <v>0</v>
          </cell>
          <cell r="EO268">
            <v>0</v>
          </cell>
          <cell r="EP268">
            <v>0</v>
          </cell>
          <cell r="EQ268">
            <v>0</v>
          </cell>
          <cell r="ER268">
            <v>0</v>
          </cell>
          <cell r="ES268">
            <v>0</v>
          </cell>
          <cell r="ET268">
            <v>0</v>
          </cell>
          <cell r="EU268">
            <v>0</v>
          </cell>
          <cell r="EV268">
            <v>0</v>
          </cell>
          <cell r="EW268">
            <v>0</v>
          </cell>
          <cell r="EX268">
            <v>0</v>
          </cell>
          <cell r="EY268">
            <v>0</v>
          </cell>
          <cell r="EZ268">
            <v>0</v>
          </cell>
          <cell r="FA268">
            <v>0</v>
          </cell>
          <cell r="FB268">
            <v>0</v>
          </cell>
          <cell r="FC268">
            <v>0</v>
          </cell>
          <cell r="FE268">
            <v>5196330.8512492049</v>
          </cell>
          <cell r="FF268">
            <v>5671784.6026803758</v>
          </cell>
          <cell r="FG268">
            <v>4762078.492227044</v>
          </cell>
          <cell r="FH268">
            <v>0</v>
          </cell>
          <cell r="FI268">
            <v>0</v>
          </cell>
          <cell r="FJ268">
            <v>0</v>
          </cell>
          <cell r="FK268">
            <v>0</v>
          </cell>
          <cell r="FL268">
            <v>0</v>
          </cell>
          <cell r="FM268">
            <v>0</v>
          </cell>
          <cell r="FN268">
            <v>0</v>
          </cell>
          <cell r="FO268">
            <v>0</v>
          </cell>
          <cell r="FP268">
            <v>0</v>
          </cell>
          <cell r="FQ268">
            <v>0</v>
          </cell>
          <cell r="FR268">
            <v>0</v>
          </cell>
          <cell r="FS268">
            <v>5196330.8512492049</v>
          </cell>
          <cell r="FT268">
            <v>0</v>
          </cell>
          <cell r="FU268">
            <v>0</v>
          </cell>
          <cell r="FV268">
            <v>0</v>
          </cell>
          <cell r="FW268">
            <v>0</v>
          </cell>
          <cell r="FX268">
            <v>0</v>
          </cell>
          <cell r="FY268">
            <v>0</v>
          </cell>
          <cell r="FZ268">
            <v>0</v>
          </cell>
          <cell r="GA268">
            <v>5297641.6177997664</v>
          </cell>
          <cell r="GB268">
            <v>5196299.4343185239</v>
          </cell>
          <cell r="GC268">
            <v>5196330.8512492049</v>
          </cell>
          <cell r="GD268">
            <v>5196330.8512492049</v>
          </cell>
          <cell r="GE268">
            <v>5189350.8551488519</v>
          </cell>
          <cell r="GF268">
            <v>5208563.4787723497</v>
          </cell>
          <cell r="GG268">
            <v>0</v>
          </cell>
          <cell r="GH268">
            <v>5188211.8415206559</v>
          </cell>
          <cell r="GI268">
            <v>5210168.688066856</v>
          </cell>
          <cell r="GJ268">
            <v>0</v>
          </cell>
          <cell r="GK268">
            <v>5196296.9175982093</v>
          </cell>
          <cell r="GL268">
            <v>0</v>
          </cell>
          <cell r="GM268">
            <v>0</v>
          </cell>
          <cell r="GN268">
            <v>0</v>
          </cell>
          <cell r="GO268">
            <v>0</v>
          </cell>
          <cell r="GP268">
            <v>0</v>
          </cell>
          <cell r="GQ268">
            <v>0</v>
          </cell>
          <cell r="GR268">
            <v>0</v>
          </cell>
          <cell r="GS268">
            <v>0</v>
          </cell>
          <cell r="GT268">
            <v>0</v>
          </cell>
          <cell r="GZ268">
            <v>0</v>
          </cell>
        </row>
        <row r="269">
          <cell r="A269">
            <v>0</v>
          </cell>
        </row>
        <row r="270">
          <cell r="A270">
            <v>0</v>
          </cell>
        </row>
        <row r="271">
          <cell r="A271">
            <v>0</v>
          </cell>
        </row>
        <row r="272">
          <cell r="A272">
            <v>0</v>
          </cell>
        </row>
        <row r="273">
          <cell r="A273">
            <v>0</v>
          </cell>
        </row>
        <row r="274">
          <cell r="A274">
            <v>0</v>
          </cell>
        </row>
        <row r="275">
          <cell r="A275">
            <v>0</v>
          </cell>
        </row>
        <row r="276">
          <cell r="A276">
            <v>0</v>
          </cell>
        </row>
        <row r="277">
          <cell r="A277">
            <v>0</v>
          </cell>
        </row>
        <row r="278">
          <cell r="A278">
            <v>0</v>
          </cell>
        </row>
        <row r="279">
          <cell r="A279">
            <v>0</v>
          </cell>
        </row>
        <row r="280">
          <cell r="A280">
            <v>0</v>
          </cell>
        </row>
        <row r="281">
          <cell r="A281">
            <v>0</v>
          </cell>
        </row>
        <row r="282">
          <cell r="A282">
            <v>0</v>
          </cell>
        </row>
        <row r="283">
          <cell r="A283">
            <v>0</v>
          </cell>
        </row>
        <row r="284">
          <cell r="A284" t="str">
            <v>end</v>
          </cell>
          <cell r="B284" t="str">
            <v>end</v>
          </cell>
          <cell r="C284" t="str">
            <v>end</v>
          </cell>
          <cell r="D284" t="str">
            <v>end</v>
          </cell>
          <cell r="E284" t="str">
            <v>end</v>
          </cell>
          <cell r="F284" t="str">
            <v>end</v>
          </cell>
          <cell r="G284" t="str">
            <v>end</v>
          </cell>
          <cell r="H284" t="str">
            <v>end</v>
          </cell>
          <cell r="I284" t="str">
            <v>end</v>
          </cell>
          <cell r="J284" t="str">
            <v>end</v>
          </cell>
          <cell r="K284" t="str">
            <v>end</v>
          </cell>
          <cell r="L284" t="str">
            <v>end</v>
          </cell>
          <cell r="M284" t="str">
            <v>end</v>
          </cell>
          <cell r="N284" t="str">
            <v>end</v>
          </cell>
          <cell r="O284" t="str">
            <v>end</v>
          </cell>
          <cell r="P284" t="str">
            <v>end</v>
          </cell>
          <cell r="Q284" t="str">
            <v>end</v>
          </cell>
          <cell r="R284" t="str">
            <v>end</v>
          </cell>
          <cell r="S284" t="str">
            <v>end</v>
          </cell>
          <cell r="T284" t="str">
            <v>end</v>
          </cell>
          <cell r="U284" t="str">
            <v>end</v>
          </cell>
          <cell r="V284" t="str">
            <v>end</v>
          </cell>
          <cell r="W284" t="str">
            <v>end</v>
          </cell>
          <cell r="X284" t="str">
            <v>end</v>
          </cell>
          <cell r="Y284" t="str">
            <v>end</v>
          </cell>
          <cell r="Z284" t="str">
            <v>end</v>
          </cell>
          <cell r="AA284" t="str">
            <v>end</v>
          </cell>
          <cell r="AB284" t="str">
            <v>end</v>
          </cell>
          <cell r="AC284" t="str">
            <v>end</v>
          </cell>
          <cell r="AD284" t="str">
            <v>end</v>
          </cell>
          <cell r="AE284" t="str">
            <v>end</v>
          </cell>
          <cell r="AF284" t="str">
            <v>end</v>
          </cell>
          <cell r="AG284" t="str">
            <v>end</v>
          </cell>
          <cell r="AH284" t="str">
            <v>end</v>
          </cell>
          <cell r="AI284" t="str">
            <v>end</v>
          </cell>
          <cell r="AJ284" t="str">
            <v>end</v>
          </cell>
          <cell r="AK284" t="str">
            <v>end</v>
          </cell>
          <cell r="AL284" t="str">
            <v>end</v>
          </cell>
          <cell r="AM284" t="str">
            <v>end</v>
          </cell>
          <cell r="AN284" t="str">
            <v>end</v>
          </cell>
          <cell r="AO284" t="str">
            <v>end</v>
          </cell>
          <cell r="AP284" t="str">
            <v>end</v>
          </cell>
          <cell r="AQ284" t="str">
            <v>end</v>
          </cell>
          <cell r="AR284" t="str">
            <v>end</v>
          </cell>
          <cell r="AS284" t="str">
            <v>end</v>
          </cell>
          <cell r="AT284" t="str">
            <v>end</v>
          </cell>
          <cell r="AU284" t="str">
            <v>end</v>
          </cell>
          <cell r="AV284" t="str">
            <v>end</v>
          </cell>
          <cell r="AW284" t="str">
            <v>end</v>
          </cell>
          <cell r="AX284" t="str">
            <v>end</v>
          </cell>
          <cell r="AY284" t="str">
            <v>end</v>
          </cell>
          <cell r="AZ284" t="str">
            <v>end</v>
          </cell>
          <cell r="BA284" t="str">
            <v>end</v>
          </cell>
          <cell r="BB284" t="str">
            <v>end</v>
          </cell>
          <cell r="BC284" t="str">
            <v>end</v>
          </cell>
          <cell r="BD284" t="str">
            <v>end</v>
          </cell>
          <cell r="BE284" t="str">
            <v>end</v>
          </cell>
          <cell r="BF284" t="str">
            <v>end</v>
          </cell>
          <cell r="BG284" t="str">
            <v>end</v>
          </cell>
          <cell r="BH284" t="str">
            <v>end</v>
          </cell>
          <cell r="BI284" t="str">
            <v>end</v>
          </cell>
          <cell r="BJ284" t="str">
            <v>end</v>
          </cell>
          <cell r="BK284" t="str">
            <v>end</v>
          </cell>
          <cell r="BL284" t="str">
            <v>end</v>
          </cell>
          <cell r="BM284" t="str">
            <v>end</v>
          </cell>
          <cell r="BN284" t="str">
            <v>end</v>
          </cell>
          <cell r="BO284" t="str">
            <v>end</v>
          </cell>
          <cell r="BP284" t="str">
            <v>end</v>
          </cell>
          <cell r="BQ284" t="str">
            <v>end</v>
          </cell>
          <cell r="BR284" t="str">
            <v>end</v>
          </cell>
          <cell r="BS284" t="str">
            <v>end</v>
          </cell>
          <cell r="BT284" t="str">
            <v>end</v>
          </cell>
          <cell r="BU284" t="str">
            <v>end</v>
          </cell>
          <cell r="BV284" t="str">
            <v>end</v>
          </cell>
          <cell r="BW284" t="str">
            <v>end</v>
          </cell>
          <cell r="BX284" t="str">
            <v>end</v>
          </cell>
          <cell r="BY284" t="str">
            <v>end</v>
          </cell>
          <cell r="BZ284" t="str">
            <v>end</v>
          </cell>
          <cell r="CA284" t="str">
            <v>end</v>
          </cell>
          <cell r="CB284" t="str">
            <v>end</v>
          </cell>
          <cell r="CC284" t="str">
            <v>end</v>
          </cell>
          <cell r="CD284" t="str">
            <v>end</v>
          </cell>
          <cell r="CE284" t="str">
            <v>end</v>
          </cell>
          <cell r="CF284" t="str">
            <v>end</v>
          </cell>
          <cell r="CG284" t="str">
            <v>end</v>
          </cell>
          <cell r="CH284" t="str">
            <v>end</v>
          </cell>
          <cell r="CI284" t="str">
            <v>end</v>
          </cell>
          <cell r="CJ284" t="str">
            <v>end</v>
          </cell>
          <cell r="CK284" t="str">
            <v>end</v>
          </cell>
          <cell r="CL284" t="str">
            <v>end</v>
          </cell>
          <cell r="CM284" t="str">
            <v>end</v>
          </cell>
          <cell r="CN284" t="str">
            <v>end</v>
          </cell>
          <cell r="CO284" t="str">
            <v>end</v>
          </cell>
          <cell r="CP284" t="str">
            <v>end</v>
          </cell>
          <cell r="CQ284" t="str">
            <v>end</v>
          </cell>
          <cell r="CR284" t="str">
            <v>end</v>
          </cell>
          <cell r="CS284" t="str">
            <v>end</v>
          </cell>
          <cell r="CT284" t="str">
            <v>end</v>
          </cell>
          <cell r="CU284" t="str">
            <v>end</v>
          </cell>
          <cell r="CV284" t="str">
            <v>end</v>
          </cell>
          <cell r="CW284" t="str">
            <v>end</v>
          </cell>
          <cell r="CX284" t="str">
            <v>end</v>
          </cell>
          <cell r="CY284" t="str">
            <v>end</v>
          </cell>
          <cell r="CZ284" t="str">
            <v>end</v>
          </cell>
          <cell r="DA284" t="str">
            <v>end</v>
          </cell>
          <cell r="DB284" t="str">
            <v>end</v>
          </cell>
          <cell r="DC284" t="str">
            <v>end</v>
          </cell>
          <cell r="DD284" t="str">
            <v>end</v>
          </cell>
          <cell r="DE284" t="str">
            <v>end</v>
          </cell>
          <cell r="DF284" t="str">
            <v>end</v>
          </cell>
          <cell r="DG284" t="str">
            <v>end</v>
          </cell>
          <cell r="DH284" t="str">
            <v>end</v>
          </cell>
          <cell r="DI284" t="str">
            <v>end</v>
          </cell>
          <cell r="DJ284" t="str">
            <v>end</v>
          </cell>
          <cell r="DK284" t="str">
            <v>end</v>
          </cell>
          <cell r="DL284" t="str">
            <v>end</v>
          </cell>
          <cell r="DM284" t="str">
            <v>end</v>
          </cell>
          <cell r="DN284" t="str">
            <v>end</v>
          </cell>
          <cell r="DO284" t="str">
            <v>end</v>
          </cell>
          <cell r="DP284" t="str">
            <v>end</v>
          </cell>
          <cell r="DQ284" t="str">
            <v>end</v>
          </cell>
          <cell r="DR284" t="str">
            <v>end</v>
          </cell>
          <cell r="DS284" t="str">
            <v>end</v>
          </cell>
          <cell r="DT284" t="str">
            <v>end</v>
          </cell>
          <cell r="DU284" t="str">
            <v>end</v>
          </cell>
          <cell r="DV284" t="str">
            <v>end</v>
          </cell>
          <cell r="DW284" t="str">
            <v>end</v>
          </cell>
          <cell r="EA284" t="str">
            <v>end</v>
          </cell>
          <cell r="EB284" t="str">
            <v>end</v>
          </cell>
          <cell r="EC284" t="str">
            <v>end</v>
          </cell>
          <cell r="ED284" t="str">
            <v>end</v>
          </cell>
          <cell r="EE284" t="str">
            <v>end</v>
          </cell>
          <cell r="EF284" t="str">
            <v>end</v>
          </cell>
          <cell r="EG284" t="str">
            <v>end</v>
          </cell>
          <cell r="EH284" t="str">
            <v>end</v>
          </cell>
          <cell r="EI284" t="str">
            <v>end</v>
          </cell>
          <cell r="EJ284" t="str">
            <v>end</v>
          </cell>
          <cell r="EK284" t="str">
            <v>end</v>
          </cell>
          <cell r="EL284" t="str">
            <v>end</v>
          </cell>
          <cell r="EM284" t="str">
            <v>end</v>
          </cell>
          <cell r="EN284" t="str">
            <v>end</v>
          </cell>
          <cell r="EO284" t="str">
            <v>end</v>
          </cell>
          <cell r="EP284" t="str">
            <v>end</v>
          </cell>
          <cell r="EQ284" t="str">
            <v>end</v>
          </cell>
          <cell r="ER284" t="str">
            <v>end</v>
          </cell>
          <cell r="ES284" t="str">
            <v>end</v>
          </cell>
          <cell r="ET284" t="str">
            <v>end</v>
          </cell>
          <cell r="EU284" t="str">
            <v>end</v>
          </cell>
          <cell r="EV284" t="str">
            <v>end</v>
          </cell>
          <cell r="EW284" t="str">
            <v>end</v>
          </cell>
          <cell r="EX284" t="str">
            <v>end</v>
          </cell>
          <cell r="EY284" t="str">
            <v>end</v>
          </cell>
          <cell r="EZ284" t="str">
            <v>end</v>
          </cell>
          <cell r="FA284" t="str">
            <v>end</v>
          </cell>
          <cell r="FB284" t="str">
            <v>end</v>
          </cell>
          <cell r="FC284" t="str">
            <v>end</v>
          </cell>
          <cell r="FE284" t="str">
            <v>end</v>
          </cell>
          <cell r="FF284" t="str">
            <v>end</v>
          </cell>
          <cell r="FG284" t="str">
            <v>end</v>
          </cell>
          <cell r="FH284" t="str">
            <v>end</v>
          </cell>
          <cell r="FI284" t="str">
            <v>end</v>
          </cell>
          <cell r="FJ284" t="str">
            <v>end</v>
          </cell>
          <cell r="FK284" t="str">
            <v>end</v>
          </cell>
          <cell r="FL284" t="str">
            <v>end</v>
          </cell>
          <cell r="FM284" t="str">
            <v>end</v>
          </cell>
          <cell r="FN284" t="str">
            <v>end</v>
          </cell>
          <cell r="FO284" t="str">
            <v>end</v>
          </cell>
          <cell r="FP284" t="str">
            <v>end</v>
          </cell>
          <cell r="FQ284" t="str">
            <v>end</v>
          </cell>
          <cell r="FR284" t="str">
            <v>end</v>
          </cell>
          <cell r="FS284" t="str">
            <v>end</v>
          </cell>
          <cell r="FT284" t="str">
            <v>end</v>
          </cell>
          <cell r="FU284" t="str">
            <v>end</v>
          </cell>
          <cell r="FV284" t="str">
            <v>end</v>
          </cell>
          <cell r="FW284" t="str">
            <v>end</v>
          </cell>
          <cell r="FX284" t="str">
            <v>end</v>
          </cell>
          <cell r="FY284" t="str">
            <v>end</v>
          </cell>
          <cell r="FZ284" t="str">
            <v>end</v>
          </cell>
          <cell r="GA284" t="str">
            <v>end</v>
          </cell>
          <cell r="GB284" t="str">
            <v>end</v>
          </cell>
          <cell r="GC284" t="str">
            <v>end</v>
          </cell>
          <cell r="GD284" t="str">
            <v>end</v>
          </cell>
          <cell r="GE284" t="str">
            <v>end</v>
          </cell>
          <cell r="GF284" t="str">
            <v>end</v>
          </cell>
          <cell r="GG284" t="str">
            <v>end</v>
          </cell>
          <cell r="GH284" t="str">
            <v>end</v>
          </cell>
          <cell r="GI284" t="str">
            <v>end</v>
          </cell>
          <cell r="GJ284" t="str">
            <v>end</v>
          </cell>
          <cell r="GK284" t="str">
            <v>end</v>
          </cell>
          <cell r="GL284" t="str">
            <v>end</v>
          </cell>
          <cell r="GM284" t="str">
            <v>end</v>
          </cell>
          <cell r="GN284" t="str">
            <v>end</v>
          </cell>
          <cell r="GO284" t="str">
            <v>end</v>
          </cell>
          <cell r="GP284" t="str">
            <v>end</v>
          </cell>
          <cell r="GQ284" t="str">
            <v>end</v>
          </cell>
          <cell r="GR284" t="str">
            <v>end</v>
          </cell>
          <cell r="GS284" t="str">
            <v>end</v>
          </cell>
          <cell r="GT284" t="str">
            <v>end</v>
          </cell>
          <cell r="GZ284" t="str">
            <v>end</v>
          </cell>
        </row>
      </sheetData>
      <sheetData sheetId="18"/>
      <sheetData sheetId="19"/>
      <sheetData sheetId="20">
        <row r="2">
          <cell r="B2" t="str">
            <v>SCR-B3EA01</v>
          </cell>
          <cell r="C2" t="str">
            <v>SCR-B3EA02</v>
          </cell>
          <cell r="D2" t="str">
            <v>SCR-B3EA03</v>
          </cell>
          <cell r="E2" t="str">
            <v>SCR-B3EA04</v>
          </cell>
          <cell r="F2" t="str">
            <v>SCR-B3EA05</v>
          </cell>
          <cell r="G2" t="str">
            <v>SCR-B3EA06</v>
          </cell>
          <cell r="H2" t="str">
            <v>SCR-B3EA07</v>
          </cell>
          <cell r="I2" t="str">
            <v>SCR-B3EA08</v>
          </cell>
          <cell r="J2" t="str">
            <v>SCR-B3EA09</v>
          </cell>
          <cell r="K2" t="str">
            <v>SCR-B3EA10</v>
          </cell>
          <cell r="L2" t="str">
            <v>SCR-B3EA11</v>
          </cell>
          <cell r="M2" t="str">
            <v>SCR-B3EA12</v>
          </cell>
          <cell r="N2" t="str">
            <v>SCR-B3EA01A</v>
          </cell>
          <cell r="O2" t="str">
            <v>SCR-B3EA02A</v>
          </cell>
          <cell r="P2" t="str">
            <v>SCR-B3EA03A</v>
          </cell>
          <cell r="Q2" t="str">
            <v>SCR-B3EA04A</v>
          </cell>
          <cell r="R2" t="str">
            <v>SCR-B3EA05A</v>
          </cell>
          <cell r="S2" t="str">
            <v>SCR-B3EA06A</v>
          </cell>
          <cell r="T2" t="str">
            <v>SCR-B3EA07A</v>
          </cell>
          <cell r="U2" t="str">
            <v>SCR-B3EA08A</v>
          </cell>
          <cell r="V2" t="str">
            <v>SCR-B3EA09A</v>
          </cell>
          <cell r="W2" t="str">
            <v>SCR-B3EA10A</v>
          </cell>
          <cell r="X2" t="str">
            <v>SCR-B3EA11A</v>
          </cell>
          <cell r="Y2" t="str">
            <v>SCR-B3EA12A</v>
          </cell>
          <cell r="Z2" t="str">
            <v>SCR-B3EB01</v>
          </cell>
          <cell r="AA2" t="str">
            <v>SCR-B3EB02</v>
          </cell>
          <cell r="AB2" t="str">
            <v>SCR-B3EB03</v>
          </cell>
          <cell r="AC2" t="str">
            <v>SCR-B3EB04</v>
          </cell>
          <cell r="AD2" t="str">
            <v>SCR-B3EB05</v>
          </cell>
          <cell r="AE2" t="str">
            <v>SCR-B3EB06</v>
          </cell>
          <cell r="AF2" t="str">
            <v>SCR-B3EB07</v>
          </cell>
          <cell r="AG2" t="str">
            <v>SCR-B3EB08</v>
          </cell>
          <cell r="AH2" t="str">
            <v>SCR-B3EB09</v>
          </cell>
          <cell r="AI2" t="str">
            <v>SCR-B3EB10</v>
          </cell>
          <cell r="AJ2" t="str">
            <v>SCR-B3EB11</v>
          </cell>
          <cell r="AK2" t="str">
            <v>SCR-B3EB12</v>
          </cell>
          <cell r="AL2" t="str">
            <v>SCR-B3EC01</v>
          </cell>
          <cell r="AM2" t="str">
            <v>SCR-B3EC02</v>
          </cell>
          <cell r="AN2" t="str">
            <v>SCR-B3EC03</v>
          </cell>
          <cell r="AO2" t="str">
            <v>SCR-B3EC04</v>
          </cell>
          <cell r="AP2" t="str">
            <v>SCR-B3EC05</v>
          </cell>
          <cell r="AQ2" t="str">
            <v>SCR-B3EC06</v>
          </cell>
          <cell r="AR2" t="str">
            <v>SCR-B3EC07</v>
          </cell>
          <cell r="AS2" t="str">
            <v>SCR-B3EC08</v>
          </cell>
          <cell r="AT2" t="str">
            <v>SCR-B3EC09</v>
          </cell>
          <cell r="AU2" t="str">
            <v>SCR-B3EC10</v>
          </cell>
          <cell r="AV2" t="str">
            <v>SCR-B3EC11</v>
          </cell>
          <cell r="AW2" t="str">
            <v>SCR-B3EC12</v>
          </cell>
          <cell r="AX2" t="str">
            <v>SCR-B3ED01</v>
          </cell>
          <cell r="AY2" t="str">
            <v>SCR-B3ED02</v>
          </cell>
          <cell r="AZ2" t="str">
            <v>SCR-B3ED03</v>
          </cell>
          <cell r="BA2" t="str">
            <v>SCR-B3ED04</v>
          </cell>
          <cell r="BB2" t="str">
            <v>SCR-B3ED05</v>
          </cell>
          <cell r="BC2" t="str">
            <v>SCR-B3ED06</v>
          </cell>
          <cell r="BD2" t="str">
            <v>SCR-B3ED07</v>
          </cell>
          <cell r="BE2" t="str">
            <v>SCR-B3ED08</v>
          </cell>
          <cell r="BF2" t="str">
            <v>SCR-B3ED09</v>
          </cell>
          <cell r="BG2" t="str">
            <v>SCR-B3ED10</v>
          </cell>
          <cell r="BH2" t="str">
            <v>SCR-B3ED11</v>
          </cell>
          <cell r="BI2" t="str">
            <v>SCR-B3ED12</v>
          </cell>
          <cell r="BJ2" t="str">
            <v>SCR-B3EE01</v>
          </cell>
          <cell r="BK2" t="str">
            <v>SCR-B3EE02</v>
          </cell>
          <cell r="BL2" t="str">
            <v>SCR-B3EE03</v>
          </cell>
          <cell r="BM2" t="str">
            <v>SCR-B3EE04</v>
          </cell>
          <cell r="BN2" t="str">
            <v>SCR-B3EE05</v>
          </cell>
          <cell r="BO2" t="str">
            <v>SCR-B3EE06</v>
          </cell>
          <cell r="BP2" t="str">
            <v>SCR-B3EE07</v>
          </cell>
          <cell r="BQ2" t="str">
            <v>SCR-B3EE08</v>
          </cell>
          <cell r="BR2" t="str">
            <v>SCR-B3EE09</v>
          </cell>
          <cell r="BS2" t="str">
            <v>SCR-B3EE10</v>
          </cell>
          <cell r="BT2" t="str">
            <v>SCR-B3EE11</v>
          </cell>
          <cell r="BU2" t="str">
            <v>SCR-B3EE12</v>
          </cell>
          <cell r="BV2" t="str">
            <v>SCR-B3EA15A</v>
          </cell>
          <cell r="BW2" t="str">
            <v>SCR-B3EA16A</v>
          </cell>
          <cell r="BX2" t="str">
            <v>SCR-B3EA17A</v>
          </cell>
          <cell r="BY2" t="str">
            <v>SCR-B3EB15A</v>
          </cell>
          <cell r="BZ2" t="str">
            <v>SCR-B3EB16A</v>
          </cell>
          <cell r="CA2" t="str">
            <v>SCR-B3EB17A</v>
          </cell>
          <cell r="CB2" t="str">
            <v>SCR-B3EA16</v>
          </cell>
          <cell r="CC2" t="str">
            <v>SCR-B3EA17</v>
          </cell>
          <cell r="CD2" t="str">
            <v>SCR-B3D</v>
          </cell>
          <cell r="CE2" t="str">
            <v>SCR-B3D</v>
          </cell>
          <cell r="CF2" t="str">
            <v>SCR-B3D</v>
          </cell>
          <cell r="CG2" t="str">
            <v>SCR-B3D</v>
          </cell>
          <cell r="CH2" t="str">
            <v>SCR-B3D</v>
          </cell>
          <cell r="CI2" t="str">
            <v>SCR-B3D</v>
          </cell>
          <cell r="CJ2" t="str">
            <v>SCR-B3D</v>
          </cell>
          <cell r="CK2" t="str">
            <v>SCR-B3D</v>
          </cell>
          <cell r="CL2" t="str">
            <v>SCR-B3D</v>
          </cell>
          <cell r="CM2" t="str">
            <v>SCR-B3D</v>
          </cell>
          <cell r="CN2" t="str">
            <v>SCR-B3D</v>
          </cell>
          <cell r="CO2" t="str">
            <v>SCR-B3D</v>
          </cell>
          <cell r="CP2" t="str">
            <v>SCR-B3D</v>
          </cell>
          <cell r="CQ2" t="str">
            <v>SCR-B3D</v>
          </cell>
          <cell r="CR2" t="str">
            <v>SCR-B3D</v>
          </cell>
          <cell r="CS2" t="str">
            <v>SCR-B3D</v>
          </cell>
          <cell r="CT2" t="str">
            <v>SCR-B3D</v>
          </cell>
          <cell r="CU2" t="str">
            <v>SCR-B3D</v>
          </cell>
          <cell r="CV2" t="str">
            <v>SCR-B3D</v>
          </cell>
          <cell r="CW2" t="str">
            <v>SCR-B3D</v>
          </cell>
          <cell r="CX2" t="str">
            <v>SCR-B3D</v>
          </cell>
          <cell r="CY2" t="str">
            <v>SCR-B3D</v>
          </cell>
          <cell r="CZ2" t="str">
            <v>SCR-B3D</v>
          </cell>
          <cell r="DA2" t="str">
            <v>SCR-B3D</v>
          </cell>
          <cell r="DB2" t="str">
            <v>SCR-B3D</v>
          </cell>
          <cell r="DC2" t="str">
            <v>SCR-B3D</v>
          </cell>
          <cell r="DD2" t="str">
            <v>SCR-B3D</v>
          </cell>
          <cell r="DE2" t="str">
            <v>SCR-B3D</v>
          </cell>
          <cell r="DF2" t="str">
            <v>SCR-B3D</v>
          </cell>
          <cell r="DG2" t="str">
            <v>SCR-B3D</v>
          </cell>
          <cell r="DH2" t="str">
            <v>SCR-B3D</v>
          </cell>
          <cell r="DI2" t="str">
            <v>SCR-B3D</v>
          </cell>
          <cell r="DJ2" t="str">
            <v>SCR-B3D</v>
          </cell>
          <cell r="DK2" t="str">
            <v>SCR-B3D</v>
          </cell>
          <cell r="DL2" t="str">
            <v>SCR-B3D</v>
          </cell>
          <cell r="DM2" t="str">
            <v>SCR-B3D</v>
          </cell>
          <cell r="DN2" t="str">
            <v>SCR-B3D</v>
          </cell>
          <cell r="DO2" t="str">
            <v>SCR-B3D</v>
          </cell>
          <cell r="DP2" t="str">
            <v>SCR-B3D</v>
          </cell>
          <cell r="DQ2" t="str">
            <v>SCR-B3D</v>
          </cell>
          <cell r="DR2" t="str">
            <v>SCR-B3D</v>
          </cell>
          <cell r="DS2" t="str">
            <v>SCR-B3D</v>
          </cell>
          <cell r="DT2" t="str">
            <v>SCR-B3D</v>
          </cell>
          <cell r="DU2" t="str">
            <v>SCR-B3D</v>
          </cell>
          <cell r="DV2" t="str">
            <v>SCR-B3D</v>
          </cell>
          <cell r="DW2" t="str">
            <v>SCR-B3D</v>
          </cell>
          <cell r="DX2" t="str">
            <v>SCR-B3D</v>
          </cell>
          <cell r="DY2" t="str">
            <v>SCR-B3D</v>
          </cell>
          <cell r="EA2" t="str">
            <v>SCR-B3DE09</v>
          </cell>
          <cell r="EB2" t="str">
            <v>SCR-B3DF09</v>
          </cell>
          <cell r="EC2" t="str">
            <v>SCR-B3DG09</v>
          </cell>
          <cell r="ED2" t="str">
            <v>SCR-B3DA12</v>
          </cell>
          <cell r="EE2" t="str">
            <v>SCR-B3DA13</v>
          </cell>
          <cell r="EF2" t="str">
            <v>SCR-B3DA14</v>
          </cell>
          <cell r="EG2" t="str">
            <v>SCR-B3DA15</v>
          </cell>
          <cell r="EH2" t="str">
            <v>SCR-B3DA12A</v>
          </cell>
          <cell r="EI2" t="str">
            <v>SCR-B3DA13A</v>
          </cell>
          <cell r="EJ2" t="str">
            <v>SCR-B3DA14A</v>
          </cell>
          <cell r="EK2" t="str">
            <v>SCR-B3DA15A</v>
          </cell>
          <cell r="EL2" t="str">
            <v>SCR-B3DB12</v>
          </cell>
          <cell r="EM2" t="str">
            <v>SCR-B3DB13</v>
          </cell>
          <cell r="EN2" t="str">
            <v>SCR-B3DB14</v>
          </cell>
          <cell r="EO2" t="str">
            <v>SCR-B3DB15</v>
          </cell>
          <cell r="EP2" t="str">
            <v>SCR-B3DC12</v>
          </cell>
          <cell r="EQ2" t="str">
            <v>SCR-B3DC13</v>
          </cell>
          <cell r="ER2" t="str">
            <v>SCR-B3DC14</v>
          </cell>
          <cell r="ES2" t="str">
            <v>SCR-B3DC15</v>
          </cell>
          <cell r="ET2" t="str">
            <v>SCR-B3DD12</v>
          </cell>
          <cell r="EU2" t="str">
            <v>SCR-B3DD13</v>
          </cell>
          <cell r="EV2" t="str">
            <v>SCR-B3DD14</v>
          </cell>
          <cell r="EW2" t="str">
            <v>SCR-B3DD15</v>
          </cell>
          <cell r="EX2" t="str">
            <v>SCR-B3DE12</v>
          </cell>
          <cell r="EY2" t="str">
            <v>SCR-B3DE13</v>
          </cell>
          <cell r="EZ2" t="str">
            <v>SCR-B3DE14</v>
          </cell>
          <cell r="FA2" t="str">
            <v>SCR-B3DE15</v>
          </cell>
          <cell r="FB2" t="str">
            <v>SCR-B3DA18A</v>
          </cell>
          <cell r="FC2" t="str">
            <v>SCR-B3DA19A</v>
          </cell>
          <cell r="FD2" t="str">
            <v>SCR-B3DA20A</v>
          </cell>
          <cell r="FE2" t="str">
            <v>SCR-B3DB18A</v>
          </cell>
          <cell r="FF2" t="str">
            <v>SCR-B3DB19A</v>
          </cell>
          <cell r="FG2" t="str">
            <v>SCR-B3DB20A</v>
          </cell>
          <cell r="FH2" t="str">
            <v>SCR-B3DA21</v>
          </cell>
          <cell r="FI2" t="str">
            <v>SCR-B3DA22</v>
          </cell>
          <cell r="FJ2" t="str">
            <v>SCR-B3DA23</v>
          </cell>
          <cell r="FK2" t="str">
            <v>SCR-B3D</v>
          </cell>
          <cell r="FL2" t="str">
            <v>SCR-B3D</v>
          </cell>
          <cell r="FM2" t="str">
            <v>SCR-B3D</v>
          </cell>
          <cell r="FN2" t="str">
            <v>SCR-B3D</v>
          </cell>
          <cell r="FO2" t="str">
            <v>SCR-B3D</v>
          </cell>
          <cell r="FP2" t="str">
            <v>SCR-B3D</v>
          </cell>
          <cell r="FQ2" t="str">
            <v>SCR-B3D</v>
          </cell>
          <cell r="FR2" t="str">
            <v>SCR-B3D</v>
          </cell>
          <cell r="FS2" t="str">
            <v>SCR-B3D</v>
          </cell>
          <cell r="FT2" t="str">
            <v>SCR-B3D</v>
          </cell>
          <cell r="FU2" t="str">
            <v>SCR-B3D</v>
          </cell>
          <cell r="FV2" t="str">
            <v>SCR-B3D</v>
          </cell>
          <cell r="FW2" t="str">
            <v>SCR-B3D</v>
          </cell>
          <cell r="FX2" t="str">
            <v>SCR-B3D</v>
          </cell>
          <cell r="FY2" t="str">
            <v>SCR-B3D</v>
          </cell>
          <cell r="FZ2" t="str">
            <v>SCR-B3D</v>
          </cell>
        </row>
        <row r="3">
          <cell r="B3">
            <v>2</v>
          </cell>
          <cell r="C3">
            <v>3</v>
          </cell>
          <cell r="D3">
            <v>4</v>
          </cell>
          <cell r="E3">
            <v>5</v>
          </cell>
          <cell r="F3">
            <v>6</v>
          </cell>
          <cell r="G3">
            <v>7</v>
          </cell>
          <cell r="H3">
            <v>8</v>
          </cell>
          <cell r="I3">
            <v>9</v>
          </cell>
          <cell r="J3">
            <v>10</v>
          </cell>
          <cell r="K3">
            <v>11</v>
          </cell>
          <cell r="L3">
            <v>12</v>
          </cell>
          <cell r="M3">
            <v>13</v>
          </cell>
          <cell r="N3">
            <v>14</v>
          </cell>
          <cell r="O3">
            <v>15</v>
          </cell>
          <cell r="P3">
            <v>16</v>
          </cell>
          <cell r="Q3">
            <v>17</v>
          </cell>
          <cell r="R3">
            <v>18</v>
          </cell>
          <cell r="S3">
            <v>19</v>
          </cell>
          <cell r="T3">
            <v>20</v>
          </cell>
          <cell r="U3">
            <v>21</v>
          </cell>
          <cell r="V3">
            <v>22</v>
          </cell>
          <cell r="W3">
            <v>23</v>
          </cell>
          <cell r="X3">
            <v>24</v>
          </cell>
          <cell r="Y3">
            <v>25</v>
          </cell>
          <cell r="Z3">
            <v>26</v>
          </cell>
          <cell r="AA3">
            <v>27</v>
          </cell>
          <cell r="AB3">
            <v>28</v>
          </cell>
          <cell r="AC3">
            <v>29</v>
          </cell>
          <cell r="AD3">
            <v>30</v>
          </cell>
          <cell r="AE3">
            <v>31</v>
          </cell>
          <cell r="AF3">
            <v>32</v>
          </cell>
          <cell r="AG3">
            <v>33</v>
          </cell>
          <cell r="AH3">
            <v>34</v>
          </cell>
          <cell r="AI3">
            <v>35</v>
          </cell>
          <cell r="AJ3">
            <v>36</v>
          </cell>
          <cell r="AK3">
            <v>37</v>
          </cell>
          <cell r="AL3">
            <v>38</v>
          </cell>
          <cell r="AM3">
            <v>39</v>
          </cell>
          <cell r="AN3">
            <v>40</v>
          </cell>
          <cell r="AO3">
            <v>41</v>
          </cell>
          <cell r="AP3">
            <v>42</v>
          </cell>
          <cell r="AQ3">
            <v>43</v>
          </cell>
          <cell r="AR3">
            <v>44</v>
          </cell>
          <cell r="AS3">
            <v>45</v>
          </cell>
          <cell r="AT3">
            <v>46</v>
          </cell>
          <cell r="AU3">
            <v>47</v>
          </cell>
          <cell r="AV3">
            <v>48</v>
          </cell>
          <cell r="AW3">
            <v>49</v>
          </cell>
          <cell r="AX3">
            <v>50</v>
          </cell>
          <cell r="AY3">
            <v>51</v>
          </cell>
          <cell r="AZ3">
            <v>52</v>
          </cell>
          <cell r="BA3">
            <v>53</v>
          </cell>
          <cell r="BB3">
            <v>54</v>
          </cell>
          <cell r="BC3">
            <v>55</v>
          </cell>
          <cell r="BD3">
            <v>56</v>
          </cell>
          <cell r="BE3">
            <v>57</v>
          </cell>
          <cell r="BF3">
            <v>58</v>
          </cell>
          <cell r="BG3">
            <v>59</v>
          </cell>
          <cell r="BH3">
            <v>60</v>
          </cell>
          <cell r="BI3">
            <v>61</v>
          </cell>
          <cell r="BJ3">
            <v>62</v>
          </cell>
          <cell r="BK3">
            <v>63</v>
          </cell>
          <cell r="BL3">
            <v>64</v>
          </cell>
          <cell r="BM3">
            <v>65</v>
          </cell>
          <cell r="BN3">
            <v>66</v>
          </cell>
          <cell r="BO3">
            <v>67</v>
          </cell>
          <cell r="BP3">
            <v>68</v>
          </cell>
          <cell r="BQ3">
            <v>69</v>
          </cell>
          <cell r="BR3">
            <v>70</v>
          </cell>
          <cell r="BS3">
            <v>71</v>
          </cell>
          <cell r="BT3">
            <v>72</v>
          </cell>
          <cell r="BU3">
            <v>73</v>
          </cell>
          <cell r="BV3">
            <v>74</v>
          </cell>
          <cell r="BW3">
            <v>75</v>
          </cell>
          <cell r="BX3">
            <v>76</v>
          </cell>
          <cell r="BY3">
            <v>77</v>
          </cell>
          <cell r="BZ3">
            <v>78</v>
          </cell>
          <cell r="CA3">
            <v>79</v>
          </cell>
          <cell r="CB3">
            <v>80</v>
          </cell>
          <cell r="CC3">
            <v>81</v>
          </cell>
          <cell r="CD3">
            <v>82</v>
          </cell>
          <cell r="CE3">
            <v>83</v>
          </cell>
          <cell r="CF3">
            <v>84</v>
          </cell>
          <cell r="CG3">
            <v>85</v>
          </cell>
          <cell r="CH3">
            <v>86</v>
          </cell>
          <cell r="CI3">
            <v>87</v>
          </cell>
          <cell r="CJ3">
            <v>88</v>
          </cell>
          <cell r="CK3">
            <v>89</v>
          </cell>
          <cell r="CL3">
            <v>90</v>
          </cell>
          <cell r="CM3">
            <v>91</v>
          </cell>
          <cell r="CN3">
            <v>92</v>
          </cell>
          <cell r="CO3">
            <v>93</v>
          </cell>
          <cell r="CP3">
            <v>94</v>
          </cell>
          <cell r="CQ3">
            <v>95</v>
          </cell>
          <cell r="CR3">
            <v>96</v>
          </cell>
          <cell r="CS3">
            <v>97</v>
          </cell>
          <cell r="CT3">
            <v>98</v>
          </cell>
          <cell r="CU3">
            <v>99</v>
          </cell>
          <cell r="CV3">
            <v>100</v>
          </cell>
          <cell r="CW3">
            <v>101</v>
          </cell>
          <cell r="CX3">
            <v>102</v>
          </cell>
          <cell r="CY3">
            <v>103</v>
          </cell>
          <cell r="CZ3">
            <v>104</v>
          </cell>
          <cell r="DA3">
            <v>105</v>
          </cell>
          <cell r="DB3">
            <v>106</v>
          </cell>
          <cell r="DC3">
            <v>107</v>
          </cell>
          <cell r="DD3">
            <v>108</v>
          </cell>
          <cell r="DE3">
            <v>109</v>
          </cell>
          <cell r="DF3">
            <v>110</v>
          </cell>
          <cell r="DG3">
            <v>111</v>
          </cell>
          <cell r="DH3">
            <v>112</v>
          </cell>
          <cell r="DI3">
            <v>113</v>
          </cell>
          <cell r="DJ3">
            <v>114</v>
          </cell>
          <cell r="DK3">
            <v>115</v>
          </cell>
          <cell r="DL3">
            <v>116</v>
          </cell>
          <cell r="DM3">
            <v>117</v>
          </cell>
          <cell r="DN3">
            <v>118</v>
          </cell>
          <cell r="DO3">
            <v>119</v>
          </cell>
          <cell r="DP3">
            <v>120</v>
          </cell>
          <cell r="DQ3">
            <v>121</v>
          </cell>
          <cell r="DR3">
            <v>122</v>
          </cell>
          <cell r="DS3">
            <v>123</v>
          </cell>
          <cell r="DT3">
            <v>124</v>
          </cell>
          <cell r="DU3">
            <v>125</v>
          </cell>
          <cell r="DV3">
            <v>126</v>
          </cell>
          <cell r="DW3">
            <v>127</v>
          </cell>
          <cell r="DX3">
            <v>128</v>
          </cell>
          <cell r="DY3">
            <v>129</v>
          </cell>
          <cell r="EA3">
            <v>131</v>
          </cell>
          <cell r="EB3">
            <v>132</v>
          </cell>
          <cell r="EC3">
            <v>133</v>
          </cell>
          <cell r="ED3">
            <v>134</v>
          </cell>
          <cell r="EE3">
            <v>135</v>
          </cell>
          <cell r="EF3">
            <v>136</v>
          </cell>
          <cell r="EG3">
            <v>137</v>
          </cell>
          <cell r="EH3">
            <v>138</v>
          </cell>
          <cell r="EI3">
            <v>139</v>
          </cell>
          <cell r="EJ3">
            <v>140</v>
          </cell>
          <cell r="EK3">
            <v>141</v>
          </cell>
          <cell r="EL3">
            <v>142</v>
          </cell>
          <cell r="EM3">
            <v>143</v>
          </cell>
          <cell r="EN3">
            <v>144</v>
          </cell>
          <cell r="EO3">
            <v>145</v>
          </cell>
          <cell r="EP3">
            <v>146</v>
          </cell>
          <cell r="EQ3">
            <v>147</v>
          </cell>
          <cell r="ER3">
            <v>148</v>
          </cell>
          <cell r="ES3">
            <v>149</v>
          </cell>
          <cell r="ET3">
            <v>150</v>
          </cell>
          <cell r="EU3">
            <v>151</v>
          </cell>
          <cell r="EV3">
            <v>152</v>
          </cell>
          <cell r="EW3">
            <v>153</v>
          </cell>
          <cell r="EX3">
            <v>154</v>
          </cell>
          <cell r="EY3">
            <v>155</v>
          </cell>
          <cell r="EZ3">
            <v>156</v>
          </cell>
          <cell r="FA3">
            <v>157</v>
          </cell>
          <cell r="FB3">
            <v>158</v>
          </cell>
          <cell r="FC3">
            <v>159</v>
          </cell>
          <cell r="FD3">
            <v>160</v>
          </cell>
          <cell r="FE3">
            <v>161</v>
          </cell>
          <cell r="FF3">
            <v>162</v>
          </cell>
          <cell r="FG3">
            <v>163</v>
          </cell>
          <cell r="FH3">
            <v>164</v>
          </cell>
          <cell r="FI3">
            <v>165</v>
          </cell>
          <cell r="FJ3">
            <v>166</v>
          </cell>
          <cell r="FK3">
            <v>167</v>
          </cell>
          <cell r="FL3">
            <v>168</v>
          </cell>
          <cell r="FM3">
            <v>169</v>
          </cell>
          <cell r="FN3">
            <v>170</v>
          </cell>
          <cell r="FO3">
            <v>171</v>
          </cell>
          <cell r="FP3">
            <v>172</v>
          </cell>
          <cell r="FQ3">
            <v>173</v>
          </cell>
          <cell r="FR3">
            <v>174</v>
          </cell>
          <cell r="FS3">
            <v>175</v>
          </cell>
          <cell r="FT3">
            <v>176</v>
          </cell>
          <cell r="FU3">
            <v>177</v>
          </cell>
          <cell r="FV3">
            <v>178</v>
          </cell>
          <cell r="FW3">
            <v>179</v>
          </cell>
          <cell r="FX3">
            <v>180</v>
          </cell>
          <cell r="FY3">
            <v>181</v>
          </cell>
          <cell r="FZ3">
            <v>182</v>
          </cell>
        </row>
        <row r="4">
          <cell r="B4" t="str">
            <v>SCR-B3E</v>
          </cell>
          <cell r="C4" t="str">
            <v>SCR-B3E</v>
          </cell>
          <cell r="D4" t="str">
            <v>SCR-B3E</v>
          </cell>
          <cell r="E4" t="str">
            <v>SCR-B3E</v>
          </cell>
          <cell r="F4" t="str">
            <v>SCR-B3E</v>
          </cell>
          <cell r="G4" t="str">
            <v>SCR-B3E</v>
          </cell>
          <cell r="H4" t="str">
            <v>SCR-B3E</v>
          </cell>
          <cell r="I4" t="str">
            <v>SCR-B3E</v>
          </cell>
          <cell r="J4" t="str">
            <v>SCR-B3E</v>
          </cell>
          <cell r="K4" t="str">
            <v>SCR-B3E</v>
          </cell>
          <cell r="L4" t="str">
            <v>SCR-B3E</v>
          </cell>
          <cell r="M4" t="str">
            <v>SCR-B3E</v>
          </cell>
          <cell r="N4" t="str">
            <v>SCR-B3E</v>
          </cell>
          <cell r="O4" t="str">
            <v>SCR-B3E</v>
          </cell>
          <cell r="P4" t="str">
            <v>SCR-B3E</v>
          </cell>
          <cell r="Q4" t="str">
            <v>SCR-B3E</v>
          </cell>
          <cell r="R4" t="str">
            <v>SCR-B3E</v>
          </cell>
          <cell r="S4" t="str">
            <v>SCR-B3E</v>
          </cell>
          <cell r="T4" t="str">
            <v>SCR-B3E</v>
          </cell>
          <cell r="U4" t="str">
            <v>SCR-B3E</v>
          </cell>
          <cell r="V4" t="str">
            <v>SCR-B3E</v>
          </cell>
          <cell r="W4" t="str">
            <v>SCR-B3E</v>
          </cell>
          <cell r="X4" t="str">
            <v>SCR-B3E</v>
          </cell>
          <cell r="Y4" t="str">
            <v>SCR-B3E</v>
          </cell>
          <cell r="Z4" t="str">
            <v>SCR-B3E</v>
          </cell>
          <cell r="AA4" t="str">
            <v>SCR-B3E</v>
          </cell>
          <cell r="AB4" t="str">
            <v>SCR-B3E</v>
          </cell>
          <cell r="AC4" t="str">
            <v>SCR-B3E</v>
          </cell>
          <cell r="AD4" t="str">
            <v>SCR-B3E</v>
          </cell>
          <cell r="AE4" t="str">
            <v>SCR-B3E</v>
          </cell>
          <cell r="AF4" t="str">
            <v>SCR-B3E</v>
          </cell>
          <cell r="AG4" t="str">
            <v>SCR-B3E</v>
          </cell>
          <cell r="AH4" t="str">
            <v>SCR-B3E</v>
          </cell>
          <cell r="AI4" t="str">
            <v>SCR-B3E</v>
          </cell>
          <cell r="AJ4" t="str">
            <v>SCR-B3E</v>
          </cell>
          <cell r="AK4" t="str">
            <v>SCR-B3E</v>
          </cell>
          <cell r="AL4" t="str">
            <v>SCR-B3E</v>
          </cell>
          <cell r="AM4" t="str">
            <v>SCR-B3E</v>
          </cell>
          <cell r="AN4" t="str">
            <v>SCR-B3E</v>
          </cell>
          <cell r="AO4" t="str">
            <v>SCR-B3E</v>
          </cell>
          <cell r="AP4" t="str">
            <v>SCR-B3E</v>
          </cell>
          <cell r="AQ4" t="str">
            <v>SCR-B3E</v>
          </cell>
          <cell r="AR4" t="str">
            <v>SCR-B3E</v>
          </cell>
          <cell r="AS4" t="str">
            <v>SCR-B3E</v>
          </cell>
          <cell r="AT4" t="str">
            <v>SCR-B3E</v>
          </cell>
          <cell r="AU4" t="str">
            <v>SCR-B3E</v>
          </cell>
          <cell r="AV4" t="str">
            <v>SCR-B3E</v>
          </cell>
          <cell r="AW4" t="str">
            <v>SCR-B3E</v>
          </cell>
          <cell r="AX4" t="str">
            <v>SCR-B3E</v>
          </cell>
          <cell r="AY4" t="str">
            <v>SCR-B3E</v>
          </cell>
          <cell r="AZ4" t="str">
            <v>SCR-B3E</v>
          </cell>
          <cell r="BA4" t="str">
            <v>SCR-B3E</v>
          </cell>
          <cell r="BB4" t="str">
            <v>SCR-B3E</v>
          </cell>
          <cell r="BC4" t="str">
            <v>SCR-B3E</v>
          </cell>
          <cell r="BD4" t="str">
            <v>SCR-B3E</v>
          </cell>
          <cell r="BE4" t="str">
            <v>SCR-B3E</v>
          </cell>
          <cell r="BF4" t="str">
            <v>SCR-B3E</v>
          </cell>
          <cell r="BG4" t="str">
            <v>SCR-B3E</v>
          </cell>
          <cell r="BH4" t="str">
            <v>SCR-B3E</v>
          </cell>
          <cell r="BI4" t="str">
            <v>SCR-B3E</v>
          </cell>
          <cell r="BJ4" t="str">
            <v>SCR-B3E</v>
          </cell>
          <cell r="BK4" t="str">
            <v>SCR-B3E</v>
          </cell>
          <cell r="BL4" t="str">
            <v>SCR-B3E</v>
          </cell>
          <cell r="BM4" t="str">
            <v>SCR-B3E</v>
          </cell>
          <cell r="BN4" t="str">
            <v>SCR-B3E</v>
          </cell>
          <cell r="BO4" t="str">
            <v>SCR-B3E</v>
          </cell>
          <cell r="BP4" t="str">
            <v>SCR-B3E</v>
          </cell>
          <cell r="BQ4" t="str">
            <v>SCR-B3E</v>
          </cell>
          <cell r="BR4" t="str">
            <v>SCR-B3E</v>
          </cell>
          <cell r="BS4" t="str">
            <v>SCR-B3E</v>
          </cell>
          <cell r="BT4" t="str">
            <v>SCR-B3E</v>
          </cell>
          <cell r="BU4" t="str">
            <v>SCR-B3E</v>
          </cell>
          <cell r="BV4" t="str">
            <v>SCR-B3E</v>
          </cell>
          <cell r="BW4" t="str">
            <v>SCR-B3E</v>
          </cell>
          <cell r="BX4" t="str">
            <v>SCR-B3E</v>
          </cell>
          <cell r="BY4" t="str">
            <v>SCR-B3E</v>
          </cell>
          <cell r="BZ4" t="str">
            <v>SCR-B3E</v>
          </cell>
          <cell r="CA4" t="str">
            <v>SCR-B3E</v>
          </cell>
          <cell r="CB4" t="str">
            <v>SCR-B3E</v>
          </cell>
          <cell r="CC4" t="str">
            <v>SCR-B3E</v>
          </cell>
          <cell r="CD4" t="str">
            <v>SCR-B3D</v>
          </cell>
          <cell r="CE4" t="str">
            <v>SCR-B3D</v>
          </cell>
          <cell r="CF4" t="str">
            <v>SCR-B3D</v>
          </cell>
          <cell r="CG4" t="str">
            <v>SCR-B3D</v>
          </cell>
          <cell r="CH4" t="str">
            <v>SCR-B3D</v>
          </cell>
          <cell r="CI4" t="str">
            <v>SCR-B3D</v>
          </cell>
          <cell r="CJ4" t="str">
            <v>SCR-B3D</v>
          </cell>
          <cell r="CK4" t="str">
            <v>SCR-B3D</v>
          </cell>
          <cell r="CL4" t="str">
            <v>SCR-B3D</v>
          </cell>
          <cell r="CM4" t="str">
            <v>SCR-B3D</v>
          </cell>
          <cell r="CN4" t="str">
            <v>SCR-B3D</v>
          </cell>
          <cell r="CO4" t="str">
            <v>SCR-B3D</v>
          </cell>
          <cell r="CP4" t="str">
            <v>SCR-B3D</v>
          </cell>
          <cell r="CQ4" t="str">
            <v>SCR-B3D</v>
          </cell>
          <cell r="CR4" t="str">
            <v>SCR-B3D</v>
          </cell>
          <cell r="CS4" t="str">
            <v>SCR-B3D</v>
          </cell>
          <cell r="CT4" t="str">
            <v>SCR-B3D</v>
          </cell>
          <cell r="CU4" t="str">
            <v>SCR-B3D</v>
          </cell>
          <cell r="CV4" t="str">
            <v>SCR-B3D</v>
          </cell>
          <cell r="CW4" t="str">
            <v>SCR-B3D</v>
          </cell>
          <cell r="CX4" t="str">
            <v>SCR-B3D</v>
          </cell>
          <cell r="CY4" t="str">
            <v>SCR-B3D</v>
          </cell>
          <cell r="CZ4" t="str">
            <v>SCR-B3D</v>
          </cell>
          <cell r="DA4" t="str">
            <v>SCR-B3D</v>
          </cell>
          <cell r="DB4" t="str">
            <v>SCR-B3D</v>
          </cell>
          <cell r="DC4" t="str">
            <v>SCR-B3D</v>
          </cell>
          <cell r="DD4" t="str">
            <v>SCR-B3D</v>
          </cell>
          <cell r="DE4" t="str">
            <v>SCR-B3D</v>
          </cell>
          <cell r="DF4" t="str">
            <v>SCR-B3D</v>
          </cell>
          <cell r="DG4" t="str">
            <v>SCR-B3D</v>
          </cell>
          <cell r="DH4" t="str">
            <v>SCR-B3D</v>
          </cell>
          <cell r="DI4" t="str">
            <v>SCR-B3D</v>
          </cell>
          <cell r="DJ4" t="str">
            <v>SCR-B3D</v>
          </cell>
          <cell r="DK4" t="str">
            <v>SCR-B3D</v>
          </cell>
          <cell r="DL4" t="str">
            <v>SCR-B3D</v>
          </cell>
          <cell r="DM4" t="str">
            <v>SCR-B3D</v>
          </cell>
          <cell r="DN4" t="str">
            <v>SCR-B3D</v>
          </cell>
          <cell r="DO4" t="str">
            <v>SCR-B3D</v>
          </cell>
          <cell r="DP4" t="str">
            <v>SCR-B3D</v>
          </cell>
          <cell r="DQ4" t="str">
            <v>SCR-B3D</v>
          </cell>
          <cell r="DR4" t="str">
            <v>SCR-B3D</v>
          </cell>
          <cell r="DS4" t="str">
            <v>SCR-B3D</v>
          </cell>
          <cell r="DT4" t="str">
            <v>SCR-B3D</v>
          </cell>
          <cell r="DU4" t="str">
            <v>SCR-B3D</v>
          </cell>
          <cell r="DV4" t="str">
            <v>SCR-B3D</v>
          </cell>
          <cell r="DW4" t="str">
            <v>SCR-B3D</v>
          </cell>
          <cell r="DX4" t="str">
            <v>SCR-B3D</v>
          </cell>
          <cell r="DY4" t="str">
            <v>SCR-B3D</v>
          </cell>
          <cell r="EA4" t="str">
            <v>SCR-B3D</v>
          </cell>
          <cell r="EB4" t="str">
            <v>SCR-B3D</v>
          </cell>
          <cell r="EC4" t="str">
            <v>SCR-B3D</v>
          </cell>
          <cell r="ED4" t="str">
            <v>SCR-B3D</v>
          </cell>
          <cell r="EE4" t="str">
            <v>SCR-B3D</v>
          </cell>
          <cell r="EF4" t="str">
            <v>SCR-B3D</v>
          </cell>
          <cell r="EG4" t="str">
            <v>SCR-B3D</v>
          </cell>
          <cell r="EH4" t="str">
            <v>SCR-B3D</v>
          </cell>
          <cell r="EI4" t="str">
            <v>SCR-B3D</v>
          </cell>
          <cell r="EJ4" t="str">
            <v>SCR-B3D</v>
          </cell>
          <cell r="EK4" t="str">
            <v>SCR-B3D</v>
          </cell>
          <cell r="EL4" t="str">
            <v>SCR-B3D</v>
          </cell>
          <cell r="EM4" t="str">
            <v>SCR-B3D</v>
          </cell>
          <cell r="EN4" t="str">
            <v>SCR-B3D</v>
          </cell>
          <cell r="EO4" t="str">
            <v>SCR-B3D</v>
          </cell>
          <cell r="EP4" t="str">
            <v>SCR-B3D</v>
          </cell>
          <cell r="EQ4" t="str">
            <v>SCR-B3D</v>
          </cell>
          <cell r="ER4" t="str">
            <v>SCR-B3D</v>
          </cell>
          <cell r="ES4" t="str">
            <v>SCR-B3D</v>
          </cell>
          <cell r="ET4" t="str">
            <v>SCR-B3D</v>
          </cell>
          <cell r="EU4" t="str">
            <v>SCR-B3D</v>
          </cell>
          <cell r="EV4" t="str">
            <v>SCR-B3D</v>
          </cell>
          <cell r="EW4" t="str">
            <v>SCR-B3D</v>
          </cell>
          <cell r="EX4" t="str">
            <v>SCR-B3D</v>
          </cell>
          <cell r="EY4" t="str">
            <v>SCR-B3D</v>
          </cell>
          <cell r="EZ4" t="str">
            <v>SCR-B3D</v>
          </cell>
          <cell r="FA4" t="str">
            <v>SCR-B3D</v>
          </cell>
          <cell r="FB4" t="str">
            <v>SCR-B3D</v>
          </cell>
          <cell r="FC4" t="str">
            <v>SCR-B3D</v>
          </cell>
          <cell r="FD4" t="str">
            <v>SCR-B3D</v>
          </cell>
          <cell r="FE4" t="str">
            <v>SCR-B3D</v>
          </cell>
          <cell r="FF4" t="str">
            <v>SCR-B3D</v>
          </cell>
          <cell r="FG4" t="str">
            <v>SCR-B3D</v>
          </cell>
          <cell r="FH4" t="str">
            <v>SCR-B3D</v>
          </cell>
          <cell r="FI4" t="str">
            <v>SCR-B3D</v>
          </cell>
          <cell r="FJ4" t="str">
            <v>SCR-B3D</v>
          </cell>
          <cell r="FK4" t="str">
            <v>SCR-B3D</v>
          </cell>
          <cell r="FL4" t="str">
            <v>SCR-B3D</v>
          </cell>
          <cell r="FM4" t="str">
            <v>SCR-B3D</v>
          </cell>
          <cell r="FN4" t="str">
            <v>SCR-B3D</v>
          </cell>
          <cell r="FO4" t="str">
            <v>SCR-B3D</v>
          </cell>
          <cell r="FP4" t="str">
            <v>SCR-B3D</v>
          </cell>
          <cell r="FQ4" t="str">
            <v>SCR-B3D</v>
          </cell>
          <cell r="FR4" t="str">
            <v>SCR-B3D</v>
          </cell>
          <cell r="FS4" t="str">
            <v>SCR-B3D</v>
          </cell>
          <cell r="FT4" t="str">
            <v>SCR-B3D</v>
          </cell>
          <cell r="FU4" t="str">
            <v>SCR-B3D</v>
          </cell>
          <cell r="FV4" t="str">
            <v>SCR-B3D</v>
          </cell>
          <cell r="FW4" t="str">
            <v>SCR-B3D</v>
          </cell>
          <cell r="FX4" t="str">
            <v>SCR-B3D</v>
          </cell>
          <cell r="FY4" t="str">
            <v>SCR-B3D</v>
          </cell>
          <cell r="FZ4" t="str">
            <v>SCR-B3D</v>
          </cell>
        </row>
        <row r="5">
          <cell r="B5" t="str">
            <v>A01</v>
          </cell>
          <cell r="C5" t="str">
            <v>A02</v>
          </cell>
          <cell r="D5" t="str">
            <v>A03</v>
          </cell>
          <cell r="E5" t="str">
            <v>A04</v>
          </cell>
          <cell r="F5" t="str">
            <v>A05</v>
          </cell>
          <cell r="G5" t="str">
            <v>A06</v>
          </cell>
          <cell r="H5" t="str">
            <v>A07</v>
          </cell>
          <cell r="I5" t="str">
            <v>A08</v>
          </cell>
          <cell r="J5" t="str">
            <v>A09</v>
          </cell>
          <cell r="K5" t="str">
            <v>A10</v>
          </cell>
          <cell r="L5" t="str">
            <v>A11</v>
          </cell>
          <cell r="M5" t="str">
            <v>A12</v>
          </cell>
          <cell r="N5" t="str">
            <v>A01A</v>
          </cell>
          <cell r="O5" t="str">
            <v>A02A</v>
          </cell>
          <cell r="P5" t="str">
            <v>A03A</v>
          </cell>
          <cell r="Q5" t="str">
            <v>A04A</v>
          </cell>
          <cell r="R5" t="str">
            <v>A05A</v>
          </cell>
          <cell r="S5" t="str">
            <v>A06A</v>
          </cell>
          <cell r="T5" t="str">
            <v>A07A</v>
          </cell>
          <cell r="U5" t="str">
            <v>A08A</v>
          </cell>
          <cell r="V5" t="str">
            <v>A09A</v>
          </cell>
          <cell r="W5" t="str">
            <v>A10A</v>
          </cell>
          <cell r="X5" t="str">
            <v>A11A</v>
          </cell>
          <cell r="Y5" t="str">
            <v>A12A</v>
          </cell>
          <cell r="Z5" t="str">
            <v>B01</v>
          </cell>
          <cell r="AA5" t="str">
            <v>B02</v>
          </cell>
          <cell r="AB5" t="str">
            <v>B03</v>
          </cell>
          <cell r="AC5" t="str">
            <v>B04</v>
          </cell>
          <cell r="AD5" t="str">
            <v>B05</v>
          </cell>
          <cell r="AE5" t="str">
            <v>B06</v>
          </cell>
          <cell r="AF5" t="str">
            <v>B07</v>
          </cell>
          <cell r="AG5" t="str">
            <v>B08</v>
          </cell>
          <cell r="AH5" t="str">
            <v>B09</v>
          </cell>
          <cell r="AI5" t="str">
            <v>B10</v>
          </cell>
          <cell r="AJ5" t="str">
            <v>B11</v>
          </cell>
          <cell r="AK5" t="str">
            <v>B12</v>
          </cell>
          <cell r="AL5" t="str">
            <v>C01</v>
          </cell>
          <cell r="AM5" t="str">
            <v>C02</v>
          </cell>
          <cell r="AN5" t="str">
            <v>C03</v>
          </cell>
          <cell r="AO5" t="str">
            <v>C04</v>
          </cell>
          <cell r="AP5" t="str">
            <v>C05</v>
          </cell>
          <cell r="AQ5" t="str">
            <v>C06</v>
          </cell>
          <cell r="AR5" t="str">
            <v>C07</v>
          </cell>
          <cell r="AS5" t="str">
            <v>C08</v>
          </cell>
          <cell r="AT5" t="str">
            <v>C09</v>
          </cell>
          <cell r="AU5" t="str">
            <v>C10</v>
          </cell>
          <cell r="AV5" t="str">
            <v>C11</v>
          </cell>
          <cell r="AW5" t="str">
            <v>C12</v>
          </cell>
          <cell r="AX5" t="str">
            <v>D01</v>
          </cell>
          <cell r="AY5" t="str">
            <v>D02</v>
          </cell>
          <cell r="AZ5" t="str">
            <v>D03</v>
          </cell>
          <cell r="BA5" t="str">
            <v>D04</v>
          </cell>
          <cell r="BB5" t="str">
            <v>D05</v>
          </cell>
          <cell r="BC5" t="str">
            <v>D06</v>
          </cell>
          <cell r="BD5" t="str">
            <v>D07</v>
          </cell>
          <cell r="BE5" t="str">
            <v>D08</v>
          </cell>
          <cell r="BF5" t="str">
            <v>D09</v>
          </cell>
          <cell r="BG5" t="str">
            <v>D10</v>
          </cell>
          <cell r="BH5" t="str">
            <v>D11</v>
          </cell>
          <cell r="BI5" t="str">
            <v>D12</v>
          </cell>
          <cell r="BJ5" t="str">
            <v>E01</v>
          </cell>
          <cell r="BK5" t="str">
            <v>E02</v>
          </cell>
          <cell r="BL5" t="str">
            <v>E03</v>
          </cell>
          <cell r="BM5" t="str">
            <v>E04</v>
          </cell>
          <cell r="BN5" t="str">
            <v>E05</v>
          </cell>
          <cell r="BO5" t="str">
            <v>E06</v>
          </cell>
          <cell r="BP5" t="str">
            <v>E07</v>
          </cell>
          <cell r="BQ5" t="str">
            <v>E08</v>
          </cell>
          <cell r="BR5" t="str">
            <v>E09</v>
          </cell>
          <cell r="BS5" t="str">
            <v>E10</v>
          </cell>
          <cell r="BT5" t="str">
            <v>E11</v>
          </cell>
          <cell r="BU5" t="str">
            <v>E12</v>
          </cell>
          <cell r="BV5" t="str">
            <v>A15A</v>
          </cell>
          <cell r="BW5" t="str">
            <v>A16A</v>
          </cell>
          <cell r="BX5" t="str">
            <v>A17A</v>
          </cell>
          <cell r="BY5" t="str">
            <v>B15A</v>
          </cell>
          <cell r="BZ5" t="str">
            <v>B16A</v>
          </cell>
          <cell r="CA5" t="str">
            <v>B17A</v>
          </cell>
          <cell r="CB5" t="str">
            <v>A16</v>
          </cell>
          <cell r="CC5" t="str">
            <v>A17</v>
          </cell>
          <cell r="EA5" t="str">
            <v>E09</v>
          </cell>
          <cell r="EB5" t="str">
            <v>F09</v>
          </cell>
          <cell r="EC5" t="str">
            <v>G09</v>
          </cell>
          <cell r="ED5" t="str">
            <v>A12</v>
          </cell>
          <cell r="EE5" t="str">
            <v>A13</v>
          </cell>
          <cell r="EF5" t="str">
            <v>A14</v>
          </cell>
          <cell r="EG5" t="str">
            <v>A15</v>
          </cell>
          <cell r="EH5" t="str">
            <v>A12A</v>
          </cell>
          <cell r="EI5" t="str">
            <v>A13A</v>
          </cell>
          <cell r="EJ5" t="str">
            <v>A14A</v>
          </cell>
          <cell r="EK5" t="str">
            <v>A15A</v>
          </cell>
          <cell r="EL5" t="str">
            <v>B12</v>
          </cell>
          <cell r="EM5" t="str">
            <v>B13</v>
          </cell>
          <cell r="EN5" t="str">
            <v>B14</v>
          </cell>
          <cell r="EO5" t="str">
            <v>B15</v>
          </cell>
          <cell r="EP5" t="str">
            <v>C12</v>
          </cell>
          <cell r="EQ5" t="str">
            <v>C13</v>
          </cell>
          <cell r="ER5" t="str">
            <v>C14</v>
          </cell>
          <cell r="ES5" t="str">
            <v>C15</v>
          </cell>
          <cell r="ET5" t="str">
            <v>D12</v>
          </cell>
          <cell r="EU5" t="str">
            <v>D13</v>
          </cell>
          <cell r="EV5" t="str">
            <v>D14</v>
          </cell>
          <cell r="EW5" t="str">
            <v>D15</v>
          </cell>
          <cell r="EX5" t="str">
            <v>E12</v>
          </cell>
          <cell r="EY5" t="str">
            <v>E13</v>
          </cell>
          <cell r="EZ5" t="str">
            <v>E14</v>
          </cell>
          <cell r="FA5" t="str">
            <v>E15</v>
          </cell>
          <cell r="FB5" t="str">
            <v>A18A</v>
          </cell>
          <cell r="FC5" t="str">
            <v>A19A</v>
          </cell>
          <cell r="FD5" t="str">
            <v>A20A</v>
          </cell>
          <cell r="FE5" t="str">
            <v>B18A</v>
          </cell>
          <cell r="FF5" t="str">
            <v>B19A</v>
          </cell>
          <cell r="FG5" t="str">
            <v>B20A</v>
          </cell>
          <cell r="FH5" t="str">
            <v>A21</v>
          </cell>
          <cell r="FI5" t="str">
            <v>A22</v>
          </cell>
          <cell r="FJ5" t="str">
            <v>A23</v>
          </cell>
        </row>
        <row r="7">
          <cell r="B7" t="str">
            <v>Standard deviation for premium risk - USP -Motor vehicle liability</v>
          </cell>
          <cell r="C7" t="str">
            <v>Standard deviation for premium risk - USP -Motor, other classes</v>
          </cell>
          <cell r="D7" t="str">
            <v>Standard deviation for premium risk - USP -Marine, aviation, transport (MAT)</v>
          </cell>
          <cell r="E7" t="str">
            <v>Standard deviation for premium risk - USP -Fire and other property damage</v>
          </cell>
          <cell r="F7" t="str">
            <v>Standard deviation for premium risk - USP -Third-party liability</v>
          </cell>
          <cell r="G7" t="str">
            <v>Standard deviation for premium risk - USP -Credit and suretyship</v>
          </cell>
          <cell r="H7" t="str">
            <v>Standard deviation for premium risk - USP -Legal expenses</v>
          </cell>
          <cell r="I7" t="str">
            <v>Standard deviation for premium risk - USP -Assistance</v>
          </cell>
          <cell r="J7" t="str">
            <v>Standard deviation for premium risk - USP -Miscellaneous</v>
          </cell>
          <cell r="K7" t="str">
            <v>Standard deviation for premium risk - USP -Non-proportional reinsurance - property</v>
          </cell>
          <cell r="L7" t="str">
            <v>Standard deviation for premium risk - USP -Non-proportional reinsurance - casualty</v>
          </cell>
          <cell r="M7" t="str">
            <v>Standard deviation for premium risk - USP -Non-proportional reinsurance - MAT</v>
          </cell>
          <cell r="N7" t="str">
            <v>Standard deviation for premium risk - Adj. Factor - Motor vehicle liability</v>
          </cell>
          <cell r="O7" t="str">
            <v>Standard deviation for premium risk - Adj. Factor - Motor, other classes</v>
          </cell>
          <cell r="P7" t="str">
            <v>Standard deviation for premium risk - Adj. Factor - Marine, aviation, transport (MAT)</v>
          </cell>
          <cell r="Q7" t="str">
            <v>Standard deviation for premium risk - Adj. Factor - Fire and other property damage</v>
          </cell>
          <cell r="R7" t="str">
            <v>Standard deviation for premium risk - Adj. Factor - Third-party liability</v>
          </cell>
          <cell r="S7" t="str">
            <v>Standard deviation for premium risk - Adj. Factor - Credit and suretyship</v>
          </cell>
          <cell r="T7" t="str">
            <v>Standard deviation for premium risk - Adj. Factor - Legal expenses</v>
          </cell>
          <cell r="U7" t="str">
            <v>Standard deviation for premium risk - Adj. Factor - Assistance</v>
          </cell>
          <cell r="V7" t="str">
            <v>Standard deviation for premium risk - Adj. Factor - Miscellaneous</v>
          </cell>
          <cell r="W7" t="str">
            <v>Standard deviation for premium risk - Adj. Factor - Non-proportional reinsurance - property</v>
          </cell>
          <cell r="X7" t="str">
            <v>Standard deviation for premium risk - Adj. Factor - Non-proportional reinsurance - casualty</v>
          </cell>
          <cell r="Y7" t="str">
            <v>Standard deviation for premium risk - Adj. Factor - Non-proportional reinsurance - MAT</v>
          </cell>
          <cell r="Z7" t="str">
            <v>Standard deviation for reserve risk - USP - Motor vehicle liability</v>
          </cell>
          <cell r="AA7" t="str">
            <v>Standard deviation for reserve risk - USP - Motor, other classes</v>
          </cell>
          <cell r="AB7" t="str">
            <v>Standard deviation for reserve risk - USP - Marine, aviation, transport (MAT)</v>
          </cell>
          <cell r="AC7" t="str">
            <v>Standard deviation for reserve risk - USP - Fire and other property damage</v>
          </cell>
          <cell r="AD7" t="str">
            <v>Standard deviation for reserve risk - USP - Third-party liability</v>
          </cell>
          <cell r="AE7" t="str">
            <v>Standard deviation for reserve risk - USP - Credit and suretyship</v>
          </cell>
          <cell r="AF7" t="str">
            <v>Standard deviation for reserve risk - USP - Legal expenses</v>
          </cell>
          <cell r="AG7" t="str">
            <v>Standard deviation for reserve risk - USP - Assistance</v>
          </cell>
          <cell r="AH7" t="str">
            <v>Standard deviation for reserve risk - USP - Miscellaneous</v>
          </cell>
          <cell r="AI7" t="str">
            <v>Standard deviation for reserve risk - USP - Non-proportional reinsurance - property</v>
          </cell>
          <cell r="AJ7" t="str">
            <v>Standard deviation for reserve risk - USP - Non-proportional reinsurance - casualty</v>
          </cell>
          <cell r="AK7" t="str">
            <v>Standard deviation for reserve risk - USP - Non-proportional reinsurance - MAT</v>
          </cell>
          <cell r="AL7" t="str">
            <v>Volume measure for premium and reserve risk - Vprem - Motor vehicle liability</v>
          </cell>
          <cell r="AM7" t="str">
            <v>Volume measure for premium and reserve risk - Vprem - Motor, other classes</v>
          </cell>
          <cell r="AN7" t="str">
            <v>Volume measure for premium and reserve risk - Vprem - Marine, aviation, transport (MAT)</v>
          </cell>
          <cell r="AO7" t="str">
            <v>Volume measure for premium and reserve risk - Vprem - Fire and other property damage</v>
          </cell>
          <cell r="AP7" t="str">
            <v>Volume measure for premium and reserve risk - Vprem - Third-party liability</v>
          </cell>
          <cell r="AQ7" t="str">
            <v>Volume measure for premium and reserve risk - Vprem - Credit and suretyship</v>
          </cell>
          <cell r="AR7" t="str">
            <v>Volume measure for premium and reserve risk - Vprem - Legal expenses</v>
          </cell>
          <cell r="AS7" t="str">
            <v>Volume measure for premium and reserve risk - Vprem - Assistance</v>
          </cell>
          <cell r="AT7" t="str">
            <v>Volume measure for premium and reserve risk - Vprem - Miscellaneous</v>
          </cell>
          <cell r="AU7" t="str">
            <v>Volume measure for premium and reserve risk - Vprem - Non-proportional reinsurance - property</v>
          </cell>
          <cell r="AV7" t="str">
            <v>Volume measure for premium and reserve risk - Vprem - Non-proportional reinsurance - casualty</v>
          </cell>
          <cell r="AW7" t="str">
            <v>Volume measure for premium and reserve risk - Vprem - Non-proportional reinsurance - MAT</v>
          </cell>
          <cell r="AX7" t="str">
            <v>Volume measure for premium and reserve risk - Vres - Motor vehicle liability</v>
          </cell>
          <cell r="AY7" t="str">
            <v>Volume measure for premium and reserve risk - Vres - Motor, other classes</v>
          </cell>
          <cell r="AZ7" t="str">
            <v>Volume measure for premium and reserve risk - Vres - Marine, aviation, transport (MAT)</v>
          </cell>
          <cell r="BA7" t="str">
            <v>Volume measure for premium and reserve risk - Vres - Fire and other property damage</v>
          </cell>
          <cell r="BB7" t="str">
            <v>Volume measure for premium and reserve risk - Vres - Third-party liability</v>
          </cell>
          <cell r="BC7" t="str">
            <v>Volume measure for premium and reserve risk - Vres - Credit and suretyship</v>
          </cell>
          <cell r="BD7" t="str">
            <v>Volume measure for premium and reserve risk - Vres - Legal expenses</v>
          </cell>
          <cell r="BE7" t="str">
            <v>Volume measure for premium and reserve risk - Vres - Assistance</v>
          </cell>
          <cell r="BF7" t="str">
            <v>Volume measure for premium and reserve risk - Vres - Miscellaneous</v>
          </cell>
          <cell r="BG7" t="str">
            <v>Volume measure for premium and reserve risk - Vres - Non-proportional reinsurance - property</v>
          </cell>
          <cell r="BH7" t="str">
            <v>Volume measure for premium and reserve risk - Vres - Non-proportional reinsurance - casualty</v>
          </cell>
          <cell r="BI7" t="str">
            <v>Volume measure for premium and reserve risk - Vres - Non-proportional reinsurance - MAT</v>
          </cell>
          <cell r="BJ7" t="str">
            <v>Volume measure for premium and reserve risk - Geographical diversification - Motor vehicle liability</v>
          </cell>
          <cell r="BK7" t="str">
            <v>Volume measure for premium and reserve risk - Geographical diversification - Motor, other classes</v>
          </cell>
          <cell r="BL7" t="str">
            <v>Volume measure for premium and reserve risk - Geographical diversification - Marine, aviation, transport (MAT)</v>
          </cell>
          <cell r="BM7" t="str">
            <v>Volume measure for premium and reserve risk - Geographical diversification - Fire and other property damage</v>
          </cell>
          <cell r="BN7" t="str">
            <v>Volume measure for premium and reserve risk - Geographical diversification - Third-party liability</v>
          </cell>
          <cell r="BO7" t="str">
            <v>Volume measure for premium and reserve risk - Geographical diversification - Credit and suretyship</v>
          </cell>
          <cell r="BP7" t="str">
            <v>Volume measure for premium and reserve risk - Geographical diversification - Legal expenses</v>
          </cell>
          <cell r="BQ7" t="str">
            <v>Volume measure for premium and reserve risk - Geographical diversification - Assistance</v>
          </cell>
          <cell r="BR7" t="str">
            <v>Volume measure for premium and reserve risk - Geographical diversification - Miscellaneous</v>
          </cell>
          <cell r="BS7" t="str">
            <v>Volume measure for premium and reserve risk - Geographical diversification - Non-proportional reinsurance - property</v>
          </cell>
          <cell r="BT7" t="str">
            <v>Volume measure for premium and reserve risk - Geographical diversification - Non-proportional reinsurance - casualty</v>
          </cell>
          <cell r="BU7" t="str">
            <v>Volume measure for premium and reserve risk - Geographical diversification - Non-proportional reinsurance - MAT</v>
          </cell>
          <cell r="BV7" t="str">
            <v>Initial Liabilities before shock - Risk of increase in Lapsation</v>
          </cell>
          <cell r="BW7" t="str">
            <v>Initial Liabilities before shock - Risk of decrease in Lapsation</v>
          </cell>
          <cell r="BX7" t="str">
            <v>Initial Liabilities before shock - Mass lapse risk</v>
          </cell>
          <cell r="BY7" t="str">
            <v>Liabilities after shock - Risk of increase in Lapsation</v>
          </cell>
          <cell r="BZ7" t="str">
            <v>Liabilities after shock - Risk of decrease in Lapsation</v>
          </cell>
          <cell r="CA7" t="str">
            <v>Liabilities after shock - Mass Lapse Risk</v>
          </cell>
          <cell r="CB7" t="str">
            <v>SCR Non Life Catastrophe risk - Method 1</v>
          </cell>
          <cell r="CC7" t="str">
            <v>SCR Non Life Catastrophe risk - Method 2</v>
          </cell>
          <cell r="CD7" t="str">
            <v>Net written premiums n -Motor vehicle liability</v>
          </cell>
          <cell r="CE7" t="str">
            <v>Net written premiums n -Motor, other classes</v>
          </cell>
          <cell r="CF7" t="str">
            <v>Net written premiums n -Marine, aviation, transport (MAT)</v>
          </cell>
          <cell r="CG7" t="str">
            <v>Net written premiums n -Fire and other property damage</v>
          </cell>
          <cell r="CH7" t="str">
            <v>Net written premiums n -Third-party liability</v>
          </cell>
          <cell r="CI7" t="str">
            <v>Net written premiums n -Credit and suretyship</v>
          </cell>
          <cell r="CJ7" t="str">
            <v>Net written premiums n -Legal expenses</v>
          </cell>
          <cell r="CK7" t="str">
            <v>Net written premiums n -Assistance</v>
          </cell>
          <cell r="CL7" t="str">
            <v>Net written premiums n -Miscellaneous</v>
          </cell>
          <cell r="CM7" t="str">
            <v>Net written premiums n -Non-proportional reinsurance - property</v>
          </cell>
          <cell r="CN7" t="str">
            <v>Net written premiums n -Non-proportional reinsurance - casualty</v>
          </cell>
          <cell r="CO7" t="str">
            <v>Net written premiums n -Non-proportional reinsurance - MAT</v>
          </cell>
          <cell r="CP7" t="str">
            <v>Net earned premiums n -Motor vehicle liability</v>
          </cell>
          <cell r="CQ7" t="str">
            <v>Net earned premiums n -Motor, other classes</v>
          </cell>
          <cell r="CR7" t="str">
            <v>Net earned premiums n -Marine, aviation, transport (MAT)</v>
          </cell>
          <cell r="CS7" t="str">
            <v>Net earned premiums n -Fire and other property damage</v>
          </cell>
          <cell r="CT7" t="str">
            <v>Net earned premiums n -Third-party liability</v>
          </cell>
          <cell r="CU7" t="str">
            <v>Net earned premiums n -Credit and suretyship</v>
          </cell>
          <cell r="CV7" t="str">
            <v>Net earned premiums n -Legal expenses</v>
          </cell>
          <cell r="CW7" t="str">
            <v>Net earned premiums n -Assistance</v>
          </cell>
          <cell r="CX7" t="str">
            <v>Net earned premiums n -Miscellaneous</v>
          </cell>
          <cell r="CY7" t="str">
            <v>Net earned premiums n -Non-proportional reinsurance - property</v>
          </cell>
          <cell r="CZ7" t="str">
            <v>Net earned premiums n -Non-proportional reinsurance - casualty</v>
          </cell>
          <cell r="DA7" t="str">
            <v>Net earned premiums n -Non-proportional reinsurance - MAT</v>
          </cell>
          <cell r="DB7" t="str">
            <v>Net written premiums n-1 -Motor vehicle liability</v>
          </cell>
          <cell r="DC7" t="str">
            <v>Net written premiums n-1 -Motor, other classes</v>
          </cell>
          <cell r="DD7" t="str">
            <v>Net written premiums n-1 -Marine, aviation, transport (MAT)</v>
          </cell>
          <cell r="DE7" t="str">
            <v>Net written premiums n-1 -Fire and other property damage</v>
          </cell>
          <cell r="DF7" t="str">
            <v>Net written premiums n-1 -Third-party liability</v>
          </cell>
          <cell r="DG7" t="str">
            <v>Net written premiums n-1 -Credit and suretyship</v>
          </cell>
          <cell r="DH7" t="str">
            <v>Net written premiums n-1 -Legal expenses</v>
          </cell>
          <cell r="DI7" t="str">
            <v>Net written premiums n-1 -Assistance</v>
          </cell>
          <cell r="DJ7" t="str">
            <v>Net written premiums n-1 -Miscellaneous</v>
          </cell>
          <cell r="DK7" t="str">
            <v>Net written premiums n-1 -Non-proportional reinsurance - property</v>
          </cell>
          <cell r="DL7" t="str">
            <v>Net written premiums n-1 -Non-proportional reinsurance - casualty</v>
          </cell>
          <cell r="DM7" t="str">
            <v>Net written premiums n-1 -Non-proportional reinsurance - MAT</v>
          </cell>
          <cell r="DN7" t="str">
            <v>Net premiums expected for the existing contracts n -Motor vehicle liability</v>
          </cell>
          <cell r="DO7" t="str">
            <v>Net premiums expected for the existing contracts n -Motor, other classes</v>
          </cell>
          <cell r="DP7" t="str">
            <v>Net premiums expected for the existing contracts n -Marine, aviation, transport (MAT)</v>
          </cell>
          <cell r="DQ7" t="str">
            <v>Net premiums expected for the existing contracts n -Fire and other property damage</v>
          </cell>
          <cell r="DR7" t="str">
            <v>Net premiums expected for the existing contracts n -Third-party liability</v>
          </cell>
          <cell r="DS7" t="str">
            <v>Net premiums expected for the existing contracts n -Credit and suretyship</v>
          </cell>
          <cell r="DT7" t="str">
            <v>Net premiums expected for the existing contracts n -Legal expenses</v>
          </cell>
          <cell r="DU7" t="str">
            <v>Net premiums expected for the existing contracts n -Assistance</v>
          </cell>
          <cell r="DV7" t="str">
            <v>Net premiums expected for the existing contracts n -Miscellaneous</v>
          </cell>
          <cell r="DW7" t="str">
            <v>Net premiums expected for the existing contracts n -Non-proportional reinsurance - property</v>
          </cell>
          <cell r="DX7" t="str">
            <v>Net premiums expected for the existing contracts n -Non-proportional reinsurance - casualty</v>
          </cell>
          <cell r="DY7" t="str">
            <v>Net premiums expected for the existing contracts n -Non-proportional reinsurance - MAT</v>
          </cell>
          <cell r="EA7" t="str">
            <v>Revision shock Used</v>
          </cell>
          <cell r="EB7" t="str">
            <v>Revision shock Standard</v>
          </cell>
          <cell r="EC7" t="str">
            <v>Revision shock USP</v>
          </cell>
          <cell r="ED7" t="str">
            <v>Standard deviation for premium risk - USP - Medical expense</v>
          </cell>
          <cell r="EE7" t="str">
            <v>Standard deviation for premium risk - USP - Income protection</v>
          </cell>
          <cell r="EF7" t="str">
            <v>Standard deviation for premium risk - USP - Worker's compensation</v>
          </cell>
          <cell r="EG7" t="str">
            <v>Standard deviation for premium risk - USP - Non-Proportional health reinsurance</v>
          </cell>
          <cell r="EH7" t="str">
            <v>Standard deviation for premium risk - Adjustment factor for non-proportional reinsurance - Medical expense</v>
          </cell>
          <cell r="EI7" t="str">
            <v>Standard deviation for premium risk - Adjustment factor for non-proportional reinsurance - Income protection</v>
          </cell>
          <cell r="EJ7" t="str">
            <v>Standard deviation for premium risk - Adjustment factor for non-proportional reinsurance - Worker's compensation</v>
          </cell>
          <cell r="EK7" t="str">
            <v>Standard deviation for premium risk - Adjustment factor for non-proportional reinsurance - Non-Proportional health reinsurance</v>
          </cell>
          <cell r="EL7" t="str">
            <v>Standard deviation for reserve risk - USP - Medical expense</v>
          </cell>
          <cell r="EM7" t="str">
            <v>Standard deviation for reserve risk - USP - Income protection</v>
          </cell>
          <cell r="EN7" t="str">
            <v>Standard deviation for reserve risk - USP - Worker's compensation</v>
          </cell>
          <cell r="EO7" t="str">
            <v>Standard deviation for reserve risk - USP - Non-Proportional health reinsurance</v>
          </cell>
          <cell r="EP7" t="str">
            <v>Volume measure for premium and reserve risk - Premium - Medical expense</v>
          </cell>
          <cell r="EQ7" t="str">
            <v>Volume measure for premium and reserve risk - Premium - Income protection</v>
          </cell>
          <cell r="ER7" t="str">
            <v>Volume measure for premium and reserve risk - Premium - Worker's compensation</v>
          </cell>
          <cell r="ES7" t="str">
            <v>Volume measure for premium and reserve risk - Premium - Non-Proportional health reinsurance</v>
          </cell>
          <cell r="ET7" t="str">
            <v>Volume measure for premium and reserve risk - Reserve - Medical expense</v>
          </cell>
          <cell r="EU7" t="str">
            <v>Volume measure for premium and reserve risk - Reserve - Income protection</v>
          </cell>
          <cell r="EV7" t="str">
            <v>Volume measure for premium and reserve risk - Reserve - Worker's compensation</v>
          </cell>
          <cell r="EW7" t="str">
            <v>Volume measure for premium and reserve risk - Reserve - Non-Proportional health reinsurance</v>
          </cell>
          <cell r="EX7" t="str">
            <v>Volume measure for premium and reserve risk - Geographical Diversification - Medical expense</v>
          </cell>
          <cell r="EY7" t="str">
            <v>Volume measure for premium and reserve risk - Geographical Diversification - Income protection</v>
          </cell>
          <cell r="EZ7" t="str">
            <v>Volume measure for premium and reserve risk - Geographical Diversification - Worker's compensation</v>
          </cell>
          <cell r="FA7" t="str">
            <v>Volume measure for premium and reserve risk - Geographical Diversification - Non-Proportional health reinsurance</v>
          </cell>
          <cell r="FB7" t="str">
            <v>Initial liabilities Health NSLT Lapse Up risk before shock</v>
          </cell>
          <cell r="FC7" t="str">
            <v>Initial liabilities Health NSLT Lapse Down risk before shock</v>
          </cell>
          <cell r="FD7" t="str">
            <v>Initial liabilities Health NSLT Lapse Mass risk before shock</v>
          </cell>
          <cell r="FE7" t="str">
            <v>Liabilities after Health NSLT Lapse up risk shock</v>
          </cell>
          <cell r="FF7" t="str">
            <v>Liabilities after Health NSLT Lapse Down risk shock</v>
          </cell>
          <cell r="FG7" t="str">
            <v>Liabilities after Health NSLT Lapse Mass risk shock</v>
          </cell>
          <cell r="FH7" t="str">
            <v>SCR Health mass accident Risk</v>
          </cell>
          <cell r="FI7" t="str">
            <v>SCR Health accident concentration Risk</v>
          </cell>
          <cell r="FJ7" t="str">
            <v>SCR Health pandemic Risk</v>
          </cell>
          <cell r="FK7" t="str">
            <v>Net written premiums n - Premium - Medical expense</v>
          </cell>
          <cell r="FL7" t="str">
            <v>Net written premiums n - Premium - Income protection</v>
          </cell>
          <cell r="FM7" t="str">
            <v>Net written premiums n - Premium - Worker's compensation</v>
          </cell>
          <cell r="FN7" t="str">
            <v>Net written premiums n - Premium - Non-Proportional health reinsurance</v>
          </cell>
          <cell r="FO7" t="str">
            <v>Net earned premiums n - Premium - Medical expense</v>
          </cell>
          <cell r="FP7" t="str">
            <v>Net earned premiums n - Premium - Income protection</v>
          </cell>
          <cell r="FQ7" t="str">
            <v>Net earned premiums n - Premium - Worker's compensation</v>
          </cell>
          <cell r="FR7" t="str">
            <v>Net earned premiums n - Premium - Non-Proportional health reinsurance</v>
          </cell>
          <cell r="FS7" t="str">
            <v>Net written premiums n-1 - Premium - Medical expense</v>
          </cell>
          <cell r="FT7" t="str">
            <v>Net written premiums n-1 - Premium - Income protection</v>
          </cell>
          <cell r="FU7" t="str">
            <v>Net written premiums n-1 - Premium - Worker's compensation</v>
          </cell>
          <cell r="FV7" t="str">
            <v>Net written premiums n-1 - Premium - Non-Proportional health reinsurance</v>
          </cell>
          <cell r="FW7" t="str">
            <v>Net premiums expected for the existing contracts n - Premium - Medical expense</v>
          </cell>
          <cell r="FX7" t="str">
            <v>Net premiums expected for the existing contracts n - Premium - Income protection</v>
          </cell>
          <cell r="FY7" t="str">
            <v>Net premiums expected for the existing contracts n - Premium - Worker's compensation</v>
          </cell>
          <cell r="FZ7" t="str">
            <v>Net premiums expected for the existing contracts n - Premium - Non-Proportional health reinsurance</v>
          </cell>
        </row>
        <row r="8">
          <cell r="B8">
            <v>0.1</v>
          </cell>
          <cell r="C8">
            <v>0.08</v>
          </cell>
          <cell r="D8">
            <v>0.15</v>
          </cell>
          <cell r="E8">
            <v>0.08</v>
          </cell>
          <cell r="F8">
            <v>0.15</v>
          </cell>
          <cell r="G8">
            <v>0.22</v>
          </cell>
          <cell r="H8">
            <v>7.0000000000000007E-2</v>
          </cell>
          <cell r="I8">
            <v>0.05</v>
          </cell>
          <cell r="J8">
            <v>0.13</v>
          </cell>
          <cell r="K8">
            <v>0.18</v>
          </cell>
          <cell r="L8">
            <v>0.17</v>
          </cell>
          <cell r="M8">
            <v>0.16</v>
          </cell>
          <cell r="N8">
            <v>0.8</v>
          </cell>
          <cell r="O8">
            <v>1</v>
          </cell>
          <cell r="P8">
            <v>1</v>
          </cell>
          <cell r="Q8">
            <v>0.8</v>
          </cell>
          <cell r="R8">
            <v>0.8</v>
          </cell>
          <cell r="S8">
            <v>1</v>
          </cell>
          <cell r="T8">
            <v>1</v>
          </cell>
          <cell r="U8">
            <v>1</v>
          </cell>
          <cell r="V8">
            <v>1</v>
          </cell>
          <cell r="W8">
            <v>1</v>
          </cell>
          <cell r="X8">
            <v>1</v>
          </cell>
          <cell r="Y8">
            <v>1</v>
          </cell>
          <cell r="Z8">
            <v>0.1</v>
          </cell>
          <cell r="AA8">
            <v>0.1</v>
          </cell>
          <cell r="AB8">
            <v>0.14000000000000001</v>
          </cell>
          <cell r="AC8">
            <v>0.11</v>
          </cell>
          <cell r="AD8">
            <v>0.11</v>
          </cell>
          <cell r="AE8">
            <v>0.19</v>
          </cell>
          <cell r="AF8">
            <v>0.09</v>
          </cell>
          <cell r="AG8">
            <v>0.11</v>
          </cell>
          <cell r="AH8">
            <v>0.15</v>
          </cell>
          <cell r="AI8">
            <v>0.2</v>
          </cell>
          <cell r="AJ8">
            <v>0.2</v>
          </cell>
          <cell r="AK8">
            <v>0.2</v>
          </cell>
          <cell r="AL8">
            <v>0</v>
          </cell>
          <cell r="AM8">
            <v>0</v>
          </cell>
          <cell r="AN8">
            <v>0</v>
          </cell>
          <cell r="AO8">
            <v>0</v>
          </cell>
          <cell r="AP8">
            <v>0</v>
          </cell>
          <cell r="AQ8">
            <v>0</v>
          </cell>
          <cell r="AR8">
            <v>0</v>
          </cell>
          <cell r="AS8">
            <v>0</v>
          </cell>
          <cell r="AT8">
            <v>0</v>
          </cell>
          <cell r="AU8">
            <v>0</v>
          </cell>
          <cell r="AV8">
            <v>0</v>
          </cell>
          <cell r="AW8">
            <v>0</v>
          </cell>
          <cell r="AX8">
            <v>0</v>
          </cell>
          <cell r="AY8">
            <v>0</v>
          </cell>
          <cell r="AZ8">
            <v>0</v>
          </cell>
          <cell r="BA8">
            <v>0</v>
          </cell>
          <cell r="BB8">
            <v>0</v>
          </cell>
          <cell r="BC8">
            <v>0</v>
          </cell>
          <cell r="BD8">
            <v>0</v>
          </cell>
          <cell r="BE8">
            <v>0</v>
          </cell>
          <cell r="BF8">
            <v>0</v>
          </cell>
          <cell r="BG8">
            <v>0</v>
          </cell>
          <cell r="BH8">
            <v>0</v>
          </cell>
          <cell r="BI8">
            <v>0</v>
          </cell>
          <cell r="BJ8">
            <v>0</v>
          </cell>
          <cell r="BK8">
            <v>0</v>
          </cell>
          <cell r="BL8">
            <v>0</v>
          </cell>
          <cell r="BM8">
            <v>0</v>
          </cell>
          <cell r="BN8">
            <v>0</v>
          </cell>
          <cell r="BO8">
            <v>0</v>
          </cell>
          <cell r="BP8">
            <v>0</v>
          </cell>
          <cell r="BQ8">
            <v>0</v>
          </cell>
          <cell r="BR8">
            <v>0</v>
          </cell>
          <cell r="BS8">
            <v>0</v>
          </cell>
          <cell r="BT8">
            <v>0</v>
          </cell>
          <cell r="BU8">
            <v>0</v>
          </cell>
          <cell r="BV8">
            <v>0</v>
          </cell>
          <cell r="BW8">
            <v>0</v>
          </cell>
          <cell r="BX8">
            <v>0</v>
          </cell>
          <cell r="BY8">
            <v>0</v>
          </cell>
          <cell r="BZ8">
            <v>0</v>
          </cell>
          <cell r="CA8">
            <v>0</v>
          </cell>
          <cell r="CB8">
            <v>0</v>
          </cell>
          <cell r="CC8">
            <v>0</v>
          </cell>
          <cell r="CD8">
            <v>0</v>
          </cell>
          <cell r="CE8">
            <v>0</v>
          </cell>
          <cell r="CF8">
            <v>0</v>
          </cell>
          <cell r="CG8">
            <v>0</v>
          </cell>
          <cell r="CH8">
            <v>0</v>
          </cell>
          <cell r="CI8">
            <v>0</v>
          </cell>
          <cell r="CJ8">
            <v>0</v>
          </cell>
          <cell r="CK8">
            <v>0</v>
          </cell>
          <cell r="CL8">
            <v>0</v>
          </cell>
          <cell r="CM8">
            <v>0</v>
          </cell>
          <cell r="CN8">
            <v>0</v>
          </cell>
          <cell r="CO8">
            <v>0</v>
          </cell>
          <cell r="CP8">
            <v>0</v>
          </cell>
          <cell r="CQ8">
            <v>0</v>
          </cell>
          <cell r="CR8">
            <v>0</v>
          </cell>
          <cell r="CS8">
            <v>0</v>
          </cell>
          <cell r="CT8">
            <v>0</v>
          </cell>
          <cell r="CU8">
            <v>0</v>
          </cell>
          <cell r="CV8">
            <v>0</v>
          </cell>
          <cell r="CW8">
            <v>0</v>
          </cell>
          <cell r="CX8">
            <v>0</v>
          </cell>
          <cell r="CY8">
            <v>0</v>
          </cell>
          <cell r="CZ8">
            <v>0</v>
          </cell>
          <cell r="DA8">
            <v>0</v>
          </cell>
          <cell r="DB8">
            <v>0</v>
          </cell>
          <cell r="DC8">
            <v>0</v>
          </cell>
          <cell r="DD8">
            <v>0</v>
          </cell>
          <cell r="DE8">
            <v>0</v>
          </cell>
          <cell r="DF8">
            <v>0</v>
          </cell>
          <cell r="DG8">
            <v>0</v>
          </cell>
          <cell r="DH8">
            <v>0</v>
          </cell>
          <cell r="DI8">
            <v>0</v>
          </cell>
          <cell r="DJ8">
            <v>0</v>
          </cell>
          <cell r="DK8">
            <v>0</v>
          </cell>
          <cell r="DL8">
            <v>0</v>
          </cell>
          <cell r="DM8">
            <v>0</v>
          </cell>
          <cell r="DN8">
            <v>0</v>
          </cell>
          <cell r="DO8">
            <v>0</v>
          </cell>
          <cell r="DP8">
            <v>0</v>
          </cell>
          <cell r="DQ8">
            <v>0</v>
          </cell>
          <cell r="DR8">
            <v>0</v>
          </cell>
          <cell r="DS8">
            <v>0</v>
          </cell>
          <cell r="DT8">
            <v>0</v>
          </cell>
          <cell r="DU8">
            <v>0</v>
          </cell>
          <cell r="DV8">
            <v>0</v>
          </cell>
          <cell r="DW8">
            <v>0</v>
          </cell>
          <cell r="DX8">
            <v>0</v>
          </cell>
          <cell r="DY8">
            <v>0</v>
          </cell>
          <cell r="DZ8">
            <v>0</v>
          </cell>
          <cell r="EA8">
            <v>0</v>
          </cell>
          <cell r="EB8">
            <v>0</v>
          </cell>
          <cell r="EC8">
            <v>0</v>
          </cell>
          <cell r="ED8">
            <v>0.05</v>
          </cell>
          <cell r="EE8">
            <v>0.09</v>
          </cell>
          <cell r="EF8">
            <v>0.08</v>
          </cell>
          <cell r="EG8">
            <v>0.17</v>
          </cell>
          <cell r="EH8">
            <v>1</v>
          </cell>
          <cell r="EI8">
            <v>1</v>
          </cell>
          <cell r="EJ8">
            <v>1</v>
          </cell>
          <cell r="EK8">
            <v>1</v>
          </cell>
          <cell r="EL8">
            <v>0.05</v>
          </cell>
          <cell r="EM8">
            <v>0.14000000000000001</v>
          </cell>
          <cell r="EN8">
            <v>0.11</v>
          </cell>
          <cell r="EO8">
            <v>0.2</v>
          </cell>
          <cell r="EP8">
            <v>0</v>
          </cell>
          <cell r="EQ8">
            <v>0</v>
          </cell>
          <cell r="ER8">
            <v>0</v>
          </cell>
          <cell r="ES8">
            <v>0</v>
          </cell>
          <cell r="ET8">
            <v>0</v>
          </cell>
          <cell r="EU8">
            <v>0</v>
          </cell>
          <cell r="EV8">
            <v>0</v>
          </cell>
          <cell r="EW8">
            <v>0</v>
          </cell>
          <cell r="EX8">
            <v>1</v>
          </cell>
          <cell r="EY8">
            <v>1</v>
          </cell>
          <cell r="EZ8">
            <v>1</v>
          </cell>
          <cell r="FA8">
            <v>0</v>
          </cell>
          <cell r="FB8">
            <v>0</v>
          </cell>
          <cell r="FC8">
            <v>0</v>
          </cell>
          <cell r="FD8">
            <v>0</v>
          </cell>
          <cell r="FE8">
            <v>0</v>
          </cell>
          <cell r="FF8">
            <v>0</v>
          </cell>
          <cell r="FG8">
            <v>0</v>
          </cell>
          <cell r="FH8">
            <v>0</v>
          </cell>
          <cell r="FI8">
            <v>0</v>
          </cell>
          <cell r="FJ8">
            <v>0</v>
          </cell>
          <cell r="FK8">
            <v>0</v>
          </cell>
          <cell r="FL8">
            <v>0</v>
          </cell>
          <cell r="FM8">
            <v>0</v>
          </cell>
          <cell r="FN8">
            <v>0</v>
          </cell>
          <cell r="FO8">
            <v>0</v>
          </cell>
          <cell r="FP8">
            <v>0</v>
          </cell>
          <cell r="FQ8">
            <v>0</v>
          </cell>
          <cell r="FR8">
            <v>0</v>
          </cell>
          <cell r="FS8">
            <v>0</v>
          </cell>
          <cell r="FT8">
            <v>0</v>
          </cell>
          <cell r="FU8">
            <v>0</v>
          </cell>
          <cell r="FV8">
            <v>0</v>
          </cell>
          <cell r="FW8">
            <v>0</v>
          </cell>
          <cell r="FX8">
            <v>0</v>
          </cell>
          <cell r="FY8">
            <v>0</v>
          </cell>
          <cell r="FZ8">
            <v>0</v>
          </cell>
        </row>
        <row r="9">
          <cell r="B9">
            <v>0.1</v>
          </cell>
          <cell r="C9">
            <v>0.08</v>
          </cell>
          <cell r="D9">
            <v>0.15</v>
          </cell>
          <cell r="E9">
            <v>0.08</v>
          </cell>
          <cell r="F9">
            <v>0.15</v>
          </cell>
          <cell r="G9">
            <v>0.22</v>
          </cell>
          <cell r="H9">
            <v>7.0000000000000007E-2</v>
          </cell>
          <cell r="I9">
            <v>0.05</v>
          </cell>
          <cell r="J9">
            <v>0.13</v>
          </cell>
          <cell r="K9">
            <v>0.18</v>
          </cell>
          <cell r="L9">
            <v>0.17</v>
          </cell>
          <cell r="M9">
            <v>0.16</v>
          </cell>
          <cell r="N9">
            <v>0.8</v>
          </cell>
          <cell r="O9">
            <v>1</v>
          </cell>
          <cell r="P9">
            <v>1</v>
          </cell>
          <cell r="Q9">
            <v>0.8</v>
          </cell>
          <cell r="R9">
            <v>0.8</v>
          </cell>
          <cell r="S9">
            <v>1</v>
          </cell>
          <cell r="T9">
            <v>1</v>
          </cell>
          <cell r="U9">
            <v>1</v>
          </cell>
          <cell r="V9">
            <v>1</v>
          </cell>
          <cell r="W9">
            <v>1</v>
          </cell>
          <cell r="X9">
            <v>1</v>
          </cell>
          <cell r="Y9">
            <v>1</v>
          </cell>
          <cell r="Z9">
            <v>0.1</v>
          </cell>
          <cell r="AA9">
            <v>0.1</v>
          </cell>
          <cell r="AB9">
            <v>0.14000000000000001</v>
          </cell>
          <cell r="AC9">
            <v>0.11</v>
          </cell>
          <cell r="AD9">
            <v>0.11</v>
          </cell>
          <cell r="AE9">
            <v>0.19</v>
          </cell>
          <cell r="AF9">
            <v>0.09</v>
          </cell>
          <cell r="AG9">
            <v>0.11</v>
          </cell>
          <cell r="AH9">
            <v>0.15</v>
          </cell>
          <cell r="AI9">
            <v>0.2</v>
          </cell>
          <cell r="AJ9">
            <v>0.2</v>
          </cell>
          <cell r="AK9">
            <v>0.2</v>
          </cell>
          <cell r="AL9">
            <v>0</v>
          </cell>
          <cell r="AM9">
            <v>0</v>
          </cell>
          <cell r="AN9">
            <v>0</v>
          </cell>
          <cell r="AO9">
            <v>0</v>
          </cell>
          <cell r="AP9">
            <v>0</v>
          </cell>
          <cell r="AQ9">
            <v>0</v>
          </cell>
          <cell r="AR9">
            <v>0</v>
          </cell>
          <cell r="AS9">
            <v>0</v>
          </cell>
          <cell r="AT9">
            <v>0</v>
          </cell>
          <cell r="AU9">
            <v>0</v>
          </cell>
          <cell r="AV9">
            <v>0</v>
          </cell>
          <cell r="AW9">
            <v>0</v>
          </cell>
          <cell r="AX9">
            <v>0</v>
          </cell>
          <cell r="AY9">
            <v>0</v>
          </cell>
          <cell r="AZ9">
            <v>0</v>
          </cell>
          <cell r="BA9">
            <v>0</v>
          </cell>
          <cell r="BB9">
            <v>0</v>
          </cell>
          <cell r="BC9">
            <v>0</v>
          </cell>
          <cell r="BD9">
            <v>0</v>
          </cell>
          <cell r="BE9">
            <v>0</v>
          </cell>
          <cell r="BF9">
            <v>0</v>
          </cell>
          <cell r="BG9">
            <v>0</v>
          </cell>
          <cell r="BH9">
            <v>0</v>
          </cell>
          <cell r="BI9">
            <v>0</v>
          </cell>
          <cell r="BJ9">
            <v>0</v>
          </cell>
          <cell r="BK9">
            <v>0</v>
          </cell>
          <cell r="BL9">
            <v>0</v>
          </cell>
          <cell r="BM9">
            <v>0</v>
          </cell>
          <cell r="BN9">
            <v>0</v>
          </cell>
          <cell r="BO9">
            <v>0</v>
          </cell>
          <cell r="BP9">
            <v>0</v>
          </cell>
          <cell r="BQ9">
            <v>0</v>
          </cell>
          <cell r="BR9">
            <v>0</v>
          </cell>
          <cell r="BS9">
            <v>0</v>
          </cell>
          <cell r="BT9">
            <v>0</v>
          </cell>
          <cell r="BU9">
            <v>0</v>
          </cell>
          <cell r="BV9">
            <v>0</v>
          </cell>
          <cell r="BW9">
            <v>0</v>
          </cell>
          <cell r="BX9">
            <v>0</v>
          </cell>
          <cell r="BY9">
            <v>0</v>
          </cell>
          <cell r="BZ9">
            <v>0</v>
          </cell>
          <cell r="CA9">
            <v>0</v>
          </cell>
          <cell r="CB9">
            <v>0</v>
          </cell>
          <cell r="CC9">
            <v>0</v>
          </cell>
          <cell r="CD9">
            <v>0</v>
          </cell>
          <cell r="CE9">
            <v>0</v>
          </cell>
          <cell r="CF9">
            <v>0</v>
          </cell>
          <cell r="CG9">
            <v>0</v>
          </cell>
          <cell r="CH9">
            <v>0</v>
          </cell>
          <cell r="CI9">
            <v>0</v>
          </cell>
          <cell r="CJ9">
            <v>0</v>
          </cell>
          <cell r="CK9">
            <v>0</v>
          </cell>
          <cell r="CL9">
            <v>0</v>
          </cell>
          <cell r="CM9">
            <v>0</v>
          </cell>
          <cell r="CN9">
            <v>0</v>
          </cell>
          <cell r="CO9">
            <v>0</v>
          </cell>
          <cell r="CP9">
            <v>0</v>
          </cell>
          <cell r="CQ9">
            <v>0</v>
          </cell>
          <cell r="CR9">
            <v>0</v>
          </cell>
          <cell r="CS9">
            <v>0</v>
          </cell>
          <cell r="CT9">
            <v>0</v>
          </cell>
          <cell r="CU9">
            <v>0</v>
          </cell>
          <cell r="CV9">
            <v>0</v>
          </cell>
          <cell r="CW9">
            <v>0</v>
          </cell>
          <cell r="CX9">
            <v>0</v>
          </cell>
          <cell r="CY9">
            <v>0</v>
          </cell>
          <cell r="CZ9">
            <v>0</v>
          </cell>
          <cell r="DA9">
            <v>0</v>
          </cell>
          <cell r="DB9">
            <v>0</v>
          </cell>
          <cell r="DC9">
            <v>0</v>
          </cell>
          <cell r="DD9">
            <v>0</v>
          </cell>
          <cell r="DE9">
            <v>0</v>
          </cell>
          <cell r="DF9">
            <v>0</v>
          </cell>
          <cell r="DG9">
            <v>0</v>
          </cell>
          <cell r="DH9">
            <v>0</v>
          </cell>
          <cell r="DI9">
            <v>0</v>
          </cell>
          <cell r="DJ9">
            <v>0</v>
          </cell>
          <cell r="DK9">
            <v>0</v>
          </cell>
          <cell r="DL9">
            <v>0</v>
          </cell>
          <cell r="DM9">
            <v>0</v>
          </cell>
          <cell r="DN9">
            <v>0</v>
          </cell>
          <cell r="DO9">
            <v>0</v>
          </cell>
          <cell r="DP9">
            <v>0</v>
          </cell>
          <cell r="DQ9">
            <v>0</v>
          </cell>
          <cell r="DR9">
            <v>0</v>
          </cell>
          <cell r="DS9">
            <v>0</v>
          </cell>
          <cell r="DT9">
            <v>0</v>
          </cell>
          <cell r="DU9">
            <v>0</v>
          </cell>
          <cell r="DV9">
            <v>0</v>
          </cell>
          <cell r="DW9">
            <v>0</v>
          </cell>
          <cell r="DX9">
            <v>0</v>
          </cell>
          <cell r="DY9">
            <v>0</v>
          </cell>
          <cell r="DZ9">
            <v>0</v>
          </cell>
          <cell r="EA9">
            <v>0</v>
          </cell>
          <cell r="EB9">
            <v>0</v>
          </cell>
          <cell r="EC9">
            <v>0</v>
          </cell>
          <cell r="ED9">
            <v>0.05</v>
          </cell>
          <cell r="EE9">
            <v>0.09</v>
          </cell>
          <cell r="EF9">
            <v>0.08</v>
          </cell>
          <cell r="EG9">
            <v>0.17</v>
          </cell>
          <cell r="EH9">
            <v>1</v>
          </cell>
          <cell r="EI9">
            <v>1</v>
          </cell>
          <cell r="EJ9">
            <v>1</v>
          </cell>
          <cell r="EK9">
            <v>1</v>
          </cell>
          <cell r="EL9">
            <v>0.05</v>
          </cell>
          <cell r="EM9">
            <v>0.14000000000000001</v>
          </cell>
          <cell r="EN9">
            <v>0.11</v>
          </cell>
          <cell r="EO9">
            <v>0.2</v>
          </cell>
          <cell r="EP9">
            <v>0</v>
          </cell>
          <cell r="EQ9">
            <v>0</v>
          </cell>
          <cell r="ER9">
            <v>0</v>
          </cell>
          <cell r="ES9">
            <v>0</v>
          </cell>
          <cell r="ET9">
            <v>0</v>
          </cell>
          <cell r="EU9">
            <v>0</v>
          </cell>
          <cell r="EV9">
            <v>0</v>
          </cell>
          <cell r="EW9">
            <v>0</v>
          </cell>
          <cell r="EX9">
            <v>1</v>
          </cell>
          <cell r="EY9">
            <v>1</v>
          </cell>
          <cell r="EZ9">
            <v>1</v>
          </cell>
          <cell r="FA9">
            <v>0</v>
          </cell>
          <cell r="FB9">
            <v>0</v>
          </cell>
          <cell r="FC9">
            <v>0</v>
          </cell>
          <cell r="FD9">
            <v>0</v>
          </cell>
          <cell r="FE9">
            <v>0</v>
          </cell>
          <cell r="FF9">
            <v>0</v>
          </cell>
          <cell r="FG9">
            <v>0</v>
          </cell>
          <cell r="FH9">
            <v>0</v>
          </cell>
          <cell r="FI9">
            <v>0</v>
          </cell>
          <cell r="FJ9">
            <v>0</v>
          </cell>
          <cell r="FK9">
            <v>0</v>
          </cell>
          <cell r="FL9">
            <v>0</v>
          </cell>
          <cell r="FM9">
            <v>0</v>
          </cell>
          <cell r="FN9">
            <v>0</v>
          </cell>
          <cell r="FO9">
            <v>0</v>
          </cell>
          <cell r="FP9">
            <v>0</v>
          </cell>
          <cell r="FQ9">
            <v>0</v>
          </cell>
          <cell r="FR9">
            <v>0</v>
          </cell>
          <cell r="FS9">
            <v>0</v>
          </cell>
          <cell r="FT9">
            <v>0</v>
          </cell>
          <cell r="FU9">
            <v>0</v>
          </cell>
          <cell r="FV9">
            <v>0</v>
          </cell>
          <cell r="FW9">
            <v>0</v>
          </cell>
          <cell r="FX9">
            <v>0</v>
          </cell>
          <cell r="FY9">
            <v>0</v>
          </cell>
          <cell r="FZ9">
            <v>0</v>
          </cell>
        </row>
        <row r="10">
          <cell r="B10">
            <v>0.1</v>
          </cell>
          <cell r="C10">
            <v>0.08</v>
          </cell>
          <cell r="D10">
            <v>0.15</v>
          </cell>
          <cell r="E10">
            <v>0.08</v>
          </cell>
          <cell r="F10">
            <v>0.15</v>
          </cell>
          <cell r="G10">
            <v>0.22</v>
          </cell>
          <cell r="H10">
            <v>7.0000000000000007E-2</v>
          </cell>
          <cell r="I10">
            <v>0.05</v>
          </cell>
          <cell r="J10">
            <v>0.13</v>
          </cell>
          <cell r="K10">
            <v>0.18</v>
          </cell>
          <cell r="L10">
            <v>0.17</v>
          </cell>
          <cell r="M10">
            <v>0.16</v>
          </cell>
          <cell r="N10">
            <v>0.8</v>
          </cell>
          <cell r="O10">
            <v>1</v>
          </cell>
          <cell r="P10">
            <v>1</v>
          </cell>
          <cell r="Q10">
            <v>0.8</v>
          </cell>
          <cell r="R10">
            <v>0.8</v>
          </cell>
          <cell r="S10">
            <v>1</v>
          </cell>
          <cell r="T10">
            <v>1</v>
          </cell>
          <cell r="U10">
            <v>1</v>
          </cell>
          <cell r="V10">
            <v>1</v>
          </cell>
          <cell r="W10">
            <v>1</v>
          </cell>
          <cell r="X10">
            <v>1</v>
          </cell>
          <cell r="Y10">
            <v>1</v>
          </cell>
          <cell r="Z10">
            <v>0.1</v>
          </cell>
          <cell r="AA10">
            <v>0.1</v>
          </cell>
          <cell r="AB10">
            <v>0.14000000000000001</v>
          </cell>
          <cell r="AC10">
            <v>0.11</v>
          </cell>
          <cell r="AD10">
            <v>0.11</v>
          </cell>
          <cell r="AE10">
            <v>0.19</v>
          </cell>
          <cell r="AF10">
            <v>0.09</v>
          </cell>
          <cell r="AG10">
            <v>0.11</v>
          </cell>
          <cell r="AH10">
            <v>0.15</v>
          </cell>
          <cell r="AI10">
            <v>0.2</v>
          </cell>
          <cell r="AJ10">
            <v>0.2</v>
          </cell>
          <cell r="AK10">
            <v>0.2</v>
          </cell>
          <cell r="AL10">
            <v>0</v>
          </cell>
          <cell r="AM10">
            <v>0</v>
          </cell>
          <cell r="AN10">
            <v>0</v>
          </cell>
          <cell r="AO10">
            <v>0</v>
          </cell>
          <cell r="AP10">
            <v>0</v>
          </cell>
          <cell r="AQ10">
            <v>0</v>
          </cell>
          <cell r="AR10">
            <v>0</v>
          </cell>
          <cell r="AS10">
            <v>0</v>
          </cell>
          <cell r="AT10">
            <v>0</v>
          </cell>
          <cell r="AU10">
            <v>0</v>
          </cell>
          <cell r="AV10">
            <v>0</v>
          </cell>
          <cell r="AW10">
            <v>0</v>
          </cell>
          <cell r="AX10">
            <v>0</v>
          </cell>
          <cell r="AY10">
            <v>0</v>
          </cell>
          <cell r="AZ10">
            <v>0</v>
          </cell>
          <cell r="BA10">
            <v>0</v>
          </cell>
          <cell r="BB10">
            <v>0</v>
          </cell>
          <cell r="BC10">
            <v>0</v>
          </cell>
          <cell r="BD10">
            <v>0</v>
          </cell>
          <cell r="BE10">
            <v>0</v>
          </cell>
          <cell r="BF10">
            <v>0</v>
          </cell>
          <cell r="BG10">
            <v>0</v>
          </cell>
          <cell r="BH10">
            <v>0</v>
          </cell>
          <cell r="BI10">
            <v>0</v>
          </cell>
          <cell r="BJ10">
            <v>0</v>
          </cell>
          <cell r="BK10">
            <v>0</v>
          </cell>
          <cell r="BL10">
            <v>0</v>
          </cell>
          <cell r="BM10">
            <v>0</v>
          </cell>
          <cell r="BN10">
            <v>0</v>
          </cell>
          <cell r="BO10">
            <v>0</v>
          </cell>
          <cell r="BP10">
            <v>0</v>
          </cell>
          <cell r="BQ10">
            <v>0</v>
          </cell>
          <cell r="BR10">
            <v>0</v>
          </cell>
          <cell r="BS10">
            <v>0</v>
          </cell>
          <cell r="BT10">
            <v>0</v>
          </cell>
          <cell r="BU10">
            <v>0</v>
          </cell>
          <cell r="BV10">
            <v>0</v>
          </cell>
          <cell r="BW10">
            <v>0</v>
          </cell>
          <cell r="BX10">
            <v>0</v>
          </cell>
          <cell r="BY10">
            <v>0</v>
          </cell>
          <cell r="BZ10">
            <v>0</v>
          </cell>
          <cell r="CA10">
            <v>0</v>
          </cell>
          <cell r="CB10">
            <v>0</v>
          </cell>
          <cell r="CC10">
            <v>0</v>
          </cell>
          <cell r="CD10">
            <v>0</v>
          </cell>
          <cell r="CE10">
            <v>0</v>
          </cell>
          <cell r="CF10">
            <v>0</v>
          </cell>
          <cell r="CG10">
            <v>0</v>
          </cell>
          <cell r="CH10">
            <v>0</v>
          </cell>
          <cell r="CI10">
            <v>0</v>
          </cell>
          <cell r="CJ10">
            <v>0</v>
          </cell>
          <cell r="CK10">
            <v>0</v>
          </cell>
          <cell r="CL10">
            <v>0</v>
          </cell>
          <cell r="CM10">
            <v>0</v>
          </cell>
          <cell r="CN10">
            <v>0</v>
          </cell>
          <cell r="CO10">
            <v>0</v>
          </cell>
          <cell r="CP10">
            <v>0</v>
          </cell>
          <cell r="CQ10">
            <v>0</v>
          </cell>
          <cell r="CR10">
            <v>0</v>
          </cell>
          <cell r="CS10">
            <v>0</v>
          </cell>
          <cell r="CT10">
            <v>0</v>
          </cell>
          <cell r="CU10">
            <v>0</v>
          </cell>
          <cell r="CV10">
            <v>0</v>
          </cell>
          <cell r="CW10">
            <v>0</v>
          </cell>
          <cell r="CX10">
            <v>0</v>
          </cell>
          <cell r="CY10">
            <v>0</v>
          </cell>
          <cell r="CZ10">
            <v>0</v>
          </cell>
          <cell r="DA10">
            <v>0</v>
          </cell>
          <cell r="DB10">
            <v>0</v>
          </cell>
          <cell r="DC10">
            <v>0</v>
          </cell>
          <cell r="DD10">
            <v>0</v>
          </cell>
          <cell r="DE10">
            <v>0</v>
          </cell>
          <cell r="DF10">
            <v>0</v>
          </cell>
          <cell r="DG10">
            <v>0</v>
          </cell>
          <cell r="DH10">
            <v>0</v>
          </cell>
          <cell r="DI10">
            <v>0</v>
          </cell>
          <cell r="DJ10">
            <v>0</v>
          </cell>
          <cell r="DK10">
            <v>0</v>
          </cell>
          <cell r="DL10">
            <v>0</v>
          </cell>
          <cell r="DM10">
            <v>0</v>
          </cell>
          <cell r="DN10">
            <v>0</v>
          </cell>
          <cell r="DO10">
            <v>0</v>
          </cell>
          <cell r="DP10">
            <v>0</v>
          </cell>
          <cell r="DQ10">
            <v>0</v>
          </cell>
          <cell r="DR10">
            <v>0</v>
          </cell>
          <cell r="DS10">
            <v>0</v>
          </cell>
          <cell r="DT10">
            <v>0</v>
          </cell>
          <cell r="DU10">
            <v>0</v>
          </cell>
          <cell r="DV10">
            <v>0</v>
          </cell>
          <cell r="DW10">
            <v>0</v>
          </cell>
          <cell r="DX10">
            <v>0</v>
          </cell>
          <cell r="DY10">
            <v>0</v>
          </cell>
          <cell r="DZ10">
            <v>0</v>
          </cell>
          <cell r="EA10">
            <v>0</v>
          </cell>
          <cell r="EB10">
            <v>0</v>
          </cell>
          <cell r="EC10">
            <v>0</v>
          </cell>
          <cell r="ED10">
            <v>0.05</v>
          </cell>
          <cell r="EE10">
            <v>0.09</v>
          </cell>
          <cell r="EF10">
            <v>0.08</v>
          </cell>
          <cell r="EG10">
            <v>0.17</v>
          </cell>
          <cell r="EH10">
            <v>1</v>
          </cell>
          <cell r="EI10">
            <v>1</v>
          </cell>
          <cell r="EJ10">
            <v>1</v>
          </cell>
          <cell r="EK10">
            <v>1</v>
          </cell>
          <cell r="EL10">
            <v>0.05</v>
          </cell>
          <cell r="EM10">
            <v>0.14000000000000001</v>
          </cell>
          <cell r="EN10">
            <v>0.11</v>
          </cell>
          <cell r="EO10">
            <v>0.2</v>
          </cell>
          <cell r="EP10">
            <v>0</v>
          </cell>
          <cell r="EQ10">
            <v>0</v>
          </cell>
          <cell r="ER10">
            <v>0</v>
          </cell>
          <cell r="ES10">
            <v>0</v>
          </cell>
          <cell r="ET10">
            <v>0</v>
          </cell>
          <cell r="EU10">
            <v>0</v>
          </cell>
          <cell r="EV10">
            <v>0</v>
          </cell>
          <cell r="EW10">
            <v>0</v>
          </cell>
          <cell r="EX10">
            <v>1</v>
          </cell>
          <cell r="EY10">
            <v>1</v>
          </cell>
          <cell r="EZ10">
            <v>1</v>
          </cell>
          <cell r="FA10">
            <v>0</v>
          </cell>
          <cell r="FB10">
            <v>0</v>
          </cell>
          <cell r="FC10">
            <v>0</v>
          </cell>
          <cell r="FD10">
            <v>0</v>
          </cell>
          <cell r="FE10">
            <v>0</v>
          </cell>
          <cell r="FF10">
            <v>0</v>
          </cell>
          <cell r="FG10">
            <v>0</v>
          </cell>
          <cell r="FH10">
            <v>0</v>
          </cell>
          <cell r="FI10">
            <v>0</v>
          </cell>
          <cell r="FJ10">
            <v>0</v>
          </cell>
          <cell r="FK10">
            <v>0</v>
          </cell>
          <cell r="FL10">
            <v>0</v>
          </cell>
          <cell r="FM10">
            <v>0</v>
          </cell>
          <cell r="FN10">
            <v>0</v>
          </cell>
          <cell r="FO10">
            <v>0</v>
          </cell>
          <cell r="FP10">
            <v>0</v>
          </cell>
          <cell r="FQ10">
            <v>0</v>
          </cell>
          <cell r="FR10">
            <v>0</v>
          </cell>
          <cell r="FS10">
            <v>0</v>
          </cell>
          <cell r="FT10">
            <v>0</v>
          </cell>
          <cell r="FU10">
            <v>0</v>
          </cell>
          <cell r="FV10">
            <v>0</v>
          </cell>
          <cell r="FW10">
            <v>0</v>
          </cell>
          <cell r="FX10">
            <v>0</v>
          </cell>
          <cell r="FY10">
            <v>0</v>
          </cell>
          <cell r="FZ10">
            <v>0</v>
          </cell>
        </row>
        <row r="11">
          <cell r="B11">
            <v>0.1</v>
          </cell>
          <cell r="C11">
            <v>0.08</v>
          </cell>
          <cell r="D11">
            <v>0.15</v>
          </cell>
          <cell r="E11">
            <v>0.08</v>
          </cell>
          <cell r="F11">
            <v>0.15</v>
          </cell>
          <cell r="G11">
            <v>0.22</v>
          </cell>
          <cell r="H11">
            <v>7.0000000000000007E-2</v>
          </cell>
          <cell r="I11">
            <v>0.05</v>
          </cell>
          <cell r="J11">
            <v>0.13</v>
          </cell>
          <cell r="K11">
            <v>0.18</v>
          </cell>
          <cell r="L11">
            <v>0.17</v>
          </cell>
          <cell r="M11">
            <v>0.16</v>
          </cell>
          <cell r="N11">
            <v>0.8</v>
          </cell>
          <cell r="O11">
            <v>1</v>
          </cell>
          <cell r="P11">
            <v>1</v>
          </cell>
          <cell r="Q11">
            <v>0.8</v>
          </cell>
          <cell r="R11">
            <v>0.8</v>
          </cell>
          <cell r="S11">
            <v>1</v>
          </cell>
          <cell r="T11">
            <v>1</v>
          </cell>
          <cell r="U11">
            <v>1</v>
          </cell>
          <cell r="V11">
            <v>1</v>
          </cell>
          <cell r="W11">
            <v>1</v>
          </cell>
          <cell r="X11">
            <v>1</v>
          </cell>
          <cell r="Y11">
            <v>1</v>
          </cell>
          <cell r="Z11">
            <v>0.1</v>
          </cell>
          <cell r="AA11">
            <v>0.1</v>
          </cell>
          <cell r="AB11">
            <v>0.14000000000000001</v>
          </cell>
          <cell r="AC11">
            <v>0.11</v>
          </cell>
          <cell r="AD11">
            <v>0.11</v>
          </cell>
          <cell r="AE11">
            <v>0.19</v>
          </cell>
          <cell r="AF11">
            <v>0.09</v>
          </cell>
          <cell r="AG11">
            <v>0.11</v>
          </cell>
          <cell r="AH11">
            <v>0.15</v>
          </cell>
          <cell r="AI11">
            <v>0.2</v>
          </cell>
          <cell r="AJ11">
            <v>0.2</v>
          </cell>
          <cell r="AK11">
            <v>0.2</v>
          </cell>
          <cell r="AL11">
            <v>0</v>
          </cell>
          <cell r="AM11">
            <v>0</v>
          </cell>
          <cell r="AN11">
            <v>0</v>
          </cell>
          <cell r="AO11">
            <v>0</v>
          </cell>
          <cell r="AP11">
            <v>0</v>
          </cell>
          <cell r="AQ11">
            <v>0</v>
          </cell>
          <cell r="AR11">
            <v>0</v>
          </cell>
          <cell r="AS11">
            <v>0</v>
          </cell>
          <cell r="AT11">
            <v>0</v>
          </cell>
          <cell r="AU11">
            <v>0</v>
          </cell>
          <cell r="AV11">
            <v>0</v>
          </cell>
          <cell r="AW11">
            <v>0</v>
          </cell>
          <cell r="AX11">
            <v>0</v>
          </cell>
          <cell r="AY11">
            <v>0</v>
          </cell>
          <cell r="AZ11">
            <v>0</v>
          </cell>
          <cell r="BA11">
            <v>0</v>
          </cell>
          <cell r="BB11">
            <v>0</v>
          </cell>
          <cell r="BC11">
            <v>0</v>
          </cell>
          <cell r="BD11">
            <v>0</v>
          </cell>
          <cell r="BE11">
            <v>0</v>
          </cell>
          <cell r="BF11">
            <v>0</v>
          </cell>
          <cell r="BG11">
            <v>0</v>
          </cell>
          <cell r="BH11">
            <v>0</v>
          </cell>
          <cell r="BI11">
            <v>0</v>
          </cell>
          <cell r="BJ11">
            <v>0</v>
          </cell>
          <cell r="BK11">
            <v>0</v>
          </cell>
          <cell r="BL11">
            <v>0</v>
          </cell>
          <cell r="BM11">
            <v>0</v>
          </cell>
          <cell r="BN11">
            <v>0</v>
          </cell>
          <cell r="BO11">
            <v>0</v>
          </cell>
          <cell r="BP11">
            <v>0</v>
          </cell>
          <cell r="BQ11">
            <v>0</v>
          </cell>
          <cell r="BR11">
            <v>0</v>
          </cell>
          <cell r="BS11">
            <v>0</v>
          </cell>
          <cell r="BT11">
            <v>0</v>
          </cell>
          <cell r="BU11">
            <v>0</v>
          </cell>
          <cell r="BV11">
            <v>0</v>
          </cell>
          <cell r="BW11">
            <v>0</v>
          </cell>
          <cell r="BX11">
            <v>0</v>
          </cell>
          <cell r="BY11">
            <v>0</v>
          </cell>
          <cell r="BZ11">
            <v>0</v>
          </cell>
          <cell r="CA11">
            <v>0</v>
          </cell>
          <cell r="CB11">
            <v>0</v>
          </cell>
          <cell r="CC11">
            <v>0</v>
          </cell>
          <cell r="CD11">
            <v>0</v>
          </cell>
          <cell r="CE11">
            <v>0</v>
          </cell>
          <cell r="CF11">
            <v>0</v>
          </cell>
          <cell r="CG11">
            <v>0</v>
          </cell>
          <cell r="CH11">
            <v>0</v>
          </cell>
          <cell r="CI11">
            <v>0</v>
          </cell>
          <cell r="CJ11">
            <v>0</v>
          </cell>
          <cell r="CK11">
            <v>0</v>
          </cell>
          <cell r="CL11">
            <v>0</v>
          </cell>
          <cell r="CM11">
            <v>0</v>
          </cell>
          <cell r="CN11">
            <v>0</v>
          </cell>
          <cell r="CO11">
            <v>0</v>
          </cell>
          <cell r="CP11">
            <v>0</v>
          </cell>
          <cell r="CQ11">
            <v>0</v>
          </cell>
          <cell r="CR11">
            <v>0</v>
          </cell>
          <cell r="CS11">
            <v>0</v>
          </cell>
          <cell r="CT11">
            <v>0</v>
          </cell>
          <cell r="CU11">
            <v>0</v>
          </cell>
          <cell r="CV11">
            <v>0</v>
          </cell>
          <cell r="CW11">
            <v>0</v>
          </cell>
          <cell r="CX11">
            <v>0</v>
          </cell>
          <cell r="CY11">
            <v>0</v>
          </cell>
          <cell r="CZ11">
            <v>0</v>
          </cell>
          <cell r="DA11">
            <v>0</v>
          </cell>
          <cell r="DB11">
            <v>0</v>
          </cell>
          <cell r="DC11">
            <v>0</v>
          </cell>
          <cell r="DD11">
            <v>0</v>
          </cell>
          <cell r="DE11">
            <v>0</v>
          </cell>
          <cell r="DF11">
            <v>0</v>
          </cell>
          <cell r="DG11">
            <v>0</v>
          </cell>
          <cell r="DH11">
            <v>0</v>
          </cell>
          <cell r="DI11">
            <v>0</v>
          </cell>
          <cell r="DJ11">
            <v>0</v>
          </cell>
          <cell r="DK11">
            <v>0</v>
          </cell>
          <cell r="DL11">
            <v>0</v>
          </cell>
          <cell r="DM11">
            <v>0</v>
          </cell>
          <cell r="DN11">
            <v>0</v>
          </cell>
          <cell r="DO11">
            <v>0</v>
          </cell>
          <cell r="DP11">
            <v>0</v>
          </cell>
          <cell r="DQ11">
            <v>0</v>
          </cell>
          <cell r="DR11">
            <v>0</v>
          </cell>
          <cell r="DS11">
            <v>0</v>
          </cell>
          <cell r="DT11">
            <v>0</v>
          </cell>
          <cell r="DU11">
            <v>0</v>
          </cell>
          <cell r="DV11">
            <v>0</v>
          </cell>
          <cell r="DW11">
            <v>0</v>
          </cell>
          <cell r="DX11">
            <v>0</v>
          </cell>
          <cell r="DY11">
            <v>0</v>
          </cell>
          <cell r="DZ11">
            <v>0</v>
          </cell>
          <cell r="EA11">
            <v>0</v>
          </cell>
          <cell r="EB11">
            <v>0</v>
          </cell>
          <cell r="EC11">
            <v>0</v>
          </cell>
          <cell r="ED11">
            <v>0.05</v>
          </cell>
          <cell r="EE11">
            <v>0.09</v>
          </cell>
          <cell r="EF11">
            <v>0.08</v>
          </cell>
          <cell r="EG11">
            <v>0.17</v>
          </cell>
          <cell r="EH11">
            <v>1</v>
          </cell>
          <cell r="EI11">
            <v>1</v>
          </cell>
          <cell r="EJ11">
            <v>1</v>
          </cell>
          <cell r="EK11">
            <v>1</v>
          </cell>
          <cell r="EL11">
            <v>0.05</v>
          </cell>
          <cell r="EM11">
            <v>0.14000000000000001</v>
          </cell>
          <cell r="EN11">
            <v>0.11</v>
          </cell>
          <cell r="EO11">
            <v>0.2</v>
          </cell>
          <cell r="EP11">
            <v>0</v>
          </cell>
          <cell r="EQ11">
            <v>0</v>
          </cell>
          <cell r="ER11">
            <v>0</v>
          </cell>
          <cell r="ES11">
            <v>0</v>
          </cell>
          <cell r="ET11">
            <v>0</v>
          </cell>
          <cell r="EU11">
            <v>0</v>
          </cell>
          <cell r="EV11">
            <v>0</v>
          </cell>
          <cell r="EW11">
            <v>0</v>
          </cell>
          <cell r="EX11">
            <v>1</v>
          </cell>
          <cell r="EY11">
            <v>1</v>
          </cell>
          <cell r="EZ11">
            <v>1</v>
          </cell>
          <cell r="FA11">
            <v>0</v>
          </cell>
          <cell r="FB11">
            <v>0</v>
          </cell>
          <cell r="FC11">
            <v>0</v>
          </cell>
          <cell r="FD11">
            <v>0</v>
          </cell>
          <cell r="FE11">
            <v>0</v>
          </cell>
          <cell r="FF11">
            <v>0</v>
          </cell>
          <cell r="FG11">
            <v>0</v>
          </cell>
          <cell r="FH11">
            <v>0</v>
          </cell>
          <cell r="FI11">
            <v>0</v>
          </cell>
          <cell r="FJ11">
            <v>0</v>
          </cell>
          <cell r="FK11">
            <v>0</v>
          </cell>
          <cell r="FL11">
            <v>0</v>
          </cell>
          <cell r="FM11">
            <v>0</v>
          </cell>
          <cell r="FN11">
            <v>0</v>
          </cell>
          <cell r="FO11">
            <v>0</v>
          </cell>
          <cell r="FP11">
            <v>0</v>
          </cell>
          <cell r="FQ11">
            <v>0</v>
          </cell>
          <cell r="FR11">
            <v>0</v>
          </cell>
          <cell r="FS11">
            <v>0</v>
          </cell>
          <cell r="FT11">
            <v>0</v>
          </cell>
          <cell r="FU11">
            <v>0</v>
          </cell>
          <cell r="FV11">
            <v>0</v>
          </cell>
          <cell r="FW11">
            <v>0</v>
          </cell>
          <cell r="FX11">
            <v>0</v>
          </cell>
          <cell r="FY11">
            <v>0</v>
          </cell>
          <cell r="FZ11">
            <v>0</v>
          </cell>
        </row>
        <row r="12">
          <cell r="B12">
            <v>0.1</v>
          </cell>
          <cell r="C12">
            <v>0.08</v>
          </cell>
          <cell r="D12">
            <v>0.15</v>
          </cell>
          <cell r="E12">
            <v>0.08</v>
          </cell>
          <cell r="F12">
            <v>0.15</v>
          </cell>
          <cell r="G12">
            <v>0.22</v>
          </cell>
          <cell r="H12">
            <v>7.0000000000000007E-2</v>
          </cell>
          <cell r="I12">
            <v>0.05</v>
          </cell>
          <cell r="J12">
            <v>0.13</v>
          </cell>
          <cell r="K12">
            <v>0.18</v>
          </cell>
          <cell r="L12">
            <v>0.17</v>
          </cell>
          <cell r="M12">
            <v>0.16</v>
          </cell>
          <cell r="N12">
            <v>0.8</v>
          </cell>
          <cell r="O12">
            <v>1</v>
          </cell>
          <cell r="P12">
            <v>1</v>
          </cell>
          <cell r="Q12">
            <v>0.8</v>
          </cell>
          <cell r="R12">
            <v>0.8</v>
          </cell>
          <cell r="S12">
            <v>1</v>
          </cell>
          <cell r="T12">
            <v>1</v>
          </cell>
          <cell r="U12">
            <v>1</v>
          </cell>
          <cell r="V12">
            <v>1</v>
          </cell>
          <cell r="W12">
            <v>1</v>
          </cell>
          <cell r="X12">
            <v>1</v>
          </cell>
          <cell r="Y12">
            <v>1</v>
          </cell>
          <cell r="Z12">
            <v>0.1</v>
          </cell>
          <cell r="AA12">
            <v>0.1</v>
          </cell>
          <cell r="AB12">
            <v>0.14000000000000001</v>
          </cell>
          <cell r="AC12">
            <v>0.11</v>
          </cell>
          <cell r="AD12">
            <v>0.11</v>
          </cell>
          <cell r="AE12">
            <v>0.19</v>
          </cell>
          <cell r="AF12">
            <v>0.09</v>
          </cell>
          <cell r="AG12">
            <v>0.11</v>
          </cell>
          <cell r="AH12">
            <v>0.15</v>
          </cell>
          <cell r="AI12">
            <v>0.2</v>
          </cell>
          <cell r="AJ12">
            <v>0.2</v>
          </cell>
          <cell r="AK12">
            <v>0.2</v>
          </cell>
          <cell r="AL12">
            <v>0</v>
          </cell>
          <cell r="AM12">
            <v>0</v>
          </cell>
          <cell r="AN12">
            <v>0</v>
          </cell>
          <cell r="AO12">
            <v>0</v>
          </cell>
          <cell r="AP12">
            <v>0</v>
          </cell>
          <cell r="AQ12">
            <v>0</v>
          </cell>
          <cell r="AR12">
            <v>0</v>
          </cell>
          <cell r="AS12">
            <v>0</v>
          </cell>
          <cell r="AT12">
            <v>0</v>
          </cell>
          <cell r="AU12">
            <v>0</v>
          </cell>
          <cell r="AV12">
            <v>0</v>
          </cell>
          <cell r="AW12">
            <v>0</v>
          </cell>
          <cell r="AX12">
            <v>0</v>
          </cell>
          <cell r="AY12">
            <v>0</v>
          </cell>
          <cell r="AZ12">
            <v>0</v>
          </cell>
          <cell r="BA12">
            <v>0</v>
          </cell>
          <cell r="BB12">
            <v>0</v>
          </cell>
          <cell r="BC12">
            <v>0</v>
          </cell>
          <cell r="BD12">
            <v>0</v>
          </cell>
          <cell r="BE12">
            <v>0</v>
          </cell>
          <cell r="BF12">
            <v>0</v>
          </cell>
          <cell r="BG12">
            <v>0</v>
          </cell>
          <cell r="BH12">
            <v>0</v>
          </cell>
          <cell r="BI12">
            <v>0</v>
          </cell>
          <cell r="BJ12">
            <v>0</v>
          </cell>
          <cell r="BK12">
            <v>0</v>
          </cell>
          <cell r="BL12">
            <v>0</v>
          </cell>
          <cell r="BM12">
            <v>0</v>
          </cell>
          <cell r="BN12">
            <v>0</v>
          </cell>
          <cell r="BO12">
            <v>0</v>
          </cell>
          <cell r="BP12">
            <v>0</v>
          </cell>
          <cell r="BQ12">
            <v>0</v>
          </cell>
          <cell r="BR12">
            <v>0</v>
          </cell>
          <cell r="BS12">
            <v>0</v>
          </cell>
          <cell r="BT12">
            <v>0</v>
          </cell>
          <cell r="BU12">
            <v>0</v>
          </cell>
          <cell r="BV12">
            <v>0</v>
          </cell>
          <cell r="BW12">
            <v>0</v>
          </cell>
          <cell r="BX12">
            <v>0</v>
          </cell>
          <cell r="BY12">
            <v>0</v>
          </cell>
          <cell r="BZ12">
            <v>0</v>
          </cell>
          <cell r="CA12">
            <v>0</v>
          </cell>
          <cell r="CB12">
            <v>0</v>
          </cell>
          <cell r="CC12">
            <v>0</v>
          </cell>
          <cell r="CD12">
            <v>0</v>
          </cell>
          <cell r="CE12">
            <v>0</v>
          </cell>
          <cell r="CF12">
            <v>0</v>
          </cell>
          <cell r="CG12">
            <v>0</v>
          </cell>
          <cell r="CH12">
            <v>0</v>
          </cell>
          <cell r="CI12">
            <v>0</v>
          </cell>
          <cell r="CJ12">
            <v>0</v>
          </cell>
          <cell r="CK12">
            <v>0</v>
          </cell>
          <cell r="CL12">
            <v>0</v>
          </cell>
          <cell r="CM12">
            <v>0</v>
          </cell>
          <cell r="CN12">
            <v>0</v>
          </cell>
          <cell r="CO12">
            <v>0</v>
          </cell>
          <cell r="CP12">
            <v>0</v>
          </cell>
          <cell r="CQ12">
            <v>0</v>
          </cell>
          <cell r="CR12">
            <v>0</v>
          </cell>
          <cell r="CS12">
            <v>0</v>
          </cell>
          <cell r="CT12">
            <v>0</v>
          </cell>
          <cell r="CU12">
            <v>0</v>
          </cell>
          <cell r="CV12">
            <v>0</v>
          </cell>
          <cell r="CW12">
            <v>0</v>
          </cell>
          <cell r="CX12">
            <v>0</v>
          </cell>
          <cell r="CY12">
            <v>0</v>
          </cell>
          <cell r="CZ12">
            <v>0</v>
          </cell>
          <cell r="DA12">
            <v>0</v>
          </cell>
          <cell r="DB12">
            <v>0</v>
          </cell>
          <cell r="DC12">
            <v>0</v>
          </cell>
          <cell r="DD12">
            <v>0</v>
          </cell>
          <cell r="DE12">
            <v>0</v>
          </cell>
          <cell r="DF12">
            <v>0</v>
          </cell>
          <cell r="DG12">
            <v>0</v>
          </cell>
          <cell r="DH12">
            <v>0</v>
          </cell>
          <cell r="DI12">
            <v>0</v>
          </cell>
          <cell r="DJ12">
            <v>0</v>
          </cell>
          <cell r="DK12">
            <v>0</v>
          </cell>
          <cell r="DL12">
            <v>0</v>
          </cell>
          <cell r="DM12">
            <v>0</v>
          </cell>
          <cell r="DN12">
            <v>0</v>
          </cell>
          <cell r="DO12">
            <v>0</v>
          </cell>
          <cell r="DP12">
            <v>0</v>
          </cell>
          <cell r="DQ12">
            <v>0</v>
          </cell>
          <cell r="DR12">
            <v>0</v>
          </cell>
          <cell r="DS12">
            <v>0</v>
          </cell>
          <cell r="DT12">
            <v>0</v>
          </cell>
          <cell r="DU12">
            <v>0</v>
          </cell>
          <cell r="DV12">
            <v>0</v>
          </cell>
          <cell r="DW12">
            <v>0</v>
          </cell>
          <cell r="DX12">
            <v>0</v>
          </cell>
          <cell r="DY12">
            <v>0</v>
          </cell>
          <cell r="DZ12">
            <v>0</v>
          </cell>
          <cell r="EA12">
            <v>0</v>
          </cell>
          <cell r="EB12">
            <v>0</v>
          </cell>
          <cell r="EC12">
            <v>0</v>
          </cell>
          <cell r="ED12">
            <v>0.05</v>
          </cell>
          <cell r="EE12">
            <v>0.09</v>
          </cell>
          <cell r="EF12">
            <v>0.08</v>
          </cell>
          <cell r="EG12">
            <v>0.17</v>
          </cell>
          <cell r="EH12">
            <v>1</v>
          </cell>
          <cell r="EI12">
            <v>1</v>
          </cell>
          <cell r="EJ12">
            <v>1</v>
          </cell>
          <cell r="EK12">
            <v>1</v>
          </cell>
          <cell r="EL12">
            <v>0.05</v>
          </cell>
          <cell r="EM12">
            <v>0.14000000000000001</v>
          </cell>
          <cell r="EN12">
            <v>0.11</v>
          </cell>
          <cell r="EO12">
            <v>0.2</v>
          </cell>
          <cell r="EP12">
            <v>0</v>
          </cell>
          <cell r="EQ12">
            <v>0</v>
          </cell>
          <cell r="ER12">
            <v>0</v>
          </cell>
          <cell r="ES12">
            <v>0</v>
          </cell>
          <cell r="ET12">
            <v>0</v>
          </cell>
          <cell r="EU12">
            <v>0</v>
          </cell>
          <cell r="EV12">
            <v>0</v>
          </cell>
          <cell r="EW12">
            <v>0</v>
          </cell>
          <cell r="EX12">
            <v>1</v>
          </cell>
          <cell r="EY12">
            <v>1</v>
          </cell>
          <cell r="EZ12">
            <v>1</v>
          </cell>
          <cell r="FA12">
            <v>0</v>
          </cell>
          <cell r="FB12">
            <v>0</v>
          </cell>
          <cell r="FC12">
            <v>0</v>
          </cell>
          <cell r="FD12">
            <v>0</v>
          </cell>
          <cell r="FE12">
            <v>0</v>
          </cell>
          <cell r="FF12">
            <v>0</v>
          </cell>
          <cell r="FG12">
            <v>0</v>
          </cell>
          <cell r="FH12">
            <v>0</v>
          </cell>
          <cell r="FI12">
            <v>0</v>
          </cell>
          <cell r="FJ12">
            <v>0</v>
          </cell>
          <cell r="FK12">
            <v>0</v>
          </cell>
          <cell r="FL12">
            <v>0</v>
          </cell>
          <cell r="FM12">
            <v>0</v>
          </cell>
          <cell r="FN12">
            <v>0</v>
          </cell>
          <cell r="FO12">
            <v>0</v>
          </cell>
          <cell r="FP12">
            <v>0</v>
          </cell>
          <cell r="FQ12">
            <v>0</v>
          </cell>
          <cell r="FR12">
            <v>0</v>
          </cell>
          <cell r="FS12">
            <v>0</v>
          </cell>
          <cell r="FT12">
            <v>0</v>
          </cell>
          <cell r="FU12">
            <v>0</v>
          </cell>
          <cell r="FV12">
            <v>0</v>
          </cell>
          <cell r="FW12">
            <v>0</v>
          </cell>
          <cell r="FX12">
            <v>0</v>
          </cell>
          <cell r="FY12">
            <v>0</v>
          </cell>
          <cell r="FZ12">
            <v>0</v>
          </cell>
        </row>
        <row r="13">
          <cell r="B13">
            <v>0.1</v>
          </cell>
          <cell r="C13">
            <v>0.08</v>
          </cell>
          <cell r="D13">
            <v>0.15</v>
          </cell>
          <cell r="E13">
            <v>0.08</v>
          </cell>
          <cell r="F13">
            <v>0.15</v>
          </cell>
          <cell r="G13">
            <v>0.22</v>
          </cell>
          <cell r="H13">
            <v>7.0000000000000007E-2</v>
          </cell>
          <cell r="I13">
            <v>0.05</v>
          </cell>
          <cell r="J13">
            <v>0.13</v>
          </cell>
          <cell r="K13">
            <v>0.18</v>
          </cell>
          <cell r="L13">
            <v>0.17</v>
          </cell>
          <cell r="M13">
            <v>0.16</v>
          </cell>
          <cell r="N13">
            <v>0.8</v>
          </cell>
          <cell r="O13">
            <v>1</v>
          </cell>
          <cell r="P13">
            <v>1</v>
          </cell>
          <cell r="Q13">
            <v>0.8</v>
          </cell>
          <cell r="R13">
            <v>0.8</v>
          </cell>
          <cell r="S13">
            <v>1</v>
          </cell>
          <cell r="T13">
            <v>1</v>
          </cell>
          <cell r="U13">
            <v>1</v>
          </cell>
          <cell r="V13">
            <v>1</v>
          </cell>
          <cell r="W13">
            <v>1</v>
          </cell>
          <cell r="X13">
            <v>1</v>
          </cell>
          <cell r="Y13">
            <v>1</v>
          </cell>
          <cell r="Z13">
            <v>0.1</v>
          </cell>
          <cell r="AA13">
            <v>0.1</v>
          </cell>
          <cell r="AB13">
            <v>0.14000000000000001</v>
          </cell>
          <cell r="AC13">
            <v>0.11</v>
          </cell>
          <cell r="AD13">
            <v>0.11</v>
          </cell>
          <cell r="AE13">
            <v>0.19</v>
          </cell>
          <cell r="AF13">
            <v>0.09</v>
          </cell>
          <cell r="AG13">
            <v>0.11</v>
          </cell>
          <cell r="AH13">
            <v>0.15</v>
          </cell>
          <cell r="AI13">
            <v>0.2</v>
          </cell>
          <cell r="AJ13">
            <v>0.2</v>
          </cell>
          <cell r="AK13">
            <v>0.2</v>
          </cell>
          <cell r="AL13">
            <v>0</v>
          </cell>
          <cell r="AM13">
            <v>0</v>
          </cell>
          <cell r="AN13">
            <v>0</v>
          </cell>
          <cell r="AO13">
            <v>0</v>
          </cell>
          <cell r="AP13">
            <v>0</v>
          </cell>
          <cell r="AQ13">
            <v>0</v>
          </cell>
          <cell r="AR13">
            <v>0</v>
          </cell>
          <cell r="AS13">
            <v>0</v>
          </cell>
          <cell r="AT13">
            <v>0</v>
          </cell>
          <cell r="AU13">
            <v>0</v>
          </cell>
          <cell r="AV13">
            <v>0</v>
          </cell>
          <cell r="AW13">
            <v>0</v>
          </cell>
          <cell r="AX13">
            <v>0</v>
          </cell>
          <cell r="AY13">
            <v>0</v>
          </cell>
          <cell r="AZ13">
            <v>0</v>
          </cell>
          <cell r="BA13">
            <v>0</v>
          </cell>
          <cell r="BB13">
            <v>0</v>
          </cell>
          <cell r="BC13">
            <v>0</v>
          </cell>
          <cell r="BD13">
            <v>0</v>
          </cell>
          <cell r="BE13">
            <v>0</v>
          </cell>
          <cell r="BF13">
            <v>0</v>
          </cell>
          <cell r="BG13">
            <v>0</v>
          </cell>
          <cell r="BH13">
            <v>0</v>
          </cell>
          <cell r="BI13">
            <v>0</v>
          </cell>
          <cell r="BJ13">
            <v>0</v>
          </cell>
          <cell r="BK13">
            <v>0</v>
          </cell>
          <cell r="BL13">
            <v>0</v>
          </cell>
          <cell r="BM13">
            <v>0</v>
          </cell>
          <cell r="BN13">
            <v>0</v>
          </cell>
          <cell r="BO13">
            <v>0</v>
          </cell>
          <cell r="BP13">
            <v>0</v>
          </cell>
          <cell r="BQ13">
            <v>0</v>
          </cell>
          <cell r="BR13">
            <v>0</v>
          </cell>
          <cell r="BS13">
            <v>0</v>
          </cell>
          <cell r="BT13">
            <v>0</v>
          </cell>
          <cell r="BU13">
            <v>0</v>
          </cell>
          <cell r="BV13">
            <v>0</v>
          </cell>
          <cell r="BW13">
            <v>0</v>
          </cell>
          <cell r="BX13">
            <v>0</v>
          </cell>
          <cell r="BY13">
            <v>0</v>
          </cell>
          <cell r="BZ13">
            <v>0</v>
          </cell>
          <cell r="CA13">
            <v>0</v>
          </cell>
          <cell r="CB13">
            <v>0</v>
          </cell>
          <cell r="CC13">
            <v>0</v>
          </cell>
          <cell r="CD13">
            <v>0</v>
          </cell>
          <cell r="CE13">
            <v>0</v>
          </cell>
          <cell r="CF13">
            <v>0</v>
          </cell>
          <cell r="CG13">
            <v>0</v>
          </cell>
          <cell r="CH13">
            <v>0</v>
          </cell>
          <cell r="CI13">
            <v>0</v>
          </cell>
          <cell r="CJ13">
            <v>0</v>
          </cell>
          <cell r="CK13">
            <v>0</v>
          </cell>
          <cell r="CL13">
            <v>0</v>
          </cell>
          <cell r="CM13">
            <v>0</v>
          </cell>
          <cell r="CN13">
            <v>0</v>
          </cell>
          <cell r="CO13">
            <v>0</v>
          </cell>
          <cell r="CP13">
            <v>0</v>
          </cell>
          <cell r="CQ13">
            <v>0</v>
          </cell>
          <cell r="CR13">
            <v>0</v>
          </cell>
          <cell r="CS13">
            <v>0</v>
          </cell>
          <cell r="CT13">
            <v>0</v>
          </cell>
          <cell r="CU13">
            <v>0</v>
          </cell>
          <cell r="CV13">
            <v>0</v>
          </cell>
          <cell r="CW13">
            <v>0</v>
          </cell>
          <cell r="CX13">
            <v>0</v>
          </cell>
          <cell r="CY13">
            <v>0</v>
          </cell>
          <cell r="CZ13">
            <v>0</v>
          </cell>
          <cell r="DA13">
            <v>0</v>
          </cell>
          <cell r="DB13">
            <v>0</v>
          </cell>
          <cell r="DC13">
            <v>0</v>
          </cell>
          <cell r="DD13">
            <v>0</v>
          </cell>
          <cell r="DE13">
            <v>0</v>
          </cell>
          <cell r="DF13">
            <v>0</v>
          </cell>
          <cell r="DG13">
            <v>0</v>
          </cell>
          <cell r="DH13">
            <v>0</v>
          </cell>
          <cell r="DI13">
            <v>0</v>
          </cell>
          <cell r="DJ13">
            <v>0</v>
          </cell>
          <cell r="DK13">
            <v>0</v>
          </cell>
          <cell r="DL13">
            <v>0</v>
          </cell>
          <cell r="DM13">
            <v>0</v>
          </cell>
          <cell r="DN13">
            <v>0</v>
          </cell>
          <cell r="DO13">
            <v>0</v>
          </cell>
          <cell r="DP13">
            <v>0</v>
          </cell>
          <cell r="DQ13">
            <v>0</v>
          </cell>
          <cell r="DR13">
            <v>0</v>
          </cell>
          <cell r="DS13">
            <v>0</v>
          </cell>
          <cell r="DT13">
            <v>0</v>
          </cell>
          <cell r="DU13">
            <v>0</v>
          </cell>
          <cell r="DV13">
            <v>0</v>
          </cell>
          <cell r="DW13">
            <v>0</v>
          </cell>
          <cell r="DX13">
            <v>0</v>
          </cell>
          <cell r="DY13">
            <v>0</v>
          </cell>
          <cell r="DZ13">
            <v>0</v>
          </cell>
          <cell r="EA13">
            <v>0</v>
          </cell>
          <cell r="EB13">
            <v>0</v>
          </cell>
          <cell r="EC13">
            <v>0</v>
          </cell>
          <cell r="ED13">
            <v>0.05</v>
          </cell>
          <cell r="EE13">
            <v>0.09</v>
          </cell>
          <cell r="EF13">
            <v>0.08</v>
          </cell>
          <cell r="EG13">
            <v>0.17</v>
          </cell>
          <cell r="EH13">
            <v>1</v>
          </cell>
          <cell r="EI13">
            <v>1</v>
          </cell>
          <cell r="EJ13">
            <v>1</v>
          </cell>
          <cell r="EK13">
            <v>1</v>
          </cell>
          <cell r="EL13">
            <v>0.05</v>
          </cell>
          <cell r="EM13">
            <v>0.14000000000000001</v>
          </cell>
          <cell r="EN13">
            <v>0.11</v>
          </cell>
          <cell r="EO13">
            <v>0.2</v>
          </cell>
          <cell r="EP13">
            <v>0</v>
          </cell>
          <cell r="EQ13">
            <v>0</v>
          </cell>
          <cell r="ER13">
            <v>0</v>
          </cell>
          <cell r="ES13">
            <v>0</v>
          </cell>
          <cell r="ET13">
            <v>0</v>
          </cell>
          <cell r="EU13">
            <v>0</v>
          </cell>
          <cell r="EV13">
            <v>0</v>
          </cell>
          <cell r="EW13">
            <v>0</v>
          </cell>
          <cell r="EX13">
            <v>1</v>
          </cell>
          <cell r="EY13">
            <v>1</v>
          </cell>
          <cell r="EZ13">
            <v>1</v>
          </cell>
          <cell r="FA13">
            <v>0</v>
          </cell>
          <cell r="FB13">
            <v>0</v>
          </cell>
          <cell r="FC13">
            <v>0</v>
          </cell>
          <cell r="FD13">
            <v>0</v>
          </cell>
          <cell r="FE13">
            <v>0</v>
          </cell>
          <cell r="FF13">
            <v>0</v>
          </cell>
          <cell r="FG13">
            <v>0</v>
          </cell>
          <cell r="FH13">
            <v>0</v>
          </cell>
          <cell r="FI13">
            <v>0</v>
          </cell>
          <cell r="FJ13">
            <v>0</v>
          </cell>
          <cell r="FK13">
            <v>0</v>
          </cell>
          <cell r="FL13">
            <v>0</v>
          </cell>
          <cell r="FM13">
            <v>0</v>
          </cell>
          <cell r="FN13">
            <v>0</v>
          </cell>
          <cell r="FO13">
            <v>0</v>
          </cell>
          <cell r="FP13">
            <v>0</v>
          </cell>
          <cell r="FQ13">
            <v>0</v>
          </cell>
          <cell r="FR13">
            <v>0</v>
          </cell>
          <cell r="FS13">
            <v>0</v>
          </cell>
          <cell r="FT13">
            <v>0</v>
          </cell>
          <cell r="FU13">
            <v>0</v>
          </cell>
          <cell r="FV13">
            <v>0</v>
          </cell>
          <cell r="FW13">
            <v>0</v>
          </cell>
          <cell r="FX13">
            <v>0</v>
          </cell>
          <cell r="FY13">
            <v>0</v>
          </cell>
          <cell r="FZ13">
            <v>0</v>
          </cell>
        </row>
        <row r="14">
          <cell r="B14">
            <v>0.1</v>
          </cell>
          <cell r="C14">
            <v>0.08</v>
          </cell>
          <cell r="D14">
            <v>0.15</v>
          </cell>
          <cell r="E14">
            <v>0.08</v>
          </cell>
          <cell r="F14">
            <v>0.15</v>
          </cell>
          <cell r="G14">
            <v>0.22</v>
          </cell>
          <cell r="H14">
            <v>7.0000000000000007E-2</v>
          </cell>
          <cell r="I14">
            <v>0.05</v>
          </cell>
          <cell r="J14">
            <v>0.13</v>
          </cell>
          <cell r="K14">
            <v>0.18</v>
          </cell>
          <cell r="L14">
            <v>0.17</v>
          </cell>
          <cell r="M14">
            <v>0.16</v>
          </cell>
          <cell r="N14">
            <v>0.8</v>
          </cell>
          <cell r="O14">
            <v>1</v>
          </cell>
          <cell r="P14">
            <v>1</v>
          </cell>
          <cell r="Q14">
            <v>0.8</v>
          </cell>
          <cell r="R14">
            <v>0.8</v>
          </cell>
          <cell r="S14">
            <v>1</v>
          </cell>
          <cell r="T14">
            <v>1</v>
          </cell>
          <cell r="U14">
            <v>1</v>
          </cell>
          <cell r="V14">
            <v>1</v>
          </cell>
          <cell r="W14">
            <v>1</v>
          </cell>
          <cell r="X14">
            <v>1</v>
          </cell>
          <cell r="Y14">
            <v>1</v>
          </cell>
          <cell r="Z14">
            <v>0.1</v>
          </cell>
          <cell r="AA14">
            <v>0.1</v>
          </cell>
          <cell r="AB14">
            <v>0.14000000000000001</v>
          </cell>
          <cell r="AC14">
            <v>0.11</v>
          </cell>
          <cell r="AD14">
            <v>0.11</v>
          </cell>
          <cell r="AE14">
            <v>0.19</v>
          </cell>
          <cell r="AF14">
            <v>0.09</v>
          </cell>
          <cell r="AG14">
            <v>0.11</v>
          </cell>
          <cell r="AH14">
            <v>0.15</v>
          </cell>
          <cell r="AI14">
            <v>0.2</v>
          </cell>
          <cell r="AJ14">
            <v>0.2</v>
          </cell>
          <cell r="AK14">
            <v>0.2</v>
          </cell>
          <cell r="AL14">
            <v>0</v>
          </cell>
          <cell r="AM14">
            <v>0</v>
          </cell>
          <cell r="AN14">
            <v>0</v>
          </cell>
          <cell r="AO14">
            <v>0</v>
          </cell>
          <cell r="AP14">
            <v>0</v>
          </cell>
          <cell r="AQ14">
            <v>0</v>
          </cell>
          <cell r="AR14">
            <v>0</v>
          </cell>
          <cell r="AS14">
            <v>0</v>
          </cell>
          <cell r="AT14">
            <v>0</v>
          </cell>
          <cell r="AU14">
            <v>0</v>
          </cell>
          <cell r="AV14">
            <v>0</v>
          </cell>
          <cell r="AW14">
            <v>0</v>
          </cell>
          <cell r="AX14">
            <v>0</v>
          </cell>
          <cell r="AY14">
            <v>0</v>
          </cell>
          <cell r="AZ14">
            <v>0</v>
          </cell>
          <cell r="BA14">
            <v>0</v>
          </cell>
          <cell r="BB14">
            <v>0</v>
          </cell>
          <cell r="BC14">
            <v>0</v>
          </cell>
          <cell r="BD14">
            <v>0</v>
          </cell>
          <cell r="BE14">
            <v>0</v>
          </cell>
          <cell r="BF14">
            <v>0</v>
          </cell>
          <cell r="BG14">
            <v>0</v>
          </cell>
          <cell r="BH14">
            <v>0</v>
          </cell>
          <cell r="BI14">
            <v>0</v>
          </cell>
          <cell r="BJ14">
            <v>0</v>
          </cell>
          <cell r="BK14">
            <v>0</v>
          </cell>
          <cell r="BL14">
            <v>0</v>
          </cell>
          <cell r="BM14">
            <v>0</v>
          </cell>
          <cell r="BN14">
            <v>0</v>
          </cell>
          <cell r="BO14">
            <v>0</v>
          </cell>
          <cell r="BP14">
            <v>0</v>
          </cell>
          <cell r="BQ14">
            <v>0</v>
          </cell>
          <cell r="BR14">
            <v>0</v>
          </cell>
          <cell r="BS14">
            <v>0</v>
          </cell>
          <cell r="BT14">
            <v>0</v>
          </cell>
          <cell r="BU14">
            <v>0</v>
          </cell>
          <cell r="BV14">
            <v>0</v>
          </cell>
          <cell r="BW14">
            <v>0</v>
          </cell>
          <cell r="BX14">
            <v>0</v>
          </cell>
          <cell r="BY14">
            <v>0</v>
          </cell>
          <cell r="BZ14">
            <v>0</v>
          </cell>
          <cell r="CA14">
            <v>0</v>
          </cell>
          <cell r="CB14">
            <v>0</v>
          </cell>
          <cell r="CC14">
            <v>0</v>
          </cell>
          <cell r="CD14">
            <v>0</v>
          </cell>
          <cell r="CE14">
            <v>0</v>
          </cell>
          <cell r="CF14">
            <v>0</v>
          </cell>
          <cell r="CG14">
            <v>0</v>
          </cell>
          <cell r="CH14">
            <v>0</v>
          </cell>
          <cell r="CI14">
            <v>0</v>
          </cell>
          <cell r="CJ14">
            <v>0</v>
          </cell>
          <cell r="CK14">
            <v>0</v>
          </cell>
          <cell r="CL14">
            <v>0</v>
          </cell>
          <cell r="CM14">
            <v>0</v>
          </cell>
          <cell r="CN14">
            <v>0</v>
          </cell>
          <cell r="CO14">
            <v>0</v>
          </cell>
          <cell r="CP14">
            <v>0</v>
          </cell>
          <cell r="CQ14">
            <v>0</v>
          </cell>
          <cell r="CR14">
            <v>0</v>
          </cell>
          <cell r="CS14">
            <v>0</v>
          </cell>
          <cell r="CT14">
            <v>0</v>
          </cell>
          <cell r="CU14">
            <v>0</v>
          </cell>
          <cell r="CV14">
            <v>0</v>
          </cell>
          <cell r="CW14">
            <v>0</v>
          </cell>
          <cell r="CX14">
            <v>0</v>
          </cell>
          <cell r="CY14">
            <v>0</v>
          </cell>
          <cell r="CZ14">
            <v>0</v>
          </cell>
          <cell r="DA14">
            <v>0</v>
          </cell>
          <cell r="DB14">
            <v>0</v>
          </cell>
          <cell r="DC14">
            <v>0</v>
          </cell>
          <cell r="DD14">
            <v>0</v>
          </cell>
          <cell r="DE14">
            <v>0</v>
          </cell>
          <cell r="DF14">
            <v>0</v>
          </cell>
          <cell r="DG14">
            <v>0</v>
          </cell>
          <cell r="DH14">
            <v>0</v>
          </cell>
          <cell r="DI14">
            <v>0</v>
          </cell>
          <cell r="DJ14">
            <v>0</v>
          </cell>
          <cell r="DK14">
            <v>0</v>
          </cell>
          <cell r="DL14">
            <v>0</v>
          </cell>
          <cell r="DM14">
            <v>0</v>
          </cell>
          <cell r="DN14">
            <v>0</v>
          </cell>
          <cell r="DO14">
            <v>0</v>
          </cell>
          <cell r="DP14">
            <v>0</v>
          </cell>
          <cell r="DQ14">
            <v>0</v>
          </cell>
          <cell r="DR14">
            <v>0</v>
          </cell>
          <cell r="DS14">
            <v>0</v>
          </cell>
          <cell r="DT14">
            <v>0</v>
          </cell>
          <cell r="DU14">
            <v>0</v>
          </cell>
          <cell r="DV14">
            <v>0</v>
          </cell>
          <cell r="DW14">
            <v>0</v>
          </cell>
          <cell r="DX14">
            <v>0</v>
          </cell>
          <cell r="DY14">
            <v>0</v>
          </cell>
          <cell r="DZ14">
            <v>0</v>
          </cell>
          <cell r="EA14">
            <v>0</v>
          </cell>
          <cell r="EB14">
            <v>0</v>
          </cell>
          <cell r="EC14">
            <v>0</v>
          </cell>
          <cell r="ED14">
            <v>0.05</v>
          </cell>
          <cell r="EE14">
            <v>0.09</v>
          </cell>
          <cell r="EF14">
            <v>0.08</v>
          </cell>
          <cell r="EG14">
            <v>0.17</v>
          </cell>
          <cell r="EH14">
            <v>1</v>
          </cell>
          <cell r="EI14">
            <v>1</v>
          </cell>
          <cell r="EJ14">
            <v>1</v>
          </cell>
          <cell r="EK14">
            <v>1</v>
          </cell>
          <cell r="EL14">
            <v>0.05</v>
          </cell>
          <cell r="EM14">
            <v>0.14000000000000001</v>
          </cell>
          <cell r="EN14">
            <v>0.11</v>
          </cell>
          <cell r="EO14">
            <v>0.2</v>
          </cell>
          <cell r="EP14">
            <v>0</v>
          </cell>
          <cell r="EQ14">
            <v>0</v>
          </cell>
          <cell r="ER14">
            <v>0</v>
          </cell>
          <cell r="ES14">
            <v>0</v>
          </cell>
          <cell r="ET14">
            <v>0</v>
          </cell>
          <cell r="EU14">
            <v>0</v>
          </cell>
          <cell r="EV14">
            <v>0</v>
          </cell>
          <cell r="EW14">
            <v>0</v>
          </cell>
          <cell r="EX14">
            <v>1</v>
          </cell>
          <cell r="EY14">
            <v>1</v>
          </cell>
          <cell r="EZ14">
            <v>1</v>
          </cell>
          <cell r="FA14">
            <v>0</v>
          </cell>
          <cell r="FB14">
            <v>0</v>
          </cell>
          <cell r="FC14">
            <v>0</v>
          </cell>
          <cell r="FD14">
            <v>0</v>
          </cell>
          <cell r="FE14">
            <v>0</v>
          </cell>
          <cell r="FF14">
            <v>0</v>
          </cell>
          <cell r="FG14">
            <v>0</v>
          </cell>
          <cell r="FH14">
            <v>0</v>
          </cell>
          <cell r="FI14">
            <v>0</v>
          </cell>
          <cell r="FJ14">
            <v>0</v>
          </cell>
          <cell r="FK14">
            <v>0</v>
          </cell>
          <cell r="FL14">
            <v>0</v>
          </cell>
          <cell r="FM14">
            <v>0</v>
          </cell>
          <cell r="FN14">
            <v>0</v>
          </cell>
          <cell r="FO14">
            <v>0</v>
          </cell>
          <cell r="FP14">
            <v>0</v>
          </cell>
          <cell r="FQ14">
            <v>0</v>
          </cell>
          <cell r="FR14">
            <v>0</v>
          </cell>
          <cell r="FS14">
            <v>0</v>
          </cell>
          <cell r="FT14">
            <v>0</v>
          </cell>
          <cell r="FU14">
            <v>0</v>
          </cell>
          <cell r="FV14">
            <v>0</v>
          </cell>
          <cell r="FW14">
            <v>0</v>
          </cell>
          <cell r="FX14">
            <v>0</v>
          </cell>
          <cell r="FY14">
            <v>0</v>
          </cell>
          <cell r="FZ14">
            <v>0</v>
          </cell>
        </row>
        <row r="15">
          <cell r="B15">
            <v>0.1</v>
          </cell>
          <cell r="C15">
            <v>0.08</v>
          </cell>
          <cell r="D15">
            <v>0.15</v>
          </cell>
          <cell r="E15">
            <v>0.08</v>
          </cell>
          <cell r="F15">
            <v>0.15</v>
          </cell>
          <cell r="G15">
            <v>0.22</v>
          </cell>
          <cell r="H15">
            <v>7.0000000000000007E-2</v>
          </cell>
          <cell r="I15">
            <v>0.05</v>
          </cell>
          <cell r="J15">
            <v>0.13</v>
          </cell>
          <cell r="K15">
            <v>0.18</v>
          </cell>
          <cell r="L15">
            <v>0.17</v>
          </cell>
          <cell r="M15">
            <v>0.16</v>
          </cell>
          <cell r="N15">
            <v>0.8</v>
          </cell>
          <cell r="O15">
            <v>1</v>
          </cell>
          <cell r="P15">
            <v>1</v>
          </cell>
          <cell r="Q15">
            <v>0.8</v>
          </cell>
          <cell r="R15">
            <v>0.8</v>
          </cell>
          <cell r="S15">
            <v>1</v>
          </cell>
          <cell r="T15">
            <v>1</v>
          </cell>
          <cell r="U15">
            <v>1</v>
          </cell>
          <cell r="V15">
            <v>1</v>
          </cell>
          <cell r="W15">
            <v>1</v>
          </cell>
          <cell r="X15">
            <v>1</v>
          </cell>
          <cell r="Y15">
            <v>1</v>
          </cell>
          <cell r="Z15">
            <v>0.1</v>
          </cell>
          <cell r="AA15">
            <v>0.1</v>
          </cell>
          <cell r="AB15">
            <v>0.14000000000000001</v>
          </cell>
          <cell r="AC15">
            <v>0.11</v>
          </cell>
          <cell r="AD15">
            <v>0.11</v>
          </cell>
          <cell r="AE15">
            <v>0.19</v>
          </cell>
          <cell r="AF15">
            <v>0.09</v>
          </cell>
          <cell r="AG15">
            <v>0.11</v>
          </cell>
          <cell r="AH15">
            <v>0.15</v>
          </cell>
          <cell r="AI15">
            <v>0.2</v>
          </cell>
          <cell r="AJ15">
            <v>0.2</v>
          </cell>
          <cell r="AK15">
            <v>0.2</v>
          </cell>
          <cell r="AL15">
            <v>0</v>
          </cell>
          <cell r="AM15">
            <v>0</v>
          </cell>
          <cell r="AN15">
            <v>0</v>
          </cell>
          <cell r="AO15">
            <v>0</v>
          </cell>
          <cell r="AP15">
            <v>0</v>
          </cell>
          <cell r="AQ15">
            <v>0</v>
          </cell>
          <cell r="AR15">
            <v>0</v>
          </cell>
          <cell r="AS15">
            <v>0</v>
          </cell>
          <cell r="AT15">
            <v>0</v>
          </cell>
          <cell r="AU15">
            <v>0</v>
          </cell>
          <cell r="AV15">
            <v>0</v>
          </cell>
          <cell r="AW15">
            <v>0</v>
          </cell>
          <cell r="AX15">
            <v>0</v>
          </cell>
          <cell r="AY15">
            <v>0</v>
          </cell>
          <cell r="AZ15">
            <v>0</v>
          </cell>
          <cell r="BA15">
            <v>0</v>
          </cell>
          <cell r="BB15">
            <v>0</v>
          </cell>
          <cell r="BC15">
            <v>0</v>
          </cell>
          <cell r="BD15">
            <v>0</v>
          </cell>
          <cell r="BE15">
            <v>0</v>
          </cell>
          <cell r="BF15">
            <v>0</v>
          </cell>
          <cell r="BG15">
            <v>0</v>
          </cell>
          <cell r="BH15">
            <v>0</v>
          </cell>
          <cell r="BI15">
            <v>0</v>
          </cell>
          <cell r="BJ15">
            <v>0</v>
          </cell>
          <cell r="BK15">
            <v>0</v>
          </cell>
          <cell r="BL15">
            <v>0</v>
          </cell>
          <cell r="BM15">
            <v>0</v>
          </cell>
          <cell r="BN15">
            <v>0</v>
          </cell>
          <cell r="BO15">
            <v>0</v>
          </cell>
          <cell r="BP15">
            <v>0</v>
          </cell>
          <cell r="BQ15">
            <v>0</v>
          </cell>
          <cell r="BR15">
            <v>0</v>
          </cell>
          <cell r="BS15">
            <v>0</v>
          </cell>
          <cell r="BT15">
            <v>0</v>
          </cell>
          <cell r="BU15">
            <v>0</v>
          </cell>
          <cell r="BV15">
            <v>0</v>
          </cell>
          <cell r="BW15">
            <v>0</v>
          </cell>
          <cell r="BX15">
            <v>0</v>
          </cell>
          <cell r="BY15">
            <v>0</v>
          </cell>
          <cell r="BZ15">
            <v>0</v>
          </cell>
          <cell r="CA15">
            <v>0</v>
          </cell>
          <cell r="CB15">
            <v>0</v>
          </cell>
          <cell r="CC15">
            <v>0</v>
          </cell>
          <cell r="CD15">
            <v>0</v>
          </cell>
          <cell r="CE15">
            <v>0</v>
          </cell>
          <cell r="CF15">
            <v>0</v>
          </cell>
          <cell r="CG15">
            <v>0</v>
          </cell>
          <cell r="CH15">
            <v>0</v>
          </cell>
          <cell r="CI15">
            <v>0</v>
          </cell>
          <cell r="CJ15">
            <v>0</v>
          </cell>
          <cell r="CK15">
            <v>0</v>
          </cell>
          <cell r="CL15">
            <v>0</v>
          </cell>
          <cell r="CM15">
            <v>0</v>
          </cell>
          <cell r="CN15">
            <v>0</v>
          </cell>
          <cell r="CO15">
            <v>0</v>
          </cell>
          <cell r="CP15">
            <v>0</v>
          </cell>
          <cell r="CQ15">
            <v>0</v>
          </cell>
          <cell r="CR15">
            <v>0</v>
          </cell>
          <cell r="CS15">
            <v>0</v>
          </cell>
          <cell r="CT15">
            <v>0</v>
          </cell>
          <cell r="CU15">
            <v>0</v>
          </cell>
          <cell r="CV15">
            <v>0</v>
          </cell>
          <cell r="CW15">
            <v>0</v>
          </cell>
          <cell r="CX15">
            <v>0</v>
          </cell>
          <cell r="CY15">
            <v>0</v>
          </cell>
          <cell r="CZ15">
            <v>0</v>
          </cell>
          <cell r="DA15">
            <v>0</v>
          </cell>
          <cell r="DB15">
            <v>0</v>
          </cell>
          <cell r="DC15">
            <v>0</v>
          </cell>
          <cell r="DD15">
            <v>0</v>
          </cell>
          <cell r="DE15">
            <v>0</v>
          </cell>
          <cell r="DF15">
            <v>0</v>
          </cell>
          <cell r="DG15">
            <v>0</v>
          </cell>
          <cell r="DH15">
            <v>0</v>
          </cell>
          <cell r="DI15">
            <v>0</v>
          </cell>
          <cell r="DJ15">
            <v>0</v>
          </cell>
          <cell r="DK15">
            <v>0</v>
          </cell>
          <cell r="DL15">
            <v>0</v>
          </cell>
          <cell r="DM15">
            <v>0</v>
          </cell>
          <cell r="DN15">
            <v>0</v>
          </cell>
          <cell r="DO15">
            <v>0</v>
          </cell>
          <cell r="DP15">
            <v>0</v>
          </cell>
          <cell r="DQ15">
            <v>0</v>
          </cell>
          <cell r="DR15">
            <v>0</v>
          </cell>
          <cell r="DS15">
            <v>0</v>
          </cell>
          <cell r="DT15">
            <v>0</v>
          </cell>
          <cell r="DU15">
            <v>0</v>
          </cell>
          <cell r="DV15">
            <v>0</v>
          </cell>
          <cell r="DW15">
            <v>0</v>
          </cell>
          <cell r="DX15">
            <v>0</v>
          </cell>
          <cell r="DY15">
            <v>0</v>
          </cell>
          <cell r="DZ15">
            <v>0</v>
          </cell>
          <cell r="EA15">
            <v>0</v>
          </cell>
          <cell r="EB15">
            <v>0</v>
          </cell>
          <cell r="EC15">
            <v>0</v>
          </cell>
          <cell r="ED15">
            <v>0.05</v>
          </cell>
          <cell r="EE15">
            <v>0.09</v>
          </cell>
          <cell r="EF15">
            <v>0.08</v>
          </cell>
          <cell r="EG15">
            <v>0.17</v>
          </cell>
          <cell r="EH15">
            <v>1</v>
          </cell>
          <cell r="EI15">
            <v>1</v>
          </cell>
          <cell r="EJ15">
            <v>1</v>
          </cell>
          <cell r="EK15">
            <v>1</v>
          </cell>
          <cell r="EL15">
            <v>0.05</v>
          </cell>
          <cell r="EM15">
            <v>0.14000000000000001</v>
          </cell>
          <cell r="EN15">
            <v>0.11</v>
          </cell>
          <cell r="EO15">
            <v>0.2</v>
          </cell>
          <cell r="EP15">
            <v>0</v>
          </cell>
          <cell r="EQ15">
            <v>0</v>
          </cell>
          <cell r="ER15">
            <v>0</v>
          </cell>
          <cell r="ES15">
            <v>0</v>
          </cell>
          <cell r="ET15">
            <v>0</v>
          </cell>
          <cell r="EU15">
            <v>0</v>
          </cell>
          <cell r="EV15">
            <v>0</v>
          </cell>
          <cell r="EW15">
            <v>0</v>
          </cell>
          <cell r="EX15">
            <v>1</v>
          </cell>
          <cell r="EY15">
            <v>1</v>
          </cell>
          <cell r="EZ15">
            <v>1</v>
          </cell>
          <cell r="FA15">
            <v>0</v>
          </cell>
          <cell r="FB15">
            <v>0</v>
          </cell>
          <cell r="FC15">
            <v>0</v>
          </cell>
          <cell r="FD15">
            <v>0</v>
          </cell>
          <cell r="FE15">
            <v>0</v>
          </cell>
          <cell r="FF15">
            <v>0</v>
          </cell>
          <cell r="FG15">
            <v>0</v>
          </cell>
          <cell r="FH15">
            <v>0</v>
          </cell>
          <cell r="FI15">
            <v>0</v>
          </cell>
          <cell r="FJ15">
            <v>0</v>
          </cell>
          <cell r="FK15">
            <v>0</v>
          </cell>
          <cell r="FL15">
            <v>0</v>
          </cell>
          <cell r="FM15">
            <v>0</v>
          </cell>
          <cell r="FN15">
            <v>0</v>
          </cell>
          <cell r="FO15">
            <v>0</v>
          </cell>
          <cell r="FP15">
            <v>0</v>
          </cell>
          <cell r="FQ15">
            <v>0</v>
          </cell>
          <cell r="FR15">
            <v>0</v>
          </cell>
          <cell r="FS15">
            <v>0</v>
          </cell>
          <cell r="FT15">
            <v>0</v>
          </cell>
          <cell r="FU15">
            <v>0</v>
          </cell>
          <cell r="FV15">
            <v>0</v>
          </cell>
          <cell r="FW15">
            <v>0</v>
          </cell>
          <cell r="FX15">
            <v>0</v>
          </cell>
          <cell r="FY15">
            <v>0</v>
          </cell>
          <cell r="FZ15">
            <v>0</v>
          </cell>
        </row>
        <row r="16">
          <cell r="B16">
            <v>0.1</v>
          </cell>
          <cell r="C16">
            <v>0.08</v>
          </cell>
          <cell r="D16">
            <v>0.15</v>
          </cell>
          <cell r="E16">
            <v>0.08</v>
          </cell>
          <cell r="F16">
            <v>0.15</v>
          </cell>
          <cell r="G16">
            <v>0.22</v>
          </cell>
          <cell r="H16">
            <v>7.0000000000000007E-2</v>
          </cell>
          <cell r="I16">
            <v>0.05</v>
          </cell>
          <cell r="J16">
            <v>0.13</v>
          </cell>
          <cell r="K16">
            <v>0.18</v>
          </cell>
          <cell r="L16">
            <v>0.17</v>
          </cell>
          <cell r="M16">
            <v>0.16</v>
          </cell>
          <cell r="N16">
            <v>0.8</v>
          </cell>
          <cell r="O16">
            <v>1</v>
          </cell>
          <cell r="P16">
            <v>1</v>
          </cell>
          <cell r="Q16">
            <v>0.8</v>
          </cell>
          <cell r="R16">
            <v>0.8</v>
          </cell>
          <cell r="S16">
            <v>1</v>
          </cell>
          <cell r="T16">
            <v>1</v>
          </cell>
          <cell r="U16">
            <v>1</v>
          </cell>
          <cell r="V16">
            <v>1</v>
          </cell>
          <cell r="W16">
            <v>1</v>
          </cell>
          <cell r="X16">
            <v>1</v>
          </cell>
          <cell r="Y16">
            <v>1</v>
          </cell>
          <cell r="Z16">
            <v>0.1</v>
          </cell>
          <cell r="AA16">
            <v>0.1</v>
          </cell>
          <cell r="AB16">
            <v>0.14000000000000001</v>
          </cell>
          <cell r="AC16">
            <v>0.11</v>
          </cell>
          <cell r="AD16">
            <v>0.11</v>
          </cell>
          <cell r="AE16">
            <v>0.19</v>
          </cell>
          <cell r="AF16">
            <v>0.09</v>
          </cell>
          <cell r="AG16">
            <v>0.11</v>
          </cell>
          <cell r="AH16">
            <v>0.15</v>
          </cell>
          <cell r="AI16">
            <v>0.2</v>
          </cell>
          <cell r="AJ16">
            <v>0.2</v>
          </cell>
          <cell r="AK16">
            <v>0.2</v>
          </cell>
          <cell r="AL16">
            <v>0</v>
          </cell>
          <cell r="AM16">
            <v>0</v>
          </cell>
          <cell r="AN16">
            <v>0</v>
          </cell>
          <cell r="AO16">
            <v>0</v>
          </cell>
          <cell r="AP16">
            <v>0</v>
          </cell>
          <cell r="AQ16">
            <v>0</v>
          </cell>
          <cell r="AR16">
            <v>0</v>
          </cell>
          <cell r="AS16">
            <v>0</v>
          </cell>
          <cell r="AT16">
            <v>0</v>
          </cell>
          <cell r="AU16">
            <v>0</v>
          </cell>
          <cell r="AV16">
            <v>0</v>
          </cell>
          <cell r="AW16">
            <v>0</v>
          </cell>
          <cell r="AX16">
            <v>0</v>
          </cell>
          <cell r="AY16">
            <v>0</v>
          </cell>
          <cell r="AZ16">
            <v>0</v>
          </cell>
          <cell r="BA16">
            <v>0</v>
          </cell>
          <cell r="BB16">
            <v>0</v>
          </cell>
          <cell r="BC16">
            <v>0</v>
          </cell>
          <cell r="BD16">
            <v>0</v>
          </cell>
          <cell r="BE16">
            <v>0</v>
          </cell>
          <cell r="BF16">
            <v>0</v>
          </cell>
          <cell r="BG16">
            <v>0</v>
          </cell>
          <cell r="BH16">
            <v>0</v>
          </cell>
          <cell r="BI16">
            <v>0</v>
          </cell>
          <cell r="BJ16">
            <v>0</v>
          </cell>
          <cell r="BK16">
            <v>0</v>
          </cell>
          <cell r="BL16">
            <v>0</v>
          </cell>
          <cell r="BM16">
            <v>0</v>
          </cell>
          <cell r="BN16">
            <v>0</v>
          </cell>
          <cell r="BO16">
            <v>0</v>
          </cell>
          <cell r="BP16">
            <v>0</v>
          </cell>
          <cell r="BQ16">
            <v>0</v>
          </cell>
          <cell r="BR16">
            <v>0</v>
          </cell>
          <cell r="BS16">
            <v>0</v>
          </cell>
          <cell r="BT16">
            <v>0</v>
          </cell>
          <cell r="BU16">
            <v>0</v>
          </cell>
          <cell r="BV16">
            <v>0</v>
          </cell>
          <cell r="BW16">
            <v>0</v>
          </cell>
          <cell r="BX16">
            <v>0</v>
          </cell>
          <cell r="BY16">
            <v>0</v>
          </cell>
          <cell r="BZ16">
            <v>0</v>
          </cell>
          <cell r="CA16">
            <v>0</v>
          </cell>
          <cell r="CB16">
            <v>0</v>
          </cell>
          <cell r="CC16">
            <v>0</v>
          </cell>
          <cell r="CD16">
            <v>0</v>
          </cell>
          <cell r="CE16">
            <v>0</v>
          </cell>
          <cell r="CF16">
            <v>0</v>
          </cell>
          <cell r="CG16">
            <v>0</v>
          </cell>
          <cell r="CH16">
            <v>0</v>
          </cell>
          <cell r="CI16">
            <v>0</v>
          </cell>
          <cell r="CJ16">
            <v>0</v>
          </cell>
          <cell r="CK16">
            <v>0</v>
          </cell>
          <cell r="CL16">
            <v>0</v>
          </cell>
          <cell r="CM16">
            <v>0</v>
          </cell>
          <cell r="CN16">
            <v>0</v>
          </cell>
          <cell r="CO16">
            <v>0</v>
          </cell>
          <cell r="CP16">
            <v>0</v>
          </cell>
          <cell r="CQ16">
            <v>0</v>
          </cell>
          <cell r="CR16">
            <v>0</v>
          </cell>
          <cell r="CS16">
            <v>0</v>
          </cell>
          <cell r="CT16">
            <v>0</v>
          </cell>
          <cell r="CU16">
            <v>0</v>
          </cell>
          <cell r="CV16">
            <v>0</v>
          </cell>
          <cell r="CW16">
            <v>0</v>
          </cell>
          <cell r="CX16">
            <v>0</v>
          </cell>
          <cell r="CY16">
            <v>0</v>
          </cell>
          <cell r="CZ16">
            <v>0</v>
          </cell>
          <cell r="DA16">
            <v>0</v>
          </cell>
          <cell r="DB16">
            <v>0</v>
          </cell>
          <cell r="DC16">
            <v>0</v>
          </cell>
          <cell r="DD16">
            <v>0</v>
          </cell>
          <cell r="DE16">
            <v>0</v>
          </cell>
          <cell r="DF16">
            <v>0</v>
          </cell>
          <cell r="DG16">
            <v>0</v>
          </cell>
          <cell r="DH16">
            <v>0</v>
          </cell>
          <cell r="DI16">
            <v>0</v>
          </cell>
          <cell r="DJ16">
            <v>0</v>
          </cell>
          <cell r="DK16">
            <v>0</v>
          </cell>
          <cell r="DL16">
            <v>0</v>
          </cell>
          <cell r="DM16">
            <v>0</v>
          </cell>
          <cell r="DN16">
            <v>0</v>
          </cell>
          <cell r="DO16">
            <v>0</v>
          </cell>
          <cell r="DP16">
            <v>0</v>
          </cell>
          <cell r="DQ16">
            <v>0</v>
          </cell>
          <cell r="DR16">
            <v>0</v>
          </cell>
          <cell r="DS16">
            <v>0</v>
          </cell>
          <cell r="DT16">
            <v>0</v>
          </cell>
          <cell r="DU16">
            <v>0</v>
          </cell>
          <cell r="DV16">
            <v>0</v>
          </cell>
          <cell r="DW16">
            <v>0</v>
          </cell>
          <cell r="DX16">
            <v>0</v>
          </cell>
          <cell r="DY16">
            <v>0</v>
          </cell>
          <cell r="DZ16">
            <v>0</v>
          </cell>
          <cell r="EA16">
            <v>0</v>
          </cell>
          <cell r="EB16">
            <v>0</v>
          </cell>
          <cell r="EC16">
            <v>0</v>
          </cell>
          <cell r="ED16">
            <v>0.05</v>
          </cell>
          <cell r="EE16">
            <v>0.09</v>
          </cell>
          <cell r="EF16">
            <v>0.08</v>
          </cell>
          <cell r="EG16">
            <v>0.17</v>
          </cell>
          <cell r="EH16">
            <v>1</v>
          </cell>
          <cell r="EI16">
            <v>1</v>
          </cell>
          <cell r="EJ16">
            <v>1</v>
          </cell>
          <cell r="EK16">
            <v>1</v>
          </cell>
          <cell r="EL16">
            <v>0.05</v>
          </cell>
          <cell r="EM16">
            <v>0.14000000000000001</v>
          </cell>
          <cell r="EN16">
            <v>0.11</v>
          </cell>
          <cell r="EO16">
            <v>0.2</v>
          </cell>
          <cell r="EP16">
            <v>0</v>
          </cell>
          <cell r="EQ16">
            <v>0</v>
          </cell>
          <cell r="ER16">
            <v>0</v>
          </cell>
          <cell r="ES16">
            <v>0</v>
          </cell>
          <cell r="ET16">
            <v>0</v>
          </cell>
          <cell r="EU16">
            <v>0</v>
          </cell>
          <cell r="EV16">
            <v>0</v>
          </cell>
          <cell r="EW16">
            <v>0</v>
          </cell>
          <cell r="EX16">
            <v>1</v>
          </cell>
          <cell r="EY16">
            <v>1</v>
          </cell>
          <cell r="EZ16">
            <v>1</v>
          </cell>
          <cell r="FA16">
            <v>0</v>
          </cell>
          <cell r="FB16">
            <v>0</v>
          </cell>
          <cell r="FC16">
            <v>0</v>
          </cell>
          <cell r="FD16">
            <v>0</v>
          </cell>
          <cell r="FE16">
            <v>0</v>
          </cell>
          <cell r="FF16">
            <v>0</v>
          </cell>
          <cell r="FG16">
            <v>0</v>
          </cell>
          <cell r="FH16">
            <v>0</v>
          </cell>
          <cell r="FI16">
            <v>0</v>
          </cell>
          <cell r="FJ16">
            <v>0</v>
          </cell>
          <cell r="FK16">
            <v>0</v>
          </cell>
          <cell r="FL16">
            <v>0</v>
          </cell>
          <cell r="FM16">
            <v>0</v>
          </cell>
          <cell r="FN16">
            <v>0</v>
          </cell>
          <cell r="FO16">
            <v>0</v>
          </cell>
          <cell r="FP16">
            <v>0</v>
          </cell>
          <cell r="FQ16">
            <v>0</v>
          </cell>
          <cell r="FR16">
            <v>0</v>
          </cell>
          <cell r="FS16">
            <v>0</v>
          </cell>
          <cell r="FT16">
            <v>0</v>
          </cell>
          <cell r="FU16">
            <v>0</v>
          </cell>
          <cell r="FV16">
            <v>0</v>
          </cell>
          <cell r="FW16">
            <v>0</v>
          </cell>
          <cell r="FX16">
            <v>0</v>
          </cell>
          <cell r="FY16">
            <v>0</v>
          </cell>
          <cell r="FZ16">
            <v>0</v>
          </cell>
        </row>
        <row r="17">
          <cell r="B17">
            <v>0.1</v>
          </cell>
          <cell r="C17">
            <v>0.08</v>
          </cell>
          <cell r="D17">
            <v>0.15</v>
          </cell>
          <cell r="E17">
            <v>0.08</v>
          </cell>
          <cell r="F17">
            <v>0.15</v>
          </cell>
          <cell r="G17">
            <v>0.22</v>
          </cell>
          <cell r="H17">
            <v>7.0000000000000007E-2</v>
          </cell>
          <cell r="I17">
            <v>0.05</v>
          </cell>
          <cell r="J17">
            <v>0.13</v>
          </cell>
          <cell r="K17">
            <v>0.18</v>
          </cell>
          <cell r="L17">
            <v>0.17</v>
          </cell>
          <cell r="M17">
            <v>0.16</v>
          </cell>
          <cell r="N17">
            <v>0.8</v>
          </cell>
          <cell r="O17">
            <v>1</v>
          </cell>
          <cell r="P17">
            <v>1</v>
          </cell>
          <cell r="Q17">
            <v>0.8</v>
          </cell>
          <cell r="R17">
            <v>0.8</v>
          </cell>
          <cell r="S17">
            <v>1</v>
          </cell>
          <cell r="T17">
            <v>1</v>
          </cell>
          <cell r="U17">
            <v>1</v>
          </cell>
          <cell r="V17">
            <v>1</v>
          </cell>
          <cell r="W17">
            <v>1</v>
          </cell>
          <cell r="X17">
            <v>1</v>
          </cell>
          <cell r="Y17">
            <v>1</v>
          </cell>
          <cell r="Z17">
            <v>0.1</v>
          </cell>
          <cell r="AA17">
            <v>0.1</v>
          </cell>
          <cell r="AB17">
            <v>0.14000000000000001</v>
          </cell>
          <cell r="AC17">
            <v>0.11</v>
          </cell>
          <cell r="AD17">
            <v>0.11</v>
          </cell>
          <cell r="AE17">
            <v>0.19</v>
          </cell>
          <cell r="AF17">
            <v>0.09</v>
          </cell>
          <cell r="AG17">
            <v>0.11</v>
          </cell>
          <cell r="AH17">
            <v>0.15</v>
          </cell>
          <cell r="AI17">
            <v>0.2</v>
          </cell>
          <cell r="AJ17">
            <v>0.2</v>
          </cell>
          <cell r="AK17">
            <v>0.2</v>
          </cell>
          <cell r="AL17">
            <v>0</v>
          </cell>
          <cell r="AM17">
            <v>0</v>
          </cell>
          <cell r="AN17">
            <v>0</v>
          </cell>
          <cell r="AO17">
            <v>0</v>
          </cell>
          <cell r="AP17">
            <v>0</v>
          </cell>
          <cell r="AQ17">
            <v>0</v>
          </cell>
          <cell r="AR17">
            <v>0</v>
          </cell>
          <cell r="AS17">
            <v>0</v>
          </cell>
          <cell r="AT17">
            <v>0</v>
          </cell>
          <cell r="AU17">
            <v>0</v>
          </cell>
          <cell r="AV17">
            <v>0</v>
          </cell>
          <cell r="AW17">
            <v>0</v>
          </cell>
          <cell r="AX17">
            <v>0</v>
          </cell>
          <cell r="AY17">
            <v>0</v>
          </cell>
          <cell r="AZ17">
            <v>0</v>
          </cell>
          <cell r="BA17">
            <v>0</v>
          </cell>
          <cell r="BB17">
            <v>0</v>
          </cell>
          <cell r="BC17">
            <v>0</v>
          </cell>
          <cell r="BD17">
            <v>0</v>
          </cell>
          <cell r="BE17">
            <v>0</v>
          </cell>
          <cell r="BF17">
            <v>0</v>
          </cell>
          <cell r="BG17">
            <v>0</v>
          </cell>
          <cell r="BH17">
            <v>0</v>
          </cell>
          <cell r="BI17">
            <v>0</v>
          </cell>
          <cell r="BJ17">
            <v>0</v>
          </cell>
          <cell r="BK17">
            <v>0</v>
          </cell>
          <cell r="BL17">
            <v>0</v>
          </cell>
          <cell r="BM17">
            <v>0</v>
          </cell>
          <cell r="BN17">
            <v>0</v>
          </cell>
          <cell r="BO17">
            <v>0</v>
          </cell>
          <cell r="BP17">
            <v>0</v>
          </cell>
          <cell r="BQ17">
            <v>0</v>
          </cell>
          <cell r="BR17">
            <v>0</v>
          </cell>
          <cell r="BS17">
            <v>0</v>
          </cell>
          <cell r="BT17">
            <v>0</v>
          </cell>
          <cell r="BU17">
            <v>0</v>
          </cell>
          <cell r="BV17">
            <v>0</v>
          </cell>
          <cell r="BW17">
            <v>0</v>
          </cell>
          <cell r="BX17">
            <v>0</v>
          </cell>
          <cell r="BY17">
            <v>0</v>
          </cell>
          <cell r="BZ17">
            <v>0</v>
          </cell>
          <cell r="CA17">
            <v>0</v>
          </cell>
          <cell r="CB17">
            <v>0</v>
          </cell>
          <cell r="CC17">
            <v>0</v>
          </cell>
          <cell r="CD17">
            <v>0</v>
          </cell>
          <cell r="CE17">
            <v>0</v>
          </cell>
          <cell r="CF17">
            <v>0</v>
          </cell>
          <cell r="CG17">
            <v>0</v>
          </cell>
          <cell r="CH17">
            <v>0</v>
          </cell>
          <cell r="CI17">
            <v>0</v>
          </cell>
          <cell r="CJ17">
            <v>0</v>
          </cell>
          <cell r="CK17">
            <v>0</v>
          </cell>
          <cell r="CL17">
            <v>0</v>
          </cell>
          <cell r="CM17">
            <v>0</v>
          </cell>
          <cell r="CN17">
            <v>0</v>
          </cell>
          <cell r="CO17">
            <v>0</v>
          </cell>
          <cell r="CP17">
            <v>0</v>
          </cell>
          <cell r="CQ17">
            <v>0</v>
          </cell>
          <cell r="CR17">
            <v>0</v>
          </cell>
          <cell r="CS17">
            <v>0</v>
          </cell>
          <cell r="CT17">
            <v>0</v>
          </cell>
          <cell r="CU17">
            <v>0</v>
          </cell>
          <cell r="CV17">
            <v>0</v>
          </cell>
          <cell r="CW17">
            <v>0</v>
          </cell>
          <cell r="CX17">
            <v>0</v>
          </cell>
          <cell r="CY17">
            <v>0</v>
          </cell>
          <cell r="CZ17">
            <v>0</v>
          </cell>
          <cell r="DA17">
            <v>0</v>
          </cell>
          <cell r="DB17">
            <v>0</v>
          </cell>
          <cell r="DC17">
            <v>0</v>
          </cell>
          <cell r="DD17">
            <v>0</v>
          </cell>
          <cell r="DE17">
            <v>0</v>
          </cell>
          <cell r="DF17">
            <v>0</v>
          </cell>
          <cell r="DG17">
            <v>0</v>
          </cell>
          <cell r="DH17">
            <v>0</v>
          </cell>
          <cell r="DI17">
            <v>0</v>
          </cell>
          <cell r="DJ17">
            <v>0</v>
          </cell>
          <cell r="DK17">
            <v>0</v>
          </cell>
          <cell r="DL17">
            <v>0</v>
          </cell>
          <cell r="DM17">
            <v>0</v>
          </cell>
          <cell r="DN17">
            <v>0</v>
          </cell>
          <cell r="DO17">
            <v>0</v>
          </cell>
          <cell r="DP17">
            <v>0</v>
          </cell>
          <cell r="DQ17">
            <v>0</v>
          </cell>
          <cell r="DR17">
            <v>0</v>
          </cell>
          <cell r="DS17">
            <v>0</v>
          </cell>
          <cell r="DT17">
            <v>0</v>
          </cell>
          <cell r="DU17">
            <v>0</v>
          </cell>
          <cell r="DV17">
            <v>0</v>
          </cell>
          <cell r="DW17">
            <v>0</v>
          </cell>
          <cell r="DX17">
            <v>0</v>
          </cell>
          <cell r="DY17">
            <v>0</v>
          </cell>
          <cell r="DZ17">
            <v>0</v>
          </cell>
          <cell r="EA17">
            <v>0</v>
          </cell>
          <cell r="EB17">
            <v>0</v>
          </cell>
          <cell r="EC17">
            <v>0</v>
          </cell>
          <cell r="ED17">
            <v>0.05</v>
          </cell>
          <cell r="EE17">
            <v>0.09</v>
          </cell>
          <cell r="EF17">
            <v>0.08</v>
          </cell>
          <cell r="EG17">
            <v>0.17</v>
          </cell>
          <cell r="EH17">
            <v>1</v>
          </cell>
          <cell r="EI17">
            <v>1</v>
          </cell>
          <cell r="EJ17">
            <v>1</v>
          </cell>
          <cell r="EK17">
            <v>1</v>
          </cell>
          <cell r="EL17">
            <v>0.05</v>
          </cell>
          <cell r="EM17">
            <v>0.14000000000000001</v>
          </cell>
          <cell r="EN17">
            <v>0.11</v>
          </cell>
          <cell r="EO17">
            <v>0.2</v>
          </cell>
          <cell r="EP17">
            <v>0</v>
          </cell>
          <cell r="EQ17">
            <v>0</v>
          </cell>
          <cell r="ER17">
            <v>0</v>
          </cell>
          <cell r="ES17">
            <v>0</v>
          </cell>
          <cell r="ET17">
            <v>0</v>
          </cell>
          <cell r="EU17">
            <v>0</v>
          </cell>
          <cell r="EV17">
            <v>0</v>
          </cell>
          <cell r="EW17">
            <v>0</v>
          </cell>
          <cell r="EX17">
            <v>1</v>
          </cell>
          <cell r="EY17">
            <v>1</v>
          </cell>
          <cell r="EZ17">
            <v>1</v>
          </cell>
          <cell r="FA17">
            <v>0</v>
          </cell>
          <cell r="FB17">
            <v>0</v>
          </cell>
          <cell r="FC17">
            <v>0</v>
          </cell>
          <cell r="FD17">
            <v>0</v>
          </cell>
          <cell r="FE17">
            <v>0</v>
          </cell>
          <cell r="FF17">
            <v>0</v>
          </cell>
          <cell r="FG17">
            <v>0</v>
          </cell>
          <cell r="FH17">
            <v>0</v>
          </cell>
          <cell r="FI17">
            <v>0</v>
          </cell>
          <cell r="FJ17">
            <v>0</v>
          </cell>
          <cell r="FK17">
            <v>0</v>
          </cell>
          <cell r="FL17">
            <v>0</v>
          </cell>
          <cell r="FM17">
            <v>0</v>
          </cell>
          <cell r="FN17">
            <v>0</v>
          </cell>
          <cell r="FO17">
            <v>0</v>
          </cell>
          <cell r="FP17">
            <v>0</v>
          </cell>
          <cell r="FQ17">
            <v>0</v>
          </cell>
          <cell r="FR17">
            <v>0</v>
          </cell>
          <cell r="FS17">
            <v>0</v>
          </cell>
          <cell r="FT17">
            <v>0</v>
          </cell>
          <cell r="FU17">
            <v>0</v>
          </cell>
          <cell r="FV17">
            <v>0</v>
          </cell>
          <cell r="FW17">
            <v>0</v>
          </cell>
          <cell r="FX17">
            <v>0</v>
          </cell>
          <cell r="FY17">
            <v>0</v>
          </cell>
          <cell r="FZ17">
            <v>0</v>
          </cell>
        </row>
        <row r="18">
          <cell r="B18">
            <v>0.1</v>
          </cell>
          <cell r="C18">
            <v>0.08</v>
          </cell>
          <cell r="D18">
            <v>0.15</v>
          </cell>
          <cell r="E18">
            <v>0.08</v>
          </cell>
          <cell r="F18">
            <v>0.15</v>
          </cell>
          <cell r="G18">
            <v>0.22</v>
          </cell>
          <cell r="H18">
            <v>7.0000000000000007E-2</v>
          </cell>
          <cell r="I18">
            <v>0.05</v>
          </cell>
          <cell r="J18">
            <v>0.13</v>
          </cell>
          <cell r="K18">
            <v>0.18</v>
          </cell>
          <cell r="L18">
            <v>0.17</v>
          </cell>
          <cell r="M18">
            <v>0.16</v>
          </cell>
          <cell r="N18">
            <v>0.8</v>
          </cell>
          <cell r="O18">
            <v>1</v>
          </cell>
          <cell r="P18">
            <v>1</v>
          </cell>
          <cell r="Q18">
            <v>0.8</v>
          </cell>
          <cell r="R18">
            <v>0.8</v>
          </cell>
          <cell r="S18">
            <v>1</v>
          </cell>
          <cell r="T18">
            <v>1</v>
          </cell>
          <cell r="U18">
            <v>1</v>
          </cell>
          <cell r="V18">
            <v>1</v>
          </cell>
          <cell r="W18">
            <v>1</v>
          </cell>
          <cell r="X18">
            <v>1</v>
          </cell>
          <cell r="Y18">
            <v>1</v>
          </cell>
          <cell r="Z18">
            <v>0.1</v>
          </cell>
          <cell r="AA18">
            <v>0.1</v>
          </cell>
          <cell r="AB18">
            <v>0.14000000000000001</v>
          </cell>
          <cell r="AC18">
            <v>0.11</v>
          </cell>
          <cell r="AD18">
            <v>0.11</v>
          </cell>
          <cell r="AE18">
            <v>0.19</v>
          </cell>
          <cell r="AF18">
            <v>0.09</v>
          </cell>
          <cell r="AG18">
            <v>0.11</v>
          </cell>
          <cell r="AH18">
            <v>0.15</v>
          </cell>
          <cell r="AI18">
            <v>0.2</v>
          </cell>
          <cell r="AJ18">
            <v>0.2</v>
          </cell>
          <cell r="AK18">
            <v>0.2</v>
          </cell>
          <cell r="AL18">
            <v>0</v>
          </cell>
          <cell r="AM18">
            <v>0</v>
          </cell>
          <cell r="AN18">
            <v>0</v>
          </cell>
          <cell r="AO18">
            <v>0</v>
          </cell>
          <cell r="AP18">
            <v>0</v>
          </cell>
          <cell r="AQ18">
            <v>0</v>
          </cell>
          <cell r="AR18">
            <v>0</v>
          </cell>
          <cell r="AS18">
            <v>0</v>
          </cell>
          <cell r="AT18">
            <v>0</v>
          </cell>
          <cell r="AU18">
            <v>0</v>
          </cell>
          <cell r="AV18">
            <v>0</v>
          </cell>
          <cell r="AW18">
            <v>0</v>
          </cell>
          <cell r="AX18">
            <v>0</v>
          </cell>
          <cell r="AY18">
            <v>0</v>
          </cell>
          <cell r="AZ18">
            <v>0</v>
          </cell>
          <cell r="BA18">
            <v>0</v>
          </cell>
          <cell r="BB18">
            <v>0</v>
          </cell>
          <cell r="BC18">
            <v>0</v>
          </cell>
          <cell r="BD18">
            <v>0</v>
          </cell>
          <cell r="BE18">
            <v>0</v>
          </cell>
          <cell r="BF18">
            <v>0</v>
          </cell>
          <cell r="BG18">
            <v>0</v>
          </cell>
          <cell r="BH18">
            <v>0</v>
          </cell>
          <cell r="BI18">
            <v>0</v>
          </cell>
          <cell r="BJ18">
            <v>0</v>
          </cell>
          <cell r="BK18">
            <v>0</v>
          </cell>
          <cell r="BL18">
            <v>0</v>
          </cell>
          <cell r="BM18">
            <v>0</v>
          </cell>
          <cell r="BN18">
            <v>0</v>
          </cell>
          <cell r="BO18">
            <v>0</v>
          </cell>
          <cell r="BP18">
            <v>0</v>
          </cell>
          <cell r="BQ18">
            <v>0</v>
          </cell>
          <cell r="BR18">
            <v>0</v>
          </cell>
          <cell r="BS18">
            <v>0</v>
          </cell>
          <cell r="BT18">
            <v>0</v>
          </cell>
          <cell r="BU18">
            <v>0</v>
          </cell>
          <cell r="BV18">
            <v>0</v>
          </cell>
          <cell r="BW18">
            <v>0</v>
          </cell>
          <cell r="BX18">
            <v>0</v>
          </cell>
          <cell r="BY18">
            <v>0</v>
          </cell>
          <cell r="BZ18">
            <v>0</v>
          </cell>
          <cell r="CA18">
            <v>0</v>
          </cell>
          <cell r="CB18">
            <v>0</v>
          </cell>
          <cell r="CC18">
            <v>0</v>
          </cell>
          <cell r="CD18">
            <v>0</v>
          </cell>
          <cell r="CE18">
            <v>0</v>
          </cell>
          <cell r="CF18">
            <v>0</v>
          </cell>
          <cell r="CG18">
            <v>0</v>
          </cell>
          <cell r="CH18">
            <v>0</v>
          </cell>
          <cell r="CI18">
            <v>0</v>
          </cell>
          <cell r="CJ18">
            <v>0</v>
          </cell>
          <cell r="CK18">
            <v>0</v>
          </cell>
          <cell r="CL18">
            <v>0</v>
          </cell>
          <cell r="CM18">
            <v>0</v>
          </cell>
          <cell r="CN18">
            <v>0</v>
          </cell>
          <cell r="CO18">
            <v>0</v>
          </cell>
          <cell r="CP18">
            <v>0</v>
          </cell>
          <cell r="CQ18">
            <v>0</v>
          </cell>
          <cell r="CR18">
            <v>0</v>
          </cell>
          <cell r="CS18">
            <v>0</v>
          </cell>
          <cell r="CT18">
            <v>0</v>
          </cell>
          <cell r="CU18">
            <v>0</v>
          </cell>
          <cell r="CV18">
            <v>0</v>
          </cell>
          <cell r="CW18">
            <v>0</v>
          </cell>
          <cell r="CX18">
            <v>0</v>
          </cell>
          <cell r="CY18">
            <v>0</v>
          </cell>
          <cell r="CZ18">
            <v>0</v>
          </cell>
          <cell r="DA18">
            <v>0</v>
          </cell>
          <cell r="DB18">
            <v>0</v>
          </cell>
          <cell r="DC18">
            <v>0</v>
          </cell>
          <cell r="DD18">
            <v>0</v>
          </cell>
          <cell r="DE18">
            <v>0</v>
          </cell>
          <cell r="DF18">
            <v>0</v>
          </cell>
          <cell r="DG18">
            <v>0</v>
          </cell>
          <cell r="DH18">
            <v>0</v>
          </cell>
          <cell r="DI18">
            <v>0</v>
          </cell>
          <cell r="DJ18">
            <v>0</v>
          </cell>
          <cell r="DK18">
            <v>0</v>
          </cell>
          <cell r="DL18">
            <v>0</v>
          </cell>
          <cell r="DM18">
            <v>0</v>
          </cell>
          <cell r="DN18">
            <v>0</v>
          </cell>
          <cell r="DO18">
            <v>0</v>
          </cell>
          <cell r="DP18">
            <v>0</v>
          </cell>
          <cell r="DQ18">
            <v>0</v>
          </cell>
          <cell r="DR18">
            <v>0</v>
          </cell>
          <cell r="DS18">
            <v>0</v>
          </cell>
          <cell r="DT18">
            <v>0</v>
          </cell>
          <cell r="DU18">
            <v>0</v>
          </cell>
          <cell r="DV18">
            <v>0</v>
          </cell>
          <cell r="DW18">
            <v>0</v>
          </cell>
          <cell r="DX18">
            <v>0</v>
          </cell>
          <cell r="DY18">
            <v>0</v>
          </cell>
          <cell r="DZ18">
            <v>0</v>
          </cell>
          <cell r="EA18">
            <v>0</v>
          </cell>
          <cell r="EB18">
            <v>0</v>
          </cell>
          <cell r="EC18">
            <v>0</v>
          </cell>
          <cell r="ED18">
            <v>0.05</v>
          </cell>
          <cell r="EE18">
            <v>0.09</v>
          </cell>
          <cell r="EF18">
            <v>0.08</v>
          </cell>
          <cell r="EG18">
            <v>0.17</v>
          </cell>
          <cell r="EH18">
            <v>1</v>
          </cell>
          <cell r="EI18">
            <v>1</v>
          </cell>
          <cell r="EJ18">
            <v>1</v>
          </cell>
          <cell r="EK18">
            <v>1</v>
          </cell>
          <cell r="EL18">
            <v>0.05</v>
          </cell>
          <cell r="EM18">
            <v>0.14000000000000001</v>
          </cell>
          <cell r="EN18">
            <v>0.11</v>
          </cell>
          <cell r="EO18">
            <v>0.2</v>
          </cell>
          <cell r="EP18">
            <v>0</v>
          </cell>
          <cell r="EQ18">
            <v>0</v>
          </cell>
          <cell r="ER18">
            <v>0</v>
          </cell>
          <cell r="ES18">
            <v>0</v>
          </cell>
          <cell r="ET18">
            <v>0</v>
          </cell>
          <cell r="EU18">
            <v>0</v>
          </cell>
          <cell r="EV18">
            <v>0</v>
          </cell>
          <cell r="EW18">
            <v>0</v>
          </cell>
          <cell r="EX18">
            <v>1</v>
          </cell>
          <cell r="EY18">
            <v>1</v>
          </cell>
          <cell r="EZ18">
            <v>1</v>
          </cell>
          <cell r="FA18">
            <v>0</v>
          </cell>
          <cell r="FB18">
            <v>0</v>
          </cell>
          <cell r="FC18">
            <v>0</v>
          </cell>
          <cell r="FD18">
            <v>0</v>
          </cell>
          <cell r="FE18">
            <v>0</v>
          </cell>
          <cell r="FF18">
            <v>0</v>
          </cell>
          <cell r="FG18">
            <v>0</v>
          </cell>
          <cell r="FH18">
            <v>0</v>
          </cell>
          <cell r="FI18">
            <v>0</v>
          </cell>
          <cell r="FJ18">
            <v>0</v>
          </cell>
          <cell r="FK18">
            <v>0</v>
          </cell>
          <cell r="FL18">
            <v>0</v>
          </cell>
          <cell r="FM18">
            <v>0</v>
          </cell>
          <cell r="FN18">
            <v>0</v>
          </cell>
          <cell r="FO18">
            <v>0</v>
          </cell>
          <cell r="FP18">
            <v>0</v>
          </cell>
          <cell r="FQ18">
            <v>0</v>
          </cell>
          <cell r="FR18">
            <v>0</v>
          </cell>
          <cell r="FS18">
            <v>0</v>
          </cell>
          <cell r="FT18">
            <v>0</v>
          </cell>
          <cell r="FU18">
            <v>0</v>
          </cell>
          <cell r="FV18">
            <v>0</v>
          </cell>
          <cell r="FW18">
            <v>0</v>
          </cell>
          <cell r="FX18">
            <v>0</v>
          </cell>
          <cell r="FY18">
            <v>0</v>
          </cell>
          <cell r="FZ18">
            <v>0</v>
          </cell>
        </row>
        <row r="19">
          <cell r="B19">
            <v>0.1</v>
          </cell>
          <cell r="C19">
            <v>0.08</v>
          </cell>
          <cell r="D19">
            <v>0.15</v>
          </cell>
          <cell r="E19">
            <v>0.08</v>
          </cell>
          <cell r="F19">
            <v>0.15</v>
          </cell>
          <cell r="G19">
            <v>0.22</v>
          </cell>
          <cell r="H19">
            <v>7.0000000000000007E-2</v>
          </cell>
          <cell r="I19">
            <v>0.05</v>
          </cell>
          <cell r="J19">
            <v>0.13</v>
          </cell>
          <cell r="K19">
            <v>0.18</v>
          </cell>
          <cell r="L19">
            <v>0.17</v>
          </cell>
          <cell r="M19">
            <v>0.16</v>
          </cell>
          <cell r="N19">
            <v>0.8</v>
          </cell>
          <cell r="O19">
            <v>1</v>
          </cell>
          <cell r="P19">
            <v>1</v>
          </cell>
          <cell r="Q19">
            <v>0.8</v>
          </cell>
          <cell r="R19">
            <v>0.8</v>
          </cell>
          <cell r="S19">
            <v>1</v>
          </cell>
          <cell r="T19">
            <v>1</v>
          </cell>
          <cell r="U19">
            <v>1</v>
          </cell>
          <cell r="V19">
            <v>1</v>
          </cell>
          <cell r="W19">
            <v>1</v>
          </cell>
          <cell r="X19">
            <v>1</v>
          </cell>
          <cell r="Y19">
            <v>1</v>
          </cell>
          <cell r="Z19">
            <v>0.1</v>
          </cell>
          <cell r="AA19">
            <v>0.1</v>
          </cell>
          <cell r="AB19">
            <v>0.14000000000000001</v>
          </cell>
          <cell r="AC19">
            <v>0.11</v>
          </cell>
          <cell r="AD19">
            <v>0.11</v>
          </cell>
          <cell r="AE19">
            <v>0.19</v>
          </cell>
          <cell r="AF19">
            <v>0.09</v>
          </cell>
          <cell r="AG19">
            <v>0.11</v>
          </cell>
          <cell r="AH19">
            <v>0.15</v>
          </cell>
          <cell r="AI19">
            <v>0.2</v>
          </cell>
          <cell r="AJ19">
            <v>0.2</v>
          </cell>
          <cell r="AK19">
            <v>0.2</v>
          </cell>
          <cell r="AL19">
            <v>0</v>
          </cell>
          <cell r="AM19">
            <v>0</v>
          </cell>
          <cell r="AN19">
            <v>0</v>
          </cell>
          <cell r="AO19">
            <v>0</v>
          </cell>
          <cell r="AP19">
            <v>0</v>
          </cell>
          <cell r="AQ19">
            <v>0</v>
          </cell>
          <cell r="AR19">
            <v>0</v>
          </cell>
          <cell r="AS19">
            <v>0</v>
          </cell>
          <cell r="AT19">
            <v>0</v>
          </cell>
          <cell r="AU19">
            <v>0</v>
          </cell>
          <cell r="AV19">
            <v>0</v>
          </cell>
          <cell r="AW19">
            <v>0</v>
          </cell>
          <cell r="AX19">
            <v>0</v>
          </cell>
          <cell r="AY19">
            <v>0</v>
          </cell>
          <cell r="AZ19">
            <v>0</v>
          </cell>
          <cell r="BA19">
            <v>0</v>
          </cell>
          <cell r="BB19">
            <v>0</v>
          </cell>
          <cell r="BC19">
            <v>0</v>
          </cell>
          <cell r="BD19">
            <v>0</v>
          </cell>
          <cell r="BE19">
            <v>0</v>
          </cell>
          <cell r="BF19">
            <v>0</v>
          </cell>
          <cell r="BG19">
            <v>0</v>
          </cell>
          <cell r="BH19">
            <v>0</v>
          </cell>
          <cell r="BI19">
            <v>0</v>
          </cell>
          <cell r="BJ19">
            <v>0</v>
          </cell>
          <cell r="BK19">
            <v>0</v>
          </cell>
          <cell r="BL19">
            <v>0</v>
          </cell>
          <cell r="BM19">
            <v>0</v>
          </cell>
          <cell r="BN19">
            <v>0</v>
          </cell>
          <cell r="BO19">
            <v>0</v>
          </cell>
          <cell r="BP19">
            <v>0</v>
          </cell>
          <cell r="BQ19">
            <v>0</v>
          </cell>
          <cell r="BR19">
            <v>0</v>
          </cell>
          <cell r="BS19">
            <v>0</v>
          </cell>
          <cell r="BT19">
            <v>0</v>
          </cell>
          <cell r="BU19">
            <v>0</v>
          </cell>
          <cell r="BV19">
            <v>0</v>
          </cell>
          <cell r="BW19">
            <v>0</v>
          </cell>
          <cell r="BX19">
            <v>0</v>
          </cell>
          <cell r="BY19">
            <v>0</v>
          </cell>
          <cell r="BZ19">
            <v>0</v>
          </cell>
          <cell r="CA19">
            <v>0</v>
          </cell>
          <cell r="CB19">
            <v>0</v>
          </cell>
          <cell r="CC19">
            <v>0</v>
          </cell>
          <cell r="CD19">
            <v>0</v>
          </cell>
          <cell r="CE19">
            <v>0</v>
          </cell>
          <cell r="CF19">
            <v>0</v>
          </cell>
          <cell r="CG19">
            <v>0</v>
          </cell>
          <cell r="CH19">
            <v>0</v>
          </cell>
          <cell r="CI19">
            <v>0</v>
          </cell>
          <cell r="CJ19">
            <v>0</v>
          </cell>
          <cell r="CK19">
            <v>0</v>
          </cell>
          <cell r="CL19">
            <v>0</v>
          </cell>
          <cell r="CM19">
            <v>0</v>
          </cell>
          <cell r="CN19">
            <v>0</v>
          </cell>
          <cell r="CO19">
            <v>0</v>
          </cell>
          <cell r="CP19">
            <v>0</v>
          </cell>
          <cell r="CQ19">
            <v>0</v>
          </cell>
          <cell r="CR19">
            <v>0</v>
          </cell>
          <cell r="CS19">
            <v>0</v>
          </cell>
          <cell r="CT19">
            <v>0</v>
          </cell>
          <cell r="CU19">
            <v>0</v>
          </cell>
          <cell r="CV19">
            <v>0</v>
          </cell>
          <cell r="CW19">
            <v>0</v>
          </cell>
          <cell r="CX19">
            <v>0</v>
          </cell>
          <cell r="CY19">
            <v>0</v>
          </cell>
          <cell r="CZ19">
            <v>0</v>
          </cell>
          <cell r="DA19">
            <v>0</v>
          </cell>
          <cell r="DB19">
            <v>0</v>
          </cell>
          <cell r="DC19">
            <v>0</v>
          </cell>
          <cell r="DD19">
            <v>0</v>
          </cell>
          <cell r="DE19">
            <v>0</v>
          </cell>
          <cell r="DF19">
            <v>0</v>
          </cell>
          <cell r="DG19">
            <v>0</v>
          </cell>
          <cell r="DH19">
            <v>0</v>
          </cell>
          <cell r="DI19">
            <v>0</v>
          </cell>
          <cell r="DJ19">
            <v>0</v>
          </cell>
          <cell r="DK19">
            <v>0</v>
          </cell>
          <cell r="DL19">
            <v>0</v>
          </cell>
          <cell r="DM19">
            <v>0</v>
          </cell>
          <cell r="DN19">
            <v>0</v>
          </cell>
          <cell r="DO19">
            <v>0</v>
          </cell>
          <cell r="DP19">
            <v>0</v>
          </cell>
          <cell r="DQ19">
            <v>0</v>
          </cell>
          <cell r="DR19">
            <v>0</v>
          </cell>
          <cell r="DS19">
            <v>0</v>
          </cell>
          <cell r="DT19">
            <v>0</v>
          </cell>
          <cell r="DU19">
            <v>0</v>
          </cell>
          <cell r="DV19">
            <v>0</v>
          </cell>
          <cell r="DW19">
            <v>0</v>
          </cell>
          <cell r="DX19">
            <v>0</v>
          </cell>
          <cell r="DY19">
            <v>0</v>
          </cell>
          <cell r="DZ19">
            <v>0</v>
          </cell>
          <cell r="EA19">
            <v>0</v>
          </cell>
          <cell r="EB19">
            <v>0</v>
          </cell>
          <cell r="EC19">
            <v>0</v>
          </cell>
          <cell r="ED19">
            <v>0.05</v>
          </cell>
          <cell r="EE19">
            <v>0.09</v>
          </cell>
          <cell r="EF19">
            <v>0.08</v>
          </cell>
          <cell r="EG19">
            <v>0.17</v>
          </cell>
          <cell r="EH19">
            <v>1</v>
          </cell>
          <cell r="EI19">
            <v>1</v>
          </cell>
          <cell r="EJ19">
            <v>1</v>
          </cell>
          <cell r="EK19">
            <v>1</v>
          </cell>
          <cell r="EL19">
            <v>0.05</v>
          </cell>
          <cell r="EM19">
            <v>0.14000000000000001</v>
          </cell>
          <cell r="EN19">
            <v>0.11</v>
          </cell>
          <cell r="EO19">
            <v>0.2</v>
          </cell>
          <cell r="EP19">
            <v>0</v>
          </cell>
          <cell r="EQ19">
            <v>0</v>
          </cell>
          <cell r="ER19">
            <v>0</v>
          </cell>
          <cell r="ES19">
            <v>0</v>
          </cell>
          <cell r="ET19">
            <v>0</v>
          </cell>
          <cell r="EU19">
            <v>0</v>
          </cell>
          <cell r="EV19">
            <v>0</v>
          </cell>
          <cell r="EW19">
            <v>0</v>
          </cell>
          <cell r="EX19">
            <v>1</v>
          </cell>
          <cell r="EY19">
            <v>1</v>
          </cell>
          <cell r="EZ19">
            <v>1</v>
          </cell>
          <cell r="FA19">
            <v>0</v>
          </cell>
          <cell r="FB19">
            <v>0</v>
          </cell>
          <cell r="FC19">
            <v>0</v>
          </cell>
          <cell r="FD19">
            <v>0</v>
          </cell>
          <cell r="FE19">
            <v>0</v>
          </cell>
          <cell r="FF19">
            <v>0</v>
          </cell>
          <cell r="FG19">
            <v>0</v>
          </cell>
          <cell r="FH19">
            <v>0</v>
          </cell>
          <cell r="FI19">
            <v>0</v>
          </cell>
          <cell r="FJ19">
            <v>0</v>
          </cell>
          <cell r="FK19">
            <v>0</v>
          </cell>
          <cell r="FL19">
            <v>0</v>
          </cell>
          <cell r="FM19">
            <v>0</v>
          </cell>
          <cell r="FN19">
            <v>0</v>
          </cell>
          <cell r="FO19">
            <v>0</v>
          </cell>
          <cell r="FP19">
            <v>0</v>
          </cell>
          <cell r="FQ19">
            <v>0</v>
          </cell>
          <cell r="FR19">
            <v>0</v>
          </cell>
          <cell r="FS19">
            <v>0</v>
          </cell>
          <cell r="FT19">
            <v>0</v>
          </cell>
          <cell r="FU19">
            <v>0</v>
          </cell>
          <cell r="FV19">
            <v>0</v>
          </cell>
          <cell r="FW19">
            <v>0</v>
          </cell>
          <cell r="FX19">
            <v>0</v>
          </cell>
          <cell r="FY19">
            <v>0</v>
          </cell>
          <cell r="FZ19">
            <v>0</v>
          </cell>
        </row>
        <row r="20">
          <cell r="B20">
            <v>0.1</v>
          </cell>
          <cell r="C20">
            <v>0.08</v>
          </cell>
          <cell r="D20">
            <v>0.15</v>
          </cell>
          <cell r="E20">
            <v>0.08</v>
          </cell>
          <cell r="F20">
            <v>0.15</v>
          </cell>
          <cell r="G20">
            <v>0.22</v>
          </cell>
          <cell r="H20">
            <v>7.0000000000000007E-2</v>
          </cell>
          <cell r="I20">
            <v>0.05</v>
          </cell>
          <cell r="J20">
            <v>0.13</v>
          </cell>
          <cell r="K20">
            <v>0.18</v>
          </cell>
          <cell r="L20">
            <v>0.17</v>
          </cell>
          <cell r="M20">
            <v>0.16</v>
          </cell>
          <cell r="N20">
            <v>0.8</v>
          </cell>
          <cell r="O20">
            <v>1</v>
          </cell>
          <cell r="P20">
            <v>1</v>
          </cell>
          <cell r="Q20">
            <v>0.8</v>
          </cell>
          <cell r="R20">
            <v>0.8</v>
          </cell>
          <cell r="S20">
            <v>1</v>
          </cell>
          <cell r="T20">
            <v>1</v>
          </cell>
          <cell r="U20">
            <v>1</v>
          </cell>
          <cell r="V20">
            <v>1</v>
          </cell>
          <cell r="W20">
            <v>1</v>
          </cell>
          <cell r="X20">
            <v>1</v>
          </cell>
          <cell r="Y20">
            <v>1</v>
          </cell>
          <cell r="Z20">
            <v>0.1</v>
          </cell>
          <cell r="AA20">
            <v>0.1</v>
          </cell>
          <cell r="AB20">
            <v>0.14000000000000001</v>
          </cell>
          <cell r="AC20">
            <v>0.11</v>
          </cell>
          <cell r="AD20">
            <v>0.11</v>
          </cell>
          <cell r="AE20">
            <v>0.19</v>
          </cell>
          <cell r="AF20">
            <v>0.09</v>
          </cell>
          <cell r="AG20">
            <v>0.11</v>
          </cell>
          <cell r="AH20">
            <v>0.15</v>
          </cell>
          <cell r="AI20">
            <v>0.2</v>
          </cell>
          <cell r="AJ20">
            <v>0.2</v>
          </cell>
          <cell r="AK20">
            <v>0.2</v>
          </cell>
          <cell r="AL20">
            <v>0</v>
          </cell>
          <cell r="AM20">
            <v>0</v>
          </cell>
          <cell r="AN20">
            <v>0</v>
          </cell>
          <cell r="AO20">
            <v>0</v>
          </cell>
          <cell r="AP20">
            <v>0</v>
          </cell>
          <cell r="AQ20">
            <v>0</v>
          </cell>
          <cell r="AR20">
            <v>0</v>
          </cell>
          <cell r="AS20">
            <v>0</v>
          </cell>
          <cell r="AT20">
            <v>0</v>
          </cell>
          <cell r="AU20">
            <v>0</v>
          </cell>
          <cell r="AV20">
            <v>0</v>
          </cell>
          <cell r="AW20">
            <v>0</v>
          </cell>
          <cell r="AX20">
            <v>0</v>
          </cell>
          <cell r="AY20">
            <v>0</v>
          </cell>
          <cell r="AZ20">
            <v>0</v>
          </cell>
          <cell r="BA20">
            <v>0</v>
          </cell>
          <cell r="BB20">
            <v>0</v>
          </cell>
          <cell r="BC20">
            <v>0</v>
          </cell>
          <cell r="BD20">
            <v>0</v>
          </cell>
          <cell r="BE20">
            <v>0</v>
          </cell>
          <cell r="BF20">
            <v>0</v>
          </cell>
          <cell r="BG20">
            <v>0</v>
          </cell>
          <cell r="BH20">
            <v>0</v>
          </cell>
          <cell r="BI20">
            <v>0</v>
          </cell>
          <cell r="BJ20">
            <v>0</v>
          </cell>
          <cell r="BK20">
            <v>0</v>
          </cell>
          <cell r="BL20">
            <v>0</v>
          </cell>
          <cell r="BM20">
            <v>0</v>
          </cell>
          <cell r="BN20">
            <v>0</v>
          </cell>
          <cell r="BO20">
            <v>0</v>
          </cell>
          <cell r="BP20">
            <v>0</v>
          </cell>
          <cell r="BQ20">
            <v>0</v>
          </cell>
          <cell r="BR20">
            <v>0</v>
          </cell>
          <cell r="BS20">
            <v>0</v>
          </cell>
          <cell r="BT20">
            <v>0</v>
          </cell>
          <cell r="BU20">
            <v>0</v>
          </cell>
          <cell r="BV20">
            <v>0</v>
          </cell>
          <cell r="BW20">
            <v>0</v>
          </cell>
          <cell r="BX20">
            <v>0</v>
          </cell>
          <cell r="BY20">
            <v>0</v>
          </cell>
          <cell r="BZ20">
            <v>0</v>
          </cell>
          <cell r="CA20">
            <v>0</v>
          </cell>
          <cell r="CB20">
            <v>0</v>
          </cell>
          <cell r="CC20">
            <v>0</v>
          </cell>
          <cell r="CD20">
            <v>0</v>
          </cell>
          <cell r="CE20">
            <v>0</v>
          </cell>
          <cell r="CF20">
            <v>0</v>
          </cell>
          <cell r="CG20">
            <v>0</v>
          </cell>
          <cell r="CH20">
            <v>0</v>
          </cell>
          <cell r="CI20">
            <v>0</v>
          </cell>
          <cell r="CJ20">
            <v>0</v>
          </cell>
          <cell r="CK20">
            <v>0</v>
          </cell>
          <cell r="CL20">
            <v>0</v>
          </cell>
          <cell r="CM20">
            <v>0</v>
          </cell>
          <cell r="CN20">
            <v>0</v>
          </cell>
          <cell r="CO20">
            <v>0</v>
          </cell>
          <cell r="CP20">
            <v>0</v>
          </cell>
          <cell r="CQ20">
            <v>0</v>
          </cell>
          <cell r="CR20">
            <v>0</v>
          </cell>
          <cell r="CS20">
            <v>0</v>
          </cell>
          <cell r="CT20">
            <v>0</v>
          </cell>
          <cell r="CU20">
            <v>0</v>
          </cell>
          <cell r="CV20">
            <v>0</v>
          </cell>
          <cell r="CW20">
            <v>0</v>
          </cell>
          <cell r="CX20">
            <v>0</v>
          </cell>
          <cell r="CY20">
            <v>0</v>
          </cell>
          <cell r="CZ20">
            <v>0</v>
          </cell>
          <cell r="DA20">
            <v>0</v>
          </cell>
          <cell r="DB20">
            <v>0</v>
          </cell>
          <cell r="DC20">
            <v>0</v>
          </cell>
          <cell r="DD20">
            <v>0</v>
          </cell>
          <cell r="DE20">
            <v>0</v>
          </cell>
          <cell r="DF20">
            <v>0</v>
          </cell>
          <cell r="DG20">
            <v>0</v>
          </cell>
          <cell r="DH20">
            <v>0</v>
          </cell>
          <cell r="DI20">
            <v>0</v>
          </cell>
          <cell r="DJ20">
            <v>0</v>
          </cell>
          <cell r="DK20">
            <v>0</v>
          </cell>
          <cell r="DL20">
            <v>0</v>
          </cell>
          <cell r="DM20">
            <v>0</v>
          </cell>
          <cell r="DN20">
            <v>0</v>
          </cell>
          <cell r="DO20">
            <v>0</v>
          </cell>
          <cell r="DP20">
            <v>0</v>
          </cell>
          <cell r="DQ20">
            <v>0</v>
          </cell>
          <cell r="DR20">
            <v>0</v>
          </cell>
          <cell r="DS20">
            <v>0</v>
          </cell>
          <cell r="DT20">
            <v>0</v>
          </cell>
          <cell r="DU20">
            <v>0</v>
          </cell>
          <cell r="DV20">
            <v>0</v>
          </cell>
          <cell r="DW20">
            <v>0</v>
          </cell>
          <cell r="DX20">
            <v>0</v>
          </cell>
          <cell r="DY20">
            <v>0</v>
          </cell>
          <cell r="DZ20">
            <v>0</v>
          </cell>
          <cell r="EA20">
            <v>0</v>
          </cell>
          <cell r="EB20">
            <v>0</v>
          </cell>
          <cell r="EC20">
            <v>0</v>
          </cell>
          <cell r="ED20">
            <v>0.05</v>
          </cell>
          <cell r="EE20">
            <v>0.09</v>
          </cell>
          <cell r="EF20">
            <v>0.08</v>
          </cell>
          <cell r="EG20">
            <v>0.17</v>
          </cell>
          <cell r="EH20">
            <v>1</v>
          </cell>
          <cell r="EI20">
            <v>1</v>
          </cell>
          <cell r="EJ20">
            <v>1</v>
          </cell>
          <cell r="EK20">
            <v>1</v>
          </cell>
          <cell r="EL20">
            <v>0.05</v>
          </cell>
          <cell r="EM20">
            <v>0.14000000000000001</v>
          </cell>
          <cell r="EN20">
            <v>0.11</v>
          </cell>
          <cell r="EO20">
            <v>0.2</v>
          </cell>
          <cell r="EP20">
            <v>0</v>
          </cell>
          <cell r="EQ20">
            <v>0</v>
          </cell>
          <cell r="ER20">
            <v>0</v>
          </cell>
          <cell r="ES20">
            <v>0</v>
          </cell>
          <cell r="ET20">
            <v>0</v>
          </cell>
          <cell r="EU20">
            <v>0</v>
          </cell>
          <cell r="EV20">
            <v>0</v>
          </cell>
          <cell r="EW20">
            <v>0</v>
          </cell>
          <cell r="EX20">
            <v>1</v>
          </cell>
          <cell r="EY20">
            <v>1</v>
          </cell>
          <cell r="EZ20">
            <v>1</v>
          </cell>
          <cell r="FA20">
            <v>0</v>
          </cell>
          <cell r="FB20">
            <v>0</v>
          </cell>
          <cell r="FC20">
            <v>0</v>
          </cell>
          <cell r="FD20">
            <v>0</v>
          </cell>
          <cell r="FE20">
            <v>0</v>
          </cell>
          <cell r="FF20">
            <v>0</v>
          </cell>
          <cell r="FG20">
            <v>0</v>
          </cell>
          <cell r="FH20">
            <v>0</v>
          </cell>
          <cell r="FI20">
            <v>0</v>
          </cell>
          <cell r="FJ20">
            <v>0</v>
          </cell>
          <cell r="FK20">
            <v>0</v>
          </cell>
          <cell r="FL20">
            <v>0</v>
          </cell>
          <cell r="FM20">
            <v>0</v>
          </cell>
          <cell r="FN20">
            <v>0</v>
          </cell>
          <cell r="FO20">
            <v>0</v>
          </cell>
          <cell r="FP20">
            <v>0</v>
          </cell>
          <cell r="FQ20">
            <v>0</v>
          </cell>
          <cell r="FR20">
            <v>0</v>
          </cell>
          <cell r="FS20">
            <v>0</v>
          </cell>
          <cell r="FT20">
            <v>0</v>
          </cell>
          <cell r="FU20">
            <v>0</v>
          </cell>
          <cell r="FV20">
            <v>0</v>
          </cell>
          <cell r="FW20">
            <v>0</v>
          </cell>
          <cell r="FX20">
            <v>0</v>
          </cell>
          <cell r="FY20">
            <v>0</v>
          </cell>
          <cell r="FZ20">
            <v>0</v>
          </cell>
        </row>
        <row r="21">
          <cell r="B21">
            <v>0.1</v>
          </cell>
          <cell r="C21">
            <v>0.08</v>
          </cell>
          <cell r="D21">
            <v>0.15</v>
          </cell>
          <cell r="E21">
            <v>0.08</v>
          </cell>
          <cell r="F21">
            <v>0.15</v>
          </cell>
          <cell r="G21">
            <v>0.22</v>
          </cell>
          <cell r="H21">
            <v>7.0000000000000007E-2</v>
          </cell>
          <cell r="I21">
            <v>0.05</v>
          </cell>
          <cell r="J21">
            <v>0.13</v>
          </cell>
          <cell r="K21">
            <v>0.18</v>
          </cell>
          <cell r="L21">
            <v>0.17</v>
          </cell>
          <cell r="M21">
            <v>0.16</v>
          </cell>
          <cell r="N21">
            <v>0.8</v>
          </cell>
          <cell r="O21">
            <v>1</v>
          </cell>
          <cell r="P21">
            <v>1</v>
          </cell>
          <cell r="Q21">
            <v>0.8</v>
          </cell>
          <cell r="R21">
            <v>0.8</v>
          </cell>
          <cell r="S21">
            <v>1</v>
          </cell>
          <cell r="T21">
            <v>1</v>
          </cell>
          <cell r="U21">
            <v>1</v>
          </cell>
          <cell r="V21">
            <v>1</v>
          </cell>
          <cell r="W21">
            <v>1</v>
          </cell>
          <cell r="X21">
            <v>1</v>
          </cell>
          <cell r="Y21">
            <v>1</v>
          </cell>
          <cell r="Z21">
            <v>0.1</v>
          </cell>
          <cell r="AA21">
            <v>0.1</v>
          </cell>
          <cell r="AB21">
            <v>0.14000000000000001</v>
          </cell>
          <cell r="AC21">
            <v>0.11</v>
          </cell>
          <cell r="AD21">
            <v>0.11</v>
          </cell>
          <cell r="AE21">
            <v>0.19</v>
          </cell>
          <cell r="AF21">
            <v>0.09</v>
          </cell>
          <cell r="AG21">
            <v>0.11</v>
          </cell>
          <cell r="AH21">
            <v>0.15</v>
          </cell>
          <cell r="AI21">
            <v>0.2</v>
          </cell>
          <cell r="AJ21">
            <v>0.2</v>
          </cell>
          <cell r="AK21">
            <v>0.2</v>
          </cell>
          <cell r="AL21">
            <v>0</v>
          </cell>
          <cell r="AM21">
            <v>0</v>
          </cell>
          <cell r="AN21">
            <v>0</v>
          </cell>
          <cell r="AO21">
            <v>0</v>
          </cell>
          <cell r="AP21">
            <v>0</v>
          </cell>
          <cell r="AQ21">
            <v>0</v>
          </cell>
          <cell r="AR21">
            <v>0</v>
          </cell>
          <cell r="AS21">
            <v>0</v>
          </cell>
          <cell r="AT21">
            <v>0</v>
          </cell>
          <cell r="AU21">
            <v>0</v>
          </cell>
          <cell r="AV21">
            <v>0</v>
          </cell>
          <cell r="AW21">
            <v>0</v>
          </cell>
          <cell r="AX21">
            <v>0</v>
          </cell>
          <cell r="AY21">
            <v>0</v>
          </cell>
          <cell r="AZ21">
            <v>0</v>
          </cell>
          <cell r="BA21">
            <v>0</v>
          </cell>
          <cell r="BB21">
            <v>0</v>
          </cell>
          <cell r="BC21">
            <v>0</v>
          </cell>
          <cell r="BD21">
            <v>0</v>
          </cell>
          <cell r="BE21">
            <v>0</v>
          </cell>
          <cell r="BF21">
            <v>0</v>
          </cell>
          <cell r="BG21">
            <v>0</v>
          </cell>
          <cell r="BH21">
            <v>0</v>
          </cell>
          <cell r="BI21">
            <v>0</v>
          </cell>
          <cell r="BJ21">
            <v>0</v>
          </cell>
          <cell r="BK21">
            <v>0</v>
          </cell>
          <cell r="BL21">
            <v>0</v>
          </cell>
          <cell r="BM21">
            <v>0</v>
          </cell>
          <cell r="BN21">
            <v>0</v>
          </cell>
          <cell r="BO21">
            <v>0</v>
          </cell>
          <cell r="BP21">
            <v>0</v>
          </cell>
          <cell r="BQ21">
            <v>0</v>
          </cell>
          <cell r="BR21">
            <v>0</v>
          </cell>
          <cell r="BS21">
            <v>0</v>
          </cell>
          <cell r="BT21">
            <v>0</v>
          </cell>
          <cell r="BU21">
            <v>0</v>
          </cell>
          <cell r="BV21">
            <v>0</v>
          </cell>
          <cell r="BW21">
            <v>0</v>
          </cell>
          <cell r="BX21">
            <v>0</v>
          </cell>
          <cell r="BY21">
            <v>0</v>
          </cell>
          <cell r="BZ21">
            <v>0</v>
          </cell>
          <cell r="CA21">
            <v>0</v>
          </cell>
          <cell r="CB21">
            <v>0</v>
          </cell>
          <cell r="CC21">
            <v>0</v>
          </cell>
          <cell r="CD21">
            <v>0</v>
          </cell>
          <cell r="CE21">
            <v>0</v>
          </cell>
          <cell r="CF21">
            <v>0</v>
          </cell>
          <cell r="CG21">
            <v>0</v>
          </cell>
          <cell r="CH21">
            <v>0</v>
          </cell>
          <cell r="CI21">
            <v>0</v>
          </cell>
          <cell r="CJ21">
            <v>0</v>
          </cell>
          <cell r="CK21">
            <v>0</v>
          </cell>
          <cell r="CL21">
            <v>0</v>
          </cell>
          <cell r="CM21">
            <v>0</v>
          </cell>
          <cell r="CN21">
            <v>0</v>
          </cell>
          <cell r="CO21">
            <v>0</v>
          </cell>
          <cell r="CP21">
            <v>0</v>
          </cell>
          <cell r="CQ21">
            <v>0</v>
          </cell>
          <cell r="CR21">
            <v>0</v>
          </cell>
          <cell r="CS21">
            <v>0</v>
          </cell>
          <cell r="CT21">
            <v>0</v>
          </cell>
          <cell r="CU21">
            <v>0</v>
          </cell>
          <cell r="CV21">
            <v>0</v>
          </cell>
          <cell r="CW21">
            <v>0</v>
          </cell>
          <cell r="CX21">
            <v>0</v>
          </cell>
          <cell r="CY21">
            <v>0</v>
          </cell>
          <cell r="CZ21">
            <v>0</v>
          </cell>
          <cell r="DA21">
            <v>0</v>
          </cell>
          <cell r="DB21">
            <v>0</v>
          </cell>
          <cell r="DC21">
            <v>0</v>
          </cell>
          <cell r="DD21">
            <v>0</v>
          </cell>
          <cell r="DE21">
            <v>0</v>
          </cell>
          <cell r="DF21">
            <v>0</v>
          </cell>
          <cell r="DG21">
            <v>0</v>
          </cell>
          <cell r="DH21">
            <v>0</v>
          </cell>
          <cell r="DI21">
            <v>0</v>
          </cell>
          <cell r="DJ21">
            <v>0</v>
          </cell>
          <cell r="DK21">
            <v>0</v>
          </cell>
          <cell r="DL21">
            <v>0</v>
          </cell>
          <cell r="DM21">
            <v>0</v>
          </cell>
          <cell r="DN21">
            <v>0</v>
          </cell>
          <cell r="DO21">
            <v>0</v>
          </cell>
          <cell r="DP21">
            <v>0</v>
          </cell>
          <cell r="DQ21">
            <v>0</v>
          </cell>
          <cell r="DR21">
            <v>0</v>
          </cell>
          <cell r="DS21">
            <v>0</v>
          </cell>
          <cell r="DT21">
            <v>0</v>
          </cell>
          <cell r="DU21">
            <v>0</v>
          </cell>
          <cell r="DV21">
            <v>0</v>
          </cell>
          <cell r="DW21">
            <v>0</v>
          </cell>
          <cell r="DX21">
            <v>0</v>
          </cell>
          <cell r="DY21">
            <v>0</v>
          </cell>
          <cell r="DZ21">
            <v>0</v>
          </cell>
          <cell r="EA21">
            <v>0</v>
          </cell>
          <cell r="EB21">
            <v>0</v>
          </cell>
          <cell r="EC21">
            <v>0</v>
          </cell>
          <cell r="ED21">
            <v>0.05</v>
          </cell>
          <cell r="EE21">
            <v>0.09</v>
          </cell>
          <cell r="EF21">
            <v>0.08</v>
          </cell>
          <cell r="EG21">
            <v>0.17</v>
          </cell>
          <cell r="EH21">
            <v>1</v>
          </cell>
          <cell r="EI21">
            <v>1</v>
          </cell>
          <cell r="EJ21">
            <v>1</v>
          </cell>
          <cell r="EK21">
            <v>1</v>
          </cell>
          <cell r="EL21">
            <v>0.05</v>
          </cell>
          <cell r="EM21">
            <v>0.14000000000000001</v>
          </cell>
          <cell r="EN21">
            <v>0.11</v>
          </cell>
          <cell r="EO21">
            <v>0.2</v>
          </cell>
          <cell r="EP21">
            <v>0</v>
          </cell>
          <cell r="EQ21">
            <v>0</v>
          </cell>
          <cell r="ER21">
            <v>0</v>
          </cell>
          <cell r="ES21">
            <v>0</v>
          </cell>
          <cell r="ET21">
            <v>0</v>
          </cell>
          <cell r="EU21">
            <v>0</v>
          </cell>
          <cell r="EV21">
            <v>0</v>
          </cell>
          <cell r="EW21">
            <v>0</v>
          </cell>
          <cell r="EX21">
            <v>1</v>
          </cell>
          <cell r="EY21">
            <v>1</v>
          </cell>
          <cell r="EZ21">
            <v>1</v>
          </cell>
          <cell r="FA21">
            <v>0</v>
          </cell>
          <cell r="FB21">
            <v>0</v>
          </cell>
          <cell r="FC21">
            <v>0</v>
          </cell>
          <cell r="FD21">
            <v>0</v>
          </cell>
          <cell r="FE21">
            <v>0</v>
          </cell>
          <cell r="FF21">
            <v>0</v>
          </cell>
          <cell r="FG21">
            <v>0</v>
          </cell>
          <cell r="FH21">
            <v>0</v>
          </cell>
          <cell r="FI21">
            <v>0</v>
          </cell>
          <cell r="FJ21">
            <v>0</v>
          </cell>
          <cell r="FK21">
            <v>0</v>
          </cell>
          <cell r="FL21">
            <v>0</v>
          </cell>
          <cell r="FM21">
            <v>0</v>
          </cell>
          <cell r="FN21">
            <v>0</v>
          </cell>
          <cell r="FO21">
            <v>0</v>
          </cell>
          <cell r="FP21">
            <v>0</v>
          </cell>
          <cell r="FQ21">
            <v>0</v>
          </cell>
          <cell r="FR21">
            <v>0</v>
          </cell>
          <cell r="FS21">
            <v>0</v>
          </cell>
          <cell r="FT21">
            <v>0</v>
          </cell>
          <cell r="FU21">
            <v>0</v>
          </cell>
          <cell r="FV21">
            <v>0</v>
          </cell>
          <cell r="FW21">
            <v>0</v>
          </cell>
          <cell r="FX21">
            <v>0</v>
          </cell>
          <cell r="FY21">
            <v>0</v>
          </cell>
          <cell r="FZ21">
            <v>0</v>
          </cell>
        </row>
        <row r="22">
          <cell r="B22">
            <v>0.1</v>
          </cell>
          <cell r="C22">
            <v>0.08</v>
          </cell>
          <cell r="D22">
            <v>0.15</v>
          </cell>
          <cell r="E22">
            <v>0.08</v>
          </cell>
          <cell r="F22">
            <v>0.15</v>
          </cell>
          <cell r="G22">
            <v>0.22</v>
          </cell>
          <cell r="H22">
            <v>7.0000000000000007E-2</v>
          </cell>
          <cell r="I22">
            <v>0.05</v>
          </cell>
          <cell r="J22">
            <v>0.13</v>
          </cell>
          <cell r="K22">
            <v>0.18</v>
          </cell>
          <cell r="L22">
            <v>0.17</v>
          </cell>
          <cell r="M22">
            <v>0.16</v>
          </cell>
          <cell r="N22">
            <v>0.8</v>
          </cell>
          <cell r="O22">
            <v>1</v>
          </cell>
          <cell r="P22">
            <v>1</v>
          </cell>
          <cell r="Q22">
            <v>0.8</v>
          </cell>
          <cell r="R22">
            <v>0.8</v>
          </cell>
          <cell r="S22">
            <v>1</v>
          </cell>
          <cell r="T22">
            <v>1</v>
          </cell>
          <cell r="U22">
            <v>1</v>
          </cell>
          <cell r="V22">
            <v>1</v>
          </cell>
          <cell r="W22">
            <v>1</v>
          </cell>
          <cell r="X22">
            <v>1</v>
          </cell>
          <cell r="Y22">
            <v>1</v>
          </cell>
          <cell r="Z22">
            <v>0.1</v>
          </cell>
          <cell r="AA22">
            <v>0.1</v>
          </cell>
          <cell r="AB22">
            <v>0.14000000000000001</v>
          </cell>
          <cell r="AC22">
            <v>0.11</v>
          </cell>
          <cell r="AD22">
            <v>0.11</v>
          </cell>
          <cell r="AE22">
            <v>0.19</v>
          </cell>
          <cell r="AF22">
            <v>0.09</v>
          </cell>
          <cell r="AG22">
            <v>0.11</v>
          </cell>
          <cell r="AH22">
            <v>0.15</v>
          </cell>
          <cell r="AI22">
            <v>0.2</v>
          </cell>
          <cell r="AJ22">
            <v>0.2</v>
          </cell>
          <cell r="AK22">
            <v>0.2</v>
          </cell>
          <cell r="AL22">
            <v>0</v>
          </cell>
          <cell r="AM22">
            <v>0</v>
          </cell>
          <cell r="AN22">
            <v>0</v>
          </cell>
          <cell r="AO22">
            <v>0</v>
          </cell>
          <cell r="AP22">
            <v>0</v>
          </cell>
          <cell r="AQ22">
            <v>0</v>
          </cell>
          <cell r="AR22">
            <v>0</v>
          </cell>
          <cell r="AS22">
            <v>0</v>
          </cell>
          <cell r="AT22">
            <v>0</v>
          </cell>
          <cell r="AU22">
            <v>0</v>
          </cell>
          <cell r="AV22">
            <v>0</v>
          </cell>
          <cell r="AW22">
            <v>0</v>
          </cell>
          <cell r="AX22">
            <v>0</v>
          </cell>
          <cell r="AY22">
            <v>0</v>
          </cell>
          <cell r="AZ22">
            <v>0</v>
          </cell>
          <cell r="BA22">
            <v>0</v>
          </cell>
          <cell r="BB22">
            <v>0</v>
          </cell>
          <cell r="BC22">
            <v>0</v>
          </cell>
          <cell r="BD22">
            <v>0</v>
          </cell>
          <cell r="BE22">
            <v>0</v>
          </cell>
          <cell r="BF22">
            <v>0</v>
          </cell>
          <cell r="BG22">
            <v>0</v>
          </cell>
          <cell r="BH22">
            <v>0</v>
          </cell>
          <cell r="BI22">
            <v>0</v>
          </cell>
          <cell r="BJ22">
            <v>0</v>
          </cell>
          <cell r="BK22">
            <v>0</v>
          </cell>
          <cell r="BL22">
            <v>0</v>
          </cell>
          <cell r="BM22">
            <v>0</v>
          </cell>
          <cell r="BN22">
            <v>0</v>
          </cell>
          <cell r="BO22">
            <v>0</v>
          </cell>
          <cell r="BP22">
            <v>0</v>
          </cell>
          <cell r="BQ22">
            <v>0</v>
          </cell>
          <cell r="BR22">
            <v>0</v>
          </cell>
          <cell r="BS22">
            <v>0</v>
          </cell>
          <cell r="BT22">
            <v>0</v>
          </cell>
          <cell r="BU22">
            <v>0</v>
          </cell>
          <cell r="BV22">
            <v>0</v>
          </cell>
          <cell r="BW22">
            <v>0</v>
          </cell>
          <cell r="BX22">
            <v>0</v>
          </cell>
          <cell r="BY22">
            <v>0</v>
          </cell>
          <cell r="BZ22">
            <v>0</v>
          </cell>
          <cell r="CA22">
            <v>0</v>
          </cell>
          <cell r="CB22">
            <v>0</v>
          </cell>
          <cell r="CC22">
            <v>0</v>
          </cell>
          <cell r="CD22">
            <v>0</v>
          </cell>
          <cell r="CE22">
            <v>0</v>
          </cell>
          <cell r="CF22">
            <v>0</v>
          </cell>
          <cell r="CG22">
            <v>0</v>
          </cell>
          <cell r="CH22">
            <v>0</v>
          </cell>
          <cell r="CI22">
            <v>0</v>
          </cell>
          <cell r="CJ22">
            <v>0</v>
          </cell>
          <cell r="CK22">
            <v>0</v>
          </cell>
          <cell r="CL22">
            <v>0</v>
          </cell>
          <cell r="CM22">
            <v>0</v>
          </cell>
          <cell r="CN22">
            <v>0</v>
          </cell>
          <cell r="CO22">
            <v>0</v>
          </cell>
          <cell r="CP22">
            <v>0</v>
          </cell>
          <cell r="CQ22">
            <v>0</v>
          </cell>
          <cell r="CR22">
            <v>0</v>
          </cell>
          <cell r="CS22">
            <v>0</v>
          </cell>
          <cell r="CT22">
            <v>0</v>
          </cell>
          <cell r="CU22">
            <v>0</v>
          </cell>
          <cell r="CV22">
            <v>0</v>
          </cell>
          <cell r="CW22">
            <v>0</v>
          </cell>
          <cell r="CX22">
            <v>0</v>
          </cell>
          <cell r="CY22">
            <v>0</v>
          </cell>
          <cell r="CZ22">
            <v>0</v>
          </cell>
          <cell r="DA22">
            <v>0</v>
          </cell>
          <cell r="DB22">
            <v>0</v>
          </cell>
          <cell r="DC22">
            <v>0</v>
          </cell>
          <cell r="DD22">
            <v>0</v>
          </cell>
          <cell r="DE22">
            <v>0</v>
          </cell>
          <cell r="DF22">
            <v>0</v>
          </cell>
          <cell r="DG22">
            <v>0</v>
          </cell>
          <cell r="DH22">
            <v>0</v>
          </cell>
          <cell r="DI22">
            <v>0</v>
          </cell>
          <cell r="DJ22">
            <v>0</v>
          </cell>
          <cell r="DK22">
            <v>0</v>
          </cell>
          <cell r="DL22">
            <v>0</v>
          </cell>
          <cell r="DM22">
            <v>0</v>
          </cell>
          <cell r="DN22">
            <v>0</v>
          </cell>
          <cell r="DO22">
            <v>0</v>
          </cell>
          <cell r="DP22">
            <v>0</v>
          </cell>
          <cell r="DQ22">
            <v>0</v>
          </cell>
          <cell r="DR22">
            <v>0</v>
          </cell>
          <cell r="DS22">
            <v>0</v>
          </cell>
          <cell r="DT22">
            <v>0</v>
          </cell>
          <cell r="DU22">
            <v>0</v>
          </cell>
          <cell r="DV22">
            <v>0</v>
          </cell>
          <cell r="DW22">
            <v>0</v>
          </cell>
          <cell r="DX22">
            <v>0</v>
          </cell>
          <cell r="DY22">
            <v>0</v>
          </cell>
          <cell r="DZ22">
            <v>0</v>
          </cell>
          <cell r="EA22">
            <v>0</v>
          </cell>
          <cell r="EB22">
            <v>0</v>
          </cell>
          <cell r="EC22">
            <v>0</v>
          </cell>
          <cell r="ED22">
            <v>0.05</v>
          </cell>
          <cell r="EE22">
            <v>0.09</v>
          </cell>
          <cell r="EF22">
            <v>0.08</v>
          </cell>
          <cell r="EG22">
            <v>0.17</v>
          </cell>
          <cell r="EH22">
            <v>1</v>
          </cell>
          <cell r="EI22">
            <v>1</v>
          </cell>
          <cell r="EJ22">
            <v>1</v>
          </cell>
          <cell r="EK22">
            <v>1</v>
          </cell>
          <cell r="EL22">
            <v>0.05</v>
          </cell>
          <cell r="EM22">
            <v>0.14000000000000001</v>
          </cell>
          <cell r="EN22">
            <v>0.11</v>
          </cell>
          <cell r="EO22">
            <v>0.2</v>
          </cell>
          <cell r="EP22">
            <v>0</v>
          </cell>
          <cell r="EQ22">
            <v>0</v>
          </cell>
          <cell r="ER22">
            <v>0</v>
          </cell>
          <cell r="ES22">
            <v>0</v>
          </cell>
          <cell r="ET22">
            <v>0</v>
          </cell>
          <cell r="EU22">
            <v>0</v>
          </cell>
          <cell r="EV22">
            <v>0</v>
          </cell>
          <cell r="EW22">
            <v>0</v>
          </cell>
          <cell r="EX22">
            <v>1</v>
          </cell>
          <cell r="EY22">
            <v>1</v>
          </cell>
          <cell r="EZ22">
            <v>1</v>
          </cell>
          <cell r="FA22">
            <v>0</v>
          </cell>
          <cell r="FB22">
            <v>0</v>
          </cell>
          <cell r="FC22">
            <v>0</v>
          </cell>
          <cell r="FD22">
            <v>0</v>
          </cell>
          <cell r="FE22">
            <v>0</v>
          </cell>
          <cell r="FF22">
            <v>0</v>
          </cell>
          <cell r="FG22">
            <v>0</v>
          </cell>
          <cell r="FH22">
            <v>0</v>
          </cell>
          <cell r="FI22">
            <v>0</v>
          </cell>
          <cell r="FJ22">
            <v>0</v>
          </cell>
          <cell r="FK22">
            <v>0</v>
          </cell>
          <cell r="FL22">
            <v>0</v>
          </cell>
          <cell r="FM22">
            <v>0</v>
          </cell>
          <cell r="FN22">
            <v>0</v>
          </cell>
          <cell r="FO22">
            <v>0</v>
          </cell>
          <cell r="FP22">
            <v>0</v>
          </cell>
          <cell r="FQ22">
            <v>0</v>
          </cell>
          <cell r="FR22">
            <v>0</v>
          </cell>
          <cell r="FS22">
            <v>0</v>
          </cell>
          <cell r="FT22">
            <v>0</v>
          </cell>
          <cell r="FU22">
            <v>0</v>
          </cell>
          <cell r="FV22">
            <v>0</v>
          </cell>
          <cell r="FW22">
            <v>0</v>
          </cell>
          <cell r="FX22">
            <v>0</v>
          </cell>
          <cell r="FY22">
            <v>0</v>
          </cell>
          <cell r="FZ22">
            <v>0</v>
          </cell>
        </row>
        <row r="23">
          <cell r="B23">
            <v>0.1</v>
          </cell>
          <cell r="C23">
            <v>0.08</v>
          </cell>
          <cell r="D23">
            <v>0.15</v>
          </cell>
          <cell r="E23">
            <v>0.08</v>
          </cell>
          <cell r="F23">
            <v>0.15</v>
          </cell>
          <cell r="G23">
            <v>0.22</v>
          </cell>
          <cell r="H23">
            <v>7.0000000000000007E-2</v>
          </cell>
          <cell r="I23">
            <v>0.05</v>
          </cell>
          <cell r="J23">
            <v>0.13</v>
          </cell>
          <cell r="K23">
            <v>0.18</v>
          </cell>
          <cell r="L23">
            <v>0.17</v>
          </cell>
          <cell r="M23">
            <v>0.16</v>
          </cell>
          <cell r="N23">
            <v>0.8</v>
          </cell>
          <cell r="O23">
            <v>1</v>
          </cell>
          <cell r="P23">
            <v>1</v>
          </cell>
          <cell r="Q23">
            <v>0.8</v>
          </cell>
          <cell r="R23">
            <v>0.8</v>
          </cell>
          <cell r="S23">
            <v>1</v>
          </cell>
          <cell r="T23">
            <v>1</v>
          </cell>
          <cell r="U23">
            <v>1</v>
          </cell>
          <cell r="V23">
            <v>1</v>
          </cell>
          <cell r="W23">
            <v>1</v>
          </cell>
          <cell r="X23">
            <v>1</v>
          </cell>
          <cell r="Y23">
            <v>1</v>
          </cell>
          <cell r="Z23">
            <v>0.1</v>
          </cell>
          <cell r="AA23">
            <v>0.1</v>
          </cell>
          <cell r="AB23">
            <v>0.14000000000000001</v>
          </cell>
          <cell r="AC23">
            <v>0.11</v>
          </cell>
          <cell r="AD23">
            <v>0.11</v>
          </cell>
          <cell r="AE23">
            <v>0.19</v>
          </cell>
          <cell r="AF23">
            <v>0.09</v>
          </cell>
          <cell r="AG23">
            <v>0.11</v>
          </cell>
          <cell r="AH23">
            <v>0.15</v>
          </cell>
          <cell r="AI23">
            <v>0.2</v>
          </cell>
          <cell r="AJ23">
            <v>0.2</v>
          </cell>
          <cell r="AK23">
            <v>0.2</v>
          </cell>
          <cell r="AL23">
            <v>0</v>
          </cell>
          <cell r="AM23">
            <v>0</v>
          </cell>
          <cell r="AN23">
            <v>0</v>
          </cell>
          <cell r="AO23">
            <v>0</v>
          </cell>
          <cell r="AP23">
            <v>0</v>
          </cell>
          <cell r="AQ23">
            <v>0</v>
          </cell>
          <cell r="AR23">
            <v>0</v>
          </cell>
          <cell r="AS23">
            <v>0</v>
          </cell>
          <cell r="AT23">
            <v>0</v>
          </cell>
          <cell r="AU23">
            <v>0</v>
          </cell>
          <cell r="AV23">
            <v>0</v>
          </cell>
          <cell r="AW23">
            <v>0</v>
          </cell>
          <cell r="AX23">
            <v>0</v>
          </cell>
          <cell r="AY23">
            <v>0</v>
          </cell>
          <cell r="AZ23">
            <v>0</v>
          </cell>
          <cell r="BA23">
            <v>0</v>
          </cell>
          <cell r="BB23">
            <v>0</v>
          </cell>
          <cell r="BC23">
            <v>0</v>
          </cell>
          <cell r="BD23">
            <v>0</v>
          </cell>
          <cell r="BE23">
            <v>0</v>
          </cell>
          <cell r="BF23">
            <v>0</v>
          </cell>
          <cell r="BG23">
            <v>0</v>
          </cell>
          <cell r="BH23">
            <v>0</v>
          </cell>
          <cell r="BI23">
            <v>0</v>
          </cell>
          <cell r="BJ23">
            <v>0</v>
          </cell>
          <cell r="BK23">
            <v>0</v>
          </cell>
          <cell r="BL23">
            <v>0</v>
          </cell>
          <cell r="BM23">
            <v>0</v>
          </cell>
          <cell r="BN23">
            <v>0</v>
          </cell>
          <cell r="BO23">
            <v>0</v>
          </cell>
          <cell r="BP23">
            <v>0</v>
          </cell>
          <cell r="BQ23">
            <v>0</v>
          </cell>
          <cell r="BR23">
            <v>0</v>
          </cell>
          <cell r="BS23">
            <v>0</v>
          </cell>
          <cell r="BT23">
            <v>0</v>
          </cell>
          <cell r="BU23">
            <v>0</v>
          </cell>
          <cell r="BV23">
            <v>0</v>
          </cell>
          <cell r="BW23">
            <v>0</v>
          </cell>
          <cell r="BX23">
            <v>0</v>
          </cell>
          <cell r="BY23">
            <v>0</v>
          </cell>
          <cell r="BZ23">
            <v>0</v>
          </cell>
          <cell r="CA23">
            <v>0</v>
          </cell>
          <cell r="CB23">
            <v>0</v>
          </cell>
          <cell r="CC23">
            <v>0</v>
          </cell>
          <cell r="CD23">
            <v>0</v>
          </cell>
          <cell r="CE23">
            <v>0</v>
          </cell>
          <cell r="CF23">
            <v>0</v>
          </cell>
          <cell r="CG23">
            <v>0</v>
          </cell>
          <cell r="CH23">
            <v>0</v>
          </cell>
          <cell r="CI23">
            <v>0</v>
          </cell>
          <cell r="CJ23">
            <v>0</v>
          </cell>
          <cell r="CK23">
            <v>0</v>
          </cell>
          <cell r="CL23">
            <v>0</v>
          </cell>
          <cell r="CM23">
            <v>0</v>
          </cell>
          <cell r="CN23">
            <v>0</v>
          </cell>
          <cell r="CO23">
            <v>0</v>
          </cell>
          <cell r="CP23">
            <v>0</v>
          </cell>
          <cell r="CQ23">
            <v>0</v>
          </cell>
          <cell r="CR23">
            <v>0</v>
          </cell>
          <cell r="CS23">
            <v>0</v>
          </cell>
          <cell r="CT23">
            <v>0</v>
          </cell>
          <cell r="CU23">
            <v>0</v>
          </cell>
          <cell r="CV23">
            <v>0</v>
          </cell>
          <cell r="CW23">
            <v>0</v>
          </cell>
          <cell r="CX23">
            <v>0</v>
          </cell>
          <cell r="CY23">
            <v>0</v>
          </cell>
          <cell r="CZ23">
            <v>0</v>
          </cell>
          <cell r="DA23">
            <v>0</v>
          </cell>
          <cell r="DB23">
            <v>0</v>
          </cell>
          <cell r="DC23">
            <v>0</v>
          </cell>
          <cell r="DD23">
            <v>0</v>
          </cell>
          <cell r="DE23">
            <v>0</v>
          </cell>
          <cell r="DF23">
            <v>0</v>
          </cell>
          <cell r="DG23">
            <v>0</v>
          </cell>
          <cell r="DH23">
            <v>0</v>
          </cell>
          <cell r="DI23">
            <v>0</v>
          </cell>
          <cell r="DJ23">
            <v>0</v>
          </cell>
          <cell r="DK23">
            <v>0</v>
          </cell>
          <cell r="DL23">
            <v>0</v>
          </cell>
          <cell r="DM23">
            <v>0</v>
          </cell>
          <cell r="DN23">
            <v>0</v>
          </cell>
          <cell r="DO23">
            <v>0</v>
          </cell>
          <cell r="DP23">
            <v>0</v>
          </cell>
          <cell r="DQ23">
            <v>0</v>
          </cell>
          <cell r="DR23">
            <v>0</v>
          </cell>
          <cell r="DS23">
            <v>0</v>
          </cell>
          <cell r="DT23">
            <v>0</v>
          </cell>
          <cell r="DU23">
            <v>0</v>
          </cell>
          <cell r="DV23">
            <v>0</v>
          </cell>
          <cell r="DW23">
            <v>0</v>
          </cell>
          <cell r="DX23">
            <v>0</v>
          </cell>
          <cell r="DY23">
            <v>0</v>
          </cell>
          <cell r="DZ23">
            <v>0</v>
          </cell>
          <cell r="EA23">
            <v>0</v>
          </cell>
          <cell r="EB23">
            <v>0</v>
          </cell>
          <cell r="EC23">
            <v>0</v>
          </cell>
          <cell r="ED23">
            <v>0.05</v>
          </cell>
          <cell r="EE23">
            <v>0.09</v>
          </cell>
          <cell r="EF23">
            <v>0.08</v>
          </cell>
          <cell r="EG23">
            <v>0.17</v>
          </cell>
          <cell r="EH23">
            <v>1</v>
          </cell>
          <cell r="EI23">
            <v>1</v>
          </cell>
          <cell r="EJ23">
            <v>1</v>
          </cell>
          <cell r="EK23">
            <v>1</v>
          </cell>
          <cell r="EL23">
            <v>0.05</v>
          </cell>
          <cell r="EM23">
            <v>0.14000000000000001</v>
          </cell>
          <cell r="EN23">
            <v>0.11</v>
          </cell>
          <cell r="EO23">
            <v>0.2</v>
          </cell>
          <cell r="EP23">
            <v>0</v>
          </cell>
          <cell r="EQ23">
            <v>0</v>
          </cell>
          <cell r="ER23">
            <v>0</v>
          </cell>
          <cell r="ES23">
            <v>0</v>
          </cell>
          <cell r="ET23">
            <v>0</v>
          </cell>
          <cell r="EU23">
            <v>0</v>
          </cell>
          <cell r="EV23">
            <v>0</v>
          </cell>
          <cell r="EW23">
            <v>0</v>
          </cell>
          <cell r="EX23">
            <v>1</v>
          </cell>
          <cell r="EY23">
            <v>1</v>
          </cell>
          <cell r="EZ23">
            <v>1</v>
          </cell>
          <cell r="FA23">
            <v>0</v>
          </cell>
          <cell r="FB23">
            <v>0</v>
          </cell>
          <cell r="FC23">
            <v>0</v>
          </cell>
          <cell r="FD23">
            <v>0</v>
          </cell>
          <cell r="FE23">
            <v>0</v>
          </cell>
          <cell r="FF23">
            <v>0</v>
          </cell>
          <cell r="FG23">
            <v>0</v>
          </cell>
          <cell r="FH23">
            <v>0</v>
          </cell>
          <cell r="FI23">
            <v>0</v>
          </cell>
          <cell r="FJ23">
            <v>0</v>
          </cell>
          <cell r="FK23">
            <v>0</v>
          </cell>
          <cell r="FL23">
            <v>0</v>
          </cell>
          <cell r="FM23">
            <v>0</v>
          </cell>
          <cell r="FN23">
            <v>0</v>
          </cell>
          <cell r="FO23">
            <v>0</v>
          </cell>
          <cell r="FP23">
            <v>0</v>
          </cell>
          <cell r="FQ23">
            <v>0</v>
          </cell>
          <cell r="FR23">
            <v>0</v>
          </cell>
          <cell r="FS23">
            <v>0</v>
          </cell>
          <cell r="FT23">
            <v>0</v>
          </cell>
          <cell r="FU23">
            <v>0</v>
          </cell>
          <cell r="FV23">
            <v>0</v>
          </cell>
          <cell r="FW23">
            <v>0</v>
          </cell>
          <cell r="FX23">
            <v>0</v>
          </cell>
          <cell r="FY23">
            <v>0</v>
          </cell>
          <cell r="FZ23">
            <v>0</v>
          </cell>
        </row>
        <row r="24">
          <cell r="B24">
            <v>0.1</v>
          </cell>
          <cell r="C24">
            <v>0.08</v>
          </cell>
          <cell r="D24">
            <v>0.15</v>
          </cell>
          <cell r="E24">
            <v>0.08</v>
          </cell>
          <cell r="F24">
            <v>0.15</v>
          </cell>
          <cell r="G24">
            <v>0.22</v>
          </cell>
          <cell r="H24">
            <v>7.0000000000000007E-2</v>
          </cell>
          <cell r="I24">
            <v>0.05</v>
          </cell>
          <cell r="J24">
            <v>0.13</v>
          </cell>
          <cell r="K24">
            <v>0.18</v>
          </cell>
          <cell r="L24">
            <v>0.17</v>
          </cell>
          <cell r="M24">
            <v>0.16</v>
          </cell>
          <cell r="N24">
            <v>0.8</v>
          </cell>
          <cell r="O24">
            <v>1</v>
          </cell>
          <cell r="P24">
            <v>1</v>
          </cell>
          <cell r="Q24">
            <v>0.8</v>
          </cell>
          <cell r="R24">
            <v>0.8</v>
          </cell>
          <cell r="S24">
            <v>1</v>
          </cell>
          <cell r="T24">
            <v>1</v>
          </cell>
          <cell r="U24">
            <v>1</v>
          </cell>
          <cell r="V24">
            <v>1</v>
          </cell>
          <cell r="W24">
            <v>1</v>
          </cell>
          <cell r="X24">
            <v>1</v>
          </cell>
          <cell r="Y24">
            <v>1</v>
          </cell>
          <cell r="Z24">
            <v>0.1</v>
          </cell>
          <cell r="AA24">
            <v>0.1</v>
          </cell>
          <cell r="AB24">
            <v>0.14000000000000001</v>
          </cell>
          <cell r="AC24">
            <v>0.11</v>
          </cell>
          <cell r="AD24">
            <v>0.11</v>
          </cell>
          <cell r="AE24">
            <v>0.19</v>
          </cell>
          <cell r="AF24">
            <v>0.09</v>
          </cell>
          <cell r="AG24">
            <v>0.11</v>
          </cell>
          <cell r="AH24">
            <v>0.15</v>
          </cell>
          <cell r="AI24">
            <v>0.2</v>
          </cell>
          <cell r="AJ24">
            <v>0.2</v>
          </cell>
          <cell r="AK24">
            <v>0.2</v>
          </cell>
          <cell r="AL24">
            <v>0</v>
          </cell>
          <cell r="AM24">
            <v>0</v>
          </cell>
          <cell r="AN24">
            <v>0</v>
          </cell>
          <cell r="AO24">
            <v>0</v>
          </cell>
          <cell r="AP24">
            <v>0</v>
          </cell>
          <cell r="AQ24">
            <v>0</v>
          </cell>
          <cell r="AR24">
            <v>0</v>
          </cell>
          <cell r="AS24">
            <v>0</v>
          </cell>
          <cell r="AT24">
            <v>0</v>
          </cell>
          <cell r="AU24">
            <v>0</v>
          </cell>
          <cell r="AV24">
            <v>0</v>
          </cell>
          <cell r="AW24">
            <v>0</v>
          </cell>
          <cell r="AX24">
            <v>0</v>
          </cell>
          <cell r="AY24">
            <v>0</v>
          </cell>
          <cell r="AZ24">
            <v>0</v>
          </cell>
          <cell r="BA24">
            <v>0</v>
          </cell>
          <cell r="BB24">
            <v>0</v>
          </cell>
          <cell r="BC24">
            <v>0</v>
          </cell>
          <cell r="BD24">
            <v>0</v>
          </cell>
          <cell r="BE24">
            <v>0</v>
          </cell>
          <cell r="BF24">
            <v>0</v>
          </cell>
          <cell r="BG24">
            <v>0</v>
          </cell>
          <cell r="BH24">
            <v>0</v>
          </cell>
          <cell r="BI24">
            <v>0</v>
          </cell>
          <cell r="BJ24">
            <v>0</v>
          </cell>
          <cell r="BK24">
            <v>0</v>
          </cell>
          <cell r="BL24">
            <v>0</v>
          </cell>
          <cell r="BM24">
            <v>0</v>
          </cell>
          <cell r="BN24">
            <v>0</v>
          </cell>
          <cell r="BO24">
            <v>0</v>
          </cell>
          <cell r="BP24">
            <v>0</v>
          </cell>
          <cell r="BQ24">
            <v>0</v>
          </cell>
          <cell r="BR24">
            <v>0</v>
          </cell>
          <cell r="BS24">
            <v>0</v>
          </cell>
          <cell r="BT24">
            <v>0</v>
          </cell>
          <cell r="BU24">
            <v>0</v>
          </cell>
          <cell r="BV24">
            <v>0</v>
          </cell>
          <cell r="BW24">
            <v>0</v>
          </cell>
          <cell r="BX24">
            <v>0</v>
          </cell>
          <cell r="BY24">
            <v>0</v>
          </cell>
          <cell r="BZ24">
            <v>0</v>
          </cell>
          <cell r="CA24">
            <v>0</v>
          </cell>
          <cell r="CB24">
            <v>0</v>
          </cell>
          <cell r="CC24">
            <v>0</v>
          </cell>
          <cell r="CD24">
            <v>0</v>
          </cell>
          <cell r="CE24">
            <v>0</v>
          </cell>
          <cell r="CF24">
            <v>0</v>
          </cell>
          <cell r="CG24">
            <v>0</v>
          </cell>
          <cell r="CH24">
            <v>0</v>
          </cell>
          <cell r="CI24">
            <v>0</v>
          </cell>
          <cell r="CJ24">
            <v>0</v>
          </cell>
          <cell r="CK24">
            <v>0</v>
          </cell>
          <cell r="CL24">
            <v>0</v>
          </cell>
          <cell r="CM24">
            <v>0</v>
          </cell>
          <cell r="CN24">
            <v>0</v>
          </cell>
          <cell r="CO24">
            <v>0</v>
          </cell>
          <cell r="CP24">
            <v>0</v>
          </cell>
          <cell r="CQ24">
            <v>0</v>
          </cell>
          <cell r="CR24">
            <v>0</v>
          </cell>
          <cell r="CS24">
            <v>0</v>
          </cell>
          <cell r="CT24">
            <v>0</v>
          </cell>
          <cell r="CU24">
            <v>0</v>
          </cell>
          <cell r="CV24">
            <v>0</v>
          </cell>
          <cell r="CW24">
            <v>0</v>
          </cell>
          <cell r="CX24">
            <v>0</v>
          </cell>
          <cell r="CY24">
            <v>0</v>
          </cell>
          <cell r="CZ24">
            <v>0</v>
          </cell>
          <cell r="DA24">
            <v>0</v>
          </cell>
          <cell r="DB24">
            <v>0</v>
          </cell>
          <cell r="DC24">
            <v>0</v>
          </cell>
          <cell r="DD24">
            <v>0</v>
          </cell>
          <cell r="DE24">
            <v>0</v>
          </cell>
          <cell r="DF24">
            <v>0</v>
          </cell>
          <cell r="DG24">
            <v>0</v>
          </cell>
          <cell r="DH24">
            <v>0</v>
          </cell>
          <cell r="DI24">
            <v>0</v>
          </cell>
          <cell r="DJ24">
            <v>0</v>
          </cell>
          <cell r="DK24">
            <v>0</v>
          </cell>
          <cell r="DL24">
            <v>0</v>
          </cell>
          <cell r="DM24">
            <v>0</v>
          </cell>
          <cell r="DN24">
            <v>0</v>
          </cell>
          <cell r="DO24">
            <v>0</v>
          </cell>
          <cell r="DP24">
            <v>0</v>
          </cell>
          <cell r="DQ24">
            <v>0</v>
          </cell>
          <cell r="DR24">
            <v>0</v>
          </cell>
          <cell r="DS24">
            <v>0</v>
          </cell>
          <cell r="DT24">
            <v>0</v>
          </cell>
          <cell r="DU24">
            <v>0</v>
          </cell>
          <cell r="DV24">
            <v>0</v>
          </cell>
          <cell r="DW24">
            <v>0</v>
          </cell>
          <cell r="DX24">
            <v>0</v>
          </cell>
          <cell r="DY24">
            <v>0</v>
          </cell>
          <cell r="DZ24">
            <v>0</v>
          </cell>
          <cell r="EA24">
            <v>0</v>
          </cell>
          <cell r="EB24">
            <v>0</v>
          </cell>
          <cell r="EC24">
            <v>0</v>
          </cell>
          <cell r="ED24">
            <v>0.05</v>
          </cell>
          <cell r="EE24">
            <v>0.09</v>
          </cell>
          <cell r="EF24">
            <v>0.08</v>
          </cell>
          <cell r="EG24">
            <v>0.17</v>
          </cell>
          <cell r="EH24">
            <v>1</v>
          </cell>
          <cell r="EI24">
            <v>1</v>
          </cell>
          <cell r="EJ24">
            <v>1</v>
          </cell>
          <cell r="EK24">
            <v>1</v>
          </cell>
          <cell r="EL24">
            <v>0.05</v>
          </cell>
          <cell r="EM24">
            <v>0.14000000000000001</v>
          </cell>
          <cell r="EN24">
            <v>0.11</v>
          </cell>
          <cell r="EO24">
            <v>0.2</v>
          </cell>
          <cell r="EP24">
            <v>0</v>
          </cell>
          <cell r="EQ24">
            <v>0</v>
          </cell>
          <cell r="ER24">
            <v>0</v>
          </cell>
          <cell r="ES24">
            <v>0</v>
          </cell>
          <cell r="ET24">
            <v>0</v>
          </cell>
          <cell r="EU24">
            <v>0</v>
          </cell>
          <cell r="EV24">
            <v>0</v>
          </cell>
          <cell r="EW24">
            <v>0</v>
          </cell>
          <cell r="EX24">
            <v>1</v>
          </cell>
          <cell r="EY24">
            <v>1</v>
          </cell>
          <cell r="EZ24">
            <v>1</v>
          </cell>
          <cell r="FA24">
            <v>0</v>
          </cell>
          <cell r="FB24">
            <v>0</v>
          </cell>
          <cell r="FC24">
            <v>0</v>
          </cell>
          <cell r="FD24">
            <v>0</v>
          </cell>
          <cell r="FE24">
            <v>0</v>
          </cell>
          <cell r="FF24">
            <v>0</v>
          </cell>
          <cell r="FG24">
            <v>0</v>
          </cell>
          <cell r="FH24">
            <v>0</v>
          </cell>
          <cell r="FI24">
            <v>0</v>
          </cell>
          <cell r="FJ24">
            <v>0</v>
          </cell>
          <cell r="FK24">
            <v>0</v>
          </cell>
          <cell r="FL24">
            <v>0</v>
          </cell>
          <cell r="FM24">
            <v>0</v>
          </cell>
          <cell r="FN24">
            <v>0</v>
          </cell>
          <cell r="FO24">
            <v>0</v>
          </cell>
          <cell r="FP24">
            <v>0</v>
          </cell>
          <cell r="FQ24">
            <v>0</v>
          </cell>
          <cell r="FR24">
            <v>0</v>
          </cell>
          <cell r="FS24">
            <v>0</v>
          </cell>
          <cell r="FT24">
            <v>0</v>
          </cell>
          <cell r="FU24">
            <v>0</v>
          </cell>
          <cell r="FV24">
            <v>0</v>
          </cell>
          <cell r="FW24">
            <v>0</v>
          </cell>
          <cell r="FX24">
            <v>0</v>
          </cell>
          <cell r="FY24">
            <v>0</v>
          </cell>
          <cell r="FZ24">
            <v>0</v>
          </cell>
        </row>
        <row r="25">
          <cell r="B25">
            <v>0.1</v>
          </cell>
          <cell r="C25">
            <v>0.08</v>
          </cell>
          <cell r="D25">
            <v>0.15</v>
          </cell>
          <cell r="E25">
            <v>0.08</v>
          </cell>
          <cell r="F25">
            <v>0.15</v>
          </cell>
          <cell r="G25">
            <v>0.22</v>
          </cell>
          <cell r="H25">
            <v>7.0000000000000007E-2</v>
          </cell>
          <cell r="I25">
            <v>0.05</v>
          </cell>
          <cell r="J25">
            <v>0.13</v>
          </cell>
          <cell r="K25">
            <v>0.18</v>
          </cell>
          <cell r="L25">
            <v>0.17</v>
          </cell>
          <cell r="M25">
            <v>0.16</v>
          </cell>
          <cell r="N25">
            <v>0.8</v>
          </cell>
          <cell r="O25">
            <v>1</v>
          </cell>
          <cell r="P25">
            <v>1</v>
          </cell>
          <cell r="Q25">
            <v>0.8</v>
          </cell>
          <cell r="R25">
            <v>0.8</v>
          </cell>
          <cell r="S25">
            <v>1</v>
          </cell>
          <cell r="T25">
            <v>1</v>
          </cell>
          <cell r="U25">
            <v>1</v>
          </cell>
          <cell r="V25">
            <v>1</v>
          </cell>
          <cell r="W25">
            <v>1</v>
          </cell>
          <cell r="X25">
            <v>1</v>
          </cell>
          <cell r="Y25">
            <v>1</v>
          </cell>
          <cell r="Z25">
            <v>0.1</v>
          </cell>
          <cell r="AA25">
            <v>0.1</v>
          </cell>
          <cell r="AB25">
            <v>0.14000000000000001</v>
          </cell>
          <cell r="AC25">
            <v>0.11</v>
          </cell>
          <cell r="AD25">
            <v>0.11</v>
          </cell>
          <cell r="AE25">
            <v>0.19</v>
          </cell>
          <cell r="AF25">
            <v>0.09</v>
          </cell>
          <cell r="AG25">
            <v>0.11</v>
          </cell>
          <cell r="AH25">
            <v>0.15</v>
          </cell>
          <cell r="AI25">
            <v>0.2</v>
          </cell>
          <cell r="AJ25">
            <v>0.2</v>
          </cell>
          <cell r="AK25">
            <v>0.2</v>
          </cell>
          <cell r="AL25">
            <v>0</v>
          </cell>
          <cell r="AM25">
            <v>0</v>
          </cell>
          <cell r="AN25">
            <v>0</v>
          </cell>
          <cell r="AO25">
            <v>0</v>
          </cell>
          <cell r="AP25">
            <v>0</v>
          </cell>
          <cell r="AQ25">
            <v>0</v>
          </cell>
          <cell r="AR25">
            <v>0</v>
          </cell>
          <cell r="AS25">
            <v>0</v>
          </cell>
          <cell r="AT25">
            <v>0</v>
          </cell>
          <cell r="AU25">
            <v>0</v>
          </cell>
          <cell r="AV25">
            <v>0</v>
          </cell>
          <cell r="AW25">
            <v>0</v>
          </cell>
          <cell r="AX25">
            <v>0</v>
          </cell>
          <cell r="AY25">
            <v>0</v>
          </cell>
          <cell r="AZ25">
            <v>0</v>
          </cell>
          <cell r="BA25">
            <v>0</v>
          </cell>
          <cell r="BB25">
            <v>0</v>
          </cell>
          <cell r="BC25">
            <v>0</v>
          </cell>
          <cell r="BD25">
            <v>0</v>
          </cell>
          <cell r="BE25">
            <v>0</v>
          </cell>
          <cell r="BF25">
            <v>0</v>
          </cell>
          <cell r="BG25">
            <v>0</v>
          </cell>
          <cell r="BH25">
            <v>0</v>
          </cell>
          <cell r="BI25">
            <v>0</v>
          </cell>
          <cell r="BJ25">
            <v>0</v>
          </cell>
          <cell r="BK25">
            <v>0</v>
          </cell>
          <cell r="BL25">
            <v>0</v>
          </cell>
          <cell r="BM25">
            <v>0</v>
          </cell>
          <cell r="BN25">
            <v>0</v>
          </cell>
          <cell r="BO25">
            <v>0</v>
          </cell>
          <cell r="BP25">
            <v>0</v>
          </cell>
          <cell r="BQ25">
            <v>0</v>
          </cell>
          <cell r="BR25">
            <v>0</v>
          </cell>
          <cell r="BS25">
            <v>0</v>
          </cell>
          <cell r="BT25">
            <v>0</v>
          </cell>
          <cell r="BU25">
            <v>0</v>
          </cell>
          <cell r="BV25">
            <v>0</v>
          </cell>
          <cell r="BW25">
            <v>0</v>
          </cell>
          <cell r="BX25">
            <v>0</v>
          </cell>
          <cell r="BY25">
            <v>0</v>
          </cell>
          <cell r="BZ25">
            <v>0</v>
          </cell>
          <cell r="CA25">
            <v>0</v>
          </cell>
          <cell r="CB25">
            <v>0</v>
          </cell>
          <cell r="CC25">
            <v>0</v>
          </cell>
          <cell r="CD25">
            <v>0</v>
          </cell>
          <cell r="CE25">
            <v>0</v>
          </cell>
          <cell r="CF25">
            <v>0</v>
          </cell>
          <cell r="CG25">
            <v>0</v>
          </cell>
          <cell r="CH25">
            <v>0</v>
          </cell>
          <cell r="CI25">
            <v>0</v>
          </cell>
          <cell r="CJ25">
            <v>0</v>
          </cell>
          <cell r="CK25">
            <v>0</v>
          </cell>
          <cell r="CL25">
            <v>0</v>
          </cell>
          <cell r="CM25">
            <v>0</v>
          </cell>
          <cell r="CN25">
            <v>0</v>
          </cell>
          <cell r="CO25">
            <v>0</v>
          </cell>
          <cell r="CP25">
            <v>0</v>
          </cell>
          <cell r="CQ25">
            <v>0</v>
          </cell>
          <cell r="CR25">
            <v>0</v>
          </cell>
          <cell r="CS25">
            <v>0</v>
          </cell>
          <cell r="CT25">
            <v>0</v>
          </cell>
          <cell r="CU25">
            <v>0</v>
          </cell>
          <cell r="CV25">
            <v>0</v>
          </cell>
          <cell r="CW25">
            <v>0</v>
          </cell>
          <cell r="CX25">
            <v>0</v>
          </cell>
          <cell r="CY25">
            <v>0</v>
          </cell>
          <cell r="CZ25">
            <v>0</v>
          </cell>
          <cell r="DA25">
            <v>0</v>
          </cell>
          <cell r="DB25">
            <v>0</v>
          </cell>
          <cell r="DC25">
            <v>0</v>
          </cell>
          <cell r="DD25">
            <v>0</v>
          </cell>
          <cell r="DE25">
            <v>0</v>
          </cell>
          <cell r="DF25">
            <v>0</v>
          </cell>
          <cell r="DG25">
            <v>0</v>
          </cell>
          <cell r="DH25">
            <v>0</v>
          </cell>
          <cell r="DI25">
            <v>0</v>
          </cell>
          <cell r="DJ25">
            <v>0</v>
          </cell>
          <cell r="DK25">
            <v>0</v>
          </cell>
          <cell r="DL25">
            <v>0</v>
          </cell>
          <cell r="DM25">
            <v>0</v>
          </cell>
          <cell r="DN25">
            <v>0</v>
          </cell>
          <cell r="DO25">
            <v>0</v>
          </cell>
          <cell r="DP25">
            <v>0</v>
          </cell>
          <cell r="DQ25">
            <v>0</v>
          </cell>
          <cell r="DR25">
            <v>0</v>
          </cell>
          <cell r="DS25">
            <v>0</v>
          </cell>
          <cell r="DT25">
            <v>0</v>
          </cell>
          <cell r="DU25">
            <v>0</v>
          </cell>
          <cell r="DV25">
            <v>0</v>
          </cell>
          <cell r="DW25">
            <v>0</v>
          </cell>
          <cell r="DX25">
            <v>0</v>
          </cell>
          <cell r="DY25">
            <v>0</v>
          </cell>
          <cell r="DZ25">
            <v>0</v>
          </cell>
          <cell r="EA25">
            <v>0</v>
          </cell>
          <cell r="EB25">
            <v>0</v>
          </cell>
          <cell r="EC25">
            <v>0</v>
          </cell>
          <cell r="ED25">
            <v>0.05</v>
          </cell>
          <cell r="EE25">
            <v>0.09</v>
          </cell>
          <cell r="EF25">
            <v>0.08</v>
          </cell>
          <cell r="EG25">
            <v>0.17</v>
          </cell>
          <cell r="EH25">
            <v>1</v>
          </cell>
          <cell r="EI25">
            <v>1</v>
          </cell>
          <cell r="EJ25">
            <v>1</v>
          </cell>
          <cell r="EK25">
            <v>1</v>
          </cell>
          <cell r="EL25">
            <v>0.05</v>
          </cell>
          <cell r="EM25">
            <v>0.14000000000000001</v>
          </cell>
          <cell r="EN25">
            <v>0.11</v>
          </cell>
          <cell r="EO25">
            <v>0.2</v>
          </cell>
          <cell r="EP25">
            <v>0</v>
          </cell>
          <cell r="EQ25">
            <v>0</v>
          </cell>
          <cell r="ER25">
            <v>0</v>
          </cell>
          <cell r="ES25">
            <v>0</v>
          </cell>
          <cell r="ET25">
            <v>0</v>
          </cell>
          <cell r="EU25">
            <v>0</v>
          </cell>
          <cell r="EV25">
            <v>0</v>
          </cell>
          <cell r="EW25">
            <v>0</v>
          </cell>
          <cell r="EX25">
            <v>1</v>
          </cell>
          <cell r="EY25">
            <v>1</v>
          </cell>
          <cell r="EZ25">
            <v>1</v>
          </cell>
          <cell r="FA25">
            <v>0</v>
          </cell>
          <cell r="FB25">
            <v>0</v>
          </cell>
          <cell r="FC25">
            <v>0</v>
          </cell>
          <cell r="FD25">
            <v>0</v>
          </cell>
          <cell r="FE25">
            <v>0</v>
          </cell>
          <cell r="FF25">
            <v>0</v>
          </cell>
          <cell r="FG25">
            <v>0</v>
          </cell>
          <cell r="FH25">
            <v>0</v>
          </cell>
          <cell r="FI25">
            <v>0</v>
          </cell>
          <cell r="FJ25">
            <v>0</v>
          </cell>
          <cell r="FK25">
            <v>0</v>
          </cell>
          <cell r="FL25">
            <v>0</v>
          </cell>
          <cell r="FM25">
            <v>0</v>
          </cell>
          <cell r="FN25">
            <v>0</v>
          </cell>
          <cell r="FO25">
            <v>0</v>
          </cell>
          <cell r="FP25">
            <v>0</v>
          </cell>
          <cell r="FQ25">
            <v>0</v>
          </cell>
          <cell r="FR25">
            <v>0</v>
          </cell>
          <cell r="FS25">
            <v>0</v>
          </cell>
          <cell r="FT25">
            <v>0</v>
          </cell>
          <cell r="FU25">
            <v>0</v>
          </cell>
          <cell r="FV25">
            <v>0</v>
          </cell>
          <cell r="FW25">
            <v>0</v>
          </cell>
          <cell r="FX25">
            <v>0</v>
          </cell>
          <cell r="FY25">
            <v>0</v>
          </cell>
          <cell r="FZ25">
            <v>0</v>
          </cell>
        </row>
        <row r="26">
          <cell r="B26">
            <v>0.1</v>
          </cell>
          <cell r="C26">
            <v>0.08</v>
          </cell>
          <cell r="D26">
            <v>0.15</v>
          </cell>
          <cell r="E26">
            <v>0.08</v>
          </cell>
          <cell r="F26">
            <v>0.15</v>
          </cell>
          <cell r="G26">
            <v>0.22</v>
          </cell>
          <cell r="H26">
            <v>7.0000000000000007E-2</v>
          </cell>
          <cell r="I26">
            <v>0.05</v>
          </cell>
          <cell r="J26">
            <v>0.13</v>
          </cell>
          <cell r="K26">
            <v>0.18</v>
          </cell>
          <cell r="L26">
            <v>0.17</v>
          </cell>
          <cell r="M26">
            <v>0.16</v>
          </cell>
          <cell r="N26">
            <v>0.8</v>
          </cell>
          <cell r="O26">
            <v>1</v>
          </cell>
          <cell r="P26">
            <v>1</v>
          </cell>
          <cell r="Q26">
            <v>0.8</v>
          </cell>
          <cell r="R26">
            <v>0.8</v>
          </cell>
          <cell r="S26">
            <v>1</v>
          </cell>
          <cell r="T26">
            <v>1</v>
          </cell>
          <cell r="U26">
            <v>1</v>
          </cell>
          <cell r="V26">
            <v>1</v>
          </cell>
          <cell r="W26">
            <v>1</v>
          </cell>
          <cell r="X26">
            <v>1</v>
          </cell>
          <cell r="Y26">
            <v>1</v>
          </cell>
          <cell r="Z26">
            <v>0.1</v>
          </cell>
          <cell r="AA26">
            <v>0.1</v>
          </cell>
          <cell r="AB26">
            <v>0.14000000000000001</v>
          </cell>
          <cell r="AC26">
            <v>0.11</v>
          </cell>
          <cell r="AD26">
            <v>0.11</v>
          </cell>
          <cell r="AE26">
            <v>0.19</v>
          </cell>
          <cell r="AF26">
            <v>0.09</v>
          </cell>
          <cell r="AG26">
            <v>0.11</v>
          </cell>
          <cell r="AH26">
            <v>0.15</v>
          </cell>
          <cell r="AI26">
            <v>0.2</v>
          </cell>
          <cell r="AJ26">
            <v>0.2</v>
          </cell>
          <cell r="AK26">
            <v>0.2</v>
          </cell>
          <cell r="AL26">
            <v>0</v>
          </cell>
          <cell r="AM26">
            <v>0</v>
          </cell>
          <cell r="AN26">
            <v>0</v>
          </cell>
          <cell r="AO26">
            <v>0</v>
          </cell>
          <cell r="AP26">
            <v>0</v>
          </cell>
          <cell r="AQ26">
            <v>0</v>
          </cell>
          <cell r="AR26">
            <v>0</v>
          </cell>
          <cell r="AS26">
            <v>0</v>
          </cell>
          <cell r="AT26">
            <v>0</v>
          </cell>
          <cell r="AU26">
            <v>0</v>
          </cell>
          <cell r="AV26">
            <v>0</v>
          </cell>
          <cell r="AW26">
            <v>0</v>
          </cell>
          <cell r="AX26">
            <v>0</v>
          </cell>
          <cell r="AY26">
            <v>0</v>
          </cell>
          <cell r="AZ26">
            <v>0</v>
          </cell>
          <cell r="BA26">
            <v>0</v>
          </cell>
          <cell r="BB26">
            <v>0</v>
          </cell>
          <cell r="BC26">
            <v>0</v>
          </cell>
          <cell r="BD26">
            <v>0</v>
          </cell>
          <cell r="BE26">
            <v>0</v>
          </cell>
          <cell r="BF26">
            <v>0</v>
          </cell>
          <cell r="BG26">
            <v>0</v>
          </cell>
          <cell r="BH26">
            <v>0</v>
          </cell>
          <cell r="BI26">
            <v>0</v>
          </cell>
          <cell r="BJ26">
            <v>0</v>
          </cell>
          <cell r="BK26">
            <v>0</v>
          </cell>
          <cell r="BL26">
            <v>0</v>
          </cell>
          <cell r="BM26">
            <v>0</v>
          </cell>
          <cell r="BN26">
            <v>0</v>
          </cell>
          <cell r="BO26">
            <v>0</v>
          </cell>
          <cell r="BP26">
            <v>0</v>
          </cell>
          <cell r="BQ26">
            <v>0</v>
          </cell>
          <cell r="BR26">
            <v>0</v>
          </cell>
          <cell r="BS26">
            <v>0</v>
          </cell>
          <cell r="BT26">
            <v>0</v>
          </cell>
          <cell r="BU26">
            <v>0</v>
          </cell>
          <cell r="BV26">
            <v>0</v>
          </cell>
          <cell r="BW26">
            <v>0</v>
          </cell>
          <cell r="BX26">
            <v>0</v>
          </cell>
          <cell r="BY26">
            <v>0</v>
          </cell>
          <cell r="BZ26">
            <v>0</v>
          </cell>
          <cell r="CA26">
            <v>0</v>
          </cell>
          <cell r="CB26">
            <v>0</v>
          </cell>
          <cell r="CC26">
            <v>0</v>
          </cell>
          <cell r="CD26">
            <v>0</v>
          </cell>
          <cell r="CE26">
            <v>0</v>
          </cell>
          <cell r="CF26">
            <v>0</v>
          </cell>
          <cell r="CG26">
            <v>0</v>
          </cell>
          <cell r="CH26">
            <v>0</v>
          </cell>
          <cell r="CI26">
            <v>0</v>
          </cell>
          <cell r="CJ26">
            <v>0</v>
          </cell>
          <cell r="CK26">
            <v>0</v>
          </cell>
          <cell r="CL26">
            <v>0</v>
          </cell>
          <cell r="CM26">
            <v>0</v>
          </cell>
          <cell r="CN26">
            <v>0</v>
          </cell>
          <cell r="CO26">
            <v>0</v>
          </cell>
          <cell r="CP26">
            <v>0</v>
          </cell>
          <cell r="CQ26">
            <v>0</v>
          </cell>
          <cell r="CR26">
            <v>0</v>
          </cell>
          <cell r="CS26">
            <v>0</v>
          </cell>
          <cell r="CT26">
            <v>0</v>
          </cell>
          <cell r="CU26">
            <v>0</v>
          </cell>
          <cell r="CV26">
            <v>0</v>
          </cell>
          <cell r="CW26">
            <v>0</v>
          </cell>
          <cell r="CX26">
            <v>0</v>
          </cell>
          <cell r="CY26">
            <v>0</v>
          </cell>
          <cell r="CZ26">
            <v>0</v>
          </cell>
          <cell r="DA26">
            <v>0</v>
          </cell>
          <cell r="DB26">
            <v>0</v>
          </cell>
          <cell r="DC26">
            <v>0</v>
          </cell>
          <cell r="DD26">
            <v>0</v>
          </cell>
          <cell r="DE26">
            <v>0</v>
          </cell>
          <cell r="DF26">
            <v>0</v>
          </cell>
          <cell r="DG26">
            <v>0</v>
          </cell>
          <cell r="DH26">
            <v>0</v>
          </cell>
          <cell r="DI26">
            <v>0</v>
          </cell>
          <cell r="DJ26">
            <v>0</v>
          </cell>
          <cell r="DK26">
            <v>0</v>
          </cell>
          <cell r="DL26">
            <v>0</v>
          </cell>
          <cell r="DM26">
            <v>0</v>
          </cell>
          <cell r="DN26">
            <v>0</v>
          </cell>
          <cell r="DO26">
            <v>0</v>
          </cell>
          <cell r="DP26">
            <v>0</v>
          </cell>
          <cell r="DQ26">
            <v>0</v>
          </cell>
          <cell r="DR26">
            <v>0</v>
          </cell>
          <cell r="DS26">
            <v>0</v>
          </cell>
          <cell r="DT26">
            <v>0</v>
          </cell>
          <cell r="DU26">
            <v>0</v>
          </cell>
          <cell r="DV26">
            <v>0</v>
          </cell>
          <cell r="DW26">
            <v>0</v>
          </cell>
          <cell r="DX26">
            <v>0</v>
          </cell>
          <cell r="DY26">
            <v>0</v>
          </cell>
          <cell r="DZ26">
            <v>0</v>
          </cell>
          <cell r="EA26">
            <v>0</v>
          </cell>
          <cell r="EB26">
            <v>0</v>
          </cell>
          <cell r="EC26">
            <v>0</v>
          </cell>
          <cell r="ED26">
            <v>0.05</v>
          </cell>
          <cell r="EE26">
            <v>0.09</v>
          </cell>
          <cell r="EF26">
            <v>0.08</v>
          </cell>
          <cell r="EG26">
            <v>0.17</v>
          </cell>
          <cell r="EH26">
            <v>1</v>
          </cell>
          <cell r="EI26">
            <v>1</v>
          </cell>
          <cell r="EJ26">
            <v>1</v>
          </cell>
          <cell r="EK26">
            <v>1</v>
          </cell>
          <cell r="EL26">
            <v>0.05</v>
          </cell>
          <cell r="EM26">
            <v>0.14000000000000001</v>
          </cell>
          <cell r="EN26">
            <v>0.11</v>
          </cell>
          <cell r="EO26">
            <v>0.2</v>
          </cell>
          <cell r="EP26">
            <v>0</v>
          </cell>
          <cell r="EQ26">
            <v>0</v>
          </cell>
          <cell r="ER26">
            <v>0</v>
          </cell>
          <cell r="ES26">
            <v>0</v>
          </cell>
          <cell r="ET26">
            <v>0</v>
          </cell>
          <cell r="EU26">
            <v>0</v>
          </cell>
          <cell r="EV26">
            <v>0</v>
          </cell>
          <cell r="EW26">
            <v>0</v>
          </cell>
          <cell r="EX26">
            <v>1</v>
          </cell>
          <cell r="EY26">
            <v>1</v>
          </cell>
          <cell r="EZ26">
            <v>1</v>
          </cell>
          <cell r="FA26">
            <v>0</v>
          </cell>
          <cell r="FB26">
            <v>0</v>
          </cell>
          <cell r="FC26">
            <v>0</v>
          </cell>
          <cell r="FD26">
            <v>0</v>
          </cell>
          <cell r="FE26">
            <v>0</v>
          </cell>
          <cell r="FF26">
            <v>0</v>
          </cell>
          <cell r="FG26">
            <v>0</v>
          </cell>
          <cell r="FH26">
            <v>0</v>
          </cell>
          <cell r="FI26">
            <v>0</v>
          </cell>
          <cell r="FJ26">
            <v>0</v>
          </cell>
          <cell r="FK26">
            <v>0</v>
          </cell>
          <cell r="FL26">
            <v>0</v>
          </cell>
          <cell r="FM26">
            <v>0</v>
          </cell>
          <cell r="FN26">
            <v>0</v>
          </cell>
          <cell r="FO26">
            <v>0</v>
          </cell>
          <cell r="FP26">
            <v>0</v>
          </cell>
          <cell r="FQ26">
            <v>0</v>
          </cell>
          <cell r="FR26">
            <v>0</v>
          </cell>
          <cell r="FS26">
            <v>0</v>
          </cell>
          <cell r="FT26">
            <v>0</v>
          </cell>
          <cell r="FU26">
            <v>0</v>
          </cell>
          <cell r="FV26">
            <v>0</v>
          </cell>
          <cell r="FW26">
            <v>0</v>
          </cell>
          <cell r="FX26">
            <v>0</v>
          </cell>
          <cell r="FY26">
            <v>0</v>
          </cell>
          <cell r="FZ26">
            <v>0</v>
          </cell>
        </row>
        <row r="27">
          <cell r="B27">
            <v>0.1</v>
          </cell>
          <cell r="C27">
            <v>0.08</v>
          </cell>
          <cell r="D27">
            <v>0.15</v>
          </cell>
          <cell r="E27">
            <v>0.08</v>
          </cell>
          <cell r="F27">
            <v>0.15</v>
          </cell>
          <cell r="G27">
            <v>0.22</v>
          </cell>
          <cell r="H27">
            <v>7.0000000000000007E-2</v>
          </cell>
          <cell r="I27">
            <v>0.05</v>
          </cell>
          <cell r="J27">
            <v>0.13</v>
          </cell>
          <cell r="K27">
            <v>0.18</v>
          </cell>
          <cell r="L27">
            <v>0.17</v>
          </cell>
          <cell r="M27">
            <v>0.16</v>
          </cell>
          <cell r="N27">
            <v>0.8</v>
          </cell>
          <cell r="O27">
            <v>1</v>
          </cell>
          <cell r="P27">
            <v>1</v>
          </cell>
          <cell r="Q27">
            <v>0.8</v>
          </cell>
          <cell r="R27">
            <v>0.8</v>
          </cell>
          <cell r="S27">
            <v>1</v>
          </cell>
          <cell r="T27">
            <v>1</v>
          </cell>
          <cell r="U27">
            <v>1</v>
          </cell>
          <cell r="V27">
            <v>1</v>
          </cell>
          <cell r="W27">
            <v>1</v>
          </cell>
          <cell r="X27">
            <v>1</v>
          </cell>
          <cell r="Y27">
            <v>1</v>
          </cell>
          <cell r="Z27">
            <v>0.1</v>
          </cell>
          <cell r="AA27">
            <v>0.1</v>
          </cell>
          <cell r="AB27">
            <v>0.14000000000000001</v>
          </cell>
          <cell r="AC27">
            <v>0.11</v>
          </cell>
          <cell r="AD27">
            <v>0.11</v>
          </cell>
          <cell r="AE27">
            <v>0.19</v>
          </cell>
          <cell r="AF27">
            <v>0.09</v>
          </cell>
          <cell r="AG27">
            <v>0.11</v>
          </cell>
          <cell r="AH27">
            <v>0.15</v>
          </cell>
          <cell r="AI27">
            <v>0.2</v>
          </cell>
          <cell r="AJ27">
            <v>0.2</v>
          </cell>
          <cell r="AK27">
            <v>0.2</v>
          </cell>
          <cell r="AL27">
            <v>0</v>
          </cell>
          <cell r="AM27">
            <v>0</v>
          </cell>
          <cell r="AN27">
            <v>0</v>
          </cell>
          <cell r="AO27">
            <v>0</v>
          </cell>
          <cell r="AP27">
            <v>0</v>
          </cell>
          <cell r="AQ27">
            <v>0</v>
          </cell>
          <cell r="AR27">
            <v>0</v>
          </cell>
          <cell r="AS27">
            <v>0</v>
          </cell>
          <cell r="AT27">
            <v>0</v>
          </cell>
          <cell r="AU27">
            <v>0</v>
          </cell>
          <cell r="AV27">
            <v>0</v>
          </cell>
          <cell r="AW27">
            <v>0</v>
          </cell>
          <cell r="AX27">
            <v>0</v>
          </cell>
          <cell r="AY27">
            <v>0</v>
          </cell>
          <cell r="AZ27">
            <v>0</v>
          </cell>
          <cell r="BA27">
            <v>0</v>
          </cell>
          <cell r="BB27">
            <v>0</v>
          </cell>
          <cell r="BC27">
            <v>0</v>
          </cell>
          <cell r="BD27">
            <v>0</v>
          </cell>
          <cell r="BE27">
            <v>0</v>
          </cell>
          <cell r="BF27">
            <v>0</v>
          </cell>
          <cell r="BG27">
            <v>0</v>
          </cell>
          <cell r="BH27">
            <v>0</v>
          </cell>
          <cell r="BI27">
            <v>0</v>
          </cell>
          <cell r="BJ27">
            <v>0</v>
          </cell>
          <cell r="BK27">
            <v>0</v>
          </cell>
          <cell r="BL27">
            <v>0</v>
          </cell>
          <cell r="BM27">
            <v>0</v>
          </cell>
          <cell r="BN27">
            <v>0</v>
          </cell>
          <cell r="BO27">
            <v>0</v>
          </cell>
          <cell r="BP27">
            <v>0</v>
          </cell>
          <cell r="BQ27">
            <v>0</v>
          </cell>
          <cell r="BR27">
            <v>0</v>
          </cell>
          <cell r="BS27">
            <v>0</v>
          </cell>
          <cell r="BT27">
            <v>0</v>
          </cell>
          <cell r="BU27">
            <v>0</v>
          </cell>
          <cell r="BV27">
            <v>0</v>
          </cell>
          <cell r="BW27">
            <v>0</v>
          </cell>
          <cell r="BX27">
            <v>0</v>
          </cell>
          <cell r="BY27">
            <v>0</v>
          </cell>
          <cell r="BZ27">
            <v>0</v>
          </cell>
          <cell r="CA27">
            <v>0</v>
          </cell>
          <cell r="CB27">
            <v>0</v>
          </cell>
          <cell r="CC27">
            <v>0</v>
          </cell>
          <cell r="CD27">
            <v>0</v>
          </cell>
          <cell r="CE27">
            <v>0</v>
          </cell>
          <cell r="CF27">
            <v>0</v>
          </cell>
          <cell r="CG27">
            <v>0</v>
          </cell>
          <cell r="CH27">
            <v>0</v>
          </cell>
          <cell r="CI27">
            <v>0</v>
          </cell>
          <cell r="CJ27">
            <v>0</v>
          </cell>
          <cell r="CK27">
            <v>0</v>
          </cell>
          <cell r="CL27">
            <v>0</v>
          </cell>
          <cell r="CM27">
            <v>0</v>
          </cell>
          <cell r="CN27">
            <v>0</v>
          </cell>
          <cell r="CO27">
            <v>0</v>
          </cell>
          <cell r="CP27">
            <v>0</v>
          </cell>
          <cell r="CQ27">
            <v>0</v>
          </cell>
          <cell r="CR27">
            <v>0</v>
          </cell>
          <cell r="CS27">
            <v>0</v>
          </cell>
          <cell r="CT27">
            <v>0</v>
          </cell>
          <cell r="CU27">
            <v>0</v>
          </cell>
          <cell r="CV27">
            <v>0</v>
          </cell>
          <cell r="CW27">
            <v>0</v>
          </cell>
          <cell r="CX27">
            <v>0</v>
          </cell>
          <cell r="CY27">
            <v>0</v>
          </cell>
          <cell r="CZ27">
            <v>0</v>
          </cell>
          <cell r="DA27">
            <v>0</v>
          </cell>
          <cell r="DB27">
            <v>0</v>
          </cell>
          <cell r="DC27">
            <v>0</v>
          </cell>
          <cell r="DD27">
            <v>0</v>
          </cell>
          <cell r="DE27">
            <v>0</v>
          </cell>
          <cell r="DF27">
            <v>0</v>
          </cell>
          <cell r="DG27">
            <v>0</v>
          </cell>
          <cell r="DH27">
            <v>0</v>
          </cell>
          <cell r="DI27">
            <v>0</v>
          </cell>
          <cell r="DJ27">
            <v>0</v>
          </cell>
          <cell r="DK27">
            <v>0</v>
          </cell>
          <cell r="DL27">
            <v>0</v>
          </cell>
          <cell r="DM27">
            <v>0</v>
          </cell>
          <cell r="DN27">
            <v>0</v>
          </cell>
          <cell r="DO27">
            <v>0</v>
          </cell>
          <cell r="DP27">
            <v>0</v>
          </cell>
          <cell r="DQ27">
            <v>0</v>
          </cell>
          <cell r="DR27">
            <v>0</v>
          </cell>
          <cell r="DS27">
            <v>0</v>
          </cell>
          <cell r="DT27">
            <v>0</v>
          </cell>
          <cell r="DU27">
            <v>0</v>
          </cell>
          <cell r="DV27">
            <v>0</v>
          </cell>
          <cell r="DW27">
            <v>0</v>
          </cell>
          <cell r="DX27">
            <v>0</v>
          </cell>
          <cell r="DY27">
            <v>0</v>
          </cell>
          <cell r="DZ27">
            <v>0</v>
          </cell>
          <cell r="EA27">
            <v>0</v>
          </cell>
          <cell r="EB27">
            <v>0</v>
          </cell>
          <cell r="EC27">
            <v>0</v>
          </cell>
          <cell r="ED27">
            <v>0.05</v>
          </cell>
          <cell r="EE27">
            <v>0.09</v>
          </cell>
          <cell r="EF27">
            <v>0.08</v>
          </cell>
          <cell r="EG27">
            <v>0.17</v>
          </cell>
          <cell r="EH27">
            <v>1</v>
          </cell>
          <cell r="EI27">
            <v>1</v>
          </cell>
          <cell r="EJ27">
            <v>1</v>
          </cell>
          <cell r="EK27">
            <v>1</v>
          </cell>
          <cell r="EL27">
            <v>0.05</v>
          </cell>
          <cell r="EM27">
            <v>0.14000000000000001</v>
          </cell>
          <cell r="EN27">
            <v>0.11</v>
          </cell>
          <cell r="EO27">
            <v>0.2</v>
          </cell>
          <cell r="EP27">
            <v>0</v>
          </cell>
          <cell r="EQ27">
            <v>0</v>
          </cell>
          <cell r="ER27">
            <v>0</v>
          </cell>
          <cell r="ES27">
            <v>0</v>
          </cell>
          <cell r="ET27">
            <v>0</v>
          </cell>
          <cell r="EU27">
            <v>0</v>
          </cell>
          <cell r="EV27">
            <v>0</v>
          </cell>
          <cell r="EW27">
            <v>0</v>
          </cell>
          <cell r="EX27">
            <v>1</v>
          </cell>
          <cell r="EY27">
            <v>1</v>
          </cell>
          <cell r="EZ27">
            <v>1</v>
          </cell>
          <cell r="FA27">
            <v>0</v>
          </cell>
          <cell r="FB27">
            <v>0</v>
          </cell>
          <cell r="FC27">
            <v>0</v>
          </cell>
          <cell r="FD27">
            <v>0</v>
          </cell>
          <cell r="FE27">
            <v>0</v>
          </cell>
          <cell r="FF27">
            <v>0</v>
          </cell>
          <cell r="FG27">
            <v>0</v>
          </cell>
          <cell r="FH27">
            <v>0</v>
          </cell>
          <cell r="FI27">
            <v>0</v>
          </cell>
          <cell r="FJ27">
            <v>0</v>
          </cell>
          <cell r="FK27">
            <v>0</v>
          </cell>
          <cell r="FL27">
            <v>0</v>
          </cell>
          <cell r="FM27">
            <v>0</v>
          </cell>
          <cell r="FN27">
            <v>0</v>
          </cell>
          <cell r="FO27">
            <v>0</v>
          </cell>
          <cell r="FP27">
            <v>0</v>
          </cell>
          <cell r="FQ27">
            <v>0</v>
          </cell>
          <cell r="FR27">
            <v>0</v>
          </cell>
          <cell r="FS27">
            <v>0</v>
          </cell>
          <cell r="FT27">
            <v>0</v>
          </cell>
          <cell r="FU27">
            <v>0</v>
          </cell>
          <cell r="FV27">
            <v>0</v>
          </cell>
          <cell r="FW27">
            <v>0</v>
          </cell>
          <cell r="FX27">
            <v>0</v>
          </cell>
          <cell r="FY27">
            <v>0</v>
          </cell>
          <cell r="FZ27">
            <v>0</v>
          </cell>
        </row>
        <row r="28">
          <cell r="B28">
            <v>0.1</v>
          </cell>
          <cell r="C28">
            <v>0.08</v>
          </cell>
          <cell r="D28">
            <v>0.15</v>
          </cell>
          <cell r="E28">
            <v>0.08</v>
          </cell>
          <cell r="F28">
            <v>0.15</v>
          </cell>
          <cell r="G28">
            <v>0.22</v>
          </cell>
          <cell r="H28">
            <v>7.0000000000000007E-2</v>
          </cell>
          <cell r="I28">
            <v>0.05</v>
          </cell>
          <cell r="J28">
            <v>0.13</v>
          </cell>
          <cell r="K28">
            <v>0.18</v>
          </cell>
          <cell r="L28">
            <v>0.17</v>
          </cell>
          <cell r="M28">
            <v>0.16</v>
          </cell>
          <cell r="N28">
            <v>0.8</v>
          </cell>
          <cell r="O28">
            <v>1</v>
          </cell>
          <cell r="P28">
            <v>1</v>
          </cell>
          <cell r="Q28">
            <v>0.8</v>
          </cell>
          <cell r="R28">
            <v>0.8</v>
          </cell>
          <cell r="S28">
            <v>1</v>
          </cell>
          <cell r="T28">
            <v>1</v>
          </cell>
          <cell r="U28">
            <v>1</v>
          </cell>
          <cell r="V28">
            <v>1</v>
          </cell>
          <cell r="W28">
            <v>1</v>
          </cell>
          <cell r="X28">
            <v>1</v>
          </cell>
          <cell r="Y28">
            <v>1</v>
          </cell>
          <cell r="Z28">
            <v>0.1</v>
          </cell>
          <cell r="AA28">
            <v>0.1</v>
          </cell>
          <cell r="AB28">
            <v>0.14000000000000001</v>
          </cell>
          <cell r="AC28">
            <v>0.11</v>
          </cell>
          <cell r="AD28">
            <v>0.11</v>
          </cell>
          <cell r="AE28">
            <v>0.19</v>
          </cell>
          <cell r="AF28">
            <v>0.09</v>
          </cell>
          <cell r="AG28">
            <v>0.11</v>
          </cell>
          <cell r="AH28">
            <v>0.15</v>
          </cell>
          <cell r="AI28">
            <v>0.2</v>
          </cell>
          <cell r="AJ28">
            <v>0.2</v>
          </cell>
          <cell r="AK28">
            <v>0.2</v>
          </cell>
          <cell r="AL28">
            <v>0</v>
          </cell>
          <cell r="AM28">
            <v>0</v>
          </cell>
          <cell r="AN28">
            <v>0</v>
          </cell>
          <cell r="AO28">
            <v>0</v>
          </cell>
          <cell r="AP28">
            <v>0</v>
          </cell>
          <cell r="AQ28">
            <v>0</v>
          </cell>
          <cell r="AR28">
            <v>0</v>
          </cell>
          <cell r="AS28">
            <v>0</v>
          </cell>
          <cell r="AT28">
            <v>0</v>
          </cell>
          <cell r="AU28">
            <v>0</v>
          </cell>
          <cell r="AV28">
            <v>0</v>
          </cell>
          <cell r="AW28">
            <v>0</v>
          </cell>
          <cell r="AX28">
            <v>0</v>
          </cell>
          <cell r="AY28">
            <v>0</v>
          </cell>
          <cell r="AZ28">
            <v>0</v>
          </cell>
          <cell r="BA28">
            <v>0</v>
          </cell>
          <cell r="BB28">
            <v>0</v>
          </cell>
          <cell r="BC28">
            <v>0</v>
          </cell>
          <cell r="BD28">
            <v>0</v>
          </cell>
          <cell r="BE28">
            <v>0</v>
          </cell>
          <cell r="BF28">
            <v>0</v>
          </cell>
          <cell r="BG28">
            <v>0</v>
          </cell>
          <cell r="BH28">
            <v>0</v>
          </cell>
          <cell r="BI28">
            <v>0</v>
          </cell>
          <cell r="BJ28">
            <v>0</v>
          </cell>
          <cell r="BK28">
            <v>0</v>
          </cell>
          <cell r="BL28">
            <v>0</v>
          </cell>
          <cell r="BM28">
            <v>0</v>
          </cell>
          <cell r="BN28">
            <v>0</v>
          </cell>
          <cell r="BO28">
            <v>0</v>
          </cell>
          <cell r="BP28">
            <v>0</v>
          </cell>
          <cell r="BQ28">
            <v>0</v>
          </cell>
          <cell r="BR28">
            <v>0</v>
          </cell>
          <cell r="BS28">
            <v>0</v>
          </cell>
          <cell r="BT28">
            <v>0</v>
          </cell>
          <cell r="BU28">
            <v>0</v>
          </cell>
          <cell r="BV28">
            <v>0</v>
          </cell>
          <cell r="BW28">
            <v>0</v>
          </cell>
          <cell r="BX28">
            <v>0</v>
          </cell>
          <cell r="BY28">
            <v>0</v>
          </cell>
          <cell r="BZ28">
            <v>0</v>
          </cell>
          <cell r="CA28">
            <v>0</v>
          </cell>
          <cell r="CB28">
            <v>0</v>
          </cell>
          <cell r="CC28">
            <v>0</v>
          </cell>
          <cell r="CD28">
            <v>0</v>
          </cell>
          <cell r="CE28">
            <v>0</v>
          </cell>
          <cell r="CF28">
            <v>0</v>
          </cell>
          <cell r="CG28">
            <v>0</v>
          </cell>
          <cell r="CH28">
            <v>0</v>
          </cell>
          <cell r="CI28">
            <v>0</v>
          </cell>
          <cell r="CJ28">
            <v>0</v>
          </cell>
          <cell r="CK28">
            <v>0</v>
          </cell>
          <cell r="CL28">
            <v>0</v>
          </cell>
          <cell r="CM28">
            <v>0</v>
          </cell>
          <cell r="CN28">
            <v>0</v>
          </cell>
          <cell r="CO28">
            <v>0</v>
          </cell>
          <cell r="CP28">
            <v>0</v>
          </cell>
          <cell r="CQ28">
            <v>0</v>
          </cell>
          <cell r="CR28">
            <v>0</v>
          </cell>
          <cell r="CS28">
            <v>0</v>
          </cell>
          <cell r="CT28">
            <v>0</v>
          </cell>
          <cell r="CU28">
            <v>0</v>
          </cell>
          <cell r="CV28">
            <v>0</v>
          </cell>
          <cell r="CW28">
            <v>0</v>
          </cell>
          <cell r="CX28">
            <v>0</v>
          </cell>
          <cell r="CY28">
            <v>0</v>
          </cell>
          <cell r="CZ28">
            <v>0</v>
          </cell>
          <cell r="DA28">
            <v>0</v>
          </cell>
          <cell r="DB28">
            <v>0</v>
          </cell>
          <cell r="DC28">
            <v>0</v>
          </cell>
          <cell r="DD28">
            <v>0</v>
          </cell>
          <cell r="DE28">
            <v>0</v>
          </cell>
          <cell r="DF28">
            <v>0</v>
          </cell>
          <cell r="DG28">
            <v>0</v>
          </cell>
          <cell r="DH28">
            <v>0</v>
          </cell>
          <cell r="DI28">
            <v>0</v>
          </cell>
          <cell r="DJ28">
            <v>0</v>
          </cell>
          <cell r="DK28">
            <v>0</v>
          </cell>
          <cell r="DL28">
            <v>0</v>
          </cell>
          <cell r="DM28">
            <v>0</v>
          </cell>
          <cell r="DN28">
            <v>0</v>
          </cell>
          <cell r="DO28">
            <v>0</v>
          </cell>
          <cell r="DP28">
            <v>0</v>
          </cell>
          <cell r="DQ28">
            <v>0</v>
          </cell>
          <cell r="DR28">
            <v>0</v>
          </cell>
          <cell r="DS28">
            <v>0</v>
          </cell>
          <cell r="DT28">
            <v>0</v>
          </cell>
          <cell r="DU28">
            <v>0</v>
          </cell>
          <cell r="DV28">
            <v>0</v>
          </cell>
          <cell r="DW28">
            <v>0</v>
          </cell>
          <cell r="DX28">
            <v>0</v>
          </cell>
          <cell r="DY28">
            <v>0</v>
          </cell>
          <cell r="DZ28">
            <v>0</v>
          </cell>
          <cell r="EA28">
            <v>0</v>
          </cell>
          <cell r="EB28">
            <v>0</v>
          </cell>
          <cell r="EC28">
            <v>0</v>
          </cell>
          <cell r="ED28">
            <v>0.05</v>
          </cell>
          <cell r="EE28">
            <v>0.09</v>
          </cell>
          <cell r="EF28">
            <v>0.08</v>
          </cell>
          <cell r="EG28">
            <v>0.17</v>
          </cell>
          <cell r="EH28">
            <v>1</v>
          </cell>
          <cell r="EI28">
            <v>1</v>
          </cell>
          <cell r="EJ28">
            <v>1</v>
          </cell>
          <cell r="EK28">
            <v>1</v>
          </cell>
          <cell r="EL28">
            <v>0.05</v>
          </cell>
          <cell r="EM28">
            <v>0.14000000000000001</v>
          </cell>
          <cell r="EN28">
            <v>0.11</v>
          </cell>
          <cell r="EO28">
            <v>0.2</v>
          </cell>
          <cell r="EP28">
            <v>0</v>
          </cell>
          <cell r="EQ28">
            <v>0</v>
          </cell>
          <cell r="ER28">
            <v>0</v>
          </cell>
          <cell r="ES28">
            <v>0</v>
          </cell>
          <cell r="ET28">
            <v>0</v>
          </cell>
          <cell r="EU28">
            <v>0</v>
          </cell>
          <cell r="EV28">
            <v>0</v>
          </cell>
          <cell r="EW28">
            <v>0</v>
          </cell>
          <cell r="EX28">
            <v>1</v>
          </cell>
          <cell r="EY28">
            <v>1</v>
          </cell>
          <cell r="EZ28">
            <v>1</v>
          </cell>
          <cell r="FA28">
            <v>0</v>
          </cell>
          <cell r="FB28">
            <v>0</v>
          </cell>
          <cell r="FC28">
            <v>0</v>
          </cell>
          <cell r="FD28">
            <v>0</v>
          </cell>
          <cell r="FE28">
            <v>0</v>
          </cell>
          <cell r="FF28">
            <v>0</v>
          </cell>
          <cell r="FG28">
            <v>0</v>
          </cell>
          <cell r="FH28">
            <v>0</v>
          </cell>
          <cell r="FI28">
            <v>0</v>
          </cell>
          <cell r="FJ28">
            <v>0</v>
          </cell>
          <cell r="FK28">
            <v>0</v>
          </cell>
          <cell r="FL28">
            <v>0</v>
          </cell>
          <cell r="FM28">
            <v>0</v>
          </cell>
          <cell r="FN28">
            <v>0</v>
          </cell>
          <cell r="FO28">
            <v>0</v>
          </cell>
          <cell r="FP28">
            <v>0</v>
          </cell>
          <cell r="FQ28">
            <v>0</v>
          </cell>
          <cell r="FR28">
            <v>0</v>
          </cell>
          <cell r="FS28">
            <v>0</v>
          </cell>
          <cell r="FT28">
            <v>0</v>
          </cell>
          <cell r="FU28">
            <v>0</v>
          </cell>
          <cell r="FV28">
            <v>0</v>
          </cell>
          <cell r="FW28">
            <v>0</v>
          </cell>
          <cell r="FX28">
            <v>0</v>
          </cell>
          <cell r="FY28">
            <v>0</v>
          </cell>
          <cell r="FZ28">
            <v>0</v>
          </cell>
        </row>
        <row r="29">
          <cell r="B29">
            <v>0.1</v>
          </cell>
          <cell r="C29">
            <v>0.08</v>
          </cell>
          <cell r="D29">
            <v>0.15</v>
          </cell>
          <cell r="E29">
            <v>0.08</v>
          </cell>
          <cell r="F29">
            <v>0.15</v>
          </cell>
          <cell r="G29">
            <v>0.22</v>
          </cell>
          <cell r="H29">
            <v>7.0000000000000007E-2</v>
          </cell>
          <cell r="I29">
            <v>0.05</v>
          </cell>
          <cell r="J29">
            <v>0.13</v>
          </cell>
          <cell r="K29">
            <v>0.18</v>
          </cell>
          <cell r="L29">
            <v>0.17</v>
          </cell>
          <cell r="M29">
            <v>0.16</v>
          </cell>
          <cell r="N29">
            <v>0.8</v>
          </cell>
          <cell r="O29">
            <v>1</v>
          </cell>
          <cell r="P29">
            <v>1</v>
          </cell>
          <cell r="Q29">
            <v>0.8</v>
          </cell>
          <cell r="R29">
            <v>0.8</v>
          </cell>
          <cell r="S29">
            <v>1</v>
          </cell>
          <cell r="T29">
            <v>1</v>
          </cell>
          <cell r="U29">
            <v>1</v>
          </cell>
          <cell r="V29">
            <v>1</v>
          </cell>
          <cell r="W29">
            <v>1</v>
          </cell>
          <cell r="X29">
            <v>1</v>
          </cell>
          <cell r="Y29">
            <v>1</v>
          </cell>
          <cell r="Z29">
            <v>0.1</v>
          </cell>
          <cell r="AA29">
            <v>0.1</v>
          </cell>
          <cell r="AB29">
            <v>0.14000000000000001</v>
          </cell>
          <cell r="AC29">
            <v>0.11</v>
          </cell>
          <cell r="AD29">
            <v>0.11</v>
          </cell>
          <cell r="AE29">
            <v>0.19</v>
          </cell>
          <cell r="AF29">
            <v>0.09</v>
          </cell>
          <cell r="AG29">
            <v>0.11</v>
          </cell>
          <cell r="AH29">
            <v>0.15</v>
          </cell>
          <cell r="AI29">
            <v>0.2</v>
          </cell>
          <cell r="AJ29">
            <v>0.2</v>
          </cell>
          <cell r="AK29">
            <v>0.2</v>
          </cell>
          <cell r="AL29">
            <v>0</v>
          </cell>
          <cell r="AM29">
            <v>0</v>
          </cell>
          <cell r="AN29">
            <v>0</v>
          </cell>
          <cell r="AO29">
            <v>0</v>
          </cell>
          <cell r="AP29">
            <v>0</v>
          </cell>
          <cell r="AQ29">
            <v>0</v>
          </cell>
          <cell r="AR29">
            <v>0</v>
          </cell>
          <cell r="AS29">
            <v>0</v>
          </cell>
          <cell r="AT29">
            <v>0</v>
          </cell>
          <cell r="AU29">
            <v>0</v>
          </cell>
          <cell r="AV29">
            <v>0</v>
          </cell>
          <cell r="AW29">
            <v>0</v>
          </cell>
          <cell r="AX29">
            <v>0</v>
          </cell>
          <cell r="AY29">
            <v>0</v>
          </cell>
          <cell r="AZ29">
            <v>0</v>
          </cell>
          <cell r="BA29">
            <v>0</v>
          </cell>
          <cell r="BB29">
            <v>0</v>
          </cell>
          <cell r="BC29">
            <v>0</v>
          </cell>
          <cell r="BD29">
            <v>0</v>
          </cell>
          <cell r="BE29">
            <v>0</v>
          </cell>
          <cell r="BF29">
            <v>0</v>
          </cell>
          <cell r="BG29">
            <v>0</v>
          </cell>
          <cell r="BH29">
            <v>0</v>
          </cell>
          <cell r="BI29">
            <v>0</v>
          </cell>
          <cell r="BJ29">
            <v>0</v>
          </cell>
          <cell r="BK29">
            <v>0</v>
          </cell>
          <cell r="BL29">
            <v>0</v>
          </cell>
          <cell r="BM29">
            <v>0</v>
          </cell>
          <cell r="BN29">
            <v>0</v>
          </cell>
          <cell r="BO29">
            <v>0</v>
          </cell>
          <cell r="BP29">
            <v>0</v>
          </cell>
          <cell r="BQ29">
            <v>0</v>
          </cell>
          <cell r="BR29">
            <v>0</v>
          </cell>
          <cell r="BS29">
            <v>0</v>
          </cell>
          <cell r="BT29">
            <v>0</v>
          </cell>
          <cell r="BU29">
            <v>0</v>
          </cell>
          <cell r="BV29">
            <v>0</v>
          </cell>
          <cell r="BW29">
            <v>0</v>
          </cell>
          <cell r="BX29">
            <v>0</v>
          </cell>
          <cell r="BY29">
            <v>0</v>
          </cell>
          <cell r="BZ29">
            <v>0</v>
          </cell>
          <cell r="CA29">
            <v>0</v>
          </cell>
          <cell r="CB29">
            <v>0</v>
          </cell>
          <cell r="CC29">
            <v>0</v>
          </cell>
          <cell r="CD29">
            <v>0</v>
          </cell>
          <cell r="CE29">
            <v>0</v>
          </cell>
          <cell r="CF29">
            <v>0</v>
          </cell>
          <cell r="CG29">
            <v>0</v>
          </cell>
          <cell r="CH29">
            <v>0</v>
          </cell>
          <cell r="CI29">
            <v>0</v>
          </cell>
          <cell r="CJ29">
            <v>0</v>
          </cell>
          <cell r="CK29">
            <v>0</v>
          </cell>
          <cell r="CL29">
            <v>0</v>
          </cell>
          <cell r="CM29">
            <v>0</v>
          </cell>
          <cell r="CN29">
            <v>0</v>
          </cell>
          <cell r="CO29">
            <v>0</v>
          </cell>
          <cell r="CP29">
            <v>0</v>
          </cell>
          <cell r="CQ29">
            <v>0</v>
          </cell>
          <cell r="CR29">
            <v>0</v>
          </cell>
          <cell r="CS29">
            <v>0</v>
          </cell>
          <cell r="CT29">
            <v>0</v>
          </cell>
          <cell r="CU29">
            <v>0</v>
          </cell>
          <cell r="CV29">
            <v>0</v>
          </cell>
          <cell r="CW29">
            <v>0</v>
          </cell>
          <cell r="CX29">
            <v>0</v>
          </cell>
          <cell r="CY29">
            <v>0</v>
          </cell>
          <cell r="CZ29">
            <v>0</v>
          </cell>
          <cell r="DA29">
            <v>0</v>
          </cell>
          <cell r="DB29">
            <v>0</v>
          </cell>
          <cell r="DC29">
            <v>0</v>
          </cell>
          <cell r="DD29">
            <v>0</v>
          </cell>
          <cell r="DE29">
            <v>0</v>
          </cell>
          <cell r="DF29">
            <v>0</v>
          </cell>
          <cell r="DG29">
            <v>0</v>
          </cell>
          <cell r="DH29">
            <v>0</v>
          </cell>
          <cell r="DI29">
            <v>0</v>
          </cell>
          <cell r="DJ29">
            <v>0</v>
          </cell>
          <cell r="DK29">
            <v>0</v>
          </cell>
          <cell r="DL29">
            <v>0</v>
          </cell>
          <cell r="DM29">
            <v>0</v>
          </cell>
          <cell r="DN29">
            <v>0</v>
          </cell>
          <cell r="DO29">
            <v>0</v>
          </cell>
          <cell r="DP29">
            <v>0</v>
          </cell>
          <cell r="DQ29">
            <v>0</v>
          </cell>
          <cell r="DR29">
            <v>0</v>
          </cell>
          <cell r="DS29">
            <v>0</v>
          </cell>
          <cell r="DT29">
            <v>0</v>
          </cell>
          <cell r="DU29">
            <v>0</v>
          </cell>
          <cell r="DV29">
            <v>0</v>
          </cell>
          <cell r="DW29">
            <v>0</v>
          </cell>
          <cell r="DX29">
            <v>0</v>
          </cell>
          <cell r="DY29">
            <v>0</v>
          </cell>
          <cell r="DZ29">
            <v>0</v>
          </cell>
          <cell r="EA29">
            <v>0</v>
          </cell>
          <cell r="EB29">
            <v>0</v>
          </cell>
          <cell r="EC29">
            <v>0</v>
          </cell>
          <cell r="ED29">
            <v>0.05</v>
          </cell>
          <cell r="EE29">
            <v>0.09</v>
          </cell>
          <cell r="EF29">
            <v>0.08</v>
          </cell>
          <cell r="EG29">
            <v>0.17</v>
          </cell>
          <cell r="EH29">
            <v>1</v>
          </cell>
          <cell r="EI29">
            <v>1</v>
          </cell>
          <cell r="EJ29">
            <v>1</v>
          </cell>
          <cell r="EK29">
            <v>1</v>
          </cell>
          <cell r="EL29">
            <v>0.05</v>
          </cell>
          <cell r="EM29">
            <v>0.14000000000000001</v>
          </cell>
          <cell r="EN29">
            <v>0.11</v>
          </cell>
          <cell r="EO29">
            <v>0.2</v>
          </cell>
          <cell r="EP29">
            <v>0</v>
          </cell>
          <cell r="EQ29">
            <v>0</v>
          </cell>
          <cell r="ER29">
            <v>0</v>
          </cell>
          <cell r="ES29">
            <v>0</v>
          </cell>
          <cell r="ET29">
            <v>0</v>
          </cell>
          <cell r="EU29">
            <v>0</v>
          </cell>
          <cell r="EV29">
            <v>0</v>
          </cell>
          <cell r="EW29">
            <v>0</v>
          </cell>
          <cell r="EX29">
            <v>1</v>
          </cell>
          <cell r="EY29">
            <v>1</v>
          </cell>
          <cell r="EZ29">
            <v>1</v>
          </cell>
          <cell r="FA29">
            <v>0</v>
          </cell>
          <cell r="FB29">
            <v>0</v>
          </cell>
          <cell r="FC29">
            <v>0</v>
          </cell>
          <cell r="FD29">
            <v>0</v>
          </cell>
          <cell r="FE29">
            <v>0</v>
          </cell>
          <cell r="FF29">
            <v>0</v>
          </cell>
          <cell r="FG29">
            <v>0</v>
          </cell>
          <cell r="FH29">
            <v>0</v>
          </cell>
          <cell r="FI29">
            <v>0</v>
          </cell>
          <cell r="FJ29">
            <v>0</v>
          </cell>
          <cell r="FK29">
            <v>0</v>
          </cell>
          <cell r="FL29">
            <v>0</v>
          </cell>
          <cell r="FM29">
            <v>0</v>
          </cell>
          <cell r="FN29">
            <v>0</v>
          </cell>
          <cell r="FO29">
            <v>0</v>
          </cell>
          <cell r="FP29">
            <v>0</v>
          </cell>
          <cell r="FQ29">
            <v>0</v>
          </cell>
          <cell r="FR29">
            <v>0</v>
          </cell>
          <cell r="FS29">
            <v>0</v>
          </cell>
          <cell r="FT29">
            <v>0</v>
          </cell>
          <cell r="FU29">
            <v>0</v>
          </cell>
          <cell r="FV29">
            <v>0</v>
          </cell>
          <cell r="FW29">
            <v>0</v>
          </cell>
          <cell r="FX29">
            <v>0</v>
          </cell>
          <cell r="FY29">
            <v>0</v>
          </cell>
          <cell r="FZ29">
            <v>0</v>
          </cell>
        </row>
        <row r="30">
          <cell r="B30">
            <v>0.1</v>
          </cell>
          <cell r="C30">
            <v>0.08</v>
          </cell>
          <cell r="D30">
            <v>0.15</v>
          </cell>
          <cell r="E30">
            <v>0.08</v>
          </cell>
          <cell r="F30">
            <v>0.15</v>
          </cell>
          <cell r="G30">
            <v>0.22</v>
          </cell>
          <cell r="H30">
            <v>7.0000000000000007E-2</v>
          </cell>
          <cell r="I30">
            <v>0.05</v>
          </cell>
          <cell r="J30">
            <v>0.13</v>
          </cell>
          <cell r="K30">
            <v>0.18</v>
          </cell>
          <cell r="L30">
            <v>0.17</v>
          </cell>
          <cell r="M30">
            <v>0.16</v>
          </cell>
          <cell r="N30">
            <v>0.8</v>
          </cell>
          <cell r="O30">
            <v>1</v>
          </cell>
          <cell r="P30">
            <v>1</v>
          </cell>
          <cell r="Q30">
            <v>0.8</v>
          </cell>
          <cell r="R30">
            <v>0.8</v>
          </cell>
          <cell r="S30">
            <v>1</v>
          </cell>
          <cell r="T30">
            <v>1</v>
          </cell>
          <cell r="U30">
            <v>1</v>
          </cell>
          <cell r="V30">
            <v>1</v>
          </cell>
          <cell r="W30">
            <v>1</v>
          </cell>
          <cell r="X30">
            <v>1</v>
          </cell>
          <cell r="Y30">
            <v>1</v>
          </cell>
          <cell r="Z30">
            <v>0.1</v>
          </cell>
          <cell r="AA30">
            <v>0.1</v>
          </cell>
          <cell r="AB30">
            <v>0.14000000000000001</v>
          </cell>
          <cell r="AC30">
            <v>0.11</v>
          </cell>
          <cell r="AD30">
            <v>0.11</v>
          </cell>
          <cell r="AE30">
            <v>0.19</v>
          </cell>
          <cell r="AF30">
            <v>0.09</v>
          </cell>
          <cell r="AG30">
            <v>0.11</v>
          </cell>
          <cell r="AH30">
            <v>0.15</v>
          </cell>
          <cell r="AI30">
            <v>0.2</v>
          </cell>
          <cell r="AJ30">
            <v>0.2</v>
          </cell>
          <cell r="AK30">
            <v>0.2</v>
          </cell>
          <cell r="AL30">
            <v>0</v>
          </cell>
          <cell r="AM30">
            <v>0</v>
          </cell>
          <cell r="AN30">
            <v>0</v>
          </cell>
          <cell r="AO30">
            <v>0</v>
          </cell>
          <cell r="AP30">
            <v>0</v>
          </cell>
          <cell r="AQ30">
            <v>0</v>
          </cell>
          <cell r="AR30">
            <v>0</v>
          </cell>
          <cell r="AS30">
            <v>0</v>
          </cell>
          <cell r="AT30">
            <v>0</v>
          </cell>
          <cell r="AU30">
            <v>0</v>
          </cell>
          <cell r="AV30">
            <v>0</v>
          </cell>
          <cell r="AW30">
            <v>0</v>
          </cell>
          <cell r="AX30">
            <v>0</v>
          </cell>
          <cell r="AY30">
            <v>0</v>
          </cell>
          <cell r="AZ30">
            <v>0</v>
          </cell>
          <cell r="BA30">
            <v>0</v>
          </cell>
          <cell r="BB30">
            <v>0</v>
          </cell>
          <cell r="BC30">
            <v>0</v>
          </cell>
          <cell r="BD30">
            <v>0</v>
          </cell>
          <cell r="BE30">
            <v>0</v>
          </cell>
          <cell r="BF30">
            <v>0</v>
          </cell>
          <cell r="BG30">
            <v>0</v>
          </cell>
          <cell r="BH30">
            <v>0</v>
          </cell>
          <cell r="BI30">
            <v>0</v>
          </cell>
          <cell r="BJ30">
            <v>0</v>
          </cell>
          <cell r="BK30">
            <v>0</v>
          </cell>
          <cell r="BL30">
            <v>0</v>
          </cell>
          <cell r="BM30">
            <v>0</v>
          </cell>
          <cell r="BN30">
            <v>0</v>
          </cell>
          <cell r="BO30">
            <v>0</v>
          </cell>
          <cell r="BP30">
            <v>0</v>
          </cell>
          <cell r="BQ30">
            <v>0</v>
          </cell>
          <cell r="BR30">
            <v>0</v>
          </cell>
          <cell r="BS30">
            <v>0</v>
          </cell>
          <cell r="BT30">
            <v>0</v>
          </cell>
          <cell r="BU30">
            <v>0</v>
          </cell>
          <cell r="BV30">
            <v>0</v>
          </cell>
          <cell r="BW30">
            <v>0</v>
          </cell>
          <cell r="BX30">
            <v>0</v>
          </cell>
          <cell r="BY30">
            <v>0</v>
          </cell>
          <cell r="BZ30">
            <v>0</v>
          </cell>
          <cell r="CA30">
            <v>0</v>
          </cell>
          <cell r="CB30">
            <v>0</v>
          </cell>
          <cell r="CC30">
            <v>0</v>
          </cell>
          <cell r="CD30">
            <v>0</v>
          </cell>
          <cell r="CE30">
            <v>0</v>
          </cell>
          <cell r="CF30">
            <v>0</v>
          </cell>
          <cell r="CG30">
            <v>0</v>
          </cell>
          <cell r="CH30">
            <v>0</v>
          </cell>
          <cell r="CI30">
            <v>0</v>
          </cell>
          <cell r="CJ30">
            <v>0</v>
          </cell>
          <cell r="CK30">
            <v>0</v>
          </cell>
          <cell r="CL30">
            <v>0</v>
          </cell>
          <cell r="CM30">
            <v>0</v>
          </cell>
          <cell r="CN30">
            <v>0</v>
          </cell>
          <cell r="CO30">
            <v>0</v>
          </cell>
          <cell r="CP30">
            <v>0</v>
          </cell>
          <cell r="CQ30">
            <v>0</v>
          </cell>
          <cell r="CR30">
            <v>0</v>
          </cell>
          <cell r="CS30">
            <v>0</v>
          </cell>
          <cell r="CT30">
            <v>0</v>
          </cell>
          <cell r="CU30">
            <v>0</v>
          </cell>
          <cell r="CV30">
            <v>0</v>
          </cell>
          <cell r="CW30">
            <v>0</v>
          </cell>
          <cell r="CX30">
            <v>0</v>
          </cell>
          <cell r="CY30">
            <v>0</v>
          </cell>
          <cell r="CZ30">
            <v>0</v>
          </cell>
          <cell r="DA30">
            <v>0</v>
          </cell>
          <cell r="DB30">
            <v>0</v>
          </cell>
          <cell r="DC30">
            <v>0</v>
          </cell>
          <cell r="DD30">
            <v>0</v>
          </cell>
          <cell r="DE30">
            <v>0</v>
          </cell>
          <cell r="DF30">
            <v>0</v>
          </cell>
          <cell r="DG30">
            <v>0</v>
          </cell>
          <cell r="DH30">
            <v>0</v>
          </cell>
          <cell r="DI30">
            <v>0</v>
          </cell>
          <cell r="DJ30">
            <v>0</v>
          </cell>
          <cell r="DK30">
            <v>0</v>
          </cell>
          <cell r="DL30">
            <v>0</v>
          </cell>
          <cell r="DM30">
            <v>0</v>
          </cell>
          <cell r="DN30">
            <v>0</v>
          </cell>
          <cell r="DO30">
            <v>0</v>
          </cell>
          <cell r="DP30">
            <v>0</v>
          </cell>
          <cell r="DQ30">
            <v>0</v>
          </cell>
          <cell r="DR30">
            <v>0</v>
          </cell>
          <cell r="DS30">
            <v>0</v>
          </cell>
          <cell r="DT30">
            <v>0</v>
          </cell>
          <cell r="DU30">
            <v>0</v>
          </cell>
          <cell r="DV30">
            <v>0</v>
          </cell>
          <cell r="DW30">
            <v>0</v>
          </cell>
          <cell r="DX30">
            <v>0</v>
          </cell>
          <cell r="DY30">
            <v>0</v>
          </cell>
          <cell r="DZ30">
            <v>0</v>
          </cell>
          <cell r="EA30">
            <v>0</v>
          </cell>
          <cell r="EB30">
            <v>0</v>
          </cell>
          <cell r="EC30">
            <v>0</v>
          </cell>
          <cell r="ED30">
            <v>0.05</v>
          </cell>
          <cell r="EE30">
            <v>0.09</v>
          </cell>
          <cell r="EF30">
            <v>0.08</v>
          </cell>
          <cell r="EG30">
            <v>0.17</v>
          </cell>
          <cell r="EH30">
            <v>1</v>
          </cell>
          <cell r="EI30">
            <v>1</v>
          </cell>
          <cell r="EJ30">
            <v>1</v>
          </cell>
          <cell r="EK30">
            <v>1</v>
          </cell>
          <cell r="EL30">
            <v>0.05</v>
          </cell>
          <cell r="EM30">
            <v>0.14000000000000001</v>
          </cell>
          <cell r="EN30">
            <v>0.11</v>
          </cell>
          <cell r="EO30">
            <v>0.2</v>
          </cell>
          <cell r="EP30">
            <v>0</v>
          </cell>
          <cell r="EQ30">
            <v>0</v>
          </cell>
          <cell r="ER30">
            <v>0</v>
          </cell>
          <cell r="ES30">
            <v>0</v>
          </cell>
          <cell r="ET30">
            <v>0</v>
          </cell>
          <cell r="EU30">
            <v>0</v>
          </cell>
          <cell r="EV30">
            <v>0</v>
          </cell>
          <cell r="EW30">
            <v>0</v>
          </cell>
          <cell r="EX30">
            <v>1</v>
          </cell>
          <cell r="EY30">
            <v>1</v>
          </cell>
          <cell r="EZ30">
            <v>1</v>
          </cell>
          <cell r="FA30">
            <v>0</v>
          </cell>
          <cell r="FB30">
            <v>0</v>
          </cell>
          <cell r="FC30">
            <v>0</v>
          </cell>
          <cell r="FD30">
            <v>0</v>
          </cell>
          <cell r="FE30">
            <v>0</v>
          </cell>
          <cell r="FF30">
            <v>0</v>
          </cell>
          <cell r="FG30">
            <v>0</v>
          </cell>
          <cell r="FH30">
            <v>0</v>
          </cell>
          <cell r="FI30">
            <v>0</v>
          </cell>
          <cell r="FJ30">
            <v>0</v>
          </cell>
          <cell r="FK30">
            <v>0</v>
          </cell>
          <cell r="FL30">
            <v>0</v>
          </cell>
          <cell r="FM30">
            <v>0</v>
          </cell>
          <cell r="FN30">
            <v>0</v>
          </cell>
          <cell r="FO30">
            <v>0</v>
          </cell>
          <cell r="FP30">
            <v>0</v>
          </cell>
          <cell r="FQ30">
            <v>0</v>
          </cell>
          <cell r="FR30">
            <v>0</v>
          </cell>
          <cell r="FS30">
            <v>0</v>
          </cell>
          <cell r="FT30">
            <v>0</v>
          </cell>
          <cell r="FU30">
            <v>0</v>
          </cell>
          <cell r="FV30">
            <v>0</v>
          </cell>
          <cell r="FW30">
            <v>0</v>
          </cell>
          <cell r="FX30">
            <v>0</v>
          </cell>
          <cell r="FY30">
            <v>0</v>
          </cell>
          <cell r="FZ30">
            <v>0</v>
          </cell>
        </row>
        <row r="31">
          <cell r="B31">
            <v>0.1</v>
          </cell>
          <cell r="C31">
            <v>0.08</v>
          </cell>
          <cell r="D31">
            <v>0.15</v>
          </cell>
          <cell r="E31">
            <v>0.08</v>
          </cell>
          <cell r="F31">
            <v>0.15</v>
          </cell>
          <cell r="G31">
            <v>0.22</v>
          </cell>
          <cell r="H31">
            <v>7.0000000000000007E-2</v>
          </cell>
          <cell r="I31">
            <v>0.05</v>
          </cell>
          <cell r="J31">
            <v>0.13</v>
          </cell>
          <cell r="K31">
            <v>0.18</v>
          </cell>
          <cell r="L31">
            <v>0.17</v>
          </cell>
          <cell r="M31">
            <v>0.16</v>
          </cell>
          <cell r="N31">
            <v>0.8</v>
          </cell>
          <cell r="O31">
            <v>1</v>
          </cell>
          <cell r="P31">
            <v>1</v>
          </cell>
          <cell r="Q31">
            <v>0.8</v>
          </cell>
          <cell r="R31">
            <v>0.8</v>
          </cell>
          <cell r="S31">
            <v>1</v>
          </cell>
          <cell r="T31">
            <v>1</v>
          </cell>
          <cell r="U31">
            <v>1</v>
          </cell>
          <cell r="V31">
            <v>1</v>
          </cell>
          <cell r="W31">
            <v>1</v>
          </cell>
          <cell r="X31">
            <v>1</v>
          </cell>
          <cell r="Y31">
            <v>1</v>
          </cell>
          <cell r="Z31">
            <v>0.1</v>
          </cell>
          <cell r="AA31">
            <v>0.1</v>
          </cell>
          <cell r="AB31">
            <v>0.14000000000000001</v>
          </cell>
          <cell r="AC31">
            <v>0.11</v>
          </cell>
          <cell r="AD31">
            <v>0.11</v>
          </cell>
          <cell r="AE31">
            <v>0.19</v>
          </cell>
          <cell r="AF31">
            <v>0.09</v>
          </cell>
          <cell r="AG31">
            <v>0.11</v>
          </cell>
          <cell r="AH31">
            <v>0.15</v>
          </cell>
          <cell r="AI31">
            <v>0.2</v>
          </cell>
          <cell r="AJ31">
            <v>0.2</v>
          </cell>
          <cell r="AK31">
            <v>0.2</v>
          </cell>
          <cell r="AL31">
            <v>0</v>
          </cell>
          <cell r="AM31">
            <v>0</v>
          </cell>
          <cell r="AN31">
            <v>0</v>
          </cell>
          <cell r="AO31">
            <v>0</v>
          </cell>
          <cell r="AP31">
            <v>0</v>
          </cell>
          <cell r="AQ31">
            <v>0</v>
          </cell>
          <cell r="AR31">
            <v>0</v>
          </cell>
          <cell r="AS31">
            <v>0</v>
          </cell>
          <cell r="AT31">
            <v>0</v>
          </cell>
          <cell r="AU31">
            <v>0</v>
          </cell>
          <cell r="AV31">
            <v>0</v>
          </cell>
          <cell r="AW31">
            <v>0</v>
          </cell>
          <cell r="AX31">
            <v>0</v>
          </cell>
          <cell r="AY31">
            <v>0</v>
          </cell>
          <cell r="AZ31">
            <v>0</v>
          </cell>
          <cell r="BA31">
            <v>0</v>
          </cell>
          <cell r="BB31">
            <v>0</v>
          </cell>
          <cell r="BC31">
            <v>0</v>
          </cell>
          <cell r="BD31">
            <v>0</v>
          </cell>
          <cell r="BE31">
            <v>0</v>
          </cell>
          <cell r="BF31">
            <v>0</v>
          </cell>
          <cell r="BG31">
            <v>0</v>
          </cell>
          <cell r="BH31">
            <v>0</v>
          </cell>
          <cell r="BI31">
            <v>0</v>
          </cell>
          <cell r="BJ31">
            <v>0</v>
          </cell>
          <cell r="BK31">
            <v>0</v>
          </cell>
          <cell r="BL31">
            <v>0</v>
          </cell>
          <cell r="BM31">
            <v>0</v>
          </cell>
          <cell r="BN31">
            <v>0</v>
          </cell>
          <cell r="BO31">
            <v>0</v>
          </cell>
          <cell r="BP31">
            <v>0</v>
          </cell>
          <cell r="BQ31">
            <v>0</v>
          </cell>
          <cell r="BR31">
            <v>0</v>
          </cell>
          <cell r="BS31">
            <v>0</v>
          </cell>
          <cell r="BT31">
            <v>0</v>
          </cell>
          <cell r="BU31">
            <v>0</v>
          </cell>
          <cell r="BV31">
            <v>0</v>
          </cell>
          <cell r="BW31">
            <v>0</v>
          </cell>
          <cell r="BX31">
            <v>0</v>
          </cell>
          <cell r="BY31">
            <v>0</v>
          </cell>
          <cell r="BZ31">
            <v>0</v>
          </cell>
          <cell r="CA31">
            <v>0</v>
          </cell>
          <cell r="CB31">
            <v>0</v>
          </cell>
          <cell r="CC31">
            <v>0</v>
          </cell>
          <cell r="CD31">
            <v>0</v>
          </cell>
          <cell r="CE31">
            <v>0</v>
          </cell>
          <cell r="CF31">
            <v>0</v>
          </cell>
          <cell r="CG31">
            <v>0</v>
          </cell>
          <cell r="CH31">
            <v>0</v>
          </cell>
          <cell r="CI31">
            <v>0</v>
          </cell>
          <cell r="CJ31">
            <v>0</v>
          </cell>
          <cell r="CK31">
            <v>0</v>
          </cell>
          <cell r="CL31">
            <v>0</v>
          </cell>
          <cell r="CM31">
            <v>0</v>
          </cell>
          <cell r="CN31">
            <v>0</v>
          </cell>
          <cell r="CO31">
            <v>0</v>
          </cell>
          <cell r="CP31">
            <v>0</v>
          </cell>
          <cell r="CQ31">
            <v>0</v>
          </cell>
          <cell r="CR31">
            <v>0</v>
          </cell>
          <cell r="CS31">
            <v>0</v>
          </cell>
          <cell r="CT31">
            <v>0</v>
          </cell>
          <cell r="CU31">
            <v>0</v>
          </cell>
          <cell r="CV31">
            <v>0</v>
          </cell>
          <cell r="CW31">
            <v>0</v>
          </cell>
          <cell r="CX31">
            <v>0</v>
          </cell>
          <cell r="CY31">
            <v>0</v>
          </cell>
          <cell r="CZ31">
            <v>0</v>
          </cell>
          <cell r="DA31">
            <v>0</v>
          </cell>
          <cell r="DB31">
            <v>0</v>
          </cell>
          <cell r="DC31">
            <v>0</v>
          </cell>
          <cell r="DD31">
            <v>0</v>
          </cell>
          <cell r="DE31">
            <v>0</v>
          </cell>
          <cell r="DF31">
            <v>0</v>
          </cell>
          <cell r="DG31">
            <v>0</v>
          </cell>
          <cell r="DH31">
            <v>0</v>
          </cell>
          <cell r="DI31">
            <v>0</v>
          </cell>
          <cell r="DJ31">
            <v>0</v>
          </cell>
          <cell r="DK31">
            <v>0</v>
          </cell>
          <cell r="DL31">
            <v>0</v>
          </cell>
          <cell r="DM31">
            <v>0</v>
          </cell>
          <cell r="DN31">
            <v>0</v>
          </cell>
          <cell r="DO31">
            <v>0</v>
          </cell>
          <cell r="DP31">
            <v>0</v>
          </cell>
          <cell r="DQ31">
            <v>0</v>
          </cell>
          <cell r="DR31">
            <v>0</v>
          </cell>
          <cell r="DS31">
            <v>0</v>
          </cell>
          <cell r="DT31">
            <v>0</v>
          </cell>
          <cell r="DU31">
            <v>0</v>
          </cell>
          <cell r="DV31">
            <v>0</v>
          </cell>
          <cell r="DW31">
            <v>0</v>
          </cell>
          <cell r="DX31">
            <v>0</v>
          </cell>
          <cell r="DY31">
            <v>0</v>
          </cell>
          <cell r="DZ31">
            <v>0</v>
          </cell>
          <cell r="EA31">
            <v>0</v>
          </cell>
          <cell r="EB31">
            <v>0</v>
          </cell>
          <cell r="EC31">
            <v>0</v>
          </cell>
          <cell r="ED31">
            <v>0.05</v>
          </cell>
          <cell r="EE31">
            <v>0.09</v>
          </cell>
          <cell r="EF31">
            <v>0.08</v>
          </cell>
          <cell r="EG31">
            <v>0.17</v>
          </cell>
          <cell r="EH31">
            <v>1</v>
          </cell>
          <cell r="EI31">
            <v>1</v>
          </cell>
          <cell r="EJ31">
            <v>1</v>
          </cell>
          <cell r="EK31">
            <v>1</v>
          </cell>
          <cell r="EL31">
            <v>0.05</v>
          </cell>
          <cell r="EM31">
            <v>0.14000000000000001</v>
          </cell>
          <cell r="EN31">
            <v>0.11</v>
          </cell>
          <cell r="EO31">
            <v>0.2</v>
          </cell>
          <cell r="EP31">
            <v>0</v>
          </cell>
          <cell r="EQ31">
            <v>0</v>
          </cell>
          <cell r="ER31">
            <v>0</v>
          </cell>
          <cell r="ES31">
            <v>0</v>
          </cell>
          <cell r="ET31">
            <v>0</v>
          </cell>
          <cell r="EU31">
            <v>0</v>
          </cell>
          <cell r="EV31">
            <v>0</v>
          </cell>
          <cell r="EW31">
            <v>0</v>
          </cell>
          <cell r="EX31">
            <v>1</v>
          </cell>
          <cell r="EY31">
            <v>1</v>
          </cell>
          <cell r="EZ31">
            <v>1</v>
          </cell>
          <cell r="FA31">
            <v>0</v>
          </cell>
          <cell r="FB31">
            <v>0</v>
          </cell>
          <cell r="FC31">
            <v>0</v>
          </cell>
          <cell r="FD31">
            <v>0</v>
          </cell>
          <cell r="FE31">
            <v>0</v>
          </cell>
          <cell r="FF31">
            <v>0</v>
          </cell>
          <cell r="FG31">
            <v>0</v>
          </cell>
          <cell r="FH31">
            <v>0</v>
          </cell>
          <cell r="FI31">
            <v>0</v>
          </cell>
          <cell r="FJ31">
            <v>0</v>
          </cell>
          <cell r="FK31">
            <v>0</v>
          </cell>
          <cell r="FL31">
            <v>0</v>
          </cell>
          <cell r="FM31">
            <v>0</v>
          </cell>
          <cell r="FN31">
            <v>0</v>
          </cell>
          <cell r="FO31">
            <v>0</v>
          </cell>
          <cell r="FP31">
            <v>0</v>
          </cell>
          <cell r="FQ31">
            <v>0</v>
          </cell>
          <cell r="FR31">
            <v>0</v>
          </cell>
          <cell r="FS31">
            <v>0</v>
          </cell>
          <cell r="FT31">
            <v>0</v>
          </cell>
          <cell r="FU31">
            <v>0</v>
          </cell>
          <cell r="FV31">
            <v>0</v>
          </cell>
          <cell r="FW31">
            <v>0</v>
          </cell>
          <cell r="FX31">
            <v>0</v>
          </cell>
          <cell r="FY31">
            <v>0</v>
          </cell>
          <cell r="FZ31">
            <v>0</v>
          </cell>
        </row>
        <row r="32">
          <cell r="B32">
            <v>0.1</v>
          </cell>
          <cell r="C32">
            <v>0.08</v>
          </cell>
          <cell r="D32">
            <v>0.15</v>
          </cell>
          <cell r="E32">
            <v>0.08</v>
          </cell>
          <cell r="F32">
            <v>0.15</v>
          </cell>
          <cell r="G32">
            <v>0.22</v>
          </cell>
          <cell r="H32">
            <v>7.0000000000000007E-2</v>
          </cell>
          <cell r="I32">
            <v>0.05</v>
          </cell>
          <cell r="J32">
            <v>0.13</v>
          </cell>
          <cell r="K32">
            <v>0.18</v>
          </cell>
          <cell r="L32">
            <v>0.17</v>
          </cell>
          <cell r="M32">
            <v>0.16</v>
          </cell>
          <cell r="N32">
            <v>0.8</v>
          </cell>
          <cell r="O32">
            <v>1</v>
          </cell>
          <cell r="P32">
            <v>1</v>
          </cell>
          <cell r="Q32">
            <v>0.8</v>
          </cell>
          <cell r="R32">
            <v>0.8</v>
          </cell>
          <cell r="S32">
            <v>1</v>
          </cell>
          <cell r="T32">
            <v>1</v>
          </cell>
          <cell r="U32">
            <v>1</v>
          </cell>
          <cell r="V32">
            <v>1</v>
          </cell>
          <cell r="W32">
            <v>1</v>
          </cell>
          <cell r="X32">
            <v>1</v>
          </cell>
          <cell r="Y32">
            <v>1</v>
          </cell>
          <cell r="Z32">
            <v>0.1</v>
          </cell>
          <cell r="AA32">
            <v>0.1</v>
          </cell>
          <cell r="AB32">
            <v>0.14000000000000001</v>
          </cell>
          <cell r="AC32">
            <v>0.11</v>
          </cell>
          <cell r="AD32">
            <v>0.11</v>
          </cell>
          <cell r="AE32">
            <v>0.19</v>
          </cell>
          <cell r="AF32">
            <v>0.09</v>
          </cell>
          <cell r="AG32">
            <v>0.11</v>
          </cell>
          <cell r="AH32">
            <v>0.15</v>
          </cell>
          <cell r="AI32">
            <v>0.2</v>
          </cell>
          <cell r="AJ32">
            <v>0.2</v>
          </cell>
          <cell r="AK32">
            <v>0.2</v>
          </cell>
          <cell r="AL32">
            <v>0</v>
          </cell>
          <cell r="AM32">
            <v>0</v>
          </cell>
          <cell r="AN32">
            <v>0</v>
          </cell>
          <cell r="AO32">
            <v>0</v>
          </cell>
          <cell r="AP32">
            <v>0</v>
          </cell>
          <cell r="AQ32">
            <v>0</v>
          </cell>
          <cell r="AR32">
            <v>0</v>
          </cell>
          <cell r="AS32">
            <v>0</v>
          </cell>
          <cell r="AT32">
            <v>0</v>
          </cell>
          <cell r="AU32">
            <v>0</v>
          </cell>
          <cell r="AV32">
            <v>0</v>
          </cell>
          <cell r="AW32">
            <v>0</v>
          </cell>
          <cell r="AX32">
            <v>0</v>
          </cell>
          <cell r="AY32">
            <v>0</v>
          </cell>
          <cell r="AZ32">
            <v>0</v>
          </cell>
          <cell r="BA32">
            <v>0</v>
          </cell>
          <cell r="BB32">
            <v>0</v>
          </cell>
          <cell r="BC32">
            <v>0</v>
          </cell>
          <cell r="BD32">
            <v>0</v>
          </cell>
          <cell r="BE32">
            <v>0</v>
          </cell>
          <cell r="BF32">
            <v>0</v>
          </cell>
          <cell r="BG32">
            <v>0</v>
          </cell>
          <cell r="BH32">
            <v>0</v>
          </cell>
          <cell r="BI32">
            <v>0</v>
          </cell>
          <cell r="BJ32">
            <v>0</v>
          </cell>
          <cell r="BK32">
            <v>0</v>
          </cell>
          <cell r="BL32">
            <v>0</v>
          </cell>
          <cell r="BM32">
            <v>0</v>
          </cell>
          <cell r="BN32">
            <v>0</v>
          </cell>
          <cell r="BO32">
            <v>0</v>
          </cell>
          <cell r="BP32">
            <v>0</v>
          </cell>
          <cell r="BQ32">
            <v>0</v>
          </cell>
          <cell r="BR32">
            <v>0</v>
          </cell>
          <cell r="BS32">
            <v>0</v>
          </cell>
          <cell r="BT32">
            <v>0</v>
          </cell>
          <cell r="BU32">
            <v>0</v>
          </cell>
          <cell r="BV32">
            <v>0</v>
          </cell>
          <cell r="BW32">
            <v>0</v>
          </cell>
          <cell r="BX32">
            <v>0</v>
          </cell>
          <cell r="BY32">
            <v>0</v>
          </cell>
          <cell r="BZ32">
            <v>0</v>
          </cell>
          <cell r="CA32">
            <v>0</v>
          </cell>
          <cell r="CB32">
            <v>0</v>
          </cell>
          <cell r="CC32">
            <v>0</v>
          </cell>
          <cell r="CD32">
            <v>0</v>
          </cell>
          <cell r="CE32">
            <v>0</v>
          </cell>
          <cell r="CF32">
            <v>0</v>
          </cell>
          <cell r="CG32">
            <v>0</v>
          </cell>
          <cell r="CH32">
            <v>0</v>
          </cell>
          <cell r="CI32">
            <v>0</v>
          </cell>
          <cell r="CJ32">
            <v>0</v>
          </cell>
          <cell r="CK32">
            <v>0</v>
          </cell>
          <cell r="CL32">
            <v>0</v>
          </cell>
          <cell r="CM32">
            <v>0</v>
          </cell>
          <cell r="CN32">
            <v>0</v>
          </cell>
          <cell r="CO32">
            <v>0</v>
          </cell>
          <cell r="CP32">
            <v>0</v>
          </cell>
          <cell r="CQ32">
            <v>0</v>
          </cell>
          <cell r="CR32">
            <v>0</v>
          </cell>
          <cell r="CS32">
            <v>0</v>
          </cell>
          <cell r="CT32">
            <v>0</v>
          </cell>
          <cell r="CU32">
            <v>0</v>
          </cell>
          <cell r="CV32">
            <v>0</v>
          </cell>
          <cell r="CW32">
            <v>0</v>
          </cell>
          <cell r="CX32">
            <v>0</v>
          </cell>
          <cell r="CY32">
            <v>0</v>
          </cell>
          <cell r="CZ32">
            <v>0</v>
          </cell>
          <cell r="DA32">
            <v>0</v>
          </cell>
          <cell r="DB32">
            <v>0</v>
          </cell>
          <cell r="DC32">
            <v>0</v>
          </cell>
          <cell r="DD32">
            <v>0</v>
          </cell>
          <cell r="DE32">
            <v>0</v>
          </cell>
          <cell r="DF32">
            <v>0</v>
          </cell>
          <cell r="DG32">
            <v>0</v>
          </cell>
          <cell r="DH32">
            <v>0</v>
          </cell>
          <cell r="DI32">
            <v>0</v>
          </cell>
          <cell r="DJ32">
            <v>0</v>
          </cell>
          <cell r="DK32">
            <v>0</v>
          </cell>
          <cell r="DL32">
            <v>0</v>
          </cell>
          <cell r="DM32">
            <v>0</v>
          </cell>
          <cell r="DN32">
            <v>0</v>
          </cell>
          <cell r="DO32">
            <v>0</v>
          </cell>
          <cell r="DP32">
            <v>0</v>
          </cell>
          <cell r="DQ32">
            <v>0</v>
          </cell>
          <cell r="DR32">
            <v>0</v>
          </cell>
          <cell r="DS32">
            <v>0</v>
          </cell>
          <cell r="DT32">
            <v>0</v>
          </cell>
          <cell r="DU32">
            <v>0</v>
          </cell>
          <cell r="DV32">
            <v>0</v>
          </cell>
          <cell r="DW32">
            <v>0</v>
          </cell>
          <cell r="DX32">
            <v>0</v>
          </cell>
          <cell r="DY32">
            <v>0</v>
          </cell>
          <cell r="DZ32">
            <v>0</v>
          </cell>
          <cell r="EA32">
            <v>0</v>
          </cell>
          <cell r="EB32">
            <v>0</v>
          </cell>
          <cell r="EC32">
            <v>0</v>
          </cell>
          <cell r="ED32">
            <v>0.05</v>
          </cell>
          <cell r="EE32">
            <v>0.09</v>
          </cell>
          <cell r="EF32">
            <v>0.08</v>
          </cell>
          <cell r="EG32">
            <v>0.17</v>
          </cell>
          <cell r="EH32">
            <v>1</v>
          </cell>
          <cell r="EI32">
            <v>1</v>
          </cell>
          <cell r="EJ32">
            <v>1</v>
          </cell>
          <cell r="EK32">
            <v>1</v>
          </cell>
          <cell r="EL32">
            <v>0.05</v>
          </cell>
          <cell r="EM32">
            <v>0.14000000000000001</v>
          </cell>
          <cell r="EN32">
            <v>0.11</v>
          </cell>
          <cell r="EO32">
            <v>0.2</v>
          </cell>
          <cell r="EP32">
            <v>0</v>
          </cell>
          <cell r="EQ32">
            <v>0</v>
          </cell>
          <cell r="ER32">
            <v>0</v>
          </cell>
          <cell r="ES32">
            <v>0</v>
          </cell>
          <cell r="ET32">
            <v>0</v>
          </cell>
          <cell r="EU32">
            <v>0</v>
          </cell>
          <cell r="EV32">
            <v>0</v>
          </cell>
          <cell r="EW32">
            <v>0</v>
          </cell>
          <cell r="EX32">
            <v>1</v>
          </cell>
          <cell r="EY32">
            <v>1</v>
          </cell>
          <cell r="EZ32">
            <v>1</v>
          </cell>
          <cell r="FA32">
            <v>0</v>
          </cell>
          <cell r="FB32">
            <v>0</v>
          </cell>
          <cell r="FC32">
            <v>0</v>
          </cell>
          <cell r="FD32">
            <v>0</v>
          </cell>
          <cell r="FE32">
            <v>0</v>
          </cell>
          <cell r="FF32">
            <v>0</v>
          </cell>
          <cell r="FG32">
            <v>0</v>
          </cell>
          <cell r="FH32">
            <v>0</v>
          </cell>
          <cell r="FI32">
            <v>0</v>
          </cell>
          <cell r="FJ32">
            <v>0</v>
          </cell>
          <cell r="FK32">
            <v>0</v>
          </cell>
          <cell r="FL32">
            <v>0</v>
          </cell>
          <cell r="FM32">
            <v>0</v>
          </cell>
          <cell r="FN32">
            <v>0</v>
          </cell>
          <cell r="FO32">
            <v>0</v>
          </cell>
          <cell r="FP32">
            <v>0</v>
          </cell>
          <cell r="FQ32">
            <v>0</v>
          </cell>
          <cell r="FR32">
            <v>0</v>
          </cell>
          <cell r="FS32">
            <v>0</v>
          </cell>
          <cell r="FT32">
            <v>0</v>
          </cell>
          <cell r="FU32">
            <v>0</v>
          </cell>
          <cell r="FV32">
            <v>0</v>
          </cell>
          <cell r="FW32">
            <v>0</v>
          </cell>
          <cell r="FX32">
            <v>0</v>
          </cell>
          <cell r="FY32">
            <v>0</v>
          </cell>
          <cell r="FZ32">
            <v>0</v>
          </cell>
        </row>
        <row r="33">
          <cell r="B33">
            <v>0.1</v>
          </cell>
          <cell r="C33">
            <v>0.08</v>
          </cell>
          <cell r="D33">
            <v>0.15</v>
          </cell>
          <cell r="E33">
            <v>0.08</v>
          </cell>
          <cell r="F33">
            <v>0.15</v>
          </cell>
          <cell r="G33">
            <v>0.22</v>
          </cell>
          <cell r="H33">
            <v>7.0000000000000007E-2</v>
          </cell>
          <cell r="I33">
            <v>0.05</v>
          </cell>
          <cell r="J33">
            <v>0.13</v>
          </cell>
          <cell r="K33">
            <v>0.18</v>
          </cell>
          <cell r="L33">
            <v>0.17</v>
          </cell>
          <cell r="M33">
            <v>0.16</v>
          </cell>
          <cell r="N33">
            <v>0.8</v>
          </cell>
          <cell r="O33">
            <v>1</v>
          </cell>
          <cell r="P33">
            <v>1</v>
          </cell>
          <cell r="Q33">
            <v>0.8</v>
          </cell>
          <cell r="R33">
            <v>0.8</v>
          </cell>
          <cell r="S33">
            <v>1</v>
          </cell>
          <cell r="T33">
            <v>1</v>
          </cell>
          <cell r="U33">
            <v>1</v>
          </cell>
          <cell r="V33">
            <v>1</v>
          </cell>
          <cell r="W33">
            <v>1</v>
          </cell>
          <cell r="X33">
            <v>1</v>
          </cell>
          <cell r="Y33">
            <v>1</v>
          </cell>
          <cell r="Z33">
            <v>0.1</v>
          </cell>
          <cell r="AA33">
            <v>0.1</v>
          </cell>
          <cell r="AB33">
            <v>0.14000000000000001</v>
          </cell>
          <cell r="AC33">
            <v>0.11</v>
          </cell>
          <cell r="AD33">
            <v>0.11</v>
          </cell>
          <cell r="AE33">
            <v>0.19</v>
          </cell>
          <cell r="AF33">
            <v>0.09</v>
          </cell>
          <cell r="AG33">
            <v>0.11</v>
          </cell>
          <cell r="AH33">
            <v>0.15</v>
          </cell>
          <cell r="AI33">
            <v>0.2</v>
          </cell>
          <cell r="AJ33">
            <v>0.2</v>
          </cell>
          <cell r="AK33">
            <v>0.2</v>
          </cell>
          <cell r="AL33">
            <v>0</v>
          </cell>
          <cell r="AM33">
            <v>0</v>
          </cell>
          <cell r="AN33">
            <v>0</v>
          </cell>
          <cell r="AO33">
            <v>0</v>
          </cell>
          <cell r="AP33">
            <v>0</v>
          </cell>
          <cell r="AQ33">
            <v>0</v>
          </cell>
          <cell r="AR33">
            <v>0</v>
          </cell>
          <cell r="AS33">
            <v>0</v>
          </cell>
          <cell r="AT33">
            <v>0</v>
          </cell>
          <cell r="AU33">
            <v>0</v>
          </cell>
          <cell r="AV33">
            <v>0</v>
          </cell>
          <cell r="AW33">
            <v>0</v>
          </cell>
          <cell r="AX33">
            <v>0</v>
          </cell>
          <cell r="AY33">
            <v>0</v>
          </cell>
          <cell r="AZ33">
            <v>0</v>
          </cell>
          <cell r="BA33">
            <v>0</v>
          </cell>
          <cell r="BB33">
            <v>0</v>
          </cell>
          <cell r="BC33">
            <v>0</v>
          </cell>
          <cell r="BD33">
            <v>0</v>
          </cell>
          <cell r="BE33">
            <v>0</v>
          </cell>
          <cell r="BF33">
            <v>0</v>
          </cell>
          <cell r="BG33">
            <v>0</v>
          </cell>
          <cell r="BH33">
            <v>0</v>
          </cell>
          <cell r="BI33">
            <v>0</v>
          </cell>
          <cell r="BJ33">
            <v>0</v>
          </cell>
          <cell r="BK33">
            <v>0</v>
          </cell>
          <cell r="BL33">
            <v>0</v>
          </cell>
          <cell r="BM33">
            <v>0</v>
          </cell>
          <cell r="BN33">
            <v>0</v>
          </cell>
          <cell r="BO33">
            <v>0</v>
          </cell>
          <cell r="BP33">
            <v>0</v>
          </cell>
          <cell r="BQ33">
            <v>0</v>
          </cell>
          <cell r="BR33">
            <v>0</v>
          </cell>
          <cell r="BS33">
            <v>0</v>
          </cell>
          <cell r="BT33">
            <v>0</v>
          </cell>
          <cell r="BU33">
            <v>0</v>
          </cell>
          <cell r="BV33">
            <v>0</v>
          </cell>
          <cell r="BW33">
            <v>0</v>
          </cell>
          <cell r="BX33">
            <v>0</v>
          </cell>
          <cell r="BY33">
            <v>0</v>
          </cell>
          <cell r="BZ33">
            <v>0</v>
          </cell>
          <cell r="CA33">
            <v>0</v>
          </cell>
          <cell r="CB33">
            <v>0</v>
          </cell>
          <cell r="CC33">
            <v>0</v>
          </cell>
          <cell r="CD33">
            <v>0</v>
          </cell>
          <cell r="CE33">
            <v>0</v>
          </cell>
          <cell r="CF33">
            <v>0</v>
          </cell>
          <cell r="CG33">
            <v>0</v>
          </cell>
          <cell r="CH33">
            <v>0</v>
          </cell>
          <cell r="CI33">
            <v>0</v>
          </cell>
          <cell r="CJ33">
            <v>0</v>
          </cell>
          <cell r="CK33">
            <v>0</v>
          </cell>
          <cell r="CL33">
            <v>0</v>
          </cell>
          <cell r="CM33">
            <v>0</v>
          </cell>
          <cell r="CN33">
            <v>0</v>
          </cell>
          <cell r="CO33">
            <v>0</v>
          </cell>
          <cell r="CP33">
            <v>0</v>
          </cell>
          <cell r="CQ33">
            <v>0</v>
          </cell>
          <cell r="CR33">
            <v>0</v>
          </cell>
          <cell r="CS33">
            <v>0</v>
          </cell>
          <cell r="CT33">
            <v>0</v>
          </cell>
          <cell r="CU33">
            <v>0</v>
          </cell>
          <cell r="CV33">
            <v>0</v>
          </cell>
          <cell r="CW33">
            <v>0</v>
          </cell>
          <cell r="CX33">
            <v>0</v>
          </cell>
          <cell r="CY33">
            <v>0</v>
          </cell>
          <cell r="CZ33">
            <v>0</v>
          </cell>
          <cell r="DA33">
            <v>0</v>
          </cell>
          <cell r="DB33">
            <v>0</v>
          </cell>
          <cell r="DC33">
            <v>0</v>
          </cell>
          <cell r="DD33">
            <v>0</v>
          </cell>
          <cell r="DE33">
            <v>0</v>
          </cell>
          <cell r="DF33">
            <v>0</v>
          </cell>
          <cell r="DG33">
            <v>0</v>
          </cell>
          <cell r="DH33">
            <v>0</v>
          </cell>
          <cell r="DI33">
            <v>0</v>
          </cell>
          <cell r="DJ33">
            <v>0</v>
          </cell>
          <cell r="DK33">
            <v>0</v>
          </cell>
          <cell r="DL33">
            <v>0</v>
          </cell>
          <cell r="DM33">
            <v>0</v>
          </cell>
          <cell r="DN33">
            <v>0</v>
          </cell>
          <cell r="DO33">
            <v>0</v>
          </cell>
          <cell r="DP33">
            <v>0</v>
          </cell>
          <cell r="DQ33">
            <v>0</v>
          </cell>
          <cell r="DR33">
            <v>0</v>
          </cell>
          <cell r="DS33">
            <v>0</v>
          </cell>
          <cell r="DT33">
            <v>0</v>
          </cell>
          <cell r="DU33">
            <v>0</v>
          </cell>
          <cell r="DV33">
            <v>0</v>
          </cell>
          <cell r="DW33">
            <v>0</v>
          </cell>
          <cell r="DX33">
            <v>0</v>
          </cell>
          <cell r="DY33">
            <v>0</v>
          </cell>
          <cell r="DZ33">
            <v>0</v>
          </cell>
          <cell r="EA33">
            <v>0</v>
          </cell>
          <cell r="EB33">
            <v>0</v>
          </cell>
          <cell r="EC33">
            <v>0</v>
          </cell>
          <cell r="ED33">
            <v>0.05</v>
          </cell>
          <cell r="EE33">
            <v>0.09</v>
          </cell>
          <cell r="EF33">
            <v>0.08</v>
          </cell>
          <cell r="EG33">
            <v>0.17</v>
          </cell>
          <cell r="EH33">
            <v>1</v>
          </cell>
          <cell r="EI33">
            <v>1</v>
          </cell>
          <cell r="EJ33">
            <v>1</v>
          </cell>
          <cell r="EK33">
            <v>1</v>
          </cell>
          <cell r="EL33">
            <v>0.05</v>
          </cell>
          <cell r="EM33">
            <v>0.14000000000000001</v>
          </cell>
          <cell r="EN33">
            <v>0.11</v>
          </cell>
          <cell r="EO33">
            <v>0.2</v>
          </cell>
          <cell r="EP33">
            <v>0</v>
          </cell>
          <cell r="EQ33">
            <v>0</v>
          </cell>
          <cell r="ER33">
            <v>0</v>
          </cell>
          <cell r="ES33">
            <v>0</v>
          </cell>
          <cell r="ET33">
            <v>0</v>
          </cell>
          <cell r="EU33">
            <v>0</v>
          </cell>
          <cell r="EV33">
            <v>0</v>
          </cell>
          <cell r="EW33">
            <v>0</v>
          </cell>
          <cell r="EX33">
            <v>1</v>
          </cell>
          <cell r="EY33">
            <v>1</v>
          </cell>
          <cell r="EZ33">
            <v>1</v>
          </cell>
          <cell r="FA33">
            <v>0</v>
          </cell>
          <cell r="FB33">
            <v>0</v>
          </cell>
          <cell r="FC33">
            <v>0</v>
          </cell>
          <cell r="FD33">
            <v>0</v>
          </cell>
          <cell r="FE33">
            <v>0</v>
          </cell>
          <cell r="FF33">
            <v>0</v>
          </cell>
          <cell r="FG33">
            <v>0</v>
          </cell>
          <cell r="FH33">
            <v>0</v>
          </cell>
          <cell r="FI33">
            <v>0</v>
          </cell>
          <cell r="FJ33">
            <v>0</v>
          </cell>
          <cell r="FK33">
            <v>0</v>
          </cell>
          <cell r="FL33">
            <v>0</v>
          </cell>
          <cell r="FM33">
            <v>0</v>
          </cell>
          <cell r="FN33">
            <v>0</v>
          </cell>
          <cell r="FO33">
            <v>0</v>
          </cell>
          <cell r="FP33">
            <v>0</v>
          </cell>
          <cell r="FQ33">
            <v>0</v>
          </cell>
          <cell r="FR33">
            <v>0</v>
          </cell>
          <cell r="FS33">
            <v>0</v>
          </cell>
          <cell r="FT33">
            <v>0</v>
          </cell>
          <cell r="FU33">
            <v>0</v>
          </cell>
          <cell r="FV33">
            <v>0</v>
          </cell>
          <cell r="FW33">
            <v>0</v>
          </cell>
          <cell r="FX33">
            <v>0</v>
          </cell>
          <cell r="FY33">
            <v>0</v>
          </cell>
          <cell r="FZ33">
            <v>0</v>
          </cell>
        </row>
        <row r="34">
          <cell r="B34">
            <v>0.1</v>
          </cell>
          <cell r="C34">
            <v>0.08</v>
          </cell>
          <cell r="D34">
            <v>0.15</v>
          </cell>
          <cell r="E34">
            <v>0.08</v>
          </cell>
          <cell r="F34">
            <v>0.15</v>
          </cell>
          <cell r="G34">
            <v>0.22</v>
          </cell>
          <cell r="H34">
            <v>7.0000000000000007E-2</v>
          </cell>
          <cell r="I34">
            <v>0.05</v>
          </cell>
          <cell r="J34">
            <v>0.13</v>
          </cell>
          <cell r="K34">
            <v>0.18</v>
          </cell>
          <cell r="L34">
            <v>0.17</v>
          </cell>
          <cell r="M34">
            <v>0.16</v>
          </cell>
          <cell r="N34">
            <v>0.8</v>
          </cell>
          <cell r="O34">
            <v>1</v>
          </cell>
          <cell r="P34">
            <v>1</v>
          </cell>
          <cell r="Q34">
            <v>0.8</v>
          </cell>
          <cell r="R34">
            <v>0.8</v>
          </cell>
          <cell r="S34">
            <v>1</v>
          </cell>
          <cell r="T34">
            <v>1</v>
          </cell>
          <cell r="U34">
            <v>1</v>
          </cell>
          <cell r="V34">
            <v>1</v>
          </cell>
          <cell r="W34">
            <v>1</v>
          </cell>
          <cell r="X34">
            <v>1</v>
          </cell>
          <cell r="Y34">
            <v>1</v>
          </cell>
          <cell r="Z34">
            <v>0.1</v>
          </cell>
          <cell r="AA34">
            <v>0.1</v>
          </cell>
          <cell r="AB34">
            <v>0.14000000000000001</v>
          </cell>
          <cell r="AC34">
            <v>0.11</v>
          </cell>
          <cell r="AD34">
            <v>0.11</v>
          </cell>
          <cell r="AE34">
            <v>0.19</v>
          </cell>
          <cell r="AF34">
            <v>0.09</v>
          </cell>
          <cell r="AG34">
            <v>0.11</v>
          </cell>
          <cell r="AH34">
            <v>0.15</v>
          </cell>
          <cell r="AI34">
            <v>0.2</v>
          </cell>
          <cell r="AJ34">
            <v>0.2</v>
          </cell>
          <cell r="AK34">
            <v>0.2</v>
          </cell>
          <cell r="AL34">
            <v>0</v>
          </cell>
          <cell r="AM34">
            <v>0</v>
          </cell>
          <cell r="AN34">
            <v>0</v>
          </cell>
          <cell r="AO34">
            <v>0</v>
          </cell>
          <cell r="AP34">
            <v>0</v>
          </cell>
          <cell r="AQ34">
            <v>0</v>
          </cell>
          <cell r="AR34">
            <v>0</v>
          </cell>
          <cell r="AS34">
            <v>0</v>
          </cell>
          <cell r="AT34">
            <v>0</v>
          </cell>
          <cell r="AU34">
            <v>0</v>
          </cell>
          <cell r="AV34">
            <v>0</v>
          </cell>
          <cell r="AW34">
            <v>0</v>
          </cell>
          <cell r="AX34">
            <v>0</v>
          </cell>
          <cell r="AY34">
            <v>0</v>
          </cell>
          <cell r="AZ34">
            <v>0</v>
          </cell>
          <cell r="BA34">
            <v>0</v>
          </cell>
          <cell r="BB34">
            <v>0</v>
          </cell>
          <cell r="BC34">
            <v>0</v>
          </cell>
          <cell r="BD34">
            <v>0</v>
          </cell>
          <cell r="BE34">
            <v>0</v>
          </cell>
          <cell r="BF34">
            <v>0</v>
          </cell>
          <cell r="BG34">
            <v>0</v>
          </cell>
          <cell r="BH34">
            <v>0</v>
          </cell>
          <cell r="BI34">
            <v>0</v>
          </cell>
          <cell r="BJ34">
            <v>0</v>
          </cell>
          <cell r="BK34">
            <v>0</v>
          </cell>
          <cell r="BL34">
            <v>0</v>
          </cell>
          <cell r="BM34">
            <v>0</v>
          </cell>
          <cell r="BN34">
            <v>0</v>
          </cell>
          <cell r="BO34">
            <v>0</v>
          </cell>
          <cell r="BP34">
            <v>0</v>
          </cell>
          <cell r="BQ34">
            <v>0</v>
          </cell>
          <cell r="BR34">
            <v>0</v>
          </cell>
          <cell r="BS34">
            <v>0</v>
          </cell>
          <cell r="BT34">
            <v>0</v>
          </cell>
          <cell r="BU34">
            <v>0</v>
          </cell>
          <cell r="BV34">
            <v>0</v>
          </cell>
          <cell r="BW34">
            <v>0</v>
          </cell>
          <cell r="BX34">
            <v>0</v>
          </cell>
          <cell r="BY34">
            <v>0</v>
          </cell>
          <cell r="BZ34">
            <v>0</v>
          </cell>
          <cell r="CA34">
            <v>0</v>
          </cell>
          <cell r="CB34">
            <v>0</v>
          </cell>
          <cell r="CC34">
            <v>0</v>
          </cell>
          <cell r="CD34">
            <v>0</v>
          </cell>
          <cell r="CE34">
            <v>0</v>
          </cell>
          <cell r="CF34">
            <v>0</v>
          </cell>
          <cell r="CG34">
            <v>0</v>
          </cell>
          <cell r="CH34">
            <v>0</v>
          </cell>
          <cell r="CI34">
            <v>0</v>
          </cell>
          <cell r="CJ34">
            <v>0</v>
          </cell>
          <cell r="CK34">
            <v>0</v>
          </cell>
          <cell r="CL34">
            <v>0</v>
          </cell>
          <cell r="CM34">
            <v>0</v>
          </cell>
          <cell r="CN34">
            <v>0</v>
          </cell>
          <cell r="CO34">
            <v>0</v>
          </cell>
          <cell r="CP34">
            <v>0</v>
          </cell>
          <cell r="CQ34">
            <v>0</v>
          </cell>
          <cell r="CR34">
            <v>0</v>
          </cell>
          <cell r="CS34">
            <v>0</v>
          </cell>
          <cell r="CT34">
            <v>0</v>
          </cell>
          <cell r="CU34">
            <v>0</v>
          </cell>
          <cell r="CV34">
            <v>0</v>
          </cell>
          <cell r="CW34">
            <v>0</v>
          </cell>
          <cell r="CX34">
            <v>0</v>
          </cell>
          <cell r="CY34">
            <v>0</v>
          </cell>
          <cell r="CZ34">
            <v>0</v>
          </cell>
          <cell r="DA34">
            <v>0</v>
          </cell>
          <cell r="DB34">
            <v>0</v>
          </cell>
          <cell r="DC34">
            <v>0</v>
          </cell>
          <cell r="DD34">
            <v>0</v>
          </cell>
          <cell r="DE34">
            <v>0</v>
          </cell>
          <cell r="DF34">
            <v>0</v>
          </cell>
          <cell r="DG34">
            <v>0</v>
          </cell>
          <cell r="DH34">
            <v>0</v>
          </cell>
          <cell r="DI34">
            <v>0</v>
          </cell>
          <cell r="DJ34">
            <v>0</v>
          </cell>
          <cell r="DK34">
            <v>0</v>
          </cell>
          <cell r="DL34">
            <v>0</v>
          </cell>
          <cell r="DM34">
            <v>0</v>
          </cell>
          <cell r="DN34">
            <v>0</v>
          </cell>
          <cell r="DO34">
            <v>0</v>
          </cell>
          <cell r="DP34">
            <v>0</v>
          </cell>
          <cell r="DQ34">
            <v>0</v>
          </cell>
          <cell r="DR34">
            <v>0</v>
          </cell>
          <cell r="DS34">
            <v>0</v>
          </cell>
          <cell r="DT34">
            <v>0</v>
          </cell>
          <cell r="DU34">
            <v>0</v>
          </cell>
          <cell r="DV34">
            <v>0</v>
          </cell>
          <cell r="DW34">
            <v>0</v>
          </cell>
          <cell r="DX34">
            <v>0</v>
          </cell>
          <cell r="DY34">
            <v>0</v>
          </cell>
          <cell r="DZ34">
            <v>0</v>
          </cell>
          <cell r="EA34">
            <v>0</v>
          </cell>
          <cell r="EB34">
            <v>0</v>
          </cell>
          <cell r="EC34">
            <v>0</v>
          </cell>
          <cell r="ED34">
            <v>0.05</v>
          </cell>
          <cell r="EE34">
            <v>0.09</v>
          </cell>
          <cell r="EF34">
            <v>0.08</v>
          </cell>
          <cell r="EG34">
            <v>0.17</v>
          </cell>
          <cell r="EH34">
            <v>1</v>
          </cell>
          <cell r="EI34">
            <v>1</v>
          </cell>
          <cell r="EJ34">
            <v>1</v>
          </cell>
          <cell r="EK34">
            <v>1</v>
          </cell>
          <cell r="EL34">
            <v>0.05</v>
          </cell>
          <cell r="EM34">
            <v>0.14000000000000001</v>
          </cell>
          <cell r="EN34">
            <v>0.11</v>
          </cell>
          <cell r="EO34">
            <v>0.2</v>
          </cell>
          <cell r="EP34">
            <v>0</v>
          </cell>
          <cell r="EQ34">
            <v>0</v>
          </cell>
          <cell r="ER34">
            <v>0</v>
          </cell>
          <cell r="ES34">
            <v>0</v>
          </cell>
          <cell r="ET34">
            <v>0</v>
          </cell>
          <cell r="EU34">
            <v>0</v>
          </cell>
          <cell r="EV34">
            <v>0</v>
          </cell>
          <cell r="EW34">
            <v>0</v>
          </cell>
          <cell r="EX34">
            <v>1</v>
          </cell>
          <cell r="EY34">
            <v>1</v>
          </cell>
          <cell r="EZ34">
            <v>1</v>
          </cell>
          <cell r="FA34">
            <v>0</v>
          </cell>
          <cell r="FB34">
            <v>0</v>
          </cell>
          <cell r="FC34">
            <v>0</v>
          </cell>
          <cell r="FD34">
            <v>0</v>
          </cell>
          <cell r="FE34">
            <v>0</v>
          </cell>
          <cell r="FF34">
            <v>0</v>
          </cell>
          <cell r="FG34">
            <v>0</v>
          </cell>
          <cell r="FH34">
            <v>0</v>
          </cell>
          <cell r="FI34">
            <v>0</v>
          </cell>
          <cell r="FJ34">
            <v>0</v>
          </cell>
          <cell r="FK34">
            <v>0</v>
          </cell>
          <cell r="FL34">
            <v>0</v>
          </cell>
          <cell r="FM34">
            <v>0</v>
          </cell>
          <cell r="FN34">
            <v>0</v>
          </cell>
          <cell r="FO34">
            <v>0</v>
          </cell>
          <cell r="FP34">
            <v>0</v>
          </cell>
          <cell r="FQ34">
            <v>0</v>
          </cell>
          <cell r="FR34">
            <v>0</v>
          </cell>
          <cell r="FS34">
            <v>0</v>
          </cell>
          <cell r="FT34">
            <v>0</v>
          </cell>
          <cell r="FU34">
            <v>0</v>
          </cell>
          <cell r="FV34">
            <v>0</v>
          </cell>
          <cell r="FW34">
            <v>0</v>
          </cell>
          <cell r="FX34">
            <v>0</v>
          </cell>
          <cell r="FY34">
            <v>0</v>
          </cell>
          <cell r="FZ34">
            <v>0</v>
          </cell>
        </row>
        <row r="35">
          <cell r="B35">
            <v>0.1</v>
          </cell>
          <cell r="C35">
            <v>0.08</v>
          </cell>
          <cell r="D35">
            <v>0.15</v>
          </cell>
          <cell r="E35">
            <v>0.08</v>
          </cell>
          <cell r="F35">
            <v>0.15</v>
          </cell>
          <cell r="G35">
            <v>0.22</v>
          </cell>
          <cell r="H35">
            <v>7.0000000000000007E-2</v>
          </cell>
          <cell r="I35">
            <v>0.05</v>
          </cell>
          <cell r="J35">
            <v>0.13</v>
          </cell>
          <cell r="K35">
            <v>0.18</v>
          </cell>
          <cell r="L35">
            <v>0.17</v>
          </cell>
          <cell r="M35">
            <v>0.16</v>
          </cell>
          <cell r="N35">
            <v>0.8</v>
          </cell>
          <cell r="O35">
            <v>1</v>
          </cell>
          <cell r="P35">
            <v>1</v>
          </cell>
          <cell r="Q35">
            <v>0.8</v>
          </cell>
          <cell r="R35">
            <v>0.8</v>
          </cell>
          <cell r="S35">
            <v>1</v>
          </cell>
          <cell r="T35">
            <v>1</v>
          </cell>
          <cell r="U35">
            <v>1</v>
          </cell>
          <cell r="V35">
            <v>1</v>
          </cell>
          <cell r="W35">
            <v>1</v>
          </cell>
          <cell r="X35">
            <v>1</v>
          </cell>
          <cell r="Y35">
            <v>1</v>
          </cell>
          <cell r="Z35">
            <v>0.1</v>
          </cell>
          <cell r="AA35">
            <v>0.1</v>
          </cell>
          <cell r="AB35">
            <v>0.14000000000000001</v>
          </cell>
          <cell r="AC35">
            <v>0.11</v>
          </cell>
          <cell r="AD35">
            <v>0.11</v>
          </cell>
          <cell r="AE35">
            <v>0.19</v>
          </cell>
          <cell r="AF35">
            <v>0.09</v>
          </cell>
          <cell r="AG35">
            <v>0.11</v>
          </cell>
          <cell r="AH35">
            <v>0.15</v>
          </cell>
          <cell r="AI35">
            <v>0.2</v>
          </cell>
          <cell r="AJ35">
            <v>0.2</v>
          </cell>
          <cell r="AK35">
            <v>0.2</v>
          </cell>
          <cell r="AL35">
            <v>0</v>
          </cell>
          <cell r="AM35">
            <v>0</v>
          </cell>
          <cell r="AN35">
            <v>0</v>
          </cell>
          <cell r="AO35">
            <v>0</v>
          </cell>
          <cell r="AP35">
            <v>0</v>
          </cell>
          <cell r="AQ35">
            <v>0</v>
          </cell>
          <cell r="AR35">
            <v>0</v>
          </cell>
          <cell r="AS35">
            <v>0</v>
          </cell>
          <cell r="AT35">
            <v>0</v>
          </cell>
          <cell r="AU35">
            <v>0</v>
          </cell>
          <cell r="AV35">
            <v>0</v>
          </cell>
          <cell r="AW35">
            <v>0</v>
          </cell>
          <cell r="AX35">
            <v>0</v>
          </cell>
          <cell r="AY35">
            <v>0</v>
          </cell>
          <cell r="AZ35">
            <v>0</v>
          </cell>
          <cell r="BA35">
            <v>0</v>
          </cell>
          <cell r="BB35">
            <v>0</v>
          </cell>
          <cell r="BC35">
            <v>0</v>
          </cell>
          <cell r="BD35">
            <v>0</v>
          </cell>
          <cell r="BE35">
            <v>0</v>
          </cell>
          <cell r="BF35">
            <v>0</v>
          </cell>
          <cell r="BG35">
            <v>0</v>
          </cell>
          <cell r="BH35">
            <v>0</v>
          </cell>
          <cell r="BI35">
            <v>0</v>
          </cell>
          <cell r="BJ35">
            <v>0</v>
          </cell>
          <cell r="BK35">
            <v>0</v>
          </cell>
          <cell r="BL35">
            <v>0</v>
          </cell>
          <cell r="BM35">
            <v>0</v>
          </cell>
          <cell r="BN35">
            <v>0</v>
          </cell>
          <cell r="BO35">
            <v>0</v>
          </cell>
          <cell r="BP35">
            <v>0</v>
          </cell>
          <cell r="BQ35">
            <v>0</v>
          </cell>
          <cell r="BR35">
            <v>0</v>
          </cell>
          <cell r="BS35">
            <v>0</v>
          </cell>
          <cell r="BT35">
            <v>0</v>
          </cell>
          <cell r="BU35">
            <v>0</v>
          </cell>
          <cell r="BV35">
            <v>0</v>
          </cell>
          <cell r="BW35">
            <v>0</v>
          </cell>
          <cell r="BX35">
            <v>0</v>
          </cell>
          <cell r="BY35">
            <v>0</v>
          </cell>
          <cell r="BZ35">
            <v>0</v>
          </cell>
          <cell r="CA35">
            <v>0</v>
          </cell>
          <cell r="CB35">
            <v>0</v>
          </cell>
          <cell r="CC35">
            <v>0</v>
          </cell>
          <cell r="CD35">
            <v>0</v>
          </cell>
          <cell r="CE35">
            <v>0</v>
          </cell>
          <cell r="CF35">
            <v>0</v>
          </cell>
          <cell r="CG35">
            <v>0</v>
          </cell>
          <cell r="CH35">
            <v>0</v>
          </cell>
          <cell r="CI35">
            <v>0</v>
          </cell>
          <cell r="CJ35">
            <v>0</v>
          </cell>
          <cell r="CK35">
            <v>0</v>
          </cell>
          <cell r="CL35">
            <v>0</v>
          </cell>
          <cell r="CM35">
            <v>0</v>
          </cell>
          <cell r="CN35">
            <v>0</v>
          </cell>
          <cell r="CO35">
            <v>0</v>
          </cell>
          <cell r="CP35">
            <v>0</v>
          </cell>
          <cell r="CQ35">
            <v>0</v>
          </cell>
          <cell r="CR35">
            <v>0</v>
          </cell>
          <cell r="CS35">
            <v>0</v>
          </cell>
          <cell r="CT35">
            <v>0</v>
          </cell>
          <cell r="CU35">
            <v>0</v>
          </cell>
          <cell r="CV35">
            <v>0</v>
          </cell>
          <cell r="CW35">
            <v>0</v>
          </cell>
          <cell r="CX35">
            <v>0</v>
          </cell>
          <cell r="CY35">
            <v>0</v>
          </cell>
          <cell r="CZ35">
            <v>0</v>
          </cell>
          <cell r="DA35">
            <v>0</v>
          </cell>
          <cell r="DB35">
            <v>0</v>
          </cell>
          <cell r="DC35">
            <v>0</v>
          </cell>
          <cell r="DD35">
            <v>0</v>
          </cell>
          <cell r="DE35">
            <v>0</v>
          </cell>
          <cell r="DF35">
            <v>0</v>
          </cell>
          <cell r="DG35">
            <v>0</v>
          </cell>
          <cell r="DH35">
            <v>0</v>
          </cell>
          <cell r="DI35">
            <v>0</v>
          </cell>
          <cell r="DJ35">
            <v>0</v>
          </cell>
          <cell r="DK35">
            <v>0</v>
          </cell>
          <cell r="DL35">
            <v>0</v>
          </cell>
          <cell r="DM35">
            <v>0</v>
          </cell>
          <cell r="DN35">
            <v>0</v>
          </cell>
          <cell r="DO35">
            <v>0</v>
          </cell>
          <cell r="DP35">
            <v>0</v>
          </cell>
          <cell r="DQ35">
            <v>0</v>
          </cell>
          <cell r="DR35">
            <v>0</v>
          </cell>
          <cell r="DS35">
            <v>0</v>
          </cell>
          <cell r="DT35">
            <v>0</v>
          </cell>
          <cell r="DU35">
            <v>0</v>
          </cell>
          <cell r="DV35">
            <v>0</v>
          </cell>
          <cell r="DW35">
            <v>0</v>
          </cell>
          <cell r="DX35">
            <v>0</v>
          </cell>
          <cell r="DY35">
            <v>0</v>
          </cell>
          <cell r="DZ35">
            <v>0</v>
          </cell>
          <cell r="EA35">
            <v>0</v>
          </cell>
          <cell r="EB35">
            <v>0</v>
          </cell>
          <cell r="EC35">
            <v>0</v>
          </cell>
          <cell r="ED35">
            <v>0.05</v>
          </cell>
          <cell r="EE35">
            <v>0.09</v>
          </cell>
          <cell r="EF35">
            <v>0.08</v>
          </cell>
          <cell r="EG35">
            <v>0.17</v>
          </cell>
          <cell r="EH35">
            <v>1</v>
          </cell>
          <cell r="EI35">
            <v>1</v>
          </cell>
          <cell r="EJ35">
            <v>1</v>
          </cell>
          <cell r="EK35">
            <v>1</v>
          </cell>
          <cell r="EL35">
            <v>0.05</v>
          </cell>
          <cell r="EM35">
            <v>0.14000000000000001</v>
          </cell>
          <cell r="EN35">
            <v>0.11</v>
          </cell>
          <cell r="EO35">
            <v>0.2</v>
          </cell>
          <cell r="EP35">
            <v>0</v>
          </cell>
          <cell r="EQ35">
            <v>0</v>
          </cell>
          <cell r="ER35">
            <v>0</v>
          </cell>
          <cell r="ES35">
            <v>0</v>
          </cell>
          <cell r="ET35">
            <v>0</v>
          </cell>
          <cell r="EU35">
            <v>0</v>
          </cell>
          <cell r="EV35">
            <v>0</v>
          </cell>
          <cell r="EW35">
            <v>0</v>
          </cell>
          <cell r="EX35">
            <v>1</v>
          </cell>
          <cell r="EY35">
            <v>1</v>
          </cell>
          <cell r="EZ35">
            <v>1</v>
          </cell>
          <cell r="FA35">
            <v>0</v>
          </cell>
          <cell r="FB35">
            <v>0</v>
          </cell>
          <cell r="FC35">
            <v>0</v>
          </cell>
          <cell r="FD35">
            <v>0</v>
          </cell>
          <cell r="FE35">
            <v>0</v>
          </cell>
          <cell r="FF35">
            <v>0</v>
          </cell>
          <cell r="FG35">
            <v>0</v>
          </cell>
          <cell r="FH35">
            <v>0</v>
          </cell>
          <cell r="FI35">
            <v>0</v>
          </cell>
          <cell r="FJ35">
            <v>0</v>
          </cell>
          <cell r="FK35">
            <v>0</v>
          </cell>
          <cell r="FL35">
            <v>0</v>
          </cell>
          <cell r="FM35">
            <v>0</v>
          </cell>
          <cell r="FN35">
            <v>0</v>
          </cell>
          <cell r="FO35">
            <v>0</v>
          </cell>
          <cell r="FP35">
            <v>0</v>
          </cell>
          <cell r="FQ35">
            <v>0</v>
          </cell>
          <cell r="FR35">
            <v>0</v>
          </cell>
          <cell r="FS35">
            <v>0</v>
          </cell>
          <cell r="FT35">
            <v>0</v>
          </cell>
          <cell r="FU35">
            <v>0</v>
          </cell>
          <cell r="FV35">
            <v>0</v>
          </cell>
          <cell r="FW35">
            <v>0</v>
          </cell>
          <cell r="FX35">
            <v>0</v>
          </cell>
          <cell r="FY35">
            <v>0</v>
          </cell>
          <cell r="FZ35">
            <v>0</v>
          </cell>
        </row>
        <row r="36">
          <cell r="B36">
            <v>0.1</v>
          </cell>
          <cell r="C36">
            <v>0.08</v>
          </cell>
          <cell r="D36">
            <v>0.15</v>
          </cell>
          <cell r="E36">
            <v>0.08</v>
          </cell>
          <cell r="F36">
            <v>0.15</v>
          </cell>
          <cell r="G36">
            <v>0.22</v>
          </cell>
          <cell r="H36">
            <v>7.0000000000000007E-2</v>
          </cell>
          <cell r="I36">
            <v>0.05</v>
          </cell>
          <cell r="J36">
            <v>0.13</v>
          </cell>
          <cell r="K36">
            <v>0.18</v>
          </cell>
          <cell r="L36">
            <v>0.17</v>
          </cell>
          <cell r="M36">
            <v>0.16</v>
          </cell>
          <cell r="N36">
            <v>0.8</v>
          </cell>
          <cell r="O36">
            <v>1</v>
          </cell>
          <cell r="P36">
            <v>1</v>
          </cell>
          <cell r="Q36">
            <v>0.8</v>
          </cell>
          <cell r="R36">
            <v>0.8</v>
          </cell>
          <cell r="S36">
            <v>1</v>
          </cell>
          <cell r="T36">
            <v>1</v>
          </cell>
          <cell r="U36">
            <v>1</v>
          </cell>
          <cell r="V36">
            <v>1</v>
          </cell>
          <cell r="W36">
            <v>1</v>
          </cell>
          <cell r="X36">
            <v>1</v>
          </cell>
          <cell r="Y36">
            <v>1</v>
          </cell>
          <cell r="Z36">
            <v>0.1</v>
          </cell>
          <cell r="AA36">
            <v>0.1</v>
          </cell>
          <cell r="AB36">
            <v>0.14000000000000001</v>
          </cell>
          <cell r="AC36">
            <v>0.11</v>
          </cell>
          <cell r="AD36">
            <v>0.11</v>
          </cell>
          <cell r="AE36">
            <v>0.19</v>
          </cell>
          <cell r="AF36">
            <v>0.09</v>
          </cell>
          <cell r="AG36">
            <v>0.11</v>
          </cell>
          <cell r="AH36">
            <v>0.15</v>
          </cell>
          <cell r="AI36">
            <v>0.2</v>
          </cell>
          <cell r="AJ36">
            <v>0.2</v>
          </cell>
          <cell r="AK36">
            <v>0.2</v>
          </cell>
          <cell r="AL36">
            <v>0</v>
          </cell>
          <cell r="AM36">
            <v>0</v>
          </cell>
          <cell r="AN36">
            <v>0</v>
          </cell>
          <cell r="AO36">
            <v>0</v>
          </cell>
          <cell r="AP36">
            <v>0</v>
          </cell>
          <cell r="AQ36">
            <v>0</v>
          </cell>
          <cell r="AR36">
            <v>0</v>
          </cell>
          <cell r="AS36">
            <v>0</v>
          </cell>
          <cell r="AT36">
            <v>0</v>
          </cell>
          <cell r="AU36">
            <v>0</v>
          </cell>
          <cell r="AV36">
            <v>0</v>
          </cell>
          <cell r="AW36">
            <v>0</v>
          </cell>
          <cell r="AX36">
            <v>0</v>
          </cell>
          <cell r="AY36">
            <v>0</v>
          </cell>
          <cell r="AZ36">
            <v>0</v>
          </cell>
          <cell r="BA36">
            <v>0</v>
          </cell>
          <cell r="BB36">
            <v>0</v>
          </cell>
          <cell r="BC36">
            <v>0</v>
          </cell>
          <cell r="BD36">
            <v>0</v>
          </cell>
          <cell r="BE36">
            <v>0</v>
          </cell>
          <cell r="BF36">
            <v>0</v>
          </cell>
          <cell r="BG36">
            <v>0</v>
          </cell>
          <cell r="BH36">
            <v>0</v>
          </cell>
          <cell r="BI36">
            <v>0</v>
          </cell>
          <cell r="BJ36">
            <v>0</v>
          </cell>
          <cell r="BK36">
            <v>0</v>
          </cell>
          <cell r="BL36">
            <v>0</v>
          </cell>
          <cell r="BM36">
            <v>0</v>
          </cell>
          <cell r="BN36">
            <v>0</v>
          </cell>
          <cell r="BO36">
            <v>0</v>
          </cell>
          <cell r="BP36">
            <v>0</v>
          </cell>
          <cell r="BQ36">
            <v>0</v>
          </cell>
          <cell r="BR36">
            <v>0</v>
          </cell>
          <cell r="BS36">
            <v>0</v>
          </cell>
          <cell r="BT36">
            <v>0</v>
          </cell>
          <cell r="BU36">
            <v>0</v>
          </cell>
          <cell r="BV36">
            <v>0</v>
          </cell>
          <cell r="BW36">
            <v>0</v>
          </cell>
          <cell r="BX36">
            <v>0</v>
          </cell>
          <cell r="BY36">
            <v>0</v>
          </cell>
          <cell r="BZ36">
            <v>0</v>
          </cell>
          <cell r="CA36">
            <v>0</v>
          </cell>
          <cell r="CB36">
            <v>0</v>
          </cell>
          <cell r="CC36">
            <v>0</v>
          </cell>
          <cell r="CD36">
            <v>0</v>
          </cell>
          <cell r="CE36">
            <v>0</v>
          </cell>
          <cell r="CF36">
            <v>0</v>
          </cell>
          <cell r="CG36">
            <v>0</v>
          </cell>
          <cell r="CH36">
            <v>0</v>
          </cell>
          <cell r="CI36">
            <v>0</v>
          </cell>
          <cell r="CJ36">
            <v>0</v>
          </cell>
          <cell r="CK36">
            <v>0</v>
          </cell>
          <cell r="CL36">
            <v>0</v>
          </cell>
          <cell r="CM36">
            <v>0</v>
          </cell>
          <cell r="CN36">
            <v>0</v>
          </cell>
          <cell r="CO36">
            <v>0</v>
          </cell>
          <cell r="CP36">
            <v>0</v>
          </cell>
          <cell r="CQ36">
            <v>0</v>
          </cell>
          <cell r="CR36">
            <v>0</v>
          </cell>
          <cell r="CS36">
            <v>0</v>
          </cell>
          <cell r="CT36">
            <v>0</v>
          </cell>
          <cell r="CU36">
            <v>0</v>
          </cell>
          <cell r="CV36">
            <v>0</v>
          </cell>
          <cell r="CW36">
            <v>0</v>
          </cell>
          <cell r="CX36">
            <v>0</v>
          </cell>
          <cell r="CY36">
            <v>0</v>
          </cell>
          <cell r="CZ36">
            <v>0</v>
          </cell>
          <cell r="DA36">
            <v>0</v>
          </cell>
          <cell r="DB36">
            <v>0</v>
          </cell>
          <cell r="DC36">
            <v>0</v>
          </cell>
          <cell r="DD36">
            <v>0</v>
          </cell>
          <cell r="DE36">
            <v>0</v>
          </cell>
          <cell r="DF36">
            <v>0</v>
          </cell>
          <cell r="DG36">
            <v>0</v>
          </cell>
          <cell r="DH36">
            <v>0</v>
          </cell>
          <cell r="DI36">
            <v>0</v>
          </cell>
          <cell r="DJ36">
            <v>0</v>
          </cell>
          <cell r="DK36">
            <v>0</v>
          </cell>
          <cell r="DL36">
            <v>0</v>
          </cell>
          <cell r="DM36">
            <v>0</v>
          </cell>
          <cell r="DN36">
            <v>0</v>
          </cell>
          <cell r="DO36">
            <v>0</v>
          </cell>
          <cell r="DP36">
            <v>0</v>
          </cell>
          <cell r="DQ36">
            <v>0</v>
          </cell>
          <cell r="DR36">
            <v>0</v>
          </cell>
          <cell r="DS36">
            <v>0</v>
          </cell>
          <cell r="DT36">
            <v>0</v>
          </cell>
          <cell r="DU36">
            <v>0</v>
          </cell>
          <cell r="DV36">
            <v>0</v>
          </cell>
          <cell r="DW36">
            <v>0</v>
          </cell>
          <cell r="DX36">
            <v>0</v>
          </cell>
          <cell r="DY36">
            <v>0</v>
          </cell>
          <cell r="DZ36">
            <v>0</v>
          </cell>
          <cell r="EA36">
            <v>0</v>
          </cell>
          <cell r="EB36">
            <v>0</v>
          </cell>
          <cell r="EC36">
            <v>0</v>
          </cell>
          <cell r="ED36">
            <v>0.05</v>
          </cell>
          <cell r="EE36">
            <v>0.09</v>
          </cell>
          <cell r="EF36">
            <v>0.08</v>
          </cell>
          <cell r="EG36">
            <v>0.17</v>
          </cell>
          <cell r="EH36">
            <v>1</v>
          </cell>
          <cell r="EI36">
            <v>1</v>
          </cell>
          <cell r="EJ36">
            <v>1</v>
          </cell>
          <cell r="EK36">
            <v>1</v>
          </cell>
          <cell r="EL36">
            <v>0.05</v>
          </cell>
          <cell r="EM36">
            <v>0.14000000000000001</v>
          </cell>
          <cell r="EN36">
            <v>0.11</v>
          </cell>
          <cell r="EO36">
            <v>0.2</v>
          </cell>
          <cell r="EP36">
            <v>0</v>
          </cell>
          <cell r="EQ36">
            <v>0</v>
          </cell>
          <cell r="ER36">
            <v>0</v>
          </cell>
          <cell r="ES36">
            <v>0</v>
          </cell>
          <cell r="ET36">
            <v>0</v>
          </cell>
          <cell r="EU36">
            <v>0</v>
          </cell>
          <cell r="EV36">
            <v>0</v>
          </cell>
          <cell r="EW36">
            <v>0</v>
          </cell>
          <cell r="EX36">
            <v>1</v>
          </cell>
          <cell r="EY36">
            <v>1</v>
          </cell>
          <cell r="EZ36">
            <v>1</v>
          </cell>
          <cell r="FA36">
            <v>0</v>
          </cell>
          <cell r="FB36">
            <v>0</v>
          </cell>
          <cell r="FC36">
            <v>0</v>
          </cell>
          <cell r="FD36">
            <v>0</v>
          </cell>
          <cell r="FE36">
            <v>0</v>
          </cell>
          <cell r="FF36">
            <v>0</v>
          </cell>
          <cell r="FG36">
            <v>0</v>
          </cell>
          <cell r="FH36">
            <v>0</v>
          </cell>
          <cell r="FI36">
            <v>0</v>
          </cell>
          <cell r="FJ36">
            <v>0</v>
          </cell>
          <cell r="FK36">
            <v>0</v>
          </cell>
          <cell r="FL36">
            <v>0</v>
          </cell>
          <cell r="FM36">
            <v>0</v>
          </cell>
          <cell r="FN36">
            <v>0</v>
          </cell>
          <cell r="FO36">
            <v>0</v>
          </cell>
          <cell r="FP36">
            <v>0</v>
          </cell>
          <cell r="FQ36">
            <v>0</v>
          </cell>
          <cell r="FR36">
            <v>0</v>
          </cell>
          <cell r="FS36">
            <v>0</v>
          </cell>
          <cell r="FT36">
            <v>0</v>
          </cell>
          <cell r="FU36">
            <v>0</v>
          </cell>
          <cell r="FV36">
            <v>0</v>
          </cell>
          <cell r="FW36">
            <v>0</v>
          </cell>
          <cell r="FX36">
            <v>0</v>
          </cell>
          <cell r="FY36">
            <v>0</v>
          </cell>
          <cell r="FZ36">
            <v>0</v>
          </cell>
        </row>
        <row r="37">
          <cell r="B37">
            <v>0.1</v>
          </cell>
          <cell r="C37">
            <v>0.08</v>
          </cell>
          <cell r="D37">
            <v>0.15</v>
          </cell>
          <cell r="E37">
            <v>0.08</v>
          </cell>
          <cell r="F37">
            <v>0.15</v>
          </cell>
          <cell r="G37">
            <v>0.22</v>
          </cell>
          <cell r="H37">
            <v>7.0000000000000007E-2</v>
          </cell>
          <cell r="I37">
            <v>0.05</v>
          </cell>
          <cell r="J37">
            <v>0.13</v>
          </cell>
          <cell r="K37">
            <v>0.18</v>
          </cell>
          <cell r="L37">
            <v>0.17</v>
          </cell>
          <cell r="M37">
            <v>0.16</v>
          </cell>
          <cell r="N37">
            <v>0.8</v>
          </cell>
          <cell r="O37">
            <v>1</v>
          </cell>
          <cell r="P37">
            <v>1</v>
          </cell>
          <cell r="Q37">
            <v>0.8</v>
          </cell>
          <cell r="R37">
            <v>0.8</v>
          </cell>
          <cell r="S37">
            <v>1</v>
          </cell>
          <cell r="T37">
            <v>1</v>
          </cell>
          <cell r="U37">
            <v>1</v>
          </cell>
          <cell r="V37">
            <v>1</v>
          </cell>
          <cell r="W37">
            <v>1</v>
          </cell>
          <cell r="X37">
            <v>1</v>
          </cell>
          <cell r="Y37">
            <v>1</v>
          </cell>
          <cell r="Z37">
            <v>0.1</v>
          </cell>
          <cell r="AA37">
            <v>0.1</v>
          </cell>
          <cell r="AB37">
            <v>0.14000000000000001</v>
          </cell>
          <cell r="AC37">
            <v>0.11</v>
          </cell>
          <cell r="AD37">
            <v>0.11</v>
          </cell>
          <cell r="AE37">
            <v>0.19</v>
          </cell>
          <cell r="AF37">
            <v>0.09</v>
          </cell>
          <cell r="AG37">
            <v>0.11</v>
          </cell>
          <cell r="AH37">
            <v>0.15</v>
          </cell>
          <cell r="AI37">
            <v>0.2</v>
          </cell>
          <cell r="AJ37">
            <v>0.2</v>
          </cell>
          <cell r="AK37">
            <v>0.2</v>
          </cell>
          <cell r="AL37">
            <v>0</v>
          </cell>
          <cell r="AM37">
            <v>0</v>
          </cell>
          <cell r="AN37">
            <v>0</v>
          </cell>
          <cell r="AO37">
            <v>0</v>
          </cell>
          <cell r="AP37">
            <v>0</v>
          </cell>
          <cell r="AQ37">
            <v>0</v>
          </cell>
          <cell r="AR37">
            <v>0</v>
          </cell>
          <cell r="AS37">
            <v>0</v>
          </cell>
          <cell r="AT37">
            <v>0</v>
          </cell>
          <cell r="AU37">
            <v>0</v>
          </cell>
          <cell r="AV37">
            <v>0</v>
          </cell>
          <cell r="AW37">
            <v>0</v>
          </cell>
          <cell r="AX37">
            <v>0</v>
          </cell>
          <cell r="AY37">
            <v>0</v>
          </cell>
          <cell r="AZ37">
            <v>0</v>
          </cell>
          <cell r="BA37">
            <v>0</v>
          </cell>
          <cell r="BB37">
            <v>0</v>
          </cell>
          <cell r="BC37">
            <v>0</v>
          </cell>
          <cell r="BD37">
            <v>0</v>
          </cell>
          <cell r="BE37">
            <v>0</v>
          </cell>
          <cell r="BF37">
            <v>0</v>
          </cell>
          <cell r="BG37">
            <v>0</v>
          </cell>
          <cell r="BH37">
            <v>0</v>
          </cell>
          <cell r="BI37">
            <v>0</v>
          </cell>
          <cell r="BJ37">
            <v>0</v>
          </cell>
          <cell r="BK37">
            <v>0</v>
          </cell>
          <cell r="BL37">
            <v>0</v>
          </cell>
          <cell r="BM37">
            <v>0</v>
          </cell>
          <cell r="BN37">
            <v>0</v>
          </cell>
          <cell r="BO37">
            <v>0</v>
          </cell>
          <cell r="BP37">
            <v>0</v>
          </cell>
          <cell r="BQ37">
            <v>0</v>
          </cell>
          <cell r="BR37">
            <v>0</v>
          </cell>
          <cell r="BS37">
            <v>0</v>
          </cell>
          <cell r="BT37">
            <v>0</v>
          </cell>
          <cell r="BU37">
            <v>0</v>
          </cell>
          <cell r="BV37">
            <v>0</v>
          </cell>
          <cell r="BW37">
            <v>0</v>
          </cell>
          <cell r="BX37">
            <v>0</v>
          </cell>
          <cell r="BY37">
            <v>0</v>
          </cell>
          <cell r="BZ37">
            <v>0</v>
          </cell>
          <cell r="CA37">
            <v>0</v>
          </cell>
          <cell r="CB37">
            <v>0</v>
          </cell>
          <cell r="CC37">
            <v>0</v>
          </cell>
          <cell r="CD37">
            <v>0</v>
          </cell>
          <cell r="CE37">
            <v>0</v>
          </cell>
          <cell r="CF37">
            <v>0</v>
          </cell>
          <cell r="CG37">
            <v>0</v>
          </cell>
          <cell r="CH37">
            <v>0</v>
          </cell>
          <cell r="CI37">
            <v>0</v>
          </cell>
          <cell r="CJ37">
            <v>0</v>
          </cell>
          <cell r="CK37">
            <v>0</v>
          </cell>
          <cell r="CL37">
            <v>0</v>
          </cell>
          <cell r="CM37">
            <v>0</v>
          </cell>
          <cell r="CN37">
            <v>0</v>
          </cell>
          <cell r="CO37">
            <v>0</v>
          </cell>
          <cell r="CP37">
            <v>0</v>
          </cell>
          <cell r="CQ37">
            <v>0</v>
          </cell>
          <cell r="CR37">
            <v>0</v>
          </cell>
          <cell r="CS37">
            <v>0</v>
          </cell>
          <cell r="CT37">
            <v>0</v>
          </cell>
          <cell r="CU37">
            <v>0</v>
          </cell>
          <cell r="CV37">
            <v>0</v>
          </cell>
          <cell r="CW37">
            <v>0</v>
          </cell>
          <cell r="CX37">
            <v>0</v>
          </cell>
          <cell r="CY37">
            <v>0</v>
          </cell>
          <cell r="CZ37">
            <v>0</v>
          </cell>
          <cell r="DA37">
            <v>0</v>
          </cell>
          <cell r="DB37">
            <v>0</v>
          </cell>
          <cell r="DC37">
            <v>0</v>
          </cell>
          <cell r="DD37">
            <v>0</v>
          </cell>
          <cell r="DE37">
            <v>0</v>
          </cell>
          <cell r="DF37">
            <v>0</v>
          </cell>
          <cell r="DG37">
            <v>0</v>
          </cell>
          <cell r="DH37">
            <v>0</v>
          </cell>
          <cell r="DI37">
            <v>0</v>
          </cell>
          <cell r="DJ37">
            <v>0</v>
          </cell>
          <cell r="DK37">
            <v>0</v>
          </cell>
          <cell r="DL37">
            <v>0</v>
          </cell>
          <cell r="DM37">
            <v>0</v>
          </cell>
          <cell r="DN37">
            <v>0</v>
          </cell>
          <cell r="DO37">
            <v>0</v>
          </cell>
          <cell r="DP37">
            <v>0</v>
          </cell>
          <cell r="DQ37">
            <v>0</v>
          </cell>
          <cell r="DR37">
            <v>0</v>
          </cell>
          <cell r="DS37">
            <v>0</v>
          </cell>
          <cell r="DT37">
            <v>0</v>
          </cell>
          <cell r="DU37">
            <v>0</v>
          </cell>
          <cell r="DV37">
            <v>0</v>
          </cell>
          <cell r="DW37">
            <v>0</v>
          </cell>
          <cell r="DX37">
            <v>0</v>
          </cell>
          <cell r="DY37">
            <v>0</v>
          </cell>
          <cell r="DZ37">
            <v>0</v>
          </cell>
          <cell r="EA37">
            <v>0</v>
          </cell>
          <cell r="EB37">
            <v>0</v>
          </cell>
          <cell r="EC37">
            <v>0</v>
          </cell>
          <cell r="ED37">
            <v>0.05</v>
          </cell>
          <cell r="EE37">
            <v>0.09</v>
          </cell>
          <cell r="EF37">
            <v>0.08</v>
          </cell>
          <cell r="EG37">
            <v>0.17</v>
          </cell>
          <cell r="EH37">
            <v>1</v>
          </cell>
          <cell r="EI37">
            <v>1</v>
          </cell>
          <cell r="EJ37">
            <v>1</v>
          </cell>
          <cell r="EK37">
            <v>1</v>
          </cell>
          <cell r="EL37">
            <v>0.05</v>
          </cell>
          <cell r="EM37">
            <v>0.14000000000000001</v>
          </cell>
          <cell r="EN37">
            <v>0.11</v>
          </cell>
          <cell r="EO37">
            <v>0.2</v>
          </cell>
          <cell r="EP37">
            <v>0</v>
          </cell>
          <cell r="EQ37">
            <v>0</v>
          </cell>
          <cell r="ER37">
            <v>0</v>
          </cell>
          <cell r="ES37">
            <v>0</v>
          </cell>
          <cell r="ET37">
            <v>0</v>
          </cell>
          <cell r="EU37">
            <v>0</v>
          </cell>
          <cell r="EV37">
            <v>0</v>
          </cell>
          <cell r="EW37">
            <v>0</v>
          </cell>
          <cell r="EX37">
            <v>1</v>
          </cell>
          <cell r="EY37">
            <v>1</v>
          </cell>
          <cell r="EZ37">
            <v>1</v>
          </cell>
          <cell r="FA37">
            <v>0</v>
          </cell>
          <cell r="FB37">
            <v>0</v>
          </cell>
          <cell r="FC37">
            <v>0</v>
          </cell>
          <cell r="FD37">
            <v>0</v>
          </cell>
          <cell r="FE37">
            <v>0</v>
          </cell>
          <cell r="FF37">
            <v>0</v>
          </cell>
          <cell r="FG37">
            <v>0</v>
          </cell>
          <cell r="FH37">
            <v>0</v>
          </cell>
          <cell r="FI37">
            <v>0</v>
          </cell>
          <cell r="FJ37">
            <v>0</v>
          </cell>
          <cell r="FK37">
            <v>0</v>
          </cell>
          <cell r="FL37">
            <v>0</v>
          </cell>
          <cell r="FM37">
            <v>0</v>
          </cell>
          <cell r="FN37">
            <v>0</v>
          </cell>
          <cell r="FO37">
            <v>0</v>
          </cell>
          <cell r="FP37">
            <v>0</v>
          </cell>
          <cell r="FQ37">
            <v>0</v>
          </cell>
          <cell r="FR37">
            <v>0</v>
          </cell>
          <cell r="FS37">
            <v>0</v>
          </cell>
          <cell r="FT37">
            <v>0</v>
          </cell>
          <cell r="FU37">
            <v>0</v>
          </cell>
          <cell r="FV37">
            <v>0</v>
          </cell>
          <cell r="FW37">
            <v>0</v>
          </cell>
          <cell r="FX37">
            <v>0</v>
          </cell>
          <cell r="FY37">
            <v>0</v>
          </cell>
          <cell r="FZ37">
            <v>0</v>
          </cell>
        </row>
        <row r="38">
          <cell r="B38">
            <v>0.1</v>
          </cell>
          <cell r="C38">
            <v>0.08</v>
          </cell>
          <cell r="D38">
            <v>0.15</v>
          </cell>
          <cell r="E38">
            <v>0.08</v>
          </cell>
          <cell r="F38">
            <v>0.15</v>
          </cell>
          <cell r="G38">
            <v>0.22</v>
          </cell>
          <cell r="H38">
            <v>7.0000000000000007E-2</v>
          </cell>
          <cell r="I38">
            <v>0.05</v>
          </cell>
          <cell r="J38">
            <v>0.13</v>
          </cell>
          <cell r="K38">
            <v>0.18</v>
          </cell>
          <cell r="L38">
            <v>0.17</v>
          </cell>
          <cell r="M38">
            <v>0.16</v>
          </cell>
          <cell r="N38">
            <v>0.8</v>
          </cell>
          <cell r="O38">
            <v>1</v>
          </cell>
          <cell r="P38">
            <v>1</v>
          </cell>
          <cell r="Q38">
            <v>0.8</v>
          </cell>
          <cell r="R38">
            <v>0.8</v>
          </cell>
          <cell r="S38">
            <v>1</v>
          </cell>
          <cell r="T38">
            <v>1</v>
          </cell>
          <cell r="U38">
            <v>1</v>
          </cell>
          <cell r="V38">
            <v>1</v>
          </cell>
          <cell r="W38">
            <v>1</v>
          </cell>
          <cell r="X38">
            <v>1</v>
          </cell>
          <cell r="Y38">
            <v>1</v>
          </cell>
          <cell r="Z38">
            <v>0.1</v>
          </cell>
          <cell r="AA38">
            <v>0.1</v>
          </cell>
          <cell r="AB38">
            <v>0.14000000000000001</v>
          </cell>
          <cell r="AC38">
            <v>0.11</v>
          </cell>
          <cell r="AD38">
            <v>0.11</v>
          </cell>
          <cell r="AE38">
            <v>0.19</v>
          </cell>
          <cell r="AF38">
            <v>0.09</v>
          </cell>
          <cell r="AG38">
            <v>0.11</v>
          </cell>
          <cell r="AH38">
            <v>0.15</v>
          </cell>
          <cell r="AI38">
            <v>0.2</v>
          </cell>
          <cell r="AJ38">
            <v>0.2</v>
          </cell>
          <cell r="AK38">
            <v>0.2</v>
          </cell>
          <cell r="AL38">
            <v>0</v>
          </cell>
          <cell r="AM38">
            <v>0</v>
          </cell>
          <cell r="AN38">
            <v>0</v>
          </cell>
          <cell r="AO38">
            <v>0</v>
          </cell>
          <cell r="AP38">
            <v>0</v>
          </cell>
          <cell r="AQ38">
            <v>0</v>
          </cell>
          <cell r="AR38">
            <v>0</v>
          </cell>
          <cell r="AS38">
            <v>0</v>
          </cell>
          <cell r="AT38">
            <v>0</v>
          </cell>
          <cell r="AU38">
            <v>0</v>
          </cell>
          <cell r="AV38">
            <v>0</v>
          </cell>
          <cell r="AW38">
            <v>0</v>
          </cell>
          <cell r="AX38">
            <v>0</v>
          </cell>
          <cell r="AY38">
            <v>0</v>
          </cell>
          <cell r="AZ38">
            <v>0</v>
          </cell>
          <cell r="BA38">
            <v>0</v>
          </cell>
          <cell r="BB38">
            <v>0</v>
          </cell>
          <cell r="BC38">
            <v>0</v>
          </cell>
          <cell r="BD38">
            <v>0</v>
          </cell>
          <cell r="BE38">
            <v>0</v>
          </cell>
          <cell r="BF38">
            <v>0</v>
          </cell>
          <cell r="BG38">
            <v>0</v>
          </cell>
          <cell r="BH38">
            <v>0</v>
          </cell>
          <cell r="BI38">
            <v>0</v>
          </cell>
          <cell r="BJ38">
            <v>0</v>
          </cell>
          <cell r="BK38">
            <v>0</v>
          </cell>
          <cell r="BL38">
            <v>0</v>
          </cell>
          <cell r="BM38">
            <v>0</v>
          </cell>
          <cell r="BN38">
            <v>0</v>
          </cell>
          <cell r="BO38">
            <v>0</v>
          </cell>
          <cell r="BP38">
            <v>0</v>
          </cell>
          <cell r="BQ38">
            <v>0</v>
          </cell>
          <cell r="BR38">
            <v>0</v>
          </cell>
          <cell r="BS38">
            <v>0</v>
          </cell>
          <cell r="BT38">
            <v>0</v>
          </cell>
          <cell r="BU38">
            <v>0</v>
          </cell>
          <cell r="BV38">
            <v>0</v>
          </cell>
          <cell r="BW38">
            <v>0</v>
          </cell>
          <cell r="BX38">
            <v>0</v>
          </cell>
          <cell r="BY38">
            <v>0</v>
          </cell>
          <cell r="BZ38">
            <v>0</v>
          </cell>
          <cell r="CA38">
            <v>0</v>
          </cell>
          <cell r="CB38">
            <v>0</v>
          </cell>
          <cell r="CC38">
            <v>0</v>
          </cell>
          <cell r="CD38">
            <v>0</v>
          </cell>
          <cell r="CE38">
            <v>0</v>
          </cell>
          <cell r="CF38">
            <v>0</v>
          </cell>
          <cell r="CG38">
            <v>0</v>
          </cell>
          <cell r="CH38">
            <v>0</v>
          </cell>
          <cell r="CI38">
            <v>0</v>
          </cell>
          <cell r="CJ38">
            <v>0</v>
          </cell>
          <cell r="CK38">
            <v>0</v>
          </cell>
          <cell r="CL38">
            <v>0</v>
          </cell>
          <cell r="CM38">
            <v>0</v>
          </cell>
          <cell r="CN38">
            <v>0</v>
          </cell>
          <cell r="CO38">
            <v>0</v>
          </cell>
          <cell r="CP38">
            <v>0</v>
          </cell>
          <cell r="CQ38">
            <v>0</v>
          </cell>
          <cell r="CR38">
            <v>0</v>
          </cell>
          <cell r="CS38">
            <v>0</v>
          </cell>
          <cell r="CT38">
            <v>0</v>
          </cell>
          <cell r="CU38">
            <v>0</v>
          </cell>
          <cell r="CV38">
            <v>0</v>
          </cell>
          <cell r="CW38">
            <v>0</v>
          </cell>
          <cell r="CX38">
            <v>0</v>
          </cell>
          <cell r="CY38">
            <v>0</v>
          </cell>
          <cell r="CZ38">
            <v>0</v>
          </cell>
          <cell r="DA38">
            <v>0</v>
          </cell>
          <cell r="DB38">
            <v>0</v>
          </cell>
          <cell r="DC38">
            <v>0</v>
          </cell>
          <cell r="DD38">
            <v>0</v>
          </cell>
          <cell r="DE38">
            <v>0</v>
          </cell>
          <cell r="DF38">
            <v>0</v>
          </cell>
          <cell r="DG38">
            <v>0</v>
          </cell>
          <cell r="DH38">
            <v>0</v>
          </cell>
          <cell r="DI38">
            <v>0</v>
          </cell>
          <cell r="DJ38">
            <v>0</v>
          </cell>
          <cell r="DK38">
            <v>0</v>
          </cell>
          <cell r="DL38">
            <v>0</v>
          </cell>
          <cell r="DM38">
            <v>0</v>
          </cell>
          <cell r="DN38">
            <v>0</v>
          </cell>
          <cell r="DO38">
            <v>0</v>
          </cell>
          <cell r="DP38">
            <v>0</v>
          </cell>
          <cell r="DQ38">
            <v>0</v>
          </cell>
          <cell r="DR38">
            <v>0</v>
          </cell>
          <cell r="DS38">
            <v>0</v>
          </cell>
          <cell r="DT38">
            <v>0</v>
          </cell>
          <cell r="DU38">
            <v>0</v>
          </cell>
          <cell r="DV38">
            <v>0</v>
          </cell>
          <cell r="DW38">
            <v>0</v>
          </cell>
          <cell r="DX38">
            <v>0</v>
          </cell>
          <cell r="DY38">
            <v>0</v>
          </cell>
          <cell r="DZ38">
            <v>0</v>
          </cell>
          <cell r="EA38">
            <v>0</v>
          </cell>
          <cell r="EB38">
            <v>0</v>
          </cell>
          <cell r="EC38">
            <v>0</v>
          </cell>
          <cell r="ED38">
            <v>0.05</v>
          </cell>
          <cell r="EE38">
            <v>0.09</v>
          </cell>
          <cell r="EF38">
            <v>0.08</v>
          </cell>
          <cell r="EG38">
            <v>0.17</v>
          </cell>
          <cell r="EH38">
            <v>1</v>
          </cell>
          <cell r="EI38">
            <v>1</v>
          </cell>
          <cell r="EJ38">
            <v>1</v>
          </cell>
          <cell r="EK38">
            <v>1</v>
          </cell>
          <cell r="EL38">
            <v>0.05</v>
          </cell>
          <cell r="EM38">
            <v>0.14000000000000001</v>
          </cell>
          <cell r="EN38">
            <v>0.11</v>
          </cell>
          <cell r="EO38">
            <v>0.2</v>
          </cell>
          <cell r="EP38">
            <v>0</v>
          </cell>
          <cell r="EQ38">
            <v>0</v>
          </cell>
          <cell r="ER38">
            <v>0</v>
          </cell>
          <cell r="ES38">
            <v>0</v>
          </cell>
          <cell r="ET38">
            <v>0</v>
          </cell>
          <cell r="EU38">
            <v>0</v>
          </cell>
          <cell r="EV38">
            <v>0</v>
          </cell>
          <cell r="EW38">
            <v>0</v>
          </cell>
          <cell r="EX38">
            <v>1</v>
          </cell>
          <cell r="EY38">
            <v>1</v>
          </cell>
          <cell r="EZ38">
            <v>1</v>
          </cell>
          <cell r="FA38">
            <v>0</v>
          </cell>
          <cell r="FB38">
            <v>0</v>
          </cell>
          <cell r="FC38">
            <v>0</v>
          </cell>
          <cell r="FD38">
            <v>0</v>
          </cell>
          <cell r="FE38">
            <v>0</v>
          </cell>
          <cell r="FF38">
            <v>0</v>
          </cell>
          <cell r="FG38">
            <v>0</v>
          </cell>
          <cell r="FH38">
            <v>0</v>
          </cell>
          <cell r="FI38">
            <v>0</v>
          </cell>
          <cell r="FJ38">
            <v>0</v>
          </cell>
          <cell r="FK38">
            <v>0</v>
          </cell>
          <cell r="FL38">
            <v>0</v>
          </cell>
          <cell r="FM38">
            <v>0</v>
          </cell>
          <cell r="FN38">
            <v>0</v>
          </cell>
          <cell r="FO38">
            <v>0</v>
          </cell>
          <cell r="FP38">
            <v>0</v>
          </cell>
          <cell r="FQ38">
            <v>0</v>
          </cell>
          <cell r="FR38">
            <v>0</v>
          </cell>
          <cell r="FS38">
            <v>0</v>
          </cell>
          <cell r="FT38">
            <v>0</v>
          </cell>
          <cell r="FU38">
            <v>0</v>
          </cell>
          <cell r="FV38">
            <v>0</v>
          </cell>
          <cell r="FW38">
            <v>0</v>
          </cell>
          <cell r="FX38">
            <v>0</v>
          </cell>
          <cell r="FY38">
            <v>0</v>
          </cell>
          <cell r="FZ38">
            <v>0</v>
          </cell>
        </row>
        <row r="39">
          <cell r="B39">
            <v>0.1</v>
          </cell>
          <cell r="C39">
            <v>0.08</v>
          </cell>
          <cell r="D39">
            <v>0.15</v>
          </cell>
          <cell r="E39">
            <v>0.08</v>
          </cell>
          <cell r="F39">
            <v>0.15</v>
          </cell>
          <cell r="G39">
            <v>0.22</v>
          </cell>
          <cell r="H39">
            <v>7.0000000000000007E-2</v>
          </cell>
          <cell r="I39">
            <v>0.05</v>
          </cell>
          <cell r="J39">
            <v>0.13</v>
          </cell>
          <cell r="K39">
            <v>0.18</v>
          </cell>
          <cell r="L39">
            <v>0.17</v>
          </cell>
          <cell r="M39">
            <v>0.16</v>
          </cell>
          <cell r="N39">
            <v>0.8</v>
          </cell>
          <cell r="O39">
            <v>1</v>
          </cell>
          <cell r="P39">
            <v>1</v>
          </cell>
          <cell r="Q39">
            <v>0.8</v>
          </cell>
          <cell r="R39">
            <v>0.8</v>
          </cell>
          <cell r="S39">
            <v>1</v>
          </cell>
          <cell r="T39">
            <v>1</v>
          </cell>
          <cell r="U39">
            <v>1</v>
          </cell>
          <cell r="V39">
            <v>1</v>
          </cell>
          <cell r="W39">
            <v>1</v>
          </cell>
          <cell r="X39">
            <v>1</v>
          </cell>
          <cell r="Y39">
            <v>1</v>
          </cell>
          <cell r="Z39">
            <v>0.1</v>
          </cell>
          <cell r="AA39">
            <v>0.1</v>
          </cell>
          <cell r="AB39">
            <v>0.14000000000000001</v>
          </cell>
          <cell r="AC39">
            <v>0.11</v>
          </cell>
          <cell r="AD39">
            <v>0.11</v>
          </cell>
          <cell r="AE39">
            <v>0.19</v>
          </cell>
          <cell r="AF39">
            <v>0.09</v>
          </cell>
          <cell r="AG39">
            <v>0.11</v>
          </cell>
          <cell r="AH39">
            <v>0.15</v>
          </cell>
          <cell r="AI39">
            <v>0.2</v>
          </cell>
          <cell r="AJ39">
            <v>0.2</v>
          </cell>
          <cell r="AK39">
            <v>0.2</v>
          </cell>
          <cell r="AL39">
            <v>0</v>
          </cell>
          <cell r="AM39">
            <v>0</v>
          </cell>
          <cell r="AN39">
            <v>0</v>
          </cell>
          <cell r="AO39">
            <v>0</v>
          </cell>
          <cell r="AP39">
            <v>0</v>
          </cell>
          <cell r="AQ39">
            <v>0</v>
          </cell>
          <cell r="AR39">
            <v>0</v>
          </cell>
          <cell r="AS39">
            <v>0</v>
          </cell>
          <cell r="AT39">
            <v>0</v>
          </cell>
          <cell r="AU39">
            <v>0</v>
          </cell>
          <cell r="AV39">
            <v>0</v>
          </cell>
          <cell r="AW39">
            <v>0</v>
          </cell>
          <cell r="AX39">
            <v>0</v>
          </cell>
          <cell r="AY39">
            <v>0</v>
          </cell>
          <cell r="AZ39">
            <v>0</v>
          </cell>
          <cell r="BA39">
            <v>0</v>
          </cell>
          <cell r="BB39">
            <v>0</v>
          </cell>
          <cell r="BC39">
            <v>0</v>
          </cell>
          <cell r="BD39">
            <v>0</v>
          </cell>
          <cell r="BE39">
            <v>0</v>
          </cell>
          <cell r="BF39">
            <v>0</v>
          </cell>
          <cell r="BG39">
            <v>0</v>
          </cell>
          <cell r="BH39">
            <v>0</v>
          </cell>
          <cell r="BI39">
            <v>0</v>
          </cell>
          <cell r="BJ39">
            <v>0</v>
          </cell>
          <cell r="BK39">
            <v>0</v>
          </cell>
          <cell r="BL39">
            <v>0</v>
          </cell>
          <cell r="BM39">
            <v>0</v>
          </cell>
          <cell r="BN39">
            <v>0</v>
          </cell>
          <cell r="BO39">
            <v>0</v>
          </cell>
          <cell r="BP39">
            <v>0</v>
          </cell>
          <cell r="BQ39">
            <v>0</v>
          </cell>
          <cell r="BR39">
            <v>0</v>
          </cell>
          <cell r="BS39">
            <v>0</v>
          </cell>
          <cell r="BT39">
            <v>0</v>
          </cell>
          <cell r="BU39">
            <v>0</v>
          </cell>
          <cell r="BV39">
            <v>0</v>
          </cell>
          <cell r="BW39">
            <v>0</v>
          </cell>
          <cell r="BX39">
            <v>0</v>
          </cell>
          <cell r="BY39">
            <v>0</v>
          </cell>
          <cell r="BZ39">
            <v>0</v>
          </cell>
          <cell r="CA39">
            <v>0</v>
          </cell>
          <cell r="CB39">
            <v>0</v>
          </cell>
          <cell r="CC39">
            <v>0</v>
          </cell>
          <cell r="CD39">
            <v>0</v>
          </cell>
          <cell r="CE39">
            <v>0</v>
          </cell>
          <cell r="CF39">
            <v>0</v>
          </cell>
          <cell r="CG39">
            <v>0</v>
          </cell>
          <cell r="CH39">
            <v>0</v>
          </cell>
          <cell r="CI39">
            <v>0</v>
          </cell>
          <cell r="CJ39">
            <v>0</v>
          </cell>
          <cell r="CK39">
            <v>0</v>
          </cell>
          <cell r="CL39">
            <v>0</v>
          </cell>
          <cell r="CM39">
            <v>0</v>
          </cell>
          <cell r="CN39">
            <v>0</v>
          </cell>
          <cell r="CO39">
            <v>0</v>
          </cell>
          <cell r="CP39">
            <v>0</v>
          </cell>
          <cell r="CQ39">
            <v>0</v>
          </cell>
          <cell r="CR39">
            <v>0</v>
          </cell>
          <cell r="CS39">
            <v>0</v>
          </cell>
          <cell r="CT39">
            <v>0</v>
          </cell>
          <cell r="CU39">
            <v>0</v>
          </cell>
          <cell r="CV39">
            <v>0</v>
          </cell>
          <cell r="CW39">
            <v>0</v>
          </cell>
          <cell r="CX39">
            <v>0</v>
          </cell>
          <cell r="CY39">
            <v>0</v>
          </cell>
          <cell r="CZ39">
            <v>0</v>
          </cell>
          <cell r="DA39">
            <v>0</v>
          </cell>
          <cell r="DB39">
            <v>0</v>
          </cell>
          <cell r="DC39">
            <v>0</v>
          </cell>
          <cell r="DD39">
            <v>0</v>
          </cell>
          <cell r="DE39">
            <v>0</v>
          </cell>
          <cell r="DF39">
            <v>0</v>
          </cell>
          <cell r="DG39">
            <v>0</v>
          </cell>
          <cell r="DH39">
            <v>0</v>
          </cell>
          <cell r="DI39">
            <v>0</v>
          </cell>
          <cell r="DJ39">
            <v>0</v>
          </cell>
          <cell r="DK39">
            <v>0</v>
          </cell>
          <cell r="DL39">
            <v>0</v>
          </cell>
          <cell r="DM39">
            <v>0</v>
          </cell>
          <cell r="DN39">
            <v>0</v>
          </cell>
          <cell r="DO39">
            <v>0</v>
          </cell>
          <cell r="DP39">
            <v>0</v>
          </cell>
          <cell r="DQ39">
            <v>0</v>
          </cell>
          <cell r="DR39">
            <v>0</v>
          </cell>
          <cell r="DS39">
            <v>0</v>
          </cell>
          <cell r="DT39">
            <v>0</v>
          </cell>
          <cell r="DU39">
            <v>0</v>
          </cell>
          <cell r="DV39">
            <v>0</v>
          </cell>
          <cell r="DW39">
            <v>0</v>
          </cell>
          <cell r="DX39">
            <v>0</v>
          </cell>
          <cell r="DY39">
            <v>0</v>
          </cell>
          <cell r="DZ39">
            <v>0</v>
          </cell>
          <cell r="EA39">
            <v>0</v>
          </cell>
          <cell r="EB39">
            <v>0</v>
          </cell>
          <cell r="EC39">
            <v>0</v>
          </cell>
          <cell r="ED39">
            <v>0.05</v>
          </cell>
          <cell r="EE39">
            <v>0.09</v>
          </cell>
          <cell r="EF39">
            <v>0.08</v>
          </cell>
          <cell r="EG39">
            <v>0.17</v>
          </cell>
          <cell r="EH39">
            <v>1</v>
          </cell>
          <cell r="EI39">
            <v>1</v>
          </cell>
          <cell r="EJ39">
            <v>1</v>
          </cell>
          <cell r="EK39">
            <v>1</v>
          </cell>
          <cell r="EL39">
            <v>0.05</v>
          </cell>
          <cell r="EM39">
            <v>0.14000000000000001</v>
          </cell>
          <cell r="EN39">
            <v>0.11</v>
          </cell>
          <cell r="EO39">
            <v>0.2</v>
          </cell>
          <cell r="EP39">
            <v>0</v>
          </cell>
          <cell r="EQ39">
            <v>0</v>
          </cell>
          <cell r="ER39">
            <v>0</v>
          </cell>
          <cell r="ES39">
            <v>0</v>
          </cell>
          <cell r="ET39">
            <v>0</v>
          </cell>
          <cell r="EU39">
            <v>0</v>
          </cell>
          <cell r="EV39">
            <v>0</v>
          </cell>
          <cell r="EW39">
            <v>0</v>
          </cell>
          <cell r="EX39">
            <v>1</v>
          </cell>
          <cell r="EY39">
            <v>1</v>
          </cell>
          <cell r="EZ39">
            <v>1</v>
          </cell>
          <cell r="FA39">
            <v>0</v>
          </cell>
          <cell r="FB39">
            <v>0</v>
          </cell>
          <cell r="FC39">
            <v>0</v>
          </cell>
          <cell r="FD39">
            <v>0</v>
          </cell>
          <cell r="FE39">
            <v>0</v>
          </cell>
          <cell r="FF39">
            <v>0</v>
          </cell>
          <cell r="FG39">
            <v>0</v>
          </cell>
          <cell r="FH39">
            <v>0</v>
          </cell>
          <cell r="FI39">
            <v>0</v>
          </cell>
          <cell r="FJ39">
            <v>0</v>
          </cell>
          <cell r="FK39">
            <v>0</v>
          </cell>
          <cell r="FL39">
            <v>0</v>
          </cell>
          <cell r="FM39">
            <v>0</v>
          </cell>
          <cell r="FN39">
            <v>0</v>
          </cell>
          <cell r="FO39">
            <v>0</v>
          </cell>
          <cell r="FP39">
            <v>0</v>
          </cell>
          <cell r="FQ39">
            <v>0</v>
          </cell>
          <cell r="FR39">
            <v>0</v>
          </cell>
          <cell r="FS39">
            <v>0</v>
          </cell>
          <cell r="FT39">
            <v>0</v>
          </cell>
          <cell r="FU39">
            <v>0</v>
          </cell>
          <cell r="FV39">
            <v>0</v>
          </cell>
          <cell r="FW39">
            <v>0</v>
          </cell>
          <cell r="FX39">
            <v>0</v>
          </cell>
          <cell r="FY39">
            <v>0</v>
          </cell>
          <cell r="FZ39">
            <v>0</v>
          </cell>
        </row>
        <row r="40">
          <cell r="B40">
            <v>0.1</v>
          </cell>
          <cell r="C40">
            <v>0.08</v>
          </cell>
          <cell r="D40">
            <v>0.15</v>
          </cell>
          <cell r="E40">
            <v>0.08</v>
          </cell>
          <cell r="F40">
            <v>0.15</v>
          </cell>
          <cell r="G40">
            <v>0.22</v>
          </cell>
          <cell r="H40">
            <v>7.0000000000000007E-2</v>
          </cell>
          <cell r="I40">
            <v>0.05</v>
          </cell>
          <cell r="J40">
            <v>0.13</v>
          </cell>
          <cell r="K40">
            <v>0.18</v>
          </cell>
          <cell r="L40">
            <v>0.17</v>
          </cell>
          <cell r="M40">
            <v>0.16</v>
          </cell>
          <cell r="N40">
            <v>0.8</v>
          </cell>
          <cell r="O40">
            <v>1</v>
          </cell>
          <cell r="P40">
            <v>1</v>
          </cell>
          <cell r="Q40">
            <v>0.8</v>
          </cell>
          <cell r="R40">
            <v>0.8</v>
          </cell>
          <cell r="S40">
            <v>1</v>
          </cell>
          <cell r="T40">
            <v>1</v>
          </cell>
          <cell r="U40">
            <v>1</v>
          </cell>
          <cell r="V40">
            <v>1</v>
          </cell>
          <cell r="W40">
            <v>1</v>
          </cell>
          <cell r="X40">
            <v>1</v>
          </cell>
          <cell r="Y40">
            <v>1</v>
          </cell>
          <cell r="Z40">
            <v>0.1</v>
          </cell>
          <cell r="AA40">
            <v>0.1</v>
          </cell>
          <cell r="AB40">
            <v>0.14000000000000001</v>
          </cell>
          <cell r="AC40">
            <v>0.11</v>
          </cell>
          <cell r="AD40">
            <v>0.11</v>
          </cell>
          <cell r="AE40">
            <v>0.19</v>
          </cell>
          <cell r="AF40">
            <v>0.09</v>
          </cell>
          <cell r="AG40">
            <v>0.11</v>
          </cell>
          <cell r="AH40">
            <v>0.15</v>
          </cell>
          <cell r="AI40">
            <v>0.2</v>
          </cell>
          <cell r="AJ40">
            <v>0.2</v>
          </cell>
          <cell r="AK40">
            <v>0.2</v>
          </cell>
          <cell r="AL40">
            <v>0</v>
          </cell>
          <cell r="AM40">
            <v>0</v>
          </cell>
          <cell r="AN40">
            <v>0</v>
          </cell>
          <cell r="AO40">
            <v>0</v>
          </cell>
          <cell r="AP40">
            <v>0</v>
          </cell>
          <cell r="AQ40">
            <v>0</v>
          </cell>
          <cell r="AR40">
            <v>0</v>
          </cell>
          <cell r="AS40">
            <v>0</v>
          </cell>
          <cell r="AT40">
            <v>0</v>
          </cell>
          <cell r="AU40">
            <v>0</v>
          </cell>
          <cell r="AV40">
            <v>0</v>
          </cell>
          <cell r="AW40">
            <v>0</v>
          </cell>
          <cell r="AX40">
            <v>0</v>
          </cell>
          <cell r="AY40">
            <v>0</v>
          </cell>
          <cell r="AZ40">
            <v>0</v>
          </cell>
          <cell r="BA40">
            <v>0</v>
          </cell>
          <cell r="BB40">
            <v>0</v>
          </cell>
          <cell r="BC40">
            <v>0</v>
          </cell>
          <cell r="BD40">
            <v>0</v>
          </cell>
          <cell r="BE40">
            <v>0</v>
          </cell>
          <cell r="BF40">
            <v>0</v>
          </cell>
          <cell r="BG40">
            <v>0</v>
          </cell>
          <cell r="BH40">
            <v>0</v>
          </cell>
          <cell r="BI40">
            <v>0</v>
          </cell>
          <cell r="BJ40">
            <v>0</v>
          </cell>
          <cell r="BK40">
            <v>0</v>
          </cell>
          <cell r="BL40">
            <v>0</v>
          </cell>
          <cell r="BM40">
            <v>0</v>
          </cell>
          <cell r="BN40">
            <v>0</v>
          </cell>
          <cell r="BO40">
            <v>0</v>
          </cell>
          <cell r="BP40">
            <v>0</v>
          </cell>
          <cell r="BQ40">
            <v>0</v>
          </cell>
          <cell r="BR40">
            <v>0</v>
          </cell>
          <cell r="BS40">
            <v>0</v>
          </cell>
          <cell r="BT40">
            <v>0</v>
          </cell>
          <cell r="BU40">
            <v>0</v>
          </cell>
          <cell r="BV40">
            <v>0</v>
          </cell>
          <cell r="BW40">
            <v>0</v>
          </cell>
          <cell r="BX40">
            <v>0</v>
          </cell>
          <cell r="BY40">
            <v>0</v>
          </cell>
          <cell r="BZ40">
            <v>0</v>
          </cell>
          <cell r="CA40">
            <v>0</v>
          </cell>
          <cell r="CB40">
            <v>0</v>
          </cell>
          <cell r="CC40">
            <v>0</v>
          </cell>
          <cell r="CD40">
            <v>0</v>
          </cell>
          <cell r="CE40">
            <v>0</v>
          </cell>
          <cell r="CF40">
            <v>0</v>
          </cell>
          <cell r="CG40">
            <v>0</v>
          </cell>
          <cell r="CH40">
            <v>0</v>
          </cell>
          <cell r="CI40">
            <v>0</v>
          </cell>
          <cell r="CJ40">
            <v>0</v>
          </cell>
          <cell r="CK40">
            <v>0</v>
          </cell>
          <cell r="CL40">
            <v>0</v>
          </cell>
          <cell r="CM40">
            <v>0</v>
          </cell>
          <cell r="CN40">
            <v>0</v>
          </cell>
          <cell r="CO40">
            <v>0</v>
          </cell>
          <cell r="CP40">
            <v>0</v>
          </cell>
          <cell r="CQ40">
            <v>0</v>
          </cell>
          <cell r="CR40">
            <v>0</v>
          </cell>
          <cell r="CS40">
            <v>0</v>
          </cell>
          <cell r="CT40">
            <v>0</v>
          </cell>
          <cell r="CU40">
            <v>0</v>
          </cell>
          <cell r="CV40">
            <v>0</v>
          </cell>
          <cell r="CW40">
            <v>0</v>
          </cell>
          <cell r="CX40">
            <v>0</v>
          </cell>
          <cell r="CY40">
            <v>0</v>
          </cell>
          <cell r="CZ40">
            <v>0</v>
          </cell>
          <cell r="DA40">
            <v>0</v>
          </cell>
          <cell r="DB40">
            <v>0</v>
          </cell>
          <cell r="DC40">
            <v>0</v>
          </cell>
          <cell r="DD40">
            <v>0</v>
          </cell>
          <cell r="DE40">
            <v>0</v>
          </cell>
          <cell r="DF40">
            <v>0</v>
          </cell>
          <cell r="DG40">
            <v>0</v>
          </cell>
          <cell r="DH40">
            <v>0</v>
          </cell>
          <cell r="DI40">
            <v>0</v>
          </cell>
          <cell r="DJ40">
            <v>0</v>
          </cell>
          <cell r="DK40">
            <v>0</v>
          </cell>
          <cell r="DL40">
            <v>0</v>
          </cell>
          <cell r="DM40">
            <v>0</v>
          </cell>
          <cell r="DN40">
            <v>0</v>
          </cell>
          <cell r="DO40">
            <v>0</v>
          </cell>
          <cell r="DP40">
            <v>0</v>
          </cell>
          <cell r="DQ40">
            <v>0</v>
          </cell>
          <cell r="DR40">
            <v>0</v>
          </cell>
          <cell r="DS40">
            <v>0</v>
          </cell>
          <cell r="DT40">
            <v>0</v>
          </cell>
          <cell r="DU40">
            <v>0</v>
          </cell>
          <cell r="DV40">
            <v>0</v>
          </cell>
          <cell r="DW40">
            <v>0</v>
          </cell>
          <cell r="DX40">
            <v>0</v>
          </cell>
          <cell r="DY40">
            <v>0</v>
          </cell>
          <cell r="DZ40">
            <v>0</v>
          </cell>
          <cell r="EA40">
            <v>0</v>
          </cell>
          <cell r="EB40">
            <v>0</v>
          </cell>
          <cell r="EC40">
            <v>0</v>
          </cell>
          <cell r="ED40">
            <v>0.05</v>
          </cell>
          <cell r="EE40">
            <v>0.09</v>
          </cell>
          <cell r="EF40">
            <v>0.08</v>
          </cell>
          <cell r="EG40">
            <v>0.17</v>
          </cell>
          <cell r="EH40">
            <v>1</v>
          </cell>
          <cell r="EI40">
            <v>1</v>
          </cell>
          <cell r="EJ40">
            <v>1</v>
          </cell>
          <cell r="EK40">
            <v>1</v>
          </cell>
          <cell r="EL40">
            <v>0.05</v>
          </cell>
          <cell r="EM40">
            <v>0.14000000000000001</v>
          </cell>
          <cell r="EN40">
            <v>0.11</v>
          </cell>
          <cell r="EO40">
            <v>0.2</v>
          </cell>
          <cell r="EP40">
            <v>0</v>
          </cell>
          <cell r="EQ40">
            <v>0</v>
          </cell>
          <cell r="ER40">
            <v>0</v>
          </cell>
          <cell r="ES40">
            <v>0</v>
          </cell>
          <cell r="ET40">
            <v>0</v>
          </cell>
          <cell r="EU40">
            <v>0</v>
          </cell>
          <cell r="EV40">
            <v>0</v>
          </cell>
          <cell r="EW40">
            <v>0</v>
          </cell>
          <cell r="EX40">
            <v>1</v>
          </cell>
          <cell r="EY40">
            <v>1</v>
          </cell>
          <cell r="EZ40">
            <v>1</v>
          </cell>
          <cell r="FA40">
            <v>0</v>
          </cell>
          <cell r="FB40">
            <v>0</v>
          </cell>
          <cell r="FC40">
            <v>0</v>
          </cell>
          <cell r="FD40">
            <v>0</v>
          </cell>
          <cell r="FE40">
            <v>0</v>
          </cell>
          <cell r="FF40">
            <v>0</v>
          </cell>
          <cell r="FG40">
            <v>0</v>
          </cell>
          <cell r="FH40">
            <v>0</v>
          </cell>
          <cell r="FI40">
            <v>0</v>
          </cell>
          <cell r="FJ40">
            <v>0</v>
          </cell>
          <cell r="FK40">
            <v>0</v>
          </cell>
          <cell r="FL40">
            <v>0</v>
          </cell>
          <cell r="FM40">
            <v>0</v>
          </cell>
          <cell r="FN40">
            <v>0</v>
          </cell>
          <cell r="FO40">
            <v>0</v>
          </cell>
          <cell r="FP40">
            <v>0</v>
          </cell>
          <cell r="FQ40">
            <v>0</v>
          </cell>
          <cell r="FR40">
            <v>0</v>
          </cell>
          <cell r="FS40">
            <v>0</v>
          </cell>
          <cell r="FT40">
            <v>0</v>
          </cell>
          <cell r="FU40">
            <v>0</v>
          </cell>
          <cell r="FV40">
            <v>0</v>
          </cell>
          <cell r="FW40">
            <v>0</v>
          </cell>
          <cell r="FX40">
            <v>0</v>
          </cell>
          <cell r="FY40">
            <v>0</v>
          </cell>
          <cell r="FZ40">
            <v>0</v>
          </cell>
        </row>
        <row r="41">
          <cell r="B41">
            <v>0.1</v>
          </cell>
          <cell r="C41">
            <v>0.08</v>
          </cell>
          <cell r="D41">
            <v>0.15</v>
          </cell>
          <cell r="E41">
            <v>0.08</v>
          </cell>
          <cell r="F41">
            <v>0.15</v>
          </cell>
          <cell r="G41">
            <v>0.22</v>
          </cell>
          <cell r="H41">
            <v>7.0000000000000007E-2</v>
          </cell>
          <cell r="I41">
            <v>0.05</v>
          </cell>
          <cell r="J41">
            <v>0.13</v>
          </cell>
          <cell r="K41">
            <v>0.18</v>
          </cell>
          <cell r="L41">
            <v>0.17</v>
          </cell>
          <cell r="M41">
            <v>0.16</v>
          </cell>
          <cell r="N41">
            <v>0.8</v>
          </cell>
          <cell r="O41">
            <v>1</v>
          </cell>
          <cell r="P41">
            <v>1</v>
          </cell>
          <cell r="Q41">
            <v>0.8</v>
          </cell>
          <cell r="R41">
            <v>0.8</v>
          </cell>
          <cell r="S41">
            <v>1</v>
          </cell>
          <cell r="T41">
            <v>1</v>
          </cell>
          <cell r="U41">
            <v>1</v>
          </cell>
          <cell r="V41">
            <v>1</v>
          </cell>
          <cell r="W41">
            <v>1</v>
          </cell>
          <cell r="X41">
            <v>1</v>
          </cell>
          <cell r="Y41">
            <v>1</v>
          </cell>
          <cell r="Z41">
            <v>0.1</v>
          </cell>
          <cell r="AA41">
            <v>0.1</v>
          </cell>
          <cell r="AB41">
            <v>0.14000000000000001</v>
          </cell>
          <cell r="AC41">
            <v>0.11</v>
          </cell>
          <cell r="AD41">
            <v>0.11</v>
          </cell>
          <cell r="AE41">
            <v>0.19</v>
          </cell>
          <cell r="AF41">
            <v>0.09</v>
          </cell>
          <cell r="AG41">
            <v>0.11</v>
          </cell>
          <cell r="AH41">
            <v>0.15</v>
          </cell>
          <cell r="AI41">
            <v>0.2</v>
          </cell>
          <cell r="AJ41">
            <v>0.2</v>
          </cell>
          <cell r="AK41">
            <v>0.2</v>
          </cell>
          <cell r="AL41">
            <v>0</v>
          </cell>
          <cell r="AM41">
            <v>0</v>
          </cell>
          <cell r="AN41">
            <v>0</v>
          </cell>
          <cell r="AO41">
            <v>0</v>
          </cell>
          <cell r="AP41">
            <v>0</v>
          </cell>
          <cell r="AQ41">
            <v>0</v>
          </cell>
          <cell r="AR41">
            <v>0</v>
          </cell>
          <cell r="AS41">
            <v>0</v>
          </cell>
          <cell r="AT41">
            <v>0</v>
          </cell>
          <cell r="AU41">
            <v>0</v>
          </cell>
          <cell r="AV41">
            <v>0</v>
          </cell>
          <cell r="AW41">
            <v>0</v>
          </cell>
          <cell r="AX41">
            <v>0</v>
          </cell>
          <cell r="AY41">
            <v>0</v>
          </cell>
          <cell r="AZ41">
            <v>0</v>
          </cell>
          <cell r="BA41">
            <v>0</v>
          </cell>
          <cell r="BB41">
            <v>0</v>
          </cell>
          <cell r="BC41">
            <v>0</v>
          </cell>
          <cell r="BD41">
            <v>0</v>
          </cell>
          <cell r="BE41">
            <v>0</v>
          </cell>
          <cell r="BF41">
            <v>0</v>
          </cell>
          <cell r="BG41">
            <v>0</v>
          </cell>
          <cell r="BH41">
            <v>0</v>
          </cell>
          <cell r="BI41">
            <v>0</v>
          </cell>
          <cell r="BJ41">
            <v>0</v>
          </cell>
          <cell r="BK41">
            <v>0</v>
          </cell>
          <cell r="BL41">
            <v>0</v>
          </cell>
          <cell r="BM41">
            <v>0</v>
          </cell>
          <cell r="BN41">
            <v>0</v>
          </cell>
          <cell r="BO41">
            <v>0</v>
          </cell>
          <cell r="BP41">
            <v>0</v>
          </cell>
          <cell r="BQ41">
            <v>0</v>
          </cell>
          <cell r="BR41">
            <v>0</v>
          </cell>
          <cell r="BS41">
            <v>0</v>
          </cell>
          <cell r="BT41">
            <v>0</v>
          </cell>
          <cell r="BU41">
            <v>0</v>
          </cell>
          <cell r="BV41">
            <v>0</v>
          </cell>
          <cell r="BW41">
            <v>0</v>
          </cell>
          <cell r="BX41">
            <v>0</v>
          </cell>
          <cell r="BY41">
            <v>0</v>
          </cell>
          <cell r="BZ41">
            <v>0</v>
          </cell>
          <cell r="CA41">
            <v>0</v>
          </cell>
          <cell r="CB41">
            <v>0</v>
          </cell>
          <cell r="CC41">
            <v>0</v>
          </cell>
          <cell r="CD41">
            <v>0</v>
          </cell>
          <cell r="CE41">
            <v>0</v>
          </cell>
          <cell r="CF41">
            <v>0</v>
          </cell>
          <cell r="CG41">
            <v>0</v>
          </cell>
          <cell r="CH41">
            <v>0</v>
          </cell>
          <cell r="CI41">
            <v>0</v>
          </cell>
          <cell r="CJ41">
            <v>0</v>
          </cell>
          <cell r="CK41">
            <v>0</v>
          </cell>
          <cell r="CL41">
            <v>0</v>
          </cell>
          <cell r="CM41">
            <v>0</v>
          </cell>
          <cell r="CN41">
            <v>0</v>
          </cell>
          <cell r="CO41">
            <v>0</v>
          </cell>
          <cell r="CP41">
            <v>0</v>
          </cell>
          <cell r="CQ41">
            <v>0</v>
          </cell>
          <cell r="CR41">
            <v>0</v>
          </cell>
          <cell r="CS41">
            <v>0</v>
          </cell>
          <cell r="CT41">
            <v>0</v>
          </cell>
          <cell r="CU41">
            <v>0</v>
          </cell>
          <cell r="CV41">
            <v>0</v>
          </cell>
          <cell r="CW41">
            <v>0</v>
          </cell>
          <cell r="CX41">
            <v>0</v>
          </cell>
          <cell r="CY41">
            <v>0</v>
          </cell>
          <cell r="CZ41">
            <v>0</v>
          </cell>
          <cell r="DA41">
            <v>0</v>
          </cell>
          <cell r="DB41">
            <v>0</v>
          </cell>
          <cell r="DC41">
            <v>0</v>
          </cell>
          <cell r="DD41">
            <v>0</v>
          </cell>
          <cell r="DE41">
            <v>0</v>
          </cell>
          <cell r="DF41">
            <v>0</v>
          </cell>
          <cell r="DG41">
            <v>0</v>
          </cell>
          <cell r="DH41">
            <v>0</v>
          </cell>
          <cell r="DI41">
            <v>0</v>
          </cell>
          <cell r="DJ41">
            <v>0</v>
          </cell>
          <cell r="DK41">
            <v>0</v>
          </cell>
          <cell r="DL41">
            <v>0</v>
          </cell>
          <cell r="DM41">
            <v>0</v>
          </cell>
          <cell r="DN41">
            <v>0</v>
          </cell>
          <cell r="DO41">
            <v>0</v>
          </cell>
          <cell r="DP41">
            <v>0</v>
          </cell>
          <cell r="DQ41">
            <v>0</v>
          </cell>
          <cell r="DR41">
            <v>0</v>
          </cell>
          <cell r="DS41">
            <v>0</v>
          </cell>
          <cell r="DT41">
            <v>0</v>
          </cell>
          <cell r="DU41">
            <v>0</v>
          </cell>
          <cell r="DV41">
            <v>0</v>
          </cell>
          <cell r="DW41">
            <v>0</v>
          </cell>
          <cell r="DX41">
            <v>0</v>
          </cell>
          <cell r="DY41">
            <v>0</v>
          </cell>
          <cell r="DZ41">
            <v>0</v>
          </cell>
          <cell r="EA41">
            <v>0</v>
          </cell>
          <cell r="EB41">
            <v>0</v>
          </cell>
          <cell r="EC41">
            <v>0</v>
          </cell>
          <cell r="ED41">
            <v>0.05</v>
          </cell>
          <cell r="EE41">
            <v>0.09</v>
          </cell>
          <cell r="EF41">
            <v>0.08</v>
          </cell>
          <cell r="EG41">
            <v>0.17</v>
          </cell>
          <cell r="EH41">
            <v>1</v>
          </cell>
          <cell r="EI41">
            <v>1</v>
          </cell>
          <cell r="EJ41">
            <v>1</v>
          </cell>
          <cell r="EK41">
            <v>1</v>
          </cell>
          <cell r="EL41">
            <v>0.05</v>
          </cell>
          <cell r="EM41">
            <v>0.14000000000000001</v>
          </cell>
          <cell r="EN41">
            <v>0.11</v>
          </cell>
          <cell r="EO41">
            <v>0.2</v>
          </cell>
          <cell r="EP41">
            <v>0</v>
          </cell>
          <cell r="EQ41">
            <v>0</v>
          </cell>
          <cell r="ER41">
            <v>0</v>
          </cell>
          <cell r="ES41">
            <v>0</v>
          </cell>
          <cell r="ET41">
            <v>0</v>
          </cell>
          <cell r="EU41">
            <v>0</v>
          </cell>
          <cell r="EV41">
            <v>0</v>
          </cell>
          <cell r="EW41">
            <v>0</v>
          </cell>
          <cell r="EX41">
            <v>1</v>
          </cell>
          <cell r="EY41">
            <v>1</v>
          </cell>
          <cell r="EZ41">
            <v>1</v>
          </cell>
          <cell r="FA41">
            <v>0</v>
          </cell>
          <cell r="FB41">
            <v>0</v>
          </cell>
          <cell r="FC41">
            <v>0</v>
          </cell>
          <cell r="FD41">
            <v>0</v>
          </cell>
          <cell r="FE41">
            <v>0</v>
          </cell>
          <cell r="FF41">
            <v>0</v>
          </cell>
          <cell r="FG41">
            <v>0</v>
          </cell>
          <cell r="FH41">
            <v>0</v>
          </cell>
          <cell r="FI41">
            <v>0</v>
          </cell>
          <cell r="FJ41">
            <v>0</v>
          </cell>
          <cell r="FK41">
            <v>0</v>
          </cell>
          <cell r="FL41">
            <v>0</v>
          </cell>
          <cell r="FM41">
            <v>0</v>
          </cell>
          <cell r="FN41">
            <v>0</v>
          </cell>
          <cell r="FO41">
            <v>0</v>
          </cell>
          <cell r="FP41">
            <v>0</v>
          </cell>
          <cell r="FQ41">
            <v>0</v>
          </cell>
          <cell r="FR41">
            <v>0</v>
          </cell>
          <cell r="FS41">
            <v>0</v>
          </cell>
          <cell r="FT41">
            <v>0</v>
          </cell>
          <cell r="FU41">
            <v>0</v>
          </cell>
          <cell r="FV41">
            <v>0</v>
          </cell>
          <cell r="FW41">
            <v>0</v>
          </cell>
          <cell r="FX41">
            <v>0</v>
          </cell>
          <cell r="FY41">
            <v>0</v>
          </cell>
          <cell r="FZ41">
            <v>0</v>
          </cell>
        </row>
        <row r="42">
          <cell r="B42">
            <v>0.1</v>
          </cell>
          <cell r="C42">
            <v>0.08</v>
          </cell>
          <cell r="D42">
            <v>0.15</v>
          </cell>
          <cell r="E42">
            <v>0.08</v>
          </cell>
          <cell r="F42">
            <v>0.15</v>
          </cell>
          <cell r="G42">
            <v>0.22</v>
          </cell>
          <cell r="H42">
            <v>7.0000000000000007E-2</v>
          </cell>
          <cell r="I42">
            <v>0.05</v>
          </cell>
          <cell r="J42">
            <v>0.13</v>
          </cell>
          <cell r="K42">
            <v>0.18</v>
          </cell>
          <cell r="L42">
            <v>0.17</v>
          </cell>
          <cell r="M42">
            <v>0.16</v>
          </cell>
          <cell r="N42">
            <v>0.8</v>
          </cell>
          <cell r="O42">
            <v>1</v>
          </cell>
          <cell r="P42">
            <v>1</v>
          </cell>
          <cell r="Q42">
            <v>0.8</v>
          </cell>
          <cell r="R42">
            <v>0.8</v>
          </cell>
          <cell r="S42">
            <v>1</v>
          </cell>
          <cell r="T42">
            <v>1</v>
          </cell>
          <cell r="U42">
            <v>1</v>
          </cell>
          <cell r="V42">
            <v>1</v>
          </cell>
          <cell r="W42">
            <v>1</v>
          </cell>
          <cell r="X42">
            <v>1</v>
          </cell>
          <cell r="Y42">
            <v>1</v>
          </cell>
          <cell r="Z42">
            <v>0.1</v>
          </cell>
          <cell r="AA42">
            <v>0.1</v>
          </cell>
          <cell r="AB42">
            <v>0.14000000000000001</v>
          </cell>
          <cell r="AC42">
            <v>0.11</v>
          </cell>
          <cell r="AD42">
            <v>0.11</v>
          </cell>
          <cell r="AE42">
            <v>0.19</v>
          </cell>
          <cell r="AF42">
            <v>0.09</v>
          </cell>
          <cell r="AG42">
            <v>0.11</v>
          </cell>
          <cell r="AH42">
            <v>0.15</v>
          </cell>
          <cell r="AI42">
            <v>0.2</v>
          </cell>
          <cell r="AJ42">
            <v>0.2</v>
          </cell>
          <cell r="AK42">
            <v>0.2</v>
          </cell>
          <cell r="AL42">
            <v>0</v>
          </cell>
          <cell r="AM42">
            <v>0</v>
          </cell>
          <cell r="AN42">
            <v>0</v>
          </cell>
          <cell r="AO42">
            <v>0</v>
          </cell>
          <cell r="AP42">
            <v>0</v>
          </cell>
          <cell r="AQ42">
            <v>0</v>
          </cell>
          <cell r="AR42">
            <v>0</v>
          </cell>
          <cell r="AS42">
            <v>0</v>
          </cell>
          <cell r="AT42">
            <v>0</v>
          </cell>
          <cell r="AU42">
            <v>0</v>
          </cell>
          <cell r="AV42">
            <v>0</v>
          </cell>
          <cell r="AW42">
            <v>0</v>
          </cell>
          <cell r="AX42">
            <v>0</v>
          </cell>
          <cell r="AY42">
            <v>0</v>
          </cell>
          <cell r="AZ42">
            <v>0</v>
          </cell>
          <cell r="BA42">
            <v>0</v>
          </cell>
          <cell r="BB42">
            <v>0</v>
          </cell>
          <cell r="BC42">
            <v>0</v>
          </cell>
          <cell r="BD42">
            <v>0</v>
          </cell>
          <cell r="BE42">
            <v>0</v>
          </cell>
          <cell r="BF42">
            <v>0</v>
          </cell>
          <cell r="BG42">
            <v>0</v>
          </cell>
          <cell r="BH42">
            <v>0</v>
          </cell>
          <cell r="BI42">
            <v>0</v>
          </cell>
          <cell r="BJ42">
            <v>0</v>
          </cell>
          <cell r="BK42">
            <v>0</v>
          </cell>
          <cell r="BL42">
            <v>0</v>
          </cell>
          <cell r="BM42">
            <v>0</v>
          </cell>
          <cell r="BN42">
            <v>0</v>
          </cell>
          <cell r="BO42">
            <v>0</v>
          </cell>
          <cell r="BP42">
            <v>0</v>
          </cell>
          <cell r="BQ42">
            <v>0</v>
          </cell>
          <cell r="BR42">
            <v>0</v>
          </cell>
          <cell r="BS42">
            <v>0</v>
          </cell>
          <cell r="BT42">
            <v>0</v>
          </cell>
          <cell r="BU42">
            <v>0</v>
          </cell>
          <cell r="BV42">
            <v>0</v>
          </cell>
          <cell r="BW42">
            <v>0</v>
          </cell>
          <cell r="BX42">
            <v>0</v>
          </cell>
          <cell r="BY42">
            <v>0</v>
          </cell>
          <cell r="BZ42">
            <v>0</v>
          </cell>
          <cell r="CA42">
            <v>0</v>
          </cell>
          <cell r="CB42">
            <v>0</v>
          </cell>
          <cell r="CC42">
            <v>0</v>
          </cell>
          <cell r="CD42">
            <v>0</v>
          </cell>
          <cell r="CE42">
            <v>0</v>
          </cell>
          <cell r="CF42">
            <v>0</v>
          </cell>
          <cell r="CG42">
            <v>0</v>
          </cell>
          <cell r="CH42">
            <v>0</v>
          </cell>
          <cell r="CI42">
            <v>0</v>
          </cell>
          <cell r="CJ42">
            <v>0</v>
          </cell>
          <cell r="CK42">
            <v>0</v>
          </cell>
          <cell r="CL42">
            <v>0</v>
          </cell>
          <cell r="CM42">
            <v>0</v>
          </cell>
          <cell r="CN42">
            <v>0</v>
          </cell>
          <cell r="CO42">
            <v>0</v>
          </cell>
          <cell r="CP42">
            <v>0</v>
          </cell>
          <cell r="CQ42">
            <v>0</v>
          </cell>
          <cell r="CR42">
            <v>0</v>
          </cell>
          <cell r="CS42">
            <v>0</v>
          </cell>
          <cell r="CT42">
            <v>0</v>
          </cell>
          <cell r="CU42">
            <v>0</v>
          </cell>
          <cell r="CV42">
            <v>0</v>
          </cell>
          <cell r="CW42">
            <v>0</v>
          </cell>
          <cell r="CX42">
            <v>0</v>
          </cell>
          <cell r="CY42">
            <v>0</v>
          </cell>
          <cell r="CZ42">
            <v>0</v>
          </cell>
          <cell r="DA42">
            <v>0</v>
          </cell>
          <cell r="DB42">
            <v>0</v>
          </cell>
          <cell r="DC42">
            <v>0</v>
          </cell>
          <cell r="DD42">
            <v>0</v>
          </cell>
          <cell r="DE42">
            <v>0</v>
          </cell>
          <cell r="DF42">
            <v>0</v>
          </cell>
          <cell r="DG42">
            <v>0</v>
          </cell>
          <cell r="DH42">
            <v>0</v>
          </cell>
          <cell r="DI42">
            <v>0</v>
          </cell>
          <cell r="DJ42">
            <v>0</v>
          </cell>
          <cell r="DK42">
            <v>0</v>
          </cell>
          <cell r="DL42">
            <v>0</v>
          </cell>
          <cell r="DM42">
            <v>0</v>
          </cell>
          <cell r="DN42">
            <v>0</v>
          </cell>
          <cell r="DO42">
            <v>0</v>
          </cell>
          <cell r="DP42">
            <v>0</v>
          </cell>
          <cell r="DQ42">
            <v>0</v>
          </cell>
          <cell r="DR42">
            <v>0</v>
          </cell>
          <cell r="DS42">
            <v>0</v>
          </cell>
          <cell r="DT42">
            <v>0</v>
          </cell>
          <cell r="DU42">
            <v>0</v>
          </cell>
          <cell r="DV42">
            <v>0</v>
          </cell>
          <cell r="DW42">
            <v>0</v>
          </cell>
          <cell r="DX42">
            <v>0</v>
          </cell>
          <cell r="DY42">
            <v>0</v>
          </cell>
          <cell r="DZ42">
            <v>0</v>
          </cell>
          <cell r="EA42">
            <v>0</v>
          </cell>
          <cell r="EB42">
            <v>0</v>
          </cell>
          <cell r="EC42">
            <v>0</v>
          </cell>
          <cell r="ED42">
            <v>0.05</v>
          </cell>
          <cell r="EE42">
            <v>0.09</v>
          </cell>
          <cell r="EF42">
            <v>0.08</v>
          </cell>
          <cell r="EG42">
            <v>0.17</v>
          </cell>
          <cell r="EH42">
            <v>1</v>
          </cell>
          <cell r="EI42">
            <v>1</v>
          </cell>
          <cell r="EJ42">
            <v>1</v>
          </cell>
          <cell r="EK42">
            <v>1</v>
          </cell>
          <cell r="EL42">
            <v>0.05</v>
          </cell>
          <cell r="EM42">
            <v>0.14000000000000001</v>
          </cell>
          <cell r="EN42">
            <v>0.11</v>
          </cell>
          <cell r="EO42">
            <v>0.2</v>
          </cell>
          <cell r="EP42">
            <v>0</v>
          </cell>
          <cell r="EQ42">
            <v>0</v>
          </cell>
          <cell r="ER42">
            <v>0</v>
          </cell>
          <cell r="ES42">
            <v>0</v>
          </cell>
          <cell r="ET42">
            <v>0</v>
          </cell>
          <cell r="EU42">
            <v>0</v>
          </cell>
          <cell r="EV42">
            <v>0</v>
          </cell>
          <cell r="EW42">
            <v>0</v>
          </cell>
          <cell r="EX42">
            <v>1</v>
          </cell>
          <cell r="EY42">
            <v>1</v>
          </cell>
          <cell r="EZ42">
            <v>1</v>
          </cell>
          <cell r="FA42">
            <v>0</v>
          </cell>
          <cell r="FB42">
            <v>0</v>
          </cell>
          <cell r="FC42">
            <v>0</v>
          </cell>
          <cell r="FD42">
            <v>0</v>
          </cell>
          <cell r="FE42">
            <v>0</v>
          </cell>
          <cell r="FF42">
            <v>0</v>
          </cell>
          <cell r="FG42">
            <v>0</v>
          </cell>
          <cell r="FH42">
            <v>0</v>
          </cell>
          <cell r="FI42">
            <v>0</v>
          </cell>
          <cell r="FJ42">
            <v>0</v>
          </cell>
          <cell r="FK42">
            <v>0</v>
          </cell>
          <cell r="FL42">
            <v>0</v>
          </cell>
          <cell r="FM42">
            <v>0</v>
          </cell>
          <cell r="FN42">
            <v>0</v>
          </cell>
          <cell r="FO42">
            <v>0</v>
          </cell>
          <cell r="FP42">
            <v>0</v>
          </cell>
          <cell r="FQ42">
            <v>0</v>
          </cell>
          <cell r="FR42">
            <v>0</v>
          </cell>
          <cell r="FS42">
            <v>0</v>
          </cell>
          <cell r="FT42">
            <v>0</v>
          </cell>
          <cell r="FU42">
            <v>0</v>
          </cell>
          <cell r="FV42">
            <v>0</v>
          </cell>
          <cell r="FW42">
            <v>0</v>
          </cell>
          <cell r="FX42">
            <v>0</v>
          </cell>
          <cell r="FY42">
            <v>0</v>
          </cell>
          <cell r="FZ42">
            <v>0</v>
          </cell>
        </row>
        <row r="43">
          <cell r="B43">
            <v>0.1</v>
          </cell>
          <cell r="C43">
            <v>0.08</v>
          </cell>
          <cell r="D43">
            <v>0.15</v>
          </cell>
          <cell r="E43">
            <v>0.08</v>
          </cell>
          <cell r="F43">
            <v>0.15</v>
          </cell>
          <cell r="G43">
            <v>0.22</v>
          </cell>
          <cell r="H43">
            <v>7.0000000000000007E-2</v>
          </cell>
          <cell r="I43">
            <v>0.05</v>
          </cell>
          <cell r="J43">
            <v>0.13</v>
          </cell>
          <cell r="K43">
            <v>0.18</v>
          </cell>
          <cell r="L43">
            <v>0.17</v>
          </cell>
          <cell r="M43">
            <v>0.16</v>
          </cell>
          <cell r="N43">
            <v>0.8</v>
          </cell>
          <cell r="O43">
            <v>1</v>
          </cell>
          <cell r="P43">
            <v>1</v>
          </cell>
          <cell r="Q43">
            <v>0.8</v>
          </cell>
          <cell r="R43">
            <v>0.8</v>
          </cell>
          <cell r="S43">
            <v>1</v>
          </cell>
          <cell r="T43">
            <v>1</v>
          </cell>
          <cell r="U43">
            <v>1</v>
          </cell>
          <cell r="V43">
            <v>1</v>
          </cell>
          <cell r="W43">
            <v>1</v>
          </cell>
          <cell r="X43">
            <v>1</v>
          </cell>
          <cell r="Y43">
            <v>1</v>
          </cell>
          <cell r="Z43">
            <v>0.1</v>
          </cell>
          <cell r="AA43">
            <v>0.1</v>
          </cell>
          <cell r="AB43">
            <v>0.14000000000000001</v>
          </cell>
          <cell r="AC43">
            <v>0.11</v>
          </cell>
          <cell r="AD43">
            <v>0.11</v>
          </cell>
          <cell r="AE43">
            <v>0.19</v>
          </cell>
          <cell r="AF43">
            <v>0.09</v>
          </cell>
          <cell r="AG43">
            <v>0.11</v>
          </cell>
          <cell r="AH43">
            <v>0.15</v>
          </cell>
          <cell r="AI43">
            <v>0.2</v>
          </cell>
          <cell r="AJ43">
            <v>0.2</v>
          </cell>
          <cell r="AK43">
            <v>0.2</v>
          </cell>
          <cell r="AL43">
            <v>0</v>
          </cell>
          <cell r="AM43">
            <v>0</v>
          </cell>
          <cell r="AN43">
            <v>0</v>
          </cell>
          <cell r="AO43">
            <v>0</v>
          </cell>
          <cell r="AP43">
            <v>0</v>
          </cell>
          <cell r="AQ43">
            <v>0</v>
          </cell>
          <cell r="AR43">
            <v>0</v>
          </cell>
          <cell r="AS43">
            <v>0</v>
          </cell>
          <cell r="AT43">
            <v>0</v>
          </cell>
          <cell r="AU43">
            <v>0</v>
          </cell>
          <cell r="AV43">
            <v>0</v>
          </cell>
          <cell r="AW43">
            <v>0</v>
          </cell>
          <cell r="AX43">
            <v>0</v>
          </cell>
          <cell r="AY43">
            <v>0</v>
          </cell>
          <cell r="AZ43">
            <v>0</v>
          </cell>
          <cell r="BA43">
            <v>0</v>
          </cell>
          <cell r="BB43">
            <v>0</v>
          </cell>
          <cell r="BC43">
            <v>0</v>
          </cell>
          <cell r="BD43">
            <v>0</v>
          </cell>
          <cell r="BE43">
            <v>0</v>
          </cell>
          <cell r="BF43">
            <v>0</v>
          </cell>
          <cell r="BG43">
            <v>0</v>
          </cell>
          <cell r="BH43">
            <v>0</v>
          </cell>
          <cell r="BI43">
            <v>0</v>
          </cell>
          <cell r="BJ43">
            <v>0</v>
          </cell>
          <cell r="BK43">
            <v>0</v>
          </cell>
          <cell r="BL43">
            <v>0</v>
          </cell>
          <cell r="BM43">
            <v>0</v>
          </cell>
          <cell r="BN43">
            <v>0</v>
          </cell>
          <cell r="BO43">
            <v>0</v>
          </cell>
          <cell r="BP43">
            <v>0</v>
          </cell>
          <cell r="BQ43">
            <v>0</v>
          </cell>
          <cell r="BR43">
            <v>0</v>
          </cell>
          <cell r="BS43">
            <v>0</v>
          </cell>
          <cell r="BT43">
            <v>0</v>
          </cell>
          <cell r="BU43">
            <v>0</v>
          </cell>
          <cell r="BV43">
            <v>0</v>
          </cell>
          <cell r="BW43">
            <v>0</v>
          </cell>
          <cell r="BX43">
            <v>0</v>
          </cell>
          <cell r="BY43">
            <v>0</v>
          </cell>
          <cell r="BZ43">
            <v>0</v>
          </cell>
          <cell r="CA43">
            <v>0</v>
          </cell>
          <cell r="CB43">
            <v>0</v>
          </cell>
          <cell r="CC43">
            <v>0</v>
          </cell>
          <cell r="CD43">
            <v>0</v>
          </cell>
          <cell r="CE43">
            <v>0</v>
          </cell>
          <cell r="CF43">
            <v>0</v>
          </cell>
          <cell r="CG43">
            <v>0</v>
          </cell>
          <cell r="CH43">
            <v>0</v>
          </cell>
          <cell r="CI43">
            <v>0</v>
          </cell>
          <cell r="CJ43">
            <v>0</v>
          </cell>
          <cell r="CK43">
            <v>0</v>
          </cell>
          <cell r="CL43">
            <v>0</v>
          </cell>
          <cell r="CM43">
            <v>0</v>
          </cell>
          <cell r="CN43">
            <v>0</v>
          </cell>
          <cell r="CO43">
            <v>0</v>
          </cell>
          <cell r="CP43">
            <v>0</v>
          </cell>
          <cell r="CQ43">
            <v>0</v>
          </cell>
          <cell r="CR43">
            <v>0</v>
          </cell>
          <cell r="CS43">
            <v>0</v>
          </cell>
          <cell r="CT43">
            <v>0</v>
          </cell>
          <cell r="CU43">
            <v>0</v>
          </cell>
          <cell r="CV43">
            <v>0</v>
          </cell>
          <cell r="CW43">
            <v>0</v>
          </cell>
          <cell r="CX43">
            <v>0</v>
          </cell>
          <cell r="CY43">
            <v>0</v>
          </cell>
          <cell r="CZ43">
            <v>0</v>
          </cell>
          <cell r="DA43">
            <v>0</v>
          </cell>
          <cell r="DB43">
            <v>0</v>
          </cell>
          <cell r="DC43">
            <v>0</v>
          </cell>
          <cell r="DD43">
            <v>0</v>
          </cell>
          <cell r="DE43">
            <v>0</v>
          </cell>
          <cell r="DF43">
            <v>0</v>
          </cell>
          <cell r="DG43">
            <v>0</v>
          </cell>
          <cell r="DH43">
            <v>0</v>
          </cell>
          <cell r="DI43">
            <v>0</v>
          </cell>
          <cell r="DJ43">
            <v>0</v>
          </cell>
          <cell r="DK43">
            <v>0</v>
          </cell>
          <cell r="DL43">
            <v>0</v>
          </cell>
          <cell r="DM43">
            <v>0</v>
          </cell>
          <cell r="DN43">
            <v>0</v>
          </cell>
          <cell r="DO43">
            <v>0</v>
          </cell>
          <cell r="DP43">
            <v>0</v>
          </cell>
          <cell r="DQ43">
            <v>0</v>
          </cell>
          <cell r="DR43">
            <v>0</v>
          </cell>
          <cell r="DS43">
            <v>0</v>
          </cell>
          <cell r="DT43">
            <v>0</v>
          </cell>
          <cell r="DU43">
            <v>0</v>
          </cell>
          <cell r="DV43">
            <v>0</v>
          </cell>
          <cell r="DW43">
            <v>0</v>
          </cell>
          <cell r="DX43">
            <v>0</v>
          </cell>
          <cell r="DY43">
            <v>0</v>
          </cell>
          <cell r="DZ43">
            <v>0</v>
          </cell>
          <cell r="EA43">
            <v>0</v>
          </cell>
          <cell r="EB43">
            <v>0</v>
          </cell>
          <cell r="EC43">
            <v>0</v>
          </cell>
          <cell r="ED43">
            <v>0.05</v>
          </cell>
          <cell r="EE43">
            <v>0.09</v>
          </cell>
          <cell r="EF43">
            <v>0.08</v>
          </cell>
          <cell r="EG43">
            <v>0.17</v>
          </cell>
          <cell r="EH43">
            <v>1</v>
          </cell>
          <cell r="EI43">
            <v>1</v>
          </cell>
          <cell r="EJ43">
            <v>1</v>
          </cell>
          <cell r="EK43">
            <v>1</v>
          </cell>
          <cell r="EL43">
            <v>0.05</v>
          </cell>
          <cell r="EM43">
            <v>0.14000000000000001</v>
          </cell>
          <cell r="EN43">
            <v>0.11</v>
          </cell>
          <cell r="EO43">
            <v>0.2</v>
          </cell>
          <cell r="EP43">
            <v>0</v>
          </cell>
          <cell r="EQ43">
            <v>0</v>
          </cell>
          <cell r="ER43">
            <v>0</v>
          </cell>
          <cell r="ES43">
            <v>0</v>
          </cell>
          <cell r="ET43">
            <v>0</v>
          </cell>
          <cell r="EU43">
            <v>0</v>
          </cell>
          <cell r="EV43">
            <v>0</v>
          </cell>
          <cell r="EW43">
            <v>0</v>
          </cell>
          <cell r="EX43">
            <v>1</v>
          </cell>
          <cell r="EY43">
            <v>1</v>
          </cell>
          <cell r="EZ43">
            <v>1</v>
          </cell>
          <cell r="FA43">
            <v>0</v>
          </cell>
          <cell r="FB43">
            <v>0</v>
          </cell>
          <cell r="FC43">
            <v>0</v>
          </cell>
          <cell r="FD43">
            <v>0</v>
          </cell>
          <cell r="FE43">
            <v>0</v>
          </cell>
          <cell r="FF43">
            <v>0</v>
          </cell>
          <cell r="FG43">
            <v>0</v>
          </cell>
          <cell r="FH43">
            <v>0</v>
          </cell>
          <cell r="FI43">
            <v>0</v>
          </cell>
          <cell r="FJ43">
            <v>0</v>
          </cell>
          <cell r="FK43">
            <v>0</v>
          </cell>
          <cell r="FL43">
            <v>0</v>
          </cell>
          <cell r="FM43">
            <v>0</v>
          </cell>
          <cell r="FN43">
            <v>0</v>
          </cell>
          <cell r="FO43">
            <v>0</v>
          </cell>
          <cell r="FP43">
            <v>0</v>
          </cell>
          <cell r="FQ43">
            <v>0</v>
          </cell>
          <cell r="FR43">
            <v>0</v>
          </cell>
          <cell r="FS43">
            <v>0</v>
          </cell>
          <cell r="FT43">
            <v>0</v>
          </cell>
          <cell r="FU43">
            <v>0</v>
          </cell>
          <cell r="FV43">
            <v>0</v>
          </cell>
          <cell r="FW43">
            <v>0</v>
          </cell>
          <cell r="FX43">
            <v>0</v>
          </cell>
          <cell r="FY43">
            <v>0</v>
          </cell>
          <cell r="FZ43">
            <v>0</v>
          </cell>
        </row>
        <row r="44">
          <cell r="B44">
            <v>0.1</v>
          </cell>
          <cell r="C44">
            <v>0.08</v>
          </cell>
          <cell r="D44">
            <v>0.15</v>
          </cell>
          <cell r="E44">
            <v>0.08</v>
          </cell>
          <cell r="F44">
            <v>0.15</v>
          </cell>
          <cell r="G44">
            <v>0.22</v>
          </cell>
          <cell r="H44">
            <v>7.0000000000000007E-2</v>
          </cell>
          <cell r="I44">
            <v>0.05</v>
          </cell>
          <cell r="J44">
            <v>0.13</v>
          </cell>
          <cell r="K44">
            <v>0.18</v>
          </cell>
          <cell r="L44">
            <v>0.17</v>
          </cell>
          <cell r="M44">
            <v>0.16</v>
          </cell>
          <cell r="N44">
            <v>0.8</v>
          </cell>
          <cell r="O44">
            <v>1</v>
          </cell>
          <cell r="P44">
            <v>1</v>
          </cell>
          <cell r="Q44">
            <v>0.8</v>
          </cell>
          <cell r="R44">
            <v>0.8</v>
          </cell>
          <cell r="S44">
            <v>1</v>
          </cell>
          <cell r="T44">
            <v>1</v>
          </cell>
          <cell r="U44">
            <v>1</v>
          </cell>
          <cell r="V44">
            <v>1</v>
          </cell>
          <cell r="W44">
            <v>1</v>
          </cell>
          <cell r="X44">
            <v>1</v>
          </cell>
          <cell r="Y44">
            <v>1</v>
          </cell>
          <cell r="Z44">
            <v>0.1</v>
          </cell>
          <cell r="AA44">
            <v>0.1</v>
          </cell>
          <cell r="AB44">
            <v>0.14000000000000001</v>
          </cell>
          <cell r="AC44">
            <v>0.11</v>
          </cell>
          <cell r="AD44">
            <v>0.11</v>
          </cell>
          <cell r="AE44">
            <v>0.19</v>
          </cell>
          <cell r="AF44">
            <v>0.09</v>
          </cell>
          <cell r="AG44">
            <v>0.11</v>
          </cell>
          <cell r="AH44">
            <v>0.15</v>
          </cell>
          <cell r="AI44">
            <v>0.2</v>
          </cell>
          <cell r="AJ44">
            <v>0.2</v>
          </cell>
          <cell r="AK44">
            <v>0.2</v>
          </cell>
          <cell r="AL44">
            <v>0</v>
          </cell>
          <cell r="AM44">
            <v>0</v>
          </cell>
          <cell r="AN44">
            <v>0</v>
          </cell>
          <cell r="AO44">
            <v>0</v>
          </cell>
          <cell r="AP44">
            <v>0</v>
          </cell>
          <cell r="AQ44">
            <v>0</v>
          </cell>
          <cell r="AR44">
            <v>0</v>
          </cell>
          <cell r="AS44">
            <v>0</v>
          </cell>
          <cell r="AT44">
            <v>0</v>
          </cell>
          <cell r="AU44">
            <v>0</v>
          </cell>
          <cell r="AV44">
            <v>0</v>
          </cell>
          <cell r="AW44">
            <v>0</v>
          </cell>
          <cell r="AX44">
            <v>0</v>
          </cell>
          <cell r="AY44">
            <v>0</v>
          </cell>
          <cell r="AZ44">
            <v>0</v>
          </cell>
          <cell r="BA44">
            <v>0</v>
          </cell>
          <cell r="BB44">
            <v>0</v>
          </cell>
          <cell r="BC44">
            <v>0</v>
          </cell>
          <cell r="BD44">
            <v>0</v>
          </cell>
          <cell r="BE44">
            <v>0</v>
          </cell>
          <cell r="BF44">
            <v>0</v>
          </cell>
          <cell r="BG44">
            <v>0</v>
          </cell>
          <cell r="BH44">
            <v>0</v>
          </cell>
          <cell r="BI44">
            <v>0</v>
          </cell>
          <cell r="BJ44">
            <v>0</v>
          </cell>
          <cell r="BK44">
            <v>0</v>
          </cell>
          <cell r="BL44">
            <v>0</v>
          </cell>
          <cell r="BM44">
            <v>0</v>
          </cell>
          <cell r="BN44">
            <v>0</v>
          </cell>
          <cell r="BO44">
            <v>0</v>
          </cell>
          <cell r="BP44">
            <v>0</v>
          </cell>
          <cell r="BQ44">
            <v>0</v>
          </cell>
          <cell r="BR44">
            <v>0</v>
          </cell>
          <cell r="BS44">
            <v>0</v>
          </cell>
          <cell r="BT44">
            <v>0</v>
          </cell>
          <cell r="BU44">
            <v>0</v>
          </cell>
          <cell r="BV44">
            <v>0</v>
          </cell>
          <cell r="BW44">
            <v>0</v>
          </cell>
          <cell r="BX44">
            <v>0</v>
          </cell>
          <cell r="BY44">
            <v>0</v>
          </cell>
          <cell r="BZ44">
            <v>0</v>
          </cell>
          <cell r="CA44">
            <v>0</v>
          </cell>
          <cell r="CB44">
            <v>0</v>
          </cell>
          <cell r="CC44">
            <v>0</v>
          </cell>
          <cell r="CD44">
            <v>0</v>
          </cell>
          <cell r="CE44">
            <v>0</v>
          </cell>
          <cell r="CF44">
            <v>0</v>
          </cell>
          <cell r="CG44">
            <v>0</v>
          </cell>
          <cell r="CH44">
            <v>0</v>
          </cell>
          <cell r="CI44">
            <v>0</v>
          </cell>
          <cell r="CJ44">
            <v>0</v>
          </cell>
          <cell r="CK44">
            <v>0</v>
          </cell>
          <cell r="CL44">
            <v>0</v>
          </cell>
          <cell r="CM44">
            <v>0</v>
          </cell>
          <cell r="CN44">
            <v>0</v>
          </cell>
          <cell r="CO44">
            <v>0</v>
          </cell>
          <cell r="CP44">
            <v>0</v>
          </cell>
          <cell r="CQ44">
            <v>0</v>
          </cell>
          <cell r="CR44">
            <v>0</v>
          </cell>
          <cell r="CS44">
            <v>0</v>
          </cell>
          <cell r="CT44">
            <v>0</v>
          </cell>
          <cell r="CU44">
            <v>0</v>
          </cell>
          <cell r="CV44">
            <v>0</v>
          </cell>
          <cell r="CW44">
            <v>0</v>
          </cell>
          <cell r="CX44">
            <v>0</v>
          </cell>
          <cell r="CY44">
            <v>0</v>
          </cell>
          <cell r="CZ44">
            <v>0</v>
          </cell>
          <cell r="DA44">
            <v>0</v>
          </cell>
          <cell r="DB44">
            <v>0</v>
          </cell>
          <cell r="DC44">
            <v>0</v>
          </cell>
          <cell r="DD44">
            <v>0</v>
          </cell>
          <cell r="DE44">
            <v>0</v>
          </cell>
          <cell r="DF44">
            <v>0</v>
          </cell>
          <cell r="DG44">
            <v>0</v>
          </cell>
          <cell r="DH44">
            <v>0</v>
          </cell>
          <cell r="DI44">
            <v>0</v>
          </cell>
          <cell r="DJ44">
            <v>0</v>
          </cell>
          <cell r="DK44">
            <v>0</v>
          </cell>
          <cell r="DL44">
            <v>0</v>
          </cell>
          <cell r="DM44">
            <v>0</v>
          </cell>
          <cell r="DN44">
            <v>0</v>
          </cell>
          <cell r="DO44">
            <v>0</v>
          </cell>
          <cell r="DP44">
            <v>0</v>
          </cell>
          <cell r="DQ44">
            <v>0</v>
          </cell>
          <cell r="DR44">
            <v>0</v>
          </cell>
          <cell r="DS44">
            <v>0</v>
          </cell>
          <cell r="DT44">
            <v>0</v>
          </cell>
          <cell r="DU44">
            <v>0</v>
          </cell>
          <cell r="DV44">
            <v>0</v>
          </cell>
          <cell r="DW44">
            <v>0</v>
          </cell>
          <cell r="DX44">
            <v>0</v>
          </cell>
          <cell r="DY44">
            <v>0</v>
          </cell>
          <cell r="DZ44">
            <v>0</v>
          </cell>
          <cell r="EA44">
            <v>0</v>
          </cell>
          <cell r="EB44">
            <v>0</v>
          </cell>
          <cell r="EC44">
            <v>0</v>
          </cell>
          <cell r="ED44">
            <v>0.05</v>
          </cell>
          <cell r="EE44">
            <v>0.09</v>
          </cell>
          <cell r="EF44">
            <v>0.08</v>
          </cell>
          <cell r="EG44">
            <v>0.17</v>
          </cell>
          <cell r="EH44">
            <v>1</v>
          </cell>
          <cell r="EI44">
            <v>1</v>
          </cell>
          <cell r="EJ44">
            <v>1</v>
          </cell>
          <cell r="EK44">
            <v>1</v>
          </cell>
          <cell r="EL44">
            <v>0.05</v>
          </cell>
          <cell r="EM44">
            <v>0.14000000000000001</v>
          </cell>
          <cell r="EN44">
            <v>0.11</v>
          </cell>
          <cell r="EO44">
            <v>0.2</v>
          </cell>
          <cell r="EP44">
            <v>0</v>
          </cell>
          <cell r="EQ44">
            <v>0</v>
          </cell>
          <cell r="ER44">
            <v>0</v>
          </cell>
          <cell r="ES44">
            <v>0</v>
          </cell>
          <cell r="ET44">
            <v>0</v>
          </cell>
          <cell r="EU44">
            <v>0</v>
          </cell>
          <cell r="EV44">
            <v>0</v>
          </cell>
          <cell r="EW44">
            <v>0</v>
          </cell>
          <cell r="EX44">
            <v>1</v>
          </cell>
          <cell r="EY44">
            <v>1</v>
          </cell>
          <cell r="EZ44">
            <v>1</v>
          </cell>
          <cell r="FA44">
            <v>0</v>
          </cell>
          <cell r="FB44">
            <v>0</v>
          </cell>
          <cell r="FC44">
            <v>0</v>
          </cell>
          <cell r="FD44">
            <v>0</v>
          </cell>
          <cell r="FE44">
            <v>0</v>
          </cell>
          <cell r="FF44">
            <v>0</v>
          </cell>
          <cell r="FG44">
            <v>0</v>
          </cell>
          <cell r="FH44">
            <v>0</v>
          </cell>
          <cell r="FI44">
            <v>0</v>
          </cell>
          <cell r="FJ44">
            <v>0</v>
          </cell>
          <cell r="FK44">
            <v>0</v>
          </cell>
          <cell r="FL44">
            <v>0</v>
          </cell>
          <cell r="FM44">
            <v>0</v>
          </cell>
          <cell r="FN44">
            <v>0</v>
          </cell>
          <cell r="FO44">
            <v>0</v>
          </cell>
          <cell r="FP44">
            <v>0</v>
          </cell>
          <cell r="FQ44">
            <v>0</v>
          </cell>
          <cell r="FR44">
            <v>0</v>
          </cell>
          <cell r="FS44">
            <v>0</v>
          </cell>
          <cell r="FT44">
            <v>0</v>
          </cell>
          <cell r="FU44">
            <v>0</v>
          </cell>
          <cell r="FV44">
            <v>0</v>
          </cell>
          <cell r="FW44">
            <v>0</v>
          </cell>
          <cell r="FX44">
            <v>0</v>
          </cell>
          <cell r="FY44">
            <v>0</v>
          </cell>
          <cell r="FZ44">
            <v>0</v>
          </cell>
        </row>
        <row r="45">
          <cell r="B45">
            <v>0.1</v>
          </cell>
          <cell r="C45">
            <v>0.08</v>
          </cell>
          <cell r="D45">
            <v>0.15</v>
          </cell>
          <cell r="E45">
            <v>0.08</v>
          </cell>
          <cell r="F45">
            <v>0.15</v>
          </cell>
          <cell r="G45">
            <v>0.22</v>
          </cell>
          <cell r="H45">
            <v>7.0000000000000007E-2</v>
          </cell>
          <cell r="I45">
            <v>0.05</v>
          </cell>
          <cell r="J45">
            <v>0.13</v>
          </cell>
          <cell r="K45">
            <v>0.18</v>
          </cell>
          <cell r="L45">
            <v>0.17</v>
          </cell>
          <cell r="M45">
            <v>0.16</v>
          </cell>
          <cell r="N45">
            <v>0.8</v>
          </cell>
          <cell r="O45">
            <v>1</v>
          </cell>
          <cell r="P45">
            <v>1</v>
          </cell>
          <cell r="Q45">
            <v>0.8</v>
          </cell>
          <cell r="R45">
            <v>0.8</v>
          </cell>
          <cell r="S45">
            <v>1</v>
          </cell>
          <cell r="T45">
            <v>1</v>
          </cell>
          <cell r="U45">
            <v>1</v>
          </cell>
          <cell r="V45">
            <v>1</v>
          </cell>
          <cell r="W45">
            <v>1</v>
          </cell>
          <cell r="X45">
            <v>1</v>
          </cell>
          <cell r="Y45">
            <v>1</v>
          </cell>
          <cell r="Z45">
            <v>0.1</v>
          </cell>
          <cell r="AA45">
            <v>0.1</v>
          </cell>
          <cell r="AB45">
            <v>0.14000000000000001</v>
          </cell>
          <cell r="AC45">
            <v>0.11</v>
          </cell>
          <cell r="AD45">
            <v>0.11</v>
          </cell>
          <cell r="AE45">
            <v>0.19</v>
          </cell>
          <cell r="AF45">
            <v>0.09</v>
          </cell>
          <cell r="AG45">
            <v>0.11</v>
          </cell>
          <cell r="AH45">
            <v>0.15</v>
          </cell>
          <cell r="AI45">
            <v>0.2</v>
          </cell>
          <cell r="AJ45">
            <v>0.2</v>
          </cell>
          <cell r="AK45">
            <v>0.2</v>
          </cell>
          <cell r="AL45">
            <v>0</v>
          </cell>
          <cell r="AM45">
            <v>0</v>
          </cell>
          <cell r="AN45">
            <v>0</v>
          </cell>
          <cell r="AO45">
            <v>0</v>
          </cell>
          <cell r="AP45">
            <v>0</v>
          </cell>
          <cell r="AQ45">
            <v>0</v>
          </cell>
          <cell r="AR45">
            <v>0</v>
          </cell>
          <cell r="AS45">
            <v>0</v>
          </cell>
          <cell r="AT45">
            <v>0</v>
          </cell>
          <cell r="AU45">
            <v>0</v>
          </cell>
          <cell r="AV45">
            <v>0</v>
          </cell>
          <cell r="AW45">
            <v>0</v>
          </cell>
          <cell r="AX45">
            <v>0</v>
          </cell>
          <cell r="AY45">
            <v>0</v>
          </cell>
          <cell r="AZ45">
            <v>0</v>
          </cell>
          <cell r="BA45">
            <v>0</v>
          </cell>
          <cell r="BB45">
            <v>0</v>
          </cell>
          <cell r="BC45">
            <v>0</v>
          </cell>
          <cell r="BD45">
            <v>0</v>
          </cell>
          <cell r="BE45">
            <v>0</v>
          </cell>
          <cell r="BF45">
            <v>0</v>
          </cell>
          <cell r="BG45">
            <v>0</v>
          </cell>
          <cell r="BH45">
            <v>0</v>
          </cell>
          <cell r="BI45">
            <v>0</v>
          </cell>
          <cell r="BJ45">
            <v>0</v>
          </cell>
          <cell r="BK45">
            <v>0</v>
          </cell>
          <cell r="BL45">
            <v>0</v>
          </cell>
          <cell r="BM45">
            <v>0</v>
          </cell>
          <cell r="BN45">
            <v>0</v>
          </cell>
          <cell r="BO45">
            <v>0</v>
          </cell>
          <cell r="BP45">
            <v>0</v>
          </cell>
          <cell r="BQ45">
            <v>0</v>
          </cell>
          <cell r="BR45">
            <v>0</v>
          </cell>
          <cell r="BS45">
            <v>0</v>
          </cell>
          <cell r="BT45">
            <v>0</v>
          </cell>
          <cell r="BU45">
            <v>0</v>
          </cell>
          <cell r="BV45">
            <v>0</v>
          </cell>
          <cell r="BW45">
            <v>0</v>
          </cell>
          <cell r="BX45">
            <v>0</v>
          </cell>
          <cell r="BY45">
            <v>0</v>
          </cell>
          <cell r="BZ45">
            <v>0</v>
          </cell>
          <cell r="CA45">
            <v>0</v>
          </cell>
          <cell r="CB45">
            <v>0</v>
          </cell>
          <cell r="CC45">
            <v>0</v>
          </cell>
          <cell r="CD45">
            <v>0</v>
          </cell>
          <cell r="CE45">
            <v>0</v>
          </cell>
          <cell r="CF45">
            <v>0</v>
          </cell>
          <cell r="CG45">
            <v>0</v>
          </cell>
          <cell r="CH45">
            <v>0</v>
          </cell>
          <cell r="CI45">
            <v>0</v>
          </cell>
          <cell r="CJ45">
            <v>0</v>
          </cell>
          <cell r="CK45">
            <v>0</v>
          </cell>
          <cell r="CL45">
            <v>0</v>
          </cell>
          <cell r="CM45">
            <v>0</v>
          </cell>
          <cell r="CN45">
            <v>0</v>
          </cell>
          <cell r="CO45">
            <v>0</v>
          </cell>
          <cell r="CP45">
            <v>0</v>
          </cell>
          <cell r="CQ45">
            <v>0</v>
          </cell>
          <cell r="CR45">
            <v>0</v>
          </cell>
          <cell r="CS45">
            <v>0</v>
          </cell>
          <cell r="CT45">
            <v>0</v>
          </cell>
          <cell r="CU45">
            <v>0</v>
          </cell>
          <cell r="CV45">
            <v>0</v>
          </cell>
          <cell r="CW45">
            <v>0</v>
          </cell>
          <cell r="CX45">
            <v>0</v>
          </cell>
          <cell r="CY45">
            <v>0</v>
          </cell>
          <cell r="CZ45">
            <v>0</v>
          </cell>
          <cell r="DA45">
            <v>0</v>
          </cell>
          <cell r="DB45">
            <v>0</v>
          </cell>
          <cell r="DC45">
            <v>0</v>
          </cell>
          <cell r="DD45">
            <v>0</v>
          </cell>
          <cell r="DE45">
            <v>0</v>
          </cell>
          <cell r="DF45">
            <v>0</v>
          </cell>
          <cell r="DG45">
            <v>0</v>
          </cell>
          <cell r="DH45">
            <v>0</v>
          </cell>
          <cell r="DI45">
            <v>0</v>
          </cell>
          <cell r="DJ45">
            <v>0</v>
          </cell>
          <cell r="DK45">
            <v>0</v>
          </cell>
          <cell r="DL45">
            <v>0</v>
          </cell>
          <cell r="DM45">
            <v>0</v>
          </cell>
          <cell r="DN45">
            <v>0</v>
          </cell>
          <cell r="DO45">
            <v>0</v>
          </cell>
          <cell r="DP45">
            <v>0</v>
          </cell>
          <cell r="DQ45">
            <v>0</v>
          </cell>
          <cell r="DR45">
            <v>0</v>
          </cell>
          <cell r="DS45">
            <v>0</v>
          </cell>
          <cell r="DT45">
            <v>0</v>
          </cell>
          <cell r="DU45">
            <v>0</v>
          </cell>
          <cell r="DV45">
            <v>0</v>
          </cell>
          <cell r="DW45">
            <v>0</v>
          </cell>
          <cell r="DX45">
            <v>0</v>
          </cell>
          <cell r="DY45">
            <v>0</v>
          </cell>
          <cell r="DZ45">
            <v>0</v>
          </cell>
          <cell r="EA45">
            <v>0</v>
          </cell>
          <cell r="EB45">
            <v>0</v>
          </cell>
          <cell r="EC45">
            <v>0</v>
          </cell>
          <cell r="ED45">
            <v>0.05</v>
          </cell>
          <cell r="EE45">
            <v>0.09</v>
          </cell>
          <cell r="EF45">
            <v>0.08</v>
          </cell>
          <cell r="EG45">
            <v>0.17</v>
          </cell>
          <cell r="EH45">
            <v>1</v>
          </cell>
          <cell r="EI45">
            <v>1</v>
          </cell>
          <cell r="EJ45">
            <v>1</v>
          </cell>
          <cell r="EK45">
            <v>1</v>
          </cell>
          <cell r="EL45">
            <v>0.05</v>
          </cell>
          <cell r="EM45">
            <v>0.14000000000000001</v>
          </cell>
          <cell r="EN45">
            <v>0.11</v>
          </cell>
          <cell r="EO45">
            <v>0.2</v>
          </cell>
          <cell r="EP45">
            <v>0</v>
          </cell>
          <cell r="EQ45">
            <v>0</v>
          </cell>
          <cell r="ER45">
            <v>0</v>
          </cell>
          <cell r="ES45">
            <v>0</v>
          </cell>
          <cell r="ET45">
            <v>0</v>
          </cell>
          <cell r="EU45">
            <v>0</v>
          </cell>
          <cell r="EV45">
            <v>0</v>
          </cell>
          <cell r="EW45">
            <v>0</v>
          </cell>
          <cell r="EX45">
            <v>1</v>
          </cell>
          <cell r="EY45">
            <v>1</v>
          </cell>
          <cell r="EZ45">
            <v>1</v>
          </cell>
          <cell r="FA45">
            <v>0</v>
          </cell>
          <cell r="FB45">
            <v>0</v>
          </cell>
          <cell r="FC45">
            <v>0</v>
          </cell>
          <cell r="FD45">
            <v>0</v>
          </cell>
          <cell r="FE45">
            <v>0</v>
          </cell>
          <cell r="FF45">
            <v>0</v>
          </cell>
          <cell r="FG45">
            <v>0</v>
          </cell>
          <cell r="FH45">
            <v>0</v>
          </cell>
          <cell r="FI45">
            <v>0</v>
          </cell>
          <cell r="FJ45">
            <v>0</v>
          </cell>
          <cell r="FK45">
            <v>0</v>
          </cell>
          <cell r="FL45">
            <v>0</v>
          </cell>
          <cell r="FM45">
            <v>0</v>
          </cell>
          <cell r="FN45">
            <v>0</v>
          </cell>
          <cell r="FO45">
            <v>0</v>
          </cell>
          <cell r="FP45">
            <v>0</v>
          </cell>
          <cell r="FQ45">
            <v>0</v>
          </cell>
          <cell r="FR45">
            <v>0</v>
          </cell>
          <cell r="FS45">
            <v>0</v>
          </cell>
          <cell r="FT45">
            <v>0</v>
          </cell>
          <cell r="FU45">
            <v>0</v>
          </cell>
          <cell r="FV45">
            <v>0</v>
          </cell>
          <cell r="FW45">
            <v>0</v>
          </cell>
          <cell r="FX45">
            <v>0</v>
          </cell>
          <cell r="FY45">
            <v>0</v>
          </cell>
          <cell r="FZ45">
            <v>0</v>
          </cell>
        </row>
        <row r="46">
          <cell r="B46">
            <v>0.1</v>
          </cell>
          <cell r="C46">
            <v>0.08</v>
          </cell>
          <cell r="D46">
            <v>0.15</v>
          </cell>
          <cell r="E46">
            <v>0.08</v>
          </cell>
          <cell r="F46">
            <v>0.15</v>
          </cell>
          <cell r="G46">
            <v>0.22</v>
          </cell>
          <cell r="H46">
            <v>7.0000000000000007E-2</v>
          </cell>
          <cell r="I46">
            <v>0.05</v>
          </cell>
          <cell r="J46">
            <v>0.13</v>
          </cell>
          <cell r="K46">
            <v>0.18</v>
          </cell>
          <cell r="L46">
            <v>0.17</v>
          </cell>
          <cell r="M46">
            <v>0.16</v>
          </cell>
          <cell r="N46">
            <v>0.8</v>
          </cell>
          <cell r="O46">
            <v>1</v>
          </cell>
          <cell r="P46">
            <v>1</v>
          </cell>
          <cell r="Q46">
            <v>0.8</v>
          </cell>
          <cell r="R46">
            <v>0.8</v>
          </cell>
          <cell r="S46">
            <v>1</v>
          </cell>
          <cell r="T46">
            <v>1</v>
          </cell>
          <cell r="U46">
            <v>1</v>
          </cell>
          <cell r="V46">
            <v>1</v>
          </cell>
          <cell r="W46">
            <v>1</v>
          </cell>
          <cell r="X46">
            <v>1</v>
          </cell>
          <cell r="Y46">
            <v>1</v>
          </cell>
          <cell r="Z46">
            <v>0.1</v>
          </cell>
          <cell r="AA46">
            <v>0.1</v>
          </cell>
          <cell r="AB46">
            <v>0.14000000000000001</v>
          </cell>
          <cell r="AC46">
            <v>0.11</v>
          </cell>
          <cell r="AD46">
            <v>0.11</v>
          </cell>
          <cell r="AE46">
            <v>0.19</v>
          </cell>
          <cell r="AF46">
            <v>0.09</v>
          </cell>
          <cell r="AG46">
            <v>0.11</v>
          </cell>
          <cell r="AH46">
            <v>0.15</v>
          </cell>
          <cell r="AI46">
            <v>0.2</v>
          </cell>
          <cell r="AJ46">
            <v>0.2</v>
          </cell>
          <cell r="AK46">
            <v>0.2</v>
          </cell>
          <cell r="AL46">
            <v>0</v>
          </cell>
          <cell r="AM46">
            <v>0</v>
          </cell>
          <cell r="AN46">
            <v>0</v>
          </cell>
          <cell r="AO46">
            <v>0</v>
          </cell>
          <cell r="AP46">
            <v>0</v>
          </cell>
          <cell r="AQ46">
            <v>0</v>
          </cell>
          <cell r="AR46">
            <v>0</v>
          </cell>
          <cell r="AS46">
            <v>0</v>
          </cell>
          <cell r="AT46">
            <v>0</v>
          </cell>
          <cell r="AU46">
            <v>0</v>
          </cell>
          <cell r="AV46">
            <v>0</v>
          </cell>
          <cell r="AW46">
            <v>0</v>
          </cell>
          <cell r="AX46">
            <v>0</v>
          </cell>
          <cell r="AY46">
            <v>0</v>
          </cell>
          <cell r="AZ46">
            <v>0</v>
          </cell>
          <cell r="BA46">
            <v>0</v>
          </cell>
          <cell r="BB46">
            <v>0</v>
          </cell>
          <cell r="BC46">
            <v>0</v>
          </cell>
          <cell r="BD46">
            <v>0</v>
          </cell>
          <cell r="BE46">
            <v>0</v>
          </cell>
          <cell r="BF46">
            <v>0</v>
          </cell>
          <cell r="BG46">
            <v>0</v>
          </cell>
          <cell r="BH46">
            <v>0</v>
          </cell>
          <cell r="BI46">
            <v>0</v>
          </cell>
          <cell r="BJ46">
            <v>0</v>
          </cell>
          <cell r="BK46">
            <v>0</v>
          </cell>
          <cell r="BL46">
            <v>0</v>
          </cell>
          <cell r="BM46">
            <v>0</v>
          </cell>
          <cell r="BN46">
            <v>0</v>
          </cell>
          <cell r="BO46">
            <v>0</v>
          </cell>
          <cell r="BP46">
            <v>0</v>
          </cell>
          <cell r="BQ46">
            <v>0</v>
          </cell>
          <cell r="BR46">
            <v>0</v>
          </cell>
          <cell r="BS46">
            <v>0</v>
          </cell>
          <cell r="BT46">
            <v>0</v>
          </cell>
          <cell r="BU46">
            <v>0</v>
          </cell>
          <cell r="BV46">
            <v>0</v>
          </cell>
          <cell r="BW46">
            <v>0</v>
          </cell>
          <cell r="BX46">
            <v>0</v>
          </cell>
          <cell r="BY46">
            <v>0</v>
          </cell>
          <cell r="BZ46">
            <v>0</v>
          </cell>
          <cell r="CA46">
            <v>0</v>
          </cell>
          <cell r="CB46">
            <v>0</v>
          </cell>
          <cell r="CC46">
            <v>0</v>
          </cell>
          <cell r="CD46">
            <v>0</v>
          </cell>
          <cell r="CE46">
            <v>0</v>
          </cell>
          <cell r="CF46">
            <v>0</v>
          </cell>
          <cell r="CG46">
            <v>0</v>
          </cell>
          <cell r="CH46">
            <v>0</v>
          </cell>
          <cell r="CI46">
            <v>0</v>
          </cell>
          <cell r="CJ46">
            <v>0</v>
          </cell>
          <cell r="CK46">
            <v>0</v>
          </cell>
          <cell r="CL46">
            <v>0</v>
          </cell>
          <cell r="CM46">
            <v>0</v>
          </cell>
          <cell r="CN46">
            <v>0</v>
          </cell>
          <cell r="CO46">
            <v>0</v>
          </cell>
          <cell r="CP46">
            <v>0</v>
          </cell>
          <cell r="CQ46">
            <v>0</v>
          </cell>
          <cell r="CR46">
            <v>0</v>
          </cell>
          <cell r="CS46">
            <v>0</v>
          </cell>
          <cell r="CT46">
            <v>0</v>
          </cell>
          <cell r="CU46">
            <v>0</v>
          </cell>
          <cell r="CV46">
            <v>0</v>
          </cell>
          <cell r="CW46">
            <v>0</v>
          </cell>
          <cell r="CX46">
            <v>0</v>
          </cell>
          <cell r="CY46">
            <v>0</v>
          </cell>
          <cell r="CZ46">
            <v>0</v>
          </cell>
          <cell r="DA46">
            <v>0</v>
          </cell>
          <cell r="DB46">
            <v>0</v>
          </cell>
          <cell r="DC46">
            <v>0</v>
          </cell>
          <cell r="DD46">
            <v>0</v>
          </cell>
          <cell r="DE46">
            <v>0</v>
          </cell>
          <cell r="DF46">
            <v>0</v>
          </cell>
          <cell r="DG46">
            <v>0</v>
          </cell>
          <cell r="DH46">
            <v>0</v>
          </cell>
          <cell r="DI46">
            <v>0</v>
          </cell>
          <cell r="DJ46">
            <v>0</v>
          </cell>
          <cell r="DK46">
            <v>0</v>
          </cell>
          <cell r="DL46">
            <v>0</v>
          </cell>
          <cell r="DM46">
            <v>0</v>
          </cell>
          <cell r="DN46">
            <v>0</v>
          </cell>
          <cell r="DO46">
            <v>0</v>
          </cell>
          <cell r="DP46">
            <v>0</v>
          </cell>
          <cell r="DQ46">
            <v>0</v>
          </cell>
          <cell r="DR46">
            <v>0</v>
          </cell>
          <cell r="DS46">
            <v>0</v>
          </cell>
          <cell r="DT46">
            <v>0</v>
          </cell>
          <cell r="DU46">
            <v>0</v>
          </cell>
          <cell r="DV46">
            <v>0</v>
          </cell>
          <cell r="DW46">
            <v>0</v>
          </cell>
          <cell r="DX46">
            <v>0</v>
          </cell>
          <cell r="DY46">
            <v>0</v>
          </cell>
          <cell r="DZ46">
            <v>0</v>
          </cell>
          <cell r="EA46">
            <v>0</v>
          </cell>
          <cell r="EB46">
            <v>0</v>
          </cell>
          <cell r="EC46">
            <v>0</v>
          </cell>
          <cell r="ED46">
            <v>0.05</v>
          </cell>
          <cell r="EE46">
            <v>0.09</v>
          </cell>
          <cell r="EF46">
            <v>0.08</v>
          </cell>
          <cell r="EG46">
            <v>0.17</v>
          </cell>
          <cell r="EH46">
            <v>1</v>
          </cell>
          <cell r="EI46">
            <v>1</v>
          </cell>
          <cell r="EJ46">
            <v>1</v>
          </cell>
          <cell r="EK46">
            <v>1</v>
          </cell>
          <cell r="EL46">
            <v>0.05</v>
          </cell>
          <cell r="EM46">
            <v>0.14000000000000001</v>
          </cell>
          <cell r="EN46">
            <v>0.11</v>
          </cell>
          <cell r="EO46">
            <v>0.2</v>
          </cell>
          <cell r="EP46">
            <v>0</v>
          </cell>
          <cell r="EQ46">
            <v>0</v>
          </cell>
          <cell r="ER46">
            <v>0</v>
          </cell>
          <cell r="ES46">
            <v>0</v>
          </cell>
          <cell r="ET46">
            <v>0</v>
          </cell>
          <cell r="EU46">
            <v>0</v>
          </cell>
          <cell r="EV46">
            <v>0</v>
          </cell>
          <cell r="EW46">
            <v>0</v>
          </cell>
          <cell r="EX46">
            <v>1</v>
          </cell>
          <cell r="EY46">
            <v>1</v>
          </cell>
          <cell r="EZ46">
            <v>1</v>
          </cell>
          <cell r="FA46">
            <v>0</v>
          </cell>
          <cell r="FB46">
            <v>0</v>
          </cell>
          <cell r="FC46">
            <v>0</v>
          </cell>
          <cell r="FD46">
            <v>0</v>
          </cell>
          <cell r="FE46">
            <v>0</v>
          </cell>
          <cell r="FF46">
            <v>0</v>
          </cell>
          <cell r="FG46">
            <v>0</v>
          </cell>
          <cell r="FH46">
            <v>0</v>
          </cell>
          <cell r="FI46">
            <v>0</v>
          </cell>
          <cell r="FJ46">
            <v>0</v>
          </cell>
          <cell r="FK46">
            <v>0</v>
          </cell>
          <cell r="FL46">
            <v>0</v>
          </cell>
          <cell r="FM46">
            <v>0</v>
          </cell>
          <cell r="FN46">
            <v>0</v>
          </cell>
          <cell r="FO46">
            <v>0</v>
          </cell>
          <cell r="FP46">
            <v>0</v>
          </cell>
          <cell r="FQ46">
            <v>0</v>
          </cell>
          <cell r="FR46">
            <v>0</v>
          </cell>
          <cell r="FS46">
            <v>0</v>
          </cell>
          <cell r="FT46">
            <v>0</v>
          </cell>
          <cell r="FU46">
            <v>0</v>
          </cell>
          <cell r="FV46">
            <v>0</v>
          </cell>
          <cell r="FW46">
            <v>0</v>
          </cell>
          <cell r="FX46">
            <v>0</v>
          </cell>
          <cell r="FY46">
            <v>0</v>
          </cell>
          <cell r="FZ46">
            <v>0</v>
          </cell>
        </row>
        <row r="47">
          <cell r="B47">
            <v>0.1</v>
          </cell>
          <cell r="C47">
            <v>0.08</v>
          </cell>
          <cell r="D47">
            <v>0.15</v>
          </cell>
          <cell r="E47">
            <v>0.08</v>
          </cell>
          <cell r="F47">
            <v>0.15</v>
          </cell>
          <cell r="G47">
            <v>0.22</v>
          </cell>
          <cell r="H47">
            <v>7.0000000000000007E-2</v>
          </cell>
          <cell r="I47">
            <v>0.05</v>
          </cell>
          <cell r="J47">
            <v>0.13</v>
          </cell>
          <cell r="K47">
            <v>0.18</v>
          </cell>
          <cell r="L47">
            <v>0.17</v>
          </cell>
          <cell r="M47">
            <v>0.16</v>
          </cell>
          <cell r="N47">
            <v>0.8</v>
          </cell>
          <cell r="O47">
            <v>1</v>
          </cell>
          <cell r="P47">
            <v>1</v>
          </cell>
          <cell r="Q47">
            <v>0.8</v>
          </cell>
          <cell r="R47">
            <v>0.8</v>
          </cell>
          <cell r="S47">
            <v>1</v>
          </cell>
          <cell r="T47">
            <v>1</v>
          </cell>
          <cell r="U47">
            <v>1</v>
          </cell>
          <cell r="V47">
            <v>1</v>
          </cell>
          <cell r="W47">
            <v>1</v>
          </cell>
          <cell r="X47">
            <v>1</v>
          </cell>
          <cell r="Y47">
            <v>1</v>
          </cell>
          <cell r="Z47">
            <v>0.1</v>
          </cell>
          <cell r="AA47">
            <v>0.1</v>
          </cell>
          <cell r="AB47">
            <v>0.14000000000000001</v>
          </cell>
          <cell r="AC47">
            <v>0.11</v>
          </cell>
          <cell r="AD47">
            <v>0.11</v>
          </cell>
          <cell r="AE47">
            <v>0.19</v>
          </cell>
          <cell r="AF47">
            <v>0.09</v>
          </cell>
          <cell r="AG47">
            <v>0.11</v>
          </cell>
          <cell r="AH47">
            <v>0.15</v>
          </cell>
          <cell r="AI47">
            <v>0.2</v>
          </cell>
          <cell r="AJ47">
            <v>0.2</v>
          </cell>
          <cell r="AK47">
            <v>0.2</v>
          </cell>
          <cell r="AL47">
            <v>0</v>
          </cell>
          <cell r="AM47">
            <v>0</v>
          </cell>
          <cell r="AN47">
            <v>0</v>
          </cell>
          <cell r="AO47">
            <v>0</v>
          </cell>
          <cell r="AP47">
            <v>0</v>
          </cell>
          <cell r="AQ47">
            <v>0</v>
          </cell>
          <cell r="AR47">
            <v>0</v>
          </cell>
          <cell r="AS47">
            <v>0</v>
          </cell>
          <cell r="AT47">
            <v>0</v>
          </cell>
          <cell r="AU47">
            <v>0</v>
          </cell>
          <cell r="AV47">
            <v>0</v>
          </cell>
          <cell r="AW47">
            <v>0</v>
          </cell>
          <cell r="AX47">
            <v>0</v>
          </cell>
          <cell r="AY47">
            <v>0</v>
          </cell>
          <cell r="AZ47">
            <v>0</v>
          </cell>
          <cell r="BA47">
            <v>0</v>
          </cell>
          <cell r="BB47">
            <v>0</v>
          </cell>
          <cell r="BC47">
            <v>0</v>
          </cell>
          <cell r="BD47">
            <v>0</v>
          </cell>
          <cell r="BE47">
            <v>0</v>
          </cell>
          <cell r="BF47">
            <v>0</v>
          </cell>
          <cell r="BG47">
            <v>0</v>
          </cell>
          <cell r="BH47">
            <v>0</v>
          </cell>
          <cell r="BI47">
            <v>0</v>
          </cell>
          <cell r="BJ47">
            <v>0</v>
          </cell>
          <cell r="BK47">
            <v>0</v>
          </cell>
          <cell r="BL47">
            <v>0</v>
          </cell>
          <cell r="BM47">
            <v>0</v>
          </cell>
          <cell r="BN47">
            <v>0</v>
          </cell>
          <cell r="BO47">
            <v>0</v>
          </cell>
          <cell r="BP47">
            <v>0</v>
          </cell>
          <cell r="BQ47">
            <v>0</v>
          </cell>
          <cell r="BR47">
            <v>0</v>
          </cell>
          <cell r="BS47">
            <v>0</v>
          </cell>
          <cell r="BT47">
            <v>0</v>
          </cell>
          <cell r="BU47">
            <v>0</v>
          </cell>
          <cell r="BV47">
            <v>0</v>
          </cell>
          <cell r="BW47">
            <v>0</v>
          </cell>
          <cell r="BX47">
            <v>0</v>
          </cell>
          <cell r="BY47">
            <v>0</v>
          </cell>
          <cell r="BZ47">
            <v>0</v>
          </cell>
          <cell r="CA47">
            <v>0</v>
          </cell>
          <cell r="CB47">
            <v>0</v>
          </cell>
          <cell r="CC47">
            <v>0</v>
          </cell>
          <cell r="CD47">
            <v>0</v>
          </cell>
          <cell r="CE47">
            <v>0</v>
          </cell>
          <cell r="CF47">
            <v>0</v>
          </cell>
          <cell r="CG47">
            <v>0</v>
          </cell>
          <cell r="CH47">
            <v>0</v>
          </cell>
          <cell r="CI47">
            <v>0</v>
          </cell>
          <cell r="CJ47">
            <v>0</v>
          </cell>
          <cell r="CK47">
            <v>0</v>
          </cell>
          <cell r="CL47">
            <v>0</v>
          </cell>
          <cell r="CM47">
            <v>0</v>
          </cell>
          <cell r="CN47">
            <v>0</v>
          </cell>
          <cell r="CO47">
            <v>0</v>
          </cell>
          <cell r="CP47">
            <v>0</v>
          </cell>
          <cell r="CQ47">
            <v>0</v>
          </cell>
          <cell r="CR47">
            <v>0</v>
          </cell>
          <cell r="CS47">
            <v>0</v>
          </cell>
          <cell r="CT47">
            <v>0</v>
          </cell>
          <cell r="CU47">
            <v>0</v>
          </cell>
          <cell r="CV47">
            <v>0</v>
          </cell>
          <cell r="CW47">
            <v>0</v>
          </cell>
          <cell r="CX47">
            <v>0</v>
          </cell>
          <cell r="CY47">
            <v>0</v>
          </cell>
          <cell r="CZ47">
            <v>0</v>
          </cell>
          <cell r="DA47">
            <v>0</v>
          </cell>
          <cell r="DB47">
            <v>0</v>
          </cell>
          <cell r="DC47">
            <v>0</v>
          </cell>
          <cell r="DD47">
            <v>0</v>
          </cell>
          <cell r="DE47">
            <v>0</v>
          </cell>
          <cell r="DF47">
            <v>0</v>
          </cell>
          <cell r="DG47">
            <v>0</v>
          </cell>
          <cell r="DH47">
            <v>0</v>
          </cell>
          <cell r="DI47">
            <v>0</v>
          </cell>
          <cell r="DJ47">
            <v>0</v>
          </cell>
          <cell r="DK47">
            <v>0</v>
          </cell>
          <cell r="DL47">
            <v>0</v>
          </cell>
          <cell r="DM47">
            <v>0</v>
          </cell>
          <cell r="DN47">
            <v>0</v>
          </cell>
          <cell r="DO47">
            <v>0</v>
          </cell>
          <cell r="DP47">
            <v>0</v>
          </cell>
          <cell r="DQ47">
            <v>0</v>
          </cell>
          <cell r="DR47">
            <v>0</v>
          </cell>
          <cell r="DS47">
            <v>0</v>
          </cell>
          <cell r="DT47">
            <v>0</v>
          </cell>
          <cell r="DU47">
            <v>0</v>
          </cell>
          <cell r="DV47">
            <v>0</v>
          </cell>
          <cell r="DW47">
            <v>0</v>
          </cell>
          <cell r="DX47">
            <v>0</v>
          </cell>
          <cell r="DY47">
            <v>0</v>
          </cell>
          <cell r="DZ47">
            <v>0</v>
          </cell>
          <cell r="EA47">
            <v>0</v>
          </cell>
          <cell r="EB47">
            <v>0</v>
          </cell>
          <cell r="EC47">
            <v>0</v>
          </cell>
          <cell r="ED47">
            <v>0.05</v>
          </cell>
          <cell r="EE47">
            <v>0.09</v>
          </cell>
          <cell r="EF47">
            <v>0.08</v>
          </cell>
          <cell r="EG47">
            <v>0.17</v>
          </cell>
          <cell r="EH47">
            <v>1</v>
          </cell>
          <cell r="EI47">
            <v>1</v>
          </cell>
          <cell r="EJ47">
            <v>1</v>
          </cell>
          <cell r="EK47">
            <v>1</v>
          </cell>
          <cell r="EL47">
            <v>0.05</v>
          </cell>
          <cell r="EM47">
            <v>0.14000000000000001</v>
          </cell>
          <cell r="EN47">
            <v>0.11</v>
          </cell>
          <cell r="EO47">
            <v>0.2</v>
          </cell>
          <cell r="EP47">
            <v>0</v>
          </cell>
          <cell r="EQ47">
            <v>0</v>
          </cell>
          <cell r="ER47">
            <v>0</v>
          </cell>
          <cell r="ES47">
            <v>0</v>
          </cell>
          <cell r="ET47">
            <v>0</v>
          </cell>
          <cell r="EU47">
            <v>0</v>
          </cell>
          <cell r="EV47">
            <v>0</v>
          </cell>
          <cell r="EW47">
            <v>0</v>
          </cell>
          <cell r="EX47">
            <v>1</v>
          </cell>
          <cell r="EY47">
            <v>1</v>
          </cell>
          <cell r="EZ47">
            <v>1</v>
          </cell>
          <cell r="FA47">
            <v>0</v>
          </cell>
          <cell r="FB47">
            <v>0</v>
          </cell>
          <cell r="FC47">
            <v>0</v>
          </cell>
          <cell r="FD47">
            <v>0</v>
          </cell>
          <cell r="FE47">
            <v>0</v>
          </cell>
          <cell r="FF47">
            <v>0</v>
          </cell>
          <cell r="FG47">
            <v>0</v>
          </cell>
          <cell r="FH47">
            <v>0</v>
          </cell>
          <cell r="FI47">
            <v>0</v>
          </cell>
          <cell r="FJ47">
            <v>0</v>
          </cell>
          <cell r="FK47">
            <v>0</v>
          </cell>
          <cell r="FL47">
            <v>0</v>
          </cell>
          <cell r="FM47">
            <v>0</v>
          </cell>
          <cell r="FN47">
            <v>0</v>
          </cell>
          <cell r="FO47">
            <v>0</v>
          </cell>
          <cell r="FP47">
            <v>0</v>
          </cell>
          <cell r="FQ47">
            <v>0</v>
          </cell>
          <cell r="FR47">
            <v>0</v>
          </cell>
          <cell r="FS47">
            <v>0</v>
          </cell>
          <cell r="FT47">
            <v>0</v>
          </cell>
          <cell r="FU47">
            <v>0</v>
          </cell>
          <cell r="FV47">
            <v>0</v>
          </cell>
          <cell r="FW47">
            <v>0</v>
          </cell>
          <cell r="FX47">
            <v>0</v>
          </cell>
          <cell r="FY47">
            <v>0</v>
          </cell>
          <cell r="FZ47">
            <v>0</v>
          </cell>
        </row>
        <row r="48">
          <cell r="B48">
            <v>0.1</v>
          </cell>
          <cell r="C48">
            <v>0.08</v>
          </cell>
          <cell r="D48">
            <v>0.15</v>
          </cell>
          <cell r="E48">
            <v>0.08</v>
          </cell>
          <cell r="F48">
            <v>0.15</v>
          </cell>
          <cell r="G48">
            <v>0.22</v>
          </cell>
          <cell r="H48">
            <v>7.0000000000000007E-2</v>
          </cell>
          <cell r="I48">
            <v>0.05</v>
          </cell>
          <cell r="J48">
            <v>0.13</v>
          </cell>
          <cell r="K48">
            <v>0.18</v>
          </cell>
          <cell r="L48">
            <v>0.17</v>
          </cell>
          <cell r="M48">
            <v>0.16</v>
          </cell>
          <cell r="N48">
            <v>0.8</v>
          </cell>
          <cell r="O48">
            <v>1</v>
          </cell>
          <cell r="P48">
            <v>1</v>
          </cell>
          <cell r="Q48">
            <v>0.8</v>
          </cell>
          <cell r="R48">
            <v>0.8</v>
          </cell>
          <cell r="S48">
            <v>1</v>
          </cell>
          <cell r="T48">
            <v>1</v>
          </cell>
          <cell r="U48">
            <v>1</v>
          </cell>
          <cell r="V48">
            <v>1</v>
          </cell>
          <cell r="W48">
            <v>1</v>
          </cell>
          <cell r="X48">
            <v>1</v>
          </cell>
          <cell r="Y48">
            <v>1</v>
          </cell>
          <cell r="Z48">
            <v>0.1</v>
          </cell>
          <cell r="AA48">
            <v>0.1</v>
          </cell>
          <cell r="AB48">
            <v>0.14000000000000001</v>
          </cell>
          <cell r="AC48">
            <v>0.11</v>
          </cell>
          <cell r="AD48">
            <v>0.11</v>
          </cell>
          <cell r="AE48">
            <v>0.19</v>
          </cell>
          <cell r="AF48">
            <v>0.09</v>
          </cell>
          <cell r="AG48">
            <v>0.11</v>
          </cell>
          <cell r="AH48">
            <v>0.15</v>
          </cell>
          <cell r="AI48">
            <v>0.2</v>
          </cell>
          <cell r="AJ48">
            <v>0.2</v>
          </cell>
          <cell r="AK48">
            <v>0.2</v>
          </cell>
          <cell r="AL48">
            <v>0</v>
          </cell>
          <cell r="AM48">
            <v>0</v>
          </cell>
          <cell r="AN48">
            <v>0</v>
          </cell>
          <cell r="AO48">
            <v>0</v>
          </cell>
          <cell r="AP48">
            <v>0</v>
          </cell>
          <cell r="AQ48">
            <v>0</v>
          </cell>
          <cell r="AR48">
            <v>0</v>
          </cell>
          <cell r="AS48">
            <v>0</v>
          </cell>
          <cell r="AT48">
            <v>0</v>
          </cell>
          <cell r="AU48">
            <v>0</v>
          </cell>
          <cell r="AV48">
            <v>0</v>
          </cell>
          <cell r="AW48">
            <v>0</v>
          </cell>
          <cell r="AX48">
            <v>0</v>
          </cell>
          <cell r="AY48">
            <v>0</v>
          </cell>
          <cell r="AZ48">
            <v>0</v>
          </cell>
          <cell r="BA48">
            <v>0</v>
          </cell>
          <cell r="BB48">
            <v>0</v>
          </cell>
          <cell r="BC48">
            <v>0</v>
          </cell>
          <cell r="BD48">
            <v>0</v>
          </cell>
          <cell r="BE48">
            <v>0</v>
          </cell>
          <cell r="BF48">
            <v>0</v>
          </cell>
          <cell r="BG48">
            <v>0</v>
          </cell>
          <cell r="BH48">
            <v>0</v>
          </cell>
          <cell r="BI48">
            <v>0</v>
          </cell>
          <cell r="BJ48">
            <v>0</v>
          </cell>
          <cell r="BK48">
            <v>0</v>
          </cell>
          <cell r="BL48">
            <v>0</v>
          </cell>
          <cell r="BM48">
            <v>0</v>
          </cell>
          <cell r="BN48">
            <v>0</v>
          </cell>
          <cell r="BO48">
            <v>0</v>
          </cell>
          <cell r="BP48">
            <v>0</v>
          </cell>
          <cell r="BQ48">
            <v>0</v>
          </cell>
          <cell r="BR48">
            <v>0</v>
          </cell>
          <cell r="BS48">
            <v>0</v>
          </cell>
          <cell r="BT48">
            <v>0</v>
          </cell>
          <cell r="BU48">
            <v>0</v>
          </cell>
          <cell r="BV48">
            <v>0</v>
          </cell>
          <cell r="BW48">
            <v>0</v>
          </cell>
          <cell r="BX48">
            <v>0</v>
          </cell>
          <cell r="BY48">
            <v>0</v>
          </cell>
          <cell r="BZ48">
            <v>0</v>
          </cell>
          <cell r="CA48">
            <v>0</v>
          </cell>
          <cell r="CB48">
            <v>0</v>
          </cell>
          <cell r="CC48">
            <v>0</v>
          </cell>
          <cell r="CD48">
            <v>0</v>
          </cell>
          <cell r="CE48">
            <v>0</v>
          </cell>
          <cell r="CF48">
            <v>0</v>
          </cell>
          <cell r="CG48">
            <v>0</v>
          </cell>
          <cell r="CH48">
            <v>0</v>
          </cell>
          <cell r="CI48">
            <v>0</v>
          </cell>
          <cell r="CJ48">
            <v>0</v>
          </cell>
          <cell r="CK48">
            <v>0</v>
          </cell>
          <cell r="CL48">
            <v>0</v>
          </cell>
          <cell r="CM48">
            <v>0</v>
          </cell>
          <cell r="CN48">
            <v>0</v>
          </cell>
          <cell r="CO48">
            <v>0</v>
          </cell>
          <cell r="CP48">
            <v>0</v>
          </cell>
          <cell r="CQ48">
            <v>0</v>
          </cell>
          <cell r="CR48">
            <v>0</v>
          </cell>
          <cell r="CS48">
            <v>0</v>
          </cell>
          <cell r="CT48">
            <v>0</v>
          </cell>
          <cell r="CU48">
            <v>0</v>
          </cell>
          <cell r="CV48">
            <v>0</v>
          </cell>
          <cell r="CW48">
            <v>0</v>
          </cell>
          <cell r="CX48">
            <v>0</v>
          </cell>
          <cell r="CY48">
            <v>0</v>
          </cell>
          <cell r="CZ48">
            <v>0</v>
          </cell>
          <cell r="DA48">
            <v>0</v>
          </cell>
          <cell r="DB48">
            <v>0</v>
          </cell>
          <cell r="DC48">
            <v>0</v>
          </cell>
          <cell r="DD48">
            <v>0</v>
          </cell>
          <cell r="DE48">
            <v>0</v>
          </cell>
          <cell r="DF48">
            <v>0</v>
          </cell>
          <cell r="DG48">
            <v>0</v>
          </cell>
          <cell r="DH48">
            <v>0</v>
          </cell>
          <cell r="DI48">
            <v>0</v>
          </cell>
          <cell r="DJ48">
            <v>0</v>
          </cell>
          <cell r="DK48">
            <v>0</v>
          </cell>
          <cell r="DL48">
            <v>0</v>
          </cell>
          <cell r="DM48">
            <v>0</v>
          </cell>
          <cell r="DN48">
            <v>0</v>
          </cell>
          <cell r="DO48">
            <v>0</v>
          </cell>
          <cell r="DP48">
            <v>0</v>
          </cell>
          <cell r="DQ48">
            <v>0</v>
          </cell>
          <cell r="DR48">
            <v>0</v>
          </cell>
          <cell r="DS48">
            <v>0</v>
          </cell>
          <cell r="DT48">
            <v>0</v>
          </cell>
          <cell r="DU48">
            <v>0</v>
          </cell>
          <cell r="DV48">
            <v>0</v>
          </cell>
          <cell r="DW48">
            <v>0</v>
          </cell>
          <cell r="DX48">
            <v>0</v>
          </cell>
          <cell r="DY48">
            <v>0</v>
          </cell>
          <cell r="DZ48">
            <v>0</v>
          </cell>
          <cell r="EA48">
            <v>0</v>
          </cell>
          <cell r="EB48">
            <v>0</v>
          </cell>
          <cell r="EC48">
            <v>0</v>
          </cell>
          <cell r="ED48">
            <v>0.05</v>
          </cell>
          <cell r="EE48">
            <v>0.09</v>
          </cell>
          <cell r="EF48">
            <v>0.08</v>
          </cell>
          <cell r="EG48">
            <v>0.17</v>
          </cell>
          <cell r="EH48">
            <v>1</v>
          </cell>
          <cell r="EI48">
            <v>1</v>
          </cell>
          <cell r="EJ48">
            <v>1</v>
          </cell>
          <cell r="EK48">
            <v>1</v>
          </cell>
          <cell r="EL48">
            <v>0.05</v>
          </cell>
          <cell r="EM48">
            <v>0.14000000000000001</v>
          </cell>
          <cell r="EN48">
            <v>0.11</v>
          </cell>
          <cell r="EO48">
            <v>0.2</v>
          </cell>
          <cell r="EP48">
            <v>0</v>
          </cell>
          <cell r="EQ48">
            <v>0</v>
          </cell>
          <cell r="ER48">
            <v>0</v>
          </cell>
          <cell r="ES48">
            <v>0</v>
          </cell>
          <cell r="ET48">
            <v>0</v>
          </cell>
          <cell r="EU48">
            <v>0</v>
          </cell>
          <cell r="EV48">
            <v>0</v>
          </cell>
          <cell r="EW48">
            <v>0</v>
          </cell>
          <cell r="EX48">
            <v>1</v>
          </cell>
          <cell r="EY48">
            <v>1</v>
          </cell>
          <cell r="EZ48">
            <v>1</v>
          </cell>
          <cell r="FA48">
            <v>0</v>
          </cell>
          <cell r="FB48">
            <v>0</v>
          </cell>
          <cell r="FC48">
            <v>0</v>
          </cell>
          <cell r="FD48">
            <v>0</v>
          </cell>
          <cell r="FE48">
            <v>0</v>
          </cell>
          <cell r="FF48">
            <v>0</v>
          </cell>
          <cell r="FG48">
            <v>0</v>
          </cell>
          <cell r="FH48">
            <v>0</v>
          </cell>
          <cell r="FI48">
            <v>0</v>
          </cell>
          <cell r="FJ48">
            <v>0</v>
          </cell>
          <cell r="FK48">
            <v>0</v>
          </cell>
          <cell r="FL48">
            <v>0</v>
          </cell>
          <cell r="FM48">
            <v>0</v>
          </cell>
          <cell r="FN48">
            <v>0</v>
          </cell>
          <cell r="FO48">
            <v>0</v>
          </cell>
          <cell r="FP48">
            <v>0</v>
          </cell>
          <cell r="FQ48">
            <v>0</v>
          </cell>
          <cell r="FR48">
            <v>0</v>
          </cell>
          <cell r="FS48">
            <v>0</v>
          </cell>
          <cell r="FT48">
            <v>0</v>
          </cell>
          <cell r="FU48">
            <v>0</v>
          </cell>
          <cell r="FV48">
            <v>0</v>
          </cell>
          <cell r="FW48">
            <v>0</v>
          </cell>
          <cell r="FX48">
            <v>0</v>
          </cell>
          <cell r="FY48">
            <v>0</v>
          </cell>
          <cell r="FZ48">
            <v>0</v>
          </cell>
        </row>
        <row r="49">
          <cell r="B49">
            <v>0.1</v>
          </cell>
          <cell r="C49">
            <v>0.08</v>
          </cell>
          <cell r="D49">
            <v>0.15</v>
          </cell>
          <cell r="E49">
            <v>0.08</v>
          </cell>
          <cell r="F49">
            <v>0.15</v>
          </cell>
          <cell r="G49">
            <v>0.22</v>
          </cell>
          <cell r="H49">
            <v>7.0000000000000007E-2</v>
          </cell>
          <cell r="I49">
            <v>0.05</v>
          </cell>
          <cell r="J49">
            <v>0.13</v>
          </cell>
          <cell r="K49">
            <v>0.18</v>
          </cell>
          <cell r="L49">
            <v>0.17</v>
          </cell>
          <cell r="M49">
            <v>0.16</v>
          </cell>
          <cell r="N49">
            <v>0.8</v>
          </cell>
          <cell r="O49">
            <v>1</v>
          </cell>
          <cell r="P49">
            <v>1</v>
          </cell>
          <cell r="Q49">
            <v>0.8</v>
          </cell>
          <cell r="R49">
            <v>0.8</v>
          </cell>
          <cell r="S49">
            <v>1</v>
          </cell>
          <cell r="T49">
            <v>1</v>
          </cell>
          <cell r="U49">
            <v>1</v>
          </cell>
          <cell r="V49">
            <v>1</v>
          </cell>
          <cell r="W49">
            <v>1</v>
          </cell>
          <cell r="X49">
            <v>1</v>
          </cell>
          <cell r="Y49">
            <v>1</v>
          </cell>
          <cell r="Z49">
            <v>0.1</v>
          </cell>
          <cell r="AA49">
            <v>0.1</v>
          </cell>
          <cell r="AB49">
            <v>0.14000000000000001</v>
          </cell>
          <cell r="AC49">
            <v>0.11</v>
          </cell>
          <cell r="AD49">
            <v>0.11</v>
          </cell>
          <cell r="AE49">
            <v>0.19</v>
          </cell>
          <cell r="AF49">
            <v>0.09</v>
          </cell>
          <cell r="AG49">
            <v>0.11</v>
          </cell>
          <cell r="AH49">
            <v>0.15</v>
          </cell>
          <cell r="AI49">
            <v>0.2</v>
          </cell>
          <cell r="AJ49">
            <v>0.2</v>
          </cell>
          <cell r="AK49">
            <v>0.2</v>
          </cell>
          <cell r="AL49">
            <v>0</v>
          </cell>
          <cell r="AM49">
            <v>0</v>
          </cell>
          <cell r="AN49">
            <v>0</v>
          </cell>
          <cell r="AO49">
            <v>0</v>
          </cell>
          <cell r="AP49">
            <v>0</v>
          </cell>
          <cell r="AQ49">
            <v>0</v>
          </cell>
          <cell r="AR49">
            <v>0</v>
          </cell>
          <cell r="AS49">
            <v>0</v>
          </cell>
          <cell r="AT49">
            <v>0</v>
          </cell>
          <cell r="AU49">
            <v>0</v>
          </cell>
          <cell r="AV49">
            <v>0</v>
          </cell>
          <cell r="AW49">
            <v>0</v>
          </cell>
          <cell r="AX49">
            <v>0</v>
          </cell>
          <cell r="AY49">
            <v>0</v>
          </cell>
          <cell r="AZ49">
            <v>0</v>
          </cell>
          <cell r="BA49">
            <v>0</v>
          </cell>
          <cell r="BB49">
            <v>0</v>
          </cell>
          <cell r="BC49">
            <v>0</v>
          </cell>
          <cell r="BD49">
            <v>0</v>
          </cell>
          <cell r="BE49">
            <v>0</v>
          </cell>
          <cell r="BF49">
            <v>0</v>
          </cell>
          <cell r="BG49">
            <v>0</v>
          </cell>
          <cell r="BH49">
            <v>0</v>
          </cell>
          <cell r="BI49">
            <v>0</v>
          </cell>
          <cell r="BJ49">
            <v>0</v>
          </cell>
          <cell r="BK49">
            <v>0</v>
          </cell>
          <cell r="BL49">
            <v>0</v>
          </cell>
          <cell r="BM49">
            <v>0</v>
          </cell>
          <cell r="BN49">
            <v>0</v>
          </cell>
          <cell r="BO49">
            <v>0</v>
          </cell>
          <cell r="BP49">
            <v>0</v>
          </cell>
          <cell r="BQ49">
            <v>0</v>
          </cell>
          <cell r="BR49">
            <v>0</v>
          </cell>
          <cell r="BS49">
            <v>0</v>
          </cell>
          <cell r="BT49">
            <v>0</v>
          </cell>
          <cell r="BU49">
            <v>0</v>
          </cell>
          <cell r="BV49">
            <v>0</v>
          </cell>
          <cell r="BW49">
            <v>0</v>
          </cell>
          <cell r="BX49">
            <v>0</v>
          </cell>
          <cell r="BY49">
            <v>0</v>
          </cell>
          <cell r="BZ49">
            <v>0</v>
          </cell>
          <cell r="CA49">
            <v>0</v>
          </cell>
          <cell r="CB49">
            <v>0</v>
          </cell>
          <cell r="CC49">
            <v>0</v>
          </cell>
          <cell r="CD49">
            <v>0</v>
          </cell>
          <cell r="CE49">
            <v>0</v>
          </cell>
          <cell r="CF49">
            <v>0</v>
          </cell>
          <cell r="CG49">
            <v>0</v>
          </cell>
          <cell r="CH49">
            <v>0</v>
          </cell>
          <cell r="CI49">
            <v>0</v>
          </cell>
          <cell r="CJ49">
            <v>0</v>
          </cell>
          <cell r="CK49">
            <v>0</v>
          </cell>
          <cell r="CL49">
            <v>0</v>
          </cell>
          <cell r="CM49">
            <v>0</v>
          </cell>
          <cell r="CN49">
            <v>0</v>
          </cell>
          <cell r="CO49">
            <v>0</v>
          </cell>
          <cell r="CP49">
            <v>0</v>
          </cell>
          <cell r="CQ49">
            <v>0</v>
          </cell>
          <cell r="CR49">
            <v>0</v>
          </cell>
          <cell r="CS49">
            <v>0</v>
          </cell>
          <cell r="CT49">
            <v>0</v>
          </cell>
          <cell r="CU49">
            <v>0</v>
          </cell>
          <cell r="CV49">
            <v>0</v>
          </cell>
          <cell r="CW49">
            <v>0</v>
          </cell>
          <cell r="CX49">
            <v>0</v>
          </cell>
          <cell r="CY49">
            <v>0</v>
          </cell>
          <cell r="CZ49">
            <v>0</v>
          </cell>
          <cell r="DA49">
            <v>0</v>
          </cell>
          <cell r="DB49">
            <v>0</v>
          </cell>
          <cell r="DC49">
            <v>0</v>
          </cell>
          <cell r="DD49">
            <v>0</v>
          </cell>
          <cell r="DE49">
            <v>0</v>
          </cell>
          <cell r="DF49">
            <v>0</v>
          </cell>
          <cell r="DG49">
            <v>0</v>
          </cell>
          <cell r="DH49">
            <v>0</v>
          </cell>
          <cell r="DI49">
            <v>0</v>
          </cell>
          <cell r="DJ49">
            <v>0</v>
          </cell>
          <cell r="DK49">
            <v>0</v>
          </cell>
          <cell r="DL49">
            <v>0</v>
          </cell>
          <cell r="DM49">
            <v>0</v>
          </cell>
          <cell r="DN49">
            <v>0</v>
          </cell>
          <cell r="DO49">
            <v>0</v>
          </cell>
          <cell r="DP49">
            <v>0</v>
          </cell>
          <cell r="DQ49">
            <v>0</v>
          </cell>
          <cell r="DR49">
            <v>0</v>
          </cell>
          <cell r="DS49">
            <v>0</v>
          </cell>
          <cell r="DT49">
            <v>0</v>
          </cell>
          <cell r="DU49">
            <v>0</v>
          </cell>
          <cell r="DV49">
            <v>0</v>
          </cell>
          <cell r="DW49">
            <v>0</v>
          </cell>
          <cell r="DX49">
            <v>0</v>
          </cell>
          <cell r="DY49">
            <v>0</v>
          </cell>
          <cell r="DZ49">
            <v>0</v>
          </cell>
          <cell r="EA49">
            <v>0</v>
          </cell>
          <cell r="EB49">
            <v>0</v>
          </cell>
          <cell r="EC49">
            <v>0</v>
          </cell>
          <cell r="ED49">
            <v>0.05</v>
          </cell>
          <cell r="EE49">
            <v>0.09</v>
          </cell>
          <cell r="EF49">
            <v>0.08</v>
          </cell>
          <cell r="EG49">
            <v>0.17</v>
          </cell>
          <cell r="EH49">
            <v>1</v>
          </cell>
          <cell r="EI49">
            <v>1</v>
          </cell>
          <cell r="EJ49">
            <v>1</v>
          </cell>
          <cell r="EK49">
            <v>1</v>
          </cell>
          <cell r="EL49">
            <v>0.05</v>
          </cell>
          <cell r="EM49">
            <v>0.14000000000000001</v>
          </cell>
          <cell r="EN49">
            <v>0.11</v>
          </cell>
          <cell r="EO49">
            <v>0.2</v>
          </cell>
          <cell r="EP49">
            <v>0</v>
          </cell>
          <cell r="EQ49">
            <v>0</v>
          </cell>
          <cell r="ER49">
            <v>0</v>
          </cell>
          <cell r="ES49">
            <v>0</v>
          </cell>
          <cell r="ET49">
            <v>0</v>
          </cell>
          <cell r="EU49">
            <v>0</v>
          </cell>
          <cell r="EV49">
            <v>0</v>
          </cell>
          <cell r="EW49">
            <v>0</v>
          </cell>
          <cell r="EX49">
            <v>1</v>
          </cell>
          <cell r="EY49">
            <v>1</v>
          </cell>
          <cell r="EZ49">
            <v>1</v>
          </cell>
          <cell r="FA49">
            <v>0</v>
          </cell>
          <cell r="FB49">
            <v>0</v>
          </cell>
          <cell r="FC49">
            <v>0</v>
          </cell>
          <cell r="FD49">
            <v>0</v>
          </cell>
          <cell r="FE49">
            <v>0</v>
          </cell>
          <cell r="FF49">
            <v>0</v>
          </cell>
          <cell r="FG49">
            <v>0</v>
          </cell>
          <cell r="FH49">
            <v>0</v>
          </cell>
          <cell r="FI49">
            <v>0</v>
          </cell>
          <cell r="FJ49">
            <v>0</v>
          </cell>
          <cell r="FK49">
            <v>0</v>
          </cell>
          <cell r="FL49">
            <v>0</v>
          </cell>
          <cell r="FM49">
            <v>0</v>
          </cell>
          <cell r="FN49">
            <v>0</v>
          </cell>
          <cell r="FO49">
            <v>0</v>
          </cell>
          <cell r="FP49">
            <v>0</v>
          </cell>
          <cell r="FQ49">
            <v>0</v>
          </cell>
          <cell r="FR49">
            <v>0</v>
          </cell>
          <cell r="FS49">
            <v>0</v>
          </cell>
          <cell r="FT49">
            <v>0</v>
          </cell>
          <cell r="FU49">
            <v>0</v>
          </cell>
          <cell r="FV49">
            <v>0</v>
          </cell>
          <cell r="FW49">
            <v>0</v>
          </cell>
          <cell r="FX49">
            <v>0</v>
          </cell>
          <cell r="FY49">
            <v>0</v>
          </cell>
          <cell r="FZ49">
            <v>0</v>
          </cell>
        </row>
        <row r="50">
          <cell r="B50">
            <v>0.1</v>
          </cell>
          <cell r="C50">
            <v>0.08</v>
          </cell>
          <cell r="D50">
            <v>0.15</v>
          </cell>
          <cell r="E50">
            <v>0.08</v>
          </cell>
          <cell r="F50">
            <v>0.15</v>
          </cell>
          <cell r="G50">
            <v>0.22</v>
          </cell>
          <cell r="H50">
            <v>7.0000000000000007E-2</v>
          </cell>
          <cell r="I50">
            <v>0.05</v>
          </cell>
          <cell r="J50">
            <v>0.13</v>
          </cell>
          <cell r="K50">
            <v>0.18</v>
          </cell>
          <cell r="L50">
            <v>0.17</v>
          </cell>
          <cell r="M50">
            <v>0.16</v>
          </cell>
          <cell r="N50">
            <v>0.8</v>
          </cell>
          <cell r="O50">
            <v>1</v>
          </cell>
          <cell r="P50">
            <v>1</v>
          </cell>
          <cell r="Q50">
            <v>0.8</v>
          </cell>
          <cell r="R50">
            <v>0.8</v>
          </cell>
          <cell r="S50">
            <v>1</v>
          </cell>
          <cell r="T50">
            <v>1</v>
          </cell>
          <cell r="U50">
            <v>1</v>
          </cell>
          <cell r="V50">
            <v>1</v>
          </cell>
          <cell r="W50">
            <v>1</v>
          </cell>
          <cell r="X50">
            <v>1</v>
          </cell>
          <cell r="Y50">
            <v>1</v>
          </cell>
          <cell r="Z50">
            <v>0.1</v>
          </cell>
          <cell r="AA50">
            <v>0.1</v>
          </cell>
          <cell r="AB50">
            <v>0.14000000000000001</v>
          </cell>
          <cell r="AC50">
            <v>0.11</v>
          </cell>
          <cell r="AD50">
            <v>0.11</v>
          </cell>
          <cell r="AE50">
            <v>0.19</v>
          </cell>
          <cell r="AF50">
            <v>0.09</v>
          </cell>
          <cell r="AG50">
            <v>0.11</v>
          </cell>
          <cell r="AH50">
            <v>0.15</v>
          </cell>
          <cell r="AI50">
            <v>0.2</v>
          </cell>
          <cell r="AJ50">
            <v>0.2</v>
          </cell>
          <cell r="AK50">
            <v>0.2</v>
          </cell>
          <cell r="AL50">
            <v>0</v>
          </cell>
          <cell r="AM50">
            <v>0</v>
          </cell>
          <cell r="AN50">
            <v>0</v>
          </cell>
          <cell r="AO50">
            <v>0</v>
          </cell>
          <cell r="AP50">
            <v>0</v>
          </cell>
          <cell r="AQ50">
            <v>0</v>
          </cell>
          <cell r="AR50">
            <v>0</v>
          </cell>
          <cell r="AS50">
            <v>0</v>
          </cell>
          <cell r="AT50">
            <v>0</v>
          </cell>
          <cell r="AU50">
            <v>0</v>
          </cell>
          <cell r="AV50">
            <v>0</v>
          </cell>
          <cell r="AW50">
            <v>0</v>
          </cell>
          <cell r="AX50">
            <v>0</v>
          </cell>
          <cell r="AY50">
            <v>0</v>
          </cell>
          <cell r="AZ50">
            <v>0</v>
          </cell>
          <cell r="BA50">
            <v>0</v>
          </cell>
          <cell r="BB50">
            <v>0</v>
          </cell>
          <cell r="BC50">
            <v>0</v>
          </cell>
          <cell r="BD50">
            <v>0</v>
          </cell>
          <cell r="BE50">
            <v>0</v>
          </cell>
          <cell r="BF50">
            <v>0</v>
          </cell>
          <cell r="BG50">
            <v>0</v>
          </cell>
          <cell r="BH50">
            <v>0</v>
          </cell>
          <cell r="BI50">
            <v>0</v>
          </cell>
          <cell r="BJ50">
            <v>0</v>
          </cell>
          <cell r="BK50">
            <v>0</v>
          </cell>
          <cell r="BL50">
            <v>0</v>
          </cell>
          <cell r="BM50">
            <v>0</v>
          </cell>
          <cell r="BN50">
            <v>0</v>
          </cell>
          <cell r="BO50">
            <v>0</v>
          </cell>
          <cell r="BP50">
            <v>0</v>
          </cell>
          <cell r="BQ50">
            <v>0</v>
          </cell>
          <cell r="BR50">
            <v>0</v>
          </cell>
          <cell r="BS50">
            <v>0</v>
          </cell>
          <cell r="BT50">
            <v>0</v>
          </cell>
          <cell r="BU50">
            <v>0</v>
          </cell>
          <cell r="BV50">
            <v>0</v>
          </cell>
          <cell r="BW50">
            <v>0</v>
          </cell>
          <cell r="BX50">
            <v>0</v>
          </cell>
          <cell r="BY50">
            <v>0</v>
          </cell>
          <cell r="BZ50">
            <v>0</v>
          </cell>
          <cell r="CA50">
            <v>0</v>
          </cell>
          <cell r="CB50">
            <v>0</v>
          </cell>
          <cell r="CC50">
            <v>0</v>
          </cell>
          <cell r="CD50">
            <v>0</v>
          </cell>
          <cell r="CE50">
            <v>0</v>
          </cell>
          <cell r="CF50">
            <v>0</v>
          </cell>
          <cell r="CG50">
            <v>0</v>
          </cell>
          <cell r="CH50">
            <v>0</v>
          </cell>
          <cell r="CI50">
            <v>0</v>
          </cell>
          <cell r="CJ50">
            <v>0</v>
          </cell>
          <cell r="CK50">
            <v>0</v>
          </cell>
          <cell r="CL50">
            <v>0</v>
          </cell>
          <cell r="CM50">
            <v>0</v>
          </cell>
          <cell r="CN50">
            <v>0</v>
          </cell>
          <cell r="CO50">
            <v>0</v>
          </cell>
          <cell r="CP50">
            <v>0</v>
          </cell>
          <cell r="CQ50">
            <v>0</v>
          </cell>
          <cell r="CR50">
            <v>0</v>
          </cell>
          <cell r="CS50">
            <v>0</v>
          </cell>
          <cell r="CT50">
            <v>0</v>
          </cell>
          <cell r="CU50">
            <v>0</v>
          </cell>
          <cell r="CV50">
            <v>0</v>
          </cell>
          <cell r="CW50">
            <v>0</v>
          </cell>
          <cell r="CX50">
            <v>0</v>
          </cell>
          <cell r="CY50">
            <v>0</v>
          </cell>
          <cell r="CZ50">
            <v>0</v>
          </cell>
          <cell r="DA50">
            <v>0</v>
          </cell>
          <cell r="DB50">
            <v>0</v>
          </cell>
          <cell r="DC50">
            <v>0</v>
          </cell>
          <cell r="DD50">
            <v>0</v>
          </cell>
          <cell r="DE50">
            <v>0</v>
          </cell>
          <cell r="DF50">
            <v>0</v>
          </cell>
          <cell r="DG50">
            <v>0</v>
          </cell>
          <cell r="DH50">
            <v>0</v>
          </cell>
          <cell r="DI50">
            <v>0</v>
          </cell>
          <cell r="DJ50">
            <v>0</v>
          </cell>
          <cell r="DK50">
            <v>0</v>
          </cell>
          <cell r="DL50">
            <v>0</v>
          </cell>
          <cell r="DM50">
            <v>0</v>
          </cell>
          <cell r="DN50">
            <v>0</v>
          </cell>
          <cell r="DO50">
            <v>0</v>
          </cell>
          <cell r="DP50">
            <v>0</v>
          </cell>
          <cell r="DQ50">
            <v>0</v>
          </cell>
          <cell r="DR50">
            <v>0</v>
          </cell>
          <cell r="DS50">
            <v>0</v>
          </cell>
          <cell r="DT50">
            <v>0</v>
          </cell>
          <cell r="DU50">
            <v>0</v>
          </cell>
          <cell r="DV50">
            <v>0</v>
          </cell>
          <cell r="DW50">
            <v>0</v>
          </cell>
          <cell r="DX50">
            <v>0</v>
          </cell>
          <cell r="DY50">
            <v>0</v>
          </cell>
          <cell r="DZ50">
            <v>0</v>
          </cell>
          <cell r="EA50">
            <v>0</v>
          </cell>
          <cell r="EB50">
            <v>0</v>
          </cell>
          <cell r="EC50">
            <v>0</v>
          </cell>
          <cell r="ED50">
            <v>0.05</v>
          </cell>
          <cell r="EE50">
            <v>0.09</v>
          </cell>
          <cell r="EF50">
            <v>0.08</v>
          </cell>
          <cell r="EG50">
            <v>0.17</v>
          </cell>
          <cell r="EH50">
            <v>1</v>
          </cell>
          <cell r="EI50">
            <v>1</v>
          </cell>
          <cell r="EJ50">
            <v>1</v>
          </cell>
          <cell r="EK50">
            <v>1</v>
          </cell>
          <cell r="EL50">
            <v>0.05</v>
          </cell>
          <cell r="EM50">
            <v>0.14000000000000001</v>
          </cell>
          <cell r="EN50">
            <v>0.11</v>
          </cell>
          <cell r="EO50">
            <v>0.2</v>
          </cell>
          <cell r="EP50">
            <v>0</v>
          </cell>
          <cell r="EQ50">
            <v>0</v>
          </cell>
          <cell r="ER50">
            <v>0</v>
          </cell>
          <cell r="ES50">
            <v>0</v>
          </cell>
          <cell r="ET50">
            <v>0</v>
          </cell>
          <cell r="EU50">
            <v>0</v>
          </cell>
          <cell r="EV50">
            <v>0</v>
          </cell>
          <cell r="EW50">
            <v>0</v>
          </cell>
          <cell r="EX50">
            <v>1</v>
          </cell>
          <cell r="EY50">
            <v>1</v>
          </cell>
          <cell r="EZ50">
            <v>1</v>
          </cell>
          <cell r="FA50">
            <v>0</v>
          </cell>
          <cell r="FB50">
            <v>0</v>
          </cell>
          <cell r="FC50">
            <v>0</v>
          </cell>
          <cell r="FD50">
            <v>0</v>
          </cell>
          <cell r="FE50">
            <v>0</v>
          </cell>
          <cell r="FF50">
            <v>0</v>
          </cell>
          <cell r="FG50">
            <v>0</v>
          </cell>
          <cell r="FH50">
            <v>0</v>
          </cell>
          <cell r="FI50">
            <v>0</v>
          </cell>
          <cell r="FJ50">
            <v>0</v>
          </cell>
          <cell r="FK50">
            <v>0</v>
          </cell>
          <cell r="FL50">
            <v>0</v>
          </cell>
          <cell r="FM50">
            <v>0</v>
          </cell>
          <cell r="FN50">
            <v>0</v>
          </cell>
          <cell r="FO50">
            <v>0</v>
          </cell>
          <cell r="FP50">
            <v>0</v>
          </cell>
          <cell r="FQ50">
            <v>0</v>
          </cell>
          <cell r="FR50">
            <v>0</v>
          </cell>
          <cell r="FS50">
            <v>0</v>
          </cell>
          <cell r="FT50">
            <v>0</v>
          </cell>
          <cell r="FU50">
            <v>0</v>
          </cell>
          <cell r="FV50">
            <v>0</v>
          </cell>
          <cell r="FW50">
            <v>0</v>
          </cell>
          <cell r="FX50">
            <v>0</v>
          </cell>
          <cell r="FY50">
            <v>0</v>
          </cell>
          <cell r="FZ50">
            <v>0</v>
          </cell>
        </row>
        <row r="51">
          <cell r="B51">
            <v>0.1</v>
          </cell>
          <cell r="C51">
            <v>0.08</v>
          </cell>
          <cell r="D51">
            <v>0.15</v>
          </cell>
          <cell r="E51">
            <v>0.08</v>
          </cell>
          <cell r="F51">
            <v>0.15</v>
          </cell>
          <cell r="G51">
            <v>0.22</v>
          </cell>
          <cell r="H51">
            <v>7.0000000000000007E-2</v>
          </cell>
          <cell r="I51">
            <v>0.05</v>
          </cell>
          <cell r="J51">
            <v>0.13</v>
          </cell>
          <cell r="K51">
            <v>0.18</v>
          </cell>
          <cell r="L51">
            <v>0.17</v>
          </cell>
          <cell r="M51">
            <v>0.16</v>
          </cell>
          <cell r="N51">
            <v>0.8</v>
          </cell>
          <cell r="O51">
            <v>1</v>
          </cell>
          <cell r="P51">
            <v>1</v>
          </cell>
          <cell r="Q51">
            <v>0.8</v>
          </cell>
          <cell r="R51">
            <v>0.8</v>
          </cell>
          <cell r="S51">
            <v>1</v>
          </cell>
          <cell r="T51">
            <v>1</v>
          </cell>
          <cell r="U51">
            <v>1</v>
          </cell>
          <cell r="V51">
            <v>1</v>
          </cell>
          <cell r="W51">
            <v>1</v>
          </cell>
          <cell r="X51">
            <v>1</v>
          </cell>
          <cell r="Y51">
            <v>1</v>
          </cell>
          <cell r="Z51">
            <v>0.1</v>
          </cell>
          <cell r="AA51">
            <v>0.1</v>
          </cell>
          <cell r="AB51">
            <v>0.14000000000000001</v>
          </cell>
          <cell r="AC51">
            <v>0.11</v>
          </cell>
          <cell r="AD51">
            <v>0.11</v>
          </cell>
          <cell r="AE51">
            <v>0.19</v>
          </cell>
          <cell r="AF51">
            <v>0.09</v>
          </cell>
          <cell r="AG51">
            <v>0.11</v>
          </cell>
          <cell r="AH51">
            <v>0.15</v>
          </cell>
          <cell r="AI51">
            <v>0.2</v>
          </cell>
          <cell r="AJ51">
            <v>0.2</v>
          </cell>
          <cell r="AK51">
            <v>0.2</v>
          </cell>
          <cell r="AL51">
            <v>0</v>
          </cell>
          <cell r="AM51">
            <v>0</v>
          </cell>
          <cell r="AN51">
            <v>0</v>
          </cell>
          <cell r="AO51">
            <v>0</v>
          </cell>
          <cell r="AP51">
            <v>0</v>
          </cell>
          <cell r="AQ51">
            <v>0</v>
          </cell>
          <cell r="AR51">
            <v>0</v>
          </cell>
          <cell r="AS51">
            <v>0</v>
          </cell>
          <cell r="AT51">
            <v>0</v>
          </cell>
          <cell r="AU51">
            <v>0</v>
          </cell>
          <cell r="AV51">
            <v>0</v>
          </cell>
          <cell r="AW51">
            <v>0</v>
          </cell>
          <cell r="AX51">
            <v>0</v>
          </cell>
          <cell r="AY51">
            <v>0</v>
          </cell>
          <cell r="AZ51">
            <v>0</v>
          </cell>
          <cell r="BA51">
            <v>0</v>
          </cell>
          <cell r="BB51">
            <v>0</v>
          </cell>
          <cell r="BC51">
            <v>0</v>
          </cell>
          <cell r="BD51">
            <v>0</v>
          </cell>
          <cell r="BE51">
            <v>0</v>
          </cell>
          <cell r="BF51">
            <v>0</v>
          </cell>
          <cell r="BG51">
            <v>0</v>
          </cell>
          <cell r="BH51">
            <v>0</v>
          </cell>
          <cell r="BI51">
            <v>0</v>
          </cell>
          <cell r="BJ51">
            <v>0</v>
          </cell>
          <cell r="BK51">
            <v>0</v>
          </cell>
          <cell r="BL51">
            <v>0</v>
          </cell>
          <cell r="BM51">
            <v>0</v>
          </cell>
          <cell r="BN51">
            <v>0</v>
          </cell>
          <cell r="BO51">
            <v>0</v>
          </cell>
          <cell r="BP51">
            <v>0</v>
          </cell>
          <cell r="BQ51">
            <v>0</v>
          </cell>
          <cell r="BR51">
            <v>0</v>
          </cell>
          <cell r="BS51">
            <v>0</v>
          </cell>
          <cell r="BT51">
            <v>0</v>
          </cell>
          <cell r="BU51">
            <v>0</v>
          </cell>
          <cell r="BV51">
            <v>0</v>
          </cell>
          <cell r="BW51">
            <v>0</v>
          </cell>
          <cell r="BX51">
            <v>0</v>
          </cell>
          <cell r="BY51">
            <v>0</v>
          </cell>
          <cell r="BZ51">
            <v>0</v>
          </cell>
          <cell r="CA51">
            <v>0</v>
          </cell>
          <cell r="CB51">
            <v>0</v>
          </cell>
          <cell r="CC51">
            <v>0</v>
          </cell>
          <cell r="CD51">
            <v>0</v>
          </cell>
          <cell r="CE51">
            <v>0</v>
          </cell>
          <cell r="CF51">
            <v>0</v>
          </cell>
          <cell r="CG51">
            <v>0</v>
          </cell>
          <cell r="CH51">
            <v>0</v>
          </cell>
          <cell r="CI51">
            <v>0</v>
          </cell>
          <cell r="CJ51">
            <v>0</v>
          </cell>
          <cell r="CK51">
            <v>0</v>
          </cell>
          <cell r="CL51">
            <v>0</v>
          </cell>
          <cell r="CM51">
            <v>0</v>
          </cell>
          <cell r="CN51">
            <v>0</v>
          </cell>
          <cell r="CO51">
            <v>0</v>
          </cell>
          <cell r="CP51">
            <v>0</v>
          </cell>
          <cell r="CQ51">
            <v>0</v>
          </cell>
          <cell r="CR51">
            <v>0</v>
          </cell>
          <cell r="CS51">
            <v>0</v>
          </cell>
          <cell r="CT51">
            <v>0</v>
          </cell>
          <cell r="CU51">
            <v>0</v>
          </cell>
          <cell r="CV51">
            <v>0</v>
          </cell>
          <cell r="CW51">
            <v>0</v>
          </cell>
          <cell r="CX51">
            <v>0</v>
          </cell>
          <cell r="CY51">
            <v>0</v>
          </cell>
          <cell r="CZ51">
            <v>0</v>
          </cell>
          <cell r="DA51">
            <v>0</v>
          </cell>
          <cell r="DB51">
            <v>0</v>
          </cell>
          <cell r="DC51">
            <v>0</v>
          </cell>
          <cell r="DD51">
            <v>0</v>
          </cell>
          <cell r="DE51">
            <v>0</v>
          </cell>
          <cell r="DF51">
            <v>0</v>
          </cell>
          <cell r="DG51">
            <v>0</v>
          </cell>
          <cell r="DH51">
            <v>0</v>
          </cell>
          <cell r="DI51">
            <v>0</v>
          </cell>
          <cell r="DJ51">
            <v>0</v>
          </cell>
          <cell r="DK51">
            <v>0</v>
          </cell>
          <cell r="DL51">
            <v>0</v>
          </cell>
          <cell r="DM51">
            <v>0</v>
          </cell>
          <cell r="DN51">
            <v>0</v>
          </cell>
          <cell r="DO51">
            <v>0</v>
          </cell>
          <cell r="DP51">
            <v>0</v>
          </cell>
          <cell r="DQ51">
            <v>0</v>
          </cell>
          <cell r="DR51">
            <v>0</v>
          </cell>
          <cell r="DS51">
            <v>0</v>
          </cell>
          <cell r="DT51">
            <v>0</v>
          </cell>
          <cell r="DU51">
            <v>0</v>
          </cell>
          <cell r="DV51">
            <v>0</v>
          </cell>
          <cell r="DW51">
            <v>0</v>
          </cell>
          <cell r="DX51">
            <v>0</v>
          </cell>
          <cell r="DY51">
            <v>0</v>
          </cell>
          <cell r="DZ51">
            <v>0</v>
          </cell>
          <cell r="EA51">
            <v>0</v>
          </cell>
          <cell r="EB51">
            <v>0</v>
          </cell>
          <cell r="EC51">
            <v>0</v>
          </cell>
          <cell r="ED51">
            <v>0.05</v>
          </cell>
          <cell r="EE51">
            <v>0.09</v>
          </cell>
          <cell r="EF51">
            <v>0.08</v>
          </cell>
          <cell r="EG51">
            <v>0.17</v>
          </cell>
          <cell r="EH51">
            <v>1</v>
          </cell>
          <cell r="EI51">
            <v>1</v>
          </cell>
          <cell r="EJ51">
            <v>1</v>
          </cell>
          <cell r="EK51">
            <v>1</v>
          </cell>
          <cell r="EL51">
            <v>0.05</v>
          </cell>
          <cell r="EM51">
            <v>0.14000000000000001</v>
          </cell>
          <cell r="EN51">
            <v>0.11</v>
          </cell>
          <cell r="EO51">
            <v>0.2</v>
          </cell>
          <cell r="EP51">
            <v>0</v>
          </cell>
          <cell r="EQ51">
            <v>0</v>
          </cell>
          <cell r="ER51">
            <v>0</v>
          </cell>
          <cell r="ES51">
            <v>0</v>
          </cell>
          <cell r="ET51">
            <v>0</v>
          </cell>
          <cell r="EU51">
            <v>0</v>
          </cell>
          <cell r="EV51">
            <v>0</v>
          </cell>
          <cell r="EW51">
            <v>0</v>
          </cell>
          <cell r="EX51">
            <v>1</v>
          </cell>
          <cell r="EY51">
            <v>1</v>
          </cell>
          <cell r="EZ51">
            <v>1</v>
          </cell>
          <cell r="FA51">
            <v>0</v>
          </cell>
          <cell r="FB51">
            <v>0</v>
          </cell>
          <cell r="FC51">
            <v>0</v>
          </cell>
          <cell r="FD51">
            <v>0</v>
          </cell>
          <cell r="FE51">
            <v>0</v>
          </cell>
          <cell r="FF51">
            <v>0</v>
          </cell>
          <cell r="FG51">
            <v>0</v>
          </cell>
          <cell r="FH51">
            <v>0</v>
          </cell>
          <cell r="FI51">
            <v>0</v>
          </cell>
          <cell r="FJ51">
            <v>0</v>
          </cell>
          <cell r="FK51">
            <v>0</v>
          </cell>
          <cell r="FL51">
            <v>0</v>
          </cell>
          <cell r="FM51">
            <v>0</v>
          </cell>
          <cell r="FN51">
            <v>0</v>
          </cell>
          <cell r="FO51">
            <v>0</v>
          </cell>
          <cell r="FP51">
            <v>0</v>
          </cell>
          <cell r="FQ51">
            <v>0</v>
          </cell>
          <cell r="FR51">
            <v>0</v>
          </cell>
          <cell r="FS51">
            <v>0</v>
          </cell>
          <cell r="FT51">
            <v>0</v>
          </cell>
          <cell r="FU51">
            <v>0</v>
          </cell>
          <cell r="FV51">
            <v>0</v>
          </cell>
          <cell r="FW51">
            <v>0</v>
          </cell>
          <cell r="FX51">
            <v>0</v>
          </cell>
          <cell r="FY51">
            <v>0</v>
          </cell>
          <cell r="FZ51">
            <v>0</v>
          </cell>
        </row>
        <row r="52">
          <cell r="B52">
            <v>0.1</v>
          </cell>
          <cell r="C52">
            <v>0.08</v>
          </cell>
          <cell r="D52">
            <v>0.15</v>
          </cell>
          <cell r="E52">
            <v>0.08</v>
          </cell>
          <cell r="F52">
            <v>0.15</v>
          </cell>
          <cell r="G52">
            <v>0.22</v>
          </cell>
          <cell r="H52">
            <v>7.0000000000000007E-2</v>
          </cell>
          <cell r="I52">
            <v>0.05</v>
          </cell>
          <cell r="J52">
            <v>0.13</v>
          </cell>
          <cell r="K52">
            <v>0.18</v>
          </cell>
          <cell r="L52">
            <v>0.17</v>
          </cell>
          <cell r="M52">
            <v>0.16</v>
          </cell>
          <cell r="N52">
            <v>0.8</v>
          </cell>
          <cell r="O52">
            <v>1</v>
          </cell>
          <cell r="P52">
            <v>1</v>
          </cell>
          <cell r="Q52">
            <v>0.8</v>
          </cell>
          <cell r="R52">
            <v>0.8</v>
          </cell>
          <cell r="S52">
            <v>1</v>
          </cell>
          <cell r="T52">
            <v>1</v>
          </cell>
          <cell r="U52">
            <v>1</v>
          </cell>
          <cell r="V52">
            <v>1</v>
          </cell>
          <cell r="W52">
            <v>1</v>
          </cell>
          <cell r="X52">
            <v>1</v>
          </cell>
          <cell r="Y52">
            <v>1</v>
          </cell>
          <cell r="Z52">
            <v>0.1</v>
          </cell>
          <cell r="AA52">
            <v>0.1</v>
          </cell>
          <cell r="AB52">
            <v>0.14000000000000001</v>
          </cell>
          <cell r="AC52">
            <v>0.11</v>
          </cell>
          <cell r="AD52">
            <v>0.11</v>
          </cell>
          <cell r="AE52">
            <v>0.19</v>
          </cell>
          <cell r="AF52">
            <v>0.09</v>
          </cell>
          <cell r="AG52">
            <v>0.11</v>
          </cell>
          <cell r="AH52">
            <v>0.15</v>
          </cell>
          <cell r="AI52">
            <v>0.2</v>
          </cell>
          <cell r="AJ52">
            <v>0.2</v>
          </cell>
          <cell r="AK52">
            <v>0.2</v>
          </cell>
          <cell r="AL52">
            <v>0</v>
          </cell>
          <cell r="AM52">
            <v>0</v>
          </cell>
          <cell r="AN52">
            <v>0</v>
          </cell>
          <cell r="AO52">
            <v>0</v>
          </cell>
          <cell r="AP52">
            <v>0</v>
          </cell>
          <cell r="AQ52">
            <v>0</v>
          </cell>
          <cell r="AR52">
            <v>0</v>
          </cell>
          <cell r="AS52">
            <v>0</v>
          </cell>
          <cell r="AT52">
            <v>0</v>
          </cell>
          <cell r="AU52">
            <v>0</v>
          </cell>
          <cell r="AV52">
            <v>0</v>
          </cell>
          <cell r="AW52">
            <v>0</v>
          </cell>
          <cell r="AX52">
            <v>0</v>
          </cell>
          <cell r="AY52">
            <v>0</v>
          </cell>
          <cell r="AZ52">
            <v>0</v>
          </cell>
          <cell r="BA52">
            <v>0</v>
          </cell>
          <cell r="BB52">
            <v>0</v>
          </cell>
          <cell r="BC52">
            <v>0</v>
          </cell>
          <cell r="BD52">
            <v>0</v>
          </cell>
          <cell r="BE52">
            <v>0</v>
          </cell>
          <cell r="BF52">
            <v>0</v>
          </cell>
          <cell r="BG52">
            <v>0</v>
          </cell>
          <cell r="BH52">
            <v>0</v>
          </cell>
          <cell r="BI52">
            <v>0</v>
          </cell>
          <cell r="BJ52">
            <v>0</v>
          </cell>
          <cell r="BK52">
            <v>0</v>
          </cell>
          <cell r="BL52">
            <v>0</v>
          </cell>
          <cell r="BM52">
            <v>0</v>
          </cell>
          <cell r="BN52">
            <v>0</v>
          </cell>
          <cell r="BO52">
            <v>0</v>
          </cell>
          <cell r="BP52">
            <v>0</v>
          </cell>
          <cell r="BQ52">
            <v>0</v>
          </cell>
          <cell r="BR52">
            <v>0</v>
          </cell>
          <cell r="BS52">
            <v>0</v>
          </cell>
          <cell r="BT52">
            <v>0</v>
          </cell>
          <cell r="BU52">
            <v>0</v>
          </cell>
          <cell r="BV52">
            <v>0</v>
          </cell>
          <cell r="BW52">
            <v>0</v>
          </cell>
          <cell r="BX52">
            <v>0</v>
          </cell>
          <cell r="BY52">
            <v>0</v>
          </cell>
          <cell r="BZ52">
            <v>0</v>
          </cell>
          <cell r="CA52">
            <v>0</v>
          </cell>
          <cell r="CB52">
            <v>0</v>
          </cell>
          <cell r="CC52">
            <v>0</v>
          </cell>
          <cell r="CD52">
            <v>0</v>
          </cell>
          <cell r="CE52">
            <v>0</v>
          </cell>
          <cell r="CF52">
            <v>0</v>
          </cell>
          <cell r="CG52">
            <v>0</v>
          </cell>
          <cell r="CH52">
            <v>0</v>
          </cell>
          <cell r="CI52">
            <v>0</v>
          </cell>
          <cell r="CJ52">
            <v>0</v>
          </cell>
          <cell r="CK52">
            <v>0</v>
          </cell>
          <cell r="CL52">
            <v>0</v>
          </cell>
          <cell r="CM52">
            <v>0</v>
          </cell>
          <cell r="CN52">
            <v>0</v>
          </cell>
          <cell r="CO52">
            <v>0</v>
          </cell>
          <cell r="CP52">
            <v>0</v>
          </cell>
          <cell r="CQ52">
            <v>0</v>
          </cell>
          <cell r="CR52">
            <v>0</v>
          </cell>
          <cell r="CS52">
            <v>0</v>
          </cell>
          <cell r="CT52">
            <v>0</v>
          </cell>
          <cell r="CU52">
            <v>0</v>
          </cell>
          <cell r="CV52">
            <v>0</v>
          </cell>
          <cell r="CW52">
            <v>0</v>
          </cell>
          <cell r="CX52">
            <v>0</v>
          </cell>
          <cell r="CY52">
            <v>0</v>
          </cell>
          <cell r="CZ52">
            <v>0</v>
          </cell>
          <cell r="DA52">
            <v>0</v>
          </cell>
          <cell r="DB52">
            <v>0</v>
          </cell>
          <cell r="DC52">
            <v>0</v>
          </cell>
          <cell r="DD52">
            <v>0</v>
          </cell>
          <cell r="DE52">
            <v>0</v>
          </cell>
          <cell r="DF52">
            <v>0</v>
          </cell>
          <cell r="DG52">
            <v>0</v>
          </cell>
          <cell r="DH52">
            <v>0</v>
          </cell>
          <cell r="DI52">
            <v>0</v>
          </cell>
          <cell r="DJ52">
            <v>0</v>
          </cell>
          <cell r="DK52">
            <v>0</v>
          </cell>
          <cell r="DL52">
            <v>0</v>
          </cell>
          <cell r="DM52">
            <v>0</v>
          </cell>
          <cell r="DN52">
            <v>0</v>
          </cell>
          <cell r="DO52">
            <v>0</v>
          </cell>
          <cell r="DP52">
            <v>0</v>
          </cell>
          <cell r="DQ52">
            <v>0</v>
          </cell>
          <cell r="DR52">
            <v>0</v>
          </cell>
          <cell r="DS52">
            <v>0</v>
          </cell>
          <cell r="DT52">
            <v>0</v>
          </cell>
          <cell r="DU52">
            <v>0</v>
          </cell>
          <cell r="DV52">
            <v>0</v>
          </cell>
          <cell r="DW52">
            <v>0</v>
          </cell>
          <cell r="DX52">
            <v>0</v>
          </cell>
          <cell r="DY52">
            <v>0</v>
          </cell>
          <cell r="DZ52">
            <v>0</v>
          </cell>
          <cell r="EA52">
            <v>0</v>
          </cell>
          <cell r="EB52">
            <v>0</v>
          </cell>
          <cell r="EC52">
            <v>0</v>
          </cell>
          <cell r="ED52">
            <v>0.05</v>
          </cell>
          <cell r="EE52">
            <v>0.09</v>
          </cell>
          <cell r="EF52">
            <v>0.08</v>
          </cell>
          <cell r="EG52">
            <v>0.17</v>
          </cell>
          <cell r="EH52">
            <v>1</v>
          </cell>
          <cell r="EI52">
            <v>1</v>
          </cell>
          <cell r="EJ52">
            <v>1</v>
          </cell>
          <cell r="EK52">
            <v>1</v>
          </cell>
          <cell r="EL52">
            <v>0.05</v>
          </cell>
          <cell r="EM52">
            <v>0.14000000000000001</v>
          </cell>
          <cell r="EN52">
            <v>0.11</v>
          </cell>
          <cell r="EO52">
            <v>0.2</v>
          </cell>
          <cell r="EP52">
            <v>0</v>
          </cell>
          <cell r="EQ52">
            <v>0</v>
          </cell>
          <cell r="ER52">
            <v>0</v>
          </cell>
          <cell r="ES52">
            <v>0</v>
          </cell>
          <cell r="ET52">
            <v>0</v>
          </cell>
          <cell r="EU52">
            <v>0</v>
          </cell>
          <cell r="EV52">
            <v>0</v>
          </cell>
          <cell r="EW52">
            <v>0</v>
          </cell>
          <cell r="EX52">
            <v>1</v>
          </cell>
          <cell r="EY52">
            <v>1</v>
          </cell>
          <cell r="EZ52">
            <v>1</v>
          </cell>
          <cell r="FA52">
            <v>0</v>
          </cell>
          <cell r="FB52">
            <v>0</v>
          </cell>
          <cell r="FC52">
            <v>0</v>
          </cell>
          <cell r="FD52">
            <v>0</v>
          </cell>
          <cell r="FE52">
            <v>0</v>
          </cell>
          <cell r="FF52">
            <v>0</v>
          </cell>
          <cell r="FG52">
            <v>0</v>
          </cell>
          <cell r="FH52">
            <v>0</v>
          </cell>
          <cell r="FI52">
            <v>0</v>
          </cell>
          <cell r="FJ52">
            <v>0</v>
          </cell>
          <cell r="FK52">
            <v>0</v>
          </cell>
          <cell r="FL52">
            <v>0</v>
          </cell>
          <cell r="FM52">
            <v>0</v>
          </cell>
          <cell r="FN52">
            <v>0</v>
          </cell>
          <cell r="FO52">
            <v>0</v>
          </cell>
          <cell r="FP52">
            <v>0</v>
          </cell>
          <cell r="FQ52">
            <v>0</v>
          </cell>
          <cell r="FR52">
            <v>0</v>
          </cell>
          <cell r="FS52">
            <v>0</v>
          </cell>
          <cell r="FT52">
            <v>0</v>
          </cell>
          <cell r="FU52">
            <v>0</v>
          </cell>
          <cell r="FV52">
            <v>0</v>
          </cell>
          <cell r="FW52">
            <v>0</v>
          </cell>
          <cell r="FX52">
            <v>0</v>
          </cell>
          <cell r="FY52">
            <v>0</v>
          </cell>
          <cell r="FZ52">
            <v>0</v>
          </cell>
        </row>
        <row r="53">
          <cell r="B53">
            <v>0.1</v>
          </cell>
          <cell r="C53">
            <v>0.08</v>
          </cell>
          <cell r="D53">
            <v>0.15</v>
          </cell>
          <cell r="E53">
            <v>0.08</v>
          </cell>
          <cell r="F53">
            <v>0.15</v>
          </cell>
          <cell r="G53">
            <v>0.22</v>
          </cell>
          <cell r="H53">
            <v>7.0000000000000007E-2</v>
          </cell>
          <cell r="I53">
            <v>0.05</v>
          </cell>
          <cell r="J53">
            <v>0.13</v>
          </cell>
          <cell r="K53">
            <v>0.18</v>
          </cell>
          <cell r="L53">
            <v>0.17</v>
          </cell>
          <cell r="M53">
            <v>0.16</v>
          </cell>
          <cell r="N53">
            <v>0.8</v>
          </cell>
          <cell r="O53">
            <v>1</v>
          </cell>
          <cell r="P53">
            <v>1</v>
          </cell>
          <cell r="Q53">
            <v>0.8</v>
          </cell>
          <cell r="R53">
            <v>0.8</v>
          </cell>
          <cell r="S53">
            <v>1</v>
          </cell>
          <cell r="T53">
            <v>1</v>
          </cell>
          <cell r="U53">
            <v>1</v>
          </cell>
          <cell r="V53">
            <v>1</v>
          </cell>
          <cell r="W53">
            <v>1</v>
          </cell>
          <cell r="X53">
            <v>1</v>
          </cell>
          <cell r="Y53">
            <v>1</v>
          </cell>
          <cell r="Z53">
            <v>0.1</v>
          </cell>
          <cell r="AA53">
            <v>0.1</v>
          </cell>
          <cell r="AB53">
            <v>0.14000000000000001</v>
          </cell>
          <cell r="AC53">
            <v>0.11</v>
          </cell>
          <cell r="AD53">
            <v>0.11</v>
          </cell>
          <cell r="AE53">
            <v>0.19</v>
          </cell>
          <cell r="AF53">
            <v>0.09</v>
          </cell>
          <cell r="AG53">
            <v>0.11</v>
          </cell>
          <cell r="AH53">
            <v>0.15</v>
          </cell>
          <cell r="AI53">
            <v>0.2</v>
          </cell>
          <cell r="AJ53">
            <v>0.2</v>
          </cell>
          <cell r="AK53">
            <v>0.2</v>
          </cell>
          <cell r="AL53">
            <v>0</v>
          </cell>
          <cell r="AM53">
            <v>0</v>
          </cell>
          <cell r="AN53">
            <v>0</v>
          </cell>
          <cell r="AO53">
            <v>0</v>
          </cell>
          <cell r="AP53">
            <v>0</v>
          </cell>
          <cell r="AQ53">
            <v>0</v>
          </cell>
          <cell r="AR53">
            <v>0</v>
          </cell>
          <cell r="AS53">
            <v>0</v>
          </cell>
          <cell r="AT53">
            <v>0</v>
          </cell>
          <cell r="AU53">
            <v>0</v>
          </cell>
          <cell r="AV53">
            <v>0</v>
          </cell>
          <cell r="AW53">
            <v>0</v>
          </cell>
          <cell r="AX53">
            <v>0</v>
          </cell>
          <cell r="AY53">
            <v>0</v>
          </cell>
          <cell r="AZ53">
            <v>0</v>
          </cell>
          <cell r="BA53">
            <v>0</v>
          </cell>
          <cell r="BB53">
            <v>0</v>
          </cell>
          <cell r="BC53">
            <v>0</v>
          </cell>
          <cell r="BD53">
            <v>0</v>
          </cell>
          <cell r="BE53">
            <v>0</v>
          </cell>
          <cell r="BF53">
            <v>0</v>
          </cell>
          <cell r="BG53">
            <v>0</v>
          </cell>
          <cell r="BH53">
            <v>0</v>
          </cell>
          <cell r="BI53">
            <v>0</v>
          </cell>
          <cell r="BJ53">
            <v>0</v>
          </cell>
          <cell r="BK53">
            <v>0</v>
          </cell>
          <cell r="BL53">
            <v>0</v>
          </cell>
          <cell r="BM53">
            <v>0</v>
          </cell>
          <cell r="BN53">
            <v>0</v>
          </cell>
          <cell r="BO53">
            <v>0</v>
          </cell>
          <cell r="BP53">
            <v>0</v>
          </cell>
          <cell r="BQ53">
            <v>0</v>
          </cell>
          <cell r="BR53">
            <v>0</v>
          </cell>
          <cell r="BS53">
            <v>0</v>
          </cell>
          <cell r="BT53">
            <v>0</v>
          </cell>
          <cell r="BU53">
            <v>0</v>
          </cell>
          <cell r="BV53">
            <v>0</v>
          </cell>
          <cell r="BW53">
            <v>0</v>
          </cell>
          <cell r="BX53">
            <v>0</v>
          </cell>
          <cell r="BY53">
            <v>0</v>
          </cell>
          <cell r="BZ53">
            <v>0</v>
          </cell>
          <cell r="CA53">
            <v>0</v>
          </cell>
          <cell r="CB53">
            <v>0</v>
          </cell>
          <cell r="CC53">
            <v>0</v>
          </cell>
          <cell r="CD53">
            <v>0</v>
          </cell>
          <cell r="CE53">
            <v>0</v>
          </cell>
          <cell r="CF53">
            <v>0</v>
          </cell>
          <cell r="CG53">
            <v>0</v>
          </cell>
          <cell r="CH53">
            <v>0</v>
          </cell>
          <cell r="CI53">
            <v>0</v>
          </cell>
          <cell r="CJ53">
            <v>0</v>
          </cell>
          <cell r="CK53">
            <v>0</v>
          </cell>
          <cell r="CL53">
            <v>0</v>
          </cell>
          <cell r="CM53">
            <v>0</v>
          </cell>
          <cell r="CN53">
            <v>0</v>
          </cell>
          <cell r="CO53">
            <v>0</v>
          </cell>
          <cell r="CP53">
            <v>0</v>
          </cell>
          <cell r="CQ53">
            <v>0</v>
          </cell>
          <cell r="CR53">
            <v>0</v>
          </cell>
          <cell r="CS53">
            <v>0</v>
          </cell>
          <cell r="CT53">
            <v>0</v>
          </cell>
          <cell r="CU53">
            <v>0</v>
          </cell>
          <cell r="CV53">
            <v>0</v>
          </cell>
          <cell r="CW53">
            <v>0</v>
          </cell>
          <cell r="CX53">
            <v>0</v>
          </cell>
          <cell r="CY53">
            <v>0</v>
          </cell>
          <cell r="CZ53">
            <v>0</v>
          </cell>
          <cell r="DA53">
            <v>0</v>
          </cell>
          <cell r="DB53">
            <v>0</v>
          </cell>
          <cell r="DC53">
            <v>0</v>
          </cell>
          <cell r="DD53">
            <v>0</v>
          </cell>
          <cell r="DE53">
            <v>0</v>
          </cell>
          <cell r="DF53">
            <v>0</v>
          </cell>
          <cell r="DG53">
            <v>0</v>
          </cell>
          <cell r="DH53">
            <v>0</v>
          </cell>
          <cell r="DI53">
            <v>0</v>
          </cell>
          <cell r="DJ53">
            <v>0</v>
          </cell>
          <cell r="DK53">
            <v>0</v>
          </cell>
          <cell r="DL53">
            <v>0</v>
          </cell>
          <cell r="DM53">
            <v>0</v>
          </cell>
          <cell r="DN53">
            <v>0</v>
          </cell>
          <cell r="DO53">
            <v>0</v>
          </cell>
          <cell r="DP53">
            <v>0</v>
          </cell>
          <cell r="DQ53">
            <v>0</v>
          </cell>
          <cell r="DR53">
            <v>0</v>
          </cell>
          <cell r="DS53">
            <v>0</v>
          </cell>
          <cell r="DT53">
            <v>0</v>
          </cell>
          <cell r="DU53">
            <v>0</v>
          </cell>
          <cell r="DV53">
            <v>0</v>
          </cell>
          <cell r="DW53">
            <v>0</v>
          </cell>
          <cell r="DX53">
            <v>0</v>
          </cell>
          <cell r="DY53">
            <v>0</v>
          </cell>
          <cell r="DZ53">
            <v>0</v>
          </cell>
          <cell r="EA53">
            <v>0</v>
          </cell>
          <cell r="EB53">
            <v>0</v>
          </cell>
          <cell r="EC53">
            <v>0</v>
          </cell>
          <cell r="ED53">
            <v>0.05</v>
          </cell>
          <cell r="EE53">
            <v>0.09</v>
          </cell>
          <cell r="EF53">
            <v>0.08</v>
          </cell>
          <cell r="EG53">
            <v>0.17</v>
          </cell>
          <cell r="EH53">
            <v>1</v>
          </cell>
          <cell r="EI53">
            <v>1</v>
          </cell>
          <cell r="EJ53">
            <v>1</v>
          </cell>
          <cell r="EK53">
            <v>1</v>
          </cell>
          <cell r="EL53">
            <v>0.05</v>
          </cell>
          <cell r="EM53">
            <v>0.14000000000000001</v>
          </cell>
          <cell r="EN53">
            <v>0.11</v>
          </cell>
          <cell r="EO53">
            <v>0.2</v>
          </cell>
          <cell r="EP53">
            <v>0</v>
          </cell>
          <cell r="EQ53">
            <v>0</v>
          </cell>
          <cell r="ER53">
            <v>0</v>
          </cell>
          <cell r="ES53">
            <v>0</v>
          </cell>
          <cell r="ET53">
            <v>0</v>
          </cell>
          <cell r="EU53">
            <v>0</v>
          </cell>
          <cell r="EV53">
            <v>0</v>
          </cell>
          <cell r="EW53">
            <v>0</v>
          </cell>
          <cell r="EX53">
            <v>1</v>
          </cell>
          <cell r="EY53">
            <v>1</v>
          </cell>
          <cell r="EZ53">
            <v>1</v>
          </cell>
          <cell r="FA53">
            <v>0</v>
          </cell>
          <cell r="FB53">
            <v>0</v>
          </cell>
          <cell r="FC53">
            <v>0</v>
          </cell>
          <cell r="FD53">
            <v>0</v>
          </cell>
          <cell r="FE53">
            <v>0</v>
          </cell>
          <cell r="FF53">
            <v>0</v>
          </cell>
          <cell r="FG53">
            <v>0</v>
          </cell>
          <cell r="FH53">
            <v>0</v>
          </cell>
          <cell r="FI53">
            <v>0</v>
          </cell>
          <cell r="FJ53">
            <v>0</v>
          </cell>
          <cell r="FK53">
            <v>0</v>
          </cell>
          <cell r="FL53">
            <v>0</v>
          </cell>
          <cell r="FM53">
            <v>0</v>
          </cell>
          <cell r="FN53">
            <v>0</v>
          </cell>
          <cell r="FO53">
            <v>0</v>
          </cell>
          <cell r="FP53">
            <v>0</v>
          </cell>
          <cell r="FQ53">
            <v>0</v>
          </cell>
          <cell r="FR53">
            <v>0</v>
          </cell>
          <cell r="FS53">
            <v>0</v>
          </cell>
          <cell r="FT53">
            <v>0</v>
          </cell>
          <cell r="FU53">
            <v>0</v>
          </cell>
          <cell r="FV53">
            <v>0</v>
          </cell>
          <cell r="FW53">
            <v>0</v>
          </cell>
          <cell r="FX53">
            <v>0</v>
          </cell>
          <cell r="FY53">
            <v>0</v>
          </cell>
          <cell r="FZ53">
            <v>0</v>
          </cell>
        </row>
        <row r="54">
          <cell r="B54">
            <v>0.1</v>
          </cell>
          <cell r="C54">
            <v>0.08</v>
          </cell>
          <cell r="D54">
            <v>0.15</v>
          </cell>
          <cell r="E54">
            <v>0.08</v>
          </cell>
          <cell r="F54">
            <v>0.15</v>
          </cell>
          <cell r="G54">
            <v>0.22</v>
          </cell>
          <cell r="H54">
            <v>7.0000000000000007E-2</v>
          </cell>
          <cell r="I54">
            <v>0.05</v>
          </cell>
          <cell r="J54">
            <v>0.13</v>
          </cell>
          <cell r="K54">
            <v>0.18</v>
          </cell>
          <cell r="L54">
            <v>0.17</v>
          </cell>
          <cell r="M54">
            <v>0.16</v>
          </cell>
          <cell r="N54">
            <v>0.8</v>
          </cell>
          <cell r="O54">
            <v>1</v>
          </cell>
          <cell r="P54">
            <v>1</v>
          </cell>
          <cell r="Q54">
            <v>0.8</v>
          </cell>
          <cell r="R54">
            <v>0.8</v>
          </cell>
          <cell r="S54">
            <v>1</v>
          </cell>
          <cell r="T54">
            <v>1</v>
          </cell>
          <cell r="U54">
            <v>1</v>
          </cell>
          <cell r="V54">
            <v>1</v>
          </cell>
          <cell r="W54">
            <v>1</v>
          </cell>
          <cell r="X54">
            <v>1</v>
          </cell>
          <cell r="Y54">
            <v>1</v>
          </cell>
          <cell r="Z54">
            <v>0.1</v>
          </cell>
          <cell r="AA54">
            <v>0.1</v>
          </cell>
          <cell r="AB54">
            <v>0.14000000000000001</v>
          </cell>
          <cell r="AC54">
            <v>0.11</v>
          </cell>
          <cell r="AD54">
            <v>0.11</v>
          </cell>
          <cell r="AE54">
            <v>0.19</v>
          </cell>
          <cell r="AF54">
            <v>0.09</v>
          </cell>
          <cell r="AG54">
            <v>0.11</v>
          </cell>
          <cell r="AH54">
            <v>0.15</v>
          </cell>
          <cell r="AI54">
            <v>0.2</v>
          </cell>
          <cell r="AJ54">
            <v>0.2</v>
          </cell>
          <cell r="AK54">
            <v>0.2</v>
          </cell>
          <cell r="AL54">
            <v>0</v>
          </cell>
          <cell r="AM54">
            <v>0</v>
          </cell>
          <cell r="AN54">
            <v>0</v>
          </cell>
          <cell r="AO54">
            <v>0</v>
          </cell>
          <cell r="AP54">
            <v>0</v>
          </cell>
          <cell r="AQ54">
            <v>0</v>
          </cell>
          <cell r="AR54">
            <v>0</v>
          </cell>
          <cell r="AS54">
            <v>0</v>
          </cell>
          <cell r="AT54">
            <v>0</v>
          </cell>
          <cell r="AU54">
            <v>0</v>
          </cell>
          <cell r="AV54">
            <v>0</v>
          </cell>
          <cell r="AW54">
            <v>0</v>
          </cell>
          <cell r="AX54">
            <v>0</v>
          </cell>
          <cell r="AY54">
            <v>0</v>
          </cell>
          <cell r="AZ54">
            <v>0</v>
          </cell>
          <cell r="BA54">
            <v>0</v>
          </cell>
          <cell r="BB54">
            <v>0</v>
          </cell>
          <cell r="BC54">
            <v>0</v>
          </cell>
          <cell r="BD54">
            <v>0</v>
          </cell>
          <cell r="BE54">
            <v>0</v>
          </cell>
          <cell r="BF54">
            <v>0</v>
          </cell>
          <cell r="BG54">
            <v>0</v>
          </cell>
          <cell r="BH54">
            <v>0</v>
          </cell>
          <cell r="BI54">
            <v>0</v>
          </cell>
          <cell r="BJ54">
            <v>0</v>
          </cell>
          <cell r="BK54">
            <v>0</v>
          </cell>
          <cell r="BL54">
            <v>0</v>
          </cell>
          <cell r="BM54">
            <v>0</v>
          </cell>
          <cell r="BN54">
            <v>0</v>
          </cell>
          <cell r="BO54">
            <v>0</v>
          </cell>
          <cell r="BP54">
            <v>0</v>
          </cell>
          <cell r="BQ54">
            <v>0</v>
          </cell>
          <cell r="BR54">
            <v>0</v>
          </cell>
          <cell r="BS54">
            <v>0</v>
          </cell>
          <cell r="BT54">
            <v>0</v>
          </cell>
          <cell r="BU54">
            <v>0</v>
          </cell>
          <cell r="BV54">
            <v>0</v>
          </cell>
          <cell r="BW54">
            <v>0</v>
          </cell>
          <cell r="BX54">
            <v>0</v>
          </cell>
          <cell r="BY54">
            <v>0</v>
          </cell>
          <cell r="BZ54">
            <v>0</v>
          </cell>
          <cell r="CA54">
            <v>0</v>
          </cell>
          <cell r="CB54">
            <v>0</v>
          </cell>
          <cell r="CC54">
            <v>0</v>
          </cell>
          <cell r="CD54">
            <v>0</v>
          </cell>
          <cell r="CE54">
            <v>0</v>
          </cell>
          <cell r="CF54">
            <v>0</v>
          </cell>
          <cell r="CG54">
            <v>0</v>
          </cell>
          <cell r="CH54">
            <v>0</v>
          </cell>
          <cell r="CI54">
            <v>0</v>
          </cell>
          <cell r="CJ54">
            <v>0</v>
          </cell>
          <cell r="CK54">
            <v>0</v>
          </cell>
          <cell r="CL54">
            <v>0</v>
          </cell>
          <cell r="CM54">
            <v>0</v>
          </cell>
          <cell r="CN54">
            <v>0</v>
          </cell>
          <cell r="CO54">
            <v>0</v>
          </cell>
          <cell r="CP54">
            <v>0</v>
          </cell>
          <cell r="CQ54">
            <v>0</v>
          </cell>
          <cell r="CR54">
            <v>0</v>
          </cell>
          <cell r="CS54">
            <v>0</v>
          </cell>
          <cell r="CT54">
            <v>0</v>
          </cell>
          <cell r="CU54">
            <v>0</v>
          </cell>
          <cell r="CV54">
            <v>0</v>
          </cell>
          <cell r="CW54">
            <v>0</v>
          </cell>
          <cell r="CX54">
            <v>0</v>
          </cell>
          <cell r="CY54">
            <v>0</v>
          </cell>
          <cell r="CZ54">
            <v>0</v>
          </cell>
          <cell r="DA54">
            <v>0</v>
          </cell>
          <cell r="DB54">
            <v>0</v>
          </cell>
          <cell r="DC54">
            <v>0</v>
          </cell>
          <cell r="DD54">
            <v>0</v>
          </cell>
          <cell r="DE54">
            <v>0</v>
          </cell>
          <cell r="DF54">
            <v>0</v>
          </cell>
          <cell r="DG54">
            <v>0</v>
          </cell>
          <cell r="DH54">
            <v>0</v>
          </cell>
          <cell r="DI54">
            <v>0</v>
          </cell>
          <cell r="DJ54">
            <v>0</v>
          </cell>
          <cell r="DK54">
            <v>0</v>
          </cell>
          <cell r="DL54">
            <v>0</v>
          </cell>
          <cell r="DM54">
            <v>0</v>
          </cell>
          <cell r="DN54">
            <v>0</v>
          </cell>
          <cell r="DO54">
            <v>0</v>
          </cell>
          <cell r="DP54">
            <v>0</v>
          </cell>
          <cell r="DQ54">
            <v>0</v>
          </cell>
          <cell r="DR54">
            <v>0</v>
          </cell>
          <cell r="DS54">
            <v>0</v>
          </cell>
          <cell r="DT54">
            <v>0</v>
          </cell>
          <cell r="DU54">
            <v>0</v>
          </cell>
          <cell r="DV54">
            <v>0</v>
          </cell>
          <cell r="DW54">
            <v>0</v>
          </cell>
          <cell r="DX54">
            <v>0</v>
          </cell>
          <cell r="DY54">
            <v>0</v>
          </cell>
          <cell r="DZ54">
            <v>0</v>
          </cell>
          <cell r="EA54">
            <v>0</v>
          </cell>
          <cell r="EB54">
            <v>0</v>
          </cell>
          <cell r="EC54">
            <v>0</v>
          </cell>
          <cell r="ED54">
            <v>0.05</v>
          </cell>
          <cell r="EE54">
            <v>0.09</v>
          </cell>
          <cell r="EF54">
            <v>0.08</v>
          </cell>
          <cell r="EG54">
            <v>0.17</v>
          </cell>
          <cell r="EH54">
            <v>1</v>
          </cell>
          <cell r="EI54">
            <v>1</v>
          </cell>
          <cell r="EJ54">
            <v>1</v>
          </cell>
          <cell r="EK54">
            <v>1</v>
          </cell>
          <cell r="EL54">
            <v>0.05</v>
          </cell>
          <cell r="EM54">
            <v>0.14000000000000001</v>
          </cell>
          <cell r="EN54">
            <v>0.11</v>
          </cell>
          <cell r="EO54">
            <v>0.2</v>
          </cell>
          <cell r="EP54">
            <v>0</v>
          </cell>
          <cell r="EQ54">
            <v>0</v>
          </cell>
          <cell r="ER54">
            <v>0</v>
          </cell>
          <cell r="ES54">
            <v>0</v>
          </cell>
          <cell r="ET54">
            <v>0</v>
          </cell>
          <cell r="EU54">
            <v>0</v>
          </cell>
          <cell r="EV54">
            <v>0</v>
          </cell>
          <cell r="EW54">
            <v>0</v>
          </cell>
          <cell r="EX54">
            <v>1</v>
          </cell>
          <cell r="EY54">
            <v>1</v>
          </cell>
          <cell r="EZ54">
            <v>1</v>
          </cell>
          <cell r="FA54">
            <v>0</v>
          </cell>
          <cell r="FB54">
            <v>0</v>
          </cell>
          <cell r="FC54">
            <v>0</v>
          </cell>
          <cell r="FD54">
            <v>0</v>
          </cell>
          <cell r="FE54">
            <v>0</v>
          </cell>
          <cell r="FF54">
            <v>0</v>
          </cell>
          <cell r="FG54">
            <v>0</v>
          </cell>
          <cell r="FH54">
            <v>0</v>
          </cell>
          <cell r="FI54">
            <v>0</v>
          </cell>
          <cell r="FJ54">
            <v>0</v>
          </cell>
          <cell r="FK54">
            <v>0</v>
          </cell>
          <cell r="FL54">
            <v>0</v>
          </cell>
          <cell r="FM54">
            <v>0</v>
          </cell>
          <cell r="FN54">
            <v>0</v>
          </cell>
          <cell r="FO54">
            <v>0</v>
          </cell>
          <cell r="FP54">
            <v>0</v>
          </cell>
          <cell r="FQ54">
            <v>0</v>
          </cell>
          <cell r="FR54">
            <v>0</v>
          </cell>
          <cell r="FS54">
            <v>0</v>
          </cell>
          <cell r="FT54">
            <v>0</v>
          </cell>
          <cell r="FU54">
            <v>0</v>
          </cell>
          <cell r="FV54">
            <v>0</v>
          </cell>
          <cell r="FW54">
            <v>0</v>
          </cell>
          <cell r="FX54">
            <v>0</v>
          </cell>
          <cell r="FY54">
            <v>0</v>
          </cell>
          <cell r="FZ54">
            <v>0</v>
          </cell>
        </row>
        <row r="55">
          <cell r="B55">
            <v>0.1</v>
          </cell>
          <cell r="C55">
            <v>0.08</v>
          </cell>
          <cell r="D55">
            <v>0.15</v>
          </cell>
          <cell r="E55">
            <v>0.08</v>
          </cell>
          <cell r="F55">
            <v>0.15</v>
          </cell>
          <cell r="G55">
            <v>0.22</v>
          </cell>
          <cell r="H55">
            <v>7.0000000000000007E-2</v>
          </cell>
          <cell r="I55">
            <v>0.05</v>
          </cell>
          <cell r="J55">
            <v>0.13</v>
          </cell>
          <cell r="K55">
            <v>0.18</v>
          </cell>
          <cell r="L55">
            <v>0.17</v>
          </cell>
          <cell r="M55">
            <v>0.16</v>
          </cell>
          <cell r="N55">
            <v>0.8</v>
          </cell>
          <cell r="O55">
            <v>1</v>
          </cell>
          <cell r="P55">
            <v>1</v>
          </cell>
          <cell r="Q55">
            <v>0.8</v>
          </cell>
          <cell r="R55">
            <v>0.8</v>
          </cell>
          <cell r="S55">
            <v>1</v>
          </cell>
          <cell r="T55">
            <v>1</v>
          </cell>
          <cell r="U55">
            <v>1</v>
          </cell>
          <cell r="V55">
            <v>1</v>
          </cell>
          <cell r="W55">
            <v>1</v>
          </cell>
          <cell r="X55">
            <v>1</v>
          </cell>
          <cell r="Y55">
            <v>1</v>
          </cell>
          <cell r="Z55">
            <v>0.1</v>
          </cell>
          <cell r="AA55">
            <v>0.1</v>
          </cell>
          <cell r="AB55">
            <v>0.14000000000000001</v>
          </cell>
          <cell r="AC55">
            <v>0.11</v>
          </cell>
          <cell r="AD55">
            <v>0.11</v>
          </cell>
          <cell r="AE55">
            <v>0.19</v>
          </cell>
          <cell r="AF55">
            <v>0.09</v>
          </cell>
          <cell r="AG55">
            <v>0.11</v>
          </cell>
          <cell r="AH55">
            <v>0.15</v>
          </cell>
          <cell r="AI55">
            <v>0.2</v>
          </cell>
          <cell r="AJ55">
            <v>0.2</v>
          </cell>
          <cell r="AK55">
            <v>0.2</v>
          </cell>
          <cell r="AL55">
            <v>0</v>
          </cell>
          <cell r="AM55">
            <v>0</v>
          </cell>
          <cell r="AN55">
            <v>0</v>
          </cell>
          <cell r="AO55">
            <v>0</v>
          </cell>
          <cell r="AP55">
            <v>0</v>
          </cell>
          <cell r="AQ55">
            <v>0</v>
          </cell>
          <cell r="AR55">
            <v>0</v>
          </cell>
          <cell r="AS55">
            <v>0</v>
          </cell>
          <cell r="AT55">
            <v>0</v>
          </cell>
          <cell r="AU55">
            <v>0</v>
          </cell>
          <cell r="AV55">
            <v>0</v>
          </cell>
          <cell r="AW55">
            <v>0</v>
          </cell>
          <cell r="AX55">
            <v>0</v>
          </cell>
          <cell r="AY55">
            <v>0</v>
          </cell>
          <cell r="AZ55">
            <v>0</v>
          </cell>
          <cell r="BA55">
            <v>0</v>
          </cell>
          <cell r="BB55">
            <v>0</v>
          </cell>
          <cell r="BC55">
            <v>0</v>
          </cell>
          <cell r="BD55">
            <v>0</v>
          </cell>
          <cell r="BE55">
            <v>0</v>
          </cell>
          <cell r="BF55">
            <v>0</v>
          </cell>
          <cell r="BG55">
            <v>0</v>
          </cell>
          <cell r="BH55">
            <v>0</v>
          </cell>
          <cell r="BI55">
            <v>0</v>
          </cell>
          <cell r="BJ55">
            <v>0</v>
          </cell>
          <cell r="BK55">
            <v>0</v>
          </cell>
          <cell r="BL55">
            <v>0</v>
          </cell>
          <cell r="BM55">
            <v>0</v>
          </cell>
          <cell r="BN55">
            <v>0</v>
          </cell>
          <cell r="BO55">
            <v>0</v>
          </cell>
          <cell r="BP55">
            <v>0</v>
          </cell>
          <cell r="BQ55">
            <v>0</v>
          </cell>
          <cell r="BR55">
            <v>0</v>
          </cell>
          <cell r="BS55">
            <v>0</v>
          </cell>
          <cell r="BT55">
            <v>0</v>
          </cell>
          <cell r="BU55">
            <v>0</v>
          </cell>
          <cell r="BV55">
            <v>0</v>
          </cell>
          <cell r="BW55">
            <v>0</v>
          </cell>
          <cell r="BX55">
            <v>0</v>
          </cell>
          <cell r="BY55">
            <v>0</v>
          </cell>
          <cell r="BZ55">
            <v>0</v>
          </cell>
          <cell r="CA55">
            <v>0</v>
          </cell>
          <cell r="CB55">
            <v>0</v>
          </cell>
          <cell r="CC55">
            <v>0</v>
          </cell>
          <cell r="CD55">
            <v>0</v>
          </cell>
          <cell r="CE55">
            <v>0</v>
          </cell>
          <cell r="CF55">
            <v>0</v>
          </cell>
          <cell r="CG55">
            <v>0</v>
          </cell>
          <cell r="CH55">
            <v>0</v>
          </cell>
          <cell r="CI55">
            <v>0</v>
          </cell>
          <cell r="CJ55">
            <v>0</v>
          </cell>
          <cell r="CK55">
            <v>0</v>
          </cell>
          <cell r="CL55">
            <v>0</v>
          </cell>
          <cell r="CM55">
            <v>0</v>
          </cell>
          <cell r="CN55">
            <v>0</v>
          </cell>
          <cell r="CO55">
            <v>0</v>
          </cell>
          <cell r="CP55">
            <v>0</v>
          </cell>
          <cell r="CQ55">
            <v>0</v>
          </cell>
          <cell r="CR55">
            <v>0</v>
          </cell>
          <cell r="CS55">
            <v>0</v>
          </cell>
          <cell r="CT55">
            <v>0</v>
          </cell>
          <cell r="CU55">
            <v>0</v>
          </cell>
          <cell r="CV55">
            <v>0</v>
          </cell>
          <cell r="CW55">
            <v>0</v>
          </cell>
          <cell r="CX55">
            <v>0</v>
          </cell>
          <cell r="CY55">
            <v>0</v>
          </cell>
          <cell r="CZ55">
            <v>0</v>
          </cell>
          <cell r="DA55">
            <v>0</v>
          </cell>
          <cell r="DB55">
            <v>0</v>
          </cell>
          <cell r="DC55">
            <v>0</v>
          </cell>
          <cell r="DD55">
            <v>0</v>
          </cell>
          <cell r="DE55">
            <v>0</v>
          </cell>
          <cell r="DF55">
            <v>0</v>
          </cell>
          <cell r="DG55">
            <v>0</v>
          </cell>
          <cell r="DH55">
            <v>0</v>
          </cell>
          <cell r="DI55">
            <v>0</v>
          </cell>
          <cell r="DJ55">
            <v>0</v>
          </cell>
          <cell r="DK55">
            <v>0</v>
          </cell>
          <cell r="DL55">
            <v>0</v>
          </cell>
          <cell r="DM55">
            <v>0</v>
          </cell>
          <cell r="DN55">
            <v>0</v>
          </cell>
          <cell r="DO55">
            <v>0</v>
          </cell>
          <cell r="DP55">
            <v>0</v>
          </cell>
          <cell r="DQ55">
            <v>0</v>
          </cell>
          <cell r="DR55">
            <v>0</v>
          </cell>
          <cell r="DS55">
            <v>0</v>
          </cell>
          <cell r="DT55">
            <v>0</v>
          </cell>
          <cell r="DU55">
            <v>0</v>
          </cell>
          <cell r="DV55">
            <v>0</v>
          </cell>
          <cell r="DW55">
            <v>0</v>
          </cell>
          <cell r="DX55">
            <v>0</v>
          </cell>
          <cell r="DY55">
            <v>0</v>
          </cell>
          <cell r="DZ55">
            <v>0</v>
          </cell>
          <cell r="EA55">
            <v>0</v>
          </cell>
          <cell r="EB55">
            <v>0</v>
          </cell>
          <cell r="EC55">
            <v>0</v>
          </cell>
          <cell r="ED55">
            <v>0.05</v>
          </cell>
          <cell r="EE55">
            <v>0.09</v>
          </cell>
          <cell r="EF55">
            <v>0.08</v>
          </cell>
          <cell r="EG55">
            <v>0.17</v>
          </cell>
          <cell r="EH55">
            <v>1</v>
          </cell>
          <cell r="EI55">
            <v>1</v>
          </cell>
          <cell r="EJ55">
            <v>1</v>
          </cell>
          <cell r="EK55">
            <v>1</v>
          </cell>
          <cell r="EL55">
            <v>0.05</v>
          </cell>
          <cell r="EM55">
            <v>0.14000000000000001</v>
          </cell>
          <cell r="EN55">
            <v>0.11</v>
          </cell>
          <cell r="EO55">
            <v>0.2</v>
          </cell>
          <cell r="EP55">
            <v>0</v>
          </cell>
          <cell r="EQ55">
            <v>0</v>
          </cell>
          <cell r="ER55">
            <v>0</v>
          </cell>
          <cell r="ES55">
            <v>0</v>
          </cell>
          <cell r="ET55">
            <v>0</v>
          </cell>
          <cell r="EU55">
            <v>0</v>
          </cell>
          <cell r="EV55">
            <v>0</v>
          </cell>
          <cell r="EW55">
            <v>0</v>
          </cell>
          <cell r="EX55">
            <v>1</v>
          </cell>
          <cell r="EY55">
            <v>1</v>
          </cell>
          <cell r="EZ55">
            <v>1</v>
          </cell>
          <cell r="FA55">
            <v>0</v>
          </cell>
          <cell r="FB55">
            <v>0</v>
          </cell>
          <cell r="FC55">
            <v>0</v>
          </cell>
          <cell r="FD55">
            <v>0</v>
          </cell>
          <cell r="FE55">
            <v>0</v>
          </cell>
          <cell r="FF55">
            <v>0</v>
          </cell>
          <cell r="FG55">
            <v>0</v>
          </cell>
          <cell r="FH55">
            <v>0</v>
          </cell>
          <cell r="FI55">
            <v>0</v>
          </cell>
          <cell r="FJ55">
            <v>0</v>
          </cell>
          <cell r="FK55">
            <v>0</v>
          </cell>
          <cell r="FL55">
            <v>0</v>
          </cell>
          <cell r="FM55">
            <v>0</v>
          </cell>
          <cell r="FN55">
            <v>0</v>
          </cell>
          <cell r="FO55">
            <v>0</v>
          </cell>
          <cell r="FP55">
            <v>0</v>
          </cell>
          <cell r="FQ55">
            <v>0</v>
          </cell>
          <cell r="FR55">
            <v>0</v>
          </cell>
          <cell r="FS55">
            <v>0</v>
          </cell>
          <cell r="FT55">
            <v>0</v>
          </cell>
          <cell r="FU55">
            <v>0</v>
          </cell>
          <cell r="FV55">
            <v>0</v>
          </cell>
          <cell r="FW55">
            <v>0</v>
          </cell>
          <cell r="FX55">
            <v>0</v>
          </cell>
          <cell r="FY55">
            <v>0</v>
          </cell>
          <cell r="FZ55">
            <v>0</v>
          </cell>
        </row>
        <row r="56">
          <cell r="B56">
            <v>0.1</v>
          </cell>
          <cell r="C56">
            <v>0.08</v>
          </cell>
          <cell r="D56">
            <v>0.15</v>
          </cell>
          <cell r="E56">
            <v>0.08</v>
          </cell>
          <cell r="F56">
            <v>0.15</v>
          </cell>
          <cell r="G56">
            <v>0.22</v>
          </cell>
          <cell r="H56">
            <v>7.0000000000000007E-2</v>
          </cell>
          <cell r="I56">
            <v>0.05</v>
          </cell>
          <cell r="J56">
            <v>0.13</v>
          </cell>
          <cell r="K56">
            <v>0.18</v>
          </cell>
          <cell r="L56">
            <v>0.17</v>
          </cell>
          <cell r="M56">
            <v>0.16</v>
          </cell>
          <cell r="N56">
            <v>0.8</v>
          </cell>
          <cell r="O56">
            <v>1</v>
          </cell>
          <cell r="P56">
            <v>1</v>
          </cell>
          <cell r="Q56">
            <v>0.8</v>
          </cell>
          <cell r="R56">
            <v>0.8</v>
          </cell>
          <cell r="S56">
            <v>1</v>
          </cell>
          <cell r="T56">
            <v>1</v>
          </cell>
          <cell r="U56">
            <v>1</v>
          </cell>
          <cell r="V56">
            <v>1</v>
          </cell>
          <cell r="W56">
            <v>1</v>
          </cell>
          <cell r="X56">
            <v>1</v>
          </cell>
          <cell r="Y56">
            <v>1</v>
          </cell>
          <cell r="Z56">
            <v>0.1</v>
          </cell>
          <cell r="AA56">
            <v>0.1</v>
          </cell>
          <cell r="AB56">
            <v>0.14000000000000001</v>
          </cell>
          <cell r="AC56">
            <v>0.11</v>
          </cell>
          <cell r="AD56">
            <v>0.11</v>
          </cell>
          <cell r="AE56">
            <v>0.19</v>
          </cell>
          <cell r="AF56">
            <v>0.09</v>
          </cell>
          <cell r="AG56">
            <v>0.11</v>
          </cell>
          <cell r="AH56">
            <v>0.15</v>
          </cell>
          <cell r="AI56">
            <v>0.2</v>
          </cell>
          <cell r="AJ56">
            <v>0.2</v>
          </cell>
          <cell r="AK56">
            <v>0.2</v>
          </cell>
          <cell r="AL56">
            <v>0</v>
          </cell>
          <cell r="AM56">
            <v>0</v>
          </cell>
          <cell r="AN56">
            <v>0</v>
          </cell>
          <cell r="AO56">
            <v>0</v>
          </cell>
          <cell r="AP56">
            <v>0</v>
          </cell>
          <cell r="AQ56">
            <v>0</v>
          </cell>
          <cell r="AR56">
            <v>0</v>
          </cell>
          <cell r="AS56">
            <v>0</v>
          </cell>
          <cell r="AT56">
            <v>0</v>
          </cell>
          <cell r="AU56">
            <v>0</v>
          </cell>
          <cell r="AV56">
            <v>0</v>
          </cell>
          <cell r="AW56">
            <v>0</v>
          </cell>
          <cell r="AX56">
            <v>0</v>
          </cell>
          <cell r="AY56">
            <v>0</v>
          </cell>
          <cell r="AZ56">
            <v>0</v>
          </cell>
          <cell r="BA56">
            <v>0</v>
          </cell>
          <cell r="BB56">
            <v>0</v>
          </cell>
          <cell r="BC56">
            <v>0</v>
          </cell>
          <cell r="BD56">
            <v>0</v>
          </cell>
          <cell r="BE56">
            <v>0</v>
          </cell>
          <cell r="BF56">
            <v>0</v>
          </cell>
          <cell r="BG56">
            <v>0</v>
          </cell>
          <cell r="BH56">
            <v>0</v>
          </cell>
          <cell r="BI56">
            <v>0</v>
          </cell>
          <cell r="BJ56">
            <v>0</v>
          </cell>
          <cell r="BK56">
            <v>0</v>
          </cell>
          <cell r="BL56">
            <v>0</v>
          </cell>
          <cell r="BM56">
            <v>0</v>
          </cell>
          <cell r="BN56">
            <v>0</v>
          </cell>
          <cell r="BO56">
            <v>0</v>
          </cell>
          <cell r="BP56">
            <v>0</v>
          </cell>
          <cell r="BQ56">
            <v>0</v>
          </cell>
          <cell r="BR56">
            <v>0</v>
          </cell>
          <cell r="BS56">
            <v>0</v>
          </cell>
          <cell r="BT56">
            <v>0</v>
          </cell>
          <cell r="BU56">
            <v>0</v>
          </cell>
          <cell r="BV56">
            <v>0</v>
          </cell>
          <cell r="BW56">
            <v>0</v>
          </cell>
          <cell r="BX56">
            <v>0</v>
          </cell>
          <cell r="BY56">
            <v>0</v>
          </cell>
          <cell r="BZ56">
            <v>0</v>
          </cell>
          <cell r="CA56">
            <v>0</v>
          </cell>
          <cell r="CB56">
            <v>0</v>
          </cell>
          <cell r="CC56">
            <v>0</v>
          </cell>
          <cell r="CD56">
            <v>0</v>
          </cell>
          <cell r="CE56">
            <v>0</v>
          </cell>
          <cell r="CF56">
            <v>0</v>
          </cell>
          <cell r="CG56">
            <v>0</v>
          </cell>
          <cell r="CH56">
            <v>0</v>
          </cell>
          <cell r="CI56">
            <v>0</v>
          </cell>
          <cell r="CJ56">
            <v>0</v>
          </cell>
          <cell r="CK56">
            <v>0</v>
          </cell>
          <cell r="CL56">
            <v>0</v>
          </cell>
          <cell r="CM56">
            <v>0</v>
          </cell>
          <cell r="CN56">
            <v>0</v>
          </cell>
          <cell r="CO56">
            <v>0</v>
          </cell>
          <cell r="CP56">
            <v>0</v>
          </cell>
          <cell r="CQ56">
            <v>0</v>
          </cell>
          <cell r="CR56">
            <v>0</v>
          </cell>
          <cell r="CS56">
            <v>0</v>
          </cell>
          <cell r="CT56">
            <v>0</v>
          </cell>
          <cell r="CU56">
            <v>0</v>
          </cell>
          <cell r="CV56">
            <v>0</v>
          </cell>
          <cell r="CW56">
            <v>0</v>
          </cell>
          <cell r="CX56">
            <v>0</v>
          </cell>
          <cell r="CY56">
            <v>0</v>
          </cell>
          <cell r="CZ56">
            <v>0</v>
          </cell>
          <cell r="DA56">
            <v>0</v>
          </cell>
          <cell r="DB56">
            <v>0</v>
          </cell>
          <cell r="DC56">
            <v>0</v>
          </cell>
          <cell r="DD56">
            <v>0</v>
          </cell>
          <cell r="DE56">
            <v>0</v>
          </cell>
          <cell r="DF56">
            <v>0</v>
          </cell>
          <cell r="DG56">
            <v>0</v>
          </cell>
          <cell r="DH56">
            <v>0</v>
          </cell>
          <cell r="DI56">
            <v>0</v>
          </cell>
          <cell r="DJ56">
            <v>0</v>
          </cell>
          <cell r="DK56">
            <v>0</v>
          </cell>
          <cell r="DL56">
            <v>0</v>
          </cell>
          <cell r="DM56">
            <v>0</v>
          </cell>
          <cell r="DN56">
            <v>0</v>
          </cell>
          <cell r="DO56">
            <v>0</v>
          </cell>
          <cell r="DP56">
            <v>0</v>
          </cell>
          <cell r="DQ56">
            <v>0</v>
          </cell>
          <cell r="DR56">
            <v>0</v>
          </cell>
          <cell r="DS56">
            <v>0</v>
          </cell>
          <cell r="DT56">
            <v>0</v>
          </cell>
          <cell r="DU56">
            <v>0</v>
          </cell>
          <cell r="DV56">
            <v>0</v>
          </cell>
          <cell r="DW56">
            <v>0</v>
          </cell>
          <cell r="DX56">
            <v>0</v>
          </cell>
          <cell r="DY56">
            <v>0</v>
          </cell>
          <cell r="DZ56">
            <v>0</v>
          </cell>
          <cell r="EA56">
            <v>0</v>
          </cell>
          <cell r="EB56">
            <v>0</v>
          </cell>
          <cell r="EC56">
            <v>0</v>
          </cell>
          <cell r="ED56">
            <v>0.05</v>
          </cell>
          <cell r="EE56">
            <v>0.09</v>
          </cell>
          <cell r="EF56">
            <v>0.08</v>
          </cell>
          <cell r="EG56">
            <v>0.17</v>
          </cell>
          <cell r="EH56">
            <v>1</v>
          </cell>
          <cell r="EI56">
            <v>1</v>
          </cell>
          <cell r="EJ56">
            <v>1</v>
          </cell>
          <cell r="EK56">
            <v>1</v>
          </cell>
          <cell r="EL56">
            <v>0.05</v>
          </cell>
          <cell r="EM56">
            <v>0.14000000000000001</v>
          </cell>
          <cell r="EN56">
            <v>0.11</v>
          </cell>
          <cell r="EO56">
            <v>0.2</v>
          </cell>
          <cell r="EP56">
            <v>0</v>
          </cell>
          <cell r="EQ56">
            <v>0</v>
          </cell>
          <cell r="ER56">
            <v>0</v>
          </cell>
          <cell r="ES56">
            <v>0</v>
          </cell>
          <cell r="ET56">
            <v>0</v>
          </cell>
          <cell r="EU56">
            <v>0</v>
          </cell>
          <cell r="EV56">
            <v>0</v>
          </cell>
          <cell r="EW56">
            <v>0</v>
          </cell>
          <cell r="EX56">
            <v>1</v>
          </cell>
          <cell r="EY56">
            <v>1</v>
          </cell>
          <cell r="EZ56">
            <v>1</v>
          </cell>
          <cell r="FA56">
            <v>0</v>
          </cell>
          <cell r="FB56">
            <v>0</v>
          </cell>
          <cell r="FC56">
            <v>0</v>
          </cell>
          <cell r="FD56">
            <v>0</v>
          </cell>
          <cell r="FE56">
            <v>0</v>
          </cell>
          <cell r="FF56">
            <v>0</v>
          </cell>
          <cell r="FG56">
            <v>0</v>
          </cell>
          <cell r="FH56">
            <v>0</v>
          </cell>
          <cell r="FI56">
            <v>0</v>
          </cell>
          <cell r="FJ56">
            <v>0</v>
          </cell>
          <cell r="FK56">
            <v>0</v>
          </cell>
          <cell r="FL56">
            <v>0</v>
          </cell>
          <cell r="FM56">
            <v>0</v>
          </cell>
          <cell r="FN56">
            <v>0</v>
          </cell>
          <cell r="FO56">
            <v>0</v>
          </cell>
          <cell r="FP56">
            <v>0</v>
          </cell>
          <cell r="FQ56">
            <v>0</v>
          </cell>
          <cell r="FR56">
            <v>0</v>
          </cell>
          <cell r="FS56">
            <v>0</v>
          </cell>
          <cell r="FT56">
            <v>0</v>
          </cell>
          <cell r="FU56">
            <v>0</v>
          </cell>
          <cell r="FV56">
            <v>0</v>
          </cell>
          <cell r="FW56">
            <v>0</v>
          </cell>
          <cell r="FX56">
            <v>0</v>
          </cell>
          <cell r="FY56">
            <v>0</v>
          </cell>
          <cell r="FZ56">
            <v>0</v>
          </cell>
        </row>
        <row r="57">
          <cell r="B57">
            <v>0.1</v>
          </cell>
          <cell r="C57">
            <v>0.08</v>
          </cell>
          <cell r="D57">
            <v>0.15</v>
          </cell>
          <cell r="E57">
            <v>0.08</v>
          </cell>
          <cell r="F57">
            <v>0.15</v>
          </cell>
          <cell r="G57">
            <v>0.22</v>
          </cell>
          <cell r="H57">
            <v>7.0000000000000007E-2</v>
          </cell>
          <cell r="I57">
            <v>0.05</v>
          </cell>
          <cell r="J57">
            <v>0.13</v>
          </cell>
          <cell r="K57">
            <v>0.18</v>
          </cell>
          <cell r="L57">
            <v>0.17</v>
          </cell>
          <cell r="M57">
            <v>0.16</v>
          </cell>
          <cell r="N57">
            <v>0.8</v>
          </cell>
          <cell r="O57">
            <v>1</v>
          </cell>
          <cell r="P57">
            <v>1</v>
          </cell>
          <cell r="Q57">
            <v>0.8</v>
          </cell>
          <cell r="R57">
            <v>0.8</v>
          </cell>
          <cell r="S57">
            <v>1</v>
          </cell>
          <cell r="T57">
            <v>1</v>
          </cell>
          <cell r="U57">
            <v>1</v>
          </cell>
          <cell r="V57">
            <v>1</v>
          </cell>
          <cell r="W57">
            <v>1</v>
          </cell>
          <cell r="X57">
            <v>1</v>
          </cell>
          <cell r="Y57">
            <v>1</v>
          </cell>
          <cell r="Z57">
            <v>0.1</v>
          </cell>
          <cell r="AA57">
            <v>0.1</v>
          </cell>
          <cell r="AB57">
            <v>0.14000000000000001</v>
          </cell>
          <cell r="AC57">
            <v>0.11</v>
          </cell>
          <cell r="AD57">
            <v>0.11</v>
          </cell>
          <cell r="AE57">
            <v>0.19</v>
          </cell>
          <cell r="AF57">
            <v>0.09</v>
          </cell>
          <cell r="AG57">
            <v>0.11</v>
          </cell>
          <cell r="AH57">
            <v>0.15</v>
          </cell>
          <cell r="AI57">
            <v>0.2</v>
          </cell>
          <cell r="AJ57">
            <v>0.2</v>
          </cell>
          <cell r="AK57">
            <v>0.2</v>
          </cell>
          <cell r="AL57">
            <v>0</v>
          </cell>
          <cell r="AM57">
            <v>0</v>
          </cell>
          <cell r="AN57">
            <v>0</v>
          </cell>
          <cell r="AO57">
            <v>0</v>
          </cell>
          <cell r="AP57">
            <v>0</v>
          </cell>
          <cell r="AQ57">
            <v>0</v>
          </cell>
          <cell r="AR57">
            <v>0</v>
          </cell>
          <cell r="AS57">
            <v>0</v>
          </cell>
          <cell r="AT57">
            <v>0</v>
          </cell>
          <cell r="AU57">
            <v>0</v>
          </cell>
          <cell r="AV57">
            <v>0</v>
          </cell>
          <cell r="AW57">
            <v>0</v>
          </cell>
          <cell r="AX57">
            <v>0</v>
          </cell>
          <cell r="AY57">
            <v>0</v>
          </cell>
          <cell r="AZ57">
            <v>0</v>
          </cell>
          <cell r="BA57">
            <v>0</v>
          </cell>
          <cell r="BB57">
            <v>0</v>
          </cell>
          <cell r="BC57">
            <v>0</v>
          </cell>
          <cell r="BD57">
            <v>0</v>
          </cell>
          <cell r="BE57">
            <v>0</v>
          </cell>
          <cell r="BF57">
            <v>0</v>
          </cell>
          <cell r="BG57">
            <v>0</v>
          </cell>
          <cell r="BH57">
            <v>0</v>
          </cell>
          <cell r="BI57">
            <v>0</v>
          </cell>
          <cell r="BJ57">
            <v>0</v>
          </cell>
          <cell r="BK57">
            <v>0</v>
          </cell>
          <cell r="BL57">
            <v>0</v>
          </cell>
          <cell r="BM57">
            <v>0</v>
          </cell>
          <cell r="BN57">
            <v>0</v>
          </cell>
          <cell r="BO57">
            <v>0</v>
          </cell>
          <cell r="BP57">
            <v>0</v>
          </cell>
          <cell r="BQ57">
            <v>0</v>
          </cell>
          <cell r="BR57">
            <v>0</v>
          </cell>
          <cell r="BS57">
            <v>0</v>
          </cell>
          <cell r="BT57">
            <v>0</v>
          </cell>
          <cell r="BU57">
            <v>0</v>
          </cell>
          <cell r="BV57">
            <v>0</v>
          </cell>
          <cell r="BW57">
            <v>0</v>
          </cell>
          <cell r="BX57">
            <v>0</v>
          </cell>
          <cell r="BY57">
            <v>0</v>
          </cell>
          <cell r="BZ57">
            <v>0</v>
          </cell>
          <cell r="CA57">
            <v>0</v>
          </cell>
          <cell r="CB57">
            <v>0</v>
          </cell>
          <cell r="CC57">
            <v>0</v>
          </cell>
          <cell r="CD57">
            <v>0</v>
          </cell>
          <cell r="CE57">
            <v>0</v>
          </cell>
          <cell r="CF57">
            <v>0</v>
          </cell>
          <cell r="CG57">
            <v>0</v>
          </cell>
          <cell r="CH57">
            <v>0</v>
          </cell>
          <cell r="CI57">
            <v>0</v>
          </cell>
          <cell r="CJ57">
            <v>0</v>
          </cell>
          <cell r="CK57">
            <v>0</v>
          </cell>
          <cell r="CL57">
            <v>0</v>
          </cell>
          <cell r="CM57">
            <v>0</v>
          </cell>
          <cell r="CN57">
            <v>0</v>
          </cell>
          <cell r="CO57">
            <v>0</v>
          </cell>
          <cell r="CP57">
            <v>0</v>
          </cell>
          <cell r="CQ57">
            <v>0</v>
          </cell>
          <cell r="CR57">
            <v>0</v>
          </cell>
          <cell r="CS57">
            <v>0</v>
          </cell>
          <cell r="CT57">
            <v>0</v>
          </cell>
          <cell r="CU57">
            <v>0</v>
          </cell>
          <cell r="CV57">
            <v>0</v>
          </cell>
          <cell r="CW57">
            <v>0</v>
          </cell>
          <cell r="CX57">
            <v>0</v>
          </cell>
          <cell r="CY57">
            <v>0</v>
          </cell>
          <cell r="CZ57">
            <v>0</v>
          </cell>
          <cell r="DA57">
            <v>0</v>
          </cell>
          <cell r="DB57">
            <v>0</v>
          </cell>
          <cell r="DC57">
            <v>0</v>
          </cell>
          <cell r="DD57">
            <v>0</v>
          </cell>
          <cell r="DE57">
            <v>0</v>
          </cell>
          <cell r="DF57">
            <v>0</v>
          </cell>
          <cell r="DG57">
            <v>0</v>
          </cell>
          <cell r="DH57">
            <v>0</v>
          </cell>
          <cell r="DI57">
            <v>0</v>
          </cell>
          <cell r="DJ57">
            <v>0</v>
          </cell>
          <cell r="DK57">
            <v>0</v>
          </cell>
          <cell r="DL57">
            <v>0</v>
          </cell>
          <cell r="DM57">
            <v>0</v>
          </cell>
          <cell r="DN57">
            <v>0</v>
          </cell>
          <cell r="DO57">
            <v>0</v>
          </cell>
          <cell r="DP57">
            <v>0</v>
          </cell>
          <cell r="DQ57">
            <v>0</v>
          </cell>
          <cell r="DR57">
            <v>0</v>
          </cell>
          <cell r="DS57">
            <v>0</v>
          </cell>
          <cell r="DT57">
            <v>0</v>
          </cell>
          <cell r="DU57">
            <v>0</v>
          </cell>
          <cell r="DV57">
            <v>0</v>
          </cell>
          <cell r="DW57">
            <v>0</v>
          </cell>
          <cell r="DX57">
            <v>0</v>
          </cell>
          <cell r="DY57">
            <v>0</v>
          </cell>
          <cell r="DZ57">
            <v>0</v>
          </cell>
          <cell r="EA57">
            <v>0</v>
          </cell>
          <cell r="EB57">
            <v>0</v>
          </cell>
          <cell r="EC57">
            <v>0</v>
          </cell>
          <cell r="ED57">
            <v>0.05</v>
          </cell>
          <cell r="EE57">
            <v>0.09</v>
          </cell>
          <cell r="EF57">
            <v>0.08</v>
          </cell>
          <cell r="EG57">
            <v>0.17</v>
          </cell>
          <cell r="EH57">
            <v>1</v>
          </cell>
          <cell r="EI57">
            <v>1</v>
          </cell>
          <cell r="EJ57">
            <v>1</v>
          </cell>
          <cell r="EK57">
            <v>1</v>
          </cell>
          <cell r="EL57">
            <v>0.05</v>
          </cell>
          <cell r="EM57">
            <v>0.14000000000000001</v>
          </cell>
          <cell r="EN57">
            <v>0.11</v>
          </cell>
          <cell r="EO57">
            <v>0.2</v>
          </cell>
          <cell r="EP57">
            <v>0</v>
          </cell>
          <cell r="EQ57">
            <v>0</v>
          </cell>
          <cell r="ER57">
            <v>0</v>
          </cell>
          <cell r="ES57">
            <v>0</v>
          </cell>
          <cell r="ET57">
            <v>0</v>
          </cell>
          <cell r="EU57">
            <v>0</v>
          </cell>
          <cell r="EV57">
            <v>0</v>
          </cell>
          <cell r="EW57">
            <v>0</v>
          </cell>
          <cell r="EX57">
            <v>1</v>
          </cell>
          <cell r="EY57">
            <v>1</v>
          </cell>
          <cell r="EZ57">
            <v>1</v>
          </cell>
          <cell r="FA57">
            <v>0</v>
          </cell>
          <cell r="FB57">
            <v>0</v>
          </cell>
          <cell r="FC57">
            <v>0</v>
          </cell>
          <cell r="FD57">
            <v>0</v>
          </cell>
          <cell r="FE57">
            <v>0</v>
          </cell>
          <cell r="FF57">
            <v>0</v>
          </cell>
          <cell r="FG57">
            <v>0</v>
          </cell>
          <cell r="FH57">
            <v>0</v>
          </cell>
          <cell r="FI57">
            <v>0</v>
          </cell>
          <cell r="FJ57">
            <v>0</v>
          </cell>
          <cell r="FK57">
            <v>0</v>
          </cell>
          <cell r="FL57">
            <v>0</v>
          </cell>
          <cell r="FM57">
            <v>0</v>
          </cell>
          <cell r="FN57">
            <v>0</v>
          </cell>
          <cell r="FO57">
            <v>0</v>
          </cell>
          <cell r="FP57">
            <v>0</v>
          </cell>
          <cell r="FQ57">
            <v>0</v>
          </cell>
          <cell r="FR57">
            <v>0</v>
          </cell>
          <cell r="FS57">
            <v>0</v>
          </cell>
          <cell r="FT57">
            <v>0</v>
          </cell>
          <cell r="FU57">
            <v>0</v>
          </cell>
          <cell r="FV57">
            <v>0</v>
          </cell>
          <cell r="FW57">
            <v>0</v>
          </cell>
          <cell r="FX57">
            <v>0</v>
          </cell>
          <cell r="FY57">
            <v>0</v>
          </cell>
          <cell r="FZ57">
            <v>0</v>
          </cell>
        </row>
        <row r="58">
          <cell r="B58">
            <v>0.1</v>
          </cell>
          <cell r="C58">
            <v>0.08</v>
          </cell>
          <cell r="D58">
            <v>0.15</v>
          </cell>
          <cell r="E58">
            <v>0.08</v>
          </cell>
          <cell r="F58">
            <v>0.15</v>
          </cell>
          <cell r="G58">
            <v>0.22</v>
          </cell>
          <cell r="H58">
            <v>7.0000000000000007E-2</v>
          </cell>
          <cell r="I58">
            <v>0.05</v>
          </cell>
          <cell r="J58">
            <v>0.13</v>
          </cell>
          <cell r="K58">
            <v>0.18</v>
          </cell>
          <cell r="L58">
            <v>0.17</v>
          </cell>
          <cell r="M58">
            <v>0.16</v>
          </cell>
          <cell r="N58">
            <v>0.8</v>
          </cell>
          <cell r="O58">
            <v>1</v>
          </cell>
          <cell r="P58">
            <v>1</v>
          </cell>
          <cell r="Q58">
            <v>0.8</v>
          </cell>
          <cell r="R58">
            <v>0.8</v>
          </cell>
          <cell r="S58">
            <v>1</v>
          </cell>
          <cell r="T58">
            <v>1</v>
          </cell>
          <cell r="U58">
            <v>1</v>
          </cell>
          <cell r="V58">
            <v>1</v>
          </cell>
          <cell r="W58">
            <v>1</v>
          </cell>
          <cell r="X58">
            <v>1</v>
          </cell>
          <cell r="Y58">
            <v>1</v>
          </cell>
          <cell r="Z58">
            <v>0.1</v>
          </cell>
          <cell r="AA58">
            <v>0.1</v>
          </cell>
          <cell r="AB58">
            <v>0.14000000000000001</v>
          </cell>
          <cell r="AC58">
            <v>0.11</v>
          </cell>
          <cell r="AD58">
            <v>0.11</v>
          </cell>
          <cell r="AE58">
            <v>0.19</v>
          </cell>
          <cell r="AF58">
            <v>0.09</v>
          </cell>
          <cell r="AG58">
            <v>0.11</v>
          </cell>
          <cell r="AH58">
            <v>0.15</v>
          </cell>
          <cell r="AI58">
            <v>0.2</v>
          </cell>
          <cell r="AJ58">
            <v>0.2</v>
          </cell>
          <cell r="AK58">
            <v>0.2</v>
          </cell>
          <cell r="AL58">
            <v>0</v>
          </cell>
          <cell r="AM58">
            <v>0</v>
          </cell>
          <cell r="AN58">
            <v>0</v>
          </cell>
          <cell r="AO58">
            <v>0</v>
          </cell>
          <cell r="AP58">
            <v>0</v>
          </cell>
          <cell r="AQ58">
            <v>0</v>
          </cell>
          <cell r="AR58">
            <v>0</v>
          </cell>
          <cell r="AS58">
            <v>0</v>
          </cell>
          <cell r="AT58">
            <v>0</v>
          </cell>
          <cell r="AU58">
            <v>0</v>
          </cell>
          <cell r="AV58">
            <v>0</v>
          </cell>
          <cell r="AW58">
            <v>0</v>
          </cell>
          <cell r="AX58">
            <v>0</v>
          </cell>
          <cell r="AY58">
            <v>0</v>
          </cell>
          <cell r="AZ58">
            <v>0</v>
          </cell>
          <cell r="BA58">
            <v>0</v>
          </cell>
          <cell r="BB58">
            <v>0</v>
          </cell>
          <cell r="BC58">
            <v>0</v>
          </cell>
          <cell r="BD58">
            <v>0</v>
          </cell>
          <cell r="BE58">
            <v>0</v>
          </cell>
          <cell r="BF58">
            <v>0</v>
          </cell>
          <cell r="BG58">
            <v>0</v>
          </cell>
          <cell r="BH58">
            <v>0</v>
          </cell>
          <cell r="BI58">
            <v>0</v>
          </cell>
          <cell r="BJ58">
            <v>0</v>
          </cell>
          <cell r="BK58">
            <v>0</v>
          </cell>
          <cell r="BL58">
            <v>0</v>
          </cell>
          <cell r="BM58">
            <v>0</v>
          </cell>
          <cell r="BN58">
            <v>0</v>
          </cell>
          <cell r="BO58">
            <v>0</v>
          </cell>
          <cell r="BP58">
            <v>0</v>
          </cell>
          <cell r="BQ58">
            <v>0</v>
          </cell>
          <cell r="BR58">
            <v>0</v>
          </cell>
          <cell r="BS58">
            <v>0</v>
          </cell>
          <cell r="BT58">
            <v>0</v>
          </cell>
          <cell r="BU58">
            <v>0</v>
          </cell>
          <cell r="BV58">
            <v>0</v>
          </cell>
          <cell r="BW58">
            <v>0</v>
          </cell>
          <cell r="BX58">
            <v>0</v>
          </cell>
          <cell r="BY58">
            <v>0</v>
          </cell>
          <cell r="BZ58">
            <v>0</v>
          </cell>
          <cell r="CA58">
            <v>0</v>
          </cell>
          <cell r="CB58">
            <v>0</v>
          </cell>
          <cell r="CC58">
            <v>0</v>
          </cell>
          <cell r="CD58">
            <v>0</v>
          </cell>
          <cell r="CE58">
            <v>0</v>
          </cell>
          <cell r="CF58">
            <v>0</v>
          </cell>
          <cell r="CG58">
            <v>0</v>
          </cell>
          <cell r="CH58">
            <v>0</v>
          </cell>
          <cell r="CI58">
            <v>0</v>
          </cell>
          <cell r="CJ58">
            <v>0</v>
          </cell>
          <cell r="CK58">
            <v>0</v>
          </cell>
          <cell r="CL58">
            <v>0</v>
          </cell>
          <cell r="CM58">
            <v>0</v>
          </cell>
          <cell r="CN58">
            <v>0</v>
          </cell>
          <cell r="CO58">
            <v>0</v>
          </cell>
          <cell r="CP58">
            <v>0</v>
          </cell>
          <cell r="CQ58">
            <v>0</v>
          </cell>
          <cell r="CR58">
            <v>0</v>
          </cell>
          <cell r="CS58">
            <v>0</v>
          </cell>
          <cell r="CT58">
            <v>0</v>
          </cell>
          <cell r="CU58">
            <v>0</v>
          </cell>
          <cell r="CV58">
            <v>0</v>
          </cell>
          <cell r="CW58">
            <v>0</v>
          </cell>
          <cell r="CX58">
            <v>0</v>
          </cell>
          <cell r="CY58">
            <v>0</v>
          </cell>
          <cell r="CZ58">
            <v>0</v>
          </cell>
          <cell r="DA58">
            <v>0</v>
          </cell>
          <cell r="DB58">
            <v>0</v>
          </cell>
          <cell r="DC58">
            <v>0</v>
          </cell>
          <cell r="DD58">
            <v>0</v>
          </cell>
          <cell r="DE58">
            <v>0</v>
          </cell>
          <cell r="DF58">
            <v>0</v>
          </cell>
          <cell r="DG58">
            <v>0</v>
          </cell>
          <cell r="DH58">
            <v>0</v>
          </cell>
          <cell r="DI58">
            <v>0</v>
          </cell>
          <cell r="DJ58">
            <v>0</v>
          </cell>
          <cell r="DK58">
            <v>0</v>
          </cell>
          <cell r="DL58">
            <v>0</v>
          </cell>
          <cell r="DM58">
            <v>0</v>
          </cell>
          <cell r="DN58">
            <v>0</v>
          </cell>
          <cell r="DO58">
            <v>0</v>
          </cell>
          <cell r="DP58">
            <v>0</v>
          </cell>
          <cell r="DQ58">
            <v>0</v>
          </cell>
          <cell r="DR58">
            <v>0</v>
          </cell>
          <cell r="DS58">
            <v>0</v>
          </cell>
          <cell r="DT58">
            <v>0</v>
          </cell>
          <cell r="DU58">
            <v>0</v>
          </cell>
          <cell r="DV58">
            <v>0</v>
          </cell>
          <cell r="DW58">
            <v>0</v>
          </cell>
          <cell r="DX58">
            <v>0</v>
          </cell>
          <cell r="DY58">
            <v>0</v>
          </cell>
          <cell r="DZ58">
            <v>0</v>
          </cell>
          <cell r="EA58">
            <v>0</v>
          </cell>
          <cell r="EB58">
            <v>0</v>
          </cell>
          <cell r="EC58">
            <v>0</v>
          </cell>
          <cell r="ED58">
            <v>0.05</v>
          </cell>
          <cell r="EE58">
            <v>0.09</v>
          </cell>
          <cell r="EF58">
            <v>0.08</v>
          </cell>
          <cell r="EG58">
            <v>0.17</v>
          </cell>
          <cell r="EH58">
            <v>1</v>
          </cell>
          <cell r="EI58">
            <v>1</v>
          </cell>
          <cell r="EJ58">
            <v>1</v>
          </cell>
          <cell r="EK58">
            <v>1</v>
          </cell>
          <cell r="EL58">
            <v>0.05</v>
          </cell>
          <cell r="EM58">
            <v>0.14000000000000001</v>
          </cell>
          <cell r="EN58">
            <v>0.11</v>
          </cell>
          <cell r="EO58">
            <v>0.2</v>
          </cell>
          <cell r="EP58">
            <v>0</v>
          </cell>
          <cell r="EQ58">
            <v>0</v>
          </cell>
          <cell r="ER58">
            <v>0</v>
          </cell>
          <cell r="ES58">
            <v>0</v>
          </cell>
          <cell r="ET58">
            <v>0</v>
          </cell>
          <cell r="EU58">
            <v>0</v>
          </cell>
          <cell r="EV58">
            <v>0</v>
          </cell>
          <cell r="EW58">
            <v>0</v>
          </cell>
          <cell r="EX58">
            <v>1</v>
          </cell>
          <cell r="EY58">
            <v>1</v>
          </cell>
          <cell r="EZ58">
            <v>1</v>
          </cell>
          <cell r="FA58">
            <v>0</v>
          </cell>
          <cell r="FB58">
            <v>0</v>
          </cell>
          <cell r="FC58">
            <v>0</v>
          </cell>
          <cell r="FD58">
            <v>0</v>
          </cell>
          <cell r="FE58">
            <v>0</v>
          </cell>
          <cell r="FF58">
            <v>0</v>
          </cell>
          <cell r="FG58">
            <v>0</v>
          </cell>
          <cell r="FH58">
            <v>0</v>
          </cell>
          <cell r="FI58">
            <v>0</v>
          </cell>
          <cell r="FJ58">
            <v>0</v>
          </cell>
          <cell r="FK58">
            <v>0</v>
          </cell>
          <cell r="FL58">
            <v>0</v>
          </cell>
          <cell r="FM58">
            <v>0</v>
          </cell>
          <cell r="FN58">
            <v>0</v>
          </cell>
          <cell r="FO58">
            <v>0</v>
          </cell>
          <cell r="FP58">
            <v>0</v>
          </cell>
          <cell r="FQ58">
            <v>0</v>
          </cell>
          <cell r="FR58">
            <v>0</v>
          </cell>
          <cell r="FS58">
            <v>0</v>
          </cell>
          <cell r="FT58">
            <v>0</v>
          </cell>
          <cell r="FU58">
            <v>0</v>
          </cell>
          <cell r="FV58">
            <v>0</v>
          </cell>
          <cell r="FW58">
            <v>0</v>
          </cell>
          <cell r="FX58">
            <v>0</v>
          </cell>
          <cell r="FY58">
            <v>0</v>
          </cell>
          <cell r="FZ58">
            <v>0</v>
          </cell>
        </row>
        <row r="59">
          <cell r="B59">
            <v>0.1</v>
          </cell>
          <cell r="C59">
            <v>0.08</v>
          </cell>
          <cell r="D59">
            <v>0.15</v>
          </cell>
          <cell r="E59">
            <v>0.08</v>
          </cell>
          <cell r="F59">
            <v>0.15</v>
          </cell>
          <cell r="G59">
            <v>0.22</v>
          </cell>
          <cell r="H59">
            <v>7.0000000000000007E-2</v>
          </cell>
          <cell r="I59">
            <v>0.05</v>
          </cell>
          <cell r="J59">
            <v>0.13</v>
          </cell>
          <cell r="K59">
            <v>0.18</v>
          </cell>
          <cell r="L59">
            <v>0.17</v>
          </cell>
          <cell r="M59">
            <v>0.16</v>
          </cell>
          <cell r="N59">
            <v>0.8</v>
          </cell>
          <cell r="O59">
            <v>1</v>
          </cell>
          <cell r="P59">
            <v>1</v>
          </cell>
          <cell r="Q59">
            <v>0.8</v>
          </cell>
          <cell r="R59">
            <v>0.8</v>
          </cell>
          <cell r="S59">
            <v>1</v>
          </cell>
          <cell r="T59">
            <v>1</v>
          </cell>
          <cell r="U59">
            <v>1</v>
          </cell>
          <cell r="V59">
            <v>1</v>
          </cell>
          <cell r="W59">
            <v>1</v>
          </cell>
          <cell r="X59">
            <v>1</v>
          </cell>
          <cell r="Y59">
            <v>1</v>
          </cell>
          <cell r="Z59">
            <v>0.1</v>
          </cell>
          <cell r="AA59">
            <v>0.1</v>
          </cell>
          <cell r="AB59">
            <v>0.14000000000000001</v>
          </cell>
          <cell r="AC59">
            <v>0.11</v>
          </cell>
          <cell r="AD59">
            <v>0.11</v>
          </cell>
          <cell r="AE59">
            <v>0.19</v>
          </cell>
          <cell r="AF59">
            <v>0.09</v>
          </cell>
          <cell r="AG59">
            <v>0.11</v>
          </cell>
          <cell r="AH59">
            <v>0.15</v>
          </cell>
          <cell r="AI59">
            <v>0.2</v>
          </cell>
          <cell r="AJ59">
            <v>0.2</v>
          </cell>
          <cell r="AK59">
            <v>0.2</v>
          </cell>
          <cell r="AL59">
            <v>0</v>
          </cell>
          <cell r="AM59">
            <v>0</v>
          </cell>
          <cell r="AN59">
            <v>0</v>
          </cell>
          <cell r="AO59">
            <v>0</v>
          </cell>
          <cell r="AP59">
            <v>0</v>
          </cell>
          <cell r="AQ59">
            <v>0</v>
          </cell>
          <cell r="AR59">
            <v>0</v>
          </cell>
          <cell r="AS59">
            <v>0</v>
          </cell>
          <cell r="AT59">
            <v>0</v>
          </cell>
          <cell r="AU59">
            <v>0</v>
          </cell>
          <cell r="AV59">
            <v>0</v>
          </cell>
          <cell r="AW59">
            <v>0</v>
          </cell>
          <cell r="AX59">
            <v>0</v>
          </cell>
          <cell r="AY59">
            <v>0</v>
          </cell>
          <cell r="AZ59">
            <v>0</v>
          </cell>
          <cell r="BA59">
            <v>0</v>
          </cell>
          <cell r="BB59">
            <v>0</v>
          </cell>
          <cell r="BC59">
            <v>0</v>
          </cell>
          <cell r="BD59">
            <v>0</v>
          </cell>
          <cell r="BE59">
            <v>0</v>
          </cell>
          <cell r="BF59">
            <v>0</v>
          </cell>
          <cell r="BG59">
            <v>0</v>
          </cell>
          <cell r="BH59">
            <v>0</v>
          </cell>
          <cell r="BI59">
            <v>0</v>
          </cell>
          <cell r="BJ59">
            <v>0</v>
          </cell>
          <cell r="BK59">
            <v>0</v>
          </cell>
          <cell r="BL59">
            <v>0</v>
          </cell>
          <cell r="BM59">
            <v>0</v>
          </cell>
          <cell r="BN59">
            <v>0</v>
          </cell>
          <cell r="BO59">
            <v>0</v>
          </cell>
          <cell r="BP59">
            <v>0</v>
          </cell>
          <cell r="BQ59">
            <v>0</v>
          </cell>
          <cell r="BR59">
            <v>0</v>
          </cell>
          <cell r="BS59">
            <v>0</v>
          </cell>
          <cell r="BT59">
            <v>0</v>
          </cell>
          <cell r="BU59">
            <v>0</v>
          </cell>
          <cell r="BV59">
            <v>0</v>
          </cell>
          <cell r="BW59">
            <v>0</v>
          </cell>
          <cell r="BX59">
            <v>0</v>
          </cell>
          <cell r="BY59">
            <v>0</v>
          </cell>
          <cell r="BZ59">
            <v>0</v>
          </cell>
          <cell r="CA59">
            <v>0</v>
          </cell>
          <cell r="CB59">
            <v>0</v>
          </cell>
          <cell r="CC59">
            <v>0</v>
          </cell>
          <cell r="CD59">
            <v>0</v>
          </cell>
          <cell r="CE59">
            <v>0</v>
          </cell>
          <cell r="CF59">
            <v>0</v>
          </cell>
          <cell r="CG59">
            <v>0</v>
          </cell>
          <cell r="CH59">
            <v>0</v>
          </cell>
          <cell r="CI59">
            <v>0</v>
          </cell>
          <cell r="CJ59">
            <v>0</v>
          </cell>
          <cell r="CK59">
            <v>0</v>
          </cell>
          <cell r="CL59">
            <v>0</v>
          </cell>
          <cell r="CM59">
            <v>0</v>
          </cell>
          <cell r="CN59">
            <v>0</v>
          </cell>
          <cell r="CO59">
            <v>0</v>
          </cell>
          <cell r="CP59">
            <v>0</v>
          </cell>
          <cell r="CQ59">
            <v>0</v>
          </cell>
          <cell r="CR59">
            <v>0</v>
          </cell>
          <cell r="CS59">
            <v>0</v>
          </cell>
          <cell r="CT59">
            <v>0</v>
          </cell>
          <cell r="CU59">
            <v>0</v>
          </cell>
          <cell r="CV59">
            <v>0</v>
          </cell>
          <cell r="CW59">
            <v>0</v>
          </cell>
          <cell r="CX59">
            <v>0</v>
          </cell>
          <cell r="CY59">
            <v>0</v>
          </cell>
          <cell r="CZ59">
            <v>0</v>
          </cell>
          <cell r="DA59">
            <v>0</v>
          </cell>
          <cell r="DB59">
            <v>0</v>
          </cell>
          <cell r="DC59">
            <v>0</v>
          </cell>
          <cell r="DD59">
            <v>0</v>
          </cell>
          <cell r="DE59">
            <v>0</v>
          </cell>
          <cell r="DF59">
            <v>0</v>
          </cell>
          <cell r="DG59">
            <v>0</v>
          </cell>
          <cell r="DH59">
            <v>0</v>
          </cell>
          <cell r="DI59">
            <v>0</v>
          </cell>
          <cell r="DJ59">
            <v>0</v>
          </cell>
          <cell r="DK59">
            <v>0</v>
          </cell>
          <cell r="DL59">
            <v>0</v>
          </cell>
          <cell r="DM59">
            <v>0</v>
          </cell>
          <cell r="DN59">
            <v>0</v>
          </cell>
          <cell r="DO59">
            <v>0</v>
          </cell>
          <cell r="DP59">
            <v>0</v>
          </cell>
          <cell r="DQ59">
            <v>0</v>
          </cell>
          <cell r="DR59">
            <v>0</v>
          </cell>
          <cell r="DS59">
            <v>0</v>
          </cell>
          <cell r="DT59">
            <v>0</v>
          </cell>
          <cell r="DU59">
            <v>0</v>
          </cell>
          <cell r="DV59">
            <v>0</v>
          </cell>
          <cell r="DW59">
            <v>0</v>
          </cell>
          <cell r="DX59">
            <v>0</v>
          </cell>
          <cell r="DY59">
            <v>0</v>
          </cell>
          <cell r="DZ59">
            <v>0</v>
          </cell>
          <cell r="EA59">
            <v>0</v>
          </cell>
          <cell r="EB59">
            <v>0</v>
          </cell>
          <cell r="EC59">
            <v>0</v>
          </cell>
          <cell r="ED59">
            <v>0.05</v>
          </cell>
          <cell r="EE59">
            <v>0.09</v>
          </cell>
          <cell r="EF59">
            <v>0.08</v>
          </cell>
          <cell r="EG59">
            <v>0.17</v>
          </cell>
          <cell r="EH59">
            <v>1</v>
          </cell>
          <cell r="EI59">
            <v>1</v>
          </cell>
          <cell r="EJ59">
            <v>1</v>
          </cell>
          <cell r="EK59">
            <v>1</v>
          </cell>
          <cell r="EL59">
            <v>0.05</v>
          </cell>
          <cell r="EM59">
            <v>0.14000000000000001</v>
          </cell>
          <cell r="EN59">
            <v>0.11</v>
          </cell>
          <cell r="EO59">
            <v>0.2</v>
          </cell>
          <cell r="EP59">
            <v>0</v>
          </cell>
          <cell r="EQ59">
            <v>0</v>
          </cell>
          <cell r="ER59">
            <v>0</v>
          </cell>
          <cell r="ES59">
            <v>0</v>
          </cell>
          <cell r="ET59">
            <v>0</v>
          </cell>
          <cell r="EU59">
            <v>0</v>
          </cell>
          <cell r="EV59">
            <v>0</v>
          </cell>
          <cell r="EW59">
            <v>0</v>
          </cell>
          <cell r="EX59">
            <v>1</v>
          </cell>
          <cell r="EY59">
            <v>1</v>
          </cell>
          <cell r="EZ59">
            <v>1</v>
          </cell>
          <cell r="FA59">
            <v>0</v>
          </cell>
          <cell r="FB59">
            <v>0</v>
          </cell>
          <cell r="FC59">
            <v>0</v>
          </cell>
          <cell r="FD59">
            <v>0</v>
          </cell>
          <cell r="FE59">
            <v>0</v>
          </cell>
          <cell r="FF59">
            <v>0</v>
          </cell>
          <cell r="FG59">
            <v>0</v>
          </cell>
          <cell r="FH59">
            <v>0</v>
          </cell>
          <cell r="FI59">
            <v>0</v>
          </cell>
          <cell r="FJ59">
            <v>0</v>
          </cell>
          <cell r="FK59">
            <v>0</v>
          </cell>
          <cell r="FL59">
            <v>0</v>
          </cell>
          <cell r="FM59">
            <v>0</v>
          </cell>
          <cell r="FN59">
            <v>0</v>
          </cell>
          <cell r="FO59">
            <v>0</v>
          </cell>
          <cell r="FP59">
            <v>0</v>
          </cell>
          <cell r="FQ59">
            <v>0</v>
          </cell>
          <cell r="FR59">
            <v>0</v>
          </cell>
          <cell r="FS59">
            <v>0</v>
          </cell>
          <cell r="FT59">
            <v>0</v>
          </cell>
          <cell r="FU59">
            <v>0</v>
          </cell>
          <cell r="FV59">
            <v>0</v>
          </cell>
          <cell r="FW59">
            <v>0</v>
          </cell>
          <cell r="FX59">
            <v>0</v>
          </cell>
          <cell r="FY59">
            <v>0</v>
          </cell>
          <cell r="FZ59">
            <v>0</v>
          </cell>
        </row>
        <row r="60">
          <cell r="B60">
            <v>0.1</v>
          </cell>
          <cell r="C60">
            <v>0.08</v>
          </cell>
          <cell r="D60">
            <v>0.15</v>
          </cell>
          <cell r="E60">
            <v>0.08</v>
          </cell>
          <cell r="F60">
            <v>0.15</v>
          </cell>
          <cell r="G60">
            <v>0.22</v>
          </cell>
          <cell r="H60">
            <v>7.0000000000000007E-2</v>
          </cell>
          <cell r="I60">
            <v>0.05</v>
          </cell>
          <cell r="J60">
            <v>0.13</v>
          </cell>
          <cell r="K60">
            <v>0.18</v>
          </cell>
          <cell r="L60">
            <v>0.17</v>
          </cell>
          <cell r="M60">
            <v>0.16</v>
          </cell>
          <cell r="N60">
            <v>0.8</v>
          </cell>
          <cell r="O60">
            <v>1</v>
          </cell>
          <cell r="P60">
            <v>1</v>
          </cell>
          <cell r="Q60">
            <v>0.8</v>
          </cell>
          <cell r="R60">
            <v>0.8</v>
          </cell>
          <cell r="S60">
            <v>1</v>
          </cell>
          <cell r="T60">
            <v>1</v>
          </cell>
          <cell r="U60">
            <v>1</v>
          </cell>
          <cell r="V60">
            <v>1</v>
          </cell>
          <cell r="W60">
            <v>1</v>
          </cell>
          <cell r="X60">
            <v>1</v>
          </cell>
          <cell r="Y60">
            <v>1</v>
          </cell>
          <cell r="Z60">
            <v>0.1</v>
          </cell>
          <cell r="AA60">
            <v>0.1</v>
          </cell>
          <cell r="AB60">
            <v>0.14000000000000001</v>
          </cell>
          <cell r="AC60">
            <v>0.11</v>
          </cell>
          <cell r="AD60">
            <v>0.11</v>
          </cell>
          <cell r="AE60">
            <v>0.19</v>
          </cell>
          <cell r="AF60">
            <v>0.09</v>
          </cell>
          <cell r="AG60">
            <v>0.11</v>
          </cell>
          <cell r="AH60">
            <v>0.15</v>
          </cell>
          <cell r="AI60">
            <v>0.2</v>
          </cell>
          <cell r="AJ60">
            <v>0.2</v>
          </cell>
          <cell r="AK60">
            <v>0.2</v>
          </cell>
          <cell r="AL60">
            <v>0</v>
          </cell>
          <cell r="AM60">
            <v>0</v>
          </cell>
          <cell r="AN60">
            <v>0</v>
          </cell>
          <cell r="AO60">
            <v>0</v>
          </cell>
          <cell r="AP60">
            <v>0</v>
          </cell>
          <cell r="AQ60">
            <v>0</v>
          </cell>
          <cell r="AR60">
            <v>0</v>
          </cell>
          <cell r="AS60">
            <v>0</v>
          </cell>
          <cell r="AT60">
            <v>0</v>
          </cell>
          <cell r="AU60">
            <v>0</v>
          </cell>
          <cell r="AV60">
            <v>0</v>
          </cell>
          <cell r="AW60">
            <v>0</v>
          </cell>
          <cell r="AX60">
            <v>0</v>
          </cell>
          <cell r="AY60">
            <v>0</v>
          </cell>
          <cell r="AZ60">
            <v>0</v>
          </cell>
          <cell r="BA60">
            <v>0</v>
          </cell>
          <cell r="BB60">
            <v>0</v>
          </cell>
          <cell r="BC60">
            <v>0</v>
          </cell>
          <cell r="BD60">
            <v>0</v>
          </cell>
          <cell r="BE60">
            <v>0</v>
          </cell>
          <cell r="BF60">
            <v>0</v>
          </cell>
          <cell r="BG60">
            <v>0</v>
          </cell>
          <cell r="BH60">
            <v>0</v>
          </cell>
          <cell r="BI60">
            <v>0</v>
          </cell>
          <cell r="BJ60">
            <v>0</v>
          </cell>
          <cell r="BK60">
            <v>0</v>
          </cell>
          <cell r="BL60">
            <v>0</v>
          </cell>
          <cell r="BM60">
            <v>0</v>
          </cell>
          <cell r="BN60">
            <v>0</v>
          </cell>
          <cell r="BO60">
            <v>0</v>
          </cell>
          <cell r="BP60">
            <v>0</v>
          </cell>
          <cell r="BQ60">
            <v>0</v>
          </cell>
          <cell r="BR60">
            <v>0</v>
          </cell>
          <cell r="BS60">
            <v>0</v>
          </cell>
          <cell r="BT60">
            <v>0</v>
          </cell>
          <cell r="BU60">
            <v>0</v>
          </cell>
          <cell r="BV60">
            <v>0</v>
          </cell>
          <cell r="BW60">
            <v>0</v>
          </cell>
          <cell r="BX60">
            <v>0</v>
          </cell>
          <cell r="BY60">
            <v>0</v>
          </cell>
          <cell r="BZ60">
            <v>0</v>
          </cell>
          <cell r="CA60">
            <v>0</v>
          </cell>
          <cell r="CB60">
            <v>0</v>
          </cell>
          <cell r="CC60">
            <v>0</v>
          </cell>
          <cell r="CD60">
            <v>0</v>
          </cell>
          <cell r="CE60">
            <v>0</v>
          </cell>
          <cell r="CF60">
            <v>0</v>
          </cell>
          <cell r="CG60">
            <v>0</v>
          </cell>
          <cell r="CH60">
            <v>0</v>
          </cell>
          <cell r="CI60">
            <v>0</v>
          </cell>
          <cell r="CJ60">
            <v>0</v>
          </cell>
          <cell r="CK60">
            <v>0</v>
          </cell>
          <cell r="CL60">
            <v>0</v>
          </cell>
          <cell r="CM60">
            <v>0</v>
          </cell>
          <cell r="CN60">
            <v>0</v>
          </cell>
          <cell r="CO60">
            <v>0</v>
          </cell>
          <cell r="CP60">
            <v>0</v>
          </cell>
          <cell r="CQ60">
            <v>0</v>
          </cell>
          <cell r="CR60">
            <v>0</v>
          </cell>
          <cell r="CS60">
            <v>0</v>
          </cell>
          <cell r="CT60">
            <v>0</v>
          </cell>
          <cell r="CU60">
            <v>0</v>
          </cell>
          <cell r="CV60">
            <v>0</v>
          </cell>
          <cell r="CW60">
            <v>0</v>
          </cell>
          <cell r="CX60">
            <v>0</v>
          </cell>
          <cell r="CY60">
            <v>0</v>
          </cell>
          <cell r="CZ60">
            <v>0</v>
          </cell>
          <cell r="DA60">
            <v>0</v>
          </cell>
          <cell r="DB60">
            <v>0</v>
          </cell>
          <cell r="DC60">
            <v>0</v>
          </cell>
          <cell r="DD60">
            <v>0</v>
          </cell>
          <cell r="DE60">
            <v>0</v>
          </cell>
          <cell r="DF60">
            <v>0</v>
          </cell>
          <cell r="DG60">
            <v>0</v>
          </cell>
          <cell r="DH60">
            <v>0</v>
          </cell>
          <cell r="DI60">
            <v>0</v>
          </cell>
          <cell r="DJ60">
            <v>0</v>
          </cell>
          <cell r="DK60">
            <v>0</v>
          </cell>
          <cell r="DL60">
            <v>0</v>
          </cell>
          <cell r="DM60">
            <v>0</v>
          </cell>
          <cell r="DN60">
            <v>0</v>
          </cell>
          <cell r="DO60">
            <v>0</v>
          </cell>
          <cell r="DP60">
            <v>0</v>
          </cell>
          <cell r="DQ60">
            <v>0</v>
          </cell>
          <cell r="DR60">
            <v>0</v>
          </cell>
          <cell r="DS60">
            <v>0</v>
          </cell>
          <cell r="DT60">
            <v>0</v>
          </cell>
          <cell r="DU60">
            <v>0</v>
          </cell>
          <cell r="DV60">
            <v>0</v>
          </cell>
          <cell r="DW60">
            <v>0</v>
          </cell>
          <cell r="DX60">
            <v>0</v>
          </cell>
          <cell r="DY60">
            <v>0</v>
          </cell>
          <cell r="DZ60">
            <v>0</v>
          </cell>
          <cell r="EA60">
            <v>0</v>
          </cell>
          <cell r="EB60">
            <v>0</v>
          </cell>
          <cell r="EC60">
            <v>0</v>
          </cell>
          <cell r="ED60">
            <v>0.05</v>
          </cell>
          <cell r="EE60">
            <v>0.09</v>
          </cell>
          <cell r="EF60">
            <v>0.08</v>
          </cell>
          <cell r="EG60">
            <v>0.17</v>
          </cell>
          <cell r="EH60">
            <v>1</v>
          </cell>
          <cell r="EI60">
            <v>1</v>
          </cell>
          <cell r="EJ60">
            <v>1</v>
          </cell>
          <cell r="EK60">
            <v>1</v>
          </cell>
          <cell r="EL60">
            <v>0.05</v>
          </cell>
          <cell r="EM60">
            <v>0.14000000000000001</v>
          </cell>
          <cell r="EN60">
            <v>0.11</v>
          </cell>
          <cell r="EO60">
            <v>0.2</v>
          </cell>
          <cell r="EP60">
            <v>0</v>
          </cell>
          <cell r="EQ60">
            <v>0</v>
          </cell>
          <cell r="ER60">
            <v>0</v>
          </cell>
          <cell r="ES60">
            <v>0</v>
          </cell>
          <cell r="ET60">
            <v>0</v>
          </cell>
          <cell r="EU60">
            <v>0</v>
          </cell>
          <cell r="EV60">
            <v>0</v>
          </cell>
          <cell r="EW60">
            <v>0</v>
          </cell>
          <cell r="EX60">
            <v>1</v>
          </cell>
          <cell r="EY60">
            <v>1</v>
          </cell>
          <cell r="EZ60">
            <v>1</v>
          </cell>
          <cell r="FA60">
            <v>0</v>
          </cell>
          <cell r="FB60">
            <v>0</v>
          </cell>
          <cell r="FC60">
            <v>0</v>
          </cell>
          <cell r="FD60">
            <v>0</v>
          </cell>
          <cell r="FE60">
            <v>0</v>
          </cell>
          <cell r="FF60">
            <v>0</v>
          </cell>
          <cell r="FG60">
            <v>0</v>
          </cell>
          <cell r="FH60">
            <v>0</v>
          </cell>
          <cell r="FI60">
            <v>0</v>
          </cell>
          <cell r="FJ60">
            <v>0</v>
          </cell>
          <cell r="FK60">
            <v>0</v>
          </cell>
          <cell r="FL60">
            <v>0</v>
          </cell>
          <cell r="FM60">
            <v>0</v>
          </cell>
          <cell r="FN60">
            <v>0</v>
          </cell>
          <cell r="FO60">
            <v>0</v>
          </cell>
          <cell r="FP60">
            <v>0</v>
          </cell>
          <cell r="FQ60">
            <v>0</v>
          </cell>
          <cell r="FR60">
            <v>0</v>
          </cell>
          <cell r="FS60">
            <v>0</v>
          </cell>
          <cell r="FT60">
            <v>0</v>
          </cell>
          <cell r="FU60">
            <v>0</v>
          </cell>
          <cell r="FV60">
            <v>0</v>
          </cell>
          <cell r="FW60">
            <v>0</v>
          </cell>
          <cell r="FX60">
            <v>0</v>
          </cell>
          <cell r="FY60">
            <v>0</v>
          </cell>
          <cell r="FZ60">
            <v>0</v>
          </cell>
        </row>
        <row r="61">
          <cell r="B61">
            <v>0.1</v>
          </cell>
          <cell r="C61">
            <v>0.08</v>
          </cell>
          <cell r="D61">
            <v>0.15</v>
          </cell>
          <cell r="E61">
            <v>0.08</v>
          </cell>
          <cell r="F61">
            <v>0.15</v>
          </cell>
          <cell r="G61">
            <v>0.22</v>
          </cell>
          <cell r="H61">
            <v>7.0000000000000007E-2</v>
          </cell>
          <cell r="I61">
            <v>0.05</v>
          </cell>
          <cell r="J61">
            <v>0.13</v>
          </cell>
          <cell r="K61">
            <v>0.18</v>
          </cell>
          <cell r="L61">
            <v>0.17</v>
          </cell>
          <cell r="M61">
            <v>0.16</v>
          </cell>
          <cell r="N61">
            <v>0.8</v>
          </cell>
          <cell r="O61">
            <v>1</v>
          </cell>
          <cell r="P61">
            <v>1</v>
          </cell>
          <cell r="Q61">
            <v>0.8</v>
          </cell>
          <cell r="R61">
            <v>0.8</v>
          </cell>
          <cell r="S61">
            <v>1</v>
          </cell>
          <cell r="T61">
            <v>1</v>
          </cell>
          <cell r="U61">
            <v>1</v>
          </cell>
          <cell r="V61">
            <v>1</v>
          </cell>
          <cell r="W61">
            <v>1</v>
          </cell>
          <cell r="X61">
            <v>1</v>
          </cell>
          <cell r="Y61">
            <v>1</v>
          </cell>
          <cell r="Z61">
            <v>0.1</v>
          </cell>
          <cell r="AA61">
            <v>0.1</v>
          </cell>
          <cell r="AB61">
            <v>0.14000000000000001</v>
          </cell>
          <cell r="AC61">
            <v>0.11</v>
          </cell>
          <cell r="AD61">
            <v>0.11</v>
          </cell>
          <cell r="AE61">
            <v>0.19</v>
          </cell>
          <cell r="AF61">
            <v>0.09</v>
          </cell>
          <cell r="AG61">
            <v>0.11</v>
          </cell>
          <cell r="AH61">
            <v>0.15</v>
          </cell>
          <cell r="AI61">
            <v>0.2</v>
          </cell>
          <cell r="AJ61">
            <v>0.2</v>
          </cell>
          <cell r="AK61">
            <v>0.2</v>
          </cell>
          <cell r="AL61">
            <v>0</v>
          </cell>
          <cell r="AM61">
            <v>0</v>
          </cell>
          <cell r="AN61">
            <v>0</v>
          </cell>
          <cell r="AO61">
            <v>0</v>
          </cell>
          <cell r="AP61">
            <v>0</v>
          </cell>
          <cell r="AQ61">
            <v>0</v>
          </cell>
          <cell r="AR61">
            <v>0</v>
          </cell>
          <cell r="AS61">
            <v>0</v>
          </cell>
          <cell r="AT61">
            <v>0</v>
          </cell>
          <cell r="AU61">
            <v>0</v>
          </cell>
          <cell r="AV61">
            <v>0</v>
          </cell>
          <cell r="AW61">
            <v>0</v>
          </cell>
          <cell r="AX61">
            <v>0</v>
          </cell>
          <cell r="AY61">
            <v>0</v>
          </cell>
          <cell r="AZ61">
            <v>0</v>
          </cell>
          <cell r="BA61">
            <v>0</v>
          </cell>
          <cell r="BB61">
            <v>0</v>
          </cell>
          <cell r="BC61">
            <v>0</v>
          </cell>
          <cell r="BD61">
            <v>0</v>
          </cell>
          <cell r="BE61">
            <v>0</v>
          </cell>
          <cell r="BF61">
            <v>0</v>
          </cell>
          <cell r="BG61">
            <v>0</v>
          </cell>
          <cell r="BH61">
            <v>0</v>
          </cell>
          <cell r="BI61">
            <v>0</v>
          </cell>
          <cell r="BJ61">
            <v>0</v>
          </cell>
          <cell r="BK61">
            <v>0</v>
          </cell>
          <cell r="BL61">
            <v>0</v>
          </cell>
          <cell r="BM61">
            <v>0</v>
          </cell>
          <cell r="BN61">
            <v>0</v>
          </cell>
          <cell r="BO61">
            <v>0</v>
          </cell>
          <cell r="BP61">
            <v>0</v>
          </cell>
          <cell r="BQ61">
            <v>0</v>
          </cell>
          <cell r="BR61">
            <v>0</v>
          </cell>
          <cell r="BS61">
            <v>0</v>
          </cell>
          <cell r="BT61">
            <v>0</v>
          </cell>
          <cell r="BU61">
            <v>0</v>
          </cell>
          <cell r="BV61">
            <v>0</v>
          </cell>
          <cell r="BW61">
            <v>0</v>
          </cell>
          <cell r="BX61">
            <v>0</v>
          </cell>
          <cell r="BY61">
            <v>0</v>
          </cell>
          <cell r="BZ61">
            <v>0</v>
          </cell>
          <cell r="CA61">
            <v>0</v>
          </cell>
          <cell r="CB61">
            <v>0</v>
          </cell>
          <cell r="CC61">
            <v>0</v>
          </cell>
          <cell r="CD61">
            <v>0</v>
          </cell>
          <cell r="CE61">
            <v>0</v>
          </cell>
          <cell r="CF61">
            <v>0</v>
          </cell>
          <cell r="CG61">
            <v>0</v>
          </cell>
          <cell r="CH61">
            <v>0</v>
          </cell>
          <cell r="CI61">
            <v>0</v>
          </cell>
          <cell r="CJ61">
            <v>0</v>
          </cell>
          <cell r="CK61">
            <v>0</v>
          </cell>
          <cell r="CL61">
            <v>0</v>
          </cell>
          <cell r="CM61">
            <v>0</v>
          </cell>
          <cell r="CN61">
            <v>0</v>
          </cell>
          <cell r="CO61">
            <v>0</v>
          </cell>
          <cell r="CP61">
            <v>0</v>
          </cell>
          <cell r="CQ61">
            <v>0</v>
          </cell>
          <cell r="CR61">
            <v>0</v>
          </cell>
          <cell r="CS61">
            <v>0</v>
          </cell>
          <cell r="CT61">
            <v>0</v>
          </cell>
          <cell r="CU61">
            <v>0</v>
          </cell>
          <cell r="CV61">
            <v>0</v>
          </cell>
          <cell r="CW61">
            <v>0</v>
          </cell>
          <cell r="CX61">
            <v>0</v>
          </cell>
          <cell r="CY61">
            <v>0</v>
          </cell>
          <cell r="CZ61">
            <v>0</v>
          </cell>
          <cell r="DA61">
            <v>0</v>
          </cell>
          <cell r="DB61">
            <v>0</v>
          </cell>
          <cell r="DC61">
            <v>0</v>
          </cell>
          <cell r="DD61">
            <v>0</v>
          </cell>
          <cell r="DE61">
            <v>0</v>
          </cell>
          <cell r="DF61">
            <v>0</v>
          </cell>
          <cell r="DG61">
            <v>0</v>
          </cell>
          <cell r="DH61">
            <v>0</v>
          </cell>
          <cell r="DI61">
            <v>0</v>
          </cell>
          <cell r="DJ61">
            <v>0</v>
          </cell>
          <cell r="DK61">
            <v>0</v>
          </cell>
          <cell r="DL61">
            <v>0</v>
          </cell>
          <cell r="DM61">
            <v>0</v>
          </cell>
          <cell r="DN61">
            <v>0</v>
          </cell>
          <cell r="DO61">
            <v>0</v>
          </cell>
          <cell r="DP61">
            <v>0</v>
          </cell>
          <cell r="DQ61">
            <v>0</v>
          </cell>
          <cell r="DR61">
            <v>0</v>
          </cell>
          <cell r="DS61">
            <v>0</v>
          </cell>
          <cell r="DT61">
            <v>0</v>
          </cell>
          <cell r="DU61">
            <v>0</v>
          </cell>
          <cell r="DV61">
            <v>0</v>
          </cell>
          <cell r="DW61">
            <v>0</v>
          </cell>
          <cell r="DX61">
            <v>0</v>
          </cell>
          <cell r="DY61">
            <v>0</v>
          </cell>
          <cell r="DZ61">
            <v>0</v>
          </cell>
          <cell r="EA61">
            <v>0</v>
          </cell>
          <cell r="EB61">
            <v>0</v>
          </cell>
          <cell r="EC61">
            <v>0</v>
          </cell>
          <cell r="ED61">
            <v>0.05</v>
          </cell>
          <cell r="EE61">
            <v>0.09</v>
          </cell>
          <cell r="EF61">
            <v>0.08</v>
          </cell>
          <cell r="EG61">
            <v>0.17</v>
          </cell>
          <cell r="EH61">
            <v>1</v>
          </cell>
          <cell r="EI61">
            <v>1</v>
          </cell>
          <cell r="EJ61">
            <v>1</v>
          </cell>
          <cell r="EK61">
            <v>1</v>
          </cell>
          <cell r="EL61">
            <v>0.05</v>
          </cell>
          <cell r="EM61">
            <v>0.14000000000000001</v>
          </cell>
          <cell r="EN61">
            <v>0.11</v>
          </cell>
          <cell r="EO61">
            <v>0.2</v>
          </cell>
          <cell r="EP61">
            <v>0</v>
          </cell>
          <cell r="EQ61">
            <v>0</v>
          </cell>
          <cell r="ER61">
            <v>0</v>
          </cell>
          <cell r="ES61">
            <v>0</v>
          </cell>
          <cell r="ET61">
            <v>0</v>
          </cell>
          <cell r="EU61">
            <v>0</v>
          </cell>
          <cell r="EV61">
            <v>0</v>
          </cell>
          <cell r="EW61">
            <v>0</v>
          </cell>
          <cell r="EX61">
            <v>1</v>
          </cell>
          <cell r="EY61">
            <v>1</v>
          </cell>
          <cell r="EZ61">
            <v>1</v>
          </cell>
          <cell r="FA61">
            <v>0</v>
          </cell>
          <cell r="FB61">
            <v>0</v>
          </cell>
          <cell r="FC61">
            <v>0</v>
          </cell>
          <cell r="FD61">
            <v>0</v>
          </cell>
          <cell r="FE61">
            <v>0</v>
          </cell>
          <cell r="FF61">
            <v>0</v>
          </cell>
          <cell r="FG61">
            <v>0</v>
          </cell>
          <cell r="FH61">
            <v>0</v>
          </cell>
          <cell r="FI61">
            <v>0</v>
          </cell>
          <cell r="FJ61">
            <v>0</v>
          </cell>
          <cell r="FK61">
            <v>0</v>
          </cell>
          <cell r="FL61">
            <v>0</v>
          </cell>
          <cell r="FM61">
            <v>0</v>
          </cell>
          <cell r="FN61">
            <v>0</v>
          </cell>
          <cell r="FO61">
            <v>0</v>
          </cell>
          <cell r="FP61">
            <v>0</v>
          </cell>
          <cell r="FQ61">
            <v>0</v>
          </cell>
          <cell r="FR61">
            <v>0</v>
          </cell>
          <cell r="FS61">
            <v>0</v>
          </cell>
          <cell r="FT61">
            <v>0</v>
          </cell>
          <cell r="FU61">
            <v>0</v>
          </cell>
          <cell r="FV61">
            <v>0</v>
          </cell>
          <cell r="FW61">
            <v>0</v>
          </cell>
          <cell r="FX61">
            <v>0</v>
          </cell>
          <cell r="FY61">
            <v>0</v>
          </cell>
          <cell r="FZ61">
            <v>0</v>
          </cell>
        </row>
        <row r="62">
          <cell r="B62">
            <v>0.1</v>
          </cell>
          <cell r="C62">
            <v>0.08</v>
          </cell>
          <cell r="D62">
            <v>0.15</v>
          </cell>
          <cell r="E62">
            <v>0.08</v>
          </cell>
          <cell r="F62">
            <v>0.15</v>
          </cell>
          <cell r="G62">
            <v>0.22</v>
          </cell>
          <cell r="H62">
            <v>7.0000000000000007E-2</v>
          </cell>
          <cell r="I62">
            <v>0.05</v>
          </cell>
          <cell r="J62">
            <v>0.13</v>
          </cell>
          <cell r="K62">
            <v>0.18</v>
          </cell>
          <cell r="L62">
            <v>0.17</v>
          </cell>
          <cell r="M62">
            <v>0.16</v>
          </cell>
          <cell r="N62">
            <v>0.8</v>
          </cell>
          <cell r="O62">
            <v>1</v>
          </cell>
          <cell r="P62">
            <v>1</v>
          </cell>
          <cell r="Q62">
            <v>0.8</v>
          </cell>
          <cell r="R62">
            <v>0.8</v>
          </cell>
          <cell r="S62">
            <v>1</v>
          </cell>
          <cell r="T62">
            <v>1</v>
          </cell>
          <cell r="U62">
            <v>1</v>
          </cell>
          <cell r="V62">
            <v>1</v>
          </cell>
          <cell r="W62">
            <v>1</v>
          </cell>
          <cell r="X62">
            <v>1</v>
          </cell>
          <cell r="Y62">
            <v>1</v>
          </cell>
          <cell r="Z62">
            <v>0.1</v>
          </cell>
          <cell r="AA62">
            <v>0.1</v>
          </cell>
          <cell r="AB62">
            <v>0.14000000000000001</v>
          </cell>
          <cell r="AC62">
            <v>0.11</v>
          </cell>
          <cell r="AD62">
            <v>0.11</v>
          </cell>
          <cell r="AE62">
            <v>0.19</v>
          </cell>
          <cell r="AF62">
            <v>0.09</v>
          </cell>
          <cell r="AG62">
            <v>0.11</v>
          </cell>
          <cell r="AH62">
            <v>0.15</v>
          </cell>
          <cell r="AI62">
            <v>0.2</v>
          </cell>
          <cell r="AJ62">
            <v>0.2</v>
          </cell>
          <cell r="AK62">
            <v>0.2</v>
          </cell>
          <cell r="AL62">
            <v>0</v>
          </cell>
          <cell r="AM62">
            <v>0</v>
          </cell>
          <cell r="AN62">
            <v>0</v>
          </cell>
          <cell r="AO62">
            <v>0</v>
          </cell>
          <cell r="AP62">
            <v>0</v>
          </cell>
          <cell r="AQ62">
            <v>0</v>
          </cell>
          <cell r="AR62">
            <v>0</v>
          </cell>
          <cell r="AS62">
            <v>0</v>
          </cell>
          <cell r="AT62">
            <v>0</v>
          </cell>
          <cell r="AU62">
            <v>0</v>
          </cell>
          <cell r="AV62">
            <v>0</v>
          </cell>
          <cell r="AW62">
            <v>0</v>
          </cell>
          <cell r="AX62">
            <v>0</v>
          </cell>
          <cell r="AY62">
            <v>0</v>
          </cell>
          <cell r="AZ62">
            <v>0</v>
          </cell>
          <cell r="BA62">
            <v>0</v>
          </cell>
          <cell r="BB62">
            <v>0</v>
          </cell>
          <cell r="BC62">
            <v>0</v>
          </cell>
          <cell r="BD62">
            <v>0</v>
          </cell>
          <cell r="BE62">
            <v>0</v>
          </cell>
          <cell r="BF62">
            <v>0</v>
          </cell>
          <cell r="BG62">
            <v>0</v>
          </cell>
          <cell r="BH62">
            <v>0</v>
          </cell>
          <cell r="BI62">
            <v>0</v>
          </cell>
          <cell r="BJ62">
            <v>0</v>
          </cell>
          <cell r="BK62">
            <v>0</v>
          </cell>
          <cell r="BL62">
            <v>0</v>
          </cell>
          <cell r="BM62">
            <v>0</v>
          </cell>
          <cell r="BN62">
            <v>0</v>
          </cell>
          <cell r="BO62">
            <v>0</v>
          </cell>
          <cell r="BP62">
            <v>0</v>
          </cell>
          <cell r="BQ62">
            <v>0</v>
          </cell>
          <cell r="BR62">
            <v>0</v>
          </cell>
          <cell r="BS62">
            <v>0</v>
          </cell>
          <cell r="BT62">
            <v>0</v>
          </cell>
          <cell r="BU62">
            <v>0</v>
          </cell>
          <cell r="BV62">
            <v>0</v>
          </cell>
          <cell r="BW62">
            <v>0</v>
          </cell>
          <cell r="BX62">
            <v>0</v>
          </cell>
          <cell r="BY62">
            <v>0</v>
          </cell>
          <cell r="BZ62">
            <v>0</v>
          </cell>
          <cell r="CA62">
            <v>0</v>
          </cell>
          <cell r="CB62">
            <v>0</v>
          </cell>
          <cell r="CC62">
            <v>0</v>
          </cell>
          <cell r="CD62">
            <v>0</v>
          </cell>
          <cell r="CE62">
            <v>0</v>
          </cell>
          <cell r="CF62">
            <v>0</v>
          </cell>
          <cell r="CG62">
            <v>0</v>
          </cell>
          <cell r="CH62">
            <v>0</v>
          </cell>
          <cell r="CI62">
            <v>0</v>
          </cell>
          <cell r="CJ62">
            <v>0</v>
          </cell>
          <cell r="CK62">
            <v>0</v>
          </cell>
          <cell r="CL62">
            <v>0</v>
          </cell>
          <cell r="CM62">
            <v>0</v>
          </cell>
          <cell r="CN62">
            <v>0</v>
          </cell>
          <cell r="CO62">
            <v>0</v>
          </cell>
          <cell r="CP62">
            <v>0</v>
          </cell>
          <cell r="CQ62">
            <v>0</v>
          </cell>
          <cell r="CR62">
            <v>0</v>
          </cell>
          <cell r="CS62">
            <v>0</v>
          </cell>
          <cell r="CT62">
            <v>0</v>
          </cell>
          <cell r="CU62">
            <v>0</v>
          </cell>
          <cell r="CV62">
            <v>0</v>
          </cell>
          <cell r="CW62">
            <v>0</v>
          </cell>
          <cell r="CX62">
            <v>0</v>
          </cell>
          <cell r="CY62">
            <v>0</v>
          </cell>
          <cell r="CZ62">
            <v>0</v>
          </cell>
          <cell r="DA62">
            <v>0</v>
          </cell>
          <cell r="DB62">
            <v>0</v>
          </cell>
          <cell r="DC62">
            <v>0</v>
          </cell>
          <cell r="DD62">
            <v>0</v>
          </cell>
          <cell r="DE62">
            <v>0</v>
          </cell>
          <cell r="DF62">
            <v>0</v>
          </cell>
          <cell r="DG62">
            <v>0</v>
          </cell>
          <cell r="DH62">
            <v>0</v>
          </cell>
          <cell r="DI62">
            <v>0</v>
          </cell>
          <cell r="DJ62">
            <v>0</v>
          </cell>
          <cell r="DK62">
            <v>0</v>
          </cell>
          <cell r="DL62">
            <v>0</v>
          </cell>
          <cell r="DM62">
            <v>0</v>
          </cell>
          <cell r="DN62">
            <v>0</v>
          </cell>
          <cell r="DO62">
            <v>0</v>
          </cell>
          <cell r="DP62">
            <v>0</v>
          </cell>
          <cell r="DQ62">
            <v>0</v>
          </cell>
          <cell r="DR62">
            <v>0</v>
          </cell>
          <cell r="DS62">
            <v>0</v>
          </cell>
          <cell r="DT62">
            <v>0</v>
          </cell>
          <cell r="DU62">
            <v>0</v>
          </cell>
          <cell r="DV62">
            <v>0</v>
          </cell>
          <cell r="DW62">
            <v>0</v>
          </cell>
          <cell r="DX62">
            <v>0</v>
          </cell>
          <cell r="DY62">
            <v>0</v>
          </cell>
          <cell r="DZ62">
            <v>0</v>
          </cell>
          <cell r="EA62">
            <v>0</v>
          </cell>
          <cell r="EB62">
            <v>0</v>
          </cell>
          <cell r="EC62">
            <v>0</v>
          </cell>
          <cell r="ED62">
            <v>0.05</v>
          </cell>
          <cell r="EE62">
            <v>0.09</v>
          </cell>
          <cell r="EF62">
            <v>0.08</v>
          </cell>
          <cell r="EG62">
            <v>0.17</v>
          </cell>
          <cell r="EH62">
            <v>1</v>
          </cell>
          <cell r="EI62">
            <v>1</v>
          </cell>
          <cell r="EJ62">
            <v>1</v>
          </cell>
          <cell r="EK62">
            <v>1</v>
          </cell>
          <cell r="EL62">
            <v>0.05</v>
          </cell>
          <cell r="EM62">
            <v>0.14000000000000001</v>
          </cell>
          <cell r="EN62">
            <v>0.11</v>
          </cell>
          <cell r="EO62">
            <v>0.2</v>
          </cell>
          <cell r="EP62">
            <v>0</v>
          </cell>
          <cell r="EQ62">
            <v>0</v>
          </cell>
          <cell r="ER62">
            <v>0</v>
          </cell>
          <cell r="ES62">
            <v>0</v>
          </cell>
          <cell r="ET62">
            <v>0</v>
          </cell>
          <cell r="EU62">
            <v>0</v>
          </cell>
          <cell r="EV62">
            <v>0</v>
          </cell>
          <cell r="EW62">
            <v>0</v>
          </cell>
          <cell r="EX62">
            <v>1</v>
          </cell>
          <cell r="EY62">
            <v>1</v>
          </cell>
          <cell r="EZ62">
            <v>1</v>
          </cell>
          <cell r="FA62">
            <v>0</v>
          </cell>
          <cell r="FB62">
            <v>0</v>
          </cell>
          <cell r="FC62">
            <v>0</v>
          </cell>
          <cell r="FD62">
            <v>0</v>
          </cell>
          <cell r="FE62">
            <v>0</v>
          </cell>
          <cell r="FF62">
            <v>0</v>
          </cell>
          <cell r="FG62">
            <v>0</v>
          </cell>
          <cell r="FH62">
            <v>0</v>
          </cell>
          <cell r="FI62">
            <v>0</v>
          </cell>
          <cell r="FJ62">
            <v>0</v>
          </cell>
          <cell r="FK62">
            <v>0</v>
          </cell>
          <cell r="FL62">
            <v>0</v>
          </cell>
          <cell r="FM62">
            <v>0</v>
          </cell>
          <cell r="FN62">
            <v>0</v>
          </cell>
          <cell r="FO62">
            <v>0</v>
          </cell>
          <cell r="FP62">
            <v>0</v>
          </cell>
          <cell r="FQ62">
            <v>0</v>
          </cell>
          <cell r="FR62">
            <v>0</v>
          </cell>
          <cell r="FS62">
            <v>0</v>
          </cell>
          <cell r="FT62">
            <v>0</v>
          </cell>
          <cell r="FU62">
            <v>0</v>
          </cell>
          <cell r="FV62">
            <v>0</v>
          </cell>
          <cell r="FW62">
            <v>0</v>
          </cell>
          <cell r="FX62">
            <v>0</v>
          </cell>
          <cell r="FY62">
            <v>0</v>
          </cell>
          <cell r="FZ62">
            <v>0</v>
          </cell>
        </row>
        <row r="63">
          <cell r="B63">
            <v>0.1</v>
          </cell>
          <cell r="C63">
            <v>0.08</v>
          </cell>
          <cell r="D63">
            <v>0.15</v>
          </cell>
          <cell r="E63">
            <v>0.08</v>
          </cell>
          <cell r="F63">
            <v>0.15</v>
          </cell>
          <cell r="G63">
            <v>0.22</v>
          </cell>
          <cell r="H63">
            <v>7.0000000000000007E-2</v>
          </cell>
          <cell r="I63">
            <v>0.05</v>
          </cell>
          <cell r="J63">
            <v>0.13</v>
          </cell>
          <cell r="K63">
            <v>0.18</v>
          </cell>
          <cell r="L63">
            <v>0.17</v>
          </cell>
          <cell r="M63">
            <v>0.16</v>
          </cell>
          <cell r="N63">
            <v>0.8</v>
          </cell>
          <cell r="O63">
            <v>1</v>
          </cell>
          <cell r="P63">
            <v>1</v>
          </cell>
          <cell r="Q63">
            <v>0.8</v>
          </cell>
          <cell r="R63">
            <v>0.8</v>
          </cell>
          <cell r="S63">
            <v>1</v>
          </cell>
          <cell r="T63">
            <v>1</v>
          </cell>
          <cell r="U63">
            <v>1</v>
          </cell>
          <cell r="V63">
            <v>1</v>
          </cell>
          <cell r="W63">
            <v>1</v>
          </cell>
          <cell r="X63">
            <v>1</v>
          </cell>
          <cell r="Y63">
            <v>1</v>
          </cell>
          <cell r="Z63">
            <v>0.1</v>
          </cell>
          <cell r="AA63">
            <v>0.1</v>
          </cell>
          <cell r="AB63">
            <v>0.14000000000000001</v>
          </cell>
          <cell r="AC63">
            <v>0.11</v>
          </cell>
          <cell r="AD63">
            <v>0.11</v>
          </cell>
          <cell r="AE63">
            <v>0.19</v>
          </cell>
          <cell r="AF63">
            <v>0.09</v>
          </cell>
          <cell r="AG63">
            <v>0.11</v>
          </cell>
          <cell r="AH63">
            <v>0.15</v>
          </cell>
          <cell r="AI63">
            <v>0.2</v>
          </cell>
          <cell r="AJ63">
            <v>0.2</v>
          </cell>
          <cell r="AK63">
            <v>0.2</v>
          </cell>
          <cell r="AL63">
            <v>0</v>
          </cell>
          <cell r="AM63">
            <v>0</v>
          </cell>
          <cell r="AN63">
            <v>0</v>
          </cell>
          <cell r="AO63">
            <v>0</v>
          </cell>
          <cell r="AP63">
            <v>0</v>
          </cell>
          <cell r="AQ63">
            <v>0</v>
          </cell>
          <cell r="AR63">
            <v>0</v>
          </cell>
          <cell r="AS63">
            <v>0</v>
          </cell>
          <cell r="AT63">
            <v>0</v>
          </cell>
          <cell r="AU63">
            <v>0</v>
          </cell>
          <cell r="AV63">
            <v>0</v>
          </cell>
          <cell r="AW63">
            <v>0</v>
          </cell>
          <cell r="AX63">
            <v>0</v>
          </cell>
          <cell r="AY63">
            <v>0</v>
          </cell>
          <cell r="AZ63">
            <v>0</v>
          </cell>
          <cell r="BA63">
            <v>0</v>
          </cell>
          <cell r="BB63">
            <v>0</v>
          </cell>
          <cell r="BC63">
            <v>0</v>
          </cell>
          <cell r="BD63">
            <v>0</v>
          </cell>
          <cell r="BE63">
            <v>0</v>
          </cell>
          <cell r="BF63">
            <v>0</v>
          </cell>
          <cell r="BG63">
            <v>0</v>
          </cell>
          <cell r="BH63">
            <v>0</v>
          </cell>
          <cell r="BI63">
            <v>0</v>
          </cell>
          <cell r="BJ63">
            <v>0</v>
          </cell>
          <cell r="BK63">
            <v>0</v>
          </cell>
          <cell r="BL63">
            <v>0</v>
          </cell>
          <cell r="BM63">
            <v>0</v>
          </cell>
          <cell r="BN63">
            <v>0</v>
          </cell>
          <cell r="BO63">
            <v>0</v>
          </cell>
          <cell r="BP63">
            <v>0</v>
          </cell>
          <cell r="BQ63">
            <v>0</v>
          </cell>
          <cell r="BR63">
            <v>0</v>
          </cell>
          <cell r="BS63">
            <v>0</v>
          </cell>
          <cell r="BT63">
            <v>0</v>
          </cell>
          <cell r="BU63">
            <v>0</v>
          </cell>
          <cell r="BV63">
            <v>0</v>
          </cell>
          <cell r="BW63">
            <v>0</v>
          </cell>
          <cell r="BX63">
            <v>0</v>
          </cell>
          <cell r="BY63">
            <v>0</v>
          </cell>
          <cell r="BZ63">
            <v>0</v>
          </cell>
          <cell r="CA63">
            <v>0</v>
          </cell>
          <cell r="CB63">
            <v>0</v>
          </cell>
          <cell r="CC63">
            <v>0</v>
          </cell>
          <cell r="CD63">
            <v>0</v>
          </cell>
          <cell r="CE63">
            <v>0</v>
          </cell>
          <cell r="CF63">
            <v>0</v>
          </cell>
          <cell r="CG63">
            <v>0</v>
          </cell>
          <cell r="CH63">
            <v>0</v>
          </cell>
          <cell r="CI63">
            <v>0</v>
          </cell>
          <cell r="CJ63">
            <v>0</v>
          </cell>
          <cell r="CK63">
            <v>0</v>
          </cell>
          <cell r="CL63">
            <v>0</v>
          </cell>
          <cell r="CM63">
            <v>0</v>
          </cell>
          <cell r="CN63">
            <v>0</v>
          </cell>
          <cell r="CO63">
            <v>0</v>
          </cell>
          <cell r="CP63">
            <v>0</v>
          </cell>
          <cell r="CQ63">
            <v>0</v>
          </cell>
          <cell r="CR63">
            <v>0</v>
          </cell>
          <cell r="CS63">
            <v>0</v>
          </cell>
          <cell r="CT63">
            <v>0</v>
          </cell>
          <cell r="CU63">
            <v>0</v>
          </cell>
          <cell r="CV63">
            <v>0</v>
          </cell>
          <cell r="CW63">
            <v>0</v>
          </cell>
          <cell r="CX63">
            <v>0</v>
          </cell>
          <cell r="CY63">
            <v>0</v>
          </cell>
          <cell r="CZ63">
            <v>0</v>
          </cell>
          <cell r="DA63">
            <v>0</v>
          </cell>
          <cell r="DB63">
            <v>0</v>
          </cell>
          <cell r="DC63">
            <v>0</v>
          </cell>
          <cell r="DD63">
            <v>0</v>
          </cell>
          <cell r="DE63">
            <v>0</v>
          </cell>
          <cell r="DF63">
            <v>0</v>
          </cell>
          <cell r="DG63">
            <v>0</v>
          </cell>
          <cell r="DH63">
            <v>0</v>
          </cell>
          <cell r="DI63">
            <v>0</v>
          </cell>
          <cell r="DJ63">
            <v>0</v>
          </cell>
          <cell r="DK63">
            <v>0</v>
          </cell>
          <cell r="DL63">
            <v>0</v>
          </cell>
          <cell r="DM63">
            <v>0</v>
          </cell>
          <cell r="DN63">
            <v>0</v>
          </cell>
          <cell r="DO63">
            <v>0</v>
          </cell>
          <cell r="DP63">
            <v>0</v>
          </cell>
          <cell r="DQ63">
            <v>0</v>
          </cell>
          <cell r="DR63">
            <v>0</v>
          </cell>
          <cell r="DS63">
            <v>0</v>
          </cell>
          <cell r="DT63">
            <v>0</v>
          </cell>
          <cell r="DU63">
            <v>0</v>
          </cell>
          <cell r="DV63">
            <v>0</v>
          </cell>
          <cell r="DW63">
            <v>0</v>
          </cell>
          <cell r="DX63">
            <v>0</v>
          </cell>
          <cell r="DY63">
            <v>0</v>
          </cell>
          <cell r="DZ63">
            <v>0</v>
          </cell>
          <cell r="EA63">
            <v>0</v>
          </cell>
          <cell r="EB63">
            <v>0</v>
          </cell>
          <cell r="EC63">
            <v>0</v>
          </cell>
          <cell r="ED63">
            <v>0.05</v>
          </cell>
          <cell r="EE63">
            <v>0.09</v>
          </cell>
          <cell r="EF63">
            <v>0.08</v>
          </cell>
          <cell r="EG63">
            <v>0.17</v>
          </cell>
          <cell r="EH63">
            <v>1</v>
          </cell>
          <cell r="EI63">
            <v>1</v>
          </cell>
          <cell r="EJ63">
            <v>1</v>
          </cell>
          <cell r="EK63">
            <v>1</v>
          </cell>
          <cell r="EL63">
            <v>0.05</v>
          </cell>
          <cell r="EM63">
            <v>0.14000000000000001</v>
          </cell>
          <cell r="EN63">
            <v>0.11</v>
          </cell>
          <cell r="EO63">
            <v>0.2</v>
          </cell>
          <cell r="EP63">
            <v>0</v>
          </cell>
          <cell r="EQ63">
            <v>0</v>
          </cell>
          <cell r="ER63">
            <v>0</v>
          </cell>
          <cell r="ES63">
            <v>0</v>
          </cell>
          <cell r="ET63">
            <v>0</v>
          </cell>
          <cell r="EU63">
            <v>0</v>
          </cell>
          <cell r="EV63">
            <v>0</v>
          </cell>
          <cell r="EW63">
            <v>0</v>
          </cell>
          <cell r="EX63">
            <v>1</v>
          </cell>
          <cell r="EY63">
            <v>1</v>
          </cell>
          <cell r="EZ63">
            <v>1</v>
          </cell>
          <cell r="FA63">
            <v>0</v>
          </cell>
          <cell r="FB63">
            <v>0</v>
          </cell>
          <cell r="FC63">
            <v>0</v>
          </cell>
          <cell r="FD63">
            <v>0</v>
          </cell>
          <cell r="FE63">
            <v>0</v>
          </cell>
          <cell r="FF63">
            <v>0</v>
          </cell>
          <cell r="FG63">
            <v>0</v>
          </cell>
          <cell r="FH63">
            <v>0</v>
          </cell>
          <cell r="FI63">
            <v>0</v>
          </cell>
          <cell r="FJ63">
            <v>0</v>
          </cell>
          <cell r="FK63">
            <v>0</v>
          </cell>
          <cell r="FL63">
            <v>0</v>
          </cell>
          <cell r="FM63">
            <v>0</v>
          </cell>
          <cell r="FN63">
            <v>0</v>
          </cell>
          <cell r="FO63">
            <v>0</v>
          </cell>
          <cell r="FP63">
            <v>0</v>
          </cell>
          <cell r="FQ63">
            <v>0</v>
          </cell>
          <cell r="FR63">
            <v>0</v>
          </cell>
          <cell r="FS63">
            <v>0</v>
          </cell>
          <cell r="FT63">
            <v>0</v>
          </cell>
          <cell r="FU63">
            <v>0</v>
          </cell>
          <cell r="FV63">
            <v>0</v>
          </cell>
          <cell r="FW63">
            <v>0</v>
          </cell>
          <cell r="FX63">
            <v>0</v>
          </cell>
          <cell r="FY63">
            <v>0</v>
          </cell>
          <cell r="FZ63">
            <v>0</v>
          </cell>
        </row>
        <row r="64">
          <cell r="B64">
            <v>0.1</v>
          </cell>
          <cell r="C64">
            <v>0.08</v>
          </cell>
          <cell r="D64">
            <v>0.15</v>
          </cell>
          <cell r="E64">
            <v>0.08</v>
          </cell>
          <cell r="F64">
            <v>0.15</v>
          </cell>
          <cell r="G64">
            <v>0.22</v>
          </cell>
          <cell r="H64">
            <v>7.0000000000000007E-2</v>
          </cell>
          <cell r="I64">
            <v>0.05</v>
          </cell>
          <cell r="J64">
            <v>0.13</v>
          </cell>
          <cell r="K64">
            <v>0.18</v>
          </cell>
          <cell r="L64">
            <v>0.17</v>
          </cell>
          <cell r="M64">
            <v>0.16</v>
          </cell>
          <cell r="N64">
            <v>0.8</v>
          </cell>
          <cell r="O64">
            <v>1</v>
          </cell>
          <cell r="P64">
            <v>1</v>
          </cell>
          <cell r="Q64">
            <v>0.8</v>
          </cell>
          <cell r="R64">
            <v>0.8</v>
          </cell>
          <cell r="S64">
            <v>1</v>
          </cell>
          <cell r="T64">
            <v>1</v>
          </cell>
          <cell r="U64">
            <v>1</v>
          </cell>
          <cell r="V64">
            <v>1</v>
          </cell>
          <cell r="W64">
            <v>1</v>
          </cell>
          <cell r="X64">
            <v>1</v>
          </cell>
          <cell r="Y64">
            <v>1</v>
          </cell>
          <cell r="Z64">
            <v>0.1</v>
          </cell>
          <cell r="AA64">
            <v>0.1</v>
          </cell>
          <cell r="AB64">
            <v>0.14000000000000001</v>
          </cell>
          <cell r="AC64">
            <v>0.11</v>
          </cell>
          <cell r="AD64">
            <v>0.11</v>
          </cell>
          <cell r="AE64">
            <v>0.19</v>
          </cell>
          <cell r="AF64">
            <v>0.09</v>
          </cell>
          <cell r="AG64">
            <v>0.11</v>
          </cell>
          <cell r="AH64">
            <v>0.15</v>
          </cell>
          <cell r="AI64">
            <v>0.2</v>
          </cell>
          <cell r="AJ64">
            <v>0.2</v>
          </cell>
          <cell r="AK64">
            <v>0.2</v>
          </cell>
          <cell r="AL64">
            <v>0</v>
          </cell>
          <cell r="AM64">
            <v>0</v>
          </cell>
          <cell r="AN64">
            <v>0</v>
          </cell>
          <cell r="AO64">
            <v>0</v>
          </cell>
          <cell r="AP64">
            <v>0</v>
          </cell>
          <cell r="AQ64">
            <v>0</v>
          </cell>
          <cell r="AR64">
            <v>0</v>
          </cell>
          <cell r="AS64">
            <v>0</v>
          </cell>
          <cell r="AT64">
            <v>0</v>
          </cell>
          <cell r="AU64">
            <v>0</v>
          </cell>
          <cell r="AV64">
            <v>0</v>
          </cell>
          <cell r="AW64">
            <v>0</v>
          </cell>
          <cell r="AX64">
            <v>0</v>
          </cell>
          <cell r="AY64">
            <v>0</v>
          </cell>
          <cell r="AZ64">
            <v>0</v>
          </cell>
          <cell r="BA64">
            <v>0</v>
          </cell>
          <cell r="BB64">
            <v>0</v>
          </cell>
          <cell r="BC64">
            <v>0</v>
          </cell>
          <cell r="BD64">
            <v>0</v>
          </cell>
          <cell r="BE64">
            <v>0</v>
          </cell>
          <cell r="BF64">
            <v>0</v>
          </cell>
          <cell r="BG64">
            <v>0</v>
          </cell>
          <cell r="BH64">
            <v>0</v>
          </cell>
          <cell r="BI64">
            <v>0</v>
          </cell>
          <cell r="BJ64">
            <v>0</v>
          </cell>
          <cell r="BK64">
            <v>0</v>
          </cell>
          <cell r="BL64">
            <v>0</v>
          </cell>
          <cell r="BM64">
            <v>0</v>
          </cell>
          <cell r="BN64">
            <v>0</v>
          </cell>
          <cell r="BO64">
            <v>0</v>
          </cell>
          <cell r="BP64">
            <v>0</v>
          </cell>
          <cell r="BQ64">
            <v>0</v>
          </cell>
          <cell r="BR64">
            <v>0</v>
          </cell>
          <cell r="BS64">
            <v>0</v>
          </cell>
          <cell r="BT64">
            <v>0</v>
          </cell>
          <cell r="BU64">
            <v>0</v>
          </cell>
          <cell r="BV64">
            <v>0</v>
          </cell>
          <cell r="BW64">
            <v>0</v>
          </cell>
          <cell r="BX64">
            <v>0</v>
          </cell>
          <cell r="BY64">
            <v>0</v>
          </cell>
          <cell r="BZ64">
            <v>0</v>
          </cell>
          <cell r="CA64">
            <v>0</v>
          </cell>
          <cell r="CB64">
            <v>0</v>
          </cell>
          <cell r="CC64">
            <v>0</v>
          </cell>
          <cell r="CD64">
            <v>0</v>
          </cell>
          <cell r="CE64">
            <v>0</v>
          </cell>
          <cell r="CF64">
            <v>0</v>
          </cell>
          <cell r="CG64">
            <v>0</v>
          </cell>
          <cell r="CH64">
            <v>0</v>
          </cell>
          <cell r="CI64">
            <v>0</v>
          </cell>
          <cell r="CJ64">
            <v>0</v>
          </cell>
          <cell r="CK64">
            <v>0</v>
          </cell>
          <cell r="CL64">
            <v>0</v>
          </cell>
          <cell r="CM64">
            <v>0</v>
          </cell>
          <cell r="CN64">
            <v>0</v>
          </cell>
          <cell r="CO64">
            <v>0</v>
          </cell>
          <cell r="CP64">
            <v>0</v>
          </cell>
          <cell r="CQ64">
            <v>0</v>
          </cell>
          <cell r="CR64">
            <v>0</v>
          </cell>
          <cell r="CS64">
            <v>0</v>
          </cell>
          <cell r="CT64">
            <v>0</v>
          </cell>
          <cell r="CU64">
            <v>0</v>
          </cell>
          <cell r="CV64">
            <v>0</v>
          </cell>
          <cell r="CW64">
            <v>0</v>
          </cell>
          <cell r="CX64">
            <v>0</v>
          </cell>
          <cell r="CY64">
            <v>0</v>
          </cell>
          <cell r="CZ64">
            <v>0</v>
          </cell>
          <cell r="DA64">
            <v>0</v>
          </cell>
          <cell r="DB64">
            <v>0</v>
          </cell>
          <cell r="DC64">
            <v>0</v>
          </cell>
          <cell r="DD64">
            <v>0</v>
          </cell>
          <cell r="DE64">
            <v>0</v>
          </cell>
          <cell r="DF64">
            <v>0</v>
          </cell>
          <cell r="DG64">
            <v>0</v>
          </cell>
          <cell r="DH64">
            <v>0</v>
          </cell>
          <cell r="DI64">
            <v>0</v>
          </cell>
          <cell r="DJ64">
            <v>0</v>
          </cell>
          <cell r="DK64">
            <v>0</v>
          </cell>
          <cell r="DL64">
            <v>0</v>
          </cell>
          <cell r="DM64">
            <v>0</v>
          </cell>
          <cell r="DN64">
            <v>0</v>
          </cell>
          <cell r="DO64">
            <v>0</v>
          </cell>
          <cell r="DP64">
            <v>0</v>
          </cell>
          <cell r="DQ64">
            <v>0</v>
          </cell>
          <cell r="DR64">
            <v>0</v>
          </cell>
          <cell r="DS64">
            <v>0</v>
          </cell>
          <cell r="DT64">
            <v>0</v>
          </cell>
          <cell r="DU64">
            <v>0</v>
          </cell>
          <cell r="DV64">
            <v>0</v>
          </cell>
          <cell r="DW64">
            <v>0</v>
          </cell>
          <cell r="DX64">
            <v>0</v>
          </cell>
          <cell r="DY64">
            <v>0</v>
          </cell>
          <cell r="DZ64">
            <v>0</v>
          </cell>
          <cell r="EA64">
            <v>0</v>
          </cell>
          <cell r="EB64">
            <v>0</v>
          </cell>
          <cell r="EC64">
            <v>0</v>
          </cell>
          <cell r="ED64">
            <v>0.05</v>
          </cell>
          <cell r="EE64">
            <v>0.09</v>
          </cell>
          <cell r="EF64">
            <v>0.08</v>
          </cell>
          <cell r="EG64">
            <v>0.17</v>
          </cell>
          <cell r="EH64">
            <v>1</v>
          </cell>
          <cell r="EI64">
            <v>1</v>
          </cell>
          <cell r="EJ64">
            <v>1</v>
          </cell>
          <cell r="EK64">
            <v>1</v>
          </cell>
          <cell r="EL64">
            <v>0.05</v>
          </cell>
          <cell r="EM64">
            <v>0.14000000000000001</v>
          </cell>
          <cell r="EN64">
            <v>0.11</v>
          </cell>
          <cell r="EO64">
            <v>0.2</v>
          </cell>
          <cell r="EP64">
            <v>0</v>
          </cell>
          <cell r="EQ64">
            <v>0</v>
          </cell>
          <cell r="ER64">
            <v>0</v>
          </cell>
          <cell r="ES64">
            <v>0</v>
          </cell>
          <cell r="ET64">
            <v>0</v>
          </cell>
          <cell r="EU64">
            <v>0</v>
          </cell>
          <cell r="EV64">
            <v>0</v>
          </cell>
          <cell r="EW64">
            <v>0</v>
          </cell>
          <cell r="EX64">
            <v>1</v>
          </cell>
          <cell r="EY64">
            <v>1</v>
          </cell>
          <cell r="EZ64">
            <v>1</v>
          </cell>
          <cell r="FA64">
            <v>0</v>
          </cell>
          <cell r="FB64">
            <v>0</v>
          </cell>
          <cell r="FC64">
            <v>0</v>
          </cell>
          <cell r="FD64">
            <v>0</v>
          </cell>
          <cell r="FE64">
            <v>0</v>
          </cell>
          <cell r="FF64">
            <v>0</v>
          </cell>
          <cell r="FG64">
            <v>0</v>
          </cell>
          <cell r="FH64">
            <v>0</v>
          </cell>
          <cell r="FI64">
            <v>0</v>
          </cell>
          <cell r="FJ64">
            <v>0</v>
          </cell>
          <cell r="FK64">
            <v>0</v>
          </cell>
          <cell r="FL64">
            <v>0</v>
          </cell>
          <cell r="FM64">
            <v>0</v>
          </cell>
          <cell r="FN64">
            <v>0</v>
          </cell>
          <cell r="FO64">
            <v>0</v>
          </cell>
          <cell r="FP64">
            <v>0</v>
          </cell>
          <cell r="FQ64">
            <v>0</v>
          </cell>
          <cell r="FR64">
            <v>0</v>
          </cell>
          <cell r="FS64">
            <v>0</v>
          </cell>
          <cell r="FT64">
            <v>0</v>
          </cell>
          <cell r="FU64">
            <v>0</v>
          </cell>
          <cell r="FV64">
            <v>0</v>
          </cell>
          <cell r="FW64">
            <v>0</v>
          </cell>
          <cell r="FX64">
            <v>0</v>
          </cell>
          <cell r="FY64">
            <v>0</v>
          </cell>
          <cell r="FZ64">
            <v>0</v>
          </cell>
        </row>
        <row r="65">
          <cell r="B65">
            <v>0.1</v>
          </cell>
          <cell r="C65">
            <v>0.08</v>
          </cell>
          <cell r="D65">
            <v>0.15</v>
          </cell>
          <cell r="E65">
            <v>0.08</v>
          </cell>
          <cell r="F65">
            <v>0.15</v>
          </cell>
          <cell r="G65">
            <v>0.22</v>
          </cell>
          <cell r="H65">
            <v>7.0000000000000007E-2</v>
          </cell>
          <cell r="I65">
            <v>0.05</v>
          </cell>
          <cell r="J65">
            <v>0.13</v>
          </cell>
          <cell r="K65">
            <v>0.18</v>
          </cell>
          <cell r="L65">
            <v>0.17</v>
          </cell>
          <cell r="M65">
            <v>0.16</v>
          </cell>
          <cell r="N65">
            <v>0.8</v>
          </cell>
          <cell r="O65">
            <v>1</v>
          </cell>
          <cell r="P65">
            <v>1</v>
          </cell>
          <cell r="Q65">
            <v>0.8</v>
          </cell>
          <cell r="R65">
            <v>0.8</v>
          </cell>
          <cell r="S65">
            <v>1</v>
          </cell>
          <cell r="T65">
            <v>1</v>
          </cell>
          <cell r="U65">
            <v>1</v>
          </cell>
          <cell r="V65">
            <v>1</v>
          </cell>
          <cell r="W65">
            <v>1</v>
          </cell>
          <cell r="X65">
            <v>1</v>
          </cell>
          <cell r="Y65">
            <v>1</v>
          </cell>
          <cell r="Z65">
            <v>0.1</v>
          </cell>
          <cell r="AA65">
            <v>0.1</v>
          </cell>
          <cell r="AB65">
            <v>0.14000000000000001</v>
          </cell>
          <cell r="AC65">
            <v>0.11</v>
          </cell>
          <cell r="AD65">
            <v>0.11</v>
          </cell>
          <cell r="AE65">
            <v>0.19</v>
          </cell>
          <cell r="AF65">
            <v>0.09</v>
          </cell>
          <cell r="AG65">
            <v>0.11</v>
          </cell>
          <cell r="AH65">
            <v>0.15</v>
          </cell>
          <cell r="AI65">
            <v>0.2</v>
          </cell>
          <cell r="AJ65">
            <v>0.2</v>
          </cell>
          <cell r="AK65">
            <v>0.2</v>
          </cell>
          <cell r="AL65">
            <v>0</v>
          </cell>
          <cell r="AM65">
            <v>0</v>
          </cell>
          <cell r="AN65">
            <v>0</v>
          </cell>
          <cell r="AO65">
            <v>0</v>
          </cell>
          <cell r="AP65">
            <v>0</v>
          </cell>
          <cell r="AQ65">
            <v>0</v>
          </cell>
          <cell r="AR65">
            <v>0</v>
          </cell>
          <cell r="AS65">
            <v>0</v>
          </cell>
          <cell r="AT65">
            <v>0</v>
          </cell>
          <cell r="AU65">
            <v>0</v>
          </cell>
          <cell r="AV65">
            <v>0</v>
          </cell>
          <cell r="AW65">
            <v>0</v>
          </cell>
          <cell r="AX65">
            <v>0</v>
          </cell>
          <cell r="AY65">
            <v>0</v>
          </cell>
          <cell r="AZ65">
            <v>0</v>
          </cell>
          <cell r="BA65">
            <v>0</v>
          </cell>
          <cell r="BB65">
            <v>0</v>
          </cell>
          <cell r="BC65">
            <v>0</v>
          </cell>
          <cell r="BD65">
            <v>0</v>
          </cell>
          <cell r="BE65">
            <v>0</v>
          </cell>
          <cell r="BF65">
            <v>0</v>
          </cell>
          <cell r="BG65">
            <v>0</v>
          </cell>
          <cell r="BH65">
            <v>0</v>
          </cell>
          <cell r="BI65">
            <v>0</v>
          </cell>
          <cell r="BJ65">
            <v>0</v>
          </cell>
          <cell r="BK65">
            <v>0</v>
          </cell>
          <cell r="BL65">
            <v>0</v>
          </cell>
          <cell r="BM65">
            <v>0</v>
          </cell>
          <cell r="BN65">
            <v>0</v>
          </cell>
          <cell r="BO65">
            <v>0</v>
          </cell>
          <cell r="BP65">
            <v>0</v>
          </cell>
          <cell r="BQ65">
            <v>0</v>
          </cell>
          <cell r="BR65">
            <v>0</v>
          </cell>
          <cell r="BS65">
            <v>0</v>
          </cell>
          <cell r="BT65">
            <v>0</v>
          </cell>
          <cell r="BU65">
            <v>0</v>
          </cell>
          <cell r="BV65">
            <v>0</v>
          </cell>
          <cell r="BW65">
            <v>0</v>
          </cell>
          <cell r="BX65">
            <v>0</v>
          </cell>
          <cell r="BY65">
            <v>0</v>
          </cell>
          <cell r="BZ65">
            <v>0</v>
          </cell>
          <cell r="CA65">
            <v>0</v>
          </cell>
          <cell r="CB65">
            <v>0</v>
          </cell>
          <cell r="CC65">
            <v>0</v>
          </cell>
          <cell r="CD65">
            <v>0</v>
          </cell>
          <cell r="CE65">
            <v>0</v>
          </cell>
          <cell r="CF65">
            <v>0</v>
          </cell>
          <cell r="CG65">
            <v>0</v>
          </cell>
          <cell r="CH65">
            <v>0</v>
          </cell>
          <cell r="CI65">
            <v>0</v>
          </cell>
          <cell r="CJ65">
            <v>0</v>
          </cell>
          <cell r="CK65">
            <v>0</v>
          </cell>
          <cell r="CL65">
            <v>0</v>
          </cell>
          <cell r="CM65">
            <v>0</v>
          </cell>
          <cell r="CN65">
            <v>0</v>
          </cell>
          <cell r="CO65">
            <v>0</v>
          </cell>
          <cell r="CP65">
            <v>0</v>
          </cell>
          <cell r="CQ65">
            <v>0</v>
          </cell>
          <cell r="CR65">
            <v>0</v>
          </cell>
          <cell r="CS65">
            <v>0</v>
          </cell>
          <cell r="CT65">
            <v>0</v>
          </cell>
          <cell r="CU65">
            <v>0</v>
          </cell>
          <cell r="CV65">
            <v>0</v>
          </cell>
          <cell r="CW65">
            <v>0</v>
          </cell>
          <cell r="CX65">
            <v>0</v>
          </cell>
          <cell r="CY65">
            <v>0</v>
          </cell>
          <cell r="CZ65">
            <v>0</v>
          </cell>
          <cell r="DA65">
            <v>0</v>
          </cell>
          <cell r="DB65">
            <v>0</v>
          </cell>
          <cell r="DC65">
            <v>0</v>
          </cell>
          <cell r="DD65">
            <v>0</v>
          </cell>
          <cell r="DE65">
            <v>0</v>
          </cell>
          <cell r="DF65">
            <v>0</v>
          </cell>
          <cell r="DG65">
            <v>0</v>
          </cell>
          <cell r="DH65">
            <v>0</v>
          </cell>
          <cell r="DI65">
            <v>0</v>
          </cell>
          <cell r="DJ65">
            <v>0</v>
          </cell>
          <cell r="DK65">
            <v>0</v>
          </cell>
          <cell r="DL65">
            <v>0</v>
          </cell>
          <cell r="DM65">
            <v>0</v>
          </cell>
          <cell r="DN65">
            <v>0</v>
          </cell>
          <cell r="DO65">
            <v>0</v>
          </cell>
          <cell r="DP65">
            <v>0</v>
          </cell>
          <cell r="DQ65">
            <v>0</v>
          </cell>
          <cell r="DR65">
            <v>0</v>
          </cell>
          <cell r="DS65">
            <v>0</v>
          </cell>
          <cell r="DT65">
            <v>0</v>
          </cell>
          <cell r="DU65">
            <v>0</v>
          </cell>
          <cell r="DV65">
            <v>0</v>
          </cell>
          <cell r="DW65">
            <v>0</v>
          </cell>
          <cell r="DX65">
            <v>0</v>
          </cell>
          <cell r="DY65">
            <v>0</v>
          </cell>
          <cell r="DZ65">
            <v>0</v>
          </cell>
          <cell r="EA65">
            <v>0</v>
          </cell>
          <cell r="EB65">
            <v>0</v>
          </cell>
          <cell r="EC65">
            <v>0</v>
          </cell>
          <cell r="ED65">
            <v>0.05</v>
          </cell>
          <cell r="EE65">
            <v>0.09</v>
          </cell>
          <cell r="EF65">
            <v>0.08</v>
          </cell>
          <cell r="EG65">
            <v>0.17</v>
          </cell>
          <cell r="EH65">
            <v>1</v>
          </cell>
          <cell r="EI65">
            <v>1</v>
          </cell>
          <cell r="EJ65">
            <v>1</v>
          </cell>
          <cell r="EK65">
            <v>1</v>
          </cell>
          <cell r="EL65">
            <v>0.05</v>
          </cell>
          <cell r="EM65">
            <v>0.14000000000000001</v>
          </cell>
          <cell r="EN65">
            <v>0.11</v>
          </cell>
          <cell r="EO65">
            <v>0.2</v>
          </cell>
          <cell r="EP65">
            <v>0</v>
          </cell>
          <cell r="EQ65">
            <v>0</v>
          </cell>
          <cell r="ER65">
            <v>0</v>
          </cell>
          <cell r="ES65">
            <v>0</v>
          </cell>
          <cell r="ET65">
            <v>0</v>
          </cell>
          <cell r="EU65">
            <v>0</v>
          </cell>
          <cell r="EV65">
            <v>0</v>
          </cell>
          <cell r="EW65">
            <v>0</v>
          </cell>
          <cell r="EX65">
            <v>1</v>
          </cell>
          <cell r="EY65">
            <v>1</v>
          </cell>
          <cell r="EZ65">
            <v>1</v>
          </cell>
          <cell r="FA65">
            <v>0</v>
          </cell>
          <cell r="FB65">
            <v>0</v>
          </cell>
          <cell r="FC65">
            <v>0</v>
          </cell>
          <cell r="FD65">
            <v>0</v>
          </cell>
          <cell r="FE65">
            <v>0</v>
          </cell>
          <cell r="FF65">
            <v>0</v>
          </cell>
          <cell r="FG65">
            <v>0</v>
          </cell>
          <cell r="FH65">
            <v>0</v>
          </cell>
          <cell r="FI65">
            <v>0</v>
          </cell>
          <cell r="FJ65">
            <v>0</v>
          </cell>
          <cell r="FK65">
            <v>0</v>
          </cell>
          <cell r="FL65">
            <v>0</v>
          </cell>
          <cell r="FM65">
            <v>0</v>
          </cell>
          <cell r="FN65">
            <v>0</v>
          </cell>
          <cell r="FO65">
            <v>0</v>
          </cell>
          <cell r="FP65">
            <v>0</v>
          </cell>
          <cell r="FQ65">
            <v>0</v>
          </cell>
          <cell r="FR65">
            <v>0</v>
          </cell>
          <cell r="FS65">
            <v>0</v>
          </cell>
          <cell r="FT65">
            <v>0</v>
          </cell>
          <cell r="FU65">
            <v>0</v>
          </cell>
          <cell r="FV65">
            <v>0</v>
          </cell>
          <cell r="FW65">
            <v>0</v>
          </cell>
          <cell r="FX65">
            <v>0</v>
          </cell>
          <cell r="FY65">
            <v>0</v>
          </cell>
          <cell r="FZ65">
            <v>0</v>
          </cell>
        </row>
        <row r="66">
          <cell r="B66">
            <v>0.1</v>
          </cell>
          <cell r="C66">
            <v>0.08</v>
          </cell>
          <cell r="D66">
            <v>0.15</v>
          </cell>
          <cell r="E66">
            <v>0.08</v>
          </cell>
          <cell r="F66">
            <v>0.15</v>
          </cell>
          <cell r="G66">
            <v>0.22</v>
          </cell>
          <cell r="H66">
            <v>7.0000000000000007E-2</v>
          </cell>
          <cell r="I66">
            <v>0.05</v>
          </cell>
          <cell r="J66">
            <v>0.13</v>
          </cell>
          <cell r="K66">
            <v>0.18</v>
          </cell>
          <cell r="L66">
            <v>0.17</v>
          </cell>
          <cell r="M66">
            <v>0.16</v>
          </cell>
          <cell r="N66">
            <v>0.8</v>
          </cell>
          <cell r="O66">
            <v>1</v>
          </cell>
          <cell r="P66">
            <v>1</v>
          </cell>
          <cell r="Q66">
            <v>0.8</v>
          </cell>
          <cell r="R66">
            <v>0.8</v>
          </cell>
          <cell r="S66">
            <v>1</v>
          </cell>
          <cell r="T66">
            <v>1</v>
          </cell>
          <cell r="U66">
            <v>1</v>
          </cell>
          <cell r="V66">
            <v>1</v>
          </cell>
          <cell r="W66">
            <v>1</v>
          </cell>
          <cell r="X66">
            <v>1</v>
          </cell>
          <cell r="Y66">
            <v>1</v>
          </cell>
          <cell r="Z66">
            <v>0.1</v>
          </cell>
          <cell r="AA66">
            <v>0.1</v>
          </cell>
          <cell r="AB66">
            <v>0.14000000000000001</v>
          </cell>
          <cell r="AC66">
            <v>0.11</v>
          </cell>
          <cell r="AD66">
            <v>0.11</v>
          </cell>
          <cell r="AE66">
            <v>0.19</v>
          </cell>
          <cell r="AF66">
            <v>0.09</v>
          </cell>
          <cell r="AG66">
            <v>0.11</v>
          </cell>
          <cell r="AH66">
            <v>0.15</v>
          </cell>
          <cell r="AI66">
            <v>0.2</v>
          </cell>
          <cell r="AJ66">
            <v>0.2</v>
          </cell>
          <cell r="AK66">
            <v>0.2</v>
          </cell>
          <cell r="AL66">
            <v>0</v>
          </cell>
          <cell r="AM66">
            <v>0</v>
          </cell>
          <cell r="AN66">
            <v>0</v>
          </cell>
          <cell r="AO66">
            <v>0</v>
          </cell>
          <cell r="AP66">
            <v>0</v>
          </cell>
          <cell r="AQ66">
            <v>0</v>
          </cell>
          <cell r="AR66">
            <v>0</v>
          </cell>
          <cell r="AS66">
            <v>0</v>
          </cell>
          <cell r="AT66">
            <v>0</v>
          </cell>
          <cell r="AU66">
            <v>0</v>
          </cell>
          <cell r="AV66">
            <v>0</v>
          </cell>
          <cell r="AW66">
            <v>0</v>
          </cell>
          <cell r="AX66">
            <v>0</v>
          </cell>
          <cell r="AY66">
            <v>0</v>
          </cell>
          <cell r="AZ66">
            <v>0</v>
          </cell>
          <cell r="BA66">
            <v>0</v>
          </cell>
          <cell r="BB66">
            <v>0</v>
          </cell>
          <cell r="BC66">
            <v>0</v>
          </cell>
          <cell r="BD66">
            <v>0</v>
          </cell>
          <cell r="BE66">
            <v>0</v>
          </cell>
          <cell r="BF66">
            <v>0</v>
          </cell>
          <cell r="BG66">
            <v>0</v>
          </cell>
          <cell r="BH66">
            <v>0</v>
          </cell>
          <cell r="BI66">
            <v>0</v>
          </cell>
          <cell r="BJ66">
            <v>0</v>
          </cell>
          <cell r="BK66">
            <v>0</v>
          </cell>
          <cell r="BL66">
            <v>0</v>
          </cell>
          <cell r="BM66">
            <v>0</v>
          </cell>
          <cell r="BN66">
            <v>0</v>
          </cell>
          <cell r="BO66">
            <v>0</v>
          </cell>
          <cell r="BP66">
            <v>0</v>
          </cell>
          <cell r="BQ66">
            <v>0</v>
          </cell>
          <cell r="BR66">
            <v>0</v>
          </cell>
          <cell r="BS66">
            <v>0</v>
          </cell>
          <cell r="BT66">
            <v>0</v>
          </cell>
          <cell r="BU66">
            <v>0</v>
          </cell>
          <cell r="BV66">
            <v>0</v>
          </cell>
          <cell r="BW66">
            <v>0</v>
          </cell>
          <cell r="BX66">
            <v>0</v>
          </cell>
          <cell r="BY66">
            <v>0</v>
          </cell>
          <cell r="BZ66">
            <v>0</v>
          </cell>
          <cell r="CA66">
            <v>0</v>
          </cell>
          <cell r="CB66">
            <v>0</v>
          </cell>
          <cell r="CC66">
            <v>0</v>
          </cell>
          <cell r="CD66">
            <v>0</v>
          </cell>
          <cell r="CE66">
            <v>0</v>
          </cell>
          <cell r="CF66">
            <v>0</v>
          </cell>
          <cell r="CG66">
            <v>0</v>
          </cell>
          <cell r="CH66">
            <v>0</v>
          </cell>
          <cell r="CI66">
            <v>0</v>
          </cell>
          <cell r="CJ66">
            <v>0</v>
          </cell>
          <cell r="CK66">
            <v>0</v>
          </cell>
          <cell r="CL66">
            <v>0</v>
          </cell>
          <cell r="CM66">
            <v>0</v>
          </cell>
          <cell r="CN66">
            <v>0</v>
          </cell>
          <cell r="CO66">
            <v>0</v>
          </cell>
          <cell r="CP66">
            <v>0</v>
          </cell>
          <cell r="CQ66">
            <v>0</v>
          </cell>
          <cell r="CR66">
            <v>0</v>
          </cell>
          <cell r="CS66">
            <v>0</v>
          </cell>
          <cell r="CT66">
            <v>0</v>
          </cell>
          <cell r="CU66">
            <v>0</v>
          </cell>
          <cell r="CV66">
            <v>0</v>
          </cell>
          <cell r="CW66">
            <v>0</v>
          </cell>
          <cell r="CX66">
            <v>0</v>
          </cell>
          <cell r="CY66">
            <v>0</v>
          </cell>
          <cell r="CZ66">
            <v>0</v>
          </cell>
          <cell r="DA66">
            <v>0</v>
          </cell>
          <cell r="DB66">
            <v>0</v>
          </cell>
          <cell r="DC66">
            <v>0</v>
          </cell>
          <cell r="DD66">
            <v>0</v>
          </cell>
          <cell r="DE66">
            <v>0</v>
          </cell>
          <cell r="DF66">
            <v>0</v>
          </cell>
          <cell r="DG66">
            <v>0</v>
          </cell>
          <cell r="DH66">
            <v>0</v>
          </cell>
          <cell r="DI66">
            <v>0</v>
          </cell>
          <cell r="DJ66">
            <v>0</v>
          </cell>
          <cell r="DK66">
            <v>0</v>
          </cell>
          <cell r="DL66">
            <v>0</v>
          </cell>
          <cell r="DM66">
            <v>0</v>
          </cell>
          <cell r="DN66">
            <v>0</v>
          </cell>
          <cell r="DO66">
            <v>0</v>
          </cell>
          <cell r="DP66">
            <v>0</v>
          </cell>
          <cell r="DQ66">
            <v>0</v>
          </cell>
          <cell r="DR66">
            <v>0</v>
          </cell>
          <cell r="DS66">
            <v>0</v>
          </cell>
          <cell r="DT66">
            <v>0</v>
          </cell>
          <cell r="DU66">
            <v>0</v>
          </cell>
          <cell r="DV66">
            <v>0</v>
          </cell>
          <cell r="DW66">
            <v>0</v>
          </cell>
          <cell r="DX66">
            <v>0</v>
          </cell>
          <cell r="DY66">
            <v>0</v>
          </cell>
          <cell r="DZ66">
            <v>0</v>
          </cell>
          <cell r="EA66">
            <v>0</v>
          </cell>
          <cell r="EB66">
            <v>0</v>
          </cell>
          <cell r="EC66">
            <v>0</v>
          </cell>
          <cell r="ED66">
            <v>0.05</v>
          </cell>
          <cell r="EE66">
            <v>0.09</v>
          </cell>
          <cell r="EF66">
            <v>0.08</v>
          </cell>
          <cell r="EG66">
            <v>0.17</v>
          </cell>
          <cell r="EH66">
            <v>1</v>
          </cell>
          <cell r="EI66">
            <v>1</v>
          </cell>
          <cell r="EJ66">
            <v>1</v>
          </cell>
          <cell r="EK66">
            <v>1</v>
          </cell>
          <cell r="EL66">
            <v>0.05</v>
          </cell>
          <cell r="EM66">
            <v>0.14000000000000001</v>
          </cell>
          <cell r="EN66">
            <v>0.11</v>
          </cell>
          <cell r="EO66">
            <v>0.2</v>
          </cell>
          <cell r="EP66">
            <v>0</v>
          </cell>
          <cell r="EQ66">
            <v>0</v>
          </cell>
          <cell r="ER66">
            <v>0</v>
          </cell>
          <cell r="ES66">
            <v>0</v>
          </cell>
          <cell r="ET66">
            <v>0</v>
          </cell>
          <cell r="EU66">
            <v>0</v>
          </cell>
          <cell r="EV66">
            <v>0</v>
          </cell>
          <cell r="EW66">
            <v>0</v>
          </cell>
          <cell r="EX66">
            <v>1</v>
          </cell>
          <cell r="EY66">
            <v>1</v>
          </cell>
          <cell r="EZ66">
            <v>1</v>
          </cell>
          <cell r="FA66">
            <v>0</v>
          </cell>
          <cell r="FB66">
            <v>0</v>
          </cell>
          <cell r="FC66">
            <v>0</v>
          </cell>
          <cell r="FD66">
            <v>0</v>
          </cell>
          <cell r="FE66">
            <v>0</v>
          </cell>
          <cell r="FF66">
            <v>0</v>
          </cell>
          <cell r="FG66">
            <v>0</v>
          </cell>
          <cell r="FH66">
            <v>0</v>
          </cell>
          <cell r="FI66">
            <v>0</v>
          </cell>
          <cell r="FJ66">
            <v>0</v>
          </cell>
          <cell r="FK66">
            <v>0</v>
          </cell>
          <cell r="FL66">
            <v>0</v>
          </cell>
          <cell r="FM66">
            <v>0</v>
          </cell>
          <cell r="FN66">
            <v>0</v>
          </cell>
          <cell r="FO66">
            <v>0</v>
          </cell>
          <cell r="FP66">
            <v>0</v>
          </cell>
          <cell r="FQ66">
            <v>0</v>
          </cell>
          <cell r="FR66">
            <v>0</v>
          </cell>
          <cell r="FS66">
            <v>0</v>
          </cell>
          <cell r="FT66">
            <v>0</v>
          </cell>
          <cell r="FU66">
            <v>0</v>
          </cell>
          <cell r="FV66">
            <v>0</v>
          </cell>
          <cell r="FW66">
            <v>0</v>
          </cell>
          <cell r="FX66">
            <v>0</v>
          </cell>
          <cell r="FY66">
            <v>0</v>
          </cell>
          <cell r="FZ66">
            <v>0</v>
          </cell>
        </row>
        <row r="67">
          <cell r="B67">
            <v>0.1</v>
          </cell>
          <cell r="C67">
            <v>0.08</v>
          </cell>
          <cell r="D67">
            <v>0.15</v>
          </cell>
          <cell r="E67">
            <v>0.08</v>
          </cell>
          <cell r="F67">
            <v>0.15</v>
          </cell>
          <cell r="G67">
            <v>0.22</v>
          </cell>
          <cell r="H67">
            <v>7.0000000000000007E-2</v>
          </cell>
          <cell r="I67">
            <v>0.05</v>
          </cell>
          <cell r="J67">
            <v>0.13</v>
          </cell>
          <cell r="K67">
            <v>0.18</v>
          </cell>
          <cell r="L67">
            <v>0.17</v>
          </cell>
          <cell r="M67">
            <v>0.16</v>
          </cell>
          <cell r="N67">
            <v>0.8</v>
          </cell>
          <cell r="O67">
            <v>1</v>
          </cell>
          <cell r="P67">
            <v>1</v>
          </cell>
          <cell r="Q67">
            <v>0.8</v>
          </cell>
          <cell r="R67">
            <v>0.8</v>
          </cell>
          <cell r="S67">
            <v>1</v>
          </cell>
          <cell r="T67">
            <v>1</v>
          </cell>
          <cell r="U67">
            <v>1</v>
          </cell>
          <cell r="V67">
            <v>1</v>
          </cell>
          <cell r="W67">
            <v>1</v>
          </cell>
          <cell r="X67">
            <v>1</v>
          </cell>
          <cell r="Y67">
            <v>1</v>
          </cell>
          <cell r="Z67">
            <v>0.1</v>
          </cell>
          <cell r="AA67">
            <v>0.1</v>
          </cell>
          <cell r="AB67">
            <v>0.14000000000000001</v>
          </cell>
          <cell r="AC67">
            <v>0.11</v>
          </cell>
          <cell r="AD67">
            <v>0.11</v>
          </cell>
          <cell r="AE67">
            <v>0.19</v>
          </cell>
          <cell r="AF67">
            <v>0.09</v>
          </cell>
          <cell r="AG67">
            <v>0.11</v>
          </cell>
          <cell r="AH67">
            <v>0.15</v>
          </cell>
          <cell r="AI67">
            <v>0.2</v>
          </cell>
          <cell r="AJ67">
            <v>0.2</v>
          </cell>
          <cell r="AK67">
            <v>0.2</v>
          </cell>
          <cell r="AL67">
            <v>0</v>
          </cell>
          <cell r="AM67">
            <v>0</v>
          </cell>
          <cell r="AN67">
            <v>0</v>
          </cell>
          <cell r="AO67">
            <v>0</v>
          </cell>
          <cell r="AP67">
            <v>0</v>
          </cell>
          <cell r="AQ67">
            <v>0</v>
          </cell>
          <cell r="AR67">
            <v>0</v>
          </cell>
          <cell r="AS67">
            <v>0</v>
          </cell>
          <cell r="AT67">
            <v>0</v>
          </cell>
          <cell r="AU67">
            <v>0</v>
          </cell>
          <cell r="AV67">
            <v>0</v>
          </cell>
          <cell r="AW67">
            <v>0</v>
          </cell>
          <cell r="AX67">
            <v>0</v>
          </cell>
          <cell r="AY67">
            <v>0</v>
          </cell>
          <cell r="AZ67">
            <v>0</v>
          </cell>
          <cell r="BA67">
            <v>0</v>
          </cell>
          <cell r="BB67">
            <v>0</v>
          </cell>
          <cell r="BC67">
            <v>0</v>
          </cell>
          <cell r="BD67">
            <v>0</v>
          </cell>
          <cell r="BE67">
            <v>0</v>
          </cell>
          <cell r="BF67">
            <v>0</v>
          </cell>
          <cell r="BG67">
            <v>0</v>
          </cell>
          <cell r="BH67">
            <v>0</v>
          </cell>
          <cell r="BI67">
            <v>0</v>
          </cell>
          <cell r="BJ67">
            <v>0</v>
          </cell>
          <cell r="BK67">
            <v>0</v>
          </cell>
          <cell r="BL67">
            <v>0</v>
          </cell>
          <cell r="BM67">
            <v>0</v>
          </cell>
          <cell r="BN67">
            <v>0</v>
          </cell>
          <cell r="BO67">
            <v>0</v>
          </cell>
          <cell r="BP67">
            <v>0</v>
          </cell>
          <cell r="BQ67">
            <v>0</v>
          </cell>
          <cell r="BR67">
            <v>0</v>
          </cell>
          <cell r="BS67">
            <v>0</v>
          </cell>
          <cell r="BT67">
            <v>0</v>
          </cell>
          <cell r="BU67">
            <v>0</v>
          </cell>
          <cell r="BV67">
            <v>0</v>
          </cell>
          <cell r="BW67">
            <v>0</v>
          </cell>
          <cell r="BX67">
            <v>0</v>
          </cell>
          <cell r="BY67">
            <v>0</v>
          </cell>
          <cell r="BZ67">
            <v>0</v>
          </cell>
          <cell r="CA67">
            <v>0</v>
          </cell>
          <cell r="CB67">
            <v>0</v>
          </cell>
          <cell r="CC67">
            <v>0</v>
          </cell>
          <cell r="CD67">
            <v>0</v>
          </cell>
          <cell r="CE67">
            <v>0</v>
          </cell>
          <cell r="CF67">
            <v>0</v>
          </cell>
          <cell r="CG67">
            <v>0</v>
          </cell>
          <cell r="CH67">
            <v>0</v>
          </cell>
          <cell r="CI67">
            <v>0</v>
          </cell>
          <cell r="CJ67">
            <v>0</v>
          </cell>
          <cell r="CK67">
            <v>0</v>
          </cell>
          <cell r="CL67">
            <v>0</v>
          </cell>
          <cell r="CM67">
            <v>0</v>
          </cell>
          <cell r="CN67">
            <v>0</v>
          </cell>
          <cell r="CO67">
            <v>0</v>
          </cell>
          <cell r="CP67">
            <v>0</v>
          </cell>
          <cell r="CQ67">
            <v>0</v>
          </cell>
          <cell r="CR67">
            <v>0</v>
          </cell>
          <cell r="CS67">
            <v>0</v>
          </cell>
          <cell r="CT67">
            <v>0</v>
          </cell>
          <cell r="CU67">
            <v>0</v>
          </cell>
          <cell r="CV67">
            <v>0</v>
          </cell>
          <cell r="CW67">
            <v>0</v>
          </cell>
          <cell r="CX67">
            <v>0</v>
          </cell>
          <cell r="CY67">
            <v>0</v>
          </cell>
          <cell r="CZ67">
            <v>0</v>
          </cell>
          <cell r="DA67">
            <v>0</v>
          </cell>
          <cell r="DB67">
            <v>0</v>
          </cell>
          <cell r="DC67">
            <v>0</v>
          </cell>
          <cell r="DD67">
            <v>0</v>
          </cell>
          <cell r="DE67">
            <v>0</v>
          </cell>
          <cell r="DF67">
            <v>0</v>
          </cell>
          <cell r="DG67">
            <v>0</v>
          </cell>
          <cell r="DH67">
            <v>0</v>
          </cell>
          <cell r="DI67">
            <v>0</v>
          </cell>
          <cell r="DJ67">
            <v>0</v>
          </cell>
          <cell r="DK67">
            <v>0</v>
          </cell>
          <cell r="DL67">
            <v>0</v>
          </cell>
          <cell r="DM67">
            <v>0</v>
          </cell>
          <cell r="DN67">
            <v>0</v>
          </cell>
          <cell r="DO67">
            <v>0</v>
          </cell>
          <cell r="DP67">
            <v>0</v>
          </cell>
          <cell r="DQ67">
            <v>0</v>
          </cell>
          <cell r="DR67">
            <v>0</v>
          </cell>
          <cell r="DS67">
            <v>0</v>
          </cell>
          <cell r="DT67">
            <v>0</v>
          </cell>
          <cell r="DU67">
            <v>0</v>
          </cell>
          <cell r="DV67">
            <v>0</v>
          </cell>
          <cell r="DW67">
            <v>0</v>
          </cell>
          <cell r="DX67">
            <v>0</v>
          </cell>
          <cell r="DY67">
            <v>0</v>
          </cell>
          <cell r="DZ67">
            <v>0</v>
          </cell>
          <cell r="EA67">
            <v>0</v>
          </cell>
          <cell r="EB67">
            <v>0</v>
          </cell>
          <cell r="EC67">
            <v>0</v>
          </cell>
          <cell r="ED67">
            <v>0.05</v>
          </cell>
          <cell r="EE67">
            <v>0.09</v>
          </cell>
          <cell r="EF67">
            <v>0.08</v>
          </cell>
          <cell r="EG67">
            <v>0.17</v>
          </cell>
          <cell r="EH67">
            <v>1</v>
          </cell>
          <cell r="EI67">
            <v>1</v>
          </cell>
          <cell r="EJ67">
            <v>1</v>
          </cell>
          <cell r="EK67">
            <v>1</v>
          </cell>
          <cell r="EL67">
            <v>0.05</v>
          </cell>
          <cell r="EM67">
            <v>0.14000000000000001</v>
          </cell>
          <cell r="EN67">
            <v>0.11</v>
          </cell>
          <cell r="EO67">
            <v>0.2</v>
          </cell>
          <cell r="EP67">
            <v>0</v>
          </cell>
          <cell r="EQ67">
            <v>0</v>
          </cell>
          <cell r="ER67">
            <v>0</v>
          </cell>
          <cell r="ES67">
            <v>0</v>
          </cell>
          <cell r="ET67">
            <v>0</v>
          </cell>
          <cell r="EU67">
            <v>0</v>
          </cell>
          <cell r="EV67">
            <v>0</v>
          </cell>
          <cell r="EW67">
            <v>0</v>
          </cell>
          <cell r="EX67">
            <v>1</v>
          </cell>
          <cell r="EY67">
            <v>1</v>
          </cell>
          <cell r="EZ67">
            <v>1</v>
          </cell>
          <cell r="FA67">
            <v>0</v>
          </cell>
          <cell r="FB67">
            <v>0</v>
          </cell>
          <cell r="FC67">
            <v>0</v>
          </cell>
          <cell r="FD67">
            <v>0</v>
          </cell>
          <cell r="FE67">
            <v>0</v>
          </cell>
          <cell r="FF67">
            <v>0</v>
          </cell>
          <cell r="FG67">
            <v>0</v>
          </cell>
          <cell r="FH67">
            <v>0</v>
          </cell>
          <cell r="FI67">
            <v>0</v>
          </cell>
          <cell r="FJ67">
            <v>0</v>
          </cell>
          <cell r="FK67">
            <v>0</v>
          </cell>
          <cell r="FL67">
            <v>0</v>
          </cell>
          <cell r="FM67">
            <v>0</v>
          </cell>
          <cell r="FN67">
            <v>0</v>
          </cell>
          <cell r="FO67">
            <v>0</v>
          </cell>
          <cell r="FP67">
            <v>0</v>
          </cell>
          <cell r="FQ67">
            <v>0</v>
          </cell>
          <cell r="FR67">
            <v>0</v>
          </cell>
          <cell r="FS67">
            <v>0</v>
          </cell>
          <cell r="FT67">
            <v>0</v>
          </cell>
          <cell r="FU67">
            <v>0</v>
          </cell>
          <cell r="FV67">
            <v>0</v>
          </cell>
          <cell r="FW67">
            <v>0</v>
          </cell>
          <cell r="FX67">
            <v>0</v>
          </cell>
          <cell r="FY67">
            <v>0</v>
          </cell>
          <cell r="FZ67">
            <v>0</v>
          </cell>
        </row>
        <row r="68">
          <cell r="B68">
            <v>0.1</v>
          </cell>
          <cell r="C68">
            <v>0.08</v>
          </cell>
          <cell r="D68">
            <v>0.15</v>
          </cell>
          <cell r="E68">
            <v>0.08</v>
          </cell>
          <cell r="F68">
            <v>0.15</v>
          </cell>
          <cell r="G68">
            <v>0.22</v>
          </cell>
          <cell r="H68">
            <v>7.0000000000000007E-2</v>
          </cell>
          <cell r="I68">
            <v>0.05</v>
          </cell>
          <cell r="J68">
            <v>0.13</v>
          </cell>
          <cell r="K68">
            <v>0.18</v>
          </cell>
          <cell r="L68">
            <v>0.17</v>
          </cell>
          <cell r="M68">
            <v>0.16</v>
          </cell>
          <cell r="N68">
            <v>0.8</v>
          </cell>
          <cell r="O68">
            <v>1</v>
          </cell>
          <cell r="P68">
            <v>1</v>
          </cell>
          <cell r="Q68">
            <v>0.8</v>
          </cell>
          <cell r="R68">
            <v>0.8</v>
          </cell>
          <cell r="S68">
            <v>1</v>
          </cell>
          <cell r="T68">
            <v>1</v>
          </cell>
          <cell r="U68">
            <v>1</v>
          </cell>
          <cell r="V68">
            <v>1</v>
          </cell>
          <cell r="W68">
            <v>1</v>
          </cell>
          <cell r="X68">
            <v>1</v>
          </cell>
          <cell r="Y68">
            <v>1</v>
          </cell>
          <cell r="Z68">
            <v>0.1</v>
          </cell>
          <cell r="AA68">
            <v>0.1</v>
          </cell>
          <cell r="AB68">
            <v>0.14000000000000001</v>
          </cell>
          <cell r="AC68">
            <v>0.11</v>
          </cell>
          <cell r="AD68">
            <v>0.11</v>
          </cell>
          <cell r="AE68">
            <v>0.19</v>
          </cell>
          <cell r="AF68">
            <v>0.09</v>
          </cell>
          <cell r="AG68">
            <v>0.11</v>
          </cell>
          <cell r="AH68">
            <v>0.15</v>
          </cell>
          <cell r="AI68">
            <v>0.2</v>
          </cell>
          <cell r="AJ68">
            <v>0.2</v>
          </cell>
          <cell r="AK68">
            <v>0.2</v>
          </cell>
          <cell r="AL68">
            <v>0</v>
          </cell>
          <cell r="AM68">
            <v>0</v>
          </cell>
          <cell r="AN68">
            <v>0</v>
          </cell>
          <cell r="AO68">
            <v>0</v>
          </cell>
          <cell r="AP68">
            <v>0</v>
          </cell>
          <cell r="AQ68">
            <v>0</v>
          </cell>
          <cell r="AR68">
            <v>0</v>
          </cell>
          <cell r="AS68">
            <v>0</v>
          </cell>
          <cell r="AT68">
            <v>0</v>
          </cell>
          <cell r="AU68">
            <v>0</v>
          </cell>
          <cell r="AV68">
            <v>0</v>
          </cell>
          <cell r="AW68">
            <v>0</v>
          </cell>
          <cell r="AX68">
            <v>0</v>
          </cell>
          <cell r="AY68">
            <v>0</v>
          </cell>
          <cell r="AZ68">
            <v>0</v>
          </cell>
          <cell r="BA68">
            <v>0</v>
          </cell>
          <cell r="BB68">
            <v>0</v>
          </cell>
          <cell r="BC68">
            <v>0</v>
          </cell>
          <cell r="BD68">
            <v>0</v>
          </cell>
          <cell r="BE68">
            <v>0</v>
          </cell>
          <cell r="BF68">
            <v>0</v>
          </cell>
          <cell r="BG68">
            <v>0</v>
          </cell>
          <cell r="BH68">
            <v>0</v>
          </cell>
          <cell r="BI68">
            <v>0</v>
          </cell>
          <cell r="BJ68">
            <v>0</v>
          </cell>
          <cell r="BK68">
            <v>0</v>
          </cell>
          <cell r="BL68">
            <v>0</v>
          </cell>
          <cell r="BM68">
            <v>0</v>
          </cell>
          <cell r="BN68">
            <v>0</v>
          </cell>
          <cell r="BO68">
            <v>0</v>
          </cell>
          <cell r="BP68">
            <v>0</v>
          </cell>
          <cell r="BQ68">
            <v>0</v>
          </cell>
          <cell r="BR68">
            <v>0</v>
          </cell>
          <cell r="BS68">
            <v>0</v>
          </cell>
          <cell r="BT68">
            <v>0</v>
          </cell>
          <cell r="BU68">
            <v>0</v>
          </cell>
          <cell r="BV68">
            <v>0</v>
          </cell>
          <cell r="BW68">
            <v>0</v>
          </cell>
          <cell r="BX68">
            <v>0</v>
          </cell>
          <cell r="BY68">
            <v>0</v>
          </cell>
          <cell r="BZ68">
            <v>0</v>
          </cell>
          <cell r="CA68">
            <v>0</v>
          </cell>
          <cell r="CB68">
            <v>0</v>
          </cell>
          <cell r="CC68">
            <v>0</v>
          </cell>
          <cell r="CD68">
            <v>0</v>
          </cell>
          <cell r="CE68">
            <v>0</v>
          </cell>
          <cell r="CF68">
            <v>0</v>
          </cell>
          <cell r="CG68">
            <v>0</v>
          </cell>
          <cell r="CH68">
            <v>0</v>
          </cell>
          <cell r="CI68">
            <v>0</v>
          </cell>
          <cell r="CJ68">
            <v>0</v>
          </cell>
          <cell r="CK68">
            <v>0</v>
          </cell>
          <cell r="CL68">
            <v>0</v>
          </cell>
          <cell r="CM68">
            <v>0</v>
          </cell>
          <cell r="CN68">
            <v>0</v>
          </cell>
          <cell r="CO68">
            <v>0</v>
          </cell>
          <cell r="CP68">
            <v>0</v>
          </cell>
          <cell r="CQ68">
            <v>0</v>
          </cell>
          <cell r="CR68">
            <v>0</v>
          </cell>
          <cell r="CS68">
            <v>0</v>
          </cell>
          <cell r="CT68">
            <v>0</v>
          </cell>
          <cell r="CU68">
            <v>0</v>
          </cell>
          <cell r="CV68">
            <v>0</v>
          </cell>
          <cell r="CW68">
            <v>0</v>
          </cell>
          <cell r="CX68">
            <v>0</v>
          </cell>
          <cell r="CY68">
            <v>0</v>
          </cell>
          <cell r="CZ68">
            <v>0</v>
          </cell>
          <cell r="DA68">
            <v>0</v>
          </cell>
          <cell r="DB68">
            <v>0</v>
          </cell>
          <cell r="DC68">
            <v>0</v>
          </cell>
          <cell r="DD68">
            <v>0</v>
          </cell>
          <cell r="DE68">
            <v>0</v>
          </cell>
          <cell r="DF68">
            <v>0</v>
          </cell>
          <cell r="DG68">
            <v>0</v>
          </cell>
          <cell r="DH68">
            <v>0</v>
          </cell>
          <cell r="DI68">
            <v>0</v>
          </cell>
          <cell r="DJ68">
            <v>0</v>
          </cell>
          <cell r="DK68">
            <v>0</v>
          </cell>
          <cell r="DL68">
            <v>0</v>
          </cell>
          <cell r="DM68">
            <v>0</v>
          </cell>
          <cell r="DN68">
            <v>0</v>
          </cell>
          <cell r="DO68">
            <v>0</v>
          </cell>
          <cell r="DP68">
            <v>0</v>
          </cell>
          <cell r="DQ68">
            <v>0</v>
          </cell>
          <cell r="DR68">
            <v>0</v>
          </cell>
          <cell r="DS68">
            <v>0</v>
          </cell>
          <cell r="DT68">
            <v>0</v>
          </cell>
          <cell r="DU68">
            <v>0</v>
          </cell>
          <cell r="DV68">
            <v>0</v>
          </cell>
          <cell r="DW68">
            <v>0</v>
          </cell>
          <cell r="DX68">
            <v>0</v>
          </cell>
          <cell r="DY68">
            <v>0</v>
          </cell>
          <cell r="DZ68">
            <v>0</v>
          </cell>
          <cell r="EA68">
            <v>0</v>
          </cell>
          <cell r="EB68">
            <v>0</v>
          </cell>
          <cell r="EC68">
            <v>0</v>
          </cell>
          <cell r="ED68">
            <v>0.05</v>
          </cell>
          <cell r="EE68">
            <v>0.09</v>
          </cell>
          <cell r="EF68">
            <v>0.08</v>
          </cell>
          <cell r="EG68">
            <v>0.17</v>
          </cell>
          <cell r="EH68">
            <v>1</v>
          </cell>
          <cell r="EI68">
            <v>1</v>
          </cell>
          <cell r="EJ68">
            <v>1</v>
          </cell>
          <cell r="EK68">
            <v>1</v>
          </cell>
          <cell r="EL68">
            <v>0.05</v>
          </cell>
          <cell r="EM68">
            <v>0.14000000000000001</v>
          </cell>
          <cell r="EN68">
            <v>0.11</v>
          </cell>
          <cell r="EO68">
            <v>0.2</v>
          </cell>
          <cell r="EP68">
            <v>0</v>
          </cell>
          <cell r="EQ68">
            <v>0</v>
          </cell>
          <cell r="ER68">
            <v>0</v>
          </cell>
          <cell r="ES68">
            <v>0</v>
          </cell>
          <cell r="ET68">
            <v>0</v>
          </cell>
          <cell r="EU68">
            <v>0</v>
          </cell>
          <cell r="EV68">
            <v>0</v>
          </cell>
          <cell r="EW68">
            <v>0</v>
          </cell>
          <cell r="EX68">
            <v>1</v>
          </cell>
          <cell r="EY68">
            <v>1</v>
          </cell>
          <cell r="EZ68">
            <v>1</v>
          </cell>
          <cell r="FA68">
            <v>0</v>
          </cell>
          <cell r="FB68">
            <v>0</v>
          </cell>
          <cell r="FC68">
            <v>0</v>
          </cell>
          <cell r="FD68">
            <v>0</v>
          </cell>
          <cell r="FE68">
            <v>0</v>
          </cell>
          <cell r="FF68">
            <v>0</v>
          </cell>
          <cell r="FG68">
            <v>0</v>
          </cell>
          <cell r="FH68">
            <v>0</v>
          </cell>
          <cell r="FI68">
            <v>0</v>
          </cell>
          <cell r="FJ68">
            <v>0</v>
          </cell>
          <cell r="FK68">
            <v>0</v>
          </cell>
          <cell r="FL68">
            <v>0</v>
          </cell>
          <cell r="FM68">
            <v>0</v>
          </cell>
          <cell r="FN68">
            <v>0</v>
          </cell>
          <cell r="FO68">
            <v>0</v>
          </cell>
          <cell r="FP68">
            <v>0</v>
          </cell>
          <cell r="FQ68">
            <v>0</v>
          </cell>
          <cell r="FR68">
            <v>0</v>
          </cell>
          <cell r="FS68">
            <v>0</v>
          </cell>
          <cell r="FT68">
            <v>0</v>
          </cell>
          <cell r="FU68">
            <v>0</v>
          </cell>
          <cell r="FV68">
            <v>0</v>
          </cell>
          <cell r="FW68">
            <v>0</v>
          </cell>
          <cell r="FX68">
            <v>0</v>
          </cell>
          <cell r="FY68">
            <v>0</v>
          </cell>
          <cell r="FZ68">
            <v>0</v>
          </cell>
        </row>
        <row r="69">
          <cell r="B69">
            <v>0.1</v>
          </cell>
          <cell r="C69">
            <v>0.08</v>
          </cell>
          <cell r="D69">
            <v>0.15</v>
          </cell>
          <cell r="E69">
            <v>0.08</v>
          </cell>
          <cell r="F69">
            <v>0.15</v>
          </cell>
          <cell r="G69">
            <v>0.22</v>
          </cell>
          <cell r="H69">
            <v>7.0000000000000007E-2</v>
          </cell>
          <cell r="I69">
            <v>0.05</v>
          </cell>
          <cell r="J69">
            <v>0.13</v>
          </cell>
          <cell r="K69">
            <v>0.18</v>
          </cell>
          <cell r="L69">
            <v>0.17</v>
          </cell>
          <cell r="M69">
            <v>0.16</v>
          </cell>
          <cell r="N69">
            <v>0.8</v>
          </cell>
          <cell r="O69">
            <v>1</v>
          </cell>
          <cell r="P69">
            <v>1</v>
          </cell>
          <cell r="Q69">
            <v>0.8</v>
          </cell>
          <cell r="R69">
            <v>0.8</v>
          </cell>
          <cell r="S69">
            <v>1</v>
          </cell>
          <cell r="T69">
            <v>1</v>
          </cell>
          <cell r="U69">
            <v>1</v>
          </cell>
          <cell r="V69">
            <v>1</v>
          </cell>
          <cell r="W69">
            <v>1</v>
          </cell>
          <cell r="X69">
            <v>1</v>
          </cell>
          <cell r="Y69">
            <v>1</v>
          </cell>
          <cell r="Z69">
            <v>0.1</v>
          </cell>
          <cell r="AA69">
            <v>0.1</v>
          </cell>
          <cell r="AB69">
            <v>0.14000000000000001</v>
          </cell>
          <cell r="AC69">
            <v>0.11</v>
          </cell>
          <cell r="AD69">
            <v>0.11</v>
          </cell>
          <cell r="AE69">
            <v>0.19</v>
          </cell>
          <cell r="AF69">
            <v>0.09</v>
          </cell>
          <cell r="AG69">
            <v>0.11</v>
          </cell>
          <cell r="AH69">
            <v>0.15</v>
          </cell>
          <cell r="AI69">
            <v>0.2</v>
          </cell>
          <cell r="AJ69">
            <v>0.2</v>
          </cell>
          <cell r="AK69">
            <v>0.2</v>
          </cell>
          <cell r="AL69">
            <v>0</v>
          </cell>
          <cell r="AM69">
            <v>0</v>
          </cell>
          <cell r="AN69">
            <v>0</v>
          </cell>
          <cell r="AO69">
            <v>0</v>
          </cell>
          <cell r="AP69">
            <v>0</v>
          </cell>
          <cell r="AQ69">
            <v>0</v>
          </cell>
          <cell r="AR69">
            <v>0</v>
          </cell>
          <cell r="AS69">
            <v>0</v>
          </cell>
          <cell r="AT69">
            <v>0</v>
          </cell>
          <cell r="AU69">
            <v>0</v>
          </cell>
          <cell r="AV69">
            <v>0</v>
          </cell>
          <cell r="AW69">
            <v>0</v>
          </cell>
          <cell r="AX69">
            <v>0</v>
          </cell>
          <cell r="AY69">
            <v>0</v>
          </cell>
          <cell r="AZ69">
            <v>0</v>
          </cell>
          <cell r="BA69">
            <v>0</v>
          </cell>
          <cell r="BB69">
            <v>0</v>
          </cell>
          <cell r="BC69">
            <v>0</v>
          </cell>
          <cell r="BD69">
            <v>0</v>
          </cell>
          <cell r="BE69">
            <v>0</v>
          </cell>
          <cell r="BF69">
            <v>0</v>
          </cell>
          <cell r="BG69">
            <v>0</v>
          </cell>
          <cell r="BH69">
            <v>0</v>
          </cell>
          <cell r="BI69">
            <v>0</v>
          </cell>
          <cell r="BJ69">
            <v>0</v>
          </cell>
          <cell r="BK69">
            <v>0</v>
          </cell>
          <cell r="BL69">
            <v>0</v>
          </cell>
          <cell r="BM69">
            <v>0</v>
          </cell>
          <cell r="BN69">
            <v>0</v>
          </cell>
          <cell r="BO69">
            <v>0</v>
          </cell>
          <cell r="BP69">
            <v>0</v>
          </cell>
          <cell r="BQ69">
            <v>0</v>
          </cell>
          <cell r="BR69">
            <v>0</v>
          </cell>
          <cell r="BS69">
            <v>0</v>
          </cell>
          <cell r="BT69">
            <v>0</v>
          </cell>
          <cell r="BU69">
            <v>0</v>
          </cell>
          <cell r="BV69">
            <v>0</v>
          </cell>
          <cell r="BW69">
            <v>0</v>
          </cell>
          <cell r="BX69">
            <v>0</v>
          </cell>
          <cell r="BY69">
            <v>0</v>
          </cell>
          <cell r="BZ69">
            <v>0</v>
          </cell>
          <cell r="CA69">
            <v>0</v>
          </cell>
          <cell r="CB69">
            <v>0</v>
          </cell>
          <cell r="CC69">
            <v>0</v>
          </cell>
          <cell r="CD69">
            <v>0</v>
          </cell>
          <cell r="CE69">
            <v>0</v>
          </cell>
          <cell r="CF69">
            <v>0</v>
          </cell>
          <cell r="CG69">
            <v>0</v>
          </cell>
          <cell r="CH69">
            <v>0</v>
          </cell>
          <cell r="CI69">
            <v>0</v>
          </cell>
          <cell r="CJ69">
            <v>0</v>
          </cell>
          <cell r="CK69">
            <v>0</v>
          </cell>
          <cell r="CL69">
            <v>0</v>
          </cell>
          <cell r="CM69">
            <v>0</v>
          </cell>
          <cell r="CN69">
            <v>0</v>
          </cell>
          <cell r="CO69">
            <v>0</v>
          </cell>
          <cell r="CP69">
            <v>0</v>
          </cell>
          <cell r="CQ69">
            <v>0</v>
          </cell>
          <cell r="CR69">
            <v>0</v>
          </cell>
          <cell r="CS69">
            <v>0</v>
          </cell>
          <cell r="CT69">
            <v>0</v>
          </cell>
          <cell r="CU69">
            <v>0</v>
          </cell>
          <cell r="CV69">
            <v>0</v>
          </cell>
          <cell r="CW69">
            <v>0</v>
          </cell>
          <cell r="CX69">
            <v>0</v>
          </cell>
          <cell r="CY69">
            <v>0</v>
          </cell>
          <cell r="CZ69">
            <v>0</v>
          </cell>
          <cell r="DA69">
            <v>0</v>
          </cell>
          <cell r="DB69">
            <v>0</v>
          </cell>
          <cell r="DC69">
            <v>0</v>
          </cell>
          <cell r="DD69">
            <v>0</v>
          </cell>
          <cell r="DE69">
            <v>0</v>
          </cell>
          <cell r="DF69">
            <v>0</v>
          </cell>
          <cell r="DG69">
            <v>0</v>
          </cell>
          <cell r="DH69">
            <v>0</v>
          </cell>
          <cell r="DI69">
            <v>0</v>
          </cell>
          <cell r="DJ69">
            <v>0</v>
          </cell>
          <cell r="DK69">
            <v>0</v>
          </cell>
          <cell r="DL69">
            <v>0</v>
          </cell>
          <cell r="DM69">
            <v>0</v>
          </cell>
          <cell r="DN69">
            <v>0</v>
          </cell>
          <cell r="DO69">
            <v>0</v>
          </cell>
          <cell r="DP69">
            <v>0</v>
          </cell>
          <cell r="DQ69">
            <v>0</v>
          </cell>
          <cell r="DR69">
            <v>0</v>
          </cell>
          <cell r="DS69">
            <v>0</v>
          </cell>
          <cell r="DT69">
            <v>0</v>
          </cell>
          <cell r="DU69">
            <v>0</v>
          </cell>
          <cell r="DV69">
            <v>0</v>
          </cell>
          <cell r="DW69">
            <v>0</v>
          </cell>
          <cell r="DX69">
            <v>0</v>
          </cell>
          <cell r="DY69">
            <v>0</v>
          </cell>
          <cell r="DZ69">
            <v>0</v>
          </cell>
          <cell r="EA69">
            <v>0</v>
          </cell>
          <cell r="EB69">
            <v>0</v>
          </cell>
          <cell r="EC69">
            <v>0</v>
          </cell>
          <cell r="ED69">
            <v>0.05</v>
          </cell>
          <cell r="EE69">
            <v>0.09</v>
          </cell>
          <cell r="EF69">
            <v>0.08</v>
          </cell>
          <cell r="EG69">
            <v>0.17</v>
          </cell>
          <cell r="EH69">
            <v>1</v>
          </cell>
          <cell r="EI69">
            <v>1</v>
          </cell>
          <cell r="EJ69">
            <v>1</v>
          </cell>
          <cell r="EK69">
            <v>1</v>
          </cell>
          <cell r="EL69">
            <v>0.05</v>
          </cell>
          <cell r="EM69">
            <v>0.14000000000000001</v>
          </cell>
          <cell r="EN69">
            <v>0.11</v>
          </cell>
          <cell r="EO69">
            <v>0.2</v>
          </cell>
          <cell r="EP69">
            <v>0</v>
          </cell>
          <cell r="EQ69">
            <v>0</v>
          </cell>
          <cell r="ER69">
            <v>0</v>
          </cell>
          <cell r="ES69">
            <v>0</v>
          </cell>
          <cell r="ET69">
            <v>0</v>
          </cell>
          <cell r="EU69">
            <v>0</v>
          </cell>
          <cell r="EV69">
            <v>0</v>
          </cell>
          <cell r="EW69">
            <v>0</v>
          </cell>
          <cell r="EX69">
            <v>1</v>
          </cell>
          <cell r="EY69">
            <v>1</v>
          </cell>
          <cell r="EZ69">
            <v>1</v>
          </cell>
          <cell r="FA69">
            <v>0</v>
          </cell>
          <cell r="FB69">
            <v>0</v>
          </cell>
          <cell r="FC69">
            <v>0</v>
          </cell>
          <cell r="FD69">
            <v>0</v>
          </cell>
          <cell r="FE69">
            <v>0</v>
          </cell>
          <cell r="FF69">
            <v>0</v>
          </cell>
          <cell r="FG69">
            <v>0</v>
          </cell>
          <cell r="FH69">
            <v>0</v>
          </cell>
          <cell r="FI69">
            <v>0</v>
          </cell>
          <cell r="FJ69">
            <v>0</v>
          </cell>
          <cell r="FK69">
            <v>0</v>
          </cell>
          <cell r="FL69">
            <v>0</v>
          </cell>
          <cell r="FM69">
            <v>0</v>
          </cell>
          <cell r="FN69">
            <v>0</v>
          </cell>
          <cell r="FO69">
            <v>0</v>
          </cell>
          <cell r="FP69">
            <v>0</v>
          </cell>
          <cell r="FQ69">
            <v>0</v>
          </cell>
          <cell r="FR69">
            <v>0</v>
          </cell>
          <cell r="FS69">
            <v>0</v>
          </cell>
          <cell r="FT69">
            <v>0</v>
          </cell>
          <cell r="FU69">
            <v>0</v>
          </cell>
          <cell r="FV69">
            <v>0</v>
          </cell>
          <cell r="FW69">
            <v>0</v>
          </cell>
          <cell r="FX69">
            <v>0</v>
          </cell>
          <cell r="FY69">
            <v>0</v>
          </cell>
          <cell r="FZ69">
            <v>0</v>
          </cell>
        </row>
        <row r="70">
          <cell r="B70">
            <v>0.1</v>
          </cell>
          <cell r="C70">
            <v>0.08</v>
          </cell>
          <cell r="D70">
            <v>0.15</v>
          </cell>
          <cell r="E70">
            <v>0.08</v>
          </cell>
          <cell r="F70">
            <v>0.15</v>
          </cell>
          <cell r="G70">
            <v>0.22</v>
          </cell>
          <cell r="H70">
            <v>7.0000000000000007E-2</v>
          </cell>
          <cell r="I70">
            <v>0.05</v>
          </cell>
          <cell r="J70">
            <v>0.13</v>
          </cell>
          <cell r="K70">
            <v>0.18</v>
          </cell>
          <cell r="L70">
            <v>0.17</v>
          </cell>
          <cell r="M70">
            <v>0.16</v>
          </cell>
          <cell r="N70">
            <v>0.8</v>
          </cell>
          <cell r="O70">
            <v>1</v>
          </cell>
          <cell r="P70">
            <v>1</v>
          </cell>
          <cell r="Q70">
            <v>0.8</v>
          </cell>
          <cell r="R70">
            <v>0.8</v>
          </cell>
          <cell r="S70">
            <v>1</v>
          </cell>
          <cell r="T70">
            <v>1</v>
          </cell>
          <cell r="U70">
            <v>1</v>
          </cell>
          <cell r="V70">
            <v>1</v>
          </cell>
          <cell r="W70">
            <v>1</v>
          </cell>
          <cell r="X70">
            <v>1</v>
          </cell>
          <cell r="Y70">
            <v>1</v>
          </cell>
          <cell r="Z70">
            <v>0.1</v>
          </cell>
          <cell r="AA70">
            <v>0.1</v>
          </cell>
          <cell r="AB70">
            <v>0.14000000000000001</v>
          </cell>
          <cell r="AC70">
            <v>0.11</v>
          </cell>
          <cell r="AD70">
            <v>0.11</v>
          </cell>
          <cell r="AE70">
            <v>0.19</v>
          </cell>
          <cell r="AF70">
            <v>0.09</v>
          </cell>
          <cell r="AG70">
            <v>0.11</v>
          </cell>
          <cell r="AH70">
            <v>0.15</v>
          </cell>
          <cell r="AI70">
            <v>0.2</v>
          </cell>
          <cell r="AJ70">
            <v>0.2</v>
          </cell>
          <cell r="AK70">
            <v>0.2</v>
          </cell>
          <cell r="AL70">
            <v>0</v>
          </cell>
          <cell r="AM70">
            <v>0</v>
          </cell>
          <cell r="AN70">
            <v>0</v>
          </cell>
          <cell r="AO70">
            <v>0</v>
          </cell>
          <cell r="AP70">
            <v>0</v>
          </cell>
          <cell r="AQ70">
            <v>0</v>
          </cell>
          <cell r="AR70">
            <v>0</v>
          </cell>
          <cell r="AS70">
            <v>0</v>
          </cell>
          <cell r="AT70">
            <v>0</v>
          </cell>
          <cell r="AU70">
            <v>0</v>
          </cell>
          <cell r="AV70">
            <v>0</v>
          </cell>
          <cell r="AW70">
            <v>0</v>
          </cell>
          <cell r="AX70">
            <v>0</v>
          </cell>
          <cell r="AY70">
            <v>0</v>
          </cell>
          <cell r="AZ70">
            <v>0</v>
          </cell>
          <cell r="BA70">
            <v>0</v>
          </cell>
          <cell r="BB70">
            <v>0</v>
          </cell>
          <cell r="BC70">
            <v>0</v>
          </cell>
          <cell r="BD70">
            <v>0</v>
          </cell>
          <cell r="BE70">
            <v>0</v>
          </cell>
          <cell r="BF70">
            <v>0</v>
          </cell>
          <cell r="BG70">
            <v>0</v>
          </cell>
          <cell r="BH70">
            <v>0</v>
          </cell>
          <cell r="BI70">
            <v>0</v>
          </cell>
          <cell r="BJ70">
            <v>0</v>
          </cell>
          <cell r="BK70">
            <v>0</v>
          </cell>
          <cell r="BL70">
            <v>0</v>
          </cell>
          <cell r="BM70">
            <v>0</v>
          </cell>
          <cell r="BN70">
            <v>0</v>
          </cell>
          <cell r="BO70">
            <v>0</v>
          </cell>
          <cell r="BP70">
            <v>0</v>
          </cell>
          <cell r="BQ70">
            <v>0</v>
          </cell>
          <cell r="BR70">
            <v>0</v>
          </cell>
          <cell r="BS70">
            <v>0</v>
          </cell>
          <cell r="BT70">
            <v>0</v>
          </cell>
          <cell r="BU70">
            <v>0</v>
          </cell>
          <cell r="BV70">
            <v>0</v>
          </cell>
          <cell r="BW70">
            <v>0</v>
          </cell>
          <cell r="BX70">
            <v>0</v>
          </cell>
          <cell r="BY70">
            <v>0</v>
          </cell>
          <cell r="BZ70">
            <v>0</v>
          </cell>
          <cell r="CA70">
            <v>0</v>
          </cell>
          <cell r="CB70">
            <v>0</v>
          </cell>
          <cell r="CC70">
            <v>0</v>
          </cell>
          <cell r="CD70">
            <v>0</v>
          </cell>
          <cell r="CE70">
            <v>0</v>
          </cell>
          <cell r="CF70">
            <v>0</v>
          </cell>
          <cell r="CG70">
            <v>0</v>
          </cell>
          <cell r="CH70">
            <v>0</v>
          </cell>
          <cell r="CI70">
            <v>0</v>
          </cell>
          <cell r="CJ70">
            <v>0</v>
          </cell>
          <cell r="CK70">
            <v>0</v>
          </cell>
          <cell r="CL70">
            <v>0</v>
          </cell>
          <cell r="CM70">
            <v>0</v>
          </cell>
          <cell r="CN70">
            <v>0</v>
          </cell>
          <cell r="CO70">
            <v>0</v>
          </cell>
          <cell r="CP70">
            <v>0</v>
          </cell>
          <cell r="CQ70">
            <v>0</v>
          </cell>
          <cell r="CR70">
            <v>0</v>
          </cell>
          <cell r="CS70">
            <v>0</v>
          </cell>
          <cell r="CT70">
            <v>0</v>
          </cell>
          <cell r="CU70">
            <v>0</v>
          </cell>
          <cell r="CV70">
            <v>0</v>
          </cell>
          <cell r="CW70">
            <v>0</v>
          </cell>
          <cell r="CX70">
            <v>0</v>
          </cell>
          <cell r="CY70">
            <v>0</v>
          </cell>
          <cell r="CZ70">
            <v>0</v>
          </cell>
          <cell r="DA70">
            <v>0</v>
          </cell>
          <cell r="DB70">
            <v>0</v>
          </cell>
          <cell r="DC70">
            <v>0</v>
          </cell>
          <cell r="DD70">
            <v>0</v>
          </cell>
          <cell r="DE70">
            <v>0</v>
          </cell>
          <cell r="DF70">
            <v>0</v>
          </cell>
          <cell r="DG70">
            <v>0</v>
          </cell>
          <cell r="DH70">
            <v>0</v>
          </cell>
          <cell r="DI70">
            <v>0</v>
          </cell>
          <cell r="DJ70">
            <v>0</v>
          </cell>
          <cell r="DK70">
            <v>0</v>
          </cell>
          <cell r="DL70">
            <v>0</v>
          </cell>
          <cell r="DM70">
            <v>0</v>
          </cell>
          <cell r="DN70">
            <v>0</v>
          </cell>
          <cell r="DO70">
            <v>0</v>
          </cell>
          <cell r="DP70">
            <v>0</v>
          </cell>
          <cell r="DQ70">
            <v>0</v>
          </cell>
          <cell r="DR70">
            <v>0</v>
          </cell>
          <cell r="DS70">
            <v>0</v>
          </cell>
          <cell r="DT70">
            <v>0</v>
          </cell>
          <cell r="DU70">
            <v>0</v>
          </cell>
          <cell r="DV70">
            <v>0</v>
          </cell>
          <cell r="DW70">
            <v>0</v>
          </cell>
          <cell r="DX70">
            <v>0</v>
          </cell>
          <cell r="DY70">
            <v>0</v>
          </cell>
          <cell r="DZ70">
            <v>0</v>
          </cell>
          <cell r="EA70">
            <v>0</v>
          </cell>
          <cell r="EB70">
            <v>0</v>
          </cell>
          <cell r="EC70">
            <v>0</v>
          </cell>
          <cell r="ED70">
            <v>0.05</v>
          </cell>
          <cell r="EE70">
            <v>0.09</v>
          </cell>
          <cell r="EF70">
            <v>0.08</v>
          </cell>
          <cell r="EG70">
            <v>0.17</v>
          </cell>
          <cell r="EH70">
            <v>1</v>
          </cell>
          <cell r="EI70">
            <v>1</v>
          </cell>
          <cell r="EJ70">
            <v>1</v>
          </cell>
          <cell r="EK70">
            <v>1</v>
          </cell>
          <cell r="EL70">
            <v>0.05</v>
          </cell>
          <cell r="EM70">
            <v>0.14000000000000001</v>
          </cell>
          <cell r="EN70">
            <v>0.11</v>
          </cell>
          <cell r="EO70">
            <v>0.2</v>
          </cell>
          <cell r="EP70">
            <v>0</v>
          </cell>
          <cell r="EQ70">
            <v>0</v>
          </cell>
          <cell r="ER70">
            <v>0</v>
          </cell>
          <cell r="ES70">
            <v>0</v>
          </cell>
          <cell r="ET70">
            <v>0</v>
          </cell>
          <cell r="EU70">
            <v>0</v>
          </cell>
          <cell r="EV70">
            <v>0</v>
          </cell>
          <cell r="EW70">
            <v>0</v>
          </cell>
          <cell r="EX70">
            <v>1</v>
          </cell>
          <cell r="EY70">
            <v>1</v>
          </cell>
          <cell r="EZ70">
            <v>1</v>
          </cell>
          <cell r="FA70">
            <v>0</v>
          </cell>
          <cell r="FB70">
            <v>0</v>
          </cell>
          <cell r="FC70">
            <v>0</v>
          </cell>
          <cell r="FD70">
            <v>0</v>
          </cell>
          <cell r="FE70">
            <v>0</v>
          </cell>
          <cell r="FF70">
            <v>0</v>
          </cell>
          <cell r="FG70">
            <v>0</v>
          </cell>
          <cell r="FH70">
            <v>0</v>
          </cell>
          <cell r="FI70">
            <v>0</v>
          </cell>
          <cell r="FJ70">
            <v>0</v>
          </cell>
          <cell r="FK70">
            <v>0</v>
          </cell>
          <cell r="FL70">
            <v>0</v>
          </cell>
          <cell r="FM70">
            <v>0</v>
          </cell>
          <cell r="FN70">
            <v>0</v>
          </cell>
          <cell r="FO70">
            <v>0</v>
          </cell>
          <cell r="FP70">
            <v>0</v>
          </cell>
          <cell r="FQ70">
            <v>0</v>
          </cell>
          <cell r="FR70">
            <v>0</v>
          </cell>
          <cell r="FS70">
            <v>0</v>
          </cell>
          <cell r="FT70">
            <v>0</v>
          </cell>
          <cell r="FU70">
            <v>0</v>
          </cell>
          <cell r="FV70">
            <v>0</v>
          </cell>
          <cell r="FW70">
            <v>0</v>
          </cell>
          <cell r="FX70">
            <v>0</v>
          </cell>
          <cell r="FY70">
            <v>0</v>
          </cell>
          <cell r="FZ70">
            <v>0</v>
          </cell>
        </row>
        <row r="71">
          <cell r="B71">
            <v>0.1</v>
          </cell>
          <cell r="C71">
            <v>0.08</v>
          </cell>
          <cell r="D71">
            <v>0.15</v>
          </cell>
          <cell r="E71">
            <v>0.08</v>
          </cell>
          <cell r="F71">
            <v>0.15</v>
          </cell>
          <cell r="G71">
            <v>0.22</v>
          </cell>
          <cell r="H71">
            <v>7.0000000000000007E-2</v>
          </cell>
          <cell r="I71">
            <v>0.05</v>
          </cell>
          <cell r="J71">
            <v>0.13</v>
          </cell>
          <cell r="K71">
            <v>0.18</v>
          </cell>
          <cell r="L71">
            <v>0.17</v>
          </cell>
          <cell r="M71">
            <v>0.16</v>
          </cell>
          <cell r="N71">
            <v>0.8</v>
          </cell>
          <cell r="O71">
            <v>1</v>
          </cell>
          <cell r="P71">
            <v>1</v>
          </cell>
          <cell r="Q71">
            <v>0.8</v>
          </cell>
          <cell r="R71">
            <v>0.8</v>
          </cell>
          <cell r="S71">
            <v>1</v>
          </cell>
          <cell r="T71">
            <v>1</v>
          </cell>
          <cell r="U71">
            <v>1</v>
          </cell>
          <cell r="V71">
            <v>1</v>
          </cell>
          <cell r="W71">
            <v>1</v>
          </cell>
          <cell r="X71">
            <v>1</v>
          </cell>
          <cell r="Y71">
            <v>1</v>
          </cell>
          <cell r="Z71">
            <v>0.1</v>
          </cell>
          <cell r="AA71">
            <v>0.1</v>
          </cell>
          <cell r="AB71">
            <v>0.14000000000000001</v>
          </cell>
          <cell r="AC71">
            <v>0.11</v>
          </cell>
          <cell r="AD71">
            <v>0.11</v>
          </cell>
          <cell r="AE71">
            <v>0.19</v>
          </cell>
          <cell r="AF71">
            <v>0.09</v>
          </cell>
          <cell r="AG71">
            <v>0.11</v>
          </cell>
          <cell r="AH71">
            <v>0.15</v>
          </cell>
          <cell r="AI71">
            <v>0.2</v>
          </cell>
          <cell r="AJ71">
            <v>0.2</v>
          </cell>
          <cell r="AK71">
            <v>0.2</v>
          </cell>
          <cell r="AL71">
            <v>0</v>
          </cell>
          <cell r="AM71">
            <v>0</v>
          </cell>
          <cell r="AN71">
            <v>0</v>
          </cell>
          <cell r="AO71">
            <v>0</v>
          </cell>
          <cell r="AP71">
            <v>0</v>
          </cell>
          <cell r="AQ71">
            <v>0</v>
          </cell>
          <cell r="AR71">
            <v>0</v>
          </cell>
          <cell r="AS71">
            <v>0</v>
          </cell>
          <cell r="AT71">
            <v>0</v>
          </cell>
          <cell r="AU71">
            <v>0</v>
          </cell>
          <cell r="AV71">
            <v>0</v>
          </cell>
          <cell r="AW71">
            <v>0</v>
          </cell>
          <cell r="AX71">
            <v>0</v>
          </cell>
          <cell r="AY71">
            <v>0</v>
          </cell>
          <cell r="AZ71">
            <v>0</v>
          </cell>
          <cell r="BA71">
            <v>0</v>
          </cell>
          <cell r="BB71">
            <v>0</v>
          </cell>
          <cell r="BC71">
            <v>0</v>
          </cell>
          <cell r="BD71">
            <v>0</v>
          </cell>
          <cell r="BE71">
            <v>0</v>
          </cell>
          <cell r="BF71">
            <v>0</v>
          </cell>
          <cell r="BG71">
            <v>0</v>
          </cell>
          <cell r="BH71">
            <v>0</v>
          </cell>
          <cell r="BI71">
            <v>0</v>
          </cell>
          <cell r="BJ71">
            <v>0</v>
          </cell>
          <cell r="BK71">
            <v>0</v>
          </cell>
          <cell r="BL71">
            <v>0</v>
          </cell>
          <cell r="BM71">
            <v>0</v>
          </cell>
          <cell r="BN71">
            <v>0</v>
          </cell>
          <cell r="BO71">
            <v>0</v>
          </cell>
          <cell r="BP71">
            <v>0</v>
          </cell>
          <cell r="BQ71">
            <v>0</v>
          </cell>
          <cell r="BR71">
            <v>0</v>
          </cell>
          <cell r="BS71">
            <v>0</v>
          </cell>
          <cell r="BT71">
            <v>0</v>
          </cell>
          <cell r="BU71">
            <v>0</v>
          </cell>
          <cell r="BV71">
            <v>0</v>
          </cell>
          <cell r="BW71">
            <v>0</v>
          </cell>
          <cell r="BX71">
            <v>0</v>
          </cell>
          <cell r="BY71">
            <v>0</v>
          </cell>
          <cell r="BZ71">
            <v>0</v>
          </cell>
          <cell r="CA71">
            <v>0</v>
          </cell>
          <cell r="CB71">
            <v>0</v>
          </cell>
          <cell r="CC71">
            <v>0</v>
          </cell>
          <cell r="CD71">
            <v>0</v>
          </cell>
          <cell r="CE71">
            <v>0</v>
          </cell>
          <cell r="CF71">
            <v>0</v>
          </cell>
          <cell r="CG71">
            <v>0</v>
          </cell>
          <cell r="CH71">
            <v>0</v>
          </cell>
          <cell r="CI71">
            <v>0</v>
          </cell>
          <cell r="CJ71">
            <v>0</v>
          </cell>
          <cell r="CK71">
            <v>0</v>
          </cell>
          <cell r="CL71">
            <v>0</v>
          </cell>
          <cell r="CM71">
            <v>0</v>
          </cell>
          <cell r="CN71">
            <v>0</v>
          </cell>
          <cell r="CO71">
            <v>0</v>
          </cell>
          <cell r="CP71">
            <v>0</v>
          </cell>
          <cell r="CQ71">
            <v>0</v>
          </cell>
          <cell r="CR71">
            <v>0</v>
          </cell>
          <cell r="CS71">
            <v>0</v>
          </cell>
          <cell r="CT71">
            <v>0</v>
          </cell>
          <cell r="CU71">
            <v>0</v>
          </cell>
          <cell r="CV71">
            <v>0</v>
          </cell>
          <cell r="CW71">
            <v>0</v>
          </cell>
          <cell r="CX71">
            <v>0</v>
          </cell>
          <cell r="CY71">
            <v>0</v>
          </cell>
          <cell r="CZ71">
            <v>0</v>
          </cell>
          <cell r="DA71">
            <v>0</v>
          </cell>
          <cell r="DB71">
            <v>0</v>
          </cell>
          <cell r="DC71">
            <v>0</v>
          </cell>
          <cell r="DD71">
            <v>0</v>
          </cell>
          <cell r="DE71">
            <v>0</v>
          </cell>
          <cell r="DF71">
            <v>0</v>
          </cell>
          <cell r="DG71">
            <v>0</v>
          </cell>
          <cell r="DH71">
            <v>0</v>
          </cell>
          <cell r="DI71">
            <v>0</v>
          </cell>
          <cell r="DJ71">
            <v>0</v>
          </cell>
          <cell r="DK71">
            <v>0</v>
          </cell>
          <cell r="DL71">
            <v>0</v>
          </cell>
          <cell r="DM71">
            <v>0</v>
          </cell>
          <cell r="DN71">
            <v>0</v>
          </cell>
          <cell r="DO71">
            <v>0</v>
          </cell>
          <cell r="DP71">
            <v>0</v>
          </cell>
          <cell r="DQ71">
            <v>0</v>
          </cell>
          <cell r="DR71">
            <v>0</v>
          </cell>
          <cell r="DS71">
            <v>0</v>
          </cell>
          <cell r="DT71">
            <v>0</v>
          </cell>
          <cell r="DU71">
            <v>0</v>
          </cell>
          <cell r="DV71">
            <v>0</v>
          </cell>
          <cell r="DW71">
            <v>0</v>
          </cell>
          <cell r="DX71">
            <v>0</v>
          </cell>
          <cell r="DY71">
            <v>0</v>
          </cell>
          <cell r="DZ71">
            <v>0</v>
          </cell>
          <cell r="EA71">
            <v>0</v>
          </cell>
          <cell r="EB71">
            <v>0</v>
          </cell>
          <cell r="EC71">
            <v>0</v>
          </cell>
          <cell r="ED71">
            <v>0.05</v>
          </cell>
          <cell r="EE71">
            <v>0.09</v>
          </cell>
          <cell r="EF71">
            <v>0.08</v>
          </cell>
          <cell r="EG71">
            <v>0.17</v>
          </cell>
          <cell r="EH71">
            <v>1</v>
          </cell>
          <cell r="EI71">
            <v>1</v>
          </cell>
          <cell r="EJ71">
            <v>1</v>
          </cell>
          <cell r="EK71">
            <v>1</v>
          </cell>
          <cell r="EL71">
            <v>0.05</v>
          </cell>
          <cell r="EM71">
            <v>0.14000000000000001</v>
          </cell>
          <cell r="EN71">
            <v>0.11</v>
          </cell>
          <cell r="EO71">
            <v>0.2</v>
          </cell>
          <cell r="EP71">
            <v>0</v>
          </cell>
          <cell r="EQ71">
            <v>0</v>
          </cell>
          <cell r="ER71">
            <v>0</v>
          </cell>
          <cell r="ES71">
            <v>0</v>
          </cell>
          <cell r="ET71">
            <v>0</v>
          </cell>
          <cell r="EU71">
            <v>0</v>
          </cell>
          <cell r="EV71">
            <v>0</v>
          </cell>
          <cell r="EW71">
            <v>0</v>
          </cell>
          <cell r="EX71">
            <v>1</v>
          </cell>
          <cell r="EY71">
            <v>1</v>
          </cell>
          <cell r="EZ71">
            <v>1</v>
          </cell>
          <cell r="FA71">
            <v>0</v>
          </cell>
          <cell r="FB71">
            <v>0</v>
          </cell>
          <cell r="FC71">
            <v>0</v>
          </cell>
          <cell r="FD71">
            <v>0</v>
          </cell>
          <cell r="FE71">
            <v>0</v>
          </cell>
          <cell r="FF71">
            <v>0</v>
          </cell>
          <cell r="FG71">
            <v>0</v>
          </cell>
          <cell r="FH71">
            <v>0</v>
          </cell>
          <cell r="FI71">
            <v>0</v>
          </cell>
          <cell r="FJ71">
            <v>0</v>
          </cell>
          <cell r="FK71">
            <v>0</v>
          </cell>
          <cell r="FL71">
            <v>0</v>
          </cell>
          <cell r="FM71">
            <v>0</v>
          </cell>
          <cell r="FN71">
            <v>0</v>
          </cell>
          <cell r="FO71">
            <v>0</v>
          </cell>
          <cell r="FP71">
            <v>0</v>
          </cell>
          <cell r="FQ71">
            <v>0</v>
          </cell>
          <cell r="FR71">
            <v>0</v>
          </cell>
          <cell r="FS71">
            <v>0</v>
          </cell>
          <cell r="FT71">
            <v>0</v>
          </cell>
          <cell r="FU71">
            <v>0</v>
          </cell>
          <cell r="FV71">
            <v>0</v>
          </cell>
          <cell r="FW71">
            <v>0</v>
          </cell>
          <cell r="FX71">
            <v>0</v>
          </cell>
          <cell r="FY71">
            <v>0</v>
          </cell>
          <cell r="FZ71">
            <v>0</v>
          </cell>
        </row>
        <row r="72">
          <cell r="B72">
            <v>0.1</v>
          </cell>
          <cell r="C72">
            <v>0.08</v>
          </cell>
          <cell r="D72">
            <v>0.15</v>
          </cell>
          <cell r="E72">
            <v>0.08</v>
          </cell>
          <cell r="F72">
            <v>0.15</v>
          </cell>
          <cell r="G72">
            <v>0.22</v>
          </cell>
          <cell r="H72">
            <v>7.0000000000000007E-2</v>
          </cell>
          <cell r="I72">
            <v>0.05</v>
          </cell>
          <cell r="J72">
            <v>0.13</v>
          </cell>
          <cell r="K72">
            <v>0.18</v>
          </cell>
          <cell r="L72">
            <v>0.17</v>
          </cell>
          <cell r="M72">
            <v>0.16</v>
          </cell>
          <cell r="N72">
            <v>0.8</v>
          </cell>
          <cell r="O72">
            <v>1</v>
          </cell>
          <cell r="P72">
            <v>1</v>
          </cell>
          <cell r="Q72">
            <v>0.8</v>
          </cell>
          <cell r="R72">
            <v>0.8</v>
          </cell>
          <cell r="S72">
            <v>1</v>
          </cell>
          <cell r="T72">
            <v>1</v>
          </cell>
          <cell r="U72">
            <v>1</v>
          </cell>
          <cell r="V72">
            <v>1</v>
          </cell>
          <cell r="W72">
            <v>1</v>
          </cell>
          <cell r="X72">
            <v>1</v>
          </cell>
          <cell r="Y72">
            <v>1</v>
          </cell>
          <cell r="Z72">
            <v>0.1</v>
          </cell>
          <cell r="AA72">
            <v>0.1</v>
          </cell>
          <cell r="AB72">
            <v>0.14000000000000001</v>
          </cell>
          <cell r="AC72">
            <v>0.11</v>
          </cell>
          <cell r="AD72">
            <v>0.11</v>
          </cell>
          <cell r="AE72">
            <v>0.19</v>
          </cell>
          <cell r="AF72">
            <v>0.09</v>
          </cell>
          <cell r="AG72">
            <v>0.11</v>
          </cell>
          <cell r="AH72">
            <v>0.15</v>
          </cell>
          <cell r="AI72">
            <v>0.2</v>
          </cell>
          <cell r="AJ72">
            <v>0.2</v>
          </cell>
          <cell r="AK72">
            <v>0.2</v>
          </cell>
          <cell r="AL72">
            <v>0</v>
          </cell>
          <cell r="AM72">
            <v>0</v>
          </cell>
          <cell r="AN72">
            <v>0</v>
          </cell>
          <cell r="AO72">
            <v>0</v>
          </cell>
          <cell r="AP72">
            <v>0</v>
          </cell>
          <cell r="AQ72">
            <v>0</v>
          </cell>
          <cell r="AR72">
            <v>0</v>
          </cell>
          <cell r="AS72">
            <v>0</v>
          </cell>
          <cell r="AT72">
            <v>0</v>
          </cell>
          <cell r="AU72">
            <v>0</v>
          </cell>
          <cell r="AV72">
            <v>0</v>
          </cell>
          <cell r="AW72">
            <v>0</v>
          </cell>
          <cell r="AX72">
            <v>0</v>
          </cell>
          <cell r="AY72">
            <v>0</v>
          </cell>
          <cell r="AZ72">
            <v>0</v>
          </cell>
          <cell r="BA72">
            <v>0</v>
          </cell>
          <cell r="BB72">
            <v>0</v>
          </cell>
          <cell r="BC72">
            <v>0</v>
          </cell>
          <cell r="BD72">
            <v>0</v>
          </cell>
          <cell r="BE72">
            <v>0</v>
          </cell>
          <cell r="BF72">
            <v>0</v>
          </cell>
          <cell r="BG72">
            <v>0</v>
          </cell>
          <cell r="BH72">
            <v>0</v>
          </cell>
          <cell r="BI72">
            <v>0</v>
          </cell>
          <cell r="BJ72">
            <v>0</v>
          </cell>
          <cell r="BK72">
            <v>0</v>
          </cell>
          <cell r="BL72">
            <v>0</v>
          </cell>
          <cell r="BM72">
            <v>0</v>
          </cell>
          <cell r="BN72">
            <v>0</v>
          </cell>
          <cell r="BO72">
            <v>0</v>
          </cell>
          <cell r="BP72">
            <v>0</v>
          </cell>
          <cell r="BQ72">
            <v>0</v>
          </cell>
          <cell r="BR72">
            <v>0</v>
          </cell>
          <cell r="BS72">
            <v>0</v>
          </cell>
          <cell r="BT72">
            <v>0</v>
          </cell>
          <cell r="BU72">
            <v>0</v>
          </cell>
          <cell r="BV72">
            <v>0</v>
          </cell>
          <cell r="BW72">
            <v>0</v>
          </cell>
          <cell r="BX72">
            <v>0</v>
          </cell>
          <cell r="BY72">
            <v>0</v>
          </cell>
          <cell r="BZ72">
            <v>0</v>
          </cell>
          <cell r="CA72">
            <v>0</v>
          </cell>
          <cell r="CB72">
            <v>0</v>
          </cell>
          <cell r="CC72">
            <v>0</v>
          </cell>
          <cell r="CD72">
            <v>0</v>
          </cell>
          <cell r="CE72">
            <v>0</v>
          </cell>
          <cell r="CF72">
            <v>0</v>
          </cell>
          <cell r="CG72">
            <v>0</v>
          </cell>
          <cell r="CH72">
            <v>0</v>
          </cell>
          <cell r="CI72">
            <v>0</v>
          </cell>
          <cell r="CJ72">
            <v>0</v>
          </cell>
          <cell r="CK72">
            <v>0</v>
          </cell>
          <cell r="CL72">
            <v>0</v>
          </cell>
          <cell r="CM72">
            <v>0</v>
          </cell>
          <cell r="CN72">
            <v>0</v>
          </cell>
          <cell r="CO72">
            <v>0</v>
          </cell>
          <cell r="CP72">
            <v>0</v>
          </cell>
          <cell r="CQ72">
            <v>0</v>
          </cell>
          <cell r="CR72">
            <v>0</v>
          </cell>
          <cell r="CS72">
            <v>0</v>
          </cell>
          <cell r="CT72">
            <v>0</v>
          </cell>
          <cell r="CU72">
            <v>0</v>
          </cell>
          <cell r="CV72">
            <v>0</v>
          </cell>
          <cell r="CW72">
            <v>0</v>
          </cell>
          <cell r="CX72">
            <v>0</v>
          </cell>
          <cell r="CY72">
            <v>0</v>
          </cell>
          <cell r="CZ72">
            <v>0</v>
          </cell>
          <cell r="DA72">
            <v>0</v>
          </cell>
          <cell r="DB72">
            <v>0</v>
          </cell>
          <cell r="DC72">
            <v>0</v>
          </cell>
          <cell r="DD72">
            <v>0</v>
          </cell>
          <cell r="DE72">
            <v>0</v>
          </cell>
          <cell r="DF72">
            <v>0</v>
          </cell>
          <cell r="DG72">
            <v>0</v>
          </cell>
          <cell r="DH72">
            <v>0</v>
          </cell>
          <cell r="DI72">
            <v>0</v>
          </cell>
          <cell r="DJ72">
            <v>0</v>
          </cell>
          <cell r="DK72">
            <v>0</v>
          </cell>
          <cell r="DL72">
            <v>0</v>
          </cell>
          <cell r="DM72">
            <v>0</v>
          </cell>
          <cell r="DN72">
            <v>0</v>
          </cell>
          <cell r="DO72">
            <v>0</v>
          </cell>
          <cell r="DP72">
            <v>0</v>
          </cell>
          <cell r="DQ72">
            <v>0</v>
          </cell>
          <cell r="DR72">
            <v>0</v>
          </cell>
          <cell r="DS72">
            <v>0</v>
          </cell>
          <cell r="DT72">
            <v>0</v>
          </cell>
          <cell r="DU72">
            <v>0</v>
          </cell>
          <cell r="DV72">
            <v>0</v>
          </cell>
          <cell r="DW72">
            <v>0</v>
          </cell>
          <cell r="DX72">
            <v>0</v>
          </cell>
          <cell r="DY72">
            <v>0</v>
          </cell>
          <cell r="DZ72">
            <v>0</v>
          </cell>
          <cell r="EA72">
            <v>0</v>
          </cell>
          <cell r="EB72">
            <v>0</v>
          </cell>
          <cell r="EC72">
            <v>0</v>
          </cell>
          <cell r="ED72">
            <v>0.05</v>
          </cell>
          <cell r="EE72">
            <v>0.09</v>
          </cell>
          <cell r="EF72">
            <v>0.08</v>
          </cell>
          <cell r="EG72">
            <v>0.17</v>
          </cell>
          <cell r="EH72">
            <v>1</v>
          </cell>
          <cell r="EI72">
            <v>1</v>
          </cell>
          <cell r="EJ72">
            <v>1</v>
          </cell>
          <cell r="EK72">
            <v>1</v>
          </cell>
          <cell r="EL72">
            <v>0.05</v>
          </cell>
          <cell r="EM72">
            <v>0.14000000000000001</v>
          </cell>
          <cell r="EN72">
            <v>0.11</v>
          </cell>
          <cell r="EO72">
            <v>0.2</v>
          </cell>
          <cell r="EP72">
            <v>0</v>
          </cell>
          <cell r="EQ72">
            <v>0</v>
          </cell>
          <cell r="ER72">
            <v>0</v>
          </cell>
          <cell r="ES72">
            <v>0</v>
          </cell>
          <cell r="ET72">
            <v>0</v>
          </cell>
          <cell r="EU72">
            <v>0</v>
          </cell>
          <cell r="EV72">
            <v>0</v>
          </cell>
          <cell r="EW72">
            <v>0</v>
          </cell>
          <cell r="EX72">
            <v>1</v>
          </cell>
          <cell r="EY72">
            <v>1</v>
          </cell>
          <cell r="EZ72">
            <v>1</v>
          </cell>
          <cell r="FA72">
            <v>0</v>
          </cell>
          <cell r="FB72">
            <v>0</v>
          </cell>
          <cell r="FC72">
            <v>0</v>
          </cell>
          <cell r="FD72">
            <v>0</v>
          </cell>
          <cell r="FE72">
            <v>0</v>
          </cell>
          <cell r="FF72">
            <v>0</v>
          </cell>
          <cell r="FG72">
            <v>0</v>
          </cell>
          <cell r="FH72">
            <v>0</v>
          </cell>
          <cell r="FI72">
            <v>0</v>
          </cell>
          <cell r="FJ72">
            <v>0</v>
          </cell>
          <cell r="FK72">
            <v>0</v>
          </cell>
          <cell r="FL72">
            <v>0</v>
          </cell>
          <cell r="FM72">
            <v>0</v>
          </cell>
          <cell r="FN72">
            <v>0</v>
          </cell>
          <cell r="FO72">
            <v>0</v>
          </cell>
          <cell r="FP72">
            <v>0</v>
          </cell>
          <cell r="FQ72">
            <v>0</v>
          </cell>
          <cell r="FR72">
            <v>0</v>
          </cell>
          <cell r="FS72">
            <v>0</v>
          </cell>
          <cell r="FT72">
            <v>0</v>
          </cell>
          <cell r="FU72">
            <v>0</v>
          </cell>
          <cell r="FV72">
            <v>0</v>
          </cell>
          <cell r="FW72">
            <v>0</v>
          </cell>
          <cell r="FX72">
            <v>0</v>
          </cell>
          <cell r="FY72">
            <v>0</v>
          </cell>
          <cell r="FZ72">
            <v>0</v>
          </cell>
        </row>
        <row r="73">
          <cell r="B73">
            <v>0.1</v>
          </cell>
          <cell r="C73">
            <v>0.08</v>
          </cell>
          <cell r="D73">
            <v>0.15</v>
          </cell>
          <cell r="E73">
            <v>0.08</v>
          </cell>
          <cell r="F73">
            <v>0.15</v>
          </cell>
          <cell r="G73">
            <v>0.22</v>
          </cell>
          <cell r="H73">
            <v>7.0000000000000007E-2</v>
          </cell>
          <cell r="I73">
            <v>0.05</v>
          </cell>
          <cell r="J73">
            <v>0.13</v>
          </cell>
          <cell r="K73">
            <v>0.18</v>
          </cell>
          <cell r="L73">
            <v>0.17</v>
          </cell>
          <cell r="M73">
            <v>0.16</v>
          </cell>
          <cell r="N73">
            <v>0.8</v>
          </cell>
          <cell r="O73">
            <v>1</v>
          </cell>
          <cell r="P73">
            <v>1</v>
          </cell>
          <cell r="Q73">
            <v>0.8</v>
          </cell>
          <cell r="R73">
            <v>0.8</v>
          </cell>
          <cell r="S73">
            <v>1</v>
          </cell>
          <cell r="T73">
            <v>1</v>
          </cell>
          <cell r="U73">
            <v>1</v>
          </cell>
          <cell r="V73">
            <v>1</v>
          </cell>
          <cell r="W73">
            <v>1</v>
          </cell>
          <cell r="X73">
            <v>1</v>
          </cell>
          <cell r="Y73">
            <v>1</v>
          </cell>
          <cell r="Z73">
            <v>0.1</v>
          </cell>
          <cell r="AA73">
            <v>0.1</v>
          </cell>
          <cell r="AB73">
            <v>0.14000000000000001</v>
          </cell>
          <cell r="AC73">
            <v>0.11</v>
          </cell>
          <cell r="AD73">
            <v>0.11</v>
          </cell>
          <cell r="AE73">
            <v>0.19</v>
          </cell>
          <cell r="AF73">
            <v>0.09</v>
          </cell>
          <cell r="AG73">
            <v>0.11</v>
          </cell>
          <cell r="AH73">
            <v>0.15</v>
          </cell>
          <cell r="AI73">
            <v>0.2</v>
          </cell>
          <cell r="AJ73">
            <v>0.2</v>
          </cell>
          <cell r="AK73">
            <v>0.2</v>
          </cell>
          <cell r="AL73">
            <v>0</v>
          </cell>
          <cell r="AM73">
            <v>0</v>
          </cell>
          <cell r="AN73">
            <v>0</v>
          </cell>
          <cell r="AO73">
            <v>0</v>
          </cell>
          <cell r="AP73">
            <v>0</v>
          </cell>
          <cell r="AQ73">
            <v>0</v>
          </cell>
          <cell r="AR73">
            <v>0</v>
          </cell>
          <cell r="AS73">
            <v>0</v>
          </cell>
          <cell r="AT73">
            <v>0</v>
          </cell>
          <cell r="AU73">
            <v>0</v>
          </cell>
          <cell r="AV73">
            <v>0</v>
          </cell>
          <cell r="AW73">
            <v>0</v>
          </cell>
          <cell r="AX73">
            <v>0</v>
          </cell>
          <cell r="AY73">
            <v>0</v>
          </cell>
          <cell r="AZ73">
            <v>0</v>
          </cell>
          <cell r="BA73">
            <v>0</v>
          </cell>
          <cell r="BB73">
            <v>0</v>
          </cell>
          <cell r="BC73">
            <v>0</v>
          </cell>
          <cell r="BD73">
            <v>0</v>
          </cell>
          <cell r="BE73">
            <v>0</v>
          </cell>
          <cell r="BF73">
            <v>0</v>
          </cell>
          <cell r="BG73">
            <v>0</v>
          </cell>
          <cell r="BH73">
            <v>0</v>
          </cell>
          <cell r="BI73">
            <v>0</v>
          </cell>
          <cell r="BJ73">
            <v>0</v>
          </cell>
          <cell r="BK73">
            <v>0</v>
          </cell>
          <cell r="BL73">
            <v>0</v>
          </cell>
          <cell r="BM73">
            <v>0</v>
          </cell>
          <cell r="BN73">
            <v>0</v>
          </cell>
          <cell r="BO73">
            <v>0</v>
          </cell>
          <cell r="BP73">
            <v>0</v>
          </cell>
          <cell r="BQ73">
            <v>0</v>
          </cell>
          <cell r="BR73">
            <v>0</v>
          </cell>
          <cell r="BS73">
            <v>0</v>
          </cell>
          <cell r="BT73">
            <v>0</v>
          </cell>
          <cell r="BU73">
            <v>0</v>
          </cell>
          <cell r="BV73">
            <v>0</v>
          </cell>
          <cell r="BW73">
            <v>0</v>
          </cell>
          <cell r="BX73">
            <v>0</v>
          </cell>
          <cell r="BY73">
            <v>0</v>
          </cell>
          <cell r="BZ73">
            <v>0</v>
          </cell>
          <cell r="CA73">
            <v>0</v>
          </cell>
          <cell r="CB73">
            <v>0</v>
          </cell>
          <cell r="CC73">
            <v>0</v>
          </cell>
          <cell r="CD73">
            <v>0</v>
          </cell>
          <cell r="CE73">
            <v>0</v>
          </cell>
          <cell r="CF73">
            <v>0</v>
          </cell>
          <cell r="CG73">
            <v>0</v>
          </cell>
          <cell r="CH73">
            <v>0</v>
          </cell>
          <cell r="CI73">
            <v>0</v>
          </cell>
          <cell r="CJ73">
            <v>0</v>
          </cell>
          <cell r="CK73">
            <v>0</v>
          </cell>
          <cell r="CL73">
            <v>0</v>
          </cell>
          <cell r="CM73">
            <v>0</v>
          </cell>
          <cell r="CN73">
            <v>0</v>
          </cell>
          <cell r="CO73">
            <v>0</v>
          </cell>
          <cell r="CP73">
            <v>0</v>
          </cell>
          <cell r="CQ73">
            <v>0</v>
          </cell>
          <cell r="CR73">
            <v>0</v>
          </cell>
          <cell r="CS73">
            <v>0</v>
          </cell>
          <cell r="CT73">
            <v>0</v>
          </cell>
          <cell r="CU73">
            <v>0</v>
          </cell>
          <cell r="CV73">
            <v>0</v>
          </cell>
          <cell r="CW73">
            <v>0</v>
          </cell>
          <cell r="CX73">
            <v>0</v>
          </cell>
          <cell r="CY73">
            <v>0</v>
          </cell>
          <cell r="CZ73">
            <v>0</v>
          </cell>
          <cell r="DA73">
            <v>0</v>
          </cell>
          <cell r="DB73">
            <v>0</v>
          </cell>
          <cell r="DC73">
            <v>0</v>
          </cell>
          <cell r="DD73">
            <v>0</v>
          </cell>
          <cell r="DE73">
            <v>0</v>
          </cell>
          <cell r="DF73">
            <v>0</v>
          </cell>
          <cell r="DG73">
            <v>0</v>
          </cell>
          <cell r="DH73">
            <v>0</v>
          </cell>
          <cell r="DI73">
            <v>0</v>
          </cell>
          <cell r="DJ73">
            <v>0</v>
          </cell>
          <cell r="DK73">
            <v>0</v>
          </cell>
          <cell r="DL73">
            <v>0</v>
          </cell>
          <cell r="DM73">
            <v>0</v>
          </cell>
          <cell r="DN73">
            <v>0</v>
          </cell>
          <cell r="DO73">
            <v>0</v>
          </cell>
          <cell r="DP73">
            <v>0</v>
          </cell>
          <cell r="DQ73">
            <v>0</v>
          </cell>
          <cell r="DR73">
            <v>0</v>
          </cell>
          <cell r="DS73">
            <v>0</v>
          </cell>
          <cell r="DT73">
            <v>0</v>
          </cell>
          <cell r="DU73">
            <v>0</v>
          </cell>
          <cell r="DV73">
            <v>0</v>
          </cell>
          <cell r="DW73">
            <v>0</v>
          </cell>
          <cell r="DX73">
            <v>0</v>
          </cell>
          <cell r="DY73">
            <v>0</v>
          </cell>
          <cell r="DZ73">
            <v>0</v>
          </cell>
          <cell r="EA73">
            <v>0</v>
          </cell>
          <cell r="EB73">
            <v>0</v>
          </cell>
          <cell r="EC73">
            <v>0</v>
          </cell>
          <cell r="ED73">
            <v>0.05</v>
          </cell>
          <cell r="EE73">
            <v>0.09</v>
          </cell>
          <cell r="EF73">
            <v>0.08</v>
          </cell>
          <cell r="EG73">
            <v>0.17</v>
          </cell>
          <cell r="EH73">
            <v>1</v>
          </cell>
          <cell r="EI73">
            <v>1</v>
          </cell>
          <cell r="EJ73">
            <v>1</v>
          </cell>
          <cell r="EK73">
            <v>1</v>
          </cell>
          <cell r="EL73">
            <v>0.05</v>
          </cell>
          <cell r="EM73">
            <v>0.14000000000000001</v>
          </cell>
          <cell r="EN73">
            <v>0.11</v>
          </cell>
          <cell r="EO73">
            <v>0.2</v>
          </cell>
          <cell r="EP73">
            <v>0</v>
          </cell>
          <cell r="EQ73">
            <v>0</v>
          </cell>
          <cell r="ER73">
            <v>0</v>
          </cell>
          <cell r="ES73">
            <v>0</v>
          </cell>
          <cell r="ET73">
            <v>0</v>
          </cell>
          <cell r="EU73">
            <v>0</v>
          </cell>
          <cell r="EV73">
            <v>0</v>
          </cell>
          <cell r="EW73">
            <v>0</v>
          </cell>
          <cell r="EX73">
            <v>1</v>
          </cell>
          <cell r="EY73">
            <v>1</v>
          </cell>
          <cell r="EZ73">
            <v>1</v>
          </cell>
          <cell r="FA73">
            <v>0</v>
          </cell>
          <cell r="FB73">
            <v>0</v>
          </cell>
          <cell r="FC73">
            <v>0</v>
          </cell>
          <cell r="FD73">
            <v>0</v>
          </cell>
          <cell r="FE73">
            <v>0</v>
          </cell>
          <cell r="FF73">
            <v>0</v>
          </cell>
          <cell r="FG73">
            <v>0</v>
          </cell>
          <cell r="FH73">
            <v>0</v>
          </cell>
          <cell r="FI73">
            <v>0</v>
          </cell>
          <cell r="FJ73">
            <v>0</v>
          </cell>
          <cell r="FK73">
            <v>0</v>
          </cell>
          <cell r="FL73">
            <v>0</v>
          </cell>
          <cell r="FM73">
            <v>0</v>
          </cell>
          <cell r="FN73">
            <v>0</v>
          </cell>
          <cell r="FO73">
            <v>0</v>
          </cell>
          <cell r="FP73">
            <v>0</v>
          </cell>
          <cell r="FQ73">
            <v>0</v>
          </cell>
          <cell r="FR73">
            <v>0</v>
          </cell>
          <cell r="FS73">
            <v>0</v>
          </cell>
          <cell r="FT73">
            <v>0</v>
          </cell>
          <cell r="FU73">
            <v>0</v>
          </cell>
          <cell r="FV73">
            <v>0</v>
          </cell>
          <cell r="FW73">
            <v>0</v>
          </cell>
          <cell r="FX73">
            <v>0</v>
          </cell>
          <cell r="FY73">
            <v>0</v>
          </cell>
          <cell r="FZ73">
            <v>0</v>
          </cell>
        </row>
        <row r="74">
          <cell r="B74">
            <v>0.1</v>
          </cell>
          <cell r="C74">
            <v>0.08</v>
          </cell>
          <cell r="D74">
            <v>0.15</v>
          </cell>
          <cell r="E74">
            <v>0.08</v>
          </cell>
          <cell r="F74">
            <v>0.15</v>
          </cell>
          <cell r="G74">
            <v>0.22</v>
          </cell>
          <cell r="H74">
            <v>7.0000000000000007E-2</v>
          </cell>
          <cell r="I74">
            <v>0.05</v>
          </cell>
          <cell r="J74">
            <v>0.13</v>
          </cell>
          <cell r="K74">
            <v>0.18</v>
          </cell>
          <cell r="L74">
            <v>0.17</v>
          </cell>
          <cell r="M74">
            <v>0.16</v>
          </cell>
          <cell r="N74">
            <v>0.8</v>
          </cell>
          <cell r="O74">
            <v>1</v>
          </cell>
          <cell r="P74">
            <v>1</v>
          </cell>
          <cell r="Q74">
            <v>0.8</v>
          </cell>
          <cell r="R74">
            <v>0.8</v>
          </cell>
          <cell r="S74">
            <v>1</v>
          </cell>
          <cell r="T74">
            <v>1</v>
          </cell>
          <cell r="U74">
            <v>1</v>
          </cell>
          <cell r="V74">
            <v>1</v>
          </cell>
          <cell r="W74">
            <v>1</v>
          </cell>
          <cell r="X74">
            <v>1</v>
          </cell>
          <cell r="Y74">
            <v>1</v>
          </cell>
          <cell r="Z74">
            <v>0.1</v>
          </cell>
          <cell r="AA74">
            <v>0.1</v>
          </cell>
          <cell r="AB74">
            <v>0.14000000000000001</v>
          </cell>
          <cell r="AC74">
            <v>0.11</v>
          </cell>
          <cell r="AD74">
            <v>0.11</v>
          </cell>
          <cell r="AE74">
            <v>0.19</v>
          </cell>
          <cell r="AF74">
            <v>0.09</v>
          </cell>
          <cell r="AG74">
            <v>0.11</v>
          </cell>
          <cell r="AH74">
            <v>0.15</v>
          </cell>
          <cell r="AI74">
            <v>0.2</v>
          </cell>
          <cell r="AJ74">
            <v>0.2</v>
          </cell>
          <cell r="AK74">
            <v>0.2</v>
          </cell>
          <cell r="AL74">
            <v>0</v>
          </cell>
          <cell r="AM74">
            <v>0</v>
          </cell>
          <cell r="AN74">
            <v>0</v>
          </cell>
          <cell r="AO74">
            <v>0</v>
          </cell>
          <cell r="AP74">
            <v>0</v>
          </cell>
          <cell r="AQ74">
            <v>0</v>
          </cell>
          <cell r="AR74">
            <v>0</v>
          </cell>
          <cell r="AS74">
            <v>0</v>
          </cell>
          <cell r="AT74">
            <v>0</v>
          </cell>
          <cell r="AU74">
            <v>0</v>
          </cell>
          <cell r="AV74">
            <v>0</v>
          </cell>
          <cell r="AW74">
            <v>0</v>
          </cell>
          <cell r="AX74">
            <v>0</v>
          </cell>
          <cell r="AY74">
            <v>0</v>
          </cell>
          <cell r="AZ74">
            <v>0</v>
          </cell>
          <cell r="BA74">
            <v>0</v>
          </cell>
          <cell r="BB74">
            <v>0</v>
          </cell>
          <cell r="BC74">
            <v>0</v>
          </cell>
          <cell r="BD74">
            <v>0</v>
          </cell>
          <cell r="BE74">
            <v>0</v>
          </cell>
          <cell r="BF74">
            <v>0</v>
          </cell>
          <cell r="BG74">
            <v>0</v>
          </cell>
          <cell r="BH74">
            <v>0</v>
          </cell>
          <cell r="BI74">
            <v>0</v>
          </cell>
          <cell r="BJ74">
            <v>0</v>
          </cell>
          <cell r="BK74">
            <v>0</v>
          </cell>
          <cell r="BL74">
            <v>0</v>
          </cell>
          <cell r="BM74">
            <v>0</v>
          </cell>
          <cell r="BN74">
            <v>0</v>
          </cell>
          <cell r="BO74">
            <v>0</v>
          </cell>
          <cell r="BP74">
            <v>0</v>
          </cell>
          <cell r="BQ74">
            <v>0</v>
          </cell>
          <cell r="BR74">
            <v>0</v>
          </cell>
          <cell r="BS74">
            <v>0</v>
          </cell>
          <cell r="BT74">
            <v>0</v>
          </cell>
          <cell r="BU74">
            <v>0</v>
          </cell>
          <cell r="BV74">
            <v>0</v>
          </cell>
          <cell r="BW74">
            <v>0</v>
          </cell>
          <cell r="BX74">
            <v>0</v>
          </cell>
          <cell r="BY74">
            <v>0</v>
          </cell>
          <cell r="BZ74">
            <v>0</v>
          </cell>
          <cell r="CA74">
            <v>0</v>
          </cell>
          <cell r="CB74">
            <v>0</v>
          </cell>
          <cell r="CC74">
            <v>0</v>
          </cell>
          <cell r="CD74">
            <v>0</v>
          </cell>
          <cell r="CE74">
            <v>0</v>
          </cell>
          <cell r="CF74">
            <v>0</v>
          </cell>
          <cell r="CG74">
            <v>0</v>
          </cell>
          <cell r="CH74">
            <v>0</v>
          </cell>
          <cell r="CI74">
            <v>0</v>
          </cell>
          <cell r="CJ74">
            <v>0</v>
          </cell>
          <cell r="CK74">
            <v>0</v>
          </cell>
          <cell r="CL74">
            <v>0</v>
          </cell>
          <cell r="CM74">
            <v>0</v>
          </cell>
          <cell r="CN74">
            <v>0</v>
          </cell>
          <cell r="CO74">
            <v>0</v>
          </cell>
          <cell r="CP74">
            <v>0</v>
          </cell>
          <cell r="CQ74">
            <v>0</v>
          </cell>
          <cell r="CR74">
            <v>0</v>
          </cell>
          <cell r="CS74">
            <v>0</v>
          </cell>
          <cell r="CT74">
            <v>0</v>
          </cell>
          <cell r="CU74">
            <v>0</v>
          </cell>
          <cell r="CV74">
            <v>0</v>
          </cell>
          <cell r="CW74">
            <v>0</v>
          </cell>
          <cell r="CX74">
            <v>0</v>
          </cell>
          <cell r="CY74">
            <v>0</v>
          </cell>
          <cell r="CZ74">
            <v>0</v>
          </cell>
          <cell r="DA74">
            <v>0</v>
          </cell>
          <cell r="DB74">
            <v>0</v>
          </cell>
          <cell r="DC74">
            <v>0</v>
          </cell>
          <cell r="DD74">
            <v>0</v>
          </cell>
          <cell r="DE74">
            <v>0</v>
          </cell>
          <cell r="DF74">
            <v>0</v>
          </cell>
          <cell r="DG74">
            <v>0</v>
          </cell>
          <cell r="DH74">
            <v>0</v>
          </cell>
          <cell r="DI74">
            <v>0</v>
          </cell>
          <cell r="DJ74">
            <v>0</v>
          </cell>
          <cell r="DK74">
            <v>0</v>
          </cell>
          <cell r="DL74">
            <v>0</v>
          </cell>
          <cell r="DM74">
            <v>0</v>
          </cell>
          <cell r="DN74">
            <v>0</v>
          </cell>
          <cell r="DO74">
            <v>0</v>
          </cell>
          <cell r="DP74">
            <v>0</v>
          </cell>
          <cell r="DQ74">
            <v>0</v>
          </cell>
          <cell r="DR74">
            <v>0</v>
          </cell>
          <cell r="DS74">
            <v>0</v>
          </cell>
          <cell r="DT74">
            <v>0</v>
          </cell>
          <cell r="DU74">
            <v>0</v>
          </cell>
          <cell r="DV74">
            <v>0</v>
          </cell>
          <cell r="DW74">
            <v>0</v>
          </cell>
          <cell r="DX74">
            <v>0</v>
          </cell>
          <cell r="DY74">
            <v>0</v>
          </cell>
          <cell r="DZ74">
            <v>0</v>
          </cell>
          <cell r="EA74">
            <v>0</v>
          </cell>
          <cell r="EB74">
            <v>0</v>
          </cell>
          <cell r="EC74">
            <v>0</v>
          </cell>
          <cell r="ED74">
            <v>0.05</v>
          </cell>
          <cell r="EE74">
            <v>0.09</v>
          </cell>
          <cell r="EF74">
            <v>0.08</v>
          </cell>
          <cell r="EG74">
            <v>0.17</v>
          </cell>
          <cell r="EH74">
            <v>1</v>
          </cell>
          <cell r="EI74">
            <v>1</v>
          </cell>
          <cell r="EJ74">
            <v>1</v>
          </cell>
          <cell r="EK74">
            <v>1</v>
          </cell>
          <cell r="EL74">
            <v>0.05</v>
          </cell>
          <cell r="EM74">
            <v>0.14000000000000001</v>
          </cell>
          <cell r="EN74">
            <v>0.11</v>
          </cell>
          <cell r="EO74">
            <v>0.2</v>
          </cell>
          <cell r="EP74">
            <v>0</v>
          </cell>
          <cell r="EQ74">
            <v>0</v>
          </cell>
          <cell r="ER74">
            <v>0</v>
          </cell>
          <cell r="ES74">
            <v>0</v>
          </cell>
          <cell r="ET74">
            <v>0</v>
          </cell>
          <cell r="EU74">
            <v>0</v>
          </cell>
          <cell r="EV74">
            <v>0</v>
          </cell>
          <cell r="EW74">
            <v>0</v>
          </cell>
          <cell r="EX74">
            <v>1</v>
          </cell>
          <cell r="EY74">
            <v>1</v>
          </cell>
          <cell r="EZ74">
            <v>1</v>
          </cell>
          <cell r="FA74">
            <v>0</v>
          </cell>
          <cell r="FB74">
            <v>0</v>
          </cell>
          <cell r="FC74">
            <v>0</v>
          </cell>
          <cell r="FD74">
            <v>0</v>
          </cell>
          <cell r="FE74">
            <v>0</v>
          </cell>
          <cell r="FF74">
            <v>0</v>
          </cell>
          <cell r="FG74">
            <v>0</v>
          </cell>
          <cell r="FH74">
            <v>0</v>
          </cell>
          <cell r="FI74">
            <v>0</v>
          </cell>
          <cell r="FJ74">
            <v>0</v>
          </cell>
          <cell r="FK74">
            <v>0</v>
          </cell>
          <cell r="FL74">
            <v>0</v>
          </cell>
          <cell r="FM74">
            <v>0</v>
          </cell>
          <cell r="FN74">
            <v>0</v>
          </cell>
          <cell r="FO74">
            <v>0</v>
          </cell>
          <cell r="FP74">
            <v>0</v>
          </cell>
          <cell r="FQ74">
            <v>0</v>
          </cell>
          <cell r="FR74">
            <v>0</v>
          </cell>
          <cell r="FS74">
            <v>0</v>
          </cell>
          <cell r="FT74">
            <v>0</v>
          </cell>
          <cell r="FU74">
            <v>0</v>
          </cell>
          <cell r="FV74">
            <v>0</v>
          </cell>
          <cell r="FW74">
            <v>0</v>
          </cell>
          <cell r="FX74">
            <v>0</v>
          </cell>
          <cell r="FY74">
            <v>0</v>
          </cell>
          <cell r="FZ74">
            <v>0</v>
          </cell>
        </row>
        <row r="75">
          <cell r="B75">
            <v>0.1</v>
          </cell>
          <cell r="C75">
            <v>0.08</v>
          </cell>
          <cell r="D75">
            <v>0.15</v>
          </cell>
          <cell r="E75">
            <v>0.08</v>
          </cell>
          <cell r="F75">
            <v>0.15</v>
          </cell>
          <cell r="G75">
            <v>0.22</v>
          </cell>
          <cell r="H75">
            <v>7.0000000000000007E-2</v>
          </cell>
          <cell r="I75">
            <v>0.05</v>
          </cell>
          <cell r="J75">
            <v>0.13</v>
          </cell>
          <cell r="K75">
            <v>0.18</v>
          </cell>
          <cell r="L75">
            <v>0.17</v>
          </cell>
          <cell r="M75">
            <v>0.16</v>
          </cell>
          <cell r="N75">
            <v>0.8</v>
          </cell>
          <cell r="O75">
            <v>1</v>
          </cell>
          <cell r="P75">
            <v>1</v>
          </cell>
          <cell r="Q75">
            <v>0.8</v>
          </cell>
          <cell r="R75">
            <v>0.8</v>
          </cell>
          <cell r="S75">
            <v>1</v>
          </cell>
          <cell r="T75">
            <v>1</v>
          </cell>
          <cell r="U75">
            <v>1</v>
          </cell>
          <cell r="V75">
            <v>1</v>
          </cell>
          <cell r="W75">
            <v>1</v>
          </cell>
          <cell r="X75">
            <v>1</v>
          </cell>
          <cell r="Y75">
            <v>1</v>
          </cell>
          <cell r="Z75">
            <v>0.1</v>
          </cell>
          <cell r="AA75">
            <v>0.1</v>
          </cell>
          <cell r="AB75">
            <v>0.14000000000000001</v>
          </cell>
          <cell r="AC75">
            <v>0.11</v>
          </cell>
          <cell r="AD75">
            <v>0.11</v>
          </cell>
          <cell r="AE75">
            <v>0.19</v>
          </cell>
          <cell r="AF75">
            <v>0.09</v>
          </cell>
          <cell r="AG75">
            <v>0.11</v>
          </cell>
          <cell r="AH75">
            <v>0.15</v>
          </cell>
          <cell r="AI75">
            <v>0.2</v>
          </cell>
          <cell r="AJ75">
            <v>0.2</v>
          </cell>
          <cell r="AK75">
            <v>0.2</v>
          </cell>
          <cell r="AL75">
            <v>0</v>
          </cell>
          <cell r="AM75">
            <v>0</v>
          </cell>
          <cell r="AN75">
            <v>0</v>
          </cell>
          <cell r="AO75">
            <v>0</v>
          </cell>
          <cell r="AP75">
            <v>0</v>
          </cell>
          <cell r="AQ75">
            <v>0</v>
          </cell>
          <cell r="AR75">
            <v>0</v>
          </cell>
          <cell r="AS75">
            <v>0</v>
          </cell>
          <cell r="AT75">
            <v>0</v>
          </cell>
          <cell r="AU75">
            <v>0</v>
          </cell>
          <cell r="AV75">
            <v>0</v>
          </cell>
          <cell r="AW75">
            <v>0</v>
          </cell>
          <cell r="AX75">
            <v>0</v>
          </cell>
          <cell r="AY75">
            <v>0</v>
          </cell>
          <cell r="AZ75">
            <v>0</v>
          </cell>
          <cell r="BA75">
            <v>0</v>
          </cell>
          <cell r="BB75">
            <v>0</v>
          </cell>
          <cell r="BC75">
            <v>0</v>
          </cell>
          <cell r="BD75">
            <v>0</v>
          </cell>
          <cell r="BE75">
            <v>0</v>
          </cell>
          <cell r="BF75">
            <v>0</v>
          </cell>
          <cell r="BG75">
            <v>0</v>
          </cell>
          <cell r="BH75">
            <v>0</v>
          </cell>
          <cell r="BI75">
            <v>0</v>
          </cell>
          <cell r="BJ75">
            <v>0</v>
          </cell>
          <cell r="BK75">
            <v>0</v>
          </cell>
          <cell r="BL75">
            <v>0</v>
          </cell>
          <cell r="BM75">
            <v>0</v>
          </cell>
          <cell r="BN75">
            <v>0</v>
          </cell>
          <cell r="BO75">
            <v>0</v>
          </cell>
          <cell r="BP75">
            <v>0</v>
          </cell>
          <cell r="BQ75">
            <v>0</v>
          </cell>
          <cell r="BR75">
            <v>0</v>
          </cell>
          <cell r="BS75">
            <v>0</v>
          </cell>
          <cell r="BT75">
            <v>0</v>
          </cell>
          <cell r="BU75">
            <v>0</v>
          </cell>
          <cell r="BV75">
            <v>0</v>
          </cell>
          <cell r="BW75">
            <v>0</v>
          </cell>
          <cell r="BX75">
            <v>0</v>
          </cell>
          <cell r="BY75">
            <v>0</v>
          </cell>
          <cell r="BZ75">
            <v>0</v>
          </cell>
          <cell r="CA75">
            <v>0</v>
          </cell>
          <cell r="CB75">
            <v>0</v>
          </cell>
          <cell r="CC75">
            <v>0</v>
          </cell>
          <cell r="CD75">
            <v>0</v>
          </cell>
          <cell r="CE75">
            <v>0</v>
          </cell>
          <cell r="CF75">
            <v>0</v>
          </cell>
          <cell r="CG75">
            <v>0</v>
          </cell>
          <cell r="CH75">
            <v>0</v>
          </cell>
          <cell r="CI75">
            <v>0</v>
          </cell>
          <cell r="CJ75">
            <v>0</v>
          </cell>
          <cell r="CK75">
            <v>0</v>
          </cell>
          <cell r="CL75">
            <v>0</v>
          </cell>
          <cell r="CM75">
            <v>0</v>
          </cell>
          <cell r="CN75">
            <v>0</v>
          </cell>
          <cell r="CO75">
            <v>0</v>
          </cell>
          <cell r="CP75">
            <v>0</v>
          </cell>
          <cell r="CQ75">
            <v>0</v>
          </cell>
          <cell r="CR75">
            <v>0</v>
          </cell>
          <cell r="CS75">
            <v>0</v>
          </cell>
          <cell r="CT75">
            <v>0</v>
          </cell>
          <cell r="CU75">
            <v>0</v>
          </cell>
          <cell r="CV75">
            <v>0</v>
          </cell>
          <cell r="CW75">
            <v>0</v>
          </cell>
          <cell r="CX75">
            <v>0</v>
          </cell>
          <cell r="CY75">
            <v>0</v>
          </cell>
          <cell r="CZ75">
            <v>0</v>
          </cell>
          <cell r="DA75">
            <v>0</v>
          </cell>
          <cell r="DB75">
            <v>0</v>
          </cell>
          <cell r="DC75">
            <v>0</v>
          </cell>
          <cell r="DD75">
            <v>0</v>
          </cell>
          <cell r="DE75">
            <v>0</v>
          </cell>
          <cell r="DF75">
            <v>0</v>
          </cell>
          <cell r="DG75">
            <v>0</v>
          </cell>
          <cell r="DH75">
            <v>0</v>
          </cell>
          <cell r="DI75">
            <v>0</v>
          </cell>
          <cell r="DJ75">
            <v>0</v>
          </cell>
          <cell r="DK75">
            <v>0</v>
          </cell>
          <cell r="DL75">
            <v>0</v>
          </cell>
          <cell r="DM75">
            <v>0</v>
          </cell>
          <cell r="DN75">
            <v>0</v>
          </cell>
          <cell r="DO75">
            <v>0</v>
          </cell>
          <cell r="DP75">
            <v>0</v>
          </cell>
          <cell r="DQ75">
            <v>0</v>
          </cell>
          <cell r="DR75">
            <v>0</v>
          </cell>
          <cell r="DS75">
            <v>0</v>
          </cell>
          <cell r="DT75">
            <v>0</v>
          </cell>
          <cell r="DU75">
            <v>0</v>
          </cell>
          <cell r="DV75">
            <v>0</v>
          </cell>
          <cell r="DW75">
            <v>0</v>
          </cell>
          <cell r="DX75">
            <v>0</v>
          </cell>
          <cell r="DY75">
            <v>0</v>
          </cell>
          <cell r="DZ75">
            <v>0</v>
          </cell>
          <cell r="EA75">
            <v>0</v>
          </cell>
          <cell r="EB75">
            <v>0</v>
          </cell>
          <cell r="EC75">
            <v>0</v>
          </cell>
          <cell r="ED75">
            <v>0.05</v>
          </cell>
          <cell r="EE75">
            <v>0.09</v>
          </cell>
          <cell r="EF75">
            <v>0.08</v>
          </cell>
          <cell r="EG75">
            <v>0.17</v>
          </cell>
          <cell r="EH75">
            <v>1</v>
          </cell>
          <cell r="EI75">
            <v>1</v>
          </cell>
          <cell r="EJ75">
            <v>1</v>
          </cell>
          <cell r="EK75">
            <v>1</v>
          </cell>
          <cell r="EL75">
            <v>0.05</v>
          </cell>
          <cell r="EM75">
            <v>0.14000000000000001</v>
          </cell>
          <cell r="EN75">
            <v>0.11</v>
          </cell>
          <cell r="EO75">
            <v>0.2</v>
          </cell>
          <cell r="EP75">
            <v>0</v>
          </cell>
          <cell r="EQ75">
            <v>0</v>
          </cell>
          <cell r="ER75">
            <v>0</v>
          </cell>
          <cell r="ES75">
            <v>0</v>
          </cell>
          <cell r="ET75">
            <v>0</v>
          </cell>
          <cell r="EU75">
            <v>0</v>
          </cell>
          <cell r="EV75">
            <v>0</v>
          </cell>
          <cell r="EW75">
            <v>0</v>
          </cell>
          <cell r="EX75">
            <v>1</v>
          </cell>
          <cell r="EY75">
            <v>1</v>
          </cell>
          <cell r="EZ75">
            <v>1</v>
          </cell>
          <cell r="FA75">
            <v>0</v>
          </cell>
          <cell r="FB75">
            <v>0</v>
          </cell>
          <cell r="FC75">
            <v>0</v>
          </cell>
          <cell r="FD75">
            <v>0</v>
          </cell>
          <cell r="FE75">
            <v>0</v>
          </cell>
          <cell r="FF75">
            <v>0</v>
          </cell>
          <cell r="FG75">
            <v>0</v>
          </cell>
          <cell r="FH75">
            <v>0</v>
          </cell>
          <cell r="FI75">
            <v>0</v>
          </cell>
          <cell r="FJ75">
            <v>0</v>
          </cell>
          <cell r="FK75">
            <v>0</v>
          </cell>
          <cell r="FL75">
            <v>0</v>
          </cell>
          <cell r="FM75">
            <v>0</v>
          </cell>
          <cell r="FN75">
            <v>0</v>
          </cell>
          <cell r="FO75">
            <v>0</v>
          </cell>
          <cell r="FP75">
            <v>0</v>
          </cell>
          <cell r="FQ75">
            <v>0</v>
          </cell>
          <cell r="FR75">
            <v>0</v>
          </cell>
          <cell r="FS75">
            <v>0</v>
          </cell>
          <cell r="FT75">
            <v>0</v>
          </cell>
          <cell r="FU75">
            <v>0</v>
          </cell>
          <cell r="FV75">
            <v>0</v>
          </cell>
          <cell r="FW75">
            <v>0</v>
          </cell>
          <cell r="FX75">
            <v>0</v>
          </cell>
          <cell r="FY75">
            <v>0</v>
          </cell>
          <cell r="FZ75">
            <v>0</v>
          </cell>
        </row>
        <row r="76">
          <cell r="B76">
            <v>0.1</v>
          </cell>
          <cell r="C76">
            <v>0.08</v>
          </cell>
          <cell r="D76">
            <v>0.15</v>
          </cell>
          <cell r="E76">
            <v>0.08</v>
          </cell>
          <cell r="F76">
            <v>0.15</v>
          </cell>
          <cell r="G76">
            <v>0.22</v>
          </cell>
          <cell r="H76">
            <v>7.0000000000000007E-2</v>
          </cell>
          <cell r="I76">
            <v>0.05</v>
          </cell>
          <cell r="J76">
            <v>0.13</v>
          </cell>
          <cell r="K76">
            <v>0.18</v>
          </cell>
          <cell r="L76">
            <v>0.17</v>
          </cell>
          <cell r="M76">
            <v>0.16</v>
          </cell>
          <cell r="N76">
            <v>0.8</v>
          </cell>
          <cell r="O76">
            <v>1</v>
          </cell>
          <cell r="P76">
            <v>1</v>
          </cell>
          <cell r="Q76">
            <v>0.8</v>
          </cell>
          <cell r="R76">
            <v>0.8</v>
          </cell>
          <cell r="S76">
            <v>1</v>
          </cell>
          <cell r="T76">
            <v>1</v>
          </cell>
          <cell r="U76">
            <v>1</v>
          </cell>
          <cell r="V76">
            <v>1</v>
          </cell>
          <cell r="W76">
            <v>1</v>
          </cell>
          <cell r="X76">
            <v>1</v>
          </cell>
          <cell r="Y76">
            <v>1</v>
          </cell>
          <cell r="Z76">
            <v>0.1</v>
          </cell>
          <cell r="AA76">
            <v>0.1</v>
          </cell>
          <cell r="AB76">
            <v>0.14000000000000001</v>
          </cell>
          <cell r="AC76">
            <v>0.11</v>
          </cell>
          <cell r="AD76">
            <v>0.11</v>
          </cell>
          <cell r="AE76">
            <v>0.19</v>
          </cell>
          <cell r="AF76">
            <v>0.09</v>
          </cell>
          <cell r="AG76">
            <v>0.11</v>
          </cell>
          <cell r="AH76">
            <v>0.15</v>
          </cell>
          <cell r="AI76">
            <v>0.2</v>
          </cell>
          <cell r="AJ76">
            <v>0.2</v>
          </cell>
          <cell r="AK76">
            <v>0.2</v>
          </cell>
          <cell r="AL76">
            <v>0</v>
          </cell>
          <cell r="AM76">
            <v>0</v>
          </cell>
          <cell r="AN76">
            <v>0</v>
          </cell>
          <cell r="AO76">
            <v>0</v>
          </cell>
          <cell r="AP76">
            <v>0</v>
          </cell>
          <cell r="AQ76">
            <v>0</v>
          </cell>
          <cell r="AR76">
            <v>0</v>
          </cell>
          <cell r="AS76">
            <v>0</v>
          </cell>
          <cell r="AT76">
            <v>0</v>
          </cell>
          <cell r="AU76">
            <v>0</v>
          </cell>
          <cell r="AV76">
            <v>0</v>
          </cell>
          <cell r="AW76">
            <v>0</v>
          </cell>
          <cell r="AX76">
            <v>0</v>
          </cell>
          <cell r="AY76">
            <v>0</v>
          </cell>
          <cell r="AZ76">
            <v>0</v>
          </cell>
          <cell r="BA76">
            <v>0</v>
          </cell>
          <cell r="BB76">
            <v>0</v>
          </cell>
          <cell r="BC76">
            <v>0</v>
          </cell>
          <cell r="BD76">
            <v>0</v>
          </cell>
          <cell r="BE76">
            <v>0</v>
          </cell>
          <cell r="BF76">
            <v>0</v>
          </cell>
          <cell r="BG76">
            <v>0</v>
          </cell>
          <cell r="BH76">
            <v>0</v>
          </cell>
          <cell r="BI76">
            <v>0</v>
          </cell>
          <cell r="BJ76">
            <v>0</v>
          </cell>
          <cell r="BK76">
            <v>0</v>
          </cell>
          <cell r="BL76">
            <v>0</v>
          </cell>
          <cell r="BM76">
            <v>0</v>
          </cell>
          <cell r="BN76">
            <v>0</v>
          </cell>
          <cell r="BO76">
            <v>0</v>
          </cell>
          <cell r="BP76">
            <v>0</v>
          </cell>
          <cell r="BQ76">
            <v>0</v>
          </cell>
          <cell r="BR76">
            <v>0</v>
          </cell>
          <cell r="BS76">
            <v>0</v>
          </cell>
          <cell r="BT76">
            <v>0</v>
          </cell>
          <cell r="BU76">
            <v>0</v>
          </cell>
          <cell r="BV76">
            <v>0</v>
          </cell>
          <cell r="BW76">
            <v>0</v>
          </cell>
          <cell r="BX76">
            <v>0</v>
          </cell>
          <cell r="BY76">
            <v>0</v>
          </cell>
          <cell r="BZ76">
            <v>0</v>
          </cell>
          <cell r="CA76">
            <v>0</v>
          </cell>
          <cell r="CB76">
            <v>0</v>
          </cell>
          <cell r="CC76">
            <v>0</v>
          </cell>
          <cell r="CD76">
            <v>0</v>
          </cell>
          <cell r="CE76">
            <v>0</v>
          </cell>
          <cell r="CF76">
            <v>0</v>
          </cell>
          <cell r="CG76">
            <v>0</v>
          </cell>
          <cell r="CH76">
            <v>0</v>
          </cell>
          <cell r="CI76">
            <v>0</v>
          </cell>
          <cell r="CJ76">
            <v>0</v>
          </cell>
          <cell r="CK76">
            <v>0</v>
          </cell>
          <cell r="CL76">
            <v>0</v>
          </cell>
          <cell r="CM76">
            <v>0</v>
          </cell>
          <cell r="CN76">
            <v>0</v>
          </cell>
          <cell r="CO76">
            <v>0</v>
          </cell>
          <cell r="CP76">
            <v>0</v>
          </cell>
          <cell r="CQ76">
            <v>0</v>
          </cell>
          <cell r="CR76">
            <v>0</v>
          </cell>
          <cell r="CS76">
            <v>0</v>
          </cell>
          <cell r="CT76">
            <v>0</v>
          </cell>
          <cell r="CU76">
            <v>0</v>
          </cell>
          <cell r="CV76">
            <v>0</v>
          </cell>
          <cell r="CW76">
            <v>0</v>
          </cell>
          <cell r="CX76">
            <v>0</v>
          </cell>
          <cell r="CY76">
            <v>0</v>
          </cell>
          <cell r="CZ76">
            <v>0</v>
          </cell>
          <cell r="DA76">
            <v>0</v>
          </cell>
          <cell r="DB76">
            <v>0</v>
          </cell>
          <cell r="DC76">
            <v>0</v>
          </cell>
          <cell r="DD76">
            <v>0</v>
          </cell>
          <cell r="DE76">
            <v>0</v>
          </cell>
          <cell r="DF76">
            <v>0</v>
          </cell>
          <cell r="DG76">
            <v>0</v>
          </cell>
          <cell r="DH76">
            <v>0</v>
          </cell>
          <cell r="DI76">
            <v>0</v>
          </cell>
          <cell r="DJ76">
            <v>0</v>
          </cell>
          <cell r="DK76">
            <v>0</v>
          </cell>
          <cell r="DL76">
            <v>0</v>
          </cell>
          <cell r="DM76">
            <v>0</v>
          </cell>
          <cell r="DN76">
            <v>0</v>
          </cell>
          <cell r="DO76">
            <v>0</v>
          </cell>
          <cell r="DP76">
            <v>0</v>
          </cell>
          <cell r="DQ76">
            <v>0</v>
          </cell>
          <cell r="DR76">
            <v>0</v>
          </cell>
          <cell r="DS76">
            <v>0</v>
          </cell>
          <cell r="DT76">
            <v>0</v>
          </cell>
          <cell r="DU76">
            <v>0</v>
          </cell>
          <cell r="DV76">
            <v>0</v>
          </cell>
          <cell r="DW76">
            <v>0</v>
          </cell>
          <cell r="DX76">
            <v>0</v>
          </cell>
          <cell r="DY76">
            <v>0</v>
          </cell>
          <cell r="DZ76">
            <v>0</v>
          </cell>
          <cell r="EA76">
            <v>0</v>
          </cell>
          <cell r="EB76">
            <v>0</v>
          </cell>
          <cell r="EC76">
            <v>0</v>
          </cell>
          <cell r="ED76">
            <v>0.05</v>
          </cell>
          <cell r="EE76">
            <v>0.09</v>
          </cell>
          <cell r="EF76">
            <v>0.08</v>
          </cell>
          <cell r="EG76">
            <v>0.17</v>
          </cell>
          <cell r="EH76">
            <v>1</v>
          </cell>
          <cell r="EI76">
            <v>1</v>
          </cell>
          <cell r="EJ76">
            <v>1</v>
          </cell>
          <cell r="EK76">
            <v>1</v>
          </cell>
          <cell r="EL76">
            <v>0.05</v>
          </cell>
          <cell r="EM76">
            <v>0.14000000000000001</v>
          </cell>
          <cell r="EN76">
            <v>0.11</v>
          </cell>
          <cell r="EO76">
            <v>0.2</v>
          </cell>
          <cell r="EP76">
            <v>0</v>
          </cell>
          <cell r="EQ76">
            <v>0</v>
          </cell>
          <cell r="ER76">
            <v>0</v>
          </cell>
          <cell r="ES76">
            <v>0</v>
          </cell>
          <cell r="ET76">
            <v>0</v>
          </cell>
          <cell r="EU76">
            <v>0</v>
          </cell>
          <cell r="EV76">
            <v>0</v>
          </cell>
          <cell r="EW76">
            <v>0</v>
          </cell>
          <cell r="EX76">
            <v>1</v>
          </cell>
          <cell r="EY76">
            <v>1</v>
          </cell>
          <cell r="EZ76">
            <v>1</v>
          </cell>
          <cell r="FA76">
            <v>0</v>
          </cell>
          <cell r="FB76">
            <v>0</v>
          </cell>
          <cell r="FC76">
            <v>0</v>
          </cell>
          <cell r="FD76">
            <v>0</v>
          </cell>
          <cell r="FE76">
            <v>0</v>
          </cell>
          <cell r="FF76">
            <v>0</v>
          </cell>
          <cell r="FG76">
            <v>0</v>
          </cell>
          <cell r="FH76">
            <v>0</v>
          </cell>
          <cell r="FI76">
            <v>0</v>
          </cell>
          <cell r="FJ76">
            <v>0</v>
          </cell>
          <cell r="FK76">
            <v>0</v>
          </cell>
          <cell r="FL76">
            <v>0</v>
          </cell>
          <cell r="FM76">
            <v>0</v>
          </cell>
          <cell r="FN76">
            <v>0</v>
          </cell>
          <cell r="FO76">
            <v>0</v>
          </cell>
          <cell r="FP76">
            <v>0</v>
          </cell>
          <cell r="FQ76">
            <v>0</v>
          </cell>
          <cell r="FR76">
            <v>0</v>
          </cell>
          <cell r="FS76">
            <v>0</v>
          </cell>
          <cell r="FT76">
            <v>0</v>
          </cell>
          <cell r="FU76">
            <v>0</v>
          </cell>
          <cell r="FV76">
            <v>0</v>
          </cell>
          <cell r="FW76">
            <v>0</v>
          </cell>
          <cell r="FX76">
            <v>0</v>
          </cell>
          <cell r="FY76">
            <v>0</v>
          </cell>
          <cell r="FZ76">
            <v>0</v>
          </cell>
        </row>
        <row r="77">
          <cell r="B77">
            <v>0.1</v>
          </cell>
          <cell r="C77">
            <v>0.08</v>
          </cell>
          <cell r="D77">
            <v>0.15</v>
          </cell>
          <cell r="E77">
            <v>0.08</v>
          </cell>
          <cell r="F77">
            <v>0.15</v>
          </cell>
          <cell r="G77">
            <v>0.22</v>
          </cell>
          <cell r="H77">
            <v>7.0000000000000007E-2</v>
          </cell>
          <cell r="I77">
            <v>0.05</v>
          </cell>
          <cell r="J77">
            <v>0.13</v>
          </cell>
          <cell r="K77">
            <v>0.18</v>
          </cell>
          <cell r="L77">
            <v>0.17</v>
          </cell>
          <cell r="M77">
            <v>0.16</v>
          </cell>
          <cell r="N77">
            <v>0.8</v>
          </cell>
          <cell r="O77">
            <v>1</v>
          </cell>
          <cell r="P77">
            <v>1</v>
          </cell>
          <cell r="Q77">
            <v>0.8</v>
          </cell>
          <cell r="R77">
            <v>0.8</v>
          </cell>
          <cell r="S77">
            <v>1</v>
          </cell>
          <cell r="T77">
            <v>1</v>
          </cell>
          <cell r="U77">
            <v>1</v>
          </cell>
          <cell r="V77">
            <v>1</v>
          </cell>
          <cell r="W77">
            <v>1</v>
          </cell>
          <cell r="X77">
            <v>1</v>
          </cell>
          <cell r="Y77">
            <v>1</v>
          </cell>
          <cell r="Z77">
            <v>0.1</v>
          </cell>
          <cell r="AA77">
            <v>0.1</v>
          </cell>
          <cell r="AB77">
            <v>0.14000000000000001</v>
          </cell>
          <cell r="AC77">
            <v>0.11</v>
          </cell>
          <cell r="AD77">
            <v>0.11</v>
          </cell>
          <cell r="AE77">
            <v>0.19</v>
          </cell>
          <cell r="AF77">
            <v>0.09</v>
          </cell>
          <cell r="AG77">
            <v>0.11</v>
          </cell>
          <cell r="AH77">
            <v>0.15</v>
          </cell>
          <cell r="AI77">
            <v>0.2</v>
          </cell>
          <cell r="AJ77">
            <v>0.2</v>
          </cell>
          <cell r="AK77">
            <v>0.2</v>
          </cell>
          <cell r="AL77">
            <v>0</v>
          </cell>
          <cell r="AM77">
            <v>0</v>
          </cell>
          <cell r="AN77">
            <v>0</v>
          </cell>
          <cell r="AO77">
            <v>0</v>
          </cell>
          <cell r="AP77">
            <v>0</v>
          </cell>
          <cell r="AQ77">
            <v>0</v>
          </cell>
          <cell r="AR77">
            <v>0</v>
          </cell>
          <cell r="AS77">
            <v>0</v>
          </cell>
          <cell r="AT77">
            <v>0</v>
          </cell>
          <cell r="AU77">
            <v>0</v>
          </cell>
          <cell r="AV77">
            <v>0</v>
          </cell>
          <cell r="AW77">
            <v>0</v>
          </cell>
          <cell r="AX77">
            <v>0</v>
          </cell>
          <cell r="AY77">
            <v>0</v>
          </cell>
          <cell r="AZ77">
            <v>0</v>
          </cell>
          <cell r="BA77">
            <v>0</v>
          </cell>
          <cell r="BB77">
            <v>0</v>
          </cell>
          <cell r="BC77">
            <v>0</v>
          </cell>
          <cell r="BD77">
            <v>0</v>
          </cell>
          <cell r="BE77">
            <v>0</v>
          </cell>
          <cell r="BF77">
            <v>0</v>
          </cell>
          <cell r="BG77">
            <v>0</v>
          </cell>
          <cell r="BH77">
            <v>0</v>
          </cell>
          <cell r="BI77">
            <v>0</v>
          </cell>
          <cell r="BJ77">
            <v>0</v>
          </cell>
          <cell r="BK77">
            <v>0</v>
          </cell>
          <cell r="BL77">
            <v>0</v>
          </cell>
          <cell r="BM77">
            <v>0</v>
          </cell>
          <cell r="BN77">
            <v>0</v>
          </cell>
          <cell r="BO77">
            <v>0</v>
          </cell>
          <cell r="BP77">
            <v>0</v>
          </cell>
          <cell r="BQ77">
            <v>0</v>
          </cell>
          <cell r="BR77">
            <v>0</v>
          </cell>
          <cell r="BS77">
            <v>0</v>
          </cell>
          <cell r="BT77">
            <v>0</v>
          </cell>
          <cell r="BU77">
            <v>0</v>
          </cell>
          <cell r="BV77">
            <v>0</v>
          </cell>
          <cell r="BW77">
            <v>0</v>
          </cell>
          <cell r="BX77">
            <v>0</v>
          </cell>
          <cell r="BY77">
            <v>0</v>
          </cell>
          <cell r="BZ77">
            <v>0</v>
          </cell>
          <cell r="CA77">
            <v>0</v>
          </cell>
          <cell r="CB77">
            <v>0</v>
          </cell>
          <cell r="CC77">
            <v>0</v>
          </cell>
          <cell r="CD77">
            <v>0</v>
          </cell>
          <cell r="CE77">
            <v>0</v>
          </cell>
          <cell r="CF77">
            <v>0</v>
          </cell>
          <cell r="CG77">
            <v>0</v>
          </cell>
          <cell r="CH77">
            <v>0</v>
          </cell>
          <cell r="CI77">
            <v>0</v>
          </cell>
          <cell r="CJ77">
            <v>0</v>
          </cell>
          <cell r="CK77">
            <v>0</v>
          </cell>
          <cell r="CL77">
            <v>0</v>
          </cell>
          <cell r="CM77">
            <v>0</v>
          </cell>
          <cell r="CN77">
            <v>0</v>
          </cell>
          <cell r="CO77">
            <v>0</v>
          </cell>
          <cell r="CP77">
            <v>0</v>
          </cell>
          <cell r="CQ77">
            <v>0</v>
          </cell>
          <cell r="CR77">
            <v>0</v>
          </cell>
          <cell r="CS77">
            <v>0</v>
          </cell>
          <cell r="CT77">
            <v>0</v>
          </cell>
          <cell r="CU77">
            <v>0</v>
          </cell>
          <cell r="CV77">
            <v>0</v>
          </cell>
          <cell r="CW77">
            <v>0</v>
          </cell>
          <cell r="CX77">
            <v>0</v>
          </cell>
          <cell r="CY77">
            <v>0</v>
          </cell>
          <cell r="CZ77">
            <v>0</v>
          </cell>
          <cell r="DA77">
            <v>0</v>
          </cell>
          <cell r="DB77">
            <v>0</v>
          </cell>
          <cell r="DC77">
            <v>0</v>
          </cell>
          <cell r="DD77">
            <v>0</v>
          </cell>
          <cell r="DE77">
            <v>0</v>
          </cell>
          <cell r="DF77">
            <v>0</v>
          </cell>
          <cell r="DG77">
            <v>0</v>
          </cell>
          <cell r="DH77">
            <v>0</v>
          </cell>
          <cell r="DI77">
            <v>0</v>
          </cell>
          <cell r="DJ77">
            <v>0</v>
          </cell>
          <cell r="DK77">
            <v>0</v>
          </cell>
          <cell r="DL77">
            <v>0</v>
          </cell>
          <cell r="DM77">
            <v>0</v>
          </cell>
          <cell r="DN77">
            <v>0</v>
          </cell>
          <cell r="DO77">
            <v>0</v>
          </cell>
          <cell r="DP77">
            <v>0</v>
          </cell>
          <cell r="DQ77">
            <v>0</v>
          </cell>
          <cell r="DR77">
            <v>0</v>
          </cell>
          <cell r="DS77">
            <v>0</v>
          </cell>
          <cell r="DT77">
            <v>0</v>
          </cell>
          <cell r="DU77">
            <v>0</v>
          </cell>
          <cell r="DV77">
            <v>0</v>
          </cell>
          <cell r="DW77">
            <v>0</v>
          </cell>
          <cell r="DX77">
            <v>0</v>
          </cell>
          <cell r="DY77">
            <v>0</v>
          </cell>
          <cell r="DZ77">
            <v>0</v>
          </cell>
          <cell r="EA77">
            <v>0</v>
          </cell>
          <cell r="EB77">
            <v>0</v>
          </cell>
          <cell r="EC77">
            <v>0</v>
          </cell>
          <cell r="ED77">
            <v>0.05</v>
          </cell>
          <cell r="EE77">
            <v>0.09</v>
          </cell>
          <cell r="EF77">
            <v>0.08</v>
          </cell>
          <cell r="EG77">
            <v>0.17</v>
          </cell>
          <cell r="EH77">
            <v>1</v>
          </cell>
          <cell r="EI77">
            <v>1</v>
          </cell>
          <cell r="EJ77">
            <v>1</v>
          </cell>
          <cell r="EK77">
            <v>1</v>
          </cell>
          <cell r="EL77">
            <v>0.05</v>
          </cell>
          <cell r="EM77">
            <v>0.14000000000000001</v>
          </cell>
          <cell r="EN77">
            <v>0.11</v>
          </cell>
          <cell r="EO77">
            <v>0.2</v>
          </cell>
          <cell r="EP77">
            <v>0</v>
          </cell>
          <cell r="EQ77">
            <v>0</v>
          </cell>
          <cell r="ER77">
            <v>0</v>
          </cell>
          <cell r="ES77">
            <v>0</v>
          </cell>
          <cell r="ET77">
            <v>0</v>
          </cell>
          <cell r="EU77">
            <v>0</v>
          </cell>
          <cell r="EV77">
            <v>0</v>
          </cell>
          <cell r="EW77">
            <v>0</v>
          </cell>
          <cell r="EX77">
            <v>1</v>
          </cell>
          <cell r="EY77">
            <v>1</v>
          </cell>
          <cell r="EZ77">
            <v>1</v>
          </cell>
          <cell r="FA77">
            <v>0</v>
          </cell>
          <cell r="FB77">
            <v>0</v>
          </cell>
          <cell r="FC77">
            <v>0</v>
          </cell>
          <cell r="FD77">
            <v>0</v>
          </cell>
          <cell r="FE77">
            <v>0</v>
          </cell>
          <cell r="FF77">
            <v>0</v>
          </cell>
          <cell r="FG77">
            <v>0</v>
          </cell>
          <cell r="FH77">
            <v>0</v>
          </cell>
          <cell r="FI77">
            <v>0</v>
          </cell>
          <cell r="FJ77">
            <v>0</v>
          </cell>
          <cell r="FK77">
            <v>0</v>
          </cell>
          <cell r="FL77">
            <v>0</v>
          </cell>
          <cell r="FM77">
            <v>0</v>
          </cell>
          <cell r="FN77">
            <v>0</v>
          </cell>
          <cell r="FO77">
            <v>0</v>
          </cell>
          <cell r="FP77">
            <v>0</v>
          </cell>
          <cell r="FQ77">
            <v>0</v>
          </cell>
          <cell r="FR77">
            <v>0</v>
          </cell>
          <cell r="FS77">
            <v>0</v>
          </cell>
          <cell r="FT77">
            <v>0</v>
          </cell>
          <cell r="FU77">
            <v>0</v>
          </cell>
          <cell r="FV77">
            <v>0</v>
          </cell>
          <cell r="FW77">
            <v>0</v>
          </cell>
          <cell r="FX77">
            <v>0</v>
          </cell>
          <cell r="FY77">
            <v>0</v>
          </cell>
          <cell r="FZ77">
            <v>0</v>
          </cell>
        </row>
        <row r="78">
          <cell r="B78">
            <v>0.1</v>
          </cell>
          <cell r="C78">
            <v>0.08</v>
          </cell>
          <cell r="D78">
            <v>0.15</v>
          </cell>
          <cell r="E78">
            <v>0.08</v>
          </cell>
          <cell r="F78">
            <v>0.15</v>
          </cell>
          <cell r="G78">
            <v>0.22</v>
          </cell>
          <cell r="H78">
            <v>7.0000000000000007E-2</v>
          </cell>
          <cell r="I78">
            <v>0.05</v>
          </cell>
          <cell r="J78">
            <v>0.13</v>
          </cell>
          <cell r="K78">
            <v>0.18</v>
          </cell>
          <cell r="L78">
            <v>0.17</v>
          </cell>
          <cell r="M78">
            <v>0.16</v>
          </cell>
          <cell r="N78">
            <v>0.8</v>
          </cell>
          <cell r="O78">
            <v>1</v>
          </cell>
          <cell r="P78">
            <v>1</v>
          </cell>
          <cell r="Q78">
            <v>0.8</v>
          </cell>
          <cell r="R78">
            <v>0.8</v>
          </cell>
          <cell r="S78">
            <v>1</v>
          </cell>
          <cell r="T78">
            <v>1</v>
          </cell>
          <cell r="U78">
            <v>1</v>
          </cell>
          <cell r="V78">
            <v>1</v>
          </cell>
          <cell r="W78">
            <v>1</v>
          </cell>
          <cell r="X78">
            <v>1</v>
          </cell>
          <cell r="Y78">
            <v>1</v>
          </cell>
          <cell r="Z78">
            <v>0.1</v>
          </cell>
          <cell r="AA78">
            <v>0.1</v>
          </cell>
          <cell r="AB78">
            <v>0.14000000000000001</v>
          </cell>
          <cell r="AC78">
            <v>0.11</v>
          </cell>
          <cell r="AD78">
            <v>0.11</v>
          </cell>
          <cell r="AE78">
            <v>0.19</v>
          </cell>
          <cell r="AF78">
            <v>0.09</v>
          </cell>
          <cell r="AG78">
            <v>0.11</v>
          </cell>
          <cell r="AH78">
            <v>0.15</v>
          </cell>
          <cell r="AI78">
            <v>0.2</v>
          </cell>
          <cell r="AJ78">
            <v>0.2</v>
          </cell>
          <cell r="AK78">
            <v>0.2</v>
          </cell>
          <cell r="AL78">
            <v>0</v>
          </cell>
          <cell r="AM78">
            <v>0</v>
          </cell>
          <cell r="AN78">
            <v>0</v>
          </cell>
          <cell r="AO78">
            <v>0</v>
          </cell>
          <cell r="AP78">
            <v>0</v>
          </cell>
          <cell r="AQ78">
            <v>0</v>
          </cell>
          <cell r="AR78">
            <v>0</v>
          </cell>
          <cell r="AS78">
            <v>0</v>
          </cell>
          <cell r="AT78">
            <v>0</v>
          </cell>
          <cell r="AU78">
            <v>0</v>
          </cell>
          <cell r="AV78">
            <v>0</v>
          </cell>
          <cell r="AW78">
            <v>0</v>
          </cell>
          <cell r="AX78">
            <v>0</v>
          </cell>
          <cell r="AY78">
            <v>0</v>
          </cell>
          <cell r="AZ78">
            <v>0</v>
          </cell>
          <cell r="BA78">
            <v>0</v>
          </cell>
          <cell r="BB78">
            <v>0</v>
          </cell>
          <cell r="BC78">
            <v>0</v>
          </cell>
          <cell r="BD78">
            <v>0</v>
          </cell>
          <cell r="BE78">
            <v>0</v>
          </cell>
          <cell r="BF78">
            <v>0</v>
          </cell>
          <cell r="BG78">
            <v>0</v>
          </cell>
          <cell r="BH78">
            <v>0</v>
          </cell>
          <cell r="BI78">
            <v>0</v>
          </cell>
          <cell r="BJ78">
            <v>0</v>
          </cell>
          <cell r="BK78">
            <v>0</v>
          </cell>
          <cell r="BL78">
            <v>0</v>
          </cell>
          <cell r="BM78">
            <v>0</v>
          </cell>
          <cell r="BN78">
            <v>0</v>
          </cell>
          <cell r="BO78">
            <v>0</v>
          </cell>
          <cell r="BP78">
            <v>0</v>
          </cell>
          <cell r="BQ78">
            <v>0</v>
          </cell>
          <cell r="BR78">
            <v>0</v>
          </cell>
          <cell r="BS78">
            <v>0</v>
          </cell>
          <cell r="BT78">
            <v>0</v>
          </cell>
          <cell r="BU78">
            <v>0</v>
          </cell>
          <cell r="BV78">
            <v>0</v>
          </cell>
          <cell r="BW78">
            <v>0</v>
          </cell>
          <cell r="BX78">
            <v>0</v>
          </cell>
          <cell r="BY78">
            <v>0</v>
          </cell>
          <cell r="BZ78">
            <v>0</v>
          </cell>
          <cell r="CA78">
            <v>0</v>
          </cell>
          <cell r="CB78">
            <v>0</v>
          </cell>
          <cell r="CC78">
            <v>0</v>
          </cell>
          <cell r="CD78">
            <v>0</v>
          </cell>
          <cell r="CE78">
            <v>0</v>
          </cell>
          <cell r="CF78">
            <v>0</v>
          </cell>
          <cell r="CG78">
            <v>0</v>
          </cell>
          <cell r="CH78">
            <v>0</v>
          </cell>
          <cell r="CI78">
            <v>0</v>
          </cell>
          <cell r="CJ78">
            <v>0</v>
          </cell>
          <cell r="CK78">
            <v>0</v>
          </cell>
          <cell r="CL78">
            <v>0</v>
          </cell>
          <cell r="CM78">
            <v>0</v>
          </cell>
          <cell r="CN78">
            <v>0</v>
          </cell>
          <cell r="CO78">
            <v>0</v>
          </cell>
          <cell r="CP78">
            <v>0</v>
          </cell>
          <cell r="CQ78">
            <v>0</v>
          </cell>
          <cell r="CR78">
            <v>0</v>
          </cell>
          <cell r="CS78">
            <v>0</v>
          </cell>
          <cell r="CT78">
            <v>0</v>
          </cell>
          <cell r="CU78">
            <v>0</v>
          </cell>
          <cell r="CV78">
            <v>0</v>
          </cell>
          <cell r="CW78">
            <v>0</v>
          </cell>
          <cell r="CX78">
            <v>0</v>
          </cell>
          <cell r="CY78">
            <v>0</v>
          </cell>
          <cell r="CZ78">
            <v>0</v>
          </cell>
          <cell r="DA78">
            <v>0</v>
          </cell>
          <cell r="DB78">
            <v>0</v>
          </cell>
          <cell r="DC78">
            <v>0</v>
          </cell>
          <cell r="DD78">
            <v>0</v>
          </cell>
          <cell r="DE78">
            <v>0</v>
          </cell>
          <cell r="DF78">
            <v>0</v>
          </cell>
          <cell r="DG78">
            <v>0</v>
          </cell>
          <cell r="DH78">
            <v>0</v>
          </cell>
          <cell r="DI78">
            <v>0</v>
          </cell>
          <cell r="DJ78">
            <v>0</v>
          </cell>
          <cell r="DK78">
            <v>0</v>
          </cell>
          <cell r="DL78">
            <v>0</v>
          </cell>
          <cell r="DM78">
            <v>0</v>
          </cell>
          <cell r="DN78">
            <v>0</v>
          </cell>
          <cell r="DO78">
            <v>0</v>
          </cell>
          <cell r="DP78">
            <v>0</v>
          </cell>
          <cell r="DQ78">
            <v>0</v>
          </cell>
          <cell r="DR78">
            <v>0</v>
          </cell>
          <cell r="DS78">
            <v>0</v>
          </cell>
          <cell r="DT78">
            <v>0</v>
          </cell>
          <cell r="DU78">
            <v>0</v>
          </cell>
          <cell r="DV78">
            <v>0</v>
          </cell>
          <cell r="DW78">
            <v>0</v>
          </cell>
          <cell r="DX78">
            <v>0</v>
          </cell>
          <cell r="DY78">
            <v>0</v>
          </cell>
          <cell r="DZ78">
            <v>0</v>
          </cell>
          <cell r="EA78">
            <v>0</v>
          </cell>
          <cell r="EB78">
            <v>0</v>
          </cell>
          <cell r="EC78">
            <v>0</v>
          </cell>
          <cell r="ED78">
            <v>0.05</v>
          </cell>
          <cell r="EE78">
            <v>0.09</v>
          </cell>
          <cell r="EF78">
            <v>0.08</v>
          </cell>
          <cell r="EG78">
            <v>0.17</v>
          </cell>
          <cell r="EH78">
            <v>1</v>
          </cell>
          <cell r="EI78">
            <v>1</v>
          </cell>
          <cell r="EJ78">
            <v>1</v>
          </cell>
          <cell r="EK78">
            <v>1</v>
          </cell>
          <cell r="EL78">
            <v>0.05</v>
          </cell>
          <cell r="EM78">
            <v>0.14000000000000001</v>
          </cell>
          <cell r="EN78">
            <v>0.11</v>
          </cell>
          <cell r="EO78">
            <v>0.2</v>
          </cell>
          <cell r="EP78">
            <v>0</v>
          </cell>
          <cell r="EQ78">
            <v>0</v>
          </cell>
          <cell r="ER78">
            <v>0</v>
          </cell>
          <cell r="ES78">
            <v>0</v>
          </cell>
          <cell r="ET78">
            <v>0</v>
          </cell>
          <cell r="EU78">
            <v>0</v>
          </cell>
          <cell r="EV78">
            <v>0</v>
          </cell>
          <cell r="EW78">
            <v>0</v>
          </cell>
          <cell r="EX78">
            <v>1</v>
          </cell>
          <cell r="EY78">
            <v>1</v>
          </cell>
          <cell r="EZ78">
            <v>1</v>
          </cell>
          <cell r="FA78">
            <v>0</v>
          </cell>
          <cell r="FB78">
            <v>0</v>
          </cell>
          <cell r="FC78">
            <v>0</v>
          </cell>
          <cell r="FD78">
            <v>0</v>
          </cell>
          <cell r="FE78">
            <v>0</v>
          </cell>
          <cell r="FF78">
            <v>0</v>
          </cell>
          <cell r="FG78">
            <v>0</v>
          </cell>
          <cell r="FH78">
            <v>0</v>
          </cell>
          <cell r="FI78">
            <v>0</v>
          </cell>
          <cell r="FJ78">
            <v>0</v>
          </cell>
          <cell r="FK78">
            <v>0</v>
          </cell>
          <cell r="FL78">
            <v>0</v>
          </cell>
          <cell r="FM78">
            <v>0</v>
          </cell>
          <cell r="FN78">
            <v>0</v>
          </cell>
          <cell r="FO78">
            <v>0</v>
          </cell>
          <cell r="FP78">
            <v>0</v>
          </cell>
          <cell r="FQ78">
            <v>0</v>
          </cell>
          <cell r="FR78">
            <v>0</v>
          </cell>
          <cell r="FS78">
            <v>0</v>
          </cell>
          <cell r="FT78">
            <v>0</v>
          </cell>
          <cell r="FU78">
            <v>0</v>
          </cell>
          <cell r="FV78">
            <v>0</v>
          </cell>
          <cell r="FW78">
            <v>0</v>
          </cell>
          <cell r="FX78">
            <v>0</v>
          </cell>
          <cell r="FY78">
            <v>0</v>
          </cell>
          <cell r="FZ78">
            <v>0</v>
          </cell>
        </row>
        <row r="79">
          <cell r="B79">
            <v>0.1</v>
          </cell>
          <cell r="C79">
            <v>0.08</v>
          </cell>
          <cell r="D79">
            <v>0.15</v>
          </cell>
          <cell r="E79">
            <v>0.08</v>
          </cell>
          <cell r="F79">
            <v>0.15</v>
          </cell>
          <cell r="G79">
            <v>0.22</v>
          </cell>
          <cell r="H79">
            <v>7.0000000000000007E-2</v>
          </cell>
          <cell r="I79">
            <v>0.05</v>
          </cell>
          <cell r="J79">
            <v>0.13</v>
          </cell>
          <cell r="K79">
            <v>0.18</v>
          </cell>
          <cell r="L79">
            <v>0.17</v>
          </cell>
          <cell r="M79">
            <v>0.16</v>
          </cell>
          <cell r="N79">
            <v>0.8</v>
          </cell>
          <cell r="O79">
            <v>1</v>
          </cell>
          <cell r="P79">
            <v>1</v>
          </cell>
          <cell r="Q79">
            <v>0.8</v>
          </cell>
          <cell r="R79">
            <v>0.8</v>
          </cell>
          <cell r="S79">
            <v>1</v>
          </cell>
          <cell r="T79">
            <v>1</v>
          </cell>
          <cell r="U79">
            <v>1</v>
          </cell>
          <cell r="V79">
            <v>1</v>
          </cell>
          <cell r="W79">
            <v>1</v>
          </cell>
          <cell r="X79">
            <v>1</v>
          </cell>
          <cell r="Y79">
            <v>1</v>
          </cell>
          <cell r="Z79">
            <v>0.1</v>
          </cell>
          <cell r="AA79">
            <v>0.1</v>
          </cell>
          <cell r="AB79">
            <v>0.14000000000000001</v>
          </cell>
          <cell r="AC79">
            <v>0.11</v>
          </cell>
          <cell r="AD79">
            <v>0.11</v>
          </cell>
          <cell r="AE79">
            <v>0.19</v>
          </cell>
          <cell r="AF79">
            <v>0.09</v>
          </cell>
          <cell r="AG79">
            <v>0.11</v>
          </cell>
          <cell r="AH79">
            <v>0.15</v>
          </cell>
          <cell r="AI79">
            <v>0.2</v>
          </cell>
          <cell r="AJ79">
            <v>0.2</v>
          </cell>
          <cell r="AK79">
            <v>0.2</v>
          </cell>
          <cell r="AL79">
            <v>0</v>
          </cell>
          <cell r="AM79">
            <v>0</v>
          </cell>
          <cell r="AN79">
            <v>0</v>
          </cell>
          <cell r="AO79">
            <v>0</v>
          </cell>
          <cell r="AP79">
            <v>0</v>
          </cell>
          <cell r="AQ79">
            <v>0</v>
          </cell>
          <cell r="AR79">
            <v>0</v>
          </cell>
          <cell r="AS79">
            <v>0</v>
          </cell>
          <cell r="AT79">
            <v>0</v>
          </cell>
          <cell r="AU79">
            <v>0</v>
          </cell>
          <cell r="AV79">
            <v>0</v>
          </cell>
          <cell r="AW79">
            <v>0</v>
          </cell>
          <cell r="AX79">
            <v>0</v>
          </cell>
          <cell r="AY79">
            <v>0</v>
          </cell>
          <cell r="AZ79">
            <v>0</v>
          </cell>
          <cell r="BA79">
            <v>0</v>
          </cell>
          <cell r="BB79">
            <v>0</v>
          </cell>
          <cell r="BC79">
            <v>0</v>
          </cell>
          <cell r="BD79">
            <v>0</v>
          </cell>
          <cell r="BE79">
            <v>0</v>
          </cell>
          <cell r="BF79">
            <v>0</v>
          </cell>
          <cell r="BG79">
            <v>0</v>
          </cell>
          <cell r="BH79">
            <v>0</v>
          </cell>
          <cell r="BI79">
            <v>0</v>
          </cell>
          <cell r="BJ79">
            <v>0</v>
          </cell>
          <cell r="BK79">
            <v>0</v>
          </cell>
          <cell r="BL79">
            <v>0</v>
          </cell>
          <cell r="BM79">
            <v>0</v>
          </cell>
          <cell r="BN79">
            <v>0</v>
          </cell>
          <cell r="BO79">
            <v>0</v>
          </cell>
          <cell r="BP79">
            <v>0</v>
          </cell>
          <cell r="BQ79">
            <v>0</v>
          </cell>
          <cell r="BR79">
            <v>0</v>
          </cell>
          <cell r="BS79">
            <v>0</v>
          </cell>
          <cell r="BT79">
            <v>0</v>
          </cell>
          <cell r="BU79">
            <v>0</v>
          </cell>
          <cell r="BV79">
            <v>0</v>
          </cell>
          <cell r="BW79">
            <v>0</v>
          </cell>
          <cell r="BX79">
            <v>0</v>
          </cell>
          <cell r="BY79">
            <v>0</v>
          </cell>
          <cell r="BZ79">
            <v>0</v>
          </cell>
          <cell r="CA79">
            <v>0</v>
          </cell>
          <cell r="CB79">
            <v>0</v>
          </cell>
          <cell r="CC79">
            <v>0</v>
          </cell>
          <cell r="CD79">
            <v>0</v>
          </cell>
          <cell r="CE79">
            <v>0</v>
          </cell>
          <cell r="CF79">
            <v>0</v>
          </cell>
          <cell r="CG79">
            <v>0</v>
          </cell>
          <cell r="CH79">
            <v>0</v>
          </cell>
          <cell r="CI79">
            <v>0</v>
          </cell>
          <cell r="CJ79">
            <v>0</v>
          </cell>
          <cell r="CK79">
            <v>0</v>
          </cell>
          <cell r="CL79">
            <v>0</v>
          </cell>
          <cell r="CM79">
            <v>0</v>
          </cell>
          <cell r="CN79">
            <v>0</v>
          </cell>
          <cell r="CO79">
            <v>0</v>
          </cell>
          <cell r="CP79">
            <v>0</v>
          </cell>
          <cell r="CQ79">
            <v>0</v>
          </cell>
          <cell r="CR79">
            <v>0</v>
          </cell>
          <cell r="CS79">
            <v>0</v>
          </cell>
          <cell r="CT79">
            <v>0</v>
          </cell>
          <cell r="CU79">
            <v>0</v>
          </cell>
          <cell r="CV79">
            <v>0</v>
          </cell>
          <cell r="CW79">
            <v>0</v>
          </cell>
          <cell r="CX79">
            <v>0</v>
          </cell>
          <cell r="CY79">
            <v>0</v>
          </cell>
          <cell r="CZ79">
            <v>0</v>
          </cell>
          <cell r="DA79">
            <v>0</v>
          </cell>
          <cell r="DB79">
            <v>0</v>
          </cell>
          <cell r="DC79">
            <v>0</v>
          </cell>
          <cell r="DD79">
            <v>0</v>
          </cell>
          <cell r="DE79">
            <v>0</v>
          </cell>
          <cell r="DF79">
            <v>0</v>
          </cell>
          <cell r="DG79">
            <v>0</v>
          </cell>
          <cell r="DH79">
            <v>0</v>
          </cell>
          <cell r="DI79">
            <v>0</v>
          </cell>
          <cell r="DJ79">
            <v>0</v>
          </cell>
          <cell r="DK79">
            <v>0</v>
          </cell>
          <cell r="DL79">
            <v>0</v>
          </cell>
          <cell r="DM79">
            <v>0</v>
          </cell>
          <cell r="DN79">
            <v>0</v>
          </cell>
          <cell r="DO79">
            <v>0</v>
          </cell>
          <cell r="DP79">
            <v>0</v>
          </cell>
          <cell r="DQ79">
            <v>0</v>
          </cell>
          <cell r="DR79">
            <v>0</v>
          </cell>
          <cell r="DS79">
            <v>0</v>
          </cell>
          <cell r="DT79">
            <v>0</v>
          </cell>
          <cell r="DU79">
            <v>0</v>
          </cell>
          <cell r="DV79">
            <v>0</v>
          </cell>
          <cell r="DW79">
            <v>0</v>
          </cell>
          <cell r="DX79">
            <v>0</v>
          </cell>
          <cell r="DY79">
            <v>0</v>
          </cell>
          <cell r="DZ79">
            <v>0</v>
          </cell>
          <cell r="EA79">
            <v>0</v>
          </cell>
          <cell r="EB79">
            <v>0</v>
          </cell>
          <cell r="EC79">
            <v>0</v>
          </cell>
          <cell r="ED79">
            <v>0.05</v>
          </cell>
          <cell r="EE79">
            <v>0.09</v>
          </cell>
          <cell r="EF79">
            <v>0.08</v>
          </cell>
          <cell r="EG79">
            <v>0.17</v>
          </cell>
          <cell r="EH79">
            <v>1</v>
          </cell>
          <cell r="EI79">
            <v>1</v>
          </cell>
          <cell r="EJ79">
            <v>1</v>
          </cell>
          <cell r="EK79">
            <v>1</v>
          </cell>
          <cell r="EL79">
            <v>0.05</v>
          </cell>
          <cell r="EM79">
            <v>0.14000000000000001</v>
          </cell>
          <cell r="EN79">
            <v>0.11</v>
          </cell>
          <cell r="EO79">
            <v>0.2</v>
          </cell>
          <cell r="EP79">
            <v>0</v>
          </cell>
          <cell r="EQ79">
            <v>0</v>
          </cell>
          <cell r="ER79">
            <v>0</v>
          </cell>
          <cell r="ES79">
            <v>0</v>
          </cell>
          <cell r="ET79">
            <v>0</v>
          </cell>
          <cell r="EU79">
            <v>0</v>
          </cell>
          <cell r="EV79">
            <v>0</v>
          </cell>
          <cell r="EW79">
            <v>0</v>
          </cell>
          <cell r="EX79">
            <v>1</v>
          </cell>
          <cell r="EY79">
            <v>1</v>
          </cell>
          <cell r="EZ79">
            <v>1</v>
          </cell>
          <cell r="FA79">
            <v>0</v>
          </cell>
          <cell r="FB79">
            <v>0</v>
          </cell>
          <cell r="FC79">
            <v>0</v>
          </cell>
          <cell r="FD79">
            <v>0</v>
          </cell>
          <cell r="FE79">
            <v>0</v>
          </cell>
          <cell r="FF79">
            <v>0</v>
          </cell>
          <cell r="FG79">
            <v>0</v>
          </cell>
          <cell r="FH79">
            <v>0</v>
          </cell>
          <cell r="FI79">
            <v>0</v>
          </cell>
          <cell r="FJ79">
            <v>0</v>
          </cell>
          <cell r="FK79">
            <v>0</v>
          </cell>
          <cell r="FL79">
            <v>0</v>
          </cell>
          <cell r="FM79">
            <v>0</v>
          </cell>
          <cell r="FN79">
            <v>0</v>
          </cell>
          <cell r="FO79">
            <v>0</v>
          </cell>
          <cell r="FP79">
            <v>0</v>
          </cell>
          <cell r="FQ79">
            <v>0</v>
          </cell>
          <cell r="FR79">
            <v>0</v>
          </cell>
          <cell r="FS79">
            <v>0</v>
          </cell>
          <cell r="FT79">
            <v>0</v>
          </cell>
          <cell r="FU79">
            <v>0</v>
          </cell>
          <cell r="FV79">
            <v>0</v>
          </cell>
          <cell r="FW79">
            <v>0</v>
          </cell>
          <cell r="FX79">
            <v>0</v>
          </cell>
          <cell r="FY79">
            <v>0</v>
          </cell>
          <cell r="FZ79">
            <v>0</v>
          </cell>
        </row>
        <row r="80">
          <cell r="B80">
            <v>0.1</v>
          </cell>
          <cell r="C80">
            <v>0.08</v>
          </cell>
          <cell r="D80">
            <v>0.15</v>
          </cell>
          <cell r="E80">
            <v>0.08</v>
          </cell>
          <cell r="F80">
            <v>0.15</v>
          </cell>
          <cell r="G80">
            <v>0.22</v>
          </cell>
          <cell r="H80">
            <v>7.0000000000000007E-2</v>
          </cell>
          <cell r="I80">
            <v>0.05</v>
          </cell>
          <cell r="J80">
            <v>0.13</v>
          </cell>
          <cell r="K80">
            <v>0.18</v>
          </cell>
          <cell r="L80">
            <v>0.17</v>
          </cell>
          <cell r="M80">
            <v>0.16</v>
          </cell>
          <cell r="N80">
            <v>0.8</v>
          </cell>
          <cell r="O80">
            <v>1</v>
          </cell>
          <cell r="P80">
            <v>1</v>
          </cell>
          <cell r="Q80">
            <v>0.8</v>
          </cell>
          <cell r="R80">
            <v>0.8</v>
          </cell>
          <cell r="S80">
            <v>1</v>
          </cell>
          <cell r="T80">
            <v>1</v>
          </cell>
          <cell r="U80">
            <v>1</v>
          </cell>
          <cell r="V80">
            <v>1</v>
          </cell>
          <cell r="W80">
            <v>1</v>
          </cell>
          <cell r="X80">
            <v>1</v>
          </cell>
          <cell r="Y80">
            <v>1</v>
          </cell>
          <cell r="Z80">
            <v>0.1</v>
          </cell>
          <cell r="AA80">
            <v>0.1</v>
          </cell>
          <cell r="AB80">
            <v>0.14000000000000001</v>
          </cell>
          <cell r="AC80">
            <v>0.11</v>
          </cell>
          <cell r="AD80">
            <v>0.11</v>
          </cell>
          <cell r="AE80">
            <v>0.19</v>
          </cell>
          <cell r="AF80">
            <v>0.09</v>
          </cell>
          <cell r="AG80">
            <v>0.11</v>
          </cell>
          <cell r="AH80">
            <v>0.15</v>
          </cell>
          <cell r="AI80">
            <v>0.2</v>
          </cell>
          <cell r="AJ80">
            <v>0.2</v>
          </cell>
          <cell r="AK80">
            <v>0.2</v>
          </cell>
          <cell r="AL80">
            <v>0</v>
          </cell>
          <cell r="AM80">
            <v>0</v>
          </cell>
          <cell r="AN80">
            <v>0</v>
          </cell>
          <cell r="AO80">
            <v>0</v>
          </cell>
          <cell r="AP80">
            <v>0</v>
          </cell>
          <cell r="AQ80">
            <v>0</v>
          </cell>
          <cell r="AR80">
            <v>0</v>
          </cell>
          <cell r="AS80">
            <v>0</v>
          </cell>
          <cell r="AT80">
            <v>0</v>
          </cell>
          <cell r="AU80">
            <v>0</v>
          </cell>
          <cell r="AV80">
            <v>0</v>
          </cell>
          <cell r="AW80">
            <v>0</v>
          </cell>
          <cell r="AX80">
            <v>0</v>
          </cell>
          <cell r="AY80">
            <v>0</v>
          </cell>
          <cell r="AZ80">
            <v>0</v>
          </cell>
          <cell r="BA80">
            <v>0</v>
          </cell>
          <cell r="BB80">
            <v>0</v>
          </cell>
          <cell r="BC80">
            <v>0</v>
          </cell>
          <cell r="BD80">
            <v>0</v>
          </cell>
          <cell r="BE80">
            <v>0</v>
          </cell>
          <cell r="BF80">
            <v>0</v>
          </cell>
          <cell r="BG80">
            <v>0</v>
          </cell>
          <cell r="BH80">
            <v>0</v>
          </cell>
          <cell r="BI80">
            <v>0</v>
          </cell>
          <cell r="BJ80">
            <v>0</v>
          </cell>
          <cell r="BK80">
            <v>0</v>
          </cell>
          <cell r="BL80">
            <v>0</v>
          </cell>
          <cell r="BM80">
            <v>0</v>
          </cell>
          <cell r="BN80">
            <v>0</v>
          </cell>
          <cell r="BO80">
            <v>0</v>
          </cell>
          <cell r="BP80">
            <v>0</v>
          </cell>
          <cell r="BQ80">
            <v>0</v>
          </cell>
          <cell r="BR80">
            <v>0</v>
          </cell>
          <cell r="BS80">
            <v>0</v>
          </cell>
          <cell r="BT80">
            <v>0</v>
          </cell>
          <cell r="BU80">
            <v>0</v>
          </cell>
          <cell r="BV80">
            <v>0</v>
          </cell>
          <cell r="BW80">
            <v>0</v>
          </cell>
          <cell r="BX80">
            <v>0</v>
          </cell>
          <cell r="BY80">
            <v>0</v>
          </cell>
          <cell r="BZ80">
            <v>0</v>
          </cell>
          <cell r="CA80">
            <v>0</v>
          </cell>
          <cell r="CB80">
            <v>0</v>
          </cell>
          <cell r="CC80">
            <v>0</v>
          </cell>
          <cell r="CD80">
            <v>0</v>
          </cell>
          <cell r="CE80">
            <v>0</v>
          </cell>
          <cell r="CF80">
            <v>0</v>
          </cell>
          <cell r="CG80">
            <v>0</v>
          </cell>
          <cell r="CH80">
            <v>0</v>
          </cell>
          <cell r="CI80">
            <v>0</v>
          </cell>
          <cell r="CJ80">
            <v>0</v>
          </cell>
          <cell r="CK80">
            <v>0</v>
          </cell>
          <cell r="CL80">
            <v>0</v>
          </cell>
          <cell r="CM80">
            <v>0</v>
          </cell>
          <cell r="CN80">
            <v>0</v>
          </cell>
          <cell r="CO80">
            <v>0</v>
          </cell>
          <cell r="CP80">
            <v>0</v>
          </cell>
          <cell r="CQ80">
            <v>0</v>
          </cell>
          <cell r="CR80">
            <v>0</v>
          </cell>
          <cell r="CS80">
            <v>0</v>
          </cell>
          <cell r="CT80">
            <v>0</v>
          </cell>
          <cell r="CU80">
            <v>0</v>
          </cell>
          <cell r="CV80">
            <v>0</v>
          </cell>
          <cell r="CW80">
            <v>0</v>
          </cell>
          <cell r="CX80">
            <v>0</v>
          </cell>
          <cell r="CY80">
            <v>0</v>
          </cell>
          <cell r="CZ80">
            <v>0</v>
          </cell>
          <cell r="DA80">
            <v>0</v>
          </cell>
          <cell r="DB80">
            <v>0</v>
          </cell>
          <cell r="DC80">
            <v>0</v>
          </cell>
          <cell r="DD80">
            <v>0</v>
          </cell>
          <cell r="DE80">
            <v>0</v>
          </cell>
          <cell r="DF80">
            <v>0</v>
          </cell>
          <cell r="DG80">
            <v>0</v>
          </cell>
          <cell r="DH80">
            <v>0</v>
          </cell>
          <cell r="DI80">
            <v>0</v>
          </cell>
          <cell r="DJ80">
            <v>0</v>
          </cell>
          <cell r="DK80">
            <v>0</v>
          </cell>
          <cell r="DL80">
            <v>0</v>
          </cell>
          <cell r="DM80">
            <v>0</v>
          </cell>
          <cell r="DN80">
            <v>0</v>
          </cell>
          <cell r="DO80">
            <v>0</v>
          </cell>
          <cell r="DP80">
            <v>0</v>
          </cell>
          <cell r="DQ80">
            <v>0</v>
          </cell>
          <cell r="DR80">
            <v>0</v>
          </cell>
          <cell r="DS80">
            <v>0</v>
          </cell>
          <cell r="DT80">
            <v>0</v>
          </cell>
          <cell r="DU80">
            <v>0</v>
          </cell>
          <cell r="DV80">
            <v>0</v>
          </cell>
          <cell r="DW80">
            <v>0</v>
          </cell>
          <cell r="DX80">
            <v>0</v>
          </cell>
          <cell r="DY80">
            <v>0</v>
          </cell>
          <cell r="DZ80">
            <v>0</v>
          </cell>
          <cell r="EA80">
            <v>0</v>
          </cell>
          <cell r="EB80">
            <v>0</v>
          </cell>
          <cell r="EC80">
            <v>0</v>
          </cell>
          <cell r="ED80">
            <v>0.05</v>
          </cell>
          <cell r="EE80">
            <v>0.09</v>
          </cell>
          <cell r="EF80">
            <v>0.08</v>
          </cell>
          <cell r="EG80">
            <v>0.17</v>
          </cell>
          <cell r="EH80">
            <v>1</v>
          </cell>
          <cell r="EI80">
            <v>1</v>
          </cell>
          <cell r="EJ80">
            <v>1</v>
          </cell>
          <cell r="EK80">
            <v>1</v>
          </cell>
          <cell r="EL80">
            <v>0.05</v>
          </cell>
          <cell r="EM80">
            <v>0.14000000000000001</v>
          </cell>
          <cell r="EN80">
            <v>0.11</v>
          </cell>
          <cell r="EO80">
            <v>0.2</v>
          </cell>
          <cell r="EP80">
            <v>0</v>
          </cell>
          <cell r="EQ80">
            <v>0</v>
          </cell>
          <cell r="ER80">
            <v>0</v>
          </cell>
          <cell r="ES80">
            <v>0</v>
          </cell>
          <cell r="ET80">
            <v>0</v>
          </cell>
          <cell r="EU80">
            <v>0</v>
          </cell>
          <cell r="EV80">
            <v>0</v>
          </cell>
          <cell r="EW80">
            <v>0</v>
          </cell>
          <cell r="EX80">
            <v>1</v>
          </cell>
          <cell r="EY80">
            <v>1</v>
          </cell>
          <cell r="EZ80">
            <v>1</v>
          </cell>
          <cell r="FA80">
            <v>0</v>
          </cell>
          <cell r="FB80">
            <v>0</v>
          </cell>
          <cell r="FC80">
            <v>0</v>
          </cell>
          <cell r="FD80">
            <v>0</v>
          </cell>
          <cell r="FE80">
            <v>0</v>
          </cell>
          <cell r="FF80">
            <v>0</v>
          </cell>
          <cell r="FG80">
            <v>0</v>
          </cell>
          <cell r="FH80">
            <v>0</v>
          </cell>
          <cell r="FI80">
            <v>0</v>
          </cell>
          <cell r="FJ80">
            <v>0</v>
          </cell>
          <cell r="FK80">
            <v>0</v>
          </cell>
          <cell r="FL80">
            <v>0</v>
          </cell>
          <cell r="FM80">
            <v>0</v>
          </cell>
          <cell r="FN80">
            <v>0</v>
          </cell>
          <cell r="FO80">
            <v>0</v>
          </cell>
          <cell r="FP80">
            <v>0</v>
          </cell>
          <cell r="FQ80">
            <v>0</v>
          </cell>
          <cell r="FR80">
            <v>0</v>
          </cell>
          <cell r="FS80">
            <v>0</v>
          </cell>
          <cell r="FT80">
            <v>0</v>
          </cell>
          <cell r="FU80">
            <v>0</v>
          </cell>
          <cell r="FV80">
            <v>0</v>
          </cell>
          <cell r="FW80">
            <v>0</v>
          </cell>
          <cell r="FX80">
            <v>0</v>
          </cell>
          <cell r="FY80">
            <v>0</v>
          </cell>
          <cell r="FZ80">
            <v>0</v>
          </cell>
        </row>
        <row r="81">
          <cell r="B81">
            <v>0.1</v>
          </cell>
          <cell r="C81">
            <v>0.08</v>
          </cell>
          <cell r="D81">
            <v>0.15</v>
          </cell>
          <cell r="E81">
            <v>0.08</v>
          </cell>
          <cell r="F81">
            <v>0.15</v>
          </cell>
          <cell r="G81">
            <v>0.22</v>
          </cell>
          <cell r="H81">
            <v>7.0000000000000007E-2</v>
          </cell>
          <cell r="I81">
            <v>0.05</v>
          </cell>
          <cell r="J81">
            <v>0.13</v>
          </cell>
          <cell r="K81">
            <v>0.18</v>
          </cell>
          <cell r="L81">
            <v>0.17</v>
          </cell>
          <cell r="M81">
            <v>0.16</v>
          </cell>
          <cell r="N81">
            <v>0.8</v>
          </cell>
          <cell r="O81">
            <v>1</v>
          </cell>
          <cell r="P81">
            <v>1</v>
          </cell>
          <cell r="Q81">
            <v>0.8</v>
          </cell>
          <cell r="R81">
            <v>0.8</v>
          </cell>
          <cell r="S81">
            <v>1</v>
          </cell>
          <cell r="T81">
            <v>1</v>
          </cell>
          <cell r="U81">
            <v>1</v>
          </cell>
          <cell r="V81">
            <v>1</v>
          </cell>
          <cell r="W81">
            <v>1</v>
          </cell>
          <cell r="X81">
            <v>1</v>
          </cell>
          <cell r="Y81">
            <v>1</v>
          </cell>
          <cell r="Z81">
            <v>0.1</v>
          </cell>
          <cell r="AA81">
            <v>0.1</v>
          </cell>
          <cell r="AB81">
            <v>0.14000000000000001</v>
          </cell>
          <cell r="AC81">
            <v>0.11</v>
          </cell>
          <cell r="AD81">
            <v>0.11</v>
          </cell>
          <cell r="AE81">
            <v>0.19</v>
          </cell>
          <cell r="AF81">
            <v>0.09</v>
          </cell>
          <cell r="AG81">
            <v>0.11</v>
          </cell>
          <cell r="AH81">
            <v>0.15</v>
          </cell>
          <cell r="AI81">
            <v>0.2</v>
          </cell>
          <cell r="AJ81">
            <v>0.2</v>
          </cell>
          <cell r="AK81">
            <v>0.2</v>
          </cell>
          <cell r="AL81">
            <v>0</v>
          </cell>
          <cell r="AM81">
            <v>0</v>
          </cell>
          <cell r="AN81">
            <v>0</v>
          </cell>
          <cell r="AO81">
            <v>0</v>
          </cell>
          <cell r="AP81">
            <v>0</v>
          </cell>
          <cell r="AQ81">
            <v>0</v>
          </cell>
          <cell r="AR81">
            <v>0</v>
          </cell>
          <cell r="AS81">
            <v>0</v>
          </cell>
          <cell r="AT81">
            <v>0</v>
          </cell>
          <cell r="AU81">
            <v>0</v>
          </cell>
          <cell r="AV81">
            <v>0</v>
          </cell>
          <cell r="AW81">
            <v>0</v>
          </cell>
          <cell r="AX81">
            <v>0</v>
          </cell>
          <cell r="AY81">
            <v>0</v>
          </cell>
          <cell r="AZ81">
            <v>0</v>
          </cell>
          <cell r="BA81">
            <v>0</v>
          </cell>
          <cell r="BB81">
            <v>0</v>
          </cell>
          <cell r="BC81">
            <v>0</v>
          </cell>
          <cell r="BD81">
            <v>0</v>
          </cell>
          <cell r="BE81">
            <v>0</v>
          </cell>
          <cell r="BF81">
            <v>0</v>
          </cell>
          <cell r="BG81">
            <v>0</v>
          </cell>
          <cell r="BH81">
            <v>0</v>
          </cell>
          <cell r="BI81">
            <v>0</v>
          </cell>
          <cell r="BJ81">
            <v>0</v>
          </cell>
          <cell r="BK81">
            <v>0</v>
          </cell>
          <cell r="BL81">
            <v>0</v>
          </cell>
          <cell r="BM81">
            <v>0</v>
          </cell>
          <cell r="BN81">
            <v>0</v>
          </cell>
          <cell r="BO81">
            <v>0</v>
          </cell>
          <cell r="BP81">
            <v>0</v>
          </cell>
          <cell r="BQ81">
            <v>0</v>
          </cell>
          <cell r="BR81">
            <v>0</v>
          </cell>
          <cell r="BS81">
            <v>0</v>
          </cell>
          <cell r="BT81">
            <v>0</v>
          </cell>
          <cell r="BU81">
            <v>0</v>
          </cell>
          <cell r="BV81">
            <v>0</v>
          </cell>
          <cell r="BW81">
            <v>0</v>
          </cell>
          <cell r="BX81">
            <v>0</v>
          </cell>
          <cell r="BY81">
            <v>0</v>
          </cell>
          <cell r="BZ81">
            <v>0</v>
          </cell>
          <cell r="CA81">
            <v>0</v>
          </cell>
          <cell r="CB81">
            <v>0</v>
          </cell>
          <cell r="CC81">
            <v>0</v>
          </cell>
          <cell r="CD81">
            <v>0</v>
          </cell>
          <cell r="CE81">
            <v>0</v>
          </cell>
          <cell r="CF81">
            <v>0</v>
          </cell>
          <cell r="CG81">
            <v>0</v>
          </cell>
          <cell r="CH81">
            <v>0</v>
          </cell>
          <cell r="CI81">
            <v>0</v>
          </cell>
          <cell r="CJ81">
            <v>0</v>
          </cell>
          <cell r="CK81">
            <v>0</v>
          </cell>
          <cell r="CL81">
            <v>0</v>
          </cell>
          <cell r="CM81">
            <v>0</v>
          </cell>
          <cell r="CN81">
            <v>0</v>
          </cell>
          <cell r="CO81">
            <v>0</v>
          </cell>
          <cell r="CP81">
            <v>0</v>
          </cell>
          <cell r="CQ81">
            <v>0</v>
          </cell>
          <cell r="CR81">
            <v>0</v>
          </cell>
          <cell r="CS81">
            <v>0</v>
          </cell>
          <cell r="CT81">
            <v>0</v>
          </cell>
          <cell r="CU81">
            <v>0</v>
          </cell>
          <cell r="CV81">
            <v>0</v>
          </cell>
          <cell r="CW81">
            <v>0</v>
          </cell>
          <cell r="CX81">
            <v>0</v>
          </cell>
          <cell r="CY81">
            <v>0</v>
          </cell>
          <cell r="CZ81">
            <v>0</v>
          </cell>
          <cell r="DA81">
            <v>0</v>
          </cell>
          <cell r="DB81">
            <v>0</v>
          </cell>
          <cell r="DC81">
            <v>0</v>
          </cell>
          <cell r="DD81">
            <v>0</v>
          </cell>
          <cell r="DE81">
            <v>0</v>
          </cell>
          <cell r="DF81">
            <v>0</v>
          </cell>
          <cell r="DG81">
            <v>0</v>
          </cell>
          <cell r="DH81">
            <v>0</v>
          </cell>
          <cell r="DI81">
            <v>0</v>
          </cell>
          <cell r="DJ81">
            <v>0</v>
          </cell>
          <cell r="DK81">
            <v>0</v>
          </cell>
          <cell r="DL81">
            <v>0</v>
          </cell>
          <cell r="DM81">
            <v>0</v>
          </cell>
          <cell r="DN81">
            <v>0</v>
          </cell>
          <cell r="DO81">
            <v>0</v>
          </cell>
          <cell r="DP81">
            <v>0</v>
          </cell>
          <cell r="DQ81">
            <v>0</v>
          </cell>
          <cell r="DR81">
            <v>0</v>
          </cell>
          <cell r="DS81">
            <v>0</v>
          </cell>
          <cell r="DT81">
            <v>0</v>
          </cell>
          <cell r="DU81">
            <v>0</v>
          </cell>
          <cell r="DV81">
            <v>0</v>
          </cell>
          <cell r="DW81">
            <v>0</v>
          </cell>
          <cell r="DX81">
            <v>0</v>
          </cell>
          <cell r="DY81">
            <v>0</v>
          </cell>
          <cell r="DZ81">
            <v>0</v>
          </cell>
          <cell r="EA81">
            <v>0</v>
          </cell>
          <cell r="EB81">
            <v>0</v>
          </cell>
          <cell r="EC81">
            <v>0</v>
          </cell>
          <cell r="ED81">
            <v>0.05</v>
          </cell>
          <cell r="EE81">
            <v>0.09</v>
          </cell>
          <cell r="EF81">
            <v>0.08</v>
          </cell>
          <cell r="EG81">
            <v>0.17</v>
          </cell>
          <cell r="EH81">
            <v>1</v>
          </cell>
          <cell r="EI81">
            <v>1</v>
          </cell>
          <cell r="EJ81">
            <v>1</v>
          </cell>
          <cell r="EK81">
            <v>1</v>
          </cell>
          <cell r="EL81">
            <v>0.05</v>
          </cell>
          <cell r="EM81">
            <v>0.14000000000000001</v>
          </cell>
          <cell r="EN81">
            <v>0.11</v>
          </cell>
          <cell r="EO81">
            <v>0.2</v>
          </cell>
          <cell r="EP81">
            <v>0</v>
          </cell>
          <cell r="EQ81">
            <v>0</v>
          </cell>
          <cell r="ER81">
            <v>0</v>
          </cell>
          <cell r="ES81">
            <v>0</v>
          </cell>
          <cell r="ET81">
            <v>0</v>
          </cell>
          <cell r="EU81">
            <v>0</v>
          </cell>
          <cell r="EV81">
            <v>0</v>
          </cell>
          <cell r="EW81">
            <v>0</v>
          </cell>
          <cell r="EX81">
            <v>1</v>
          </cell>
          <cell r="EY81">
            <v>1</v>
          </cell>
          <cell r="EZ81">
            <v>1</v>
          </cell>
          <cell r="FA81">
            <v>0</v>
          </cell>
          <cell r="FB81">
            <v>0</v>
          </cell>
          <cell r="FC81">
            <v>0</v>
          </cell>
          <cell r="FD81">
            <v>0</v>
          </cell>
          <cell r="FE81">
            <v>0</v>
          </cell>
          <cell r="FF81">
            <v>0</v>
          </cell>
          <cell r="FG81">
            <v>0</v>
          </cell>
          <cell r="FH81">
            <v>0</v>
          </cell>
          <cell r="FI81">
            <v>0</v>
          </cell>
          <cell r="FJ81">
            <v>0</v>
          </cell>
          <cell r="FK81">
            <v>0</v>
          </cell>
          <cell r="FL81">
            <v>0</v>
          </cell>
          <cell r="FM81">
            <v>0</v>
          </cell>
          <cell r="FN81">
            <v>0</v>
          </cell>
          <cell r="FO81">
            <v>0</v>
          </cell>
          <cell r="FP81">
            <v>0</v>
          </cell>
          <cell r="FQ81">
            <v>0</v>
          </cell>
          <cell r="FR81">
            <v>0</v>
          </cell>
          <cell r="FS81">
            <v>0</v>
          </cell>
          <cell r="FT81">
            <v>0</v>
          </cell>
          <cell r="FU81">
            <v>0</v>
          </cell>
          <cell r="FV81">
            <v>0</v>
          </cell>
          <cell r="FW81">
            <v>0</v>
          </cell>
          <cell r="FX81">
            <v>0</v>
          </cell>
          <cell r="FY81">
            <v>0</v>
          </cell>
          <cell r="FZ81">
            <v>0</v>
          </cell>
        </row>
        <row r="82">
          <cell r="B82">
            <v>0.1</v>
          </cell>
          <cell r="C82">
            <v>0.08</v>
          </cell>
          <cell r="D82">
            <v>0.15</v>
          </cell>
          <cell r="E82">
            <v>0.08</v>
          </cell>
          <cell r="F82">
            <v>0.15</v>
          </cell>
          <cell r="G82">
            <v>0.22</v>
          </cell>
          <cell r="H82">
            <v>7.0000000000000007E-2</v>
          </cell>
          <cell r="I82">
            <v>0.05</v>
          </cell>
          <cell r="J82">
            <v>0.13</v>
          </cell>
          <cell r="K82">
            <v>0.18</v>
          </cell>
          <cell r="L82">
            <v>0.17</v>
          </cell>
          <cell r="M82">
            <v>0.16</v>
          </cell>
          <cell r="N82">
            <v>0.8</v>
          </cell>
          <cell r="O82">
            <v>1</v>
          </cell>
          <cell r="P82">
            <v>1</v>
          </cell>
          <cell r="Q82">
            <v>0.8</v>
          </cell>
          <cell r="R82">
            <v>0.8</v>
          </cell>
          <cell r="S82">
            <v>1</v>
          </cell>
          <cell r="T82">
            <v>1</v>
          </cell>
          <cell r="U82">
            <v>1</v>
          </cell>
          <cell r="V82">
            <v>1</v>
          </cell>
          <cell r="W82">
            <v>1</v>
          </cell>
          <cell r="X82">
            <v>1</v>
          </cell>
          <cell r="Y82">
            <v>1</v>
          </cell>
          <cell r="Z82">
            <v>0.1</v>
          </cell>
          <cell r="AA82">
            <v>0.1</v>
          </cell>
          <cell r="AB82">
            <v>0.14000000000000001</v>
          </cell>
          <cell r="AC82">
            <v>0.11</v>
          </cell>
          <cell r="AD82">
            <v>0.11</v>
          </cell>
          <cell r="AE82">
            <v>0.19</v>
          </cell>
          <cell r="AF82">
            <v>0.09</v>
          </cell>
          <cell r="AG82">
            <v>0.11</v>
          </cell>
          <cell r="AH82">
            <v>0.15</v>
          </cell>
          <cell r="AI82">
            <v>0.2</v>
          </cell>
          <cell r="AJ82">
            <v>0.2</v>
          </cell>
          <cell r="AK82">
            <v>0.2</v>
          </cell>
          <cell r="AL82">
            <v>0</v>
          </cell>
          <cell r="AM82">
            <v>0</v>
          </cell>
          <cell r="AN82">
            <v>0</v>
          </cell>
          <cell r="AO82">
            <v>0</v>
          </cell>
          <cell r="AP82">
            <v>0</v>
          </cell>
          <cell r="AQ82">
            <v>0</v>
          </cell>
          <cell r="AR82">
            <v>0</v>
          </cell>
          <cell r="AS82">
            <v>0</v>
          </cell>
          <cell r="AT82">
            <v>0</v>
          </cell>
          <cell r="AU82">
            <v>0</v>
          </cell>
          <cell r="AV82">
            <v>0</v>
          </cell>
          <cell r="AW82">
            <v>0</v>
          </cell>
          <cell r="AX82">
            <v>0</v>
          </cell>
          <cell r="AY82">
            <v>0</v>
          </cell>
          <cell r="AZ82">
            <v>0</v>
          </cell>
          <cell r="BA82">
            <v>0</v>
          </cell>
          <cell r="BB82">
            <v>0</v>
          </cell>
          <cell r="BC82">
            <v>0</v>
          </cell>
          <cell r="BD82">
            <v>0</v>
          </cell>
          <cell r="BE82">
            <v>0</v>
          </cell>
          <cell r="BF82">
            <v>0</v>
          </cell>
          <cell r="BG82">
            <v>0</v>
          </cell>
          <cell r="BH82">
            <v>0</v>
          </cell>
          <cell r="BI82">
            <v>0</v>
          </cell>
          <cell r="BJ82">
            <v>0</v>
          </cell>
          <cell r="BK82">
            <v>0</v>
          </cell>
          <cell r="BL82">
            <v>0</v>
          </cell>
          <cell r="BM82">
            <v>0</v>
          </cell>
          <cell r="BN82">
            <v>0</v>
          </cell>
          <cell r="BO82">
            <v>0</v>
          </cell>
          <cell r="BP82">
            <v>0</v>
          </cell>
          <cell r="BQ82">
            <v>0</v>
          </cell>
          <cell r="BR82">
            <v>0</v>
          </cell>
          <cell r="BS82">
            <v>0</v>
          </cell>
          <cell r="BT82">
            <v>0</v>
          </cell>
          <cell r="BU82">
            <v>0</v>
          </cell>
          <cell r="BV82">
            <v>0</v>
          </cell>
          <cell r="BW82">
            <v>0</v>
          </cell>
          <cell r="BX82">
            <v>0</v>
          </cell>
          <cell r="BY82">
            <v>0</v>
          </cell>
          <cell r="BZ82">
            <v>0</v>
          </cell>
          <cell r="CA82">
            <v>0</v>
          </cell>
          <cell r="CB82">
            <v>0</v>
          </cell>
          <cell r="CC82">
            <v>0</v>
          </cell>
          <cell r="CD82">
            <v>0</v>
          </cell>
          <cell r="CE82">
            <v>0</v>
          </cell>
          <cell r="CF82">
            <v>0</v>
          </cell>
          <cell r="CG82">
            <v>0</v>
          </cell>
          <cell r="CH82">
            <v>0</v>
          </cell>
          <cell r="CI82">
            <v>0</v>
          </cell>
          <cell r="CJ82">
            <v>0</v>
          </cell>
          <cell r="CK82">
            <v>0</v>
          </cell>
          <cell r="CL82">
            <v>0</v>
          </cell>
          <cell r="CM82">
            <v>0</v>
          </cell>
          <cell r="CN82">
            <v>0</v>
          </cell>
          <cell r="CO82">
            <v>0</v>
          </cell>
          <cell r="CP82">
            <v>0</v>
          </cell>
          <cell r="CQ82">
            <v>0</v>
          </cell>
          <cell r="CR82">
            <v>0</v>
          </cell>
          <cell r="CS82">
            <v>0</v>
          </cell>
          <cell r="CT82">
            <v>0</v>
          </cell>
          <cell r="CU82">
            <v>0</v>
          </cell>
          <cell r="CV82">
            <v>0</v>
          </cell>
          <cell r="CW82">
            <v>0</v>
          </cell>
          <cell r="CX82">
            <v>0</v>
          </cell>
          <cell r="CY82">
            <v>0</v>
          </cell>
          <cell r="CZ82">
            <v>0</v>
          </cell>
          <cell r="DA82">
            <v>0</v>
          </cell>
          <cell r="DB82">
            <v>0</v>
          </cell>
          <cell r="DC82">
            <v>0</v>
          </cell>
          <cell r="DD82">
            <v>0</v>
          </cell>
          <cell r="DE82">
            <v>0</v>
          </cell>
          <cell r="DF82">
            <v>0</v>
          </cell>
          <cell r="DG82">
            <v>0</v>
          </cell>
          <cell r="DH82">
            <v>0</v>
          </cell>
          <cell r="DI82">
            <v>0</v>
          </cell>
          <cell r="DJ82">
            <v>0</v>
          </cell>
          <cell r="DK82">
            <v>0</v>
          </cell>
          <cell r="DL82">
            <v>0</v>
          </cell>
          <cell r="DM82">
            <v>0</v>
          </cell>
          <cell r="DN82">
            <v>0</v>
          </cell>
          <cell r="DO82">
            <v>0</v>
          </cell>
          <cell r="DP82">
            <v>0</v>
          </cell>
          <cell r="DQ82">
            <v>0</v>
          </cell>
          <cell r="DR82">
            <v>0</v>
          </cell>
          <cell r="DS82">
            <v>0</v>
          </cell>
          <cell r="DT82">
            <v>0</v>
          </cell>
          <cell r="DU82">
            <v>0</v>
          </cell>
          <cell r="DV82">
            <v>0</v>
          </cell>
          <cell r="DW82">
            <v>0</v>
          </cell>
          <cell r="DX82">
            <v>0</v>
          </cell>
          <cell r="DY82">
            <v>0</v>
          </cell>
          <cell r="DZ82">
            <v>0</v>
          </cell>
          <cell r="EA82">
            <v>0</v>
          </cell>
          <cell r="EB82">
            <v>0</v>
          </cell>
          <cell r="EC82">
            <v>0</v>
          </cell>
          <cell r="ED82">
            <v>0.05</v>
          </cell>
          <cell r="EE82">
            <v>0.09</v>
          </cell>
          <cell r="EF82">
            <v>0.08</v>
          </cell>
          <cell r="EG82">
            <v>0.17</v>
          </cell>
          <cell r="EH82">
            <v>1</v>
          </cell>
          <cell r="EI82">
            <v>1</v>
          </cell>
          <cell r="EJ82">
            <v>1</v>
          </cell>
          <cell r="EK82">
            <v>1</v>
          </cell>
          <cell r="EL82">
            <v>0.05</v>
          </cell>
          <cell r="EM82">
            <v>0.14000000000000001</v>
          </cell>
          <cell r="EN82">
            <v>0.11</v>
          </cell>
          <cell r="EO82">
            <v>0.2</v>
          </cell>
          <cell r="EP82">
            <v>0</v>
          </cell>
          <cell r="EQ82">
            <v>0</v>
          </cell>
          <cell r="ER82">
            <v>0</v>
          </cell>
          <cell r="ES82">
            <v>0</v>
          </cell>
          <cell r="ET82">
            <v>0</v>
          </cell>
          <cell r="EU82">
            <v>0</v>
          </cell>
          <cell r="EV82">
            <v>0</v>
          </cell>
          <cell r="EW82">
            <v>0</v>
          </cell>
          <cell r="EX82">
            <v>1</v>
          </cell>
          <cell r="EY82">
            <v>1</v>
          </cell>
          <cell r="EZ82">
            <v>1</v>
          </cell>
          <cell r="FA82">
            <v>0</v>
          </cell>
          <cell r="FB82">
            <v>0</v>
          </cell>
          <cell r="FC82">
            <v>0</v>
          </cell>
          <cell r="FD82">
            <v>0</v>
          </cell>
          <cell r="FE82">
            <v>0</v>
          </cell>
          <cell r="FF82">
            <v>0</v>
          </cell>
          <cell r="FG82">
            <v>0</v>
          </cell>
          <cell r="FH82">
            <v>0</v>
          </cell>
          <cell r="FI82">
            <v>0</v>
          </cell>
          <cell r="FJ82">
            <v>0</v>
          </cell>
          <cell r="FK82">
            <v>0</v>
          </cell>
          <cell r="FL82">
            <v>0</v>
          </cell>
          <cell r="FM82">
            <v>0</v>
          </cell>
          <cell r="FN82">
            <v>0</v>
          </cell>
          <cell r="FO82">
            <v>0</v>
          </cell>
          <cell r="FP82">
            <v>0</v>
          </cell>
          <cell r="FQ82">
            <v>0</v>
          </cell>
          <cell r="FR82">
            <v>0</v>
          </cell>
          <cell r="FS82">
            <v>0</v>
          </cell>
          <cell r="FT82">
            <v>0</v>
          </cell>
          <cell r="FU82">
            <v>0</v>
          </cell>
          <cell r="FV82">
            <v>0</v>
          </cell>
          <cell r="FW82">
            <v>0</v>
          </cell>
          <cell r="FX82">
            <v>0</v>
          </cell>
          <cell r="FY82">
            <v>0</v>
          </cell>
          <cell r="FZ82">
            <v>0</v>
          </cell>
        </row>
        <row r="83">
          <cell r="B83">
            <v>0.1</v>
          </cell>
          <cell r="C83">
            <v>0.08</v>
          </cell>
          <cell r="D83">
            <v>0.15</v>
          </cell>
          <cell r="E83">
            <v>0.08</v>
          </cell>
          <cell r="F83">
            <v>0.15</v>
          </cell>
          <cell r="G83">
            <v>0.22</v>
          </cell>
          <cell r="H83">
            <v>7.0000000000000007E-2</v>
          </cell>
          <cell r="I83">
            <v>0.05</v>
          </cell>
          <cell r="J83">
            <v>0.13</v>
          </cell>
          <cell r="K83">
            <v>0.18</v>
          </cell>
          <cell r="L83">
            <v>0.17</v>
          </cell>
          <cell r="M83">
            <v>0.16</v>
          </cell>
          <cell r="N83">
            <v>0.8</v>
          </cell>
          <cell r="O83">
            <v>1</v>
          </cell>
          <cell r="P83">
            <v>1</v>
          </cell>
          <cell r="Q83">
            <v>0.8</v>
          </cell>
          <cell r="R83">
            <v>0.8</v>
          </cell>
          <cell r="S83">
            <v>1</v>
          </cell>
          <cell r="T83">
            <v>1</v>
          </cell>
          <cell r="U83">
            <v>1</v>
          </cell>
          <cell r="V83">
            <v>1</v>
          </cell>
          <cell r="W83">
            <v>1</v>
          </cell>
          <cell r="X83">
            <v>1</v>
          </cell>
          <cell r="Y83">
            <v>1</v>
          </cell>
          <cell r="Z83">
            <v>0.1</v>
          </cell>
          <cell r="AA83">
            <v>0.1</v>
          </cell>
          <cell r="AB83">
            <v>0.14000000000000001</v>
          </cell>
          <cell r="AC83">
            <v>0.11</v>
          </cell>
          <cell r="AD83">
            <v>0.11</v>
          </cell>
          <cell r="AE83">
            <v>0.19</v>
          </cell>
          <cell r="AF83">
            <v>0.09</v>
          </cell>
          <cell r="AG83">
            <v>0.11</v>
          </cell>
          <cell r="AH83">
            <v>0.15</v>
          </cell>
          <cell r="AI83">
            <v>0.2</v>
          </cell>
          <cell r="AJ83">
            <v>0.2</v>
          </cell>
          <cell r="AK83">
            <v>0.2</v>
          </cell>
          <cell r="AL83">
            <v>0</v>
          </cell>
          <cell r="AM83">
            <v>0</v>
          </cell>
          <cell r="AN83">
            <v>0</v>
          </cell>
          <cell r="AO83">
            <v>0</v>
          </cell>
          <cell r="AP83">
            <v>0</v>
          </cell>
          <cell r="AQ83">
            <v>0</v>
          </cell>
          <cell r="AR83">
            <v>0</v>
          </cell>
          <cell r="AS83">
            <v>0</v>
          </cell>
          <cell r="AT83">
            <v>0</v>
          </cell>
          <cell r="AU83">
            <v>0</v>
          </cell>
          <cell r="AV83">
            <v>0</v>
          </cell>
          <cell r="AW83">
            <v>0</v>
          </cell>
          <cell r="AX83">
            <v>0</v>
          </cell>
          <cell r="AY83">
            <v>0</v>
          </cell>
          <cell r="AZ83">
            <v>0</v>
          </cell>
          <cell r="BA83">
            <v>0</v>
          </cell>
          <cell r="BB83">
            <v>0</v>
          </cell>
          <cell r="BC83">
            <v>0</v>
          </cell>
          <cell r="BD83">
            <v>0</v>
          </cell>
          <cell r="BE83">
            <v>0</v>
          </cell>
          <cell r="BF83">
            <v>0</v>
          </cell>
          <cell r="BG83">
            <v>0</v>
          </cell>
          <cell r="BH83">
            <v>0</v>
          </cell>
          <cell r="BI83">
            <v>0</v>
          </cell>
          <cell r="BJ83">
            <v>0</v>
          </cell>
          <cell r="BK83">
            <v>0</v>
          </cell>
          <cell r="BL83">
            <v>0</v>
          </cell>
          <cell r="BM83">
            <v>0</v>
          </cell>
          <cell r="BN83">
            <v>0</v>
          </cell>
          <cell r="BO83">
            <v>0</v>
          </cell>
          <cell r="BP83">
            <v>0</v>
          </cell>
          <cell r="BQ83">
            <v>0</v>
          </cell>
          <cell r="BR83">
            <v>0</v>
          </cell>
          <cell r="BS83">
            <v>0</v>
          </cell>
          <cell r="BT83">
            <v>0</v>
          </cell>
          <cell r="BU83">
            <v>0</v>
          </cell>
          <cell r="BV83">
            <v>0</v>
          </cell>
          <cell r="BW83">
            <v>0</v>
          </cell>
          <cell r="BX83">
            <v>0</v>
          </cell>
          <cell r="BY83">
            <v>0</v>
          </cell>
          <cell r="BZ83">
            <v>0</v>
          </cell>
          <cell r="CA83">
            <v>0</v>
          </cell>
          <cell r="CB83">
            <v>0</v>
          </cell>
          <cell r="CC83">
            <v>0</v>
          </cell>
          <cell r="CD83">
            <v>0</v>
          </cell>
          <cell r="CE83">
            <v>0</v>
          </cell>
          <cell r="CF83">
            <v>0</v>
          </cell>
          <cell r="CG83">
            <v>0</v>
          </cell>
          <cell r="CH83">
            <v>0</v>
          </cell>
          <cell r="CI83">
            <v>0</v>
          </cell>
          <cell r="CJ83">
            <v>0</v>
          </cell>
          <cell r="CK83">
            <v>0</v>
          </cell>
          <cell r="CL83">
            <v>0</v>
          </cell>
          <cell r="CM83">
            <v>0</v>
          </cell>
          <cell r="CN83">
            <v>0</v>
          </cell>
          <cell r="CO83">
            <v>0</v>
          </cell>
          <cell r="CP83">
            <v>0</v>
          </cell>
          <cell r="CQ83">
            <v>0</v>
          </cell>
          <cell r="CR83">
            <v>0</v>
          </cell>
          <cell r="CS83">
            <v>0</v>
          </cell>
          <cell r="CT83">
            <v>0</v>
          </cell>
          <cell r="CU83">
            <v>0</v>
          </cell>
          <cell r="CV83">
            <v>0</v>
          </cell>
          <cell r="CW83">
            <v>0</v>
          </cell>
          <cell r="CX83">
            <v>0</v>
          </cell>
          <cell r="CY83">
            <v>0</v>
          </cell>
          <cell r="CZ83">
            <v>0</v>
          </cell>
          <cell r="DA83">
            <v>0</v>
          </cell>
          <cell r="DB83">
            <v>0</v>
          </cell>
          <cell r="DC83">
            <v>0</v>
          </cell>
          <cell r="DD83">
            <v>0</v>
          </cell>
          <cell r="DE83">
            <v>0</v>
          </cell>
          <cell r="DF83">
            <v>0</v>
          </cell>
          <cell r="DG83">
            <v>0</v>
          </cell>
          <cell r="DH83">
            <v>0</v>
          </cell>
          <cell r="DI83">
            <v>0</v>
          </cell>
          <cell r="DJ83">
            <v>0</v>
          </cell>
          <cell r="DK83">
            <v>0</v>
          </cell>
          <cell r="DL83">
            <v>0</v>
          </cell>
          <cell r="DM83">
            <v>0</v>
          </cell>
          <cell r="DN83">
            <v>0</v>
          </cell>
          <cell r="DO83">
            <v>0</v>
          </cell>
          <cell r="DP83">
            <v>0</v>
          </cell>
          <cell r="DQ83">
            <v>0</v>
          </cell>
          <cell r="DR83">
            <v>0</v>
          </cell>
          <cell r="DS83">
            <v>0</v>
          </cell>
          <cell r="DT83">
            <v>0</v>
          </cell>
          <cell r="DU83">
            <v>0</v>
          </cell>
          <cell r="DV83">
            <v>0</v>
          </cell>
          <cell r="DW83">
            <v>0</v>
          </cell>
          <cell r="DX83">
            <v>0</v>
          </cell>
          <cell r="DY83">
            <v>0</v>
          </cell>
          <cell r="DZ83">
            <v>0</v>
          </cell>
          <cell r="EA83">
            <v>0</v>
          </cell>
          <cell r="EB83">
            <v>0</v>
          </cell>
          <cell r="EC83">
            <v>0</v>
          </cell>
          <cell r="ED83">
            <v>0.05</v>
          </cell>
          <cell r="EE83">
            <v>0.09</v>
          </cell>
          <cell r="EF83">
            <v>0.08</v>
          </cell>
          <cell r="EG83">
            <v>0.17</v>
          </cell>
          <cell r="EH83">
            <v>1</v>
          </cell>
          <cell r="EI83">
            <v>1</v>
          </cell>
          <cell r="EJ83">
            <v>1</v>
          </cell>
          <cell r="EK83">
            <v>1</v>
          </cell>
          <cell r="EL83">
            <v>0.05</v>
          </cell>
          <cell r="EM83">
            <v>0.14000000000000001</v>
          </cell>
          <cell r="EN83">
            <v>0.11</v>
          </cell>
          <cell r="EO83">
            <v>0.2</v>
          </cell>
          <cell r="EP83">
            <v>0</v>
          </cell>
          <cell r="EQ83">
            <v>0</v>
          </cell>
          <cell r="ER83">
            <v>0</v>
          </cell>
          <cell r="ES83">
            <v>0</v>
          </cell>
          <cell r="ET83">
            <v>0</v>
          </cell>
          <cell r="EU83">
            <v>0</v>
          </cell>
          <cell r="EV83">
            <v>0</v>
          </cell>
          <cell r="EW83">
            <v>0</v>
          </cell>
          <cell r="EX83">
            <v>1</v>
          </cell>
          <cell r="EY83">
            <v>1</v>
          </cell>
          <cell r="EZ83">
            <v>1</v>
          </cell>
          <cell r="FA83">
            <v>0</v>
          </cell>
          <cell r="FB83">
            <v>0</v>
          </cell>
          <cell r="FC83">
            <v>0</v>
          </cell>
          <cell r="FD83">
            <v>0</v>
          </cell>
          <cell r="FE83">
            <v>0</v>
          </cell>
          <cell r="FF83">
            <v>0</v>
          </cell>
          <cell r="FG83">
            <v>0</v>
          </cell>
          <cell r="FH83">
            <v>0</v>
          </cell>
          <cell r="FI83">
            <v>0</v>
          </cell>
          <cell r="FJ83">
            <v>0</v>
          </cell>
          <cell r="FK83">
            <v>0</v>
          </cell>
          <cell r="FL83">
            <v>0</v>
          </cell>
          <cell r="FM83">
            <v>0</v>
          </cell>
          <cell r="FN83">
            <v>0</v>
          </cell>
          <cell r="FO83">
            <v>0</v>
          </cell>
          <cell r="FP83">
            <v>0</v>
          </cell>
          <cell r="FQ83">
            <v>0</v>
          </cell>
          <cell r="FR83">
            <v>0</v>
          </cell>
          <cell r="FS83">
            <v>0</v>
          </cell>
          <cell r="FT83">
            <v>0</v>
          </cell>
          <cell r="FU83">
            <v>0</v>
          </cell>
          <cell r="FV83">
            <v>0</v>
          </cell>
          <cell r="FW83">
            <v>0</v>
          </cell>
          <cell r="FX83">
            <v>0</v>
          </cell>
          <cell r="FY83">
            <v>0</v>
          </cell>
          <cell r="FZ83">
            <v>0</v>
          </cell>
        </row>
        <row r="84">
          <cell r="B84">
            <v>0.1</v>
          </cell>
          <cell r="C84">
            <v>0.08</v>
          </cell>
          <cell r="D84">
            <v>0.15</v>
          </cell>
          <cell r="E84">
            <v>0.08</v>
          </cell>
          <cell r="F84">
            <v>0.15</v>
          </cell>
          <cell r="G84">
            <v>0.22</v>
          </cell>
          <cell r="H84">
            <v>7.0000000000000007E-2</v>
          </cell>
          <cell r="I84">
            <v>0.05</v>
          </cell>
          <cell r="J84">
            <v>0.13</v>
          </cell>
          <cell r="K84">
            <v>0.18</v>
          </cell>
          <cell r="L84">
            <v>0.17</v>
          </cell>
          <cell r="M84">
            <v>0.16</v>
          </cell>
          <cell r="N84">
            <v>0.8</v>
          </cell>
          <cell r="O84">
            <v>1</v>
          </cell>
          <cell r="P84">
            <v>1</v>
          </cell>
          <cell r="Q84">
            <v>0.8</v>
          </cell>
          <cell r="R84">
            <v>0.8</v>
          </cell>
          <cell r="S84">
            <v>1</v>
          </cell>
          <cell r="T84">
            <v>1</v>
          </cell>
          <cell r="U84">
            <v>1</v>
          </cell>
          <cell r="V84">
            <v>1</v>
          </cell>
          <cell r="W84">
            <v>1</v>
          </cell>
          <cell r="X84">
            <v>1</v>
          </cell>
          <cell r="Y84">
            <v>1</v>
          </cell>
          <cell r="Z84">
            <v>0.1</v>
          </cell>
          <cell r="AA84">
            <v>0.1</v>
          </cell>
          <cell r="AB84">
            <v>0.14000000000000001</v>
          </cell>
          <cell r="AC84">
            <v>0.11</v>
          </cell>
          <cell r="AD84">
            <v>0.11</v>
          </cell>
          <cell r="AE84">
            <v>0.19</v>
          </cell>
          <cell r="AF84">
            <v>0.09</v>
          </cell>
          <cell r="AG84">
            <v>0.11</v>
          </cell>
          <cell r="AH84">
            <v>0.15</v>
          </cell>
          <cell r="AI84">
            <v>0.2</v>
          </cell>
          <cell r="AJ84">
            <v>0.2</v>
          </cell>
          <cell r="AK84">
            <v>0.2</v>
          </cell>
          <cell r="AL84">
            <v>0</v>
          </cell>
          <cell r="AM84">
            <v>0</v>
          </cell>
          <cell r="AN84">
            <v>0</v>
          </cell>
          <cell r="AO84">
            <v>0</v>
          </cell>
          <cell r="AP84">
            <v>0</v>
          </cell>
          <cell r="AQ84">
            <v>0</v>
          </cell>
          <cell r="AR84">
            <v>0</v>
          </cell>
          <cell r="AS84">
            <v>0</v>
          </cell>
          <cell r="AT84">
            <v>0</v>
          </cell>
          <cell r="AU84">
            <v>0</v>
          </cell>
          <cell r="AV84">
            <v>0</v>
          </cell>
          <cell r="AW84">
            <v>0</v>
          </cell>
          <cell r="AX84">
            <v>0</v>
          </cell>
          <cell r="AY84">
            <v>0</v>
          </cell>
          <cell r="AZ84">
            <v>0</v>
          </cell>
          <cell r="BA84">
            <v>0</v>
          </cell>
          <cell r="BB84">
            <v>0</v>
          </cell>
          <cell r="BC84">
            <v>0</v>
          </cell>
          <cell r="BD84">
            <v>0</v>
          </cell>
          <cell r="BE84">
            <v>0</v>
          </cell>
          <cell r="BF84">
            <v>0</v>
          </cell>
          <cell r="BG84">
            <v>0</v>
          </cell>
          <cell r="BH84">
            <v>0</v>
          </cell>
          <cell r="BI84">
            <v>0</v>
          </cell>
          <cell r="BJ84">
            <v>0</v>
          </cell>
          <cell r="BK84">
            <v>0</v>
          </cell>
          <cell r="BL84">
            <v>0</v>
          </cell>
          <cell r="BM84">
            <v>0</v>
          </cell>
          <cell r="BN84">
            <v>0</v>
          </cell>
          <cell r="BO84">
            <v>0</v>
          </cell>
          <cell r="BP84">
            <v>0</v>
          </cell>
          <cell r="BQ84">
            <v>0</v>
          </cell>
          <cell r="BR84">
            <v>0</v>
          </cell>
          <cell r="BS84">
            <v>0</v>
          </cell>
          <cell r="BT84">
            <v>0</v>
          </cell>
          <cell r="BU84">
            <v>0</v>
          </cell>
          <cell r="BV84">
            <v>0</v>
          </cell>
          <cell r="BW84">
            <v>0</v>
          </cell>
          <cell r="BX84">
            <v>0</v>
          </cell>
          <cell r="BY84">
            <v>0</v>
          </cell>
          <cell r="BZ84">
            <v>0</v>
          </cell>
          <cell r="CA84">
            <v>0</v>
          </cell>
          <cell r="CB84">
            <v>0</v>
          </cell>
          <cell r="CC84">
            <v>0</v>
          </cell>
          <cell r="CD84">
            <v>0</v>
          </cell>
          <cell r="CE84">
            <v>0</v>
          </cell>
          <cell r="CF84">
            <v>0</v>
          </cell>
          <cell r="CG84">
            <v>0</v>
          </cell>
          <cell r="CH84">
            <v>0</v>
          </cell>
          <cell r="CI84">
            <v>0</v>
          </cell>
          <cell r="CJ84">
            <v>0</v>
          </cell>
          <cell r="CK84">
            <v>0</v>
          </cell>
          <cell r="CL84">
            <v>0</v>
          </cell>
          <cell r="CM84">
            <v>0</v>
          </cell>
          <cell r="CN84">
            <v>0</v>
          </cell>
          <cell r="CO84">
            <v>0</v>
          </cell>
          <cell r="CP84">
            <v>0</v>
          </cell>
          <cell r="CQ84">
            <v>0</v>
          </cell>
          <cell r="CR84">
            <v>0</v>
          </cell>
          <cell r="CS84">
            <v>0</v>
          </cell>
          <cell r="CT84">
            <v>0</v>
          </cell>
          <cell r="CU84">
            <v>0</v>
          </cell>
          <cell r="CV84">
            <v>0</v>
          </cell>
          <cell r="CW84">
            <v>0</v>
          </cell>
          <cell r="CX84">
            <v>0</v>
          </cell>
          <cell r="CY84">
            <v>0</v>
          </cell>
          <cell r="CZ84">
            <v>0</v>
          </cell>
          <cell r="DA84">
            <v>0</v>
          </cell>
          <cell r="DB84">
            <v>0</v>
          </cell>
          <cell r="DC84">
            <v>0</v>
          </cell>
          <cell r="DD84">
            <v>0</v>
          </cell>
          <cell r="DE84">
            <v>0</v>
          </cell>
          <cell r="DF84">
            <v>0</v>
          </cell>
          <cell r="DG84">
            <v>0</v>
          </cell>
          <cell r="DH84">
            <v>0</v>
          </cell>
          <cell r="DI84">
            <v>0</v>
          </cell>
          <cell r="DJ84">
            <v>0</v>
          </cell>
          <cell r="DK84">
            <v>0</v>
          </cell>
          <cell r="DL84">
            <v>0</v>
          </cell>
          <cell r="DM84">
            <v>0</v>
          </cell>
          <cell r="DN84">
            <v>0</v>
          </cell>
          <cell r="DO84">
            <v>0</v>
          </cell>
          <cell r="DP84">
            <v>0</v>
          </cell>
          <cell r="DQ84">
            <v>0</v>
          </cell>
          <cell r="DR84">
            <v>0</v>
          </cell>
          <cell r="DS84">
            <v>0</v>
          </cell>
          <cell r="DT84">
            <v>0</v>
          </cell>
          <cell r="DU84">
            <v>0</v>
          </cell>
          <cell r="DV84">
            <v>0</v>
          </cell>
          <cell r="DW84">
            <v>0</v>
          </cell>
          <cell r="DX84">
            <v>0</v>
          </cell>
          <cell r="DY84">
            <v>0</v>
          </cell>
          <cell r="DZ84">
            <v>0</v>
          </cell>
          <cell r="EA84">
            <v>0</v>
          </cell>
          <cell r="EB84">
            <v>0</v>
          </cell>
          <cell r="EC84">
            <v>0</v>
          </cell>
          <cell r="ED84">
            <v>0.05</v>
          </cell>
          <cell r="EE84">
            <v>0.09</v>
          </cell>
          <cell r="EF84">
            <v>0.08</v>
          </cell>
          <cell r="EG84">
            <v>0.17</v>
          </cell>
          <cell r="EH84">
            <v>1</v>
          </cell>
          <cell r="EI84">
            <v>1</v>
          </cell>
          <cell r="EJ84">
            <v>1</v>
          </cell>
          <cell r="EK84">
            <v>1</v>
          </cell>
          <cell r="EL84">
            <v>0.05</v>
          </cell>
          <cell r="EM84">
            <v>0.14000000000000001</v>
          </cell>
          <cell r="EN84">
            <v>0.11</v>
          </cell>
          <cell r="EO84">
            <v>0.2</v>
          </cell>
          <cell r="EP84">
            <v>0</v>
          </cell>
          <cell r="EQ84">
            <v>0</v>
          </cell>
          <cell r="ER84">
            <v>0</v>
          </cell>
          <cell r="ES84">
            <v>0</v>
          </cell>
          <cell r="ET84">
            <v>0</v>
          </cell>
          <cell r="EU84">
            <v>0</v>
          </cell>
          <cell r="EV84">
            <v>0</v>
          </cell>
          <cell r="EW84">
            <v>0</v>
          </cell>
          <cell r="EX84">
            <v>1</v>
          </cell>
          <cell r="EY84">
            <v>1</v>
          </cell>
          <cell r="EZ84">
            <v>1</v>
          </cell>
          <cell r="FA84">
            <v>0</v>
          </cell>
          <cell r="FB84">
            <v>0</v>
          </cell>
          <cell r="FC84">
            <v>0</v>
          </cell>
          <cell r="FD84">
            <v>0</v>
          </cell>
          <cell r="FE84">
            <v>0</v>
          </cell>
          <cell r="FF84">
            <v>0</v>
          </cell>
          <cell r="FG84">
            <v>0</v>
          </cell>
          <cell r="FH84">
            <v>0</v>
          </cell>
          <cell r="FI84">
            <v>0</v>
          </cell>
          <cell r="FJ84">
            <v>0</v>
          </cell>
          <cell r="FK84">
            <v>0</v>
          </cell>
          <cell r="FL84">
            <v>0</v>
          </cell>
          <cell r="FM84">
            <v>0</v>
          </cell>
          <cell r="FN84">
            <v>0</v>
          </cell>
          <cell r="FO84">
            <v>0</v>
          </cell>
          <cell r="FP84">
            <v>0</v>
          </cell>
          <cell r="FQ84">
            <v>0</v>
          </cell>
          <cell r="FR84">
            <v>0</v>
          </cell>
          <cell r="FS84">
            <v>0</v>
          </cell>
          <cell r="FT84">
            <v>0</v>
          </cell>
          <cell r="FU84">
            <v>0</v>
          </cell>
          <cell r="FV84">
            <v>0</v>
          </cell>
          <cell r="FW84">
            <v>0</v>
          </cell>
          <cell r="FX84">
            <v>0</v>
          </cell>
          <cell r="FY84">
            <v>0</v>
          </cell>
          <cell r="FZ84">
            <v>0</v>
          </cell>
        </row>
        <row r="85">
          <cell r="B85">
            <v>0.1</v>
          </cell>
          <cell r="C85">
            <v>0.08</v>
          </cell>
          <cell r="D85">
            <v>0.15</v>
          </cell>
          <cell r="E85">
            <v>0.08</v>
          </cell>
          <cell r="F85">
            <v>0.15</v>
          </cell>
          <cell r="G85">
            <v>0.22</v>
          </cell>
          <cell r="H85">
            <v>7.0000000000000007E-2</v>
          </cell>
          <cell r="I85">
            <v>0.05</v>
          </cell>
          <cell r="J85">
            <v>0.13</v>
          </cell>
          <cell r="K85">
            <v>0.18</v>
          </cell>
          <cell r="L85">
            <v>0.17</v>
          </cell>
          <cell r="M85">
            <v>0.16</v>
          </cell>
          <cell r="N85">
            <v>0.8</v>
          </cell>
          <cell r="O85">
            <v>1</v>
          </cell>
          <cell r="P85">
            <v>1</v>
          </cell>
          <cell r="Q85">
            <v>0.8</v>
          </cell>
          <cell r="R85">
            <v>0.8</v>
          </cell>
          <cell r="S85">
            <v>1</v>
          </cell>
          <cell r="T85">
            <v>1</v>
          </cell>
          <cell r="U85">
            <v>1</v>
          </cell>
          <cell r="V85">
            <v>1</v>
          </cell>
          <cell r="W85">
            <v>1</v>
          </cell>
          <cell r="X85">
            <v>1</v>
          </cell>
          <cell r="Y85">
            <v>1</v>
          </cell>
          <cell r="Z85">
            <v>0.1</v>
          </cell>
          <cell r="AA85">
            <v>0.1</v>
          </cell>
          <cell r="AB85">
            <v>0.14000000000000001</v>
          </cell>
          <cell r="AC85">
            <v>0.11</v>
          </cell>
          <cell r="AD85">
            <v>0.11</v>
          </cell>
          <cell r="AE85">
            <v>0.19</v>
          </cell>
          <cell r="AF85">
            <v>0.09</v>
          </cell>
          <cell r="AG85">
            <v>0.11</v>
          </cell>
          <cell r="AH85">
            <v>0.15</v>
          </cell>
          <cell r="AI85">
            <v>0.2</v>
          </cell>
          <cell r="AJ85">
            <v>0.2</v>
          </cell>
          <cell r="AK85">
            <v>0.2</v>
          </cell>
          <cell r="AL85">
            <v>0</v>
          </cell>
          <cell r="AM85">
            <v>0</v>
          </cell>
          <cell r="AN85">
            <v>0</v>
          </cell>
          <cell r="AO85">
            <v>0</v>
          </cell>
          <cell r="AP85">
            <v>0</v>
          </cell>
          <cell r="AQ85">
            <v>0</v>
          </cell>
          <cell r="AR85">
            <v>0</v>
          </cell>
          <cell r="AS85">
            <v>0</v>
          </cell>
          <cell r="AT85">
            <v>0</v>
          </cell>
          <cell r="AU85">
            <v>0</v>
          </cell>
          <cell r="AV85">
            <v>0</v>
          </cell>
          <cell r="AW85">
            <v>0</v>
          </cell>
          <cell r="AX85">
            <v>0</v>
          </cell>
          <cell r="AY85">
            <v>0</v>
          </cell>
          <cell r="AZ85">
            <v>0</v>
          </cell>
          <cell r="BA85">
            <v>0</v>
          </cell>
          <cell r="BB85">
            <v>0</v>
          </cell>
          <cell r="BC85">
            <v>0</v>
          </cell>
          <cell r="BD85">
            <v>0</v>
          </cell>
          <cell r="BE85">
            <v>0</v>
          </cell>
          <cell r="BF85">
            <v>0</v>
          </cell>
          <cell r="BG85">
            <v>0</v>
          </cell>
          <cell r="BH85">
            <v>0</v>
          </cell>
          <cell r="BI85">
            <v>0</v>
          </cell>
          <cell r="BJ85">
            <v>0</v>
          </cell>
          <cell r="BK85">
            <v>0</v>
          </cell>
          <cell r="BL85">
            <v>0</v>
          </cell>
          <cell r="BM85">
            <v>0</v>
          </cell>
          <cell r="BN85">
            <v>0</v>
          </cell>
          <cell r="BO85">
            <v>0</v>
          </cell>
          <cell r="BP85">
            <v>0</v>
          </cell>
          <cell r="BQ85">
            <v>0</v>
          </cell>
          <cell r="BR85">
            <v>0</v>
          </cell>
          <cell r="BS85">
            <v>0</v>
          </cell>
          <cell r="BT85">
            <v>0</v>
          </cell>
          <cell r="BU85">
            <v>0</v>
          </cell>
          <cell r="BV85">
            <v>0</v>
          </cell>
          <cell r="BW85">
            <v>0</v>
          </cell>
          <cell r="BX85">
            <v>0</v>
          </cell>
          <cell r="BY85">
            <v>0</v>
          </cell>
          <cell r="BZ85">
            <v>0</v>
          </cell>
          <cell r="CA85">
            <v>0</v>
          </cell>
          <cell r="CB85">
            <v>0</v>
          </cell>
          <cell r="CC85">
            <v>0</v>
          </cell>
          <cell r="CD85">
            <v>0</v>
          </cell>
          <cell r="CE85">
            <v>0</v>
          </cell>
          <cell r="CF85">
            <v>0</v>
          </cell>
          <cell r="CG85">
            <v>0</v>
          </cell>
          <cell r="CH85">
            <v>0</v>
          </cell>
          <cell r="CI85">
            <v>0</v>
          </cell>
          <cell r="CJ85">
            <v>0</v>
          </cell>
          <cell r="CK85">
            <v>0</v>
          </cell>
          <cell r="CL85">
            <v>0</v>
          </cell>
          <cell r="CM85">
            <v>0</v>
          </cell>
          <cell r="CN85">
            <v>0</v>
          </cell>
          <cell r="CO85">
            <v>0</v>
          </cell>
          <cell r="CP85">
            <v>0</v>
          </cell>
          <cell r="CQ85">
            <v>0</v>
          </cell>
          <cell r="CR85">
            <v>0</v>
          </cell>
          <cell r="CS85">
            <v>0</v>
          </cell>
          <cell r="CT85">
            <v>0</v>
          </cell>
          <cell r="CU85">
            <v>0</v>
          </cell>
          <cell r="CV85">
            <v>0</v>
          </cell>
          <cell r="CW85">
            <v>0</v>
          </cell>
          <cell r="CX85">
            <v>0</v>
          </cell>
          <cell r="CY85">
            <v>0</v>
          </cell>
          <cell r="CZ85">
            <v>0</v>
          </cell>
          <cell r="DA85">
            <v>0</v>
          </cell>
          <cell r="DB85">
            <v>0</v>
          </cell>
          <cell r="DC85">
            <v>0</v>
          </cell>
          <cell r="DD85">
            <v>0</v>
          </cell>
          <cell r="DE85">
            <v>0</v>
          </cell>
          <cell r="DF85">
            <v>0</v>
          </cell>
          <cell r="DG85">
            <v>0</v>
          </cell>
          <cell r="DH85">
            <v>0</v>
          </cell>
          <cell r="DI85">
            <v>0</v>
          </cell>
          <cell r="DJ85">
            <v>0</v>
          </cell>
          <cell r="DK85">
            <v>0</v>
          </cell>
          <cell r="DL85">
            <v>0</v>
          </cell>
          <cell r="DM85">
            <v>0</v>
          </cell>
          <cell r="DN85">
            <v>0</v>
          </cell>
          <cell r="DO85">
            <v>0</v>
          </cell>
          <cell r="DP85">
            <v>0</v>
          </cell>
          <cell r="DQ85">
            <v>0</v>
          </cell>
          <cell r="DR85">
            <v>0</v>
          </cell>
          <cell r="DS85">
            <v>0</v>
          </cell>
          <cell r="DT85">
            <v>0</v>
          </cell>
          <cell r="DU85">
            <v>0</v>
          </cell>
          <cell r="DV85">
            <v>0</v>
          </cell>
          <cell r="DW85">
            <v>0</v>
          </cell>
          <cell r="DX85">
            <v>0</v>
          </cell>
          <cell r="DY85">
            <v>0</v>
          </cell>
          <cell r="DZ85">
            <v>0</v>
          </cell>
          <cell r="EA85">
            <v>0</v>
          </cell>
          <cell r="EB85">
            <v>0</v>
          </cell>
          <cell r="EC85">
            <v>0</v>
          </cell>
          <cell r="ED85">
            <v>0.05</v>
          </cell>
          <cell r="EE85">
            <v>0.09</v>
          </cell>
          <cell r="EF85">
            <v>0.08</v>
          </cell>
          <cell r="EG85">
            <v>0.17</v>
          </cell>
          <cell r="EH85">
            <v>1</v>
          </cell>
          <cell r="EI85">
            <v>1</v>
          </cell>
          <cell r="EJ85">
            <v>1</v>
          </cell>
          <cell r="EK85">
            <v>1</v>
          </cell>
          <cell r="EL85">
            <v>0.05</v>
          </cell>
          <cell r="EM85">
            <v>0.14000000000000001</v>
          </cell>
          <cell r="EN85">
            <v>0.11</v>
          </cell>
          <cell r="EO85">
            <v>0.2</v>
          </cell>
          <cell r="EP85">
            <v>0</v>
          </cell>
          <cell r="EQ85">
            <v>0</v>
          </cell>
          <cell r="ER85">
            <v>0</v>
          </cell>
          <cell r="ES85">
            <v>0</v>
          </cell>
          <cell r="ET85">
            <v>0</v>
          </cell>
          <cell r="EU85">
            <v>0</v>
          </cell>
          <cell r="EV85">
            <v>0</v>
          </cell>
          <cell r="EW85">
            <v>0</v>
          </cell>
          <cell r="EX85">
            <v>1</v>
          </cell>
          <cell r="EY85">
            <v>1</v>
          </cell>
          <cell r="EZ85">
            <v>1</v>
          </cell>
          <cell r="FA85">
            <v>0</v>
          </cell>
          <cell r="FB85">
            <v>0</v>
          </cell>
          <cell r="FC85">
            <v>0</v>
          </cell>
          <cell r="FD85">
            <v>0</v>
          </cell>
          <cell r="FE85">
            <v>0</v>
          </cell>
          <cell r="FF85">
            <v>0</v>
          </cell>
          <cell r="FG85">
            <v>0</v>
          </cell>
          <cell r="FH85">
            <v>0</v>
          </cell>
          <cell r="FI85">
            <v>0</v>
          </cell>
          <cell r="FJ85">
            <v>0</v>
          </cell>
          <cell r="FK85">
            <v>0</v>
          </cell>
          <cell r="FL85">
            <v>0</v>
          </cell>
          <cell r="FM85">
            <v>0</v>
          </cell>
          <cell r="FN85">
            <v>0</v>
          </cell>
          <cell r="FO85">
            <v>0</v>
          </cell>
          <cell r="FP85">
            <v>0</v>
          </cell>
          <cell r="FQ85">
            <v>0</v>
          </cell>
          <cell r="FR85">
            <v>0</v>
          </cell>
          <cell r="FS85">
            <v>0</v>
          </cell>
          <cell r="FT85">
            <v>0</v>
          </cell>
          <cell r="FU85">
            <v>0</v>
          </cell>
          <cell r="FV85">
            <v>0</v>
          </cell>
          <cell r="FW85">
            <v>0</v>
          </cell>
          <cell r="FX85">
            <v>0</v>
          </cell>
          <cell r="FY85">
            <v>0</v>
          </cell>
          <cell r="FZ85">
            <v>0</v>
          </cell>
        </row>
        <row r="86">
          <cell r="B86">
            <v>0.1</v>
          </cell>
          <cell r="C86">
            <v>0.08</v>
          </cell>
          <cell r="D86">
            <v>0.15</v>
          </cell>
          <cell r="E86">
            <v>0.08</v>
          </cell>
          <cell r="F86">
            <v>0.15</v>
          </cell>
          <cell r="G86">
            <v>0.22</v>
          </cell>
          <cell r="H86">
            <v>7.0000000000000007E-2</v>
          </cell>
          <cell r="I86">
            <v>0.05</v>
          </cell>
          <cell r="J86">
            <v>0.13</v>
          </cell>
          <cell r="K86">
            <v>0.18</v>
          </cell>
          <cell r="L86">
            <v>0.17</v>
          </cell>
          <cell r="M86">
            <v>0.16</v>
          </cell>
          <cell r="N86">
            <v>0.8</v>
          </cell>
          <cell r="O86">
            <v>1</v>
          </cell>
          <cell r="P86">
            <v>1</v>
          </cell>
          <cell r="Q86">
            <v>0.8</v>
          </cell>
          <cell r="R86">
            <v>0.8</v>
          </cell>
          <cell r="S86">
            <v>1</v>
          </cell>
          <cell r="T86">
            <v>1</v>
          </cell>
          <cell r="U86">
            <v>1</v>
          </cell>
          <cell r="V86">
            <v>1</v>
          </cell>
          <cell r="W86">
            <v>1</v>
          </cell>
          <cell r="X86">
            <v>1</v>
          </cell>
          <cell r="Y86">
            <v>1</v>
          </cell>
          <cell r="Z86">
            <v>0.1</v>
          </cell>
          <cell r="AA86">
            <v>0.1</v>
          </cell>
          <cell r="AB86">
            <v>0.14000000000000001</v>
          </cell>
          <cell r="AC86">
            <v>0.11</v>
          </cell>
          <cell r="AD86">
            <v>0.11</v>
          </cell>
          <cell r="AE86">
            <v>0.19</v>
          </cell>
          <cell r="AF86">
            <v>0.09</v>
          </cell>
          <cell r="AG86">
            <v>0.11</v>
          </cell>
          <cell r="AH86">
            <v>0.15</v>
          </cell>
          <cell r="AI86">
            <v>0.2</v>
          </cell>
          <cell r="AJ86">
            <v>0.2</v>
          </cell>
          <cell r="AK86">
            <v>0.2</v>
          </cell>
          <cell r="AL86">
            <v>0</v>
          </cell>
          <cell r="AM86">
            <v>0</v>
          </cell>
          <cell r="AN86">
            <v>0</v>
          </cell>
          <cell r="AO86">
            <v>0</v>
          </cell>
          <cell r="AP86">
            <v>0</v>
          </cell>
          <cell r="AQ86">
            <v>0</v>
          </cell>
          <cell r="AR86">
            <v>0</v>
          </cell>
          <cell r="AS86">
            <v>0</v>
          </cell>
          <cell r="AT86">
            <v>0</v>
          </cell>
          <cell r="AU86">
            <v>0</v>
          </cell>
          <cell r="AV86">
            <v>0</v>
          </cell>
          <cell r="AW86">
            <v>0</v>
          </cell>
          <cell r="AX86">
            <v>0</v>
          </cell>
          <cell r="AY86">
            <v>0</v>
          </cell>
          <cell r="AZ86">
            <v>0</v>
          </cell>
          <cell r="BA86">
            <v>0</v>
          </cell>
          <cell r="BB86">
            <v>0</v>
          </cell>
          <cell r="BC86">
            <v>0</v>
          </cell>
          <cell r="BD86">
            <v>0</v>
          </cell>
          <cell r="BE86">
            <v>0</v>
          </cell>
          <cell r="BF86">
            <v>0</v>
          </cell>
          <cell r="BG86">
            <v>0</v>
          </cell>
          <cell r="BH86">
            <v>0</v>
          </cell>
          <cell r="BI86">
            <v>0</v>
          </cell>
          <cell r="BJ86">
            <v>0</v>
          </cell>
          <cell r="BK86">
            <v>0</v>
          </cell>
          <cell r="BL86">
            <v>0</v>
          </cell>
          <cell r="BM86">
            <v>0</v>
          </cell>
          <cell r="BN86">
            <v>0</v>
          </cell>
          <cell r="BO86">
            <v>0</v>
          </cell>
          <cell r="BP86">
            <v>0</v>
          </cell>
          <cell r="BQ86">
            <v>0</v>
          </cell>
          <cell r="BR86">
            <v>0</v>
          </cell>
          <cell r="BS86">
            <v>0</v>
          </cell>
          <cell r="BT86">
            <v>0</v>
          </cell>
          <cell r="BU86">
            <v>0</v>
          </cell>
          <cell r="BV86">
            <v>0</v>
          </cell>
          <cell r="BW86">
            <v>0</v>
          </cell>
          <cell r="BX86">
            <v>0</v>
          </cell>
          <cell r="BY86">
            <v>0</v>
          </cell>
          <cell r="BZ86">
            <v>0</v>
          </cell>
          <cell r="CA86">
            <v>0</v>
          </cell>
          <cell r="CB86">
            <v>0</v>
          </cell>
          <cell r="CC86">
            <v>0</v>
          </cell>
          <cell r="CD86">
            <v>0</v>
          </cell>
          <cell r="CE86">
            <v>0</v>
          </cell>
          <cell r="CF86">
            <v>0</v>
          </cell>
          <cell r="CG86">
            <v>0</v>
          </cell>
          <cell r="CH86">
            <v>0</v>
          </cell>
          <cell r="CI86">
            <v>0</v>
          </cell>
          <cell r="CJ86">
            <v>0</v>
          </cell>
          <cell r="CK86">
            <v>0</v>
          </cell>
          <cell r="CL86">
            <v>0</v>
          </cell>
          <cell r="CM86">
            <v>0</v>
          </cell>
          <cell r="CN86">
            <v>0</v>
          </cell>
          <cell r="CO86">
            <v>0</v>
          </cell>
          <cell r="CP86">
            <v>0</v>
          </cell>
          <cell r="CQ86">
            <v>0</v>
          </cell>
          <cell r="CR86">
            <v>0</v>
          </cell>
          <cell r="CS86">
            <v>0</v>
          </cell>
          <cell r="CT86">
            <v>0</v>
          </cell>
          <cell r="CU86">
            <v>0</v>
          </cell>
          <cell r="CV86">
            <v>0</v>
          </cell>
          <cell r="CW86">
            <v>0</v>
          </cell>
          <cell r="CX86">
            <v>0</v>
          </cell>
          <cell r="CY86">
            <v>0</v>
          </cell>
          <cell r="CZ86">
            <v>0</v>
          </cell>
          <cell r="DA86">
            <v>0</v>
          </cell>
          <cell r="DB86">
            <v>0</v>
          </cell>
          <cell r="DC86">
            <v>0</v>
          </cell>
          <cell r="DD86">
            <v>0</v>
          </cell>
          <cell r="DE86">
            <v>0</v>
          </cell>
          <cell r="DF86">
            <v>0</v>
          </cell>
          <cell r="DG86">
            <v>0</v>
          </cell>
          <cell r="DH86">
            <v>0</v>
          </cell>
          <cell r="DI86">
            <v>0</v>
          </cell>
          <cell r="DJ86">
            <v>0</v>
          </cell>
          <cell r="DK86">
            <v>0</v>
          </cell>
          <cell r="DL86">
            <v>0</v>
          </cell>
          <cell r="DM86">
            <v>0</v>
          </cell>
          <cell r="DN86">
            <v>0</v>
          </cell>
          <cell r="DO86">
            <v>0</v>
          </cell>
          <cell r="DP86">
            <v>0</v>
          </cell>
          <cell r="DQ86">
            <v>0</v>
          </cell>
          <cell r="DR86">
            <v>0</v>
          </cell>
          <cell r="DS86">
            <v>0</v>
          </cell>
          <cell r="DT86">
            <v>0</v>
          </cell>
          <cell r="DU86">
            <v>0</v>
          </cell>
          <cell r="DV86">
            <v>0</v>
          </cell>
          <cell r="DW86">
            <v>0</v>
          </cell>
          <cell r="DX86">
            <v>0</v>
          </cell>
          <cell r="DY86">
            <v>0</v>
          </cell>
          <cell r="DZ86">
            <v>0</v>
          </cell>
          <cell r="EA86">
            <v>0</v>
          </cell>
          <cell r="EB86">
            <v>0</v>
          </cell>
          <cell r="EC86">
            <v>0</v>
          </cell>
          <cell r="ED86">
            <v>0.05</v>
          </cell>
          <cell r="EE86">
            <v>0.09</v>
          </cell>
          <cell r="EF86">
            <v>0.08</v>
          </cell>
          <cell r="EG86">
            <v>0.17</v>
          </cell>
          <cell r="EH86">
            <v>1</v>
          </cell>
          <cell r="EI86">
            <v>1</v>
          </cell>
          <cell r="EJ86">
            <v>1</v>
          </cell>
          <cell r="EK86">
            <v>1</v>
          </cell>
          <cell r="EL86">
            <v>0.05</v>
          </cell>
          <cell r="EM86">
            <v>0.14000000000000001</v>
          </cell>
          <cell r="EN86">
            <v>0.11</v>
          </cell>
          <cell r="EO86">
            <v>0.2</v>
          </cell>
          <cell r="EP86">
            <v>0</v>
          </cell>
          <cell r="EQ86">
            <v>0</v>
          </cell>
          <cell r="ER86">
            <v>0</v>
          </cell>
          <cell r="ES86">
            <v>0</v>
          </cell>
          <cell r="ET86">
            <v>0</v>
          </cell>
          <cell r="EU86">
            <v>0</v>
          </cell>
          <cell r="EV86">
            <v>0</v>
          </cell>
          <cell r="EW86">
            <v>0</v>
          </cell>
          <cell r="EX86">
            <v>1</v>
          </cell>
          <cell r="EY86">
            <v>1</v>
          </cell>
          <cell r="EZ86">
            <v>1</v>
          </cell>
          <cell r="FA86">
            <v>0</v>
          </cell>
          <cell r="FB86">
            <v>0</v>
          </cell>
          <cell r="FC86">
            <v>0</v>
          </cell>
          <cell r="FD86">
            <v>0</v>
          </cell>
          <cell r="FE86">
            <v>0</v>
          </cell>
          <cell r="FF86">
            <v>0</v>
          </cell>
          <cell r="FG86">
            <v>0</v>
          </cell>
          <cell r="FH86">
            <v>0</v>
          </cell>
          <cell r="FI86">
            <v>0</v>
          </cell>
          <cell r="FJ86">
            <v>0</v>
          </cell>
          <cell r="FK86">
            <v>0</v>
          </cell>
          <cell r="FL86">
            <v>0</v>
          </cell>
          <cell r="FM86">
            <v>0</v>
          </cell>
          <cell r="FN86">
            <v>0</v>
          </cell>
          <cell r="FO86">
            <v>0</v>
          </cell>
          <cell r="FP86">
            <v>0</v>
          </cell>
          <cell r="FQ86">
            <v>0</v>
          </cell>
          <cell r="FR86">
            <v>0</v>
          </cell>
          <cell r="FS86">
            <v>0</v>
          </cell>
          <cell r="FT86">
            <v>0</v>
          </cell>
          <cell r="FU86">
            <v>0</v>
          </cell>
          <cell r="FV86">
            <v>0</v>
          </cell>
          <cell r="FW86">
            <v>0</v>
          </cell>
          <cell r="FX86">
            <v>0</v>
          </cell>
          <cell r="FY86">
            <v>0</v>
          </cell>
          <cell r="FZ86">
            <v>0</v>
          </cell>
        </row>
        <row r="87">
          <cell r="B87">
            <v>0.1</v>
          </cell>
          <cell r="C87">
            <v>0.08</v>
          </cell>
          <cell r="D87">
            <v>0.15</v>
          </cell>
          <cell r="E87">
            <v>0.08</v>
          </cell>
          <cell r="F87">
            <v>0.15</v>
          </cell>
          <cell r="G87">
            <v>0.22</v>
          </cell>
          <cell r="H87">
            <v>7.0000000000000007E-2</v>
          </cell>
          <cell r="I87">
            <v>0.05</v>
          </cell>
          <cell r="J87">
            <v>0.13</v>
          </cell>
          <cell r="K87">
            <v>0.18</v>
          </cell>
          <cell r="L87">
            <v>0.17</v>
          </cell>
          <cell r="M87">
            <v>0.16</v>
          </cell>
          <cell r="N87">
            <v>0.8</v>
          </cell>
          <cell r="O87">
            <v>1</v>
          </cell>
          <cell r="P87">
            <v>1</v>
          </cell>
          <cell r="Q87">
            <v>0.8</v>
          </cell>
          <cell r="R87">
            <v>0.8</v>
          </cell>
          <cell r="S87">
            <v>1</v>
          </cell>
          <cell r="T87">
            <v>1</v>
          </cell>
          <cell r="U87">
            <v>1</v>
          </cell>
          <cell r="V87">
            <v>1</v>
          </cell>
          <cell r="W87">
            <v>1</v>
          </cell>
          <cell r="X87">
            <v>1</v>
          </cell>
          <cell r="Y87">
            <v>1</v>
          </cell>
          <cell r="Z87">
            <v>0.1</v>
          </cell>
          <cell r="AA87">
            <v>0.1</v>
          </cell>
          <cell r="AB87">
            <v>0.14000000000000001</v>
          </cell>
          <cell r="AC87">
            <v>0.11</v>
          </cell>
          <cell r="AD87">
            <v>0.11</v>
          </cell>
          <cell r="AE87">
            <v>0.19</v>
          </cell>
          <cell r="AF87">
            <v>0.09</v>
          </cell>
          <cell r="AG87">
            <v>0.11</v>
          </cell>
          <cell r="AH87">
            <v>0.15</v>
          </cell>
          <cell r="AI87">
            <v>0.2</v>
          </cell>
          <cell r="AJ87">
            <v>0.2</v>
          </cell>
          <cell r="AK87">
            <v>0.2</v>
          </cell>
          <cell r="AL87">
            <v>0</v>
          </cell>
          <cell r="AM87">
            <v>0</v>
          </cell>
          <cell r="AN87">
            <v>0</v>
          </cell>
          <cell r="AO87">
            <v>0</v>
          </cell>
          <cell r="AP87">
            <v>0</v>
          </cell>
          <cell r="AQ87">
            <v>0</v>
          </cell>
          <cell r="AR87">
            <v>0</v>
          </cell>
          <cell r="AS87">
            <v>0</v>
          </cell>
          <cell r="AT87">
            <v>0</v>
          </cell>
          <cell r="AU87">
            <v>0</v>
          </cell>
          <cell r="AV87">
            <v>0</v>
          </cell>
          <cell r="AW87">
            <v>0</v>
          </cell>
          <cell r="AX87">
            <v>0</v>
          </cell>
          <cell r="AY87">
            <v>0</v>
          </cell>
          <cell r="AZ87">
            <v>0</v>
          </cell>
          <cell r="BA87">
            <v>0</v>
          </cell>
          <cell r="BB87">
            <v>0</v>
          </cell>
          <cell r="BC87">
            <v>0</v>
          </cell>
          <cell r="BD87">
            <v>0</v>
          </cell>
          <cell r="BE87">
            <v>0</v>
          </cell>
          <cell r="BF87">
            <v>0</v>
          </cell>
          <cell r="BG87">
            <v>0</v>
          </cell>
          <cell r="BH87">
            <v>0</v>
          </cell>
          <cell r="BI87">
            <v>0</v>
          </cell>
          <cell r="BJ87">
            <v>0</v>
          </cell>
          <cell r="BK87">
            <v>0</v>
          </cell>
          <cell r="BL87">
            <v>0</v>
          </cell>
          <cell r="BM87">
            <v>0</v>
          </cell>
          <cell r="BN87">
            <v>0</v>
          </cell>
          <cell r="BO87">
            <v>0</v>
          </cell>
          <cell r="BP87">
            <v>0</v>
          </cell>
          <cell r="BQ87">
            <v>0</v>
          </cell>
          <cell r="BR87">
            <v>0</v>
          </cell>
          <cell r="BS87">
            <v>0</v>
          </cell>
          <cell r="BT87">
            <v>0</v>
          </cell>
          <cell r="BU87">
            <v>0</v>
          </cell>
          <cell r="BV87">
            <v>0</v>
          </cell>
          <cell r="BW87">
            <v>0</v>
          </cell>
          <cell r="BX87">
            <v>0</v>
          </cell>
          <cell r="BY87">
            <v>0</v>
          </cell>
          <cell r="BZ87">
            <v>0</v>
          </cell>
          <cell r="CA87">
            <v>0</v>
          </cell>
          <cell r="CB87">
            <v>0</v>
          </cell>
          <cell r="CC87">
            <v>0</v>
          </cell>
          <cell r="CD87">
            <v>0</v>
          </cell>
          <cell r="CE87">
            <v>0</v>
          </cell>
          <cell r="CF87">
            <v>0</v>
          </cell>
          <cell r="CG87">
            <v>0</v>
          </cell>
          <cell r="CH87">
            <v>0</v>
          </cell>
          <cell r="CI87">
            <v>0</v>
          </cell>
          <cell r="CJ87">
            <v>0</v>
          </cell>
          <cell r="CK87">
            <v>0</v>
          </cell>
          <cell r="CL87">
            <v>0</v>
          </cell>
          <cell r="CM87">
            <v>0</v>
          </cell>
          <cell r="CN87">
            <v>0</v>
          </cell>
          <cell r="CO87">
            <v>0</v>
          </cell>
          <cell r="CP87">
            <v>0</v>
          </cell>
          <cell r="CQ87">
            <v>0</v>
          </cell>
          <cell r="CR87">
            <v>0</v>
          </cell>
          <cell r="CS87">
            <v>0</v>
          </cell>
          <cell r="CT87">
            <v>0</v>
          </cell>
          <cell r="CU87">
            <v>0</v>
          </cell>
          <cell r="CV87">
            <v>0</v>
          </cell>
          <cell r="CW87">
            <v>0</v>
          </cell>
          <cell r="CX87">
            <v>0</v>
          </cell>
          <cell r="CY87">
            <v>0</v>
          </cell>
          <cell r="CZ87">
            <v>0</v>
          </cell>
          <cell r="DA87">
            <v>0</v>
          </cell>
          <cell r="DB87">
            <v>0</v>
          </cell>
          <cell r="DC87">
            <v>0</v>
          </cell>
          <cell r="DD87">
            <v>0</v>
          </cell>
          <cell r="DE87">
            <v>0</v>
          </cell>
          <cell r="DF87">
            <v>0</v>
          </cell>
          <cell r="DG87">
            <v>0</v>
          </cell>
          <cell r="DH87">
            <v>0</v>
          </cell>
          <cell r="DI87">
            <v>0</v>
          </cell>
          <cell r="DJ87">
            <v>0</v>
          </cell>
          <cell r="DK87">
            <v>0</v>
          </cell>
          <cell r="DL87">
            <v>0</v>
          </cell>
          <cell r="DM87">
            <v>0</v>
          </cell>
          <cell r="DN87">
            <v>0</v>
          </cell>
          <cell r="DO87">
            <v>0</v>
          </cell>
          <cell r="DP87">
            <v>0</v>
          </cell>
          <cell r="DQ87">
            <v>0</v>
          </cell>
          <cell r="DR87">
            <v>0</v>
          </cell>
          <cell r="DS87">
            <v>0</v>
          </cell>
          <cell r="DT87">
            <v>0</v>
          </cell>
          <cell r="DU87">
            <v>0</v>
          </cell>
          <cell r="DV87">
            <v>0</v>
          </cell>
          <cell r="DW87">
            <v>0</v>
          </cell>
          <cell r="DX87">
            <v>0</v>
          </cell>
          <cell r="DY87">
            <v>0</v>
          </cell>
          <cell r="DZ87">
            <v>0</v>
          </cell>
          <cell r="EA87">
            <v>0</v>
          </cell>
          <cell r="EB87">
            <v>0</v>
          </cell>
          <cell r="EC87">
            <v>0</v>
          </cell>
          <cell r="ED87">
            <v>0.05</v>
          </cell>
          <cell r="EE87">
            <v>0.09</v>
          </cell>
          <cell r="EF87">
            <v>0.08</v>
          </cell>
          <cell r="EG87">
            <v>0.17</v>
          </cell>
          <cell r="EH87">
            <v>1</v>
          </cell>
          <cell r="EI87">
            <v>1</v>
          </cell>
          <cell r="EJ87">
            <v>1</v>
          </cell>
          <cell r="EK87">
            <v>1</v>
          </cell>
          <cell r="EL87">
            <v>0.05</v>
          </cell>
          <cell r="EM87">
            <v>0.14000000000000001</v>
          </cell>
          <cell r="EN87">
            <v>0.11</v>
          </cell>
          <cell r="EO87">
            <v>0.2</v>
          </cell>
          <cell r="EP87">
            <v>0</v>
          </cell>
          <cell r="EQ87">
            <v>0</v>
          </cell>
          <cell r="ER87">
            <v>0</v>
          </cell>
          <cell r="ES87">
            <v>0</v>
          </cell>
          <cell r="ET87">
            <v>0</v>
          </cell>
          <cell r="EU87">
            <v>0</v>
          </cell>
          <cell r="EV87">
            <v>0</v>
          </cell>
          <cell r="EW87">
            <v>0</v>
          </cell>
          <cell r="EX87">
            <v>1</v>
          </cell>
          <cell r="EY87">
            <v>1</v>
          </cell>
          <cell r="EZ87">
            <v>1</v>
          </cell>
          <cell r="FA87">
            <v>0</v>
          </cell>
          <cell r="FB87">
            <v>0</v>
          </cell>
          <cell r="FC87">
            <v>0</v>
          </cell>
          <cell r="FD87">
            <v>0</v>
          </cell>
          <cell r="FE87">
            <v>0</v>
          </cell>
          <cell r="FF87">
            <v>0</v>
          </cell>
          <cell r="FG87">
            <v>0</v>
          </cell>
          <cell r="FH87">
            <v>0</v>
          </cell>
          <cell r="FI87">
            <v>0</v>
          </cell>
          <cell r="FJ87">
            <v>0</v>
          </cell>
          <cell r="FK87">
            <v>0</v>
          </cell>
          <cell r="FL87">
            <v>0</v>
          </cell>
          <cell r="FM87">
            <v>0</v>
          </cell>
          <cell r="FN87">
            <v>0</v>
          </cell>
          <cell r="FO87">
            <v>0</v>
          </cell>
          <cell r="FP87">
            <v>0</v>
          </cell>
          <cell r="FQ87">
            <v>0</v>
          </cell>
          <cell r="FR87">
            <v>0</v>
          </cell>
          <cell r="FS87">
            <v>0</v>
          </cell>
          <cell r="FT87">
            <v>0</v>
          </cell>
          <cell r="FU87">
            <v>0</v>
          </cell>
          <cell r="FV87">
            <v>0</v>
          </cell>
          <cell r="FW87">
            <v>0</v>
          </cell>
          <cell r="FX87">
            <v>0</v>
          </cell>
          <cell r="FY87">
            <v>0</v>
          </cell>
          <cell r="FZ87">
            <v>0</v>
          </cell>
        </row>
        <row r="88">
          <cell r="B88">
            <v>0.1</v>
          </cell>
          <cell r="C88">
            <v>0.08</v>
          </cell>
          <cell r="D88">
            <v>0.15</v>
          </cell>
          <cell r="E88">
            <v>0.08</v>
          </cell>
          <cell r="F88">
            <v>0.15</v>
          </cell>
          <cell r="G88">
            <v>0.22</v>
          </cell>
          <cell r="H88">
            <v>7.0000000000000007E-2</v>
          </cell>
          <cell r="I88">
            <v>0.05</v>
          </cell>
          <cell r="J88">
            <v>0.13</v>
          </cell>
          <cell r="K88">
            <v>0.18</v>
          </cell>
          <cell r="L88">
            <v>0.17</v>
          </cell>
          <cell r="M88">
            <v>0.16</v>
          </cell>
          <cell r="N88">
            <v>0.8</v>
          </cell>
          <cell r="O88">
            <v>1</v>
          </cell>
          <cell r="P88">
            <v>1</v>
          </cell>
          <cell r="Q88">
            <v>0.8</v>
          </cell>
          <cell r="R88">
            <v>0.8</v>
          </cell>
          <cell r="S88">
            <v>1</v>
          </cell>
          <cell r="T88">
            <v>1</v>
          </cell>
          <cell r="U88">
            <v>1</v>
          </cell>
          <cell r="V88">
            <v>1</v>
          </cell>
          <cell r="W88">
            <v>1</v>
          </cell>
          <cell r="X88">
            <v>1</v>
          </cell>
          <cell r="Y88">
            <v>1</v>
          </cell>
          <cell r="Z88">
            <v>0.1</v>
          </cell>
          <cell r="AA88">
            <v>0.1</v>
          </cell>
          <cell r="AB88">
            <v>0.14000000000000001</v>
          </cell>
          <cell r="AC88">
            <v>0.11</v>
          </cell>
          <cell r="AD88">
            <v>0.11</v>
          </cell>
          <cell r="AE88">
            <v>0.19</v>
          </cell>
          <cell r="AF88">
            <v>0.09</v>
          </cell>
          <cell r="AG88">
            <v>0.11</v>
          </cell>
          <cell r="AH88">
            <v>0.15</v>
          </cell>
          <cell r="AI88">
            <v>0.2</v>
          </cell>
          <cell r="AJ88">
            <v>0.2</v>
          </cell>
          <cell r="AK88">
            <v>0.2</v>
          </cell>
          <cell r="AL88">
            <v>0</v>
          </cell>
          <cell r="AM88">
            <v>0</v>
          </cell>
          <cell r="AN88">
            <v>0</v>
          </cell>
          <cell r="AO88">
            <v>0</v>
          </cell>
          <cell r="AP88">
            <v>0</v>
          </cell>
          <cell r="AQ88">
            <v>0</v>
          </cell>
          <cell r="AR88">
            <v>0</v>
          </cell>
          <cell r="AS88">
            <v>0</v>
          </cell>
          <cell r="AT88">
            <v>0</v>
          </cell>
          <cell r="AU88">
            <v>0</v>
          </cell>
          <cell r="AV88">
            <v>0</v>
          </cell>
          <cell r="AW88">
            <v>0</v>
          </cell>
          <cell r="AX88">
            <v>0</v>
          </cell>
          <cell r="AY88">
            <v>0</v>
          </cell>
          <cell r="AZ88">
            <v>0</v>
          </cell>
          <cell r="BA88">
            <v>0</v>
          </cell>
          <cell r="BB88">
            <v>0</v>
          </cell>
          <cell r="BC88">
            <v>0</v>
          </cell>
          <cell r="BD88">
            <v>0</v>
          </cell>
          <cell r="BE88">
            <v>0</v>
          </cell>
          <cell r="BF88">
            <v>0</v>
          </cell>
          <cell r="BG88">
            <v>0</v>
          </cell>
          <cell r="BH88">
            <v>0</v>
          </cell>
          <cell r="BI88">
            <v>0</v>
          </cell>
          <cell r="BJ88">
            <v>0</v>
          </cell>
          <cell r="BK88">
            <v>0</v>
          </cell>
          <cell r="BL88">
            <v>0</v>
          </cell>
          <cell r="BM88">
            <v>0</v>
          </cell>
          <cell r="BN88">
            <v>0</v>
          </cell>
          <cell r="BO88">
            <v>0</v>
          </cell>
          <cell r="BP88">
            <v>0</v>
          </cell>
          <cell r="BQ88">
            <v>0</v>
          </cell>
          <cell r="BR88">
            <v>0</v>
          </cell>
          <cell r="BS88">
            <v>0</v>
          </cell>
          <cell r="BT88">
            <v>0</v>
          </cell>
          <cell r="BU88">
            <v>0</v>
          </cell>
          <cell r="BV88">
            <v>0</v>
          </cell>
          <cell r="BW88">
            <v>0</v>
          </cell>
          <cell r="BX88">
            <v>0</v>
          </cell>
          <cell r="BY88">
            <v>0</v>
          </cell>
          <cell r="BZ88">
            <v>0</v>
          </cell>
          <cell r="CA88">
            <v>0</v>
          </cell>
          <cell r="CB88">
            <v>0</v>
          </cell>
          <cell r="CC88">
            <v>0</v>
          </cell>
          <cell r="CD88">
            <v>0</v>
          </cell>
          <cell r="CE88">
            <v>0</v>
          </cell>
          <cell r="CF88">
            <v>0</v>
          </cell>
          <cell r="CG88">
            <v>0</v>
          </cell>
          <cell r="CH88">
            <v>0</v>
          </cell>
          <cell r="CI88">
            <v>0</v>
          </cell>
          <cell r="CJ88">
            <v>0</v>
          </cell>
          <cell r="CK88">
            <v>0</v>
          </cell>
          <cell r="CL88">
            <v>0</v>
          </cell>
          <cell r="CM88">
            <v>0</v>
          </cell>
          <cell r="CN88">
            <v>0</v>
          </cell>
          <cell r="CO88">
            <v>0</v>
          </cell>
          <cell r="CP88">
            <v>0</v>
          </cell>
          <cell r="CQ88">
            <v>0</v>
          </cell>
          <cell r="CR88">
            <v>0</v>
          </cell>
          <cell r="CS88">
            <v>0</v>
          </cell>
          <cell r="CT88">
            <v>0</v>
          </cell>
          <cell r="CU88">
            <v>0</v>
          </cell>
          <cell r="CV88">
            <v>0</v>
          </cell>
          <cell r="CW88">
            <v>0</v>
          </cell>
          <cell r="CX88">
            <v>0</v>
          </cell>
          <cell r="CY88">
            <v>0</v>
          </cell>
          <cell r="CZ88">
            <v>0</v>
          </cell>
          <cell r="DA88">
            <v>0</v>
          </cell>
          <cell r="DB88">
            <v>0</v>
          </cell>
          <cell r="DC88">
            <v>0</v>
          </cell>
          <cell r="DD88">
            <v>0</v>
          </cell>
          <cell r="DE88">
            <v>0</v>
          </cell>
          <cell r="DF88">
            <v>0</v>
          </cell>
          <cell r="DG88">
            <v>0</v>
          </cell>
          <cell r="DH88">
            <v>0</v>
          </cell>
          <cell r="DI88">
            <v>0</v>
          </cell>
          <cell r="DJ88">
            <v>0</v>
          </cell>
          <cell r="DK88">
            <v>0</v>
          </cell>
          <cell r="DL88">
            <v>0</v>
          </cell>
          <cell r="DM88">
            <v>0</v>
          </cell>
          <cell r="DN88">
            <v>0</v>
          </cell>
          <cell r="DO88">
            <v>0</v>
          </cell>
          <cell r="DP88">
            <v>0</v>
          </cell>
          <cell r="DQ88">
            <v>0</v>
          </cell>
          <cell r="DR88">
            <v>0</v>
          </cell>
          <cell r="DS88">
            <v>0</v>
          </cell>
          <cell r="DT88">
            <v>0</v>
          </cell>
          <cell r="DU88">
            <v>0</v>
          </cell>
          <cell r="DV88">
            <v>0</v>
          </cell>
          <cell r="DW88">
            <v>0</v>
          </cell>
          <cell r="DX88">
            <v>0</v>
          </cell>
          <cell r="DY88">
            <v>0</v>
          </cell>
          <cell r="DZ88">
            <v>0</v>
          </cell>
          <cell r="EA88">
            <v>0</v>
          </cell>
          <cell r="EB88">
            <v>0</v>
          </cell>
          <cell r="EC88">
            <v>0</v>
          </cell>
          <cell r="ED88">
            <v>0.05</v>
          </cell>
          <cell r="EE88">
            <v>0.09</v>
          </cell>
          <cell r="EF88">
            <v>0.08</v>
          </cell>
          <cell r="EG88">
            <v>0.17</v>
          </cell>
          <cell r="EH88">
            <v>1</v>
          </cell>
          <cell r="EI88">
            <v>1</v>
          </cell>
          <cell r="EJ88">
            <v>1</v>
          </cell>
          <cell r="EK88">
            <v>1</v>
          </cell>
          <cell r="EL88">
            <v>0.05</v>
          </cell>
          <cell r="EM88">
            <v>0.14000000000000001</v>
          </cell>
          <cell r="EN88">
            <v>0.11</v>
          </cell>
          <cell r="EO88">
            <v>0.2</v>
          </cell>
          <cell r="EP88">
            <v>0</v>
          </cell>
          <cell r="EQ88">
            <v>0</v>
          </cell>
          <cell r="ER88">
            <v>0</v>
          </cell>
          <cell r="ES88">
            <v>0</v>
          </cell>
          <cell r="ET88">
            <v>0</v>
          </cell>
          <cell r="EU88">
            <v>0</v>
          </cell>
          <cell r="EV88">
            <v>0</v>
          </cell>
          <cell r="EW88">
            <v>0</v>
          </cell>
          <cell r="EX88">
            <v>1</v>
          </cell>
          <cell r="EY88">
            <v>1</v>
          </cell>
          <cell r="EZ88">
            <v>1</v>
          </cell>
          <cell r="FA88">
            <v>0</v>
          </cell>
          <cell r="FB88">
            <v>0</v>
          </cell>
          <cell r="FC88">
            <v>0</v>
          </cell>
          <cell r="FD88">
            <v>0</v>
          </cell>
          <cell r="FE88">
            <v>0</v>
          </cell>
          <cell r="FF88">
            <v>0</v>
          </cell>
          <cell r="FG88">
            <v>0</v>
          </cell>
          <cell r="FH88">
            <v>0</v>
          </cell>
          <cell r="FI88">
            <v>0</v>
          </cell>
          <cell r="FJ88">
            <v>0</v>
          </cell>
          <cell r="FK88">
            <v>0</v>
          </cell>
          <cell r="FL88">
            <v>0</v>
          </cell>
          <cell r="FM88">
            <v>0</v>
          </cell>
          <cell r="FN88">
            <v>0</v>
          </cell>
          <cell r="FO88">
            <v>0</v>
          </cell>
          <cell r="FP88">
            <v>0</v>
          </cell>
          <cell r="FQ88">
            <v>0</v>
          </cell>
          <cell r="FR88">
            <v>0</v>
          </cell>
          <cell r="FS88">
            <v>0</v>
          </cell>
          <cell r="FT88">
            <v>0</v>
          </cell>
          <cell r="FU88">
            <v>0</v>
          </cell>
          <cell r="FV88">
            <v>0</v>
          </cell>
          <cell r="FW88">
            <v>0</v>
          </cell>
          <cell r="FX88">
            <v>0</v>
          </cell>
          <cell r="FY88">
            <v>0</v>
          </cell>
          <cell r="FZ88">
            <v>0</v>
          </cell>
        </row>
        <row r="89">
          <cell r="B89">
            <v>0.1</v>
          </cell>
          <cell r="C89">
            <v>0.08</v>
          </cell>
          <cell r="D89">
            <v>0.15</v>
          </cell>
          <cell r="E89">
            <v>0.08</v>
          </cell>
          <cell r="F89">
            <v>0.15</v>
          </cell>
          <cell r="G89">
            <v>0.22</v>
          </cell>
          <cell r="H89">
            <v>7.0000000000000007E-2</v>
          </cell>
          <cell r="I89">
            <v>0.05</v>
          </cell>
          <cell r="J89">
            <v>0.13</v>
          </cell>
          <cell r="K89">
            <v>0.18</v>
          </cell>
          <cell r="L89">
            <v>0.17</v>
          </cell>
          <cell r="M89">
            <v>0.16</v>
          </cell>
          <cell r="N89">
            <v>0.8</v>
          </cell>
          <cell r="O89">
            <v>1</v>
          </cell>
          <cell r="P89">
            <v>1</v>
          </cell>
          <cell r="Q89">
            <v>0.8</v>
          </cell>
          <cell r="R89">
            <v>0.8</v>
          </cell>
          <cell r="S89">
            <v>1</v>
          </cell>
          <cell r="T89">
            <v>1</v>
          </cell>
          <cell r="U89">
            <v>1</v>
          </cell>
          <cell r="V89">
            <v>1</v>
          </cell>
          <cell r="W89">
            <v>1</v>
          </cell>
          <cell r="X89">
            <v>1</v>
          </cell>
          <cell r="Y89">
            <v>1</v>
          </cell>
          <cell r="Z89">
            <v>0.1</v>
          </cell>
          <cell r="AA89">
            <v>0.1</v>
          </cell>
          <cell r="AB89">
            <v>0.14000000000000001</v>
          </cell>
          <cell r="AC89">
            <v>0.11</v>
          </cell>
          <cell r="AD89">
            <v>0.11</v>
          </cell>
          <cell r="AE89">
            <v>0.19</v>
          </cell>
          <cell r="AF89">
            <v>0.09</v>
          </cell>
          <cell r="AG89">
            <v>0.11</v>
          </cell>
          <cell r="AH89">
            <v>0.15</v>
          </cell>
          <cell r="AI89">
            <v>0.2</v>
          </cell>
          <cell r="AJ89">
            <v>0.2</v>
          </cell>
          <cell r="AK89">
            <v>0.2</v>
          </cell>
          <cell r="AL89">
            <v>0</v>
          </cell>
          <cell r="AM89">
            <v>0</v>
          </cell>
          <cell r="AN89">
            <v>0</v>
          </cell>
          <cell r="AO89">
            <v>0</v>
          </cell>
          <cell r="AP89">
            <v>0</v>
          </cell>
          <cell r="AQ89">
            <v>0</v>
          </cell>
          <cell r="AR89">
            <v>0</v>
          </cell>
          <cell r="AS89">
            <v>0</v>
          </cell>
          <cell r="AT89">
            <v>0</v>
          </cell>
          <cell r="AU89">
            <v>0</v>
          </cell>
          <cell r="AV89">
            <v>0</v>
          </cell>
          <cell r="AW89">
            <v>0</v>
          </cell>
          <cell r="AX89">
            <v>0</v>
          </cell>
          <cell r="AY89">
            <v>0</v>
          </cell>
          <cell r="AZ89">
            <v>0</v>
          </cell>
          <cell r="BA89">
            <v>0</v>
          </cell>
          <cell r="BB89">
            <v>0</v>
          </cell>
          <cell r="BC89">
            <v>0</v>
          </cell>
          <cell r="BD89">
            <v>0</v>
          </cell>
          <cell r="BE89">
            <v>0</v>
          </cell>
          <cell r="BF89">
            <v>0</v>
          </cell>
          <cell r="BG89">
            <v>0</v>
          </cell>
          <cell r="BH89">
            <v>0</v>
          </cell>
          <cell r="BI89">
            <v>0</v>
          </cell>
          <cell r="BJ89">
            <v>0</v>
          </cell>
          <cell r="BK89">
            <v>0</v>
          </cell>
          <cell r="BL89">
            <v>0</v>
          </cell>
          <cell r="BM89">
            <v>0</v>
          </cell>
          <cell r="BN89">
            <v>0</v>
          </cell>
          <cell r="BO89">
            <v>0</v>
          </cell>
          <cell r="BP89">
            <v>0</v>
          </cell>
          <cell r="BQ89">
            <v>0</v>
          </cell>
          <cell r="BR89">
            <v>0</v>
          </cell>
          <cell r="BS89">
            <v>0</v>
          </cell>
          <cell r="BT89">
            <v>0</v>
          </cell>
          <cell r="BU89">
            <v>0</v>
          </cell>
          <cell r="BV89">
            <v>0</v>
          </cell>
          <cell r="BW89">
            <v>0</v>
          </cell>
          <cell r="BX89">
            <v>0</v>
          </cell>
          <cell r="BY89">
            <v>0</v>
          </cell>
          <cell r="BZ89">
            <v>0</v>
          </cell>
          <cell r="CA89">
            <v>0</v>
          </cell>
          <cell r="CB89">
            <v>0</v>
          </cell>
          <cell r="CC89">
            <v>0</v>
          </cell>
          <cell r="CD89">
            <v>0</v>
          </cell>
          <cell r="CE89">
            <v>0</v>
          </cell>
          <cell r="CF89">
            <v>0</v>
          </cell>
          <cell r="CG89">
            <v>0</v>
          </cell>
          <cell r="CH89">
            <v>0</v>
          </cell>
          <cell r="CI89">
            <v>0</v>
          </cell>
          <cell r="CJ89">
            <v>0</v>
          </cell>
          <cell r="CK89">
            <v>0</v>
          </cell>
          <cell r="CL89">
            <v>0</v>
          </cell>
          <cell r="CM89">
            <v>0</v>
          </cell>
          <cell r="CN89">
            <v>0</v>
          </cell>
          <cell r="CO89">
            <v>0</v>
          </cell>
          <cell r="CP89">
            <v>0</v>
          </cell>
          <cell r="CQ89">
            <v>0</v>
          </cell>
          <cell r="CR89">
            <v>0</v>
          </cell>
          <cell r="CS89">
            <v>0</v>
          </cell>
          <cell r="CT89">
            <v>0</v>
          </cell>
          <cell r="CU89">
            <v>0</v>
          </cell>
          <cell r="CV89">
            <v>0</v>
          </cell>
          <cell r="CW89">
            <v>0</v>
          </cell>
          <cell r="CX89">
            <v>0</v>
          </cell>
          <cell r="CY89">
            <v>0</v>
          </cell>
          <cell r="CZ89">
            <v>0</v>
          </cell>
          <cell r="DA89">
            <v>0</v>
          </cell>
          <cell r="DB89">
            <v>0</v>
          </cell>
          <cell r="DC89">
            <v>0</v>
          </cell>
          <cell r="DD89">
            <v>0</v>
          </cell>
          <cell r="DE89">
            <v>0</v>
          </cell>
          <cell r="DF89">
            <v>0</v>
          </cell>
          <cell r="DG89">
            <v>0</v>
          </cell>
          <cell r="DH89">
            <v>0</v>
          </cell>
          <cell r="DI89">
            <v>0</v>
          </cell>
          <cell r="DJ89">
            <v>0</v>
          </cell>
          <cell r="DK89">
            <v>0</v>
          </cell>
          <cell r="DL89">
            <v>0</v>
          </cell>
          <cell r="DM89">
            <v>0</v>
          </cell>
          <cell r="DN89">
            <v>0</v>
          </cell>
          <cell r="DO89">
            <v>0</v>
          </cell>
          <cell r="DP89">
            <v>0</v>
          </cell>
          <cell r="DQ89">
            <v>0</v>
          </cell>
          <cell r="DR89">
            <v>0</v>
          </cell>
          <cell r="DS89">
            <v>0</v>
          </cell>
          <cell r="DT89">
            <v>0</v>
          </cell>
          <cell r="DU89">
            <v>0</v>
          </cell>
          <cell r="DV89">
            <v>0</v>
          </cell>
          <cell r="DW89">
            <v>0</v>
          </cell>
          <cell r="DX89">
            <v>0</v>
          </cell>
          <cell r="DY89">
            <v>0</v>
          </cell>
          <cell r="DZ89">
            <v>0</v>
          </cell>
          <cell r="EA89">
            <v>0</v>
          </cell>
          <cell r="EB89">
            <v>0</v>
          </cell>
          <cell r="EC89">
            <v>0</v>
          </cell>
          <cell r="ED89">
            <v>0.05</v>
          </cell>
          <cell r="EE89">
            <v>0.09</v>
          </cell>
          <cell r="EF89">
            <v>0.08</v>
          </cell>
          <cell r="EG89">
            <v>0.17</v>
          </cell>
          <cell r="EH89">
            <v>1</v>
          </cell>
          <cell r="EI89">
            <v>1</v>
          </cell>
          <cell r="EJ89">
            <v>1</v>
          </cell>
          <cell r="EK89">
            <v>1</v>
          </cell>
          <cell r="EL89">
            <v>0.05</v>
          </cell>
          <cell r="EM89">
            <v>0.14000000000000001</v>
          </cell>
          <cell r="EN89">
            <v>0.11</v>
          </cell>
          <cell r="EO89">
            <v>0.2</v>
          </cell>
          <cell r="EP89">
            <v>0</v>
          </cell>
          <cell r="EQ89">
            <v>0</v>
          </cell>
          <cell r="ER89">
            <v>0</v>
          </cell>
          <cell r="ES89">
            <v>0</v>
          </cell>
          <cell r="ET89">
            <v>0</v>
          </cell>
          <cell r="EU89">
            <v>0</v>
          </cell>
          <cell r="EV89">
            <v>0</v>
          </cell>
          <cell r="EW89">
            <v>0</v>
          </cell>
          <cell r="EX89">
            <v>1</v>
          </cell>
          <cell r="EY89">
            <v>1</v>
          </cell>
          <cell r="EZ89">
            <v>1</v>
          </cell>
          <cell r="FA89">
            <v>0</v>
          </cell>
          <cell r="FB89">
            <v>0</v>
          </cell>
          <cell r="FC89">
            <v>0</v>
          </cell>
          <cell r="FD89">
            <v>0</v>
          </cell>
          <cell r="FE89">
            <v>0</v>
          </cell>
          <cell r="FF89">
            <v>0</v>
          </cell>
          <cell r="FG89">
            <v>0</v>
          </cell>
          <cell r="FH89">
            <v>0</v>
          </cell>
          <cell r="FI89">
            <v>0</v>
          </cell>
          <cell r="FJ89">
            <v>0</v>
          </cell>
          <cell r="FK89">
            <v>0</v>
          </cell>
          <cell r="FL89">
            <v>0</v>
          </cell>
          <cell r="FM89">
            <v>0</v>
          </cell>
          <cell r="FN89">
            <v>0</v>
          </cell>
          <cell r="FO89">
            <v>0</v>
          </cell>
          <cell r="FP89">
            <v>0</v>
          </cell>
          <cell r="FQ89">
            <v>0</v>
          </cell>
          <cell r="FR89">
            <v>0</v>
          </cell>
          <cell r="FS89">
            <v>0</v>
          </cell>
          <cell r="FT89">
            <v>0</v>
          </cell>
          <cell r="FU89">
            <v>0</v>
          </cell>
          <cell r="FV89">
            <v>0</v>
          </cell>
          <cell r="FW89">
            <v>0</v>
          </cell>
          <cell r="FX89">
            <v>0</v>
          </cell>
          <cell r="FY89">
            <v>0</v>
          </cell>
          <cell r="FZ89">
            <v>0</v>
          </cell>
        </row>
        <row r="90">
          <cell r="B90">
            <v>0.1</v>
          </cell>
          <cell r="C90">
            <v>0.08</v>
          </cell>
          <cell r="D90">
            <v>0.15</v>
          </cell>
          <cell r="E90">
            <v>0.08</v>
          </cell>
          <cell r="F90">
            <v>0.15</v>
          </cell>
          <cell r="G90">
            <v>0.22</v>
          </cell>
          <cell r="H90">
            <v>7.0000000000000007E-2</v>
          </cell>
          <cell r="I90">
            <v>0.05</v>
          </cell>
          <cell r="J90">
            <v>0.13</v>
          </cell>
          <cell r="K90">
            <v>0.18</v>
          </cell>
          <cell r="L90">
            <v>0.17</v>
          </cell>
          <cell r="M90">
            <v>0.16</v>
          </cell>
          <cell r="N90">
            <v>0.8</v>
          </cell>
          <cell r="O90">
            <v>1</v>
          </cell>
          <cell r="P90">
            <v>1</v>
          </cell>
          <cell r="Q90">
            <v>0.8</v>
          </cell>
          <cell r="R90">
            <v>0.8</v>
          </cell>
          <cell r="S90">
            <v>1</v>
          </cell>
          <cell r="T90">
            <v>1</v>
          </cell>
          <cell r="U90">
            <v>1</v>
          </cell>
          <cell r="V90">
            <v>1</v>
          </cell>
          <cell r="W90">
            <v>1</v>
          </cell>
          <cell r="X90">
            <v>1</v>
          </cell>
          <cell r="Y90">
            <v>1</v>
          </cell>
          <cell r="Z90">
            <v>0.1</v>
          </cell>
          <cell r="AA90">
            <v>0.1</v>
          </cell>
          <cell r="AB90">
            <v>0.14000000000000001</v>
          </cell>
          <cell r="AC90">
            <v>0.11</v>
          </cell>
          <cell r="AD90">
            <v>0.11</v>
          </cell>
          <cell r="AE90">
            <v>0.19</v>
          </cell>
          <cell r="AF90">
            <v>0.09</v>
          </cell>
          <cell r="AG90">
            <v>0.11</v>
          </cell>
          <cell r="AH90">
            <v>0.15</v>
          </cell>
          <cell r="AI90">
            <v>0.2</v>
          </cell>
          <cell r="AJ90">
            <v>0.2</v>
          </cell>
          <cell r="AK90">
            <v>0.2</v>
          </cell>
          <cell r="AL90">
            <v>0</v>
          </cell>
          <cell r="AM90">
            <v>0</v>
          </cell>
          <cell r="AN90">
            <v>0</v>
          </cell>
          <cell r="AO90">
            <v>0</v>
          </cell>
          <cell r="AP90">
            <v>0</v>
          </cell>
          <cell r="AQ90">
            <v>0</v>
          </cell>
          <cell r="AR90">
            <v>0</v>
          </cell>
          <cell r="AS90">
            <v>0</v>
          </cell>
          <cell r="AT90">
            <v>0</v>
          </cell>
          <cell r="AU90">
            <v>0</v>
          </cell>
          <cell r="AV90">
            <v>0</v>
          </cell>
          <cell r="AW90">
            <v>0</v>
          </cell>
          <cell r="AX90">
            <v>0</v>
          </cell>
          <cell r="AY90">
            <v>0</v>
          </cell>
          <cell r="AZ90">
            <v>0</v>
          </cell>
          <cell r="BA90">
            <v>0</v>
          </cell>
          <cell r="BB90">
            <v>0</v>
          </cell>
          <cell r="BC90">
            <v>0</v>
          </cell>
          <cell r="BD90">
            <v>0</v>
          </cell>
          <cell r="BE90">
            <v>0</v>
          </cell>
          <cell r="BF90">
            <v>0</v>
          </cell>
          <cell r="BG90">
            <v>0</v>
          </cell>
          <cell r="BH90">
            <v>0</v>
          </cell>
          <cell r="BI90">
            <v>0</v>
          </cell>
          <cell r="BJ90">
            <v>0</v>
          </cell>
          <cell r="BK90">
            <v>0</v>
          </cell>
          <cell r="BL90">
            <v>0</v>
          </cell>
          <cell r="BM90">
            <v>0</v>
          </cell>
          <cell r="BN90">
            <v>0</v>
          </cell>
          <cell r="BO90">
            <v>0</v>
          </cell>
          <cell r="BP90">
            <v>0</v>
          </cell>
          <cell r="BQ90">
            <v>0</v>
          </cell>
          <cell r="BR90">
            <v>0</v>
          </cell>
          <cell r="BS90">
            <v>0</v>
          </cell>
          <cell r="BT90">
            <v>0</v>
          </cell>
          <cell r="BU90">
            <v>0</v>
          </cell>
          <cell r="BV90">
            <v>0</v>
          </cell>
          <cell r="BW90">
            <v>0</v>
          </cell>
          <cell r="BX90">
            <v>0</v>
          </cell>
          <cell r="BY90">
            <v>0</v>
          </cell>
          <cell r="BZ90">
            <v>0</v>
          </cell>
          <cell r="CA90">
            <v>0</v>
          </cell>
          <cell r="CB90">
            <v>0</v>
          </cell>
          <cell r="CC90">
            <v>0</v>
          </cell>
          <cell r="CD90">
            <v>0</v>
          </cell>
          <cell r="CE90">
            <v>0</v>
          </cell>
          <cell r="CF90">
            <v>0</v>
          </cell>
          <cell r="CG90">
            <v>0</v>
          </cell>
          <cell r="CH90">
            <v>0</v>
          </cell>
          <cell r="CI90">
            <v>0</v>
          </cell>
          <cell r="CJ90">
            <v>0</v>
          </cell>
          <cell r="CK90">
            <v>0</v>
          </cell>
          <cell r="CL90">
            <v>0</v>
          </cell>
          <cell r="CM90">
            <v>0</v>
          </cell>
          <cell r="CN90">
            <v>0</v>
          </cell>
          <cell r="CO90">
            <v>0</v>
          </cell>
          <cell r="CP90">
            <v>0</v>
          </cell>
          <cell r="CQ90">
            <v>0</v>
          </cell>
          <cell r="CR90">
            <v>0</v>
          </cell>
          <cell r="CS90">
            <v>0</v>
          </cell>
          <cell r="CT90">
            <v>0</v>
          </cell>
          <cell r="CU90">
            <v>0</v>
          </cell>
          <cell r="CV90">
            <v>0</v>
          </cell>
          <cell r="CW90">
            <v>0</v>
          </cell>
          <cell r="CX90">
            <v>0</v>
          </cell>
          <cell r="CY90">
            <v>0</v>
          </cell>
          <cell r="CZ90">
            <v>0</v>
          </cell>
          <cell r="DA90">
            <v>0</v>
          </cell>
          <cell r="DB90">
            <v>0</v>
          </cell>
          <cell r="DC90">
            <v>0</v>
          </cell>
          <cell r="DD90">
            <v>0</v>
          </cell>
          <cell r="DE90">
            <v>0</v>
          </cell>
          <cell r="DF90">
            <v>0</v>
          </cell>
          <cell r="DG90">
            <v>0</v>
          </cell>
          <cell r="DH90">
            <v>0</v>
          </cell>
          <cell r="DI90">
            <v>0</v>
          </cell>
          <cell r="DJ90">
            <v>0</v>
          </cell>
          <cell r="DK90">
            <v>0</v>
          </cell>
          <cell r="DL90">
            <v>0</v>
          </cell>
          <cell r="DM90">
            <v>0</v>
          </cell>
          <cell r="DN90">
            <v>0</v>
          </cell>
          <cell r="DO90">
            <v>0</v>
          </cell>
          <cell r="DP90">
            <v>0</v>
          </cell>
          <cell r="DQ90">
            <v>0</v>
          </cell>
          <cell r="DR90">
            <v>0</v>
          </cell>
          <cell r="DS90">
            <v>0</v>
          </cell>
          <cell r="DT90">
            <v>0</v>
          </cell>
          <cell r="DU90">
            <v>0</v>
          </cell>
          <cell r="DV90">
            <v>0</v>
          </cell>
          <cell r="DW90">
            <v>0</v>
          </cell>
          <cell r="DX90">
            <v>0</v>
          </cell>
          <cell r="DY90">
            <v>0</v>
          </cell>
          <cell r="DZ90">
            <v>0</v>
          </cell>
          <cell r="EA90">
            <v>0</v>
          </cell>
          <cell r="EB90">
            <v>0</v>
          </cell>
          <cell r="EC90">
            <v>0</v>
          </cell>
          <cell r="ED90">
            <v>0.05</v>
          </cell>
          <cell r="EE90">
            <v>0.09</v>
          </cell>
          <cell r="EF90">
            <v>0.08</v>
          </cell>
          <cell r="EG90">
            <v>0.17</v>
          </cell>
          <cell r="EH90">
            <v>1</v>
          </cell>
          <cell r="EI90">
            <v>1</v>
          </cell>
          <cell r="EJ90">
            <v>1</v>
          </cell>
          <cell r="EK90">
            <v>1</v>
          </cell>
          <cell r="EL90">
            <v>0.05</v>
          </cell>
          <cell r="EM90">
            <v>0.14000000000000001</v>
          </cell>
          <cell r="EN90">
            <v>0.11</v>
          </cell>
          <cell r="EO90">
            <v>0.2</v>
          </cell>
          <cell r="EP90">
            <v>0</v>
          </cell>
          <cell r="EQ90">
            <v>0</v>
          </cell>
          <cell r="ER90">
            <v>0</v>
          </cell>
          <cell r="ES90">
            <v>0</v>
          </cell>
          <cell r="ET90">
            <v>0</v>
          </cell>
          <cell r="EU90">
            <v>0</v>
          </cell>
          <cell r="EV90">
            <v>0</v>
          </cell>
          <cell r="EW90">
            <v>0</v>
          </cell>
          <cell r="EX90">
            <v>1</v>
          </cell>
          <cell r="EY90">
            <v>1</v>
          </cell>
          <cell r="EZ90">
            <v>1</v>
          </cell>
          <cell r="FA90">
            <v>0</v>
          </cell>
          <cell r="FB90">
            <v>0</v>
          </cell>
          <cell r="FC90">
            <v>0</v>
          </cell>
          <cell r="FD90">
            <v>0</v>
          </cell>
          <cell r="FE90">
            <v>0</v>
          </cell>
          <cell r="FF90">
            <v>0</v>
          </cell>
          <cell r="FG90">
            <v>0</v>
          </cell>
          <cell r="FH90">
            <v>0</v>
          </cell>
          <cell r="FI90">
            <v>0</v>
          </cell>
          <cell r="FJ90">
            <v>0</v>
          </cell>
          <cell r="FK90">
            <v>0</v>
          </cell>
          <cell r="FL90">
            <v>0</v>
          </cell>
          <cell r="FM90">
            <v>0</v>
          </cell>
          <cell r="FN90">
            <v>0</v>
          </cell>
          <cell r="FO90">
            <v>0</v>
          </cell>
          <cell r="FP90">
            <v>0</v>
          </cell>
          <cell r="FQ90">
            <v>0</v>
          </cell>
          <cell r="FR90">
            <v>0</v>
          </cell>
          <cell r="FS90">
            <v>0</v>
          </cell>
          <cell r="FT90">
            <v>0</v>
          </cell>
          <cell r="FU90">
            <v>0</v>
          </cell>
          <cell r="FV90">
            <v>0</v>
          </cell>
          <cell r="FW90">
            <v>0</v>
          </cell>
          <cell r="FX90">
            <v>0</v>
          </cell>
          <cell r="FY90">
            <v>0</v>
          </cell>
          <cell r="FZ90">
            <v>0</v>
          </cell>
        </row>
        <row r="91">
          <cell r="B91">
            <v>0.1</v>
          </cell>
          <cell r="C91">
            <v>0.08</v>
          </cell>
          <cell r="D91">
            <v>0.15</v>
          </cell>
          <cell r="E91">
            <v>0.08</v>
          </cell>
          <cell r="F91">
            <v>0.15</v>
          </cell>
          <cell r="G91">
            <v>0.22</v>
          </cell>
          <cell r="H91">
            <v>7.0000000000000007E-2</v>
          </cell>
          <cell r="I91">
            <v>0.05</v>
          </cell>
          <cell r="J91">
            <v>0.13</v>
          </cell>
          <cell r="K91">
            <v>0.18</v>
          </cell>
          <cell r="L91">
            <v>0.17</v>
          </cell>
          <cell r="M91">
            <v>0.16</v>
          </cell>
          <cell r="N91">
            <v>0.8</v>
          </cell>
          <cell r="O91">
            <v>1</v>
          </cell>
          <cell r="P91">
            <v>1</v>
          </cell>
          <cell r="Q91">
            <v>0.8</v>
          </cell>
          <cell r="R91">
            <v>0.8</v>
          </cell>
          <cell r="S91">
            <v>1</v>
          </cell>
          <cell r="T91">
            <v>1</v>
          </cell>
          <cell r="U91">
            <v>1</v>
          </cell>
          <cell r="V91">
            <v>1</v>
          </cell>
          <cell r="W91">
            <v>1</v>
          </cell>
          <cell r="X91">
            <v>1</v>
          </cell>
          <cell r="Y91">
            <v>1</v>
          </cell>
          <cell r="Z91">
            <v>0.1</v>
          </cell>
          <cell r="AA91">
            <v>0.1</v>
          </cell>
          <cell r="AB91">
            <v>0.14000000000000001</v>
          </cell>
          <cell r="AC91">
            <v>0.11</v>
          </cell>
          <cell r="AD91">
            <v>0.11</v>
          </cell>
          <cell r="AE91">
            <v>0.19</v>
          </cell>
          <cell r="AF91">
            <v>0.09</v>
          </cell>
          <cell r="AG91">
            <v>0.11</v>
          </cell>
          <cell r="AH91">
            <v>0.15</v>
          </cell>
          <cell r="AI91">
            <v>0.2</v>
          </cell>
          <cell r="AJ91">
            <v>0.2</v>
          </cell>
          <cell r="AK91">
            <v>0.2</v>
          </cell>
          <cell r="AL91">
            <v>0</v>
          </cell>
          <cell r="AM91">
            <v>0</v>
          </cell>
          <cell r="AN91">
            <v>0</v>
          </cell>
          <cell r="AO91">
            <v>0</v>
          </cell>
          <cell r="AP91">
            <v>0</v>
          </cell>
          <cell r="AQ91">
            <v>0</v>
          </cell>
          <cell r="AR91">
            <v>0</v>
          </cell>
          <cell r="AS91">
            <v>0</v>
          </cell>
          <cell r="AT91">
            <v>0</v>
          </cell>
          <cell r="AU91">
            <v>0</v>
          </cell>
          <cell r="AV91">
            <v>0</v>
          </cell>
          <cell r="AW91">
            <v>0</v>
          </cell>
          <cell r="AX91">
            <v>0</v>
          </cell>
          <cell r="AY91">
            <v>0</v>
          </cell>
          <cell r="AZ91">
            <v>0</v>
          </cell>
          <cell r="BA91">
            <v>0</v>
          </cell>
          <cell r="BB91">
            <v>0</v>
          </cell>
          <cell r="BC91">
            <v>0</v>
          </cell>
          <cell r="BD91">
            <v>0</v>
          </cell>
          <cell r="BE91">
            <v>0</v>
          </cell>
          <cell r="BF91">
            <v>0</v>
          </cell>
          <cell r="BG91">
            <v>0</v>
          </cell>
          <cell r="BH91">
            <v>0</v>
          </cell>
          <cell r="BI91">
            <v>0</v>
          </cell>
          <cell r="BJ91">
            <v>0</v>
          </cell>
          <cell r="BK91">
            <v>0</v>
          </cell>
          <cell r="BL91">
            <v>0</v>
          </cell>
          <cell r="BM91">
            <v>0</v>
          </cell>
          <cell r="BN91">
            <v>0</v>
          </cell>
          <cell r="BO91">
            <v>0</v>
          </cell>
          <cell r="BP91">
            <v>0</v>
          </cell>
          <cell r="BQ91">
            <v>0</v>
          </cell>
          <cell r="BR91">
            <v>0</v>
          </cell>
          <cell r="BS91">
            <v>0</v>
          </cell>
          <cell r="BT91">
            <v>0</v>
          </cell>
          <cell r="BU91">
            <v>0</v>
          </cell>
          <cell r="BV91">
            <v>0</v>
          </cell>
          <cell r="BW91">
            <v>0</v>
          </cell>
          <cell r="BX91">
            <v>0</v>
          </cell>
          <cell r="BY91">
            <v>0</v>
          </cell>
          <cell r="BZ91">
            <v>0</v>
          </cell>
          <cell r="CA91">
            <v>0</v>
          </cell>
          <cell r="CB91">
            <v>0</v>
          </cell>
          <cell r="CC91">
            <v>0</v>
          </cell>
          <cell r="CD91">
            <v>0</v>
          </cell>
          <cell r="CE91">
            <v>0</v>
          </cell>
          <cell r="CF91">
            <v>0</v>
          </cell>
          <cell r="CG91">
            <v>0</v>
          </cell>
          <cell r="CH91">
            <v>0</v>
          </cell>
          <cell r="CI91">
            <v>0</v>
          </cell>
          <cell r="CJ91">
            <v>0</v>
          </cell>
          <cell r="CK91">
            <v>0</v>
          </cell>
          <cell r="CL91">
            <v>0</v>
          </cell>
          <cell r="CM91">
            <v>0</v>
          </cell>
          <cell r="CN91">
            <v>0</v>
          </cell>
          <cell r="CO91">
            <v>0</v>
          </cell>
          <cell r="CP91">
            <v>0</v>
          </cell>
          <cell r="CQ91">
            <v>0</v>
          </cell>
          <cell r="CR91">
            <v>0</v>
          </cell>
          <cell r="CS91">
            <v>0</v>
          </cell>
          <cell r="CT91">
            <v>0</v>
          </cell>
          <cell r="CU91">
            <v>0</v>
          </cell>
          <cell r="CV91">
            <v>0</v>
          </cell>
          <cell r="CW91">
            <v>0</v>
          </cell>
          <cell r="CX91">
            <v>0</v>
          </cell>
          <cell r="CY91">
            <v>0</v>
          </cell>
          <cell r="CZ91">
            <v>0</v>
          </cell>
          <cell r="DA91">
            <v>0</v>
          </cell>
          <cell r="DB91">
            <v>0</v>
          </cell>
          <cell r="DC91">
            <v>0</v>
          </cell>
          <cell r="DD91">
            <v>0</v>
          </cell>
          <cell r="DE91">
            <v>0</v>
          </cell>
          <cell r="DF91">
            <v>0</v>
          </cell>
          <cell r="DG91">
            <v>0</v>
          </cell>
          <cell r="DH91">
            <v>0</v>
          </cell>
          <cell r="DI91">
            <v>0</v>
          </cell>
          <cell r="DJ91">
            <v>0</v>
          </cell>
          <cell r="DK91">
            <v>0</v>
          </cell>
          <cell r="DL91">
            <v>0</v>
          </cell>
          <cell r="DM91">
            <v>0</v>
          </cell>
          <cell r="DN91">
            <v>0</v>
          </cell>
          <cell r="DO91">
            <v>0</v>
          </cell>
          <cell r="DP91">
            <v>0</v>
          </cell>
          <cell r="DQ91">
            <v>0</v>
          </cell>
          <cell r="DR91">
            <v>0</v>
          </cell>
          <cell r="DS91">
            <v>0</v>
          </cell>
          <cell r="DT91">
            <v>0</v>
          </cell>
          <cell r="DU91">
            <v>0</v>
          </cell>
          <cell r="DV91">
            <v>0</v>
          </cell>
          <cell r="DW91">
            <v>0</v>
          </cell>
          <cell r="DX91">
            <v>0</v>
          </cell>
          <cell r="DY91">
            <v>0</v>
          </cell>
          <cell r="DZ91">
            <v>0</v>
          </cell>
          <cell r="EA91">
            <v>0</v>
          </cell>
          <cell r="EB91">
            <v>0</v>
          </cell>
          <cell r="EC91">
            <v>0</v>
          </cell>
          <cell r="ED91">
            <v>0.05</v>
          </cell>
          <cell r="EE91">
            <v>0.09</v>
          </cell>
          <cell r="EF91">
            <v>0.08</v>
          </cell>
          <cell r="EG91">
            <v>0.17</v>
          </cell>
          <cell r="EH91">
            <v>1</v>
          </cell>
          <cell r="EI91">
            <v>1</v>
          </cell>
          <cell r="EJ91">
            <v>1</v>
          </cell>
          <cell r="EK91">
            <v>1</v>
          </cell>
          <cell r="EL91">
            <v>0.05</v>
          </cell>
          <cell r="EM91">
            <v>0.14000000000000001</v>
          </cell>
          <cell r="EN91">
            <v>0.11</v>
          </cell>
          <cell r="EO91">
            <v>0.2</v>
          </cell>
          <cell r="EP91">
            <v>0</v>
          </cell>
          <cell r="EQ91">
            <v>0</v>
          </cell>
          <cell r="ER91">
            <v>0</v>
          </cell>
          <cell r="ES91">
            <v>0</v>
          </cell>
          <cell r="ET91">
            <v>0</v>
          </cell>
          <cell r="EU91">
            <v>0</v>
          </cell>
          <cell r="EV91">
            <v>0</v>
          </cell>
          <cell r="EW91">
            <v>0</v>
          </cell>
          <cell r="EX91">
            <v>1</v>
          </cell>
          <cell r="EY91">
            <v>1</v>
          </cell>
          <cell r="EZ91">
            <v>1</v>
          </cell>
          <cell r="FA91">
            <v>0</v>
          </cell>
          <cell r="FB91">
            <v>0</v>
          </cell>
          <cell r="FC91">
            <v>0</v>
          </cell>
          <cell r="FD91">
            <v>0</v>
          </cell>
          <cell r="FE91">
            <v>0</v>
          </cell>
          <cell r="FF91">
            <v>0</v>
          </cell>
          <cell r="FG91">
            <v>0</v>
          </cell>
          <cell r="FH91">
            <v>0</v>
          </cell>
          <cell r="FI91">
            <v>0</v>
          </cell>
          <cell r="FJ91">
            <v>0</v>
          </cell>
          <cell r="FK91">
            <v>0</v>
          </cell>
          <cell r="FL91">
            <v>0</v>
          </cell>
          <cell r="FM91">
            <v>0</v>
          </cell>
          <cell r="FN91">
            <v>0</v>
          </cell>
          <cell r="FO91">
            <v>0</v>
          </cell>
          <cell r="FP91">
            <v>0</v>
          </cell>
          <cell r="FQ91">
            <v>0</v>
          </cell>
          <cell r="FR91">
            <v>0</v>
          </cell>
          <cell r="FS91">
            <v>0</v>
          </cell>
          <cell r="FT91">
            <v>0</v>
          </cell>
          <cell r="FU91">
            <v>0</v>
          </cell>
          <cell r="FV91">
            <v>0</v>
          </cell>
          <cell r="FW91">
            <v>0</v>
          </cell>
          <cell r="FX91">
            <v>0</v>
          </cell>
          <cell r="FY91">
            <v>0</v>
          </cell>
          <cell r="FZ91">
            <v>0</v>
          </cell>
        </row>
        <row r="92">
          <cell r="B92">
            <v>0.1</v>
          </cell>
          <cell r="C92">
            <v>0.08</v>
          </cell>
          <cell r="D92">
            <v>0.15</v>
          </cell>
          <cell r="E92">
            <v>0.08</v>
          </cell>
          <cell r="F92">
            <v>0.15</v>
          </cell>
          <cell r="G92">
            <v>0.22</v>
          </cell>
          <cell r="H92">
            <v>7.0000000000000007E-2</v>
          </cell>
          <cell r="I92">
            <v>0.05</v>
          </cell>
          <cell r="J92">
            <v>0.13</v>
          </cell>
          <cell r="K92">
            <v>0.18</v>
          </cell>
          <cell r="L92">
            <v>0.17</v>
          </cell>
          <cell r="M92">
            <v>0.16</v>
          </cell>
          <cell r="N92">
            <v>0.8</v>
          </cell>
          <cell r="O92">
            <v>1</v>
          </cell>
          <cell r="P92">
            <v>1</v>
          </cell>
          <cell r="Q92">
            <v>0.8</v>
          </cell>
          <cell r="R92">
            <v>0.8</v>
          </cell>
          <cell r="S92">
            <v>1</v>
          </cell>
          <cell r="T92">
            <v>1</v>
          </cell>
          <cell r="U92">
            <v>1</v>
          </cell>
          <cell r="V92">
            <v>1</v>
          </cell>
          <cell r="W92">
            <v>1</v>
          </cell>
          <cell r="X92">
            <v>1</v>
          </cell>
          <cell r="Y92">
            <v>1</v>
          </cell>
          <cell r="Z92">
            <v>0.1</v>
          </cell>
          <cell r="AA92">
            <v>0.1</v>
          </cell>
          <cell r="AB92">
            <v>0.14000000000000001</v>
          </cell>
          <cell r="AC92">
            <v>0.11</v>
          </cell>
          <cell r="AD92">
            <v>0.11</v>
          </cell>
          <cell r="AE92">
            <v>0.19</v>
          </cell>
          <cell r="AF92">
            <v>0.09</v>
          </cell>
          <cell r="AG92">
            <v>0.11</v>
          </cell>
          <cell r="AH92">
            <v>0.15</v>
          </cell>
          <cell r="AI92">
            <v>0.2</v>
          </cell>
          <cell r="AJ92">
            <v>0.2</v>
          </cell>
          <cell r="AK92">
            <v>0.2</v>
          </cell>
          <cell r="AL92">
            <v>0</v>
          </cell>
          <cell r="AM92">
            <v>0</v>
          </cell>
          <cell r="AN92">
            <v>0</v>
          </cell>
          <cell r="AO92">
            <v>0</v>
          </cell>
          <cell r="AP92">
            <v>0</v>
          </cell>
          <cell r="AQ92">
            <v>0</v>
          </cell>
          <cell r="AR92">
            <v>0</v>
          </cell>
          <cell r="AS92">
            <v>0</v>
          </cell>
          <cell r="AT92">
            <v>0</v>
          </cell>
          <cell r="AU92">
            <v>0</v>
          </cell>
          <cell r="AV92">
            <v>0</v>
          </cell>
          <cell r="AW92">
            <v>0</v>
          </cell>
          <cell r="AX92">
            <v>0</v>
          </cell>
          <cell r="AY92">
            <v>0</v>
          </cell>
          <cell r="AZ92">
            <v>0</v>
          </cell>
          <cell r="BA92">
            <v>0</v>
          </cell>
          <cell r="BB92">
            <v>0</v>
          </cell>
          <cell r="BC92">
            <v>0</v>
          </cell>
          <cell r="BD92">
            <v>0</v>
          </cell>
          <cell r="BE92">
            <v>0</v>
          </cell>
          <cell r="BF92">
            <v>0</v>
          </cell>
          <cell r="BG92">
            <v>0</v>
          </cell>
          <cell r="BH92">
            <v>0</v>
          </cell>
          <cell r="BI92">
            <v>0</v>
          </cell>
          <cell r="BJ92">
            <v>0</v>
          </cell>
          <cell r="BK92">
            <v>0</v>
          </cell>
          <cell r="BL92">
            <v>0</v>
          </cell>
          <cell r="BM92">
            <v>0</v>
          </cell>
          <cell r="BN92">
            <v>0</v>
          </cell>
          <cell r="BO92">
            <v>0</v>
          </cell>
          <cell r="BP92">
            <v>0</v>
          </cell>
          <cell r="BQ92">
            <v>0</v>
          </cell>
          <cell r="BR92">
            <v>0</v>
          </cell>
          <cell r="BS92">
            <v>0</v>
          </cell>
          <cell r="BT92">
            <v>0</v>
          </cell>
          <cell r="BU92">
            <v>0</v>
          </cell>
          <cell r="BV92">
            <v>0</v>
          </cell>
          <cell r="BW92">
            <v>0</v>
          </cell>
          <cell r="BX92">
            <v>0</v>
          </cell>
          <cell r="BY92">
            <v>0</v>
          </cell>
          <cell r="BZ92">
            <v>0</v>
          </cell>
          <cell r="CA92">
            <v>0</v>
          </cell>
          <cell r="CB92">
            <v>0</v>
          </cell>
          <cell r="CC92">
            <v>0</v>
          </cell>
          <cell r="CD92">
            <v>0</v>
          </cell>
          <cell r="CE92">
            <v>0</v>
          </cell>
          <cell r="CF92">
            <v>0</v>
          </cell>
          <cell r="CG92">
            <v>0</v>
          </cell>
          <cell r="CH92">
            <v>0</v>
          </cell>
          <cell r="CI92">
            <v>0</v>
          </cell>
          <cell r="CJ92">
            <v>0</v>
          </cell>
          <cell r="CK92">
            <v>0</v>
          </cell>
          <cell r="CL92">
            <v>0</v>
          </cell>
          <cell r="CM92">
            <v>0</v>
          </cell>
          <cell r="CN92">
            <v>0</v>
          </cell>
          <cell r="CO92">
            <v>0</v>
          </cell>
          <cell r="CP92">
            <v>0</v>
          </cell>
          <cell r="CQ92">
            <v>0</v>
          </cell>
          <cell r="CR92">
            <v>0</v>
          </cell>
          <cell r="CS92">
            <v>0</v>
          </cell>
          <cell r="CT92">
            <v>0</v>
          </cell>
          <cell r="CU92">
            <v>0</v>
          </cell>
          <cell r="CV92">
            <v>0</v>
          </cell>
          <cell r="CW92">
            <v>0</v>
          </cell>
          <cell r="CX92">
            <v>0</v>
          </cell>
          <cell r="CY92">
            <v>0</v>
          </cell>
          <cell r="CZ92">
            <v>0</v>
          </cell>
          <cell r="DA92">
            <v>0</v>
          </cell>
          <cell r="DB92">
            <v>0</v>
          </cell>
          <cell r="DC92">
            <v>0</v>
          </cell>
          <cell r="DD92">
            <v>0</v>
          </cell>
          <cell r="DE92">
            <v>0</v>
          </cell>
          <cell r="DF92">
            <v>0</v>
          </cell>
          <cell r="DG92">
            <v>0</v>
          </cell>
          <cell r="DH92">
            <v>0</v>
          </cell>
          <cell r="DI92">
            <v>0</v>
          </cell>
          <cell r="DJ92">
            <v>0</v>
          </cell>
          <cell r="DK92">
            <v>0</v>
          </cell>
          <cell r="DL92">
            <v>0</v>
          </cell>
          <cell r="DM92">
            <v>0</v>
          </cell>
          <cell r="DN92">
            <v>0</v>
          </cell>
          <cell r="DO92">
            <v>0</v>
          </cell>
          <cell r="DP92">
            <v>0</v>
          </cell>
          <cell r="DQ92">
            <v>0</v>
          </cell>
          <cell r="DR92">
            <v>0</v>
          </cell>
          <cell r="DS92">
            <v>0</v>
          </cell>
          <cell r="DT92">
            <v>0</v>
          </cell>
          <cell r="DU92">
            <v>0</v>
          </cell>
          <cell r="DV92">
            <v>0</v>
          </cell>
          <cell r="DW92">
            <v>0</v>
          </cell>
          <cell r="DX92">
            <v>0</v>
          </cell>
          <cell r="DY92">
            <v>0</v>
          </cell>
          <cell r="DZ92">
            <v>0</v>
          </cell>
          <cell r="EA92">
            <v>0</v>
          </cell>
          <cell r="EB92">
            <v>0</v>
          </cell>
          <cell r="EC92">
            <v>0</v>
          </cell>
          <cell r="ED92">
            <v>0.05</v>
          </cell>
          <cell r="EE92">
            <v>0.09</v>
          </cell>
          <cell r="EF92">
            <v>0.08</v>
          </cell>
          <cell r="EG92">
            <v>0.17</v>
          </cell>
          <cell r="EH92">
            <v>1</v>
          </cell>
          <cell r="EI92">
            <v>1</v>
          </cell>
          <cell r="EJ92">
            <v>1</v>
          </cell>
          <cell r="EK92">
            <v>1</v>
          </cell>
          <cell r="EL92">
            <v>0.05</v>
          </cell>
          <cell r="EM92">
            <v>0.14000000000000001</v>
          </cell>
          <cell r="EN92">
            <v>0.11</v>
          </cell>
          <cell r="EO92">
            <v>0.2</v>
          </cell>
          <cell r="EP92">
            <v>0</v>
          </cell>
          <cell r="EQ92">
            <v>0</v>
          </cell>
          <cell r="ER92">
            <v>0</v>
          </cell>
          <cell r="ES92">
            <v>0</v>
          </cell>
          <cell r="ET92">
            <v>0</v>
          </cell>
          <cell r="EU92">
            <v>0</v>
          </cell>
          <cell r="EV92">
            <v>0</v>
          </cell>
          <cell r="EW92">
            <v>0</v>
          </cell>
          <cell r="EX92">
            <v>1</v>
          </cell>
          <cell r="EY92">
            <v>1</v>
          </cell>
          <cell r="EZ92">
            <v>1</v>
          </cell>
          <cell r="FA92">
            <v>0</v>
          </cell>
          <cell r="FB92">
            <v>0</v>
          </cell>
          <cell r="FC92">
            <v>0</v>
          </cell>
          <cell r="FD92">
            <v>0</v>
          </cell>
          <cell r="FE92">
            <v>0</v>
          </cell>
          <cell r="FF92">
            <v>0</v>
          </cell>
          <cell r="FG92">
            <v>0</v>
          </cell>
          <cell r="FH92">
            <v>0</v>
          </cell>
          <cell r="FI92">
            <v>0</v>
          </cell>
          <cell r="FJ92">
            <v>0</v>
          </cell>
          <cell r="FK92">
            <v>0</v>
          </cell>
          <cell r="FL92">
            <v>0</v>
          </cell>
          <cell r="FM92">
            <v>0</v>
          </cell>
          <cell r="FN92">
            <v>0</v>
          </cell>
          <cell r="FO92">
            <v>0</v>
          </cell>
          <cell r="FP92">
            <v>0</v>
          </cell>
          <cell r="FQ92">
            <v>0</v>
          </cell>
          <cell r="FR92">
            <v>0</v>
          </cell>
          <cell r="FS92">
            <v>0</v>
          </cell>
          <cell r="FT92">
            <v>0</v>
          </cell>
          <cell r="FU92">
            <v>0</v>
          </cell>
          <cell r="FV92">
            <v>0</v>
          </cell>
          <cell r="FW92">
            <v>0</v>
          </cell>
          <cell r="FX92">
            <v>0</v>
          </cell>
          <cell r="FY92">
            <v>0</v>
          </cell>
          <cell r="FZ92">
            <v>0</v>
          </cell>
        </row>
        <row r="93">
          <cell r="B93">
            <v>0.1</v>
          </cell>
          <cell r="C93">
            <v>0.08</v>
          </cell>
          <cell r="D93">
            <v>0.15</v>
          </cell>
          <cell r="E93">
            <v>0.08</v>
          </cell>
          <cell r="F93">
            <v>0.15</v>
          </cell>
          <cell r="G93">
            <v>0.22</v>
          </cell>
          <cell r="H93">
            <v>7.0000000000000007E-2</v>
          </cell>
          <cell r="I93">
            <v>0.05</v>
          </cell>
          <cell r="J93">
            <v>0.13</v>
          </cell>
          <cell r="K93">
            <v>0.18</v>
          </cell>
          <cell r="L93">
            <v>0.17</v>
          </cell>
          <cell r="M93">
            <v>0.16</v>
          </cell>
          <cell r="N93">
            <v>0.8</v>
          </cell>
          <cell r="O93">
            <v>1</v>
          </cell>
          <cell r="P93">
            <v>1</v>
          </cell>
          <cell r="Q93">
            <v>0.8</v>
          </cell>
          <cell r="R93">
            <v>0.8</v>
          </cell>
          <cell r="S93">
            <v>1</v>
          </cell>
          <cell r="T93">
            <v>1</v>
          </cell>
          <cell r="U93">
            <v>1</v>
          </cell>
          <cell r="V93">
            <v>1</v>
          </cell>
          <cell r="W93">
            <v>1</v>
          </cell>
          <cell r="X93">
            <v>1</v>
          </cell>
          <cell r="Y93">
            <v>1</v>
          </cell>
          <cell r="Z93">
            <v>0.1</v>
          </cell>
          <cell r="AA93">
            <v>0.1</v>
          </cell>
          <cell r="AB93">
            <v>0.14000000000000001</v>
          </cell>
          <cell r="AC93">
            <v>0.11</v>
          </cell>
          <cell r="AD93">
            <v>0.11</v>
          </cell>
          <cell r="AE93">
            <v>0.19</v>
          </cell>
          <cell r="AF93">
            <v>0.09</v>
          </cell>
          <cell r="AG93">
            <v>0.11</v>
          </cell>
          <cell r="AH93">
            <v>0.15</v>
          </cell>
          <cell r="AI93">
            <v>0.2</v>
          </cell>
          <cell r="AJ93">
            <v>0.2</v>
          </cell>
          <cell r="AK93">
            <v>0.2</v>
          </cell>
          <cell r="AL93">
            <v>0</v>
          </cell>
          <cell r="AM93">
            <v>0</v>
          </cell>
          <cell r="AN93">
            <v>0</v>
          </cell>
          <cell r="AO93">
            <v>0</v>
          </cell>
          <cell r="AP93">
            <v>0</v>
          </cell>
          <cell r="AQ93">
            <v>0</v>
          </cell>
          <cell r="AR93">
            <v>0</v>
          </cell>
          <cell r="AS93">
            <v>0</v>
          </cell>
          <cell r="AT93">
            <v>0</v>
          </cell>
          <cell r="AU93">
            <v>0</v>
          </cell>
          <cell r="AV93">
            <v>0</v>
          </cell>
          <cell r="AW93">
            <v>0</v>
          </cell>
          <cell r="AX93">
            <v>0</v>
          </cell>
          <cell r="AY93">
            <v>0</v>
          </cell>
          <cell r="AZ93">
            <v>0</v>
          </cell>
          <cell r="BA93">
            <v>0</v>
          </cell>
          <cell r="BB93">
            <v>0</v>
          </cell>
          <cell r="BC93">
            <v>0</v>
          </cell>
          <cell r="BD93">
            <v>0</v>
          </cell>
          <cell r="BE93">
            <v>0</v>
          </cell>
          <cell r="BF93">
            <v>0</v>
          </cell>
          <cell r="BG93">
            <v>0</v>
          </cell>
          <cell r="BH93">
            <v>0</v>
          </cell>
          <cell r="BI93">
            <v>0</v>
          </cell>
          <cell r="BJ93">
            <v>0</v>
          </cell>
          <cell r="BK93">
            <v>0</v>
          </cell>
          <cell r="BL93">
            <v>0</v>
          </cell>
          <cell r="BM93">
            <v>0</v>
          </cell>
          <cell r="BN93">
            <v>0</v>
          </cell>
          <cell r="BO93">
            <v>0</v>
          </cell>
          <cell r="BP93">
            <v>0</v>
          </cell>
          <cell r="BQ93">
            <v>0</v>
          </cell>
          <cell r="BR93">
            <v>0</v>
          </cell>
          <cell r="BS93">
            <v>0</v>
          </cell>
          <cell r="BT93">
            <v>0</v>
          </cell>
          <cell r="BU93">
            <v>0</v>
          </cell>
          <cell r="BV93">
            <v>0</v>
          </cell>
          <cell r="BW93">
            <v>0</v>
          </cell>
          <cell r="BX93">
            <v>0</v>
          </cell>
          <cell r="BY93">
            <v>0</v>
          </cell>
          <cell r="BZ93">
            <v>0</v>
          </cell>
          <cell r="CA93">
            <v>0</v>
          </cell>
          <cell r="CB93">
            <v>0</v>
          </cell>
          <cell r="CC93">
            <v>0</v>
          </cell>
          <cell r="CD93">
            <v>0</v>
          </cell>
          <cell r="CE93">
            <v>0</v>
          </cell>
          <cell r="CF93">
            <v>0</v>
          </cell>
          <cell r="CG93">
            <v>0</v>
          </cell>
          <cell r="CH93">
            <v>0</v>
          </cell>
          <cell r="CI93">
            <v>0</v>
          </cell>
          <cell r="CJ93">
            <v>0</v>
          </cell>
          <cell r="CK93">
            <v>0</v>
          </cell>
          <cell r="CL93">
            <v>0</v>
          </cell>
          <cell r="CM93">
            <v>0</v>
          </cell>
          <cell r="CN93">
            <v>0</v>
          </cell>
          <cell r="CO93">
            <v>0</v>
          </cell>
          <cell r="CP93">
            <v>0</v>
          </cell>
          <cell r="CQ93">
            <v>0</v>
          </cell>
          <cell r="CR93">
            <v>0</v>
          </cell>
          <cell r="CS93">
            <v>0</v>
          </cell>
          <cell r="CT93">
            <v>0</v>
          </cell>
          <cell r="CU93">
            <v>0</v>
          </cell>
          <cell r="CV93">
            <v>0</v>
          </cell>
          <cell r="CW93">
            <v>0</v>
          </cell>
          <cell r="CX93">
            <v>0</v>
          </cell>
          <cell r="CY93">
            <v>0</v>
          </cell>
          <cell r="CZ93">
            <v>0</v>
          </cell>
          <cell r="DA93">
            <v>0</v>
          </cell>
          <cell r="DB93">
            <v>0</v>
          </cell>
          <cell r="DC93">
            <v>0</v>
          </cell>
          <cell r="DD93">
            <v>0</v>
          </cell>
          <cell r="DE93">
            <v>0</v>
          </cell>
          <cell r="DF93">
            <v>0</v>
          </cell>
          <cell r="DG93">
            <v>0</v>
          </cell>
          <cell r="DH93">
            <v>0</v>
          </cell>
          <cell r="DI93">
            <v>0</v>
          </cell>
          <cell r="DJ93">
            <v>0</v>
          </cell>
          <cell r="DK93">
            <v>0</v>
          </cell>
          <cell r="DL93">
            <v>0</v>
          </cell>
          <cell r="DM93">
            <v>0</v>
          </cell>
          <cell r="DN93">
            <v>0</v>
          </cell>
          <cell r="DO93">
            <v>0</v>
          </cell>
          <cell r="DP93">
            <v>0</v>
          </cell>
          <cell r="DQ93">
            <v>0</v>
          </cell>
          <cell r="DR93">
            <v>0</v>
          </cell>
          <cell r="DS93">
            <v>0</v>
          </cell>
          <cell r="DT93">
            <v>0</v>
          </cell>
          <cell r="DU93">
            <v>0</v>
          </cell>
          <cell r="DV93">
            <v>0</v>
          </cell>
          <cell r="DW93">
            <v>0</v>
          </cell>
          <cell r="DX93">
            <v>0</v>
          </cell>
          <cell r="DY93">
            <v>0</v>
          </cell>
          <cell r="DZ93">
            <v>0</v>
          </cell>
          <cell r="EA93">
            <v>0</v>
          </cell>
          <cell r="EB93">
            <v>0</v>
          </cell>
          <cell r="EC93">
            <v>0</v>
          </cell>
          <cell r="ED93">
            <v>0.05</v>
          </cell>
          <cell r="EE93">
            <v>0.09</v>
          </cell>
          <cell r="EF93">
            <v>0.08</v>
          </cell>
          <cell r="EG93">
            <v>0.17</v>
          </cell>
          <cell r="EH93">
            <v>1</v>
          </cell>
          <cell r="EI93">
            <v>1</v>
          </cell>
          <cell r="EJ93">
            <v>1</v>
          </cell>
          <cell r="EK93">
            <v>1</v>
          </cell>
          <cell r="EL93">
            <v>0.05</v>
          </cell>
          <cell r="EM93">
            <v>0.14000000000000001</v>
          </cell>
          <cell r="EN93">
            <v>0.11</v>
          </cell>
          <cell r="EO93">
            <v>0.2</v>
          </cell>
          <cell r="EP93">
            <v>0</v>
          </cell>
          <cell r="EQ93">
            <v>0</v>
          </cell>
          <cell r="ER93">
            <v>0</v>
          </cell>
          <cell r="ES93">
            <v>0</v>
          </cell>
          <cell r="ET93">
            <v>0</v>
          </cell>
          <cell r="EU93">
            <v>0</v>
          </cell>
          <cell r="EV93">
            <v>0</v>
          </cell>
          <cell r="EW93">
            <v>0</v>
          </cell>
          <cell r="EX93">
            <v>1</v>
          </cell>
          <cell r="EY93">
            <v>1</v>
          </cell>
          <cell r="EZ93">
            <v>1</v>
          </cell>
          <cell r="FA93">
            <v>0</v>
          </cell>
          <cell r="FB93">
            <v>0</v>
          </cell>
          <cell r="FC93">
            <v>0</v>
          </cell>
          <cell r="FD93">
            <v>0</v>
          </cell>
          <cell r="FE93">
            <v>0</v>
          </cell>
          <cell r="FF93">
            <v>0</v>
          </cell>
          <cell r="FG93">
            <v>0</v>
          </cell>
          <cell r="FH93">
            <v>0</v>
          </cell>
          <cell r="FI93">
            <v>0</v>
          </cell>
          <cell r="FJ93">
            <v>0</v>
          </cell>
          <cell r="FK93">
            <v>0</v>
          </cell>
          <cell r="FL93">
            <v>0</v>
          </cell>
          <cell r="FM93">
            <v>0</v>
          </cell>
          <cell r="FN93">
            <v>0</v>
          </cell>
          <cell r="FO93">
            <v>0</v>
          </cell>
          <cell r="FP93">
            <v>0</v>
          </cell>
          <cell r="FQ93">
            <v>0</v>
          </cell>
          <cell r="FR93">
            <v>0</v>
          </cell>
          <cell r="FS93">
            <v>0</v>
          </cell>
          <cell r="FT93">
            <v>0</v>
          </cell>
          <cell r="FU93">
            <v>0</v>
          </cell>
          <cell r="FV93">
            <v>0</v>
          </cell>
          <cell r="FW93">
            <v>0</v>
          </cell>
          <cell r="FX93">
            <v>0</v>
          </cell>
          <cell r="FY93">
            <v>0</v>
          </cell>
          <cell r="FZ93">
            <v>0</v>
          </cell>
        </row>
        <row r="94">
          <cell r="B94">
            <v>0.1</v>
          </cell>
          <cell r="C94">
            <v>0.08</v>
          </cell>
          <cell r="D94">
            <v>0.15</v>
          </cell>
          <cell r="E94">
            <v>0.08</v>
          </cell>
          <cell r="F94">
            <v>0.15</v>
          </cell>
          <cell r="G94">
            <v>0.22</v>
          </cell>
          <cell r="H94">
            <v>7.0000000000000007E-2</v>
          </cell>
          <cell r="I94">
            <v>0.05</v>
          </cell>
          <cell r="J94">
            <v>0.13</v>
          </cell>
          <cell r="K94">
            <v>0.18</v>
          </cell>
          <cell r="L94">
            <v>0.17</v>
          </cell>
          <cell r="M94">
            <v>0.16</v>
          </cell>
          <cell r="N94">
            <v>0.8</v>
          </cell>
          <cell r="O94">
            <v>1</v>
          </cell>
          <cell r="P94">
            <v>1</v>
          </cell>
          <cell r="Q94">
            <v>0.8</v>
          </cell>
          <cell r="R94">
            <v>0.8</v>
          </cell>
          <cell r="S94">
            <v>1</v>
          </cell>
          <cell r="T94">
            <v>1</v>
          </cell>
          <cell r="U94">
            <v>1</v>
          </cell>
          <cell r="V94">
            <v>1</v>
          </cell>
          <cell r="W94">
            <v>1</v>
          </cell>
          <cell r="X94">
            <v>1</v>
          </cell>
          <cell r="Y94">
            <v>1</v>
          </cell>
          <cell r="Z94">
            <v>0.1</v>
          </cell>
          <cell r="AA94">
            <v>0.1</v>
          </cell>
          <cell r="AB94">
            <v>0.14000000000000001</v>
          </cell>
          <cell r="AC94">
            <v>0.11</v>
          </cell>
          <cell r="AD94">
            <v>0.11</v>
          </cell>
          <cell r="AE94">
            <v>0.19</v>
          </cell>
          <cell r="AF94">
            <v>0.09</v>
          </cell>
          <cell r="AG94">
            <v>0.11</v>
          </cell>
          <cell r="AH94">
            <v>0.15</v>
          </cell>
          <cell r="AI94">
            <v>0.2</v>
          </cell>
          <cell r="AJ94">
            <v>0.2</v>
          </cell>
          <cell r="AK94">
            <v>0.2</v>
          </cell>
          <cell r="AL94">
            <v>0</v>
          </cell>
          <cell r="AM94">
            <v>0</v>
          </cell>
          <cell r="AN94">
            <v>0</v>
          </cell>
          <cell r="AO94">
            <v>0</v>
          </cell>
          <cell r="AP94">
            <v>0</v>
          </cell>
          <cell r="AQ94">
            <v>0</v>
          </cell>
          <cell r="AR94">
            <v>0</v>
          </cell>
          <cell r="AS94">
            <v>0</v>
          </cell>
          <cell r="AT94">
            <v>0</v>
          </cell>
          <cell r="AU94">
            <v>0</v>
          </cell>
          <cell r="AV94">
            <v>0</v>
          </cell>
          <cell r="AW94">
            <v>0</v>
          </cell>
          <cell r="AX94">
            <v>0</v>
          </cell>
          <cell r="AY94">
            <v>0</v>
          </cell>
          <cell r="AZ94">
            <v>0</v>
          </cell>
          <cell r="BA94">
            <v>0</v>
          </cell>
          <cell r="BB94">
            <v>0</v>
          </cell>
          <cell r="BC94">
            <v>0</v>
          </cell>
          <cell r="BD94">
            <v>0</v>
          </cell>
          <cell r="BE94">
            <v>0</v>
          </cell>
          <cell r="BF94">
            <v>0</v>
          </cell>
          <cell r="BG94">
            <v>0</v>
          </cell>
          <cell r="BH94">
            <v>0</v>
          </cell>
          <cell r="BI94">
            <v>0</v>
          </cell>
          <cell r="BJ94">
            <v>0</v>
          </cell>
          <cell r="BK94">
            <v>0</v>
          </cell>
          <cell r="BL94">
            <v>0</v>
          </cell>
          <cell r="BM94">
            <v>0</v>
          </cell>
          <cell r="BN94">
            <v>0</v>
          </cell>
          <cell r="BO94">
            <v>0</v>
          </cell>
          <cell r="BP94">
            <v>0</v>
          </cell>
          <cell r="BQ94">
            <v>0</v>
          </cell>
          <cell r="BR94">
            <v>0</v>
          </cell>
          <cell r="BS94">
            <v>0</v>
          </cell>
          <cell r="BT94">
            <v>0</v>
          </cell>
          <cell r="BU94">
            <v>0</v>
          </cell>
          <cell r="BV94">
            <v>0</v>
          </cell>
          <cell r="BW94">
            <v>0</v>
          </cell>
          <cell r="BX94">
            <v>0</v>
          </cell>
          <cell r="BY94">
            <v>0</v>
          </cell>
          <cell r="BZ94">
            <v>0</v>
          </cell>
          <cell r="CA94">
            <v>0</v>
          </cell>
          <cell r="CB94">
            <v>0</v>
          </cell>
          <cell r="CC94">
            <v>0</v>
          </cell>
          <cell r="CD94">
            <v>0</v>
          </cell>
          <cell r="CE94">
            <v>0</v>
          </cell>
          <cell r="CF94">
            <v>0</v>
          </cell>
          <cell r="CG94">
            <v>0</v>
          </cell>
          <cell r="CH94">
            <v>0</v>
          </cell>
          <cell r="CI94">
            <v>0</v>
          </cell>
          <cell r="CJ94">
            <v>0</v>
          </cell>
          <cell r="CK94">
            <v>0</v>
          </cell>
          <cell r="CL94">
            <v>0</v>
          </cell>
          <cell r="CM94">
            <v>0</v>
          </cell>
          <cell r="CN94">
            <v>0</v>
          </cell>
          <cell r="CO94">
            <v>0</v>
          </cell>
          <cell r="CP94">
            <v>0</v>
          </cell>
          <cell r="CQ94">
            <v>0</v>
          </cell>
          <cell r="CR94">
            <v>0</v>
          </cell>
          <cell r="CS94">
            <v>0</v>
          </cell>
          <cell r="CT94">
            <v>0</v>
          </cell>
          <cell r="CU94">
            <v>0</v>
          </cell>
          <cell r="CV94">
            <v>0</v>
          </cell>
          <cell r="CW94">
            <v>0</v>
          </cell>
          <cell r="CX94">
            <v>0</v>
          </cell>
          <cell r="CY94">
            <v>0</v>
          </cell>
          <cell r="CZ94">
            <v>0</v>
          </cell>
          <cell r="DA94">
            <v>0</v>
          </cell>
          <cell r="DB94">
            <v>0</v>
          </cell>
          <cell r="DC94">
            <v>0</v>
          </cell>
          <cell r="DD94">
            <v>0</v>
          </cell>
          <cell r="DE94">
            <v>0</v>
          </cell>
          <cell r="DF94">
            <v>0</v>
          </cell>
          <cell r="DG94">
            <v>0</v>
          </cell>
          <cell r="DH94">
            <v>0</v>
          </cell>
          <cell r="DI94">
            <v>0</v>
          </cell>
          <cell r="DJ94">
            <v>0</v>
          </cell>
          <cell r="DK94">
            <v>0</v>
          </cell>
          <cell r="DL94">
            <v>0</v>
          </cell>
          <cell r="DM94">
            <v>0</v>
          </cell>
          <cell r="DN94">
            <v>0</v>
          </cell>
          <cell r="DO94">
            <v>0</v>
          </cell>
          <cell r="DP94">
            <v>0</v>
          </cell>
          <cell r="DQ94">
            <v>0</v>
          </cell>
          <cell r="DR94">
            <v>0</v>
          </cell>
          <cell r="DS94">
            <v>0</v>
          </cell>
          <cell r="DT94">
            <v>0</v>
          </cell>
          <cell r="DU94">
            <v>0</v>
          </cell>
          <cell r="DV94">
            <v>0</v>
          </cell>
          <cell r="DW94">
            <v>0</v>
          </cell>
          <cell r="DX94">
            <v>0</v>
          </cell>
          <cell r="DY94">
            <v>0</v>
          </cell>
          <cell r="DZ94">
            <v>0</v>
          </cell>
          <cell r="EA94">
            <v>0</v>
          </cell>
          <cell r="EB94">
            <v>0</v>
          </cell>
          <cell r="EC94">
            <v>0</v>
          </cell>
          <cell r="ED94">
            <v>0.05</v>
          </cell>
          <cell r="EE94">
            <v>0.09</v>
          </cell>
          <cell r="EF94">
            <v>0.08</v>
          </cell>
          <cell r="EG94">
            <v>0.17</v>
          </cell>
          <cell r="EH94">
            <v>1</v>
          </cell>
          <cell r="EI94">
            <v>1</v>
          </cell>
          <cell r="EJ94">
            <v>1</v>
          </cell>
          <cell r="EK94">
            <v>1</v>
          </cell>
          <cell r="EL94">
            <v>0.05</v>
          </cell>
          <cell r="EM94">
            <v>0.14000000000000001</v>
          </cell>
          <cell r="EN94">
            <v>0.11</v>
          </cell>
          <cell r="EO94">
            <v>0.2</v>
          </cell>
          <cell r="EP94">
            <v>0</v>
          </cell>
          <cell r="EQ94">
            <v>0</v>
          </cell>
          <cell r="ER94">
            <v>0</v>
          </cell>
          <cell r="ES94">
            <v>0</v>
          </cell>
          <cell r="ET94">
            <v>0</v>
          </cell>
          <cell r="EU94">
            <v>0</v>
          </cell>
          <cell r="EV94">
            <v>0</v>
          </cell>
          <cell r="EW94">
            <v>0</v>
          </cell>
          <cell r="EX94">
            <v>1</v>
          </cell>
          <cell r="EY94">
            <v>1</v>
          </cell>
          <cell r="EZ94">
            <v>1</v>
          </cell>
          <cell r="FA94">
            <v>0</v>
          </cell>
          <cell r="FB94">
            <v>0</v>
          </cell>
          <cell r="FC94">
            <v>0</v>
          </cell>
          <cell r="FD94">
            <v>0</v>
          </cell>
          <cell r="FE94">
            <v>0</v>
          </cell>
          <cell r="FF94">
            <v>0</v>
          </cell>
          <cell r="FG94">
            <v>0</v>
          </cell>
          <cell r="FH94">
            <v>0</v>
          </cell>
          <cell r="FI94">
            <v>0</v>
          </cell>
          <cell r="FJ94">
            <v>0</v>
          </cell>
          <cell r="FK94">
            <v>0</v>
          </cell>
          <cell r="FL94">
            <v>0</v>
          </cell>
          <cell r="FM94">
            <v>0</v>
          </cell>
          <cell r="FN94">
            <v>0</v>
          </cell>
          <cell r="FO94">
            <v>0</v>
          </cell>
          <cell r="FP94">
            <v>0</v>
          </cell>
          <cell r="FQ94">
            <v>0</v>
          </cell>
          <cell r="FR94">
            <v>0</v>
          </cell>
          <cell r="FS94">
            <v>0</v>
          </cell>
          <cell r="FT94">
            <v>0</v>
          </cell>
          <cell r="FU94">
            <v>0</v>
          </cell>
          <cell r="FV94">
            <v>0</v>
          </cell>
          <cell r="FW94">
            <v>0</v>
          </cell>
          <cell r="FX94">
            <v>0</v>
          </cell>
          <cell r="FY94">
            <v>0</v>
          </cell>
          <cell r="FZ94">
            <v>0</v>
          </cell>
        </row>
        <row r="95">
          <cell r="B95">
            <v>0.1</v>
          </cell>
          <cell r="C95">
            <v>0.08</v>
          </cell>
          <cell r="D95">
            <v>0.15</v>
          </cell>
          <cell r="E95">
            <v>0.08</v>
          </cell>
          <cell r="F95">
            <v>0.15</v>
          </cell>
          <cell r="G95">
            <v>0.22</v>
          </cell>
          <cell r="H95">
            <v>7.0000000000000007E-2</v>
          </cell>
          <cell r="I95">
            <v>0.05</v>
          </cell>
          <cell r="J95">
            <v>0.13</v>
          </cell>
          <cell r="K95">
            <v>0.18</v>
          </cell>
          <cell r="L95">
            <v>0.17</v>
          </cell>
          <cell r="M95">
            <v>0.16</v>
          </cell>
          <cell r="N95">
            <v>0.8</v>
          </cell>
          <cell r="O95">
            <v>1</v>
          </cell>
          <cell r="P95">
            <v>1</v>
          </cell>
          <cell r="Q95">
            <v>0.8</v>
          </cell>
          <cell r="R95">
            <v>0.8</v>
          </cell>
          <cell r="S95">
            <v>1</v>
          </cell>
          <cell r="T95">
            <v>1</v>
          </cell>
          <cell r="U95">
            <v>1</v>
          </cell>
          <cell r="V95">
            <v>1</v>
          </cell>
          <cell r="W95">
            <v>1</v>
          </cell>
          <cell r="X95">
            <v>1</v>
          </cell>
          <cell r="Y95">
            <v>1</v>
          </cell>
          <cell r="Z95">
            <v>0.1</v>
          </cell>
          <cell r="AA95">
            <v>0.1</v>
          </cell>
          <cell r="AB95">
            <v>0.14000000000000001</v>
          </cell>
          <cell r="AC95">
            <v>0.11</v>
          </cell>
          <cell r="AD95">
            <v>0.11</v>
          </cell>
          <cell r="AE95">
            <v>0.19</v>
          </cell>
          <cell r="AF95">
            <v>0.09</v>
          </cell>
          <cell r="AG95">
            <v>0.11</v>
          </cell>
          <cell r="AH95">
            <v>0.15</v>
          </cell>
          <cell r="AI95">
            <v>0.2</v>
          </cell>
          <cell r="AJ95">
            <v>0.2</v>
          </cell>
          <cell r="AK95">
            <v>0.2</v>
          </cell>
          <cell r="AL95">
            <v>0</v>
          </cell>
          <cell r="AM95">
            <v>0</v>
          </cell>
          <cell r="AN95">
            <v>0</v>
          </cell>
          <cell r="AO95">
            <v>0</v>
          </cell>
          <cell r="AP95">
            <v>0</v>
          </cell>
          <cell r="AQ95">
            <v>0</v>
          </cell>
          <cell r="AR95">
            <v>0</v>
          </cell>
          <cell r="AS95">
            <v>0</v>
          </cell>
          <cell r="AT95">
            <v>0</v>
          </cell>
          <cell r="AU95">
            <v>0</v>
          </cell>
          <cell r="AV95">
            <v>0</v>
          </cell>
          <cell r="AW95">
            <v>0</v>
          </cell>
          <cell r="AX95">
            <v>0</v>
          </cell>
          <cell r="AY95">
            <v>0</v>
          </cell>
          <cell r="AZ95">
            <v>0</v>
          </cell>
          <cell r="BA95">
            <v>0</v>
          </cell>
          <cell r="BB95">
            <v>0</v>
          </cell>
          <cell r="BC95">
            <v>0</v>
          </cell>
          <cell r="BD95">
            <v>0</v>
          </cell>
          <cell r="BE95">
            <v>0</v>
          </cell>
          <cell r="BF95">
            <v>0</v>
          </cell>
          <cell r="BG95">
            <v>0</v>
          </cell>
          <cell r="BH95">
            <v>0</v>
          </cell>
          <cell r="BI95">
            <v>0</v>
          </cell>
          <cell r="BJ95">
            <v>0</v>
          </cell>
          <cell r="BK95">
            <v>0</v>
          </cell>
          <cell r="BL95">
            <v>0</v>
          </cell>
          <cell r="BM95">
            <v>0</v>
          </cell>
          <cell r="BN95">
            <v>0</v>
          </cell>
          <cell r="BO95">
            <v>0</v>
          </cell>
          <cell r="BP95">
            <v>0</v>
          </cell>
          <cell r="BQ95">
            <v>0</v>
          </cell>
          <cell r="BR95">
            <v>0</v>
          </cell>
          <cell r="BS95">
            <v>0</v>
          </cell>
          <cell r="BT95">
            <v>0</v>
          </cell>
          <cell r="BU95">
            <v>0</v>
          </cell>
          <cell r="BV95">
            <v>0</v>
          </cell>
          <cell r="BW95">
            <v>0</v>
          </cell>
          <cell r="BX95">
            <v>0</v>
          </cell>
          <cell r="BY95">
            <v>0</v>
          </cell>
          <cell r="BZ95">
            <v>0</v>
          </cell>
          <cell r="CA95">
            <v>0</v>
          </cell>
          <cell r="CB95">
            <v>0</v>
          </cell>
          <cell r="CC95">
            <v>0</v>
          </cell>
          <cell r="CD95">
            <v>0</v>
          </cell>
          <cell r="CE95">
            <v>0</v>
          </cell>
          <cell r="CF95">
            <v>0</v>
          </cell>
          <cell r="CG95">
            <v>0</v>
          </cell>
          <cell r="CH95">
            <v>0</v>
          </cell>
          <cell r="CI95">
            <v>0</v>
          </cell>
          <cell r="CJ95">
            <v>0</v>
          </cell>
          <cell r="CK95">
            <v>0</v>
          </cell>
          <cell r="CL95">
            <v>0</v>
          </cell>
          <cell r="CM95">
            <v>0</v>
          </cell>
          <cell r="CN95">
            <v>0</v>
          </cell>
          <cell r="CO95">
            <v>0</v>
          </cell>
          <cell r="CP95">
            <v>0</v>
          </cell>
          <cell r="CQ95">
            <v>0</v>
          </cell>
          <cell r="CR95">
            <v>0</v>
          </cell>
          <cell r="CS95">
            <v>0</v>
          </cell>
          <cell r="CT95">
            <v>0</v>
          </cell>
          <cell r="CU95">
            <v>0</v>
          </cell>
          <cell r="CV95">
            <v>0</v>
          </cell>
          <cell r="CW95">
            <v>0</v>
          </cell>
          <cell r="CX95">
            <v>0</v>
          </cell>
          <cell r="CY95">
            <v>0</v>
          </cell>
          <cell r="CZ95">
            <v>0</v>
          </cell>
          <cell r="DA95">
            <v>0</v>
          </cell>
          <cell r="DB95">
            <v>0</v>
          </cell>
          <cell r="DC95">
            <v>0</v>
          </cell>
          <cell r="DD95">
            <v>0</v>
          </cell>
          <cell r="DE95">
            <v>0</v>
          </cell>
          <cell r="DF95">
            <v>0</v>
          </cell>
          <cell r="DG95">
            <v>0</v>
          </cell>
          <cell r="DH95">
            <v>0</v>
          </cell>
          <cell r="DI95">
            <v>0</v>
          </cell>
          <cell r="DJ95">
            <v>0</v>
          </cell>
          <cell r="DK95">
            <v>0</v>
          </cell>
          <cell r="DL95">
            <v>0</v>
          </cell>
          <cell r="DM95">
            <v>0</v>
          </cell>
          <cell r="DN95">
            <v>0</v>
          </cell>
          <cell r="DO95">
            <v>0</v>
          </cell>
          <cell r="DP95">
            <v>0</v>
          </cell>
          <cell r="DQ95">
            <v>0</v>
          </cell>
          <cell r="DR95">
            <v>0</v>
          </cell>
          <cell r="DS95">
            <v>0</v>
          </cell>
          <cell r="DT95">
            <v>0</v>
          </cell>
          <cell r="DU95">
            <v>0</v>
          </cell>
          <cell r="DV95">
            <v>0</v>
          </cell>
          <cell r="DW95">
            <v>0</v>
          </cell>
          <cell r="DX95">
            <v>0</v>
          </cell>
          <cell r="DY95">
            <v>0</v>
          </cell>
          <cell r="DZ95">
            <v>0</v>
          </cell>
          <cell r="EA95">
            <v>0</v>
          </cell>
          <cell r="EB95">
            <v>0</v>
          </cell>
          <cell r="EC95">
            <v>0</v>
          </cell>
          <cell r="ED95">
            <v>0.05</v>
          </cell>
          <cell r="EE95">
            <v>0.09</v>
          </cell>
          <cell r="EF95">
            <v>0.08</v>
          </cell>
          <cell r="EG95">
            <v>0.17</v>
          </cell>
          <cell r="EH95">
            <v>1</v>
          </cell>
          <cell r="EI95">
            <v>1</v>
          </cell>
          <cell r="EJ95">
            <v>1</v>
          </cell>
          <cell r="EK95">
            <v>1</v>
          </cell>
          <cell r="EL95">
            <v>0.05</v>
          </cell>
          <cell r="EM95">
            <v>0.14000000000000001</v>
          </cell>
          <cell r="EN95">
            <v>0.11</v>
          </cell>
          <cell r="EO95">
            <v>0.2</v>
          </cell>
          <cell r="EP95">
            <v>0</v>
          </cell>
          <cell r="EQ95">
            <v>0</v>
          </cell>
          <cell r="ER95">
            <v>0</v>
          </cell>
          <cell r="ES95">
            <v>0</v>
          </cell>
          <cell r="ET95">
            <v>0</v>
          </cell>
          <cell r="EU95">
            <v>0</v>
          </cell>
          <cell r="EV95">
            <v>0</v>
          </cell>
          <cell r="EW95">
            <v>0</v>
          </cell>
          <cell r="EX95">
            <v>1</v>
          </cell>
          <cell r="EY95">
            <v>1</v>
          </cell>
          <cell r="EZ95">
            <v>1</v>
          </cell>
          <cell r="FA95">
            <v>0</v>
          </cell>
          <cell r="FB95">
            <v>0</v>
          </cell>
          <cell r="FC95">
            <v>0</v>
          </cell>
          <cell r="FD95">
            <v>0</v>
          </cell>
          <cell r="FE95">
            <v>0</v>
          </cell>
          <cell r="FF95">
            <v>0</v>
          </cell>
          <cell r="FG95">
            <v>0</v>
          </cell>
          <cell r="FH95">
            <v>0</v>
          </cell>
          <cell r="FI95">
            <v>0</v>
          </cell>
          <cell r="FJ95">
            <v>0</v>
          </cell>
          <cell r="FK95">
            <v>0</v>
          </cell>
          <cell r="FL95">
            <v>0</v>
          </cell>
          <cell r="FM95">
            <v>0</v>
          </cell>
          <cell r="FN95">
            <v>0</v>
          </cell>
          <cell r="FO95">
            <v>0</v>
          </cell>
          <cell r="FP95">
            <v>0</v>
          </cell>
          <cell r="FQ95">
            <v>0</v>
          </cell>
          <cell r="FR95">
            <v>0</v>
          </cell>
          <cell r="FS95">
            <v>0</v>
          </cell>
          <cell r="FT95">
            <v>0</v>
          </cell>
          <cell r="FU95">
            <v>0</v>
          </cell>
          <cell r="FV95">
            <v>0</v>
          </cell>
          <cell r="FW95">
            <v>0</v>
          </cell>
          <cell r="FX95">
            <v>0</v>
          </cell>
          <cell r="FY95">
            <v>0</v>
          </cell>
          <cell r="FZ95">
            <v>0</v>
          </cell>
        </row>
        <row r="96">
          <cell r="B96">
            <v>0.1</v>
          </cell>
          <cell r="C96">
            <v>0.08</v>
          </cell>
          <cell r="D96">
            <v>0.15</v>
          </cell>
          <cell r="E96">
            <v>0.08</v>
          </cell>
          <cell r="F96">
            <v>0.15</v>
          </cell>
          <cell r="G96">
            <v>0.22</v>
          </cell>
          <cell r="H96">
            <v>7.0000000000000007E-2</v>
          </cell>
          <cell r="I96">
            <v>0.05</v>
          </cell>
          <cell r="J96">
            <v>0.13</v>
          </cell>
          <cell r="K96">
            <v>0.18</v>
          </cell>
          <cell r="L96">
            <v>0.17</v>
          </cell>
          <cell r="M96">
            <v>0.16</v>
          </cell>
          <cell r="N96">
            <v>0.8</v>
          </cell>
          <cell r="O96">
            <v>1</v>
          </cell>
          <cell r="P96">
            <v>1</v>
          </cell>
          <cell r="Q96">
            <v>0.8</v>
          </cell>
          <cell r="R96">
            <v>0.8</v>
          </cell>
          <cell r="S96">
            <v>1</v>
          </cell>
          <cell r="T96">
            <v>1</v>
          </cell>
          <cell r="U96">
            <v>1</v>
          </cell>
          <cell r="V96">
            <v>1</v>
          </cell>
          <cell r="W96">
            <v>1</v>
          </cell>
          <cell r="X96">
            <v>1</v>
          </cell>
          <cell r="Y96">
            <v>1</v>
          </cell>
          <cell r="Z96">
            <v>0.1</v>
          </cell>
          <cell r="AA96">
            <v>0.1</v>
          </cell>
          <cell r="AB96">
            <v>0.14000000000000001</v>
          </cell>
          <cell r="AC96">
            <v>0.11</v>
          </cell>
          <cell r="AD96">
            <v>0.11</v>
          </cell>
          <cell r="AE96">
            <v>0.19</v>
          </cell>
          <cell r="AF96">
            <v>0.09</v>
          </cell>
          <cell r="AG96">
            <v>0.11</v>
          </cell>
          <cell r="AH96">
            <v>0.15</v>
          </cell>
          <cell r="AI96">
            <v>0.2</v>
          </cell>
          <cell r="AJ96">
            <v>0.2</v>
          </cell>
          <cell r="AK96">
            <v>0.2</v>
          </cell>
          <cell r="AL96">
            <v>0</v>
          </cell>
          <cell r="AM96">
            <v>0</v>
          </cell>
          <cell r="AN96">
            <v>0</v>
          </cell>
          <cell r="AO96">
            <v>0</v>
          </cell>
          <cell r="AP96">
            <v>0</v>
          </cell>
          <cell r="AQ96">
            <v>0</v>
          </cell>
          <cell r="AR96">
            <v>0</v>
          </cell>
          <cell r="AS96">
            <v>0</v>
          </cell>
          <cell r="AT96">
            <v>0</v>
          </cell>
          <cell r="AU96">
            <v>0</v>
          </cell>
          <cell r="AV96">
            <v>0</v>
          </cell>
          <cell r="AW96">
            <v>0</v>
          </cell>
          <cell r="AX96">
            <v>0</v>
          </cell>
          <cell r="AY96">
            <v>0</v>
          </cell>
          <cell r="AZ96">
            <v>0</v>
          </cell>
          <cell r="BA96">
            <v>0</v>
          </cell>
          <cell r="BB96">
            <v>0</v>
          </cell>
          <cell r="BC96">
            <v>0</v>
          </cell>
          <cell r="BD96">
            <v>0</v>
          </cell>
          <cell r="BE96">
            <v>0</v>
          </cell>
          <cell r="BF96">
            <v>0</v>
          </cell>
          <cell r="BG96">
            <v>0</v>
          </cell>
          <cell r="BH96">
            <v>0</v>
          </cell>
          <cell r="BI96">
            <v>0</v>
          </cell>
          <cell r="BJ96">
            <v>0</v>
          </cell>
          <cell r="BK96">
            <v>0</v>
          </cell>
          <cell r="BL96">
            <v>0</v>
          </cell>
          <cell r="BM96">
            <v>0</v>
          </cell>
          <cell r="BN96">
            <v>0</v>
          </cell>
          <cell r="BO96">
            <v>0</v>
          </cell>
          <cell r="BP96">
            <v>0</v>
          </cell>
          <cell r="BQ96">
            <v>0</v>
          </cell>
          <cell r="BR96">
            <v>0</v>
          </cell>
          <cell r="BS96">
            <v>0</v>
          </cell>
          <cell r="BT96">
            <v>0</v>
          </cell>
          <cell r="BU96">
            <v>0</v>
          </cell>
          <cell r="BV96">
            <v>0</v>
          </cell>
          <cell r="BW96">
            <v>0</v>
          </cell>
          <cell r="BX96">
            <v>0</v>
          </cell>
          <cell r="BY96">
            <v>0</v>
          </cell>
          <cell r="BZ96">
            <v>0</v>
          </cell>
          <cell r="CA96">
            <v>0</v>
          </cell>
          <cell r="CB96">
            <v>0</v>
          </cell>
          <cell r="CC96">
            <v>0</v>
          </cell>
          <cell r="CD96">
            <v>0</v>
          </cell>
          <cell r="CE96">
            <v>0</v>
          </cell>
          <cell r="CF96">
            <v>0</v>
          </cell>
          <cell r="CG96">
            <v>0</v>
          </cell>
          <cell r="CH96">
            <v>0</v>
          </cell>
          <cell r="CI96">
            <v>0</v>
          </cell>
          <cell r="CJ96">
            <v>0</v>
          </cell>
          <cell r="CK96">
            <v>0</v>
          </cell>
          <cell r="CL96">
            <v>0</v>
          </cell>
          <cell r="CM96">
            <v>0</v>
          </cell>
          <cell r="CN96">
            <v>0</v>
          </cell>
          <cell r="CO96">
            <v>0</v>
          </cell>
          <cell r="CP96">
            <v>0</v>
          </cell>
          <cell r="CQ96">
            <v>0</v>
          </cell>
          <cell r="CR96">
            <v>0</v>
          </cell>
          <cell r="CS96">
            <v>0</v>
          </cell>
          <cell r="CT96">
            <v>0</v>
          </cell>
          <cell r="CU96">
            <v>0</v>
          </cell>
          <cell r="CV96">
            <v>0</v>
          </cell>
          <cell r="CW96">
            <v>0</v>
          </cell>
          <cell r="CX96">
            <v>0</v>
          </cell>
          <cell r="CY96">
            <v>0</v>
          </cell>
          <cell r="CZ96">
            <v>0</v>
          </cell>
          <cell r="DA96">
            <v>0</v>
          </cell>
          <cell r="DB96">
            <v>0</v>
          </cell>
          <cell r="DC96">
            <v>0</v>
          </cell>
          <cell r="DD96">
            <v>0</v>
          </cell>
          <cell r="DE96">
            <v>0</v>
          </cell>
          <cell r="DF96">
            <v>0</v>
          </cell>
          <cell r="DG96">
            <v>0</v>
          </cell>
          <cell r="DH96">
            <v>0</v>
          </cell>
          <cell r="DI96">
            <v>0</v>
          </cell>
          <cell r="DJ96">
            <v>0</v>
          </cell>
          <cell r="DK96">
            <v>0</v>
          </cell>
          <cell r="DL96">
            <v>0</v>
          </cell>
          <cell r="DM96">
            <v>0</v>
          </cell>
          <cell r="DN96">
            <v>0</v>
          </cell>
          <cell r="DO96">
            <v>0</v>
          </cell>
          <cell r="DP96">
            <v>0</v>
          </cell>
          <cell r="DQ96">
            <v>0</v>
          </cell>
          <cell r="DR96">
            <v>0</v>
          </cell>
          <cell r="DS96">
            <v>0</v>
          </cell>
          <cell r="DT96">
            <v>0</v>
          </cell>
          <cell r="DU96">
            <v>0</v>
          </cell>
          <cell r="DV96">
            <v>0</v>
          </cell>
          <cell r="DW96">
            <v>0</v>
          </cell>
          <cell r="DX96">
            <v>0</v>
          </cell>
          <cell r="DY96">
            <v>0</v>
          </cell>
          <cell r="DZ96">
            <v>0</v>
          </cell>
          <cell r="EA96">
            <v>0</v>
          </cell>
          <cell r="EB96">
            <v>0</v>
          </cell>
          <cell r="EC96">
            <v>0</v>
          </cell>
          <cell r="ED96">
            <v>0.05</v>
          </cell>
          <cell r="EE96">
            <v>0.09</v>
          </cell>
          <cell r="EF96">
            <v>0.08</v>
          </cell>
          <cell r="EG96">
            <v>0.17</v>
          </cell>
          <cell r="EH96">
            <v>1</v>
          </cell>
          <cell r="EI96">
            <v>1</v>
          </cell>
          <cell r="EJ96">
            <v>1</v>
          </cell>
          <cell r="EK96">
            <v>1</v>
          </cell>
          <cell r="EL96">
            <v>0.05</v>
          </cell>
          <cell r="EM96">
            <v>0.14000000000000001</v>
          </cell>
          <cell r="EN96">
            <v>0.11</v>
          </cell>
          <cell r="EO96">
            <v>0.2</v>
          </cell>
          <cell r="EP96">
            <v>0</v>
          </cell>
          <cell r="EQ96">
            <v>0</v>
          </cell>
          <cell r="ER96">
            <v>0</v>
          </cell>
          <cell r="ES96">
            <v>0</v>
          </cell>
          <cell r="ET96">
            <v>0</v>
          </cell>
          <cell r="EU96">
            <v>0</v>
          </cell>
          <cell r="EV96">
            <v>0</v>
          </cell>
          <cell r="EW96">
            <v>0</v>
          </cell>
          <cell r="EX96">
            <v>1</v>
          </cell>
          <cell r="EY96">
            <v>1</v>
          </cell>
          <cell r="EZ96">
            <v>1</v>
          </cell>
          <cell r="FA96">
            <v>0</v>
          </cell>
          <cell r="FB96">
            <v>0</v>
          </cell>
          <cell r="FC96">
            <v>0</v>
          </cell>
          <cell r="FD96">
            <v>0</v>
          </cell>
          <cell r="FE96">
            <v>0</v>
          </cell>
          <cell r="FF96">
            <v>0</v>
          </cell>
          <cell r="FG96">
            <v>0</v>
          </cell>
          <cell r="FH96">
            <v>0</v>
          </cell>
          <cell r="FI96">
            <v>0</v>
          </cell>
          <cell r="FJ96">
            <v>0</v>
          </cell>
          <cell r="FK96">
            <v>0</v>
          </cell>
          <cell r="FL96">
            <v>0</v>
          </cell>
          <cell r="FM96">
            <v>0</v>
          </cell>
          <cell r="FN96">
            <v>0</v>
          </cell>
          <cell r="FO96">
            <v>0</v>
          </cell>
          <cell r="FP96">
            <v>0</v>
          </cell>
          <cell r="FQ96">
            <v>0</v>
          </cell>
          <cell r="FR96">
            <v>0</v>
          </cell>
          <cell r="FS96">
            <v>0</v>
          </cell>
          <cell r="FT96">
            <v>0</v>
          </cell>
          <cell r="FU96">
            <v>0</v>
          </cell>
          <cell r="FV96">
            <v>0</v>
          </cell>
          <cell r="FW96">
            <v>0</v>
          </cell>
          <cell r="FX96">
            <v>0</v>
          </cell>
          <cell r="FY96">
            <v>0</v>
          </cell>
          <cell r="FZ96">
            <v>0</v>
          </cell>
        </row>
        <row r="97">
          <cell r="B97">
            <v>0.1</v>
          </cell>
          <cell r="C97">
            <v>0.08</v>
          </cell>
          <cell r="D97">
            <v>0.15</v>
          </cell>
          <cell r="E97">
            <v>0.08</v>
          </cell>
          <cell r="F97">
            <v>0.15</v>
          </cell>
          <cell r="G97">
            <v>0.22</v>
          </cell>
          <cell r="H97">
            <v>7.0000000000000007E-2</v>
          </cell>
          <cell r="I97">
            <v>0.05</v>
          </cell>
          <cell r="J97">
            <v>0.13</v>
          </cell>
          <cell r="K97">
            <v>0.18</v>
          </cell>
          <cell r="L97">
            <v>0.17</v>
          </cell>
          <cell r="M97">
            <v>0.16</v>
          </cell>
          <cell r="N97">
            <v>0.8</v>
          </cell>
          <cell r="O97">
            <v>1</v>
          </cell>
          <cell r="P97">
            <v>1</v>
          </cell>
          <cell r="Q97">
            <v>0.8</v>
          </cell>
          <cell r="R97">
            <v>0.8</v>
          </cell>
          <cell r="S97">
            <v>1</v>
          </cell>
          <cell r="T97">
            <v>1</v>
          </cell>
          <cell r="U97">
            <v>1</v>
          </cell>
          <cell r="V97">
            <v>1</v>
          </cell>
          <cell r="W97">
            <v>1</v>
          </cell>
          <cell r="X97">
            <v>1</v>
          </cell>
          <cell r="Y97">
            <v>1</v>
          </cell>
          <cell r="Z97">
            <v>0.1</v>
          </cell>
          <cell r="AA97">
            <v>0.1</v>
          </cell>
          <cell r="AB97">
            <v>0.14000000000000001</v>
          </cell>
          <cell r="AC97">
            <v>0.11</v>
          </cell>
          <cell r="AD97">
            <v>0.11</v>
          </cell>
          <cell r="AE97">
            <v>0.19</v>
          </cell>
          <cell r="AF97">
            <v>0.09</v>
          </cell>
          <cell r="AG97">
            <v>0.11</v>
          </cell>
          <cell r="AH97">
            <v>0.15</v>
          </cell>
          <cell r="AI97">
            <v>0.2</v>
          </cell>
          <cell r="AJ97">
            <v>0.2</v>
          </cell>
          <cell r="AK97">
            <v>0.2</v>
          </cell>
          <cell r="AL97">
            <v>0</v>
          </cell>
          <cell r="AM97">
            <v>0</v>
          </cell>
          <cell r="AN97">
            <v>0</v>
          </cell>
          <cell r="AO97">
            <v>0</v>
          </cell>
          <cell r="AP97">
            <v>0</v>
          </cell>
          <cell r="AQ97">
            <v>0</v>
          </cell>
          <cell r="AR97">
            <v>0</v>
          </cell>
          <cell r="AS97">
            <v>0</v>
          </cell>
          <cell r="AT97">
            <v>0</v>
          </cell>
          <cell r="AU97">
            <v>0</v>
          </cell>
          <cell r="AV97">
            <v>0</v>
          </cell>
          <cell r="AW97">
            <v>0</v>
          </cell>
          <cell r="AX97">
            <v>0</v>
          </cell>
          <cell r="AY97">
            <v>0</v>
          </cell>
          <cell r="AZ97">
            <v>0</v>
          </cell>
          <cell r="BA97">
            <v>0</v>
          </cell>
          <cell r="BB97">
            <v>0</v>
          </cell>
          <cell r="BC97">
            <v>0</v>
          </cell>
          <cell r="BD97">
            <v>0</v>
          </cell>
          <cell r="BE97">
            <v>0</v>
          </cell>
          <cell r="BF97">
            <v>0</v>
          </cell>
          <cell r="BG97">
            <v>0</v>
          </cell>
          <cell r="BH97">
            <v>0</v>
          </cell>
          <cell r="BI97">
            <v>0</v>
          </cell>
          <cell r="BJ97">
            <v>0</v>
          </cell>
          <cell r="BK97">
            <v>0</v>
          </cell>
          <cell r="BL97">
            <v>0</v>
          </cell>
          <cell r="BM97">
            <v>0</v>
          </cell>
          <cell r="BN97">
            <v>0</v>
          </cell>
          <cell r="BO97">
            <v>0</v>
          </cell>
          <cell r="BP97">
            <v>0</v>
          </cell>
          <cell r="BQ97">
            <v>0</v>
          </cell>
          <cell r="BR97">
            <v>0</v>
          </cell>
          <cell r="BS97">
            <v>0</v>
          </cell>
          <cell r="BT97">
            <v>0</v>
          </cell>
          <cell r="BU97">
            <v>0</v>
          </cell>
          <cell r="BV97">
            <v>0</v>
          </cell>
          <cell r="BW97">
            <v>0</v>
          </cell>
          <cell r="BX97">
            <v>0</v>
          </cell>
          <cell r="BY97">
            <v>0</v>
          </cell>
          <cell r="BZ97">
            <v>0</v>
          </cell>
          <cell r="CA97">
            <v>0</v>
          </cell>
          <cell r="CB97">
            <v>0</v>
          </cell>
          <cell r="CC97">
            <v>0</v>
          </cell>
          <cell r="CD97">
            <v>0</v>
          </cell>
          <cell r="CE97">
            <v>0</v>
          </cell>
          <cell r="CF97">
            <v>0</v>
          </cell>
          <cell r="CG97">
            <v>0</v>
          </cell>
          <cell r="CH97">
            <v>0</v>
          </cell>
          <cell r="CI97">
            <v>0</v>
          </cell>
          <cell r="CJ97">
            <v>0</v>
          </cell>
          <cell r="CK97">
            <v>0</v>
          </cell>
          <cell r="CL97">
            <v>0</v>
          </cell>
          <cell r="CM97">
            <v>0</v>
          </cell>
          <cell r="CN97">
            <v>0</v>
          </cell>
          <cell r="CO97">
            <v>0</v>
          </cell>
          <cell r="CP97">
            <v>0</v>
          </cell>
          <cell r="CQ97">
            <v>0</v>
          </cell>
          <cell r="CR97">
            <v>0</v>
          </cell>
          <cell r="CS97">
            <v>0</v>
          </cell>
          <cell r="CT97">
            <v>0</v>
          </cell>
          <cell r="CU97">
            <v>0</v>
          </cell>
          <cell r="CV97">
            <v>0</v>
          </cell>
          <cell r="CW97">
            <v>0</v>
          </cell>
          <cell r="CX97">
            <v>0</v>
          </cell>
          <cell r="CY97">
            <v>0</v>
          </cell>
          <cell r="CZ97">
            <v>0</v>
          </cell>
          <cell r="DA97">
            <v>0</v>
          </cell>
          <cell r="DB97">
            <v>0</v>
          </cell>
          <cell r="DC97">
            <v>0</v>
          </cell>
          <cell r="DD97">
            <v>0</v>
          </cell>
          <cell r="DE97">
            <v>0</v>
          </cell>
          <cell r="DF97">
            <v>0</v>
          </cell>
          <cell r="DG97">
            <v>0</v>
          </cell>
          <cell r="DH97">
            <v>0</v>
          </cell>
          <cell r="DI97">
            <v>0</v>
          </cell>
          <cell r="DJ97">
            <v>0</v>
          </cell>
          <cell r="DK97">
            <v>0</v>
          </cell>
          <cell r="DL97">
            <v>0</v>
          </cell>
          <cell r="DM97">
            <v>0</v>
          </cell>
          <cell r="DN97">
            <v>0</v>
          </cell>
          <cell r="DO97">
            <v>0</v>
          </cell>
          <cell r="DP97">
            <v>0</v>
          </cell>
          <cell r="DQ97">
            <v>0</v>
          </cell>
          <cell r="DR97">
            <v>0</v>
          </cell>
          <cell r="DS97">
            <v>0</v>
          </cell>
          <cell r="DT97">
            <v>0</v>
          </cell>
          <cell r="DU97">
            <v>0</v>
          </cell>
          <cell r="DV97">
            <v>0</v>
          </cell>
          <cell r="DW97">
            <v>0</v>
          </cell>
          <cell r="DX97">
            <v>0</v>
          </cell>
          <cell r="DY97">
            <v>0</v>
          </cell>
          <cell r="DZ97">
            <v>0</v>
          </cell>
          <cell r="EA97">
            <v>0</v>
          </cell>
          <cell r="EB97">
            <v>0</v>
          </cell>
          <cell r="EC97">
            <v>0</v>
          </cell>
          <cell r="ED97">
            <v>0.05</v>
          </cell>
          <cell r="EE97">
            <v>0.09</v>
          </cell>
          <cell r="EF97">
            <v>0.08</v>
          </cell>
          <cell r="EG97">
            <v>0.17</v>
          </cell>
          <cell r="EH97">
            <v>1</v>
          </cell>
          <cell r="EI97">
            <v>1</v>
          </cell>
          <cell r="EJ97">
            <v>1</v>
          </cell>
          <cell r="EK97">
            <v>1</v>
          </cell>
          <cell r="EL97">
            <v>0.05</v>
          </cell>
          <cell r="EM97">
            <v>0.14000000000000001</v>
          </cell>
          <cell r="EN97">
            <v>0.11</v>
          </cell>
          <cell r="EO97">
            <v>0.2</v>
          </cell>
          <cell r="EP97">
            <v>0</v>
          </cell>
          <cell r="EQ97">
            <v>0</v>
          </cell>
          <cell r="ER97">
            <v>0</v>
          </cell>
          <cell r="ES97">
            <v>0</v>
          </cell>
          <cell r="ET97">
            <v>0</v>
          </cell>
          <cell r="EU97">
            <v>0</v>
          </cell>
          <cell r="EV97">
            <v>0</v>
          </cell>
          <cell r="EW97">
            <v>0</v>
          </cell>
          <cell r="EX97">
            <v>1</v>
          </cell>
          <cell r="EY97">
            <v>1</v>
          </cell>
          <cell r="EZ97">
            <v>1</v>
          </cell>
          <cell r="FA97">
            <v>0</v>
          </cell>
          <cell r="FB97">
            <v>0</v>
          </cell>
          <cell r="FC97">
            <v>0</v>
          </cell>
          <cell r="FD97">
            <v>0</v>
          </cell>
          <cell r="FE97">
            <v>0</v>
          </cell>
          <cell r="FF97">
            <v>0</v>
          </cell>
          <cell r="FG97">
            <v>0</v>
          </cell>
          <cell r="FH97">
            <v>0</v>
          </cell>
          <cell r="FI97">
            <v>0</v>
          </cell>
          <cell r="FJ97">
            <v>0</v>
          </cell>
          <cell r="FK97">
            <v>0</v>
          </cell>
          <cell r="FL97">
            <v>0</v>
          </cell>
          <cell r="FM97">
            <v>0</v>
          </cell>
          <cell r="FN97">
            <v>0</v>
          </cell>
          <cell r="FO97">
            <v>0</v>
          </cell>
          <cell r="FP97">
            <v>0</v>
          </cell>
          <cell r="FQ97">
            <v>0</v>
          </cell>
          <cell r="FR97">
            <v>0</v>
          </cell>
          <cell r="FS97">
            <v>0</v>
          </cell>
          <cell r="FT97">
            <v>0</v>
          </cell>
          <cell r="FU97">
            <v>0</v>
          </cell>
          <cell r="FV97">
            <v>0</v>
          </cell>
          <cell r="FW97">
            <v>0</v>
          </cell>
          <cell r="FX97">
            <v>0</v>
          </cell>
          <cell r="FY97">
            <v>0</v>
          </cell>
          <cell r="FZ97">
            <v>0</v>
          </cell>
        </row>
        <row r="98">
          <cell r="B98">
            <v>0.1</v>
          </cell>
          <cell r="C98">
            <v>0.08</v>
          </cell>
          <cell r="D98">
            <v>0.15</v>
          </cell>
          <cell r="E98">
            <v>0.08</v>
          </cell>
          <cell r="F98">
            <v>0.15</v>
          </cell>
          <cell r="G98">
            <v>0.22</v>
          </cell>
          <cell r="H98">
            <v>7.0000000000000007E-2</v>
          </cell>
          <cell r="I98">
            <v>0.05</v>
          </cell>
          <cell r="J98">
            <v>0.13</v>
          </cell>
          <cell r="K98">
            <v>0.18</v>
          </cell>
          <cell r="L98">
            <v>0.17</v>
          </cell>
          <cell r="M98">
            <v>0.16</v>
          </cell>
          <cell r="N98">
            <v>0.8</v>
          </cell>
          <cell r="O98">
            <v>1</v>
          </cell>
          <cell r="P98">
            <v>1</v>
          </cell>
          <cell r="Q98">
            <v>0.8</v>
          </cell>
          <cell r="R98">
            <v>0.8</v>
          </cell>
          <cell r="S98">
            <v>1</v>
          </cell>
          <cell r="T98">
            <v>1</v>
          </cell>
          <cell r="U98">
            <v>1</v>
          </cell>
          <cell r="V98">
            <v>1</v>
          </cell>
          <cell r="W98">
            <v>1</v>
          </cell>
          <cell r="X98">
            <v>1</v>
          </cell>
          <cell r="Y98">
            <v>1</v>
          </cell>
          <cell r="Z98">
            <v>0.1</v>
          </cell>
          <cell r="AA98">
            <v>0.1</v>
          </cell>
          <cell r="AB98">
            <v>0.14000000000000001</v>
          </cell>
          <cell r="AC98">
            <v>0.11</v>
          </cell>
          <cell r="AD98">
            <v>0.11</v>
          </cell>
          <cell r="AE98">
            <v>0.19</v>
          </cell>
          <cell r="AF98">
            <v>0.09</v>
          </cell>
          <cell r="AG98">
            <v>0.11</v>
          </cell>
          <cell r="AH98">
            <v>0.15</v>
          </cell>
          <cell r="AI98">
            <v>0.2</v>
          </cell>
          <cell r="AJ98">
            <v>0.2</v>
          </cell>
          <cell r="AK98">
            <v>0.2</v>
          </cell>
          <cell r="AL98">
            <v>0</v>
          </cell>
          <cell r="AM98">
            <v>0</v>
          </cell>
          <cell r="AN98">
            <v>0</v>
          </cell>
          <cell r="AO98">
            <v>0</v>
          </cell>
          <cell r="AP98">
            <v>0</v>
          </cell>
          <cell r="AQ98">
            <v>0</v>
          </cell>
          <cell r="AR98">
            <v>0</v>
          </cell>
          <cell r="AS98">
            <v>0</v>
          </cell>
          <cell r="AT98">
            <v>0</v>
          </cell>
          <cell r="AU98">
            <v>0</v>
          </cell>
          <cell r="AV98">
            <v>0</v>
          </cell>
          <cell r="AW98">
            <v>0</v>
          </cell>
          <cell r="AX98">
            <v>0</v>
          </cell>
          <cell r="AY98">
            <v>0</v>
          </cell>
          <cell r="AZ98">
            <v>0</v>
          </cell>
          <cell r="BA98">
            <v>0</v>
          </cell>
          <cell r="BB98">
            <v>0</v>
          </cell>
          <cell r="BC98">
            <v>0</v>
          </cell>
          <cell r="BD98">
            <v>0</v>
          </cell>
          <cell r="BE98">
            <v>0</v>
          </cell>
          <cell r="BF98">
            <v>0</v>
          </cell>
          <cell r="BG98">
            <v>0</v>
          </cell>
          <cell r="BH98">
            <v>0</v>
          </cell>
          <cell r="BI98">
            <v>0</v>
          </cell>
          <cell r="BJ98">
            <v>0</v>
          </cell>
          <cell r="BK98">
            <v>0</v>
          </cell>
          <cell r="BL98">
            <v>0</v>
          </cell>
          <cell r="BM98">
            <v>0</v>
          </cell>
          <cell r="BN98">
            <v>0</v>
          </cell>
          <cell r="BO98">
            <v>0</v>
          </cell>
          <cell r="BP98">
            <v>0</v>
          </cell>
          <cell r="BQ98">
            <v>0</v>
          </cell>
          <cell r="BR98">
            <v>0</v>
          </cell>
          <cell r="BS98">
            <v>0</v>
          </cell>
          <cell r="BT98">
            <v>0</v>
          </cell>
          <cell r="BU98">
            <v>0</v>
          </cell>
          <cell r="BV98">
            <v>0</v>
          </cell>
          <cell r="BW98">
            <v>0</v>
          </cell>
          <cell r="BX98">
            <v>0</v>
          </cell>
          <cell r="BY98">
            <v>0</v>
          </cell>
          <cell r="BZ98">
            <v>0</v>
          </cell>
          <cell r="CA98">
            <v>0</v>
          </cell>
          <cell r="CB98">
            <v>0</v>
          </cell>
          <cell r="CC98">
            <v>0</v>
          </cell>
          <cell r="CD98">
            <v>0</v>
          </cell>
          <cell r="CE98">
            <v>0</v>
          </cell>
          <cell r="CF98">
            <v>0</v>
          </cell>
          <cell r="CG98">
            <v>0</v>
          </cell>
          <cell r="CH98">
            <v>0</v>
          </cell>
          <cell r="CI98">
            <v>0</v>
          </cell>
          <cell r="CJ98">
            <v>0</v>
          </cell>
          <cell r="CK98">
            <v>0</v>
          </cell>
          <cell r="CL98">
            <v>0</v>
          </cell>
          <cell r="CM98">
            <v>0</v>
          </cell>
          <cell r="CN98">
            <v>0</v>
          </cell>
          <cell r="CO98">
            <v>0</v>
          </cell>
          <cell r="CP98">
            <v>0</v>
          </cell>
          <cell r="CQ98">
            <v>0</v>
          </cell>
          <cell r="CR98">
            <v>0</v>
          </cell>
          <cell r="CS98">
            <v>0</v>
          </cell>
          <cell r="CT98">
            <v>0</v>
          </cell>
          <cell r="CU98">
            <v>0</v>
          </cell>
          <cell r="CV98">
            <v>0</v>
          </cell>
          <cell r="CW98">
            <v>0</v>
          </cell>
          <cell r="CX98">
            <v>0</v>
          </cell>
          <cell r="CY98">
            <v>0</v>
          </cell>
          <cell r="CZ98">
            <v>0</v>
          </cell>
          <cell r="DA98">
            <v>0</v>
          </cell>
          <cell r="DB98">
            <v>0</v>
          </cell>
          <cell r="DC98">
            <v>0</v>
          </cell>
          <cell r="DD98">
            <v>0</v>
          </cell>
          <cell r="DE98">
            <v>0</v>
          </cell>
          <cell r="DF98">
            <v>0</v>
          </cell>
          <cell r="DG98">
            <v>0</v>
          </cell>
          <cell r="DH98">
            <v>0</v>
          </cell>
          <cell r="DI98">
            <v>0</v>
          </cell>
          <cell r="DJ98">
            <v>0</v>
          </cell>
          <cell r="DK98">
            <v>0</v>
          </cell>
          <cell r="DL98">
            <v>0</v>
          </cell>
          <cell r="DM98">
            <v>0</v>
          </cell>
          <cell r="DN98">
            <v>0</v>
          </cell>
          <cell r="DO98">
            <v>0</v>
          </cell>
          <cell r="DP98">
            <v>0</v>
          </cell>
          <cell r="DQ98">
            <v>0</v>
          </cell>
          <cell r="DR98">
            <v>0</v>
          </cell>
          <cell r="DS98">
            <v>0</v>
          </cell>
          <cell r="DT98">
            <v>0</v>
          </cell>
          <cell r="DU98">
            <v>0</v>
          </cell>
          <cell r="DV98">
            <v>0</v>
          </cell>
          <cell r="DW98">
            <v>0</v>
          </cell>
          <cell r="DX98">
            <v>0</v>
          </cell>
          <cell r="DY98">
            <v>0</v>
          </cell>
          <cell r="DZ98">
            <v>0</v>
          </cell>
          <cell r="EA98">
            <v>0</v>
          </cell>
          <cell r="EB98">
            <v>0</v>
          </cell>
          <cell r="EC98">
            <v>0</v>
          </cell>
          <cell r="ED98">
            <v>0.05</v>
          </cell>
          <cell r="EE98">
            <v>0.09</v>
          </cell>
          <cell r="EF98">
            <v>0.08</v>
          </cell>
          <cell r="EG98">
            <v>0.17</v>
          </cell>
          <cell r="EH98">
            <v>1</v>
          </cell>
          <cell r="EI98">
            <v>1</v>
          </cell>
          <cell r="EJ98">
            <v>1</v>
          </cell>
          <cell r="EK98">
            <v>1</v>
          </cell>
          <cell r="EL98">
            <v>0.05</v>
          </cell>
          <cell r="EM98">
            <v>0.14000000000000001</v>
          </cell>
          <cell r="EN98">
            <v>0.11</v>
          </cell>
          <cell r="EO98">
            <v>0.2</v>
          </cell>
          <cell r="EP98">
            <v>0</v>
          </cell>
          <cell r="EQ98">
            <v>0</v>
          </cell>
          <cell r="ER98">
            <v>0</v>
          </cell>
          <cell r="ES98">
            <v>0</v>
          </cell>
          <cell r="ET98">
            <v>0</v>
          </cell>
          <cell r="EU98">
            <v>0</v>
          </cell>
          <cell r="EV98">
            <v>0</v>
          </cell>
          <cell r="EW98">
            <v>0</v>
          </cell>
          <cell r="EX98">
            <v>1</v>
          </cell>
          <cell r="EY98">
            <v>1</v>
          </cell>
          <cell r="EZ98">
            <v>1</v>
          </cell>
          <cell r="FA98">
            <v>0</v>
          </cell>
          <cell r="FB98">
            <v>0</v>
          </cell>
          <cell r="FC98">
            <v>0</v>
          </cell>
          <cell r="FD98">
            <v>0</v>
          </cell>
          <cell r="FE98">
            <v>0</v>
          </cell>
          <cell r="FF98">
            <v>0</v>
          </cell>
          <cell r="FG98">
            <v>0</v>
          </cell>
          <cell r="FH98">
            <v>0</v>
          </cell>
          <cell r="FI98">
            <v>0</v>
          </cell>
          <cell r="FJ98">
            <v>0</v>
          </cell>
          <cell r="FK98">
            <v>0</v>
          </cell>
          <cell r="FL98">
            <v>0</v>
          </cell>
          <cell r="FM98">
            <v>0</v>
          </cell>
          <cell r="FN98">
            <v>0</v>
          </cell>
          <cell r="FO98">
            <v>0</v>
          </cell>
          <cell r="FP98">
            <v>0</v>
          </cell>
          <cell r="FQ98">
            <v>0</v>
          </cell>
          <cell r="FR98">
            <v>0</v>
          </cell>
          <cell r="FS98">
            <v>0</v>
          </cell>
          <cell r="FT98">
            <v>0</v>
          </cell>
          <cell r="FU98">
            <v>0</v>
          </cell>
          <cell r="FV98">
            <v>0</v>
          </cell>
          <cell r="FW98">
            <v>0</v>
          </cell>
          <cell r="FX98">
            <v>0</v>
          </cell>
          <cell r="FY98">
            <v>0</v>
          </cell>
          <cell r="FZ98">
            <v>0</v>
          </cell>
        </row>
        <row r="99">
          <cell r="B99">
            <v>0.1</v>
          </cell>
          <cell r="C99">
            <v>0.08</v>
          </cell>
          <cell r="D99">
            <v>0.15</v>
          </cell>
          <cell r="E99">
            <v>0.08</v>
          </cell>
          <cell r="F99">
            <v>0.15</v>
          </cell>
          <cell r="G99">
            <v>0.22</v>
          </cell>
          <cell r="H99">
            <v>7.0000000000000007E-2</v>
          </cell>
          <cell r="I99">
            <v>0.05</v>
          </cell>
          <cell r="J99">
            <v>0.13</v>
          </cell>
          <cell r="K99">
            <v>0.18</v>
          </cell>
          <cell r="L99">
            <v>0.17</v>
          </cell>
          <cell r="M99">
            <v>0.16</v>
          </cell>
          <cell r="N99">
            <v>0.8</v>
          </cell>
          <cell r="O99">
            <v>1</v>
          </cell>
          <cell r="P99">
            <v>1</v>
          </cell>
          <cell r="Q99">
            <v>0.8</v>
          </cell>
          <cell r="R99">
            <v>0.8</v>
          </cell>
          <cell r="S99">
            <v>1</v>
          </cell>
          <cell r="T99">
            <v>1</v>
          </cell>
          <cell r="U99">
            <v>1</v>
          </cell>
          <cell r="V99">
            <v>1</v>
          </cell>
          <cell r="W99">
            <v>1</v>
          </cell>
          <cell r="X99">
            <v>1</v>
          </cell>
          <cell r="Y99">
            <v>1</v>
          </cell>
          <cell r="Z99">
            <v>0.1</v>
          </cell>
          <cell r="AA99">
            <v>0.1</v>
          </cell>
          <cell r="AB99">
            <v>0.14000000000000001</v>
          </cell>
          <cell r="AC99">
            <v>0.11</v>
          </cell>
          <cell r="AD99">
            <v>0.11</v>
          </cell>
          <cell r="AE99">
            <v>0.19</v>
          </cell>
          <cell r="AF99">
            <v>0.09</v>
          </cell>
          <cell r="AG99">
            <v>0.11</v>
          </cell>
          <cell r="AH99">
            <v>0.15</v>
          </cell>
          <cell r="AI99">
            <v>0.2</v>
          </cell>
          <cell r="AJ99">
            <v>0.2</v>
          </cell>
          <cell r="AK99">
            <v>0.2</v>
          </cell>
          <cell r="AL99">
            <v>0</v>
          </cell>
          <cell r="AM99">
            <v>0</v>
          </cell>
          <cell r="AN99">
            <v>0</v>
          </cell>
          <cell r="AO99">
            <v>0</v>
          </cell>
          <cell r="AP99">
            <v>0</v>
          </cell>
          <cell r="AQ99">
            <v>0</v>
          </cell>
          <cell r="AR99">
            <v>0</v>
          </cell>
          <cell r="AS99">
            <v>0</v>
          </cell>
          <cell r="AT99">
            <v>0</v>
          </cell>
          <cell r="AU99">
            <v>0</v>
          </cell>
          <cell r="AV99">
            <v>0</v>
          </cell>
          <cell r="AW99">
            <v>0</v>
          </cell>
          <cell r="AX99">
            <v>0</v>
          </cell>
          <cell r="AY99">
            <v>0</v>
          </cell>
          <cell r="AZ99">
            <v>0</v>
          </cell>
          <cell r="BA99">
            <v>0</v>
          </cell>
          <cell r="BB99">
            <v>0</v>
          </cell>
          <cell r="BC99">
            <v>0</v>
          </cell>
          <cell r="BD99">
            <v>0</v>
          </cell>
          <cell r="BE99">
            <v>0</v>
          </cell>
          <cell r="BF99">
            <v>0</v>
          </cell>
          <cell r="BG99">
            <v>0</v>
          </cell>
          <cell r="BH99">
            <v>0</v>
          </cell>
          <cell r="BI99">
            <v>0</v>
          </cell>
          <cell r="BJ99">
            <v>0</v>
          </cell>
          <cell r="BK99">
            <v>0</v>
          </cell>
          <cell r="BL99">
            <v>0</v>
          </cell>
          <cell r="BM99">
            <v>0</v>
          </cell>
          <cell r="BN99">
            <v>0</v>
          </cell>
          <cell r="BO99">
            <v>0</v>
          </cell>
          <cell r="BP99">
            <v>0</v>
          </cell>
          <cell r="BQ99">
            <v>0</v>
          </cell>
          <cell r="BR99">
            <v>0</v>
          </cell>
          <cell r="BS99">
            <v>0</v>
          </cell>
          <cell r="BT99">
            <v>0</v>
          </cell>
          <cell r="BU99">
            <v>0</v>
          </cell>
          <cell r="BV99">
            <v>0</v>
          </cell>
          <cell r="BW99">
            <v>0</v>
          </cell>
          <cell r="BX99">
            <v>0</v>
          </cell>
          <cell r="BY99">
            <v>0</v>
          </cell>
          <cell r="BZ99">
            <v>0</v>
          </cell>
          <cell r="CA99">
            <v>0</v>
          </cell>
          <cell r="CB99">
            <v>0</v>
          </cell>
          <cell r="CC99">
            <v>0</v>
          </cell>
          <cell r="CD99">
            <v>0</v>
          </cell>
          <cell r="CE99">
            <v>0</v>
          </cell>
          <cell r="CF99">
            <v>0</v>
          </cell>
          <cell r="CG99">
            <v>0</v>
          </cell>
          <cell r="CH99">
            <v>0</v>
          </cell>
          <cell r="CI99">
            <v>0</v>
          </cell>
          <cell r="CJ99">
            <v>0</v>
          </cell>
          <cell r="CK99">
            <v>0</v>
          </cell>
          <cell r="CL99">
            <v>0</v>
          </cell>
          <cell r="CM99">
            <v>0</v>
          </cell>
          <cell r="CN99">
            <v>0</v>
          </cell>
          <cell r="CO99">
            <v>0</v>
          </cell>
          <cell r="CP99">
            <v>0</v>
          </cell>
          <cell r="CQ99">
            <v>0</v>
          </cell>
          <cell r="CR99">
            <v>0</v>
          </cell>
          <cell r="CS99">
            <v>0</v>
          </cell>
          <cell r="CT99">
            <v>0</v>
          </cell>
          <cell r="CU99">
            <v>0</v>
          </cell>
          <cell r="CV99">
            <v>0</v>
          </cell>
          <cell r="CW99">
            <v>0</v>
          </cell>
          <cell r="CX99">
            <v>0</v>
          </cell>
          <cell r="CY99">
            <v>0</v>
          </cell>
          <cell r="CZ99">
            <v>0</v>
          </cell>
          <cell r="DA99">
            <v>0</v>
          </cell>
          <cell r="DB99">
            <v>0</v>
          </cell>
          <cell r="DC99">
            <v>0</v>
          </cell>
          <cell r="DD99">
            <v>0</v>
          </cell>
          <cell r="DE99">
            <v>0</v>
          </cell>
          <cell r="DF99">
            <v>0</v>
          </cell>
          <cell r="DG99">
            <v>0</v>
          </cell>
          <cell r="DH99">
            <v>0</v>
          </cell>
          <cell r="DI99">
            <v>0</v>
          </cell>
          <cell r="DJ99">
            <v>0</v>
          </cell>
          <cell r="DK99">
            <v>0</v>
          </cell>
          <cell r="DL99">
            <v>0</v>
          </cell>
          <cell r="DM99">
            <v>0</v>
          </cell>
          <cell r="DN99">
            <v>0</v>
          </cell>
          <cell r="DO99">
            <v>0</v>
          </cell>
          <cell r="DP99">
            <v>0</v>
          </cell>
          <cell r="DQ99">
            <v>0</v>
          </cell>
          <cell r="DR99">
            <v>0</v>
          </cell>
          <cell r="DS99">
            <v>0</v>
          </cell>
          <cell r="DT99">
            <v>0</v>
          </cell>
          <cell r="DU99">
            <v>0</v>
          </cell>
          <cell r="DV99">
            <v>0</v>
          </cell>
          <cell r="DW99">
            <v>0</v>
          </cell>
          <cell r="DX99">
            <v>0</v>
          </cell>
          <cell r="DY99">
            <v>0</v>
          </cell>
          <cell r="DZ99">
            <v>0</v>
          </cell>
          <cell r="EA99">
            <v>0</v>
          </cell>
          <cell r="EB99">
            <v>0</v>
          </cell>
          <cell r="EC99">
            <v>0</v>
          </cell>
          <cell r="ED99">
            <v>0.05</v>
          </cell>
          <cell r="EE99">
            <v>0.09</v>
          </cell>
          <cell r="EF99">
            <v>0.08</v>
          </cell>
          <cell r="EG99">
            <v>0.17</v>
          </cell>
          <cell r="EH99">
            <v>1</v>
          </cell>
          <cell r="EI99">
            <v>1</v>
          </cell>
          <cell r="EJ99">
            <v>1</v>
          </cell>
          <cell r="EK99">
            <v>1</v>
          </cell>
          <cell r="EL99">
            <v>0.05</v>
          </cell>
          <cell r="EM99">
            <v>0.14000000000000001</v>
          </cell>
          <cell r="EN99">
            <v>0.11</v>
          </cell>
          <cell r="EO99">
            <v>0.2</v>
          </cell>
          <cell r="EP99">
            <v>0</v>
          </cell>
          <cell r="EQ99">
            <v>0</v>
          </cell>
          <cell r="ER99">
            <v>0</v>
          </cell>
          <cell r="ES99">
            <v>0</v>
          </cell>
          <cell r="ET99">
            <v>0</v>
          </cell>
          <cell r="EU99">
            <v>0</v>
          </cell>
          <cell r="EV99">
            <v>0</v>
          </cell>
          <cell r="EW99">
            <v>0</v>
          </cell>
          <cell r="EX99">
            <v>1</v>
          </cell>
          <cell r="EY99">
            <v>1</v>
          </cell>
          <cell r="EZ99">
            <v>1</v>
          </cell>
          <cell r="FA99">
            <v>0</v>
          </cell>
          <cell r="FB99">
            <v>0</v>
          </cell>
          <cell r="FC99">
            <v>0</v>
          </cell>
          <cell r="FD99">
            <v>0</v>
          </cell>
          <cell r="FE99">
            <v>0</v>
          </cell>
          <cell r="FF99">
            <v>0</v>
          </cell>
          <cell r="FG99">
            <v>0</v>
          </cell>
          <cell r="FH99">
            <v>0</v>
          </cell>
          <cell r="FI99">
            <v>0</v>
          </cell>
          <cell r="FJ99">
            <v>0</v>
          </cell>
          <cell r="FK99">
            <v>0</v>
          </cell>
          <cell r="FL99">
            <v>0</v>
          </cell>
          <cell r="FM99">
            <v>0</v>
          </cell>
          <cell r="FN99">
            <v>0</v>
          </cell>
          <cell r="FO99">
            <v>0</v>
          </cell>
          <cell r="FP99">
            <v>0</v>
          </cell>
          <cell r="FQ99">
            <v>0</v>
          </cell>
          <cell r="FR99">
            <v>0</v>
          </cell>
          <cell r="FS99">
            <v>0</v>
          </cell>
          <cell r="FT99">
            <v>0</v>
          </cell>
          <cell r="FU99">
            <v>0</v>
          </cell>
          <cell r="FV99">
            <v>0</v>
          </cell>
          <cell r="FW99">
            <v>0</v>
          </cell>
          <cell r="FX99">
            <v>0</v>
          </cell>
          <cell r="FY99">
            <v>0</v>
          </cell>
          <cell r="FZ99">
            <v>0</v>
          </cell>
        </row>
        <row r="100">
          <cell r="B100">
            <v>0.1</v>
          </cell>
          <cell r="C100">
            <v>0.08</v>
          </cell>
          <cell r="D100">
            <v>0.15</v>
          </cell>
          <cell r="E100">
            <v>0.08</v>
          </cell>
          <cell r="F100">
            <v>0.15</v>
          </cell>
          <cell r="G100">
            <v>0.22</v>
          </cell>
          <cell r="H100">
            <v>7.0000000000000007E-2</v>
          </cell>
          <cell r="I100">
            <v>0.05</v>
          </cell>
          <cell r="J100">
            <v>0.13</v>
          </cell>
          <cell r="K100">
            <v>0.18</v>
          </cell>
          <cell r="L100">
            <v>0.17</v>
          </cell>
          <cell r="M100">
            <v>0.16</v>
          </cell>
          <cell r="N100">
            <v>0.8</v>
          </cell>
          <cell r="O100">
            <v>1</v>
          </cell>
          <cell r="P100">
            <v>1</v>
          </cell>
          <cell r="Q100">
            <v>0.8</v>
          </cell>
          <cell r="R100">
            <v>0.8</v>
          </cell>
          <cell r="S100">
            <v>1</v>
          </cell>
          <cell r="T100">
            <v>1</v>
          </cell>
          <cell r="U100">
            <v>1</v>
          </cell>
          <cell r="V100">
            <v>1</v>
          </cell>
          <cell r="W100">
            <v>1</v>
          </cell>
          <cell r="X100">
            <v>1</v>
          </cell>
          <cell r="Y100">
            <v>1</v>
          </cell>
          <cell r="Z100">
            <v>0.1</v>
          </cell>
          <cell r="AA100">
            <v>0.1</v>
          </cell>
          <cell r="AB100">
            <v>0.14000000000000001</v>
          </cell>
          <cell r="AC100">
            <v>0.11</v>
          </cell>
          <cell r="AD100">
            <v>0.11</v>
          </cell>
          <cell r="AE100">
            <v>0.19</v>
          </cell>
          <cell r="AF100">
            <v>0.09</v>
          </cell>
          <cell r="AG100">
            <v>0.11</v>
          </cell>
          <cell r="AH100">
            <v>0.15</v>
          </cell>
          <cell r="AI100">
            <v>0.2</v>
          </cell>
          <cell r="AJ100">
            <v>0.2</v>
          </cell>
          <cell r="AK100">
            <v>0.2</v>
          </cell>
          <cell r="AL100">
            <v>0</v>
          </cell>
          <cell r="AM100">
            <v>0</v>
          </cell>
          <cell r="AN100">
            <v>0</v>
          </cell>
          <cell r="AO100">
            <v>0</v>
          </cell>
          <cell r="AP100">
            <v>0</v>
          </cell>
          <cell r="AQ100">
            <v>0</v>
          </cell>
          <cell r="AR100">
            <v>0</v>
          </cell>
          <cell r="AS100">
            <v>0</v>
          </cell>
          <cell r="AT100">
            <v>0</v>
          </cell>
          <cell r="AU100">
            <v>0</v>
          </cell>
          <cell r="AV100">
            <v>0</v>
          </cell>
          <cell r="AW100">
            <v>0</v>
          </cell>
          <cell r="AX100">
            <v>0</v>
          </cell>
          <cell r="AY100">
            <v>0</v>
          </cell>
          <cell r="AZ100">
            <v>0</v>
          </cell>
          <cell r="BA100">
            <v>0</v>
          </cell>
          <cell r="BB100">
            <v>0</v>
          </cell>
          <cell r="BC100">
            <v>0</v>
          </cell>
          <cell r="BD100">
            <v>0</v>
          </cell>
          <cell r="BE100">
            <v>0</v>
          </cell>
          <cell r="BF100">
            <v>0</v>
          </cell>
          <cell r="BG100">
            <v>0</v>
          </cell>
          <cell r="BH100">
            <v>0</v>
          </cell>
          <cell r="BI100">
            <v>0</v>
          </cell>
          <cell r="BJ100">
            <v>0</v>
          </cell>
          <cell r="BK100">
            <v>0</v>
          </cell>
          <cell r="BL100">
            <v>0</v>
          </cell>
          <cell r="BM100">
            <v>0</v>
          </cell>
          <cell r="BN100">
            <v>0</v>
          </cell>
          <cell r="BO100">
            <v>0</v>
          </cell>
          <cell r="BP100">
            <v>0</v>
          </cell>
          <cell r="BQ100">
            <v>0</v>
          </cell>
          <cell r="BR100">
            <v>0</v>
          </cell>
          <cell r="BS100">
            <v>0</v>
          </cell>
          <cell r="BT100">
            <v>0</v>
          </cell>
          <cell r="BU100">
            <v>0</v>
          </cell>
          <cell r="BV100">
            <v>0</v>
          </cell>
          <cell r="BW100">
            <v>0</v>
          </cell>
          <cell r="BX100">
            <v>0</v>
          </cell>
          <cell r="BY100">
            <v>0</v>
          </cell>
          <cell r="BZ100">
            <v>0</v>
          </cell>
          <cell r="CA100">
            <v>0</v>
          </cell>
          <cell r="CB100">
            <v>0</v>
          </cell>
          <cell r="CC100">
            <v>0</v>
          </cell>
          <cell r="CD100">
            <v>0</v>
          </cell>
          <cell r="CE100">
            <v>0</v>
          </cell>
          <cell r="CF100">
            <v>0</v>
          </cell>
          <cell r="CG100">
            <v>0</v>
          </cell>
          <cell r="CH100">
            <v>0</v>
          </cell>
          <cell r="CI100">
            <v>0</v>
          </cell>
          <cell r="CJ100">
            <v>0</v>
          </cell>
          <cell r="CK100">
            <v>0</v>
          </cell>
          <cell r="CL100">
            <v>0</v>
          </cell>
          <cell r="CM100">
            <v>0</v>
          </cell>
          <cell r="CN100">
            <v>0</v>
          </cell>
          <cell r="CO100">
            <v>0</v>
          </cell>
          <cell r="CP100">
            <v>0</v>
          </cell>
          <cell r="CQ100">
            <v>0</v>
          </cell>
          <cell r="CR100">
            <v>0</v>
          </cell>
          <cell r="CS100">
            <v>0</v>
          </cell>
          <cell r="CT100">
            <v>0</v>
          </cell>
          <cell r="CU100">
            <v>0</v>
          </cell>
          <cell r="CV100">
            <v>0</v>
          </cell>
          <cell r="CW100">
            <v>0</v>
          </cell>
          <cell r="CX100">
            <v>0</v>
          </cell>
          <cell r="CY100">
            <v>0</v>
          </cell>
          <cell r="CZ100">
            <v>0</v>
          </cell>
          <cell r="DA100">
            <v>0</v>
          </cell>
          <cell r="DB100">
            <v>0</v>
          </cell>
          <cell r="DC100">
            <v>0</v>
          </cell>
          <cell r="DD100">
            <v>0</v>
          </cell>
          <cell r="DE100">
            <v>0</v>
          </cell>
          <cell r="DF100">
            <v>0</v>
          </cell>
          <cell r="DG100">
            <v>0</v>
          </cell>
          <cell r="DH100">
            <v>0</v>
          </cell>
          <cell r="DI100">
            <v>0</v>
          </cell>
          <cell r="DJ100">
            <v>0</v>
          </cell>
          <cell r="DK100">
            <v>0</v>
          </cell>
          <cell r="DL100">
            <v>0</v>
          </cell>
          <cell r="DM100">
            <v>0</v>
          </cell>
          <cell r="DN100">
            <v>0</v>
          </cell>
          <cell r="DO100">
            <v>0</v>
          </cell>
          <cell r="DP100">
            <v>0</v>
          </cell>
          <cell r="DQ100">
            <v>0</v>
          </cell>
          <cell r="DR100">
            <v>0</v>
          </cell>
          <cell r="DS100">
            <v>0</v>
          </cell>
          <cell r="DT100">
            <v>0</v>
          </cell>
          <cell r="DU100">
            <v>0</v>
          </cell>
          <cell r="DV100">
            <v>0</v>
          </cell>
          <cell r="DW100">
            <v>0</v>
          </cell>
          <cell r="DX100">
            <v>0</v>
          </cell>
          <cell r="DY100">
            <v>0</v>
          </cell>
          <cell r="DZ100">
            <v>0</v>
          </cell>
          <cell r="EA100">
            <v>0</v>
          </cell>
          <cell r="EB100">
            <v>0</v>
          </cell>
          <cell r="EC100">
            <v>0</v>
          </cell>
          <cell r="ED100">
            <v>0.05</v>
          </cell>
          <cell r="EE100">
            <v>0.09</v>
          </cell>
          <cell r="EF100">
            <v>0.08</v>
          </cell>
          <cell r="EG100">
            <v>0.17</v>
          </cell>
          <cell r="EH100">
            <v>1</v>
          </cell>
          <cell r="EI100">
            <v>1</v>
          </cell>
          <cell r="EJ100">
            <v>1</v>
          </cell>
          <cell r="EK100">
            <v>1</v>
          </cell>
          <cell r="EL100">
            <v>0.05</v>
          </cell>
          <cell r="EM100">
            <v>0.14000000000000001</v>
          </cell>
          <cell r="EN100">
            <v>0.11</v>
          </cell>
          <cell r="EO100">
            <v>0.2</v>
          </cell>
          <cell r="EP100">
            <v>0</v>
          </cell>
          <cell r="EQ100">
            <v>0</v>
          </cell>
          <cell r="ER100">
            <v>0</v>
          </cell>
          <cell r="ES100">
            <v>0</v>
          </cell>
          <cell r="ET100">
            <v>0</v>
          </cell>
          <cell r="EU100">
            <v>0</v>
          </cell>
          <cell r="EV100">
            <v>0</v>
          </cell>
          <cell r="EW100">
            <v>0</v>
          </cell>
          <cell r="EX100">
            <v>1</v>
          </cell>
          <cell r="EY100">
            <v>1</v>
          </cell>
          <cell r="EZ100">
            <v>1</v>
          </cell>
          <cell r="FA100">
            <v>0</v>
          </cell>
          <cell r="FB100">
            <v>0</v>
          </cell>
          <cell r="FC100">
            <v>0</v>
          </cell>
          <cell r="FD100">
            <v>0</v>
          </cell>
          <cell r="FE100">
            <v>0</v>
          </cell>
          <cell r="FF100">
            <v>0</v>
          </cell>
          <cell r="FG100">
            <v>0</v>
          </cell>
          <cell r="FH100">
            <v>0</v>
          </cell>
          <cell r="FI100">
            <v>0</v>
          </cell>
          <cell r="FJ100">
            <v>0</v>
          </cell>
          <cell r="FK100">
            <v>0</v>
          </cell>
          <cell r="FL100">
            <v>0</v>
          </cell>
          <cell r="FM100">
            <v>0</v>
          </cell>
          <cell r="FN100">
            <v>0</v>
          </cell>
          <cell r="FO100">
            <v>0</v>
          </cell>
          <cell r="FP100">
            <v>0</v>
          </cell>
          <cell r="FQ100">
            <v>0</v>
          </cell>
          <cell r="FR100">
            <v>0</v>
          </cell>
          <cell r="FS100">
            <v>0</v>
          </cell>
          <cell r="FT100">
            <v>0</v>
          </cell>
          <cell r="FU100">
            <v>0</v>
          </cell>
          <cell r="FV100">
            <v>0</v>
          </cell>
          <cell r="FW100">
            <v>0</v>
          </cell>
          <cell r="FX100">
            <v>0</v>
          </cell>
          <cell r="FY100">
            <v>0</v>
          </cell>
          <cell r="FZ100">
            <v>0</v>
          </cell>
        </row>
        <row r="101">
          <cell r="B101">
            <v>0.1</v>
          </cell>
          <cell r="C101">
            <v>0.08</v>
          </cell>
          <cell r="D101">
            <v>0.15</v>
          </cell>
          <cell r="E101">
            <v>0.08</v>
          </cell>
          <cell r="F101">
            <v>0.15</v>
          </cell>
          <cell r="G101">
            <v>0.22</v>
          </cell>
          <cell r="H101">
            <v>7.0000000000000007E-2</v>
          </cell>
          <cell r="I101">
            <v>0.05</v>
          </cell>
          <cell r="J101">
            <v>0.13</v>
          </cell>
          <cell r="K101">
            <v>0.18</v>
          </cell>
          <cell r="L101">
            <v>0.17</v>
          </cell>
          <cell r="M101">
            <v>0.16</v>
          </cell>
          <cell r="N101">
            <v>0.8</v>
          </cell>
          <cell r="O101">
            <v>1</v>
          </cell>
          <cell r="P101">
            <v>1</v>
          </cell>
          <cell r="Q101">
            <v>0.8</v>
          </cell>
          <cell r="R101">
            <v>0.8</v>
          </cell>
          <cell r="S101">
            <v>1</v>
          </cell>
          <cell r="T101">
            <v>1</v>
          </cell>
          <cell r="U101">
            <v>1</v>
          </cell>
          <cell r="V101">
            <v>1</v>
          </cell>
          <cell r="W101">
            <v>1</v>
          </cell>
          <cell r="X101">
            <v>1</v>
          </cell>
          <cell r="Y101">
            <v>1</v>
          </cell>
          <cell r="Z101">
            <v>0.1</v>
          </cell>
          <cell r="AA101">
            <v>0.1</v>
          </cell>
          <cell r="AB101">
            <v>0.14000000000000001</v>
          </cell>
          <cell r="AC101">
            <v>0.11</v>
          </cell>
          <cell r="AD101">
            <v>0.11</v>
          </cell>
          <cell r="AE101">
            <v>0.19</v>
          </cell>
          <cell r="AF101">
            <v>0.09</v>
          </cell>
          <cell r="AG101">
            <v>0.11</v>
          </cell>
          <cell r="AH101">
            <v>0.15</v>
          </cell>
          <cell r="AI101">
            <v>0.2</v>
          </cell>
          <cell r="AJ101">
            <v>0.2</v>
          </cell>
          <cell r="AK101">
            <v>0.2</v>
          </cell>
          <cell r="AL101">
            <v>0</v>
          </cell>
          <cell r="AM101">
            <v>0</v>
          </cell>
          <cell r="AN101">
            <v>0</v>
          </cell>
          <cell r="AO101">
            <v>0</v>
          </cell>
          <cell r="AP101">
            <v>0</v>
          </cell>
          <cell r="AQ101">
            <v>0</v>
          </cell>
          <cell r="AR101">
            <v>0</v>
          </cell>
          <cell r="AS101">
            <v>0</v>
          </cell>
          <cell r="AT101">
            <v>0</v>
          </cell>
          <cell r="AU101">
            <v>0</v>
          </cell>
          <cell r="AV101">
            <v>0</v>
          </cell>
          <cell r="AW101">
            <v>0</v>
          </cell>
          <cell r="AX101">
            <v>0</v>
          </cell>
          <cell r="AY101">
            <v>0</v>
          </cell>
          <cell r="AZ101">
            <v>0</v>
          </cell>
          <cell r="BA101">
            <v>0</v>
          </cell>
          <cell r="BB101">
            <v>0</v>
          </cell>
          <cell r="BC101">
            <v>0</v>
          </cell>
          <cell r="BD101">
            <v>0</v>
          </cell>
          <cell r="BE101">
            <v>0</v>
          </cell>
          <cell r="BF101">
            <v>0</v>
          </cell>
          <cell r="BG101">
            <v>0</v>
          </cell>
          <cell r="BH101">
            <v>0</v>
          </cell>
          <cell r="BI101">
            <v>0</v>
          </cell>
          <cell r="BJ101">
            <v>0</v>
          </cell>
          <cell r="BK101">
            <v>0</v>
          </cell>
          <cell r="BL101">
            <v>0</v>
          </cell>
          <cell r="BM101">
            <v>0</v>
          </cell>
          <cell r="BN101">
            <v>0</v>
          </cell>
          <cell r="BO101">
            <v>0</v>
          </cell>
          <cell r="BP101">
            <v>0</v>
          </cell>
          <cell r="BQ101">
            <v>0</v>
          </cell>
          <cell r="BR101">
            <v>0</v>
          </cell>
          <cell r="BS101">
            <v>0</v>
          </cell>
          <cell r="BT101">
            <v>0</v>
          </cell>
          <cell r="BU101">
            <v>0</v>
          </cell>
          <cell r="BV101">
            <v>0</v>
          </cell>
          <cell r="BW101">
            <v>0</v>
          </cell>
          <cell r="BX101">
            <v>0</v>
          </cell>
          <cell r="BY101">
            <v>0</v>
          </cell>
          <cell r="BZ101">
            <v>0</v>
          </cell>
          <cell r="CA101">
            <v>0</v>
          </cell>
          <cell r="CB101">
            <v>0</v>
          </cell>
          <cell r="CC101">
            <v>0</v>
          </cell>
          <cell r="CD101">
            <v>0</v>
          </cell>
          <cell r="CE101">
            <v>0</v>
          </cell>
          <cell r="CF101">
            <v>0</v>
          </cell>
          <cell r="CG101">
            <v>0</v>
          </cell>
          <cell r="CH101">
            <v>0</v>
          </cell>
          <cell r="CI101">
            <v>0</v>
          </cell>
          <cell r="CJ101">
            <v>0</v>
          </cell>
          <cell r="CK101">
            <v>0</v>
          </cell>
          <cell r="CL101">
            <v>0</v>
          </cell>
          <cell r="CM101">
            <v>0</v>
          </cell>
          <cell r="CN101">
            <v>0</v>
          </cell>
          <cell r="CO101">
            <v>0</v>
          </cell>
          <cell r="CP101">
            <v>0</v>
          </cell>
          <cell r="CQ101">
            <v>0</v>
          </cell>
          <cell r="CR101">
            <v>0</v>
          </cell>
          <cell r="CS101">
            <v>0</v>
          </cell>
          <cell r="CT101">
            <v>0</v>
          </cell>
          <cell r="CU101">
            <v>0</v>
          </cell>
          <cell r="CV101">
            <v>0</v>
          </cell>
          <cell r="CW101">
            <v>0</v>
          </cell>
          <cell r="CX101">
            <v>0</v>
          </cell>
          <cell r="CY101">
            <v>0</v>
          </cell>
          <cell r="CZ101">
            <v>0</v>
          </cell>
          <cell r="DA101">
            <v>0</v>
          </cell>
          <cell r="DB101">
            <v>0</v>
          </cell>
          <cell r="DC101">
            <v>0</v>
          </cell>
          <cell r="DD101">
            <v>0</v>
          </cell>
          <cell r="DE101">
            <v>0</v>
          </cell>
          <cell r="DF101">
            <v>0</v>
          </cell>
          <cell r="DG101">
            <v>0</v>
          </cell>
          <cell r="DH101">
            <v>0</v>
          </cell>
          <cell r="DI101">
            <v>0</v>
          </cell>
          <cell r="DJ101">
            <v>0</v>
          </cell>
          <cell r="DK101">
            <v>0</v>
          </cell>
          <cell r="DL101">
            <v>0</v>
          </cell>
          <cell r="DM101">
            <v>0</v>
          </cell>
          <cell r="DN101">
            <v>0</v>
          </cell>
          <cell r="DO101">
            <v>0</v>
          </cell>
          <cell r="DP101">
            <v>0</v>
          </cell>
          <cell r="DQ101">
            <v>0</v>
          </cell>
          <cell r="DR101">
            <v>0</v>
          </cell>
          <cell r="DS101">
            <v>0</v>
          </cell>
          <cell r="DT101">
            <v>0</v>
          </cell>
          <cell r="DU101">
            <v>0</v>
          </cell>
          <cell r="DV101">
            <v>0</v>
          </cell>
          <cell r="DW101">
            <v>0</v>
          </cell>
          <cell r="DX101">
            <v>0</v>
          </cell>
          <cell r="DY101">
            <v>0</v>
          </cell>
          <cell r="DZ101">
            <v>0</v>
          </cell>
          <cell r="EA101">
            <v>0</v>
          </cell>
          <cell r="EB101">
            <v>0</v>
          </cell>
          <cell r="EC101">
            <v>0</v>
          </cell>
          <cell r="ED101">
            <v>0.05</v>
          </cell>
          <cell r="EE101">
            <v>0.09</v>
          </cell>
          <cell r="EF101">
            <v>0.08</v>
          </cell>
          <cell r="EG101">
            <v>0.17</v>
          </cell>
          <cell r="EH101">
            <v>1</v>
          </cell>
          <cell r="EI101">
            <v>1</v>
          </cell>
          <cell r="EJ101">
            <v>1</v>
          </cell>
          <cell r="EK101">
            <v>1</v>
          </cell>
          <cell r="EL101">
            <v>0.05</v>
          </cell>
          <cell r="EM101">
            <v>0.14000000000000001</v>
          </cell>
          <cell r="EN101">
            <v>0.11</v>
          </cell>
          <cell r="EO101">
            <v>0.2</v>
          </cell>
          <cell r="EP101">
            <v>0</v>
          </cell>
          <cell r="EQ101">
            <v>0</v>
          </cell>
          <cell r="ER101">
            <v>0</v>
          </cell>
          <cell r="ES101">
            <v>0</v>
          </cell>
          <cell r="ET101">
            <v>0</v>
          </cell>
          <cell r="EU101">
            <v>0</v>
          </cell>
          <cell r="EV101">
            <v>0</v>
          </cell>
          <cell r="EW101">
            <v>0</v>
          </cell>
          <cell r="EX101">
            <v>1</v>
          </cell>
          <cell r="EY101">
            <v>1</v>
          </cell>
          <cell r="EZ101">
            <v>1</v>
          </cell>
          <cell r="FA101">
            <v>0</v>
          </cell>
          <cell r="FB101">
            <v>0</v>
          </cell>
          <cell r="FC101">
            <v>0</v>
          </cell>
          <cell r="FD101">
            <v>0</v>
          </cell>
          <cell r="FE101">
            <v>0</v>
          </cell>
          <cell r="FF101">
            <v>0</v>
          </cell>
          <cell r="FG101">
            <v>0</v>
          </cell>
          <cell r="FH101">
            <v>0</v>
          </cell>
          <cell r="FI101">
            <v>0</v>
          </cell>
          <cell r="FJ101">
            <v>0</v>
          </cell>
          <cell r="FK101">
            <v>0</v>
          </cell>
          <cell r="FL101">
            <v>0</v>
          </cell>
          <cell r="FM101">
            <v>0</v>
          </cell>
          <cell r="FN101">
            <v>0</v>
          </cell>
          <cell r="FO101">
            <v>0</v>
          </cell>
          <cell r="FP101">
            <v>0</v>
          </cell>
          <cell r="FQ101">
            <v>0</v>
          </cell>
          <cell r="FR101">
            <v>0</v>
          </cell>
          <cell r="FS101">
            <v>0</v>
          </cell>
          <cell r="FT101">
            <v>0</v>
          </cell>
          <cell r="FU101">
            <v>0</v>
          </cell>
          <cell r="FV101">
            <v>0</v>
          </cell>
          <cell r="FW101">
            <v>0</v>
          </cell>
          <cell r="FX101">
            <v>0</v>
          </cell>
          <cell r="FY101">
            <v>0</v>
          </cell>
          <cell r="FZ101">
            <v>0</v>
          </cell>
        </row>
        <row r="102">
          <cell r="B102">
            <v>0.1</v>
          </cell>
          <cell r="C102">
            <v>0.08</v>
          </cell>
          <cell r="D102">
            <v>0.15</v>
          </cell>
          <cell r="E102">
            <v>0.08</v>
          </cell>
          <cell r="F102">
            <v>0.15</v>
          </cell>
          <cell r="G102">
            <v>0.22</v>
          </cell>
          <cell r="H102">
            <v>7.0000000000000007E-2</v>
          </cell>
          <cell r="I102">
            <v>0.05</v>
          </cell>
          <cell r="J102">
            <v>0.13</v>
          </cell>
          <cell r="K102">
            <v>0.18</v>
          </cell>
          <cell r="L102">
            <v>0.17</v>
          </cell>
          <cell r="M102">
            <v>0.16</v>
          </cell>
          <cell r="N102">
            <v>0.8</v>
          </cell>
          <cell r="O102">
            <v>1</v>
          </cell>
          <cell r="P102">
            <v>1</v>
          </cell>
          <cell r="Q102">
            <v>0.8</v>
          </cell>
          <cell r="R102">
            <v>0.8</v>
          </cell>
          <cell r="S102">
            <v>1</v>
          </cell>
          <cell r="T102">
            <v>1</v>
          </cell>
          <cell r="U102">
            <v>1</v>
          </cell>
          <cell r="V102">
            <v>1</v>
          </cell>
          <cell r="W102">
            <v>1</v>
          </cell>
          <cell r="X102">
            <v>1</v>
          </cell>
          <cell r="Y102">
            <v>1</v>
          </cell>
          <cell r="Z102">
            <v>0.1</v>
          </cell>
          <cell r="AA102">
            <v>0.1</v>
          </cell>
          <cell r="AB102">
            <v>0.14000000000000001</v>
          </cell>
          <cell r="AC102">
            <v>0.11</v>
          </cell>
          <cell r="AD102">
            <v>0.11</v>
          </cell>
          <cell r="AE102">
            <v>0.19</v>
          </cell>
          <cell r="AF102">
            <v>0.09</v>
          </cell>
          <cell r="AG102">
            <v>0.11</v>
          </cell>
          <cell r="AH102">
            <v>0.15</v>
          </cell>
          <cell r="AI102">
            <v>0.2</v>
          </cell>
          <cell r="AJ102">
            <v>0.2</v>
          </cell>
          <cell r="AK102">
            <v>0.2</v>
          </cell>
          <cell r="AL102">
            <v>0</v>
          </cell>
          <cell r="AM102">
            <v>0</v>
          </cell>
          <cell r="AN102">
            <v>0</v>
          </cell>
          <cell r="AO102">
            <v>0</v>
          </cell>
          <cell r="AP102">
            <v>0</v>
          </cell>
          <cell r="AQ102">
            <v>0</v>
          </cell>
          <cell r="AR102">
            <v>0</v>
          </cell>
          <cell r="AS102">
            <v>0</v>
          </cell>
          <cell r="AT102">
            <v>0</v>
          </cell>
          <cell r="AU102">
            <v>0</v>
          </cell>
          <cell r="AV102">
            <v>0</v>
          </cell>
          <cell r="AW102">
            <v>0</v>
          </cell>
          <cell r="AX102">
            <v>0</v>
          </cell>
          <cell r="AY102">
            <v>0</v>
          </cell>
          <cell r="AZ102">
            <v>0</v>
          </cell>
          <cell r="BA102">
            <v>0</v>
          </cell>
          <cell r="BB102">
            <v>0</v>
          </cell>
          <cell r="BC102">
            <v>0</v>
          </cell>
          <cell r="BD102">
            <v>0</v>
          </cell>
          <cell r="BE102">
            <v>0</v>
          </cell>
          <cell r="BF102">
            <v>0</v>
          </cell>
          <cell r="BG102">
            <v>0</v>
          </cell>
          <cell r="BH102">
            <v>0</v>
          </cell>
          <cell r="BI102">
            <v>0</v>
          </cell>
          <cell r="BJ102">
            <v>0</v>
          </cell>
          <cell r="BK102">
            <v>0</v>
          </cell>
          <cell r="BL102">
            <v>0</v>
          </cell>
          <cell r="BM102">
            <v>0</v>
          </cell>
          <cell r="BN102">
            <v>0</v>
          </cell>
          <cell r="BO102">
            <v>0</v>
          </cell>
          <cell r="BP102">
            <v>0</v>
          </cell>
          <cell r="BQ102">
            <v>0</v>
          </cell>
          <cell r="BR102">
            <v>0</v>
          </cell>
          <cell r="BS102">
            <v>0</v>
          </cell>
          <cell r="BT102">
            <v>0</v>
          </cell>
          <cell r="BU102">
            <v>0</v>
          </cell>
          <cell r="BV102">
            <v>0</v>
          </cell>
          <cell r="BW102">
            <v>0</v>
          </cell>
          <cell r="BX102">
            <v>0</v>
          </cell>
          <cell r="BY102">
            <v>0</v>
          </cell>
          <cell r="BZ102">
            <v>0</v>
          </cell>
          <cell r="CA102">
            <v>0</v>
          </cell>
          <cell r="CB102">
            <v>0</v>
          </cell>
          <cell r="CC102">
            <v>0</v>
          </cell>
          <cell r="CD102">
            <v>0</v>
          </cell>
          <cell r="CE102">
            <v>0</v>
          </cell>
          <cell r="CF102">
            <v>0</v>
          </cell>
          <cell r="CG102">
            <v>0</v>
          </cell>
          <cell r="CH102">
            <v>0</v>
          </cell>
          <cell r="CI102">
            <v>0</v>
          </cell>
          <cell r="CJ102">
            <v>0</v>
          </cell>
          <cell r="CK102">
            <v>0</v>
          </cell>
          <cell r="CL102">
            <v>0</v>
          </cell>
          <cell r="CM102">
            <v>0</v>
          </cell>
          <cell r="CN102">
            <v>0</v>
          </cell>
          <cell r="CO102">
            <v>0</v>
          </cell>
          <cell r="CP102">
            <v>0</v>
          </cell>
          <cell r="CQ102">
            <v>0</v>
          </cell>
          <cell r="CR102">
            <v>0</v>
          </cell>
          <cell r="CS102">
            <v>0</v>
          </cell>
          <cell r="CT102">
            <v>0</v>
          </cell>
          <cell r="CU102">
            <v>0</v>
          </cell>
          <cell r="CV102">
            <v>0</v>
          </cell>
          <cell r="CW102">
            <v>0</v>
          </cell>
          <cell r="CX102">
            <v>0</v>
          </cell>
          <cell r="CY102">
            <v>0</v>
          </cell>
          <cell r="CZ102">
            <v>0</v>
          </cell>
          <cell r="DA102">
            <v>0</v>
          </cell>
          <cell r="DB102">
            <v>0</v>
          </cell>
          <cell r="DC102">
            <v>0</v>
          </cell>
          <cell r="DD102">
            <v>0</v>
          </cell>
          <cell r="DE102">
            <v>0</v>
          </cell>
          <cell r="DF102">
            <v>0</v>
          </cell>
          <cell r="DG102">
            <v>0</v>
          </cell>
          <cell r="DH102">
            <v>0</v>
          </cell>
          <cell r="DI102">
            <v>0</v>
          </cell>
          <cell r="DJ102">
            <v>0</v>
          </cell>
          <cell r="DK102">
            <v>0</v>
          </cell>
          <cell r="DL102">
            <v>0</v>
          </cell>
          <cell r="DM102">
            <v>0</v>
          </cell>
          <cell r="DN102">
            <v>0</v>
          </cell>
          <cell r="DO102">
            <v>0</v>
          </cell>
          <cell r="DP102">
            <v>0</v>
          </cell>
          <cell r="DQ102">
            <v>0</v>
          </cell>
          <cell r="DR102">
            <v>0</v>
          </cell>
          <cell r="DS102">
            <v>0</v>
          </cell>
          <cell r="DT102">
            <v>0</v>
          </cell>
          <cell r="DU102">
            <v>0</v>
          </cell>
          <cell r="DV102">
            <v>0</v>
          </cell>
          <cell r="DW102">
            <v>0</v>
          </cell>
          <cell r="DX102">
            <v>0</v>
          </cell>
          <cell r="DY102">
            <v>0</v>
          </cell>
          <cell r="DZ102">
            <v>0</v>
          </cell>
          <cell r="EA102">
            <v>0</v>
          </cell>
          <cell r="EB102">
            <v>0</v>
          </cell>
          <cell r="EC102">
            <v>0</v>
          </cell>
          <cell r="ED102">
            <v>0.05</v>
          </cell>
          <cell r="EE102">
            <v>0.09</v>
          </cell>
          <cell r="EF102">
            <v>0.08</v>
          </cell>
          <cell r="EG102">
            <v>0.17</v>
          </cell>
          <cell r="EH102">
            <v>1</v>
          </cell>
          <cell r="EI102">
            <v>1</v>
          </cell>
          <cell r="EJ102">
            <v>1</v>
          </cell>
          <cell r="EK102">
            <v>1</v>
          </cell>
          <cell r="EL102">
            <v>0.05</v>
          </cell>
          <cell r="EM102">
            <v>0.14000000000000001</v>
          </cell>
          <cell r="EN102">
            <v>0.11</v>
          </cell>
          <cell r="EO102">
            <v>0.2</v>
          </cell>
          <cell r="EP102">
            <v>0</v>
          </cell>
          <cell r="EQ102">
            <v>0</v>
          </cell>
          <cell r="ER102">
            <v>0</v>
          </cell>
          <cell r="ES102">
            <v>0</v>
          </cell>
          <cell r="ET102">
            <v>0</v>
          </cell>
          <cell r="EU102">
            <v>0</v>
          </cell>
          <cell r="EV102">
            <v>0</v>
          </cell>
          <cell r="EW102">
            <v>0</v>
          </cell>
          <cell r="EX102">
            <v>1</v>
          </cell>
          <cell r="EY102">
            <v>1</v>
          </cell>
          <cell r="EZ102">
            <v>1</v>
          </cell>
          <cell r="FA102">
            <v>0</v>
          </cell>
          <cell r="FB102">
            <v>0</v>
          </cell>
          <cell r="FC102">
            <v>0</v>
          </cell>
          <cell r="FD102">
            <v>0</v>
          </cell>
          <cell r="FE102">
            <v>0</v>
          </cell>
          <cell r="FF102">
            <v>0</v>
          </cell>
          <cell r="FG102">
            <v>0</v>
          </cell>
          <cell r="FH102">
            <v>0</v>
          </cell>
          <cell r="FI102">
            <v>0</v>
          </cell>
          <cell r="FJ102">
            <v>0</v>
          </cell>
          <cell r="FK102">
            <v>0</v>
          </cell>
          <cell r="FL102">
            <v>0</v>
          </cell>
          <cell r="FM102">
            <v>0</v>
          </cell>
          <cell r="FN102">
            <v>0</v>
          </cell>
          <cell r="FO102">
            <v>0</v>
          </cell>
          <cell r="FP102">
            <v>0</v>
          </cell>
          <cell r="FQ102">
            <v>0</v>
          </cell>
          <cell r="FR102">
            <v>0</v>
          </cell>
          <cell r="FS102">
            <v>0</v>
          </cell>
          <cell r="FT102">
            <v>0</v>
          </cell>
          <cell r="FU102">
            <v>0</v>
          </cell>
          <cell r="FV102">
            <v>0</v>
          </cell>
          <cell r="FW102">
            <v>0</v>
          </cell>
          <cell r="FX102">
            <v>0</v>
          </cell>
          <cell r="FY102">
            <v>0</v>
          </cell>
          <cell r="FZ102">
            <v>0</v>
          </cell>
        </row>
        <row r="103">
          <cell r="B103">
            <v>0.1</v>
          </cell>
          <cell r="C103">
            <v>0.08</v>
          </cell>
          <cell r="D103">
            <v>0.15</v>
          </cell>
          <cell r="E103">
            <v>0.08</v>
          </cell>
          <cell r="F103">
            <v>0.15</v>
          </cell>
          <cell r="G103">
            <v>0.22</v>
          </cell>
          <cell r="H103">
            <v>7.0000000000000007E-2</v>
          </cell>
          <cell r="I103">
            <v>0.05</v>
          </cell>
          <cell r="J103">
            <v>0.13</v>
          </cell>
          <cell r="K103">
            <v>0.18</v>
          </cell>
          <cell r="L103">
            <v>0.17</v>
          </cell>
          <cell r="M103">
            <v>0.16</v>
          </cell>
          <cell r="N103">
            <v>0.8</v>
          </cell>
          <cell r="O103">
            <v>1</v>
          </cell>
          <cell r="P103">
            <v>1</v>
          </cell>
          <cell r="Q103">
            <v>0.8</v>
          </cell>
          <cell r="R103">
            <v>0.8</v>
          </cell>
          <cell r="S103">
            <v>1</v>
          </cell>
          <cell r="T103">
            <v>1</v>
          </cell>
          <cell r="U103">
            <v>1</v>
          </cell>
          <cell r="V103">
            <v>1</v>
          </cell>
          <cell r="W103">
            <v>1</v>
          </cell>
          <cell r="X103">
            <v>1</v>
          </cell>
          <cell r="Y103">
            <v>1</v>
          </cell>
          <cell r="Z103">
            <v>0.1</v>
          </cell>
          <cell r="AA103">
            <v>0.1</v>
          </cell>
          <cell r="AB103">
            <v>0.14000000000000001</v>
          </cell>
          <cell r="AC103">
            <v>0.11</v>
          </cell>
          <cell r="AD103">
            <v>0.11</v>
          </cell>
          <cell r="AE103">
            <v>0.19</v>
          </cell>
          <cell r="AF103">
            <v>0.09</v>
          </cell>
          <cell r="AG103">
            <v>0.11</v>
          </cell>
          <cell r="AH103">
            <v>0.15</v>
          </cell>
          <cell r="AI103">
            <v>0.2</v>
          </cell>
          <cell r="AJ103">
            <v>0.2</v>
          </cell>
          <cell r="AK103">
            <v>0.2</v>
          </cell>
          <cell r="AL103">
            <v>0</v>
          </cell>
          <cell r="AM103">
            <v>0</v>
          </cell>
          <cell r="AN103">
            <v>0</v>
          </cell>
          <cell r="AO103">
            <v>0</v>
          </cell>
          <cell r="AP103">
            <v>0</v>
          </cell>
          <cell r="AQ103">
            <v>0</v>
          </cell>
          <cell r="AR103">
            <v>0</v>
          </cell>
          <cell r="AS103">
            <v>0</v>
          </cell>
          <cell r="AT103">
            <v>0</v>
          </cell>
          <cell r="AU103">
            <v>0</v>
          </cell>
          <cell r="AV103">
            <v>0</v>
          </cell>
          <cell r="AW103">
            <v>0</v>
          </cell>
          <cell r="AX103">
            <v>0</v>
          </cell>
          <cell r="AY103">
            <v>0</v>
          </cell>
          <cell r="AZ103">
            <v>0</v>
          </cell>
          <cell r="BA103">
            <v>0</v>
          </cell>
          <cell r="BB103">
            <v>0</v>
          </cell>
          <cell r="BC103">
            <v>0</v>
          </cell>
          <cell r="BD103">
            <v>0</v>
          </cell>
          <cell r="BE103">
            <v>0</v>
          </cell>
          <cell r="BF103">
            <v>0</v>
          </cell>
          <cell r="BG103">
            <v>0</v>
          </cell>
          <cell r="BH103">
            <v>0</v>
          </cell>
          <cell r="BI103">
            <v>0</v>
          </cell>
          <cell r="BJ103">
            <v>0</v>
          </cell>
          <cell r="BK103">
            <v>0</v>
          </cell>
          <cell r="BL103">
            <v>0</v>
          </cell>
          <cell r="BM103">
            <v>0</v>
          </cell>
          <cell r="BN103">
            <v>0</v>
          </cell>
          <cell r="BO103">
            <v>0</v>
          </cell>
          <cell r="BP103">
            <v>0</v>
          </cell>
          <cell r="BQ103">
            <v>0</v>
          </cell>
          <cell r="BR103">
            <v>0</v>
          </cell>
          <cell r="BS103">
            <v>0</v>
          </cell>
          <cell r="BT103">
            <v>0</v>
          </cell>
          <cell r="BU103">
            <v>0</v>
          </cell>
          <cell r="BV103">
            <v>0</v>
          </cell>
          <cell r="BW103">
            <v>0</v>
          </cell>
          <cell r="BX103">
            <v>0</v>
          </cell>
          <cell r="BY103">
            <v>0</v>
          </cell>
          <cell r="BZ103">
            <v>0</v>
          </cell>
          <cell r="CA103">
            <v>0</v>
          </cell>
          <cell r="CB103">
            <v>0</v>
          </cell>
          <cell r="CC103">
            <v>0</v>
          </cell>
          <cell r="CD103">
            <v>0</v>
          </cell>
          <cell r="CE103">
            <v>0</v>
          </cell>
          <cell r="CF103">
            <v>0</v>
          </cell>
          <cell r="CG103">
            <v>0</v>
          </cell>
          <cell r="CH103">
            <v>0</v>
          </cell>
          <cell r="CI103">
            <v>0</v>
          </cell>
          <cell r="CJ103">
            <v>0</v>
          </cell>
          <cell r="CK103">
            <v>0</v>
          </cell>
          <cell r="CL103">
            <v>0</v>
          </cell>
          <cell r="CM103">
            <v>0</v>
          </cell>
          <cell r="CN103">
            <v>0</v>
          </cell>
          <cell r="CO103">
            <v>0</v>
          </cell>
          <cell r="CP103">
            <v>0</v>
          </cell>
          <cell r="CQ103">
            <v>0</v>
          </cell>
          <cell r="CR103">
            <v>0</v>
          </cell>
          <cell r="CS103">
            <v>0</v>
          </cell>
          <cell r="CT103">
            <v>0</v>
          </cell>
          <cell r="CU103">
            <v>0</v>
          </cell>
          <cell r="CV103">
            <v>0</v>
          </cell>
          <cell r="CW103">
            <v>0</v>
          </cell>
          <cell r="CX103">
            <v>0</v>
          </cell>
          <cell r="CY103">
            <v>0</v>
          </cell>
          <cell r="CZ103">
            <v>0</v>
          </cell>
          <cell r="DA103">
            <v>0</v>
          </cell>
          <cell r="DB103">
            <v>0</v>
          </cell>
          <cell r="DC103">
            <v>0</v>
          </cell>
          <cell r="DD103">
            <v>0</v>
          </cell>
          <cell r="DE103">
            <v>0</v>
          </cell>
          <cell r="DF103">
            <v>0</v>
          </cell>
          <cell r="DG103">
            <v>0</v>
          </cell>
          <cell r="DH103">
            <v>0</v>
          </cell>
          <cell r="DI103">
            <v>0</v>
          </cell>
          <cell r="DJ103">
            <v>0</v>
          </cell>
          <cell r="DK103">
            <v>0</v>
          </cell>
          <cell r="DL103">
            <v>0</v>
          </cell>
          <cell r="DM103">
            <v>0</v>
          </cell>
          <cell r="DN103">
            <v>0</v>
          </cell>
          <cell r="DO103">
            <v>0</v>
          </cell>
          <cell r="DP103">
            <v>0</v>
          </cell>
          <cell r="DQ103">
            <v>0</v>
          </cell>
          <cell r="DR103">
            <v>0</v>
          </cell>
          <cell r="DS103">
            <v>0</v>
          </cell>
          <cell r="DT103">
            <v>0</v>
          </cell>
          <cell r="DU103">
            <v>0</v>
          </cell>
          <cell r="DV103">
            <v>0</v>
          </cell>
          <cell r="DW103">
            <v>0</v>
          </cell>
          <cell r="DX103">
            <v>0</v>
          </cell>
          <cell r="DY103">
            <v>0</v>
          </cell>
          <cell r="DZ103">
            <v>0</v>
          </cell>
          <cell r="EA103">
            <v>0</v>
          </cell>
          <cell r="EB103">
            <v>0</v>
          </cell>
          <cell r="EC103">
            <v>0</v>
          </cell>
          <cell r="ED103">
            <v>0.05</v>
          </cell>
          <cell r="EE103">
            <v>0.09</v>
          </cell>
          <cell r="EF103">
            <v>0.08</v>
          </cell>
          <cell r="EG103">
            <v>0.17</v>
          </cell>
          <cell r="EH103">
            <v>1</v>
          </cell>
          <cell r="EI103">
            <v>1</v>
          </cell>
          <cell r="EJ103">
            <v>1</v>
          </cell>
          <cell r="EK103">
            <v>1</v>
          </cell>
          <cell r="EL103">
            <v>0.05</v>
          </cell>
          <cell r="EM103">
            <v>0.14000000000000001</v>
          </cell>
          <cell r="EN103">
            <v>0.11</v>
          </cell>
          <cell r="EO103">
            <v>0.2</v>
          </cell>
          <cell r="EP103">
            <v>0</v>
          </cell>
          <cell r="EQ103">
            <v>0</v>
          </cell>
          <cell r="ER103">
            <v>0</v>
          </cell>
          <cell r="ES103">
            <v>0</v>
          </cell>
          <cell r="ET103">
            <v>0</v>
          </cell>
          <cell r="EU103">
            <v>0</v>
          </cell>
          <cell r="EV103">
            <v>0</v>
          </cell>
          <cell r="EW103">
            <v>0</v>
          </cell>
          <cell r="EX103">
            <v>1</v>
          </cell>
          <cell r="EY103">
            <v>1</v>
          </cell>
          <cell r="EZ103">
            <v>1</v>
          </cell>
          <cell r="FA103">
            <v>0</v>
          </cell>
          <cell r="FB103">
            <v>0</v>
          </cell>
          <cell r="FC103">
            <v>0</v>
          </cell>
          <cell r="FD103">
            <v>0</v>
          </cell>
          <cell r="FE103">
            <v>0</v>
          </cell>
          <cell r="FF103">
            <v>0</v>
          </cell>
          <cell r="FG103">
            <v>0</v>
          </cell>
          <cell r="FH103">
            <v>0</v>
          </cell>
          <cell r="FI103">
            <v>0</v>
          </cell>
          <cell r="FJ103">
            <v>0</v>
          </cell>
          <cell r="FK103">
            <v>0</v>
          </cell>
          <cell r="FL103">
            <v>0</v>
          </cell>
          <cell r="FM103">
            <v>0</v>
          </cell>
          <cell r="FN103">
            <v>0</v>
          </cell>
          <cell r="FO103">
            <v>0</v>
          </cell>
          <cell r="FP103">
            <v>0</v>
          </cell>
          <cell r="FQ103">
            <v>0</v>
          </cell>
          <cell r="FR103">
            <v>0</v>
          </cell>
          <cell r="FS103">
            <v>0</v>
          </cell>
          <cell r="FT103">
            <v>0</v>
          </cell>
          <cell r="FU103">
            <v>0</v>
          </cell>
          <cell r="FV103">
            <v>0</v>
          </cell>
          <cell r="FW103">
            <v>0</v>
          </cell>
          <cell r="FX103">
            <v>0</v>
          </cell>
          <cell r="FY103">
            <v>0</v>
          </cell>
          <cell r="FZ103">
            <v>0</v>
          </cell>
        </row>
        <row r="104">
          <cell r="B104">
            <v>0.1</v>
          </cell>
          <cell r="C104">
            <v>0.08</v>
          </cell>
          <cell r="D104">
            <v>0.15</v>
          </cell>
          <cell r="E104">
            <v>0.08</v>
          </cell>
          <cell r="F104">
            <v>0.15</v>
          </cell>
          <cell r="G104">
            <v>0.22</v>
          </cell>
          <cell r="H104">
            <v>7.0000000000000007E-2</v>
          </cell>
          <cell r="I104">
            <v>0.05</v>
          </cell>
          <cell r="J104">
            <v>0.13</v>
          </cell>
          <cell r="K104">
            <v>0.18</v>
          </cell>
          <cell r="L104">
            <v>0.17</v>
          </cell>
          <cell r="M104">
            <v>0.16</v>
          </cell>
          <cell r="N104">
            <v>0.8</v>
          </cell>
          <cell r="O104">
            <v>1</v>
          </cell>
          <cell r="P104">
            <v>1</v>
          </cell>
          <cell r="Q104">
            <v>0.8</v>
          </cell>
          <cell r="R104">
            <v>0.8</v>
          </cell>
          <cell r="S104">
            <v>1</v>
          </cell>
          <cell r="T104">
            <v>1</v>
          </cell>
          <cell r="U104">
            <v>1</v>
          </cell>
          <cell r="V104">
            <v>1</v>
          </cell>
          <cell r="W104">
            <v>1</v>
          </cell>
          <cell r="X104">
            <v>1</v>
          </cell>
          <cell r="Y104">
            <v>1</v>
          </cell>
          <cell r="Z104">
            <v>0.1</v>
          </cell>
          <cell r="AA104">
            <v>0.1</v>
          </cell>
          <cell r="AB104">
            <v>0.14000000000000001</v>
          </cell>
          <cell r="AC104">
            <v>0.11</v>
          </cell>
          <cell r="AD104">
            <v>0.11</v>
          </cell>
          <cell r="AE104">
            <v>0.19</v>
          </cell>
          <cell r="AF104">
            <v>0.09</v>
          </cell>
          <cell r="AG104">
            <v>0.11</v>
          </cell>
          <cell r="AH104">
            <v>0.15</v>
          </cell>
          <cell r="AI104">
            <v>0.2</v>
          </cell>
          <cell r="AJ104">
            <v>0.2</v>
          </cell>
          <cell r="AK104">
            <v>0.2</v>
          </cell>
          <cell r="AL104">
            <v>0</v>
          </cell>
          <cell r="AM104">
            <v>0</v>
          </cell>
          <cell r="AN104">
            <v>0</v>
          </cell>
          <cell r="AO104">
            <v>0</v>
          </cell>
          <cell r="AP104">
            <v>0</v>
          </cell>
          <cell r="AQ104">
            <v>0</v>
          </cell>
          <cell r="AR104">
            <v>0</v>
          </cell>
          <cell r="AS104">
            <v>0</v>
          </cell>
          <cell r="AT104">
            <v>0</v>
          </cell>
          <cell r="AU104">
            <v>0</v>
          </cell>
          <cell r="AV104">
            <v>0</v>
          </cell>
          <cell r="AW104">
            <v>0</v>
          </cell>
          <cell r="AX104">
            <v>0</v>
          </cell>
          <cell r="AY104">
            <v>0</v>
          </cell>
          <cell r="AZ104">
            <v>0</v>
          </cell>
          <cell r="BA104">
            <v>0</v>
          </cell>
          <cell r="BB104">
            <v>0</v>
          </cell>
          <cell r="BC104">
            <v>0</v>
          </cell>
          <cell r="BD104">
            <v>0</v>
          </cell>
          <cell r="BE104">
            <v>0</v>
          </cell>
          <cell r="BF104">
            <v>0</v>
          </cell>
          <cell r="BG104">
            <v>0</v>
          </cell>
          <cell r="BH104">
            <v>0</v>
          </cell>
          <cell r="BI104">
            <v>0</v>
          </cell>
          <cell r="BJ104">
            <v>0</v>
          </cell>
          <cell r="BK104">
            <v>0</v>
          </cell>
          <cell r="BL104">
            <v>0</v>
          </cell>
          <cell r="BM104">
            <v>0</v>
          </cell>
          <cell r="BN104">
            <v>0</v>
          </cell>
          <cell r="BO104">
            <v>0</v>
          </cell>
          <cell r="BP104">
            <v>0</v>
          </cell>
          <cell r="BQ104">
            <v>0</v>
          </cell>
          <cell r="BR104">
            <v>0</v>
          </cell>
          <cell r="BS104">
            <v>0</v>
          </cell>
          <cell r="BT104">
            <v>0</v>
          </cell>
          <cell r="BU104">
            <v>0</v>
          </cell>
          <cell r="BV104">
            <v>0</v>
          </cell>
          <cell r="BW104">
            <v>0</v>
          </cell>
          <cell r="BX104">
            <v>0</v>
          </cell>
          <cell r="BY104">
            <v>0</v>
          </cell>
          <cell r="BZ104">
            <v>0</v>
          </cell>
          <cell r="CA104">
            <v>0</v>
          </cell>
          <cell r="CB104">
            <v>0</v>
          </cell>
          <cell r="CC104">
            <v>0</v>
          </cell>
          <cell r="CD104">
            <v>0</v>
          </cell>
          <cell r="CE104">
            <v>0</v>
          </cell>
          <cell r="CF104">
            <v>0</v>
          </cell>
          <cell r="CG104">
            <v>0</v>
          </cell>
          <cell r="CH104">
            <v>0</v>
          </cell>
          <cell r="CI104">
            <v>0</v>
          </cell>
          <cell r="CJ104">
            <v>0</v>
          </cell>
          <cell r="CK104">
            <v>0</v>
          </cell>
          <cell r="CL104">
            <v>0</v>
          </cell>
          <cell r="CM104">
            <v>0</v>
          </cell>
          <cell r="CN104">
            <v>0</v>
          </cell>
          <cell r="CO104">
            <v>0</v>
          </cell>
          <cell r="CP104">
            <v>0</v>
          </cell>
          <cell r="CQ104">
            <v>0</v>
          </cell>
          <cell r="CR104">
            <v>0</v>
          </cell>
          <cell r="CS104">
            <v>0</v>
          </cell>
          <cell r="CT104">
            <v>0</v>
          </cell>
          <cell r="CU104">
            <v>0</v>
          </cell>
          <cell r="CV104">
            <v>0</v>
          </cell>
          <cell r="CW104">
            <v>0</v>
          </cell>
          <cell r="CX104">
            <v>0</v>
          </cell>
          <cell r="CY104">
            <v>0</v>
          </cell>
          <cell r="CZ104">
            <v>0</v>
          </cell>
          <cell r="DA104">
            <v>0</v>
          </cell>
          <cell r="DB104">
            <v>0</v>
          </cell>
          <cell r="DC104">
            <v>0</v>
          </cell>
          <cell r="DD104">
            <v>0</v>
          </cell>
          <cell r="DE104">
            <v>0</v>
          </cell>
          <cell r="DF104">
            <v>0</v>
          </cell>
          <cell r="DG104">
            <v>0</v>
          </cell>
          <cell r="DH104">
            <v>0</v>
          </cell>
          <cell r="DI104">
            <v>0</v>
          </cell>
          <cell r="DJ104">
            <v>0</v>
          </cell>
          <cell r="DK104">
            <v>0</v>
          </cell>
          <cell r="DL104">
            <v>0</v>
          </cell>
          <cell r="DM104">
            <v>0</v>
          </cell>
          <cell r="DN104">
            <v>0</v>
          </cell>
          <cell r="DO104">
            <v>0</v>
          </cell>
          <cell r="DP104">
            <v>0</v>
          </cell>
          <cell r="DQ104">
            <v>0</v>
          </cell>
          <cell r="DR104">
            <v>0</v>
          </cell>
          <cell r="DS104">
            <v>0</v>
          </cell>
          <cell r="DT104">
            <v>0</v>
          </cell>
          <cell r="DU104">
            <v>0</v>
          </cell>
          <cell r="DV104">
            <v>0</v>
          </cell>
          <cell r="DW104">
            <v>0</v>
          </cell>
          <cell r="DX104">
            <v>0</v>
          </cell>
          <cell r="DY104">
            <v>0</v>
          </cell>
          <cell r="DZ104">
            <v>0</v>
          </cell>
          <cell r="EA104">
            <v>0</v>
          </cell>
          <cell r="EB104">
            <v>0</v>
          </cell>
          <cell r="EC104">
            <v>0</v>
          </cell>
          <cell r="ED104">
            <v>0.05</v>
          </cell>
          <cell r="EE104">
            <v>0.09</v>
          </cell>
          <cell r="EF104">
            <v>0.08</v>
          </cell>
          <cell r="EG104">
            <v>0.17</v>
          </cell>
          <cell r="EH104">
            <v>1</v>
          </cell>
          <cell r="EI104">
            <v>1</v>
          </cell>
          <cell r="EJ104">
            <v>1</v>
          </cell>
          <cell r="EK104">
            <v>1</v>
          </cell>
          <cell r="EL104">
            <v>0.05</v>
          </cell>
          <cell r="EM104">
            <v>0.14000000000000001</v>
          </cell>
          <cell r="EN104">
            <v>0.11</v>
          </cell>
          <cell r="EO104">
            <v>0.2</v>
          </cell>
          <cell r="EP104">
            <v>0</v>
          </cell>
          <cell r="EQ104">
            <v>0</v>
          </cell>
          <cell r="ER104">
            <v>0</v>
          </cell>
          <cell r="ES104">
            <v>0</v>
          </cell>
          <cell r="ET104">
            <v>0</v>
          </cell>
          <cell r="EU104">
            <v>0</v>
          </cell>
          <cell r="EV104">
            <v>0</v>
          </cell>
          <cell r="EW104">
            <v>0</v>
          </cell>
          <cell r="EX104">
            <v>1</v>
          </cell>
          <cell r="EY104">
            <v>1</v>
          </cell>
          <cell r="EZ104">
            <v>1</v>
          </cell>
          <cell r="FA104">
            <v>0</v>
          </cell>
          <cell r="FB104">
            <v>0</v>
          </cell>
          <cell r="FC104">
            <v>0</v>
          </cell>
          <cell r="FD104">
            <v>0</v>
          </cell>
          <cell r="FE104">
            <v>0</v>
          </cell>
          <cell r="FF104">
            <v>0</v>
          </cell>
          <cell r="FG104">
            <v>0</v>
          </cell>
          <cell r="FH104">
            <v>48748.943248760144</v>
          </cell>
          <cell r="FI104">
            <v>32104.80066737943</v>
          </cell>
          <cell r="FJ104">
            <v>247469.25501469476</v>
          </cell>
          <cell r="FK104">
            <v>0</v>
          </cell>
          <cell r="FL104">
            <v>0</v>
          </cell>
          <cell r="FM104">
            <v>0</v>
          </cell>
          <cell r="FN104">
            <v>0</v>
          </cell>
          <cell r="FO104">
            <v>0</v>
          </cell>
          <cell r="FP104">
            <v>0</v>
          </cell>
          <cell r="FQ104">
            <v>0</v>
          </cell>
          <cell r="FR104">
            <v>0</v>
          </cell>
          <cell r="FS104">
            <v>0</v>
          </cell>
          <cell r="FT104">
            <v>0</v>
          </cell>
          <cell r="FU104">
            <v>0</v>
          </cell>
          <cell r="FV104">
            <v>0</v>
          </cell>
          <cell r="FW104">
            <v>0</v>
          </cell>
          <cell r="FX104">
            <v>0</v>
          </cell>
          <cell r="FY104">
            <v>0</v>
          </cell>
          <cell r="FZ104">
            <v>0</v>
          </cell>
        </row>
        <row r="105">
          <cell r="B105">
            <v>0.1</v>
          </cell>
          <cell r="C105">
            <v>0.08</v>
          </cell>
          <cell r="D105">
            <v>0.15</v>
          </cell>
          <cell r="E105">
            <v>0.08</v>
          </cell>
          <cell r="F105">
            <v>0.15</v>
          </cell>
          <cell r="G105">
            <v>0.22</v>
          </cell>
          <cell r="H105">
            <v>7.0000000000000007E-2</v>
          </cell>
          <cell r="I105">
            <v>0.05</v>
          </cell>
          <cell r="J105">
            <v>0.13</v>
          </cell>
          <cell r="K105">
            <v>0.18</v>
          </cell>
          <cell r="L105">
            <v>0.17</v>
          </cell>
          <cell r="M105">
            <v>0.16</v>
          </cell>
          <cell r="N105">
            <v>0.8</v>
          </cell>
          <cell r="O105">
            <v>1</v>
          </cell>
          <cell r="P105">
            <v>1</v>
          </cell>
          <cell r="Q105">
            <v>0.8</v>
          </cell>
          <cell r="R105">
            <v>0.8</v>
          </cell>
          <cell r="S105">
            <v>1</v>
          </cell>
          <cell r="T105">
            <v>1</v>
          </cell>
          <cell r="U105">
            <v>1</v>
          </cell>
          <cell r="V105">
            <v>1</v>
          </cell>
          <cell r="W105">
            <v>1</v>
          </cell>
          <cell r="X105">
            <v>1</v>
          </cell>
          <cell r="Y105">
            <v>1</v>
          </cell>
          <cell r="Z105">
            <v>0.1</v>
          </cell>
          <cell r="AA105">
            <v>0.1</v>
          </cell>
          <cell r="AB105">
            <v>0.14000000000000001</v>
          </cell>
          <cell r="AC105">
            <v>0.11</v>
          </cell>
          <cell r="AD105">
            <v>0.11</v>
          </cell>
          <cell r="AE105">
            <v>0.19</v>
          </cell>
          <cell r="AF105">
            <v>0.09</v>
          </cell>
          <cell r="AG105">
            <v>0.11</v>
          </cell>
          <cell r="AH105">
            <v>0.15</v>
          </cell>
          <cell r="AI105">
            <v>0.2</v>
          </cell>
          <cell r="AJ105">
            <v>0.2</v>
          </cell>
          <cell r="AK105">
            <v>0.2</v>
          </cell>
          <cell r="AL105">
            <v>0</v>
          </cell>
          <cell r="AM105">
            <v>0</v>
          </cell>
          <cell r="AN105">
            <v>0</v>
          </cell>
          <cell r="AO105">
            <v>0</v>
          </cell>
          <cell r="AP105">
            <v>0</v>
          </cell>
          <cell r="AQ105">
            <v>0</v>
          </cell>
          <cell r="AR105">
            <v>0</v>
          </cell>
          <cell r="AS105">
            <v>0</v>
          </cell>
          <cell r="AT105">
            <v>0</v>
          </cell>
          <cell r="AU105">
            <v>0</v>
          </cell>
          <cell r="AV105">
            <v>0</v>
          </cell>
          <cell r="AW105">
            <v>0</v>
          </cell>
          <cell r="AX105">
            <v>0</v>
          </cell>
          <cell r="AY105">
            <v>0</v>
          </cell>
          <cell r="AZ105">
            <v>0</v>
          </cell>
          <cell r="BA105">
            <v>0</v>
          </cell>
          <cell r="BB105">
            <v>0</v>
          </cell>
          <cell r="BC105">
            <v>0</v>
          </cell>
          <cell r="BD105">
            <v>0</v>
          </cell>
          <cell r="BE105">
            <v>0</v>
          </cell>
          <cell r="BF105">
            <v>0</v>
          </cell>
          <cell r="BG105">
            <v>0</v>
          </cell>
          <cell r="BH105">
            <v>0</v>
          </cell>
          <cell r="BI105">
            <v>0</v>
          </cell>
          <cell r="BJ105">
            <v>0</v>
          </cell>
          <cell r="BK105">
            <v>0</v>
          </cell>
          <cell r="BL105">
            <v>0</v>
          </cell>
          <cell r="BM105">
            <v>0</v>
          </cell>
          <cell r="BN105">
            <v>0</v>
          </cell>
          <cell r="BO105">
            <v>0</v>
          </cell>
          <cell r="BP105">
            <v>0</v>
          </cell>
          <cell r="BQ105">
            <v>0</v>
          </cell>
          <cell r="BR105">
            <v>0</v>
          </cell>
          <cell r="BS105">
            <v>0</v>
          </cell>
          <cell r="BT105">
            <v>0</v>
          </cell>
          <cell r="BU105">
            <v>0</v>
          </cell>
          <cell r="BV105">
            <v>0</v>
          </cell>
          <cell r="BW105">
            <v>0</v>
          </cell>
          <cell r="BX105">
            <v>0</v>
          </cell>
          <cell r="BY105">
            <v>0</v>
          </cell>
          <cell r="BZ105">
            <v>0</v>
          </cell>
          <cell r="CA105">
            <v>0</v>
          </cell>
          <cell r="CB105">
            <v>0</v>
          </cell>
          <cell r="CC105">
            <v>0</v>
          </cell>
          <cell r="CD105">
            <v>0</v>
          </cell>
          <cell r="CE105">
            <v>0</v>
          </cell>
          <cell r="CF105">
            <v>0</v>
          </cell>
          <cell r="CG105">
            <v>0</v>
          </cell>
          <cell r="CH105">
            <v>0</v>
          </cell>
          <cell r="CI105">
            <v>0</v>
          </cell>
          <cell r="CJ105">
            <v>0</v>
          </cell>
          <cell r="CK105">
            <v>0</v>
          </cell>
          <cell r="CL105">
            <v>0</v>
          </cell>
          <cell r="CM105">
            <v>0</v>
          </cell>
          <cell r="CN105">
            <v>0</v>
          </cell>
          <cell r="CO105">
            <v>0</v>
          </cell>
          <cell r="CP105">
            <v>0</v>
          </cell>
          <cell r="CQ105">
            <v>0</v>
          </cell>
          <cell r="CR105">
            <v>0</v>
          </cell>
          <cell r="CS105">
            <v>0</v>
          </cell>
          <cell r="CT105">
            <v>0</v>
          </cell>
          <cell r="CU105">
            <v>0</v>
          </cell>
          <cell r="CV105">
            <v>0</v>
          </cell>
          <cell r="CW105">
            <v>0</v>
          </cell>
          <cell r="CX105">
            <v>0</v>
          </cell>
          <cell r="CY105">
            <v>0</v>
          </cell>
          <cell r="CZ105">
            <v>0</v>
          </cell>
          <cell r="DA105">
            <v>0</v>
          </cell>
          <cell r="DB105">
            <v>0</v>
          </cell>
          <cell r="DC105">
            <v>0</v>
          </cell>
          <cell r="DD105">
            <v>0</v>
          </cell>
          <cell r="DE105">
            <v>0</v>
          </cell>
          <cell r="DF105">
            <v>0</v>
          </cell>
          <cell r="DG105">
            <v>0</v>
          </cell>
          <cell r="DH105">
            <v>0</v>
          </cell>
          <cell r="DI105">
            <v>0</v>
          </cell>
          <cell r="DJ105">
            <v>0</v>
          </cell>
          <cell r="DK105">
            <v>0</v>
          </cell>
          <cell r="DL105">
            <v>0</v>
          </cell>
          <cell r="DM105">
            <v>0</v>
          </cell>
          <cell r="DN105">
            <v>0</v>
          </cell>
          <cell r="DO105">
            <v>0</v>
          </cell>
          <cell r="DP105">
            <v>0</v>
          </cell>
          <cell r="DQ105">
            <v>0</v>
          </cell>
          <cell r="DR105">
            <v>0</v>
          </cell>
          <cell r="DS105">
            <v>0</v>
          </cell>
          <cell r="DT105">
            <v>0</v>
          </cell>
          <cell r="DU105">
            <v>0</v>
          </cell>
          <cell r="DV105">
            <v>0</v>
          </cell>
          <cell r="DW105">
            <v>0</v>
          </cell>
          <cell r="DX105">
            <v>0</v>
          </cell>
          <cell r="DY105">
            <v>0</v>
          </cell>
          <cell r="DZ105">
            <v>0</v>
          </cell>
          <cell r="EA105">
            <v>0</v>
          </cell>
          <cell r="EB105">
            <v>0</v>
          </cell>
          <cell r="EC105">
            <v>0</v>
          </cell>
          <cell r="ED105">
            <v>0.05</v>
          </cell>
          <cell r="EE105">
            <v>0.09</v>
          </cell>
          <cell r="EF105">
            <v>0.08</v>
          </cell>
          <cell r="EG105">
            <v>0.17</v>
          </cell>
          <cell r="EH105">
            <v>1</v>
          </cell>
          <cell r="EI105">
            <v>1</v>
          </cell>
          <cell r="EJ105">
            <v>1</v>
          </cell>
          <cell r="EK105">
            <v>1</v>
          </cell>
          <cell r="EL105">
            <v>0.05</v>
          </cell>
          <cell r="EM105">
            <v>0.14000000000000001</v>
          </cell>
          <cell r="EN105">
            <v>0.11</v>
          </cell>
          <cell r="EO105">
            <v>0.2</v>
          </cell>
          <cell r="EP105">
            <v>0</v>
          </cell>
          <cell r="EQ105">
            <v>0</v>
          </cell>
          <cell r="ER105">
            <v>0</v>
          </cell>
          <cell r="ES105">
            <v>0</v>
          </cell>
          <cell r="ET105">
            <v>0</v>
          </cell>
          <cell r="EU105">
            <v>0</v>
          </cell>
          <cell r="EV105">
            <v>0</v>
          </cell>
          <cell r="EW105">
            <v>0</v>
          </cell>
          <cell r="EX105">
            <v>1</v>
          </cell>
          <cell r="EY105">
            <v>1</v>
          </cell>
          <cell r="EZ105">
            <v>1</v>
          </cell>
          <cell r="FA105">
            <v>0</v>
          </cell>
          <cell r="FB105">
            <v>0</v>
          </cell>
          <cell r="FC105">
            <v>0</v>
          </cell>
          <cell r="FD105">
            <v>0</v>
          </cell>
          <cell r="FE105">
            <v>0</v>
          </cell>
          <cell r="FF105">
            <v>0</v>
          </cell>
          <cell r="FG105">
            <v>0</v>
          </cell>
          <cell r="FH105">
            <v>0</v>
          </cell>
          <cell r="FI105">
            <v>0</v>
          </cell>
          <cell r="FJ105">
            <v>0</v>
          </cell>
          <cell r="FK105">
            <v>0</v>
          </cell>
          <cell r="FL105">
            <v>0</v>
          </cell>
          <cell r="FM105">
            <v>0</v>
          </cell>
          <cell r="FN105">
            <v>0</v>
          </cell>
          <cell r="FO105">
            <v>0</v>
          </cell>
          <cell r="FP105">
            <v>0</v>
          </cell>
          <cell r="FQ105">
            <v>0</v>
          </cell>
          <cell r="FR105">
            <v>0</v>
          </cell>
          <cell r="FS105">
            <v>0</v>
          </cell>
          <cell r="FT105">
            <v>0</v>
          </cell>
          <cell r="FU105">
            <v>0</v>
          </cell>
          <cell r="FV105">
            <v>0</v>
          </cell>
          <cell r="FW105">
            <v>0</v>
          </cell>
          <cell r="FX105">
            <v>0</v>
          </cell>
          <cell r="FY105">
            <v>0</v>
          </cell>
          <cell r="FZ105">
            <v>0</v>
          </cell>
        </row>
        <row r="106">
          <cell r="B106">
            <v>0.1</v>
          </cell>
          <cell r="C106">
            <v>0.08</v>
          </cell>
          <cell r="D106">
            <v>0.15</v>
          </cell>
          <cell r="E106">
            <v>0.08</v>
          </cell>
          <cell r="F106">
            <v>0.15</v>
          </cell>
          <cell r="G106">
            <v>0.22</v>
          </cell>
          <cell r="H106">
            <v>7.0000000000000007E-2</v>
          </cell>
          <cell r="I106">
            <v>0.05</v>
          </cell>
          <cell r="J106">
            <v>0.13</v>
          </cell>
          <cell r="K106">
            <v>0.18</v>
          </cell>
          <cell r="L106">
            <v>0.17</v>
          </cell>
          <cell r="M106">
            <v>0.16</v>
          </cell>
          <cell r="N106">
            <v>0.8</v>
          </cell>
          <cell r="O106">
            <v>1</v>
          </cell>
          <cell r="P106">
            <v>1</v>
          </cell>
          <cell r="Q106">
            <v>0.8</v>
          </cell>
          <cell r="R106">
            <v>0.8</v>
          </cell>
          <cell r="S106">
            <v>1</v>
          </cell>
          <cell r="T106">
            <v>1</v>
          </cell>
          <cell r="U106">
            <v>1</v>
          </cell>
          <cell r="V106">
            <v>1</v>
          </cell>
          <cell r="W106">
            <v>1</v>
          </cell>
          <cell r="X106">
            <v>1</v>
          </cell>
          <cell r="Y106">
            <v>1</v>
          </cell>
          <cell r="Z106">
            <v>0.1</v>
          </cell>
          <cell r="AA106">
            <v>0.1</v>
          </cell>
          <cell r="AB106">
            <v>0.14000000000000001</v>
          </cell>
          <cell r="AC106">
            <v>0.11</v>
          </cell>
          <cell r="AD106">
            <v>0.11</v>
          </cell>
          <cell r="AE106">
            <v>0.19</v>
          </cell>
          <cell r="AF106">
            <v>0.09</v>
          </cell>
          <cell r="AG106">
            <v>0.11</v>
          </cell>
          <cell r="AH106">
            <v>0.15</v>
          </cell>
          <cell r="AI106">
            <v>0.2</v>
          </cell>
          <cell r="AJ106">
            <v>0.2</v>
          </cell>
          <cell r="AK106">
            <v>0.2</v>
          </cell>
          <cell r="AL106">
            <v>0</v>
          </cell>
          <cell r="AM106">
            <v>0</v>
          </cell>
          <cell r="AN106">
            <v>0</v>
          </cell>
          <cell r="AO106">
            <v>0</v>
          </cell>
          <cell r="AP106">
            <v>0</v>
          </cell>
          <cell r="AQ106">
            <v>0</v>
          </cell>
          <cell r="AR106">
            <v>0</v>
          </cell>
          <cell r="AS106">
            <v>0</v>
          </cell>
          <cell r="AT106">
            <v>0</v>
          </cell>
          <cell r="AU106">
            <v>0</v>
          </cell>
          <cell r="AV106">
            <v>0</v>
          </cell>
          <cell r="AW106">
            <v>0</v>
          </cell>
          <cell r="AX106">
            <v>0</v>
          </cell>
          <cell r="AY106">
            <v>0</v>
          </cell>
          <cell r="AZ106">
            <v>0</v>
          </cell>
          <cell r="BA106">
            <v>0</v>
          </cell>
          <cell r="BB106">
            <v>0</v>
          </cell>
          <cell r="BC106">
            <v>0</v>
          </cell>
          <cell r="BD106">
            <v>0</v>
          </cell>
          <cell r="BE106">
            <v>0</v>
          </cell>
          <cell r="BF106">
            <v>0</v>
          </cell>
          <cell r="BG106">
            <v>0</v>
          </cell>
          <cell r="BH106">
            <v>0</v>
          </cell>
          <cell r="BI106">
            <v>0</v>
          </cell>
          <cell r="BJ106">
            <v>0</v>
          </cell>
          <cell r="BK106">
            <v>0</v>
          </cell>
          <cell r="BL106">
            <v>0</v>
          </cell>
          <cell r="BM106">
            <v>0</v>
          </cell>
          <cell r="BN106">
            <v>0</v>
          </cell>
          <cell r="BO106">
            <v>0</v>
          </cell>
          <cell r="BP106">
            <v>0</v>
          </cell>
          <cell r="BQ106">
            <v>0</v>
          </cell>
          <cell r="BR106">
            <v>0</v>
          </cell>
          <cell r="BS106">
            <v>0</v>
          </cell>
          <cell r="BT106">
            <v>0</v>
          </cell>
          <cell r="BU106">
            <v>0</v>
          </cell>
          <cell r="BV106">
            <v>1148292.5407</v>
          </cell>
          <cell r="BW106">
            <v>1148292.5407</v>
          </cell>
          <cell r="BX106">
            <v>1148292.5407</v>
          </cell>
          <cell r="BY106">
            <v>1148292.5407</v>
          </cell>
          <cell r="BZ106">
            <v>1148292.5407</v>
          </cell>
          <cell r="CA106">
            <v>1148292.5407</v>
          </cell>
          <cell r="CB106">
            <v>0</v>
          </cell>
          <cell r="CC106">
            <v>0</v>
          </cell>
          <cell r="CD106">
            <v>0</v>
          </cell>
          <cell r="CE106">
            <v>0</v>
          </cell>
          <cell r="CF106">
            <v>0</v>
          </cell>
          <cell r="CG106">
            <v>0</v>
          </cell>
          <cell r="CH106">
            <v>0</v>
          </cell>
          <cell r="CI106">
            <v>0</v>
          </cell>
          <cell r="CJ106">
            <v>0</v>
          </cell>
          <cell r="CK106">
            <v>0</v>
          </cell>
          <cell r="CL106">
            <v>0</v>
          </cell>
          <cell r="CM106">
            <v>0</v>
          </cell>
          <cell r="CN106">
            <v>0</v>
          </cell>
          <cell r="CO106">
            <v>0</v>
          </cell>
          <cell r="CP106">
            <v>0</v>
          </cell>
          <cell r="CQ106">
            <v>0</v>
          </cell>
          <cell r="CR106">
            <v>0</v>
          </cell>
          <cell r="CS106">
            <v>0</v>
          </cell>
          <cell r="CT106">
            <v>0</v>
          </cell>
          <cell r="CU106">
            <v>0</v>
          </cell>
          <cell r="CV106">
            <v>0</v>
          </cell>
          <cell r="CW106">
            <v>0</v>
          </cell>
          <cell r="CX106">
            <v>0</v>
          </cell>
          <cell r="CY106">
            <v>0</v>
          </cell>
          <cell r="CZ106">
            <v>0</v>
          </cell>
          <cell r="DA106">
            <v>0</v>
          </cell>
          <cell r="DB106">
            <v>0</v>
          </cell>
          <cell r="DC106">
            <v>0</v>
          </cell>
          <cell r="DD106">
            <v>0</v>
          </cell>
          <cell r="DE106">
            <v>0</v>
          </cell>
          <cell r="DF106">
            <v>0</v>
          </cell>
          <cell r="DG106">
            <v>0</v>
          </cell>
          <cell r="DH106">
            <v>0</v>
          </cell>
          <cell r="DI106">
            <v>0</v>
          </cell>
          <cell r="DJ106">
            <v>0</v>
          </cell>
          <cell r="DK106">
            <v>0</v>
          </cell>
          <cell r="DL106">
            <v>0</v>
          </cell>
          <cell r="DM106">
            <v>0</v>
          </cell>
          <cell r="DN106">
            <v>0</v>
          </cell>
          <cell r="DO106">
            <v>0</v>
          </cell>
          <cell r="DP106">
            <v>0</v>
          </cell>
          <cell r="DQ106">
            <v>0</v>
          </cell>
          <cell r="DR106">
            <v>0</v>
          </cell>
          <cell r="DS106">
            <v>0</v>
          </cell>
          <cell r="DT106">
            <v>0</v>
          </cell>
          <cell r="DU106">
            <v>0</v>
          </cell>
          <cell r="DV106">
            <v>0</v>
          </cell>
          <cell r="DW106">
            <v>0</v>
          </cell>
          <cell r="DX106">
            <v>0</v>
          </cell>
          <cell r="DY106">
            <v>0</v>
          </cell>
          <cell r="DZ106">
            <v>0</v>
          </cell>
          <cell r="EA106">
            <v>0</v>
          </cell>
          <cell r="EB106">
            <v>0</v>
          </cell>
          <cell r="EC106">
            <v>0</v>
          </cell>
          <cell r="ED106">
            <v>0.05</v>
          </cell>
          <cell r="EE106">
            <v>0.09</v>
          </cell>
          <cell r="EF106">
            <v>0.08</v>
          </cell>
          <cell r="EG106">
            <v>0.17</v>
          </cell>
          <cell r="EH106">
            <v>1</v>
          </cell>
          <cell r="EI106">
            <v>1</v>
          </cell>
          <cell r="EJ106">
            <v>1</v>
          </cell>
          <cell r="EK106">
            <v>1</v>
          </cell>
          <cell r="EL106">
            <v>0.05</v>
          </cell>
          <cell r="EM106">
            <v>0.14000000000000001</v>
          </cell>
          <cell r="EN106">
            <v>0.11</v>
          </cell>
          <cell r="EO106">
            <v>0.2</v>
          </cell>
          <cell r="EP106">
            <v>0</v>
          </cell>
          <cell r="EQ106">
            <v>0</v>
          </cell>
          <cell r="ER106">
            <v>0</v>
          </cell>
          <cell r="ES106">
            <v>0</v>
          </cell>
          <cell r="ET106">
            <v>0</v>
          </cell>
          <cell r="EU106">
            <v>0</v>
          </cell>
          <cell r="EV106">
            <v>0</v>
          </cell>
          <cell r="EW106">
            <v>0</v>
          </cell>
          <cell r="EX106">
            <v>1</v>
          </cell>
          <cell r="EY106">
            <v>1</v>
          </cell>
          <cell r="EZ106">
            <v>1</v>
          </cell>
          <cell r="FA106">
            <v>0</v>
          </cell>
          <cell r="FB106">
            <v>0</v>
          </cell>
          <cell r="FC106">
            <v>0</v>
          </cell>
          <cell r="FD106">
            <v>0</v>
          </cell>
          <cell r="FE106">
            <v>0</v>
          </cell>
          <cell r="FF106">
            <v>0</v>
          </cell>
          <cell r="FG106">
            <v>0</v>
          </cell>
          <cell r="FH106">
            <v>0</v>
          </cell>
          <cell r="FI106">
            <v>0</v>
          </cell>
          <cell r="FJ106">
            <v>0</v>
          </cell>
          <cell r="FK106">
            <v>0</v>
          </cell>
          <cell r="FL106">
            <v>0</v>
          </cell>
          <cell r="FM106">
            <v>0</v>
          </cell>
          <cell r="FN106">
            <v>0</v>
          </cell>
          <cell r="FO106">
            <v>0</v>
          </cell>
          <cell r="FP106">
            <v>0</v>
          </cell>
          <cell r="FQ106">
            <v>0</v>
          </cell>
          <cell r="FR106">
            <v>0</v>
          </cell>
          <cell r="FS106">
            <v>0</v>
          </cell>
          <cell r="FT106">
            <v>0</v>
          </cell>
          <cell r="FU106">
            <v>0</v>
          </cell>
          <cell r="FV106">
            <v>0</v>
          </cell>
          <cell r="FW106">
            <v>0</v>
          </cell>
          <cell r="FX106">
            <v>0</v>
          </cell>
          <cell r="FY106">
            <v>0</v>
          </cell>
          <cell r="FZ106">
            <v>0</v>
          </cell>
        </row>
        <row r="107">
          <cell r="B107">
            <v>0.1</v>
          </cell>
          <cell r="C107">
            <v>0.08</v>
          </cell>
          <cell r="D107">
            <v>0.15</v>
          </cell>
          <cell r="E107">
            <v>0.08</v>
          </cell>
          <cell r="F107">
            <v>0.15</v>
          </cell>
          <cell r="G107">
            <v>0.22</v>
          </cell>
          <cell r="H107">
            <v>7.0000000000000007E-2</v>
          </cell>
          <cell r="I107">
            <v>0.05</v>
          </cell>
          <cell r="J107">
            <v>0.13</v>
          </cell>
          <cell r="K107">
            <v>0.18</v>
          </cell>
          <cell r="L107">
            <v>0.17</v>
          </cell>
          <cell r="M107">
            <v>0.16</v>
          </cell>
          <cell r="N107">
            <v>0.8</v>
          </cell>
          <cell r="O107">
            <v>1</v>
          </cell>
          <cell r="P107">
            <v>1</v>
          </cell>
          <cell r="Q107">
            <v>0.8</v>
          </cell>
          <cell r="R107">
            <v>0.8</v>
          </cell>
          <cell r="S107">
            <v>1</v>
          </cell>
          <cell r="T107">
            <v>1</v>
          </cell>
          <cell r="U107">
            <v>1</v>
          </cell>
          <cell r="V107">
            <v>1</v>
          </cell>
          <cell r="W107">
            <v>1</v>
          </cell>
          <cell r="X107">
            <v>1</v>
          </cell>
          <cell r="Y107">
            <v>1</v>
          </cell>
          <cell r="Z107">
            <v>0.1</v>
          </cell>
          <cell r="AA107">
            <v>0.1</v>
          </cell>
          <cell r="AB107">
            <v>0.14000000000000001</v>
          </cell>
          <cell r="AC107">
            <v>0.11</v>
          </cell>
          <cell r="AD107">
            <v>0.11</v>
          </cell>
          <cell r="AE107">
            <v>0.19</v>
          </cell>
          <cell r="AF107">
            <v>0.09</v>
          </cell>
          <cell r="AG107">
            <v>0.11</v>
          </cell>
          <cell r="AH107">
            <v>0.15</v>
          </cell>
          <cell r="AI107">
            <v>0.2</v>
          </cell>
          <cell r="AJ107">
            <v>0.2</v>
          </cell>
          <cell r="AK107">
            <v>0.2</v>
          </cell>
          <cell r="AL107">
            <v>0</v>
          </cell>
          <cell r="AM107">
            <v>0</v>
          </cell>
          <cell r="AN107">
            <v>0</v>
          </cell>
          <cell r="AO107">
            <v>0</v>
          </cell>
          <cell r="AP107">
            <v>0</v>
          </cell>
          <cell r="AQ107">
            <v>0</v>
          </cell>
          <cell r="AR107">
            <v>0</v>
          </cell>
          <cell r="AS107">
            <v>0</v>
          </cell>
          <cell r="AT107">
            <v>0</v>
          </cell>
          <cell r="AU107">
            <v>0</v>
          </cell>
          <cell r="AV107">
            <v>0</v>
          </cell>
          <cell r="AW107">
            <v>0</v>
          </cell>
          <cell r="AX107">
            <v>0</v>
          </cell>
          <cell r="AY107">
            <v>0</v>
          </cell>
          <cell r="AZ107">
            <v>0</v>
          </cell>
          <cell r="BA107">
            <v>0</v>
          </cell>
          <cell r="BB107">
            <v>0</v>
          </cell>
          <cell r="BC107">
            <v>0</v>
          </cell>
          <cell r="BD107">
            <v>0</v>
          </cell>
          <cell r="BE107">
            <v>0</v>
          </cell>
          <cell r="BF107">
            <v>0</v>
          </cell>
          <cell r="BG107">
            <v>0</v>
          </cell>
          <cell r="BH107">
            <v>0</v>
          </cell>
          <cell r="BI107">
            <v>0</v>
          </cell>
          <cell r="BJ107">
            <v>0</v>
          </cell>
          <cell r="BK107">
            <v>0</v>
          </cell>
          <cell r="BL107">
            <v>0</v>
          </cell>
          <cell r="BM107">
            <v>0</v>
          </cell>
          <cell r="BN107">
            <v>0</v>
          </cell>
          <cell r="BO107">
            <v>0</v>
          </cell>
          <cell r="BP107">
            <v>0</v>
          </cell>
          <cell r="BQ107">
            <v>0</v>
          </cell>
          <cell r="BR107">
            <v>0</v>
          </cell>
          <cell r="BS107">
            <v>0</v>
          </cell>
          <cell r="BT107">
            <v>0</v>
          </cell>
          <cell r="BU107">
            <v>0</v>
          </cell>
          <cell r="BV107">
            <v>-655708845.82189</v>
          </cell>
          <cell r="BW107">
            <v>-655708845.82189</v>
          </cell>
          <cell r="BX107">
            <v>-655708845.82189</v>
          </cell>
          <cell r="BY107">
            <v>-655708845.82189</v>
          </cell>
          <cell r="BZ107">
            <v>-655708845.82189</v>
          </cell>
          <cell r="CA107">
            <v>-655708845.82189</v>
          </cell>
          <cell r="CB107">
            <v>0</v>
          </cell>
          <cell r="CC107">
            <v>0</v>
          </cell>
          <cell r="CD107">
            <v>0</v>
          </cell>
          <cell r="CE107">
            <v>0</v>
          </cell>
          <cell r="CF107">
            <v>0</v>
          </cell>
          <cell r="CG107">
            <v>0</v>
          </cell>
          <cell r="CH107">
            <v>0</v>
          </cell>
          <cell r="CI107">
            <v>0</v>
          </cell>
          <cell r="CJ107">
            <v>0</v>
          </cell>
          <cell r="CK107">
            <v>0</v>
          </cell>
          <cell r="CL107">
            <v>0</v>
          </cell>
          <cell r="CM107">
            <v>0</v>
          </cell>
          <cell r="CN107">
            <v>0</v>
          </cell>
          <cell r="CO107">
            <v>0</v>
          </cell>
          <cell r="CP107">
            <v>0</v>
          </cell>
          <cell r="CQ107">
            <v>0</v>
          </cell>
          <cell r="CR107">
            <v>0</v>
          </cell>
          <cell r="CS107">
            <v>0</v>
          </cell>
          <cell r="CT107">
            <v>0</v>
          </cell>
          <cell r="CU107">
            <v>0</v>
          </cell>
          <cell r="CV107">
            <v>0</v>
          </cell>
          <cell r="CW107">
            <v>0</v>
          </cell>
          <cell r="CX107">
            <v>0</v>
          </cell>
          <cell r="CY107">
            <v>0</v>
          </cell>
          <cell r="CZ107">
            <v>0</v>
          </cell>
          <cell r="DA107">
            <v>0</v>
          </cell>
          <cell r="DB107">
            <v>0</v>
          </cell>
          <cell r="DC107">
            <v>0</v>
          </cell>
          <cell r="DD107">
            <v>0</v>
          </cell>
          <cell r="DE107">
            <v>0</v>
          </cell>
          <cell r="DF107">
            <v>0</v>
          </cell>
          <cell r="DG107">
            <v>0</v>
          </cell>
          <cell r="DH107">
            <v>0</v>
          </cell>
          <cell r="DI107">
            <v>0</v>
          </cell>
          <cell r="DJ107">
            <v>0</v>
          </cell>
          <cell r="DK107">
            <v>0</v>
          </cell>
          <cell r="DL107">
            <v>0</v>
          </cell>
          <cell r="DM107">
            <v>0</v>
          </cell>
          <cell r="DN107">
            <v>0</v>
          </cell>
          <cell r="DO107">
            <v>0</v>
          </cell>
          <cell r="DP107">
            <v>0</v>
          </cell>
          <cell r="DQ107">
            <v>0</v>
          </cell>
          <cell r="DR107">
            <v>0</v>
          </cell>
          <cell r="DS107">
            <v>0</v>
          </cell>
          <cell r="DT107">
            <v>0</v>
          </cell>
          <cell r="DU107">
            <v>0</v>
          </cell>
          <cell r="DV107">
            <v>0</v>
          </cell>
          <cell r="DW107">
            <v>0</v>
          </cell>
          <cell r="DX107">
            <v>0</v>
          </cell>
          <cell r="DY107">
            <v>0</v>
          </cell>
          <cell r="DZ107">
            <v>0</v>
          </cell>
          <cell r="EA107">
            <v>0</v>
          </cell>
          <cell r="EB107">
            <v>0</v>
          </cell>
          <cell r="EC107">
            <v>0</v>
          </cell>
          <cell r="ED107">
            <v>0.05</v>
          </cell>
          <cell r="EE107">
            <v>0.09</v>
          </cell>
          <cell r="EF107">
            <v>0.08</v>
          </cell>
          <cell r="EG107">
            <v>0.17</v>
          </cell>
          <cell r="EH107">
            <v>1</v>
          </cell>
          <cell r="EI107">
            <v>1</v>
          </cell>
          <cell r="EJ107">
            <v>1</v>
          </cell>
          <cell r="EK107">
            <v>1</v>
          </cell>
          <cell r="EL107">
            <v>0.05</v>
          </cell>
          <cell r="EM107">
            <v>0.14000000000000001</v>
          </cell>
          <cell r="EN107">
            <v>0.11</v>
          </cell>
          <cell r="EO107">
            <v>0.2</v>
          </cell>
          <cell r="EP107">
            <v>0</v>
          </cell>
          <cell r="EQ107">
            <v>0</v>
          </cell>
          <cell r="ER107">
            <v>0</v>
          </cell>
          <cell r="ES107">
            <v>0</v>
          </cell>
          <cell r="ET107">
            <v>0</v>
          </cell>
          <cell r="EU107">
            <v>0</v>
          </cell>
          <cell r="EV107">
            <v>0</v>
          </cell>
          <cell r="EW107">
            <v>0</v>
          </cell>
          <cell r="EX107">
            <v>1</v>
          </cell>
          <cell r="EY107">
            <v>1</v>
          </cell>
          <cell r="EZ107">
            <v>1</v>
          </cell>
          <cell r="FA107">
            <v>0</v>
          </cell>
          <cell r="FB107">
            <v>0</v>
          </cell>
          <cell r="FC107">
            <v>0</v>
          </cell>
          <cell r="FD107">
            <v>0</v>
          </cell>
          <cell r="FE107">
            <v>0</v>
          </cell>
          <cell r="FF107">
            <v>0</v>
          </cell>
          <cell r="FG107">
            <v>0</v>
          </cell>
          <cell r="FH107">
            <v>0</v>
          </cell>
          <cell r="FI107">
            <v>0</v>
          </cell>
          <cell r="FJ107">
            <v>0</v>
          </cell>
          <cell r="FK107">
            <v>0</v>
          </cell>
          <cell r="FL107">
            <v>0</v>
          </cell>
          <cell r="FM107">
            <v>0</v>
          </cell>
          <cell r="FN107">
            <v>0</v>
          </cell>
          <cell r="FO107">
            <v>0</v>
          </cell>
          <cell r="FP107">
            <v>0</v>
          </cell>
          <cell r="FQ107">
            <v>0</v>
          </cell>
          <cell r="FR107">
            <v>0</v>
          </cell>
          <cell r="FS107">
            <v>0</v>
          </cell>
          <cell r="FT107">
            <v>0</v>
          </cell>
          <cell r="FU107">
            <v>0</v>
          </cell>
          <cell r="FV107">
            <v>0</v>
          </cell>
          <cell r="FW107">
            <v>0</v>
          </cell>
          <cell r="FX107">
            <v>0</v>
          </cell>
          <cell r="FY107">
            <v>0</v>
          </cell>
          <cell r="FZ107">
            <v>0</v>
          </cell>
        </row>
        <row r="108">
          <cell r="B108">
            <v>0.1</v>
          </cell>
          <cell r="C108">
            <v>0.08</v>
          </cell>
          <cell r="D108">
            <v>0.15</v>
          </cell>
          <cell r="E108">
            <v>0.08</v>
          </cell>
          <cell r="F108">
            <v>0.15</v>
          </cell>
          <cell r="G108">
            <v>0.22</v>
          </cell>
          <cell r="H108">
            <v>7.0000000000000007E-2</v>
          </cell>
          <cell r="I108">
            <v>0.05</v>
          </cell>
          <cell r="J108">
            <v>0.13</v>
          </cell>
          <cell r="K108">
            <v>0.18</v>
          </cell>
          <cell r="L108">
            <v>0.17</v>
          </cell>
          <cell r="M108">
            <v>0.16</v>
          </cell>
          <cell r="N108">
            <v>0.8</v>
          </cell>
          <cell r="O108">
            <v>1</v>
          </cell>
          <cell r="P108">
            <v>1</v>
          </cell>
          <cell r="Q108">
            <v>0.8</v>
          </cell>
          <cell r="R108">
            <v>0.8</v>
          </cell>
          <cell r="S108">
            <v>1</v>
          </cell>
          <cell r="T108">
            <v>1</v>
          </cell>
          <cell r="U108">
            <v>1</v>
          </cell>
          <cell r="V108">
            <v>1</v>
          </cell>
          <cell r="W108">
            <v>1</v>
          </cell>
          <cell r="X108">
            <v>1</v>
          </cell>
          <cell r="Y108">
            <v>1</v>
          </cell>
          <cell r="Z108">
            <v>0.1</v>
          </cell>
          <cell r="AA108">
            <v>0.1</v>
          </cell>
          <cell r="AB108">
            <v>0.14000000000000001</v>
          </cell>
          <cell r="AC108">
            <v>0.11</v>
          </cell>
          <cell r="AD108">
            <v>0.11</v>
          </cell>
          <cell r="AE108">
            <v>0.19</v>
          </cell>
          <cell r="AF108">
            <v>0.09</v>
          </cell>
          <cell r="AG108">
            <v>0.11</v>
          </cell>
          <cell r="AH108">
            <v>0.15</v>
          </cell>
          <cell r="AI108">
            <v>0.2</v>
          </cell>
          <cell r="AJ108">
            <v>0.2</v>
          </cell>
          <cell r="AK108">
            <v>0.2</v>
          </cell>
          <cell r="AL108">
            <v>0</v>
          </cell>
          <cell r="AM108">
            <v>0</v>
          </cell>
          <cell r="AN108">
            <v>0</v>
          </cell>
          <cell r="AO108">
            <v>0</v>
          </cell>
          <cell r="AP108">
            <v>0</v>
          </cell>
          <cell r="AQ108">
            <v>0</v>
          </cell>
          <cell r="AR108">
            <v>0</v>
          </cell>
          <cell r="AS108">
            <v>0</v>
          </cell>
          <cell r="AT108">
            <v>0</v>
          </cell>
          <cell r="AU108">
            <v>0</v>
          </cell>
          <cell r="AV108">
            <v>0</v>
          </cell>
          <cell r="AW108">
            <v>0</v>
          </cell>
          <cell r="AX108">
            <v>0</v>
          </cell>
          <cell r="AY108">
            <v>0</v>
          </cell>
          <cell r="AZ108">
            <v>0</v>
          </cell>
          <cell r="BA108">
            <v>0</v>
          </cell>
          <cell r="BB108">
            <v>0</v>
          </cell>
          <cell r="BC108">
            <v>0</v>
          </cell>
          <cell r="BD108">
            <v>0</v>
          </cell>
          <cell r="BE108">
            <v>0</v>
          </cell>
          <cell r="BF108">
            <v>0</v>
          </cell>
          <cell r="BG108">
            <v>0</v>
          </cell>
          <cell r="BH108">
            <v>0</v>
          </cell>
          <cell r="BI108">
            <v>0</v>
          </cell>
          <cell r="BJ108">
            <v>0</v>
          </cell>
          <cell r="BK108">
            <v>0</v>
          </cell>
          <cell r="BL108">
            <v>0</v>
          </cell>
          <cell r="BM108">
            <v>0</v>
          </cell>
          <cell r="BN108">
            <v>0</v>
          </cell>
          <cell r="BO108">
            <v>0</v>
          </cell>
          <cell r="BP108">
            <v>0</v>
          </cell>
          <cell r="BQ108">
            <v>0</v>
          </cell>
          <cell r="BR108">
            <v>0</v>
          </cell>
          <cell r="BS108">
            <v>0</v>
          </cell>
          <cell r="BT108">
            <v>0</v>
          </cell>
          <cell r="BU108">
            <v>0</v>
          </cell>
          <cell r="BV108">
            <v>0</v>
          </cell>
          <cell r="BW108">
            <v>0</v>
          </cell>
          <cell r="BX108">
            <v>0</v>
          </cell>
          <cell r="BY108">
            <v>0</v>
          </cell>
          <cell r="BZ108">
            <v>0</v>
          </cell>
          <cell r="CA108">
            <v>0</v>
          </cell>
          <cell r="CB108">
            <v>0</v>
          </cell>
          <cell r="CC108">
            <v>0</v>
          </cell>
          <cell r="CD108">
            <v>0</v>
          </cell>
          <cell r="CE108">
            <v>0</v>
          </cell>
          <cell r="CF108">
            <v>0</v>
          </cell>
          <cell r="CG108">
            <v>0</v>
          </cell>
          <cell r="CH108">
            <v>0</v>
          </cell>
          <cell r="CI108">
            <v>0</v>
          </cell>
          <cell r="CJ108">
            <v>0</v>
          </cell>
          <cell r="CK108">
            <v>0</v>
          </cell>
          <cell r="CL108">
            <v>0</v>
          </cell>
          <cell r="CM108">
            <v>0</v>
          </cell>
          <cell r="CN108">
            <v>0</v>
          </cell>
          <cell r="CO108">
            <v>0</v>
          </cell>
          <cell r="CP108">
            <v>0</v>
          </cell>
          <cell r="CQ108">
            <v>0</v>
          </cell>
          <cell r="CR108">
            <v>0</v>
          </cell>
          <cell r="CS108">
            <v>0</v>
          </cell>
          <cell r="CT108">
            <v>0</v>
          </cell>
          <cell r="CU108">
            <v>0</v>
          </cell>
          <cell r="CV108">
            <v>0</v>
          </cell>
          <cell r="CW108">
            <v>0</v>
          </cell>
          <cell r="CX108">
            <v>0</v>
          </cell>
          <cell r="CY108">
            <v>0</v>
          </cell>
          <cell r="CZ108">
            <v>0</v>
          </cell>
          <cell r="DA108">
            <v>0</v>
          </cell>
          <cell r="DB108">
            <v>0</v>
          </cell>
          <cell r="DC108">
            <v>0</v>
          </cell>
          <cell r="DD108">
            <v>0</v>
          </cell>
          <cell r="DE108">
            <v>0</v>
          </cell>
          <cell r="DF108">
            <v>0</v>
          </cell>
          <cell r="DG108">
            <v>0</v>
          </cell>
          <cell r="DH108">
            <v>0</v>
          </cell>
          <cell r="DI108">
            <v>0</v>
          </cell>
          <cell r="DJ108">
            <v>0</v>
          </cell>
          <cell r="DK108">
            <v>0</v>
          </cell>
          <cell r="DL108">
            <v>0</v>
          </cell>
          <cell r="DM108">
            <v>0</v>
          </cell>
          <cell r="DN108">
            <v>0</v>
          </cell>
          <cell r="DO108">
            <v>0</v>
          </cell>
          <cell r="DP108">
            <v>0</v>
          </cell>
          <cell r="DQ108">
            <v>0</v>
          </cell>
          <cell r="DR108">
            <v>0</v>
          </cell>
          <cell r="DS108">
            <v>0</v>
          </cell>
          <cell r="DT108">
            <v>0</v>
          </cell>
          <cell r="DU108">
            <v>0</v>
          </cell>
          <cell r="DV108">
            <v>0</v>
          </cell>
          <cell r="DW108">
            <v>0</v>
          </cell>
          <cell r="DX108">
            <v>0</v>
          </cell>
          <cell r="DY108">
            <v>0</v>
          </cell>
          <cell r="DZ108">
            <v>0</v>
          </cell>
          <cell r="EA108">
            <v>0</v>
          </cell>
          <cell r="EB108">
            <v>0</v>
          </cell>
          <cell r="EC108">
            <v>0</v>
          </cell>
          <cell r="ED108">
            <v>0.05</v>
          </cell>
          <cell r="EE108">
            <v>0.09</v>
          </cell>
          <cell r="EF108">
            <v>0.08</v>
          </cell>
          <cell r="EG108">
            <v>0.17</v>
          </cell>
          <cell r="EH108">
            <v>1</v>
          </cell>
          <cell r="EI108">
            <v>1</v>
          </cell>
          <cell r="EJ108">
            <v>1</v>
          </cell>
          <cell r="EK108">
            <v>1</v>
          </cell>
          <cell r="EL108">
            <v>0.05</v>
          </cell>
          <cell r="EM108">
            <v>0.14000000000000001</v>
          </cell>
          <cell r="EN108">
            <v>0.11</v>
          </cell>
          <cell r="EO108">
            <v>0.2</v>
          </cell>
          <cell r="EP108">
            <v>0</v>
          </cell>
          <cell r="EQ108">
            <v>0</v>
          </cell>
          <cell r="ER108">
            <v>0</v>
          </cell>
          <cell r="ES108">
            <v>0</v>
          </cell>
          <cell r="ET108">
            <v>0</v>
          </cell>
          <cell r="EU108">
            <v>0</v>
          </cell>
          <cell r="EV108">
            <v>0</v>
          </cell>
          <cell r="EW108">
            <v>0</v>
          </cell>
          <cell r="EX108">
            <v>1</v>
          </cell>
          <cell r="EY108">
            <v>1</v>
          </cell>
          <cell r="EZ108">
            <v>1</v>
          </cell>
          <cell r="FA108">
            <v>0</v>
          </cell>
          <cell r="FB108">
            <v>0</v>
          </cell>
          <cell r="FC108">
            <v>0</v>
          </cell>
          <cell r="FD108">
            <v>0</v>
          </cell>
          <cell r="FE108">
            <v>0</v>
          </cell>
          <cell r="FF108">
            <v>0</v>
          </cell>
          <cell r="FG108">
            <v>0</v>
          </cell>
          <cell r="FH108">
            <v>0</v>
          </cell>
          <cell r="FI108">
            <v>0</v>
          </cell>
          <cell r="FJ108">
            <v>0</v>
          </cell>
          <cell r="FK108">
            <v>0</v>
          </cell>
          <cell r="FL108">
            <v>0</v>
          </cell>
          <cell r="FM108">
            <v>0</v>
          </cell>
          <cell r="FN108">
            <v>0</v>
          </cell>
          <cell r="FO108">
            <v>0</v>
          </cell>
          <cell r="FP108">
            <v>0</v>
          </cell>
          <cell r="FQ108">
            <v>0</v>
          </cell>
          <cell r="FR108">
            <v>0</v>
          </cell>
          <cell r="FS108">
            <v>0</v>
          </cell>
          <cell r="FT108">
            <v>0</v>
          </cell>
          <cell r="FU108">
            <v>0</v>
          </cell>
          <cell r="FV108">
            <v>0</v>
          </cell>
          <cell r="FW108">
            <v>0</v>
          </cell>
          <cell r="FX108">
            <v>0</v>
          </cell>
          <cell r="FY108">
            <v>0</v>
          </cell>
          <cell r="FZ108">
            <v>0</v>
          </cell>
        </row>
        <row r="109">
          <cell r="B109">
            <v>0.1</v>
          </cell>
          <cell r="C109">
            <v>0.08</v>
          </cell>
          <cell r="D109">
            <v>0.15</v>
          </cell>
          <cell r="E109">
            <v>0.08</v>
          </cell>
          <cell r="F109">
            <v>0.15</v>
          </cell>
          <cell r="G109">
            <v>0.22</v>
          </cell>
          <cell r="H109">
            <v>7.0000000000000007E-2</v>
          </cell>
          <cell r="I109">
            <v>0.05</v>
          </cell>
          <cell r="J109">
            <v>0.13</v>
          </cell>
          <cell r="K109">
            <v>0.18</v>
          </cell>
          <cell r="L109">
            <v>0.17</v>
          </cell>
          <cell r="M109">
            <v>0.16</v>
          </cell>
          <cell r="N109">
            <v>0.8</v>
          </cell>
          <cell r="O109">
            <v>1</v>
          </cell>
          <cell r="P109">
            <v>1</v>
          </cell>
          <cell r="Q109">
            <v>0.8</v>
          </cell>
          <cell r="R109">
            <v>0.8</v>
          </cell>
          <cell r="S109">
            <v>1</v>
          </cell>
          <cell r="T109">
            <v>1</v>
          </cell>
          <cell r="U109">
            <v>1</v>
          </cell>
          <cell r="V109">
            <v>1</v>
          </cell>
          <cell r="W109">
            <v>1</v>
          </cell>
          <cell r="X109">
            <v>1</v>
          </cell>
          <cell r="Y109">
            <v>1</v>
          </cell>
          <cell r="Z109">
            <v>0.1</v>
          </cell>
          <cell r="AA109">
            <v>0.1</v>
          </cell>
          <cell r="AB109">
            <v>0.14000000000000001</v>
          </cell>
          <cell r="AC109">
            <v>0.11</v>
          </cell>
          <cell r="AD109">
            <v>0.11</v>
          </cell>
          <cell r="AE109">
            <v>0.19</v>
          </cell>
          <cell r="AF109">
            <v>0.09</v>
          </cell>
          <cell r="AG109">
            <v>0.11</v>
          </cell>
          <cell r="AH109">
            <v>0.15</v>
          </cell>
          <cell r="AI109">
            <v>0.2</v>
          </cell>
          <cell r="AJ109">
            <v>0.2</v>
          </cell>
          <cell r="AK109">
            <v>0.2</v>
          </cell>
          <cell r="AL109">
            <v>0</v>
          </cell>
          <cell r="AM109">
            <v>0</v>
          </cell>
          <cell r="AN109">
            <v>0</v>
          </cell>
          <cell r="AO109">
            <v>0</v>
          </cell>
          <cell r="AP109">
            <v>0</v>
          </cell>
          <cell r="AQ109">
            <v>0</v>
          </cell>
          <cell r="AR109">
            <v>0</v>
          </cell>
          <cell r="AS109">
            <v>0</v>
          </cell>
          <cell r="AT109">
            <v>0</v>
          </cell>
          <cell r="AU109">
            <v>0</v>
          </cell>
          <cell r="AV109">
            <v>0</v>
          </cell>
          <cell r="AW109">
            <v>0</v>
          </cell>
          <cell r="AX109">
            <v>0</v>
          </cell>
          <cell r="AY109">
            <v>0</v>
          </cell>
          <cell r="AZ109">
            <v>0</v>
          </cell>
          <cell r="BA109">
            <v>0</v>
          </cell>
          <cell r="BB109">
            <v>0</v>
          </cell>
          <cell r="BC109">
            <v>0</v>
          </cell>
          <cell r="BD109">
            <v>0</v>
          </cell>
          <cell r="BE109">
            <v>0</v>
          </cell>
          <cell r="BF109">
            <v>0</v>
          </cell>
          <cell r="BG109">
            <v>0</v>
          </cell>
          <cell r="BH109">
            <v>0</v>
          </cell>
          <cell r="BI109">
            <v>0</v>
          </cell>
          <cell r="BJ109">
            <v>0</v>
          </cell>
          <cell r="BK109">
            <v>0</v>
          </cell>
          <cell r="BL109">
            <v>0</v>
          </cell>
          <cell r="BM109">
            <v>0</v>
          </cell>
          <cell r="BN109">
            <v>0</v>
          </cell>
          <cell r="BO109">
            <v>0</v>
          </cell>
          <cell r="BP109">
            <v>0</v>
          </cell>
          <cell r="BQ109">
            <v>0</v>
          </cell>
          <cell r="BR109">
            <v>0</v>
          </cell>
          <cell r="BS109">
            <v>0</v>
          </cell>
          <cell r="BT109">
            <v>0</v>
          </cell>
          <cell r="BU109">
            <v>0</v>
          </cell>
          <cell r="BV109">
            <v>-75396.095950000003</v>
          </cell>
          <cell r="BW109">
            <v>-75396.095950000003</v>
          </cell>
          <cell r="BX109">
            <v>-75396.095950000003</v>
          </cell>
          <cell r="BY109">
            <v>-75396.095950000003</v>
          </cell>
          <cell r="BZ109">
            <v>-75396.095950000003</v>
          </cell>
          <cell r="CA109">
            <v>-75396.095950000003</v>
          </cell>
          <cell r="CB109">
            <v>0</v>
          </cell>
          <cell r="CC109">
            <v>0</v>
          </cell>
          <cell r="CD109">
            <v>0</v>
          </cell>
          <cell r="CE109">
            <v>0</v>
          </cell>
          <cell r="CF109">
            <v>0</v>
          </cell>
          <cell r="CG109">
            <v>0</v>
          </cell>
          <cell r="CH109">
            <v>0</v>
          </cell>
          <cell r="CI109">
            <v>0</v>
          </cell>
          <cell r="CJ109">
            <v>0</v>
          </cell>
          <cell r="CK109">
            <v>0</v>
          </cell>
          <cell r="CL109">
            <v>0</v>
          </cell>
          <cell r="CM109">
            <v>0</v>
          </cell>
          <cell r="CN109">
            <v>0</v>
          </cell>
          <cell r="CO109">
            <v>0</v>
          </cell>
          <cell r="CP109">
            <v>0</v>
          </cell>
          <cell r="CQ109">
            <v>0</v>
          </cell>
          <cell r="CR109">
            <v>0</v>
          </cell>
          <cell r="CS109">
            <v>0</v>
          </cell>
          <cell r="CT109">
            <v>0</v>
          </cell>
          <cell r="CU109">
            <v>0</v>
          </cell>
          <cell r="CV109">
            <v>0</v>
          </cell>
          <cell r="CW109">
            <v>0</v>
          </cell>
          <cell r="CX109">
            <v>0</v>
          </cell>
          <cell r="CY109">
            <v>0</v>
          </cell>
          <cell r="CZ109">
            <v>0</v>
          </cell>
          <cell r="DA109">
            <v>0</v>
          </cell>
          <cell r="DB109">
            <v>0</v>
          </cell>
          <cell r="DC109">
            <v>0</v>
          </cell>
          <cell r="DD109">
            <v>0</v>
          </cell>
          <cell r="DE109">
            <v>0</v>
          </cell>
          <cell r="DF109">
            <v>0</v>
          </cell>
          <cell r="DG109">
            <v>0</v>
          </cell>
          <cell r="DH109">
            <v>0</v>
          </cell>
          <cell r="DI109">
            <v>0</v>
          </cell>
          <cell r="DJ109">
            <v>0</v>
          </cell>
          <cell r="DK109">
            <v>0</v>
          </cell>
          <cell r="DL109">
            <v>0</v>
          </cell>
          <cell r="DM109">
            <v>0</v>
          </cell>
          <cell r="DN109">
            <v>0</v>
          </cell>
          <cell r="DO109">
            <v>0</v>
          </cell>
          <cell r="DP109">
            <v>0</v>
          </cell>
          <cell r="DQ109">
            <v>0</v>
          </cell>
          <cell r="DR109">
            <v>0</v>
          </cell>
          <cell r="DS109">
            <v>0</v>
          </cell>
          <cell r="DT109">
            <v>0</v>
          </cell>
          <cell r="DU109">
            <v>0</v>
          </cell>
          <cell r="DV109">
            <v>0</v>
          </cell>
          <cell r="DW109">
            <v>0</v>
          </cell>
          <cell r="DX109">
            <v>0</v>
          </cell>
          <cell r="DY109">
            <v>0</v>
          </cell>
          <cell r="DZ109">
            <v>0</v>
          </cell>
          <cell r="EA109">
            <v>0</v>
          </cell>
          <cell r="EB109">
            <v>0</v>
          </cell>
          <cell r="EC109">
            <v>0</v>
          </cell>
          <cell r="ED109">
            <v>0.05</v>
          </cell>
          <cell r="EE109">
            <v>0.09</v>
          </cell>
          <cell r="EF109">
            <v>0.08</v>
          </cell>
          <cell r="EG109">
            <v>0.17</v>
          </cell>
          <cell r="EH109">
            <v>1</v>
          </cell>
          <cell r="EI109">
            <v>1</v>
          </cell>
          <cell r="EJ109">
            <v>1</v>
          </cell>
          <cell r="EK109">
            <v>1</v>
          </cell>
          <cell r="EL109">
            <v>0.05</v>
          </cell>
          <cell r="EM109">
            <v>0.14000000000000001</v>
          </cell>
          <cell r="EN109">
            <v>0.11</v>
          </cell>
          <cell r="EO109">
            <v>0.2</v>
          </cell>
          <cell r="EP109">
            <v>0</v>
          </cell>
          <cell r="EQ109">
            <v>0</v>
          </cell>
          <cell r="ER109">
            <v>0</v>
          </cell>
          <cell r="ES109">
            <v>0</v>
          </cell>
          <cell r="ET109">
            <v>0</v>
          </cell>
          <cell r="EU109">
            <v>0</v>
          </cell>
          <cell r="EV109">
            <v>0</v>
          </cell>
          <cell r="EW109">
            <v>0</v>
          </cell>
          <cell r="EX109">
            <v>0</v>
          </cell>
          <cell r="EY109">
            <v>0</v>
          </cell>
          <cell r="EZ109">
            <v>0</v>
          </cell>
          <cell r="FA109">
            <v>0</v>
          </cell>
          <cell r="FB109">
            <v>0</v>
          </cell>
          <cell r="FC109">
            <v>0</v>
          </cell>
          <cell r="FD109">
            <v>0</v>
          </cell>
          <cell r="FE109">
            <v>0</v>
          </cell>
          <cell r="FF109">
            <v>0</v>
          </cell>
          <cell r="FG109">
            <v>0</v>
          </cell>
          <cell r="FH109">
            <v>0</v>
          </cell>
          <cell r="FI109">
            <v>0</v>
          </cell>
          <cell r="FJ109">
            <v>0</v>
          </cell>
          <cell r="FK109">
            <v>0</v>
          </cell>
          <cell r="FL109">
            <v>0</v>
          </cell>
          <cell r="FM109">
            <v>0</v>
          </cell>
          <cell r="FN109">
            <v>0</v>
          </cell>
          <cell r="FO109">
            <v>0</v>
          </cell>
          <cell r="FP109">
            <v>0</v>
          </cell>
          <cell r="FQ109">
            <v>0</v>
          </cell>
          <cell r="FR109">
            <v>0</v>
          </cell>
          <cell r="FS109">
            <v>0</v>
          </cell>
          <cell r="FT109">
            <v>0</v>
          </cell>
          <cell r="FU109">
            <v>0</v>
          </cell>
          <cell r="FV109">
            <v>0</v>
          </cell>
          <cell r="FW109">
            <v>0</v>
          </cell>
          <cell r="FX109">
            <v>0</v>
          </cell>
          <cell r="FY109">
            <v>0</v>
          </cell>
          <cell r="FZ109">
            <v>0</v>
          </cell>
        </row>
        <row r="110">
          <cell r="B110">
            <v>0.1</v>
          </cell>
          <cell r="C110">
            <v>0.08</v>
          </cell>
          <cell r="D110">
            <v>0.15</v>
          </cell>
          <cell r="E110">
            <v>0.08</v>
          </cell>
          <cell r="F110">
            <v>0.15</v>
          </cell>
          <cell r="G110">
            <v>0.22</v>
          </cell>
          <cell r="H110">
            <v>7.0000000000000007E-2</v>
          </cell>
          <cell r="I110">
            <v>0.05</v>
          </cell>
          <cell r="J110">
            <v>0.13</v>
          </cell>
          <cell r="K110">
            <v>0.18</v>
          </cell>
          <cell r="L110">
            <v>0.17</v>
          </cell>
          <cell r="M110">
            <v>0.16</v>
          </cell>
          <cell r="N110">
            <v>0.8</v>
          </cell>
          <cell r="O110">
            <v>1</v>
          </cell>
          <cell r="P110">
            <v>1</v>
          </cell>
          <cell r="Q110">
            <v>0.8</v>
          </cell>
          <cell r="R110">
            <v>0.8</v>
          </cell>
          <cell r="S110">
            <v>1</v>
          </cell>
          <cell r="T110">
            <v>1</v>
          </cell>
          <cell r="U110">
            <v>1</v>
          </cell>
          <cell r="V110">
            <v>1</v>
          </cell>
          <cell r="W110">
            <v>1</v>
          </cell>
          <cell r="X110">
            <v>1</v>
          </cell>
          <cell r="Y110">
            <v>1</v>
          </cell>
          <cell r="Z110">
            <v>0.1</v>
          </cell>
          <cell r="AA110">
            <v>0.1</v>
          </cell>
          <cell r="AB110">
            <v>0.14000000000000001</v>
          </cell>
          <cell r="AC110">
            <v>0.11</v>
          </cell>
          <cell r="AD110">
            <v>0.11</v>
          </cell>
          <cell r="AE110">
            <v>0.19</v>
          </cell>
          <cell r="AF110">
            <v>0.09</v>
          </cell>
          <cell r="AG110">
            <v>0.11</v>
          </cell>
          <cell r="AH110">
            <v>0.15</v>
          </cell>
          <cell r="AI110">
            <v>0.2</v>
          </cell>
          <cell r="AJ110">
            <v>0.2</v>
          </cell>
          <cell r="AK110">
            <v>0.2</v>
          </cell>
          <cell r="AL110">
            <v>0</v>
          </cell>
          <cell r="AM110">
            <v>0</v>
          </cell>
          <cell r="AN110">
            <v>0</v>
          </cell>
          <cell r="AO110">
            <v>0</v>
          </cell>
          <cell r="AP110">
            <v>0</v>
          </cell>
          <cell r="AQ110">
            <v>0</v>
          </cell>
          <cell r="AR110">
            <v>0</v>
          </cell>
          <cell r="AS110">
            <v>0</v>
          </cell>
          <cell r="AT110">
            <v>0</v>
          </cell>
          <cell r="AU110">
            <v>0</v>
          </cell>
          <cell r="AV110">
            <v>0</v>
          </cell>
          <cell r="AW110">
            <v>0</v>
          </cell>
          <cell r="AX110">
            <v>0</v>
          </cell>
          <cell r="AY110">
            <v>0</v>
          </cell>
          <cell r="AZ110">
            <v>0</v>
          </cell>
          <cell r="BA110">
            <v>0</v>
          </cell>
          <cell r="BB110">
            <v>0</v>
          </cell>
          <cell r="BC110">
            <v>0</v>
          </cell>
          <cell r="BD110">
            <v>0</v>
          </cell>
          <cell r="BE110">
            <v>0</v>
          </cell>
          <cell r="BF110">
            <v>0</v>
          </cell>
          <cell r="BG110">
            <v>0</v>
          </cell>
          <cell r="BH110">
            <v>0</v>
          </cell>
          <cell r="BI110">
            <v>0</v>
          </cell>
          <cell r="BJ110">
            <v>0</v>
          </cell>
          <cell r="BK110">
            <v>0</v>
          </cell>
          <cell r="BL110">
            <v>0</v>
          </cell>
          <cell r="BM110">
            <v>0</v>
          </cell>
          <cell r="BN110">
            <v>0</v>
          </cell>
          <cell r="BO110">
            <v>0</v>
          </cell>
          <cell r="BP110">
            <v>0</v>
          </cell>
          <cell r="BQ110">
            <v>0</v>
          </cell>
          <cell r="BR110">
            <v>0</v>
          </cell>
          <cell r="BS110">
            <v>0</v>
          </cell>
          <cell r="BT110">
            <v>0</v>
          </cell>
          <cell r="BU110">
            <v>0</v>
          </cell>
          <cell r="BV110">
            <v>-9840024.1800200008</v>
          </cell>
          <cell r="BW110">
            <v>-9840024.1800200008</v>
          </cell>
          <cell r="BX110">
            <v>-9840024.1800200008</v>
          </cell>
          <cell r="BY110">
            <v>-9840024.1800200008</v>
          </cell>
          <cell r="BZ110">
            <v>-9840024.1800200008</v>
          </cell>
          <cell r="CA110">
            <v>-9840024.1800200008</v>
          </cell>
          <cell r="CB110">
            <v>0</v>
          </cell>
          <cell r="CC110">
            <v>0</v>
          </cell>
          <cell r="CD110">
            <v>0</v>
          </cell>
          <cell r="CE110">
            <v>0</v>
          </cell>
          <cell r="CF110">
            <v>0</v>
          </cell>
          <cell r="CG110">
            <v>0</v>
          </cell>
          <cell r="CH110">
            <v>0</v>
          </cell>
          <cell r="CI110">
            <v>0</v>
          </cell>
          <cell r="CJ110">
            <v>0</v>
          </cell>
          <cell r="CK110">
            <v>0</v>
          </cell>
          <cell r="CL110">
            <v>0</v>
          </cell>
          <cell r="CM110">
            <v>0</v>
          </cell>
          <cell r="CN110">
            <v>0</v>
          </cell>
          <cell r="CO110">
            <v>0</v>
          </cell>
          <cell r="CP110">
            <v>0</v>
          </cell>
          <cell r="CQ110">
            <v>0</v>
          </cell>
          <cell r="CR110">
            <v>0</v>
          </cell>
          <cell r="CS110">
            <v>0</v>
          </cell>
          <cell r="CT110">
            <v>0</v>
          </cell>
          <cell r="CU110">
            <v>0</v>
          </cell>
          <cell r="CV110">
            <v>0</v>
          </cell>
          <cell r="CW110">
            <v>0</v>
          </cell>
          <cell r="CX110">
            <v>0</v>
          </cell>
          <cell r="CY110">
            <v>0</v>
          </cell>
          <cell r="CZ110">
            <v>0</v>
          </cell>
          <cell r="DA110">
            <v>0</v>
          </cell>
          <cell r="DB110">
            <v>0</v>
          </cell>
          <cell r="DC110">
            <v>0</v>
          </cell>
          <cell r="DD110">
            <v>0</v>
          </cell>
          <cell r="DE110">
            <v>0</v>
          </cell>
          <cell r="DF110">
            <v>0</v>
          </cell>
          <cell r="DG110">
            <v>0</v>
          </cell>
          <cell r="DH110">
            <v>0</v>
          </cell>
          <cell r="DI110">
            <v>0</v>
          </cell>
          <cell r="DJ110">
            <v>0</v>
          </cell>
          <cell r="DK110">
            <v>0</v>
          </cell>
          <cell r="DL110">
            <v>0</v>
          </cell>
          <cell r="DM110">
            <v>0</v>
          </cell>
          <cell r="DN110">
            <v>0</v>
          </cell>
          <cell r="DO110">
            <v>0</v>
          </cell>
          <cell r="DP110">
            <v>0</v>
          </cell>
          <cell r="DQ110">
            <v>0</v>
          </cell>
          <cell r="DR110">
            <v>0</v>
          </cell>
          <cell r="DS110">
            <v>0</v>
          </cell>
          <cell r="DT110">
            <v>0</v>
          </cell>
          <cell r="DU110">
            <v>0</v>
          </cell>
          <cell r="DV110">
            <v>0</v>
          </cell>
          <cell r="DW110">
            <v>0</v>
          </cell>
          <cell r="DX110">
            <v>0</v>
          </cell>
          <cell r="DY110">
            <v>0</v>
          </cell>
          <cell r="DZ110">
            <v>0</v>
          </cell>
          <cell r="EA110">
            <v>0</v>
          </cell>
          <cell r="EB110">
            <v>0</v>
          </cell>
          <cell r="EC110">
            <v>0</v>
          </cell>
          <cell r="ED110">
            <v>0.05</v>
          </cell>
          <cell r="EE110">
            <v>0.09</v>
          </cell>
          <cell r="EF110">
            <v>0.08</v>
          </cell>
          <cell r="EG110">
            <v>0.17</v>
          </cell>
          <cell r="EH110">
            <v>1</v>
          </cell>
          <cell r="EI110">
            <v>1</v>
          </cell>
          <cell r="EJ110">
            <v>1</v>
          </cell>
          <cell r="EK110">
            <v>1</v>
          </cell>
          <cell r="EL110">
            <v>0.05</v>
          </cell>
          <cell r="EM110">
            <v>0.14000000000000001</v>
          </cell>
          <cell r="EN110">
            <v>0.11</v>
          </cell>
          <cell r="EO110">
            <v>0.2</v>
          </cell>
          <cell r="EP110">
            <v>0</v>
          </cell>
          <cell r="EQ110">
            <v>0</v>
          </cell>
          <cell r="ER110">
            <v>0</v>
          </cell>
          <cell r="ES110">
            <v>0</v>
          </cell>
          <cell r="ET110">
            <v>0</v>
          </cell>
          <cell r="EU110">
            <v>0</v>
          </cell>
          <cell r="EV110">
            <v>0</v>
          </cell>
          <cell r="EW110">
            <v>0</v>
          </cell>
          <cell r="EX110">
            <v>1</v>
          </cell>
          <cell r="EY110">
            <v>1</v>
          </cell>
          <cell r="EZ110">
            <v>1</v>
          </cell>
          <cell r="FA110">
            <v>0</v>
          </cell>
          <cell r="FB110">
            <v>0</v>
          </cell>
          <cell r="FC110">
            <v>0</v>
          </cell>
          <cell r="FD110">
            <v>0</v>
          </cell>
          <cell r="FE110">
            <v>0</v>
          </cell>
          <cell r="FF110">
            <v>0</v>
          </cell>
          <cell r="FG110">
            <v>0</v>
          </cell>
          <cell r="FH110">
            <v>0</v>
          </cell>
          <cell r="FI110">
            <v>0</v>
          </cell>
          <cell r="FJ110">
            <v>0</v>
          </cell>
          <cell r="FK110">
            <v>0</v>
          </cell>
          <cell r="FL110">
            <v>0</v>
          </cell>
          <cell r="FM110">
            <v>0</v>
          </cell>
          <cell r="FN110">
            <v>0</v>
          </cell>
          <cell r="FO110">
            <v>0</v>
          </cell>
          <cell r="FP110">
            <v>0</v>
          </cell>
          <cell r="FQ110">
            <v>0</v>
          </cell>
          <cell r="FR110">
            <v>0</v>
          </cell>
          <cell r="FS110">
            <v>0</v>
          </cell>
          <cell r="FT110">
            <v>0</v>
          </cell>
          <cell r="FU110">
            <v>0</v>
          </cell>
          <cell r="FV110">
            <v>0</v>
          </cell>
          <cell r="FW110">
            <v>0</v>
          </cell>
          <cell r="FX110">
            <v>0</v>
          </cell>
          <cell r="FY110">
            <v>0</v>
          </cell>
          <cell r="FZ110">
            <v>0</v>
          </cell>
        </row>
        <row r="111">
          <cell r="B111">
            <v>0.1</v>
          </cell>
          <cell r="C111">
            <v>0.08</v>
          </cell>
          <cell r="D111">
            <v>0.15</v>
          </cell>
          <cell r="E111">
            <v>0.08</v>
          </cell>
          <cell r="F111">
            <v>0.15</v>
          </cell>
          <cell r="G111">
            <v>0.22</v>
          </cell>
          <cell r="H111">
            <v>7.0000000000000007E-2</v>
          </cell>
          <cell r="I111">
            <v>0.05</v>
          </cell>
          <cell r="J111">
            <v>0.13</v>
          </cell>
          <cell r="K111">
            <v>0.18</v>
          </cell>
          <cell r="L111">
            <v>0.17</v>
          </cell>
          <cell r="M111">
            <v>0.16</v>
          </cell>
          <cell r="N111">
            <v>0.8</v>
          </cell>
          <cell r="O111">
            <v>1</v>
          </cell>
          <cell r="P111">
            <v>1</v>
          </cell>
          <cell r="Q111">
            <v>0.8</v>
          </cell>
          <cell r="R111">
            <v>0.8</v>
          </cell>
          <cell r="S111">
            <v>1</v>
          </cell>
          <cell r="T111">
            <v>1</v>
          </cell>
          <cell r="U111">
            <v>1</v>
          </cell>
          <cell r="V111">
            <v>1</v>
          </cell>
          <cell r="W111">
            <v>1</v>
          </cell>
          <cell r="X111">
            <v>1</v>
          </cell>
          <cell r="Y111">
            <v>1</v>
          </cell>
          <cell r="Z111">
            <v>0.1</v>
          </cell>
          <cell r="AA111">
            <v>0.1</v>
          </cell>
          <cell r="AB111">
            <v>0.14000000000000001</v>
          </cell>
          <cell r="AC111">
            <v>0.11</v>
          </cell>
          <cell r="AD111">
            <v>0.11</v>
          </cell>
          <cell r="AE111">
            <v>0.19</v>
          </cell>
          <cell r="AF111">
            <v>0.09</v>
          </cell>
          <cell r="AG111">
            <v>0.11</v>
          </cell>
          <cell r="AH111">
            <v>0.15</v>
          </cell>
          <cell r="AI111">
            <v>0.2</v>
          </cell>
          <cell r="AJ111">
            <v>0.2</v>
          </cell>
          <cell r="AK111">
            <v>0.2</v>
          </cell>
          <cell r="AL111">
            <v>0</v>
          </cell>
          <cell r="AM111">
            <v>0</v>
          </cell>
          <cell r="AN111">
            <v>0</v>
          </cell>
          <cell r="AO111">
            <v>0</v>
          </cell>
          <cell r="AP111">
            <v>0</v>
          </cell>
          <cell r="AQ111">
            <v>0</v>
          </cell>
          <cell r="AR111">
            <v>0</v>
          </cell>
          <cell r="AS111">
            <v>0</v>
          </cell>
          <cell r="AT111">
            <v>0</v>
          </cell>
          <cell r="AU111">
            <v>0</v>
          </cell>
          <cell r="AV111">
            <v>0</v>
          </cell>
          <cell r="AW111">
            <v>0</v>
          </cell>
          <cell r="AX111">
            <v>0</v>
          </cell>
          <cell r="AY111">
            <v>0</v>
          </cell>
          <cell r="AZ111">
            <v>0</v>
          </cell>
          <cell r="BA111">
            <v>0</v>
          </cell>
          <cell r="BB111">
            <v>0</v>
          </cell>
          <cell r="BC111">
            <v>0</v>
          </cell>
          <cell r="BD111">
            <v>0</v>
          </cell>
          <cell r="BE111">
            <v>0</v>
          </cell>
          <cell r="BF111">
            <v>0</v>
          </cell>
          <cell r="BG111">
            <v>0</v>
          </cell>
          <cell r="BH111">
            <v>0</v>
          </cell>
          <cell r="BI111">
            <v>0</v>
          </cell>
          <cell r="BJ111">
            <v>0</v>
          </cell>
          <cell r="BK111">
            <v>0</v>
          </cell>
          <cell r="BL111">
            <v>0</v>
          </cell>
          <cell r="BM111">
            <v>0</v>
          </cell>
          <cell r="BN111">
            <v>0</v>
          </cell>
          <cell r="BO111">
            <v>0</v>
          </cell>
          <cell r="BP111">
            <v>0</v>
          </cell>
          <cell r="BQ111">
            <v>0</v>
          </cell>
          <cell r="BR111">
            <v>0</v>
          </cell>
          <cell r="BS111">
            <v>0</v>
          </cell>
          <cell r="BT111">
            <v>0</v>
          </cell>
          <cell r="BU111">
            <v>0</v>
          </cell>
          <cell r="BV111">
            <v>220274654.97415</v>
          </cell>
          <cell r="BW111">
            <v>220274654.97415</v>
          </cell>
          <cell r="BX111">
            <v>220274654.97415</v>
          </cell>
          <cell r="BY111">
            <v>220274654.97415</v>
          </cell>
          <cell r="BZ111">
            <v>220274654.97415</v>
          </cell>
          <cell r="CA111">
            <v>220274654.97415</v>
          </cell>
          <cell r="CB111">
            <v>0</v>
          </cell>
          <cell r="CC111">
            <v>0</v>
          </cell>
          <cell r="CD111">
            <v>0</v>
          </cell>
          <cell r="CE111">
            <v>0</v>
          </cell>
          <cell r="CF111">
            <v>0</v>
          </cell>
          <cell r="CG111">
            <v>0</v>
          </cell>
          <cell r="CH111">
            <v>0</v>
          </cell>
          <cell r="CI111">
            <v>0</v>
          </cell>
          <cell r="CJ111">
            <v>0</v>
          </cell>
          <cell r="CK111">
            <v>0</v>
          </cell>
          <cell r="CL111">
            <v>0</v>
          </cell>
          <cell r="CM111">
            <v>0</v>
          </cell>
          <cell r="CN111">
            <v>0</v>
          </cell>
          <cell r="CO111">
            <v>0</v>
          </cell>
          <cell r="CP111">
            <v>0</v>
          </cell>
          <cell r="CQ111">
            <v>0</v>
          </cell>
          <cell r="CR111">
            <v>0</v>
          </cell>
          <cell r="CS111">
            <v>0</v>
          </cell>
          <cell r="CT111">
            <v>0</v>
          </cell>
          <cell r="CU111">
            <v>0</v>
          </cell>
          <cell r="CV111">
            <v>0</v>
          </cell>
          <cell r="CW111">
            <v>0</v>
          </cell>
          <cell r="CX111">
            <v>0</v>
          </cell>
          <cell r="CY111">
            <v>0</v>
          </cell>
          <cell r="CZ111">
            <v>0</v>
          </cell>
          <cell r="DA111">
            <v>0</v>
          </cell>
          <cell r="DB111">
            <v>0</v>
          </cell>
          <cell r="DC111">
            <v>0</v>
          </cell>
          <cell r="DD111">
            <v>0</v>
          </cell>
          <cell r="DE111">
            <v>0</v>
          </cell>
          <cell r="DF111">
            <v>0</v>
          </cell>
          <cell r="DG111">
            <v>0</v>
          </cell>
          <cell r="DH111">
            <v>0</v>
          </cell>
          <cell r="DI111">
            <v>0</v>
          </cell>
          <cell r="DJ111">
            <v>0</v>
          </cell>
          <cell r="DK111">
            <v>0</v>
          </cell>
          <cell r="DL111">
            <v>0</v>
          </cell>
          <cell r="DM111">
            <v>0</v>
          </cell>
          <cell r="DN111">
            <v>0</v>
          </cell>
          <cell r="DO111">
            <v>0</v>
          </cell>
          <cell r="DP111">
            <v>0</v>
          </cell>
          <cell r="DQ111">
            <v>0</v>
          </cell>
          <cell r="DR111">
            <v>0</v>
          </cell>
          <cell r="DS111">
            <v>0</v>
          </cell>
          <cell r="DT111">
            <v>0</v>
          </cell>
          <cell r="DU111">
            <v>0</v>
          </cell>
          <cell r="DV111">
            <v>0</v>
          </cell>
          <cell r="DW111">
            <v>0</v>
          </cell>
          <cell r="DX111">
            <v>0</v>
          </cell>
          <cell r="DY111">
            <v>0</v>
          </cell>
          <cell r="DZ111">
            <v>0</v>
          </cell>
          <cell r="EA111">
            <v>0</v>
          </cell>
          <cell r="EB111">
            <v>0</v>
          </cell>
          <cell r="EC111">
            <v>0</v>
          </cell>
          <cell r="ED111">
            <v>0.05</v>
          </cell>
          <cell r="EE111">
            <v>0.09</v>
          </cell>
          <cell r="EF111">
            <v>0.08</v>
          </cell>
          <cell r="EG111">
            <v>0.17</v>
          </cell>
          <cell r="EH111">
            <v>1</v>
          </cell>
          <cell r="EI111">
            <v>1</v>
          </cell>
          <cell r="EJ111">
            <v>1</v>
          </cell>
          <cell r="EK111">
            <v>1</v>
          </cell>
          <cell r="EL111">
            <v>0.05</v>
          </cell>
          <cell r="EM111">
            <v>0.14000000000000001</v>
          </cell>
          <cell r="EN111">
            <v>0.11</v>
          </cell>
          <cell r="EO111">
            <v>0.2</v>
          </cell>
          <cell r="EP111">
            <v>0</v>
          </cell>
          <cell r="EQ111">
            <v>0</v>
          </cell>
          <cell r="ER111">
            <v>0</v>
          </cell>
          <cell r="ES111">
            <v>0</v>
          </cell>
          <cell r="ET111">
            <v>0</v>
          </cell>
          <cell r="EU111">
            <v>0</v>
          </cell>
          <cell r="EV111">
            <v>0</v>
          </cell>
          <cell r="EW111">
            <v>0</v>
          </cell>
          <cell r="EX111">
            <v>1</v>
          </cell>
          <cell r="EY111">
            <v>1</v>
          </cell>
          <cell r="EZ111">
            <v>1</v>
          </cell>
          <cell r="FA111">
            <v>0</v>
          </cell>
          <cell r="FB111">
            <v>0</v>
          </cell>
          <cell r="FC111">
            <v>0</v>
          </cell>
          <cell r="FD111">
            <v>0</v>
          </cell>
          <cell r="FE111">
            <v>0</v>
          </cell>
          <cell r="FF111">
            <v>0</v>
          </cell>
          <cell r="FG111">
            <v>0</v>
          </cell>
          <cell r="FH111">
            <v>0</v>
          </cell>
          <cell r="FI111">
            <v>0</v>
          </cell>
          <cell r="FJ111">
            <v>0</v>
          </cell>
          <cell r="FK111">
            <v>0</v>
          </cell>
          <cell r="FL111">
            <v>0</v>
          </cell>
          <cell r="FM111">
            <v>0</v>
          </cell>
          <cell r="FN111">
            <v>0</v>
          </cell>
          <cell r="FO111">
            <v>0</v>
          </cell>
          <cell r="FP111">
            <v>0</v>
          </cell>
          <cell r="FQ111">
            <v>0</v>
          </cell>
          <cell r="FR111">
            <v>0</v>
          </cell>
          <cell r="FS111">
            <v>0</v>
          </cell>
          <cell r="FT111">
            <v>0</v>
          </cell>
          <cell r="FU111">
            <v>0</v>
          </cell>
          <cell r="FV111">
            <v>0</v>
          </cell>
          <cell r="FW111">
            <v>0</v>
          </cell>
          <cell r="FX111">
            <v>0</v>
          </cell>
          <cell r="FY111">
            <v>0</v>
          </cell>
          <cell r="FZ111">
            <v>0</v>
          </cell>
        </row>
        <row r="112">
          <cell r="B112">
            <v>0.1</v>
          </cell>
          <cell r="C112">
            <v>0.08</v>
          </cell>
          <cell r="D112">
            <v>0.15</v>
          </cell>
          <cell r="E112">
            <v>0.08</v>
          </cell>
          <cell r="F112">
            <v>0.15</v>
          </cell>
          <cell r="G112">
            <v>0.22</v>
          </cell>
          <cell r="H112">
            <v>7.0000000000000007E-2</v>
          </cell>
          <cell r="I112">
            <v>0.05</v>
          </cell>
          <cell r="J112">
            <v>0.13</v>
          </cell>
          <cell r="K112">
            <v>0.18</v>
          </cell>
          <cell r="L112">
            <v>0.17</v>
          </cell>
          <cell r="M112">
            <v>0.16</v>
          </cell>
          <cell r="N112">
            <v>0.8</v>
          </cell>
          <cell r="O112">
            <v>1</v>
          </cell>
          <cell r="P112">
            <v>1</v>
          </cell>
          <cell r="Q112">
            <v>0.8</v>
          </cell>
          <cell r="R112">
            <v>0.8</v>
          </cell>
          <cell r="S112">
            <v>1</v>
          </cell>
          <cell r="T112">
            <v>1</v>
          </cell>
          <cell r="U112">
            <v>1</v>
          </cell>
          <cell r="V112">
            <v>1</v>
          </cell>
          <cell r="W112">
            <v>1</v>
          </cell>
          <cell r="X112">
            <v>1</v>
          </cell>
          <cell r="Y112">
            <v>1</v>
          </cell>
          <cell r="Z112">
            <v>0.1</v>
          </cell>
          <cell r="AA112">
            <v>0.1</v>
          </cell>
          <cell r="AB112">
            <v>0.14000000000000001</v>
          </cell>
          <cell r="AC112">
            <v>0.11</v>
          </cell>
          <cell r="AD112">
            <v>0.11</v>
          </cell>
          <cell r="AE112">
            <v>0.19</v>
          </cell>
          <cell r="AF112">
            <v>0.09</v>
          </cell>
          <cell r="AG112">
            <v>0.11</v>
          </cell>
          <cell r="AH112">
            <v>0.15</v>
          </cell>
          <cell r="AI112">
            <v>0.2</v>
          </cell>
          <cell r="AJ112">
            <v>0.2</v>
          </cell>
          <cell r="AK112">
            <v>0.2</v>
          </cell>
          <cell r="AL112">
            <v>0</v>
          </cell>
          <cell r="AM112">
            <v>0</v>
          </cell>
          <cell r="AN112">
            <v>0</v>
          </cell>
          <cell r="AO112">
            <v>0</v>
          </cell>
          <cell r="AP112">
            <v>0</v>
          </cell>
          <cell r="AQ112">
            <v>0</v>
          </cell>
          <cell r="AR112">
            <v>0</v>
          </cell>
          <cell r="AS112">
            <v>0</v>
          </cell>
          <cell r="AT112">
            <v>0</v>
          </cell>
          <cell r="AU112">
            <v>0</v>
          </cell>
          <cell r="AV112">
            <v>0</v>
          </cell>
          <cell r="AW112">
            <v>0</v>
          </cell>
          <cell r="AX112">
            <v>0</v>
          </cell>
          <cell r="AY112">
            <v>0</v>
          </cell>
          <cell r="AZ112">
            <v>0</v>
          </cell>
          <cell r="BA112">
            <v>0</v>
          </cell>
          <cell r="BB112">
            <v>0</v>
          </cell>
          <cell r="BC112">
            <v>0</v>
          </cell>
          <cell r="BD112">
            <v>0</v>
          </cell>
          <cell r="BE112">
            <v>0</v>
          </cell>
          <cell r="BF112">
            <v>0</v>
          </cell>
          <cell r="BG112">
            <v>0</v>
          </cell>
          <cell r="BH112">
            <v>0</v>
          </cell>
          <cell r="BI112">
            <v>0</v>
          </cell>
          <cell r="BJ112">
            <v>0</v>
          </cell>
          <cell r="BK112">
            <v>0</v>
          </cell>
          <cell r="BL112">
            <v>0</v>
          </cell>
          <cell r="BM112">
            <v>0</v>
          </cell>
          <cell r="BN112">
            <v>0</v>
          </cell>
          <cell r="BO112">
            <v>0</v>
          </cell>
          <cell r="BP112">
            <v>0</v>
          </cell>
          <cell r="BQ112">
            <v>0</v>
          </cell>
          <cell r="BR112">
            <v>0</v>
          </cell>
          <cell r="BS112">
            <v>0</v>
          </cell>
          <cell r="BT112">
            <v>0</v>
          </cell>
          <cell r="BU112">
            <v>0</v>
          </cell>
          <cell r="BV112">
            <v>0</v>
          </cell>
          <cell r="BW112">
            <v>0</v>
          </cell>
          <cell r="BX112">
            <v>0</v>
          </cell>
          <cell r="BY112">
            <v>0</v>
          </cell>
          <cell r="BZ112">
            <v>0</v>
          </cell>
          <cell r="CA112">
            <v>0</v>
          </cell>
          <cell r="CB112">
            <v>0</v>
          </cell>
          <cell r="CC112">
            <v>0</v>
          </cell>
          <cell r="CD112">
            <v>0</v>
          </cell>
          <cell r="CE112">
            <v>0</v>
          </cell>
          <cell r="CF112">
            <v>0</v>
          </cell>
          <cell r="CG112">
            <v>0</v>
          </cell>
          <cell r="CH112">
            <v>0</v>
          </cell>
          <cell r="CI112">
            <v>0</v>
          </cell>
          <cell r="CJ112">
            <v>0</v>
          </cell>
          <cell r="CK112">
            <v>0</v>
          </cell>
          <cell r="CL112">
            <v>0</v>
          </cell>
          <cell r="CM112">
            <v>0</v>
          </cell>
          <cell r="CN112">
            <v>0</v>
          </cell>
          <cell r="CO112">
            <v>0</v>
          </cell>
          <cell r="CP112">
            <v>0</v>
          </cell>
          <cell r="CQ112">
            <v>0</v>
          </cell>
          <cell r="CR112">
            <v>0</v>
          </cell>
          <cell r="CS112">
            <v>0</v>
          </cell>
          <cell r="CT112">
            <v>0</v>
          </cell>
          <cell r="CU112">
            <v>0</v>
          </cell>
          <cell r="CV112">
            <v>0</v>
          </cell>
          <cell r="CW112">
            <v>0</v>
          </cell>
          <cell r="CX112">
            <v>0</v>
          </cell>
          <cell r="CY112">
            <v>0</v>
          </cell>
          <cell r="CZ112">
            <v>0</v>
          </cell>
          <cell r="DA112">
            <v>0</v>
          </cell>
          <cell r="DB112">
            <v>0</v>
          </cell>
          <cell r="DC112">
            <v>0</v>
          </cell>
          <cell r="DD112">
            <v>0</v>
          </cell>
          <cell r="DE112">
            <v>0</v>
          </cell>
          <cell r="DF112">
            <v>0</v>
          </cell>
          <cell r="DG112">
            <v>0</v>
          </cell>
          <cell r="DH112">
            <v>0</v>
          </cell>
          <cell r="DI112">
            <v>0</v>
          </cell>
          <cell r="DJ112">
            <v>0</v>
          </cell>
          <cell r="DK112">
            <v>0</v>
          </cell>
          <cell r="DL112">
            <v>0</v>
          </cell>
          <cell r="DM112">
            <v>0</v>
          </cell>
          <cell r="DN112">
            <v>0</v>
          </cell>
          <cell r="DO112">
            <v>0</v>
          </cell>
          <cell r="DP112">
            <v>0</v>
          </cell>
          <cell r="DQ112">
            <v>0</v>
          </cell>
          <cell r="DR112">
            <v>0</v>
          </cell>
          <cell r="DS112">
            <v>0</v>
          </cell>
          <cell r="DT112">
            <v>0</v>
          </cell>
          <cell r="DU112">
            <v>0</v>
          </cell>
          <cell r="DV112">
            <v>0</v>
          </cell>
          <cell r="DW112">
            <v>0</v>
          </cell>
          <cell r="DX112">
            <v>0</v>
          </cell>
          <cell r="DY112">
            <v>0</v>
          </cell>
          <cell r="DZ112">
            <v>0</v>
          </cell>
          <cell r="EA112">
            <v>0</v>
          </cell>
          <cell r="EB112">
            <v>0</v>
          </cell>
          <cell r="EC112">
            <v>0</v>
          </cell>
          <cell r="ED112">
            <v>0.05</v>
          </cell>
          <cell r="EE112">
            <v>0.09</v>
          </cell>
          <cell r="EF112">
            <v>0.08</v>
          </cell>
          <cell r="EG112">
            <v>0.17</v>
          </cell>
          <cell r="EH112">
            <v>1</v>
          </cell>
          <cell r="EI112">
            <v>1</v>
          </cell>
          <cell r="EJ112">
            <v>1</v>
          </cell>
          <cell r="EK112">
            <v>1</v>
          </cell>
          <cell r="EL112">
            <v>0.05</v>
          </cell>
          <cell r="EM112">
            <v>0.14000000000000001</v>
          </cell>
          <cell r="EN112">
            <v>0.11</v>
          </cell>
          <cell r="EO112">
            <v>0.2</v>
          </cell>
          <cell r="EP112">
            <v>0</v>
          </cell>
          <cell r="EQ112">
            <v>0</v>
          </cell>
          <cell r="ER112">
            <v>0</v>
          </cell>
          <cell r="ES112">
            <v>0</v>
          </cell>
          <cell r="ET112">
            <v>0</v>
          </cell>
          <cell r="EU112">
            <v>0</v>
          </cell>
          <cell r="EV112">
            <v>0</v>
          </cell>
          <cell r="EW112">
            <v>0</v>
          </cell>
          <cell r="EX112">
            <v>1</v>
          </cell>
          <cell r="EY112">
            <v>1</v>
          </cell>
          <cell r="EZ112">
            <v>1</v>
          </cell>
          <cell r="FA112">
            <v>0</v>
          </cell>
          <cell r="FB112">
            <v>0</v>
          </cell>
          <cell r="FC112">
            <v>0</v>
          </cell>
          <cell r="FD112">
            <v>0</v>
          </cell>
          <cell r="FE112">
            <v>0</v>
          </cell>
          <cell r="FF112">
            <v>0</v>
          </cell>
          <cell r="FG112">
            <v>0</v>
          </cell>
          <cell r="FH112">
            <v>0</v>
          </cell>
          <cell r="FI112">
            <v>0</v>
          </cell>
          <cell r="FJ112">
            <v>0</v>
          </cell>
          <cell r="FK112">
            <v>0</v>
          </cell>
          <cell r="FL112">
            <v>0</v>
          </cell>
          <cell r="FM112">
            <v>0</v>
          </cell>
          <cell r="FN112">
            <v>0</v>
          </cell>
          <cell r="FO112">
            <v>0</v>
          </cell>
          <cell r="FP112">
            <v>0</v>
          </cell>
          <cell r="FQ112">
            <v>0</v>
          </cell>
          <cell r="FR112">
            <v>0</v>
          </cell>
          <cell r="FS112">
            <v>0</v>
          </cell>
          <cell r="FT112">
            <v>0</v>
          </cell>
          <cell r="FU112">
            <v>0</v>
          </cell>
          <cell r="FV112">
            <v>0</v>
          </cell>
          <cell r="FW112">
            <v>0</v>
          </cell>
          <cell r="FX112">
            <v>0</v>
          </cell>
          <cell r="FY112">
            <v>0</v>
          </cell>
          <cell r="FZ112">
            <v>0</v>
          </cell>
        </row>
        <row r="113">
          <cell r="B113">
            <v>0.1</v>
          </cell>
          <cell r="C113">
            <v>0.08</v>
          </cell>
          <cell r="D113">
            <v>0.15</v>
          </cell>
          <cell r="E113">
            <v>0.08</v>
          </cell>
          <cell r="F113">
            <v>0.15</v>
          </cell>
          <cell r="G113">
            <v>0.22</v>
          </cell>
          <cell r="H113">
            <v>7.0000000000000007E-2</v>
          </cell>
          <cell r="I113">
            <v>0.05</v>
          </cell>
          <cell r="J113">
            <v>0.13</v>
          </cell>
          <cell r="K113">
            <v>0.18</v>
          </cell>
          <cell r="L113">
            <v>0.17</v>
          </cell>
          <cell r="M113">
            <v>0.16</v>
          </cell>
          <cell r="N113">
            <v>0.8</v>
          </cell>
          <cell r="O113">
            <v>1</v>
          </cell>
          <cell r="P113">
            <v>1</v>
          </cell>
          <cell r="Q113">
            <v>0.8</v>
          </cell>
          <cell r="R113">
            <v>0.8</v>
          </cell>
          <cell r="S113">
            <v>1</v>
          </cell>
          <cell r="T113">
            <v>1</v>
          </cell>
          <cell r="U113">
            <v>1</v>
          </cell>
          <cell r="V113">
            <v>1</v>
          </cell>
          <cell r="W113">
            <v>1</v>
          </cell>
          <cell r="X113">
            <v>1</v>
          </cell>
          <cell r="Y113">
            <v>1</v>
          </cell>
          <cell r="Z113">
            <v>0.1</v>
          </cell>
          <cell r="AA113">
            <v>0.1</v>
          </cell>
          <cell r="AB113">
            <v>0.14000000000000001</v>
          </cell>
          <cell r="AC113">
            <v>0.11</v>
          </cell>
          <cell r="AD113">
            <v>0.11</v>
          </cell>
          <cell r="AE113">
            <v>0.19</v>
          </cell>
          <cell r="AF113">
            <v>0.09</v>
          </cell>
          <cell r="AG113">
            <v>0.11</v>
          </cell>
          <cell r="AH113">
            <v>0.15</v>
          </cell>
          <cell r="AI113">
            <v>0.2</v>
          </cell>
          <cell r="AJ113">
            <v>0.2</v>
          </cell>
          <cell r="AK113">
            <v>0.2</v>
          </cell>
          <cell r="AL113">
            <v>0</v>
          </cell>
          <cell r="AM113">
            <v>0</v>
          </cell>
          <cell r="AN113">
            <v>0</v>
          </cell>
          <cell r="AO113">
            <v>0</v>
          </cell>
          <cell r="AP113">
            <v>0</v>
          </cell>
          <cell r="AQ113">
            <v>0</v>
          </cell>
          <cell r="AR113">
            <v>0</v>
          </cell>
          <cell r="AS113">
            <v>0</v>
          </cell>
          <cell r="AT113">
            <v>0</v>
          </cell>
          <cell r="AU113">
            <v>0</v>
          </cell>
          <cell r="AV113">
            <v>0</v>
          </cell>
          <cell r="AW113">
            <v>0</v>
          </cell>
          <cell r="AX113">
            <v>0</v>
          </cell>
          <cell r="AY113">
            <v>0</v>
          </cell>
          <cell r="AZ113">
            <v>0</v>
          </cell>
          <cell r="BA113">
            <v>0</v>
          </cell>
          <cell r="BB113">
            <v>0</v>
          </cell>
          <cell r="BC113">
            <v>0</v>
          </cell>
          <cell r="BD113">
            <v>0</v>
          </cell>
          <cell r="BE113">
            <v>0</v>
          </cell>
          <cell r="BF113">
            <v>0</v>
          </cell>
          <cell r="BG113">
            <v>0</v>
          </cell>
          <cell r="BH113">
            <v>0</v>
          </cell>
          <cell r="BI113">
            <v>0</v>
          </cell>
          <cell r="BJ113">
            <v>0</v>
          </cell>
          <cell r="BK113">
            <v>0</v>
          </cell>
          <cell r="BL113">
            <v>0</v>
          </cell>
          <cell r="BM113">
            <v>0</v>
          </cell>
          <cell r="BN113">
            <v>0</v>
          </cell>
          <cell r="BO113">
            <v>0</v>
          </cell>
          <cell r="BP113">
            <v>0</v>
          </cell>
          <cell r="BQ113">
            <v>0</v>
          </cell>
          <cell r="BR113">
            <v>0</v>
          </cell>
          <cell r="BS113">
            <v>0</v>
          </cell>
          <cell r="BT113">
            <v>0</v>
          </cell>
          <cell r="BU113">
            <v>0</v>
          </cell>
          <cell r="BV113">
            <v>0</v>
          </cell>
          <cell r="BW113">
            <v>0</v>
          </cell>
          <cell r="BX113">
            <v>0</v>
          </cell>
          <cell r="BY113">
            <v>0</v>
          </cell>
          <cell r="BZ113">
            <v>0</v>
          </cell>
          <cell r="CA113">
            <v>0</v>
          </cell>
          <cell r="CB113">
            <v>0</v>
          </cell>
          <cell r="CC113">
            <v>0</v>
          </cell>
          <cell r="CD113">
            <v>0</v>
          </cell>
          <cell r="CE113">
            <v>0</v>
          </cell>
          <cell r="CF113">
            <v>0</v>
          </cell>
          <cell r="CG113">
            <v>0</v>
          </cell>
          <cell r="CH113">
            <v>0</v>
          </cell>
          <cell r="CI113">
            <v>0</v>
          </cell>
          <cell r="CJ113">
            <v>0</v>
          </cell>
          <cell r="CK113">
            <v>0</v>
          </cell>
          <cell r="CL113">
            <v>0</v>
          </cell>
          <cell r="CM113">
            <v>0</v>
          </cell>
          <cell r="CN113">
            <v>0</v>
          </cell>
          <cell r="CO113">
            <v>0</v>
          </cell>
          <cell r="CP113">
            <v>0</v>
          </cell>
          <cell r="CQ113">
            <v>0</v>
          </cell>
          <cell r="CR113">
            <v>0</v>
          </cell>
          <cell r="CS113">
            <v>0</v>
          </cell>
          <cell r="CT113">
            <v>0</v>
          </cell>
          <cell r="CU113">
            <v>0</v>
          </cell>
          <cell r="CV113">
            <v>0</v>
          </cell>
          <cell r="CW113">
            <v>0</v>
          </cell>
          <cell r="CX113">
            <v>0</v>
          </cell>
          <cell r="CY113">
            <v>0</v>
          </cell>
          <cell r="CZ113">
            <v>0</v>
          </cell>
          <cell r="DA113">
            <v>0</v>
          </cell>
          <cell r="DB113">
            <v>0</v>
          </cell>
          <cell r="DC113">
            <v>0</v>
          </cell>
          <cell r="DD113">
            <v>0</v>
          </cell>
          <cell r="DE113">
            <v>0</v>
          </cell>
          <cell r="DF113">
            <v>0</v>
          </cell>
          <cell r="DG113">
            <v>0</v>
          </cell>
          <cell r="DH113">
            <v>0</v>
          </cell>
          <cell r="DI113">
            <v>0</v>
          </cell>
          <cell r="DJ113">
            <v>0</v>
          </cell>
          <cell r="DK113">
            <v>0</v>
          </cell>
          <cell r="DL113">
            <v>0</v>
          </cell>
          <cell r="DM113">
            <v>0</v>
          </cell>
          <cell r="DN113">
            <v>0</v>
          </cell>
          <cell r="DO113">
            <v>0</v>
          </cell>
          <cell r="DP113">
            <v>0</v>
          </cell>
          <cell r="DQ113">
            <v>0</v>
          </cell>
          <cell r="DR113">
            <v>0</v>
          </cell>
          <cell r="DS113">
            <v>0</v>
          </cell>
          <cell r="DT113">
            <v>0</v>
          </cell>
          <cell r="DU113">
            <v>0</v>
          </cell>
          <cell r="DV113">
            <v>0</v>
          </cell>
          <cell r="DW113">
            <v>0</v>
          </cell>
          <cell r="DX113">
            <v>0</v>
          </cell>
          <cell r="DY113">
            <v>0</v>
          </cell>
          <cell r="DZ113">
            <v>0</v>
          </cell>
          <cell r="EA113">
            <v>0</v>
          </cell>
          <cell r="EB113">
            <v>0</v>
          </cell>
          <cell r="EC113">
            <v>0</v>
          </cell>
          <cell r="ED113">
            <v>0.05</v>
          </cell>
          <cell r="EE113">
            <v>0.09</v>
          </cell>
          <cell r="EF113">
            <v>0.08</v>
          </cell>
          <cell r="EG113">
            <v>0.17</v>
          </cell>
          <cell r="EH113">
            <v>1</v>
          </cell>
          <cell r="EI113">
            <v>1</v>
          </cell>
          <cell r="EJ113">
            <v>1</v>
          </cell>
          <cell r="EK113">
            <v>1</v>
          </cell>
          <cell r="EL113">
            <v>0.05</v>
          </cell>
          <cell r="EM113">
            <v>0.14000000000000001</v>
          </cell>
          <cell r="EN113">
            <v>0.11</v>
          </cell>
          <cell r="EO113">
            <v>0.2</v>
          </cell>
          <cell r="EP113">
            <v>0</v>
          </cell>
          <cell r="EQ113">
            <v>0</v>
          </cell>
          <cell r="ER113">
            <v>0</v>
          </cell>
          <cell r="ES113">
            <v>0</v>
          </cell>
          <cell r="ET113">
            <v>0</v>
          </cell>
          <cell r="EU113">
            <v>0</v>
          </cell>
          <cell r="EV113">
            <v>0</v>
          </cell>
          <cell r="EW113">
            <v>0</v>
          </cell>
          <cell r="EX113">
            <v>1</v>
          </cell>
          <cell r="EY113">
            <v>1</v>
          </cell>
          <cell r="EZ113">
            <v>1</v>
          </cell>
          <cell r="FA113">
            <v>0</v>
          </cell>
          <cell r="FB113">
            <v>0</v>
          </cell>
          <cell r="FC113">
            <v>0</v>
          </cell>
          <cell r="FD113">
            <v>0</v>
          </cell>
          <cell r="FE113">
            <v>0</v>
          </cell>
          <cell r="FF113">
            <v>0</v>
          </cell>
          <cell r="FG113">
            <v>0</v>
          </cell>
          <cell r="FH113">
            <v>0</v>
          </cell>
          <cell r="FI113">
            <v>0</v>
          </cell>
          <cell r="FJ113">
            <v>0</v>
          </cell>
          <cell r="FK113">
            <v>0</v>
          </cell>
          <cell r="FL113">
            <v>0</v>
          </cell>
          <cell r="FM113">
            <v>0</v>
          </cell>
          <cell r="FN113">
            <v>0</v>
          </cell>
          <cell r="FO113">
            <v>0</v>
          </cell>
          <cell r="FP113">
            <v>0</v>
          </cell>
          <cell r="FQ113">
            <v>0</v>
          </cell>
          <cell r="FR113">
            <v>0</v>
          </cell>
          <cell r="FS113">
            <v>0</v>
          </cell>
          <cell r="FT113">
            <v>0</v>
          </cell>
          <cell r="FU113">
            <v>0</v>
          </cell>
          <cell r="FV113">
            <v>0</v>
          </cell>
          <cell r="FW113">
            <v>0</v>
          </cell>
          <cell r="FX113">
            <v>0</v>
          </cell>
          <cell r="FY113">
            <v>0</v>
          </cell>
          <cell r="FZ113">
            <v>0</v>
          </cell>
        </row>
        <row r="114">
          <cell r="B114">
            <v>0.1</v>
          </cell>
          <cell r="C114">
            <v>0.08</v>
          </cell>
          <cell r="D114">
            <v>0.15</v>
          </cell>
          <cell r="E114">
            <v>0.08</v>
          </cell>
          <cell r="F114">
            <v>0.15</v>
          </cell>
          <cell r="G114">
            <v>0.22</v>
          </cell>
          <cell r="H114">
            <v>7.0000000000000007E-2</v>
          </cell>
          <cell r="I114">
            <v>0.05</v>
          </cell>
          <cell r="J114">
            <v>0.13</v>
          </cell>
          <cell r="K114">
            <v>0.18</v>
          </cell>
          <cell r="L114">
            <v>0.17</v>
          </cell>
          <cell r="M114">
            <v>0.16</v>
          </cell>
          <cell r="N114">
            <v>0.8</v>
          </cell>
          <cell r="O114">
            <v>1</v>
          </cell>
          <cell r="P114">
            <v>1</v>
          </cell>
          <cell r="Q114">
            <v>0.8</v>
          </cell>
          <cell r="R114">
            <v>0.8</v>
          </cell>
          <cell r="S114">
            <v>1</v>
          </cell>
          <cell r="T114">
            <v>1</v>
          </cell>
          <cell r="U114">
            <v>1</v>
          </cell>
          <cell r="V114">
            <v>1</v>
          </cell>
          <cell r="W114">
            <v>1</v>
          </cell>
          <cell r="X114">
            <v>1</v>
          </cell>
          <cell r="Y114">
            <v>1</v>
          </cell>
          <cell r="Z114">
            <v>0.1</v>
          </cell>
          <cell r="AA114">
            <v>0.1</v>
          </cell>
          <cell r="AB114">
            <v>0.14000000000000001</v>
          </cell>
          <cell r="AC114">
            <v>0.11</v>
          </cell>
          <cell r="AD114">
            <v>0.11</v>
          </cell>
          <cell r="AE114">
            <v>0.19</v>
          </cell>
          <cell r="AF114">
            <v>0.09</v>
          </cell>
          <cell r="AG114">
            <v>0.11</v>
          </cell>
          <cell r="AH114">
            <v>0.15</v>
          </cell>
          <cell r="AI114">
            <v>0.2</v>
          </cell>
          <cell r="AJ114">
            <v>0.2</v>
          </cell>
          <cell r="AK114">
            <v>0.2</v>
          </cell>
          <cell r="AL114">
            <v>0</v>
          </cell>
          <cell r="AM114">
            <v>0</v>
          </cell>
          <cell r="AN114">
            <v>0</v>
          </cell>
          <cell r="AO114">
            <v>0</v>
          </cell>
          <cell r="AP114">
            <v>0</v>
          </cell>
          <cell r="AQ114">
            <v>0</v>
          </cell>
          <cell r="AR114">
            <v>0</v>
          </cell>
          <cell r="AS114">
            <v>0</v>
          </cell>
          <cell r="AT114">
            <v>0</v>
          </cell>
          <cell r="AU114">
            <v>0</v>
          </cell>
          <cell r="AV114">
            <v>0</v>
          </cell>
          <cell r="AW114">
            <v>0</v>
          </cell>
          <cell r="AX114">
            <v>0</v>
          </cell>
          <cell r="AY114">
            <v>0</v>
          </cell>
          <cell r="AZ114">
            <v>0</v>
          </cell>
          <cell r="BA114">
            <v>0</v>
          </cell>
          <cell r="BB114">
            <v>0</v>
          </cell>
          <cell r="BC114">
            <v>0</v>
          </cell>
          <cell r="BD114">
            <v>0</v>
          </cell>
          <cell r="BE114">
            <v>0</v>
          </cell>
          <cell r="BF114">
            <v>0</v>
          </cell>
          <cell r="BG114">
            <v>0</v>
          </cell>
          <cell r="BH114">
            <v>0</v>
          </cell>
          <cell r="BI114">
            <v>0</v>
          </cell>
          <cell r="BJ114">
            <v>0</v>
          </cell>
          <cell r="BK114">
            <v>0</v>
          </cell>
          <cell r="BL114">
            <v>0</v>
          </cell>
          <cell r="BM114">
            <v>0</v>
          </cell>
          <cell r="BN114">
            <v>0</v>
          </cell>
          <cell r="BO114">
            <v>0</v>
          </cell>
          <cell r="BP114">
            <v>0</v>
          </cell>
          <cell r="BQ114">
            <v>0</v>
          </cell>
          <cell r="BR114">
            <v>0</v>
          </cell>
          <cell r="BS114">
            <v>0</v>
          </cell>
          <cell r="BT114">
            <v>0</v>
          </cell>
          <cell r="BU114">
            <v>0</v>
          </cell>
          <cell r="BV114">
            <v>0</v>
          </cell>
          <cell r="BW114">
            <v>0</v>
          </cell>
          <cell r="BX114">
            <v>0</v>
          </cell>
          <cell r="BY114">
            <v>0</v>
          </cell>
          <cell r="BZ114">
            <v>0</v>
          </cell>
          <cell r="CA114">
            <v>0</v>
          </cell>
          <cell r="CB114">
            <v>0</v>
          </cell>
          <cell r="CC114">
            <v>0</v>
          </cell>
          <cell r="CD114">
            <v>0</v>
          </cell>
          <cell r="CE114">
            <v>0</v>
          </cell>
          <cell r="CF114">
            <v>0</v>
          </cell>
          <cell r="CG114">
            <v>0</v>
          </cell>
          <cell r="CH114">
            <v>0</v>
          </cell>
          <cell r="CI114">
            <v>0</v>
          </cell>
          <cell r="CJ114">
            <v>0</v>
          </cell>
          <cell r="CK114">
            <v>0</v>
          </cell>
          <cell r="CL114">
            <v>0</v>
          </cell>
          <cell r="CM114">
            <v>0</v>
          </cell>
          <cell r="CN114">
            <v>0</v>
          </cell>
          <cell r="CO114">
            <v>0</v>
          </cell>
          <cell r="CP114">
            <v>0</v>
          </cell>
          <cell r="CQ114">
            <v>0</v>
          </cell>
          <cell r="CR114">
            <v>0</v>
          </cell>
          <cell r="CS114">
            <v>0</v>
          </cell>
          <cell r="CT114">
            <v>0</v>
          </cell>
          <cell r="CU114">
            <v>0</v>
          </cell>
          <cell r="CV114">
            <v>0</v>
          </cell>
          <cell r="CW114">
            <v>0</v>
          </cell>
          <cell r="CX114">
            <v>0</v>
          </cell>
          <cell r="CY114">
            <v>0</v>
          </cell>
          <cell r="CZ114">
            <v>0</v>
          </cell>
          <cell r="DA114">
            <v>0</v>
          </cell>
          <cell r="DB114">
            <v>0</v>
          </cell>
          <cell r="DC114">
            <v>0</v>
          </cell>
          <cell r="DD114">
            <v>0</v>
          </cell>
          <cell r="DE114">
            <v>0</v>
          </cell>
          <cell r="DF114">
            <v>0</v>
          </cell>
          <cell r="DG114">
            <v>0</v>
          </cell>
          <cell r="DH114">
            <v>0</v>
          </cell>
          <cell r="DI114">
            <v>0</v>
          </cell>
          <cell r="DJ114">
            <v>0</v>
          </cell>
          <cell r="DK114">
            <v>0</v>
          </cell>
          <cell r="DL114">
            <v>0</v>
          </cell>
          <cell r="DM114">
            <v>0</v>
          </cell>
          <cell r="DN114">
            <v>0</v>
          </cell>
          <cell r="DO114">
            <v>0</v>
          </cell>
          <cell r="DP114">
            <v>0</v>
          </cell>
          <cell r="DQ114">
            <v>0</v>
          </cell>
          <cell r="DR114">
            <v>0</v>
          </cell>
          <cell r="DS114">
            <v>0</v>
          </cell>
          <cell r="DT114">
            <v>0</v>
          </cell>
          <cell r="DU114">
            <v>0</v>
          </cell>
          <cell r="DV114">
            <v>0</v>
          </cell>
          <cell r="DW114">
            <v>0</v>
          </cell>
          <cell r="DX114">
            <v>0</v>
          </cell>
          <cell r="DY114">
            <v>0</v>
          </cell>
          <cell r="DZ114">
            <v>0</v>
          </cell>
          <cell r="EA114">
            <v>0</v>
          </cell>
          <cell r="EB114">
            <v>0</v>
          </cell>
          <cell r="EC114">
            <v>0</v>
          </cell>
          <cell r="ED114">
            <v>0.05</v>
          </cell>
          <cell r="EE114">
            <v>0.09</v>
          </cell>
          <cell r="EF114">
            <v>0.08</v>
          </cell>
          <cell r="EG114">
            <v>0.17</v>
          </cell>
          <cell r="EH114">
            <v>1</v>
          </cell>
          <cell r="EI114">
            <v>1</v>
          </cell>
          <cell r="EJ114">
            <v>1</v>
          </cell>
          <cell r="EK114">
            <v>1</v>
          </cell>
          <cell r="EL114">
            <v>0.05</v>
          </cell>
          <cell r="EM114">
            <v>0.14000000000000001</v>
          </cell>
          <cell r="EN114">
            <v>0.11</v>
          </cell>
          <cell r="EO114">
            <v>0.2</v>
          </cell>
          <cell r="EP114">
            <v>0</v>
          </cell>
          <cell r="EQ114">
            <v>0</v>
          </cell>
          <cell r="ER114">
            <v>0</v>
          </cell>
          <cell r="ES114">
            <v>0</v>
          </cell>
          <cell r="ET114">
            <v>0</v>
          </cell>
          <cell r="EU114">
            <v>0</v>
          </cell>
          <cell r="EV114">
            <v>0</v>
          </cell>
          <cell r="EW114">
            <v>0</v>
          </cell>
          <cell r="EX114">
            <v>1</v>
          </cell>
          <cell r="EY114">
            <v>1</v>
          </cell>
          <cell r="EZ114">
            <v>1</v>
          </cell>
          <cell r="FA114">
            <v>0</v>
          </cell>
          <cell r="FB114">
            <v>0</v>
          </cell>
          <cell r="FC114">
            <v>0</v>
          </cell>
          <cell r="FD114">
            <v>0</v>
          </cell>
          <cell r="FE114">
            <v>0</v>
          </cell>
          <cell r="FF114">
            <v>0</v>
          </cell>
          <cell r="FG114">
            <v>0</v>
          </cell>
          <cell r="FH114">
            <v>0</v>
          </cell>
          <cell r="FI114">
            <v>0</v>
          </cell>
          <cell r="FJ114">
            <v>0</v>
          </cell>
          <cell r="FK114">
            <v>0</v>
          </cell>
          <cell r="FL114">
            <v>0</v>
          </cell>
          <cell r="FM114">
            <v>0</v>
          </cell>
          <cell r="FN114">
            <v>0</v>
          </cell>
          <cell r="FO114">
            <v>0</v>
          </cell>
          <cell r="FP114">
            <v>0</v>
          </cell>
          <cell r="FQ114">
            <v>0</v>
          </cell>
          <cell r="FR114">
            <v>0</v>
          </cell>
          <cell r="FS114">
            <v>0</v>
          </cell>
          <cell r="FT114">
            <v>0</v>
          </cell>
          <cell r="FU114">
            <v>0</v>
          </cell>
          <cell r="FV114">
            <v>0</v>
          </cell>
          <cell r="FW114">
            <v>0</v>
          </cell>
          <cell r="FX114">
            <v>0</v>
          </cell>
          <cell r="FY114">
            <v>0</v>
          </cell>
          <cell r="FZ114">
            <v>0</v>
          </cell>
        </row>
        <row r="115">
          <cell r="B115">
            <v>0.1</v>
          </cell>
          <cell r="C115">
            <v>0.08</v>
          </cell>
          <cell r="D115">
            <v>0.15</v>
          </cell>
          <cell r="E115">
            <v>0.08</v>
          </cell>
          <cell r="F115">
            <v>0.15</v>
          </cell>
          <cell r="G115">
            <v>0.22</v>
          </cell>
          <cell r="H115">
            <v>7.0000000000000007E-2</v>
          </cell>
          <cell r="I115">
            <v>0.05</v>
          </cell>
          <cell r="J115">
            <v>0.13</v>
          </cell>
          <cell r="K115">
            <v>0.18</v>
          </cell>
          <cell r="L115">
            <v>0.17</v>
          </cell>
          <cell r="M115">
            <v>0.16</v>
          </cell>
          <cell r="N115">
            <v>0.8</v>
          </cell>
          <cell r="O115">
            <v>1</v>
          </cell>
          <cell r="P115">
            <v>1</v>
          </cell>
          <cell r="Q115">
            <v>0.8</v>
          </cell>
          <cell r="R115">
            <v>0.8</v>
          </cell>
          <cell r="S115">
            <v>1</v>
          </cell>
          <cell r="T115">
            <v>1</v>
          </cell>
          <cell r="U115">
            <v>1</v>
          </cell>
          <cell r="V115">
            <v>1</v>
          </cell>
          <cell r="W115">
            <v>1</v>
          </cell>
          <cell r="X115">
            <v>1</v>
          </cell>
          <cell r="Y115">
            <v>1</v>
          </cell>
          <cell r="Z115">
            <v>0.1</v>
          </cell>
          <cell r="AA115">
            <v>0.1</v>
          </cell>
          <cell r="AB115">
            <v>0.14000000000000001</v>
          </cell>
          <cell r="AC115">
            <v>0.11</v>
          </cell>
          <cell r="AD115">
            <v>0.11</v>
          </cell>
          <cell r="AE115">
            <v>0.19</v>
          </cell>
          <cell r="AF115">
            <v>0.09</v>
          </cell>
          <cell r="AG115">
            <v>0.11</v>
          </cell>
          <cell r="AH115">
            <v>0.15</v>
          </cell>
          <cell r="AI115">
            <v>0.2</v>
          </cell>
          <cell r="AJ115">
            <v>0.2</v>
          </cell>
          <cell r="AK115">
            <v>0.2</v>
          </cell>
          <cell r="AL115">
            <v>0</v>
          </cell>
          <cell r="AM115">
            <v>0</v>
          </cell>
          <cell r="AN115">
            <v>0</v>
          </cell>
          <cell r="AO115">
            <v>0</v>
          </cell>
          <cell r="AP115">
            <v>0</v>
          </cell>
          <cell r="AQ115">
            <v>0</v>
          </cell>
          <cell r="AR115">
            <v>0</v>
          </cell>
          <cell r="AS115">
            <v>0</v>
          </cell>
          <cell r="AT115">
            <v>0</v>
          </cell>
          <cell r="AU115">
            <v>0</v>
          </cell>
          <cell r="AV115">
            <v>0</v>
          </cell>
          <cell r="AW115">
            <v>0</v>
          </cell>
          <cell r="AX115">
            <v>0</v>
          </cell>
          <cell r="AY115">
            <v>0</v>
          </cell>
          <cell r="AZ115">
            <v>0</v>
          </cell>
          <cell r="BA115">
            <v>0</v>
          </cell>
          <cell r="BB115">
            <v>0</v>
          </cell>
          <cell r="BC115">
            <v>0</v>
          </cell>
          <cell r="BD115">
            <v>0</v>
          </cell>
          <cell r="BE115">
            <v>0</v>
          </cell>
          <cell r="BF115">
            <v>0</v>
          </cell>
          <cell r="BG115">
            <v>0</v>
          </cell>
          <cell r="BH115">
            <v>0</v>
          </cell>
          <cell r="BI115">
            <v>0</v>
          </cell>
          <cell r="BJ115">
            <v>0</v>
          </cell>
          <cell r="BK115">
            <v>0</v>
          </cell>
          <cell r="BL115">
            <v>0</v>
          </cell>
          <cell r="BM115">
            <v>0</v>
          </cell>
          <cell r="BN115">
            <v>0</v>
          </cell>
          <cell r="BO115">
            <v>0</v>
          </cell>
          <cell r="BP115">
            <v>0</v>
          </cell>
          <cell r="BQ115">
            <v>0</v>
          </cell>
          <cell r="BR115">
            <v>0</v>
          </cell>
          <cell r="BS115">
            <v>0</v>
          </cell>
          <cell r="BT115">
            <v>0</v>
          </cell>
          <cell r="BU115">
            <v>0</v>
          </cell>
          <cell r="BV115">
            <v>0</v>
          </cell>
          <cell r="BW115">
            <v>0</v>
          </cell>
          <cell r="BX115">
            <v>0</v>
          </cell>
          <cell r="BY115">
            <v>0</v>
          </cell>
          <cell r="BZ115">
            <v>0</v>
          </cell>
          <cell r="CA115">
            <v>0</v>
          </cell>
          <cell r="CB115">
            <v>0</v>
          </cell>
          <cell r="CC115">
            <v>0</v>
          </cell>
          <cell r="CD115">
            <v>0</v>
          </cell>
          <cell r="CE115">
            <v>0</v>
          </cell>
          <cell r="CF115">
            <v>0</v>
          </cell>
          <cell r="CG115">
            <v>0</v>
          </cell>
          <cell r="CH115">
            <v>0</v>
          </cell>
          <cell r="CI115">
            <v>0</v>
          </cell>
          <cell r="CJ115">
            <v>0</v>
          </cell>
          <cell r="CK115">
            <v>0</v>
          </cell>
          <cell r="CL115">
            <v>0</v>
          </cell>
          <cell r="CM115">
            <v>0</v>
          </cell>
          <cell r="CN115">
            <v>0</v>
          </cell>
          <cell r="CO115">
            <v>0</v>
          </cell>
          <cell r="CP115">
            <v>0</v>
          </cell>
          <cell r="CQ115">
            <v>0</v>
          </cell>
          <cell r="CR115">
            <v>0</v>
          </cell>
          <cell r="CS115">
            <v>0</v>
          </cell>
          <cell r="CT115">
            <v>0</v>
          </cell>
          <cell r="CU115">
            <v>0</v>
          </cell>
          <cell r="CV115">
            <v>0</v>
          </cell>
          <cell r="CW115">
            <v>0</v>
          </cell>
          <cell r="CX115">
            <v>0</v>
          </cell>
          <cell r="CY115">
            <v>0</v>
          </cell>
          <cell r="CZ115">
            <v>0</v>
          </cell>
          <cell r="DA115">
            <v>0</v>
          </cell>
          <cell r="DB115">
            <v>0</v>
          </cell>
          <cell r="DC115">
            <v>0</v>
          </cell>
          <cell r="DD115">
            <v>0</v>
          </cell>
          <cell r="DE115">
            <v>0</v>
          </cell>
          <cell r="DF115">
            <v>0</v>
          </cell>
          <cell r="DG115">
            <v>0</v>
          </cell>
          <cell r="DH115">
            <v>0</v>
          </cell>
          <cell r="DI115">
            <v>0</v>
          </cell>
          <cell r="DJ115">
            <v>0</v>
          </cell>
          <cell r="DK115">
            <v>0</v>
          </cell>
          <cell r="DL115">
            <v>0</v>
          </cell>
          <cell r="DM115">
            <v>0</v>
          </cell>
          <cell r="DN115">
            <v>0</v>
          </cell>
          <cell r="DO115">
            <v>0</v>
          </cell>
          <cell r="DP115">
            <v>0</v>
          </cell>
          <cell r="DQ115">
            <v>0</v>
          </cell>
          <cell r="DR115">
            <v>0</v>
          </cell>
          <cell r="DS115">
            <v>0</v>
          </cell>
          <cell r="DT115">
            <v>0</v>
          </cell>
          <cell r="DU115">
            <v>0</v>
          </cell>
          <cell r="DV115">
            <v>0</v>
          </cell>
          <cell r="DW115">
            <v>0</v>
          </cell>
          <cell r="DX115">
            <v>0</v>
          </cell>
          <cell r="DY115">
            <v>0</v>
          </cell>
          <cell r="DZ115">
            <v>0</v>
          </cell>
          <cell r="EA115">
            <v>0</v>
          </cell>
          <cell r="EB115">
            <v>0</v>
          </cell>
          <cell r="EC115">
            <v>0</v>
          </cell>
          <cell r="ED115">
            <v>0.05</v>
          </cell>
          <cell r="EE115">
            <v>0.09</v>
          </cell>
          <cell r="EF115">
            <v>0.08</v>
          </cell>
          <cell r="EG115">
            <v>0.17</v>
          </cell>
          <cell r="EH115">
            <v>1</v>
          </cell>
          <cell r="EI115">
            <v>1</v>
          </cell>
          <cell r="EJ115">
            <v>1</v>
          </cell>
          <cell r="EK115">
            <v>1</v>
          </cell>
          <cell r="EL115">
            <v>0.05</v>
          </cell>
          <cell r="EM115">
            <v>0.14000000000000001</v>
          </cell>
          <cell r="EN115">
            <v>0.11</v>
          </cell>
          <cell r="EO115">
            <v>0.2</v>
          </cell>
          <cell r="EP115">
            <v>0</v>
          </cell>
          <cell r="EQ115">
            <v>0</v>
          </cell>
          <cell r="ER115">
            <v>0</v>
          </cell>
          <cell r="ES115">
            <v>0</v>
          </cell>
          <cell r="ET115">
            <v>0</v>
          </cell>
          <cell r="EU115">
            <v>0</v>
          </cell>
          <cell r="EV115">
            <v>0</v>
          </cell>
          <cell r="EW115">
            <v>0</v>
          </cell>
          <cell r="EX115">
            <v>1</v>
          </cell>
          <cell r="EY115">
            <v>1</v>
          </cell>
          <cell r="EZ115">
            <v>1</v>
          </cell>
          <cell r="FA115">
            <v>0</v>
          </cell>
          <cell r="FB115">
            <v>0</v>
          </cell>
          <cell r="FC115">
            <v>0</v>
          </cell>
          <cell r="FD115">
            <v>0</v>
          </cell>
          <cell r="FE115">
            <v>0</v>
          </cell>
          <cell r="FF115">
            <v>0</v>
          </cell>
          <cell r="FG115">
            <v>0</v>
          </cell>
          <cell r="FH115">
            <v>0</v>
          </cell>
          <cell r="FI115">
            <v>0</v>
          </cell>
          <cell r="FJ115">
            <v>0</v>
          </cell>
          <cell r="FK115">
            <v>0</v>
          </cell>
          <cell r="FL115">
            <v>0</v>
          </cell>
          <cell r="FM115">
            <v>0</v>
          </cell>
          <cell r="FN115">
            <v>0</v>
          </cell>
          <cell r="FO115">
            <v>0</v>
          </cell>
          <cell r="FP115">
            <v>0</v>
          </cell>
          <cell r="FQ115">
            <v>0</v>
          </cell>
          <cell r="FR115">
            <v>0</v>
          </cell>
          <cell r="FS115">
            <v>0</v>
          </cell>
          <cell r="FT115">
            <v>0</v>
          </cell>
          <cell r="FU115">
            <v>0</v>
          </cell>
          <cell r="FV115">
            <v>0</v>
          </cell>
          <cell r="FW115">
            <v>0</v>
          </cell>
          <cell r="FX115">
            <v>0</v>
          </cell>
          <cell r="FY115">
            <v>0</v>
          </cell>
          <cell r="FZ115">
            <v>0</v>
          </cell>
        </row>
        <row r="116">
          <cell r="B116">
            <v>0.1</v>
          </cell>
          <cell r="C116">
            <v>0.08</v>
          </cell>
          <cell r="D116">
            <v>0.15</v>
          </cell>
          <cell r="E116">
            <v>0.08</v>
          </cell>
          <cell r="F116">
            <v>0.15</v>
          </cell>
          <cell r="G116">
            <v>0.22</v>
          </cell>
          <cell r="H116">
            <v>7.0000000000000007E-2</v>
          </cell>
          <cell r="I116">
            <v>0.05</v>
          </cell>
          <cell r="J116">
            <v>0.13</v>
          </cell>
          <cell r="K116">
            <v>0.18</v>
          </cell>
          <cell r="L116">
            <v>0.17</v>
          </cell>
          <cell r="M116">
            <v>0.16</v>
          </cell>
          <cell r="N116">
            <v>0.8</v>
          </cell>
          <cell r="O116">
            <v>1</v>
          </cell>
          <cell r="P116">
            <v>1</v>
          </cell>
          <cell r="Q116">
            <v>0.8</v>
          </cell>
          <cell r="R116">
            <v>0.8</v>
          </cell>
          <cell r="S116">
            <v>1</v>
          </cell>
          <cell r="T116">
            <v>1</v>
          </cell>
          <cell r="U116">
            <v>1</v>
          </cell>
          <cell r="V116">
            <v>1</v>
          </cell>
          <cell r="W116">
            <v>1</v>
          </cell>
          <cell r="X116">
            <v>1</v>
          </cell>
          <cell r="Y116">
            <v>1</v>
          </cell>
          <cell r="Z116">
            <v>0.1</v>
          </cell>
          <cell r="AA116">
            <v>0.1</v>
          </cell>
          <cell r="AB116">
            <v>0.14000000000000001</v>
          </cell>
          <cell r="AC116">
            <v>0.11</v>
          </cell>
          <cell r="AD116">
            <v>0.11</v>
          </cell>
          <cell r="AE116">
            <v>0.19</v>
          </cell>
          <cell r="AF116">
            <v>0.09</v>
          </cell>
          <cell r="AG116">
            <v>0.11</v>
          </cell>
          <cell r="AH116">
            <v>0.15</v>
          </cell>
          <cell r="AI116">
            <v>0.2</v>
          </cell>
          <cell r="AJ116">
            <v>0.2</v>
          </cell>
          <cell r="AK116">
            <v>0.2</v>
          </cell>
          <cell r="AL116">
            <v>0</v>
          </cell>
          <cell r="AM116">
            <v>0</v>
          </cell>
          <cell r="AN116">
            <v>0</v>
          </cell>
          <cell r="AO116">
            <v>0</v>
          </cell>
          <cell r="AP116">
            <v>0</v>
          </cell>
          <cell r="AQ116">
            <v>0</v>
          </cell>
          <cell r="AR116">
            <v>0</v>
          </cell>
          <cell r="AS116">
            <v>0</v>
          </cell>
          <cell r="AT116">
            <v>0</v>
          </cell>
          <cell r="AU116">
            <v>0</v>
          </cell>
          <cell r="AV116">
            <v>0</v>
          </cell>
          <cell r="AW116">
            <v>0</v>
          </cell>
          <cell r="AX116">
            <v>0</v>
          </cell>
          <cell r="AY116">
            <v>0</v>
          </cell>
          <cell r="AZ116">
            <v>0</v>
          </cell>
          <cell r="BA116">
            <v>0</v>
          </cell>
          <cell r="BB116">
            <v>0</v>
          </cell>
          <cell r="BC116">
            <v>0</v>
          </cell>
          <cell r="BD116">
            <v>0</v>
          </cell>
          <cell r="BE116">
            <v>0</v>
          </cell>
          <cell r="BF116">
            <v>0</v>
          </cell>
          <cell r="BG116">
            <v>0</v>
          </cell>
          <cell r="BH116">
            <v>0</v>
          </cell>
          <cell r="BI116">
            <v>0</v>
          </cell>
          <cell r="BJ116">
            <v>0</v>
          </cell>
          <cell r="BK116">
            <v>0</v>
          </cell>
          <cell r="BL116">
            <v>0</v>
          </cell>
          <cell r="BM116">
            <v>0</v>
          </cell>
          <cell r="BN116">
            <v>0</v>
          </cell>
          <cell r="BO116">
            <v>0</v>
          </cell>
          <cell r="BP116">
            <v>0</v>
          </cell>
          <cell r="BQ116">
            <v>0</v>
          </cell>
          <cell r="BR116">
            <v>0</v>
          </cell>
          <cell r="BS116">
            <v>0</v>
          </cell>
          <cell r="BT116">
            <v>0</v>
          </cell>
          <cell r="BU116">
            <v>0</v>
          </cell>
          <cell r="BV116">
            <v>0</v>
          </cell>
          <cell r="BW116">
            <v>0</v>
          </cell>
          <cell r="BX116">
            <v>0</v>
          </cell>
          <cell r="BY116">
            <v>0</v>
          </cell>
          <cell r="BZ116">
            <v>0</v>
          </cell>
          <cell r="CA116">
            <v>0</v>
          </cell>
          <cell r="CB116">
            <v>0</v>
          </cell>
          <cell r="CC116">
            <v>0</v>
          </cell>
          <cell r="CD116">
            <v>0</v>
          </cell>
          <cell r="CE116">
            <v>0</v>
          </cell>
          <cell r="CF116">
            <v>0</v>
          </cell>
          <cell r="CG116">
            <v>0</v>
          </cell>
          <cell r="CH116">
            <v>0</v>
          </cell>
          <cell r="CI116">
            <v>0</v>
          </cell>
          <cell r="CJ116">
            <v>0</v>
          </cell>
          <cell r="CK116">
            <v>0</v>
          </cell>
          <cell r="CL116">
            <v>0</v>
          </cell>
          <cell r="CM116">
            <v>0</v>
          </cell>
          <cell r="CN116">
            <v>0</v>
          </cell>
          <cell r="CO116">
            <v>0</v>
          </cell>
          <cell r="CP116">
            <v>0</v>
          </cell>
          <cell r="CQ116">
            <v>0</v>
          </cell>
          <cell r="CR116">
            <v>0</v>
          </cell>
          <cell r="CS116">
            <v>0</v>
          </cell>
          <cell r="CT116">
            <v>0</v>
          </cell>
          <cell r="CU116">
            <v>0</v>
          </cell>
          <cell r="CV116">
            <v>0</v>
          </cell>
          <cell r="CW116">
            <v>0</v>
          </cell>
          <cell r="CX116">
            <v>0</v>
          </cell>
          <cell r="CY116">
            <v>0</v>
          </cell>
          <cell r="CZ116">
            <v>0</v>
          </cell>
          <cell r="DA116">
            <v>0</v>
          </cell>
          <cell r="DB116">
            <v>0</v>
          </cell>
          <cell r="DC116">
            <v>0</v>
          </cell>
          <cell r="DD116">
            <v>0</v>
          </cell>
          <cell r="DE116">
            <v>0</v>
          </cell>
          <cell r="DF116">
            <v>0</v>
          </cell>
          <cell r="DG116">
            <v>0</v>
          </cell>
          <cell r="DH116">
            <v>0</v>
          </cell>
          <cell r="DI116">
            <v>0</v>
          </cell>
          <cell r="DJ116">
            <v>0</v>
          </cell>
          <cell r="DK116">
            <v>0</v>
          </cell>
          <cell r="DL116">
            <v>0</v>
          </cell>
          <cell r="DM116">
            <v>0</v>
          </cell>
          <cell r="DN116">
            <v>0</v>
          </cell>
          <cell r="DO116">
            <v>0</v>
          </cell>
          <cell r="DP116">
            <v>0</v>
          </cell>
          <cell r="DQ116">
            <v>0</v>
          </cell>
          <cell r="DR116">
            <v>0</v>
          </cell>
          <cell r="DS116">
            <v>0</v>
          </cell>
          <cell r="DT116">
            <v>0</v>
          </cell>
          <cell r="DU116">
            <v>0</v>
          </cell>
          <cell r="DV116">
            <v>0</v>
          </cell>
          <cell r="DW116">
            <v>0</v>
          </cell>
          <cell r="DX116">
            <v>0</v>
          </cell>
          <cell r="DY116">
            <v>0</v>
          </cell>
          <cell r="DZ116">
            <v>0</v>
          </cell>
          <cell r="EA116">
            <v>0</v>
          </cell>
          <cell r="EB116">
            <v>0</v>
          </cell>
          <cell r="EC116">
            <v>0</v>
          </cell>
          <cell r="ED116">
            <v>0.05</v>
          </cell>
          <cell r="EE116">
            <v>0.09</v>
          </cell>
          <cell r="EF116">
            <v>0.08</v>
          </cell>
          <cell r="EG116">
            <v>0.17</v>
          </cell>
          <cell r="EH116">
            <v>1</v>
          </cell>
          <cell r="EI116">
            <v>1</v>
          </cell>
          <cell r="EJ116">
            <v>1</v>
          </cell>
          <cell r="EK116">
            <v>1</v>
          </cell>
          <cell r="EL116">
            <v>0.05</v>
          </cell>
          <cell r="EM116">
            <v>0.14000000000000001</v>
          </cell>
          <cell r="EN116">
            <v>0.11</v>
          </cell>
          <cell r="EO116">
            <v>0.2</v>
          </cell>
          <cell r="EP116">
            <v>0</v>
          </cell>
          <cell r="EQ116">
            <v>0</v>
          </cell>
          <cell r="ER116">
            <v>0</v>
          </cell>
          <cell r="ES116">
            <v>0</v>
          </cell>
          <cell r="ET116">
            <v>0</v>
          </cell>
          <cell r="EU116">
            <v>0</v>
          </cell>
          <cell r="EV116">
            <v>0</v>
          </cell>
          <cell r="EW116">
            <v>0</v>
          </cell>
          <cell r="EX116">
            <v>1</v>
          </cell>
          <cell r="EY116">
            <v>1</v>
          </cell>
          <cell r="EZ116">
            <v>1</v>
          </cell>
          <cell r="FA116">
            <v>0</v>
          </cell>
          <cell r="FB116">
            <v>0</v>
          </cell>
          <cell r="FC116">
            <v>0</v>
          </cell>
          <cell r="FD116">
            <v>0</v>
          </cell>
          <cell r="FE116">
            <v>0</v>
          </cell>
          <cell r="FF116">
            <v>0</v>
          </cell>
          <cell r="FG116">
            <v>0</v>
          </cell>
          <cell r="FH116">
            <v>0</v>
          </cell>
          <cell r="FI116">
            <v>0</v>
          </cell>
          <cell r="FJ116">
            <v>0</v>
          </cell>
          <cell r="FK116">
            <v>0</v>
          </cell>
          <cell r="FL116">
            <v>0</v>
          </cell>
          <cell r="FM116">
            <v>0</v>
          </cell>
          <cell r="FN116">
            <v>0</v>
          </cell>
          <cell r="FO116">
            <v>0</v>
          </cell>
          <cell r="FP116">
            <v>0</v>
          </cell>
          <cell r="FQ116">
            <v>0</v>
          </cell>
          <cell r="FR116">
            <v>0</v>
          </cell>
          <cell r="FS116">
            <v>0</v>
          </cell>
          <cell r="FT116">
            <v>0</v>
          </cell>
          <cell r="FU116">
            <v>0</v>
          </cell>
          <cell r="FV116">
            <v>0</v>
          </cell>
          <cell r="FW116">
            <v>0</v>
          </cell>
          <cell r="FX116">
            <v>0</v>
          </cell>
          <cell r="FY116">
            <v>0</v>
          </cell>
          <cell r="FZ116">
            <v>0</v>
          </cell>
        </row>
        <row r="117">
          <cell r="B117">
            <v>0.1</v>
          </cell>
          <cell r="C117">
            <v>0.08</v>
          </cell>
          <cell r="D117">
            <v>0.15</v>
          </cell>
          <cell r="E117">
            <v>0.08</v>
          </cell>
          <cell r="F117">
            <v>0.15</v>
          </cell>
          <cell r="G117">
            <v>0.22</v>
          </cell>
          <cell r="H117">
            <v>7.0000000000000007E-2</v>
          </cell>
          <cell r="I117">
            <v>0.05</v>
          </cell>
          <cell r="J117">
            <v>0.13</v>
          </cell>
          <cell r="K117">
            <v>0.18</v>
          </cell>
          <cell r="L117">
            <v>0.17</v>
          </cell>
          <cell r="M117">
            <v>0.16</v>
          </cell>
          <cell r="N117">
            <v>0.8</v>
          </cell>
          <cell r="O117">
            <v>1</v>
          </cell>
          <cell r="P117">
            <v>1</v>
          </cell>
          <cell r="Q117">
            <v>0.8</v>
          </cell>
          <cell r="R117">
            <v>0.8</v>
          </cell>
          <cell r="S117">
            <v>1</v>
          </cell>
          <cell r="T117">
            <v>1</v>
          </cell>
          <cell r="U117">
            <v>1</v>
          </cell>
          <cell r="V117">
            <v>1</v>
          </cell>
          <cell r="W117">
            <v>1</v>
          </cell>
          <cell r="X117">
            <v>1</v>
          </cell>
          <cell r="Y117">
            <v>1</v>
          </cell>
          <cell r="Z117">
            <v>0.1</v>
          </cell>
          <cell r="AA117">
            <v>0.1</v>
          </cell>
          <cell r="AB117">
            <v>0.14000000000000001</v>
          </cell>
          <cell r="AC117">
            <v>0.11</v>
          </cell>
          <cell r="AD117">
            <v>0.11</v>
          </cell>
          <cell r="AE117">
            <v>0.19</v>
          </cell>
          <cell r="AF117">
            <v>0.09</v>
          </cell>
          <cell r="AG117">
            <v>0.11</v>
          </cell>
          <cell r="AH117">
            <v>0.15</v>
          </cell>
          <cell r="AI117">
            <v>0.2</v>
          </cell>
          <cell r="AJ117">
            <v>0.2</v>
          </cell>
          <cell r="AK117">
            <v>0.2</v>
          </cell>
          <cell r="AL117">
            <v>0</v>
          </cell>
          <cell r="AM117">
            <v>0</v>
          </cell>
          <cell r="AN117">
            <v>0</v>
          </cell>
          <cell r="AO117">
            <v>0</v>
          </cell>
          <cell r="AP117">
            <v>0</v>
          </cell>
          <cell r="AQ117">
            <v>0</v>
          </cell>
          <cell r="AR117">
            <v>0</v>
          </cell>
          <cell r="AS117">
            <v>0</v>
          </cell>
          <cell r="AT117">
            <v>0</v>
          </cell>
          <cell r="AU117">
            <v>0</v>
          </cell>
          <cell r="AV117">
            <v>0</v>
          </cell>
          <cell r="AW117">
            <v>0</v>
          </cell>
          <cell r="AX117">
            <v>0</v>
          </cell>
          <cell r="AY117">
            <v>0</v>
          </cell>
          <cell r="AZ117">
            <v>0</v>
          </cell>
          <cell r="BA117">
            <v>0</v>
          </cell>
          <cell r="BB117">
            <v>0</v>
          </cell>
          <cell r="BC117">
            <v>0</v>
          </cell>
          <cell r="BD117">
            <v>0</v>
          </cell>
          <cell r="BE117">
            <v>0</v>
          </cell>
          <cell r="BF117">
            <v>0</v>
          </cell>
          <cell r="BG117">
            <v>0</v>
          </cell>
          <cell r="BH117">
            <v>0</v>
          </cell>
          <cell r="BI117">
            <v>0</v>
          </cell>
          <cell r="BJ117">
            <v>0</v>
          </cell>
          <cell r="BK117">
            <v>0</v>
          </cell>
          <cell r="BL117">
            <v>0</v>
          </cell>
          <cell r="BM117">
            <v>0</v>
          </cell>
          <cell r="BN117">
            <v>0</v>
          </cell>
          <cell r="BO117">
            <v>0</v>
          </cell>
          <cell r="BP117">
            <v>0</v>
          </cell>
          <cell r="BQ117">
            <v>0</v>
          </cell>
          <cell r="BR117">
            <v>0</v>
          </cell>
          <cell r="BS117">
            <v>0</v>
          </cell>
          <cell r="BT117">
            <v>0</v>
          </cell>
          <cell r="BU117">
            <v>0</v>
          </cell>
          <cell r="BV117">
            <v>0</v>
          </cell>
          <cell r="BW117">
            <v>0</v>
          </cell>
          <cell r="BX117">
            <v>0</v>
          </cell>
          <cell r="BY117">
            <v>0</v>
          </cell>
          <cell r="BZ117">
            <v>0</v>
          </cell>
          <cell r="CA117">
            <v>0</v>
          </cell>
          <cell r="CB117">
            <v>0</v>
          </cell>
          <cell r="CC117">
            <v>0</v>
          </cell>
          <cell r="CD117">
            <v>0</v>
          </cell>
          <cell r="CE117">
            <v>0</v>
          </cell>
          <cell r="CF117">
            <v>0</v>
          </cell>
          <cell r="CG117">
            <v>0</v>
          </cell>
          <cell r="CH117">
            <v>0</v>
          </cell>
          <cell r="CI117">
            <v>0</v>
          </cell>
          <cell r="CJ117">
            <v>0</v>
          </cell>
          <cell r="CK117">
            <v>0</v>
          </cell>
          <cell r="CL117">
            <v>0</v>
          </cell>
          <cell r="CM117">
            <v>0</v>
          </cell>
          <cell r="CN117">
            <v>0</v>
          </cell>
          <cell r="CO117">
            <v>0</v>
          </cell>
          <cell r="CP117">
            <v>0</v>
          </cell>
          <cell r="CQ117">
            <v>0</v>
          </cell>
          <cell r="CR117">
            <v>0</v>
          </cell>
          <cell r="CS117">
            <v>0</v>
          </cell>
          <cell r="CT117">
            <v>0</v>
          </cell>
          <cell r="CU117">
            <v>0</v>
          </cell>
          <cell r="CV117">
            <v>0</v>
          </cell>
          <cell r="CW117">
            <v>0</v>
          </cell>
          <cell r="CX117">
            <v>0</v>
          </cell>
          <cell r="CY117">
            <v>0</v>
          </cell>
          <cell r="CZ117">
            <v>0</v>
          </cell>
          <cell r="DA117">
            <v>0</v>
          </cell>
          <cell r="DB117">
            <v>0</v>
          </cell>
          <cell r="DC117">
            <v>0</v>
          </cell>
          <cell r="DD117">
            <v>0</v>
          </cell>
          <cell r="DE117">
            <v>0</v>
          </cell>
          <cell r="DF117">
            <v>0</v>
          </cell>
          <cell r="DG117">
            <v>0</v>
          </cell>
          <cell r="DH117">
            <v>0</v>
          </cell>
          <cell r="DI117">
            <v>0</v>
          </cell>
          <cell r="DJ117">
            <v>0</v>
          </cell>
          <cell r="DK117">
            <v>0</v>
          </cell>
          <cell r="DL117">
            <v>0</v>
          </cell>
          <cell r="DM117">
            <v>0</v>
          </cell>
          <cell r="DN117">
            <v>0</v>
          </cell>
          <cell r="DO117">
            <v>0</v>
          </cell>
          <cell r="DP117">
            <v>0</v>
          </cell>
          <cell r="DQ117">
            <v>0</v>
          </cell>
          <cell r="DR117">
            <v>0</v>
          </cell>
          <cell r="DS117">
            <v>0</v>
          </cell>
          <cell r="DT117">
            <v>0</v>
          </cell>
          <cell r="DU117">
            <v>0</v>
          </cell>
          <cell r="DV117">
            <v>0</v>
          </cell>
          <cell r="DW117">
            <v>0</v>
          </cell>
          <cell r="DX117">
            <v>0</v>
          </cell>
          <cell r="DY117">
            <v>0</v>
          </cell>
          <cell r="DZ117">
            <v>0</v>
          </cell>
          <cell r="EA117">
            <v>0</v>
          </cell>
          <cell r="EB117">
            <v>0</v>
          </cell>
          <cell r="EC117">
            <v>0</v>
          </cell>
          <cell r="ED117">
            <v>0.05</v>
          </cell>
          <cell r="EE117">
            <v>0.09</v>
          </cell>
          <cell r="EF117">
            <v>0.08</v>
          </cell>
          <cell r="EG117">
            <v>0.17</v>
          </cell>
          <cell r="EH117">
            <v>1</v>
          </cell>
          <cell r="EI117">
            <v>1</v>
          </cell>
          <cell r="EJ117">
            <v>1</v>
          </cell>
          <cell r="EK117">
            <v>1</v>
          </cell>
          <cell r="EL117">
            <v>0.05</v>
          </cell>
          <cell r="EM117">
            <v>0.14000000000000001</v>
          </cell>
          <cell r="EN117">
            <v>0.11</v>
          </cell>
          <cell r="EO117">
            <v>0.2</v>
          </cell>
          <cell r="EP117">
            <v>0</v>
          </cell>
          <cell r="EQ117">
            <v>0</v>
          </cell>
          <cell r="ER117">
            <v>0</v>
          </cell>
          <cell r="ES117">
            <v>0</v>
          </cell>
          <cell r="ET117">
            <v>0</v>
          </cell>
          <cell r="EU117">
            <v>0</v>
          </cell>
          <cell r="EV117">
            <v>0</v>
          </cell>
          <cell r="EW117">
            <v>0</v>
          </cell>
          <cell r="EX117">
            <v>1</v>
          </cell>
          <cell r="EY117">
            <v>1</v>
          </cell>
          <cell r="EZ117">
            <v>1</v>
          </cell>
          <cell r="FA117">
            <v>0</v>
          </cell>
          <cell r="FB117">
            <v>0</v>
          </cell>
          <cell r="FC117">
            <v>0</v>
          </cell>
          <cell r="FD117">
            <v>0</v>
          </cell>
          <cell r="FE117">
            <v>0</v>
          </cell>
          <cell r="FF117">
            <v>0</v>
          </cell>
          <cell r="FG117">
            <v>0</v>
          </cell>
          <cell r="FH117">
            <v>0</v>
          </cell>
          <cell r="FI117">
            <v>0</v>
          </cell>
          <cell r="FJ117">
            <v>0</v>
          </cell>
          <cell r="FK117">
            <v>0</v>
          </cell>
          <cell r="FL117">
            <v>0</v>
          </cell>
          <cell r="FM117">
            <v>0</v>
          </cell>
          <cell r="FN117">
            <v>0</v>
          </cell>
          <cell r="FO117">
            <v>0</v>
          </cell>
          <cell r="FP117">
            <v>0</v>
          </cell>
          <cell r="FQ117">
            <v>0</v>
          </cell>
          <cell r="FR117">
            <v>0</v>
          </cell>
          <cell r="FS117">
            <v>0</v>
          </cell>
          <cell r="FT117">
            <v>0</v>
          </cell>
          <cell r="FU117">
            <v>0</v>
          </cell>
          <cell r="FV117">
            <v>0</v>
          </cell>
          <cell r="FW117">
            <v>0</v>
          </cell>
          <cell r="FX117">
            <v>0</v>
          </cell>
          <cell r="FY117">
            <v>0</v>
          </cell>
          <cell r="FZ117">
            <v>0</v>
          </cell>
        </row>
        <row r="118">
          <cell r="B118">
            <v>0.1</v>
          </cell>
          <cell r="C118">
            <v>0.08</v>
          </cell>
          <cell r="D118">
            <v>0.15</v>
          </cell>
          <cell r="E118">
            <v>0.08</v>
          </cell>
          <cell r="F118">
            <v>0.15</v>
          </cell>
          <cell r="G118">
            <v>0.22</v>
          </cell>
          <cell r="H118">
            <v>7.0000000000000007E-2</v>
          </cell>
          <cell r="I118">
            <v>0.05</v>
          </cell>
          <cell r="J118">
            <v>0.13</v>
          </cell>
          <cell r="K118">
            <v>0.18</v>
          </cell>
          <cell r="L118">
            <v>0.17</v>
          </cell>
          <cell r="M118">
            <v>0.16</v>
          </cell>
          <cell r="N118">
            <v>0.8</v>
          </cell>
          <cell r="O118">
            <v>1</v>
          </cell>
          <cell r="P118">
            <v>1</v>
          </cell>
          <cell r="Q118">
            <v>0.8</v>
          </cell>
          <cell r="R118">
            <v>0.8</v>
          </cell>
          <cell r="S118">
            <v>1</v>
          </cell>
          <cell r="T118">
            <v>1</v>
          </cell>
          <cell r="U118">
            <v>1</v>
          </cell>
          <cell r="V118">
            <v>1</v>
          </cell>
          <cell r="W118">
            <v>1</v>
          </cell>
          <cell r="X118">
            <v>1</v>
          </cell>
          <cell r="Y118">
            <v>1</v>
          </cell>
          <cell r="Z118">
            <v>0.1</v>
          </cell>
          <cell r="AA118">
            <v>0.1</v>
          </cell>
          <cell r="AB118">
            <v>0.14000000000000001</v>
          </cell>
          <cell r="AC118">
            <v>0.11</v>
          </cell>
          <cell r="AD118">
            <v>0.11</v>
          </cell>
          <cell r="AE118">
            <v>0.19</v>
          </cell>
          <cell r="AF118">
            <v>0.09</v>
          </cell>
          <cell r="AG118">
            <v>0.11</v>
          </cell>
          <cell r="AH118">
            <v>0.15</v>
          </cell>
          <cell r="AI118">
            <v>0.2</v>
          </cell>
          <cell r="AJ118">
            <v>0.2</v>
          </cell>
          <cell r="AK118">
            <v>0.2</v>
          </cell>
          <cell r="AL118">
            <v>0</v>
          </cell>
          <cell r="AM118">
            <v>0</v>
          </cell>
          <cell r="AN118">
            <v>0</v>
          </cell>
          <cell r="AO118">
            <v>0</v>
          </cell>
          <cell r="AP118">
            <v>0</v>
          </cell>
          <cell r="AQ118">
            <v>0</v>
          </cell>
          <cell r="AR118">
            <v>0</v>
          </cell>
          <cell r="AS118">
            <v>0</v>
          </cell>
          <cell r="AT118">
            <v>0</v>
          </cell>
          <cell r="AU118">
            <v>0</v>
          </cell>
          <cell r="AV118">
            <v>0</v>
          </cell>
          <cell r="AW118">
            <v>0</v>
          </cell>
          <cell r="AX118">
            <v>0</v>
          </cell>
          <cell r="AY118">
            <v>0</v>
          </cell>
          <cell r="AZ118">
            <v>0</v>
          </cell>
          <cell r="BA118">
            <v>0</v>
          </cell>
          <cell r="BB118">
            <v>0</v>
          </cell>
          <cell r="BC118">
            <v>0</v>
          </cell>
          <cell r="BD118">
            <v>0</v>
          </cell>
          <cell r="BE118">
            <v>0</v>
          </cell>
          <cell r="BF118">
            <v>0</v>
          </cell>
          <cell r="BG118">
            <v>0</v>
          </cell>
          <cell r="BH118">
            <v>0</v>
          </cell>
          <cell r="BI118">
            <v>0</v>
          </cell>
          <cell r="BJ118">
            <v>0</v>
          </cell>
          <cell r="BK118">
            <v>0</v>
          </cell>
          <cell r="BL118">
            <v>0</v>
          </cell>
          <cell r="BM118">
            <v>0</v>
          </cell>
          <cell r="BN118">
            <v>0</v>
          </cell>
          <cell r="BO118">
            <v>0</v>
          </cell>
          <cell r="BP118">
            <v>0</v>
          </cell>
          <cell r="BQ118">
            <v>0</v>
          </cell>
          <cell r="BR118">
            <v>0</v>
          </cell>
          <cell r="BS118">
            <v>0</v>
          </cell>
          <cell r="BT118">
            <v>0</v>
          </cell>
          <cell r="BU118">
            <v>0</v>
          </cell>
          <cell r="BV118">
            <v>0</v>
          </cell>
          <cell r="BW118">
            <v>0</v>
          </cell>
          <cell r="BX118">
            <v>0</v>
          </cell>
          <cell r="BY118">
            <v>0</v>
          </cell>
          <cell r="BZ118">
            <v>0</v>
          </cell>
          <cell r="CA118">
            <v>0</v>
          </cell>
          <cell r="CB118">
            <v>0</v>
          </cell>
          <cell r="CC118">
            <v>0</v>
          </cell>
          <cell r="CD118">
            <v>0</v>
          </cell>
          <cell r="CE118">
            <v>0</v>
          </cell>
          <cell r="CF118">
            <v>0</v>
          </cell>
          <cell r="CG118">
            <v>0</v>
          </cell>
          <cell r="CH118">
            <v>0</v>
          </cell>
          <cell r="CI118">
            <v>0</v>
          </cell>
          <cell r="CJ118">
            <v>0</v>
          </cell>
          <cell r="CK118">
            <v>0</v>
          </cell>
          <cell r="CL118">
            <v>0</v>
          </cell>
          <cell r="CM118">
            <v>0</v>
          </cell>
          <cell r="CN118">
            <v>0</v>
          </cell>
          <cell r="CO118">
            <v>0</v>
          </cell>
          <cell r="CP118">
            <v>0</v>
          </cell>
          <cell r="CQ118">
            <v>0</v>
          </cell>
          <cell r="CR118">
            <v>0</v>
          </cell>
          <cell r="CS118">
            <v>0</v>
          </cell>
          <cell r="CT118">
            <v>0</v>
          </cell>
          <cell r="CU118">
            <v>0</v>
          </cell>
          <cell r="CV118">
            <v>0</v>
          </cell>
          <cell r="CW118">
            <v>0</v>
          </cell>
          <cell r="CX118">
            <v>0</v>
          </cell>
          <cell r="CY118">
            <v>0</v>
          </cell>
          <cell r="CZ118">
            <v>0</v>
          </cell>
          <cell r="DA118">
            <v>0</v>
          </cell>
          <cell r="DB118">
            <v>0</v>
          </cell>
          <cell r="DC118">
            <v>0</v>
          </cell>
          <cell r="DD118">
            <v>0</v>
          </cell>
          <cell r="DE118">
            <v>0</v>
          </cell>
          <cell r="DF118">
            <v>0</v>
          </cell>
          <cell r="DG118">
            <v>0</v>
          </cell>
          <cell r="DH118">
            <v>0</v>
          </cell>
          <cell r="DI118">
            <v>0</v>
          </cell>
          <cell r="DJ118">
            <v>0</v>
          </cell>
          <cell r="DK118">
            <v>0</v>
          </cell>
          <cell r="DL118">
            <v>0</v>
          </cell>
          <cell r="DM118">
            <v>0</v>
          </cell>
          <cell r="DN118">
            <v>0</v>
          </cell>
          <cell r="DO118">
            <v>0</v>
          </cell>
          <cell r="DP118">
            <v>0</v>
          </cell>
          <cell r="DQ118">
            <v>0</v>
          </cell>
          <cell r="DR118">
            <v>0</v>
          </cell>
          <cell r="DS118">
            <v>0</v>
          </cell>
          <cell r="DT118">
            <v>0</v>
          </cell>
          <cell r="DU118">
            <v>0</v>
          </cell>
          <cell r="DV118">
            <v>0</v>
          </cell>
          <cell r="DW118">
            <v>0</v>
          </cell>
          <cell r="DX118">
            <v>0</v>
          </cell>
          <cell r="DY118">
            <v>0</v>
          </cell>
          <cell r="DZ118">
            <v>0</v>
          </cell>
          <cell r="EA118">
            <v>0</v>
          </cell>
          <cell r="EB118">
            <v>0</v>
          </cell>
          <cell r="EC118">
            <v>0</v>
          </cell>
          <cell r="ED118">
            <v>0.05</v>
          </cell>
          <cell r="EE118">
            <v>0.09</v>
          </cell>
          <cell r="EF118">
            <v>0.08</v>
          </cell>
          <cell r="EG118">
            <v>0.17</v>
          </cell>
          <cell r="EH118">
            <v>1</v>
          </cell>
          <cell r="EI118">
            <v>1</v>
          </cell>
          <cell r="EJ118">
            <v>1</v>
          </cell>
          <cell r="EK118">
            <v>1</v>
          </cell>
          <cell r="EL118">
            <v>0.05</v>
          </cell>
          <cell r="EM118">
            <v>0.14000000000000001</v>
          </cell>
          <cell r="EN118">
            <v>0.11</v>
          </cell>
          <cell r="EO118">
            <v>0.2</v>
          </cell>
          <cell r="EP118">
            <v>0</v>
          </cell>
          <cell r="EQ118">
            <v>0</v>
          </cell>
          <cell r="ER118">
            <v>0</v>
          </cell>
          <cell r="ES118">
            <v>0</v>
          </cell>
          <cell r="ET118">
            <v>0</v>
          </cell>
          <cell r="EU118">
            <v>0</v>
          </cell>
          <cell r="EV118">
            <v>0</v>
          </cell>
          <cell r="EW118">
            <v>0</v>
          </cell>
          <cell r="EX118">
            <v>1</v>
          </cell>
          <cell r="EY118">
            <v>1</v>
          </cell>
          <cell r="EZ118">
            <v>1</v>
          </cell>
          <cell r="FA118">
            <v>0</v>
          </cell>
          <cell r="FB118">
            <v>0</v>
          </cell>
          <cell r="FC118">
            <v>0</v>
          </cell>
          <cell r="FD118">
            <v>0</v>
          </cell>
          <cell r="FE118">
            <v>0</v>
          </cell>
          <cell r="FF118">
            <v>0</v>
          </cell>
          <cell r="FG118">
            <v>0</v>
          </cell>
          <cell r="FH118">
            <v>0</v>
          </cell>
          <cell r="FI118">
            <v>0</v>
          </cell>
          <cell r="FJ118">
            <v>0</v>
          </cell>
          <cell r="FK118">
            <v>0</v>
          </cell>
          <cell r="FL118">
            <v>0</v>
          </cell>
          <cell r="FM118">
            <v>0</v>
          </cell>
          <cell r="FN118">
            <v>0</v>
          </cell>
          <cell r="FO118">
            <v>0</v>
          </cell>
          <cell r="FP118">
            <v>0</v>
          </cell>
          <cell r="FQ118">
            <v>0</v>
          </cell>
          <cell r="FR118">
            <v>0</v>
          </cell>
          <cell r="FS118">
            <v>0</v>
          </cell>
          <cell r="FT118">
            <v>0</v>
          </cell>
          <cell r="FU118">
            <v>0</v>
          </cell>
          <cell r="FV118">
            <v>0</v>
          </cell>
          <cell r="FW118">
            <v>0</v>
          </cell>
          <cell r="FX118">
            <v>0</v>
          </cell>
          <cell r="FY118">
            <v>0</v>
          </cell>
          <cell r="FZ118">
            <v>0</v>
          </cell>
        </row>
        <row r="119">
          <cell r="B119">
            <v>0.1</v>
          </cell>
          <cell r="C119">
            <v>0.08</v>
          </cell>
          <cell r="D119">
            <v>0.15</v>
          </cell>
          <cell r="E119">
            <v>0.08</v>
          </cell>
          <cell r="F119">
            <v>0.15</v>
          </cell>
          <cell r="G119">
            <v>0.22</v>
          </cell>
          <cell r="H119">
            <v>7.0000000000000007E-2</v>
          </cell>
          <cell r="I119">
            <v>0.05</v>
          </cell>
          <cell r="J119">
            <v>0.13</v>
          </cell>
          <cell r="K119">
            <v>0.18</v>
          </cell>
          <cell r="L119">
            <v>0.17</v>
          </cell>
          <cell r="M119">
            <v>0.16</v>
          </cell>
          <cell r="N119">
            <v>0.8</v>
          </cell>
          <cell r="O119">
            <v>1</v>
          </cell>
          <cell r="P119">
            <v>1</v>
          </cell>
          <cell r="Q119">
            <v>0.8</v>
          </cell>
          <cell r="R119">
            <v>0.8</v>
          </cell>
          <cell r="S119">
            <v>1</v>
          </cell>
          <cell r="T119">
            <v>1</v>
          </cell>
          <cell r="U119">
            <v>1</v>
          </cell>
          <cell r="V119">
            <v>1</v>
          </cell>
          <cell r="W119">
            <v>1</v>
          </cell>
          <cell r="X119">
            <v>1</v>
          </cell>
          <cell r="Y119">
            <v>1</v>
          </cell>
          <cell r="Z119">
            <v>0.1</v>
          </cell>
          <cell r="AA119">
            <v>0.1</v>
          </cell>
          <cell r="AB119">
            <v>0.14000000000000001</v>
          </cell>
          <cell r="AC119">
            <v>0.11</v>
          </cell>
          <cell r="AD119">
            <v>0.11</v>
          </cell>
          <cell r="AE119">
            <v>0.19</v>
          </cell>
          <cell r="AF119">
            <v>0.09</v>
          </cell>
          <cell r="AG119">
            <v>0.11</v>
          </cell>
          <cell r="AH119">
            <v>0.15</v>
          </cell>
          <cell r="AI119">
            <v>0.2</v>
          </cell>
          <cell r="AJ119">
            <v>0.2</v>
          </cell>
          <cell r="AK119">
            <v>0.2</v>
          </cell>
          <cell r="AL119">
            <v>0</v>
          </cell>
          <cell r="AM119">
            <v>0</v>
          </cell>
          <cell r="AN119">
            <v>0</v>
          </cell>
          <cell r="AO119">
            <v>0</v>
          </cell>
          <cell r="AP119">
            <v>0</v>
          </cell>
          <cell r="AQ119">
            <v>0</v>
          </cell>
          <cell r="AR119">
            <v>0</v>
          </cell>
          <cell r="AS119">
            <v>0</v>
          </cell>
          <cell r="AT119">
            <v>0</v>
          </cell>
          <cell r="AU119">
            <v>0</v>
          </cell>
          <cell r="AV119">
            <v>0</v>
          </cell>
          <cell r="AW119">
            <v>0</v>
          </cell>
          <cell r="AX119">
            <v>0</v>
          </cell>
          <cell r="AY119">
            <v>0</v>
          </cell>
          <cell r="AZ119">
            <v>0</v>
          </cell>
          <cell r="BA119">
            <v>0</v>
          </cell>
          <cell r="BB119">
            <v>0</v>
          </cell>
          <cell r="BC119">
            <v>0</v>
          </cell>
          <cell r="BD119">
            <v>0</v>
          </cell>
          <cell r="BE119">
            <v>0</v>
          </cell>
          <cell r="BF119">
            <v>0</v>
          </cell>
          <cell r="BG119">
            <v>0</v>
          </cell>
          <cell r="BH119">
            <v>0</v>
          </cell>
          <cell r="BI119">
            <v>0</v>
          </cell>
          <cell r="BJ119">
            <v>0</v>
          </cell>
          <cell r="BK119">
            <v>0</v>
          </cell>
          <cell r="BL119">
            <v>0</v>
          </cell>
          <cell r="BM119">
            <v>0</v>
          </cell>
          <cell r="BN119">
            <v>0</v>
          </cell>
          <cell r="BO119">
            <v>0</v>
          </cell>
          <cell r="BP119">
            <v>0</v>
          </cell>
          <cell r="BQ119">
            <v>0</v>
          </cell>
          <cell r="BR119">
            <v>0</v>
          </cell>
          <cell r="BS119">
            <v>0</v>
          </cell>
          <cell r="BT119">
            <v>0</v>
          </cell>
          <cell r="BU119">
            <v>0</v>
          </cell>
          <cell r="BV119">
            <v>0</v>
          </cell>
          <cell r="BW119">
            <v>0</v>
          </cell>
          <cell r="BX119">
            <v>0</v>
          </cell>
          <cell r="BY119">
            <v>0</v>
          </cell>
          <cell r="BZ119">
            <v>0</v>
          </cell>
          <cell r="CA119">
            <v>0</v>
          </cell>
          <cell r="CB119">
            <v>0</v>
          </cell>
          <cell r="CC119">
            <v>0</v>
          </cell>
          <cell r="CD119">
            <v>0</v>
          </cell>
          <cell r="CE119">
            <v>0</v>
          </cell>
          <cell r="CF119">
            <v>0</v>
          </cell>
          <cell r="CG119">
            <v>0</v>
          </cell>
          <cell r="CH119">
            <v>0</v>
          </cell>
          <cell r="CI119">
            <v>0</v>
          </cell>
          <cell r="CJ119">
            <v>0</v>
          </cell>
          <cell r="CK119">
            <v>0</v>
          </cell>
          <cell r="CL119">
            <v>0</v>
          </cell>
          <cell r="CM119">
            <v>0</v>
          </cell>
          <cell r="CN119">
            <v>0</v>
          </cell>
          <cell r="CO119">
            <v>0</v>
          </cell>
          <cell r="CP119">
            <v>0</v>
          </cell>
          <cell r="CQ119">
            <v>0</v>
          </cell>
          <cell r="CR119">
            <v>0</v>
          </cell>
          <cell r="CS119">
            <v>0</v>
          </cell>
          <cell r="CT119">
            <v>0</v>
          </cell>
          <cell r="CU119">
            <v>0</v>
          </cell>
          <cell r="CV119">
            <v>0</v>
          </cell>
          <cell r="CW119">
            <v>0</v>
          </cell>
          <cell r="CX119">
            <v>0</v>
          </cell>
          <cell r="CY119">
            <v>0</v>
          </cell>
          <cell r="CZ119">
            <v>0</v>
          </cell>
          <cell r="DA119">
            <v>0</v>
          </cell>
          <cell r="DB119">
            <v>0</v>
          </cell>
          <cell r="DC119">
            <v>0</v>
          </cell>
          <cell r="DD119">
            <v>0</v>
          </cell>
          <cell r="DE119">
            <v>0</v>
          </cell>
          <cell r="DF119">
            <v>0</v>
          </cell>
          <cell r="DG119">
            <v>0</v>
          </cell>
          <cell r="DH119">
            <v>0</v>
          </cell>
          <cell r="DI119">
            <v>0</v>
          </cell>
          <cell r="DJ119">
            <v>0</v>
          </cell>
          <cell r="DK119">
            <v>0</v>
          </cell>
          <cell r="DL119">
            <v>0</v>
          </cell>
          <cell r="DM119">
            <v>0</v>
          </cell>
          <cell r="DN119">
            <v>0</v>
          </cell>
          <cell r="DO119">
            <v>0</v>
          </cell>
          <cell r="DP119">
            <v>0</v>
          </cell>
          <cell r="DQ119">
            <v>0</v>
          </cell>
          <cell r="DR119">
            <v>0</v>
          </cell>
          <cell r="DS119">
            <v>0</v>
          </cell>
          <cell r="DT119">
            <v>0</v>
          </cell>
          <cell r="DU119">
            <v>0</v>
          </cell>
          <cell r="DV119">
            <v>0</v>
          </cell>
          <cell r="DW119">
            <v>0</v>
          </cell>
          <cell r="DX119">
            <v>0</v>
          </cell>
          <cell r="DY119">
            <v>0</v>
          </cell>
          <cell r="DZ119">
            <v>0</v>
          </cell>
          <cell r="EA119">
            <v>0</v>
          </cell>
          <cell r="EB119">
            <v>0</v>
          </cell>
          <cell r="EC119">
            <v>0</v>
          </cell>
          <cell r="ED119">
            <v>0.05</v>
          </cell>
          <cell r="EE119">
            <v>0.09</v>
          </cell>
          <cell r="EF119">
            <v>0.08</v>
          </cell>
          <cell r="EG119">
            <v>0.17</v>
          </cell>
          <cell r="EH119">
            <v>1</v>
          </cell>
          <cell r="EI119">
            <v>1</v>
          </cell>
          <cell r="EJ119">
            <v>1</v>
          </cell>
          <cell r="EK119">
            <v>1</v>
          </cell>
          <cell r="EL119">
            <v>0.05</v>
          </cell>
          <cell r="EM119">
            <v>0.14000000000000001</v>
          </cell>
          <cell r="EN119">
            <v>0.11</v>
          </cell>
          <cell r="EO119">
            <v>0.2</v>
          </cell>
          <cell r="EP119">
            <v>0</v>
          </cell>
          <cell r="EQ119">
            <v>0</v>
          </cell>
          <cell r="ER119">
            <v>0</v>
          </cell>
          <cell r="ES119">
            <v>0</v>
          </cell>
          <cell r="ET119">
            <v>0</v>
          </cell>
          <cell r="EU119">
            <v>0</v>
          </cell>
          <cell r="EV119">
            <v>0</v>
          </cell>
          <cell r="EW119">
            <v>0</v>
          </cell>
          <cell r="EX119">
            <v>1</v>
          </cell>
          <cell r="EY119">
            <v>1</v>
          </cell>
          <cell r="EZ119">
            <v>1</v>
          </cell>
          <cell r="FA119">
            <v>0</v>
          </cell>
          <cell r="FB119">
            <v>0</v>
          </cell>
          <cell r="FC119">
            <v>0</v>
          </cell>
          <cell r="FD119">
            <v>0</v>
          </cell>
          <cell r="FE119">
            <v>0</v>
          </cell>
          <cell r="FF119">
            <v>0</v>
          </cell>
          <cell r="FG119">
            <v>0</v>
          </cell>
          <cell r="FH119">
            <v>0</v>
          </cell>
          <cell r="FI119">
            <v>0</v>
          </cell>
          <cell r="FJ119">
            <v>0</v>
          </cell>
          <cell r="FK119">
            <v>0</v>
          </cell>
          <cell r="FL119">
            <v>0</v>
          </cell>
          <cell r="FM119">
            <v>0</v>
          </cell>
          <cell r="FN119">
            <v>0</v>
          </cell>
          <cell r="FO119">
            <v>0</v>
          </cell>
          <cell r="FP119">
            <v>0</v>
          </cell>
          <cell r="FQ119">
            <v>0</v>
          </cell>
          <cell r="FR119">
            <v>0</v>
          </cell>
          <cell r="FS119">
            <v>0</v>
          </cell>
          <cell r="FT119">
            <v>0</v>
          </cell>
          <cell r="FU119">
            <v>0</v>
          </cell>
          <cell r="FV119">
            <v>0</v>
          </cell>
          <cell r="FW119">
            <v>0</v>
          </cell>
          <cell r="FX119">
            <v>0</v>
          </cell>
          <cell r="FY119">
            <v>0</v>
          </cell>
          <cell r="FZ119">
            <v>0</v>
          </cell>
        </row>
        <row r="120">
          <cell r="B120">
            <v>0.1</v>
          </cell>
          <cell r="C120">
            <v>0.08</v>
          </cell>
          <cell r="D120">
            <v>0.15</v>
          </cell>
          <cell r="E120">
            <v>0.08</v>
          </cell>
          <cell r="F120">
            <v>0.15</v>
          </cell>
          <cell r="G120">
            <v>0.22</v>
          </cell>
          <cell r="H120">
            <v>7.0000000000000007E-2</v>
          </cell>
          <cell r="I120">
            <v>0.05</v>
          </cell>
          <cell r="J120">
            <v>0.13</v>
          </cell>
          <cell r="K120">
            <v>0.18</v>
          </cell>
          <cell r="L120">
            <v>0.17</v>
          </cell>
          <cell r="M120">
            <v>0.16</v>
          </cell>
          <cell r="N120">
            <v>0.8</v>
          </cell>
          <cell r="O120">
            <v>1</v>
          </cell>
          <cell r="P120">
            <v>1</v>
          </cell>
          <cell r="Q120">
            <v>0.8</v>
          </cell>
          <cell r="R120">
            <v>0.8</v>
          </cell>
          <cell r="S120">
            <v>1</v>
          </cell>
          <cell r="T120">
            <v>1</v>
          </cell>
          <cell r="U120">
            <v>1</v>
          </cell>
          <cell r="V120">
            <v>1</v>
          </cell>
          <cell r="W120">
            <v>1</v>
          </cell>
          <cell r="X120">
            <v>1</v>
          </cell>
          <cell r="Y120">
            <v>1</v>
          </cell>
          <cell r="Z120">
            <v>0.1</v>
          </cell>
          <cell r="AA120">
            <v>0.1</v>
          </cell>
          <cell r="AB120">
            <v>0.14000000000000001</v>
          </cell>
          <cell r="AC120">
            <v>0.11</v>
          </cell>
          <cell r="AD120">
            <v>0.11</v>
          </cell>
          <cell r="AE120">
            <v>0.19</v>
          </cell>
          <cell r="AF120">
            <v>0.09</v>
          </cell>
          <cell r="AG120">
            <v>0.11</v>
          </cell>
          <cell r="AH120">
            <v>0.15</v>
          </cell>
          <cell r="AI120">
            <v>0.2</v>
          </cell>
          <cell r="AJ120">
            <v>0.2</v>
          </cell>
          <cell r="AK120">
            <v>0.2</v>
          </cell>
          <cell r="AL120">
            <v>0</v>
          </cell>
          <cell r="AM120">
            <v>0</v>
          </cell>
          <cell r="AN120">
            <v>0</v>
          </cell>
          <cell r="AO120">
            <v>0</v>
          </cell>
          <cell r="AP120">
            <v>0</v>
          </cell>
          <cell r="AQ120">
            <v>0</v>
          </cell>
          <cell r="AR120">
            <v>0</v>
          </cell>
          <cell r="AS120">
            <v>0</v>
          </cell>
          <cell r="AT120">
            <v>0</v>
          </cell>
          <cell r="AU120">
            <v>0</v>
          </cell>
          <cell r="AV120">
            <v>0</v>
          </cell>
          <cell r="AW120">
            <v>0</v>
          </cell>
          <cell r="AX120">
            <v>0</v>
          </cell>
          <cell r="AY120">
            <v>0</v>
          </cell>
          <cell r="AZ120">
            <v>0</v>
          </cell>
          <cell r="BA120">
            <v>0</v>
          </cell>
          <cell r="BB120">
            <v>0</v>
          </cell>
          <cell r="BC120">
            <v>0</v>
          </cell>
          <cell r="BD120">
            <v>0</v>
          </cell>
          <cell r="BE120">
            <v>0</v>
          </cell>
          <cell r="BF120">
            <v>0</v>
          </cell>
          <cell r="BG120">
            <v>0</v>
          </cell>
          <cell r="BH120">
            <v>0</v>
          </cell>
          <cell r="BI120">
            <v>0</v>
          </cell>
          <cell r="BJ120">
            <v>0</v>
          </cell>
          <cell r="BK120">
            <v>0</v>
          </cell>
          <cell r="BL120">
            <v>0</v>
          </cell>
          <cell r="BM120">
            <v>0</v>
          </cell>
          <cell r="BN120">
            <v>0</v>
          </cell>
          <cell r="BO120">
            <v>0</v>
          </cell>
          <cell r="BP120">
            <v>0</v>
          </cell>
          <cell r="BQ120">
            <v>0</v>
          </cell>
          <cell r="BR120">
            <v>0</v>
          </cell>
          <cell r="BS120">
            <v>0</v>
          </cell>
          <cell r="BT120">
            <v>0</v>
          </cell>
          <cell r="BU120">
            <v>0</v>
          </cell>
          <cell r="BV120">
            <v>0</v>
          </cell>
          <cell r="BW120">
            <v>0</v>
          </cell>
          <cell r="BX120">
            <v>0</v>
          </cell>
          <cell r="BY120">
            <v>0</v>
          </cell>
          <cell r="BZ120">
            <v>0</v>
          </cell>
          <cell r="CA120">
            <v>0</v>
          </cell>
          <cell r="CB120">
            <v>0</v>
          </cell>
          <cell r="CC120">
            <v>0</v>
          </cell>
          <cell r="CD120">
            <v>0</v>
          </cell>
          <cell r="CE120">
            <v>0</v>
          </cell>
          <cell r="CF120">
            <v>0</v>
          </cell>
          <cell r="CG120">
            <v>0</v>
          </cell>
          <cell r="CH120">
            <v>0</v>
          </cell>
          <cell r="CI120">
            <v>0</v>
          </cell>
          <cell r="CJ120">
            <v>0</v>
          </cell>
          <cell r="CK120">
            <v>0</v>
          </cell>
          <cell r="CL120">
            <v>0</v>
          </cell>
          <cell r="CM120">
            <v>0</v>
          </cell>
          <cell r="CN120">
            <v>0</v>
          </cell>
          <cell r="CO120">
            <v>0</v>
          </cell>
          <cell r="CP120">
            <v>0</v>
          </cell>
          <cell r="CQ120">
            <v>0</v>
          </cell>
          <cell r="CR120">
            <v>0</v>
          </cell>
          <cell r="CS120">
            <v>0</v>
          </cell>
          <cell r="CT120">
            <v>0</v>
          </cell>
          <cell r="CU120">
            <v>0</v>
          </cell>
          <cell r="CV120">
            <v>0</v>
          </cell>
          <cell r="CW120">
            <v>0</v>
          </cell>
          <cell r="CX120">
            <v>0</v>
          </cell>
          <cell r="CY120">
            <v>0</v>
          </cell>
          <cell r="CZ120">
            <v>0</v>
          </cell>
          <cell r="DA120">
            <v>0</v>
          </cell>
          <cell r="DB120">
            <v>0</v>
          </cell>
          <cell r="DC120">
            <v>0</v>
          </cell>
          <cell r="DD120">
            <v>0</v>
          </cell>
          <cell r="DE120">
            <v>0</v>
          </cell>
          <cell r="DF120">
            <v>0</v>
          </cell>
          <cell r="DG120">
            <v>0</v>
          </cell>
          <cell r="DH120">
            <v>0</v>
          </cell>
          <cell r="DI120">
            <v>0</v>
          </cell>
          <cell r="DJ120">
            <v>0</v>
          </cell>
          <cell r="DK120">
            <v>0</v>
          </cell>
          <cell r="DL120">
            <v>0</v>
          </cell>
          <cell r="DM120">
            <v>0</v>
          </cell>
          <cell r="DN120">
            <v>0</v>
          </cell>
          <cell r="DO120">
            <v>0</v>
          </cell>
          <cell r="DP120">
            <v>0</v>
          </cell>
          <cell r="DQ120">
            <v>0</v>
          </cell>
          <cell r="DR120">
            <v>0</v>
          </cell>
          <cell r="DS120">
            <v>0</v>
          </cell>
          <cell r="DT120">
            <v>0</v>
          </cell>
          <cell r="DU120">
            <v>0</v>
          </cell>
          <cell r="DV120">
            <v>0</v>
          </cell>
          <cell r="DW120">
            <v>0</v>
          </cell>
          <cell r="DX120">
            <v>0</v>
          </cell>
          <cell r="DY120">
            <v>0</v>
          </cell>
          <cell r="DZ120">
            <v>0</v>
          </cell>
          <cell r="EA120">
            <v>0</v>
          </cell>
          <cell r="EB120">
            <v>0</v>
          </cell>
          <cell r="EC120">
            <v>0</v>
          </cell>
          <cell r="ED120">
            <v>0.05</v>
          </cell>
          <cell r="EE120">
            <v>0.09</v>
          </cell>
          <cell r="EF120">
            <v>0.08</v>
          </cell>
          <cell r="EG120">
            <v>0.17</v>
          </cell>
          <cell r="EH120">
            <v>1</v>
          </cell>
          <cell r="EI120">
            <v>1</v>
          </cell>
          <cell r="EJ120">
            <v>1</v>
          </cell>
          <cell r="EK120">
            <v>1</v>
          </cell>
          <cell r="EL120">
            <v>0.05</v>
          </cell>
          <cell r="EM120">
            <v>0.14000000000000001</v>
          </cell>
          <cell r="EN120">
            <v>0.11</v>
          </cell>
          <cell r="EO120">
            <v>0.2</v>
          </cell>
          <cell r="EP120">
            <v>0</v>
          </cell>
          <cell r="EQ120">
            <v>0</v>
          </cell>
          <cell r="ER120">
            <v>0</v>
          </cell>
          <cell r="ES120">
            <v>0</v>
          </cell>
          <cell r="ET120">
            <v>0</v>
          </cell>
          <cell r="EU120">
            <v>0</v>
          </cell>
          <cell r="EV120">
            <v>0</v>
          </cell>
          <cell r="EW120">
            <v>0</v>
          </cell>
          <cell r="EX120">
            <v>1</v>
          </cell>
          <cell r="EY120">
            <v>1</v>
          </cell>
          <cell r="EZ120">
            <v>1</v>
          </cell>
          <cell r="FA120">
            <v>0</v>
          </cell>
          <cell r="FB120">
            <v>0</v>
          </cell>
          <cell r="FC120">
            <v>0</v>
          </cell>
          <cell r="FD120">
            <v>0</v>
          </cell>
          <cell r="FE120">
            <v>0</v>
          </cell>
          <cell r="FF120">
            <v>0</v>
          </cell>
          <cell r="FG120">
            <v>0</v>
          </cell>
          <cell r="FH120">
            <v>0</v>
          </cell>
          <cell r="FI120">
            <v>0</v>
          </cell>
          <cell r="FJ120">
            <v>0</v>
          </cell>
          <cell r="FK120">
            <v>0</v>
          </cell>
          <cell r="FL120">
            <v>0</v>
          </cell>
          <cell r="FM120">
            <v>0</v>
          </cell>
          <cell r="FN120">
            <v>0</v>
          </cell>
          <cell r="FO120">
            <v>0</v>
          </cell>
          <cell r="FP120">
            <v>0</v>
          </cell>
          <cell r="FQ120">
            <v>0</v>
          </cell>
          <cell r="FR120">
            <v>0</v>
          </cell>
          <cell r="FS120">
            <v>0</v>
          </cell>
          <cell r="FT120">
            <v>0</v>
          </cell>
          <cell r="FU120">
            <v>0</v>
          </cell>
          <cell r="FV120">
            <v>0</v>
          </cell>
          <cell r="FW120">
            <v>0</v>
          </cell>
          <cell r="FX120">
            <v>0</v>
          </cell>
          <cell r="FY120">
            <v>0</v>
          </cell>
          <cell r="FZ120">
            <v>0</v>
          </cell>
        </row>
        <row r="121">
          <cell r="B121">
            <v>0.1</v>
          </cell>
          <cell r="C121">
            <v>0.08</v>
          </cell>
          <cell r="D121">
            <v>0.15</v>
          </cell>
          <cell r="E121">
            <v>0.08</v>
          </cell>
          <cell r="F121">
            <v>0.15</v>
          </cell>
          <cell r="G121">
            <v>0.22</v>
          </cell>
          <cell r="H121">
            <v>7.0000000000000007E-2</v>
          </cell>
          <cell r="I121">
            <v>0.05</v>
          </cell>
          <cell r="J121">
            <v>0.13</v>
          </cell>
          <cell r="K121">
            <v>0.18</v>
          </cell>
          <cell r="L121">
            <v>0.17</v>
          </cell>
          <cell r="M121">
            <v>0.16</v>
          </cell>
          <cell r="N121">
            <v>0.8</v>
          </cell>
          <cell r="O121">
            <v>1</v>
          </cell>
          <cell r="P121">
            <v>1</v>
          </cell>
          <cell r="Q121">
            <v>0.8</v>
          </cell>
          <cell r="R121">
            <v>0.8</v>
          </cell>
          <cell r="S121">
            <v>1</v>
          </cell>
          <cell r="T121">
            <v>1</v>
          </cell>
          <cell r="U121">
            <v>1</v>
          </cell>
          <cell r="V121">
            <v>1</v>
          </cell>
          <cell r="W121">
            <v>1</v>
          </cell>
          <cell r="X121">
            <v>1</v>
          </cell>
          <cell r="Y121">
            <v>1</v>
          </cell>
          <cell r="Z121">
            <v>0.1</v>
          </cell>
          <cell r="AA121">
            <v>0.1</v>
          </cell>
          <cell r="AB121">
            <v>0.14000000000000001</v>
          </cell>
          <cell r="AC121">
            <v>0.11</v>
          </cell>
          <cell r="AD121">
            <v>0.11</v>
          </cell>
          <cell r="AE121">
            <v>0.19</v>
          </cell>
          <cell r="AF121">
            <v>0.09</v>
          </cell>
          <cell r="AG121">
            <v>0.11</v>
          </cell>
          <cell r="AH121">
            <v>0.15</v>
          </cell>
          <cell r="AI121">
            <v>0.2</v>
          </cell>
          <cell r="AJ121">
            <v>0.2</v>
          </cell>
          <cell r="AK121">
            <v>0.2</v>
          </cell>
          <cell r="AL121">
            <v>0</v>
          </cell>
          <cell r="AM121">
            <v>0</v>
          </cell>
          <cell r="AN121">
            <v>0</v>
          </cell>
          <cell r="AO121">
            <v>0</v>
          </cell>
          <cell r="AP121">
            <v>0</v>
          </cell>
          <cell r="AQ121">
            <v>0</v>
          </cell>
          <cell r="AR121">
            <v>0</v>
          </cell>
          <cell r="AS121">
            <v>0</v>
          </cell>
          <cell r="AT121">
            <v>0</v>
          </cell>
          <cell r="AU121">
            <v>0</v>
          </cell>
          <cell r="AV121">
            <v>0</v>
          </cell>
          <cell r="AW121">
            <v>0</v>
          </cell>
          <cell r="AX121">
            <v>0</v>
          </cell>
          <cell r="AY121">
            <v>0</v>
          </cell>
          <cell r="AZ121">
            <v>0</v>
          </cell>
          <cell r="BA121">
            <v>0</v>
          </cell>
          <cell r="BB121">
            <v>0</v>
          </cell>
          <cell r="BC121">
            <v>0</v>
          </cell>
          <cell r="BD121">
            <v>0</v>
          </cell>
          <cell r="BE121">
            <v>0</v>
          </cell>
          <cell r="BF121">
            <v>0</v>
          </cell>
          <cell r="BG121">
            <v>0</v>
          </cell>
          <cell r="BH121">
            <v>0</v>
          </cell>
          <cell r="BI121">
            <v>0</v>
          </cell>
          <cell r="BJ121">
            <v>0</v>
          </cell>
          <cell r="BK121">
            <v>0</v>
          </cell>
          <cell r="BL121">
            <v>0</v>
          </cell>
          <cell r="BM121">
            <v>0</v>
          </cell>
          <cell r="BN121">
            <v>0</v>
          </cell>
          <cell r="BO121">
            <v>0</v>
          </cell>
          <cell r="BP121">
            <v>0</v>
          </cell>
          <cell r="BQ121">
            <v>0</v>
          </cell>
          <cell r="BR121">
            <v>0</v>
          </cell>
          <cell r="BS121">
            <v>0</v>
          </cell>
          <cell r="BT121">
            <v>0</v>
          </cell>
          <cell r="BU121">
            <v>0</v>
          </cell>
          <cell r="BV121">
            <v>0</v>
          </cell>
          <cell r="BW121">
            <v>0</v>
          </cell>
          <cell r="BX121">
            <v>0</v>
          </cell>
          <cell r="BY121">
            <v>0</v>
          </cell>
          <cell r="BZ121">
            <v>0</v>
          </cell>
          <cell r="CA121">
            <v>0</v>
          </cell>
          <cell r="CB121">
            <v>0</v>
          </cell>
          <cell r="CC121">
            <v>0</v>
          </cell>
          <cell r="CD121">
            <v>0</v>
          </cell>
          <cell r="CE121">
            <v>0</v>
          </cell>
          <cell r="CF121">
            <v>0</v>
          </cell>
          <cell r="CG121">
            <v>0</v>
          </cell>
          <cell r="CH121">
            <v>0</v>
          </cell>
          <cell r="CI121">
            <v>0</v>
          </cell>
          <cell r="CJ121">
            <v>0</v>
          </cell>
          <cell r="CK121">
            <v>0</v>
          </cell>
          <cell r="CL121">
            <v>0</v>
          </cell>
          <cell r="CM121">
            <v>0</v>
          </cell>
          <cell r="CN121">
            <v>0</v>
          </cell>
          <cell r="CO121">
            <v>0</v>
          </cell>
          <cell r="CP121">
            <v>0</v>
          </cell>
          <cell r="CQ121">
            <v>0</v>
          </cell>
          <cell r="CR121">
            <v>0</v>
          </cell>
          <cell r="CS121">
            <v>0</v>
          </cell>
          <cell r="CT121">
            <v>0</v>
          </cell>
          <cell r="CU121">
            <v>0</v>
          </cell>
          <cell r="CV121">
            <v>0</v>
          </cell>
          <cell r="CW121">
            <v>0</v>
          </cell>
          <cell r="CX121">
            <v>0</v>
          </cell>
          <cell r="CY121">
            <v>0</v>
          </cell>
          <cell r="CZ121">
            <v>0</v>
          </cell>
          <cell r="DA121">
            <v>0</v>
          </cell>
          <cell r="DB121">
            <v>0</v>
          </cell>
          <cell r="DC121">
            <v>0</v>
          </cell>
          <cell r="DD121">
            <v>0</v>
          </cell>
          <cell r="DE121">
            <v>0</v>
          </cell>
          <cell r="DF121">
            <v>0</v>
          </cell>
          <cell r="DG121">
            <v>0</v>
          </cell>
          <cell r="DH121">
            <v>0</v>
          </cell>
          <cell r="DI121">
            <v>0</v>
          </cell>
          <cell r="DJ121">
            <v>0</v>
          </cell>
          <cell r="DK121">
            <v>0</v>
          </cell>
          <cell r="DL121">
            <v>0</v>
          </cell>
          <cell r="DM121">
            <v>0</v>
          </cell>
          <cell r="DN121">
            <v>0</v>
          </cell>
          <cell r="DO121">
            <v>0</v>
          </cell>
          <cell r="DP121">
            <v>0</v>
          </cell>
          <cell r="DQ121">
            <v>0</v>
          </cell>
          <cell r="DR121">
            <v>0</v>
          </cell>
          <cell r="DS121">
            <v>0</v>
          </cell>
          <cell r="DT121">
            <v>0</v>
          </cell>
          <cell r="DU121">
            <v>0</v>
          </cell>
          <cell r="DV121">
            <v>0</v>
          </cell>
          <cell r="DW121">
            <v>0</v>
          </cell>
          <cell r="DX121">
            <v>0</v>
          </cell>
          <cell r="DY121">
            <v>0</v>
          </cell>
          <cell r="DZ121">
            <v>0</v>
          </cell>
          <cell r="EA121">
            <v>0</v>
          </cell>
          <cell r="EB121">
            <v>0</v>
          </cell>
          <cell r="EC121">
            <v>0</v>
          </cell>
          <cell r="ED121">
            <v>0.05</v>
          </cell>
          <cell r="EE121">
            <v>0.09</v>
          </cell>
          <cell r="EF121">
            <v>0.08</v>
          </cell>
          <cell r="EG121">
            <v>0.17</v>
          </cell>
          <cell r="EH121">
            <v>1</v>
          </cell>
          <cell r="EI121">
            <v>1</v>
          </cell>
          <cell r="EJ121">
            <v>1</v>
          </cell>
          <cell r="EK121">
            <v>1</v>
          </cell>
          <cell r="EL121">
            <v>0.05</v>
          </cell>
          <cell r="EM121">
            <v>0.14000000000000001</v>
          </cell>
          <cell r="EN121">
            <v>0.11</v>
          </cell>
          <cell r="EO121">
            <v>0.2</v>
          </cell>
          <cell r="EP121">
            <v>0</v>
          </cell>
          <cell r="EQ121">
            <v>0</v>
          </cell>
          <cell r="ER121">
            <v>0</v>
          </cell>
          <cell r="ES121">
            <v>0</v>
          </cell>
          <cell r="ET121">
            <v>0</v>
          </cell>
          <cell r="EU121">
            <v>0</v>
          </cell>
          <cell r="EV121">
            <v>0</v>
          </cell>
          <cell r="EW121">
            <v>0</v>
          </cell>
          <cell r="EX121">
            <v>1</v>
          </cell>
          <cell r="EY121">
            <v>1</v>
          </cell>
          <cell r="EZ121">
            <v>1</v>
          </cell>
          <cell r="FA121">
            <v>0</v>
          </cell>
          <cell r="FB121">
            <v>0</v>
          </cell>
          <cell r="FC121">
            <v>0</v>
          </cell>
          <cell r="FD121">
            <v>0</v>
          </cell>
          <cell r="FE121">
            <v>0</v>
          </cell>
          <cell r="FF121">
            <v>0</v>
          </cell>
          <cell r="FG121">
            <v>0</v>
          </cell>
          <cell r="FH121">
            <v>0</v>
          </cell>
          <cell r="FI121">
            <v>0</v>
          </cell>
          <cell r="FJ121">
            <v>0</v>
          </cell>
          <cell r="FK121">
            <v>0</v>
          </cell>
          <cell r="FL121">
            <v>0</v>
          </cell>
          <cell r="FM121">
            <v>0</v>
          </cell>
          <cell r="FN121">
            <v>0</v>
          </cell>
          <cell r="FO121">
            <v>0</v>
          </cell>
          <cell r="FP121">
            <v>0</v>
          </cell>
          <cell r="FQ121">
            <v>0</v>
          </cell>
          <cell r="FR121">
            <v>0</v>
          </cell>
          <cell r="FS121">
            <v>0</v>
          </cell>
          <cell r="FT121">
            <v>0</v>
          </cell>
          <cell r="FU121">
            <v>0</v>
          </cell>
          <cell r="FV121">
            <v>0</v>
          </cell>
          <cell r="FW121">
            <v>0</v>
          </cell>
          <cell r="FX121">
            <v>0</v>
          </cell>
          <cell r="FY121">
            <v>0</v>
          </cell>
          <cell r="FZ121">
            <v>0</v>
          </cell>
        </row>
        <row r="122">
          <cell r="B122">
            <v>0.1</v>
          </cell>
          <cell r="C122">
            <v>0.08</v>
          </cell>
          <cell r="D122">
            <v>0.15</v>
          </cell>
          <cell r="E122">
            <v>0.08</v>
          </cell>
          <cell r="F122">
            <v>0.15</v>
          </cell>
          <cell r="G122">
            <v>0.22</v>
          </cell>
          <cell r="H122">
            <v>7.0000000000000007E-2</v>
          </cell>
          <cell r="I122">
            <v>0.05</v>
          </cell>
          <cell r="J122">
            <v>0.13</v>
          </cell>
          <cell r="K122">
            <v>0.18</v>
          </cell>
          <cell r="L122">
            <v>0.17</v>
          </cell>
          <cell r="M122">
            <v>0.16</v>
          </cell>
          <cell r="N122">
            <v>0.8</v>
          </cell>
          <cell r="O122">
            <v>1</v>
          </cell>
          <cell r="P122">
            <v>1</v>
          </cell>
          <cell r="Q122">
            <v>0.8</v>
          </cell>
          <cell r="R122">
            <v>0.8</v>
          </cell>
          <cell r="S122">
            <v>1</v>
          </cell>
          <cell r="T122">
            <v>1</v>
          </cell>
          <cell r="U122">
            <v>1</v>
          </cell>
          <cell r="V122">
            <v>1</v>
          </cell>
          <cell r="W122">
            <v>1</v>
          </cell>
          <cell r="X122">
            <v>1</v>
          </cell>
          <cell r="Y122">
            <v>1</v>
          </cell>
          <cell r="Z122">
            <v>0.1</v>
          </cell>
          <cell r="AA122">
            <v>0.1</v>
          </cell>
          <cell r="AB122">
            <v>0.14000000000000001</v>
          </cell>
          <cell r="AC122">
            <v>0.11</v>
          </cell>
          <cell r="AD122">
            <v>0.11</v>
          </cell>
          <cell r="AE122">
            <v>0.19</v>
          </cell>
          <cell r="AF122">
            <v>0.09</v>
          </cell>
          <cell r="AG122">
            <v>0.11</v>
          </cell>
          <cell r="AH122">
            <v>0.15</v>
          </cell>
          <cell r="AI122">
            <v>0.2</v>
          </cell>
          <cell r="AJ122">
            <v>0.2</v>
          </cell>
          <cell r="AK122">
            <v>0.2</v>
          </cell>
          <cell r="AL122">
            <v>0</v>
          </cell>
          <cell r="AM122">
            <v>0</v>
          </cell>
          <cell r="AN122">
            <v>0</v>
          </cell>
          <cell r="AO122">
            <v>0</v>
          </cell>
          <cell r="AP122">
            <v>0</v>
          </cell>
          <cell r="AQ122">
            <v>0</v>
          </cell>
          <cell r="AR122">
            <v>0</v>
          </cell>
          <cell r="AS122">
            <v>0</v>
          </cell>
          <cell r="AT122">
            <v>0</v>
          </cell>
          <cell r="AU122">
            <v>0</v>
          </cell>
          <cell r="AV122">
            <v>0</v>
          </cell>
          <cell r="AW122">
            <v>0</v>
          </cell>
          <cell r="AX122">
            <v>0</v>
          </cell>
          <cell r="AY122">
            <v>0</v>
          </cell>
          <cell r="AZ122">
            <v>0</v>
          </cell>
          <cell r="BA122">
            <v>0</v>
          </cell>
          <cell r="BB122">
            <v>0</v>
          </cell>
          <cell r="BC122">
            <v>0</v>
          </cell>
          <cell r="BD122">
            <v>0</v>
          </cell>
          <cell r="BE122">
            <v>0</v>
          </cell>
          <cell r="BF122">
            <v>0</v>
          </cell>
          <cell r="BG122">
            <v>0</v>
          </cell>
          <cell r="BH122">
            <v>0</v>
          </cell>
          <cell r="BI122">
            <v>0</v>
          </cell>
          <cell r="BJ122">
            <v>0</v>
          </cell>
          <cell r="BK122">
            <v>0</v>
          </cell>
          <cell r="BL122">
            <v>0</v>
          </cell>
          <cell r="BM122">
            <v>0</v>
          </cell>
          <cell r="BN122">
            <v>0</v>
          </cell>
          <cell r="BO122">
            <v>0</v>
          </cell>
          <cell r="BP122">
            <v>0</v>
          </cell>
          <cell r="BQ122">
            <v>0</v>
          </cell>
          <cell r="BR122">
            <v>0</v>
          </cell>
          <cell r="BS122">
            <v>0</v>
          </cell>
          <cell r="BT122">
            <v>0</v>
          </cell>
          <cell r="BU122">
            <v>0</v>
          </cell>
          <cell r="BV122">
            <v>0</v>
          </cell>
          <cell r="BW122">
            <v>0</v>
          </cell>
          <cell r="BX122">
            <v>0</v>
          </cell>
          <cell r="BY122">
            <v>0</v>
          </cell>
          <cell r="BZ122">
            <v>0</v>
          </cell>
          <cell r="CA122">
            <v>0</v>
          </cell>
          <cell r="CB122">
            <v>0</v>
          </cell>
          <cell r="CC122">
            <v>0</v>
          </cell>
          <cell r="CD122">
            <v>0</v>
          </cell>
          <cell r="CE122">
            <v>0</v>
          </cell>
          <cell r="CF122">
            <v>0</v>
          </cell>
          <cell r="CG122">
            <v>0</v>
          </cell>
          <cell r="CH122">
            <v>0</v>
          </cell>
          <cell r="CI122">
            <v>0</v>
          </cell>
          <cell r="CJ122">
            <v>0</v>
          </cell>
          <cell r="CK122">
            <v>0</v>
          </cell>
          <cell r="CL122">
            <v>0</v>
          </cell>
          <cell r="CM122">
            <v>0</v>
          </cell>
          <cell r="CN122">
            <v>0</v>
          </cell>
          <cell r="CO122">
            <v>0</v>
          </cell>
          <cell r="CP122">
            <v>0</v>
          </cell>
          <cell r="CQ122">
            <v>0</v>
          </cell>
          <cell r="CR122">
            <v>0</v>
          </cell>
          <cell r="CS122">
            <v>0</v>
          </cell>
          <cell r="CT122">
            <v>0</v>
          </cell>
          <cell r="CU122">
            <v>0</v>
          </cell>
          <cell r="CV122">
            <v>0</v>
          </cell>
          <cell r="CW122">
            <v>0</v>
          </cell>
          <cell r="CX122">
            <v>0</v>
          </cell>
          <cell r="CY122">
            <v>0</v>
          </cell>
          <cell r="CZ122">
            <v>0</v>
          </cell>
          <cell r="DA122">
            <v>0</v>
          </cell>
          <cell r="DB122">
            <v>0</v>
          </cell>
          <cell r="DC122">
            <v>0</v>
          </cell>
          <cell r="DD122">
            <v>0</v>
          </cell>
          <cell r="DE122">
            <v>0</v>
          </cell>
          <cell r="DF122">
            <v>0</v>
          </cell>
          <cell r="DG122">
            <v>0</v>
          </cell>
          <cell r="DH122">
            <v>0</v>
          </cell>
          <cell r="DI122">
            <v>0</v>
          </cell>
          <cell r="DJ122">
            <v>0</v>
          </cell>
          <cell r="DK122">
            <v>0</v>
          </cell>
          <cell r="DL122">
            <v>0</v>
          </cell>
          <cell r="DM122">
            <v>0</v>
          </cell>
          <cell r="DN122">
            <v>0</v>
          </cell>
          <cell r="DO122">
            <v>0</v>
          </cell>
          <cell r="DP122">
            <v>0</v>
          </cell>
          <cell r="DQ122">
            <v>0</v>
          </cell>
          <cell r="DR122">
            <v>0</v>
          </cell>
          <cell r="DS122">
            <v>0</v>
          </cell>
          <cell r="DT122">
            <v>0</v>
          </cell>
          <cell r="DU122">
            <v>0</v>
          </cell>
          <cell r="DV122">
            <v>0</v>
          </cell>
          <cell r="DW122">
            <v>0</v>
          </cell>
          <cell r="DX122">
            <v>0</v>
          </cell>
          <cell r="DY122">
            <v>0</v>
          </cell>
          <cell r="DZ122">
            <v>0</v>
          </cell>
          <cell r="EA122">
            <v>0</v>
          </cell>
          <cell r="EB122">
            <v>0</v>
          </cell>
          <cell r="EC122">
            <v>0</v>
          </cell>
          <cell r="ED122">
            <v>0.05</v>
          </cell>
          <cell r="EE122">
            <v>0.09</v>
          </cell>
          <cell r="EF122">
            <v>0.08</v>
          </cell>
          <cell r="EG122">
            <v>0.17</v>
          </cell>
          <cell r="EH122">
            <v>1</v>
          </cell>
          <cell r="EI122">
            <v>1</v>
          </cell>
          <cell r="EJ122">
            <v>1</v>
          </cell>
          <cell r="EK122">
            <v>1</v>
          </cell>
          <cell r="EL122">
            <v>0.05</v>
          </cell>
          <cell r="EM122">
            <v>0.14000000000000001</v>
          </cell>
          <cell r="EN122">
            <v>0.11</v>
          </cell>
          <cell r="EO122">
            <v>0.2</v>
          </cell>
          <cell r="EP122">
            <v>0</v>
          </cell>
          <cell r="EQ122">
            <v>0</v>
          </cell>
          <cell r="ER122">
            <v>0</v>
          </cell>
          <cell r="ES122">
            <v>0</v>
          </cell>
          <cell r="ET122">
            <v>0</v>
          </cell>
          <cell r="EU122">
            <v>0</v>
          </cell>
          <cell r="EV122">
            <v>0</v>
          </cell>
          <cell r="EW122">
            <v>0</v>
          </cell>
          <cell r="EX122">
            <v>1</v>
          </cell>
          <cell r="EY122">
            <v>1</v>
          </cell>
          <cell r="EZ122">
            <v>1</v>
          </cell>
          <cell r="FA122">
            <v>0</v>
          </cell>
          <cell r="FB122">
            <v>0</v>
          </cell>
          <cell r="FC122">
            <v>0</v>
          </cell>
          <cell r="FD122">
            <v>0</v>
          </cell>
          <cell r="FE122">
            <v>0</v>
          </cell>
          <cell r="FF122">
            <v>0</v>
          </cell>
          <cell r="FG122">
            <v>0</v>
          </cell>
          <cell r="FH122">
            <v>0</v>
          </cell>
          <cell r="FI122">
            <v>0</v>
          </cell>
          <cell r="FJ122">
            <v>0</v>
          </cell>
          <cell r="FK122">
            <v>0</v>
          </cell>
          <cell r="FL122">
            <v>0</v>
          </cell>
          <cell r="FM122">
            <v>0</v>
          </cell>
          <cell r="FN122">
            <v>0</v>
          </cell>
          <cell r="FO122">
            <v>0</v>
          </cell>
          <cell r="FP122">
            <v>0</v>
          </cell>
          <cell r="FQ122">
            <v>0</v>
          </cell>
          <cell r="FR122">
            <v>0</v>
          </cell>
          <cell r="FS122">
            <v>0</v>
          </cell>
          <cell r="FT122">
            <v>0</v>
          </cell>
          <cell r="FU122">
            <v>0</v>
          </cell>
          <cell r="FV122">
            <v>0</v>
          </cell>
          <cell r="FW122">
            <v>0</v>
          </cell>
          <cell r="FX122">
            <v>0</v>
          </cell>
          <cell r="FY122">
            <v>0</v>
          </cell>
          <cell r="FZ122">
            <v>0</v>
          </cell>
        </row>
        <row r="123">
          <cell r="B123">
            <v>0.1</v>
          </cell>
          <cell r="C123">
            <v>0.08</v>
          </cell>
          <cell r="D123">
            <v>0.15</v>
          </cell>
          <cell r="E123">
            <v>0.08</v>
          </cell>
          <cell r="F123">
            <v>0.15</v>
          </cell>
          <cell r="G123">
            <v>0.22</v>
          </cell>
          <cell r="H123">
            <v>7.0000000000000007E-2</v>
          </cell>
          <cell r="I123">
            <v>0.05</v>
          </cell>
          <cell r="J123">
            <v>0.13</v>
          </cell>
          <cell r="K123">
            <v>0.18</v>
          </cell>
          <cell r="L123">
            <v>0.17</v>
          </cell>
          <cell r="M123">
            <v>0.16</v>
          </cell>
          <cell r="N123">
            <v>0.8</v>
          </cell>
          <cell r="O123">
            <v>1</v>
          </cell>
          <cell r="P123">
            <v>1</v>
          </cell>
          <cell r="Q123">
            <v>0.8</v>
          </cell>
          <cell r="R123">
            <v>0.8</v>
          </cell>
          <cell r="S123">
            <v>1</v>
          </cell>
          <cell r="T123">
            <v>1</v>
          </cell>
          <cell r="U123">
            <v>1</v>
          </cell>
          <cell r="V123">
            <v>1</v>
          </cell>
          <cell r="W123">
            <v>1</v>
          </cell>
          <cell r="X123">
            <v>1</v>
          </cell>
          <cell r="Y123">
            <v>1</v>
          </cell>
          <cell r="Z123">
            <v>0.1</v>
          </cell>
          <cell r="AA123">
            <v>0.1</v>
          </cell>
          <cell r="AB123">
            <v>0.14000000000000001</v>
          </cell>
          <cell r="AC123">
            <v>0.11</v>
          </cell>
          <cell r="AD123">
            <v>0.11</v>
          </cell>
          <cell r="AE123">
            <v>0.19</v>
          </cell>
          <cell r="AF123">
            <v>0.09</v>
          </cell>
          <cell r="AG123">
            <v>0.11</v>
          </cell>
          <cell r="AH123">
            <v>0.15</v>
          </cell>
          <cell r="AI123">
            <v>0.2</v>
          </cell>
          <cell r="AJ123">
            <v>0.2</v>
          </cell>
          <cell r="AK123">
            <v>0.2</v>
          </cell>
          <cell r="AL123">
            <v>0</v>
          </cell>
          <cell r="AM123">
            <v>0</v>
          </cell>
          <cell r="AN123">
            <v>0</v>
          </cell>
          <cell r="AO123">
            <v>0</v>
          </cell>
          <cell r="AP123">
            <v>0</v>
          </cell>
          <cell r="AQ123">
            <v>0</v>
          </cell>
          <cell r="AR123">
            <v>0</v>
          </cell>
          <cell r="AS123">
            <v>0</v>
          </cell>
          <cell r="AT123">
            <v>0</v>
          </cell>
          <cell r="AU123">
            <v>0</v>
          </cell>
          <cell r="AV123">
            <v>0</v>
          </cell>
          <cell r="AW123">
            <v>0</v>
          </cell>
          <cell r="AX123">
            <v>0</v>
          </cell>
          <cell r="AY123">
            <v>0</v>
          </cell>
          <cell r="AZ123">
            <v>0</v>
          </cell>
          <cell r="BA123">
            <v>0</v>
          </cell>
          <cell r="BB123">
            <v>0</v>
          </cell>
          <cell r="BC123">
            <v>0</v>
          </cell>
          <cell r="BD123">
            <v>0</v>
          </cell>
          <cell r="BE123">
            <v>0</v>
          </cell>
          <cell r="BF123">
            <v>0</v>
          </cell>
          <cell r="BG123">
            <v>0</v>
          </cell>
          <cell r="BH123">
            <v>0</v>
          </cell>
          <cell r="BI123">
            <v>0</v>
          </cell>
          <cell r="BJ123">
            <v>0</v>
          </cell>
          <cell r="BK123">
            <v>0</v>
          </cell>
          <cell r="BL123">
            <v>0</v>
          </cell>
          <cell r="BM123">
            <v>0</v>
          </cell>
          <cell r="BN123">
            <v>0</v>
          </cell>
          <cell r="BO123">
            <v>0</v>
          </cell>
          <cell r="BP123">
            <v>0</v>
          </cell>
          <cell r="BQ123">
            <v>0</v>
          </cell>
          <cell r="BR123">
            <v>0</v>
          </cell>
          <cell r="BS123">
            <v>0</v>
          </cell>
          <cell r="BT123">
            <v>0</v>
          </cell>
          <cell r="BU123">
            <v>0</v>
          </cell>
          <cell r="BV123">
            <v>0</v>
          </cell>
          <cell r="BW123">
            <v>0</v>
          </cell>
          <cell r="BX123">
            <v>0</v>
          </cell>
          <cell r="BY123">
            <v>0</v>
          </cell>
          <cell r="BZ123">
            <v>0</v>
          </cell>
          <cell r="CA123">
            <v>0</v>
          </cell>
          <cell r="CB123">
            <v>0</v>
          </cell>
          <cell r="CC123">
            <v>0</v>
          </cell>
          <cell r="CD123">
            <v>0</v>
          </cell>
          <cell r="CE123">
            <v>0</v>
          </cell>
          <cell r="CF123">
            <v>0</v>
          </cell>
          <cell r="CG123">
            <v>0</v>
          </cell>
          <cell r="CH123">
            <v>0</v>
          </cell>
          <cell r="CI123">
            <v>0</v>
          </cell>
          <cell r="CJ123">
            <v>0</v>
          </cell>
          <cell r="CK123">
            <v>0</v>
          </cell>
          <cell r="CL123">
            <v>0</v>
          </cell>
          <cell r="CM123">
            <v>0</v>
          </cell>
          <cell r="CN123">
            <v>0</v>
          </cell>
          <cell r="CO123">
            <v>0</v>
          </cell>
          <cell r="CP123">
            <v>0</v>
          </cell>
          <cell r="CQ123">
            <v>0</v>
          </cell>
          <cell r="CR123">
            <v>0</v>
          </cell>
          <cell r="CS123">
            <v>0</v>
          </cell>
          <cell r="CT123">
            <v>0</v>
          </cell>
          <cell r="CU123">
            <v>0</v>
          </cell>
          <cell r="CV123">
            <v>0</v>
          </cell>
          <cell r="CW123">
            <v>0</v>
          </cell>
          <cell r="CX123">
            <v>0</v>
          </cell>
          <cell r="CY123">
            <v>0</v>
          </cell>
          <cell r="CZ123">
            <v>0</v>
          </cell>
          <cell r="DA123">
            <v>0</v>
          </cell>
          <cell r="DB123">
            <v>0</v>
          </cell>
          <cell r="DC123">
            <v>0</v>
          </cell>
          <cell r="DD123">
            <v>0</v>
          </cell>
          <cell r="DE123">
            <v>0</v>
          </cell>
          <cell r="DF123">
            <v>0</v>
          </cell>
          <cell r="DG123">
            <v>0</v>
          </cell>
          <cell r="DH123">
            <v>0</v>
          </cell>
          <cell r="DI123">
            <v>0</v>
          </cell>
          <cell r="DJ123">
            <v>0</v>
          </cell>
          <cell r="DK123">
            <v>0</v>
          </cell>
          <cell r="DL123">
            <v>0</v>
          </cell>
          <cell r="DM123">
            <v>0</v>
          </cell>
          <cell r="DN123">
            <v>0</v>
          </cell>
          <cell r="DO123">
            <v>0</v>
          </cell>
          <cell r="DP123">
            <v>0</v>
          </cell>
          <cell r="DQ123">
            <v>0</v>
          </cell>
          <cell r="DR123">
            <v>0</v>
          </cell>
          <cell r="DS123">
            <v>0</v>
          </cell>
          <cell r="DT123">
            <v>0</v>
          </cell>
          <cell r="DU123">
            <v>0</v>
          </cell>
          <cell r="DV123">
            <v>0</v>
          </cell>
          <cell r="DW123">
            <v>0</v>
          </cell>
          <cell r="DX123">
            <v>0</v>
          </cell>
          <cell r="DY123">
            <v>0</v>
          </cell>
          <cell r="DZ123">
            <v>0</v>
          </cell>
          <cell r="EA123">
            <v>0</v>
          </cell>
          <cell r="EB123">
            <v>0</v>
          </cell>
          <cell r="EC123">
            <v>0</v>
          </cell>
          <cell r="ED123">
            <v>0.05</v>
          </cell>
          <cell r="EE123">
            <v>0.09</v>
          </cell>
          <cell r="EF123">
            <v>0.08</v>
          </cell>
          <cell r="EG123">
            <v>0.17</v>
          </cell>
          <cell r="EH123">
            <v>1</v>
          </cell>
          <cell r="EI123">
            <v>1</v>
          </cell>
          <cell r="EJ123">
            <v>1</v>
          </cell>
          <cell r="EK123">
            <v>1</v>
          </cell>
          <cell r="EL123">
            <v>0.05</v>
          </cell>
          <cell r="EM123">
            <v>0.14000000000000001</v>
          </cell>
          <cell r="EN123">
            <v>0.11</v>
          </cell>
          <cell r="EO123">
            <v>0.2</v>
          </cell>
          <cell r="EP123">
            <v>0</v>
          </cell>
          <cell r="EQ123">
            <v>0</v>
          </cell>
          <cell r="ER123">
            <v>0</v>
          </cell>
          <cell r="ES123">
            <v>0</v>
          </cell>
          <cell r="ET123">
            <v>0</v>
          </cell>
          <cell r="EU123">
            <v>0</v>
          </cell>
          <cell r="EV123">
            <v>0</v>
          </cell>
          <cell r="EW123">
            <v>0</v>
          </cell>
          <cell r="EX123">
            <v>1</v>
          </cell>
          <cell r="EY123">
            <v>1</v>
          </cell>
          <cell r="EZ123">
            <v>1</v>
          </cell>
          <cell r="FA123">
            <v>0</v>
          </cell>
          <cell r="FB123">
            <v>0</v>
          </cell>
          <cell r="FC123">
            <v>0</v>
          </cell>
          <cell r="FD123">
            <v>0</v>
          </cell>
          <cell r="FE123">
            <v>0</v>
          </cell>
          <cell r="FF123">
            <v>0</v>
          </cell>
          <cell r="FG123">
            <v>0</v>
          </cell>
          <cell r="FH123">
            <v>0</v>
          </cell>
          <cell r="FI123">
            <v>0</v>
          </cell>
          <cell r="FJ123">
            <v>0</v>
          </cell>
          <cell r="FK123">
            <v>0</v>
          </cell>
          <cell r="FL123">
            <v>0</v>
          </cell>
          <cell r="FM123">
            <v>0</v>
          </cell>
          <cell r="FN123">
            <v>0</v>
          </cell>
          <cell r="FO123">
            <v>0</v>
          </cell>
          <cell r="FP123">
            <v>0</v>
          </cell>
          <cell r="FQ123">
            <v>0</v>
          </cell>
          <cell r="FR123">
            <v>0</v>
          </cell>
          <cell r="FS123">
            <v>0</v>
          </cell>
          <cell r="FT123">
            <v>0</v>
          </cell>
          <cell r="FU123">
            <v>0</v>
          </cell>
          <cell r="FV123">
            <v>0</v>
          </cell>
          <cell r="FW123">
            <v>0</v>
          </cell>
          <cell r="FX123">
            <v>0</v>
          </cell>
          <cell r="FY123">
            <v>0</v>
          </cell>
          <cell r="FZ123">
            <v>0</v>
          </cell>
        </row>
        <row r="124">
          <cell r="B124">
            <v>0.1</v>
          </cell>
          <cell r="C124">
            <v>0.08</v>
          </cell>
          <cell r="D124">
            <v>0.15</v>
          </cell>
          <cell r="E124">
            <v>0.08</v>
          </cell>
          <cell r="F124">
            <v>0.15</v>
          </cell>
          <cell r="G124">
            <v>0.22</v>
          </cell>
          <cell r="H124">
            <v>7.0000000000000007E-2</v>
          </cell>
          <cell r="I124">
            <v>0.05</v>
          </cell>
          <cell r="J124">
            <v>0.13</v>
          </cell>
          <cell r="K124">
            <v>0.18</v>
          </cell>
          <cell r="L124">
            <v>0.17</v>
          </cell>
          <cell r="M124">
            <v>0.16</v>
          </cell>
          <cell r="N124">
            <v>0.8</v>
          </cell>
          <cell r="O124">
            <v>1</v>
          </cell>
          <cell r="P124">
            <v>1</v>
          </cell>
          <cell r="Q124">
            <v>0.8</v>
          </cell>
          <cell r="R124">
            <v>0.8</v>
          </cell>
          <cell r="S124">
            <v>1</v>
          </cell>
          <cell r="T124">
            <v>1</v>
          </cell>
          <cell r="U124">
            <v>1</v>
          </cell>
          <cell r="V124">
            <v>1</v>
          </cell>
          <cell r="W124">
            <v>1</v>
          </cell>
          <cell r="X124">
            <v>1</v>
          </cell>
          <cell r="Y124">
            <v>1</v>
          </cell>
          <cell r="Z124">
            <v>0.1</v>
          </cell>
          <cell r="AA124">
            <v>0.1</v>
          </cell>
          <cell r="AB124">
            <v>0.14000000000000001</v>
          </cell>
          <cell r="AC124">
            <v>0.11</v>
          </cell>
          <cell r="AD124">
            <v>0.11</v>
          </cell>
          <cell r="AE124">
            <v>0.19</v>
          </cell>
          <cell r="AF124">
            <v>0.09</v>
          </cell>
          <cell r="AG124">
            <v>0.11</v>
          </cell>
          <cell r="AH124">
            <v>0.15</v>
          </cell>
          <cell r="AI124">
            <v>0.2</v>
          </cell>
          <cell r="AJ124">
            <v>0.2</v>
          </cell>
          <cell r="AK124">
            <v>0.2</v>
          </cell>
          <cell r="AL124">
            <v>0</v>
          </cell>
          <cell r="AM124">
            <v>0</v>
          </cell>
          <cell r="AN124">
            <v>0</v>
          </cell>
          <cell r="AO124">
            <v>0</v>
          </cell>
          <cell r="AP124">
            <v>0</v>
          </cell>
          <cell r="AQ124">
            <v>0</v>
          </cell>
          <cell r="AR124">
            <v>0</v>
          </cell>
          <cell r="AS124">
            <v>0</v>
          </cell>
          <cell r="AT124">
            <v>0</v>
          </cell>
          <cell r="AU124">
            <v>0</v>
          </cell>
          <cell r="AV124">
            <v>0</v>
          </cell>
          <cell r="AW124">
            <v>0</v>
          </cell>
          <cell r="AX124">
            <v>0</v>
          </cell>
          <cell r="AY124">
            <v>0</v>
          </cell>
          <cell r="AZ124">
            <v>0</v>
          </cell>
          <cell r="BA124">
            <v>0</v>
          </cell>
          <cell r="BB124">
            <v>0</v>
          </cell>
          <cell r="BC124">
            <v>0</v>
          </cell>
          <cell r="BD124">
            <v>0</v>
          </cell>
          <cell r="BE124">
            <v>0</v>
          </cell>
          <cell r="BF124">
            <v>0</v>
          </cell>
          <cell r="BG124">
            <v>0</v>
          </cell>
          <cell r="BH124">
            <v>0</v>
          </cell>
          <cell r="BI124">
            <v>0</v>
          </cell>
          <cell r="BJ124">
            <v>0</v>
          </cell>
          <cell r="BK124">
            <v>0</v>
          </cell>
          <cell r="BL124">
            <v>0</v>
          </cell>
          <cell r="BM124">
            <v>0</v>
          </cell>
          <cell r="BN124">
            <v>0</v>
          </cell>
          <cell r="BO124">
            <v>0</v>
          </cell>
          <cell r="BP124">
            <v>0</v>
          </cell>
          <cell r="BQ124">
            <v>0</v>
          </cell>
          <cell r="BR124">
            <v>0</v>
          </cell>
          <cell r="BS124">
            <v>0</v>
          </cell>
          <cell r="BT124">
            <v>0</v>
          </cell>
          <cell r="BU124">
            <v>0</v>
          </cell>
          <cell r="BV124">
            <v>0</v>
          </cell>
          <cell r="BW124">
            <v>0</v>
          </cell>
          <cell r="BX124">
            <v>0</v>
          </cell>
          <cell r="BY124">
            <v>0</v>
          </cell>
          <cell r="BZ124">
            <v>0</v>
          </cell>
          <cell r="CA124">
            <v>0</v>
          </cell>
          <cell r="CB124">
            <v>0</v>
          </cell>
          <cell r="CC124">
            <v>0</v>
          </cell>
          <cell r="CD124">
            <v>0</v>
          </cell>
          <cell r="CE124">
            <v>0</v>
          </cell>
          <cell r="CF124">
            <v>0</v>
          </cell>
          <cell r="CG124">
            <v>0</v>
          </cell>
          <cell r="CH124">
            <v>0</v>
          </cell>
          <cell r="CI124">
            <v>0</v>
          </cell>
          <cell r="CJ124">
            <v>0</v>
          </cell>
          <cell r="CK124">
            <v>0</v>
          </cell>
          <cell r="CL124">
            <v>0</v>
          </cell>
          <cell r="CM124">
            <v>0</v>
          </cell>
          <cell r="CN124">
            <v>0</v>
          </cell>
          <cell r="CO124">
            <v>0</v>
          </cell>
          <cell r="CP124">
            <v>0</v>
          </cell>
          <cell r="CQ124">
            <v>0</v>
          </cell>
          <cell r="CR124">
            <v>0</v>
          </cell>
          <cell r="CS124">
            <v>0</v>
          </cell>
          <cell r="CT124">
            <v>0</v>
          </cell>
          <cell r="CU124">
            <v>0</v>
          </cell>
          <cell r="CV124">
            <v>0</v>
          </cell>
          <cell r="CW124">
            <v>0</v>
          </cell>
          <cell r="CX124">
            <v>0</v>
          </cell>
          <cell r="CY124">
            <v>0</v>
          </cell>
          <cell r="CZ124">
            <v>0</v>
          </cell>
          <cell r="DA124">
            <v>0</v>
          </cell>
          <cell r="DB124">
            <v>0</v>
          </cell>
          <cell r="DC124">
            <v>0</v>
          </cell>
          <cell r="DD124">
            <v>0</v>
          </cell>
          <cell r="DE124">
            <v>0</v>
          </cell>
          <cell r="DF124">
            <v>0</v>
          </cell>
          <cell r="DG124">
            <v>0</v>
          </cell>
          <cell r="DH124">
            <v>0</v>
          </cell>
          <cell r="DI124">
            <v>0</v>
          </cell>
          <cell r="DJ124">
            <v>0</v>
          </cell>
          <cell r="DK124">
            <v>0</v>
          </cell>
          <cell r="DL124">
            <v>0</v>
          </cell>
          <cell r="DM124">
            <v>0</v>
          </cell>
          <cell r="DN124">
            <v>0</v>
          </cell>
          <cell r="DO124">
            <v>0</v>
          </cell>
          <cell r="DP124">
            <v>0</v>
          </cell>
          <cell r="DQ124">
            <v>0</v>
          </cell>
          <cell r="DR124">
            <v>0</v>
          </cell>
          <cell r="DS124">
            <v>0</v>
          </cell>
          <cell r="DT124">
            <v>0</v>
          </cell>
          <cell r="DU124">
            <v>0</v>
          </cell>
          <cell r="DV124">
            <v>0</v>
          </cell>
          <cell r="DW124">
            <v>0</v>
          </cell>
          <cell r="DX124">
            <v>0</v>
          </cell>
          <cell r="DY124">
            <v>0</v>
          </cell>
          <cell r="DZ124">
            <v>0</v>
          </cell>
          <cell r="EA124">
            <v>0</v>
          </cell>
          <cell r="EB124">
            <v>0</v>
          </cell>
          <cell r="EC124">
            <v>0</v>
          </cell>
          <cell r="ED124">
            <v>0.05</v>
          </cell>
          <cell r="EE124">
            <v>0.09</v>
          </cell>
          <cell r="EF124">
            <v>0.08</v>
          </cell>
          <cell r="EG124">
            <v>0.17</v>
          </cell>
          <cell r="EH124">
            <v>1</v>
          </cell>
          <cell r="EI124">
            <v>1</v>
          </cell>
          <cell r="EJ124">
            <v>1</v>
          </cell>
          <cell r="EK124">
            <v>1</v>
          </cell>
          <cell r="EL124">
            <v>0.05</v>
          </cell>
          <cell r="EM124">
            <v>0.14000000000000001</v>
          </cell>
          <cell r="EN124">
            <v>0.11</v>
          </cell>
          <cell r="EO124">
            <v>0.2</v>
          </cell>
          <cell r="EP124">
            <v>366516232.54299998</v>
          </cell>
          <cell r="EQ124">
            <v>615787374.55900002</v>
          </cell>
          <cell r="ER124">
            <v>91397907.464000002</v>
          </cell>
          <cell r="ES124">
            <v>0</v>
          </cell>
          <cell r="ET124">
            <v>659535826.28499997</v>
          </cell>
          <cell r="EU124">
            <v>1744395729.1036038</v>
          </cell>
          <cell r="EV124">
            <v>303821381.85000002</v>
          </cell>
          <cell r="EW124">
            <v>0</v>
          </cell>
          <cell r="EX124">
            <v>1</v>
          </cell>
          <cell r="EY124">
            <v>1</v>
          </cell>
          <cell r="EZ124">
            <v>1</v>
          </cell>
          <cell r="FA124">
            <v>0</v>
          </cell>
          <cell r="FB124">
            <v>0</v>
          </cell>
          <cell r="FC124">
            <v>0</v>
          </cell>
          <cell r="FD124">
            <v>0</v>
          </cell>
          <cell r="FE124">
            <v>0</v>
          </cell>
          <cell r="FF124">
            <v>0</v>
          </cell>
          <cell r="FG124">
            <v>0</v>
          </cell>
          <cell r="FH124">
            <v>30797671.013586029</v>
          </cell>
          <cell r="FI124">
            <v>20282554.30820762</v>
          </cell>
          <cell r="FJ124">
            <v>156341372.63300851</v>
          </cell>
          <cell r="FK124">
            <v>366516232.54299998</v>
          </cell>
          <cell r="FL124">
            <v>615787374.55900002</v>
          </cell>
          <cell r="FM124">
            <v>91397907.464000002</v>
          </cell>
          <cell r="FN124">
            <v>0</v>
          </cell>
          <cell r="FO124">
            <v>366516232.54299998</v>
          </cell>
          <cell r="FP124">
            <v>615787374.55900002</v>
          </cell>
          <cell r="FQ124">
            <v>91397907.464000002</v>
          </cell>
          <cell r="FR124">
            <v>0</v>
          </cell>
          <cell r="FS124">
            <v>0</v>
          </cell>
          <cell r="FT124">
            <v>0</v>
          </cell>
          <cell r="FU124">
            <v>0</v>
          </cell>
          <cell r="FV124">
            <v>0</v>
          </cell>
          <cell r="FW124">
            <v>0</v>
          </cell>
          <cell r="FX124">
            <v>0</v>
          </cell>
          <cell r="FY124">
            <v>0</v>
          </cell>
          <cell r="FZ124">
            <v>0</v>
          </cell>
        </row>
        <row r="125">
          <cell r="B125">
            <v>0.1</v>
          </cell>
          <cell r="C125">
            <v>0.08</v>
          </cell>
          <cell r="D125">
            <v>0.15</v>
          </cell>
          <cell r="E125">
            <v>0.08</v>
          </cell>
          <cell r="F125">
            <v>0.15</v>
          </cell>
          <cell r="G125">
            <v>0.22</v>
          </cell>
          <cell r="H125">
            <v>7.0000000000000007E-2</v>
          </cell>
          <cell r="I125">
            <v>0.05</v>
          </cell>
          <cell r="J125">
            <v>0.13</v>
          </cell>
          <cell r="K125">
            <v>0.18</v>
          </cell>
          <cell r="L125">
            <v>0.17</v>
          </cell>
          <cell r="M125">
            <v>0.16</v>
          </cell>
          <cell r="N125">
            <v>0.8</v>
          </cell>
          <cell r="O125">
            <v>1</v>
          </cell>
          <cell r="P125">
            <v>1</v>
          </cell>
          <cell r="Q125">
            <v>0.8</v>
          </cell>
          <cell r="R125">
            <v>0.8</v>
          </cell>
          <cell r="S125">
            <v>1</v>
          </cell>
          <cell r="T125">
            <v>1</v>
          </cell>
          <cell r="U125">
            <v>1</v>
          </cell>
          <cell r="V125">
            <v>1</v>
          </cell>
          <cell r="W125">
            <v>1</v>
          </cell>
          <cell r="X125">
            <v>1</v>
          </cell>
          <cell r="Y125">
            <v>1</v>
          </cell>
          <cell r="Z125">
            <v>0.1</v>
          </cell>
          <cell r="AA125">
            <v>0.1</v>
          </cell>
          <cell r="AB125">
            <v>0.14000000000000001</v>
          </cell>
          <cell r="AC125">
            <v>0.11</v>
          </cell>
          <cell r="AD125">
            <v>0.11</v>
          </cell>
          <cell r="AE125">
            <v>0.19</v>
          </cell>
          <cell r="AF125">
            <v>0.09</v>
          </cell>
          <cell r="AG125">
            <v>0.11</v>
          </cell>
          <cell r="AH125">
            <v>0.15</v>
          </cell>
          <cell r="AI125">
            <v>0.2</v>
          </cell>
          <cell r="AJ125">
            <v>0.2</v>
          </cell>
          <cell r="AK125">
            <v>0.2</v>
          </cell>
          <cell r="AL125">
            <v>0</v>
          </cell>
          <cell r="AM125">
            <v>0</v>
          </cell>
          <cell r="AN125">
            <v>0</v>
          </cell>
          <cell r="AO125">
            <v>0</v>
          </cell>
          <cell r="AP125">
            <v>0</v>
          </cell>
          <cell r="AQ125">
            <v>0</v>
          </cell>
          <cell r="AR125">
            <v>0</v>
          </cell>
          <cell r="AS125">
            <v>0</v>
          </cell>
          <cell r="AT125">
            <v>0</v>
          </cell>
          <cell r="AU125">
            <v>0</v>
          </cell>
          <cell r="AV125">
            <v>0</v>
          </cell>
          <cell r="AW125">
            <v>0</v>
          </cell>
          <cell r="AX125">
            <v>0</v>
          </cell>
          <cell r="AY125">
            <v>0</v>
          </cell>
          <cell r="AZ125">
            <v>0</v>
          </cell>
          <cell r="BA125">
            <v>0</v>
          </cell>
          <cell r="BB125">
            <v>0</v>
          </cell>
          <cell r="BC125">
            <v>0</v>
          </cell>
          <cell r="BD125">
            <v>0</v>
          </cell>
          <cell r="BE125">
            <v>0</v>
          </cell>
          <cell r="BF125">
            <v>0</v>
          </cell>
          <cell r="BG125">
            <v>0</v>
          </cell>
          <cell r="BH125">
            <v>0</v>
          </cell>
          <cell r="BI125">
            <v>0</v>
          </cell>
          <cell r="BJ125">
            <v>0</v>
          </cell>
          <cell r="BK125">
            <v>0</v>
          </cell>
          <cell r="BL125">
            <v>0</v>
          </cell>
          <cell r="BM125">
            <v>0</v>
          </cell>
          <cell r="BN125">
            <v>0</v>
          </cell>
          <cell r="BO125">
            <v>0</v>
          </cell>
          <cell r="BP125">
            <v>0</v>
          </cell>
          <cell r="BQ125">
            <v>0</v>
          </cell>
          <cell r="BR125">
            <v>0</v>
          </cell>
          <cell r="BS125">
            <v>0</v>
          </cell>
          <cell r="BT125">
            <v>0</v>
          </cell>
          <cell r="BU125">
            <v>0</v>
          </cell>
          <cell r="BV125">
            <v>0</v>
          </cell>
          <cell r="BW125">
            <v>0</v>
          </cell>
          <cell r="BX125">
            <v>0</v>
          </cell>
          <cell r="BY125">
            <v>0</v>
          </cell>
          <cell r="BZ125">
            <v>0</v>
          </cell>
          <cell r="CA125">
            <v>0</v>
          </cell>
          <cell r="CB125">
            <v>0</v>
          </cell>
          <cell r="CC125">
            <v>0</v>
          </cell>
          <cell r="CD125">
            <v>0</v>
          </cell>
          <cell r="CE125">
            <v>0</v>
          </cell>
          <cell r="CF125">
            <v>0</v>
          </cell>
          <cell r="CG125">
            <v>0</v>
          </cell>
          <cell r="CH125">
            <v>0</v>
          </cell>
          <cell r="CI125">
            <v>0</v>
          </cell>
          <cell r="CJ125">
            <v>0</v>
          </cell>
          <cell r="CK125">
            <v>0</v>
          </cell>
          <cell r="CL125">
            <v>0</v>
          </cell>
          <cell r="CM125">
            <v>0</v>
          </cell>
          <cell r="CN125">
            <v>0</v>
          </cell>
          <cell r="CO125">
            <v>0</v>
          </cell>
          <cell r="CP125">
            <v>0</v>
          </cell>
          <cell r="CQ125">
            <v>0</v>
          </cell>
          <cell r="CR125">
            <v>0</v>
          </cell>
          <cell r="CS125">
            <v>0</v>
          </cell>
          <cell r="CT125">
            <v>0</v>
          </cell>
          <cell r="CU125">
            <v>0</v>
          </cell>
          <cell r="CV125">
            <v>0</v>
          </cell>
          <cell r="CW125">
            <v>0</v>
          </cell>
          <cell r="CX125">
            <v>0</v>
          </cell>
          <cell r="CY125">
            <v>0</v>
          </cell>
          <cell r="CZ125">
            <v>0</v>
          </cell>
          <cell r="DA125">
            <v>0</v>
          </cell>
          <cell r="DB125">
            <v>0</v>
          </cell>
          <cell r="DC125">
            <v>0</v>
          </cell>
          <cell r="DD125">
            <v>0</v>
          </cell>
          <cell r="DE125">
            <v>0</v>
          </cell>
          <cell r="DF125">
            <v>0</v>
          </cell>
          <cell r="DG125">
            <v>0</v>
          </cell>
          <cell r="DH125">
            <v>0</v>
          </cell>
          <cell r="DI125">
            <v>0</v>
          </cell>
          <cell r="DJ125">
            <v>0</v>
          </cell>
          <cell r="DK125">
            <v>0</v>
          </cell>
          <cell r="DL125">
            <v>0</v>
          </cell>
          <cell r="DM125">
            <v>0</v>
          </cell>
          <cell r="DN125">
            <v>0</v>
          </cell>
          <cell r="DO125">
            <v>0</v>
          </cell>
          <cell r="DP125">
            <v>0</v>
          </cell>
          <cell r="DQ125">
            <v>0</v>
          </cell>
          <cell r="DR125">
            <v>0</v>
          </cell>
          <cell r="DS125">
            <v>0</v>
          </cell>
          <cell r="DT125">
            <v>0</v>
          </cell>
          <cell r="DU125">
            <v>0</v>
          </cell>
          <cell r="DV125">
            <v>0</v>
          </cell>
          <cell r="DW125">
            <v>0</v>
          </cell>
          <cell r="DX125">
            <v>0</v>
          </cell>
          <cell r="DY125">
            <v>0</v>
          </cell>
          <cell r="DZ125">
            <v>0</v>
          </cell>
          <cell r="EA125">
            <v>0</v>
          </cell>
          <cell r="EB125">
            <v>0</v>
          </cell>
          <cell r="EC125">
            <v>0</v>
          </cell>
          <cell r="ED125">
            <v>0.05</v>
          </cell>
          <cell r="EE125">
            <v>0.09</v>
          </cell>
          <cell r="EF125">
            <v>0.08</v>
          </cell>
          <cell r="EG125">
            <v>0.17</v>
          </cell>
          <cell r="EH125">
            <v>1</v>
          </cell>
          <cell r="EI125">
            <v>1</v>
          </cell>
          <cell r="EJ125">
            <v>1</v>
          </cell>
          <cell r="EK125">
            <v>1</v>
          </cell>
          <cell r="EL125">
            <v>0.05</v>
          </cell>
          <cell r="EM125">
            <v>0.14000000000000001</v>
          </cell>
          <cell r="EN125">
            <v>0.11</v>
          </cell>
          <cell r="EO125">
            <v>0.2</v>
          </cell>
          <cell r="EP125">
            <v>0</v>
          </cell>
          <cell r="EQ125">
            <v>0</v>
          </cell>
          <cell r="ER125">
            <v>0</v>
          </cell>
          <cell r="ES125">
            <v>0</v>
          </cell>
          <cell r="ET125">
            <v>0</v>
          </cell>
          <cell r="EU125">
            <v>0</v>
          </cell>
          <cell r="EV125">
            <v>0</v>
          </cell>
          <cell r="EW125">
            <v>0</v>
          </cell>
          <cell r="EX125">
            <v>1</v>
          </cell>
          <cell r="EY125">
            <v>1</v>
          </cell>
          <cell r="EZ125">
            <v>1</v>
          </cell>
          <cell r="FA125">
            <v>0</v>
          </cell>
          <cell r="FB125">
            <v>0</v>
          </cell>
          <cell r="FC125">
            <v>0</v>
          </cell>
          <cell r="FD125">
            <v>0</v>
          </cell>
          <cell r="FE125">
            <v>0</v>
          </cell>
          <cell r="FF125">
            <v>0</v>
          </cell>
          <cell r="FG125">
            <v>0</v>
          </cell>
          <cell r="FH125">
            <v>0</v>
          </cell>
          <cell r="FI125">
            <v>0</v>
          </cell>
          <cell r="FJ125">
            <v>0</v>
          </cell>
          <cell r="FK125">
            <v>0</v>
          </cell>
          <cell r="FL125">
            <v>0</v>
          </cell>
          <cell r="FM125">
            <v>0</v>
          </cell>
          <cell r="FN125">
            <v>0</v>
          </cell>
          <cell r="FO125">
            <v>0</v>
          </cell>
          <cell r="FP125">
            <v>0</v>
          </cell>
          <cell r="FQ125">
            <v>0</v>
          </cell>
          <cell r="FR125">
            <v>0</v>
          </cell>
          <cell r="FS125">
            <v>0</v>
          </cell>
          <cell r="FT125">
            <v>0</v>
          </cell>
          <cell r="FU125">
            <v>0</v>
          </cell>
          <cell r="FV125">
            <v>0</v>
          </cell>
          <cell r="FW125">
            <v>0</v>
          </cell>
          <cell r="FX125">
            <v>0</v>
          </cell>
          <cell r="FY125">
            <v>0</v>
          </cell>
          <cell r="FZ125">
            <v>0</v>
          </cell>
        </row>
        <row r="126">
          <cell r="B126">
            <v>0.1</v>
          </cell>
          <cell r="C126">
            <v>0.08</v>
          </cell>
          <cell r="D126">
            <v>0.15</v>
          </cell>
          <cell r="E126">
            <v>0.08</v>
          </cell>
          <cell r="F126">
            <v>0.15</v>
          </cell>
          <cell r="G126">
            <v>0.22</v>
          </cell>
          <cell r="H126">
            <v>7.0000000000000007E-2</v>
          </cell>
          <cell r="I126">
            <v>0.05</v>
          </cell>
          <cell r="J126">
            <v>0.13</v>
          </cell>
          <cell r="K126">
            <v>0.18</v>
          </cell>
          <cell r="L126">
            <v>0.17</v>
          </cell>
          <cell r="M126">
            <v>0.16</v>
          </cell>
          <cell r="N126">
            <v>0.8</v>
          </cell>
          <cell r="O126">
            <v>1</v>
          </cell>
          <cell r="P126">
            <v>1</v>
          </cell>
          <cell r="Q126">
            <v>0.8</v>
          </cell>
          <cell r="R126">
            <v>0.8</v>
          </cell>
          <cell r="S126">
            <v>1</v>
          </cell>
          <cell r="T126">
            <v>1</v>
          </cell>
          <cell r="U126">
            <v>1</v>
          </cell>
          <cell r="V126">
            <v>1</v>
          </cell>
          <cell r="W126">
            <v>1</v>
          </cell>
          <cell r="X126">
            <v>1</v>
          </cell>
          <cell r="Y126">
            <v>1</v>
          </cell>
          <cell r="Z126">
            <v>0.1</v>
          </cell>
          <cell r="AA126">
            <v>0.1</v>
          </cell>
          <cell r="AB126">
            <v>0.14000000000000001</v>
          </cell>
          <cell r="AC126">
            <v>0.11</v>
          </cell>
          <cell r="AD126">
            <v>0.11</v>
          </cell>
          <cell r="AE126">
            <v>0.19</v>
          </cell>
          <cell r="AF126">
            <v>0.09</v>
          </cell>
          <cell r="AG126">
            <v>0.11</v>
          </cell>
          <cell r="AH126">
            <v>0.15</v>
          </cell>
          <cell r="AI126">
            <v>0.2</v>
          </cell>
          <cell r="AJ126">
            <v>0.2</v>
          </cell>
          <cell r="AK126">
            <v>0.2</v>
          </cell>
          <cell r="AL126">
            <v>0</v>
          </cell>
          <cell r="AM126">
            <v>0</v>
          </cell>
          <cell r="AN126">
            <v>0</v>
          </cell>
          <cell r="AO126">
            <v>0</v>
          </cell>
          <cell r="AP126">
            <v>0</v>
          </cell>
          <cell r="AQ126">
            <v>0</v>
          </cell>
          <cell r="AR126">
            <v>0</v>
          </cell>
          <cell r="AS126">
            <v>0</v>
          </cell>
          <cell r="AT126">
            <v>322873391.384</v>
          </cell>
          <cell r="AU126">
            <v>0</v>
          </cell>
          <cell r="AV126">
            <v>0</v>
          </cell>
          <cell r="AW126">
            <v>0</v>
          </cell>
          <cell r="AX126">
            <v>0</v>
          </cell>
          <cell r="AY126">
            <v>0</v>
          </cell>
          <cell r="AZ126">
            <v>0</v>
          </cell>
          <cell r="BA126">
            <v>0</v>
          </cell>
          <cell r="BB126">
            <v>0</v>
          </cell>
          <cell r="BC126">
            <v>0</v>
          </cell>
          <cell r="BD126">
            <v>0</v>
          </cell>
          <cell r="BE126">
            <v>0</v>
          </cell>
          <cell r="BF126">
            <v>93816282.390000001</v>
          </cell>
          <cell r="BG126">
            <v>0</v>
          </cell>
          <cell r="BH126">
            <v>0</v>
          </cell>
          <cell r="BI126">
            <v>0</v>
          </cell>
          <cell r="BJ126">
            <v>0</v>
          </cell>
          <cell r="BK126">
            <v>0</v>
          </cell>
          <cell r="BL126">
            <v>0</v>
          </cell>
          <cell r="BM126">
            <v>0</v>
          </cell>
          <cell r="BN126">
            <v>0</v>
          </cell>
          <cell r="BO126">
            <v>0</v>
          </cell>
          <cell r="BP126">
            <v>0</v>
          </cell>
          <cell r="BQ126">
            <v>0</v>
          </cell>
          <cell r="BR126">
            <v>0</v>
          </cell>
          <cell r="BS126">
            <v>0</v>
          </cell>
          <cell r="BT126">
            <v>0</v>
          </cell>
          <cell r="BU126">
            <v>0</v>
          </cell>
          <cell r="BV126">
            <v>-118836595.55470002</v>
          </cell>
          <cell r="BW126">
            <v>-118836595.55470002</v>
          </cell>
          <cell r="BX126">
            <v>-118836595.55470002</v>
          </cell>
          <cell r="BY126">
            <v>-118836595.55470002</v>
          </cell>
          <cell r="BZ126">
            <v>-118836595.55470002</v>
          </cell>
          <cell r="CA126">
            <v>-88427457.582219958</v>
          </cell>
          <cell r="CB126">
            <v>0</v>
          </cell>
          <cell r="CC126">
            <v>14577745.200000003</v>
          </cell>
          <cell r="CD126">
            <v>0</v>
          </cell>
          <cell r="CE126">
            <v>0</v>
          </cell>
          <cell r="CF126">
            <v>0</v>
          </cell>
          <cell r="CG126">
            <v>0</v>
          </cell>
          <cell r="CH126">
            <v>0</v>
          </cell>
          <cell r="CI126">
            <v>0</v>
          </cell>
          <cell r="CJ126">
            <v>0</v>
          </cell>
          <cell r="CK126">
            <v>0</v>
          </cell>
          <cell r="CL126">
            <v>36444363</v>
          </cell>
          <cell r="CM126">
            <v>0</v>
          </cell>
          <cell r="CN126">
            <v>0</v>
          </cell>
          <cell r="CO126">
            <v>0</v>
          </cell>
          <cell r="CP126">
            <v>0</v>
          </cell>
          <cell r="CQ126">
            <v>0</v>
          </cell>
          <cell r="CR126">
            <v>0</v>
          </cell>
          <cell r="CS126">
            <v>0</v>
          </cell>
          <cell r="CT126">
            <v>0</v>
          </cell>
          <cell r="CU126">
            <v>0</v>
          </cell>
          <cell r="CV126">
            <v>0</v>
          </cell>
          <cell r="CW126">
            <v>0</v>
          </cell>
          <cell r="CX126">
            <v>36444363</v>
          </cell>
          <cell r="CY126">
            <v>0</v>
          </cell>
          <cell r="CZ126">
            <v>0</v>
          </cell>
          <cell r="DA126">
            <v>0</v>
          </cell>
          <cell r="DB126">
            <v>0</v>
          </cell>
          <cell r="DC126">
            <v>0</v>
          </cell>
          <cell r="DD126">
            <v>0</v>
          </cell>
          <cell r="DE126">
            <v>0</v>
          </cell>
          <cell r="DF126">
            <v>0</v>
          </cell>
          <cell r="DG126">
            <v>0</v>
          </cell>
          <cell r="DH126">
            <v>0</v>
          </cell>
          <cell r="DI126">
            <v>0</v>
          </cell>
          <cell r="DJ126">
            <v>57571029.002999999</v>
          </cell>
          <cell r="DK126">
            <v>0</v>
          </cell>
          <cell r="DL126">
            <v>0</v>
          </cell>
          <cell r="DM126">
            <v>0</v>
          </cell>
          <cell r="DN126">
            <v>0</v>
          </cell>
          <cell r="DO126">
            <v>0</v>
          </cell>
          <cell r="DP126">
            <v>0</v>
          </cell>
          <cell r="DQ126">
            <v>0</v>
          </cell>
          <cell r="DR126">
            <v>0</v>
          </cell>
          <cell r="DS126">
            <v>0</v>
          </cell>
          <cell r="DT126">
            <v>0</v>
          </cell>
          <cell r="DU126">
            <v>0</v>
          </cell>
          <cell r="DV126">
            <v>0</v>
          </cell>
          <cell r="DW126">
            <v>0</v>
          </cell>
          <cell r="DX126">
            <v>0</v>
          </cell>
          <cell r="DY126">
            <v>0</v>
          </cell>
          <cell r="DZ126">
            <v>0</v>
          </cell>
          <cell r="EA126">
            <v>0</v>
          </cell>
          <cell r="EB126">
            <v>0</v>
          </cell>
          <cell r="EC126">
            <v>0</v>
          </cell>
          <cell r="ED126">
            <v>0.05</v>
          </cell>
          <cell r="EE126">
            <v>0.09</v>
          </cell>
          <cell r="EF126">
            <v>0.08</v>
          </cell>
          <cell r="EG126">
            <v>0.17</v>
          </cell>
          <cell r="EH126">
            <v>1</v>
          </cell>
          <cell r="EI126">
            <v>1</v>
          </cell>
          <cell r="EJ126">
            <v>1</v>
          </cell>
          <cell r="EK126">
            <v>1</v>
          </cell>
          <cell r="EL126">
            <v>0.05</v>
          </cell>
          <cell r="EM126">
            <v>0.14000000000000001</v>
          </cell>
          <cell r="EN126">
            <v>0.11</v>
          </cell>
          <cell r="EO126">
            <v>0.2</v>
          </cell>
          <cell r="EP126">
            <v>0</v>
          </cell>
          <cell r="EQ126">
            <v>0</v>
          </cell>
          <cell r="ER126">
            <v>0</v>
          </cell>
          <cell r="ES126">
            <v>0</v>
          </cell>
          <cell r="ET126">
            <v>0</v>
          </cell>
          <cell r="EU126">
            <v>0</v>
          </cell>
          <cell r="EV126">
            <v>0</v>
          </cell>
          <cell r="EW126">
            <v>0</v>
          </cell>
          <cell r="EX126">
            <v>1</v>
          </cell>
          <cell r="EY126">
            <v>1</v>
          </cell>
          <cell r="EZ126">
            <v>1</v>
          </cell>
          <cell r="FA126">
            <v>0</v>
          </cell>
          <cell r="FB126">
            <v>0</v>
          </cell>
          <cell r="FC126">
            <v>0</v>
          </cell>
          <cell r="FD126">
            <v>0</v>
          </cell>
          <cell r="FE126">
            <v>0</v>
          </cell>
          <cell r="FF126">
            <v>0</v>
          </cell>
          <cell r="FG126">
            <v>0</v>
          </cell>
          <cell r="FH126">
            <v>8796378.1177441608</v>
          </cell>
          <cell r="FI126">
            <v>4080786.0294692605</v>
          </cell>
          <cell r="FJ126">
            <v>32860850.289514676</v>
          </cell>
          <cell r="FK126">
            <v>0</v>
          </cell>
          <cell r="FL126">
            <v>0</v>
          </cell>
          <cell r="FM126">
            <v>0</v>
          </cell>
          <cell r="FN126">
            <v>0</v>
          </cell>
          <cell r="FO126">
            <v>0</v>
          </cell>
          <cell r="FP126">
            <v>0</v>
          </cell>
          <cell r="FQ126">
            <v>0</v>
          </cell>
          <cell r="FR126">
            <v>0</v>
          </cell>
          <cell r="FS126">
            <v>0</v>
          </cell>
          <cell r="FT126">
            <v>0</v>
          </cell>
          <cell r="FU126">
            <v>0</v>
          </cell>
          <cell r="FV126">
            <v>0</v>
          </cell>
          <cell r="FW126">
            <v>0</v>
          </cell>
          <cell r="FX126">
            <v>0</v>
          </cell>
          <cell r="FY126">
            <v>0</v>
          </cell>
          <cell r="FZ126">
            <v>0</v>
          </cell>
        </row>
        <row r="127">
          <cell r="B127">
            <v>0.1</v>
          </cell>
          <cell r="C127">
            <v>0.08</v>
          </cell>
          <cell r="D127">
            <v>0.15</v>
          </cell>
          <cell r="E127">
            <v>0.08</v>
          </cell>
          <cell r="F127">
            <v>0.15</v>
          </cell>
          <cell r="G127">
            <v>0.22</v>
          </cell>
          <cell r="H127">
            <v>7.0000000000000007E-2</v>
          </cell>
          <cell r="I127">
            <v>0.05</v>
          </cell>
          <cell r="J127">
            <v>0.13</v>
          </cell>
          <cell r="K127">
            <v>0.18</v>
          </cell>
          <cell r="L127">
            <v>0.17</v>
          </cell>
          <cell r="M127">
            <v>0.16</v>
          </cell>
          <cell r="N127">
            <v>0.8</v>
          </cell>
          <cell r="O127">
            <v>1</v>
          </cell>
          <cell r="P127">
            <v>1</v>
          </cell>
          <cell r="Q127">
            <v>0.8</v>
          </cell>
          <cell r="R127">
            <v>0.8</v>
          </cell>
          <cell r="S127">
            <v>1</v>
          </cell>
          <cell r="T127">
            <v>1</v>
          </cell>
          <cell r="U127">
            <v>1</v>
          </cell>
          <cell r="V127">
            <v>1</v>
          </cell>
          <cell r="W127">
            <v>1</v>
          </cell>
          <cell r="X127">
            <v>1</v>
          </cell>
          <cell r="Y127">
            <v>1</v>
          </cell>
          <cell r="Z127">
            <v>0.1</v>
          </cell>
          <cell r="AA127">
            <v>0.1</v>
          </cell>
          <cell r="AB127">
            <v>0.14000000000000001</v>
          </cell>
          <cell r="AC127">
            <v>0.11</v>
          </cell>
          <cell r="AD127">
            <v>0.11</v>
          </cell>
          <cell r="AE127">
            <v>0.19</v>
          </cell>
          <cell r="AF127">
            <v>0.09</v>
          </cell>
          <cell r="AG127">
            <v>0.11</v>
          </cell>
          <cell r="AH127">
            <v>0.15</v>
          </cell>
          <cell r="AI127">
            <v>0.2</v>
          </cell>
          <cell r="AJ127">
            <v>0.2</v>
          </cell>
          <cell r="AK127">
            <v>0.2</v>
          </cell>
          <cell r="AL127">
            <v>0</v>
          </cell>
          <cell r="AM127">
            <v>0</v>
          </cell>
          <cell r="AN127">
            <v>0</v>
          </cell>
          <cell r="AO127">
            <v>0</v>
          </cell>
          <cell r="AP127">
            <v>0</v>
          </cell>
          <cell r="AQ127">
            <v>0</v>
          </cell>
          <cell r="AR127">
            <v>0</v>
          </cell>
          <cell r="AS127">
            <v>0</v>
          </cell>
          <cell r="AT127">
            <v>57571029.002999999</v>
          </cell>
          <cell r="AU127">
            <v>0</v>
          </cell>
          <cell r="AV127">
            <v>0</v>
          </cell>
          <cell r="AW127">
            <v>0</v>
          </cell>
          <cell r="AX127">
            <v>0</v>
          </cell>
          <cell r="AY127">
            <v>0</v>
          </cell>
          <cell r="AZ127">
            <v>0</v>
          </cell>
          <cell r="BA127">
            <v>0</v>
          </cell>
          <cell r="BB127">
            <v>0</v>
          </cell>
          <cell r="BC127">
            <v>0</v>
          </cell>
          <cell r="BD127">
            <v>0</v>
          </cell>
          <cell r="BE127">
            <v>0</v>
          </cell>
          <cell r="BF127">
            <v>18301321.223000001</v>
          </cell>
          <cell r="BG127">
            <v>0</v>
          </cell>
          <cell r="BH127">
            <v>0</v>
          </cell>
          <cell r="BI127">
            <v>0</v>
          </cell>
          <cell r="BJ127">
            <v>0</v>
          </cell>
          <cell r="BK127">
            <v>0</v>
          </cell>
          <cell r="BL127">
            <v>0</v>
          </cell>
          <cell r="BM127">
            <v>0</v>
          </cell>
          <cell r="BN127">
            <v>0</v>
          </cell>
          <cell r="BO127">
            <v>0</v>
          </cell>
          <cell r="BP127">
            <v>0</v>
          </cell>
          <cell r="BQ127">
            <v>0</v>
          </cell>
          <cell r="BR127">
            <v>0</v>
          </cell>
          <cell r="BS127">
            <v>0</v>
          </cell>
          <cell r="BT127">
            <v>0</v>
          </cell>
          <cell r="BU127">
            <v>0</v>
          </cell>
          <cell r="BV127">
            <v>618852275.62224996</v>
          </cell>
          <cell r="BW127">
            <v>618852275.62224996</v>
          </cell>
          <cell r="BX127">
            <v>618852275.62224996</v>
          </cell>
          <cell r="BY127">
            <v>618852275.62224996</v>
          </cell>
          <cell r="BZ127">
            <v>618852275.62224996</v>
          </cell>
          <cell r="CA127">
            <v>620182521.67268002</v>
          </cell>
          <cell r="CB127">
            <v>0</v>
          </cell>
          <cell r="CC127">
            <v>5417709.2000000002</v>
          </cell>
          <cell r="CD127">
            <v>0</v>
          </cell>
          <cell r="CE127">
            <v>0</v>
          </cell>
          <cell r="CF127">
            <v>0</v>
          </cell>
          <cell r="CG127">
            <v>0</v>
          </cell>
          <cell r="CH127">
            <v>0</v>
          </cell>
          <cell r="CI127">
            <v>0</v>
          </cell>
          <cell r="CJ127">
            <v>0</v>
          </cell>
          <cell r="CK127">
            <v>0</v>
          </cell>
          <cell r="CL127">
            <v>6828786</v>
          </cell>
          <cell r="CM127">
            <v>0</v>
          </cell>
          <cell r="CN127">
            <v>0</v>
          </cell>
          <cell r="CO127">
            <v>0</v>
          </cell>
          <cell r="CP127">
            <v>0</v>
          </cell>
          <cell r="CQ127">
            <v>0</v>
          </cell>
          <cell r="CR127">
            <v>0</v>
          </cell>
          <cell r="CS127">
            <v>0</v>
          </cell>
          <cell r="CT127">
            <v>0</v>
          </cell>
          <cell r="CU127">
            <v>0</v>
          </cell>
          <cell r="CV127">
            <v>0</v>
          </cell>
          <cell r="CW127">
            <v>0</v>
          </cell>
          <cell r="CX127">
            <v>6828786</v>
          </cell>
          <cell r="CY127">
            <v>0</v>
          </cell>
          <cell r="CZ127">
            <v>0</v>
          </cell>
          <cell r="DA127">
            <v>0</v>
          </cell>
          <cell r="DB127">
            <v>0</v>
          </cell>
          <cell r="DC127">
            <v>0</v>
          </cell>
          <cell r="DD127">
            <v>0</v>
          </cell>
          <cell r="DE127">
            <v>0</v>
          </cell>
          <cell r="DF127">
            <v>0</v>
          </cell>
          <cell r="DG127">
            <v>0</v>
          </cell>
          <cell r="DH127">
            <v>0</v>
          </cell>
          <cell r="DI127">
            <v>0</v>
          </cell>
          <cell r="DJ127">
            <v>322873391.384</v>
          </cell>
          <cell r="DK127">
            <v>0</v>
          </cell>
          <cell r="DL127">
            <v>0</v>
          </cell>
          <cell r="DM127">
            <v>0</v>
          </cell>
          <cell r="DN127">
            <v>0</v>
          </cell>
          <cell r="DO127">
            <v>0</v>
          </cell>
          <cell r="DP127">
            <v>0</v>
          </cell>
          <cell r="DQ127">
            <v>0</v>
          </cell>
          <cell r="DR127">
            <v>0</v>
          </cell>
          <cell r="DS127">
            <v>0</v>
          </cell>
          <cell r="DT127">
            <v>0</v>
          </cell>
          <cell r="DU127">
            <v>0</v>
          </cell>
          <cell r="DV127">
            <v>0</v>
          </cell>
          <cell r="DW127">
            <v>0</v>
          </cell>
          <cell r="DX127">
            <v>0</v>
          </cell>
          <cell r="DY127">
            <v>0</v>
          </cell>
          <cell r="DZ127">
            <v>0</v>
          </cell>
          <cell r="EA127">
            <v>0</v>
          </cell>
          <cell r="EB127">
            <v>0</v>
          </cell>
          <cell r="EC127">
            <v>0</v>
          </cell>
          <cell r="ED127">
            <v>0.05</v>
          </cell>
          <cell r="EE127">
            <v>0.09</v>
          </cell>
          <cell r="EF127">
            <v>0.08</v>
          </cell>
          <cell r="EG127">
            <v>0.17</v>
          </cell>
          <cell r="EH127">
            <v>1</v>
          </cell>
          <cell r="EI127">
            <v>1</v>
          </cell>
          <cell r="EJ127">
            <v>1</v>
          </cell>
          <cell r="EK127">
            <v>1</v>
          </cell>
          <cell r="EL127">
            <v>0.05</v>
          </cell>
          <cell r="EM127">
            <v>0.14000000000000001</v>
          </cell>
          <cell r="EN127">
            <v>0.11</v>
          </cell>
          <cell r="EO127">
            <v>0.2</v>
          </cell>
          <cell r="EP127">
            <v>0</v>
          </cell>
          <cell r="EQ127">
            <v>0</v>
          </cell>
          <cell r="ER127">
            <v>0</v>
          </cell>
          <cell r="ES127">
            <v>0</v>
          </cell>
          <cell r="ET127">
            <v>0</v>
          </cell>
          <cell r="EU127">
            <v>0</v>
          </cell>
          <cell r="EV127">
            <v>0</v>
          </cell>
          <cell r="EW127">
            <v>0</v>
          </cell>
          <cell r="EX127">
            <v>1</v>
          </cell>
          <cell r="EY127">
            <v>1</v>
          </cell>
          <cell r="EZ127">
            <v>1</v>
          </cell>
          <cell r="FA127">
            <v>0</v>
          </cell>
          <cell r="FB127">
            <v>0</v>
          </cell>
          <cell r="FC127">
            <v>0</v>
          </cell>
          <cell r="FD127">
            <v>0</v>
          </cell>
          <cell r="FE127">
            <v>0</v>
          </cell>
          <cell r="FF127">
            <v>0</v>
          </cell>
          <cell r="FG127">
            <v>0</v>
          </cell>
          <cell r="FH127">
            <v>8532992.6471258719</v>
          </cell>
          <cell r="FI127">
            <v>3958597.1314390404</v>
          </cell>
          <cell r="FJ127">
            <v>31876914.582958151</v>
          </cell>
          <cell r="FK127">
            <v>0</v>
          </cell>
          <cell r="FL127">
            <v>0</v>
          </cell>
          <cell r="FM127">
            <v>0</v>
          </cell>
          <cell r="FN127">
            <v>0</v>
          </cell>
          <cell r="FO127">
            <v>0</v>
          </cell>
          <cell r="FP127">
            <v>0</v>
          </cell>
          <cell r="FQ127">
            <v>0</v>
          </cell>
          <cell r="FR127">
            <v>0</v>
          </cell>
          <cell r="FS127">
            <v>0</v>
          </cell>
          <cell r="FT127">
            <v>0</v>
          </cell>
          <cell r="FU127">
            <v>0</v>
          </cell>
          <cell r="FV127">
            <v>0</v>
          </cell>
          <cell r="FW127">
            <v>0</v>
          </cell>
          <cell r="FX127">
            <v>0</v>
          </cell>
          <cell r="FY127">
            <v>0</v>
          </cell>
          <cell r="FZ127">
            <v>0</v>
          </cell>
        </row>
        <row r="128">
          <cell r="B128">
            <v>0.1</v>
          </cell>
          <cell r="C128">
            <v>0.08</v>
          </cell>
          <cell r="D128">
            <v>0.15</v>
          </cell>
          <cell r="E128">
            <v>0.08</v>
          </cell>
          <cell r="F128">
            <v>0.15</v>
          </cell>
          <cell r="G128">
            <v>0.22</v>
          </cell>
          <cell r="H128">
            <v>7.0000000000000007E-2</v>
          </cell>
          <cell r="I128">
            <v>0.05</v>
          </cell>
          <cell r="J128">
            <v>0.13</v>
          </cell>
          <cell r="K128">
            <v>0.18</v>
          </cell>
          <cell r="L128">
            <v>0.17</v>
          </cell>
          <cell r="M128">
            <v>0.16</v>
          </cell>
          <cell r="N128">
            <v>0.8</v>
          </cell>
          <cell r="O128">
            <v>1</v>
          </cell>
          <cell r="P128">
            <v>1</v>
          </cell>
          <cell r="Q128">
            <v>0.8</v>
          </cell>
          <cell r="R128">
            <v>0.8</v>
          </cell>
          <cell r="S128">
            <v>1</v>
          </cell>
          <cell r="T128">
            <v>1</v>
          </cell>
          <cell r="U128">
            <v>1</v>
          </cell>
          <cell r="V128">
            <v>1</v>
          </cell>
          <cell r="W128">
            <v>1</v>
          </cell>
          <cell r="X128">
            <v>1</v>
          </cell>
          <cell r="Y128">
            <v>1</v>
          </cell>
          <cell r="Z128">
            <v>0.1</v>
          </cell>
          <cell r="AA128">
            <v>0.1</v>
          </cell>
          <cell r="AB128">
            <v>0.14000000000000001</v>
          </cell>
          <cell r="AC128">
            <v>0.11</v>
          </cell>
          <cell r="AD128">
            <v>0.11</v>
          </cell>
          <cell r="AE128">
            <v>0.19</v>
          </cell>
          <cell r="AF128">
            <v>0.09</v>
          </cell>
          <cell r="AG128">
            <v>0.11</v>
          </cell>
          <cell r="AH128">
            <v>0.15</v>
          </cell>
          <cell r="AI128">
            <v>0.2</v>
          </cell>
          <cell r="AJ128">
            <v>0.2</v>
          </cell>
          <cell r="AK128">
            <v>0.2</v>
          </cell>
          <cell r="AL128">
            <v>0</v>
          </cell>
          <cell r="AM128">
            <v>0</v>
          </cell>
          <cell r="AN128">
            <v>0</v>
          </cell>
          <cell r="AO128">
            <v>0</v>
          </cell>
          <cell r="AP128">
            <v>0</v>
          </cell>
          <cell r="AQ128">
            <v>0</v>
          </cell>
          <cell r="AR128">
            <v>0</v>
          </cell>
          <cell r="AS128">
            <v>0</v>
          </cell>
          <cell r="AT128">
            <v>0</v>
          </cell>
          <cell r="AU128">
            <v>0</v>
          </cell>
          <cell r="AV128">
            <v>0</v>
          </cell>
          <cell r="AW128">
            <v>0</v>
          </cell>
          <cell r="AX128">
            <v>0</v>
          </cell>
          <cell r="AY128">
            <v>0</v>
          </cell>
          <cell r="AZ128">
            <v>0</v>
          </cell>
          <cell r="BA128">
            <v>0</v>
          </cell>
          <cell r="BB128">
            <v>0</v>
          </cell>
          <cell r="BC128">
            <v>0</v>
          </cell>
          <cell r="BD128">
            <v>0</v>
          </cell>
          <cell r="BE128">
            <v>0</v>
          </cell>
          <cell r="BF128">
            <v>0</v>
          </cell>
          <cell r="BG128">
            <v>0</v>
          </cell>
          <cell r="BH128">
            <v>0</v>
          </cell>
          <cell r="BI128">
            <v>0</v>
          </cell>
          <cell r="BJ128">
            <v>0</v>
          </cell>
          <cell r="BK128">
            <v>0</v>
          </cell>
          <cell r="BL128">
            <v>0</v>
          </cell>
          <cell r="BM128">
            <v>0</v>
          </cell>
          <cell r="BN128">
            <v>0</v>
          </cell>
          <cell r="BO128">
            <v>0</v>
          </cell>
          <cell r="BP128">
            <v>0</v>
          </cell>
          <cell r="BQ128">
            <v>0</v>
          </cell>
          <cell r="BR128">
            <v>0</v>
          </cell>
          <cell r="BS128">
            <v>0</v>
          </cell>
          <cell r="BT128">
            <v>0</v>
          </cell>
          <cell r="BU128">
            <v>0</v>
          </cell>
          <cell r="BV128">
            <v>155671853.65430999</v>
          </cell>
          <cell r="BW128">
            <v>155671853.65430999</v>
          </cell>
          <cell r="BX128">
            <v>155671853.65430999</v>
          </cell>
          <cell r="BY128">
            <v>155671853.65430999</v>
          </cell>
          <cell r="BZ128">
            <v>155671853.65430999</v>
          </cell>
          <cell r="CA128">
            <v>155671853.65430999</v>
          </cell>
          <cell r="CB128">
            <v>0</v>
          </cell>
          <cell r="CC128">
            <v>0</v>
          </cell>
          <cell r="CD128">
            <v>0</v>
          </cell>
          <cell r="CE128">
            <v>0</v>
          </cell>
          <cell r="CF128">
            <v>0</v>
          </cell>
          <cell r="CG128">
            <v>0</v>
          </cell>
          <cell r="CH128">
            <v>0</v>
          </cell>
          <cell r="CI128">
            <v>0</v>
          </cell>
          <cell r="CJ128">
            <v>0</v>
          </cell>
          <cell r="CK128">
            <v>0</v>
          </cell>
          <cell r="CL128">
            <v>0</v>
          </cell>
          <cell r="CM128">
            <v>0</v>
          </cell>
          <cell r="CN128">
            <v>0</v>
          </cell>
          <cell r="CO128">
            <v>0</v>
          </cell>
          <cell r="CP128">
            <v>0</v>
          </cell>
          <cell r="CQ128">
            <v>0</v>
          </cell>
          <cell r="CR128">
            <v>0</v>
          </cell>
          <cell r="CS128">
            <v>0</v>
          </cell>
          <cell r="CT128">
            <v>0</v>
          </cell>
          <cell r="CU128">
            <v>0</v>
          </cell>
          <cell r="CV128">
            <v>0</v>
          </cell>
          <cell r="CW128">
            <v>0</v>
          </cell>
          <cell r="CX128">
            <v>0</v>
          </cell>
          <cell r="CY128">
            <v>0</v>
          </cell>
          <cell r="CZ128">
            <v>0</v>
          </cell>
          <cell r="DA128">
            <v>0</v>
          </cell>
          <cell r="DB128">
            <v>0</v>
          </cell>
          <cell r="DC128">
            <v>0</v>
          </cell>
          <cell r="DD128">
            <v>0</v>
          </cell>
          <cell r="DE128">
            <v>0</v>
          </cell>
          <cell r="DF128">
            <v>0</v>
          </cell>
          <cell r="DG128">
            <v>0</v>
          </cell>
          <cell r="DH128">
            <v>0</v>
          </cell>
          <cell r="DI128">
            <v>0</v>
          </cell>
          <cell r="DJ128">
            <v>0</v>
          </cell>
          <cell r="DK128">
            <v>0</v>
          </cell>
          <cell r="DL128">
            <v>0</v>
          </cell>
          <cell r="DM128">
            <v>0</v>
          </cell>
          <cell r="DN128">
            <v>0</v>
          </cell>
          <cell r="DO128">
            <v>0</v>
          </cell>
          <cell r="DP128">
            <v>0</v>
          </cell>
          <cell r="DQ128">
            <v>0</v>
          </cell>
          <cell r="DR128">
            <v>0</v>
          </cell>
          <cell r="DS128">
            <v>0</v>
          </cell>
          <cell r="DT128">
            <v>0</v>
          </cell>
          <cell r="DU128">
            <v>0</v>
          </cell>
          <cell r="DV128">
            <v>0</v>
          </cell>
          <cell r="DW128">
            <v>0</v>
          </cell>
          <cell r="DX128">
            <v>0</v>
          </cell>
          <cell r="DY128">
            <v>0</v>
          </cell>
          <cell r="DZ128">
            <v>0</v>
          </cell>
          <cell r="EA128">
            <v>0</v>
          </cell>
          <cell r="EB128">
            <v>0</v>
          </cell>
          <cell r="EC128">
            <v>0</v>
          </cell>
          <cell r="ED128">
            <v>0.05</v>
          </cell>
          <cell r="EE128">
            <v>0.09</v>
          </cell>
          <cell r="EF128">
            <v>0.08</v>
          </cell>
          <cell r="EG128">
            <v>0.17</v>
          </cell>
          <cell r="EH128">
            <v>1</v>
          </cell>
          <cell r="EI128">
            <v>1</v>
          </cell>
          <cell r="EJ128">
            <v>1</v>
          </cell>
          <cell r="EK128">
            <v>1</v>
          </cell>
          <cell r="EL128">
            <v>0.05</v>
          </cell>
          <cell r="EM128">
            <v>0.14000000000000001</v>
          </cell>
          <cell r="EN128">
            <v>0.11</v>
          </cell>
          <cell r="EO128">
            <v>0.2</v>
          </cell>
          <cell r="EP128">
            <v>0</v>
          </cell>
          <cell r="EQ128">
            <v>0</v>
          </cell>
          <cell r="ER128">
            <v>0</v>
          </cell>
          <cell r="ES128">
            <v>0</v>
          </cell>
          <cell r="ET128">
            <v>0</v>
          </cell>
          <cell r="EU128">
            <v>0</v>
          </cell>
          <cell r="EV128">
            <v>0</v>
          </cell>
          <cell r="EW128">
            <v>0</v>
          </cell>
          <cell r="EX128">
            <v>1</v>
          </cell>
          <cell r="EY128">
            <v>1</v>
          </cell>
          <cell r="EZ128">
            <v>1</v>
          </cell>
          <cell r="FA128">
            <v>0</v>
          </cell>
          <cell r="FB128">
            <v>0</v>
          </cell>
          <cell r="FC128">
            <v>0</v>
          </cell>
          <cell r="FD128">
            <v>0</v>
          </cell>
          <cell r="FE128">
            <v>0</v>
          </cell>
          <cell r="FF128">
            <v>0</v>
          </cell>
          <cell r="FG128">
            <v>0</v>
          </cell>
          <cell r="FH128">
            <v>0</v>
          </cell>
          <cell r="FI128">
            <v>0</v>
          </cell>
          <cell r="FJ128">
            <v>0</v>
          </cell>
          <cell r="FK128">
            <v>0</v>
          </cell>
          <cell r="FL128">
            <v>0</v>
          </cell>
          <cell r="FM128">
            <v>0</v>
          </cell>
          <cell r="FN128">
            <v>0</v>
          </cell>
          <cell r="FO128">
            <v>0</v>
          </cell>
          <cell r="FP128">
            <v>0</v>
          </cell>
          <cell r="FQ128">
            <v>0</v>
          </cell>
          <cell r="FR128">
            <v>0</v>
          </cell>
          <cell r="FS128">
            <v>0</v>
          </cell>
          <cell r="FT128">
            <v>0</v>
          </cell>
          <cell r="FU128">
            <v>0</v>
          </cell>
          <cell r="FV128">
            <v>0</v>
          </cell>
          <cell r="FW128">
            <v>0</v>
          </cell>
          <cell r="FX128">
            <v>0</v>
          </cell>
          <cell r="FY128">
            <v>0</v>
          </cell>
          <cell r="FZ128">
            <v>0</v>
          </cell>
        </row>
        <row r="129">
          <cell r="B129">
            <v>0.1</v>
          </cell>
          <cell r="C129">
            <v>0.08</v>
          </cell>
          <cell r="D129">
            <v>0.15</v>
          </cell>
          <cell r="E129">
            <v>0.08</v>
          </cell>
          <cell r="F129">
            <v>0.15</v>
          </cell>
          <cell r="G129">
            <v>0.22</v>
          </cell>
          <cell r="H129">
            <v>7.0000000000000007E-2</v>
          </cell>
          <cell r="I129">
            <v>0.05</v>
          </cell>
          <cell r="J129">
            <v>0.13</v>
          </cell>
          <cell r="K129">
            <v>0.18</v>
          </cell>
          <cell r="L129">
            <v>0.17</v>
          </cell>
          <cell r="M129">
            <v>0.16</v>
          </cell>
          <cell r="N129">
            <v>0.8</v>
          </cell>
          <cell r="O129">
            <v>1</v>
          </cell>
          <cell r="P129">
            <v>1</v>
          </cell>
          <cell r="Q129">
            <v>0.8</v>
          </cell>
          <cell r="R129">
            <v>0.8</v>
          </cell>
          <cell r="S129">
            <v>1</v>
          </cell>
          <cell r="T129">
            <v>1</v>
          </cell>
          <cell r="U129">
            <v>1</v>
          </cell>
          <cell r="V129">
            <v>1</v>
          </cell>
          <cell r="W129">
            <v>1</v>
          </cell>
          <cell r="X129">
            <v>1</v>
          </cell>
          <cell r="Y129">
            <v>1</v>
          </cell>
          <cell r="Z129">
            <v>0.1</v>
          </cell>
          <cell r="AA129">
            <v>0.1</v>
          </cell>
          <cell r="AB129">
            <v>0.14000000000000001</v>
          </cell>
          <cell r="AC129">
            <v>0.11</v>
          </cell>
          <cell r="AD129">
            <v>0.11</v>
          </cell>
          <cell r="AE129">
            <v>0.19</v>
          </cell>
          <cell r="AF129">
            <v>0.09</v>
          </cell>
          <cell r="AG129">
            <v>0.11</v>
          </cell>
          <cell r="AH129">
            <v>0.15</v>
          </cell>
          <cell r="AI129">
            <v>0.2</v>
          </cell>
          <cell r="AJ129">
            <v>0.2</v>
          </cell>
          <cell r="AK129">
            <v>0.2</v>
          </cell>
          <cell r="AL129">
            <v>0</v>
          </cell>
          <cell r="AM129">
            <v>0</v>
          </cell>
          <cell r="AN129">
            <v>0</v>
          </cell>
          <cell r="AO129">
            <v>0</v>
          </cell>
          <cell r="AP129">
            <v>0</v>
          </cell>
          <cell r="AQ129">
            <v>0</v>
          </cell>
          <cell r="AR129">
            <v>0</v>
          </cell>
          <cell r="AS129">
            <v>0</v>
          </cell>
          <cell r="AT129">
            <v>0</v>
          </cell>
          <cell r="AU129">
            <v>0</v>
          </cell>
          <cell r="AV129">
            <v>0</v>
          </cell>
          <cell r="AW129">
            <v>0</v>
          </cell>
          <cell r="AX129">
            <v>0</v>
          </cell>
          <cell r="AY129">
            <v>0</v>
          </cell>
          <cell r="AZ129">
            <v>0</v>
          </cell>
          <cell r="BA129">
            <v>0</v>
          </cell>
          <cell r="BB129">
            <v>0</v>
          </cell>
          <cell r="BC129">
            <v>0</v>
          </cell>
          <cell r="BD129">
            <v>0</v>
          </cell>
          <cell r="BE129">
            <v>0</v>
          </cell>
          <cell r="BF129">
            <v>0</v>
          </cell>
          <cell r="BG129">
            <v>0</v>
          </cell>
          <cell r="BH129">
            <v>0</v>
          </cell>
          <cell r="BI129">
            <v>0</v>
          </cell>
          <cell r="BJ129">
            <v>0</v>
          </cell>
          <cell r="BK129">
            <v>0</v>
          </cell>
          <cell r="BL129">
            <v>0</v>
          </cell>
          <cell r="BM129">
            <v>0</v>
          </cell>
          <cell r="BN129">
            <v>0</v>
          </cell>
          <cell r="BO129">
            <v>0</v>
          </cell>
          <cell r="BP129">
            <v>0</v>
          </cell>
          <cell r="BQ129">
            <v>0</v>
          </cell>
          <cell r="BR129">
            <v>0</v>
          </cell>
          <cell r="BS129">
            <v>0</v>
          </cell>
          <cell r="BT129">
            <v>0</v>
          </cell>
          <cell r="BU129">
            <v>0</v>
          </cell>
          <cell r="BV129">
            <v>0</v>
          </cell>
          <cell r="BW129">
            <v>0</v>
          </cell>
          <cell r="BX129">
            <v>0</v>
          </cell>
          <cell r="BY129">
            <v>0</v>
          </cell>
          <cell r="BZ129">
            <v>0</v>
          </cell>
          <cell r="CA129">
            <v>0</v>
          </cell>
          <cell r="CB129">
            <v>0</v>
          </cell>
          <cell r="CC129">
            <v>0</v>
          </cell>
          <cell r="CD129">
            <v>0</v>
          </cell>
          <cell r="CE129">
            <v>0</v>
          </cell>
          <cell r="CF129">
            <v>0</v>
          </cell>
          <cell r="CG129">
            <v>0</v>
          </cell>
          <cell r="CH129">
            <v>0</v>
          </cell>
          <cell r="CI129">
            <v>0</v>
          </cell>
          <cell r="CJ129">
            <v>0</v>
          </cell>
          <cell r="CK129">
            <v>0</v>
          </cell>
          <cell r="CL129">
            <v>0</v>
          </cell>
          <cell r="CM129">
            <v>0</v>
          </cell>
          <cell r="CN129">
            <v>0</v>
          </cell>
          <cell r="CO129">
            <v>0</v>
          </cell>
          <cell r="CP129">
            <v>0</v>
          </cell>
          <cell r="CQ129">
            <v>0</v>
          </cell>
          <cell r="CR129">
            <v>0</v>
          </cell>
          <cell r="CS129">
            <v>0</v>
          </cell>
          <cell r="CT129">
            <v>0</v>
          </cell>
          <cell r="CU129">
            <v>0</v>
          </cell>
          <cell r="CV129">
            <v>0</v>
          </cell>
          <cell r="CW129">
            <v>0</v>
          </cell>
          <cell r="CX129">
            <v>0</v>
          </cell>
          <cell r="CY129">
            <v>0</v>
          </cell>
          <cell r="CZ129">
            <v>0</v>
          </cell>
          <cell r="DA129">
            <v>0</v>
          </cell>
          <cell r="DB129">
            <v>0</v>
          </cell>
          <cell r="DC129">
            <v>0</v>
          </cell>
          <cell r="DD129">
            <v>0</v>
          </cell>
          <cell r="DE129">
            <v>0</v>
          </cell>
          <cell r="DF129">
            <v>0</v>
          </cell>
          <cell r="DG129">
            <v>0</v>
          </cell>
          <cell r="DH129">
            <v>0</v>
          </cell>
          <cell r="DI129">
            <v>0</v>
          </cell>
          <cell r="DJ129">
            <v>0</v>
          </cell>
          <cell r="DK129">
            <v>0</v>
          </cell>
          <cell r="DL129">
            <v>0</v>
          </cell>
          <cell r="DM129">
            <v>0</v>
          </cell>
          <cell r="DN129">
            <v>0</v>
          </cell>
          <cell r="DO129">
            <v>0</v>
          </cell>
          <cell r="DP129">
            <v>0</v>
          </cell>
          <cell r="DQ129">
            <v>0</v>
          </cell>
          <cell r="DR129">
            <v>0</v>
          </cell>
          <cell r="DS129">
            <v>0</v>
          </cell>
          <cell r="DT129">
            <v>0</v>
          </cell>
          <cell r="DU129">
            <v>0</v>
          </cell>
          <cell r="DV129">
            <v>0</v>
          </cell>
          <cell r="DW129">
            <v>0</v>
          </cell>
          <cell r="DX129">
            <v>0</v>
          </cell>
          <cell r="DY129">
            <v>0</v>
          </cell>
          <cell r="DZ129">
            <v>0</v>
          </cell>
          <cell r="EA129">
            <v>0</v>
          </cell>
          <cell r="EB129">
            <v>0</v>
          </cell>
          <cell r="EC129">
            <v>0</v>
          </cell>
          <cell r="ED129">
            <v>0.05</v>
          </cell>
          <cell r="EE129">
            <v>0.09</v>
          </cell>
          <cell r="EF129">
            <v>0.08</v>
          </cell>
          <cell r="EG129">
            <v>0.17</v>
          </cell>
          <cell r="EH129">
            <v>1</v>
          </cell>
          <cell r="EI129">
            <v>1</v>
          </cell>
          <cell r="EJ129">
            <v>1</v>
          </cell>
          <cell r="EK129">
            <v>1</v>
          </cell>
          <cell r="EL129">
            <v>0.05</v>
          </cell>
          <cell r="EM129">
            <v>0.14000000000000001</v>
          </cell>
          <cell r="EN129">
            <v>0.11</v>
          </cell>
          <cell r="EO129">
            <v>0.2</v>
          </cell>
          <cell r="EP129">
            <v>0</v>
          </cell>
          <cell r="EQ129">
            <v>0</v>
          </cell>
          <cell r="ER129">
            <v>0</v>
          </cell>
          <cell r="ES129">
            <v>0</v>
          </cell>
          <cell r="ET129">
            <v>0</v>
          </cell>
          <cell r="EU129">
            <v>0</v>
          </cell>
          <cell r="EV129">
            <v>0</v>
          </cell>
          <cell r="EW129">
            <v>0</v>
          </cell>
          <cell r="EX129">
            <v>1</v>
          </cell>
          <cell r="EY129">
            <v>1</v>
          </cell>
          <cell r="EZ129">
            <v>1</v>
          </cell>
          <cell r="FA129">
            <v>0</v>
          </cell>
          <cell r="FB129">
            <v>0</v>
          </cell>
          <cell r="FC129">
            <v>0</v>
          </cell>
          <cell r="FD129">
            <v>0</v>
          </cell>
          <cell r="FE129">
            <v>0</v>
          </cell>
          <cell r="FF129">
            <v>0</v>
          </cell>
          <cell r="FG129">
            <v>0</v>
          </cell>
          <cell r="FH129">
            <v>0</v>
          </cell>
          <cell r="FI129">
            <v>0</v>
          </cell>
          <cell r="FJ129">
            <v>0</v>
          </cell>
          <cell r="FK129">
            <v>0</v>
          </cell>
          <cell r="FL129">
            <v>0</v>
          </cell>
          <cell r="FM129">
            <v>0</v>
          </cell>
          <cell r="FN129">
            <v>0</v>
          </cell>
          <cell r="FO129">
            <v>0</v>
          </cell>
          <cell r="FP129">
            <v>0</v>
          </cell>
          <cell r="FQ129">
            <v>0</v>
          </cell>
          <cell r="FR129">
            <v>0</v>
          </cell>
          <cell r="FS129">
            <v>0</v>
          </cell>
          <cell r="FT129">
            <v>0</v>
          </cell>
          <cell r="FU129">
            <v>0</v>
          </cell>
          <cell r="FV129">
            <v>0</v>
          </cell>
          <cell r="FW129">
            <v>0</v>
          </cell>
          <cell r="FX129">
            <v>0</v>
          </cell>
          <cell r="FY129">
            <v>0</v>
          </cell>
          <cell r="FZ129">
            <v>0</v>
          </cell>
        </row>
        <row r="130">
          <cell r="B130">
            <v>0.1</v>
          </cell>
          <cell r="C130">
            <v>0.08</v>
          </cell>
          <cell r="D130">
            <v>0.15</v>
          </cell>
          <cell r="E130">
            <v>0.08</v>
          </cell>
          <cell r="F130">
            <v>0.15</v>
          </cell>
          <cell r="G130">
            <v>0.22</v>
          </cell>
          <cell r="H130">
            <v>7.0000000000000007E-2</v>
          </cell>
          <cell r="I130">
            <v>0.05</v>
          </cell>
          <cell r="J130">
            <v>0.13</v>
          </cell>
          <cell r="K130">
            <v>0.18</v>
          </cell>
          <cell r="L130">
            <v>0.17</v>
          </cell>
          <cell r="M130">
            <v>0.16</v>
          </cell>
          <cell r="N130">
            <v>0.8</v>
          </cell>
          <cell r="O130">
            <v>1</v>
          </cell>
          <cell r="P130">
            <v>1</v>
          </cell>
          <cell r="Q130">
            <v>0.8</v>
          </cell>
          <cell r="R130">
            <v>0.8</v>
          </cell>
          <cell r="S130">
            <v>1</v>
          </cell>
          <cell r="T130">
            <v>1</v>
          </cell>
          <cell r="U130">
            <v>1</v>
          </cell>
          <cell r="V130">
            <v>1</v>
          </cell>
          <cell r="W130">
            <v>1</v>
          </cell>
          <cell r="X130">
            <v>1</v>
          </cell>
          <cell r="Y130">
            <v>1</v>
          </cell>
          <cell r="Z130">
            <v>0.1</v>
          </cell>
          <cell r="AA130">
            <v>0.1</v>
          </cell>
          <cell r="AB130">
            <v>0.14000000000000001</v>
          </cell>
          <cell r="AC130">
            <v>0.11</v>
          </cell>
          <cell r="AD130">
            <v>0.11</v>
          </cell>
          <cell r="AE130">
            <v>0.19</v>
          </cell>
          <cell r="AF130">
            <v>0.09</v>
          </cell>
          <cell r="AG130">
            <v>0.11</v>
          </cell>
          <cell r="AH130">
            <v>0.15</v>
          </cell>
          <cell r="AI130">
            <v>0.2</v>
          </cell>
          <cell r="AJ130">
            <v>0.2</v>
          </cell>
          <cell r="AK130">
            <v>0.2</v>
          </cell>
          <cell r="AL130">
            <v>0</v>
          </cell>
          <cell r="AM130">
            <v>0</v>
          </cell>
          <cell r="AN130">
            <v>0</v>
          </cell>
          <cell r="AO130">
            <v>0</v>
          </cell>
          <cell r="AP130">
            <v>0</v>
          </cell>
          <cell r="AQ130">
            <v>0</v>
          </cell>
          <cell r="AR130">
            <v>0</v>
          </cell>
          <cell r="AS130">
            <v>0</v>
          </cell>
          <cell r="AT130">
            <v>0</v>
          </cell>
          <cell r="AU130">
            <v>0</v>
          </cell>
          <cell r="AV130">
            <v>0</v>
          </cell>
          <cell r="AW130">
            <v>0</v>
          </cell>
          <cell r="AX130">
            <v>0</v>
          </cell>
          <cell r="AY130">
            <v>0</v>
          </cell>
          <cell r="AZ130">
            <v>0</v>
          </cell>
          <cell r="BA130">
            <v>0</v>
          </cell>
          <cell r="BB130">
            <v>0</v>
          </cell>
          <cell r="BC130">
            <v>0</v>
          </cell>
          <cell r="BD130">
            <v>0</v>
          </cell>
          <cell r="BE130">
            <v>0</v>
          </cell>
          <cell r="BF130">
            <v>0</v>
          </cell>
          <cell r="BG130">
            <v>0</v>
          </cell>
          <cell r="BH130">
            <v>0</v>
          </cell>
          <cell r="BI130">
            <v>0</v>
          </cell>
          <cell r="BJ130">
            <v>0</v>
          </cell>
          <cell r="BK130">
            <v>0</v>
          </cell>
          <cell r="BL130">
            <v>0</v>
          </cell>
          <cell r="BM130">
            <v>0</v>
          </cell>
          <cell r="BN130">
            <v>0</v>
          </cell>
          <cell r="BO130">
            <v>0</v>
          </cell>
          <cell r="BP130">
            <v>0</v>
          </cell>
          <cell r="BQ130">
            <v>0</v>
          </cell>
          <cell r="BR130">
            <v>0</v>
          </cell>
          <cell r="BS130">
            <v>0</v>
          </cell>
          <cell r="BT130">
            <v>0</v>
          </cell>
          <cell r="BU130">
            <v>0</v>
          </cell>
          <cell r="BV130">
            <v>0</v>
          </cell>
          <cell r="BW130">
            <v>0</v>
          </cell>
          <cell r="BX130">
            <v>0</v>
          </cell>
          <cell r="BY130">
            <v>0</v>
          </cell>
          <cell r="BZ130">
            <v>0</v>
          </cell>
          <cell r="CA130">
            <v>0</v>
          </cell>
          <cell r="CB130">
            <v>0</v>
          </cell>
          <cell r="CC130">
            <v>0</v>
          </cell>
          <cell r="CD130">
            <v>0</v>
          </cell>
          <cell r="CE130">
            <v>0</v>
          </cell>
          <cell r="CF130">
            <v>0</v>
          </cell>
          <cell r="CG130">
            <v>0</v>
          </cell>
          <cell r="CH130">
            <v>0</v>
          </cell>
          <cell r="CI130">
            <v>0</v>
          </cell>
          <cell r="CJ130">
            <v>0</v>
          </cell>
          <cell r="CK130">
            <v>0</v>
          </cell>
          <cell r="CL130">
            <v>0</v>
          </cell>
          <cell r="CM130">
            <v>0</v>
          </cell>
          <cell r="CN130">
            <v>0</v>
          </cell>
          <cell r="CO130">
            <v>0</v>
          </cell>
          <cell r="CP130">
            <v>0</v>
          </cell>
          <cell r="CQ130">
            <v>0</v>
          </cell>
          <cell r="CR130">
            <v>0</v>
          </cell>
          <cell r="CS130">
            <v>0</v>
          </cell>
          <cell r="CT130">
            <v>0</v>
          </cell>
          <cell r="CU130">
            <v>0</v>
          </cell>
          <cell r="CV130">
            <v>0</v>
          </cell>
          <cell r="CW130">
            <v>0</v>
          </cell>
          <cell r="CX130">
            <v>0</v>
          </cell>
          <cell r="CY130">
            <v>0</v>
          </cell>
          <cell r="CZ130">
            <v>0</v>
          </cell>
          <cell r="DA130">
            <v>0</v>
          </cell>
          <cell r="DB130">
            <v>0</v>
          </cell>
          <cell r="DC130">
            <v>0</v>
          </cell>
          <cell r="DD130">
            <v>0</v>
          </cell>
          <cell r="DE130">
            <v>0</v>
          </cell>
          <cell r="DF130">
            <v>0</v>
          </cell>
          <cell r="DG130">
            <v>0</v>
          </cell>
          <cell r="DH130">
            <v>0</v>
          </cell>
          <cell r="DI130">
            <v>0</v>
          </cell>
          <cell r="DJ130">
            <v>0</v>
          </cell>
          <cell r="DK130">
            <v>0</v>
          </cell>
          <cell r="DL130">
            <v>0</v>
          </cell>
          <cell r="DM130">
            <v>0</v>
          </cell>
          <cell r="DN130">
            <v>0</v>
          </cell>
          <cell r="DO130">
            <v>0</v>
          </cell>
          <cell r="DP130">
            <v>0</v>
          </cell>
          <cell r="DQ130">
            <v>0</v>
          </cell>
          <cell r="DR130">
            <v>0</v>
          </cell>
          <cell r="DS130">
            <v>0</v>
          </cell>
          <cell r="DT130">
            <v>0</v>
          </cell>
          <cell r="DU130">
            <v>0</v>
          </cell>
          <cell r="DV130">
            <v>0</v>
          </cell>
          <cell r="DW130">
            <v>0</v>
          </cell>
          <cell r="DX130">
            <v>0</v>
          </cell>
          <cell r="DY130">
            <v>0</v>
          </cell>
          <cell r="DZ130">
            <v>0</v>
          </cell>
          <cell r="EA130">
            <v>0</v>
          </cell>
          <cell r="EB130">
            <v>0</v>
          </cell>
          <cell r="EC130">
            <v>0</v>
          </cell>
          <cell r="ED130">
            <v>0.05</v>
          </cell>
          <cell r="EE130">
            <v>0.09</v>
          </cell>
          <cell r="EF130">
            <v>0.08</v>
          </cell>
          <cell r="EG130">
            <v>0.17</v>
          </cell>
          <cell r="EH130">
            <v>1</v>
          </cell>
          <cell r="EI130">
            <v>1</v>
          </cell>
          <cell r="EJ130">
            <v>1</v>
          </cell>
          <cell r="EK130">
            <v>1</v>
          </cell>
          <cell r="EL130">
            <v>0.05</v>
          </cell>
          <cell r="EM130">
            <v>0.14000000000000001</v>
          </cell>
          <cell r="EN130">
            <v>0.11</v>
          </cell>
          <cell r="EO130">
            <v>0.2</v>
          </cell>
          <cell r="EP130">
            <v>0</v>
          </cell>
          <cell r="EQ130">
            <v>0</v>
          </cell>
          <cell r="ER130">
            <v>0</v>
          </cell>
          <cell r="ES130">
            <v>0</v>
          </cell>
          <cell r="ET130">
            <v>0</v>
          </cell>
          <cell r="EU130">
            <v>0</v>
          </cell>
          <cell r="EV130">
            <v>0</v>
          </cell>
          <cell r="EW130">
            <v>0</v>
          </cell>
          <cell r="EX130">
            <v>1</v>
          </cell>
          <cell r="EY130">
            <v>1</v>
          </cell>
          <cell r="EZ130">
            <v>1</v>
          </cell>
          <cell r="FA130">
            <v>0</v>
          </cell>
          <cell r="FB130">
            <v>0</v>
          </cell>
          <cell r="FC130">
            <v>0</v>
          </cell>
          <cell r="FD130">
            <v>0</v>
          </cell>
          <cell r="FE130">
            <v>0</v>
          </cell>
          <cell r="FF130">
            <v>0</v>
          </cell>
          <cell r="FG130">
            <v>0</v>
          </cell>
          <cell r="FH130">
            <v>0</v>
          </cell>
          <cell r="FI130">
            <v>0</v>
          </cell>
          <cell r="FJ130">
            <v>0</v>
          </cell>
          <cell r="FK130">
            <v>0</v>
          </cell>
          <cell r="FL130">
            <v>0</v>
          </cell>
          <cell r="FM130">
            <v>0</v>
          </cell>
          <cell r="FN130">
            <v>0</v>
          </cell>
          <cell r="FO130">
            <v>0</v>
          </cell>
          <cell r="FP130">
            <v>0</v>
          </cell>
          <cell r="FQ130">
            <v>0</v>
          </cell>
          <cell r="FR130">
            <v>0</v>
          </cell>
          <cell r="FS130">
            <v>0</v>
          </cell>
          <cell r="FT130">
            <v>0</v>
          </cell>
          <cell r="FU130">
            <v>0</v>
          </cell>
          <cell r="FV130">
            <v>0</v>
          </cell>
          <cell r="FW130">
            <v>0</v>
          </cell>
          <cell r="FX130">
            <v>0</v>
          </cell>
          <cell r="FY130">
            <v>0</v>
          </cell>
          <cell r="FZ130">
            <v>0</v>
          </cell>
        </row>
        <row r="131">
          <cell r="B131">
            <v>0</v>
          </cell>
          <cell r="C131">
            <v>0</v>
          </cell>
          <cell r="D131">
            <v>0</v>
          </cell>
          <cell r="E131">
            <v>0</v>
          </cell>
          <cell r="F131">
            <v>0</v>
          </cell>
          <cell r="G131">
            <v>0.12</v>
          </cell>
          <cell r="H131">
            <v>0</v>
          </cell>
          <cell r="I131">
            <v>0</v>
          </cell>
          <cell r="J131">
            <v>0</v>
          </cell>
          <cell r="K131">
            <v>0</v>
          </cell>
          <cell r="L131">
            <v>0</v>
          </cell>
          <cell r="M131">
            <v>0</v>
          </cell>
          <cell r="N131">
            <v>0</v>
          </cell>
          <cell r="O131">
            <v>0</v>
          </cell>
          <cell r="P131">
            <v>0</v>
          </cell>
          <cell r="Q131">
            <v>0</v>
          </cell>
          <cell r="R131">
            <v>0</v>
          </cell>
          <cell r="S131">
            <v>0</v>
          </cell>
          <cell r="T131">
            <v>0</v>
          </cell>
          <cell r="U131">
            <v>0</v>
          </cell>
          <cell r="V131">
            <v>0</v>
          </cell>
          <cell r="W131">
            <v>0</v>
          </cell>
          <cell r="X131">
            <v>0</v>
          </cell>
          <cell r="Y131">
            <v>0</v>
          </cell>
          <cell r="Z131">
            <v>0</v>
          </cell>
          <cell r="AA131">
            <v>0</v>
          </cell>
          <cell r="AB131">
            <v>0</v>
          </cell>
          <cell r="AC131">
            <v>0</v>
          </cell>
          <cell r="AD131">
            <v>0</v>
          </cell>
          <cell r="AE131">
            <v>0.19</v>
          </cell>
          <cell r="AF131">
            <v>0</v>
          </cell>
          <cell r="AG131">
            <v>0</v>
          </cell>
          <cell r="AH131">
            <v>0</v>
          </cell>
          <cell r="AI131">
            <v>0</v>
          </cell>
          <cell r="AJ131">
            <v>0</v>
          </cell>
          <cell r="AK131">
            <v>0</v>
          </cell>
          <cell r="AL131">
            <v>0</v>
          </cell>
          <cell r="AM131">
            <v>0</v>
          </cell>
          <cell r="AN131">
            <v>0</v>
          </cell>
          <cell r="AO131">
            <v>0</v>
          </cell>
          <cell r="AP131">
            <v>0</v>
          </cell>
          <cell r="AQ131">
            <v>85317725.750795916</v>
          </cell>
          <cell r="AR131">
            <v>0</v>
          </cell>
          <cell r="AS131">
            <v>0</v>
          </cell>
          <cell r="AT131">
            <v>0</v>
          </cell>
          <cell r="AU131">
            <v>0</v>
          </cell>
          <cell r="AV131">
            <v>0</v>
          </cell>
          <cell r="AW131">
            <v>0</v>
          </cell>
          <cell r="AX131">
            <v>0</v>
          </cell>
          <cell r="AY131">
            <v>0</v>
          </cell>
          <cell r="AZ131">
            <v>0</v>
          </cell>
          <cell r="BA131">
            <v>0</v>
          </cell>
          <cell r="BB131">
            <v>0</v>
          </cell>
          <cell r="BC131">
            <v>-11038234.088775882</v>
          </cell>
          <cell r="BD131">
            <v>0</v>
          </cell>
          <cell r="BE131">
            <v>0</v>
          </cell>
          <cell r="BF131">
            <v>0</v>
          </cell>
          <cell r="BG131">
            <v>0</v>
          </cell>
          <cell r="BH131">
            <v>0</v>
          </cell>
          <cell r="BI131">
            <v>0</v>
          </cell>
          <cell r="BJ131">
            <v>0</v>
          </cell>
          <cell r="BK131">
            <v>0</v>
          </cell>
          <cell r="BL131">
            <v>0</v>
          </cell>
          <cell r="BM131">
            <v>0</v>
          </cell>
          <cell r="BN131">
            <v>0</v>
          </cell>
          <cell r="BO131">
            <v>1</v>
          </cell>
          <cell r="BP131">
            <v>0</v>
          </cell>
          <cell r="BQ131">
            <v>0</v>
          </cell>
          <cell r="BR131">
            <v>0</v>
          </cell>
          <cell r="BS131">
            <v>0</v>
          </cell>
          <cell r="BT131">
            <v>0</v>
          </cell>
          <cell r="BU131">
            <v>0</v>
          </cell>
          <cell r="BV131">
            <v>0</v>
          </cell>
          <cell r="BW131">
            <v>0</v>
          </cell>
          <cell r="BX131">
            <v>0</v>
          </cell>
          <cell r="BY131">
            <v>0</v>
          </cell>
          <cell r="BZ131">
            <v>0</v>
          </cell>
          <cell r="CA131">
            <v>0</v>
          </cell>
          <cell r="CB131">
            <v>16915682.944527864</v>
          </cell>
          <cell r="CC131">
            <v>0</v>
          </cell>
          <cell r="CD131">
            <v>0</v>
          </cell>
          <cell r="CE131">
            <v>0</v>
          </cell>
          <cell r="CF131">
            <v>0</v>
          </cell>
          <cell r="CG131">
            <v>0</v>
          </cell>
          <cell r="CH131">
            <v>0</v>
          </cell>
          <cell r="CI131">
            <v>15062480.57</v>
          </cell>
          <cell r="CJ131">
            <v>0</v>
          </cell>
          <cell r="CK131">
            <v>0</v>
          </cell>
          <cell r="CL131">
            <v>0</v>
          </cell>
          <cell r="CM131">
            <v>0</v>
          </cell>
          <cell r="CN131">
            <v>0</v>
          </cell>
          <cell r="CO131">
            <v>0</v>
          </cell>
          <cell r="CP131">
            <v>0</v>
          </cell>
          <cell r="CQ131">
            <v>0</v>
          </cell>
          <cell r="CR131">
            <v>0</v>
          </cell>
          <cell r="CS131">
            <v>0</v>
          </cell>
          <cell r="CT131">
            <v>0</v>
          </cell>
          <cell r="CU131">
            <v>16914189.819999993</v>
          </cell>
          <cell r="CV131">
            <v>0</v>
          </cell>
          <cell r="CW131">
            <v>0</v>
          </cell>
          <cell r="CX131">
            <v>0</v>
          </cell>
          <cell r="CY131">
            <v>0</v>
          </cell>
          <cell r="CZ131">
            <v>0</v>
          </cell>
          <cell r="DA131">
            <v>0</v>
          </cell>
          <cell r="DB131">
            <v>0</v>
          </cell>
          <cell r="DC131">
            <v>0</v>
          </cell>
          <cell r="DD131">
            <v>0</v>
          </cell>
          <cell r="DE131">
            <v>0</v>
          </cell>
          <cell r="DF131">
            <v>0</v>
          </cell>
          <cell r="DG131">
            <v>10903084.600000005</v>
          </cell>
          <cell r="DH131">
            <v>0</v>
          </cell>
          <cell r="DI131">
            <v>0</v>
          </cell>
          <cell r="DJ131">
            <v>0</v>
          </cell>
          <cell r="DK131">
            <v>0</v>
          </cell>
          <cell r="DL131">
            <v>0</v>
          </cell>
          <cell r="DM131">
            <v>0</v>
          </cell>
          <cell r="DN131">
            <v>0</v>
          </cell>
          <cell r="DO131">
            <v>0</v>
          </cell>
          <cell r="DP131">
            <v>0</v>
          </cell>
          <cell r="DQ131">
            <v>0</v>
          </cell>
          <cell r="DR131">
            <v>0</v>
          </cell>
          <cell r="DS131">
            <v>68403535.930795923</v>
          </cell>
          <cell r="DT131">
            <v>0</v>
          </cell>
          <cell r="DU131">
            <v>0</v>
          </cell>
          <cell r="DV131">
            <v>0</v>
          </cell>
          <cell r="DW131">
            <v>0</v>
          </cell>
          <cell r="DX131">
            <v>0</v>
          </cell>
          <cell r="DY131">
            <v>0</v>
          </cell>
          <cell r="DZ131">
            <v>0</v>
          </cell>
          <cell r="EA131">
            <v>0</v>
          </cell>
          <cell r="EB131">
            <v>0</v>
          </cell>
          <cell r="EC131">
            <v>0</v>
          </cell>
          <cell r="ED131">
            <v>0</v>
          </cell>
          <cell r="EE131">
            <v>0</v>
          </cell>
          <cell r="EF131">
            <v>0</v>
          </cell>
          <cell r="EG131">
            <v>0</v>
          </cell>
          <cell r="EH131">
            <v>0</v>
          </cell>
          <cell r="EI131">
            <v>0</v>
          </cell>
          <cell r="EJ131">
            <v>0</v>
          </cell>
          <cell r="EK131">
            <v>0</v>
          </cell>
          <cell r="EL131">
            <v>0</v>
          </cell>
          <cell r="EM131">
            <v>0</v>
          </cell>
          <cell r="EN131">
            <v>0</v>
          </cell>
          <cell r="EO131">
            <v>0</v>
          </cell>
          <cell r="EP131">
            <v>0</v>
          </cell>
          <cell r="EQ131">
            <v>0</v>
          </cell>
          <cell r="ER131">
            <v>0</v>
          </cell>
          <cell r="ES131">
            <v>0</v>
          </cell>
          <cell r="ET131">
            <v>0</v>
          </cell>
          <cell r="EU131">
            <v>0</v>
          </cell>
          <cell r="EV131">
            <v>0</v>
          </cell>
          <cell r="EW131">
            <v>0</v>
          </cell>
          <cell r="EX131">
            <v>0</v>
          </cell>
          <cell r="EY131">
            <v>0</v>
          </cell>
          <cell r="EZ131">
            <v>0</v>
          </cell>
          <cell r="FA131">
            <v>0</v>
          </cell>
          <cell r="FB131">
            <v>0</v>
          </cell>
          <cell r="FC131">
            <v>0</v>
          </cell>
          <cell r="FD131">
            <v>0</v>
          </cell>
          <cell r="FE131">
            <v>0</v>
          </cell>
          <cell r="FF131">
            <v>0</v>
          </cell>
          <cell r="FG131">
            <v>0</v>
          </cell>
          <cell r="FH131">
            <v>0</v>
          </cell>
          <cell r="FI131">
            <v>0</v>
          </cell>
          <cell r="FJ131">
            <v>0</v>
          </cell>
          <cell r="FK131">
            <v>0</v>
          </cell>
          <cell r="FL131">
            <v>0</v>
          </cell>
          <cell r="FM131">
            <v>0</v>
          </cell>
          <cell r="FN131">
            <v>0</v>
          </cell>
          <cell r="FO131">
            <v>0</v>
          </cell>
          <cell r="FP131">
            <v>0</v>
          </cell>
          <cell r="FQ131">
            <v>0</v>
          </cell>
          <cell r="FR131">
            <v>0</v>
          </cell>
          <cell r="FS131">
            <v>0</v>
          </cell>
          <cell r="FT131">
            <v>0</v>
          </cell>
          <cell r="FU131">
            <v>0</v>
          </cell>
          <cell r="FV131">
            <v>0</v>
          </cell>
          <cell r="FW131">
            <v>0</v>
          </cell>
          <cell r="FX131">
            <v>0</v>
          </cell>
          <cell r="FY131">
            <v>0</v>
          </cell>
          <cell r="FZ131">
            <v>0</v>
          </cell>
        </row>
        <row r="132">
          <cell r="B132">
            <v>0</v>
          </cell>
          <cell r="C132">
            <v>0</v>
          </cell>
          <cell r="D132">
            <v>0</v>
          </cell>
          <cell r="E132">
            <v>0</v>
          </cell>
          <cell r="F132">
            <v>0</v>
          </cell>
          <cell r="G132">
            <v>0</v>
          </cell>
          <cell r="H132">
            <v>0</v>
          </cell>
          <cell r="I132">
            <v>0</v>
          </cell>
          <cell r="J132">
            <v>0</v>
          </cell>
          <cell r="K132">
            <v>0</v>
          </cell>
          <cell r="L132">
            <v>0</v>
          </cell>
          <cell r="M132">
            <v>0</v>
          </cell>
          <cell r="N132">
            <v>0</v>
          </cell>
          <cell r="O132">
            <v>0</v>
          </cell>
          <cell r="P132">
            <v>0</v>
          </cell>
          <cell r="Q132">
            <v>0</v>
          </cell>
          <cell r="R132">
            <v>0</v>
          </cell>
          <cell r="S132">
            <v>0</v>
          </cell>
          <cell r="T132">
            <v>0</v>
          </cell>
          <cell r="U132">
            <v>0</v>
          </cell>
          <cell r="V132">
            <v>0</v>
          </cell>
          <cell r="W132">
            <v>0</v>
          </cell>
          <cell r="X132">
            <v>0</v>
          </cell>
          <cell r="Y132">
            <v>0</v>
          </cell>
          <cell r="Z132">
            <v>0</v>
          </cell>
          <cell r="AA132">
            <v>0</v>
          </cell>
          <cell r="AB132">
            <v>0</v>
          </cell>
          <cell r="AC132">
            <v>0</v>
          </cell>
          <cell r="AD132">
            <v>0</v>
          </cell>
          <cell r="AE132">
            <v>0</v>
          </cell>
          <cell r="AF132">
            <v>0</v>
          </cell>
          <cell r="AG132">
            <v>0</v>
          </cell>
          <cell r="AH132">
            <v>0</v>
          </cell>
          <cell r="AI132">
            <v>0</v>
          </cell>
          <cell r="AJ132">
            <v>0</v>
          </cell>
          <cell r="AK132">
            <v>0</v>
          </cell>
          <cell r="AL132">
            <v>0</v>
          </cell>
          <cell r="AM132">
            <v>0</v>
          </cell>
          <cell r="AN132">
            <v>0</v>
          </cell>
          <cell r="AO132">
            <v>0</v>
          </cell>
          <cell r="AP132">
            <v>0</v>
          </cell>
          <cell r="AQ132">
            <v>0</v>
          </cell>
          <cell r="AR132">
            <v>0</v>
          </cell>
          <cell r="AS132">
            <v>0</v>
          </cell>
          <cell r="AT132">
            <v>0</v>
          </cell>
          <cell r="AU132">
            <v>0</v>
          </cell>
          <cell r="AV132">
            <v>0</v>
          </cell>
          <cell r="AW132">
            <v>0</v>
          </cell>
          <cell r="AX132">
            <v>0</v>
          </cell>
          <cell r="AY132">
            <v>0</v>
          </cell>
          <cell r="AZ132">
            <v>0</v>
          </cell>
          <cell r="BA132">
            <v>0</v>
          </cell>
          <cell r="BB132">
            <v>0</v>
          </cell>
          <cell r="BC132">
            <v>0</v>
          </cell>
          <cell r="BD132">
            <v>0</v>
          </cell>
          <cell r="BE132">
            <v>0</v>
          </cell>
          <cell r="BF132">
            <v>0</v>
          </cell>
          <cell r="BG132">
            <v>0</v>
          </cell>
          <cell r="BH132">
            <v>0</v>
          </cell>
          <cell r="BI132">
            <v>0</v>
          </cell>
          <cell r="BJ132">
            <v>0</v>
          </cell>
          <cell r="BK132">
            <v>0</v>
          </cell>
          <cell r="BL132">
            <v>0</v>
          </cell>
          <cell r="BM132">
            <v>0</v>
          </cell>
          <cell r="BN132">
            <v>0</v>
          </cell>
          <cell r="BO132">
            <v>0</v>
          </cell>
          <cell r="BP132">
            <v>0</v>
          </cell>
          <cell r="BQ132">
            <v>0</v>
          </cell>
          <cell r="BR132">
            <v>0</v>
          </cell>
          <cell r="BS132">
            <v>0</v>
          </cell>
          <cell r="BT132">
            <v>0</v>
          </cell>
          <cell r="BU132">
            <v>0</v>
          </cell>
          <cell r="BV132">
            <v>0</v>
          </cell>
          <cell r="BW132">
            <v>0</v>
          </cell>
          <cell r="BX132">
            <v>0</v>
          </cell>
          <cell r="BY132">
            <v>0</v>
          </cell>
          <cell r="BZ132">
            <v>0</v>
          </cell>
          <cell r="CA132">
            <v>0</v>
          </cell>
          <cell r="CB132">
            <v>0</v>
          </cell>
          <cell r="CC132">
            <v>0</v>
          </cell>
          <cell r="CD132">
            <v>0</v>
          </cell>
          <cell r="CE132">
            <v>0</v>
          </cell>
          <cell r="CF132">
            <v>0</v>
          </cell>
          <cell r="CG132">
            <v>0</v>
          </cell>
          <cell r="CH132">
            <v>0</v>
          </cell>
          <cell r="CI132">
            <v>0</v>
          </cell>
          <cell r="CJ132">
            <v>0</v>
          </cell>
          <cell r="CK132">
            <v>0</v>
          </cell>
          <cell r="CL132">
            <v>0</v>
          </cell>
          <cell r="CM132">
            <v>0</v>
          </cell>
          <cell r="CN132">
            <v>0</v>
          </cell>
          <cell r="CO132">
            <v>0</v>
          </cell>
          <cell r="CP132">
            <v>0</v>
          </cell>
          <cell r="CQ132">
            <v>0</v>
          </cell>
          <cell r="CR132">
            <v>0</v>
          </cell>
          <cell r="CS132">
            <v>0</v>
          </cell>
          <cell r="CT132">
            <v>0</v>
          </cell>
          <cell r="CU132">
            <v>0</v>
          </cell>
          <cell r="CV132">
            <v>0</v>
          </cell>
          <cell r="CW132">
            <v>0</v>
          </cell>
          <cell r="CX132">
            <v>0</v>
          </cell>
          <cell r="CY132">
            <v>0</v>
          </cell>
          <cell r="CZ132">
            <v>0</v>
          </cell>
          <cell r="DA132">
            <v>0</v>
          </cell>
          <cell r="DB132">
            <v>0</v>
          </cell>
          <cell r="DC132">
            <v>0</v>
          </cell>
          <cell r="DD132">
            <v>0</v>
          </cell>
          <cell r="DE132">
            <v>0</v>
          </cell>
          <cell r="DF132">
            <v>0</v>
          </cell>
          <cell r="DG132">
            <v>0</v>
          </cell>
          <cell r="DH132">
            <v>0</v>
          </cell>
          <cell r="DI132">
            <v>0</v>
          </cell>
          <cell r="DJ132">
            <v>0</v>
          </cell>
          <cell r="DK132">
            <v>0</v>
          </cell>
          <cell r="DL132">
            <v>0</v>
          </cell>
          <cell r="DM132">
            <v>0</v>
          </cell>
          <cell r="DN132">
            <v>0</v>
          </cell>
          <cell r="DO132">
            <v>0</v>
          </cell>
          <cell r="DP132">
            <v>0</v>
          </cell>
          <cell r="DQ132">
            <v>0</v>
          </cell>
          <cell r="DR132">
            <v>0</v>
          </cell>
          <cell r="DS132">
            <v>0</v>
          </cell>
          <cell r="DT132">
            <v>0</v>
          </cell>
          <cell r="DU132">
            <v>0</v>
          </cell>
          <cell r="DV132">
            <v>0</v>
          </cell>
          <cell r="DW132">
            <v>0</v>
          </cell>
          <cell r="DX132">
            <v>0</v>
          </cell>
          <cell r="DY132">
            <v>0</v>
          </cell>
          <cell r="DZ132">
            <v>0</v>
          </cell>
          <cell r="EA132">
            <v>0</v>
          </cell>
          <cell r="EB132">
            <v>0</v>
          </cell>
          <cell r="EC132">
            <v>0</v>
          </cell>
          <cell r="ED132">
            <v>0</v>
          </cell>
          <cell r="EE132">
            <v>0</v>
          </cell>
          <cell r="EF132">
            <v>0</v>
          </cell>
          <cell r="EG132">
            <v>0</v>
          </cell>
          <cell r="EH132">
            <v>0</v>
          </cell>
          <cell r="EI132">
            <v>0</v>
          </cell>
          <cell r="EJ132">
            <v>0</v>
          </cell>
          <cell r="EK132">
            <v>0</v>
          </cell>
          <cell r="EL132">
            <v>0</v>
          </cell>
          <cell r="EM132">
            <v>0</v>
          </cell>
          <cell r="EN132">
            <v>0</v>
          </cell>
          <cell r="EO132">
            <v>0</v>
          </cell>
          <cell r="EP132">
            <v>0</v>
          </cell>
          <cell r="EQ132">
            <v>0</v>
          </cell>
          <cell r="ER132">
            <v>0</v>
          </cell>
          <cell r="ES132">
            <v>0</v>
          </cell>
          <cell r="ET132">
            <v>0</v>
          </cell>
          <cell r="EU132">
            <v>0</v>
          </cell>
          <cell r="EV132">
            <v>0</v>
          </cell>
          <cell r="EW132">
            <v>0</v>
          </cell>
          <cell r="EX132">
            <v>0</v>
          </cell>
          <cell r="EY132">
            <v>0</v>
          </cell>
          <cell r="EZ132">
            <v>0</v>
          </cell>
          <cell r="FA132">
            <v>0</v>
          </cell>
          <cell r="FB132">
            <v>0</v>
          </cell>
          <cell r="FC132">
            <v>0</v>
          </cell>
          <cell r="FD132">
            <v>0</v>
          </cell>
          <cell r="FE132">
            <v>0</v>
          </cell>
          <cell r="FF132">
            <v>0</v>
          </cell>
          <cell r="FG132">
            <v>0</v>
          </cell>
          <cell r="FH132">
            <v>0</v>
          </cell>
          <cell r="FI132">
            <v>0</v>
          </cell>
          <cell r="FJ132">
            <v>0</v>
          </cell>
          <cell r="FK132">
            <v>0</v>
          </cell>
          <cell r="FL132">
            <v>0</v>
          </cell>
          <cell r="FM132">
            <v>0</v>
          </cell>
          <cell r="FN132">
            <v>0</v>
          </cell>
          <cell r="FO132">
            <v>0</v>
          </cell>
          <cell r="FP132">
            <v>0</v>
          </cell>
          <cell r="FQ132">
            <v>0</v>
          </cell>
          <cell r="FR132">
            <v>0</v>
          </cell>
          <cell r="FS132">
            <v>0</v>
          </cell>
          <cell r="FT132">
            <v>0</v>
          </cell>
          <cell r="FU132">
            <v>0</v>
          </cell>
          <cell r="FV132">
            <v>0</v>
          </cell>
          <cell r="FW132">
            <v>0</v>
          </cell>
          <cell r="FX132">
            <v>0</v>
          </cell>
          <cell r="FY132">
            <v>0</v>
          </cell>
          <cell r="FZ132">
            <v>0</v>
          </cell>
        </row>
        <row r="133">
          <cell r="B133">
            <v>0.08</v>
          </cell>
          <cell r="C133">
            <v>0.08</v>
          </cell>
          <cell r="D133">
            <v>0.15</v>
          </cell>
          <cell r="E133">
            <v>6.4000000000000001E-2</v>
          </cell>
          <cell r="F133">
            <v>0.112</v>
          </cell>
          <cell r="G133">
            <v>0.12</v>
          </cell>
          <cell r="H133">
            <v>7.0000000000000007E-2</v>
          </cell>
          <cell r="I133">
            <v>0.09</v>
          </cell>
          <cell r="J133">
            <v>0.13</v>
          </cell>
          <cell r="K133">
            <v>0.17</v>
          </cell>
          <cell r="L133">
            <v>0.17</v>
          </cell>
          <cell r="M133">
            <v>0.17</v>
          </cell>
          <cell r="N133">
            <v>1</v>
          </cell>
          <cell r="O133">
            <v>1</v>
          </cell>
          <cell r="P133">
            <v>1</v>
          </cell>
          <cell r="Q133">
            <v>1</v>
          </cell>
          <cell r="R133">
            <v>1</v>
          </cell>
          <cell r="S133">
            <v>1</v>
          </cell>
          <cell r="T133">
            <v>1</v>
          </cell>
          <cell r="U133">
            <v>1</v>
          </cell>
          <cell r="V133">
            <v>1</v>
          </cell>
          <cell r="W133">
            <v>1</v>
          </cell>
          <cell r="X133">
            <v>1</v>
          </cell>
          <cell r="Y133">
            <v>1</v>
          </cell>
          <cell r="Z133">
            <v>0.09</v>
          </cell>
          <cell r="AA133">
            <v>0.08</v>
          </cell>
          <cell r="AB133">
            <v>0.11</v>
          </cell>
          <cell r="AC133">
            <v>0.1</v>
          </cell>
          <cell r="AD133">
            <v>0.11</v>
          </cell>
          <cell r="AE133">
            <v>0.19</v>
          </cell>
          <cell r="AF133">
            <v>0.12</v>
          </cell>
          <cell r="AG133">
            <v>0.2</v>
          </cell>
          <cell r="AH133">
            <v>0.2</v>
          </cell>
          <cell r="AI133">
            <v>0.2</v>
          </cell>
          <cell r="AJ133">
            <v>0.2</v>
          </cell>
          <cell r="AK133">
            <v>0.2</v>
          </cell>
          <cell r="AL133">
            <v>0</v>
          </cell>
          <cell r="AM133">
            <v>0</v>
          </cell>
          <cell r="AN133">
            <v>0</v>
          </cell>
          <cell r="AO133">
            <v>0</v>
          </cell>
          <cell r="AP133">
            <v>0</v>
          </cell>
          <cell r="AQ133">
            <v>0</v>
          </cell>
          <cell r="AR133">
            <v>0</v>
          </cell>
          <cell r="AS133">
            <v>0</v>
          </cell>
          <cell r="AT133">
            <v>0</v>
          </cell>
          <cell r="AU133">
            <v>0</v>
          </cell>
          <cell r="AV133">
            <v>0</v>
          </cell>
          <cell r="AW133">
            <v>0</v>
          </cell>
          <cell r="AX133">
            <v>0</v>
          </cell>
          <cell r="AY133">
            <v>0</v>
          </cell>
          <cell r="AZ133">
            <v>0</v>
          </cell>
          <cell r="BA133">
            <v>0</v>
          </cell>
          <cell r="BB133">
            <v>0</v>
          </cell>
          <cell r="BC133">
            <v>0</v>
          </cell>
          <cell r="BD133">
            <v>0</v>
          </cell>
          <cell r="BE133">
            <v>0</v>
          </cell>
          <cell r="BF133">
            <v>0</v>
          </cell>
          <cell r="BG133">
            <v>0</v>
          </cell>
          <cell r="BH133">
            <v>0</v>
          </cell>
          <cell r="BI133">
            <v>0</v>
          </cell>
          <cell r="BJ133">
            <v>1</v>
          </cell>
          <cell r="BK133">
            <v>1</v>
          </cell>
          <cell r="BL133">
            <v>1</v>
          </cell>
          <cell r="BM133">
            <v>1</v>
          </cell>
          <cell r="BN133">
            <v>1</v>
          </cell>
          <cell r="BO133">
            <v>1</v>
          </cell>
          <cell r="BP133">
            <v>1</v>
          </cell>
          <cell r="BQ133">
            <v>1</v>
          </cell>
          <cell r="BR133">
            <v>1</v>
          </cell>
          <cell r="BS133">
            <v>1</v>
          </cell>
          <cell r="BT133">
            <v>1</v>
          </cell>
          <cell r="BU133">
            <v>1</v>
          </cell>
          <cell r="BV133">
            <v>0</v>
          </cell>
          <cell r="BW133">
            <v>0</v>
          </cell>
          <cell r="BX133">
            <v>0</v>
          </cell>
          <cell r="BY133">
            <v>0</v>
          </cell>
          <cell r="BZ133">
            <v>0</v>
          </cell>
          <cell r="CA133">
            <v>0</v>
          </cell>
          <cell r="CB133">
            <v>0</v>
          </cell>
          <cell r="CC133">
            <v>0</v>
          </cell>
          <cell r="CD133">
            <v>0</v>
          </cell>
          <cell r="CE133">
            <v>0</v>
          </cell>
          <cell r="CF133">
            <v>0</v>
          </cell>
          <cell r="CG133">
            <v>0</v>
          </cell>
          <cell r="CH133">
            <v>0</v>
          </cell>
          <cell r="CI133">
            <v>0</v>
          </cell>
          <cell r="CJ133">
            <v>0</v>
          </cell>
          <cell r="CK133">
            <v>0</v>
          </cell>
          <cell r="CL133">
            <v>0</v>
          </cell>
          <cell r="CM133">
            <v>0</v>
          </cell>
          <cell r="CN133">
            <v>0</v>
          </cell>
          <cell r="CO133">
            <v>0</v>
          </cell>
          <cell r="CP133">
            <v>0</v>
          </cell>
          <cell r="CQ133">
            <v>0</v>
          </cell>
          <cell r="CR133">
            <v>0</v>
          </cell>
          <cell r="CS133">
            <v>0</v>
          </cell>
          <cell r="CT133">
            <v>0</v>
          </cell>
          <cell r="CU133">
            <v>0</v>
          </cell>
          <cell r="CV133">
            <v>0</v>
          </cell>
          <cell r="CW133">
            <v>0</v>
          </cell>
          <cell r="CX133">
            <v>0</v>
          </cell>
          <cell r="CY133">
            <v>0</v>
          </cell>
          <cell r="CZ133">
            <v>0</v>
          </cell>
          <cell r="DA133">
            <v>0</v>
          </cell>
          <cell r="DB133">
            <v>0</v>
          </cell>
          <cell r="DC133">
            <v>0</v>
          </cell>
          <cell r="DD133">
            <v>0</v>
          </cell>
          <cell r="DE133">
            <v>0</v>
          </cell>
          <cell r="DF133">
            <v>0</v>
          </cell>
          <cell r="DG133">
            <v>0</v>
          </cell>
          <cell r="DH133">
            <v>0</v>
          </cell>
          <cell r="DI133">
            <v>0</v>
          </cell>
          <cell r="DJ133">
            <v>0</v>
          </cell>
          <cell r="DK133">
            <v>0</v>
          </cell>
          <cell r="DL133">
            <v>0</v>
          </cell>
          <cell r="DM133">
            <v>0</v>
          </cell>
          <cell r="DN133">
            <v>0</v>
          </cell>
          <cell r="DO133">
            <v>0</v>
          </cell>
          <cell r="DP133">
            <v>0</v>
          </cell>
          <cell r="DQ133">
            <v>0</v>
          </cell>
          <cell r="DR133">
            <v>0</v>
          </cell>
          <cell r="DS133">
            <v>0</v>
          </cell>
          <cell r="DT133">
            <v>0</v>
          </cell>
          <cell r="DU133">
            <v>0</v>
          </cell>
          <cell r="DV133">
            <v>0</v>
          </cell>
          <cell r="DW133">
            <v>0</v>
          </cell>
          <cell r="DX133">
            <v>0</v>
          </cell>
          <cell r="DY133">
            <v>0</v>
          </cell>
          <cell r="DZ133">
            <v>0</v>
          </cell>
          <cell r="EA133">
            <v>0</v>
          </cell>
          <cell r="EB133">
            <v>0</v>
          </cell>
          <cell r="EC133">
            <v>0</v>
          </cell>
          <cell r="ED133">
            <v>0.05</v>
          </cell>
          <cell r="EE133">
            <v>8.5000000000000006E-2</v>
          </cell>
          <cell r="EF133">
            <v>0.08</v>
          </cell>
          <cell r="EG133">
            <v>0.17</v>
          </cell>
          <cell r="EH133">
            <v>0</v>
          </cell>
          <cell r="EI133">
            <v>0</v>
          </cell>
          <cell r="EJ133">
            <v>0</v>
          </cell>
          <cell r="EK133">
            <v>0</v>
          </cell>
          <cell r="EL133">
            <v>0.05</v>
          </cell>
          <cell r="EM133">
            <v>0.14000000000000001</v>
          </cell>
          <cell r="EN133">
            <v>0.11</v>
          </cell>
          <cell r="EO133">
            <v>0.2</v>
          </cell>
          <cell r="EP133">
            <v>2937585.7949999999</v>
          </cell>
          <cell r="EQ133">
            <v>15006041.074999999</v>
          </cell>
          <cell r="ER133">
            <v>0</v>
          </cell>
          <cell r="ES133">
            <v>0</v>
          </cell>
          <cell r="ET133">
            <v>316211.61514580459</v>
          </cell>
          <cell r="EU133">
            <v>34358372.891521618</v>
          </cell>
          <cell r="EV133">
            <v>0</v>
          </cell>
          <cell r="EW133">
            <v>0</v>
          </cell>
          <cell r="EX133">
            <v>1</v>
          </cell>
          <cell r="EY133">
            <v>1</v>
          </cell>
          <cell r="EZ133">
            <v>0</v>
          </cell>
          <cell r="FA133">
            <v>0</v>
          </cell>
          <cell r="FB133">
            <v>0</v>
          </cell>
          <cell r="FC133">
            <v>0</v>
          </cell>
          <cell r="FD133">
            <v>0</v>
          </cell>
          <cell r="FE133">
            <v>0</v>
          </cell>
          <cell r="FF133">
            <v>0</v>
          </cell>
          <cell r="FG133">
            <v>0</v>
          </cell>
          <cell r="FH133">
            <v>1289208.0396030778</v>
          </cell>
          <cell r="FI133">
            <v>0</v>
          </cell>
          <cell r="FJ133">
            <v>379411.49404721201</v>
          </cell>
          <cell r="FK133">
            <v>0</v>
          </cell>
          <cell r="FL133">
            <v>0</v>
          </cell>
          <cell r="FM133">
            <v>0</v>
          </cell>
          <cell r="FN133">
            <v>0</v>
          </cell>
          <cell r="FO133">
            <v>0</v>
          </cell>
          <cell r="FP133">
            <v>0</v>
          </cell>
          <cell r="FQ133">
            <v>0</v>
          </cell>
          <cell r="FR133">
            <v>0</v>
          </cell>
          <cell r="FS133">
            <v>2937585.7949999999</v>
          </cell>
          <cell r="FT133">
            <v>15006041.074999999</v>
          </cell>
          <cell r="FU133">
            <v>0</v>
          </cell>
          <cell r="FV133">
            <v>0</v>
          </cell>
          <cell r="FW133">
            <v>0</v>
          </cell>
          <cell r="FX133">
            <v>0</v>
          </cell>
          <cell r="FY133">
            <v>0</v>
          </cell>
          <cell r="FZ133">
            <v>0</v>
          </cell>
        </row>
        <row r="134">
          <cell r="B134">
            <v>0.08</v>
          </cell>
          <cell r="C134">
            <v>0.08</v>
          </cell>
          <cell r="D134">
            <v>0.15</v>
          </cell>
          <cell r="E134">
            <v>6.4000000000000001E-2</v>
          </cell>
          <cell r="F134">
            <v>0.112</v>
          </cell>
          <cell r="G134">
            <v>0.12</v>
          </cell>
          <cell r="H134">
            <v>7.0000000000000007E-2</v>
          </cell>
          <cell r="I134">
            <v>0.09</v>
          </cell>
          <cell r="J134">
            <v>0.13</v>
          </cell>
          <cell r="K134">
            <v>0.17</v>
          </cell>
          <cell r="L134">
            <v>0.17</v>
          </cell>
          <cell r="M134">
            <v>0.17</v>
          </cell>
          <cell r="N134">
            <v>1</v>
          </cell>
          <cell r="O134">
            <v>1</v>
          </cell>
          <cell r="P134">
            <v>1</v>
          </cell>
          <cell r="Q134">
            <v>1</v>
          </cell>
          <cell r="R134">
            <v>1</v>
          </cell>
          <cell r="S134">
            <v>1</v>
          </cell>
          <cell r="T134">
            <v>1</v>
          </cell>
          <cell r="U134">
            <v>1</v>
          </cell>
          <cell r="V134">
            <v>1</v>
          </cell>
          <cell r="W134">
            <v>1</v>
          </cell>
          <cell r="X134">
            <v>1</v>
          </cell>
          <cell r="Y134">
            <v>1</v>
          </cell>
          <cell r="Z134">
            <v>0.09</v>
          </cell>
          <cell r="AA134">
            <v>0.08</v>
          </cell>
          <cell r="AB134">
            <v>0.11</v>
          </cell>
          <cell r="AC134">
            <v>0.1</v>
          </cell>
          <cell r="AD134">
            <v>0.11</v>
          </cell>
          <cell r="AE134">
            <v>0.19</v>
          </cell>
          <cell r="AF134">
            <v>0.12</v>
          </cell>
          <cell r="AG134">
            <v>0.2</v>
          </cell>
          <cell r="AH134">
            <v>0.2</v>
          </cell>
          <cell r="AI134">
            <v>0.2</v>
          </cell>
          <cell r="AJ134">
            <v>0.2</v>
          </cell>
          <cell r="AK134">
            <v>0.2</v>
          </cell>
          <cell r="AL134">
            <v>0</v>
          </cell>
          <cell r="AM134">
            <v>0</v>
          </cell>
          <cell r="AN134">
            <v>0</v>
          </cell>
          <cell r="AO134">
            <v>0</v>
          </cell>
          <cell r="AP134">
            <v>0</v>
          </cell>
          <cell r="AQ134">
            <v>0</v>
          </cell>
          <cell r="AR134">
            <v>0</v>
          </cell>
          <cell r="AS134">
            <v>0</v>
          </cell>
          <cell r="AT134">
            <v>0</v>
          </cell>
          <cell r="AU134">
            <v>0</v>
          </cell>
          <cell r="AV134">
            <v>0</v>
          </cell>
          <cell r="AW134">
            <v>0</v>
          </cell>
          <cell r="AX134">
            <v>0</v>
          </cell>
          <cell r="AY134">
            <v>0</v>
          </cell>
          <cell r="AZ134">
            <v>0</v>
          </cell>
          <cell r="BA134">
            <v>0</v>
          </cell>
          <cell r="BB134">
            <v>0</v>
          </cell>
          <cell r="BC134">
            <v>0</v>
          </cell>
          <cell r="BD134">
            <v>0</v>
          </cell>
          <cell r="BE134">
            <v>0</v>
          </cell>
          <cell r="BF134">
            <v>0</v>
          </cell>
          <cell r="BG134">
            <v>0</v>
          </cell>
          <cell r="BH134">
            <v>0</v>
          </cell>
          <cell r="BI134">
            <v>0</v>
          </cell>
          <cell r="BJ134">
            <v>1</v>
          </cell>
          <cell r="BK134">
            <v>1</v>
          </cell>
          <cell r="BL134">
            <v>1</v>
          </cell>
          <cell r="BM134">
            <v>1</v>
          </cell>
          <cell r="BN134">
            <v>1</v>
          </cell>
          <cell r="BO134">
            <v>1</v>
          </cell>
          <cell r="BP134">
            <v>1</v>
          </cell>
          <cell r="BQ134">
            <v>1</v>
          </cell>
          <cell r="BR134">
            <v>1</v>
          </cell>
          <cell r="BS134">
            <v>1</v>
          </cell>
          <cell r="BT134">
            <v>1</v>
          </cell>
          <cell r="BU134">
            <v>1</v>
          </cell>
          <cell r="BV134">
            <v>0</v>
          </cell>
          <cell r="BW134">
            <v>0</v>
          </cell>
          <cell r="BX134">
            <v>0</v>
          </cell>
          <cell r="BY134">
            <v>0</v>
          </cell>
          <cell r="BZ134">
            <v>0</v>
          </cell>
          <cell r="CA134">
            <v>0</v>
          </cell>
          <cell r="CB134">
            <v>0</v>
          </cell>
          <cell r="CC134">
            <v>0</v>
          </cell>
          <cell r="CD134">
            <v>0</v>
          </cell>
          <cell r="CE134">
            <v>0</v>
          </cell>
          <cell r="CF134">
            <v>0</v>
          </cell>
          <cell r="CG134">
            <v>0</v>
          </cell>
          <cell r="CH134">
            <v>0</v>
          </cell>
          <cell r="CI134">
            <v>0</v>
          </cell>
          <cell r="CJ134">
            <v>0</v>
          </cell>
          <cell r="CK134">
            <v>0</v>
          </cell>
          <cell r="CL134">
            <v>0</v>
          </cell>
          <cell r="CM134">
            <v>0</v>
          </cell>
          <cell r="CN134">
            <v>0</v>
          </cell>
          <cell r="CO134">
            <v>0</v>
          </cell>
          <cell r="CP134">
            <v>0</v>
          </cell>
          <cell r="CQ134">
            <v>0</v>
          </cell>
          <cell r="CR134">
            <v>0</v>
          </cell>
          <cell r="CS134">
            <v>0</v>
          </cell>
          <cell r="CT134">
            <v>0</v>
          </cell>
          <cell r="CU134">
            <v>0</v>
          </cell>
          <cell r="CV134">
            <v>0</v>
          </cell>
          <cell r="CW134">
            <v>0</v>
          </cell>
          <cell r="CX134">
            <v>0</v>
          </cell>
          <cell r="CY134">
            <v>0</v>
          </cell>
          <cell r="CZ134">
            <v>0</v>
          </cell>
          <cell r="DA134">
            <v>0</v>
          </cell>
          <cell r="DB134">
            <v>0</v>
          </cell>
          <cell r="DC134">
            <v>0</v>
          </cell>
          <cell r="DD134">
            <v>0</v>
          </cell>
          <cell r="DE134">
            <v>0</v>
          </cell>
          <cell r="DF134">
            <v>0</v>
          </cell>
          <cell r="DG134">
            <v>0</v>
          </cell>
          <cell r="DH134">
            <v>0</v>
          </cell>
          <cell r="DI134">
            <v>0</v>
          </cell>
          <cell r="DJ134">
            <v>0</v>
          </cell>
          <cell r="DK134">
            <v>0</v>
          </cell>
          <cell r="DL134">
            <v>0</v>
          </cell>
          <cell r="DM134">
            <v>0</v>
          </cell>
          <cell r="DN134">
            <v>0</v>
          </cell>
          <cell r="DO134">
            <v>0</v>
          </cell>
          <cell r="DP134">
            <v>0</v>
          </cell>
          <cell r="DQ134">
            <v>0</v>
          </cell>
          <cell r="DR134">
            <v>0</v>
          </cell>
          <cell r="DS134">
            <v>0</v>
          </cell>
          <cell r="DT134">
            <v>0</v>
          </cell>
          <cell r="DU134">
            <v>0</v>
          </cell>
          <cell r="DV134">
            <v>0</v>
          </cell>
          <cell r="DW134">
            <v>0</v>
          </cell>
          <cell r="DX134">
            <v>0</v>
          </cell>
          <cell r="DY134">
            <v>0</v>
          </cell>
          <cell r="DZ134">
            <v>0</v>
          </cell>
          <cell r="EA134">
            <v>0</v>
          </cell>
          <cell r="EB134">
            <v>0</v>
          </cell>
          <cell r="EC134">
            <v>0</v>
          </cell>
          <cell r="ED134">
            <v>0.05</v>
          </cell>
          <cell r="EE134">
            <v>8.5000000000000006E-2</v>
          </cell>
          <cell r="EF134">
            <v>0.08</v>
          </cell>
          <cell r="EG134">
            <v>0.17</v>
          </cell>
          <cell r="EH134">
            <v>0</v>
          </cell>
          <cell r="EI134">
            <v>0</v>
          </cell>
          <cell r="EJ134">
            <v>0</v>
          </cell>
          <cell r="EK134">
            <v>0</v>
          </cell>
          <cell r="EL134">
            <v>0.05</v>
          </cell>
          <cell r="EM134">
            <v>0.14000000000000001</v>
          </cell>
          <cell r="EN134">
            <v>0.11</v>
          </cell>
          <cell r="EO134">
            <v>0.2</v>
          </cell>
          <cell r="EP134">
            <v>20851919.574692652</v>
          </cell>
          <cell r="EQ134">
            <v>2137372.5770354499</v>
          </cell>
          <cell r="ER134">
            <v>0</v>
          </cell>
          <cell r="ES134">
            <v>0</v>
          </cell>
          <cell r="ET134">
            <v>1427271.9269961552</v>
          </cell>
          <cell r="EU134">
            <v>3037502.7788972133</v>
          </cell>
          <cell r="EV134">
            <v>0</v>
          </cell>
          <cell r="EW134">
            <v>0</v>
          </cell>
          <cell r="EX134">
            <v>1</v>
          </cell>
          <cell r="EY134">
            <v>1</v>
          </cell>
          <cell r="EZ134">
            <v>0</v>
          </cell>
          <cell r="FA134">
            <v>0</v>
          </cell>
          <cell r="FB134">
            <v>0</v>
          </cell>
          <cell r="FC134">
            <v>0</v>
          </cell>
          <cell r="FD134">
            <v>0</v>
          </cell>
          <cell r="FE134">
            <v>0</v>
          </cell>
          <cell r="FF134">
            <v>0</v>
          </cell>
          <cell r="FG134">
            <v>0</v>
          </cell>
          <cell r="FH134">
            <v>0</v>
          </cell>
          <cell r="FI134">
            <v>0</v>
          </cell>
          <cell r="FJ134">
            <v>0</v>
          </cell>
          <cell r="FK134">
            <v>0</v>
          </cell>
          <cell r="FL134">
            <v>0</v>
          </cell>
          <cell r="FM134">
            <v>0</v>
          </cell>
          <cell r="FN134">
            <v>0</v>
          </cell>
          <cell r="FO134">
            <v>0</v>
          </cell>
          <cell r="FP134">
            <v>0</v>
          </cell>
          <cell r="FQ134">
            <v>0</v>
          </cell>
          <cell r="FR134">
            <v>0</v>
          </cell>
          <cell r="FS134">
            <v>20851919.574692652</v>
          </cell>
          <cell r="FT134">
            <v>2137372.5770354499</v>
          </cell>
          <cell r="FU134">
            <v>0</v>
          </cell>
          <cell r="FV134">
            <v>0</v>
          </cell>
          <cell r="FW134">
            <v>0</v>
          </cell>
          <cell r="FX134">
            <v>0</v>
          </cell>
          <cell r="FY134">
            <v>0</v>
          </cell>
          <cell r="FZ134">
            <v>0</v>
          </cell>
        </row>
        <row r="135">
          <cell r="B135">
            <v>0.08</v>
          </cell>
          <cell r="C135">
            <v>0.08</v>
          </cell>
          <cell r="D135">
            <v>0.15</v>
          </cell>
          <cell r="E135">
            <v>6.4000000000000001E-2</v>
          </cell>
          <cell r="F135">
            <v>0.112</v>
          </cell>
          <cell r="G135">
            <v>0.12</v>
          </cell>
          <cell r="H135">
            <v>7.0000000000000007E-2</v>
          </cell>
          <cell r="I135">
            <v>0.09</v>
          </cell>
          <cell r="J135">
            <v>0.13</v>
          </cell>
          <cell r="K135">
            <v>0.17</v>
          </cell>
          <cell r="L135">
            <v>0.17</v>
          </cell>
          <cell r="M135">
            <v>0.17</v>
          </cell>
          <cell r="N135">
            <v>1</v>
          </cell>
          <cell r="O135">
            <v>1</v>
          </cell>
          <cell r="P135">
            <v>1</v>
          </cell>
          <cell r="Q135">
            <v>1</v>
          </cell>
          <cell r="R135">
            <v>1</v>
          </cell>
          <cell r="S135">
            <v>1</v>
          </cell>
          <cell r="T135">
            <v>1</v>
          </cell>
          <cell r="U135">
            <v>1</v>
          </cell>
          <cell r="V135">
            <v>1</v>
          </cell>
          <cell r="W135">
            <v>1</v>
          </cell>
          <cell r="X135">
            <v>1</v>
          </cell>
          <cell r="Y135">
            <v>1</v>
          </cell>
          <cell r="Z135">
            <v>0.09</v>
          </cell>
          <cell r="AA135">
            <v>0.08</v>
          </cell>
          <cell r="AB135">
            <v>0.11</v>
          </cell>
          <cell r="AC135">
            <v>0.1</v>
          </cell>
          <cell r="AD135">
            <v>0.11</v>
          </cell>
          <cell r="AE135">
            <v>0.19</v>
          </cell>
          <cell r="AF135">
            <v>0.12</v>
          </cell>
          <cell r="AG135">
            <v>0.2</v>
          </cell>
          <cell r="AH135">
            <v>0.2</v>
          </cell>
          <cell r="AI135">
            <v>0.2</v>
          </cell>
          <cell r="AJ135">
            <v>0.2</v>
          </cell>
          <cell r="AK135">
            <v>0.2</v>
          </cell>
          <cell r="AL135">
            <v>0</v>
          </cell>
          <cell r="AM135">
            <v>0</v>
          </cell>
          <cell r="AN135">
            <v>0</v>
          </cell>
          <cell r="AO135">
            <v>0</v>
          </cell>
          <cell r="AP135">
            <v>0</v>
          </cell>
          <cell r="AQ135">
            <v>0</v>
          </cell>
          <cell r="AR135">
            <v>0</v>
          </cell>
          <cell r="AS135">
            <v>0</v>
          </cell>
          <cell r="AT135">
            <v>0</v>
          </cell>
          <cell r="AU135">
            <v>0</v>
          </cell>
          <cell r="AV135">
            <v>0</v>
          </cell>
          <cell r="AW135">
            <v>0</v>
          </cell>
          <cell r="AX135">
            <v>0</v>
          </cell>
          <cell r="AY135">
            <v>0</v>
          </cell>
          <cell r="AZ135">
            <v>0</v>
          </cell>
          <cell r="BA135">
            <v>0</v>
          </cell>
          <cell r="BB135">
            <v>0</v>
          </cell>
          <cell r="BC135">
            <v>0</v>
          </cell>
          <cell r="BD135">
            <v>0</v>
          </cell>
          <cell r="BE135">
            <v>0</v>
          </cell>
          <cell r="BF135">
            <v>0</v>
          </cell>
          <cell r="BG135">
            <v>0</v>
          </cell>
          <cell r="BH135">
            <v>0</v>
          </cell>
          <cell r="BI135">
            <v>0</v>
          </cell>
          <cell r="BJ135">
            <v>1</v>
          </cell>
          <cell r="BK135">
            <v>1</v>
          </cell>
          <cell r="BL135">
            <v>1</v>
          </cell>
          <cell r="BM135">
            <v>1</v>
          </cell>
          <cell r="BN135">
            <v>1</v>
          </cell>
          <cell r="BO135">
            <v>1</v>
          </cell>
          <cell r="BP135">
            <v>1</v>
          </cell>
          <cell r="BQ135">
            <v>1</v>
          </cell>
          <cell r="BR135">
            <v>1</v>
          </cell>
          <cell r="BS135">
            <v>1</v>
          </cell>
          <cell r="BT135">
            <v>1</v>
          </cell>
          <cell r="BU135">
            <v>1</v>
          </cell>
          <cell r="BV135">
            <v>0</v>
          </cell>
          <cell r="BW135">
            <v>0</v>
          </cell>
          <cell r="BX135">
            <v>0</v>
          </cell>
          <cell r="BY135">
            <v>0</v>
          </cell>
          <cell r="BZ135">
            <v>0</v>
          </cell>
          <cell r="CA135">
            <v>0</v>
          </cell>
          <cell r="CB135">
            <v>0</v>
          </cell>
          <cell r="CC135">
            <v>0</v>
          </cell>
          <cell r="CD135">
            <v>0</v>
          </cell>
          <cell r="CE135">
            <v>0</v>
          </cell>
          <cell r="CF135">
            <v>0</v>
          </cell>
          <cell r="CG135">
            <v>0</v>
          </cell>
          <cell r="CH135">
            <v>0</v>
          </cell>
          <cell r="CI135">
            <v>0</v>
          </cell>
          <cell r="CJ135">
            <v>0</v>
          </cell>
          <cell r="CK135">
            <v>0</v>
          </cell>
          <cell r="CL135">
            <v>0</v>
          </cell>
          <cell r="CM135">
            <v>0</v>
          </cell>
          <cell r="CN135">
            <v>0</v>
          </cell>
          <cell r="CO135">
            <v>0</v>
          </cell>
          <cell r="CP135">
            <v>0</v>
          </cell>
          <cell r="CQ135">
            <v>0</v>
          </cell>
          <cell r="CR135">
            <v>0</v>
          </cell>
          <cell r="CS135">
            <v>0</v>
          </cell>
          <cell r="CT135">
            <v>0</v>
          </cell>
          <cell r="CU135">
            <v>0</v>
          </cell>
          <cell r="CV135">
            <v>0</v>
          </cell>
          <cell r="CW135">
            <v>0</v>
          </cell>
          <cell r="CX135">
            <v>0</v>
          </cell>
          <cell r="CY135">
            <v>0</v>
          </cell>
          <cell r="CZ135">
            <v>0</v>
          </cell>
          <cell r="DA135">
            <v>0</v>
          </cell>
          <cell r="DB135">
            <v>0</v>
          </cell>
          <cell r="DC135">
            <v>0</v>
          </cell>
          <cell r="DD135">
            <v>0</v>
          </cell>
          <cell r="DE135">
            <v>0</v>
          </cell>
          <cell r="DF135">
            <v>0</v>
          </cell>
          <cell r="DG135">
            <v>0</v>
          </cell>
          <cell r="DH135">
            <v>0</v>
          </cell>
          <cell r="DI135">
            <v>0</v>
          </cell>
          <cell r="DJ135">
            <v>0</v>
          </cell>
          <cell r="DK135">
            <v>0</v>
          </cell>
          <cell r="DL135">
            <v>0</v>
          </cell>
          <cell r="DM135">
            <v>0</v>
          </cell>
          <cell r="DN135">
            <v>0</v>
          </cell>
          <cell r="DO135">
            <v>0</v>
          </cell>
          <cell r="DP135">
            <v>0</v>
          </cell>
          <cell r="DQ135">
            <v>0</v>
          </cell>
          <cell r="DR135">
            <v>0</v>
          </cell>
          <cell r="DS135">
            <v>0</v>
          </cell>
          <cell r="DT135">
            <v>0</v>
          </cell>
          <cell r="DU135">
            <v>0</v>
          </cell>
          <cell r="DV135">
            <v>0</v>
          </cell>
          <cell r="DW135">
            <v>0</v>
          </cell>
          <cell r="DX135">
            <v>0</v>
          </cell>
          <cell r="DY135">
            <v>0</v>
          </cell>
          <cell r="DZ135">
            <v>0</v>
          </cell>
          <cell r="EA135">
            <v>0</v>
          </cell>
          <cell r="EB135">
            <v>0</v>
          </cell>
          <cell r="EC135">
            <v>0</v>
          </cell>
          <cell r="ED135">
            <v>0.05</v>
          </cell>
          <cell r="EE135">
            <v>8.5000000000000006E-2</v>
          </cell>
          <cell r="EF135">
            <v>0.08</v>
          </cell>
          <cell r="EG135">
            <v>0.17</v>
          </cell>
          <cell r="EH135">
            <v>0</v>
          </cell>
          <cell r="EI135">
            <v>0</v>
          </cell>
          <cell r="EJ135">
            <v>0</v>
          </cell>
          <cell r="EK135">
            <v>0</v>
          </cell>
          <cell r="EL135">
            <v>0.05</v>
          </cell>
          <cell r="EM135">
            <v>0.14000000000000001</v>
          </cell>
          <cell r="EN135">
            <v>0.11</v>
          </cell>
          <cell r="EO135">
            <v>0.2</v>
          </cell>
          <cell r="EP135">
            <v>0</v>
          </cell>
          <cell r="EQ135">
            <v>447608.63318428688</v>
          </cell>
          <cell r="ER135">
            <v>0</v>
          </cell>
          <cell r="ES135">
            <v>0</v>
          </cell>
          <cell r="ET135">
            <v>0</v>
          </cell>
          <cell r="EU135">
            <v>122024.6224060192</v>
          </cell>
          <cell r="EV135">
            <v>0</v>
          </cell>
          <cell r="EW135">
            <v>0</v>
          </cell>
          <cell r="EX135">
            <v>1</v>
          </cell>
          <cell r="EY135">
            <v>1</v>
          </cell>
          <cell r="EZ135">
            <v>0</v>
          </cell>
          <cell r="FA135">
            <v>0</v>
          </cell>
          <cell r="FB135">
            <v>0</v>
          </cell>
          <cell r="FC135">
            <v>0</v>
          </cell>
          <cell r="FD135">
            <v>0</v>
          </cell>
          <cell r="FE135">
            <v>0</v>
          </cell>
          <cell r="FF135">
            <v>0</v>
          </cell>
          <cell r="FG135">
            <v>0</v>
          </cell>
          <cell r="FH135">
            <v>3968491.8444594666</v>
          </cell>
          <cell r="FI135">
            <v>0</v>
          </cell>
          <cell r="FJ135">
            <v>4115851.3836136991</v>
          </cell>
          <cell r="FK135">
            <v>0</v>
          </cell>
          <cell r="FL135">
            <v>0</v>
          </cell>
          <cell r="FM135">
            <v>0</v>
          </cell>
          <cell r="FN135">
            <v>0</v>
          </cell>
          <cell r="FO135">
            <v>0</v>
          </cell>
          <cell r="FP135">
            <v>0</v>
          </cell>
          <cell r="FQ135">
            <v>0</v>
          </cell>
          <cell r="FR135">
            <v>0</v>
          </cell>
          <cell r="FS135">
            <v>0</v>
          </cell>
          <cell r="FT135">
            <v>447608.63318428688</v>
          </cell>
          <cell r="FU135">
            <v>0</v>
          </cell>
          <cell r="FV135">
            <v>0</v>
          </cell>
          <cell r="FW135">
            <v>0</v>
          </cell>
          <cell r="FX135">
            <v>0</v>
          </cell>
          <cell r="FY135">
            <v>0</v>
          </cell>
          <cell r="FZ135">
            <v>0</v>
          </cell>
        </row>
        <row r="136">
          <cell r="B136">
            <v>0.08</v>
          </cell>
          <cell r="C136">
            <v>0.08</v>
          </cell>
          <cell r="D136">
            <v>0.15</v>
          </cell>
          <cell r="E136">
            <v>6.4000000000000001E-2</v>
          </cell>
          <cell r="F136">
            <v>0.112</v>
          </cell>
          <cell r="G136">
            <v>0.12</v>
          </cell>
          <cell r="H136">
            <v>7.0000000000000007E-2</v>
          </cell>
          <cell r="I136">
            <v>0.09</v>
          </cell>
          <cell r="J136">
            <v>0.13</v>
          </cell>
          <cell r="K136">
            <v>0.17</v>
          </cell>
          <cell r="L136">
            <v>0.17</v>
          </cell>
          <cell r="M136">
            <v>0.17</v>
          </cell>
          <cell r="N136">
            <v>1</v>
          </cell>
          <cell r="O136">
            <v>1</v>
          </cell>
          <cell r="P136">
            <v>1</v>
          </cell>
          <cell r="Q136">
            <v>1</v>
          </cell>
          <cell r="R136">
            <v>1</v>
          </cell>
          <cell r="S136">
            <v>1</v>
          </cell>
          <cell r="T136">
            <v>1</v>
          </cell>
          <cell r="U136">
            <v>1</v>
          </cell>
          <cell r="V136">
            <v>1</v>
          </cell>
          <cell r="W136">
            <v>1</v>
          </cell>
          <cell r="X136">
            <v>1</v>
          </cell>
          <cell r="Y136">
            <v>1</v>
          </cell>
          <cell r="Z136">
            <v>0.09</v>
          </cell>
          <cell r="AA136">
            <v>0.08</v>
          </cell>
          <cell r="AB136">
            <v>0.11</v>
          </cell>
          <cell r="AC136">
            <v>0.1</v>
          </cell>
          <cell r="AD136">
            <v>0.11</v>
          </cell>
          <cell r="AE136">
            <v>0.19</v>
          </cell>
          <cell r="AF136">
            <v>0.12</v>
          </cell>
          <cell r="AG136">
            <v>0.2</v>
          </cell>
          <cell r="AH136">
            <v>0.2</v>
          </cell>
          <cell r="AI136">
            <v>0.2</v>
          </cell>
          <cell r="AJ136">
            <v>0.2</v>
          </cell>
          <cell r="AK136">
            <v>0.2</v>
          </cell>
          <cell r="AL136">
            <v>0</v>
          </cell>
          <cell r="AM136">
            <v>0</v>
          </cell>
          <cell r="AN136">
            <v>0</v>
          </cell>
          <cell r="AO136">
            <v>0</v>
          </cell>
          <cell r="AP136">
            <v>0</v>
          </cell>
          <cell r="AQ136">
            <v>0</v>
          </cell>
          <cell r="AR136">
            <v>0</v>
          </cell>
          <cell r="AS136">
            <v>0</v>
          </cell>
          <cell r="AT136">
            <v>0</v>
          </cell>
          <cell r="AU136">
            <v>0</v>
          </cell>
          <cell r="AV136">
            <v>0</v>
          </cell>
          <cell r="AW136">
            <v>0</v>
          </cell>
          <cell r="AX136">
            <v>0</v>
          </cell>
          <cell r="AY136">
            <v>0</v>
          </cell>
          <cell r="AZ136">
            <v>0</v>
          </cell>
          <cell r="BA136">
            <v>0</v>
          </cell>
          <cell r="BB136">
            <v>0</v>
          </cell>
          <cell r="BC136">
            <v>0</v>
          </cell>
          <cell r="BD136">
            <v>0</v>
          </cell>
          <cell r="BE136">
            <v>0</v>
          </cell>
          <cell r="BF136">
            <v>0</v>
          </cell>
          <cell r="BG136">
            <v>0</v>
          </cell>
          <cell r="BH136">
            <v>0</v>
          </cell>
          <cell r="BI136">
            <v>0</v>
          </cell>
          <cell r="BJ136">
            <v>1</v>
          </cell>
          <cell r="BK136">
            <v>1</v>
          </cell>
          <cell r="BL136">
            <v>1</v>
          </cell>
          <cell r="BM136">
            <v>1</v>
          </cell>
          <cell r="BN136">
            <v>1</v>
          </cell>
          <cell r="BO136">
            <v>1</v>
          </cell>
          <cell r="BP136">
            <v>1</v>
          </cell>
          <cell r="BQ136">
            <v>1</v>
          </cell>
          <cell r="BR136">
            <v>1</v>
          </cell>
          <cell r="BS136">
            <v>1</v>
          </cell>
          <cell r="BT136">
            <v>1</v>
          </cell>
          <cell r="BU136">
            <v>1</v>
          </cell>
          <cell r="BV136">
            <v>0</v>
          </cell>
          <cell r="BW136">
            <v>0</v>
          </cell>
          <cell r="BX136">
            <v>0</v>
          </cell>
          <cell r="BY136">
            <v>0</v>
          </cell>
          <cell r="BZ136">
            <v>0</v>
          </cell>
          <cell r="CA136">
            <v>0</v>
          </cell>
          <cell r="CB136">
            <v>0</v>
          </cell>
          <cell r="CC136">
            <v>0</v>
          </cell>
          <cell r="CD136">
            <v>0</v>
          </cell>
          <cell r="CE136">
            <v>0</v>
          </cell>
          <cell r="CF136">
            <v>0</v>
          </cell>
          <cell r="CG136">
            <v>0</v>
          </cell>
          <cell r="CH136">
            <v>0</v>
          </cell>
          <cell r="CI136">
            <v>0</v>
          </cell>
          <cell r="CJ136">
            <v>0</v>
          </cell>
          <cell r="CK136">
            <v>0</v>
          </cell>
          <cell r="CL136">
            <v>0</v>
          </cell>
          <cell r="CM136">
            <v>0</v>
          </cell>
          <cell r="CN136">
            <v>0</v>
          </cell>
          <cell r="CO136">
            <v>0</v>
          </cell>
          <cell r="CP136">
            <v>0</v>
          </cell>
          <cell r="CQ136">
            <v>0</v>
          </cell>
          <cell r="CR136">
            <v>0</v>
          </cell>
          <cell r="CS136">
            <v>0</v>
          </cell>
          <cell r="CT136">
            <v>0</v>
          </cell>
          <cell r="CU136">
            <v>0</v>
          </cell>
          <cell r="CV136">
            <v>0</v>
          </cell>
          <cell r="CW136">
            <v>0</v>
          </cell>
          <cell r="CX136">
            <v>0</v>
          </cell>
          <cell r="CY136">
            <v>0</v>
          </cell>
          <cell r="CZ136">
            <v>0</v>
          </cell>
          <cell r="DA136">
            <v>0</v>
          </cell>
          <cell r="DB136">
            <v>0</v>
          </cell>
          <cell r="DC136">
            <v>0</v>
          </cell>
          <cell r="DD136">
            <v>0</v>
          </cell>
          <cell r="DE136">
            <v>0</v>
          </cell>
          <cell r="DF136">
            <v>0</v>
          </cell>
          <cell r="DG136">
            <v>0</v>
          </cell>
          <cell r="DH136">
            <v>0</v>
          </cell>
          <cell r="DI136">
            <v>0</v>
          </cell>
          <cell r="DJ136">
            <v>0</v>
          </cell>
          <cell r="DK136">
            <v>0</v>
          </cell>
          <cell r="DL136">
            <v>0</v>
          </cell>
          <cell r="DM136">
            <v>0</v>
          </cell>
          <cell r="DN136">
            <v>0</v>
          </cell>
          <cell r="DO136">
            <v>0</v>
          </cell>
          <cell r="DP136">
            <v>0</v>
          </cell>
          <cell r="DQ136">
            <v>0</v>
          </cell>
          <cell r="DR136">
            <v>0</v>
          </cell>
          <cell r="DS136">
            <v>0</v>
          </cell>
          <cell r="DT136">
            <v>0</v>
          </cell>
          <cell r="DU136">
            <v>0</v>
          </cell>
          <cell r="DV136">
            <v>0</v>
          </cell>
          <cell r="DW136">
            <v>0</v>
          </cell>
          <cell r="DX136">
            <v>0</v>
          </cell>
          <cell r="DY136">
            <v>0</v>
          </cell>
          <cell r="DZ136">
            <v>0</v>
          </cell>
          <cell r="EA136">
            <v>0</v>
          </cell>
          <cell r="EB136">
            <v>0</v>
          </cell>
          <cell r="EC136">
            <v>0</v>
          </cell>
          <cell r="ED136">
            <v>0.05</v>
          </cell>
          <cell r="EE136">
            <v>8.5000000000000006E-2</v>
          </cell>
          <cell r="EF136">
            <v>0.08</v>
          </cell>
          <cell r="EG136">
            <v>0.17</v>
          </cell>
          <cell r="EH136">
            <v>0</v>
          </cell>
          <cell r="EI136">
            <v>0</v>
          </cell>
          <cell r="EJ136">
            <v>0</v>
          </cell>
          <cell r="EK136">
            <v>0</v>
          </cell>
          <cell r="EL136">
            <v>0.05</v>
          </cell>
          <cell r="EM136">
            <v>0.14000000000000001</v>
          </cell>
          <cell r="EN136">
            <v>0.11</v>
          </cell>
          <cell r="EO136">
            <v>0.2</v>
          </cell>
          <cell r="EP136">
            <v>0</v>
          </cell>
          <cell r="EQ136">
            <v>0</v>
          </cell>
          <cell r="ER136">
            <v>0</v>
          </cell>
          <cell r="ES136">
            <v>0</v>
          </cell>
          <cell r="ET136">
            <v>0</v>
          </cell>
          <cell r="EU136">
            <v>0</v>
          </cell>
          <cell r="EV136">
            <v>0</v>
          </cell>
          <cell r="EW136">
            <v>0</v>
          </cell>
          <cell r="EX136">
            <v>1</v>
          </cell>
          <cell r="EY136">
            <v>1</v>
          </cell>
          <cell r="EZ136">
            <v>0</v>
          </cell>
          <cell r="FA136">
            <v>0</v>
          </cell>
          <cell r="FB136">
            <v>0</v>
          </cell>
          <cell r="FC136">
            <v>0</v>
          </cell>
          <cell r="FD136">
            <v>0</v>
          </cell>
          <cell r="FE136">
            <v>0</v>
          </cell>
          <cell r="FF136">
            <v>0</v>
          </cell>
          <cell r="FG136">
            <v>0</v>
          </cell>
          <cell r="FH136">
            <v>0</v>
          </cell>
          <cell r="FI136">
            <v>0</v>
          </cell>
          <cell r="FJ136">
            <v>0</v>
          </cell>
          <cell r="FK136">
            <v>0</v>
          </cell>
          <cell r="FL136">
            <v>0</v>
          </cell>
          <cell r="FM136">
            <v>0</v>
          </cell>
          <cell r="FN136">
            <v>0</v>
          </cell>
          <cell r="FO136">
            <v>0</v>
          </cell>
          <cell r="FP136">
            <v>0</v>
          </cell>
          <cell r="FQ136">
            <v>0</v>
          </cell>
          <cell r="FR136">
            <v>0</v>
          </cell>
          <cell r="FS136">
            <v>0</v>
          </cell>
          <cell r="FT136">
            <v>0</v>
          </cell>
          <cell r="FU136">
            <v>0</v>
          </cell>
          <cell r="FV136">
            <v>0</v>
          </cell>
          <cell r="FW136">
            <v>0</v>
          </cell>
          <cell r="FX136">
            <v>0</v>
          </cell>
          <cell r="FY136">
            <v>0</v>
          </cell>
          <cell r="FZ136">
            <v>0</v>
          </cell>
        </row>
        <row r="137">
          <cell r="B137">
            <v>0.1</v>
          </cell>
          <cell r="C137">
            <v>0.08</v>
          </cell>
          <cell r="D137">
            <v>0.15</v>
          </cell>
          <cell r="E137">
            <v>0.08</v>
          </cell>
          <cell r="F137">
            <v>0.15</v>
          </cell>
          <cell r="G137">
            <v>0.22</v>
          </cell>
          <cell r="H137">
            <v>7.0000000000000007E-2</v>
          </cell>
          <cell r="I137">
            <v>0.05</v>
          </cell>
          <cell r="J137">
            <v>0.13</v>
          </cell>
          <cell r="K137">
            <v>0.18</v>
          </cell>
          <cell r="L137">
            <v>0.17</v>
          </cell>
          <cell r="M137">
            <v>0.16</v>
          </cell>
          <cell r="N137">
            <v>0.8</v>
          </cell>
          <cell r="O137">
            <v>1</v>
          </cell>
          <cell r="P137">
            <v>1</v>
          </cell>
          <cell r="Q137">
            <v>0.8</v>
          </cell>
          <cell r="R137">
            <v>0.8</v>
          </cell>
          <cell r="S137">
            <v>1</v>
          </cell>
          <cell r="T137">
            <v>1</v>
          </cell>
          <cell r="U137">
            <v>1</v>
          </cell>
          <cell r="V137">
            <v>1</v>
          </cell>
          <cell r="W137">
            <v>1</v>
          </cell>
          <cell r="X137">
            <v>1</v>
          </cell>
          <cell r="Y137">
            <v>1</v>
          </cell>
          <cell r="Z137">
            <v>0.1</v>
          </cell>
          <cell r="AA137">
            <v>0.1</v>
          </cell>
          <cell r="AB137">
            <v>0.14000000000000001</v>
          </cell>
          <cell r="AC137">
            <v>0.11</v>
          </cell>
          <cell r="AD137">
            <v>0.11</v>
          </cell>
          <cell r="AE137">
            <v>0.19</v>
          </cell>
          <cell r="AF137">
            <v>0.09</v>
          </cell>
          <cell r="AG137">
            <v>0.11</v>
          </cell>
          <cell r="AH137">
            <v>0.15</v>
          </cell>
          <cell r="AI137">
            <v>0.2</v>
          </cell>
          <cell r="AJ137">
            <v>0.2</v>
          </cell>
          <cell r="AK137">
            <v>0.2</v>
          </cell>
          <cell r="AL137">
            <v>0</v>
          </cell>
          <cell r="AM137">
            <v>0</v>
          </cell>
          <cell r="AN137">
            <v>0</v>
          </cell>
          <cell r="AO137">
            <v>0</v>
          </cell>
          <cell r="AP137">
            <v>0</v>
          </cell>
          <cell r="AQ137">
            <v>0</v>
          </cell>
          <cell r="AR137">
            <v>0</v>
          </cell>
          <cell r="AS137">
            <v>0</v>
          </cell>
          <cell r="AT137">
            <v>0</v>
          </cell>
          <cell r="AU137">
            <v>0</v>
          </cell>
          <cell r="AV137">
            <v>0</v>
          </cell>
          <cell r="AW137">
            <v>0</v>
          </cell>
          <cell r="AX137">
            <v>0</v>
          </cell>
          <cell r="AY137">
            <v>0</v>
          </cell>
          <cell r="AZ137">
            <v>0</v>
          </cell>
          <cell r="BA137">
            <v>0</v>
          </cell>
          <cell r="BB137">
            <v>0</v>
          </cell>
          <cell r="BC137">
            <v>0</v>
          </cell>
          <cell r="BD137">
            <v>0</v>
          </cell>
          <cell r="BE137">
            <v>0</v>
          </cell>
          <cell r="BF137">
            <v>0</v>
          </cell>
          <cell r="BG137">
            <v>0</v>
          </cell>
          <cell r="BH137">
            <v>0</v>
          </cell>
          <cell r="BI137">
            <v>0</v>
          </cell>
          <cell r="BJ137">
            <v>0</v>
          </cell>
          <cell r="BK137">
            <v>0</v>
          </cell>
          <cell r="BL137">
            <v>0</v>
          </cell>
          <cell r="BM137">
            <v>0</v>
          </cell>
          <cell r="BN137">
            <v>0</v>
          </cell>
          <cell r="BO137">
            <v>0</v>
          </cell>
          <cell r="BP137">
            <v>0</v>
          </cell>
          <cell r="BQ137">
            <v>0</v>
          </cell>
          <cell r="BR137">
            <v>0</v>
          </cell>
          <cell r="BS137">
            <v>0</v>
          </cell>
          <cell r="BT137">
            <v>0</v>
          </cell>
          <cell r="BU137">
            <v>0</v>
          </cell>
          <cell r="BV137">
            <v>0</v>
          </cell>
          <cell r="BW137">
            <v>0</v>
          </cell>
          <cell r="BX137">
            <v>0</v>
          </cell>
          <cell r="BY137">
            <v>0</v>
          </cell>
          <cell r="BZ137">
            <v>0</v>
          </cell>
          <cell r="CA137">
            <v>0</v>
          </cell>
          <cell r="CB137">
            <v>0</v>
          </cell>
          <cell r="CC137">
            <v>0</v>
          </cell>
          <cell r="CD137">
            <v>0</v>
          </cell>
          <cell r="CE137">
            <v>0</v>
          </cell>
          <cell r="CF137">
            <v>0</v>
          </cell>
          <cell r="CG137">
            <v>0</v>
          </cell>
          <cell r="CH137">
            <v>0</v>
          </cell>
          <cell r="CI137">
            <v>0</v>
          </cell>
          <cell r="CJ137">
            <v>0</v>
          </cell>
          <cell r="CK137">
            <v>0</v>
          </cell>
          <cell r="CL137">
            <v>0</v>
          </cell>
          <cell r="CM137">
            <v>0</v>
          </cell>
          <cell r="CN137">
            <v>0</v>
          </cell>
          <cell r="CO137">
            <v>0</v>
          </cell>
          <cell r="CP137">
            <v>0</v>
          </cell>
          <cell r="CQ137">
            <v>0</v>
          </cell>
          <cell r="CR137">
            <v>0</v>
          </cell>
          <cell r="CS137">
            <v>0</v>
          </cell>
          <cell r="CT137">
            <v>0</v>
          </cell>
          <cell r="CU137">
            <v>0</v>
          </cell>
          <cell r="CV137">
            <v>0</v>
          </cell>
          <cell r="CW137">
            <v>0</v>
          </cell>
          <cell r="CX137">
            <v>0</v>
          </cell>
          <cell r="CY137">
            <v>0</v>
          </cell>
          <cell r="CZ137">
            <v>0</v>
          </cell>
          <cell r="DA137">
            <v>0</v>
          </cell>
          <cell r="DB137">
            <v>0</v>
          </cell>
          <cell r="DC137">
            <v>0</v>
          </cell>
          <cell r="DD137">
            <v>0</v>
          </cell>
          <cell r="DE137">
            <v>0</v>
          </cell>
          <cell r="DF137">
            <v>0</v>
          </cell>
          <cell r="DG137">
            <v>0</v>
          </cell>
          <cell r="DH137">
            <v>0</v>
          </cell>
          <cell r="DI137">
            <v>0</v>
          </cell>
          <cell r="DJ137">
            <v>0</v>
          </cell>
          <cell r="DK137">
            <v>0</v>
          </cell>
          <cell r="DL137">
            <v>0</v>
          </cell>
          <cell r="DM137">
            <v>0</v>
          </cell>
          <cell r="DN137">
            <v>0</v>
          </cell>
          <cell r="DO137">
            <v>0</v>
          </cell>
          <cell r="DP137">
            <v>0</v>
          </cell>
          <cell r="DQ137">
            <v>0</v>
          </cell>
          <cell r="DR137">
            <v>0</v>
          </cell>
          <cell r="DS137">
            <v>0</v>
          </cell>
          <cell r="DT137">
            <v>0</v>
          </cell>
          <cell r="DU137">
            <v>0</v>
          </cell>
          <cell r="DV137">
            <v>0</v>
          </cell>
          <cell r="DW137">
            <v>0</v>
          </cell>
          <cell r="DX137">
            <v>0</v>
          </cell>
          <cell r="DY137">
            <v>0</v>
          </cell>
          <cell r="EA137">
            <v>0</v>
          </cell>
          <cell r="EB137">
            <v>0</v>
          </cell>
          <cell r="EC137">
            <v>0</v>
          </cell>
          <cell r="ED137">
            <v>0.05</v>
          </cell>
          <cell r="EE137">
            <v>0.09</v>
          </cell>
          <cell r="EF137">
            <v>0.08</v>
          </cell>
          <cell r="EG137">
            <v>0.17</v>
          </cell>
          <cell r="EH137">
            <v>1</v>
          </cell>
          <cell r="EI137">
            <v>1</v>
          </cell>
          <cell r="EJ137">
            <v>1</v>
          </cell>
          <cell r="EK137">
            <v>1</v>
          </cell>
          <cell r="EL137">
            <v>0.05</v>
          </cell>
          <cell r="EM137">
            <v>0.14000000000000001</v>
          </cell>
          <cell r="EN137">
            <v>0.11</v>
          </cell>
          <cell r="EO137">
            <v>0.2</v>
          </cell>
          <cell r="EP137">
            <v>0</v>
          </cell>
          <cell r="EQ137">
            <v>0</v>
          </cell>
          <cell r="ER137">
            <v>0</v>
          </cell>
          <cell r="ES137">
            <v>0</v>
          </cell>
          <cell r="ET137">
            <v>0</v>
          </cell>
          <cell r="EU137">
            <v>0</v>
          </cell>
          <cell r="EV137">
            <v>0</v>
          </cell>
          <cell r="EW137">
            <v>0</v>
          </cell>
          <cell r="EX137">
            <v>1</v>
          </cell>
          <cell r="EY137">
            <v>1</v>
          </cell>
          <cell r="EZ137">
            <v>1</v>
          </cell>
          <cell r="FA137">
            <v>0</v>
          </cell>
          <cell r="FB137">
            <v>0</v>
          </cell>
          <cell r="FC137">
            <v>0</v>
          </cell>
          <cell r="FD137">
            <v>0</v>
          </cell>
          <cell r="FE137">
            <v>0</v>
          </cell>
          <cell r="FF137">
            <v>0</v>
          </cell>
          <cell r="FG137">
            <v>0</v>
          </cell>
          <cell r="FH137">
            <v>0</v>
          </cell>
          <cell r="FI137">
            <v>0</v>
          </cell>
          <cell r="FJ137">
            <v>0</v>
          </cell>
          <cell r="FK137">
            <v>0</v>
          </cell>
          <cell r="FL137">
            <v>0</v>
          </cell>
          <cell r="FM137">
            <v>0</v>
          </cell>
          <cell r="FN137">
            <v>0</v>
          </cell>
          <cell r="FO137">
            <v>0</v>
          </cell>
          <cell r="FP137">
            <v>0</v>
          </cell>
          <cell r="FQ137">
            <v>0</v>
          </cell>
          <cell r="FR137">
            <v>0</v>
          </cell>
          <cell r="FS137">
            <v>0</v>
          </cell>
          <cell r="FT137">
            <v>0</v>
          </cell>
          <cell r="FU137">
            <v>0</v>
          </cell>
          <cell r="FV137">
            <v>0</v>
          </cell>
          <cell r="FW137">
            <v>0</v>
          </cell>
          <cell r="FX137">
            <v>0</v>
          </cell>
          <cell r="FY137">
            <v>0</v>
          </cell>
          <cell r="FZ137">
            <v>0</v>
          </cell>
        </row>
        <row r="138">
          <cell r="B138">
            <v>0.1</v>
          </cell>
          <cell r="C138">
            <v>0.08</v>
          </cell>
          <cell r="D138">
            <v>0.15</v>
          </cell>
          <cell r="E138">
            <v>0.08</v>
          </cell>
          <cell r="F138">
            <v>0.15</v>
          </cell>
          <cell r="G138">
            <v>0.22</v>
          </cell>
          <cell r="H138">
            <v>7.0000000000000007E-2</v>
          </cell>
          <cell r="I138">
            <v>0.05</v>
          </cell>
          <cell r="J138">
            <v>0.13</v>
          </cell>
          <cell r="K138">
            <v>0.18</v>
          </cell>
          <cell r="L138">
            <v>0.17</v>
          </cell>
          <cell r="M138">
            <v>0.16</v>
          </cell>
          <cell r="N138">
            <v>0.8</v>
          </cell>
          <cell r="O138">
            <v>1</v>
          </cell>
          <cell r="P138">
            <v>1</v>
          </cell>
          <cell r="Q138">
            <v>0.8</v>
          </cell>
          <cell r="R138">
            <v>0.8</v>
          </cell>
          <cell r="S138">
            <v>1</v>
          </cell>
          <cell r="T138">
            <v>1</v>
          </cell>
          <cell r="U138">
            <v>1</v>
          </cell>
          <cell r="V138">
            <v>1</v>
          </cell>
          <cell r="W138">
            <v>1</v>
          </cell>
          <cell r="X138">
            <v>1</v>
          </cell>
          <cell r="Y138">
            <v>1</v>
          </cell>
          <cell r="Z138">
            <v>0.1</v>
          </cell>
          <cell r="AA138">
            <v>0.1</v>
          </cell>
          <cell r="AB138">
            <v>0.14000000000000001</v>
          </cell>
          <cell r="AC138">
            <v>0.11</v>
          </cell>
          <cell r="AD138">
            <v>0.11</v>
          </cell>
          <cell r="AE138">
            <v>0.19</v>
          </cell>
          <cell r="AF138">
            <v>0.09</v>
          </cell>
          <cell r="AG138">
            <v>0.11</v>
          </cell>
          <cell r="AH138">
            <v>0.15</v>
          </cell>
          <cell r="AI138">
            <v>0.2</v>
          </cell>
          <cell r="AJ138">
            <v>0.2</v>
          </cell>
          <cell r="AK138">
            <v>0.2</v>
          </cell>
          <cell r="AL138">
            <v>0</v>
          </cell>
          <cell r="AM138">
            <v>0</v>
          </cell>
          <cell r="AN138">
            <v>0</v>
          </cell>
          <cell r="AO138">
            <v>0</v>
          </cell>
          <cell r="AP138">
            <v>0</v>
          </cell>
          <cell r="AQ138">
            <v>0</v>
          </cell>
          <cell r="AR138">
            <v>0</v>
          </cell>
          <cell r="AS138">
            <v>0</v>
          </cell>
          <cell r="AT138">
            <v>0</v>
          </cell>
          <cell r="AU138">
            <v>0</v>
          </cell>
          <cell r="AV138">
            <v>0</v>
          </cell>
          <cell r="AW138">
            <v>0</v>
          </cell>
          <cell r="AX138">
            <v>0</v>
          </cell>
          <cell r="AY138">
            <v>0</v>
          </cell>
          <cell r="AZ138">
            <v>0</v>
          </cell>
          <cell r="BA138">
            <v>0</v>
          </cell>
          <cell r="BB138">
            <v>0</v>
          </cell>
          <cell r="BC138">
            <v>0</v>
          </cell>
          <cell r="BD138">
            <v>0</v>
          </cell>
          <cell r="BE138">
            <v>0</v>
          </cell>
          <cell r="BF138">
            <v>0</v>
          </cell>
          <cell r="BG138">
            <v>0</v>
          </cell>
          <cell r="BH138">
            <v>0</v>
          </cell>
          <cell r="BI138">
            <v>0</v>
          </cell>
          <cell r="BJ138">
            <v>0</v>
          </cell>
          <cell r="BK138">
            <v>0</v>
          </cell>
          <cell r="BL138">
            <v>0</v>
          </cell>
          <cell r="BM138">
            <v>0</v>
          </cell>
          <cell r="BN138">
            <v>0</v>
          </cell>
          <cell r="BO138">
            <v>0</v>
          </cell>
          <cell r="BP138">
            <v>0</v>
          </cell>
          <cell r="BQ138">
            <v>0</v>
          </cell>
          <cell r="BR138">
            <v>0</v>
          </cell>
          <cell r="BS138">
            <v>0</v>
          </cell>
          <cell r="BT138">
            <v>0</v>
          </cell>
          <cell r="BU138">
            <v>0</v>
          </cell>
          <cell r="BV138">
            <v>0</v>
          </cell>
          <cell r="BW138">
            <v>0</v>
          </cell>
          <cell r="BX138">
            <v>0</v>
          </cell>
          <cell r="BY138">
            <v>0</v>
          </cell>
          <cell r="BZ138">
            <v>0</v>
          </cell>
          <cell r="CA138">
            <v>0</v>
          </cell>
          <cell r="CB138">
            <v>0</v>
          </cell>
          <cell r="CC138">
            <v>0</v>
          </cell>
          <cell r="CD138">
            <v>0</v>
          </cell>
          <cell r="CE138">
            <v>0</v>
          </cell>
          <cell r="CF138">
            <v>0</v>
          </cell>
          <cell r="CG138">
            <v>0</v>
          </cell>
          <cell r="CH138">
            <v>0</v>
          </cell>
          <cell r="CI138">
            <v>0</v>
          </cell>
          <cell r="CJ138">
            <v>0</v>
          </cell>
          <cell r="CK138">
            <v>0</v>
          </cell>
          <cell r="CL138">
            <v>0</v>
          </cell>
          <cell r="CM138">
            <v>0</v>
          </cell>
          <cell r="CN138">
            <v>0</v>
          </cell>
          <cell r="CO138">
            <v>0</v>
          </cell>
          <cell r="CP138">
            <v>0</v>
          </cell>
          <cell r="CQ138">
            <v>0</v>
          </cell>
          <cell r="CR138">
            <v>0</v>
          </cell>
          <cell r="CS138">
            <v>0</v>
          </cell>
          <cell r="CT138">
            <v>0</v>
          </cell>
          <cell r="CU138">
            <v>0</v>
          </cell>
          <cell r="CV138">
            <v>0</v>
          </cell>
          <cell r="CW138">
            <v>0</v>
          </cell>
          <cell r="CX138">
            <v>0</v>
          </cell>
          <cell r="CY138">
            <v>0</v>
          </cell>
          <cell r="CZ138">
            <v>0</v>
          </cell>
          <cell r="DA138">
            <v>0</v>
          </cell>
          <cell r="DB138">
            <v>0</v>
          </cell>
          <cell r="DC138">
            <v>0</v>
          </cell>
          <cell r="DD138">
            <v>0</v>
          </cell>
          <cell r="DE138">
            <v>0</v>
          </cell>
          <cell r="DF138">
            <v>0</v>
          </cell>
          <cell r="DG138">
            <v>0</v>
          </cell>
          <cell r="DH138">
            <v>0</v>
          </cell>
          <cell r="DI138">
            <v>0</v>
          </cell>
          <cell r="DJ138">
            <v>0</v>
          </cell>
          <cell r="DK138">
            <v>0</v>
          </cell>
          <cell r="DL138">
            <v>0</v>
          </cell>
          <cell r="DM138">
            <v>0</v>
          </cell>
          <cell r="DN138">
            <v>0</v>
          </cell>
          <cell r="DO138">
            <v>0</v>
          </cell>
          <cell r="DP138">
            <v>0</v>
          </cell>
          <cell r="DQ138">
            <v>0</v>
          </cell>
          <cell r="DR138">
            <v>0</v>
          </cell>
          <cell r="DS138">
            <v>0</v>
          </cell>
          <cell r="DT138">
            <v>0</v>
          </cell>
          <cell r="DU138">
            <v>0</v>
          </cell>
          <cell r="DV138">
            <v>0</v>
          </cell>
          <cell r="DW138">
            <v>0</v>
          </cell>
          <cell r="DX138">
            <v>0</v>
          </cell>
          <cell r="DY138">
            <v>0</v>
          </cell>
          <cell r="EA138">
            <v>0</v>
          </cell>
          <cell r="EB138">
            <v>0</v>
          </cell>
          <cell r="EC138">
            <v>0</v>
          </cell>
          <cell r="ED138">
            <v>0.05</v>
          </cell>
          <cell r="EE138">
            <v>0.09</v>
          </cell>
          <cell r="EF138">
            <v>0.08</v>
          </cell>
          <cell r="EG138">
            <v>0.17</v>
          </cell>
          <cell r="EH138">
            <v>1</v>
          </cell>
          <cell r="EI138">
            <v>1</v>
          </cell>
          <cell r="EJ138">
            <v>1</v>
          </cell>
          <cell r="EK138">
            <v>1</v>
          </cell>
          <cell r="EL138">
            <v>0.05</v>
          </cell>
          <cell r="EM138">
            <v>0.14000000000000001</v>
          </cell>
          <cell r="EN138">
            <v>0.11</v>
          </cell>
          <cell r="EO138">
            <v>0.2</v>
          </cell>
          <cell r="EP138">
            <v>0</v>
          </cell>
          <cell r="EQ138">
            <v>0</v>
          </cell>
          <cell r="ER138">
            <v>0</v>
          </cell>
          <cell r="ES138">
            <v>0</v>
          </cell>
          <cell r="ET138">
            <v>0</v>
          </cell>
          <cell r="EU138">
            <v>0</v>
          </cell>
          <cell r="EV138">
            <v>0</v>
          </cell>
          <cell r="EW138">
            <v>0</v>
          </cell>
          <cell r="EX138">
            <v>1</v>
          </cell>
          <cell r="EY138">
            <v>1</v>
          </cell>
          <cell r="EZ138">
            <v>1</v>
          </cell>
          <cell r="FA138">
            <v>0</v>
          </cell>
          <cell r="FB138">
            <v>0</v>
          </cell>
          <cell r="FC138">
            <v>0</v>
          </cell>
          <cell r="FD138">
            <v>0</v>
          </cell>
          <cell r="FE138">
            <v>0</v>
          </cell>
          <cell r="FF138">
            <v>0</v>
          </cell>
          <cell r="FG138">
            <v>0</v>
          </cell>
          <cell r="FH138">
            <v>0</v>
          </cell>
          <cell r="FI138">
            <v>0</v>
          </cell>
          <cell r="FJ138">
            <v>0</v>
          </cell>
          <cell r="FK138">
            <v>0</v>
          </cell>
          <cell r="FL138">
            <v>0</v>
          </cell>
          <cell r="FM138">
            <v>0</v>
          </cell>
          <cell r="FN138">
            <v>0</v>
          </cell>
          <cell r="FO138">
            <v>0</v>
          </cell>
          <cell r="FP138">
            <v>0</v>
          </cell>
          <cell r="FQ138">
            <v>0</v>
          </cell>
          <cell r="FR138">
            <v>0</v>
          </cell>
          <cell r="FS138">
            <v>0</v>
          </cell>
          <cell r="FT138">
            <v>0</v>
          </cell>
          <cell r="FU138">
            <v>0</v>
          </cell>
          <cell r="FV138">
            <v>0</v>
          </cell>
          <cell r="FW138">
            <v>0</v>
          </cell>
          <cell r="FX138">
            <v>0</v>
          </cell>
          <cell r="FY138">
            <v>0</v>
          </cell>
          <cell r="FZ138">
            <v>0</v>
          </cell>
        </row>
        <row r="139">
          <cell r="B139">
            <v>0.1</v>
          </cell>
          <cell r="C139">
            <v>0.08</v>
          </cell>
          <cell r="D139">
            <v>0.15</v>
          </cell>
          <cell r="E139">
            <v>0.08</v>
          </cell>
          <cell r="F139">
            <v>0.15</v>
          </cell>
          <cell r="G139">
            <v>0.22</v>
          </cell>
          <cell r="H139">
            <v>7.0000000000000007E-2</v>
          </cell>
          <cell r="I139">
            <v>0.05</v>
          </cell>
          <cell r="J139">
            <v>0.13</v>
          </cell>
          <cell r="K139">
            <v>0.18</v>
          </cell>
          <cell r="L139">
            <v>0.17</v>
          </cell>
          <cell r="M139">
            <v>0.16</v>
          </cell>
          <cell r="N139">
            <v>0.8</v>
          </cell>
          <cell r="O139">
            <v>1</v>
          </cell>
          <cell r="P139">
            <v>1</v>
          </cell>
          <cell r="Q139">
            <v>0.8</v>
          </cell>
          <cell r="R139">
            <v>0.8</v>
          </cell>
          <cell r="S139">
            <v>1</v>
          </cell>
          <cell r="T139">
            <v>1</v>
          </cell>
          <cell r="U139">
            <v>1</v>
          </cell>
          <cell r="V139">
            <v>1</v>
          </cell>
          <cell r="W139">
            <v>1</v>
          </cell>
          <cell r="X139">
            <v>1</v>
          </cell>
          <cell r="Y139">
            <v>1</v>
          </cell>
          <cell r="Z139">
            <v>0.1</v>
          </cell>
          <cell r="AA139">
            <v>0.1</v>
          </cell>
          <cell r="AB139">
            <v>0.14000000000000001</v>
          </cell>
          <cell r="AC139">
            <v>0.11</v>
          </cell>
          <cell r="AD139">
            <v>0.11</v>
          </cell>
          <cell r="AE139">
            <v>0.19</v>
          </cell>
          <cell r="AF139">
            <v>0.09</v>
          </cell>
          <cell r="AG139">
            <v>0.11</v>
          </cell>
          <cell r="AH139">
            <v>0.15</v>
          </cell>
          <cell r="AI139">
            <v>0.2</v>
          </cell>
          <cell r="AJ139">
            <v>0.2</v>
          </cell>
          <cell r="AK139">
            <v>0.2</v>
          </cell>
          <cell r="AL139">
            <v>0</v>
          </cell>
          <cell r="AM139">
            <v>0</v>
          </cell>
          <cell r="AN139">
            <v>0</v>
          </cell>
          <cell r="AO139">
            <v>0</v>
          </cell>
          <cell r="AP139">
            <v>0</v>
          </cell>
          <cell r="AQ139">
            <v>0</v>
          </cell>
          <cell r="AR139">
            <v>0</v>
          </cell>
          <cell r="AS139">
            <v>0</v>
          </cell>
          <cell r="AT139">
            <v>0</v>
          </cell>
          <cell r="AU139">
            <v>0</v>
          </cell>
          <cell r="AV139">
            <v>0</v>
          </cell>
          <cell r="AW139">
            <v>0</v>
          </cell>
          <cell r="AX139">
            <v>0</v>
          </cell>
          <cell r="AY139">
            <v>0</v>
          </cell>
          <cell r="AZ139">
            <v>0</v>
          </cell>
          <cell r="BA139">
            <v>0</v>
          </cell>
          <cell r="BB139">
            <v>0</v>
          </cell>
          <cell r="BC139">
            <v>0</v>
          </cell>
          <cell r="BD139">
            <v>0</v>
          </cell>
          <cell r="BE139">
            <v>0</v>
          </cell>
          <cell r="BF139">
            <v>0</v>
          </cell>
          <cell r="BG139">
            <v>0</v>
          </cell>
          <cell r="BH139">
            <v>0</v>
          </cell>
          <cell r="BI139">
            <v>0</v>
          </cell>
          <cell r="BJ139">
            <v>0</v>
          </cell>
          <cell r="BK139">
            <v>0</v>
          </cell>
          <cell r="BL139">
            <v>0</v>
          </cell>
          <cell r="BM139">
            <v>0</v>
          </cell>
          <cell r="BN139">
            <v>0</v>
          </cell>
          <cell r="BO139">
            <v>0</v>
          </cell>
          <cell r="BP139">
            <v>0</v>
          </cell>
          <cell r="BQ139">
            <v>0</v>
          </cell>
          <cell r="BR139">
            <v>0</v>
          </cell>
          <cell r="BS139">
            <v>0</v>
          </cell>
          <cell r="BT139">
            <v>0</v>
          </cell>
          <cell r="BU139">
            <v>0</v>
          </cell>
          <cell r="BV139">
            <v>0</v>
          </cell>
          <cell r="BW139">
            <v>0</v>
          </cell>
          <cell r="BX139">
            <v>0</v>
          </cell>
          <cell r="BY139">
            <v>0</v>
          </cell>
          <cell r="BZ139">
            <v>0</v>
          </cell>
          <cell r="CA139">
            <v>0</v>
          </cell>
          <cell r="CB139">
            <v>0</v>
          </cell>
          <cell r="CC139">
            <v>0</v>
          </cell>
          <cell r="CD139">
            <v>0</v>
          </cell>
          <cell r="CE139">
            <v>0</v>
          </cell>
          <cell r="CF139">
            <v>0</v>
          </cell>
          <cell r="CG139">
            <v>0</v>
          </cell>
          <cell r="CH139">
            <v>0</v>
          </cell>
          <cell r="CI139">
            <v>0</v>
          </cell>
          <cell r="CJ139">
            <v>0</v>
          </cell>
          <cell r="CK139">
            <v>0</v>
          </cell>
          <cell r="CL139">
            <v>0</v>
          </cell>
          <cell r="CM139">
            <v>0</v>
          </cell>
          <cell r="CN139">
            <v>0</v>
          </cell>
          <cell r="CO139">
            <v>0</v>
          </cell>
          <cell r="CP139">
            <v>0</v>
          </cell>
          <cell r="CQ139">
            <v>0</v>
          </cell>
          <cell r="CR139">
            <v>0</v>
          </cell>
          <cell r="CS139">
            <v>0</v>
          </cell>
          <cell r="CT139">
            <v>0</v>
          </cell>
          <cell r="CU139">
            <v>0</v>
          </cell>
          <cell r="CV139">
            <v>0</v>
          </cell>
          <cell r="CW139">
            <v>0</v>
          </cell>
          <cell r="CX139">
            <v>0</v>
          </cell>
          <cell r="CY139">
            <v>0</v>
          </cell>
          <cell r="CZ139">
            <v>0</v>
          </cell>
          <cell r="DA139">
            <v>0</v>
          </cell>
          <cell r="DB139">
            <v>0</v>
          </cell>
          <cell r="DC139">
            <v>0</v>
          </cell>
          <cell r="DD139">
            <v>0</v>
          </cell>
          <cell r="DE139">
            <v>0</v>
          </cell>
          <cell r="DF139">
            <v>0</v>
          </cell>
          <cell r="DG139">
            <v>0</v>
          </cell>
          <cell r="DH139">
            <v>0</v>
          </cell>
          <cell r="DI139">
            <v>0</v>
          </cell>
          <cell r="DJ139">
            <v>0</v>
          </cell>
          <cell r="DK139">
            <v>0</v>
          </cell>
          <cell r="DL139">
            <v>0</v>
          </cell>
          <cell r="DM139">
            <v>0</v>
          </cell>
          <cell r="DN139">
            <v>0</v>
          </cell>
          <cell r="DO139">
            <v>0</v>
          </cell>
          <cell r="DP139">
            <v>0</v>
          </cell>
          <cell r="DQ139">
            <v>0</v>
          </cell>
          <cell r="DR139">
            <v>0</v>
          </cell>
          <cell r="DS139">
            <v>0</v>
          </cell>
          <cell r="DT139">
            <v>0</v>
          </cell>
          <cell r="DU139">
            <v>0</v>
          </cell>
          <cell r="DV139">
            <v>0</v>
          </cell>
          <cell r="DW139">
            <v>0</v>
          </cell>
          <cell r="DX139">
            <v>0</v>
          </cell>
          <cell r="DY139">
            <v>0</v>
          </cell>
          <cell r="EA139">
            <v>0</v>
          </cell>
          <cell r="EB139">
            <v>0</v>
          </cell>
          <cell r="EC139">
            <v>0</v>
          </cell>
          <cell r="ED139">
            <v>0.05</v>
          </cell>
          <cell r="EE139">
            <v>0.09</v>
          </cell>
          <cell r="EF139">
            <v>0.08</v>
          </cell>
          <cell r="EG139">
            <v>0.17</v>
          </cell>
          <cell r="EH139">
            <v>1</v>
          </cell>
          <cell r="EI139">
            <v>1</v>
          </cell>
          <cell r="EJ139">
            <v>1</v>
          </cell>
          <cell r="EK139">
            <v>1</v>
          </cell>
          <cell r="EL139">
            <v>0.05</v>
          </cell>
          <cell r="EM139">
            <v>0.14000000000000001</v>
          </cell>
          <cell r="EN139">
            <v>0.11</v>
          </cell>
          <cell r="EO139">
            <v>0.2</v>
          </cell>
          <cell r="EP139">
            <v>0</v>
          </cell>
          <cell r="EQ139">
            <v>0</v>
          </cell>
          <cell r="ER139">
            <v>0</v>
          </cell>
          <cell r="ES139">
            <v>0</v>
          </cell>
          <cell r="ET139">
            <v>0</v>
          </cell>
          <cell r="EU139">
            <v>0</v>
          </cell>
          <cell r="EV139">
            <v>0</v>
          </cell>
          <cell r="EW139">
            <v>0</v>
          </cell>
          <cell r="EX139">
            <v>1</v>
          </cell>
          <cell r="EY139">
            <v>1</v>
          </cell>
          <cell r="EZ139">
            <v>1</v>
          </cell>
          <cell r="FA139">
            <v>0</v>
          </cell>
          <cell r="FB139">
            <v>0</v>
          </cell>
          <cell r="FC139">
            <v>0</v>
          </cell>
          <cell r="FD139">
            <v>0</v>
          </cell>
          <cell r="FE139">
            <v>0</v>
          </cell>
          <cell r="FF139">
            <v>0</v>
          </cell>
          <cell r="FG139">
            <v>0</v>
          </cell>
          <cell r="FH139">
            <v>0</v>
          </cell>
          <cell r="FI139">
            <v>0</v>
          </cell>
          <cell r="FJ139">
            <v>0</v>
          </cell>
          <cell r="FK139">
            <v>0</v>
          </cell>
          <cell r="FL139">
            <v>0</v>
          </cell>
          <cell r="FM139">
            <v>0</v>
          </cell>
          <cell r="FN139">
            <v>0</v>
          </cell>
          <cell r="FO139">
            <v>0</v>
          </cell>
          <cell r="FP139">
            <v>0</v>
          </cell>
          <cell r="FQ139">
            <v>0</v>
          </cell>
          <cell r="FR139">
            <v>0</v>
          </cell>
          <cell r="FS139">
            <v>0</v>
          </cell>
          <cell r="FT139">
            <v>0</v>
          </cell>
          <cell r="FU139">
            <v>0</v>
          </cell>
          <cell r="FV139">
            <v>0</v>
          </cell>
          <cell r="FW139">
            <v>0</v>
          </cell>
          <cell r="FX139">
            <v>0</v>
          </cell>
          <cell r="FY139">
            <v>0</v>
          </cell>
          <cell r="FZ139">
            <v>0</v>
          </cell>
        </row>
        <row r="140">
          <cell r="B140">
            <v>0.1</v>
          </cell>
          <cell r="C140">
            <v>0.08</v>
          </cell>
          <cell r="D140">
            <v>0.15</v>
          </cell>
          <cell r="E140">
            <v>0.08</v>
          </cell>
          <cell r="F140">
            <v>0.15</v>
          </cell>
          <cell r="G140">
            <v>0.22</v>
          </cell>
          <cell r="H140">
            <v>7.0000000000000007E-2</v>
          </cell>
          <cell r="I140">
            <v>0.05</v>
          </cell>
          <cell r="J140">
            <v>0.13</v>
          </cell>
          <cell r="K140">
            <v>0.18</v>
          </cell>
          <cell r="L140">
            <v>0.17</v>
          </cell>
          <cell r="M140">
            <v>0.16</v>
          </cell>
          <cell r="N140">
            <v>0.8</v>
          </cell>
          <cell r="O140">
            <v>1</v>
          </cell>
          <cell r="P140">
            <v>1</v>
          </cell>
          <cell r="Q140">
            <v>0.8</v>
          </cell>
          <cell r="R140">
            <v>0.8</v>
          </cell>
          <cell r="S140">
            <v>1</v>
          </cell>
          <cell r="T140">
            <v>1</v>
          </cell>
          <cell r="U140">
            <v>1</v>
          </cell>
          <cell r="V140">
            <v>1</v>
          </cell>
          <cell r="W140">
            <v>1</v>
          </cell>
          <cell r="X140">
            <v>1</v>
          </cell>
          <cell r="Y140">
            <v>1</v>
          </cell>
          <cell r="Z140">
            <v>0.1</v>
          </cell>
          <cell r="AA140">
            <v>0.1</v>
          </cell>
          <cell r="AB140">
            <v>0.14000000000000001</v>
          </cell>
          <cell r="AC140">
            <v>0.11</v>
          </cell>
          <cell r="AD140">
            <v>0.11</v>
          </cell>
          <cell r="AE140">
            <v>0.19</v>
          </cell>
          <cell r="AF140">
            <v>0.09</v>
          </cell>
          <cell r="AG140">
            <v>0.11</v>
          </cell>
          <cell r="AH140">
            <v>0.15</v>
          </cell>
          <cell r="AI140">
            <v>0.2</v>
          </cell>
          <cell r="AJ140">
            <v>0.2</v>
          </cell>
          <cell r="AK140">
            <v>0.2</v>
          </cell>
          <cell r="AL140">
            <v>0</v>
          </cell>
          <cell r="AM140">
            <v>0</v>
          </cell>
          <cell r="AN140">
            <v>0</v>
          </cell>
          <cell r="AO140">
            <v>0</v>
          </cell>
          <cell r="AP140">
            <v>0</v>
          </cell>
          <cell r="AQ140">
            <v>0</v>
          </cell>
          <cell r="AR140">
            <v>0</v>
          </cell>
          <cell r="AS140">
            <v>0</v>
          </cell>
          <cell r="AT140">
            <v>0</v>
          </cell>
          <cell r="AU140">
            <v>0</v>
          </cell>
          <cell r="AV140">
            <v>0</v>
          </cell>
          <cell r="AW140">
            <v>0</v>
          </cell>
          <cell r="AX140">
            <v>0</v>
          </cell>
          <cell r="AY140">
            <v>0</v>
          </cell>
          <cell r="AZ140">
            <v>0</v>
          </cell>
          <cell r="BA140">
            <v>0</v>
          </cell>
          <cell r="BB140">
            <v>0</v>
          </cell>
          <cell r="BC140">
            <v>0</v>
          </cell>
          <cell r="BD140">
            <v>0</v>
          </cell>
          <cell r="BE140">
            <v>0</v>
          </cell>
          <cell r="BF140">
            <v>0</v>
          </cell>
          <cell r="BG140">
            <v>0</v>
          </cell>
          <cell r="BH140">
            <v>0</v>
          </cell>
          <cell r="BI140">
            <v>0</v>
          </cell>
          <cell r="BJ140">
            <v>0</v>
          </cell>
          <cell r="BK140">
            <v>0</v>
          </cell>
          <cell r="BL140">
            <v>0</v>
          </cell>
          <cell r="BM140">
            <v>0</v>
          </cell>
          <cell r="BN140">
            <v>0</v>
          </cell>
          <cell r="BO140">
            <v>0</v>
          </cell>
          <cell r="BP140">
            <v>0</v>
          </cell>
          <cell r="BQ140">
            <v>0</v>
          </cell>
          <cell r="BR140">
            <v>0</v>
          </cell>
          <cell r="BS140">
            <v>0</v>
          </cell>
          <cell r="BT140">
            <v>0</v>
          </cell>
          <cell r="BU140">
            <v>0</v>
          </cell>
          <cell r="BV140">
            <v>0</v>
          </cell>
          <cell r="BW140">
            <v>0</v>
          </cell>
          <cell r="BX140">
            <v>0</v>
          </cell>
          <cell r="BY140">
            <v>0</v>
          </cell>
          <cell r="BZ140">
            <v>0</v>
          </cell>
          <cell r="CA140">
            <v>0</v>
          </cell>
          <cell r="CB140">
            <v>0</v>
          </cell>
          <cell r="CC140">
            <v>0</v>
          </cell>
          <cell r="CD140">
            <v>0</v>
          </cell>
          <cell r="CE140">
            <v>0</v>
          </cell>
          <cell r="CF140">
            <v>0</v>
          </cell>
          <cell r="CG140">
            <v>0</v>
          </cell>
          <cell r="CH140">
            <v>0</v>
          </cell>
          <cell r="CI140">
            <v>0</v>
          </cell>
          <cell r="CJ140">
            <v>0</v>
          </cell>
          <cell r="CK140">
            <v>0</v>
          </cell>
          <cell r="CL140">
            <v>0</v>
          </cell>
          <cell r="CM140">
            <v>0</v>
          </cell>
          <cell r="CN140">
            <v>0</v>
          </cell>
          <cell r="CO140">
            <v>0</v>
          </cell>
          <cell r="CP140">
            <v>0</v>
          </cell>
          <cell r="CQ140">
            <v>0</v>
          </cell>
          <cell r="CR140">
            <v>0</v>
          </cell>
          <cell r="CS140">
            <v>0</v>
          </cell>
          <cell r="CT140">
            <v>0</v>
          </cell>
          <cell r="CU140">
            <v>0</v>
          </cell>
          <cell r="CV140">
            <v>0</v>
          </cell>
          <cell r="CW140">
            <v>0</v>
          </cell>
          <cell r="CX140">
            <v>0</v>
          </cell>
          <cell r="CY140">
            <v>0</v>
          </cell>
          <cell r="CZ140">
            <v>0</v>
          </cell>
          <cell r="DA140">
            <v>0</v>
          </cell>
          <cell r="DB140">
            <v>0</v>
          </cell>
          <cell r="DC140">
            <v>0</v>
          </cell>
          <cell r="DD140">
            <v>0</v>
          </cell>
          <cell r="DE140">
            <v>0</v>
          </cell>
          <cell r="DF140">
            <v>0</v>
          </cell>
          <cell r="DG140">
            <v>0</v>
          </cell>
          <cell r="DH140">
            <v>0</v>
          </cell>
          <cell r="DI140">
            <v>0</v>
          </cell>
          <cell r="DJ140">
            <v>0</v>
          </cell>
          <cell r="DK140">
            <v>0</v>
          </cell>
          <cell r="DL140">
            <v>0</v>
          </cell>
          <cell r="DM140">
            <v>0</v>
          </cell>
          <cell r="DN140">
            <v>0</v>
          </cell>
          <cell r="DO140">
            <v>0</v>
          </cell>
          <cell r="DP140">
            <v>0</v>
          </cell>
          <cell r="DQ140">
            <v>0</v>
          </cell>
          <cell r="DR140">
            <v>0</v>
          </cell>
          <cell r="DS140">
            <v>0</v>
          </cell>
          <cell r="DT140">
            <v>0</v>
          </cell>
          <cell r="DU140">
            <v>0</v>
          </cell>
          <cell r="DV140">
            <v>0</v>
          </cell>
          <cell r="DW140">
            <v>0</v>
          </cell>
          <cell r="DX140">
            <v>0</v>
          </cell>
          <cell r="DY140">
            <v>0</v>
          </cell>
          <cell r="EA140">
            <v>0</v>
          </cell>
          <cell r="EB140">
            <v>0</v>
          </cell>
          <cell r="EC140">
            <v>0</v>
          </cell>
          <cell r="ED140">
            <v>0.05</v>
          </cell>
          <cell r="EE140">
            <v>0.09</v>
          </cell>
          <cell r="EF140">
            <v>0.08</v>
          </cell>
          <cell r="EG140">
            <v>0.17</v>
          </cell>
          <cell r="EH140">
            <v>1</v>
          </cell>
          <cell r="EI140">
            <v>1</v>
          </cell>
          <cell r="EJ140">
            <v>1</v>
          </cell>
          <cell r="EK140">
            <v>1</v>
          </cell>
          <cell r="EL140">
            <v>0.05</v>
          </cell>
          <cell r="EM140">
            <v>0.14000000000000001</v>
          </cell>
          <cell r="EN140">
            <v>0.11</v>
          </cell>
          <cell r="EO140">
            <v>0.2</v>
          </cell>
          <cell r="EP140">
            <v>0</v>
          </cell>
          <cell r="EQ140">
            <v>0</v>
          </cell>
          <cell r="ER140">
            <v>0</v>
          </cell>
          <cell r="ES140">
            <v>0</v>
          </cell>
          <cell r="ET140">
            <v>0</v>
          </cell>
          <cell r="EU140">
            <v>0</v>
          </cell>
          <cell r="EV140">
            <v>0</v>
          </cell>
          <cell r="EW140">
            <v>0</v>
          </cell>
          <cell r="EX140">
            <v>1</v>
          </cell>
          <cell r="EY140">
            <v>1</v>
          </cell>
          <cell r="EZ140">
            <v>1</v>
          </cell>
          <cell r="FA140">
            <v>0</v>
          </cell>
          <cell r="FB140">
            <v>0</v>
          </cell>
          <cell r="FC140">
            <v>0</v>
          </cell>
          <cell r="FD140">
            <v>0</v>
          </cell>
          <cell r="FE140">
            <v>0</v>
          </cell>
          <cell r="FF140">
            <v>0</v>
          </cell>
          <cell r="FG140">
            <v>0</v>
          </cell>
          <cell r="FH140">
            <v>0</v>
          </cell>
          <cell r="FI140">
            <v>0</v>
          </cell>
          <cell r="FJ140">
            <v>0</v>
          </cell>
          <cell r="FK140">
            <v>0</v>
          </cell>
          <cell r="FL140">
            <v>0</v>
          </cell>
          <cell r="FM140">
            <v>0</v>
          </cell>
          <cell r="FN140">
            <v>0</v>
          </cell>
          <cell r="FO140">
            <v>0</v>
          </cell>
          <cell r="FP140">
            <v>0</v>
          </cell>
          <cell r="FQ140">
            <v>0</v>
          </cell>
          <cell r="FR140">
            <v>0</v>
          </cell>
          <cell r="FS140">
            <v>0</v>
          </cell>
          <cell r="FT140">
            <v>0</v>
          </cell>
          <cell r="FU140">
            <v>0</v>
          </cell>
          <cell r="FV140">
            <v>0</v>
          </cell>
          <cell r="FW140">
            <v>0</v>
          </cell>
          <cell r="FX140">
            <v>0</v>
          </cell>
          <cell r="FY140">
            <v>0</v>
          </cell>
          <cell r="FZ140">
            <v>0</v>
          </cell>
        </row>
        <row r="141">
          <cell r="B141">
            <v>0.1</v>
          </cell>
          <cell r="C141">
            <v>0.08</v>
          </cell>
          <cell r="D141">
            <v>0.15</v>
          </cell>
          <cell r="E141">
            <v>0.08</v>
          </cell>
          <cell r="F141">
            <v>0.15</v>
          </cell>
          <cell r="G141">
            <v>0.22</v>
          </cell>
          <cell r="H141">
            <v>7.0000000000000007E-2</v>
          </cell>
          <cell r="I141">
            <v>0.05</v>
          </cell>
          <cell r="J141">
            <v>0.13</v>
          </cell>
          <cell r="K141">
            <v>0.18</v>
          </cell>
          <cell r="L141">
            <v>0.17</v>
          </cell>
          <cell r="M141">
            <v>0.16</v>
          </cell>
          <cell r="N141">
            <v>0.8</v>
          </cell>
          <cell r="O141">
            <v>1</v>
          </cell>
          <cell r="P141">
            <v>1</v>
          </cell>
          <cell r="Q141">
            <v>0.8</v>
          </cell>
          <cell r="R141">
            <v>0.8</v>
          </cell>
          <cell r="S141">
            <v>1</v>
          </cell>
          <cell r="T141">
            <v>1</v>
          </cell>
          <cell r="U141">
            <v>1</v>
          </cell>
          <cell r="V141">
            <v>1</v>
          </cell>
          <cell r="W141">
            <v>1</v>
          </cell>
          <cell r="X141">
            <v>1</v>
          </cell>
          <cell r="Y141">
            <v>1</v>
          </cell>
          <cell r="Z141">
            <v>0.1</v>
          </cell>
          <cell r="AA141">
            <v>0.1</v>
          </cell>
          <cell r="AB141">
            <v>0.14000000000000001</v>
          </cell>
          <cell r="AC141">
            <v>0.11</v>
          </cell>
          <cell r="AD141">
            <v>0.11</v>
          </cell>
          <cell r="AE141">
            <v>0.19</v>
          </cell>
          <cell r="AF141">
            <v>0.09</v>
          </cell>
          <cell r="AG141">
            <v>0.11</v>
          </cell>
          <cell r="AH141">
            <v>0.15</v>
          </cell>
          <cell r="AI141">
            <v>0.2</v>
          </cell>
          <cell r="AJ141">
            <v>0.2</v>
          </cell>
          <cell r="AK141">
            <v>0.2</v>
          </cell>
          <cell r="AL141">
            <v>0</v>
          </cell>
          <cell r="AM141">
            <v>0</v>
          </cell>
          <cell r="AN141">
            <v>0</v>
          </cell>
          <cell r="AO141">
            <v>0</v>
          </cell>
          <cell r="AP141">
            <v>0</v>
          </cell>
          <cell r="AQ141">
            <v>0</v>
          </cell>
          <cell r="AR141">
            <v>0</v>
          </cell>
          <cell r="AS141">
            <v>0</v>
          </cell>
          <cell r="AT141">
            <v>0</v>
          </cell>
          <cell r="AU141">
            <v>0</v>
          </cell>
          <cell r="AV141">
            <v>0</v>
          </cell>
          <cell r="AW141">
            <v>0</v>
          </cell>
          <cell r="AX141">
            <v>0</v>
          </cell>
          <cell r="AY141">
            <v>0</v>
          </cell>
          <cell r="AZ141">
            <v>0</v>
          </cell>
          <cell r="BA141">
            <v>0</v>
          </cell>
          <cell r="BB141">
            <v>0</v>
          </cell>
          <cell r="BC141">
            <v>0</v>
          </cell>
          <cell r="BD141">
            <v>0</v>
          </cell>
          <cell r="BE141">
            <v>0</v>
          </cell>
          <cell r="BF141">
            <v>0</v>
          </cell>
          <cell r="BG141">
            <v>0</v>
          </cell>
          <cell r="BH141">
            <v>0</v>
          </cell>
          <cell r="BI141">
            <v>0</v>
          </cell>
          <cell r="BJ141">
            <v>0</v>
          </cell>
          <cell r="BK141">
            <v>0</v>
          </cell>
          <cell r="BL141">
            <v>0</v>
          </cell>
          <cell r="BM141">
            <v>0</v>
          </cell>
          <cell r="BN141">
            <v>0</v>
          </cell>
          <cell r="BO141">
            <v>0</v>
          </cell>
          <cell r="BP141">
            <v>0</v>
          </cell>
          <cell r="BQ141">
            <v>0</v>
          </cell>
          <cell r="BR141">
            <v>0</v>
          </cell>
          <cell r="BS141">
            <v>0</v>
          </cell>
          <cell r="BT141">
            <v>0</v>
          </cell>
          <cell r="BU141">
            <v>0</v>
          </cell>
          <cell r="BV141">
            <v>0</v>
          </cell>
          <cell r="BW141">
            <v>0</v>
          </cell>
          <cell r="BX141">
            <v>0</v>
          </cell>
          <cell r="BY141">
            <v>0</v>
          </cell>
          <cell r="BZ141">
            <v>0</v>
          </cell>
          <cell r="CA141">
            <v>0</v>
          </cell>
          <cell r="CB141">
            <v>0</v>
          </cell>
          <cell r="CC141">
            <v>0</v>
          </cell>
          <cell r="CD141">
            <v>0</v>
          </cell>
          <cell r="CE141">
            <v>0</v>
          </cell>
          <cell r="CF141">
            <v>0</v>
          </cell>
          <cell r="CG141">
            <v>0</v>
          </cell>
          <cell r="CH141">
            <v>0</v>
          </cell>
          <cell r="CI141">
            <v>0</v>
          </cell>
          <cell r="CJ141">
            <v>0</v>
          </cell>
          <cell r="CK141">
            <v>0</v>
          </cell>
          <cell r="CL141">
            <v>0</v>
          </cell>
          <cell r="CM141">
            <v>0</v>
          </cell>
          <cell r="CN141">
            <v>0</v>
          </cell>
          <cell r="CO141">
            <v>0</v>
          </cell>
          <cell r="CP141">
            <v>0</v>
          </cell>
          <cell r="CQ141">
            <v>0</v>
          </cell>
          <cell r="CR141">
            <v>0</v>
          </cell>
          <cell r="CS141">
            <v>0</v>
          </cell>
          <cell r="CT141">
            <v>0</v>
          </cell>
          <cell r="CU141">
            <v>0</v>
          </cell>
          <cell r="CV141">
            <v>0</v>
          </cell>
          <cell r="CW141">
            <v>0</v>
          </cell>
          <cell r="CX141">
            <v>0</v>
          </cell>
          <cell r="CY141">
            <v>0</v>
          </cell>
          <cell r="CZ141">
            <v>0</v>
          </cell>
          <cell r="DA141">
            <v>0</v>
          </cell>
          <cell r="DB141">
            <v>0</v>
          </cell>
          <cell r="DC141">
            <v>0</v>
          </cell>
          <cell r="DD141">
            <v>0</v>
          </cell>
          <cell r="DE141">
            <v>0</v>
          </cell>
          <cell r="DF141">
            <v>0</v>
          </cell>
          <cell r="DG141">
            <v>0</v>
          </cell>
          <cell r="DH141">
            <v>0</v>
          </cell>
          <cell r="DI141">
            <v>0</v>
          </cell>
          <cell r="DJ141">
            <v>0</v>
          </cell>
          <cell r="DK141">
            <v>0</v>
          </cell>
          <cell r="DL141">
            <v>0</v>
          </cell>
          <cell r="DM141">
            <v>0</v>
          </cell>
          <cell r="DN141">
            <v>0</v>
          </cell>
          <cell r="DO141">
            <v>0</v>
          </cell>
          <cell r="DP141">
            <v>0</v>
          </cell>
          <cell r="DQ141">
            <v>0</v>
          </cell>
          <cell r="DR141">
            <v>0</v>
          </cell>
          <cell r="DS141">
            <v>0</v>
          </cell>
          <cell r="DT141">
            <v>0</v>
          </cell>
          <cell r="DU141">
            <v>0</v>
          </cell>
          <cell r="DV141">
            <v>0</v>
          </cell>
          <cell r="DW141">
            <v>0</v>
          </cell>
          <cell r="DX141">
            <v>0</v>
          </cell>
          <cell r="DY141">
            <v>0</v>
          </cell>
          <cell r="EA141">
            <v>0</v>
          </cell>
          <cell r="EB141">
            <v>0</v>
          </cell>
          <cell r="EC141">
            <v>0</v>
          </cell>
          <cell r="ED141">
            <v>0.05</v>
          </cell>
          <cell r="EE141">
            <v>0.09</v>
          </cell>
          <cell r="EF141">
            <v>0.08</v>
          </cell>
          <cell r="EG141">
            <v>0.17</v>
          </cell>
          <cell r="EH141">
            <v>1</v>
          </cell>
          <cell r="EI141">
            <v>1</v>
          </cell>
          <cell r="EJ141">
            <v>1</v>
          </cell>
          <cell r="EK141">
            <v>1</v>
          </cell>
          <cell r="EL141">
            <v>0.05</v>
          </cell>
          <cell r="EM141">
            <v>0.14000000000000001</v>
          </cell>
          <cell r="EN141">
            <v>0.11</v>
          </cell>
          <cell r="EO141">
            <v>0.2</v>
          </cell>
          <cell r="EP141">
            <v>0</v>
          </cell>
          <cell r="EQ141">
            <v>0</v>
          </cell>
          <cell r="ER141">
            <v>0</v>
          </cell>
          <cell r="ES141">
            <v>0</v>
          </cell>
          <cell r="ET141">
            <v>0</v>
          </cell>
          <cell r="EU141">
            <v>0</v>
          </cell>
          <cell r="EV141">
            <v>0</v>
          </cell>
          <cell r="EW141">
            <v>0</v>
          </cell>
          <cell r="EX141">
            <v>1</v>
          </cell>
          <cell r="EY141">
            <v>1</v>
          </cell>
          <cell r="EZ141">
            <v>1</v>
          </cell>
          <cell r="FA141">
            <v>0</v>
          </cell>
          <cell r="FB141">
            <v>0</v>
          </cell>
          <cell r="FC141">
            <v>0</v>
          </cell>
          <cell r="FD141">
            <v>0</v>
          </cell>
          <cell r="FE141">
            <v>0</v>
          </cell>
          <cell r="FF141">
            <v>0</v>
          </cell>
          <cell r="FG141">
            <v>0</v>
          </cell>
          <cell r="FH141">
            <v>0</v>
          </cell>
          <cell r="FI141">
            <v>0</v>
          </cell>
          <cell r="FJ141">
            <v>0</v>
          </cell>
          <cell r="FK141">
            <v>0</v>
          </cell>
          <cell r="FL141">
            <v>0</v>
          </cell>
          <cell r="FM141">
            <v>0</v>
          </cell>
          <cell r="FN141">
            <v>0</v>
          </cell>
          <cell r="FO141">
            <v>0</v>
          </cell>
          <cell r="FP141">
            <v>0</v>
          </cell>
          <cell r="FQ141">
            <v>0</v>
          </cell>
          <cell r="FR141">
            <v>0</v>
          </cell>
          <cell r="FS141">
            <v>0</v>
          </cell>
          <cell r="FT141">
            <v>0</v>
          </cell>
          <cell r="FU141">
            <v>0</v>
          </cell>
          <cell r="FV141">
            <v>0</v>
          </cell>
          <cell r="FW141">
            <v>0</v>
          </cell>
          <cell r="FX141">
            <v>0</v>
          </cell>
          <cell r="FY141">
            <v>0</v>
          </cell>
          <cell r="FZ141">
            <v>0</v>
          </cell>
        </row>
        <row r="142">
          <cell r="B142">
            <v>0.1</v>
          </cell>
          <cell r="C142">
            <v>7.0000000000000007E-2</v>
          </cell>
          <cell r="D142">
            <v>0.17</v>
          </cell>
          <cell r="E142">
            <v>0.1</v>
          </cell>
          <cell r="F142">
            <v>0.15</v>
          </cell>
          <cell r="G142">
            <v>0.215</v>
          </cell>
          <cell r="H142">
            <v>6.5000000000000002E-2</v>
          </cell>
          <cell r="I142">
            <v>0.05</v>
          </cell>
          <cell r="J142">
            <v>0.13</v>
          </cell>
          <cell r="K142">
            <v>0.17499999999999999</v>
          </cell>
          <cell r="L142">
            <v>0.17</v>
          </cell>
          <cell r="M142">
            <v>0.16</v>
          </cell>
          <cell r="N142">
            <v>0</v>
          </cell>
          <cell r="O142">
            <v>1</v>
          </cell>
          <cell r="P142">
            <v>1</v>
          </cell>
          <cell r="Q142">
            <v>1</v>
          </cell>
          <cell r="R142">
            <v>1</v>
          </cell>
          <cell r="S142">
            <v>1</v>
          </cell>
          <cell r="T142">
            <v>1</v>
          </cell>
          <cell r="U142">
            <v>1</v>
          </cell>
          <cell r="V142">
            <v>1</v>
          </cell>
          <cell r="W142">
            <v>1</v>
          </cell>
          <cell r="X142">
            <v>1</v>
          </cell>
          <cell r="Y142">
            <v>1</v>
          </cell>
          <cell r="Z142">
            <v>1</v>
          </cell>
          <cell r="AA142">
            <v>9.5000000000000001E-2</v>
          </cell>
          <cell r="AB142">
            <v>0.1</v>
          </cell>
          <cell r="AC142">
            <v>0.14000000000000001</v>
          </cell>
          <cell r="AD142">
            <v>0.11</v>
          </cell>
          <cell r="AE142">
            <v>0.11</v>
          </cell>
          <cell r="AF142">
            <v>0.19</v>
          </cell>
          <cell r="AG142">
            <v>0.09</v>
          </cell>
          <cell r="AH142">
            <v>0.11</v>
          </cell>
          <cell r="AI142">
            <v>0.15</v>
          </cell>
          <cell r="AJ142">
            <v>0.2</v>
          </cell>
          <cell r="AK142">
            <v>0.2</v>
          </cell>
          <cell r="AL142">
            <v>0</v>
          </cell>
          <cell r="AM142">
            <v>0</v>
          </cell>
          <cell r="AN142">
            <v>0</v>
          </cell>
          <cell r="AO142">
            <v>0</v>
          </cell>
          <cell r="AP142">
            <v>0</v>
          </cell>
          <cell r="AQ142">
            <v>0</v>
          </cell>
          <cell r="AR142">
            <v>0</v>
          </cell>
          <cell r="AS142">
            <v>0</v>
          </cell>
          <cell r="AT142">
            <v>0</v>
          </cell>
          <cell r="AU142">
            <v>0</v>
          </cell>
          <cell r="AV142">
            <v>0</v>
          </cell>
          <cell r="AW142">
            <v>0</v>
          </cell>
          <cell r="AX142">
            <v>0</v>
          </cell>
          <cell r="AY142">
            <v>0</v>
          </cell>
          <cell r="AZ142">
            <v>0</v>
          </cell>
          <cell r="BA142">
            <v>0</v>
          </cell>
          <cell r="BB142">
            <v>0</v>
          </cell>
          <cell r="BC142">
            <v>0</v>
          </cell>
          <cell r="BD142">
            <v>0</v>
          </cell>
          <cell r="BE142">
            <v>0</v>
          </cell>
          <cell r="BF142">
            <v>0</v>
          </cell>
          <cell r="BG142">
            <v>0</v>
          </cell>
          <cell r="BH142">
            <v>0</v>
          </cell>
          <cell r="BI142">
            <v>0</v>
          </cell>
          <cell r="BJ142">
            <v>0</v>
          </cell>
          <cell r="BK142">
            <v>0</v>
          </cell>
          <cell r="BL142">
            <v>0</v>
          </cell>
          <cell r="BM142">
            <v>0</v>
          </cell>
          <cell r="BN142">
            <v>0</v>
          </cell>
          <cell r="BO142">
            <v>0</v>
          </cell>
          <cell r="BP142">
            <v>0</v>
          </cell>
          <cell r="BQ142">
            <v>0</v>
          </cell>
          <cell r="BR142">
            <v>0</v>
          </cell>
          <cell r="BS142">
            <v>0</v>
          </cell>
          <cell r="BT142">
            <v>0</v>
          </cell>
          <cell r="BU142">
            <v>0</v>
          </cell>
          <cell r="BV142">
            <v>0</v>
          </cell>
          <cell r="BW142">
            <v>0</v>
          </cell>
          <cell r="BX142">
            <v>0</v>
          </cell>
          <cell r="BY142">
            <v>0</v>
          </cell>
          <cell r="BZ142">
            <v>0</v>
          </cell>
          <cell r="CA142">
            <v>0</v>
          </cell>
          <cell r="CB142">
            <v>0</v>
          </cell>
          <cell r="CC142">
            <v>0</v>
          </cell>
          <cell r="CD142">
            <v>0</v>
          </cell>
          <cell r="CE142">
            <v>0</v>
          </cell>
          <cell r="CF142">
            <v>0</v>
          </cell>
          <cell r="CG142">
            <v>0</v>
          </cell>
          <cell r="CH142">
            <v>0</v>
          </cell>
          <cell r="CI142">
            <v>0</v>
          </cell>
          <cell r="CJ142">
            <v>0</v>
          </cell>
          <cell r="CK142">
            <v>0</v>
          </cell>
          <cell r="CL142">
            <v>0</v>
          </cell>
          <cell r="CM142">
            <v>0</v>
          </cell>
          <cell r="CN142">
            <v>0</v>
          </cell>
          <cell r="CO142">
            <v>0</v>
          </cell>
          <cell r="CP142">
            <v>0</v>
          </cell>
          <cell r="CQ142">
            <v>0</v>
          </cell>
          <cell r="CR142">
            <v>0</v>
          </cell>
          <cell r="CS142">
            <v>0</v>
          </cell>
          <cell r="CT142">
            <v>0</v>
          </cell>
          <cell r="CU142">
            <v>0</v>
          </cell>
          <cell r="CV142">
            <v>0</v>
          </cell>
          <cell r="CW142">
            <v>0</v>
          </cell>
          <cell r="CX142">
            <v>0</v>
          </cell>
          <cell r="CY142">
            <v>0</v>
          </cell>
          <cell r="CZ142">
            <v>0</v>
          </cell>
          <cell r="DA142">
            <v>0</v>
          </cell>
          <cell r="DB142">
            <v>0</v>
          </cell>
          <cell r="DC142">
            <v>0</v>
          </cell>
          <cell r="DD142">
            <v>0</v>
          </cell>
          <cell r="DE142">
            <v>0</v>
          </cell>
          <cell r="DF142">
            <v>0</v>
          </cell>
          <cell r="DG142">
            <v>0</v>
          </cell>
          <cell r="DH142">
            <v>0</v>
          </cell>
          <cell r="DI142">
            <v>0</v>
          </cell>
          <cell r="DJ142">
            <v>0</v>
          </cell>
          <cell r="DK142">
            <v>0</v>
          </cell>
          <cell r="DL142">
            <v>0</v>
          </cell>
          <cell r="DM142">
            <v>0</v>
          </cell>
          <cell r="DN142">
            <v>0</v>
          </cell>
          <cell r="DO142">
            <v>0</v>
          </cell>
          <cell r="DP142">
            <v>0</v>
          </cell>
          <cell r="DQ142">
            <v>0</v>
          </cell>
          <cell r="DR142">
            <v>0</v>
          </cell>
          <cell r="DS142">
            <v>0</v>
          </cell>
          <cell r="DT142">
            <v>0</v>
          </cell>
          <cell r="DU142">
            <v>0</v>
          </cell>
          <cell r="DV142">
            <v>0</v>
          </cell>
          <cell r="DW142">
            <v>0</v>
          </cell>
          <cell r="DX142">
            <v>0</v>
          </cell>
          <cell r="DY142">
            <v>0</v>
          </cell>
          <cell r="DZ142">
            <v>0</v>
          </cell>
          <cell r="EA142">
            <v>0</v>
          </cell>
          <cell r="EB142">
            <v>0</v>
          </cell>
          <cell r="EC142">
            <v>0</v>
          </cell>
          <cell r="ED142">
            <v>0.05</v>
          </cell>
          <cell r="EE142">
            <v>0.09</v>
          </cell>
          <cell r="EF142">
            <v>0.08</v>
          </cell>
          <cell r="EG142">
            <v>0.17</v>
          </cell>
          <cell r="EH142">
            <v>1</v>
          </cell>
          <cell r="EI142">
            <v>1</v>
          </cell>
          <cell r="EJ142">
            <v>1</v>
          </cell>
          <cell r="EK142">
            <v>1</v>
          </cell>
          <cell r="EL142">
            <v>0.05</v>
          </cell>
          <cell r="EM142">
            <v>0.14000000000000001</v>
          </cell>
          <cell r="EN142">
            <v>0.11</v>
          </cell>
          <cell r="EO142">
            <v>0.2</v>
          </cell>
          <cell r="EP142">
            <v>0</v>
          </cell>
          <cell r="EQ142">
            <v>0</v>
          </cell>
          <cell r="ER142">
            <v>0</v>
          </cell>
          <cell r="ES142">
            <v>0</v>
          </cell>
          <cell r="ET142">
            <v>0</v>
          </cell>
          <cell r="EU142">
            <v>0</v>
          </cell>
          <cell r="EV142">
            <v>49662113.024218783</v>
          </cell>
          <cell r="EW142">
            <v>0</v>
          </cell>
          <cell r="EX142">
            <v>0</v>
          </cell>
          <cell r="EY142">
            <v>0</v>
          </cell>
          <cell r="EZ142">
            <v>0</v>
          </cell>
          <cell r="FA142">
            <v>0</v>
          </cell>
          <cell r="FB142">
            <v>0</v>
          </cell>
          <cell r="FC142">
            <v>0</v>
          </cell>
          <cell r="FD142">
            <v>0</v>
          </cell>
          <cell r="FE142">
            <v>0</v>
          </cell>
          <cell r="FF142">
            <v>0</v>
          </cell>
          <cell r="FG142">
            <v>0</v>
          </cell>
          <cell r="FH142">
            <v>679243.63427697029</v>
          </cell>
          <cell r="FI142">
            <v>12009375</v>
          </cell>
          <cell r="FJ142">
            <v>259886.24999999997</v>
          </cell>
          <cell r="FK142">
            <v>5952510.1281857435</v>
          </cell>
          <cell r="FL142">
            <v>43536572</v>
          </cell>
          <cell r="FM142">
            <v>0</v>
          </cell>
          <cell r="FN142">
            <v>0</v>
          </cell>
          <cell r="FO142">
            <v>5952510.1281857435</v>
          </cell>
          <cell r="FP142">
            <v>43536572</v>
          </cell>
          <cell r="FQ142">
            <v>0</v>
          </cell>
          <cell r="FR142">
            <v>0</v>
          </cell>
          <cell r="FS142">
            <v>5952510.1281857435</v>
          </cell>
          <cell r="FT142">
            <v>43536572</v>
          </cell>
          <cell r="FU142">
            <v>0</v>
          </cell>
          <cell r="FV142">
            <v>0</v>
          </cell>
          <cell r="FW142">
            <v>0</v>
          </cell>
          <cell r="FX142">
            <v>0</v>
          </cell>
          <cell r="FY142">
            <v>0</v>
          </cell>
          <cell r="FZ142">
            <v>0</v>
          </cell>
        </row>
        <row r="143">
          <cell r="B143">
            <v>0.1</v>
          </cell>
          <cell r="C143">
            <v>7.0000000000000007E-2</v>
          </cell>
          <cell r="D143">
            <v>0.17</v>
          </cell>
          <cell r="E143">
            <v>0.1</v>
          </cell>
          <cell r="F143">
            <v>0.15</v>
          </cell>
          <cell r="G143">
            <v>0.215</v>
          </cell>
          <cell r="H143">
            <v>6.5000000000000002E-2</v>
          </cell>
          <cell r="I143">
            <v>0.05</v>
          </cell>
          <cell r="J143">
            <v>0.13</v>
          </cell>
          <cell r="K143">
            <v>0.17499999999999999</v>
          </cell>
          <cell r="L143">
            <v>0.17</v>
          </cell>
          <cell r="M143">
            <v>0.16</v>
          </cell>
          <cell r="N143">
            <v>0</v>
          </cell>
          <cell r="O143">
            <v>1</v>
          </cell>
          <cell r="P143">
            <v>1</v>
          </cell>
          <cell r="Q143">
            <v>1</v>
          </cell>
          <cell r="R143">
            <v>1</v>
          </cell>
          <cell r="S143">
            <v>1</v>
          </cell>
          <cell r="T143">
            <v>1</v>
          </cell>
          <cell r="U143">
            <v>1</v>
          </cell>
          <cell r="V143">
            <v>1</v>
          </cell>
          <cell r="W143">
            <v>1</v>
          </cell>
          <cell r="X143">
            <v>1</v>
          </cell>
          <cell r="Y143">
            <v>1</v>
          </cell>
          <cell r="Z143">
            <v>1</v>
          </cell>
          <cell r="AA143">
            <v>9.5000000000000001E-2</v>
          </cell>
          <cell r="AB143">
            <v>0.1</v>
          </cell>
          <cell r="AC143">
            <v>0.14000000000000001</v>
          </cell>
          <cell r="AD143">
            <v>0.11</v>
          </cell>
          <cell r="AE143">
            <v>0.11</v>
          </cell>
          <cell r="AF143">
            <v>0.19</v>
          </cell>
          <cell r="AG143">
            <v>0.09</v>
          </cell>
          <cell r="AH143">
            <v>0.11</v>
          </cell>
          <cell r="AI143">
            <v>0.15</v>
          </cell>
          <cell r="AJ143">
            <v>0.2</v>
          </cell>
          <cell r="AK143">
            <v>0.2</v>
          </cell>
          <cell r="AL143">
            <v>0</v>
          </cell>
          <cell r="AM143">
            <v>0</v>
          </cell>
          <cell r="AN143">
            <v>0</v>
          </cell>
          <cell r="AO143">
            <v>0</v>
          </cell>
          <cell r="AP143">
            <v>0</v>
          </cell>
          <cell r="AQ143">
            <v>0</v>
          </cell>
          <cell r="AR143">
            <v>0</v>
          </cell>
          <cell r="AS143">
            <v>0</v>
          </cell>
          <cell r="AT143">
            <v>0</v>
          </cell>
          <cell r="AU143">
            <v>0</v>
          </cell>
          <cell r="AV143">
            <v>0</v>
          </cell>
          <cell r="AW143">
            <v>0</v>
          </cell>
          <cell r="AX143">
            <v>0</v>
          </cell>
          <cell r="AY143">
            <v>0</v>
          </cell>
          <cell r="AZ143">
            <v>0</v>
          </cell>
          <cell r="BA143">
            <v>0</v>
          </cell>
          <cell r="BB143">
            <v>0</v>
          </cell>
          <cell r="BC143">
            <v>0</v>
          </cell>
          <cell r="BD143">
            <v>0</v>
          </cell>
          <cell r="BE143">
            <v>0</v>
          </cell>
          <cell r="BF143">
            <v>0</v>
          </cell>
          <cell r="BG143">
            <v>0</v>
          </cell>
          <cell r="BH143">
            <v>0</v>
          </cell>
          <cell r="BI143">
            <v>0</v>
          </cell>
          <cell r="BJ143">
            <v>0</v>
          </cell>
          <cell r="BK143">
            <v>0</v>
          </cell>
          <cell r="BL143">
            <v>0</v>
          </cell>
          <cell r="BM143">
            <v>0</v>
          </cell>
          <cell r="BN143">
            <v>0</v>
          </cell>
          <cell r="BO143">
            <v>0</v>
          </cell>
          <cell r="BP143">
            <v>0</v>
          </cell>
          <cell r="BQ143">
            <v>0</v>
          </cell>
          <cell r="BR143">
            <v>0</v>
          </cell>
          <cell r="BS143">
            <v>0</v>
          </cell>
          <cell r="BT143">
            <v>0</v>
          </cell>
          <cell r="BU143">
            <v>0</v>
          </cell>
          <cell r="BV143">
            <v>0</v>
          </cell>
          <cell r="BW143">
            <v>0</v>
          </cell>
          <cell r="BX143">
            <v>0</v>
          </cell>
          <cell r="BY143">
            <v>0</v>
          </cell>
          <cell r="BZ143">
            <v>0</v>
          </cell>
          <cell r="CA143">
            <v>0</v>
          </cell>
          <cell r="CB143">
            <v>0</v>
          </cell>
          <cell r="CC143">
            <v>0</v>
          </cell>
          <cell r="CD143">
            <v>0</v>
          </cell>
          <cell r="CE143">
            <v>0</v>
          </cell>
          <cell r="CF143">
            <v>0</v>
          </cell>
          <cell r="CG143">
            <v>0</v>
          </cell>
          <cell r="CH143">
            <v>0</v>
          </cell>
          <cell r="CI143">
            <v>0</v>
          </cell>
          <cell r="CJ143">
            <v>0</v>
          </cell>
          <cell r="CK143">
            <v>0</v>
          </cell>
          <cell r="CL143">
            <v>0</v>
          </cell>
          <cell r="CM143">
            <v>0</v>
          </cell>
          <cell r="CN143">
            <v>0</v>
          </cell>
          <cell r="CO143">
            <v>0</v>
          </cell>
          <cell r="CP143">
            <v>0</v>
          </cell>
          <cell r="CQ143">
            <v>0</v>
          </cell>
          <cell r="CR143">
            <v>0</v>
          </cell>
          <cell r="CS143">
            <v>0</v>
          </cell>
          <cell r="CT143">
            <v>0</v>
          </cell>
          <cell r="CU143">
            <v>0</v>
          </cell>
          <cell r="CV143">
            <v>0</v>
          </cell>
          <cell r="CW143">
            <v>0</v>
          </cell>
          <cell r="CX143">
            <v>0</v>
          </cell>
          <cell r="CY143">
            <v>0</v>
          </cell>
          <cell r="CZ143">
            <v>0</v>
          </cell>
          <cell r="DA143">
            <v>0</v>
          </cell>
          <cell r="DB143">
            <v>0</v>
          </cell>
          <cell r="DC143">
            <v>0</v>
          </cell>
          <cell r="DD143">
            <v>0</v>
          </cell>
          <cell r="DE143">
            <v>0</v>
          </cell>
          <cell r="DF143">
            <v>0</v>
          </cell>
          <cell r="DG143">
            <v>0</v>
          </cell>
          <cell r="DH143">
            <v>0</v>
          </cell>
          <cell r="DI143">
            <v>0</v>
          </cell>
          <cell r="DJ143">
            <v>0</v>
          </cell>
          <cell r="DK143">
            <v>0</v>
          </cell>
          <cell r="DL143">
            <v>0</v>
          </cell>
          <cell r="DM143">
            <v>0</v>
          </cell>
          <cell r="DN143">
            <v>0</v>
          </cell>
          <cell r="DO143">
            <v>0</v>
          </cell>
          <cell r="DP143">
            <v>0</v>
          </cell>
          <cell r="DQ143">
            <v>0</v>
          </cell>
          <cell r="DR143">
            <v>0</v>
          </cell>
          <cell r="DS143">
            <v>0</v>
          </cell>
          <cell r="DT143">
            <v>0</v>
          </cell>
          <cell r="DU143">
            <v>0</v>
          </cell>
          <cell r="DV143">
            <v>0</v>
          </cell>
          <cell r="DW143">
            <v>0</v>
          </cell>
          <cell r="DX143">
            <v>0</v>
          </cell>
          <cell r="DY143">
            <v>0</v>
          </cell>
          <cell r="DZ143">
            <v>0</v>
          </cell>
          <cell r="EA143">
            <v>0</v>
          </cell>
          <cell r="EB143">
            <v>0</v>
          </cell>
          <cell r="EC143">
            <v>0</v>
          </cell>
          <cell r="ED143">
            <v>0.05</v>
          </cell>
          <cell r="EE143">
            <v>0.09</v>
          </cell>
          <cell r="EF143">
            <v>0.08</v>
          </cell>
          <cell r="EG143">
            <v>0.17</v>
          </cell>
          <cell r="EH143">
            <v>1</v>
          </cell>
          <cell r="EI143">
            <v>1</v>
          </cell>
          <cell r="EJ143">
            <v>1</v>
          </cell>
          <cell r="EK143">
            <v>1</v>
          </cell>
          <cell r="EL143">
            <v>0.05</v>
          </cell>
          <cell r="EM143">
            <v>0.14000000000000001</v>
          </cell>
          <cell r="EN143">
            <v>0.11</v>
          </cell>
          <cell r="EO143">
            <v>0.2</v>
          </cell>
          <cell r="EP143">
            <v>0</v>
          </cell>
          <cell r="EQ143">
            <v>0</v>
          </cell>
          <cell r="ER143">
            <v>0</v>
          </cell>
          <cell r="ES143">
            <v>0</v>
          </cell>
          <cell r="ET143">
            <v>0</v>
          </cell>
          <cell r="EU143">
            <v>0</v>
          </cell>
          <cell r="EV143">
            <v>0</v>
          </cell>
          <cell r="EW143">
            <v>0</v>
          </cell>
          <cell r="EX143">
            <v>0</v>
          </cell>
          <cell r="EY143">
            <v>0</v>
          </cell>
          <cell r="EZ143">
            <v>0</v>
          </cell>
          <cell r="FA143">
            <v>0</v>
          </cell>
          <cell r="FB143">
            <v>0</v>
          </cell>
          <cell r="FC143">
            <v>0</v>
          </cell>
          <cell r="FD143">
            <v>0</v>
          </cell>
          <cell r="FE143">
            <v>0</v>
          </cell>
          <cell r="FF143">
            <v>0</v>
          </cell>
          <cell r="FG143">
            <v>0</v>
          </cell>
          <cell r="FH143">
            <v>0</v>
          </cell>
          <cell r="FI143">
            <v>0</v>
          </cell>
          <cell r="FJ143">
            <v>0</v>
          </cell>
          <cell r="FK143">
            <v>0</v>
          </cell>
          <cell r="FL143">
            <v>0</v>
          </cell>
          <cell r="FM143">
            <v>0</v>
          </cell>
          <cell r="FN143">
            <v>0</v>
          </cell>
          <cell r="FO143">
            <v>0</v>
          </cell>
          <cell r="FP143">
            <v>0</v>
          </cell>
          <cell r="FQ143">
            <v>0</v>
          </cell>
          <cell r="FR143">
            <v>0</v>
          </cell>
          <cell r="FS143">
            <v>0</v>
          </cell>
          <cell r="FT143">
            <v>0</v>
          </cell>
          <cell r="FU143">
            <v>0</v>
          </cell>
          <cell r="FV143">
            <v>0</v>
          </cell>
          <cell r="FW143">
            <v>0</v>
          </cell>
          <cell r="FX143">
            <v>0</v>
          </cell>
          <cell r="FY143">
            <v>0</v>
          </cell>
          <cell r="FZ143">
            <v>0</v>
          </cell>
        </row>
        <row r="144">
          <cell r="B144">
            <v>0.1</v>
          </cell>
          <cell r="C144">
            <v>7.0000000000000007E-2</v>
          </cell>
          <cell r="D144">
            <v>0.17</v>
          </cell>
          <cell r="E144">
            <v>0.1</v>
          </cell>
          <cell r="F144">
            <v>0.15</v>
          </cell>
          <cell r="G144">
            <v>0.215</v>
          </cell>
          <cell r="H144">
            <v>6.5000000000000002E-2</v>
          </cell>
          <cell r="I144">
            <v>0.05</v>
          </cell>
          <cell r="J144">
            <v>0.13</v>
          </cell>
          <cell r="K144">
            <v>0.17499999999999999</v>
          </cell>
          <cell r="L144">
            <v>0.17</v>
          </cell>
          <cell r="M144">
            <v>0.16</v>
          </cell>
          <cell r="N144">
            <v>0</v>
          </cell>
          <cell r="O144">
            <v>1</v>
          </cell>
          <cell r="P144">
            <v>1</v>
          </cell>
          <cell r="Q144">
            <v>1</v>
          </cell>
          <cell r="R144">
            <v>1</v>
          </cell>
          <cell r="S144">
            <v>1</v>
          </cell>
          <cell r="T144">
            <v>1</v>
          </cell>
          <cell r="U144">
            <v>1</v>
          </cell>
          <cell r="V144">
            <v>1</v>
          </cell>
          <cell r="W144">
            <v>1</v>
          </cell>
          <cell r="X144">
            <v>1</v>
          </cell>
          <cell r="Y144">
            <v>1</v>
          </cell>
          <cell r="Z144">
            <v>1</v>
          </cell>
          <cell r="AA144">
            <v>9.5000000000000001E-2</v>
          </cell>
          <cell r="AB144">
            <v>0.1</v>
          </cell>
          <cell r="AC144">
            <v>0.14000000000000001</v>
          </cell>
          <cell r="AD144">
            <v>0.11</v>
          </cell>
          <cell r="AE144">
            <v>0.11</v>
          </cell>
          <cell r="AF144">
            <v>0.19</v>
          </cell>
          <cell r="AG144">
            <v>0.09</v>
          </cell>
          <cell r="AH144">
            <v>0.11</v>
          </cell>
          <cell r="AI144">
            <v>0.15</v>
          </cell>
          <cell r="AJ144">
            <v>0.2</v>
          </cell>
          <cell r="AK144">
            <v>0.2</v>
          </cell>
          <cell r="AL144">
            <v>0</v>
          </cell>
          <cell r="AM144">
            <v>0</v>
          </cell>
          <cell r="AN144">
            <v>0</v>
          </cell>
          <cell r="AO144">
            <v>0</v>
          </cell>
          <cell r="AP144">
            <v>0</v>
          </cell>
          <cell r="AQ144">
            <v>0</v>
          </cell>
          <cell r="AR144">
            <v>0</v>
          </cell>
          <cell r="AS144">
            <v>0</v>
          </cell>
          <cell r="AT144">
            <v>0</v>
          </cell>
          <cell r="AU144">
            <v>0</v>
          </cell>
          <cell r="AV144">
            <v>0</v>
          </cell>
          <cell r="AW144">
            <v>0</v>
          </cell>
          <cell r="AX144">
            <v>0</v>
          </cell>
          <cell r="AY144">
            <v>0</v>
          </cell>
          <cell r="AZ144">
            <v>0</v>
          </cell>
          <cell r="BA144">
            <v>0</v>
          </cell>
          <cell r="BB144">
            <v>0</v>
          </cell>
          <cell r="BC144">
            <v>0</v>
          </cell>
          <cell r="BD144">
            <v>0</v>
          </cell>
          <cell r="BE144">
            <v>0</v>
          </cell>
          <cell r="BF144">
            <v>0</v>
          </cell>
          <cell r="BG144">
            <v>0</v>
          </cell>
          <cell r="BH144">
            <v>0</v>
          </cell>
          <cell r="BI144">
            <v>0</v>
          </cell>
          <cell r="BJ144">
            <v>0</v>
          </cell>
          <cell r="BK144">
            <v>0</v>
          </cell>
          <cell r="BL144">
            <v>0</v>
          </cell>
          <cell r="BM144">
            <v>0</v>
          </cell>
          <cell r="BN144">
            <v>0</v>
          </cell>
          <cell r="BO144">
            <v>0</v>
          </cell>
          <cell r="BP144">
            <v>0</v>
          </cell>
          <cell r="BQ144">
            <v>0</v>
          </cell>
          <cell r="BR144">
            <v>0</v>
          </cell>
          <cell r="BS144">
            <v>0</v>
          </cell>
          <cell r="BT144">
            <v>0</v>
          </cell>
          <cell r="BU144">
            <v>0</v>
          </cell>
          <cell r="BV144">
            <v>0</v>
          </cell>
          <cell r="BW144">
            <v>0</v>
          </cell>
          <cell r="BX144">
            <v>0</v>
          </cell>
          <cell r="BY144">
            <v>0</v>
          </cell>
          <cell r="BZ144">
            <v>0</v>
          </cell>
          <cell r="CA144">
            <v>0</v>
          </cell>
          <cell r="CB144">
            <v>0</v>
          </cell>
          <cell r="CC144">
            <v>0</v>
          </cell>
          <cell r="CD144">
            <v>0</v>
          </cell>
          <cell r="CE144">
            <v>0</v>
          </cell>
          <cell r="CF144">
            <v>0</v>
          </cell>
          <cell r="CG144">
            <v>0</v>
          </cell>
          <cell r="CH144">
            <v>0</v>
          </cell>
          <cell r="CI144">
            <v>0</v>
          </cell>
          <cell r="CJ144">
            <v>0</v>
          </cell>
          <cell r="CK144">
            <v>0</v>
          </cell>
          <cell r="CL144">
            <v>0</v>
          </cell>
          <cell r="CM144">
            <v>0</v>
          </cell>
          <cell r="CN144">
            <v>0</v>
          </cell>
          <cell r="CO144">
            <v>0</v>
          </cell>
          <cell r="CP144">
            <v>0</v>
          </cell>
          <cell r="CQ144">
            <v>0</v>
          </cell>
          <cell r="CR144">
            <v>0</v>
          </cell>
          <cell r="CS144">
            <v>0</v>
          </cell>
          <cell r="CT144">
            <v>0</v>
          </cell>
          <cell r="CU144">
            <v>0</v>
          </cell>
          <cell r="CV144">
            <v>0</v>
          </cell>
          <cell r="CW144">
            <v>0</v>
          </cell>
          <cell r="CX144">
            <v>0</v>
          </cell>
          <cell r="CY144">
            <v>0</v>
          </cell>
          <cell r="CZ144">
            <v>0</v>
          </cell>
          <cell r="DA144">
            <v>0</v>
          </cell>
          <cell r="DB144">
            <v>0</v>
          </cell>
          <cell r="DC144">
            <v>0</v>
          </cell>
          <cell r="DD144">
            <v>0</v>
          </cell>
          <cell r="DE144">
            <v>0</v>
          </cell>
          <cell r="DF144">
            <v>0</v>
          </cell>
          <cell r="DG144">
            <v>0</v>
          </cell>
          <cell r="DH144">
            <v>0</v>
          </cell>
          <cell r="DI144">
            <v>0</v>
          </cell>
          <cell r="DJ144">
            <v>0</v>
          </cell>
          <cell r="DK144">
            <v>0</v>
          </cell>
          <cell r="DL144">
            <v>0</v>
          </cell>
          <cell r="DM144">
            <v>0</v>
          </cell>
          <cell r="DN144">
            <v>0</v>
          </cell>
          <cell r="DO144">
            <v>0</v>
          </cell>
          <cell r="DP144">
            <v>0</v>
          </cell>
          <cell r="DQ144">
            <v>0</v>
          </cell>
          <cell r="DR144">
            <v>0</v>
          </cell>
          <cell r="DS144">
            <v>0</v>
          </cell>
          <cell r="DT144">
            <v>0</v>
          </cell>
          <cell r="DU144">
            <v>0</v>
          </cell>
          <cell r="DV144">
            <v>0</v>
          </cell>
          <cell r="DW144">
            <v>0</v>
          </cell>
          <cell r="DX144">
            <v>0</v>
          </cell>
          <cell r="DY144">
            <v>0</v>
          </cell>
          <cell r="DZ144">
            <v>0</v>
          </cell>
          <cell r="EA144">
            <v>0</v>
          </cell>
          <cell r="EB144">
            <v>0</v>
          </cell>
          <cell r="EC144">
            <v>0</v>
          </cell>
          <cell r="ED144">
            <v>0.05</v>
          </cell>
          <cell r="EE144">
            <v>0.09</v>
          </cell>
          <cell r="EF144">
            <v>0.08</v>
          </cell>
          <cell r="EG144">
            <v>0.17</v>
          </cell>
          <cell r="EH144">
            <v>1</v>
          </cell>
          <cell r="EI144">
            <v>1</v>
          </cell>
          <cell r="EJ144">
            <v>1</v>
          </cell>
          <cell r="EK144">
            <v>1</v>
          </cell>
          <cell r="EL144">
            <v>0.05</v>
          </cell>
          <cell r="EM144">
            <v>0.14000000000000001</v>
          </cell>
          <cell r="EN144">
            <v>0.11</v>
          </cell>
          <cell r="EO144">
            <v>0.2</v>
          </cell>
          <cell r="EP144">
            <v>0</v>
          </cell>
          <cell r="EQ144">
            <v>0</v>
          </cell>
          <cell r="ER144">
            <v>0</v>
          </cell>
          <cell r="ES144">
            <v>0</v>
          </cell>
          <cell r="ET144">
            <v>0</v>
          </cell>
          <cell r="EU144">
            <v>0</v>
          </cell>
          <cell r="EV144">
            <v>0</v>
          </cell>
          <cell r="EW144">
            <v>0</v>
          </cell>
          <cell r="EX144">
            <v>0</v>
          </cell>
          <cell r="EY144">
            <v>0</v>
          </cell>
          <cell r="EZ144">
            <v>0</v>
          </cell>
          <cell r="FA144">
            <v>0</v>
          </cell>
          <cell r="FB144">
            <v>0</v>
          </cell>
          <cell r="FC144">
            <v>0</v>
          </cell>
          <cell r="FD144">
            <v>0</v>
          </cell>
          <cell r="FE144">
            <v>0</v>
          </cell>
          <cell r="FF144">
            <v>0</v>
          </cell>
          <cell r="FG144">
            <v>0</v>
          </cell>
          <cell r="FH144">
            <v>0</v>
          </cell>
          <cell r="FI144">
            <v>0</v>
          </cell>
          <cell r="FJ144">
            <v>0</v>
          </cell>
          <cell r="FK144">
            <v>0</v>
          </cell>
          <cell r="FL144">
            <v>0</v>
          </cell>
          <cell r="FM144">
            <v>0</v>
          </cell>
          <cell r="FN144">
            <v>0</v>
          </cell>
          <cell r="FO144">
            <v>0</v>
          </cell>
          <cell r="FP144">
            <v>0</v>
          </cell>
          <cell r="FQ144">
            <v>0</v>
          </cell>
          <cell r="FR144">
            <v>0</v>
          </cell>
          <cell r="FS144">
            <v>0</v>
          </cell>
          <cell r="FT144">
            <v>0</v>
          </cell>
          <cell r="FU144">
            <v>0</v>
          </cell>
          <cell r="FV144">
            <v>0</v>
          </cell>
          <cell r="FW144">
            <v>0</v>
          </cell>
          <cell r="FX144">
            <v>0</v>
          </cell>
          <cell r="FY144">
            <v>0</v>
          </cell>
          <cell r="FZ144">
            <v>0</v>
          </cell>
        </row>
        <row r="145">
          <cell r="B145">
            <v>0.1</v>
          </cell>
          <cell r="C145">
            <v>0.08</v>
          </cell>
          <cell r="D145">
            <v>0.15</v>
          </cell>
          <cell r="E145">
            <v>0.08</v>
          </cell>
          <cell r="F145">
            <v>0.15</v>
          </cell>
          <cell r="G145">
            <v>0.22</v>
          </cell>
          <cell r="H145">
            <v>7.0000000000000007E-2</v>
          </cell>
          <cell r="I145">
            <v>0.05</v>
          </cell>
          <cell r="J145">
            <v>0.13</v>
          </cell>
          <cell r="K145">
            <v>0.18</v>
          </cell>
          <cell r="L145">
            <v>0.17</v>
          </cell>
          <cell r="M145">
            <v>0.16</v>
          </cell>
          <cell r="N145">
            <v>0.8</v>
          </cell>
          <cell r="O145">
            <v>1</v>
          </cell>
          <cell r="P145">
            <v>1</v>
          </cell>
          <cell r="Q145">
            <v>0.8</v>
          </cell>
          <cell r="R145">
            <v>0.8</v>
          </cell>
          <cell r="S145">
            <v>1</v>
          </cell>
          <cell r="T145">
            <v>1</v>
          </cell>
          <cell r="U145">
            <v>1</v>
          </cell>
          <cell r="V145">
            <v>1</v>
          </cell>
          <cell r="W145">
            <v>1</v>
          </cell>
          <cell r="X145">
            <v>1</v>
          </cell>
          <cell r="Y145">
            <v>1</v>
          </cell>
          <cell r="Z145">
            <v>0.1</v>
          </cell>
          <cell r="AA145">
            <v>0.1</v>
          </cell>
          <cell r="AB145">
            <v>0.14000000000000001</v>
          </cell>
          <cell r="AC145">
            <v>0.11</v>
          </cell>
          <cell r="AD145">
            <v>0.11</v>
          </cell>
          <cell r="AE145">
            <v>0.19</v>
          </cell>
          <cell r="AF145">
            <v>0.09</v>
          </cell>
          <cell r="AG145">
            <v>0.11</v>
          </cell>
          <cell r="AH145">
            <v>0.15</v>
          </cell>
          <cell r="AI145">
            <v>0.2</v>
          </cell>
          <cell r="AJ145">
            <v>0.2</v>
          </cell>
          <cell r="AK145">
            <v>0.2</v>
          </cell>
          <cell r="AL145">
            <v>0</v>
          </cell>
          <cell r="AM145">
            <v>0</v>
          </cell>
          <cell r="AN145">
            <v>0</v>
          </cell>
          <cell r="AO145">
            <v>0</v>
          </cell>
          <cell r="AP145">
            <v>0</v>
          </cell>
          <cell r="AQ145">
            <v>0</v>
          </cell>
          <cell r="AR145">
            <v>0</v>
          </cell>
          <cell r="AS145">
            <v>0</v>
          </cell>
          <cell r="AT145">
            <v>0</v>
          </cell>
          <cell r="AU145">
            <v>0</v>
          </cell>
          <cell r="AV145">
            <v>0</v>
          </cell>
          <cell r="AW145">
            <v>0</v>
          </cell>
          <cell r="AX145">
            <v>0</v>
          </cell>
          <cell r="AY145">
            <v>0</v>
          </cell>
          <cell r="AZ145">
            <v>0</v>
          </cell>
          <cell r="BA145">
            <v>0</v>
          </cell>
          <cell r="BB145">
            <v>0</v>
          </cell>
          <cell r="BC145">
            <v>0</v>
          </cell>
          <cell r="BD145">
            <v>0</v>
          </cell>
          <cell r="BE145">
            <v>0</v>
          </cell>
          <cell r="BF145">
            <v>0</v>
          </cell>
          <cell r="BG145">
            <v>0</v>
          </cell>
          <cell r="BH145">
            <v>0</v>
          </cell>
          <cell r="BI145">
            <v>0</v>
          </cell>
          <cell r="BJ145">
            <v>0</v>
          </cell>
          <cell r="BK145">
            <v>0</v>
          </cell>
          <cell r="BL145">
            <v>0</v>
          </cell>
          <cell r="BM145">
            <v>0</v>
          </cell>
          <cell r="BN145">
            <v>0</v>
          </cell>
          <cell r="BO145">
            <v>0</v>
          </cell>
          <cell r="BP145">
            <v>0</v>
          </cell>
          <cell r="BQ145">
            <v>0</v>
          </cell>
          <cell r="BR145">
            <v>0</v>
          </cell>
          <cell r="BS145">
            <v>0</v>
          </cell>
          <cell r="BT145">
            <v>0</v>
          </cell>
          <cell r="BU145">
            <v>0</v>
          </cell>
          <cell r="BV145">
            <v>0</v>
          </cell>
          <cell r="BW145">
            <v>0</v>
          </cell>
          <cell r="BX145">
            <v>0</v>
          </cell>
          <cell r="BY145">
            <v>0</v>
          </cell>
          <cell r="BZ145">
            <v>0</v>
          </cell>
          <cell r="CA145">
            <v>0</v>
          </cell>
          <cell r="CB145">
            <v>0</v>
          </cell>
          <cell r="CC145">
            <v>0</v>
          </cell>
          <cell r="CD145">
            <v>0</v>
          </cell>
          <cell r="CE145">
            <v>0</v>
          </cell>
          <cell r="CF145">
            <v>0</v>
          </cell>
          <cell r="CG145">
            <v>0</v>
          </cell>
          <cell r="CH145">
            <v>0</v>
          </cell>
          <cell r="CI145">
            <v>0</v>
          </cell>
          <cell r="CJ145">
            <v>0</v>
          </cell>
          <cell r="CK145">
            <v>0</v>
          </cell>
          <cell r="CL145">
            <v>0</v>
          </cell>
          <cell r="CM145">
            <v>0</v>
          </cell>
          <cell r="CN145">
            <v>0</v>
          </cell>
          <cell r="CO145">
            <v>0</v>
          </cell>
          <cell r="CP145">
            <v>0</v>
          </cell>
          <cell r="CQ145">
            <v>0</v>
          </cell>
          <cell r="CR145">
            <v>0</v>
          </cell>
          <cell r="CS145">
            <v>0</v>
          </cell>
          <cell r="CT145">
            <v>0</v>
          </cell>
          <cell r="CU145">
            <v>0</v>
          </cell>
          <cell r="CV145">
            <v>0</v>
          </cell>
          <cell r="CW145">
            <v>0</v>
          </cell>
          <cell r="CX145">
            <v>0</v>
          </cell>
          <cell r="CY145">
            <v>0</v>
          </cell>
          <cell r="CZ145">
            <v>0</v>
          </cell>
          <cell r="DA145">
            <v>0</v>
          </cell>
          <cell r="DB145">
            <v>0</v>
          </cell>
          <cell r="DC145">
            <v>0</v>
          </cell>
          <cell r="DD145">
            <v>0</v>
          </cell>
          <cell r="DE145">
            <v>0</v>
          </cell>
          <cell r="DF145">
            <v>0</v>
          </cell>
          <cell r="DG145">
            <v>0</v>
          </cell>
          <cell r="DH145">
            <v>0</v>
          </cell>
          <cell r="DI145">
            <v>0</v>
          </cell>
          <cell r="DJ145">
            <v>0</v>
          </cell>
          <cell r="DK145">
            <v>0</v>
          </cell>
          <cell r="DL145">
            <v>0</v>
          </cell>
          <cell r="DM145">
            <v>0</v>
          </cell>
          <cell r="DN145">
            <v>0</v>
          </cell>
          <cell r="DO145">
            <v>0</v>
          </cell>
          <cell r="DP145">
            <v>0</v>
          </cell>
          <cell r="DQ145">
            <v>0</v>
          </cell>
          <cell r="DR145">
            <v>0</v>
          </cell>
          <cell r="DS145">
            <v>0</v>
          </cell>
          <cell r="DT145">
            <v>0</v>
          </cell>
          <cell r="DU145">
            <v>0</v>
          </cell>
          <cell r="DV145">
            <v>0</v>
          </cell>
          <cell r="DW145">
            <v>0</v>
          </cell>
          <cell r="DX145">
            <v>0</v>
          </cell>
          <cell r="DY145">
            <v>0</v>
          </cell>
          <cell r="EA145">
            <v>0</v>
          </cell>
          <cell r="EB145">
            <v>0</v>
          </cell>
          <cell r="EC145">
            <v>0</v>
          </cell>
          <cell r="ED145">
            <v>0.05</v>
          </cell>
          <cell r="EE145">
            <v>0.09</v>
          </cell>
          <cell r="EF145">
            <v>0.08</v>
          </cell>
          <cell r="EG145">
            <v>0.17</v>
          </cell>
          <cell r="EH145">
            <v>1</v>
          </cell>
          <cell r="EI145">
            <v>1</v>
          </cell>
          <cell r="EJ145">
            <v>1</v>
          </cell>
          <cell r="EK145">
            <v>1</v>
          </cell>
          <cell r="EL145">
            <v>0.05</v>
          </cell>
          <cell r="EM145">
            <v>0.14000000000000001</v>
          </cell>
          <cell r="EN145">
            <v>0.11</v>
          </cell>
          <cell r="EO145">
            <v>0.2</v>
          </cell>
          <cell r="EP145">
            <v>0</v>
          </cell>
          <cell r="EQ145">
            <v>0</v>
          </cell>
          <cell r="ER145">
            <v>0</v>
          </cell>
          <cell r="ES145">
            <v>0</v>
          </cell>
          <cell r="ET145">
            <v>0</v>
          </cell>
          <cell r="EU145">
            <v>0</v>
          </cell>
          <cell r="EV145">
            <v>0</v>
          </cell>
          <cell r="EW145">
            <v>0</v>
          </cell>
          <cell r="EX145">
            <v>1</v>
          </cell>
          <cell r="EY145">
            <v>1</v>
          </cell>
          <cell r="EZ145">
            <v>1</v>
          </cell>
          <cell r="FA145">
            <v>0</v>
          </cell>
          <cell r="FB145">
            <v>0</v>
          </cell>
          <cell r="FC145">
            <v>0</v>
          </cell>
          <cell r="FD145">
            <v>0</v>
          </cell>
          <cell r="FE145">
            <v>0</v>
          </cell>
          <cell r="FF145">
            <v>0</v>
          </cell>
          <cell r="FG145">
            <v>0</v>
          </cell>
          <cell r="FH145">
            <v>0</v>
          </cell>
          <cell r="FI145">
            <v>0</v>
          </cell>
          <cell r="FJ145">
            <v>0</v>
          </cell>
          <cell r="FK145">
            <v>0</v>
          </cell>
          <cell r="FL145">
            <v>0</v>
          </cell>
          <cell r="FM145">
            <v>0</v>
          </cell>
          <cell r="FN145">
            <v>0</v>
          </cell>
          <cell r="FO145">
            <v>0</v>
          </cell>
          <cell r="FP145">
            <v>0</v>
          </cell>
          <cell r="FQ145">
            <v>0</v>
          </cell>
          <cell r="FR145">
            <v>0</v>
          </cell>
          <cell r="FS145">
            <v>0</v>
          </cell>
          <cell r="FT145">
            <v>0</v>
          </cell>
          <cell r="FU145">
            <v>0</v>
          </cell>
          <cell r="FV145">
            <v>0</v>
          </cell>
          <cell r="FW145">
            <v>0</v>
          </cell>
          <cell r="FX145">
            <v>0</v>
          </cell>
          <cell r="FY145">
            <v>0</v>
          </cell>
          <cell r="FZ145">
            <v>0</v>
          </cell>
        </row>
        <row r="146">
          <cell r="B146">
            <v>0.1</v>
          </cell>
          <cell r="C146">
            <v>0.08</v>
          </cell>
          <cell r="D146">
            <v>0.15</v>
          </cell>
          <cell r="E146">
            <v>0.08</v>
          </cell>
          <cell r="F146">
            <v>0.15</v>
          </cell>
          <cell r="G146">
            <v>0.22</v>
          </cell>
          <cell r="H146">
            <v>7.0000000000000007E-2</v>
          </cell>
          <cell r="I146">
            <v>0.05</v>
          </cell>
          <cell r="J146">
            <v>0.13</v>
          </cell>
          <cell r="K146">
            <v>0.18</v>
          </cell>
          <cell r="L146">
            <v>0.17</v>
          </cell>
          <cell r="M146">
            <v>0.16</v>
          </cell>
          <cell r="N146">
            <v>0.8</v>
          </cell>
          <cell r="O146">
            <v>1</v>
          </cell>
          <cell r="P146">
            <v>1</v>
          </cell>
          <cell r="Q146">
            <v>0.8</v>
          </cell>
          <cell r="R146">
            <v>0.8</v>
          </cell>
          <cell r="S146">
            <v>1</v>
          </cell>
          <cell r="T146">
            <v>1</v>
          </cell>
          <cell r="U146">
            <v>1</v>
          </cell>
          <cell r="V146">
            <v>1</v>
          </cell>
          <cell r="W146">
            <v>1</v>
          </cell>
          <cell r="X146">
            <v>1</v>
          </cell>
          <cell r="Y146">
            <v>1</v>
          </cell>
          <cell r="Z146">
            <v>0.1</v>
          </cell>
          <cell r="AA146">
            <v>0.1</v>
          </cell>
          <cell r="AB146">
            <v>0.14000000000000001</v>
          </cell>
          <cell r="AC146">
            <v>0.11</v>
          </cell>
          <cell r="AD146">
            <v>0.11</v>
          </cell>
          <cell r="AE146">
            <v>0.19</v>
          </cell>
          <cell r="AF146">
            <v>0.09</v>
          </cell>
          <cell r="AG146">
            <v>0.11</v>
          </cell>
          <cell r="AH146">
            <v>0.15</v>
          </cell>
          <cell r="AI146">
            <v>0.2</v>
          </cell>
          <cell r="AJ146">
            <v>0.2</v>
          </cell>
          <cell r="AK146">
            <v>0.2</v>
          </cell>
          <cell r="AL146">
            <v>0</v>
          </cell>
          <cell r="AM146">
            <v>0</v>
          </cell>
          <cell r="AN146">
            <v>0</v>
          </cell>
          <cell r="AO146">
            <v>0</v>
          </cell>
          <cell r="AP146">
            <v>0</v>
          </cell>
          <cell r="AQ146">
            <v>0</v>
          </cell>
          <cell r="AR146">
            <v>0</v>
          </cell>
          <cell r="AS146">
            <v>0</v>
          </cell>
          <cell r="AT146">
            <v>0</v>
          </cell>
          <cell r="AU146">
            <v>0</v>
          </cell>
          <cell r="AV146">
            <v>0</v>
          </cell>
          <cell r="AW146">
            <v>0</v>
          </cell>
          <cell r="AX146">
            <v>0</v>
          </cell>
          <cell r="AY146">
            <v>0</v>
          </cell>
          <cell r="AZ146">
            <v>0</v>
          </cell>
          <cell r="BA146">
            <v>0</v>
          </cell>
          <cell r="BB146">
            <v>0</v>
          </cell>
          <cell r="BC146">
            <v>0</v>
          </cell>
          <cell r="BD146">
            <v>0</v>
          </cell>
          <cell r="BE146">
            <v>0</v>
          </cell>
          <cell r="BF146">
            <v>0</v>
          </cell>
          <cell r="BG146">
            <v>0</v>
          </cell>
          <cell r="BH146">
            <v>0</v>
          </cell>
          <cell r="BI146">
            <v>0</v>
          </cell>
          <cell r="BJ146">
            <v>0</v>
          </cell>
          <cell r="BK146">
            <v>0</v>
          </cell>
          <cell r="BL146">
            <v>0</v>
          </cell>
          <cell r="BM146">
            <v>0</v>
          </cell>
          <cell r="BN146">
            <v>0</v>
          </cell>
          <cell r="BO146">
            <v>0</v>
          </cell>
          <cell r="BP146">
            <v>0</v>
          </cell>
          <cell r="BQ146">
            <v>0</v>
          </cell>
          <cell r="BR146">
            <v>0</v>
          </cell>
          <cell r="BS146">
            <v>0</v>
          </cell>
          <cell r="BT146">
            <v>0</v>
          </cell>
          <cell r="BU146">
            <v>0</v>
          </cell>
          <cell r="BV146">
            <v>0</v>
          </cell>
          <cell r="BW146">
            <v>0</v>
          </cell>
          <cell r="BX146">
            <v>0</v>
          </cell>
          <cell r="BY146">
            <v>0</v>
          </cell>
          <cell r="BZ146">
            <v>0</v>
          </cell>
          <cell r="CA146">
            <v>0</v>
          </cell>
          <cell r="CB146">
            <v>0</v>
          </cell>
          <cell r="CC146">
            <v>0</v>
          </cell>
          <cell r="CD146">
            <v>0</v>
          </cell>
          <cell r="CE146">
            <v>0</v>
          </cell>
          <cell r="CF146">
            <v>0</v>
          </cell>
          <cell r="CG146">
            <v>0</v>
          </cell>
          <cell r="CH146">
            <v>0</v>
          </cell>
          <cell r="CI146">
            <v>0</v>
          </cell>
          <cell r="CJ146">
            <v>0</v>
          </cell>
          <cell r="CK146">
            <v>0</v>
          </cell>
          <cell r="CL146">
            <v>0</v>
          </cell>
          <cell r="CM146">
            <v>0</v>
          </cell>
          <cell r="CN146">
            <v>0</v>
          </cell>
          <cell r="CO146">
            <v>0</v>
          </cell>
          <cell r="CP146">
            <v>0</v>
          </cell>
          <cell r="CQ146">
            <v>0</v>
          </cell>
          <cell r="CR146">
            <v>0</v>
          </cell>
          <cell r="CS146">
            <v>0</v>
          </cell>
          <cell r="CT146">
            <v>0</v>
          </cell>
          <cell r="CU146">
            <v>0</v>
          </cell>
          <cell r="CV146">
            <v>0</v>
          </cell>
          <cell r="CW146">
            <v>0</v>
          </cell>
          <cell r="CX146">
            <v>0</v>
          </cell>
          <cell r="CY146">
            <v>0</v>
          </cell>
          <cell r="CZ146">
            <v>0</v>
          </cell>
          <cell r="DA146">
            <v>0</v>
          </cell>
          <cell r="DB146">
            <v>0</v>
          </cell>
          <cell r="DC146">
            <v>0</v>
          </cell>
          <cell r="DD146">
            <v>0</v>
          </cell>
          <cell r="DE146">
            <v>0</v>
          </cell>
          <cell r="DF146">
            <v>0</v>
          </cell>
          <cell r="DG146">
            <v>0</v>
          </cell>
          <cell r="DH146">
            <v>0</v>
          </cell>
          <cell r="DI146">
            <v>0</v>
          </cell>
          <cell r="DJ146">
            <v>0</v>
          </cell>
          <cell r="DK146">
            <v>0</v>
          </cell>
          <cell r="DL146">
            <v>0</v>
          </cell>
          <cell r="DM146">
            <v>0</v>
          </cell>
          <cell r="DN146">
            <v>0</v>
          </cell>
          <cell r="DO146">
            <v>0</v>
          </cell>
          <cell r="DP146">
            <v>0</v>
          </cell>
          <cell r="DQ146">
            <v>0</v>
          </cell>
          <cell r="DR146">
            <v>0</v>
          </cell>
          <cell r="DS146">
            <v>0</v>
          </cell>
          <cell r="DT146">
            <v>0</v>
          </cell>
          <cell r="DU146">
            <v>0</v>
          </cell>
          <cell r="DV146">
            <v>0</v>
          </cell>
          <cell r="DW146">
            <v>0</v>
          </cell>
          <cell r="DX146">
            <v>0</v>
          </cell>
          <cell r="DY146">
            <v>0</v>
          </cell>
          <cell r="EA146">
            <v>0</v>
          </cell>
          <cell r="EB146">
            <v>0</v>
          </cell>
          <cell r="EC146">
            <v>0</v>
          </cell>
          <cell r="ED146">
            <v>0.05</v>
          </cell>
          <cell r="EE146">
            <v>0.09</v>
          </cell>
          <cell r="EF146">
            <v>0.08</v>
          </cell>
          <cell r="EG146">
            <v>0.17</v>
          </cell>
          <cell r="EH146">
            <v>1</v>
          </cell>
          <cell r="EI146">
            <v>1</v>
          </cell>
          <cell r="EJ146">
            <v>1</v>
          </cell>
          <cell r="EK146">
            <v>1</v>
          </cell>
          <cell r="EL146">
            <v>0.05</v>
          </cell>
          <cell r="EM146">
            <v>0.14000000000000001</v>
          </cell>
          <cell r="EN146">
            <v>0.11</v>
          </cell>
          <cell r="EO146">
            <v>0.2</v>
          </cell>
          <cell r="EP146">
            <v>0</v>
          </cell>
          <cell r="EQ146">
            <v>0</v>
          </cell>
          <cell r="ER146">
            <v>0</v>
          </cell>
          <cell r="ES146">
            <v>0</v>
          </cell>
          <cell r="ET146">
            <v>0</v>
          </cell>
          <cell r="EU146">
            <v>0</v>
          </cell>
          <cell r="EV146">
            <v>0</v>
          </cell>
          <cell r="EW146">
            <v>0</v>
          </cell>
          <cell r="EX146">
            <v>0</v>
          </cell>
          <cell r="EY146">
            <v>0</v>
          </cell>
          <cell r="EZ146">
            <v>0</v>
          </cell>
          <cell r="FA146">
            <v>0</v>
          </cell>
          <cell r="FB146">
            <v>0</v>
          </cell>
          <cell r="FC146">
            <v>0</v>
          </cell>
          <cell r="FD146">
            <v>0</v>
          </cell>
          <cell r="FE146">
            <v>0</v>
          </cell>
          <cell r="FF146">
            <v>0</v>
          </cell>
          <cell r="FG146">
            <v>0</v>
          </cell>
          <cell r="FH146">
            <v>0</v>
          </cell>
          <cell r="FI146">
            <v>0</v>
          </cell>
          <cell r="FJ146">
            <v>0</v>
          </cell>
          <cell r="FK146">
            <v>0</v>
          </cell>
          <cell r="FL146">
            <v>0</v>
          </cell>
          <cell r="FM146">
            <v>0</v>
          </cell>
          <cell r="FN146">
            <v>0</v>
          </cell>
          <cell r="FO146">
            <v>0</v>
          </cell>
          <cell r="FP146">
            <v>0</v>
          </cell>
          <cell r="FQ146">
            <v>0</v>
          </cell>
          <cell r="FR146">
            <v>0</v>
          </cell>
          <cell r="FS146">
            <v>0</v>
          </cell>
          <cell r="FT146">
            <v>0</v>
          </cell>
          <cell r="FU146">
            <v>0</v>
          </cell>
          <cell r="FV146">
            <v>0</v>
          </cell>
          <cell r="FW146">
            <v>0</v>
          </cell>
          <cell r="FX146">
            <v>0</v>
          </cell>
          <cell r="FY146">
            <v>0</v>
          </cell>
          <cell r="FZ146">
            <v>0</v>
          </cell>
        </row>
        <row r="147">
          <cell r="B147">
            <v>0</v>
          </cell>
          <cell r="C147">
            <v>0</v>
          </cell>
          <cell r="D147">
            <v>0</v>
          </cell>
          <cell r="E147">
            <v>0</v>
          </cell>
          <cell r="F147">
            <v>0</v>
          </cell>
          <cell r="G147">
            <v>0</v>
          </cell>
          <cell r="H147">
            <v>0</v>
          </cell>
          <cell r="I147">
            <v>0</v>
          </cell>
          <cell r="J147">
            <v>0</v>
          </cell>
          <cell r="K147">
            <v>0</v>
          </cell>
          <cell r="L147">
            <v>0</v>
          </cell>
          <cell r="M147">
            <v>0</v>
          </cell>
          <cell r="N147">
            <v>0</v>
          </cell>
          <cell r="O147">
            <v>0</v>
          </cell>
          <cell r="P147">
            <v>0</v>
          </cell>
          <cell r="Q147">
            <v>0</v>
          </cell>
          <cell r="R147">
            <v>0</v>
          </cell>
          <cell r="S147">
            <v>0</v>
          </cell>
          <cell r="T147">
            <v>0</v>
          </cell>
          <cell r="U147">
            <v>0</v>
          </cell>
          <cell r="V147">
            <v>0</v>
          </cell>
          <cell r="W147">
            <v>0</v>
          </cell>
          <cell r="X147">
            <v>0</v>
          </cell>
          <cell r="Y147">
            <v>0</v>
          </cell>
          <cell r="Z147">
            <v>0</v>
          </cell>
          <cell r="AA147">
            <v>0</v>
          </cell>
          <cell r="AB147">
            <v>0</v>
          </cell>
          <cell r="AC147">
            <v>0</v>
          </cell>
          <cell r="AD147">
            <v>0</v>
          </cell>
          <cell r="AE147">
            <v>0</v>
          </cell>
          <cell r="AF147">
            <v>0</v>
          </cell>
          <cell r="AG147">
            <v>0</v>
          </cell>
          <cell r="AH147">
            <v>0</v>
          </cell>
          <cell r="AI147">
            <v>0</v>
          </cell>
          <cell r="AJ147">
            <v>0</v>
          </cell>
          <cell r="AK147">
            <v>0</v>
          </cell>
          <cell r="AL147">
            <v>0</v>
          </cell>
          <cell r="AM147">
            <v>0</v>
          </cell>
          <cell r="AN147">
            <v>0</v>
          </cell>
          <cell r="AO147">
            <v>0</v>
          </cell>
          <cell r="AP147">
            <v>0</v>
          </cell>
          <cell r="AQ147">
            <v>0</v>
          </cell>
          <cell r="AR147">
            <v>0</v>
          </cell>
          <cell r="AS147">
            <v>0</v>
          </cell>
          <cell r="AT147">
            <v>0</v>
          </cell>
          <cell r="AU147">
            <v>0</v>
          </cell>
          <cell r="AV147">
            <v>0</v>
          </cell>
          <cell r="AW147">
            <v>0</v>
          </cell>
          <cell r="AX147">
            <v>0</v>
          </cell>
          <cell r="AY147">
            <v>0</v>
          </cell>
          <cell r="AZ147">
            <v>0</v>
          </cell>
          <cell r="BA147">
            <v>0</v>
          </cell>
          <cell r="BB147">
            <v>0</v>
          </cell>
          <cell r="BC147">
            <v>0</v>
          </cell>
          <cell r="BD147">
            <v>0</v>
          </cell>
          <cell r="BE147">
            <v>0</v>
          </cell>
          <cell r="BF147">
            <v>0</v>
          </cell>
          <cell r="BG147">
            <v>0</v>
          </cell>
          <cell r="BH147">
            <v>0</v>
          </cell>
          <cell r="BI147">
            <v>0</v>
          </cell>
          <cell r="BJ147">
            <v>0</v>
          </cell>
          <cell r="BK147">
            <v>0</v>
          </cell>
          <cell r="BL147">
            <v>0</v>
          </cell>
          <cell r="BM147">
            <v>0</v>
          </cell>
          <cell r="BN147">
            <v>0</v>
          </cell>
          <cell r="BO147">
            <v>0</v>
          </cell>
          <cell r="BP147">
            <v>0</v>
          </cell>
          <cell r="BQ147">
            <v>0</v>
          </cell>
          <cell r="BR147">
            <v>0</v>
          </cell>
          <cell r="BS147">
            <v>0</v>
          </cell>
          <cell r="BT147">
            <v>0</v>
          </cell>
          <cell r="BU147">
            <v>0</v>
          </cell>
          <cell r="BV147">
            <v>0</v>
          </cell>
          <cell r="BW147">
            <v>0</v>
          </cell>
          <cell r="BX147">
            <v>0</v>
          </cell>
          <cell r="BY147">
            <v>0</v>
          </cell>
          <cell r="BZ147">
            <v>0</v>
          </cell>
          <cell r="CA147">
            <v>0</v>
          </cell>
          <cell r="CB147">
            <v>0</v>
          </cell>
          <cell r="CC147">
            <v>0</v>
          </cell>
          <cell r="CD147">
            <v>0</v>
          </cell>
          <cell r="CE147">
            <v>0</v>
          </cell>
          <cell r="CF147">
            <v>0</v>
          </cell>
          <cell r="CG147">
            <v>0</v>
          </cell>
          <cell r="CH147">
            <v>0</v>
          </cell>
          <cell r="CI147">
            <v>0</v>
          </cell>
          <cell r="CJ147">
            <v>0</v>
          </cell>
          <cell r="CK147">
            <v>0</v>
          </cell>
          <cell r="CL147">
            <v>0</v>
          </cell>
          <cell r="CM147">
            <v>0</v>
          </cell>
          <cell r="CN147">
            <v>0</v>
          </cell>
          <cell r="CO147">
            <v>0</v>
          </cell>
          <cell r="CP147">
            <v>0</v>
          </cell>
          <cell r="CQ147">
            <v>0</v>
          </cell>
          <cell r="CR147">
            <v>0</v>
          </cell>
          <cell r="CS147">
            <v>0</v>
          </cell>
          <cell r="CT147">
            <v>0</v>
          </cell>
          <cell r="CU147">
            <v>0</v>
          </cell>
          <cell r="CV147">
            <v>0</v>
          </cell>
          <cell r="CW147">
            <v>0</v>
          </cell>
          <cell r="CX147">
            <v>0</v>
          </cell>
          <cell r="CY147">
            <v>0</v>
          </cell>
          <cell r="CZ147">
            <v>0</v>
          </cell>
          <cell r="DA147">
            <v>0</v>
          </cell>
          <cell r="DB147">
            <v>0</v>
          </cell>
          <cell r="DC147">
            <v>0</v>
          </cell>
          <cell r="DD147">
            <v>0</v>
          </cell>
          <cell r="DE147">
            <v>0</v>
          </cell>
          <cell r="DF147">
            <v>0</v>
          </cell>
          <cell r="DG147">
            <v>0</v>
          </cell>
          <cell r="DH147">
            <v>0</v>
          </cell>
          <cell r="DI147">
            <v>0</v>
          </cell>
          <cell r="DJ147">
            <v>0</v>
          </cell>
          <cell r="DK147">
            <v>0</v>
          </cell>
          <cell r="DL147">
            <v>0</v>
          </cell>
          <cell r="DM147">
            <v>0</v>
          </cell>
          <cell r="DN147">
            <v>0</v>
          </cell>
          <cell r="DO147">
            <v>0</v>
          </cell>
          <cell r="DP147">
            <v>0</v>
          </cell>
          <cell r="DQ147">
            <v>0</v>
          </cell>
          <cell r="DR147">
            <v>0</v>
          </cell>
          <cell r="DS147">
            <v>0</v>
          </cell>
          <cell r="DT147">
            <v>0</v>
          </cell>
          <cell r="DU147">
            <v>0</v>
          </cell>
          <cell r="DV147">
            <v>0</v>
          </cell>
          <cell r="DW147">
            <v>0</v>
          </cell>
          <cell r="DX147">
            <v>0</v>
          </cell>
          <cell r="DY147">
            <v>0</v>
          </cell>
          <cell r="EA147">
            <v>0</v>
          </cell>
          <cell r="EB147">
            <v>0</v>
          </cell>
          <cell r="EC147">
            <v>0</v>
          </cell>
          <cell r="ED147">
            <v>0</v>
          </cell>
          <cell r="EE147">
            <v>0</v>
          </cell>
          <cell r="EF147">
            <v>0</v>
          </cell>
          <cell r="EG147">
            <v>0</v>
          </cell>
          <cell r="EH147">
            <v>0</v>
          </cell>
          <cell r="EI147">
            <v>0</v>
          </cell>
          <cell r="EJ147">
            <v>0</v>
          </cell>
          <cell r="EK147">
            <v>0</v>
          </cell>
          <cell r="EL147">
            <v>0</v>
          </cell>
          <cell r="EM147">
            <v>0</v>
          </cell>
          <cell r="EN147">
            <v>0</v>
          </cell>
          <cell r="EO147">
            <v>0</v>
          </cell>
          <cell r="EP147">
            <v>0</v>
          </cell>
          <cell r="EQ147">
            <v>0</v>
          </cell>
          <cell r="ER147">
            <v>0</v>
          </cell>
          <cell r="ES147">
            <v>0</v>
          </cell>
          <cell r="ET147">
            <v>0</v>
          </cell>
          <cell r="EU147">
            <v>0</v>
          </cell>
          <cell r="EV147">
            <v>0</v>
          </cell>
          <cell r="EW147">
            <v>0</v>
          </cell>
          <cell r="EX147">
            <v>0</v>
          </cell>
          <cell r="EY147">
            <v>0</v>
          </cell>
          <cell r="EZ147">
            <v>0</v>
          </cell>
          <cell r="FA147">
            <v>0</v>
          </cell>
          <cell r="FB147">
            <v>0</v>
          </cell>
          <cell r="FC147">
            <v>0</v>
          </cell>
          <cell r="FD147">
            <v>0</v>
          </cell>
          <cell r="FE147">
            <v>0</v>
          </cell>
          <cell r="FF147">
            <v>0</v>
          </cell>
          <cell r="FG147">
            <v>0</v>
          </cell>
          <cell r="FH147">
            <v>0</v>
          </cell>
          <cell r="FI147">
            <v>0</v>
          </cell>
          <cell r="FJ147">
            <v>0</v>
          </cell>
          <cell r="FK147">
            <v>0</v>
          </cell>
          <cell r="FL147">
            <v>0</v>
          </cell>
          <cell r="FM147">
            <v>0</v>
          </cell>
          <cell r="FN147">
            <v>0</v>
          </cell>
          <cell r="FO147">
            <v>0</v>
          </cell>
          <cell r="FP147">
            <v>0</v>
          </cell>
          <cell r="FQ147">
            <v>0</v>
          </cell>
          <cell r="FR147">
            <v>0</v>
          </cell>
          <cell r="FS147">
            <v>0</v>
          </cell>
          <cell r="FT147">
            <v>0</v>
          </cell>
          <cell r="FU147">
            <v>0</v>
          </cell>
          <cell r="FV147">
            <v>0</v>
          </cell>
          <cell r="FW147">
            <v>0</v>
          </cell>
          <cell r="FX147">
            <v>0</v>
          </cell>
          <cell r="FY147">
            <v>0</v>
          </cell>
          <cell r="FZ147">
            <v>0</v>
          </cell>
        </row>
        <row r="148">
          <cell r="B148">
            <v>0</v>
          </cell>
          <cell r="C148">
            <v>0</v>
          </cell>
          <cell r="D148">
            <v>0</v>
          </cell>
          <cell r="E148">
            <v>0</v>
          </cell>
          <cell r="F148">
            <v>0</v>
          </cell>
          <cell r="G148">
            <v>0</v>
          </cell>
          <cell r="H148">
            <v>0</v>
          </cell>
          <cell r="I148">
            <v>0</v>
          </cell>
          <cell r="J148">
            <v>0</v>
          </cell>
          <cell r="K148">
            <v>0</v>
          </cell>
          <cell r="L148">
            <v>0</v>
          </cell>
          <cell r="M148">
            <v>0</v>
          </cell>
          <cell r="N148">
            <v>0</v>
          </cell>
          <cell r="O148">
            <v>0</v>
          </cell>
          <cell r="P148">
            <v>0</v>
          </cell>
          <cell r="Q148">
            <v>0</v>
          </cell>
          <cell r="R148">
            <v>0</v>
          </cell>
          <cell r="S148">
            <v>0</v>
          </cell>
          <cell r="T148">
            <v>0</v>
          </cell>
          <cell r="U148">
            <v>0</v>
          </cell>
          <cell r="V148">
            <v>0</v>
          </cell>
          <cell r="W148">
            <v>0</v>
          </cell>
          <cell r="X148">
            <v>0</v>
          </cell>
          <cell r="Y148">
            <v>0</v>
          </cell>
          <cell r="Z148">
            <v>0</v>
          </cell>
          <cell r="AA148">
            <v>0</v>
          </cell>
          <cell r="AB148">
            <v>0</v>
          </cell>
          <cell r="AC148">
            <v>0</v>
          </cell>
          <cell r="AD148">
            <v>0</v>
          </cell>
          <cell r="AE148">
            <v>0</v>
          </cell>
          <cell r="AF148">
            <v>0</v>
          </cell>
          <cell r="AG148">
            <v>0</v>
          </cell>
          <cell r="AH148">
            <v>0</v>
          </cell>
          <cell r="AI148">
            <v>0</v>
          </cell>
          <cell r="AJ148">
            <v>0</v>
          </cell>
          <cell r="AK148">
            <v>0</v>
          </cell>
          <cell r="AL148">
            <v>0</v>
          </cell>
          <cell r="AM148">
            <v>0</v>
          </cell>
          <cell r="AN148">
            <v>0</v>
          </cell>
          <cell r="AO148">
            <v>0</v>
          </cell>
          <cell r="AP148">
            <v>0</v>
          </cell>
          <cell r="AQ148">
            <v>0</v>
          </cell>
          <cell r="AR148">
            <v>0</v>
          </cell>
          <cell r="AS148">
            <v>22788998.834187038</v>
          </cell>
          <cell r="AT148">
            <v>0</v>
          </cell>
          <cell r="AU148">
            <v>0</v>
          </cell>
          <cell r="AV148">
            <v>0</v>
          </cell>
          <cell r="AW148">
            <v>0</v>
          </cell>
          <cell r="AX148">
            <v>0</v>
          </cell>
          <cell r="AY148">
            <v>0</v>
          </cell>
          <cell r="AZ148">
            <v>0</v>
          </cell>
          <cell r="BA148">
            <v>0</v>
          </cell>
          <cell r="BB148">
            <v>0</v>
          </cell>
          <cell r="BC148">
            <v>0</v>
          </cell>
          <cell r="BD148">
            <v>0</v>
          </cell>
          <cell r="BE148">
            <v>1201193.3237229479</v>
          </cell>
          <cell r="BF148">
            <v>0</v>
          </cell>
          <cell r="BG148">
            <v>0</v>
          </cell>
          <cell r="BH148">
            <v>0</v>
          </cell>
          <cell r="BI148">
            <v>0</v>
          </cell>
          <cell r="BJ148">
            <v>0</v>
          </cell>
          <cell r="BK148">
            <v>0</v>
          </cell>
          <cell r="BL148">
            <v>0</v>
          </cell>
          <cell r="BM148">
            <v>0</v>
          </cell>
          <cell r="BN148">
            <v>0</v>
          </cell>
          <cell r="BO148">
            <v>0</v>
          </cell>
          <cell r="BP148">
            <v>0</v>
          </cell>
          <cell r="BQ148">
            <v>0</v>
          </cell>
          <cell r="BR148">
            <v>0</v>
          </cell>
          <cell r="BS148">
            <v>0</v>
          </cell>
          <cell r="BT148">
            <v>0</v>
          </cell>
          <cell r="BU148">
            <v>0</v>
          </cell>
          <cell r="BV148">
            <v>0</v>
          </cell>
          <cell r="BW148">
            <v>0</v>
          </cell>
          <cell r="BX148">
            <v>0</v>
          </cell>
          <cell r="BY148">
            <v>0</v>
          </cell>
          <cell r="BZ148">
            <v>0</v>
          </cell>
          <cell r="CA148">
            <v>0</v>
          </cell>
          <cell r="CB148">
            <v>0</v>
          </cell>
          <cell r="CC148">
            <v>0</v>
          </cell>
          <cell r="CD148">
            <v>0</v>
          </cell>
          <cell r="CE148">
            <v>0</v>
          </cell>
          <cell r="CF148">
            <v>0</v>
          </cell>
          <cell r="CG148">
            <v>0</v>
          </cell>
          <cell r="CH148">
            <v>0</v>
          </cell>
          <cell r="CI148">
            <v>0</v>
          </cell>
          <cell r="CJ148">
            <v>0</v>
          </cell>
          <cell r="CK148">
            <v>17022172.488000002</v>
          </cell>
          <cell r="CL148">
            <v>0</v>
          </cell>
          <cell r="CM148">
            <v>0</v>
          </cell>
          <cell r="CN148">
            <v>0</v>
          </cell>
          <cell r="CO148">
            <v>0</v>
          </cell>
          <cell r="CP148">
            <v>0</v>
          </cell>
          <cell r="CQ148">
            <v>0</v>
          </cell>
          <cell r="CR148">
            <v>0</v>
          </cell>
          <cell r="CS148">
            <v>0</v>
          </cell>
          <cell r="CT148">
            <v>0</v>
          </cell>
          <cell r="CU148">
            <v>0</v>
          </cell>
          <cell r="CV148">
            <v>0</v>
          </cell>
          <cell r="CW148">
            <v>17022172.488000002</v>
          </cell>
          <cell r="CX148">
            <v>0</v>
          </cell>
          <cell r="CY148">
            <v>0</v>
          </cell>
          <cell r="CZ148">
            <v>0</v>
          </cell>
          <cell r="DA148">
            <v>0</v>
          </cell>
          <cell r="DB148">
            <v>0</v>
          </cell>
          <cell r="DC148">
            <v>0</v>
          </cell>
          <cell r="DD148">
            <v>0</v>
          </cell>
          <cell r="DE148">
            <v>0</v>
          </cell>
          <cell r="DF148">
            <v>0</v>
          </cell>
          <cell r="DG148">
            <v>0</v>
          </cell>
          <cell r="DH148">
            <v>0</v>
          </cell>
          <cell r="DI148">
            <v>17630079.565664425</v>
          </cell>
          <cell r="DJ148">
            <v>0</v>
          </cell>
          <cell r="DK148">
            <v>0</v>
          </cell>
          <cell r="DL148">
            <v>0</v>
          </cell>
          <cell r="DM148">
            <v>0</v>
          </cell>
          <cell r="DN148">
            <v>0</v>
          </cell>
          <cell r="DO148">
            <v>0</v>
          </cell>
          <cell r="DP148">
            <v>0</v>
          </cell>
          <cell r="DQ148">
            <v>0</v>
          </cell>
          <cell r="DR148">
            <v>0</v>
          </cell>
          <cell r="DS148">
            <v>0</v>
          </cell>
          <cell r="DT148">
            <v>0</v>
          </cell>
          <cell r="DU148">
            <v>5158919.2685226137</v>
          </cell>
          <cell r="DV148">
            <v>0</v>
          </cell>
          <cell r="DW148">
            <v>0</v>
          </cell>
          <cell r="DX148">
            <v>0</v>
          </cell>
          <cell r="DY148">
            <v>0</v>
          </cell>
          <cell r="DZ148">
            <v>0</v>
          </cell>
          <cell r="EA148">
            <v>0</v>
          </cell>
          <cell r="EB148">
            <v>0</v>
          </cell>
          <cell r="EC148">
            <v>0</v>
          </cell>
          <cell r="ED148">
            <v>0</v>
          </cell>
          <cell r="EE148">
            <v>0</v>
          </cell>
          <cell r="EF148">
            <v>0</v>
          </cell>
          <cell r="EG148">
            <v>0</v>
          </cell>
          <cell r="EH148">
            <v>0</v>
          </cell>
          <cell r="EI148">
            <v>0</v>
          </cell>
          <cell r="EJ148">
            <v>0</v>
          </cell>
          <cell r="EK148">
            <v>0</v>
          </cell>
          <cell r="EL148">
            <v>0</v>
          </cell>
          <cell r="EM148">
            <v>0</v>
          </cell>
          <cell r="EN148">
            <v>0</v>
          </cell>
          <cell r="EO148">
            <v>0</v>
          </cell>
          <cell r="EP148">
            <v>0</v>
          </cell>
          <cell r="EQ148">
            <v>0</v>
          </cell>
          <cell r="ER148">
            <v>0</v>
          </cell>
          <cell r="ES148">
            <v>0</v>
          </cell>
          <cell r="ET148">
            <v>0</v>
          </cell>
          <cell r="EU148">
            <v>0</v>
          </cell>
          <cell r="EV148">
            <v>0</v>
          </cell>
          <cell r="EW148">
            <v>0</v>
          </cell>
          <cell r="EX148">
            <v>0</v>
          </cell>
          <cell r="EY148">
            <v>0</v>
          </cell>
          <cell r="EZ148">
            <v>0</v>
          </cell>
          <cell r="FA148">
            <v>0</v>
          </cell>
          <cell r="FB148">
            <v>0</v>
          </cell>
          <cell r="FC148">
            <v>0</v>
          </cell>
          <cell r="FD148">
            <v>0</v>
          </cell>
          <cell r="FE148">
            <v>0</v>
          </cell>
          <cell r="FF148">
            <v>0</v>
          </cell>
          <cell r="FG148">
            <v>0</v>
          </cell>
          <cell r="FH148">
            <v>0</v>
          </cell>
          <cell r="FI148">
            <v>0</v>
          </cell>
          <cell r="FJ148">
            <v>0</v>
          </cell>
          <cell r="FK148">
            <v>0</v>
          </cell>
          <cell r="FL148">
            <v>0</v>
          </cell>
          <cell r="FM148">
            <v>0</v>
          </cell>
          <cell r="FN148">
            <v>0</v>
          </cell>
          <cell r="FO148">
            <v>0</v>
          </cell>
          <cell r="FP148">
            <v>0</v>
          </cell>
          <cell r="FQ148">
            <v>0</v>
          </cell>
          <cell r="FR148">
            <v>0</v>
          </cell>
          <cell r="FS148">
            <v>0</v>
          </cell>
          <cell r="FT148">
            <v>0</v>
          </cell>
          <cell r="FU148">
            <v>0</v>
          </cell>
          <cell r="FV148">
            <v>0</v>
          </cell>
          <cell r="FW148">
            <v>0</v>
          </cell>
          <cell r="FX148">
            <v>0</v>
          </cell>
          <cell r="FY148">
            <v>0</v>
          </cell>
          <cell r="FZ148">
            <v>0</v>
          </cell>
        </row>
        <row r="149">
          <cell r="B149">
            <v>0</v>
          </cell>
          <cell r="C149">
            <v>0</v>
          </cell>
          <cell r="D149">
            <v>0</v>
          </cell>
          <cell r="E149">
            <v>0</v>
          </cell>
          <cell r="F149">
            <v>0</v>
          </cell>
          <cell r="G149">
            <v>0</v>
          </cell>
          <cell r="H149">
            <v>0</v>
          </cell>
          <cell r="I149">
            <v>0</v>
          </cell>
          <cell r="J149">
            <v>0</v>
          </cell>
          <cell r="K149">
            <v>0</v>
          </cell>
          <cell r="L149">
            <v>0</v>
          </cell>
          <cell r="M149">
            <v>0</v>
          </cell>
          <cell r="N149">
            <v>0</v>
          </cell>
          <cell r="O149">
            <v>0</v>
          </cell>
          <cell r="P149">
            <v>0</v>
          </cell>
          <cell r="Q149">
            <v>0</v>
          </cell>
          <cell r="R149">
            <v>0</v>
          </cell>
          <cell r="S149">
            <v>0</v>
          </cell>
          <cell r="T149">
            <v>0</v>
          </cell>
          <cell r="U149">
            <v>0</v>
          </cell>
          <cell r="V149">
            <v>0</v>
          </cell>
          <cell r="W149">
            <v>0</v>
          </cell>
          <cell r="X149">
            <v>0</v>
          </cell>
          <cell r="Y149">
            <v>0</v>
          </cell>
          <cell r="Z149">
            <v>0</v>
          </cell>
          <cell r="AA149">
            <v>0</v>
          </cell>
          <cell r="AB149">
            <v>0</v>
          </cell>
          <cell r="AC149">
            <v>0</v>
          </cell>
          <cell r="AD149">
            <v>0</v>
          </cell>
          <cell r="AE149">
            <v>0</v>
          </cell>
          <cell r="AF149">
            <v>0</v>
          </cell>
          <cell r="AG149">
            <v>0</v>
          </cell>
          <cell r="AH149">
            <v>0</v>
          </cell>
          <cell r="AI149">
            <v>0</v>
          </cell>
          <cell r="AJ149">
            <v>0</v>
          </cell>
          <cell r="AK149">
            <v>0</v>
          </cell>
          <cell r="AL149">
            <v>0</v>
          </cell>
          <cell r="AM149">
            <v>0</v>
          </cell>
          <cell r="AN149">
            <v>0</v>
          </cell>
          <cell r="AO149">
            <v>0</v>
          </cell>
          <cell r="AP149">
            <v>0</v>
          </cell>
          <cell r="AQ149">
            <v>0</v>
          </cell>
          <cell r="AR149">
            <v>0</v>
          </cell>
          <cell r="AS149">
            <v>25809827.269127961</v>
          </cell>
          <cell r="AT149">
            <v>0</v>
          </cell>
          <cell r="AU149">
            <v>0</v>
          </cell>
          <cell r="AV149">
            <v>0</v>
          </cell>
          <cell r="AW149">
            <v>0</v>
          </cell>
          <cell r="AX149">
            <v>0</v>
          </cell>
          <cell r="AY149">
            <v>0</v>
          </cell>
          <cell r="AZ149">
            <v>0</v>
          </cell>
          <cell r="BA149">
            <v>0</v>
          </cell>
          <cell r="BB149">
            <v>0</v>
          </cell>
          <cell r="BC149">
            <v>0</v>
          </cell>
          <cell r="BD149">
            <v>0</v>
          </cell>
          <cell r="BE149">
            <v>3784564.2081730962</v>
          </cell>
          <cell r="BF149">
            <v>0</v>
          </cell>
          <cell r="BG149">
            <v>0</v>
          </cell>
          <cell r="BH149">
            <v>0</v>
          </cell>
          <cell r="BI149">
            <v>0</v>
          </cell>
          <cell r="BJ149">
            <v>0</v>
          </cell>
          <cell r="BK149">
            <v>0</v>
          </cell>
          <cell r="BL149">
            <v>0</v>
          </cell>
          <cell r="BM149">
            <v>0</v>
          </cell>
          <cell r="BN149">
            <v>0</v>
          </cell>
          <cell r="BO149">
            <v>0</v>
          </cell>
          <cell r="BP149">
            <v>0</v>
          </cell>
          <cell r="BQ149">
            <v>0</v>
          </cell>
          <cell r="BR149">
            <v>0</v>
          </cell>
          <cell r="BS149">
            <v>0</v>
          </cell>
          <cell r="BT149">
            <v>0</v>
          </cell>
          <cell r="BU149">
            <v>0</v>
          </cell>
          <cell r="BV149">
            <v>0</v>
          </cell>
          <cell r="BW149">
            <v>0</v>
          </cell>
          <cell r="BX149">
            <v>0</v>
          </cell>
          <cell r="BY149">
            <v>0</v>
          </cell>
          <cell r="BZ149">
            <v>0</v>
          </cell>
          <cell r="CA149">
            <v>0</v>
          </cell>
          <cell r="CB149">
            <v>0</v>
          </cell>
          <cell r="CC149">
            <v>0</v>
          </cell>
          <cell r="CD149">
            <v>0</v>
          </cell>
          <cell r="CE149">
            <v>0</v>
          </cell>
          <cell r="CF149">
            <v>0</v>
          </cell>
          <cell r="CG149">
            <v>0</v>
          </cell>
          <cell r="CH149">
            <v>0</v>
          </cell>
          <cell r="CI149">
            <v>0</v>
          </cell>
          <cell r="CJ149">
            <v>0</v>
          </cell>
          <cell r="CK149">
            <v>22428106.205285549</v>
          </cell>
          <cell r="CL149">
            <v>0</v>
          </cell>
          <cell r="CM149">
            <v>0</v>
          </cell>
          <cell r="CN149">
            <v>0</v>
          </cell>
          <cell r="CO149">
            <v>0</v>
          </cell>
          <cell r="CP149">
            <v>0</v>
          </cell>
          <cell r="CQ149">
            <v>0</v>
          </cell>
          <cell r="CR149">
            <v>0</v>
          </cell>
          <cell r="CS149">
            <v>0</v>
          </cell>
          <cell r="CT149">
            <v>0</v>
          </cell>
          <cell r="CU149">
            <v>0</v>
          </cell>
          <cell r="CV149">
            <v>0</v>
          </cell>
          <cell r="CW149">
            <v>22428106.205285549</v>
          </cell>
          <cell r="CX149">
            <v>0</v>
          </cell>
          <cell r="CY149">
            <v>0</v>
          </cell>
          <cell r="CZ149">
            <v>0</v>
          </cell>
          <cell r="DA149">
            <v>0</v>
          </cell>
          <cell r="DB149">
            <v>0</v>
          </cell>
          <cell r="DC149">
            <v>0</v>
          </cell>
          <cell r="DD149">
            <v>0</v>
          </cell>
          <cell r="DE149">
            <v>0</v>
          </cell>
          <cell r="DF149">
            <v>0</v>
          </cell>
          <cell r="DG149">
            <v>0</v>
          </cell>
          <cell r="DH149">
            <v>0</v>
          </cell>
          <cell r="DI149">
            <v>23992404.472377237</v>
          </cell>
          <cell r="DJ149">
            <v>0</v>
          </cell>
          <cell r="DK149">
            <v>0</v>
          </cell>
          <cell r="DL149">
            <v>0</v>
          </cell>
          <cell r="DM149">
            <v>0</v>
          </cell>
          <cell r="DN149">
            <v>0</v>
          </cell>
          <cell r="DO149">
            <v>0</v>
          </cell>
          <cell r="DP149">
            <v>0</v>
          </cell>
          <cell r="DQ149">
            <v>0</v>
          </cell>
          <cell r="DR149">
            <v>0</v>
          </cell>
          <cell r="DS149">
            <v>0</v>
          </cell>
          <cell r="DT149">
            <v>0</v>
          </cell>
          <cell r="DU149">
            <v>1817422.796750725</v>
          </cell>
          <cell r="DV149">
            <v>0</v>
          </cell>
          <cell r="DW149">
            <v>0</v>
          </cell>
          <cell r="DX149">
            <v>0</v>
          </cell>
          <cell r="DY149">
            <v>0</v>
          </cell>
          <cell r="DZ149">
            <v>0</v>
          </cell>
          <cell r="EA149">
            <v>0</v>
          </cell>
          <cell r="EB149">
            <v>0</v>
          </cell>
          <cell r="EC149">
            <v>0</v>
          </cell>
          <cell r="ED149">
            <v>0</v>
          </cell>
          <cell r="EE149">
            <v>0</v>
          </cell>
          <cell r="EF149">
            <v>0</v>
          </cell>
          <cell r="EG149">
            <v>0</v>
          </cell>
          <cell r="EH149">
            <v>0</v>
          </cell>
          <cell r="EI149">
            <v>0</v>
          </cell>
          <cell r="EJ149">
            <v>0</v>
          </cell>
          <cell r="EK149">
            <v>0</v>
          </cell>
          <cell r="EL149">
            <v>0</v>
          </cell>
          <cell r="EM149">
            <v>0</v>
          </cell>
          <cell r="EN149">
            <v>0</v>
          </cell>
          <cell r="EO149">
            <v>0</v>
          </cell>
          <cell r="EP149">
            <v>0</v>
          </cell>
          <cell r="EQ149">
            <v>0</v>
          </cell>
          <cell r="ER149">
            <v>0</v>
          </cell>
          <cell r="ES149">
            <v>0</v>
          </cell>
          <cell r="ET149">
            <v>0</v>
          </cell>
          <cell r="EU149">
            <v>0</v>
          </cell>
          <cell r="EV149">
            <v>0</v>
          </cell>
          <cell r="EW149">
            <v>0</v>
          </cell>
          <cell r="EX149">
            <v>0</v>
          </cell>
          <cell r="EY149">
            <v>0</v>
          </cell>
          <cell r="EZ149">
            <v>0</v>
          </cell>
          <cell r="FA149">
            <v>0</v>
          </cell>
          <cell r="FB149">
            <v>0</v>
          </cell>
          <cell r="FC149">
            <v>0</v>
          </cell>
          <cell r="FD149">
            <v>0</v>
          </cell>
          <cell r="FE149">
            <v>0</v>
          </cell>
          <cell r="FF149">
            <v>0</v>
          </cell>
          <cell r="FG149">
            <v>0</v>
          </cell>
          <cell r="FH149">
            <v>0</v>
          </cell>
          <cell r="FI149">
            <v>0</v>
          </cell>
          <cell r="FJ149">
            <v>0</v>
          </cell>
          <cell r="FK149">
            <v>0</v>
          </cell>
          <cell r="FL149">
            <v>0</v>
          </cell>
          <cell r="FM149">
            <v>0</v>
          </cell>
          <cell r="FN149">
            <v>0</v>
          </cell>
          <cell r="FO149">
            <v>0</v>
          </cell>
          <cell r="FP149">
            <v>0</v>
          </cell>
          <cell r="FQ149">
            <v>0</v>
          </cell>
          <cell r="FR149">
            <v>0</v>
          </cell>
          <cell r="FS149">
            <v>0</v>
          </cell>
          <cell r="FT149">
            <v>0</v>
          </cell>
          <cell r="FU149">
            <v>0</v>
          </cell>
          <cell r="FV149">
            <v>0</v>
          </cell>
          <cell r="FW149">
            <v>0</v>
          </cell>
          <cell r="FX149">
            <v>0</v>
          </cell>
          <cell r="FY149">
            <v>0</v>
          </cell>
          <cell r="FZ149">
            <v>0</v>
          </cell>
        </row>
        <row r="150">
          <cell r="B150">
            <v>0</v>
          </cell>
          <cell r="C150">
            <v>0</v>
          </cell>
          <cell r="D150">
            <v>0</v>
          </cell>
          <cell r="E150">
            <v>0</v>
          </cell>
          <cell r="F150">
            <v>0</v>
          </cell>
          <cell r="G150">
            <v>0</v>
          </cell>
          <cell r="H150">
            <v>0</v>
          </cell>
          <cell r="I150">
            <v>0</v>
          </cell>
          <cell r="J150">
            <v>0</v>
          </cell>
          <cell r="K150">
            <v>0</v>
          </cell>
          <cell r="L150">
            <v>0</v>
          </cell>
          <cell r="M150">
            <v>0</v>
          </cell>
          <cell r="N150">
            <v>0</v>
          </cell>
          <cell r="O150">
            <v>0</v>
          </cell>
          <cell r="P150">
            <v>0</v>
          </cell>
          <cell r="Q150">
            <v>0</v>
          </cell>
          <cell r="R150">
            <v>0</v>
          </cell>
          <cell r="S150">
            <v>0</v>
          </cell>
          <cell r="T150">
            <v>0</v>
          </cell>
          <cell r="U150">
            <v>0</v>
          </cell>
          <cell r="V150">
            <v>0</v>
          </cell>
          <cell r="W150">
            <v>0</v>
          </cell>
          <cell r="X150">
            <v>0</v>
          </cell>
          <cell r="Y150">
            <v>0</v>
          </cell>
          <cell r="Z150">
            <v>0</v>
          </cell>
          <cell r="AA150">
            <v>0</v>
          </cell>
          <cell r="AB150">
            <v>0</v>
          </cell>
          <cell r="AC150">
            <v>0</v>
          </cell>
          <cell r="AD150">
            <v>0</v>
          </cell>
          <cell r="AE150">
            <v>0</v>
          </cell>
          <cell r="AF150">
            <v>0</v>
          </cell>
          <cell r="AG150">
            <v>0</v>
          </cell>
          <cell r="AH150">
            <v>0</v>
          </cell>
          <cell r="AI150">
            <v>0</v>
          </cell>
          <cell r="AJ150">
            <v>0</v>
          </cell>
          <cell r="AK150">
            <v>0</v>
          </cell>
          <cell r="AL150">
            <v>0</v>
          </cell>
          <cell r="AM150">
            <v>0</v>
          </cell>
          <cell r="AN150">
            <v>0</v>
          </cell>
          <cell r="AO150">
            <v>0</v>
          </cell>
          <cell r="AP150">
            <v>0</v>
          </cell>
          <cell r="AQ150">
            <v>0</v>
          </cell>
          <cell r="AR150">
            <v>0</v>
          </cell>
          <cell r="AS150">
            <v>0</v>
          </cell>
          <cell r="AT150">
            <v>0</v>
          </cell>
          <cell r="AU150">
            <v>0</v>
          </cell>
          <cell r="AV150">
            <v>0</v>
          </cell>
          <cell r="AW150">
            <v>0</v>
          </cell>
          <cell r="AX150">
            <v>0</v>
          </cell>
          <cell r="AY150">
            <v>0</v>
          </cell>
          <cell r="AZ150">
            <v>0</v>
          </cell>
          <cell r="BA150">
            <v>0</v>
          </cell>
          <cell r="BB150">
            <v>0</v>
          </cell>
          <cell r="BC150">
            <v>0</v>
          </cell>
          <cell r="BD150">
            <v>0</v>
          </cell>
          <cell r="BE150">
            <v>0</v>
          </cell>
          <cell r="BF150">
            <v>0</v>
          </cell>
          <cell r="BG150">
            <v>0</v>
          </cell>
          <cell r="BH150">
            <v>0</v>
          </cell>
          <cell r="BI150">
            <v>0</v>
          </cell>
          <cell r="BJ150">
            <v>0</v>
          </cell>
          <cell r="BK150">
            <v>0</v>
          </cell>
          <cell r="BL150">
            <v>0</v>
          </cell>
          <cell r="BM150">
            <v>0</v>
          </cell>
          <cell r="BN150">
            <v>0</v>
          </cell>
          <cell r="BO150">
            <v>0</v>
          </cell>
          <cell r="BP150">
            <v>0</v>
          </cell>
          <cell r="BQ150">
            <v>0</v>
          </cell>
          <cell r="BR150">
            <v>0</v>
          </cell>
          <cell r="BS150">
            <v>0</v>
          </cell>
          <cell r="BT150">
            <v>0</v>
          </cell>
          <cell r="BU150">
            <v>0</v>
          </cell>
          <cell r="BV150">
            <v>0</v>
          </cell>
          <cell r="BW150">
            <v>0</v>
          </cell>
          <cell r="BX150">
            <v>0</v>
          </cell>
          <cell r="BY150">
            <v>0</v>
          </cell>
          <cell r="BZ150">
            <v>0</v>
          </cell>
          <cell r="CA150">
            <v>0</v>
          </cell>
          <cell r="CB150">
            <v>0</v>
          </cell>
          <cell r="CC150">
            <v>0</v>
          </cell>
          <cell r="CD150">
            <v>0</v>
          </cell>
          <cell r="CE150">
            <v>0</v>
          </cell>
          <cell r="CF150">
            <v>0</v>
          </cell>
          <cell r="CG150">
            <v>0</v>
          </cell>
          <cell r="CH150">
            <v>0</v>
          </cell>
          <cell r="CI150">
            <v>0</v>
          </cell>
          <cell r="CJ150">
            <v>0</v>
          </cell>
          <cell r="CK150">
            <v>0</v>
          </cell>
          <cell r="CL150">
            <v>0</v>
          </cell>
          <cell r="CM150">
            <v>0</v>
          </cell>
          <cell r="CN150">
            <v>0</v>
          </cell>
          <cell r="CO150">
            <v>0</v>
          </cell>
          <cell r="CP150">
            <v>0</v>
          </cell>
          <cell r="CQ150">
            <v>0</v>
          </cell>
          <cell r="CR150">
            <v>0</v>
          </cell>
          <cell r="CS150">
            <v>0</v>
          </cell>
          <cell r="CT150">
            <v>0</v>
          </cell>
          <cell r="CU150">
            <v>0</v>
          </cell>
          <cell r="CV150">
            <v>0</v>
          </cell>
          <cell r="CW150">
            <v>0</v>
          </cell>
          <cell r="CX150">
            <v>0</v>
          </cell>
          <cell r="CY150">
            <v>0</v>
          </cell>
          <cell r="CZ150">
            <v>0</v>
          </cell>
          <cell r="DA150">
            <v>0</v>
          </cell>
          <cell r="DB150">
            <v>0</v>
          </cell>
          <cell r="DC150">
            <v>0</v>
          </cell>
          <cell r="DD150">
            <v>0</v>
          </cell>
          <cell r="DE150">
            <v>0</v>
          </cell>
          <cell r="DF150">
            <v>0</v>
          </cell>
          <cell r="DG150">
            <v>0</v>
          </cell>
          <cell r="DH150">
            <v>0</v>
          </cell>
          <cell r="DI150">
            <v>0</v>
          </cell>
          <cell r="DJ150">
            <v>0</v>
          </cell>
          <cell r="DK150">
            <v>0</v>
          </cell>
          <cell r="DL150">
            <v>0</v>
          </cell>
          <cell r="DM150">
            <v>0</v>
          </cell>
          <cell r="DN150">
            <v>0</v>
          </cell>
          <cell r="DO150">
            <v>0</v>
          </cell>
          <cell r="DP150">
            <v>0</v>
          </cell>
          <cell r="DQ150">
            <v>0</v>
          </cell>
          <cell r="DR150">
            <v>0</v>
          </cell>
          <cell r="DS150">
            <v>0</v>
          </cell>
          <cell r="DT150">
            <v>0</v>
          </cell>
          <cell r="DU150">
            <v>0</v>
          </cell>
          <cell r="DV150">
            <v>0</v>
          </cell>
          <cell r="DW150">
            <v>0</v>
          </cell>
          <cell r="DX150">
            <v>0</v>
          </cell>
          <cell r="DY150">
            <v>0</v>
          </cell>
          <cell r="EA150">
            <v>0</v>
          </cell>
          <cell r="EB150">
            <v>0</v>
          </cell>
          <cell r="EC150">
            <v>0</v>
          </cell>
          <cell r="ED150">
            <v>0</v>
          </cell>
          <cell r="EE150">
            <v>0</v>
          </cell>
          <cell r="EF150">
            <v>0</v>
          </cell>
          <cell r="EG150">
            <v>0</v>
          </cell>
          <cell r="EH150">
            <v>0</v>
          </cell>
          <cell r="EI150">
            <v>0</v>
          </cell>
          <cell r="EJ150">
            <v>0</v>
          </cell>
          <cell r="EK150">
            <v>0</v>
          </cell>
          <cell r="EL150">
            <v>0</v>
          </cell>
          <cell r="EM150">
            <v>0</v>
          </cell>
          <cell r="EN150">
            <v>0</v>
          </cell>
          <cell r="EO150">
            <v>0</v>
          </cell>
          <cell r="EP150">
            <v>0</v>
          </cell>
          <cell r="EQ150">
            <v>0</v>
          </cell>
          <cell r="ER150">
            <v>0</v>
          </cell>
          <cell r="ES150">
            <v>0</v>
          </cell>
          <cell r="ET150">
            <v>0</v>
          </cell>
          <cell r="EU150">
            <v>0</v>
          </cell>
          <cell r="EV150">
            <v>0</v>
          </cell>
          <cell r="EW150">
            <v>0</v>
          </cell>
          <cell r="EX150">
            <v>0</v>
          </cell>
          <cell r="EY150">
            <v>0</v>
          </cell>
          <cell r="EZ150">
            <v>0</v>
          </cell>
          <cell r="FA150">
            <v>0</v>
          </cell>
          <cell r="FB150">
            <v>0</v>
          </cell>
          <cell r="FC150">
            <v>0</v>
          </cell>
          <cell r="FD150">
            <v>0</v>
          </cell>
          <cell r="FE150">
            <v>0</v>
          </cell>
          <cell r="FF150">
            <v>0</v>
          </cell>
          <cell r="FG150">
            <v>0</v>
          </cell>
          <cell r="FH150">
            <v>0</v>
          </cell>
          <cell r="FI150">
            <v>0</v>
          </cell>
          <cell r="FJ150">
            <v>0</v>
          </cell>
          <cell r="FK150">
            <v>0</v>
          </cell>
          <cell r="FL150">
            <v>0</v>
          </cell>
          <cell r="FM150">
            <v>0</v>
          </cell>
          <cell r="FN150">
            <v>0</v>
          </cell>
          <cell r="FO150">
            <v>0</v>
          </cell>
          <cell r="FP150">
            <v>0</v>
          </cell>
          <cell r="FQ150">
            <v>0</v>
          </cell>
          <cell r="FR150">
            <v>0</v>
          </cell>
          <cell r="FS150">
            <v>0</v>
          </cell>
          <cell r="FT150">
            <v>0</v>
          </cell>
          <cell r="FU150">
            <v>0</v>
          </cell>
          <cell r="FV150">
            <v>0</v>
          </cell>
          <cell r="FW150">
            <v>0</v>
          </cell>
          <cell r="FX150">
            <v>0</v>
          </cell>
          <cell r="FY150">
            <v>0</v>
          </cell>
          <cell r="FZ150">
            <v>0</v>
          </cell>
        </row>
        <row r="151">
          <cell r="B151">
            <v>0</v>
          </cell>
          <cell r="C151">
            <v>0</v>
          </cell>
          <cell r="D151">
            <v>0</v>
          </cell>
          <cell r="E151">
            <v>0</v>
          </cell>
          <cell r="F151">
            <v>0</v>
          </cell>
          <cell r="G151">
            <v>0</v>
          </cell>
          <cell r="H151">
            <v>0</v>
          </cell>
          <cell r="I151">
            <v>0</v>
          </cell>
          <cell r="J151">
            <v>0</v>
          </cell>
          <cell r="K151">
            <v>0</v>
          </cell>
          <cell r="L151">
            <v>0</v>
          </cell>
          <cell r="M151">
            <v>0</v>
          </cell>
          <cell r="N151">
            <v>0</v>
          </cell>
          <cell r="O151">
            <v>0</v>
          </cell>
          <cell r="P151">
            <v>0</v>
          </cell>
          <cell r="Q151">
            <v>0</v>
          </cell>
          <cell r="R151">
            <v>0</v>
          </cell>
          <cell r="S151">
            <v>0</v>
          </cell>
          <cell r="T151">
            <v>0</v>
          </cell>
          <cell r="U151">
            <v>0</v>
          </cell>
          <cell r="V151">
            <v>0</v>
          </cell>
          <cell r="W151">
            <v>0</v>
          </cell>
          <cell r="X151">
            <v>0</v>
          </cell>
          <cell r="Y151">
            <v>0</v>
          </cell>
          <cell r="Z151">
            <v>0</v>
          </cell>
          <cell r="AA151">
            <v>0</v>
          </cell>
          <cell r="AB151">
            <v>0</v>
          </cell>
          <cell r="AC151">
            <v>0</v>
          </cell>
          <cell r="AD151">
            <v>0</v>
          </cell>
          <cell r="AE151">
            <v>0</v>
          </cell>
          <cell r="AF151">
            <v>0</v>
          </cell>
          <cell r="AG151">
            <v>0</v>
          </cell>
          <cell r="AH151">
            <v>0</v>
          </cell>
          <cell r="AI151">
            <v>0</v>
          </cell>
          <cell r="AJ151">
            <v>0</v>
          </cell>
          <cell r="AK151">
            <v>0</v>
          </cell>
          <cell r="AL151">
            <v>0</v>
          </cell>
          <cell r="AM151">
            <v>0</v>
          </cell>
          <cell r="AN151">
            <v>0</v>
          </cell>
          <cell r="AO151">
            <v>0</v>
          </cell>
          <cell r="AP151">
            <v>0</v>
          </cell>
          <cell r="AQ151">
            <v>0</v>
          </cell>
          <cell r="AR151">
            <v>0</v>
          </cell>
          <cell r="AS151">
            <v>0</v>
          </cell>
          <cell r="AT151">
            <v>0</v>
          </cell>
          <cell r="AU151">
            <v>0</v>
          </cell>
          <cell r="AV151">
            <v>0</v>
          </cell>
          <cell r="AW151">
            <v>0</v>
          </cell>
          <cell r="AX151">
            <v>0</v>
          </cell>
          <cell r="AY151">
            <v>0</v>
          </cell>
          <cell r="AZ151">
            <v>0</v>
          </cell>
          <cell r="BA151">
            <v>0</v>
          </cell>
          <cell r="BB151">
            <v>0</v>
          </cell>
          <cell r="BC151">
            <v>0</v>
          </cell>
          <cell r="BD151">
            <v>0</v>
          </cell>
          <cell r="BE151">
            <v>0</v>
          </cell>
          <cell r="BF151">
            <v>0</v>
          </cell>
          <cell r="BG151">
            <v>0</v>
          </cell>
          <cell r="BH151">
            <v>0</v>
          </cell>
          <cell r="BI151">
            <v>0</v>
          </cell>
          <cell r="BJ151">
            <v>0</v>
          </cell>
          <cell r="BK151">
            <v>0</v>
          </cell>
          <cell r="BL151">
            <v>0</v>
          </cell>
          <cell r="BM151">
            <v>0</v>
          </cell>
          <cell r="BN151">
            <v>0</v>
          </cell>
          <cell r="BO151">
            <v>0</v>
          </cell>
          <cell r="BP151">
            <v>0</v>
          </cell>
          <cell r="BQ151">
            <v>0</v>
          </cell>
          <cell r="BR151">
            <v>0</v>
          </cell>
          <cell r="BS151">
            <v>0</v>
          </cell>
          <cell r="BT151">
            <v>0</v>
          </cell>
          <cell r="BU151">
            <v>0</v>
          </cell>
          <cell r="BV151">
            <v>0</v>
          </cell>
          <cell r="BW151">
            <v>0</v>
          </cell>
          <cell r="BX151">
            <v>0</v>
          </cell>
          <cell r="BY151">
            <v>0</v>
          </cell>
          <cell r="BZ151">
            <v>0</v>
          </cell>
          <cell r="CA151">
            <v>0</v>
          </cell>
          <cell r="CB151">
            <v>0</v>
          </cell>
          <cell r="CC151">
            <v>0</v>
          </cell>
          <cell r="CD151">
            <v>0</v>
          </cell>
          <cell r="CE151">
            <v>0</v>
          </cell>
          <cell r="CF151">
            <v>0</v>
          </cell>
          <cell r="CG151">
            <v>0</v>
          </cell>
          <cell r="CH151">
            <v>0</v>
          </cell>
          <cell r="CI151">
            <v>0</v>
          </cell>
          <cell r="CJ151">
            <v>0</v>
          </cell>
          <cell r="CK151">
            <v>0</v>
          </cell>
          <cell r="CL151">
            <v>0</v>
          </cell>
          <cell r="CM151">
            <v>0</v>
          </cell>
          <cell r="CN151">
            <v>0</v>
          </cell>
          <cell r="CO151">
            <v>0</v>
          </cell>
          <cell r="CP151">
            <v>0</v>
          </cell>
          <cell r="CQ151">
            <v>0</v>
          </cell>
          <cell r="CR151">
            <v>0</v>
          </cell>
          <cell r="CS151">
            <v>0</v>
          </cell>
          <cell r="CT151">
            <v>0</v>
          </cell>
          <cell r="CU151">
            <v>0</v>
          </cell>
          <cell r="CV151">
            <v>0</v>
          </cell>
          <cell r="CW151">
            <v>0</v>
          </cell>
          <cell r="CX151">
            <v>0</v>
          </cell>
          <cell r="CY151">
            <v>0</v>
          </cell>
          <cell r="CZ151">
            <v>0</v>
          </cell>
          <cell r="DA151">
            <v>0</v>
          </cell>
          <cell r="DB151">
            <v>0</v>
          </cell>
          <cell r="DC151">
            <v>0</v>
          </cell>
          <cell r="DD151">
            <v>0</v>
          </cell>
          <cell r="DE151">
            <v>0</v>
          </cell>
          <cell r="DF151">
            <v>0</v>
          </cell>
          <cell r="DG151">
            <v>0</v>
          </cell>
          <cell r="DH151">
            <v>0</v>
          </cell>
          <cell r="DI151">
            <v>0</v>
          </cell>
          <cell r="DJ151">
            <v>0</v>
          </cell>
          <cell r="DK151">
            <v>0</v>
          </cell>
          <cell r="DL151">
            <v>0</v>
          </cell>
          <cell r="DM151">
            <v>0</v>
          </cell>
          <cell r="DN151">
            <v>0</v>
          </cell>
          <cell r="DO151">
            <v>0</v>
          </cell>
          <cell r="DP151">
            <v>0</v>
          </cell>
          <cell r="DQ151">
            <v>0</v>
          </cell>
          <cell r="DR151">
            <v>0</v>
          </cell>
          <cell r="DS151">
            <v>0</v>
          </cell>
          <cell r="DT151">
            <v>0</v>
          </cell>
          <cell r="DU151">
            <v>0</v>
          </cell>
          <cell r="DV151">
            <v>0</v>
          </cell>
          <cell r="DW151">
            <v>0</v>
          </cell>
          <cell r="DX151">
            <v>0</v>
          </cell>
          <cell r="DY151">
            <v>0</v>
          </cell>
          <cell r="EA151">
            <v>0</v>
          </cell>
          <cell r="EB151">
            <v>0</v>
          </cell>
          <cell r="EC151">
            <v>0</v>
          </cell>
          <cell r="ED151">
            <v>0</v>
          </cell>
          <cell r="EE151">
            <v>0</v>
          </cell>
          <cell r="EF151">
            <v>0</v>
          </cell>
          <cell r="EG151">
            <v>0</v>
          </cell>
          <cell r="EH151">
            <v>0</v>
          </cell>
          <cell r="EI151">
            <v>0</v>
          </cell>
          <cell r="EJ151">
            <v>0</v>
          </cell>
          <cell r="EK151">
            <v>0</v>
          </cell>
          <cell r="EL151">
            <v>0</v>
          </cell>
          <cell r="EM151">
            <v>0</v>
          </cell>
          <cell r="EN151">
            <v>0</v>
          </cell>
          <cell r="EO151">
            <v>0</v>
          </cell>
          <cell r="EP151">
            <v>0</v>
          </cell>
          <cell r="EQ151">
            <v>0</v>
          </cell>
          <cell r="ER151">
            <v>0</v>
          </cell>
          <cell r="ES151">
            <v>0</v>
          </cell>
          <cell r="ET151">
            <v>0</v>
          </cell>
          <cell r="EU151">
            <v>0</v>
          </cell>
          <cell r="EV151">
            <v>0</v>
          </cell>
          <cell r="EW151">
            <v>0</v>
          </cell>
          <cell r="EX151">
            <v>0</v>
          </cell>
          <cell r="EY151">
            <v>0</v>
          </cell>
          <cell r="EZ151">
            <v>0</v>
          </cell>
          <cell r="FA151">
            <v>0</v>
          </cell>
          <cell r="FB151">
            <v>0</v>
          </cell>
          <cell r="FC151">
            <v>0</v>
          </cell>
          <cell r="FD151">
            <v>0</v>
          </cell>
          <cell r="FE151">
            <v>0</v>
          </cell>
          <cell r="FF151">
            <v>0</v>
          </cell>
          <cell r="FG151">
            <v>0</v>
          </cell>
          <cell r="FH151">
            <v>0</v>
          </cell>
          <cell r="FI151">
            <v>0</v>
          </cell>
          <cell r="FJ151">
            <v>0</v>
          </cell>
          <cell r="FK151">
            <v>0</v>
          </cell>
          <cell r="FL151">
            <v>0</v>
          </cell>
          <cell r="FM151">
            <v>0</v>
          </cell>
          <cell r="FN151">
            <v>0</v>
          </cell>
          <cell r="FO151">
            <v>0</v>
          </cell>
          <cell r="FP151">
            <v>0</v>
          </cell>
          <cell r="FQ151">
            <v>0</v>
          </cell>
          <cell r="FR151">
            <v>0</v>
          </cell>
          <cell r="FS151">
            <v>0</v>
          </cell>
          <cell r="FT151">
            <v>0</v>
          </cell>
          <cell r="FU151">
            <v>0</v>
          </cell>
          <cell r="FV151">
            <v>0</v>
          </cell>
          <cell r="FW151">
            <v>0</v>
          </cell>
          <cell r="FX151">
            <v>0</v>
          </cell>
          <cell r="FY151">
            <v>0</v>
          </cell>
          <cell r="FZ151">
            <v>0</v>
          </cell>
        </row>
        <row r="152">
          <cell r="B152">
            <v>0</v>
          </cell>
          <cell r="C152">
            <v>0</v>
          </cell>
          <cell r="D152">
            <v>0</v>
          </cell>
          <cell r="E152">
            <v>0</v>
          </cell>
          <cell r="F152">
            <v>0</v>
          </cell>
          <cell r="G152">
            <v>0</v>
          </cell>
          <cell r="H152">
            <v>0</v>
          </cell>
          <cell r="I152">
            <v>0</v>
          </cell>
          <cell r="J152">
            <v>0</v>
          </cell>
          <cell r="K152">
            <v>0</v>
          </cell>
          <cell r="L152">
            <v>0</v>
          </cell>
          <cell r="M152">
            <v>0</v>
          </cell>
          <cell r="N152">
            <v>0</v>
          </cell>
          <cell r="O152">
            <v>0</v>
          </cell>
          <cell r="P152">
            <v>0</v>
          </cell>
          <cell r="Q152">
            <v>0</v>
          </cell>
          <cell r="R152">
            <v>0</v>
          </cell>
          <cell r="S152">
            <v>0</v>
          </cell>
          <cell r="T152">
            <v>0</v>
          </cell>
          <cell r="U152">
            <v>0</v>
          </cell>
          <cell r="V152">
            <v>0</v>
          </cell>
          <cell r="W152">
            <v>0</v>
          </cell>
          <cell r="X152">
            <v>0</v>
          </cell>
          <cell r="Y152">
            <v>0</v>
          </cell>
          <cell r="Z152">
            <v>0</v>
          </cell>
          <cell r="AA152">
            <v>0</v>
          </cell>
          <cell r="AB152">
            <v>0</v>
          </cell>
          <cell r="AC152">
            <v>0</v>
          </cell>
          <cell r="AD152">
            <v>0</v>
          </cell>
          <cell r="AE152">
            <v>0</v>
          </cell>
          <cell r="AF152">
            <v>0</v>
          </cell>
          <cell r="AG152">
            <v>0</v>
          </cell>
          <cell r="AH152">
            <v>0</v>
          </cell>
          <cell r="AI152">
            <v>0</v>
          </cell>
          <cell r="AJ152">
            <v>0</v>
          </cell>
          <cell r="AK152">
            <v>0</v>
          </cell>
          <cell r="AL152">
            <v>0</v>
          </cell>
          <cell r="AM152">
            <v>0</v>
          </cell>
          <cell r="AN152">
            <v>0</v>
          </cell>
          <cell r="AO152">
            <v>0</v>
          </cell>
          <cell r="AP152">
            <v>0</v>
          </cell>
          <cell r="AQ152">
            <v>0</v>
          </cell>
          <cell r="AR152">
            <v>0</v>
          </cell>
          <cell r="AS152">
            <v>0</v>
          </cell>
          <cell r="AT152">
            <v>0</v>
          </cell>
          <cell r="AU152">
            <v>0</v>
          </cell>
          <cell r="AV152">
            <v>0</v>
          </cell>
          <cell r="AW152">
            <v>0</v>
          </cell>
          <cell r="AX152">
            <v>0</v>
          </cell>
          <cell r="AY152">
            <v>0</v>
          </cell>
          <cell r="AZ152">
            <v>0</v>
          </cell>
          <cell r="BA152">
            <v>0</v>
          </cell>
          <cell r="BB152">
            <v>0</v>
          </cell>
          <cell r="BC152">
            <v>0</v>
          </cell>
          <cell r="BD152">
            <v>0</v>
          </cell>
          <cell r="BE152">
            <v>0</v>
          </cell>
          <cell r="BF152">
            <v>0</v>
          </cell>
          <cell r="BG152">
            <v>0</v>
          </cell>
          <cell r="BH152">
            <v>0</v>
          </cell>
          <cell r="BI152">
            <v>0</v>
          </cell>
          <cell r="BJ152">
            <v>0</v>
          </cell>
          <cell r="BK152">
            <v>0</v>
          </cell>
          <cell r="BL152">
            <v>0</v>
          </cell>
          <cell r="BM152">
            <v>0</v>
          </cell>
          <cell r="BN152">
            <v>0</v>
          </cell>
          <cell r="BO152">
            <v>0</v>
          </cell>
          <cell r="BP152">
            <v>0</v>
          </cell>
          <cell r="BQ152">
            <v>0</v>
          </cell>
          <cell r="BR152">
            <v>0</v>
          </cell>
          <cell r="BS152">
            <v>0</v>
          </cell>
          <cell r="BT152">
            <v>0</v>
          </cell>
          <cell r="BU152">
            <v>0</v>
          </cell>
          <cell r="BV152">
            <v>0</v>
          </cell>
          <cell r="BW152">
            <v>0</v>
          </cell>
          <cell r="BX152">
            <v>0</v>
          </cell>
          <cell r="BY152">
            <v>0</v>
          </cell>
          <cell r="BZ152">
            <v>0</v>
          </cell>
          <cell r="CA152">
            <v>0</v>
          </cell>
          <cell r="CB152">
            <v>0</v>
          </cell>
          <cell r="CC152">
            <v>0</v>
          </cell>
          <cell r="CD152">
            <v>0</v>
          </cell>
          <cell r="CE152">
            <v>0</v>
          </cell>
          <cell r="CF152">
            <v>0</v>
          </cell>
          <cell r="CG152">
            <v>0</v>
          </cell>
          <cell r="CH152">
            <v>0</v>
          </cell>
          <cell r="CI152">
            <v>0</v>
          </cell>
          <cell r="CJ152">
            <v>0</v>
          </cell>
          <cell r="CK152">
            <v>0</v>
          </cell>
          <cell r="CL152">
            <v>0</v>
          </cell>
          <cell r="CM152">
            <v>0</v>
          </cell>
          <cell r="CN152">
            <v>0</v>
          </cell>
          <cell r="CO152">
            <v>0</v>
          </cell>
          <cell r="CP152">
            <v>0</v>
          </cell>
          <cell r="CQ152">
            <v>0</v>
          </cell>
          <cell r="CR152">
            <v>0</v>
          </cell>
          <cell r="CS152">
            <v>0</v>
          </cell>
          <cell r="CT152">
            <v>0</v>
          </cell>
          <cell r="CU152">
            <v>0</v>
          </cell>
          <cell r="CV152">
            <v>0</v>
          </cell>
          <cell r="CW152">
            <v>0</v>
          </cell>
          <cell r="CX152">
            <v>0</v>
          </cell>
          <cell r="CY152">
            <v>0</v>
          </cell>
          <cell r="CZ152">
            <v>0</v>
          </cell>
          <cell r="DA152">
            <v>0</v>
          </cell>
          <cell r="DB152">
            <v>0</v>
          </cell>
          <cell r="DC152">
            <v>0</v>
          </cell>
          <cell r="DD152">
            <v>0</v>
          </cell>
          <cell r="DE152">
            <v>0</v>
          </cell>
          <cell r="DF152">
            <v>0</v>
          </cell>
          <cell r="DG152">
            <v>0</v>
          </cell>
          <cell r="DH152">
            <v>0</v>
          </cell>
          <cell r="DI152">
            <v>0</v>
          </cell>
          <cell r="DJ152">
            <v>0</v>
          </cell>
          <cell r="DK152">
            <v>0</v>
          </cell>
          <cell r="DL152">
            <v>0</v>
          </cell>
          <cell r="DM152">
            <v>0</v>
          </cell>
          <cell r="DN152">
            <v>0</v>
          </cell>
          <cell r="DO152">
            <v>0</v>
          </cell>
          <cell r="DP152">
            <v>0</v>
          </cell>
          <cell r="DQ152">
            <v>0</v>
          </cell>
          <cell r="DR152">
            <v>0</v>
          </cell>
          <cell r="DS152">
            <v>0</v>
          </cell>
          <cell r="DT152">
            <v>0</v>
          </cell>
          <cell r="DU152">
            <v>0</v>
          </cell>
          <cell r="DV152">
            <v>0</v>
          </cell>
          <cell r="DW152">
            <v>0</v>
          </cell>
          <cell r="DX152">
            <v>0</v>
          </cell>
          <cell r="DY152">
            <v>0</v>
          </cell>
          <cell r="EA152">
            <v>0</v>
          </cell>
          <cell r="EB152">
            <v>0</v>
          </cell>
          <cell r="EC152">
            <v>0</v>
          </cell>
          <cell r="ED152">
            <v>0</v>
          </cell>
          <cell r="EE152">
            <v>0</v>
          </cell>
          <cell r="EF152">
            <v>0</v>
          </cell>
          <cell r="EG152">
            <v>0</v>
          </cell>
          <cell r="EH152">
            <v>0</v>
          </cell>
          <cell r="EI152">
            <v>0</v>
          </cell>
          <cell r="EJ152">
            <v>0</v>
          </cell>
          <cell r="EK152">
            <v>0</v>
          </cell>
          <cell r="EL152">
            <v>0</v>
          </cell>
          <cell r="EM152">
            <v>0</v>
          </cell>
          <cell r="EN152">
            <v>0</v>
          </cell>
          <cell r="EO152">
            <v>0</v>
          </cell>
          <cell r="EP152">
            <v>0</v>
          </cell>
          <cell r="EQ152">
            <v>0</v>
          </cell>
          <cell r="ER152">
            <v>0</v>
          </cell>
          <cell r="ES152">
            <v>0</v>
          </cell>
          <cell r="ET152">
            <v>0</v>
          </cell>
          <cell r="EU152">
            <v>0</v>
          </cell>
          <cell r="EV152">
            <v>0</v>
          </cell>
          <cell r="EW152">
            <v>0</v>
          </cell>
          <cell r="EX152">
            <v>0</v>
          </cell>
          <cell r="EY152">
            <v>0</v>
          </cell>
          <cell r="EZ152">
            <v>0</v>
          </cell>
          <cell r="FA152">
            <v>0</v>
          </cell>
          <cell r="FB152">
            <v>0</v>
          </cell>
          <cell r="FC152">
            <v>0</v>
          </cell>
          <cell r="FD152">
            <v>0</v>
          </cell>
          <cell r="FE152">
            <v>0</v>
          </cell>
          <cell r="FF152">
            <v>0</v>
          </cell>
          <cell r="FG152">
            <v>0</v>
          </cell>
          <cell r="FH152">
            <v>0</v>
          </cell>
          <cell r="FI152">
            <v>0</v>
          </cell>
          <cell r="FJ152">
            <v>0</v>
          </cell>
          <cell r="FK152">
            <v>0</v>
          </cell>
          <cell r="FL152">
            <v>0</v>
          </cell>
          <cell r="FM152">
            <v>0</v>
          </cell>
          <cell r="FN152">
            <v>0</v>
          </cell>
          <cell r="FO152">
            <v>0</v>
          </cell>
          <cell r="FP152">
            <v>0</v>
          </cell>
          <cell r="FQ152">
            <v>0</v>
          </cell>
          <cell r="FR152">
            <v>0</v>
          </cell>
          <cell r="FS152">
            <v>0</v>
          </cell>
          <cell r="FT152">
            <v>0</v>
          </cell>
          <cell r="FU152">
            <v>0</v>
          </cell>
          <cell r="FV152">
            <v>0</v>
          </cell>
          <cell r="FW152">
            <v>0</v>
          </cell>
          <cell r="FX152">
            <v>0</v>
          </cell>
          <cell r="FY152">
            <v>0</v>
          </cell>
          <cell r="FZ152">
            <v>0</v>
          </cell>
        </row>
        <row r="153">
          <cell r="B153">
            <v>0</v>
          </cell>
          <cell r="C153">
            <v>0</v>
          </cell>
          <cell r="D153">
            <v>0</v>
          </cell>
          <cell r="E153">
            <v>0</v>
          </cell>
          <cell r="F153">
            <v>0</v>
          </cell>
          <cell r="G153">
            <v>0</v>
          </cell>
          <cell r="H153">
            <v>0</v>
          </cell>
          <cell r="I153">
            <v>0</v>
          </cell>
          <cell r="J153">
            <v>0</v>
          </cell>
          <cell r="K153">
            <v>0</v>
          </cell>
          <cell r="L153">
            <v>0</v>
          </cell>
          <cell r="M153">
            <v>0</v>
          </cell>
          <cell r="N153">
            <v>0</v>
          </cell>
          <cell r="O153">
            <v>0</v>
          </cell>
          <cell r="P153">
            <v>0</v>
          </cell>
          <cell r="Q153">
            <v>0</v>
          </cell>
          <cell r="R153">
            <v>0</v>
          </cell>
          <cell r="S153">
            <v>0</v>
          </cell>
          <cell r="T153">
            <v>0</v>
          </cell>
          <cell r="U153">
            <v>0</v>
          </cell>
          <cell r="V153">
            <v>0</v>
          </cell>
          <cell r="W153">
            <v>0</v>
          </cell>
          <cell r="X153">
            <v>0</v>
          </cell>
          <cell r="Y153">
            <v>0</v>
          </cell>
          <cell r="Z153">
            <v>0</v>
          </cell>
          <cell r="AA153">
            <v>0</v>
          </cell>
          <cell r="AB153">
            <v>0</v>
          </cell>
          <cell r="AC153">
            <v>0</v>
          </cell>
          <cell r="AD153">
            <v>0</v>
          </cell>
          <cell r="AE153">
            <v>0</v>
          </cell>
          <cell r="AF153">
            <v>0</v>
          </cell>
          <cell r="AG153">
            <v>0</v>
          </cell>
          <cell r="AH153">
            <v>0</v>
          </cell>
          <cell r="AI153">
            <v>0</v>
          </cell>
          <cell r="AJ153">
            <v>0</v>
          </cell>
          <cell r="AK153">
            <v>0</v>
          </cell>
          <cell r="AL153">
            <v>0</v>
          </cell>
          <cell r="AM153">
            <v>0</v>
          </cell>
          <cell r="AN153">
            <v>0</v>
          </cell>
          <cell r="AO153">
            <v>0</v>
          </cell>
          <cell r="AP153">
            <v>0</v>
          </cell>
          <cell r="AQ153">
            <v>0</v>
          </cell>
          <cell r="AR153">
            <v>0</v>
          </cell>
          <cell r="AS153">
            <v>0</v>
          </cell>
          <cell r="AT153">
            <v>0</v>
          </cell>
          <cell r="AU153">
            <v>0</v>
          </cell>
          <cell r="AV153">
            <v>0</v>
          </cell>
          <cell r="AW153">
            <v>0</v>
          </cell>
          <cell r="AX153">
            <v>0</v>
          </cell>
          <cell r="AY153">
            <v>0</v>
          </cell>
          <cell r="AZ153">
            <v>0</v>
          </cell>
          <cell r="BA153">
            <v>0</v>
          </cell>
          <cell r="BB153">
            <v>0</v>
          </cell>
          <cell r="BC153">
            <v>0</v>
          </cell>
          <cell r="BD153">
            <v>0</v>
          </cell>
          <cell r="BE153">
            <v>0</v>
          </cell>
          <cell r="BF153">
            <v>0</v>
          </cell>
          <cell r="BG153">
            <v>0</v>
          </cell>
          <cell r="BH153">
            <v>0</v>
          </cell>
          <cell r="BI153">
            <v>0</v>
          </cell>
          <cell r="BJ153">
            <v>0</v>
          </cell>
          <cell r="BK153">
            <v>0</v>
          </cell>
          <cell r="BL153">
            <v>0</v>
          </cell>
          <cell r="BM153">
            <v>0</v>
          </cell>
          <cell r="BN153">
            <v>0</v>
          </cell>
          <cell r="BO153">
            <v>0</v>
          </cell>
          <cell r="BP153">
            <v>0</v>
          </cell>
          <cell r="BQ153">
            <v>0</v>
          </cell>
          <cell r="BR153">
            <v>0</v>
          </cell>
          <cell r="BS153">
            <v>0</v>
          </cell>
          <cell r="BT153">
            <v>0</v>
          </cell>
          <cell r="BU153">
            <v>0</v>
          </cell>
          <cell r="BV153">
            <v>0</v>
          </cell>
          <cell r="BW153">
            <v>0</v>
          </cell>
          <cell r="BX153">
            <v>0</v>
          </cell>
          <cell r="BY153">
            <v>0</v>
          </cell>
          <cell r="BZ153">
            <v>0</v>
          </cell>
          <cell r="CA153">
            <v>0</v>
          </cell>
          <cell r="CB153">
            <v>0</v>
          </cell>
          <cell r="CC153">
            <v>0</v>
          </cell>
          <cell r="CD153">
            <v>0</v>
          </cell>
          <cell r="CE153">
            <v>0</v>
          </cell>
          <cell r="CF153">
            <v>0</v>
          </cell>
          <cell r="CG153">
            <v>0</v>
          </cell>
          <cell r="CH153">
            <v>0</v>
          </cell>
          <cell r="CI153">
            <v>0</v>
          </cell>
          <cell r="CJ153">
            <v>0</v>
          </cell>
          <cell r="CK153">
            <v>0</v>
          </cell>
          <cell r="CL153">
            <v>0</v>
          </cell>
          <cell r="CM153">
            <v>0</v>
          </cell>
          <cell r="CN153">
            <v>0</v>
          </cell>
          <cell r="CO153">
            <v>0</v>
          </cell>
          <cell r="CP153">
            <v>0</v>
          </cell>
          <cell r="CQ153">
            <v>0</v>
          </cell>
          <cell r="CR153">
            <v>0</v>
          </cell>
          <cell r="CS153">
            <v>0</v>
          </cell>
          <cell r="CT153">
            <v>0</v>
          </cell>
          <cell r="CU153">
            <v>0</v>
          </cell>
          <cell r="CV153">
            <v>0</v>
          </cell>
          <cell r="CW153">
            <v>0</v>
          </cell>
          <cell r="CX153">
            <v>0</v>
          </cell>
          <cell r="CY153">
            <v>0</v>
          </cell>
          <cell r="CZ153">
            <v>0</v>
          </cell>
          <cell r="DA153">
            <v>0</v>
          </cell>
          <cell r="DB153">
            <v>0</v>
          </cell>
          <cell r="DC153">
            <v>0</v>
          </cell>
          <cell r="DD153">
            <v>0</v>
          </cell>
          <cell r="DE153">
            <v>0</v>
          </cell>
          <cell r="DF153">
            <v>0</v>
          </cell>
          <cell r="DG153">
            <v>0</v>
          </cell>
          <cell r="DH153">
            <v>0</v>
          </cell>
          <cell r="DI153">
            <v>0</v>
          </cell>
          <cell r="DJ153">
            <v>0</v>
          </cell>
          <cell r="DK153">
            <v>0</v>
          </cell>
          <cell r="DL153">
            <v>0</v>
          </cell>
          <cell r="DM153">
            <v>0</v>
          </cell>
          <cell r="DN153">
            <v>0</v>
          </cell>
          <cell r="DO153">
            <v>0</v>
          </cell>
          <cell r="DP153">
            <v>0</v>
          </cell>
          <cell r="DQ153">
            <v>0</v>
          </cell>
          <cell r="DR153">
            <v>0</v>
          </cell>
          <cell r="DS153">
            <v>0</v>
          </cell>
          <cell r="DT153">
            <v>0</v>
          </cell>
          <cell r="DU153">
            <v>0</v>
          </cell>
          <cell r="DV153">
            <v>0</v>
          </cell>
          <cell r="DW153">
            <v>0</v>
          </cell>
          <cell r="DX153">
            <v>0</v>
          </cell>
          <cell r="DY153">
            <v>0</v>
          </cell>
          <cell r="EA153">
            <v>0</v>
          </cell>
          <cell r="EB153">
            <v>0</v>
          </cell>
          <cell r="EC153">
            <v>0</v>
          </cell>
          <cell r="ED153">
            <v>0</v>
          </cell>
          <cell r="EE153">
            <v>0</v>
          </cell>
          <cell r="EF153">
            <v>0</v>
          </cell>
          <cell r="EG153">
            <v>0</v>
          </cell>
          <cell r="EH153">
            <v>0</v>
          </cell>
          <cell r="EI153">
            <v>0</v>
          </cell>
          <cell r="EJ153">
            <v>0</v>
          </cell>
          <cell r="EK153">
            <v>0</v>
          </cell>
          <cell r="EL153">
            <v>0</v>
          </cell>
          <cell r="EM153">
            <v>0</v>
          </cell>
          <cell r="EN153">
            <v>0</v>
          </cell>
          <cell r="EO153">
            <v>0</v>
          </cell>
          <cell r="EP153">
            <v>0</v>
          </cell>
          <cell r="EQ153">
            <v>0</v>
          </cell>
          <cell r="ER153">
            <v>0</v>
          </cell>
          <cell r="ES153">
            <v>0</v>
          </cell>
          <cell r="ET153">
            <v>0</v>
          </cell>
          <cell r="EU153">
            <v>0</v>
          </cell>
          <cell r="EV153">
            <v>0</v>
          </cell>
          <cell r="EW153">
            <v>0</v>
          </cell>
          <cell r="EX153">
            <v>0</v>
          </cell>
          <cell r="EY153">
            <v>0</v>
          </cell>
          <cell r="EZ153">
            <v>0</v>
          </cell>
          <cell r="FA153">
            <v>0</v>
          </cell>
          <cell r="FB153">
            <v>0</v>
          </cell>
          <cell r="FC153">
            <v>0</v>
          </cell>
          <cell r="FD153">
            <v>0</v>
          </cell>
          <cell r="FE153">
            <v>0</v>
          </cell>
          <cell r="FF153">
            <v>0</v>
          </cell>
          <cell r="FG153">
            <v>0</v>
          </cell>
          <cell r="FH153">
            <v>0</v>
          </cell>
          <cell r="FI153">
            <v>0</v>
          </cell>
          <cell r="FJ153">
            <v>0</v>
          </cell>
          <cell r="FK153">
            <v>0</v>
          </cell>
          <cell r="FL153">
            <v>0</v>
          </cell>
          <cell r="FM153">
            <v>0</v>
          </cell>
          <cell r="FN153">
            <v>0</v>
          </cell>
          <cell r="FO153">
            <v>0</v>
          </cell>
          <cell r="FP153">
            <v>0</v>
          </cell>
          <cell r="FQ153">
            <v>0</v>
          </cell>
          <cell r="FR153">
            <v>0</v>
          </cell>
          <cell r="FS153">
            <v>0</v>
          </cell>
          <cell r="FT153">
            <v>0</v>
          </cell>
          <cell r="FU153">
            <v>0</v>
          </cell>
          <cell r="FV153">
            <v>0</v>
          </cell>
          <cell r="FW153">
            <v>0</v>
          </cell>
          <cell r="FX153">
            <v>0</v>
          </cell>
          <cell r="FY153">
            <v>0</v>
          </cell>
          <cell r="FZ153">
            <v>0</v>
          </cell>
        </row>
        <row r="154">
          <cell r="B154">
            <v>0</v>
          </cell>
          <cell r="C154">
            <v>0</v>
          </cell>
          <cell r="D154">
            <v>0</v>
          </cell>
          <cell r="E154">
            <v>0</v>
          </cell>
          <cell r="F154">
            <v>0</v>
          </cell>
          <cell r="G154">
            <v>0</v>
          </cell>
          <cell r="H154">
            <v>0</v>
          </cell>
          <cell r="I154">
            <v>0</v>
          </cell>
          <cell r="J154">
            <v>0</v>
          </cell>
          <cell r="K154">
            <v>0</v>
          </cell>
          <cell r="L154">
            <v>0</v>
          </cell>
          <cell r="M154">
            <v>0</v>
          </cell>
          <cell r="N154">
            <v>0</v>
          </cell>
          <cell r="O154">
            <v>0</v>
          </cell>
          <cell r="P154">
            <v>0</v>
          </cell>
          <cell r="Q154">
            <v>0</v>
          </cell>
          <cell r="R154">
            <v>0</v>
          </cell>
          <cell r="S154">
            <v>0</v>
          </cell>
          <cell r="T154">
            <v>0</v>
          </cell>
          <cell r="U154">
            <v>0</v>
          </cell>
          <cell r="V154">
            <v>0</v>
          </cell>
          <cell r="W154">
            <v>0</v>
          </cell>
          <cell r="X154">
            <v>0</v>
          </cell>
          <cell r="Y154">
            <v>0</v>
          </cell>
          <cell r="Z154">
            <v>0</v>
          </cell>
          <cell r="AA154">
            <v>0</v>
          </cell>
          <cell r="AB154">
            <v>0</v>
          </cell>
          <cell r="AC154">
            <v>0</v>
          </cell>
          <cell r="AD154">
            <v>0</v>
          </cell>
          <cell r="AE154">
            <v>0</v>
          </cell>
          <cell r="AF154">
            <v>0</v>
          </cell>
          <cell r="AG154">
            <v>0</v>
          </cell>
          <cell r="AH154">
            <v>0</v>
          </cell>
          <cell r="AI154">
            <v>0</v>
          </cell>
          <cell r="AJ154">
            <v>0</v>
          </cell>
          <cell r="AK154">
            <v>0</v>
          </cell>
          <cell r="AL154">
            <v>0</v>
          </cell>
          <cell r="AM154">
            <v>0</v>
          </cell>
          <cell r="AN154">
            <v>0</v>
          </cell>
          <cell r="AO154">
            <v>0</v>
          </cell>
          <cell r="AP154">
            <v>0</v>
          </cell>
          <cell r="AQ154">
            <v>0</v>
          </cell>
          <cell r="AR154">
            <v>0</v>
          </cell>
          <cell r="AS154">
            <v>0</v>
          </cell>
          <cell r="AT154">
            <v>0</v>
          </cell>
          <cell r="AU154">
            <v>0</v>
          </cell>
          <cell r="AV154">
            <v>0</v>
          </cell>
          <cell r="AW154">
            <v>0</v>
          </cell>
          <cell r="AX154">
            <v>0</v>
          </cell>
          <cell r="AY154">
            <v>0</v>
          </cell>
          <cell r="AZ154">
            <v>0</v>
          </cell>
          <cell r="BA154">
            <v>0</v>
          </cell>
          <cell r="BB154">
            <v>0</v>
          </cell>
          <cell r="BC154">
            <v>0</v>
          </cell>
          <cell r="BD154">
            <v>0</v>
          </cell>
          <cell r="BE154">
            <v>0</v>
          </cell>
          <cell r="BF154">
            <v>0</v>
          </cell>
          <cell r="BG154">
            <v>0</v>
          </cell>
          <cell r="BH154">
            <v>0</v>
          </cell>
          <cell r="BI154">
            <v>0</v>
          </cell>
          <cell r="BJ154">
            <v>0</v>
          </cell>
          <cell r="BK154">
            <v>0</v>
          </cell>
          <cell r="BL154">
            <v>0</v>
          </cell>
          <cell r="BM154">
            <v>0</v>
          </cell>
          <cell r="BN154">
            <v>0</v>
          </cell>
          <cell r="BO154">
            <v>0</v>
          </cell>
          <cell r="BP154">
            <v>0</v>
          </cell>
          <cell r="BQ154">
            <v>0</v>
          </cell>
          <cell r="BR154">
            <v>0</v>
          </cell>
          <cell r="BS154">
            <v>0</v>
          </cell>
          <cell r="BT154">
            <v>0</v>
          </cell>
          <cell r="BU154">
            <v>0</v>
          </cell>
          <cell r="BV154">
            <v>0</v>
          </cell>
          <cell r="BW154">
            <v>0</v>
          </cell>
          <cell r="BX154">
            <v>0</v>
          </cell>
          <cell r="BY154">
            <v>0</v>
          </cell>
          <cell r="BZ154">
            <v>0</v>
          </cell>
          <cell r="CA154">
            <v>0</v>
          </cell>
          <cell r="CB154">
            <v>0</v>
          </cell>
          <cell r="CC154">
            <v>0</v>
          </cell>
          <cell r="CD154">
            <v>0</v>
          </cell>
          <cell r="CE154">
            <v>0</v>
          </cell>
          <cell r="CF154">
            <v>0</v>
          </cell>
          <cell r="CG154">
            <v>0</v>
          </cell>
          <cell r="CH154">
            <v>0</v>
          </cell>
          <cell r="CI154">
            <v>0</v>
          </cell>
          <cell r="CJ154">
            <v>0</v>
          </cell>
          <cell r="CK154">
            <v>0</v>
          </cell>
          <cell r="CL154">
            <v>0</v>
          </cell>
          <cell r="CM154">
            <v>0</v>
          </cell>
          <cell r="CN154">
            <v>0</v>
          </cell>
          <cell r="CO154">
            <v>0</v>
          </cell>
          <cell r="CP154">
            <v>0</v>
          </cell>
          <cell r="CQ154">
            <v>0</v>
          </cell>
          <cell r="CR154">
            <v>0</v>
          </cell>
          <cell r="CS154">
            <v>0</v>
          </cell>
          <cell r="CT154">
            <v>0</v>
          </cell>
          <cell r="CU154">
            <v>0</v>
          </cell>
          <cell r="CV154">
            <v>0</v>
          </cell>
          <cell r="CW154">
            <v>0</v>
          </cell>
          <cell r="CX154">
            <v>0</v>
          </cell>
          <cell r="CY154">
            <v>0</v>
          </cell>
          <cell r="CZ154">
            <v>0</v>
          </cell>
          <cell r="DA154">
            <v>0</v>
          </cell>
          <cell r="DB154">
            <v>0</v>
          </cell>
          <cell r="DC154">
            <v>0</v>
          </cell>
          <cell r="DD154">
            <v>0</v>
          </cell>
          <cell r="DE154">
            <v>0</v>
          </cell>
          <cell r="DF154">
            <v>0</v>
          </cell>
          <cell r="DG154">
            <v>0</v>
          </cell>
          <cell r="DH154">
            <v>0</v>
          </cell>
          <cell r="DI154">
            <v>0</v>
          </cell>
          <cell r="DJ154">
            <v>0</v>
          </cell>
          <cell r="DK154">
            <v>0</v>
          </cell>
          <cell r="DL154">
            <v>0</v>
          </cell>
          <cell r="DM154">
            <v>0</v>
          </cell>
          <cell r="DN154">
            <v>0</v>
          </cell>
          <cell r="DO154">
            <v>0</v>
          </cell>
          <cell r="DP154">
            <v>0</v>
          </cell>
          <cell r="DQ154">
            <v>0</v>
          </cell>
          <cell r="DR154">
            <v>0</v>
          </cell>
          <cell r="DS154">
            <v>0</v>
          </cell>
          <cell r="DT154">
            <v>0</v>
          </cell>
          <cell r="DU154">
            <v>0</v>
          </cell>
          <cell r="DV154">
            <v>0</v>
          </cell>
          <cell r="DW154">
            <v>0</v>
          </cell>
          <cell r="DX154">
            <v>0</v>
          </cell>
          <cell r="DY154">
            <v>0</v>
          </cell>
          <cell r="EA154">
            <v>0</v>
          </cell>
          <cell r="EB154">
            <v>0</v>
          </cell>
          <cell r="EC154">
            <v>0</v>
          </cell>
          <cell r="ED154">
            <v>0</v>
          </cell>
          <cell r="EE154">
            <v>0</v>
          </cell>
          <cell r="EF154">
            <v>0</v>
          </cell>
          <cell r="EG154">
            <v>0</v>
          </cell>
          <cell r="EH154">
            <v>0</v>
          </cell>
          <cell r="EI154">
            <v>0</v>
          </cell>
          <cell r="EJ154">
            <v>0</v>
          </cell>
          <cell r="EK154">
            <v>0</v>
          </cell>
          <cell r="EL154">
            <v>0</v>
          </cell>
          <cell r="EM154">
            <v>0</v>
          </cell>
          <cell r="EN154">
            <v>0</v>
          </cell>
          <cell r="EO154">
            <v>0</v>
          </cell>
          <cell r="EP154">
            <v>0</v>
          </cell>
          <cell r="EQ154">
            <v>0</v>
          </cell>
          <cell r="ER154">
            <v>0</v>
          </cell>
          <cell r="ES154">
            <v>0</v>
          </cell>
          <cell r="ET154">
            <v>0</v>
          </cell>
          <cell r="EU154">
            <v>0</v>
          </cell>
          <cell r="EV154">
            <v>0</v>
          </cell>
          <cell r="EW154">
            <v>0</v>
          </cell>
          <cell r="EX154">
            <v>0</v>
          </cell>
          <cell r="EY154">
            <v>0</v>
          </cell>
          <cell r="EZ154">
            <v>0</v>
          </cell>
          <cell r="FA154">
            <v>0</v>
          </cell>
          <cell r="FB154">
            <v>0</v>
          </cell>
          <cell r="FC154">
            <v>0</v>
          </cell>
          <cell r="FD154">
            <v>0</v>
          </cell>
          <cell r="FE154">
            <v>0</v>
          </cell>
          <cell r="FF154">
            <v>0</v>
          </cell>
          <cell r="FG154">
            <v>0</v>
          </cell>
          <cell r="FH154">
            <v>0</v>
          </cell>
          <cell r="FI154">
            <v>0</v>
          </cell>
          <cell r="FJ154">
            <v>0</v>
          </cell>
          <cell r="FK154">
            <v>0</v>
          </cell>
          <cell r="FL154">
            <v>0</v>
          </cell>
          <cell r="FM154">
            <v>0</v>
          </cell>
          <cell r="FN154">
            <v>0</v>
          </cell>
          <cell r="FO154">
            <v>0</v>
          </cell>
          <cell r="FP154">
            <v>0</v>
          </cell>
          <cell r="FQ154">
            <v>0</v>
          </cell>
          <cell r="FR154">
            <v>0</v>
          </cell>
          <cell r="FS154">
            <v>0</v>
          </cell>
          <cell r="FT154">
            <v>0</v>
          </cell>
          <cell r="FU154">
            <v>0</v>
          </cell>
          <cell r="FV154">
            <v>0</v>
          </cell>
          <cell r="FW154">
            <v>0</v>
          </cell>
          <cell r="FX154">
            <v>0</v>
          </cell>
          <cell r="FY154">
            <v>0</v>
          </cell>
          <cell r="FZ154">
            <v>0</v>
          </cell>
        </row>
        <row r="155">
          <cell r="B155">
            <v>0</v>
          </cell>
          <cell r="C155">
            <v>0</v>
          </cell>
          <cell r="D155">
            <v>0</v>
          </cell>
          <cell r="E155">
            <v>0</v>
          </cell>
          <cell r="F155">
            <v>0</v>
          </cell>
          <cell r="G155">
            <v>0</v>
          </cell>
          <cell r="H155">
            <v>0</v>
          </cell>
          <cell r="I155">
            <v>0</v>
          </cell>
          <cell r="J155">
            <v>0</v>
          </cell>
          <cell r="K155">
            <v>0</v>
          </cell>
          <cell r="L155">
            <v>0</v>
          </cell>
          <cell r="M155">
            <v>0</v>
          </cell>
          <cell r="N155">
            <v>0</v>
          </cell>
          <cell r="O155">
            <v>0</v>
          </cell>
          <cell r="P155">
            <v>0</v>
          </cell>
          <cell r="Q155">
            <v>0</v>
          </cell>
          <cell r="R155">
            <v>0</v>
          </cell>
          <cell r="S155">
            <v>0</v>
          </cell>
          <cell r="T155">
            <v>0</v>
          </cell>
          <cell r="U155">
            <v>0</v>
          </cell>
          <cell r="V155">
            <v>0</v>
          </cell>
          <cell r="W155">
            <v>0</v>
          </cell>
          <cell r="X155">
            <v>0</v>
          </cell>
          <cell r="Y155">
            <v>0</v>
          </cell>
          <cell r="Z155">
            <v>0</v>
          </cell>
          <cell r="AA155">
            <v>0</v>
          </cell>
          <cell r="AB155">
            <v>0</v>
          </cell>
          <cell r="AC155">
            <v>0</v>
          </cell>
          <cell r="AD155">
            <v>0</v>
          </cell>
          <cell r="AE155">
            <v>0</v>
          </cell>
          <cell r="AF155">
            <v>0</v>
          </cell>
          <cell r="AG155">
            <v>0</v>
          </cell>
          <cell r="AH155">
            <v>0</v>
          </cell>
          <cell r="AI155">
            <v>0</v>
          </cell>
          <cell r="AJ155">
            <v>0</v>
          </cell>
          <cell r="AK155">
            <v>0</v>
          </cell>
          <cell r="AL155">
            <v>0</v>
          </cell>
          <cell r="AM155">
            <v>0</v>
          </cell>
          <cell r="AN155">
            <v>0</v>
          </cell>
          <cell r="AO155">
            <v>0</v>
          </cell>
          <cell r="AP155">
            <v>0</v>
          </cell>
          <cell r="AQ155">
            <v>0</v>
          </cell>
          <cell r="AR155">
            <v>0</v>
          </cell>
          <cell r="AS155">
            <v>0</v>
          </cell>
          <cell r="AT155">
            <v>0</v>
          </cell>
          <cell r="AU155">
            <v>0</v>
          </cell>
          <cell r="AV155">
            <v>0</v>
          </cell>
          <cell r="AW155">
            <v>0</v>
          </cell>
          <cell r="AX155">
            <v>0</v>
          </cell>
          <cell r="AY155">
            <v>0</v>
          </cell>
          <cell r="AZ155">
            <v>0</v>
          </cell>
          <cell r="BA155">
            <v>0</v>
          </cell>
          <cell r="BB155">
            <v>0</v>
          </cell>
          <cell r="BC155">
            <v>0</v>
          </cell>
          <cell r="BD155">
            <v>0</v>
          </cell>
          <cell r="BE155">
            <v>0</v>
          </cell>
          <cell r="BF155">
            <v>0</v>
          </cell>
          <cell r="BG155">
            <v>0</v>
          </cell>
          <cell r="BH155">
            <v>0</v>
          </cell>
          <cell r="BI155">
            <v>0</v>
          </cell>
          <cell r="BJ155">
            <v>0</v>
          </cell>
          <cell r="BK155">
            <v>0</v>
          </cell>
          <cell r="BL155">
            <v>0</v>
          </cell>
          <cell r="BM155">
            <v>0</v>
          </cell>
          <cell r="BN155">
            <v>0</v>
          </cell>
          <cell r="BO155">
            <v>0</v>
          </cell>
          <cell r="BP155">
            <v>0</v>
          </cell>
          <cell r="BQ155">
            <v>0</v>
          </cell>
          <cell r="BR155">
            <v>0</v>
          </cell>
          <cell r="BS155">
            <v>0</v>
          </cell>
          <cell r="BT155">
            <v>0</v>
          </cell>
          <cell r="BU155">
            <v>0</v>
          </cell>
          <cell r="BV155">
            <v>0</v>
          </cell>
          <cell r="BW155">
            <v>0</v>
          </cell>
          <cell r="BX155">
            <v>0</v>
          </cell>
          <cell r="BY155">
            <v>0</v>
          </cell>
          <cell r="BZ155">
            <v>0</v>
          </cell>
          <cell r="CA155">
            <v>0</v>
          </cell>
          <cell r="CB155">
            <v>0</v>
          </cell>
          <cell r="CC155">
            <v>0</v>
          </cell>
          <cell r="CD155">
            <v>0</v>
          </cell>
          <cell r="CE155">
            <v>0</v>
          </cell>
          <cell r="CF155">
            <v>0</v>
          </cell>
          <cell r="CG155">
            <v>0</v>
          </cell>
          <cell r="CH155">
            <v>0</v>
          </cell>
          <cell r="CI155">
            <v>0</v>
          </cell>
          <cell r="CJ155">
            <v>0</v>
          </cell>
          <cell r="CK155">
            <v>0</v>
          </cell>
          <cell r="CL155">
            <v>0</v>
          </cell>
          <cell r="CM155">
            <v>0</v>
          </cell>
          <cell r="CN155">
            <v>0</v>
          </cell>
          <cell r="CO155">
            <v>0</v>
          </cell>
          <cell r="CP155">
            <v>0</v>
          </cell>
          <cell r="CQ155">
            <v>0</v>
          </cell>
          <cell r="CR155">
            <v>0</v>
          </cell>
          <cell r="CS155">
            <v>0</v>
          </cell>
          <cell r="CT155">
            <v>0</v>
          </cell>
          <cell r="CU155">
            <v>0</v>
          </cell>
          <cell r="CV155">
            <v>0</v>
          </cell>
          <cell r="CW155">
            <v>0</v>
          </cell>
          <cell r="CX155">
            <v>0</v>
          </cell>
          <cell r="CY155">
            <v>0</v>
          </cell>
          <cell r="CZ155">
            <v>0</v>
          </cell>
          <cell r="DA155">
            <v>0</v>
          </cell>
          <cell r="DB155">
            <v>0</v>
          </cell>
          <cell r="DC155">
            <v>0</v>
          </cell>
          <cell r="DD155">
            <v>0</v>
          </cell>
          <cell r="DE155">
            <v>0</v>
          </cell>
          <cell r="DF155">
            <v>0</v>
          </cell>
          <cell r="DG155">
            <v>0</v>
          </cell>
          <cell r="DH155">
            <v>0</v>
          </cell>
          <cell r="DI155">
            <v>0</v>
          </cell>
          <cell r="DJ155">
            <v>0</v>
          </cell>
          <cell r="DK155">
            <v>0</v>
          </cell>
          <cell r="DL155">
            <v>0</v>
          </cell>
          <cell r="DM155">
            <v>0</v>
          </cell>
          <cell r="DN155">
            <v>0</v>
          </cell>
          <cell r="DO155">
            <v>0</v>
          </cell>
          <cell r="DP155">
            <v>0</v>
          </cell>
          <cell r="DQ155">
            <v>0</v>
          </cell>
          <cell r="DR155">
            <v>0</v>
          </cell>
          <cell r="DS155">
            <v>0</v>
          </cell>
          <cell r="DT155">
            <v>0</v>
          </cell>
          <cell r="DU155">
            <v>0</v>
          </cell>
          <cell r="DV155">
            <v>0</v>
          </cell>
          <cell r="DW155">
            <v>0</v>
          </cell>
          <cell r="DX155">
            <v>0</v>
          </cell>
          <cell r="DY155">
            <v>0</v>
          </cell>
          <cell r="EA155">
            <v>0</v>
          </cell>
          <cell r="EB155">
            <v>0</v>
          </cell>
          <cell r="EC155">
            <v>0</v>
          </cell>
          <cell r="ED155">
            <v>0</v>
          </cell>
          <cell r="EE155">
            <v>0</v>
          </cell>
          <cell r="EF155">
            <v>0</v>
          </cell>
          <cell r="EG155">
            <v>0</v>
          </cell>
          <cell r="EH155">
            <v>0</v>
          </cell>
          <cell r="EI155">
            <v>0</v>
          </cell>
          <cell r="EJ155">
            <v>0</v>
          </cell>
          <cell r="EK155">
            <v>0</v>
          </cell>
          <cell r="EL155">
            <v>0</v>
          </cell>
          <cell r="EM155">
            <v>0</v>
          </cell>
          <cell r="EN155">
            <v>0</v>
          </cell>
          <cell r="EO155">
            <v>0</v>
          </cell>
          <cell r="EP155">
            <v>0</v>
          </cell>
          <cell r="EQ155">
            <v>0</v>
          </cell>
          <cell r="ER155">
            <v>0</v>
          </cell>
          <cell r="ES155">
            <v>0</v>
          </cell>
          <cell r="ET155">
            <v>0</v>
          </cell>
          <cell r="EU155">
            <v>0</v>
          </cell>
          <cell r="EV155">
            <v>0</v>
          </cell>
          <cell r="EW155">
            <v>0</v>
          </cell>
          <cell r="EX155">
            <v>0</v>
          </cell>
          <cell r="EY155">
            <v>0</v>
          </cell>
          <cell r="EZ155">
            <v>0</v>
          </cell>
          <cell r="FA155">
            <v>0</v>
          </cell>
          <cell r="FB155">
            <v>0</v>
          </cell>
          <cell r="FC155">
            <v>0</v>
          </cell>
          <cell r="FD155">
            <v>0</v>
          </cell>
          <cell r="FE155">
            <v>0</v>
          </cell>
          <cell r="FF155">
            <v>0</v>
          </cell>
          <cell r="FG155">
            <v>0</v>
          </cell>
          <cell r="FH155">
            <v>0</v>
          </cell>
          <cell r="FI155">
            <v>0</v>
          </cell>
          <cell r="FJ155">
            <v>0</v>
          </cell>
          <cell r="FK155">
            <v>0</v>
          </cell>
          <cell r="FL155">
            <v>0</v>
          </cell>
          <cell r="FM155">
            <v>0</v>
          </cell>
          <cell r="FN155">
            <v>0</v>
          </cell>
          <cell r="FO155">
            <v>0</v>
          </cell>
          <cell r="FP155">
            <v>0</v>
          </cell>
          <cell r="FQ155">
            <v>0</v>
          </cell>
          <cell r="FR155">
            <v>0</v>
          </cell>
          <cell r="FS155">
            <v>0</v>
          </cell>
          <cell r="FT155">
            <v>0</v>
          </cell>
          <cell r="FU155">
            <v>0</v>
          </cell>
          <cell r="FV155">
            <v>0</v>
          </cell>
          <cell r="FW155">
            <v>0</v>
          </cell>
          <cell r="FX155">
            <v>0</v>
          </cell>
          <cell r="FY155">
            <v>0</v>
          </cell>
          <cell r="FZ155">
            <v>0</v>
          </cell>
        </row>
        <row r="156">
          <cell r="B156">
            <v>0</v>
          </cell>
          <cell r="C156">
            <v>0</v>
          </cell>
          <cell r="D156">
            <v>0</v>
          </cell>
          <cell r="E156">
            <v>0</v>
          </cell>
          <cell r="F156">
            <v>0</v>
          </cell>
          <cell r="G156">
            <v>0</v>
          </cell>
          <cell r="H156">
            <v>0</v>
          </cell>
          <cell r="I156">
            <v>0</v>
          </cell>
          <cell r="J156">
            <v>0</v>
          </cell>
          <cell r="K156">
            <v>0</v>
          </cell>
          <cell r="L156">
            <v>0</v>
          </cell>
          <cell r="M156">
            <v>0</v>
          </cell>
          <cell r="N156">
            <v>0</v>
          </cell>
          <cell r="O156">
            <v>0</v>
          </cell>
          <cell r="P156">
            <v>0</v>
          </cell>
          <cell r="Q156">
            <v>0</v>
          </cell>
          <cell r="R156">
            <v>0</v>
          </cell>
          <cell r="S156">
            <v>0</v>
          </cell>
          <cell r="T156">
            <v>0</v>
          </cell>
          <cell r="U156">
            <v>0</v>
          </cell>
          <cell r="V156">
            <v>0</v>
          </cell>
          <cell r="W156">
            <v>0</v>
          </cell>
          <cell r="X156">
            <v>0</v>
          </cell>
          <cell r="Y156">
            <v>0</v>
          </cell>
          <cell r="Z156">
            <v>0</v>
          </cell>
          <cell r="AA156">
            <v>0</v>
          </cell>
          <cell r="AB156">
            <v>0</v>
          </cell>
          <cell r="AC156">
            <v>0</v>
          </cell>
          <cell r="AD156">
            <v>0</v>
          </cell>
          <cell r="AE156">
            <v>0</v>
          </cell>
          <cell r="AF156">
            <v>0</v>
          </cell>
          <cell r="AG156">
            <v>0</v>
          </cell>
          <cell r="AH156">
            <v>0</v>
          </cell>
          <cell r="AI156">
            <v>0</v>
          </cell>
          <cell r="AJ156">
            <v>0</v>
          </cell>
          <cell r="AK156">
            <v>0</v>
          </cell>
          <cell r="AL156">
            <v>0</v>
          </cell>
          <cell r="AM156">
            <v>0</v>
          </cell>
          <cell r="AN156">
            <v>0</v>
          </cell>
          <cell r="AO156">
            <v>0</v>
          </cell>
          <cell r="AP156">
            <v>0</v>
          </cell>
          <cell r="AQ156">
            <v>0</v>
          </cell>
          <cell r="AR156">
            <v>0</v>
          </cell>
          <cell r="AS156">
            <v>0</v>
          </cell>
          <cell r="AT156">
            <v>0</v>
          </cell>
          <cell r="AU156">
            <v>0</v>
          </cell>
          <cell r="AV156">
            <v>0</v>
          </cell>
          <cell r="AW156">
            <v>0</v>
          </cell>
          <cell r="AX156">
            <v>0</v>
          </cell>
          <cell r="AY156">
            <v>0</v>
          </cell>
          <cell r="AZ156">
            <v>0</v>
          </cell>
          <cell r="BA156">
            <v>0</v>
          </cell>
          <cell r="BB156">
            <v>0</v>
          </cell>
          <cell r="BC156">
            <v>0</v>
          </cell>
          <cell r="BD156">
            <v>0</v>
          </cell>
          <cell r="BE156">
            <v>0</v>
          </cell>
          <cell r="BF156">
            <v>0</v>
          </cell>
          <cell r="BG156">
            <v>0</v>
          </cell>
          <cell r="BH156">
            <v>0</v>
          </cell>
          <cell r="BI156">
            <v>0</v>
          </cell>
          <cell r="BJ156">
            <v>0</v>
          </cell>
          <cell r="BK156">
            <v>0</v>
          </cell>
          <cell r="BL156">
            <v>0</v>
          </cell>
          <cell r="BM156">
            <v>0</v>
          </cell>
          <cell r="BN156">
            <v>0</v>
          </cell>
          <cell r="BO156">
            <v>0</v>
          </cell>
          <cell r="BP156">
            <v>0</v>
          </cell>
          <cell r="BQ156">
            <v>0</v>
          </cell>
          <cell r="BR156">
            <v>0</v>
          </cell>
          <cell r="BS156">
            <v>0</v>
          </cell>
          <cell r="BT156">
            <v>0</v>
          </cell>
          <cell r="BU156">
            <v>0</v>
          </cell>
          <cell r="BV156">
            <v>0</v>
          </cell>
          <cell r="BW156">
            <v>0</v>
          </cell>
          <cell r="BX156">
            <v>0</v>
          </cell>
          <cell r="BY156">
            <v>0</v>
          </cell>
          <cell r="BZ156">
            <v>0</v>
          </cell>
          <cell r="CA156">
            <v>0</v>
          </cell>
          <cell r="CB156">
            <v>0</v>
          </cell>
          <cell r="CC156">
            <v>0</v>
          </cell>
          <cell r="CD156">
            <v>0</v>
          </cell>
          <cell r="CE156">
            <v>0</v>
          </cell>
          <cell r="CF156">
            <v>0</v>
          </cell>
          <cell r="CG156">
            <v>0</v>
          </cell>
          <cell r="CH156">
            <v>0</v>
          </cell>
          <cell r="CI156">
            <v>0</v>
          </cell>
          <cell r="CJ156">
            <v>0</v>
          </cell>
          <cell r="CK156">
            <v>0</v>
          </cell>
          <cell r="CL156">
            <v>0</v>
          </cell>
          <cell r="CM156">
            <v>0</v>
          </cell>
          <cell r="CN156">
            <v>0</v>
          </cell>
          <cell r="CO156">
            <v>0</v>
          </cell>
          <cell r="CP156">
            <v>0</v>
          </cell>
          <cell r="CQ156">
            <v>0</v>
          </cell>
          <cell r="CR156">
            <v>0</v>
          </cell>
          <cell r="CS156">
            <v>0</v>
          </cell>
          <cell r="CT156">
            <v>0</v>
          </cell>
          <cell r="CU156">
            <v>0</v>
          </cell>
          <cell r="CV156">
            <v>0</v>
          </cell>
          <cell r="CW156">
            <v>0</v>
          </cell>
          <cell r="CX156">
            <v>0</v>
          </cell>
          <cell r="CY156">
            <v>0</v>
          </cell>
          <cell r="CZ156">
            <v>0</v>
          </cell>
          <cell r="DA156">
            <v>0</v>
          </cell>
          <cell r="DB156">
            <v>0</v>
          </cell>
          <cell r="DC156">
            <v>0</v>
          </cell>
          <cell r="DD156">
            <v>0</v>
          </cell>
          <cell r="DE156">
            <v>0</v>
          </cell>
          <cell r="DF156">
            <v>0</v>
          </cell>
          <cell r="DG156">
            <v>0</v>
          </cell>
          <cell r="DH156">
            <v>0</v>
          </cell>
          <cell r="DI156">
            <v>0</v>
          </cell>
          <cell r="DJ156">
            <v>0</v>
          </cell>
          <cell r="DK156">
            <v>0</v>
          </cell>
          <cell r="DL156">
            <v>0</v>
          </cell>
          <cell r="DM156">
            <v>0</v>
          </cell>
          <cell r="DN156">
            <v>0</v>
          </cell>
          <cell r="DO156">
            <v>0</v>
          </cell>
          <cell r="DP156">
            <v>0</v>
          </cell>
          <cell r="DQ156">
            <v>0</v>
          </cell>
          <cell r="DR156">
            <v>0</v>
          </cell>
          <cell r="DS156">
            <v>0</v>
          </cell>
          <cell r="DT156">
            <v>0</v>
          </cell>
          <cell r="DU156">
            <v>0</v>
          </cell>
          <cell r="DV156">
            <v>0</v>
          </cell>
          <cell r="DW156">
            <v>0</v>
          </cell>
          <cell r="DX156">
            <v>0</v>
          </cell>
          <cell r="DY156">
            <v>0</v>
          </cell>
          <cell r="EA156">
            <v>0</v>
          </cell>
          <cell r="EB156">
            <v>0</v>
          </cell>
          <cell r="EC156">
            <v>0</v>
          </cell>
          <cell r="ED156">
            <v>0</v>
          </cell>
          <cell r="EE156">
            <v>0</v>
          </cell>
          <cell r="EF156">
            <v>0</v>
          </cell>
          <cell r="EG156">
            <v>0</v>
          </cell>
          <cell r="EH156">
            <v>0</v>
          </cell>
          <cell r="EI156">
            <v>0</v>
          </cell>
          <cell r="EJ156">
            <v>0</v>
          </cell>
          <cell r="EK156">
            <v>0</v>
          </cell>
          <cell r="EL156">
            <v>0</v>
          </cell>
          <cell r="EM156">
            <v>0</v>
          </cell>
          <cell r="EN156">
            <v>0</v>
          </cell>
          <cell r="EO156">
            <v>0</v>
          </cell>
          <cell r="EP156">
            <v>0</v>
          </cell>
          <cell r="EQ156">
            <v>0</v>
          </cell>
          <cell r="ER156">
            <v>0</v>
          </cell>
          <cell r="ES156">
            <v>0</v>
          </cell>
          <cell r="ET156">
            <v>0</v>
          </cell>
          <cell r="EU156">
            <v>0</v>
          </cell>
          <cell r="EV156">
            <v>0</v>
          </cell>
          <cell r="EW156">
            <v>0</v>
          </cell>
          <cell r="EX156">
            <v>0</v>
          </cell>
          <cell r="EY156">
            <v>0</v>
          </cell>
          <cell r="EZ156">
            <v>0</v>
          </cell>
          <cell r="FA156">
            <v>0</v>
          </cell>
          <cell r="FB156">
            <v>0</v>
          </cell>
          <cell r="FC156">
            <v>0</v>
          </cell>
          <cell r="FD156">
            <v>0</v>
          </cell>
          <cell r="FE156">
            <v>0</v>
          </cell>
          <cell r="FF156">
            <v>0</v>
          </cell>
          <cell r="FG156">
            <v>0</v>
          </cell>
          <cell r="FH156">
            <v>0</v>
          </cell>
          <cell r="FI156">
            <v>0</v>
          </cell>
          <cell r="FJ156">
            <v>0</v>
          </cell>
          <cell r="FK156">
            <v>0</v>
          </cell>
          <cell r="FL156">
            <v>0</v>
          </cell>
          <cell r="FM156">
            <v>0</v>
          </cell>
          <cell r="FN156">
            <v>0</v>
          </cell>
          <cell r="FO156">
            <v>0</v>
          </cell>
          <cell r="FP156">
            <v>0</v>
          </cell>
          <cell r="FQ156">
            <v>0</v>
          </cell>
          <cell r="FR156">
            <v>0</v>
          </cell>
          <cell r="FS156">
            <v>0</v>
          </cell>
          <cell r="FT156">
            <v>0</v>
          </cell>
          <cell r="FU156">
            <v>0</v>
          </cell>
          <cell r="FV156">
            <v>0</v>
          </cell>
          <cell r="FW156">
            <v>0</v>
          </cell>
          <cell r="FX156">
            <v>0</v>
          </cell>
          <cell r="FY156">
            <v>0</v>
          </cell>
          <cell r="FZ156">
            <v>0</v>
          </cell>
        </row>
        <row r="157">
          <cell r="B157">
            <v>0</v>
          </cell>
          <cell r="C157">
            <v>0</v>
          </cell>
          <cell r="D157">
            <v>0</v>
          </cell>
          <cell r="E157">
            <v>0</v>
          </cell>
          <cell r="F157">
            <v>0</v>
          </cell>
          <cell r="G157">
            <v>0</v>
          </cell>
          <cell r="H157">
            <v>0</v>
          </cell>
          <cell r="I157">
            <v>0</v>
          </cell>
          <cell r="J157">
            <v>0</v>
          </cell>
          <cell r="K157">
            <v>0</v>
          </cell>
          <cell r="L157">
            <v>0</v>
          </cell>
          <cell r="M157">
            <v>0</v>
          </cell>
          <cell r="N157">
            <v>0</v>
          </cell>
          <cell r="O157">
            <v>0</v>
          </cell>
          <cell r="P157">
            <v>0</v>
          </cell>
          <cell r="Q157">
            <v>0</v>
          </cell>
          <cell r="R157">
            <v>0</v>
          </cell>
          <cell r="S157">
            <v>0</v>
          </cell>
          <cell r="T157">
            <v>0</v>
          </cell>
          <cell r="U157">
            <v>0</v>
          </cell>
          <cell r="V157">
            <v>0</v>
          </cell>
          <cell r="W157">
            <v>0</v>
          </cell>
          <cell r="X157">
            <v>0</v>
          </cell>
          <cell r="Y157">
            <v>0</v>
          </cell>
          <cell r="Z157">
            <v>0</v>
          </cell>
          <cell r="AA157">
            <v>0</v>
          </cell>
          <cell r="AB157">
            <v>0</v>
          </cell>
          <cell r="AC157">
            <v>0</v>
          </cell>
          <cell r="AD157">
            <v>0</v>
          </cell>
          <cell r="AE157">
            <v>0</v>
          </cell>
          <cell r="AF157">
            <v>0</v>
          </cell>
          <cell r="AG157">
            <v>0</v>
          </cell>
          <cell r="AH157">
            <v>0</v>
          </cell>
          <cell r="AI157">
            <v>0</v>
          </cell>
          <cell r="AJ157">
            <v>0</v>
          </cell>
          <cell r="AK157">
            <v>0</v>
          </cell>
          <cell r="AL157">
            <v>0</v>
          </cell>
          <cell r="AM157">
            <v>0</v>
          </cell>
          <cell r="AN157">
            <v>0</v>
          </cell>
          <cell r="AO157">
            <v>0</v>
          </cell>
          <cell r="AP157">
            <v>0</v>
          </cell>
          <cell r="AQ157">
            <v>0</v>
          </cell>
          <cell r="AR157">
            <v>0</v>
          </cell>
          <cell r="AS157">
            <v>0</v>
          </cell>
          <cell r="AT157">
            <v>0</v>
          </cell>
          <cell r="AU157">
            <v>0</v>
          </cell>
          <cell r="AV157">
            <v>0</v>
          </cell>
          <cell r="AW157">
            <v>0</v>
          </cell>
          <cell r="AX157">
            <v>0</v>
          </cell>
          <cell r="AY157">
            <v>0</v>
          </cell>
          <cell r="AZ157">
            <v>0</v>
          </cell>
          <cell r="BA157">
            <v>0</v>
          </cell>
          <cell r="BB157">
            <v>0</v>
          </cell>
          <cell r="BC157">
            <v>0</v>
          </cell>
          <cell r="BD157">
            <v>0</v>
          </cell>
          <cell r="BE157">
            <v>0</v>
          </cell>
          <cell r="BF157">
            <v>0</v>
          </cell>
          <cell r="BG157">
            <v>0</v>
          </cell>
          <cell r="BH157">
            <v>0</v>
          </cell>
          <cell r="BI157">
            <v>0</v>
          </cell>
          <cell r="BJ157">
            <v>0</v>
          </cell>
          <cell r="BK157">
            <v>0</v>
          </cell>
          <cell r="BL157">
            <v>0</v>
          </cell>
          <cell r="BM157">
            <v>0</v>
          </cell>
          <cell r="BN157">
            <v>0</v>
          </cell>
          <cell r="BO157">
            <v>0</v>
          </cell>
          <cell r="BP157">
            <v>0</v>
          </cell>
          <cell r="BQ157">
            <v>0</v>
          </cell>
          <cell r="BR157">
            <v>0</v>
          </cell>
          <cell r="BS157">
            <v>0</v>
          </cell>
          <cell r="BT157">
            <v>0</v>
          </cell>
          <cell r="BU157">
            <v>0</v>
          </cell>
          <cell r="BV157">
            <v>0</v>
          </cell>
          <cell r="BW157">
            <v>0</v>
          </cell>
          <cell r="BX157">
            <v>0</v>
          </cell>
          <cell r="BY157">
            <v>0</v>
          </cell>
          <cell r="BZ157">
            <v>0</v>
          </cell>
          <cell r="CA157">
            <v>0</v>
          </cell>
          <cell r="CB157">
            <v>0</v>
          </cell>
          <cell r="CC157">
            <v>0</v>
          </cell>
          <cell r="CD157">
            <v>0</v>
          </cell>
          <cell r="CE157">
            <v>0</v>
          </cell>
          <cell r="CF157">
            <v>0</v>
          </cell>
          <cell r="CG157">
            <v>0</v>
          </cell>
          <cell r="CH157">
            <v>0</v>
          </cell>
          <cell r="CI157">
            <v>0</v>
          </cell>
          <cell r="CJ157">
            <v>0</v>
          </cell>
          <cell r="CK157">
            <v>0</v>
          </cell>
          <cell r="CL157">
            <v>0</v>
          </cell>
          <cell r="CM157">
            <v>0</v>
          </cell>
          <cell r="CN157">
            <v>0</v>
          </cell>
          <cell r="CO157">
            <v>0</v>
          </cell>
          <cell r="CP157">
            <v>0</v>
          </cell>
          <cell r="CQ157">
            <v>0</v>
          </cell>
          <cell r="CR157">
            <v>0</v>
          </cell>
          <cell r="CS157">
            <v>0</v>
          </cell>
          <cell r="CT157">
            <v>0</v>
          </cell>
          <cell r="CU157">
            <v>0</v>
          </cell>
          <cell r="CV157">
            <v>0</v>
          </cell>
          <cell r="CW157">
            <v>0</v>
          </cell>
          <cell r="CX157">
            <v>0</v>
          </cell>
          <cell r="CY157">
            <v>0</v>
          </cell>
          <cell r="CZ157">
            <v>0</v>
          </cell>
          <cell r="DA157">
            <v>0</v>
          </cell>
          <cell r="DB157">
            <v>0</v>
          </cell>
          <cell r="DC157">
            <v>0</v>
          </cell>
          <cell r="DD157">
            <v>0</v>
          </cell>
          <cell r="DE157">
            <v>0</v>
          </cell>
          <cell r="DF157">
            <v>0</v>
          </cell>
          <cell r="DG157">
            <v>0</v>
          </cell>
          <cell r="DH157">
            <v>0</v>
          </cell>
          <cell r="DI157">
            <v>0</v>
          </cell>
          <cell r="DJ157">
            <v>0</v>
          </cell>
          <cell r="DK157">
            <v>0</v>
          </cell>
          <cell r="DL157">
            <v>0</v>
          </cell>
          <cell r="DM157">
            <v>0</v>
          </cell>
          <cell r="DN157">
            <v>0</v>
          </cell>
          <cell r="DO157">
            <v>0</v>
          </cell>
          <cell r="DP157">
            <v>0</v>
          </cell>
          <cell r="DQ157">
            <v>0</v>
          </cell>
          <cell r="DR157">
            <v>0</v>
          </cell>
          <cell r="DS157">
            <v>0</v>
          </cell>
          <cell r="DT157">
            <v>0</v>
          </cell>
          <cell r="DU157">
            <v>0</v>
          </cell>
          <cell r="DV157">
            <v>0</v>
          </cell>
          <cell r="DW157">
            <v>0</v>
          </cell>
          <cell r="DX157">
            <v>0</v>
          </cell>
          <cell r="DY157">
            <v>0</v>
          </cell>
          <cell r="EA157">
            <v>0</v>
          </cell>
          <cell r="EB157">
            <v>0</v>
          </cell>
          <cell r="EC157">
            <v>0</v>
          </cell>
          <cell r="ED157">
            <v>0</v>
          </cell>
          <cell r="EE157">
            <v>0</v>
          </cell>
          <cell r="EF157">
            <v>0</v>
          </cell>
          <cell r="EG157">
            <v>0</v>
          </cell>
          <cell r="EH157">
            <v>0</v>
          </cell>
          <cell r="EI157">
            <v>0</v>
          </cell>
          <cell r="EJ157">
            <v>0</v>
          </cell>
          <cell r="EK157">
            <v>0</v>
          </cell>
          <cell r="EL157">
            <v>0</v>
          </cell>
          <cell r="EM157">
            <v>0</v>
          </cell>
          <cell r="EN157">
            <v>0</v>
          </cell>
          <cell r="EO157">
            <v>0</v>
          </cell>
          <cell r="EP157">
            <v>0</v>
          </cell>
          <cell r="EQ157">
            <v>0</v>
          </cell>
          <cell r="ER157">
            <v>0</v>
          </cell>
          <cell r="ES157">
            <v>0</v>
          </cell>
          <cell r="ET157">
            <v>0</v>
          </cell>
          <cell r="EU157">
            <v>0</v>
          </cell>
          <cell r="EV157">
            <v>0</v>
          </cell>
          <cell r="EW157">
            <v>0</v>
          </cell>
          <cell r="EX157">
            <v>0</v>
          </cell>
          <cell r="EY157">
            <v>0</v>
          </cell>
          <cell r="EZ157">
            <v>0</v>
          </cell>
          <cell r="FA157">
            <v>0</v>
          </cell>
          <cell r="FB157">
            <v>0</v>
          </cell>
          <cell r="FC157">
            <v>0</v>
          </cell>
          <cell r="FD157">
            <v>0</v>
          </cell>
          <cell r="FE157">
            <v>0</v>
          </cell>
          <cell r="FF157">
            <v>0</v>
          </cell>
          <cell r="FG157">
            <v>0</v>
          </cell>
          <cell r="FH157">
            <v>0</v>
          </cell>
          <cell r="FI157">
            <v>0</v>
          </cell>
          <cell r="FJ157">
            <v>0</v>
          </cell>
          <cell r="FK157">
            <v>0</v>
          </cell>
          <cell r="FL157">
            <v>0</v>
          </cell>
          <cell r="FM157">
            <v>0</v>
          </cell>
          <cell r="FN157">
            <v>0</v>
          </cell>
          <cell r="FO157">
            <v>0</v>
          </cell>
          <cell r="FP157">
            <v>0</v>
          </cell>
          <cell r="FQ157">
            <v>0</v>
          </cell>
          <cell r="FR157">
            <v>0</v>
          </cell>
          <cell r="FS157">
            <v>0</v>
          </cell>
          <cell r="FT157">
            <v>0</v>
          </cell>
          <cell r="FU157">
            <v>0</v>
          </cell>
          <cell r="FV157">
            <v>0</v>
          </cell>
          <cell r="FW157">
            <v>0</v>
          </cell>
          <cell r="FX157">
            <v>0</v>
          </cell>
          <cell r="FY157">
            <v>0</v>
          </cell>
          <cell r="FZ157">
            <v>0</v>
          </cell>
        </row>
        <row r="158">
          <cell r="B158">
            <v>0</v>
          </cell>
          <cell r="C158">
            <v>0</v>
          </cell>
          <cell r="D158">
            <v>0</v>
          </cell>
          <cell r="E158">
            <v>0</v>
          </cell>
          <cell r="F158">
            <v>0</v>
          </cell>
          <cell r="G158">
            <v>0</v>
          </cell>
          <cell r="H158">
            <v>0</v>
          </cell>
          <cell r="I158">
            <v>0</v>
          </cell>
          <cell r="J158">
            <v>0</v>
          </cell>
          <cell r="K158">
            <v>0</v>
          </cell>
          <cell r="L158">
            <v>0</v>
          </cell>
          <cell r="M158">
            <v>0</v>
          </cell>
          <cell r="N158">
            <v>0</v>
          </cell>
          <cell r="O158">
            <v>0</v>
          </cell>
          <cell r="P158">
            <v>0</v>
          </cell>
          <cell r="Q158">
            <v>0</v>
          </cell>
          <cell r="R158">
            <v>0</v>
          </cell>
          <cell r="S158">
            <v>0</v>
          </cell>
          <cell r="T158">
            <v>0</v>
          </cell>
          <cell r="U158">
            <v>0</v>
          </cell>
          <cell r="V158">
            <v>0</v>
          </cell>
          <cell r="W158">
            <v>0</v>
          </cell>
          <cell r="X158">
            <v>0</v>
          </cell>
          <cell r="Y158">
            <v>0</v>
          </cell>
          <cell r="Z158">
            <v>0</v>
          </cell>
          <cell r="AA158">
            <v>0</v>
          </cell>
          <cell r="AB158">
            <v>0</v>
          </cell>
          <cell r="AC158">
            <v>0</v>
          </cell>
          <cell r="AD158">
            <v>0</v>
          </cell>
          <cell r="AE158">
            <v>0</v>
          </cell>
          <cell r="AF158">
            <v>0</v>
          </cell>
          <cell r="AG158">
            <v>0</v>
          </cell>
          <cell r="AH158">
            <v>0</v>
          </cell>
          <cell r="AI158">
            <v>0</v>
          </cell>
          <cell r="AJ158">
            <v>0</v>
          </cell>
          <cell r="AK158">
            <v>0</v>
          </cell>
          <cell r="AL158">
            <v>0</v>
          </cell>
          <cell r="AM158">
            <v>0</v>
          </cell>
          <cell r="AN158">
            <v>0</v>
          </cell>
          <cell r="AO158">
            <v>0</v>
          </cell>
          <cell r="AP158">
            <v>0</v>
          </cell>
          <cell r="AQ158">
            <v>0</v>
          </cell>
          <cell r="AR158">
            <v>0</v>
          </cell>
          <cell r="AS158">
            <v>0</v>
          </cell>
          <cell r="AT158">
            <v>0</v>
          </cell>
          <cell r="AU158">
            <v>0</v>
          </cell>
          <cell r="AV158">
            <v>0</v>
          </cell>
          <cell r="AW158">
            <v>0</v>
          </cell>
          <cell r="AX158">
            <v>0</v>
          </cell>
          <cell r="AY158">
            <v>0</v>
          </cell>
          <cell r="AZ158">
            <v>0</v>
          </cell>
          <cell r="BA158">
            <v>0</v>
          </cell>
          <cell r="BB158">
            <v>0</v>
          </cell>
          <cell r="BC158">
            <v>0</v>
          </cell>
          <cell r="BD158">
            <v>0</v>
          </cell>
          <cell r="BE158">
            <v>0</v>
          </cell>
          <cell r="BF158">
            <v>0</v>
          </cell>
          <cell r="BG158">
            <v>0</v>
          </cell>
          <cell r="BH158">
            <v>0</v>
          </cell>
          <cell r="BI158">
            <v>0</v>
          </cell>
          <cell r="BJ158">
            <v>0</v>
          </cell>
          <cell r="BK158">
            <v>0</v>
          </cell>
          <cell r="BL158">
            <v>0</v>
          </cell>
          <cell r="BM158">
            <v>0</v>
          </cell>
          <cell r="BN158">
            <v>0</v>
          </cell>
          <cell r="BO158">
            <v>0</v>
          </cell>
          <cell r="BP158">
            <v>0</v>
          </cell>
          <cell r="BQ158">
            <v>0</v>
          </cell>
          <cell r="BR158">
            <v>0</v>
          </cell>
          <cell r="BS158">
            <v>0</v>
          </cell>
          <cell r="BT158">
            <v>0</v>
          </cell>
          <cell r="BU158">
            <v>0</v>
          </cell>
          <cell r="BV158">
            <v>0</v>
          </cell>
          <cell r="BW158">
            <v>0</v>
          </cell>
          <cell r="BX158">
            <v>0</v>
          </cell>
          <cell r="BY158">
            <v>0</v>
          </cell>
          <cell r="BZ158">
            <v>0</v>
          </cell>
          <cell r="CA158">
            <v>0</v>
          </cell>
          <cell r="CB158">
            <v>0</v>
          </cell>
          <cell r="CC158">
            <v>0</v>
          </cell>
          <cell r="CD158">
            <v>0</v>
          </cell>
          <cell r="CE158">
            <v>0</v>
          </cell>
          <cell r="CF158">
            <v>0</v>
          </cell>
          <cell r="CG158">
            <v>0</v>
          </cell>
          <cell r="CH158">
            <v>0</v>
          </cell>
          <cell r="CI158">
            <v>0</v>
          </cell>
          <cell r="CJ158">
            <v>0</v>
          </cell>
          <cell r="CK158">
            <v>0</v>
          </cell>
          <cell r="CL158">
            <v>0</v>
          </cell>
          <cell r="CM158">
            <v>0</v>
          </cell>
          <cell r="CN158">
            <v>0</v>
          </cell>
          <cell r="CO158">
            <v>0</v>
          </cell>
          <cell r="CP158">
            <v>0</v>
          </cell>
          <cell r="CQ158">
            <v>0</v>
          </cell>
          <cell r="CR158">
            <v>0</v>
          </cell>
          <cell r="CS158">
            <v>0</v>
          </cell>
          <cell r="CT158">
            <v>0</v>
          </cell>
          <cell r="CU158">
            <v>0</v>
          </cell>
          <cell r="CV158">
            <v>0</v>
          </cell>
          <cell r="CW158">
            <v>0</v>
          </cell>
          <cell r="CX158">
            <v>0</v>
          </cell>
          <cell r="CY158">
            <v>0</v>
          </cell>
          <cell r="CZ158">
            <v>0</v>
          </cell>
          <cell r="DA158">
            <v>0</v>
          </cell>
          <cell r="DB158">
            <v>0</v>
          </cell>
          <cell r="DC158">
            <v>0</v>
          </cell>
          <cell r="DD158">
            <v>0</v>
          </cell>
          <cell r="DE158">
            <v>0</v>
          </cell>
          <cell r="DF158">
            <v>0</v>
          </cell>
          <cell r="DG158">
            <v>0</v>
          </cell>
          <cell r="DH158">
            <v>0</v>
          </cell>
          <cell r="DI158">
            <v>0</v>
          </cell>
          <cell r="DJ158">
            <v>0</v>
          </cell>
          <cell r="DK158">
            <v>0</v>
          </cell>
          <cell r="DL158">
            <v>0</v>
          </cell>
          <cell r="DM158">
            <v>0</v>
          </cell>
          <cell r="DN158">
            <v>0</v>
          </cell>
          <cell r="DO158">
            <v>0</v>
          </cell>
          <cell r="DP158">
            <v>0</v>
          </cell>
          <cell r="DQ158">
            <v>0</v>
          </cell>
          <cell r="DR158">
            <v>0</v>
          </cell>
          <cell r="DS158">
            <v>0</v>
          </cell>
          <cell r="DT158">
            <v>0</v>
          </cell>
          <cell r="DU158">
            <v>0</v>
          </cell>
          <cell r="DV158">
            <v>0</v>
          </cell>
          <cell r="DW158">
            <v>0</v>
          </cell>
          <cell r="DX158">
            <v>0</v>
          </cell>
          <cell r="DY158">
            <v>0</v>
          </cell>
          <cell r="EA158">
            <v>0</v>
          </cell>
          <cell r="EB158">
            <v>0</v>
          </cell>
          <cell r="EC158">
            <v>0</v>
          </cell>
          <cell r="ED158">
            <v>0</v>
          </cell>
          <cell r="EE158">
            <v>0</v>
          </cell>
          <cell r="EF158">
            <v>0</v>
          </cell>
          <cell r="EG158">
            <v>0</v>
          </cell>
          <cell r="EH158">
            <v>0</v>
          </cell>
          <cell r="EI158">
            <v>0</v>
          </cell>
          <cell r="EJ158">
            <v>0</v>
          </cell>
          <cell r="EK158">
            <v>0</v>
          </cell>
          <cell r="EL158">
            <v>0</v>
          </cell>
          <cell r="EM158">
            <v>0</v>
          </cell>
          <cell r="EN158">
            <v>0</v>
          </cell>
          <cell r="EO158">
            <v>0</v>
          </cell>
          <cell r="EP158">
            <v>0</v>
          </cell>
          <cell r="EQ158">
            <v>0</v>
          </cell>
          <cell r="ER158">
            <v>0</v>
          </cell>
          <cell r="ES158">
            <v>0</v>
          </cell>
          <cell r="ET158">
            <v>0</v>
          </cell>
          <cell r="EU158">
            <v>0</v>
          </cell>
          <cell r="EV158">
            <v>0</v>
          </cell>
          <cell r="EW158">
            <v>0</v>
          </cell>
          <cell r="EX158">
            <v>0</v>
          </cell>
          <cell r="EY158">
            <v>0</v>
          </cell>
          <cell r="EZ158">
            <v>0</v>
          </cell>
          <cell r="FA158">
            <v>0</v>
          </cell>
          <cell r="FB158">
            <v>0</v>
          </cell>
          <cell r="FC158">
            <v>0</v>
          </cell>
          <cell r="FD158">
            <v>0</v>
          </cell>
          <cell r="FE158">
            <v>0</v>
          </cell>
          <cell r="FF158">
            <v>0</v>
          </cell>
          <cell r="FG158">
            <v>0</v>
          </cell>
          <cell r="FH158">
            <v>0</v>
          </cell>
          <cell r="FI158">
            <v>0</v>
          </cell>
          <cell r="FJ158">
            <v>0</v>
          </cell>
          <cell r="FK158">
            <v>0</v>
          </cell>
          <cell r="FL158">
            <v>0</v>
          </cell>
          <cell r="FM158">
            <v>0</v>
          </cell>
          <cell r="FN158">
            <v>0</v>
          </cell>
          <cell r="FO158">
            <v>0</v>
          </cell>
          <cell r="FP158">
            <v>0</v>
          </cell>
          <cell r="FQ158">
            <v>0</v>
          </cell>
          <cell r="FR158">
            <v>0</v>
          </cell>
          <cell r="FS158">
            <v>0</v>
          </cell>
          <cell r="FT158">
            <v>0</v>
          </cell>
          <cell r="FU158">
            <v>0</v>
          </cell>
          <cell r="FV158">
            <v>0</v>
          </cell>
          <cell r="FW158">
            <v>0</v>
          </cell>
          <cell r="FX158">
            <v>0</v>
          </cell>
          <cell r="FY158">
            <v>0</v>
          </cell>
          <cell r="FZ158">
            <v>0</v>
          </cell>
        </row>
        <row r="159">
          <cell r="B159">
            <v>0</v>
          </cell>
          <cell r="C159">
            <v>0</v>
          </cell>
          <cell r="D159">
            <v>0</v>
          </cell>
          <cell r="E159">
            <v>0</v>
          </cell>
          <cell r="F159">
            <v>0</v>
          </cell>
          <cell r="G159">
            <v>0</v>
          </cell>
          <cell r="H159">
            <v>0</v>
          </cell>
          <cell r="I159">
            <v>0</v>
          </cell>
          <cell r="J159">
            <v>0</v>
          </cell>
          <cell r="K159">
            <v>0</v>
          </cell>
          <cell r="L159">
            <v>0</v>
          </cell>
          <cell r="M159">
            <v>0</v>
          </cell>
          <cell r="N159">
            <v>0</v>
          </cell>
          <cell r="O159">
            <v>0</v>
          </cell>
          <cell r="P159">
            <v>0</v>
          </cell>
          <cell r="Q159">
            <v>0</v>
          </cell>
          <cell r="R159">
            <v>0</v>
          </cell>
          <cell r="S159">
            <v>0</v>
          </cell>
          <cell r="T159">
            <v>0</v>
          </cell>
          <cell r="U159">
            <v>0</v>
          </cell>
          <cell r="V159">
            <v>0</v>
          </cell>
          <cell r="W159">
            <v>0</v>
          </cell>
          <cell r="X159">
            <v>0</v>
          </cell>
          <cell r="Y159">
            <v>0</v>
          </cell>
          <cell r="Z159">
            <v>0</v>
          </cell>
          <cell r="AA159">
            <v>0</v>
          </cell>
          <cell r="AB159">
            <v>0</v>
          </cell>
          <cell r="AC159">
            <v>0</v>
          </cell>
          <cell r="AD159">
            <v>0</v>
          </cell>
          <cell r="AE159">
            <v>0</v>
          </cell>
          <cell r="AF159">
            <v>0</v>
          </cell>
          <cell r="AG159">
            <v>0</v>
          </cell>
          <cell r="AH159">
            <v>0</v>
          </cell>
          <cell r="AI159">
            <v>0</v>
          </cell>
          <cell r="AJ159">
            <v>0</v>
          </cell>
          <cell r="AK159">
            <v>0</v>
          </cell>
          <cell r="AL159">
            <v>0</v>
          </cell>
          <cell r="AM159">
            <v>0</v>
          </cell>
          <cell r="AN159">
            <v>0</v>
          </cell>
          <cell r="AO159">
            <v>0</v>
          </cell>
          <cell r="AP159">
            <v>0</v>
          </cell>
          <cell r="AQ159">
            <v>0</v>
          </cell>
          <cell r="AR159">
            <v>0</v>
          </cell>
          <cell r="AS159">
            <v>0</v>
          </cell>
          <cell r="AT159">
            <v>0</v>
          </cell>
          <cell r="AU159">
            <v>0</v>
          </cell>
          <cell r="AV159">
            <v>0</v>
          </cell>
          <cell r="AW159">
            <v>0</v>
          </cell>
          <cell r="AX159">
            <v>0</v>
          </cell>
          <cell r="AY159">
            <v>0</v>
          </cell>
          <cell r="AZ159">
            <v>0</v>
          </cell>
          <cell r="BA159">
            <v>0</v>
          </cell>
          <cell r="BB159">
            <v>0</v>
          </cell>
          <cell r="BC159">
            <v>0</v>
          </cell>
          <cell r="BD159">
            <v>0</v>
          </cell>
          <cell r="BE159">
            <v>0</v>
          </cell>
          <cell r="BF159">
            <v>0</v>
          </cell>
          <cell r="BG159">
            <v>0</v>
          </cell>
          <cell r="BH159">
            <v>0</v>
          </cell>
          <cell r="BI159">
            <v>0</v>
          </cell>
          <cell r="BJ159">
            <v>0</v>
          </cell>
          <cell r="BK159">
            <v>0</v>
          </cell>
          <cell r="BL159">
            <v>0</v>
          </cell>
          <cell r="BM159">
            <v>0</v>
          </cell>
          <cell r="BN159">
            <v>0</v>
          </cell>
          <cell r="BO159">
            <v>0</v>
          </cell>
          <cell r="BP159">
            <v>0</v>
          </cell>
          <cell r="BQ159">
            <v>0</v>
          </cell>
          <cell r="BR159">
            <v>0</v>
          </cell>
          <cell r="BS159">
            <v>0</v>
          </cell>
          <cell r="BT159">
            <v>0</v>
          </cell>
          <cell r="BU159">
            <v>0</v>
          </cell>
          <cell r="BV159">
            <v>0</v>
          </cell>
          <cell r="BW159">
            <v>0</v>
          </cell>
          <cell r="BX159">
            <v>0</v>
          </cell>
          <cell r="BY159">
            <v>0</v>
          </cell>
          <cell r="BZ159">
            <v>0</v>
          </cell>
          <cell r="CA159">
            <v>0</v>
          </cell>
          <cell r="CB159">
            <v>0</v>
          </cell>
          <cell r="CC159">
            <v>0</v>
          </cell>
          <cell r="CD159">
            <v>0</v>
          </cell>
          <cell r="CE159">
            <v>0</v>
          </cell>
          <cell r="CF159">
            <v>0</v>
          </cell>
          <cell r="CG159">
            <v>0</v>
          </cell>
          <cell r="CH159">
            <v>0</v>
          </cell>
          <cell r="CI159">
            <v>0</v>
          </cell>
          <cell r="CJ159">
            <v>0</v>
          </cell>
          <cell r="CK159">
            <v>0</v>
          </cell>
          <cell r="CL159">
            <v>0</v>
          </cell>
          <cell r="CM159">
            <v>0</v>
          </cell>
          <cell r="CN159">
            <v>0</v>
          </cell>
          <cell r="CO159">
            <v>0</v>
          </cell>
          <cell r="CP159">
            <v>0</v>
          </cell>
          <cell r="CQ159">
            <v>0</v>
          </cell>
          <cell r="CR159">
            <v>0</v>
          </cell>
          <cell r="CS159">
            <v>0</v>
          </cell>
          <cell r="CT159">
            <v>0</v>
          </cell>
          <cell r="CU159">
            <v>0</v>
          </cell>
          <cell r="CV159">
            <v>0</v>
          </cell>
          <cell r="CW159">
            <v>0</v>
          </cell>
          <cell r="CX159">
            <v>0</v>
          </cell>
          <cell r="CY159">
            <v>0</v>
          </cell>
          <cell r="CZ159">
            <v>0</v>
          </cell>
          <cell r="DA159">
            <v>0</v>
          </cell>
          <cell r="DB159">
            <v>0</v>
          </cell>
          <cell r="DC159">
            <v>0</v>
          </cell>
          <cell r="DD159">
            <v>0</v>
          </cell>
          <cell r="DE159">
            <v>0</v>
          </cell>
          <cell r="DF159">
            <v>0</v>
          </cell>
          <cell r="DG159">
            <v>0</v>
          </cell>
          <cell r="DH159">
            <v>0</v>
          </cell>
          <cell r="DI159">
            <v>0</v>
          </cell>
          <cell r="DJ159">
            <v>0</v>
          </cell>
          <cell r="DK159">
            <v>0</v>
          </cell>
          <cell r="DL159">
            <v>0</v>
          </cell>
          <cell r="DM159">
            <v>0</v>
          </cell>
          <cell r="DN159">
            <v>0</v>
          </cell>
          <cell r="DO159">
            <v>0</v>
          </cell>
          <cell r="DP159">
            <v>0</v>
          </cell>
          <cell r="DQ159">
            <v>0</v>
          </cell>
          <cell r="DR159">
            <v>0</v>
          </cell>
          <cell r="DS159">
            <v>0</v>
          </cell>
          <cell r="DT159">
            <v>0</v>
          </cell>
          <cell r="DU159">
            <v>0</v>
          </cell>
          <cell r="DV159">
            <v>0</v>
          </cell>
          <cell r="DW159">
            <v>0</v>
          </cell>
          <cell r="DX159">
            <v>0</v>
          </cell>
          <cell r="DY159">
            <v>0</v>
          </cell>
          <cell r="EA159">
            <v>0</v>
          </cell>
          <cell r="EB159">
            <v>0</v>
          </cell>
          <cell r="EC159">
            <v>0</v>
          </cell>
          <cell r="ED159">
            <v>0</v>
          </cell>
          <cell r="EE159">
            <v>0</v>
          </cell>
          <cell r="EF159">
            <v>0</v>
          </cell>
          <cell r="EG159">
            <v>0</v>
          </cell>
          <cell r="EH159">
            <v>0</v>
          </cell>
          <cell r="EI159">
            <v>0</v>
          </cell>
          <cell r="EJ159">
            <v>0</v>
          </cell>
          <cell r="EK159">
            <v>0</v>
          </cell>
          <cell r="EL159">
            <v>0</v>
          </cell>
          <cell r="EM159">
            <v>0</v>
          </cell>
          <cell r="EN159">
            <v>0</v>
          </cell>
          <cell r="EO159">
            <v>0</v>
          </cell>
          <cell r="EP159">
            <v>0</v>
          </cell>
          <cell r="EQ159">
            <v>0</v>
          </cell>
          <cell r="ER159">
            <v>0</v>
          </cell>
          <cell r="ES159">
            <v>0</v>
          </cell>
          <cell r="ET159">
            <v>0</v>
          </cell>
          <cell r="EU159">
            <v>0</v>
          </cell>
          <cell r="EV159">
            <v>0</v>
          </cell>
          <cell r="EW159">
            <v>0</v>
          </cell>
          <cell r="EX159">
            <v>0</v>
          </cell>
          <cell r="EY159">
            <v>0</v>
          </cell>
          <cell r="EZ159">
            <v>0</v>
          </cell>
          <cell r="FA159">
            <v>0</v>
          </cell>
          <cell r="FB159">
            <v>0</v>
          </cell>
          <cell r="FC159">
            <v>0</v>
          </cell>
          <cell r="FD159">
            <v>0</v>
          </cell>
          <cell r="FE159">
            <v>0</v>
          </cell>
          <cell r="FF159">
            <v>0</v>
          </cell>
          <cell r="FG159">
            <v>0</v>
          </cell>
          <cell r="FH159">
            <v>0</v>
          </cell>
          <cell r="FI159">
            <v>0</v>
          </cell>
          <cell r="FJ159">
            <v>0</v>
          </cell>
          <cell r="FK159">
            <v>0</v>
          </cell>
          <cell r="FL159">
            <v>0</v>
          </cell>
          <cell r="FM159">
            <v>0</v>
          </cell>
          <cell r="FN159">
            <v>0</v>
          </cell>
          <cell r="FO159">
            <v>0</v>
          </cell>
          <cell r="FP159">
            <v>0</v>
          </cell>
          <cell r="FQ159">
            <v>0</v>
          </cell>
          <cell r="FR159">
            <v>0</v>
          </cell>
          <cell r="FS159">
            <v>0</v>
          </cell>
          <cell r="FT159">
            <v>0</v>
          </cell>
          <cell r="FU159">
            <v>0</v>
          </cell>
          <cell r="FV159">
            <v>0</v>
          </cell>
          <cell r="FW159">
            <v>0</v>
          </cell>
          <cell r="FX159">
            <v>0</v>
          </cell>
          <cell r="FY159">
            <v>0</v>
          </cell>
          <cell r="FZ159">
            <v>0</v>
          </cell>
        </row>
        <row r="160">
          <cell r="B160">
            <v>0</v>
          </cell>
          <cell r="C160">
            <v>0</v>
          </cell>
          <cell r="D160">
            <v>0</v>
          </cell>
          <cell r="E160">
            <v>0</v>
          </cell>
          <cell r="F160">
            <v>0</v>
          </cell>
          <cell r="G160">
            <v>0</v>
          </cell>
          <cell r="H160">
            <v>0</v>
          </cell>
          <cell r="I160">
            <v>0</v>
          </cell>
          <cell r="J160">
            <v>0</v>
          </cell>
          <cell r="K160">
            <v>0</v>
          </cell>
          <cell r="L160">
            <v>0</v>
          </cell>
          <cell r="M160">
            <v>0</v>
          </cell>
          <cell r="N160">
            <v>0</v>
          </cell>
          <cell r="O160">
            <v>0</v>
          </cell>
          <cell r="P160">
            <v>0</v>
          </cell>
          <cell r="Q160">
            <v>0</v>
          </cell>
          <cell r="R160">
            <v>0</v>
          </cell>
          <cell r="S160">
            <v>0</v>
          </cell>
          <cell r="T160">
            <v>0</v>
          </cell>
          <cell r="U160">
            <v>0</v>
          </cell>
          <cell r="V160">
            <v>0</v>
          </cell>
          <cell r="W160">
            <v>0</v>
          </cell>
          <cell r="X160">
            <v>0</v>
          </cell>
          <cell r="Y160">
            <v>0</v>
          </cell>
          <cell r="Z160">
            <v>0</v>
          </cell>
          <cell r="AA160">
            <v>0</v>
          </cell>
          <cell r="AB160">
            <v>0</v>
          </cell>
          <cell r="AC160">
            <v>0</v>
          </cell>
          <cell r="AD160">
            <v>0</v>
          </cell>
          <cell r="AE160">
            <v>0</v>
          </cell>
          <cell r="AF160">
            <v>0</v>
          </cell>
          <cell r="AG160">
            <v>0</v>
          </cell>
          <cell r="AH160">
            <v>0</v>
          </cell>
          <cell r="AI160">
            <v>0</v>
          </cell>
          <cell r="AJ160">
            <v>0</v>
          </cell>
          <cell r="AK160">
            <v>0</v>
          </cell>
          <cell r="AL160">
            <v>0</v>
          </cell>
          <cell r="AM160">
            <v>0</v>
          </cell>
          <cell r="AN160">
            <v>0</v>
          </cell>
          <cell r="AO160">
            <v>0</v>
          </cell>
          <cell r="AP160">
            <v>0</v>
          </cell>
          <cell r="AQ160">
            <v>0</v>
          </cell>
          <cell r="AR160">
            <v>0</v>
          </cell>
          <cell r="AS160">
            <v>0</v>
          </cell>
          <cell r="AT160">
            <v>0</v>
          </cell>
          <cell r="AU160">
            <v>0</v>
          </cell>
          <cell r="AV160">
            <v>0</v>
          </cell>
          <cell r="AW160">
            <v>0</v>
          </cell>
          <cell r="AX160">
            <v>0</v>
          </cell>
          <cell r="AY160">
            <v>0</v>
          </cell>
          <cell r="AZ160">
            <v>0</v>
          </cell>
          <cell r="BA160">
            <v>0</v>
          </cell>
          <cell r="BB160">
            <v>0</v>
          </cell>
          <cell r="BC160">
            <v>0</v>
          </cell>
          <cell r="BD160">
            <v>0</v>
          </cell>
          <cell r="BE160">
            <v>0</v>
          </cell>
          <cell r="BF160">
            <v>0</v>
          </cell>
          <cell r="BG160">
            <v>0</v>
          </cell>
          <cell r="BH160">
            <v>0</v>
          </cell>
          <cell r="BI160">
            <v>0</v>
          </cell>
          <cell r="BJ160">
            <v>0</v>
          </cell>
          <cell r="BK160">
            <v>0</v>
          </cell>
          <cell r="BL160">
            <v>0</v>
          </cell>
          <cell r="BM160">
            <v>0</v>
          </cell>
          <cell r="BN160">
            <v>0</v>
          </cell>
          <cell r="BO160">
            <v>0</v>
          </cell>
          <cell r="BP160">
            <v>0</v>
          </cell>
          <cell r="BQ160">
            <v>0</v>
          </cell>
          <cell r="BR160">
            <v>0</v>
          </cell>
          <cell r="BS160">
            <v>0</v>
          </cell>
          <cell r="BT160">
            <v>0</v>
          </cell>
          <cell r="BU160">
            <v>0</v>
          </cell>
          <cell r="BV160">
            <v>0</v>
          </cell>
          <cell r="BW160">
            <v>0</v>
          </cell>
          <cell r="BX160">
            <v>0</v>
          </cell>
          <cell r="BY160">
            <v>0</v>
          </cell>
          <cell r="BZ160">
            <v>0</v>
          </cell>
          <cell r="CA160">
            <v>0</v>
          </cell>
          <cell r="CB160">
            <v>0</v>
          </cell>
          <cell r="CC160">
            <v>0</v>
          </cell>
          <cell r="CD160">
            <v>0</v>
          </cell>
          <cell r="CE160">
            <v>0</v>
          </cell>
          <cell r="CF160">
            <v>0</v>
          </cell>
          <cell r="CG160">
            <v>0</v>
          </cell>
          <cell r="CH160">
            <v>0</v>
          </cell>
          <cell r="CI160">
            <v>0</v>
          </cell>
          <cell r="CJ160">
            <v>0</v>
          </cell>
          <cell r="CK160">
            <v>0</v>
          </cell>
          <cell r="CL160">
            <v>0</v>
          </cell>
          <cell r="CM160">
            <v>0</v>
          </cell>
          <cell r="CN160">
            <v>0</v>
          </cell>
          <cell r="CO160">
            <v>0</v>
          </cell>
          <cell r="CP160">
            <v>0</v>
          </cell>
          <cell r="CQ160">
            <v>0</v>
          </cell>
          <cell r="CR160">
            <v>0</v>
          </cell>
          <cell r="CS160">
            <v>0</v>
          </cell>
          <cell r="CT160">
            <v>0</v>
          </cell>
          <cell r="CU160">
            <v>0</v>
          </cell>
          <cell r="CV160">
            <v>0</v>
          </cell>
          <cell r="CW160">
            <v>0</v>
          </cell>
          <cell r="CX160">
            <v>0</v>
          </cell>
          <cell r="CY160">
            <v>0</v>
          </cell>
          <cell r="CZ160">
            <v>0</v>
          </cell>
          <cell r="DA160">
            <v>0</v>
          </cell>
          <cell r="DB160">
            <v>0</v>
          </cell>
          <cell r="DC160">
            <v>0</v>
          </cell>
          <cell r="DD160">
            <v>0</v>
          </cell>
          <cell r="DE160">
            <v>0</v>
          </cell>
          <cell r="DF160">
            <v>0</v>
          </cell>
          <cell r="DG160">
            <v>0</v>
          </cell>
          <cell r="DH160">
            <v>0</v>
          </cell>
          <cell r="DI160">
            <v>0</v>
          </cell>
          <cell r="DJ160">
            <v>0</v>
          </cell>
          <cell r="DK160">
            <v>0</v>
          </cell>
          <cell r="DL160">
            <v>0</v>
          </cell>
          <cell r="DM160">
            <v>0</v>
          </cell>
          <cell r="DN160">
            <v>0</v>
          </cell>
          <cell r="DO160">
            <v>0</v>
          </cell>
          <cell r="DP160">
            <v>0</v>
          </cell>
          <cell r="DQ160">
            <v>0</v>
          </cell>
          <cell r="DR160">
            <v>0</v>
          </cell>
          <cell r="DS160">
            <v>0</v>
          </cell>
          <cell r="DT160">
            <v>0</v>
          </cell>
          <cell r="DU160">
            <v>0</v>
          </cell>
          <cell r="DV160">
            <v>0</v>
          </cell>
          <cell r="DW160">
            <v>0</v>
          </cell>
          <cell r="DX160">
            <v>0</v>
          </cell>
          <cell r="DY160">
            <v>0</v>
          </cell>
          <cell r="EA160">
            <v>0</v>
          </cell>
          <cell r="EB160">
            <v>0</v>
          </cell>
          <cell r="EC160">
            <v>0</v>
          </cell>
          <cell r="ED160">
            <v>0</v>
          </cell>
          <cell r="EE160">
            <v>0</v>
          </cell>
          <cell r="EF160">
            <v>0</v>
          </cell>
          <cell r="EG160">
            <v>0</v>
          </cell>
          <cell r="EH160">
            <v>0</v>
          </cell>
          <cell r="EI160">
            <v>0</v>
          </cell>
          <cell r="EJ160">
            <v>0</v>
          </cell>
          <cell r="EK160">
            <v>0</v>
          </cell>
          <cell r="EL160">
            <v>0</v>
          </cell>
          <cell r="EM160">
            <v>0</v>
          </cell>
          <cell r="EN160">
            <v>0</v>
          </cell>
          <cell r="EO160">
            <v>0</v>
          </cell>
          <cell r="EP160">
            <v>0</v>
          </cell>
          <cell r="EQ160">
            <v>0</v>
          </cell>
          <cell r="ER160">
            <v>0</v>
          </cell>
          <cell r="ES160">
            <v>0</v>
          </cell>
          <cell r="ET160">
            <v>0</v>
          </cell>
          <cell r="EU160">
            <v>0</v>
          </cell>
          <cell r="EV160">
            <v>0</v>
          </cell>
          <cell r="EW160">
            <v>0</v>
          </cell>
          <cell r="EX160">
            <v>0</v>
          </cell>
          <cell r="EY160">
            <v>0</v>
          </cell>
          <cell r="EZ160">
            <v>0</v>
          </cell>
          <cell r="FA160">
            <v>0</v>
          </cell>
          <cell r="FB160">
            <v>0</v>
          </cell>
          <cell r="FC160">
            <v>0</v>
          </cell>
          <cell r="FD160">
            <v>0</v>
          </cell>
          <cell r="FE160">
            <v>0</v>
          </cell>
          <cell r="FF160">
            <v>0</v>
          </cell>
          <cell r="FG160">
            <v>0</v>
          </cell>
          <cell r="FH160">
            <v>0</v>
          </cell>
          <cell r="FI160">
            <v>0</v>
          </cell>
          <cell r="FJ160">
            <v>0</v>
          </cell>
          <cell r="FK160">
            <v>0</v>
          </cell>
          <cell r="FL160">
            <v>0</v>
          </cell>
          <cell r="FM160">
            <v>0</v>
          </cell>
          <cell r="FN160">
            <v>0</v>
          </cell>
          <cell r="FO160">
            <v>0</v>
          </cell>
          <cell r="FP160">
            <v>0</v>
          </cell>
          <cell r="FQ160">
            <v>0</v>
          </cell>
          <cell r="FR160">
            <v>0</v>
          </cell>
          <cell r="FS160">
            <v>0</v>
          </cell>
          <cell r="FT160">
            <v>0</v>
          </cell>
          <cell r="FU160">
            <v>0</v>
          </cell>
          <cell r="FV160">
            <v>0</v>
          </cell>
          <cell r="FW160">
            <v>0</v>
          </cell>
          <cell r="FX160">
            <v>0</v>
          </cell>
          <cell r="FY160">
            <v>0</v>
          </cell>
          <cell r="FZ160">
            <v>0</v>
          </cell>
        </row>
        <row r="161">
          <cell r="B161">
            <v>0</v>
          </cell>
          <cell r="C161">
            <v>0</v>
          </cell>
          <cell r="D161">
            <v>0</v>
          </cell>
          <cell r="E161">
            <v>0</v>
          </cell>
          <cell r="F161">
            <v>0</v>
          </cell>
          <cell r="G161">
            <v>0</v>
          </cell>
          <cell r="H161">
            <v>0</v>
          </cell>
          <cell r="I161">
            <v>0</v>
          </cell>
          <cell r="J161">
            <v>0</v>
          </cell>
          <cell r="K161">
            <v>0</v>
          </cell>
          <cell r="L161">
            <v>0</v>
          </cell>
          <cell r="M161">
            <v>0</v>
          </cell>
          <cell r="N161">
            <v>0</v>
          </cell>
          <cell r="O161">
            <v>0</v>
          </cell>
          <cell r="P161">
            <v>0</v>
          </cell>
          <cell r="Q161">
            <v>0</v>
          </cell>
          <cell r="R161">
            <v>0</v>
          </cell>
          <cell r="S161">
            <v>0</v>
          </cell>
          <cell r="T161">
            <v>0</v>
          </cell>
          <cell r="U161">
            <v>0</v>
          </cell>
          <cell r="V161">
            <v>0</v>
          </cell>
          <cell r="W161">
            <v>0</v>
          </cell>
          <cell r="X161">
            <v>0</v>
          </cell>
          <cell r="Y161">
            <v>0</v>
          </cell>
          <cell r="Z161">
            <v>0</v>
          </cell>
          <cell r="AA161">
            <v>0</v>
          </cell>
          <cell r="AB161">
            <v>0</v>
          </cell>
          <cell r="AC161">
            <v>0</v>
          </cell>
          <cell r="AD161">
            <v>0</v>
          </cell>
          <cell r="AE161">
            <v>0</v>
          </cell>
          <cell r="AF161">
            <v>0</v>
          </cell>
          <cell r="AG161">
            <v>0</v>
          </cell>
          <cell r="AH161">
            <v>0</v>
          </cell>
          <cell r="AI161">
            <v>0</v>
          </cell>
          <cell r="AJ161">
            <v>0</v>
          </cell>
          <cell r="AK161">
            <v>0</v>
          </cell>
          <cell r="AL161">
            <v>0</v>
          </cell>
          <cell r="AM161">
            <v>0</v>
          </cell>
          <cell r="AN161">
            <v>0</v>
          </cell>
          <cell r="AO161">
            <v>0</v>
          </cell>
          <cell r="AP161">
            <v>0</v>
          </cell>
          <cell r="AQ161">
            <v>0</v>
          </cell>
          <cell r="AR161">
            <v>0</v>
          </cell>
          <cell r="AS161">
            <v>0</v>
          </cell>
          <cell r="AT161">
            <v>0</v>
          </cell>
          <cell r="AU161">
            <v>0</v>
          </cell>
          <cell r="AV161">
            <v>0</v>
          </cell>
          <cell r="AW161">
            <v>0</v>
          </cell>
          <cell r="AX161">
            <v>0</v>
          </cell>
          <cell r="AY161">
            <v>0</v>
          </cell>
          <cell r="AZ161">
            <v>0</v>
          </cell>
          <cell r="BA161">
            <v>0</v>
          </cell>
          <cell r="BB161">
            <v>0</v>
          </cell>
          <cell r="BC161">
            <v>0</v>
          </cell>
          <cell r="BD161">
            <v>0</v>
          </cell>
          <cell r="BE161">
            <v>0</v>
          </cell>
          <cell r="BF161">
            <v>0</v>
          </cell>
          <cell r="BG161">
            <v>0</v>
          </cell>
          <cell r="BH161">
            <v>0</v>
          </cell>
          <cell r="BI161">
            <v>0</v>
          </cell>
          <cell r="BJ161">
            <v>0</v>
          </cell>
          <cell r="BK161">
            <v>0</v>
          </cell>
          <cell r="BL161">
            <v>0</v>
          </cell>
          <cell r="BM161">
            <v>0</v>
          </cell>
          <cell r="BN161">
            <v>0</v>
          </cell>
          <cell r="BO161">
            <v>0</v>
          </cell>
          <cell r="BP161">
            <v>0</v>
          </cell>
          <cell r="BQ161">
            <v>0</v>
          </cell>
          <cell r="BR161">
            <v>0</v>
          </cell>
          <cell r="BS161">
            <v>0</v>
          </cell>
          <cell r="BT161">
            <v>0</v>
          </cell>
          <cell r="BU161">
            <v>0</v>
          </cell>
          <cell r="BV161">
            <v>0</v>
          </cell>
          <cell r="BW161">
            <v>0</v>
          </cell>
          <cell r="BX161">
            <v>0</v>
          </cell>
          <cell r="BY161">
            <v>0</v>
          </cell>
          <cell r="BZ161">
            <v>0</v>
          </cell>
          <cell r="CA161">
            <v>0</v>
          </cell>
          <cell r="CB161">
            <v>0</v>
          </cell>
          <cell r="CC161">
            <v>0</v>
          </cell>
          <cell r="CD161">
            <v>0</v>
          </cell>
          <cell r="CE161">
            <v>0</v>
          </cell>
          <cell r="CF161">
            <v>0</v>
          </cell>
          <cell r="CG161">
            <v>0</v>
          </cell>
          <cell r="CH161">
            <v>0</v>
          </cell>
          <cell r="CI161">
            <v>0</v>
          </cell>
          <cell r="CJ161">
            <v>0</v>
          </cell>
          <cell r="CK161">
            <v>0</v>
          </cell>
          <cell r="CL161">
            <v>0</v>
          </cell>
          <cell r="CM161">
            <v>0</v>
          </cell>
          <cell r="CN161">
            <v>0</v>
          </cell>
          <cell r="CO161">
            <v>0</v>
          </cell>
          <cell r="CP161">
            <v>0</v>
          </cell>
          <cell r="CQ161">
            <v>0</v>
          </cell>
          <cell r="CR161">
            <v>0</v>
          </cell>
          <cell r="CS161">
            <v>0</v>
          </cell>
          <cell r="CT161">
            <v>0</v>
          </cell>
          <cell r="CU161">
            <v>0</v>
          </cell>
          <cell r="CV161">
            <v>0</v>
          </cell>
          <cell r="CW161">
            <v>0</v>
          </cell>
          <cell r="CX161">
            <v>0</v>
          </cell>
          <cell r="CY161">
            <v>0</v>
          </cell>
          <cell r="CZ161">
            <v>0</v>
          </cell>
          <cell r="DA161">
            <v>0</v>
          </cell>
          <cell r="DB161">
            <v>0</v>
          </cell>
          <cell r="DC161">
            <v>0</v>
          </cell>
          <cell r="DD161">
            <v>0</v>
          </cell>
          <cell r="DE161">
            <v>0</v>
          </cell>
          <cell r="DF161">
            <v>0</v>
          </cell>
          <cell r="DG161">
            <v>0</v>
          </cell>
          <cell r="DH161">
            <v>0</v>
          </cell>
          <cell r="DI161">
            <v>0</v>
          </cell>
          <cell r="DJ161">
            <v>0</v>
          </cell>
          <cell r="DK161">
            <v>0</v>
          </cell>
          <cell r="DL161">
            <v>0</v>
          </cell>
          <cell r="DM161">
            <v>0</v>
          </cell>
          <cell r="DN161">
            <v>0</v>
          </cell>
          <cell r="DO161">
            <v>0</v>
          </cell>
          <cell r="DP161">
            <v>0</v>
          </cell>
          <cell r="DQ161">
            <v>0</v>
          </cell>
          <cell r="DR161">
            <v>0</v>
          </cell>
          <cell r="DS161">
            <v>0</v>
          </cell>
          <cell r="DT161">
            <v>0</v>
          </cell>
          <cell r="DU161">
            <v>0</v>
          </cell>
          <cell r="DV161">
            <v>0</v>
          </cell>
          <cell r="DW161">
            <v>0</v>
          </cell>
          <cell r="DX161">
            <v>0</v>
          </cell>
          <cell r="DY161">
            <v>0</v>
          </cell>
          <cell r="EA161">
            <v>0</v>
          </cell>
          <cell r="EB161">
            <v>0</v>
          </cell>
          <cell r="EC161">
            <v>0</v>
          </cell>
          <cell r="ED161">
            <v>0</v>
          </cell>
          <cell r="EE161">
            <v>0</v>
          </cell>
          <cell r="EF161">
            <v>0</v>
          </cell>
          <cell r="EG161">
            <v>0</v>
          </cell>
          <cell r="EH161">
            <v>0</v>
          </cell>
          <cell r="EI161">
            <v>0</v>
          </cell>
          <cell r="EJ161">
            <v>0</v>
          </cell>
          <cell r="EK161">
            <v>0</v>
          </cell>
          <cell r="EL161">
            <v>0</v>
          </cell>
          <cell r="EM161">
            <v>0</v>
          </cell>
          <cell r="EN161">
            <v>0</v>
          </cell>
          <cell r="EO161">
            <v>0</v>
          </cell>
          <cell r="EP161">
            <v>0</v>
          </cell>
          <cell r="EQ161">
            <v>0</v>
          </cell>
          <cell r="ER161">
            <v>0</v>
          </cell>
          <cell r="ES161">
            <v>0</v>
          </cell>
          <cell r="ET161">
            <v>0</v>
          </cell>
          <cell r="EU161">
            <v>0</v>
          </cell>
          <cell r="EV161">
            <v>0</v>
          </cell>
          <cell r="EW161">
            <v>0</v>
          </cell>
          <cell r="EX161">
            <v>0</v>
          </cell>
          <cell r="EY161">
            <v>0</v>
          </cell>
          <cell r="EZ161">
            <v>0</v>
          </cell>
          <cell r="FA161">
            <v>0</v>
          </cell>
          <cell r="FB161">
            <v>0</v>
          </cell>
          <cell r="FC161">
            <v>0</v>
          </cell>
          <cell r="FD161">
            <v>0</v>
          </cell>
          <cell r="FE161">
            <v>0</v>
          </cell>
          <cell r="FF161">
            <v>0</v>
          </cell>
          <cell r="FG161">
            <v>0</v>
          </cell>
          <cell r="FH161">
            <v>0</v>
          </cell>
          <cell r="FI161">
            <v>0</v>
          </cell>
          <cell r="FJ161">
            <v>0</v>
          </cell>
          <cell r="FK161">
            <v>0</v>
          </cell>
          <cell r="FL161">
            <v>0</v>
          </cell>
          <cell r="FM161">
            <v>0</v>
          </cell>
          <cell r="FN161">
            <v>0</v>
          </cell>
          <cell r="FO161">
            <v>0</v>
          </cell>
          <cell r="FP161">
            <v>0</v>
          </cell>
          <cell r="FQ161">
            <v>0</v>
          </cell>
          <cell r="FR161">
            <v>0</v>
          </cell>
          <cell r="FS161">
            <v>0</v>
          </cell>
          <cell r="FT161">
            <v>0</v>
          </cell>
          <cell r="FU161">
            <v>0</v>
          </cell>
          <cell r="FV161">
            <v>0</v>
          </cell>
          <cell r="FW161">
            <v>0</v>
          </cell>
          <cell r="FX161">
            <v>0</v>
          </cell>
          <cell r="FY161">
            <v>0</v>
          </cell>
          <cell r="FZ161">
            <v>0</v>
          </cell>
        </row>
        <row r="162">
          <cell r="B162">
            <v>0</v>
          </cell>
          <cell r="C162">
            <v>0</v>
          </cell>
          <cell r="D162">
            <v>0</v>
          </cell>
          <cell r="E162">
            <v>0</v>
          </cell>
          <cell r="F162">
            <v>0</v>
          </cell>
          <cell r="G162">
            <v>0</v>
          </cell>
          <cell r="H162">
            <v>0</v>
          </cell>
          <cell r="I162">
            <v>0</v>
          </cell>
          <cell r="J162">
            <v>0</v>
          </cell>
          <cell r="K162">
            <v>0</v>
          </cell>
          <cell r="L162">
            <v>0</v>
          </cell>
          <cell r="M162">
            <v>0</v>
          </cell>
          <cell r="N162">
            <v>0</v>
          </cell>
          <cell r="O162">
            <v>0</v>
          </cell>
          <cell r="P162">
            <v>0</v>
          </cell>
          <cell r="Q162">
            <v>0</v>
          </cell>
          <cell r="R162">
            <v>0</v>
          </cell>
          <cell r="S162">
            <v>0</v>
          </cell>
          <cell r="T162">
            <v>0</v>
          </cell>
          <cell r="U162">
            <v>0</v>
          </cell>
          <cell r="V162">
            <v>0</v>
          </cell>
          <cell r="W162">
            <v>0</v>
          </cell>
          <cell r="X162">
            <v>0</v>
          </cell>
          <cell r="Y162">
            <v>0</v>
          </cell>
          <cell r="Z162">
            <v>0</v>
          </cell>
          <cell r="AA162">
            <v>0</v>
          </cell>
          <cell r="AB162">
            <v>0</v>
          </cell>
          <cell r="AC162">
            <v>0</v>
          </cell>
          <cell r="AD162">
            <v>0</v>
          </cell>
          <cell r="AE162">
            <v>0</v>
          </cell>
          <cell r="AF162">
            <v>0</v>
          </cell>
          <cell r="AG162">
            <v>0</v>
          </cell>
          <cell r="AH162">
            <v>0</v>
          </cell>
          <cell r="AI162">
            <v>0</v>
          </cell>
          <cell r="AJ162">
            <v>0</v>
          </cell>
          <cell r="AK162">
            <v>0</v>
          </cell>
          <cell r="AL162">
            <v>0</v>
          </cell>
          <cell r="AM162">
            <v>0</v>
          </cell>
          <cell r="AN162">
            <v>0</v>
          </cell>
          <cell r="AO162">
            <v>0</v>
          </cell>
          <cell r="AP162">
            <v>0</v>
          </cell>
          <cell r="AQ162">
            <v>0</v>
          </cell>
          <cell r="AR162">
            <v>0</v>
          </cell>
          <cell r="AS162">
            <v>0</v>
          </cell>
          <cell r="AT162">
            <v>0</v>
          </cell>
          <cell r="AU162">
            <v>0</v>
          </cell>
          <cell r="AV162">
            <v>0</v>
          </cell>
          <cell r="AW162">
            <v>0</v>
          </cell>
          <cell r="AX162">
            <v>0</v>
          </cell>
          <cell r="AY162">
            <v>0</v>
          </cell>
          <cell r="AZ162">
            <v>0</v>
          </cell>
          <cell r="BA162">
            <v>0</v>
          </cell>
          <cell r="BB162">
            <v>0</v>
          </cell>
          <cell r="BC162">
            <v>0</v>
          </cell>
          <cell r="BD162">
            <v>0</v>
          </cell>
          <cell r="BE162">
            <v>0</v>
          </cell>
          <cell r="BF162">
            <v>0</v>
          </cell>
          <cell r="BG162">
            <v>0</v>
          </cell>
          <cell r="BH162">
            <v>0</v>
          </cell>
          <cell r="BI162">
            <v>0</v>
          </cell>
          <cell r="BJ162">
            <v>0</v>
          </cell>
          <cell r="BK162">
            <v>0</v>
          </cell>
          <cell r="BL162">
            <v>0</v>
          </cell>
          <cell r="BM162">
            <v>0</v>
          </cell>
          <cell r="BN162">
            <v>0</v>
          </cell>
          <cell r="BO162">
            <v>0</v>
          </cell>
          <cell r="BP162">
            <v>0</v>
          </cell>
          <cell r="BQ162">
            <v>0</v>
          </cell>
          <cell r="BR162">
            <v>0</v>
          </cell>
          <cell r="BS162">
            <v>0</v>
          </cell>
          <cell r="BT162">
            <v>0</v>
          </cell>
          <cell r="BU162">
            <v>0</v>
          </cell>
          <cell r="BV162">
            <v>0</v>
          </cell>
          <cell r="BW162">
            <v>0</v>
          </cell>
          <cell r="BX162">
            <v>0</v>
          </cell>
          <cell r="BY162">
            <v>0</v>
          </cell>
          <cell r="BZ162">
            <v>0</v>
          </cell>
          <cell r="CA162">
            <v>0</v>
          </cell>
          <cell r="CB162">
            <v>0</v>
          </cell>
          <cell r="CC162">
            <v>0</v>
          </cell>
          <cell r="CD162">
            <v>0</v>
          </cell>
          <cell r="CE162">
            <v>0</v>
          </cell>
          <cell r="CF162">
            <v>0</v>
          </cell>
          <cell r="CG162">
            <v>0</v>
          </cell>
          <cell r="CH162">
            <v>0</v>
          </cell>
          <cell r="CI162">
            <v>0</v>
          </cell>
          <cell r="CJ162">
            <v>0</v>
          </cell>
          <cell r="CK162">
            <v>0</v>
          </cell>
          <cell r="CL162">
            <v>0</v>
          </cell>
          <cell r="CM162">
            <v>0</v>
          </cell>
          <cell r="CN162">
            <v>0</v>
          </cell>
          <cell r="CO162">
            <v>0</v>
          </cell>
          <cell r="CP162">
            <v>0</v>
          </cell>
          <cell r="CQ162">
            <v>0</v>
          </cell>
          <cell r="CR162">
            <v>0</v>
          </cell>
          <cell r="CS162">
            <v>0</v>
          </cell>
          <cell r="CT162">
            <v>0</v>
          </cell>
          <cell r="CU162">
            <v>0</v>
          </cell>
          <cell r="CV162">
            <v>0</v>
          </cell>
          <cell r="CW162">
            <v>0</v>
          </cell>
          <cell r="CX162">
            <v>0</v>
          </cell>
          <cell r="CY162">
            <v>0</v>
          </cell>
          <cell r="CZ162">
            <v>0</v>
          </cell>
          <cell r="DA162">
            <v>0</v>
          </cell>
          <cell r="DB162">
            <v>0</v>
          </cell>
          <cell r="DC162">
            <v>0</v>
          </cell>
          <cell r="DD162">
            <v>0</v>
          </cell>
          <cell r="DE162">
            <v>0</v>
          </cell>
          <cell r="DF162">
            <v>0</v>
          </cell>
          <cell r="DG162">
            <v>0</v>
          </cell>
          <cell r="DH162">
            <v>0</v>
          </cell>
          <cell r="DI162">
            <v>0</v>
          </cell>
          <cell r="DJ162">
            <v>0</v>
          </cell>
          <cell r="DK162">
            <v>0</v>
          </cell>
          <cell r="DL162">
            <v>0</v>
          </cell>
          <cell r="DM162">
            <v>0</v>
          </cell>
          <cell r="DN162">
            <v>0</v>
          </cell>
          <cell r="DO162">
            <v>0</v>
          </cell>
          <cell r="DP162">
            <v>0</v>
          </cell>
          <cell r="DQ162">
            <v>0</v>
          </cell>
          <cell r="DR162">
            <v>0</v>
          </cell>
          <cell r="DS162">
            <v>0</v>
          </cell>
          <cell r="DT162">
            <v>0</v>
          </cell>
          <cell r="DU162">
            <v>0</v>
          </cell>
          <cell r="DV162">
            <v>0</v>
          </cell>
          <cell r="DW162">
            <v>0</v>
          </cell>
          <cell r="DX162">
            <v>0</v>
          </cell>
          <cell r="DY162">
            <v>0</v>
          </cell>
          <cell r="EA162">
            <v>0</v>
          </cell>
          <cell r="EB162">
            <v>0</v>
          </cell>
          <cell r="EC162">
            <v>0</v>
          </cell>
          <cell r="ED162">
            <v>0</v>
          </cell>
          <cell r="EE162">
            <v>0</v>
          </cell>
          <cell r="EF162">
            <v>0</v>
          </cell>
          <cell r="EG162">
            <v>0</v>
          </cell>
          <cell r="EH162">
            <v>0</v>
          </cell>
          <cell r="EI162">
            <v>0</v>
          </cell>
          <cell r="EJ162">
            <v>0</v>
          </cell>
          <cell r="EK162">
            <v>0</v>
          </cell>
          <cell r="EL162">
            <v>0</v>
          </cell>
          <cell r="EM162">
            <v>0</v>
          </cell>
          <cell r="EN162">
            <v>0</v>
          </cell>
          <cell r="EO162">
            <v>0</v>
          </cell>
          <cell r="EP162">
            <v>0</v>
          </cell>
          <cell r="EQ162">
            <v>0</v>
          </cell>
          <cell r="ER162">
            <v>0</v>
          </cell>
          <cell r="ES162">
            <v>0</v>
          </cell>
          <cell r="ET162">
            <v>0</v>
          </cell>
          <cell r="EU162">
            <v>0</v>
          </cell>
          <cell r="EV162">
            <v>0</v>
          </cell>
          <cell r="EW162">
            <v>0</v>
          </cell>
          <cell r="EX162">
            <v>0</v>
          </cell>
          <cell r="EY162">
            <v>0</v>
          </cell>
          <cell r="EZ162">
            <v>0</v>
          </cell>
          <cell r="FA162">
            <v>0</v>
          </cell>
          <cell r="FB162">
            <v>0</v>
          </cell>
          <cell r="FC162">
            <v>0</v>
          </cell>
          <cell r="FD162">
            <v>0</v>
          </cell>
          <cell r="FE162">
            <v>0</v>
          </cell>
          <cell r="FF162">
            <v>0</v>
          </cell>
          <cell r="FG162">
            <v>0</v>
          </cell>
          <cell r="FH162">
            <v>0</v>
          </cell>
          <cell r="FI162">
            <v>0</v>
          </cell>
          <cell r="FJ162">
            <v>0</v>
          </cell>
          <cell r="FK162">
            <v>0</v>
          </cell>
          <cell r="FL162">
            <v>0</v>
          </cell>
          <cell r="FM162">
            <v>0</v>
          </cell>
          <cell r="FN162">
            <v>0</v>
          </cell>
          <cell r="FO162">
            <v>0</v>
          </cell>
          <cell r="FP162">
            <v>0</v>
          </cell>
          <cell r="FQ162">
            <v>0</v>
          </cell>
          <cell r="FR162">
            <v>0</v>
          </cell>
          <cell r="FS162">
            <v>0</v>
          </cell>
          <cell r="FT162">
            <v>0</v>
          </cell>
          <cell r="FU162">
            <v>0</v>
          </cell>
          <cell r="FV162">
            <v>0</v>
          </cell>
          <cell r="FW162">
            <v>0</v>
          </cell>
          <cell r="FX162">
            <v>0</v>
          </cell>
          <cell r="FY162">
            <v>0</v>
          </cell>
          <cell r="FZ162">
            <v>0</v>
          </cell>
        </row>
        <row r="163">
          <cell r="B163">
            <v>0</v>
          </cell>
          <cell r="C163">
            <v>0</v>
          </cell>
          <cell r="D163">
            <v>0</v>
          </cell>
          <cell r="E163">
            <v>0</v>
          </cell>
          <cell r="F163">
            <v>0</v>
          </cell>
          <cell r="G163">
            <v>0</v>
          </cell>
          <cell r="H163">
            <v>0</v>
          </cell>
          <cell r="I163">
            <v>0</v>
          </cell>
          <cell r="J163">
            <v>0</v>
          </cell>
          <cell r="K163">
            <v>0</v>
          </cell>
          <cell r="L163">
            <v>0</v>
          </cell>
          <cell r="M163">
            <v>0</v>
          </cell>
          <cell r="N163">
            <v>0</v>
          </cell>
          <cell r="O163">
            <v>0</v>
          </cell>
          <cell r="P163">
            <v>0</v>
          </cell>
          <cell r="Q163">
            <v>0</v>
          </cell>
          <cell r="R163">
            <v>0</v>
          </cell>
          <cell r="S163">
            <v>0</v>
          </cell>
          <cell r="T163">
            <v>0</v>
          </cell>
          <cell r="U163">
            <v>0</v>
          </cell>
          <cell r="V163">
            <v>0</v>
          </cell>
          <cell r="W163">
            <v>0</v>
          </cell>
          <cell r="X163">
            <v>0</v>
          </cell>
          <cell r="Y163">
            <v>0</v>
          </cell>
          <cell r="Z163">
            <v>0</v>
          </cell>
          <cell r="AA163">
            <v>0</v>
          </cell>
          <cell r="AB163">
            <v>0</v>
          </cell>
          <cell r="AC163">
            <v>0</v>
          </cell>
          <cell r="AD163">
            <v>0</v>
          </cell>
          <cell r="AE163">
            <v>0</v>
          </cell>
          <cell r="AF163">
            <v>0</v>
          </cell>
          <cell r="AG163">
            <v>0</v>
          </cell>
          <cell r="AH163">
            <v>0</v>
          </cell>
          <cell r="AI163">
            <v>0</v>
          </cell>
          <cell r="AJ163">
            <v>0</v>
          </cell>
          <cell r="AK163">
            <v>0</v>
          </cell>
          <cell r="AL163">
            <v>0</v>
          </cell>
          <cell r="AM163">
            <v>0</v>
          </cell>
          <cell r="AN163">
            <v>0</v>
          </cell>
          <cell r="AO163">
            <v>0</v>
          </cell>
          <cell r="AP163">
            <v>0</v>
          </cell>
          <cell r="AQ163">
            <v>0</v>
          </cell>
          <cell r="AR163">
            <v>0</v>
          </cell>
          <cell r="AS163">
            <v>0</v>
          </cell>
          <cell r="AT163">
            <v>0</v>
          </cell>
          <cell r="AU163">
            <v>0</v>
          </cell>
          <cell r="AV163">
            <v>0</v>
          </cell>
          <cell r="AW163">
            <v>0</v>
          </cell>
          <cell r="AX163">
            <v>0</v>
          </cell>
          <cell r="AY163">
            <v>0</v>
          </cell>
          <cell r="AZ163">
            <v>0</v>
          </cell>
          <cell r="BA163">
            <v>0</v>
          </cell>
          <cell r="BB163">
            <v>0</v>
          </cell>
          <cell r="BC163">
            <v>0</v>
          </cell>
          <cell r="BD163">
            <v>0</v>
          </cell>
          <cell r="BE163">
            <v>0</v>
          </cell>
          <cell r="BF163">
            <v>0</v>
          </cell>
          <cell r="BG163">
            <v>0</v>
          </cell>
          <cell r="BH163">
            <v>0</v>
          </cell>
          <cell r="BI163">
            <v>0</v>
          </cell>
          <cell r="BJ163">
            <v>0</v>
          </cell>
          <cell r="BK163">
            <v>0</v>
          </cell>
          <cell r="BL163">
            <v>0</v>
          </cell>
          <cell r="BM163">
            <v>0</v>
          </cell>
          <cell r="BN163">
            <v>0</v>
          </cell>
          <cell r="BO163">
            <v>0</v>
          </cell>
          <cell r="BP163">
            <v>0</v>
          </cell>
          <cell r="BQ163">
            <v>0</v>
          </cell>
          <cell r="BR163">
            <v>0</v>
          </cell>
          <cell r="BS163">
            <v>0</v>
          </cell>
          <cell r="BT163">
            <v>0</v>
          </cell>
          <cell r="BU163">
            <v>0</v>
          </cell>
          <cell r="BV163">
            <v>0</v>
          </cell>
          <cell r="BW163">
            <v>0</v>
          </cell>
          <cell r="BX163">
            <v>0</v>
          </cell>
          <cell r="BY163">
            <v>0</v>
          </cell>
          <cell r="BZ163">
            <v>0</v>
          </cell>
          <cell r="CA163">
            <v>0</v>
          </cell>
          <cell r="CB163">
            <v>0</v>
          </cell>
          <cell r="CC163">
            <v>0</v>
          </cell>
          <cell r="CD163">
            <v>0</v>
          </cell>
          <cell r="CE163">
            <v>0</v>
          </cell>
          <cell r="CF163">
            <v>0</v>
          </cell>
          <cell r="CG163">
            <v>0</v>
          </cell>
          <cell r="CH163">
            <v>0</v>
          </cell>
          <cell r="CI163">
            <v>0</v>
          </cell>
          <cell r="CJ163">
            <v>0</v>
          </cell>
          <cell r="CK163">
            <v>0</v>
          </cell>
          <cell r="CL163">
            <v>0</v>
          </cell>
          <cell r="CM163">
            <v>0</v>
          </cell>
          <cell r="CN163">
            <v>0</v>
          </cell>
          <cell r="CO163">
            <v>0</v>
          </cell>
          <cell r="CP163">
            <v>0</v>
          </cell>
          <cell r="CQ163">
            <v>0</v>
          </cell>
          <cell r="CR163">
            <v>0</v>
          </cell>
          <cell r="CS163">
            <v>0</v>
          </cell>
          <cell r="CT163">
            <v>0</v>
          </cell>
          <cell r="CU163">
            <v>0</v>
          </cell>
          <cell r="CV163">
            <v>0</v>
          </cell>
          <cell r="CW163">
            <v>0</v>
          </cell>
          <cell r="CX163">
            <v>0</v>
          </cell>
          <cell r="CY163">
            <v>0</v>
          </cell>
          <cell r="CZ163">
            <v>0</v>
          </cell>
          <cell r="DA163">
            <v>0</v>
          </cell>
          <cell r="DB163">
            <v>0</v>
          </cell>
          <cell r="DC163">
            <v>0</v>
          </cell>
          <cell r="DD163">
            <v>0</v>
          </cell>
          <cell r="DE163">
            <v>0</v>
          </cell>
          <cell r="DF163">
            <v>0</v>
          </cell>
          <cell r="DG163">
            <v>0</v>
          </cell>
          <cell r="DH163">
            <v>0</v>
          </cell>
          <cell r="DI163">
            <v>0</v>
          </cell>
          <cell r="DJ163">
            <v>0</v>
          </cell>
          <cell r="DK163">
            <v>0</v>
          </cell>
          <cell r="DL163">
            <v>0</v>
          </cell>
          <cell r="DM163">
            <v>0</v>
          </cell>
          <cell r="DN163">
            <v>0</v>
          </cell>
          <cell r="DO163">
            <v>0</v>
          </cell>
          <cell r="DP163">
            <v>0</v>
          </cell>
          <cell r="DQ163">
            <v>0</v>
          </cell>
          <cell r="DR163">
            <v>0</v>
          </cell>
          <cell r="DS163">
            <v>0</v>
          </cell>
          <cell r="DT163">
            <v>0</v>
          </cell>
          <cell r="DU163">
            <v>0</v>
          </cell>
          <cell r="DV163">
            <v>0</v>
          </cell>
          <cell r="DW163">
            <v>0</v>
          </cell>
          <cell r="DX163">
            <v>0</v>
          </cell>
          <cell r="DY163">
            <v>0</v>
          </cell>
          <cell r="EA163">
            <v>0</v>
          </cell>
          <cell r="EB163">
            <v>0</v>
          </cell>
          <cell r="EC163">
            <v>0</v>
          </cell>
          <cell r="ED163">
            <v>0</v>
          </cell>
          <cell r="EE163">
            <v>0</v>
          </cell>
          <cell r="EF163">
            <v>0</v>
          </cell>
          <cell r="EG163">
            <v>0</v>
          </cell>
          <cell r="EH163">
            <v>0</v>
          </cell>
          <cell r="EI163">
            <v>0</v>
          </cell>
          <cell r="EJ163">
            <v>0</v>
          </cell>
          <cell r="EK163">
            <v>0</v>
          </cell>
          <cell r="EL163">
            <v>0</v>
          </cell>
          <cell r="EM163">
            <v>0</v>
          </cell>
          <cell r="EN163">
            <v>0</v>
          </cell>
          <cell r="EO163">
            <v>0</v>
          </cell>
          <cell r="EP163">
            <v>0</v>
          </cell>
          <cell r="EQ163">
            <v>0</v>
          </cell>
          <cell r="ER163">
            <v>0</v>
          </cell>
          <cell r="ES163">
            <v>0</v>
          </cell>
          <cell r="ET163">
            <v>0</v>
          </cell>
          <cell r="EU163">
            <v>0</v>
          </cell>
          <cell r="EV163">
            <v>0</v>
          </cell>
          <cell r="EW163">
            <v>0</v>
          </cell>
          <cell r="EX163">
            <v>0</v>
          </cell>
          <cell r="EY163">
            <v>0</v>
          </cell>
          <cell r="EZ163">
            <v>0</v>
          </cell>
          <cell r="FA163">
            <v>0</v>
          </cell>
          <cell r="FB163">
            <v>0</v>
          </cell>
          <cell r="FC163">
            <v>0</v>
          </cell>
          <cell r="FD163">
            <v>0</v>
          </cell>
          <cell r="FE163">
            <v>0</v>
          </cell>
          <cell r="FF163">
            <v>0</v>
          </cell>
          <cell r="FG163">
            <v>0</v>
          </cell>
          <cell r="FH163">
            <v>0</v>
          </cell>
          <cell r="FI163">
            <v>0</v>
          </cell>
          <cell r="FJ163">
            <v>0</v>
          </cell>
          <cell r="FK163">
            <v>0</v>
          </cell>
          <cell r="FL163">
            <v>0</v>
          </cell>
          <cell r="FM163">
            <v>0</v>
          </cell>
          <cell r="FN163">
            <v>0</v>
          </cell>
          <cell r="FO163">
            <v>0</v>
          </cell>
          <cell r="FP163">
            <v>0</v>
          </cell>
          <cell r="FQ163">
            <v>0</v>
          </cell>
          <cell r="FR163">
            <v>0</v>
          </cell>
          <cell r="FS163">
            <v>0</v>
          </cell>
          <cell r="FT163">
            <v>0</v>
          </cell>
          <cell r="FU163">
            <v>0</v>
          </cell>
          <cell r="FV163">
            <v>0</v>
          </cell>
          <cell r="FW163">
            <v>0</v>
          </cell>
          <cell r="FX163">
            <v>0</v>
          </cell>
          <cell r="FY163">
            <v>0</v>
          </cell>
          <cell r="FZ163">
            <v>0</v>
          </cell>
        </row>
        <row r="164">
          <cell r="B164">
            <v>0</v>
          </cell>
          <cell r="C164">
            <v>0</v>
          </cell>
          <cell r="D164">
            <v>0</v>
          </cell>
          <cell r="E164">
            <v>0</v>
          </cell>
          <cell r="F164">
            <v>0</v>
          </cell>
          <cell r="G164">
            <v>0</v>
          </cell>
          <cell r="H164">
            <v>0</v>
          </cell>
          <cell r="I164">
            <v>0</v>
          </cell>
          <cell r="J164">
            <v>0</v>
          </cell>
          <cell r="K164">
            <v>0</v>
          </cell>
          <cell r="L164">
            <v>0</v>
          </cell>
          <cell r="M164">
            <v>0</v>
          </cell>
          <cell r="N164">
            <v>0</v>
          </cell>
          <cell r="O164">
            <v>0</v>
          </cell>
          <cell r="P164">
            <v>0</v>
          </cell>
          <cell r="Q164">
            <v>0</v>
          </cell>
          <cell r="R164">
            <v>0</v>
          </cell>
          <cell r="S164">
            <v>0</v>
          </cell>
          <cell r="T164">
            <v>0</v>
          </cell>
          <cell r="U164">
            <v>0</v>
          </cell>
          <cell r="V164">
            <v>0</v>
          </cell>
          <cell r="W164">
            <v>0</v>
          </cell>
          <cell r="X164">
            <v>0</v>
          </cell>
          <cell r="Y164">
            <v>0</v>
          </cell>
          <cell r="Z164">
            <v>0</v>
          </cell>
          <cell r="AA164">
            <v>0</v>
          </cell>
          <cell r="AB164">
            <v>0</v>
          </cell>
          <cell r="AC164">
            <v>0</v>
          </cell>
          <cell r="AD164">
            <v>0</v>
          </cell>
          <cell r="AE164">
            <v>0</v>
          </cell>
          <cell r="AF164">
            <v>0</v>
          </cell>
          <cell r="AG164">
            <v>0</v>
          </cell>
          <cell r="AH164">
            <v>0</v>
          </cell>
          <cell r="AI164">
            <v>0</v>
          </cell>
          <cell r="AJ164">
            <v>0</v>
          </cell>
          <cell r="AK164">
            <v>0</v>
          </cell>
          <cell r="AL164">
            <v>0</v>
          </cell>
          <cell r="AM164">
            <v>0</v>
          </cell>
          <cell r="AN164">
            <v>0</v>
          </cell>
          <cell r="AO164">
            <v>0</v>
          </cell>
          <cell r="AP164">
            <v>0</v>
          </cell>
          <cell r="AQ164">
            <v>0</v>
          </cell>
          <cell r="AR164">
            <v>0</v>
          </cell>
          <cell r="AS164">
            <v>0</v>
          </cell>
          <cell r="AT164">
            <v>0</v>
          </cell>
          <cell r="AU164">
            <v>0</v>
          </cell>
          <cell r="AV164">
            <v>0</v>
          </cell>
          <cell r="AW164">
            <v>0</v>
          </cell>
          <cell r="AX164">
            <v>0</v>
          </cell>
          <cell r="AY164">
            <v>0</v>
          </cell>
          <cell r="AZ164">
            <v>0</v>
          </cell>
          <cell r="BA164">
            <v>0</v>
          </cell>
          <cell r="BB164">
            <v>0</v>
          </cell>
          <cell r="BC164">
            <v>0</v>
          </cell>
          <cell r="BD164">
            <v>0</v>
          </cell>
          <cell r="BE164">
            <v>0</v>
          </cell>
          <cell r="BF164">
            <v>0</v>
          </cell>
          <cell r="BG164">
            <v>0</v>
          </cell>
          <cell r="BH164">
            <v>0</v>
          </cell>
          <cell r="BI164">
            <v>0</v>
          </cell>
          <cell r="BJ164">
            <v>0</v>
          </cell>
          <cell r="BK164">
            <v>0</v>
          </cell>
          <cell r="BL164">
            <v>0</v>
          </cell>
          <cell r="BM164">
            <v>0</v>
          </cell>
          <cell r="BN164">
            <v>0</v>
          </cell>
          <cell r="BO164">
            <v>0</v>
          </cell>
          <cell r="BP164">
            <v>0</v>
          </cell>
          <cell r="BQ164">
            <v>0</v>
          </cell>
          <cell r="BR164">
            <v>0</v>
          </cell>
          <cell r="BS164">
            <v>0</v>
          </cell>
          <cell r="BT164">
            <v>0</v>
          </cell>
          <cell r="BU164">
            <v>0</v>
          </cell>
          <cell r="BV164">
            <v>0</v>
          </cell>
          <cell r="BW164">
            <v>0</v>
          </cell>
          <cell r="BX164">
            <v>0</v>
          </cell>
          <cell r="BY164">
            <v>0</v>
          </cell>
          <cell r="BZ164">
            <v>0</v>
          </cell>
          <cell r="CA164">
            <v>0</v>
          </cell>
          <cell r="CB164">
            <v>0</v>
          </cell>
          <cell r="CC164">
            <v>0</v>
          </cell>
          <cell r="CD164">
            <v>0</v>
          </cell>
          <cell r="CE164">
            <v>0</v>
          </cell>
          <cell r="CF164">
            <v>0</v>
          </cell>
          <cell r="CG164">
            <v>0</v>
          </cell>
          <cell r="CH164">
            <v>0</v>
          </cell>
          <cell r="CI164">
            <v>0</v>
          </cell>
          <cell r="CJ164">
            <v>0</v>
          </cell>
          <cell r="CK164">
            <v>0</v>
          </cell>
          <cell r="CL164">
            <v>0</v>
          </cell>
          <cell r="CM164">
            <v>0</v>
          </cell>
          <cell r="CN164">
            <v>0</v>
          </cell>
          <cell r="CO164">
            <v>0</v>
          </cell>
          <cell r="CP164">
            <v>0</v>
          </cell>
          <cell r="CQ164">
            <v>0</v>
          </cell>
          <cell r="CR164">
            <v>0</v>
          </cell>
          <cell r="CS164">
            <v>0</v>
          </cell>
          <cell r="CT164">
            <v>0</v>
          </cell>
          <cell r="CU164">
            <v>0</v>
          </cell>
          <cell r="CV164">
            <v>0</v>
          </cell>
          <cell r="CW164">
            <v>0</v>
          </cell>
          <cell r="CX164">
            <v>0</v>
          </cell>
          <cell r="CY164">
            <v>0</v>
          </cell>
          <cell r="CZ164">
            <v>0</v>
          </cell>
          <cell r="DA164">
            <v>0</v>
          </cell>
          <cell r="DB164">
            <v>0</v>
          </cell>
          <cell r="DC164">
            <v>0</v>
          </cell>
          <cell r="DD164">
            <v>0</v>
          </cell>
          <cell r="DE164">
            <v>0</v>
          </cell>
          <cell r="DF164">
            <v>0</v>
          </cell>
          <cell r="DG164">
            <v>0</v>
          </cell>
          <cell r="DH164">
            <v>0</v>
          </cell>
          <cell r="DI164">
            <v>0</v>
          </cell>
          <cell r="DJ164">
            <v>0</v>
          </cell>
          <cell r="DK164">
            <v>0</v>
          </cell>
          <cell r="DL164">
            <v>0</v>
          </cell>
          <cell r="DM164">
            <v>0</v>
          </cell>
          <cell r="DN164">
            <v>0</v>
          </cell>
          <cell r="DO164">
            <v>0</v>
          </cell>
          <cell r="DP164">
            <v>0</v>
          </cell>
          <cell r="DQ164">
            <v>0</v>
          </cell>
          <cell r="DR164">
            <v>0</v>
          </cell>
          <cell r="DS164">
            <v>0</v>
          </cell>
          <cell r="DT164">
            <v>0</v>
          </cell>
          <cell r="DU164">
            <v>0</v>
          </cell>
          <cell r="DV164">
            <v>0</v>
          </cell>
          <cell r="DW164">
            <v>0</v>
          </cell>
          <cell r="DX164">
            <v>0</v>
          </cell>
          <cell r="DY164">
            <v>0</v>
          </cell>
          <cell r="EA164">
            <v>0</v>
          </cell>
          <cell r="EB164">
            <v>0</v>
          </cell>
          <cell r="EC164">
            <v>0</v>
          </cell>
          <cell r="ED164">
            <v>0</v>
          </cell>
          <cell r="EE164">
            <v>0</v>
          </cell>
          <cell r="EF164">
            <v>0</v>
          </cell>
          <cell r="EG164">
            <v>0</v>
          </cell>
          <cell r="EH164">
            <v>0</v>
          </cell>
          <cell r="EI164">
            <v>0</v>
          </cell>
          <cell r="EJ164">
            <v>0</v>
          </cell>
          <cell r="EK164">
            <v>0</v>
          </cell>
          <cell r="EL164">
            <v>0</v>
          </cell>
          <cell r="EM164">
            <v>0</v>
          </cell>
          <cell r="EN164">
            <v>0</v>
          </cell>
          <cell r="EO164">
            <v>0</v>
          </cell>
          <cell r="EP164">
            <v>0</v>
          </cell>
          <cell r="EQ164">
            <v>0</v>
          </cell>
          <cell r="ER164">
            <v>0</v>
          </cell>
          <cell r="ES164">
            <v>0</v>
          </cell>
          <cell r="ET164">
            <v>0</v>
          </cell>
          <cell r="EU164">
            <v>0</v>
          </cell>
          <cell r="EV164">
            <v>0</v>
          </cell>
          <cell r="EW164">
            <v>0</v>
          </cell>
          <cell r="EX164">
            <v>0</v>
          </cell>
          <cell r="EY164">
            <v>0</v>
          </cell>
          <cell r="EZ164">
            <v>0</v>
          </cell>
          <cell r="FA164">
            <v>0</v>
          </cell>
          <cell r="FB164">
            <v>0</v>
          </cell>
          <cell r="FC164">
            <v>0</v>
          </cell>
          <cell r="FD164">
            <v>0</v>
          </cell>
          <cell r="FE164">
            <v>0</v>
          </cell>
          <cell r="FF164">
            <v>0</v>
          </cell>
          <cell r="FG164">
            <v>0</v>
          </cell>
          <cell r="FH164">
            <v>0</v>
          </cell>
          <cell r="FI164">
            <v>0</v>
          </cell>
          <cell r="FJ164">
            <v>0</v>
          </cell>
          <cell r="FK164">
            <v>0</v>
          </cell>
          <cell r="FL164">
            <v>0</v>
          </cell>
          <cell r="FM164">
            <v>0</v>
          </cell>
          <cell r="FN164">
            <v>0</v>
          </cell>
          <cell r="FO164">
            <v>0</v>
          </cell>
          <cell r="FP164">
            <v>0</v>
          </cell>
          <cell r="FQ164">
            <v>0</v>
          </cell>
          <cell r="FR164">
            <v>0</v>
          </cell>
          <cell r="FS164">
            <v>0</v>
          </cell>
          <cell r="FT164">
            <v>0</v>
          </cell>
          <cell r="FU164">
            <v>0</v>
          </cell>
          <cell r="FV164">
            <v>0</v>
          </cell>
          <cell r="FW164">
            <v>0</v>
          </cell>
          <cell r="FX164">
            <v>0</v>
          </cell>
          <cell r="FY164">
            <v>0</v>
          </cell>
          <cell r="FZ164">
            <v>0</v>
          </cell>
        </row>
        <row r="165">
          <cell r="B165">
            <v>0</v>
          </cell>
          <cell r="C165">
            <v>0</v>
          </cell>
          <cell r="D165">
            <v>0</v>
          </cell>
          <cell r="E165">
            <v>0</v>
          </cell>
          <cell r="F165">
            <v>0</v>
          </cell>
          <cell r="G165">
            <v>0</v>
          </cell>
          <cell r="H165">
            <v>0</v>
          </cell>
          <cell r="I165">
            <v>0</v>
          </cell>
          <cell r="J165">
            <v>0</v>
          </cell>
          <cell r="K165">
            <v>0</v>
          </cell>
          <cell r="L165">
            <v>0</v>
          </cell>
          <cell r="M165">
            <v>0</v>
          </cell>
          <cell r="N165">
            <v>0</v>
          </cell>
          <cell r="O165">
            <v>0</v>
          </cell>
          <cell r="P165">
            <v>0</v>
          </cell>
          <cell r="Q165">
            <v>0</v>
          </cell>
          <cell r="R165">
            <v>0</v>
          </cell>
          <cell r="S165">
            <v>0</v>
          </cell>
          <cell r="T165">
            <v>0</v>
          </cell>
          <cell r="U165">
            <v>0</v>
          </cell>
          <cell r="V165">
            <v>0</v>
          </cell>
          <cell r="W165">
            <v>0</v>
          </cell>
          <cell r="X165">
            <v>0</v>
          </cell>
          <cell r="Y165">
            <v>0</v>
          </cell>
          <cell r="Z165">
            <v>0</v>
          </cell>
          <cell r="AA165">
            <v>0</v>
          </cell>
          <cell r="AB165">
            <v>0</v>
          </cell>
          <cell r="AC165">
            <v>0</v>
          </cell>
          <cell r="AD165">
            <v>0</v>
          </cell>
          <cell r="AE165">
            <v>0</v>
          </cell>
          <cell r="AF165">
            <v>0</v>
          </cell>
          <cell r="AG165">
            <v>0</v>
          </cell>
          <cell r="AH165">
            <v>0</v>
          </cell>
          <cell r="AI165">
            <v>0</v>
          </cell>
          <cell r="AJ165">
            <v>0</v>
          </cell>
          <cell r="AK165">
            <v>0</v>
          </cell>
          <cell r="AL165">
            <v>0</v>
          </cell>
          <cell r="AM165">
            <v>0</v>
          </cell>
          <cell r="AN165">
            <v>0</v>
          </cell>
          <cell r="AO165">
            <v>0</v>
          </cell>
          <cell r="AP165">
            <v>0</v>
          </cell>
          <cell r="AQ165">
            <v>0</v>
          </cell>
          <cell r="AR165">
            <v>0</v>
          </cell>
          <cell r="AS165">
            <v>0</v>
          </cell>
          <cell r="AT165">
            <v>0</v>
          </cell>
          <cell r="AU165">
            <v>0</v>
          </cell>
          <cell r="AV165">
            <v>0</v>
          </cell>
          <cell r="AW165">
            <v>0</v>
          </cell>
          <cell r="AX165">
            <v>0</v>
          </cell>
          <cell r="AY165">
            <v>0</v>
          </cell>
          <cell r="AZ165">
            <v>0</v>
          </cell>
          <cell r="BA165">
            <v>0</v>
          </cell>
          <cell r="BB165">
            <v>0</v>
          </cell>
          <cell r="BC165">
            <v>0</v>
          </cell>
          <cell r="BD165">
            <v>0</v>
          </cell>
          <cell r="BE165">
            <v>0</v>
          </cell>
          <cell r="BF165">
            <v>0</v>
          </cell>
          <cell r="BG165">
            <v>0</v>
          </cell>
          <cell r="BH165">
            <v>0</v>
          </cell>
          <cell r="BI165">
            <v>0</v>
          </cell>
          <cell r="BJ165">
            <v>0</v>
          </cell>
          <cell r="BK165">
            <v>0</v>
          </cell>
          <cell r="BL165">
            <v>0</v>
          </cell>
          <cell r="BM165">
            <v>0</v>
          </cell>
          <cell r="BN165">
            <v>0</v>
          </cell>
          <cell r="BO165">
            <v>0</v>
          </cell>
          <cell r="BP165">
            <v>0</v>
          </cell>
          <cell r="BQ165">
            <v>0</v>
          </cell>
          <cell r="BR165">
            <v>0</v>
          </cell>
          <cell r="BS165">
            <v>0</v>
          </cell>
          <cell r="BT165">
            <v>0</v>
          </cell>
          <cell r="BU165">
            <v>0</v>
          </cell>
          <cell r="BV165">
            <v>0</v>
          </cell>
          <cell r="BW165">
            <v>0</v>
          </cell>
          <cell r="BX165">
            <v>0</v>
          </cell>
          <cell r="BY165">
            <v>0</v>
          </cell>
          <cell r="BZ165">
            <v>0</v>
          </cell>
          <cell r="CA165">
            <v>0</v>
          </cell>
          <cell r="CB165">
            <v>0</v>
          </cell>
          <cell r="CC165">
            <v>0</v>
          </cell>
          <cell r="CD165">
            <v>0</v>
          </cell>
          <cell r="CE165">
            <v>0</v>
          </cell>
          <cell r="CF165">
            <v>0</v>
          </cell>
          <cell r="CG165">
            <v>0</v>
          </cell>
          <cell r="CH165">
            <v>0</v>
          </cell>
          <cell r="CI165">
            <v>0</v>
          </cell>
          <cell r="CJ165">
            <v>0</v>
          </cell>
          <cell r="CK165">
            <v>0</v>
          </cell>
          <cell r="CL165">
            <v>0</v>
          </cell>
          <cell r="CM165">
            <v>0</v>
          </cell>
          <cell r="CN165">
            <v>0</v>
          </cell>
          <cell r="CO165">
            <v>0</v>
          </cell>
          <cell r="CP165">
            <v>0</v>
          </cell>
          <cell r="CQ165">
            <v>0</v>
          </cell>
          <cell r="CR165">
            <v>0</v>
          </cell>
          <cell r="CS165">
            <v>0</v>
          </cell>
          <cell r="CT165">
            <v>0</v>
          </cell>
          <cell r="CU165">
            <v>0</v>
          </cell>
          <cell r="CV165">
            <v>0</v>
          </cell>
          <cell r="CW165">
            <v>0</v>
          </cell>
          <cell r="CX165">
            <v>0</v>
          </cell>
          <cell r="CY165">
            <v>0</v>
          </cell>
          <cell r="CZ165">
            <v>0</v>
          </cell>
          <cell r="DA165">
            <v>0</v>
          </cell>
          <cell r="DB165">
            <v>0</v>
          </cell>
          <cell r="DC165">
            <v>0</v>
          </cell>
          <cell r="DD165">
            <v>0</v>
          </cell>
          <cell r="DE165">
            <v>0</v>
          </cell>
          <cell r="DF165">
            <v>0</v>
          </cell>
          <cell r="DG165">
            <v>0</v>
          </cell>
          <cell r="DH165">
            <v>0</v>
          </cell>
          <cell r="DI165">
            <v>0</v>
          </cell>
          <cell r="DJ165">
            <v>0</v>
          </cell>
          <cell r="DK165">
            <v>0</v>
          </cell>
          <cell r="DL165">
            <v>0</v>
          </cell>
          <cell r="DM165">
            <v>0</v>
          </cell>
          <cell r="DN165">
            <v>0</v>
          </cell>
          <cell r="DO165">
            <v>0</v>
          </cell>
          <cell r="DP165">
            <v>0</v>
          </cell>
          <cell r="DQ165">
            <v>0</v>
          </cell>
          <cell r="DR165">
            <v>0</v>
          </cell>
          <cell r="DS165">
            <v>0</v>
          </cell>
          <cell r="DT165">
            <v>0</v>
          </cell>
          <cell r="DU165">
            <v>0</v>
          </cell>
          <cell r="DV165">
            <v>0</v>
          </cell>
          <cell r="DW165">
            <v>0</v>
          </cell>
          <cell r="DX165">
            <v>0</v>
          </cell>
          <cell r="DY165">
            <v>0</v>
          </cell>
          <cell r="DZ165">
            <v>0</v>
          </cell>
          <cell r="EA165">
            <v>0</v>
          </cell>
          <cell r="EB165">
            <v>0</v>
          </cell>
          <cell r="EC165">
            <v>0</v>
          </cell>
          <cell r="ED165">
            <v>0</v>
          </cell>
          <cell r="EE165">
            <v>0</v>
          </cell>
          <cell r="EF165">
            <v>0</v>
          </cell>
          <cell r="EG165">
            <v>0</v>
          </cell>
          <cell r="EH165">
            <v>0</v>
          </cell>
          <cell r="EI165">
            <v>0</v>
          </cell>
          <cell r="EJ165">
            <v>0</v>
          </cell>
          <cell r="EK165">
            <v>0</v>
          </cell>
          <cell r="EL165">
            <v>0</v>
          </cell>
          <cell r="EM165">
            <v>0</v>
          </cell>
          <cell r="EN165">
            <v>0</v>
          </cell>
          <cell r="EO165">
            <v>0</v>
          </cell>
          <cell r="EP165">
            <v>0</v>
          </cell>
          <cell r="EQ165">
            <v>0</v>
          </cell>
          <cell r="ER165">
            <v>0</v>
          </cell>
          <cell r="ES165">
            <v>0</v>
          </cell>
          <cell r="ET165">
            <v>0</v>
          </cell>
          <cell r="EU165">
            <v>0</v>
          </cell>
          <cell r="EV165">
            <v>0</v>
          </cell>
          <cell r="EW165">
            <v>0</v>
          </cell>
          <cell r="EX165">
            <v>0</v>
          </cell>
          <cell r="EY165">
            <v>0</v>
          </cell>
          <cell r="EZ165">
            <v>0</v>
          </cell>
          <cell r="FA165">
            <v>0</v>
          </cell>
          <cell r="FB165">
            <v>0</v>
          </cell>
          <cell r="FC165">
            <v>0</v>
          </cell>
          <cell r="FD165">
            <v>0</v>
          </cell>
          <cell r="FE165">
            <v>0</v>
          </cell>
          <cell r="FF165">
            <v>0</v>
          </cell>
          <cell r="FG165">
            <v>0</v>
          </cell>
          <cell r="FH165">
            <v>0</v>
          </cell>
          <cell r="FI165">
            <v>0</v>
          </cell>
          <cell r="FJ165">
            <v>0</v>
          </cell>
          <cell r="FK165">
            <v>0</v>
          </cell>
          <cell r="FL165">
            <v>0</v>
          </cell>
          <cell r="FM165">
            <v>0</v>
          </cell>
          <cell r="FN165">
            <v>0</v>
          </cell>
          <cell r="FO165">
            <v>0</v>
          </cell>
          <cell r="FP165">
            <v>0</v>
          </cell>
          <cell r="FQ165">
            <v>0</v>
          </cell>
          <cell r="FR165">
            <v>0</v>
          </cell>
          <cell r="FS165">
            <v>0</v>
          </cell>
          <cell r="FT165">
            <v>0</v>
          </cell>
          <cell r="FU165">
            <v>0</v>
          </cell>
          <cell r="FV165">
            <v>0</v>
          </cell>
          <cell r="FW165">
            <v>0</v>
          </cell>
          <cell r="FX165">
            <v>0</v>
          </cell>
          <cell r="FY165">
            <v>0</v>
          </cell>
          <cell r="FZ165">
            <v>0</v>
          </cell>
        </row>
        <row r="166">
          <cell r="B166">
            <v>0</v>
          </cell>
          <cell r="C166">
            <v>0</v>
          </cell>
          <cell r="D166">
            <v>0</v>
          </cell>
          <cell r="E166">
            <v>0</v>
          </cell>
          <cell r="F166">
            <v>0</v>
          </cell>
          <cell r="G166">
            <v>0</v>
          </cell>
          <cell r="H166">
            <v>0</v>
          </cell>
          <cell r="I166">
            <v>0</v>
          </cell>
          <cell r="J166">
            <v>0</v>
          </cell>
          <cell r="K166">
            <v>0</v>
          </cell>
          <cell r="L166">
            <v>0</v>
          </cell>
          <cell r="M166">
            <v>0</v>
          </cell>
          <cell r="N166">
            <v>0</v>
          </cell>
          <cell r="O166">
            <v>0</v>
          </cell>
          <cell r="P166">
            <v>0</v>
          </cell>
          <cell r="Q166">
            <v>0</v>
          </cell>
          <cell r="R166">
            <v>0</v>
          </cell>
          <cell r="S166">
            <v>0</v>
          </cell>
          <cell r="T166">
            <v>0</v>
          </cell>
          <cell r="U166">
            <v>0</v>
          </cell>
          <cell r="V166">
            <v>0</v>
          </cell>
          <cell r="W166">
            <v>0</v>
          </cell>
          <cell r="X166">
            <v>0</v>
          </cell>
          <cell r="Y166">
            <v>0</v>
          </cell>
          <cell r="Z166">
            <v>0</v>
          </cell>
          <cell r="AA166">
            <v>0</v>
          </cell>
          <cell r="AB166">
            <v>0</v>
          </cell>
          <cell r="AC166">
            <v>0</v>
          </cell>
          <cell r="AD166">
            <v>0</v>
          </cell>
          <cell r="AE166">
            <v>0</v>
          </cell>
          <cell r="AF166">
            <v>0</v>
          </cell>
          <cell r="AG166">
            <v>0</v>
          </cell>
          <cell r="AH166">
            <v>0</v>
          </cell>
          <cell r="AI166">
            <v>0</v>
          </cell>
          <cell r="AJ166">
            <v>0</v>
          </cell>
          <cell r="AK166">
            <v>0</v>
          </cell>
          <cell r="AL166">
            <v>0</v>
          </cell>
          <cell r="AM166">
            <v>0</v>
          </cell>
          <cell r="AN166">
            <v>0</v>
          </cell>
          <cell r="AO166">
            <v>0</v>
          </cell>
          <cell r="AP166">
            <v>0</v>
          </cell>
          <cell r="AQ166">
            <v>0</v>
          </cell>
          <cell r="AR166">
            <v>0</v>
          </cell>
          <cell r="AS166">
            <v>0</v>
          </cell>
          <cell r="AT166">
            <v>0</v>
          </cell>
          <cell r="AU166">
            <v>0</v>
          </cell>
          <cell r="AV166">
            <v>0</v>
          </cell>
          <cell r="AW166">
            <v>0</v>
          </cell>
          <cell r="AX166">
            <v>0</v>
          </cell>
          <cell r="AY166">
            <v>0</v>
          </cell>
          <cell r="AZ166">
            <v>0</v>
          </cell>
          <cell r="BA166">
            <v>0</v>
          </cell>
          <cell r="BB166">
            <v>0</v>
          </cell>
          <cell r="BC166">
            <v>0</v>
          </cell>
          <cell r="BD166">
            <v>0</v>
          </cell>
          <cell r="BE166">
            <v>0</v>
          </cell>
          <cell r="BF166">
            <v>0</v>
          </cell>
          <cell r="BG166">
            <v>0</v>
          </cell>
          <cell r="BH166">
            <v>0</v>
          </cell>
          <cell r="BI166">
            <v>0</v>
          </cell>
          <cell r="BJ166">
            <v>0</v>
          </cell>
          <cell r="BK166">
            <v>0</v>
          </cell>
          <cell r="BL166">
            <v>0</v>
          </cell>
          <cell r="BM166">
            <v>0</v>
          </cell>
          <cell r="BN166">
            <v>0</v>
          </cell>
          <cell r="BO166">
            <v>0</v>
          </cell>
          <cell r="BP166">
            <v>0</v>
          </cell>
          <cell r="BQ166">
            <v>0</v>
          </cell>
          <cell r="BR166">
            <v>0</v>
          </cell>
          <cell r="BS166">
            <v>0</v>
          </cell>
          <cell r="BT166">
            <v>0</v>
          </cell>
          <cell r="BU166">
            <v>0</v>
          </cell>
          <cell r="BV166">
            <v>0</v>
          </cell>
          <cell r="BW166">
            <v>0</v>
          </cell>
          <cell r="BX166">
            <v>0</v>
          </cell>
          <cell r="BY166">
            <v>0</v>
          </cell>
          <cell r="BZ166">
            <v>0</v>
          </cell>
          <cell r="CA166">
            <v>0</v>
          </cell>
          <cell r="CB166">
            <v>0</v>
          </cell>
          <cell r="CC166">
            <v>0</v>
          </cell>
          <cell r="CD166">
            <v>0</v>
          </cell>
          <cell r="CE166">
            <v>0</v>
          </cell>
          <cell r="CF166">
            <v>0</v>
          </cell>
          <cell r="CG166">
            <v>0</v>
          </cell>
          <cell r="CH166">
            <v>0</v>
          </cell>
          <cell r="CI166">
            <v>0</v>
          </cell>
          <cell r="CJ166">
            <v>0</v>
          </cell>
          <cell r="CK166">
            <v>0</v>
          </cell>
          <cell r="CL166">
            <v>0</v>
          </cell>
          <cell r="CM166">
            <v>0</v>
          </cell>
          <cell r="CN166">
            <v>0</v>
          </cell>
          <cell r="CO166">
            <v>0</v>
          </cell>
          <cell r="CP166">
            <v>0</v>
          </cell>
          <cell r="CQ166">
            <v>0</v>
          </cell>
          <cell r="CR166">
            <v>0</v>
          </cell>
          <cell r="CS166">
            <v>0</v>
          </cell>
          <cell r="CT166">
            <v>0</v>
          </cell>
          <cell r="CU166">
            <v>0</v>
          </cell>
          <cell r="CV166">
            <v>0</v>
          </cell>
          <cell r="CW166">
            <v>0</v>
          </cell>
          <cell r="CX166">
            <v>0</v>
          </cell>
          <cell r="CY166">
            <v>0</v>
          </cell>
          <cell r="CZ166">
            <v>0</v>
          </cell>
          <cell r="DA166">
            <v>0</v>
          </cell>
          <cell r="DB166">
            <v>0</v>
          </cell>
          <cell r="DC166">
            <v>0</v>
          </cell>
          <cell r="DD166">
            <v>0</v>
          </cell>
          <cell r="DE166">
            <v>0</v>
          </cell>
          <cell r="DF166">
            <v>0</v>
          </cell>
          <cell r="DG166">
            <v>0</v>
          </cell>
          <cell r="DH166">
            <v>0</v>
          </cell>
          <cell r="DI166">
            <v>0</v>
          </cell>
          <cell r="DJ166">
            <v>0</v>
          </cell>
          <cell r="DK166">
            <v>0</v>
          </cell>
          <cell r="DL166">
            <v>0</v>
          </cell>
          <cell r="DM166">
            <v>0</v>
          </cell>
          <cell r="DN166">
            <v>0</v>
          </cell>
          <cell r="DO166">
            <v>0</v>
          </cell>
          <cell r="DP166">
            <v>0</v>
          </cell>
          <cell r="DQ166">
            <v>0</v>
          </cell>
          <cell r="DR166">
            <v>0</v>
          </cell>
          <cell r="DS166">
            <v>0</v>
          </cell>
          <cell r="DT166">
            <v>0</v>
          </cell>
          <cell r="DU166">
            <v>0</v>
          </cell>
          <cell r="DV166">
            <v>0</v>
          </cell>
          <cell r="DW166">
            <v>0</v>
          </cell>
          <cell r="DX166">
            <v>0</v>
          </cell>
          <cell r="DY166">
            <v>0</v>
          </cell>
          <cell r="DZ166">
            <v>0</v>
          </cell>
          <cell r="EA166">
            <v>0</v>
          </cell>
          <cell r="EB166">
            <v>0</v>
          </cell>
          <cell r="EC166">
            <v>0</v>
          </cell>
          <cell r="ED166">
            <v>0</v>
          </cell>
          <cell r="EE166">
            <v>0</v>
          </cell>
          <cell r="EF166">
            <v>0</v>
          </cell>
          <cell r="EG166">
            <v>0</v>
          </cell>
          <cell r="EH166">
            <v>0</v>
          </cell>
          <cell r="EI166">
            <v>0</v>
          </cell>
          <cell r="EJ166">
            <v>0</v>
          </cell>
          <cell r="EK166">
            <v>0</v>
          </cell>
          <cell r="EL166">
            <v>0</v>
          </cell>
          <cell r="EM166">
            <v>0</v>
          </cell>
          <cell r="EN166">
            <v>0</v>
          </cell>
          <cell r="EO166">
            <v>0</v>
          </cell>
          <cell r="EP166">
            <v>0</v>
          </cell>
          <cell r="EQ166">
            <v>0</v>
          </cell>
          <cell r="ER166">
            <v>0</v>
          </cell>
          <cell r="ES166">
            <v>0</v>
          </cell>
          <cell r="ET166">
            <v>0</v>
          </cell>
          <cell r="EU166">
            <v>0</v>
          </cell>
          <cell r="EV166">
            <v>0</v>
          </cell>
          <cell r="EW166">
            <v>0</v>
          </cell>
          <cell r="EX166">
            <v>0</v>
          </cell>
          <cell r="EY166">
            <v>0</v>
          </cell>
          <cell r="EZ166">
            <v>0</v>
          </cell>
          <cell r="FA166">
            <v>0</v>
          </cell>
          <cell r="FB166">
            <v>0</v>
          </cell>
          <cell r="FC166">
            <v>0</v>
          </cell>
          <cell r="FD166">
            <v>0</v>
          </cell>
          <cell r="FE166">
            <v>0</v>
          </cell>
          <cell r="FF166">
            <v>0</v>
          </cell>
          <cell r="FG166">
            <v>0</v>
          </cell>
          <cell r="FH166">
            <v>0</v>
          </cell>
          <cell r="FI166">
            <v>0</v>
          </cell>
          <cell r="FJ166">
            <v>0</v>
          </cell>
          <cell r="FK166">
            <v>0</v>
          </cell>
          <cell r="FL166">
            <v>0</v>
          </cell>
          <cell r="FM166">
            <v>0</v>
          </cell>
          <cell r="FN166">
            <v>0</v>
          </cell>
          <cell r="FO166">
            <v>0</v>
          </cell>
          <cell r="FP166">
            <v>0</v>
          </cell>
          <cell r="FQ166">
            <v>0</v>
          </cell>
          <cell r="FR166">
            <v>0</v>
          </cell>
          <cell r="FS166">
            <v>0</v>
          </cell>
          <cell r="FT166">
            <v>0</v>
          </cell>
          <cell r="FU166">
            <v>0</v>
          </cell>
          <cell r="FV166">
            <v>0</v>
          </cell>
          <cell r="FW166">
            <v>0</v>
          </cell>
          <cell r="FX166">
            <v>0</v>
          </cell>
          <cell r="FY166">
            <v>0</v>
          </cell>
          <cell r="FZ166">
            <v>0</v>
          </cell>
        </row>
        <row r="167">
          <cell r="B167">
            <v>0</v>
          </cell>
          <cell r="C167">
            <v>0</v>
          </cell>
          <cell r="D167">
            <v>0</v>
          </cell>
          <cell r="E167">
            <v>0</v>
          </cell>
          <cell r="F167">
            <v>0</v>
          </cell>
          <cell r="G167">
            <v>0</v>
          </cell>
          <cell r="H167">
            <v>0</v>
          </cell>
          <cell r="I167">
            <v>0</v>
          </cell>
          <cell r="J167">
            <v>0</v>
          </cell>
          <cell r="K167">
            <v>0</v>
          </cell>
          <cell r="L167">
            <v>0</v>
          </cell>
          <cell r="M167">
            <v>0</v>
          </cell>
          <cell r="N167">
            <v>0</v>
          </cell>
          <cell r="O167">
            <v>0</v>
          </cell>
          <cell r="P167">
            <v>0</v>
          </cell>
          <cell r="Q167">
            <v>0</v>
          </cell>
          <cell r="R167">
            <v>0</v>
          </cell>
          <cell r="S167">
            <v>0</v>
          </cell>
          <cell r="T167">
            <v>0</v>
          </cell>
          <cell r="U167">
            <v>0</v>
          </cell>
          <cell r="V167">
            <v>0</v>
          </cell>
          <cell r="W167">
            <v>0</v>
          </cell>
          <cell r="X167">
            <v>0</v>
          </cell>
          <cell r="Y167">
            <v>0</v>
          </cell>
          <cell r="Z167">
            <v>0</v>
          </cell>
          <cell r="AA167">
            <v>0</v>
          </cell>
          <cell r="AB167">
            <v>0</v>
          </cell>
          <cell r="AC167">
            <v>0</v>
          </cell>
          <cell r="AD167">
            <v>0</v>
          </cell>
          <cell r="AE167">
            <v>0</v>
          </cell>
          <cell r="AF167">
            <v>0</v>
          </cell>
          <cell r="AG167">
            <v>0</v>
          </cell>
          <cell r="AH167">
            <v>0</v>
          </cell>
          <cell r="AI167">
            <v>0</v>
          </cell>
          <cell r="AJ167">
            <v>0</v>
          </cell>
          <cell r="AK167">
            <v>0</v>
          </cell>
          <cell r="AL167">
            <v>0</v>
          </cell>
          <cell r="AM167">
            <v>0</v>
          </cell>
          <cell r="AN167">
            <v>0</v>
          </cell>
          <cell r="AO167">
            <v>0</v>
          </cell>
          <cell r="AP167">
            <v>0</v>
          </cell>
          <cell r="AQ167">
            <v>0</v>
          </cell>
          <cell r="AR167">
            <v>0</v>
          </cell>
          <cell r="AS167">
            <v>0</v>
          </cell>
          <cell r="AT167">
            <v>0</v>
          </cell>
          <cell r="AU167">
            <v>0</v>
          </cell>
          <cell r="AV167">
            <v>0</v>
          </cell>
          <cell r="AW167">
            <v>0</v>
          </cell>
          <cell r="AX167">
            <v>0</v>
          </cell>
          <cell r="AY167">
            <v>0</v>
          </cell>
          <cell r="AZ167">
            <v>0</v>
          </cell>
          <cell r="BA167">
            <v>0</v>
          </cell>
          <cell r="BB167">
            <v>0</v>
          </cell>
          <cell r="BC167">
            <v>0</v>
          </cell>
          <cell r="BD167">
            <v>0</v>
          </cell>
          <cell r="BE167">
            <v>0</v>
          </cell>
          <cell r="BF167">
            <v>0</v>
          </cell>
          <cell r="BG167">
            <v>0</v>
          </cell>
          <cell r="BH167">
            <v>0</v>
          </cell>
          <cell r="BI167">
            <v>0</v>
          </cell>
          <cell r="BJ167">
            <v>0</v>
          </cell>
          <cell r="BK167">
            <v>0</v>
          </cell>
          <cell r="BL167">
            <v>0</v>
          </cell>
          <cell r="BM167">
            <v>0</v>
          </cell>
          <cell r="BN167">
            <v>0</v>
          </cell>
          <cell r="BO167">
            <v>0</v>
          </cell>
          <cell r="BP167">
            <v>0</v>
          </cell>
          <cell r="BQ167">
            <v>0</v>
          </cell>
          <cell r="BR167">
            <v>0</v>
          </cell>
          <cell r="BS167">
            <v>0</v>
          </cell>
          <cell r="BT167">
            <v>0</v>
          </cell>
          <cell r="BU167">
            <v>0</v>
          </cell>
          <cell r="BV167">
            <v>0</v>
          </cell>
          <cell r="BW167">
            <v>0</v>
          </cell>
          <cell r="BX167">
            <v>0</v>
          </cell>
          <cell r="BY167">
            <v>0</v>
          </cell>
          <cell r="BZ167">
            <v>0</v>
          </cell>
          <cell r="CA167">
            <v>0</v>
          </cell>
          <cell r="CB167">
            <v>0</v>
          </cell>
          <cell r="CC167">
            <v>0</v>
          </cell>
          <cell r="CD167">
            <v>0</v>
          </cell>
          <cell r="CE167">
            <v>0</v>
          </cell>
          <cell r="CF167">
            <v>0</v>
          </cell>
          <cell r="CG167">
            <v>0</v>
          </cell>
          <cell r="CH167">
            <v>0</v>
          </cell>
          <cell r="CI167">
            <v>0</v>
          </cell>
          <cell r="CJ167">
            <v>0</v>
          </cell>
          <cell r="CK167">
            <v>0</v>
          </cell>
          <cell r="CL167">
            <v>0</v>
          </cell>
          <cell r="CM167">
            <v>0</v>
          </cell>
          <cell r="CN167">
            <v>0</v>
          </cell>
          <cell r="CO167">
            <v>0</v>
          </cell>
          <cell r="CP167">
            <v>0</v>
          </cell>
          <cell r="CQ167">
            <v>0</v>
          </cell>
          <cell r="CR167">
            <v>0</v>
          </cell>
          <cell r="CS167">
            <v>0</v>
          </cell>
          <cell r="CT167">
            <v>0</v>
          </cell>
          <cell r="CU167">
            <v>0</v>
          </cell>
          <cell r="CV167">
            <v>0</v>
          </cell>
          <cell r="CW167">
            <v>0</v>
          </cell>
          <cell r="CX167">
            <v>0</v>
          </cell>
          <cell r="CY167">
            <v>0</v>
          </cell>
          <cell r="CZ167">
            <v>0</v>
          </cell>
          <cell r="DA167">
            <v>0</v>
          </cell>
          <cell r="DB167">
            <v>0</v>
          </cell>
          <cell r="DC167">
            <v>0</v>
          </cell>
          <cell r="DD167">
            <v>0</v>
          </cell>
          <cell r="DE167">
            <v>0</v>
          </cell>
          <cell r="DF167">
            <v>0</v>
          </cell>
          <cell r="DG167">
            <v>0</v>
          </cell>
          <cell r="DH167">
            <v>0</v>
          </cell>
          <cell r="DI167">
            <v>0</v>
          </cell>
          <cell r="DJ167">
            <v>0</v>
          </cell>
          <cell r="DK167">
            <v>0</v>
          </cell>
          <cell r="DL167">
            <v>0</v>
          </cell>
          <cell r="DM167">
            <v>0</v>
          </cell>
          <cell r="DN167">
            <v>0</v>
          </cell>
          <cell r="DO167">
            <v>0</v>
          </cell>
          <cell r="DP167">
            <v>0</v>
          </cell>
          <cell r="DQ167">
            <v>0</v>
          </cell>
          <cell r="DR167">
            <v>0</v>
          </cell>
          <cell r="DS167">
            <v>0</v>
          </cell>
          <cell r="DT167">
            <v>0</v>
          </cell>
          <cell r="DU167">
            <v>0</v>
          </cell>
          <cell r="DV167">
            <v>0</v>
          </cell>
          <cell r="DW167">
            <v>0</v>
          </cell>
          <cell r="DX167">
            <v>0</v>
          </cell>
          <cell r="DY167">
            <v>0</v>
          </cell>
          <cell r="DZ167">
            <v>0</v>
          </cell>
          <cell r="EA167">
            <v>0</v>
          </cell>
          <cell r="EB167">
            <v>0</v>
          </cell>
          <cell r="EC167">
            <v>0</v>
          </cell>
          <cell r="ED167">
            <v>0</v>
          </cell>
          <cell r="EE167">
            <v>0</v>
          </cell>
          <cell r="EF167">
            <v>0</v>
          </cell>
          <cell r="EG167">
            <v>0</v>
          </cell>
          <cell r="EH167">
            <v>0</v>
          </cell>
          <cell r="EI167">
            <v>0</v>
          </cell>
          <cell r="EJ167">
            <v>0</v>
          </cell>
          <cell r="EK167">
            <v>0</v>
          </cell>
          <cell r="EL167">
            <v>0</v>
          </cell>
          <cell r="EM167">
            <v>0</v>
          </cell>
          <cell r="EN167">
            <v>0</v>
          </cell>
          <cell r="EO167">
            <v>0</v>
          </cell>
          <cell r="EP167">
            <v>0</v>
          </cell>
          <cell r="EQ167">
            <v>0</v>
          </cell>
          <cell r="ER167">
            <v>0</v>
          </cell>
          <cell r="ES167">
            <v>0</v>
          </cell>
          <cell r="ET167">
            <v>0</v>
          </cell>
          <cell r="EU167">
            <v>0</v>
          </cell>
          <cell r="EV167">
            <v>0</v>
          </cell>
          <cell r="EW167">
            <v>0</v>
          </cell>
          <cell r="EX167">
            <v>0</v>
          </cell>
          <cell r="EY167">
            <v>0</v>
          </cell>
          <cell r="EZ167">
            <v>0</v>
          </cell>
          <cell r="FA167">
            <v>0</v>
          </cell>
          <cell r="FB167">
            <v>0</v>
          </cell>
          <cell r="FC167">
            <v>0</v>
          </cell>
          <cell r="FD167">
            <v>0</v>
          </cell>
          <cell r="FE167">
            <v>0</v>
          </cell>
          <cell r="FF167">
            <v>0</v>
          </cell>
          <cell r="FG167">
            <v>0</v>
          </cell>
          <cell r="FH167">
            <v>0</v>
          </cell>
          <cell r="FI167">
            <v>0</v>
          </cell>
          <cell r="FJ167">
            <v>0</v>
          </cell>
          <cell r="FK167">
            <v>0</v>
          </cell>
          <cell r="FL167">
            <v>0</v>
          </cell>
          <cell r="FM167">
            <v>0</v>
          </cell>
          <cell r="FN167">
            <v>0</v>
          </cell>
          <cell r="FO167">
            <v>0</v>
          </cell>
          <cell r="FP167">
            <v>0</v>
          </cell>
          <cell r="FQ167">
            <v>0</v>
          </cell>
          <cell r="FR167">
            <v>0</v>
          </cell>
          <cell r="FS167">
            <v>0</v>
          </cell>
          <cell r="FT167">
            <v>0</v>
          </cell>
          <cell r="FU167">
            <v>0</v>
          </cell>
          <cell r="FV167">
            <v>0</v>
          </cell>
          <cell r="FW167">
            <v>0</v>
          </cell>
          <cell r="FX167">
            <v>0</v>
          </cell>
          <cell r="FY167">
            <v>0</v>
          </cell>
          <cell r="FZ167">
            <v>0</v>
          </cell>
        </row>
        <row r="168">
          <cell r="B168">
            <v>0</v>
          </cell>
          <cell r="C168">
            <v>0</v>
          </cell>
          <cell r="D168">
            <v>0</v>
          </cell>
          <cell r="E168">
            <v>0</v>
          </cell>
          <cell r="F168">
            <v>0</v>
          </cell>
          <cell r="G168">
            <v>0</v>
          </cell>
          <cell r="H168">
            <v>0</v>
          </cell>
          <cell r="I168">
            <v>0</v>
          </cell>
          <cell r="J168">
            <v>0</v>
          </cell>
          <cell r="K168">
            <v>0</v>
          </cell>
          <cell r="L168">
            <v>0</v>
          </cell>
          <cell r="M168">
            <v>0</v>
          </cell>
          <cell r="N168">
            <v>0</v>
          </cell>
          <cell r="O168">
            <v>0</v>
          </cell>
          <cell r="P168">
            <v>0</v>
          </cell>
          <cell r="Q168">
            <v>0</v>
          </cell>
          <cell r="R168">
            <v>0</v>
          </cell>
          <cell r="S168">
            <v>0</v>
          </cell>
          <cell r="T168">
            <v>0</v>
          </cell>
          <cell r="U168">
            <v>0</v>
          </cell>
          <cell r="V168">
            <v>0</v>
          </cell>
          <cell r="W168">
            <v>0</v>
          </cell>
          <cell r="X168">
            <v>0</v>
          </cell>
          <cell r="Y168">
            <v>0</v>
          </cell>
          <cell r="Z168">
            <v>0</v>
          </cell>
          <cell r="AA168">
            <v>0</v>
          </cell>
          <cell r="AB168">
            <v>0</v>
          </cell>
          <cell r="AC168">
            <v>0</v>
          </cell>
          <cell r="AD168">
            <v>0</v>
          </cell>
          <cell r="AE168">
            <v>0</v>
          </cell>
          <cell r="AF168">
            <v>0</v>
          </cell>
          <cell r="AG168">
            <v>0</v>
          </cell>
          <cell r="AH168">
            <v>0</v>
          </cell>
          <cell r="AI168">
            <v>0</v>
          </cell>
          <cell r="AJ168">
            <v>0</v>
          </cell>
          <cell r="AK168">
            <v>0</v>
          </cell>
          <cell r="AL168">
            <v>0</v>
          </cell>
          <cell r="AM168">
            <v>0</v>
          </cell>
          <cell r="AN168">
            <v>0</v>
          </cell>
          <cell r="AO168">
            <v>0</v>
          </cell>
          <cell r="AP168">
            <v>0</v>
          </cell>
          <cell r="AQ168">
            <v>0</v>
          </cell>
          <cell r="AR168">
            <v>0</v>
          </cell>
          <cell r="AS168">
            <v>0</v>
          </cell>
          <cell r="AT168">
            <v>0</v>
          </cell>
          <cell r="AU168">
            <v>0</v>
          </cell>
          <cell r="AV168">
            <v>0</v>
          </cell>
          <cell r="AW168">
            <v>0</v>
          </cell>
          <cell r="AX168">
            <v>0</v>
          </cell>
          <cell r="AY168">
            <v>0</v>
          </cell>
          <cell r="AZ168">
            <v>0</v>
          </cell>
          <cell r="BA168">
            <v>0</v>
          </cell>
          <cell r="BB168">
            <v>0</v>
          </cell>
          <cell r="BC168">
            <v>0</v>
          </cell>
          <cell r="BD168">
            <v>0</v>
          </cell>
          <cell r="BE168">
            <v>0</v>
          </cell>
          <cell r="BF168">
            <v>0</v>
          </cell>
          <cell r="BG168">
            <v>0</v>
          </cell>
          <cell r="BH168">
            <v>0</v>
          </cell>
          <cell r="BI168">
            <v>0</v>
          </cell>
          <cell r="BJ168">
            <v>0</v>
          </cell>
          <cell r="BK168">
            <v>0</v>
          </cell>
          <cell r="BL168">
            <v>0</v>
          </cell>
          <cell r="BM168">
            <v>0</v>
          </cell>
          <cell r="BN168">
            <v>0</v>
          </cell>
          <cell r="BO168">
            <v>0</v>
          </cell>
          <cell r="BP168">
            <v>0</v>
          </cell>
          <cell r="BQ168">
            <v>0</v>
          </cell>
          <cell r="BR168">
            <v>0</v>
          </cell>
          <cell r="BS168">
            <v>0</v>
          </cell>
          <cell r="BT168">
            <v>0</v>
          </cell>
          <cell r="BU168">
            <v>0</v>
          </cell>
          <cell r="BV168">
            <v>0</v>
          </cell>
          <cell r="BW168">
            <v>0</v>
          </cell>
          <cell r="BX168">
            <v>0</v>
          </cell>
          <cell r="BY168">
            <v>0</v>
          </cell>
          <cell r="BZ168">
            <v>0</v>
          </cell>
          <cell r="CA168">
            <v>0</v>
          </cell>
          <cell r="CB168">
            <v>0</v>
          </cell>
          <cell r="CC168">
            <v>0</v>
          </cell>
          <cell r="CD168">
            <v>0</v>
          </cell>
          <cell r="CE168">
            <v>0</v>
          </cell>
          <cell r="CF168">
            <v>0</v>
          </cell>
          <cell r="CG168">
            <v>0</v>
          </cell>
          <cell r="CH168">
            <v>0</v>
          </cell>
          <cell r="CI168">
            <v>0</v>
          </cell>
          <cell r="CJ168">
            <v>0</v>
          </cell>
          <cell r="CK168">
            <v>0</v>
          </cell>
          <cell r="CL168">
            <v>0</v>
          </cell>
          <cell r="CM168">
            <v>0</v>
          </cell>
          <cell r="CN168">
            <v>0</v>
          </cell>
          <cell r="CO168">
            <v>0</v>
          </cell>
          <cell r="CP168">
            <v>0</v>
          </cell>
          <cell r="CQ168">
            <v>0</v>
          </cell>
          <cell r="CR168">
            <v>0</v>
          </cell>
          <cell r="CS168">
            <v>0</v>
          </cell>
          <cell r="CT168">
            <v>0</v>
          </cell>
          <cell r="CU168">
            <v>0</v>
          </cell>
          <cell r="CV168">
            <v>0</v>
          </cell>
          <cell r="CW168">
            <v>0</v>
          </cell>
          <cell r="CX168">
            <v>0</v>
          </cell>
          <cell r="CY168">
            <v>0</v>
          </cell>
          <cell r="CZ168">
            <v>0</v>
          </cell>
          <cell r="DA168">
            <v>0</v>
          </cell>
          <cell r="DB168">
            <v>0</v>
          </cell>
          <cell r="DC168">
            <v>0</v>
          </cell>
          <cell r="DD168">
            <v>0</v>
          </cell>
          <cell r="DE168">
            <v>0</v>
          </cell>
          <cell r="DF168">
            <v>0</v>
          </cell>
          <cell r="DG168">
            <v>0</v>
          </cell>
          <cell r="DH168">
            <v>0</v>
          </cell>
          <cell r="DI168">
            <v>0</v>
          </cell>
          <cell r="DJ168">
            <v>0</v>
          </cell>
          <cell r="DK168">
            <v>0</v>
          </cell>
          <cell r="DL168">
            <v>0</v>
          </cell>
          <cell r="DM168">
            <v>0</v>
          </cell>
          <cell r="DN168">
            <v>0</v>
          </cell>
          <cell r="DO168">
            <v>0</v>
          </cell>
          <cell r="DP168">
            <v>0</v>
          </cell>
          <cell r="DQ168">
            <v>0</v>
          </cell>
          <cell r="DR168">
            <v>0</v>
          </cell>
          <cell r="DS168">
            <v>0</v>
          </cell>
          <cell r="DT168">
            <v>0</v>
          </cell>
          <cell r="DU168">
            <v>0</v>
          </cell>
          <cell r="DV168">
            <v>0</v>
          </cell>
          <cell r="DW168">
            <v>0</v>
          </cell>
          <cell r="DX168">
            <v>0</v>
          </cell>
          <cell r="DY168">
            <v>0</v>
          </cell>
          <cell r="DZ168">
            <v>0</v>
          </cell>
          <cell r="EA168">
            <v>0</v>
          </cell>
          <cell r="EB168">
            <v>0</v>
          </cell>
          <cell r="EC168">
            <v>0</v>
          </cell>
          <cell r="ED168">
            <v>0</v>
          </cell>
          <cell r="EE168">
            <v>0</v>
          </cell>
          <cell r="EF168">
            <v>0</v>
          </cell>
          <cell r="EG168">
            <v>0</v>
          </cell>
          <cell r="EH168">
            <v>0</v>
          </cell>
          <cell r="EI168">
            <v>0</v>
          </cell>
          <cell r="EJ168">
            <v>0</v>
          </cell>
          <cell r="EK168">
            <v>0</v>
          </cell>
          <cell r="EL168">
            <v>0</v>
          </cell>
          <cell r="EM168">
            <v>0</v>
          </cell>
          <cell r="EN168">
            <v>0</v>
          </cell>
          <cell r="EO168">
            <v>0</v>
          </cell>
          <cell r="EP168">
            <v>0</v>
          </cell>
          <cell r="EQ168">
            <v>0</v>
          </cell>
          <cell r="ER168">
            <v>0</v>
          </cell>
          <cell r="ES168">
            <v>0</v>
          </cell>
          <cell r="ET168">
            <v>0</v>
          </cell>
          <cell r="EU168">
            <v>0</v>
          </cell>
          <cell r="EV168">
            <v>0</v>
          </cell>
          <cell r="EW168">
            <v>0</v>
          </cell>
          <cell r="EX168">
            <v>0</v>
          </cell>
          <cell r="EY168">
            <v>0</v>
          </cell>
          <cell r="EZ168">
            <v>0</v>
          </cell>
          <cell r="FA168">
            <v>0</v>
          </cell>
          <cell r="FB168">
            <v>0</v>
          </cell>
          <cell r="FC168">
            <v>0</v>
          </cell>
          <cell r="FD168">
            <v>0</v>
          </cell>
          <cell r="FE168">
            <v>0</v>
          </cell>
          <cell r="FF168">
            <v>0</v>
          </cell>
          <cell r="FG168">
            <v>0</v>
          </cell>
          <cell r="FH168">
            <v>0</v>
          </cell>
          <cell r="FI168">
            <v>0</v>
          </cell>
          <cell r="FJ168">
            <v>0</v>
          </cell>
          <cell r="FK168">
            <v>0</v>
          </cell>
          <cell r="FL168">
            <v>0</v>
          </cell>
          <cell r="FM168">
            <v>0</v>
          </cell>
          <cell r="FN168">
            <v>0</v>
          </cell>
          <cell r="FO168">
            <v>0</v>
          </cell>
          <cell r="FP168">
            <v>0</v>
          </cell>
          <cell r="FQ168">
            <v>0</v>
          </cell>
          <cell r="FR168">
            <v>0</v>
          </cell>
          <cell r="FS168">
            <v>0</v>
          </cell>
          <cell r="FT168">
            <v>0</v>
          </cell>
          <cell r="FU168">
            <v>0</v>
          </cell>
          <cell r="FV168">
            <v>0</v>
          </cell>
          <cell r="FW168">
            <v>0</v>
          </cell>
          <cell r="FX168">
            <v>0</v>
          </cell>
          <cell r="FY168">
            <v>0</v>
          </cell>
          <cell r="FZ168">
            <v>0</v>
          </cell>
        </row>
        <row r="169">
          <cell r="B169">
            <v>0</v>
          </cell>
          <cell r="C169">
            <v>0</v>
          </cell>
          <cell r="D169">
            <v>0</v>
          </cell>
          <cell r="E169">
            <v>0</v>
          </cell>
          <cell r="F169">
            <v>0</v>
          </cell>
          <cell r="G169">
            <v>0</v>
          </cell>
          <cell r="H169">
            <v>0</v>
          </cell>
          <cell r="I169">
            <v>0</v>
          </cell>
          <cell r="J169">
            <v>0</v>
          </cell>
          <cell r="K169">
            <v>0</v>
          </cell>
          <cell r="L169">
            <v>0</v>
          </cell>
          <cell r="M169">
            <v>0</v>
          </cell>
          <cell r="N169">
            <v>0</v>
          </cell>
          <cell r="O169">
            <v>0</v>
          </cell>
          <cell r="P169">
            <v>0</v>
          </cell>
          <cell r="Q169">
            <v>0</v>
          </cell>
          <cell r="R169">
            <v>0</v>
          </cell>
          <cell r="S169">
            <v>0</v>
          </cell>
          <cell r="T169">
            <v>0</v>
          </cell>
          <cell r="U169">
            <v>0</v>
          </cell>
          <cell r="V169">
            <v>0</v>
          </cell>
          <cell r="W169">
            <v>0</v>
          </cell>
          <cell r="X169">
            <v>0</v>
          </cell>
          <cell r="Y169">
            <v>0</v>
          </cell>
          <cell r="Z169">
            <v>0</v>
          </cell>
          <cell r="AA169">
            <v>0</v>
          </cell>
          <cell r="AB169">
            <v>0</v>
          </cell>
          <cell r="AC169">
            <v>0</v>
          </cell>
          <cell r="AD169">
            <v>0</v>
          </cell>
          <cell r="AE169">
            <v>0</v>
          </cell>
          <cell r="AF169">
            <v>0</v>
          </cell>
          <cell r="AG169">
            <v>0</v>
          </cell>
          <cell r="AH169">
            <v>0</v>
          </cell>
          <cell r="AI169">
            <v>0</v>
          </cell>
          <cell r="AJ169">
            <v>0</v>
          </cell>
          <cell r="AK169">
            <v>0</v>
          </cell>
          <cell r="AL169">
            <v>0</v>
          </cell>
          <cell r="AM169">
            <v>0</v>
          </cell>
          <cell r="AN169">
            <v>0</v>
          </cell>
          <cell r="AO169">
            <v>0</v>
          </cell>
          <cell r="AP169">
            <v>0</v>
          </cell>
          <cell r="AQ169">
            <v>0</v>
          </cell>
          <cell r="AR169">
            <v>0</v>
          </cell>
          <cell r="AS169">
            <v>0</v>
          </cell>
          <cell r="AT169">
            <v>0</v>
          </cell>
          <cell r="AU169">
            <v>0</v>
          </cell>
          <cell r="AV169">
            <v>0</v>
          </cell>
          <cell r="AW169">
            <v>0</v>
          </cell>
          <cell r="AX169">
            <v>0</v>
          </cell>
          <cell r="AY169">
            <v>0</v>
          </cell>
          <cell r="AZ169">
            <v>0</v>
          </cell>
          <cell r="BA169">
            <v>0</v>
          </cell>
          <cell r="BB169">
            <v>0</v>
          </cell>
          <cell r="BC169">
            <v>0</v>
          </cell>
          <cell r="BD169">
            <v>0</v>
          </cell>
          <cell r="BE169">
            <v>0</v>
          </cell>
          <cell r="BF169">
            <v>0</v>
          </cell>
          <cell r="BG169">
            <v>0</v>
          </cell>
          <cell r="BH169">
            <v>0</v>
          </cell>
          <cell r="BI169">
            <v>0</v>
          </cell>
          <cell r="BJ169">
            <v>0</v>
          </cell>
          <cell r="BK169">
            <v>0</v>
          </cell>
          <cell r="BL169">
            <v>0</v>
          </cell>
          <cell r="BM169">
            <v>0</v>
          </cell>
          <cell r="BN169">
            <v>0</v>
          </cell>
          <cell r="BO169">
            <v>0</v>
          </cell>
          <cell r="BP169">
            <v>0</v>
          </cell>
          <cell r="BQ169">
            <v>0</v>
          </cell>
          <cell r="BR169">
            <v>0</v>
          </cell>
          <cell r="BS169">
            <v>0</v>
          </cell>
          <cell r="BT169">
            <v>0</v>
          </cell>
          <cell r="BU169">
            <v>0</v>
          </cell>
          <cell r="BV169">
            <v>0</v>
          </cell>
          <cell r="BW169">
            <v>0</v>
          </cell>
          <cell r="BX169">
            <v>0</v>
          </cell>
          <cell r="BY169">
            <v>0</v>
          </cell>
          <cell r="BZ169">
            <v>0</v>
          </cell>
          <cell r="CA169">
            <v>0</v>
          </cell>
          <cell r="CB169">
            <v>0</v>
          </cell>
          <cell r="CC169">
            <v>0</v>
          </cell>
          <cell r="CD169">
            <v>0</v>
          </cell>
          <cell r="CE169">
            <v>0</v>
          </cell>
          <cell r="CF169">
            <v>0</v>
          </cell>
          <cell r="CG169">
            <v>0</v>
          </cell>
          <cell r="CH169">
            <v>0</v>
          </cell>
          <cell r="CI169">
            <v>0</v>
          </cell>
          <cell r="CJ169">
            <v>0</v>
          </cell>
          <cell r="CK169">
            <v>0</v>
          </cell>
          <cell r="CL169">
            <v>0</v>
          </cell>
          <cell r="CM169">
            <v>0</v>
          </cell>
          <cell r="CN169">
            <v>0</v>
          </cell>
          <cell r="CO169">
            <v>0</v>
          </cell>
          <cell r="CP169">
            <v>0</v>
          </cell>
          <cell r="CQ169">
            <v>0</v>
          </cell>
          <cell r="CR169">
            <v>0</v>
          </cell>
          <cell r="CS169">
            <v>0</v>
          </cell>
          <cell r="CT169">
            <v>0</v>
          </cell>
          <cell r="CU169">
            <v>0</v>
          </cell>
          <cell r="CV169">
            <v>0</v>
          </cell>
          <cell r="CW169">
            <v>0</v>
          </cell>
          <cell r="CX169">
            <v>0</v>
          </cell>
          <cell r="CY169">
            <v>0</v>
          </cell>
          <cell r="CZ169">
            <v>0</v>
          </cell>
          <cell r="DA169">
            <v>0</v>
          </cell>
          <cell r="DB169">
            <v>0</v>
          </cell>
          <cell r="DC169">
            <v>0</v>
          </cell>
          <cell r="DD169">
            <v>0</v>
          </cell>
          <cell r="DE169">
            <v>0</v>
          </cell>
          <cell r="DF169">
            <v>0</v>
          </cell>
          <cell r="DG169">
            <v>0</v>
          </cell>
          <cell r="DH169">
            <v>0</v>
          </cell>
          <cell r="DI169">
            <v>0</v>
          </cell>
          <cell r="DJ169">
            <v>0</v>
          </cell>
          <cell r="DK169">
            <v>0</v>
          </cell>
          <cell r="DL169">
            <v>0</v>
          </cell>
          <cell r="DM169">
            <v>0</v>
          </cell>
          <cell r="DN169">
            <v>0</v>
          </cell>
          <cell r="DO169">
            <v>0</v>
          </cell>
          <cell r="DP169">
            <v>0</v>
          </cell>
          <cell r="DQ169">
            <v>0</v>
          </cell>
          <cell r="DR169">
            <v>0</v>
          </cell>
          <cell r="DS169">
            <v>0</v>
          </cell>
          <cell r="DT169">
            <v>0</v>
          </cell>
          <cell r="DU169">
            <v>0</v>
          </cell>
          <cell r="DV169">
            <v>0</v>
          </cell>
          <cell r="DW169">
            <v>0</v>
          </cell>
          <cell r="DX169">
            <v>0</v>
          </cell>
          <cell r="DY169">
            <v>0</v>
          </cell>
          <cell r="DZ169">
            <v>0</v>
          </cell>
          <cell r="EA169">
            <v>0</v>
          </cell>
          <cell r="EB169">
            <v>0</v>
          </cell>
          <cell r="EC169">
            <v>0</v>
          </cell>
          <cell r="ED169">
            <v>0</v>
          </cell>
          <cell r="EE169">
            <v>0</v>
          </cell>
          <cell r="EF169">
            <v>0</v>
          </cell>
          <cell r="EG169">
            <v>0</v>
          </cell>
          <cell r="EH169">
            <v>0</v>
          </cell>
          <cell r="EI169">
            <v>0</v>
          </cell>
          <cell r="EJ169">
            <v>0</v>
          </cell>
          <cell r="EK169">
            <v>0</v>
          </cell>
          <cell r="EL169">
            <v>0</v>
          </cell>
          <cell r="EM169">
            <v>0</v>
          </cell>
          <cell r="EN169">
            <v>0</v>
          </cell>
          <cell r="EO169">
            <v>0</v>
          </cell>
          <cell r="EP169">
            <v>0</v>
          </cell>
          <cell r="EQ169">
            <v>0</v>
          </cell>
          <cell r="ER169">
            <v>0</v>
          </cell>
          <cell r="ES169">
            <v>0</v>
          </cell>
          <cell r="ET169">
            <v>0</v>
          </cell>
          <cell r="EU169">
            <v>0</v>
          </cell>
          <cell r="EV169">
            <v>0</v>
          </cell>
          <cell r="EW169">
            <v>0</v>
          </cell>
          <cell r="EX169">
            <v>0</v>
          </cell>
          <cell r="EY169">
            <v>0</v>
          </cell>
          <cell r="EZ169">
            <v>0</v>
          </cell>
          <cell r="FA169">
            <v>0</v>
          </cell>
          <cell r="FB169">
            <v>0</v>
          </cell>
          <cell r="FC169">
            <v>0</v>
          </cell>
          <cell r="FD169">
            <v>0</v>
          </cell>
          <cell r="FE169">
            <v>0</v>
          </cell>
          <cell r="FF169">
            <v>0</v>
          </cell>
          <cell r="FG169">
            <v>0</v>
          </cell>
          <cell r="FH169">
            <v>0</v>
          </cell>
          <cell r="FI169">
            <v>0</v>
          </cell>
          <cell r="FJ169">
            <v>0</v>
          </cell>
          <cell r="FK169">
            <v>0</v>
          </cell>
          <cell r="FL169">
            <v>0</v>
          </cell>
          <cell r="FM169">
            <v>0</v>
          </cell>
          <cell r="FN169">
            <v>0</v>
          </cell>
          <cell r="FO169">
            <v>0</v>
          </cell>
          <cell r="FP169">
            <v>0</v>
          </cell>
          <cell r="FQ169">
            <v>0</v>
          </cell>
          <cell r="FR169">
            <v>0</v>
          </cell>
          <cell r="FS169">
            <v>0</v>
          </cell>
          <cell r="FT169">
            <v>0</v>
          </cell>
          <cell r="FU169">
            <v>0</v>
          </cell>
          <cell r="FV169">
            <v>0</v>
          </cell>
          <cell r="FW169">
            <v>0</v>
          </cell>
          <cell r="FX169">
            <v>0</v>
          </cell>
          <cell r="FY169">
            <v>0</v>
          </cell>
          <cell r="FZ169">
            <v>0</v>
          </cell>
        </row>
        <row r="170">
          <cell r="B170">
            <v>0</v>
          </cell>
          <cell r="C170">
            <v>0</v>
          </cell>
          <cell r="D170">
            <v>0</v>
          </cell>
          <cell r="E170">
            <v>0</v>
          </cell>
          <cell r="F170">
            <v>0</v>
          </cell>
          <cell r="G170">
            <v>0</v>
          </cell>
          <cell r="H170">
            <v>0</v>
          </cell>
          <cell r="I170">
            <v>0</v>
          </cell>
          <cell r="J170">
            <v>0</v>
          </cell>
          <cell r="K170">
            <v>0</v>
          </cell>
          <cell r="L170">
            <v>0</v>
          </cell>
          <cell r="M170">
            <v>0</v>
          </cell>
          <cell r="N170">
            <v>0</v>
          </cell>
          <cell r="O170">
            <v>0</v>
          </cell>
          <cell r="P170">
            <v>0</v>
          </cell>
          <cell r="Q170">
            <v>0</v>
          </cell>
          <cell r="R170">
            <v>0</v>
          </cell>
          <cell r="S170">
            <v>0</v>
          </cell>
          <cell r="T170">
            <v>0</v>
          </cell>
          <cell r="U170">
            <v>0</v>
          </cell>
          <cell r="V170">
            <v>0</v>
          </cell>
          <cell r="W170">
            <v>0</v>
          </cell>
          <cell r="X170">
            <v>0</v>
          </cell>
          <cell r="Y170">
            <v>0</v>
          </cell>
          <cell r="Z170">
            <v>0</v>
          </cell>
          <cell r="AA170">
            <v>0</v>
          </cell>
          <cell r="AB170">
            <v>0</v>
          </cell>
          <cell r="AC170">
            <v>0</v>
          </cell>
          <cell r="AD170">
            <v>0</v>
          </cell>
          <cell r="AE170">
            <v>0</v>
          </cell>
          <cell r="AF170">
            <v>0</v>
          </cell>
          <cell r="AG170">
            <v>0</v>
          </cell>
          <cell r="AH170">
            <v>0</v>
          </cell>
          <cell r="AI170">
            <v>0</v>
          </cell>
          <cell r="AJ170">
            <v>0</v>
          </cell>
          <cell r="AK170">
            <v>0</v>
          </cell>
          <cell r="AL170">
            <v>0</v>
          </cell>
          <cell r="AM170">
            <v>0</v>
          </cell>
          <cell r="AN170">
            <v>0</v>
          </cell>
          <cell r="AO170">
            <v>0</v>
          </cell>
          <cell r="AP170">
            <v>0</v>
          </cell>
          <cell r="AQ170">
            <v>0</v>
          </cell>
          <cell r="AR170">
            <v>0</v>
          </cell>
          <cell r="AS170">
            <v>0</v>
          </cell>
          <cell r="AT170">
            <v>0</v>
          </cell>
          <cell r="AU170">
            <v>0</v>
          </cell>
          <cell r="AV170">
            <v>0</v>
          </cell>
          <cell r="AW170">
            <v>0</v>
          </cell>
          <cell r="AX170">
            <v>0</v>
          </cell>
          <cell r="AY170">
            <v>0</v>
          </cell>
          <cell r="AZ170">
            <v>0</v>
          </cell>
          <cell r="BA170">
            <v>0</v>
          </cell>
          <cell r="BB170">
            <v>0</v>
          </cell>
          <cell r="BC170">
            <v>0</v>
          </cell>
          <cell r="BD170">
            <v>0</v>
          </cell>
          <cell r="BE170">
            <v>0</v>
          </cell>
          <cell r="BF170">
            <v>0</v>
          </cell>
          <cell r="BG170">
            <v>0</v>
          </cell>
          <cell r="BH170">
            <v>0</v>
          </cell>
          <cell r="BI170">
            <v>0</v>
          </cell>
          <cell r="BJ170">
            <v>0</v>
          </cell>
          <cell r="BK170">
            <v>0</v>
          </cell>
          <cell r="BL170">
            <v>0</v>
          </cell>
          <cell r="BM170">
            <v>0</v>
          </cell>
          <cell r="BN170">
            <v>0</v>
          </cell>
          <cell r="BO170">
            <v>0</v>
          </cell>
          <cell r="BP170">
            <v>0</v>
          </cell>
          <cell r="BQ170">
            <v>0</v>
          </cell>
          <cell r="BR170">
            <v>0</v>
          </cell>
          <cell r="BS170">
            <v>0</v>
          </cell>
          <cell r="BT170">
            <v>0</v>
          </cell>
          <cell r="BU170">
            <v>0</v>
          </cell>
          <cell r="BV170">
            <v>0</v>
          </cell>
          <cell r="BW170">
            <v>0</v>
          </cell>
          <cell r="BX170">
            <v>0</v>
          </cell>
          <cell r="BY170">
            <v>0</v>
          </cell>
          <cell r="BZ170">
            <v>0</v>
          </cell>
          <cell r="CA170">
            <v>0</v>
          </cell>
          <cell r="CB170">
            <v>0</v>
          </cell>
          <cell r="CC170">
            <v>0</v>
          </cell>
          <cell r="CD170">
            <v>0</v>
          </cell>
          <cell r="CE170">
            <v>0</v>
          </cell>
          <cell r="CF170">
            <v>0</v>
          </cell>
          <cell r="CG170">
            <v>0</v>
          </cell>
          <cell r="CH170">
            <v>0</v>
          </cell>
          <cell r="CI170">
            <v>0</v>
          </cell>
          <cell r="CJ170">
            <v>0</v>
          </cell>
          <cell r="CK170">
            <v>0</v>
          </cell>
          <cell r="CL170">
            <v>0</v>
          </cell>
          <cell r="CM170">
            <v>0</v>
          </cell>
          <cell r="CN170">
            <v>0</v>
          </cell>
          <cell r="CO170">
            <v>0</v>
          </cell>
          <cell r="CP170">
            <v>0</v>
          </cell>
          <cell r="CQ170">
            <v>0</v>
          </cell>
          <cell r="CR170">
            <v>0</v>
          </cell>
          <cell r="CS170">
            <v>0</v>
          </cell>
          <cell r="CT170">
            <v>0</v>
          </cell>
          <cell r="CU170">
            <v>0</v>
          </cell>
          <cell r="CV170">
            <v>0</v>
          </cell>
          <cell r="CW170">
            <v>0</v>
          </cell>
          <cell r="CX170">
            <v>0</v>
          </cell>
          <cell r="CY170">
            <v>0</v>
          </cell>
          <cell r="CZ170">
            <v>0</v>
          </cell>
          <cell r="DA170">
            <v>0</v>
          </cell>
          <cell r="DB170">
            <v>0</v>
          </cell>
          <cell r="DC170">
            <v>0</v>
          </cell>
          <cell r="DD170">
            <v>0</v>
          </cell>
          <cell r="DE170">
            <v>0</v>
          </cell>
          <cell r="DF170">
            <v>0</v>
          </cell>
          <cell r="DG170">
            <v>0</v>
          </cell>
          <cell r="DH170">
            <v>0</v>
          </cell>
          <cell r="DI170">
            <v>0</v>
          </cell>
          <cell r="DJ170">
            <v>0</v>
          </cell>
          <cell r="DK170">
            <v>0</v>
          </cell>
          <cell r="DL170">
            <v>0</v>
          </cell>
          <cell r="DM170">
            <v>0</v>
          </cell>
          <cell r="DN170">
            <v>0</v>
          </cell>
          <cell r="DO170">
            <v>0</v>
          </cell>
          <cell r="DP170">
            <v>0</v>
          </cell>
          <cell r="DQ170">
            <v>0</v>
          </cell>
          <cell r="DR170">
            <v>0</v>
          </cell>
          <cell r="DS170">
            <v>0</v>
          </cell>
          <cell r="DT170">
            <v>0</v>
          </cell>
          <cell r="DU170">
            <v>0</v>
          </cell>
          <cell r="DV170">
            <v>0</v>
          </cell>
          <cell r="DW170">
            <v>0</v>
          </cell>
          <cell r="DX170">
            <v>0</v>
          </cell>
          <cell r="DY170">
            <v>0</v>
          </cell>
          <cell r="DZ170">
            <v>0</v>
          </cell>
          <cell r="EA170">
            <v>0</v>
          </cell>
          <cell r="EB170">
            <v>0</v>
          </cell>
          <cell r="EC170">
            <v>0</v>
          </cell>
          <cell r="ED170">
            <v>0</v>
          </cell>
          <cell r="EE170">
            <v>0</v>
          </cell>
          <cell r="EF170">
            <v>0</v>
          </cell>
          <cell r="EG170">
            <v>0</v>
          </cell>
          <cell r="EH170">
            <v>0</v>
          </cell>
          <cell r="EI170">
            <v>0</v>
          </cell>
          <cell r="EJ170">
            <v>0</v>
          </cell>
          <cell r="EK170">
            <v>0</v>
          </cell>
          <cell r="EL170">
            <v>0</v>
          </cell>
          <cell r="EM170">
            <v>0</v>
          </cell>
          <cell r="EN170">
            <v>0</v>
          </cell>
          <cell r="EO170">
            <v>0</v>
          </cell>
          <cell r="EP170">
            <v>0</v>
          </cell>
          <cell r="EQ170">
            <v>0</v>
          </cell>
          <cell r="ER170">
            <v>0</v>
          </cell>
          <cell r="ES170">
            <v>0</v>
          </cell>
          <cell r="ET170">
            <v>0</v>
          </cell>
          <cell r="EU170">
            <v>0</v>
          </cell>
          <cell r="EV170">
            <v>0</v>
          </cell>
          <cell r="EW170">
            <v>0</v>
          </cell>
          <cell r="EX170">
            <v>0</v>
          </cell>
          <cell r="EY170">
            <v>0</v>
          </cell>
          <cell r="EZ170">
            <v>0</v>
          </cell>
          <cell r="FA170">
            <v>0</v>
          </cell>
          <cell r="FB170">
            <v>0</v>
          </cell>
          <cell r="FC170">
            <v>0</v>
          </cell>
          <cell r="FD170">
            <v>0</v>
          </cell>
          <cell r="FE170">
            <v>0</v>
          </cell>
          <cell r="FF170">
            <v>0</v>
          </cell>
          <cell r="FG170">
            <v>0</v>
          </cell>
          <cell r="FH170">
            <v>0</v>
          </cell>
          <cell r="FI170">
            <v>0</v>
          </cell>
          <cell r="FJ170">
            <v>0</v>
          </cell>
          <cell r="FK170">
            <v>0</v>
          </cell>
          <cell r="FL170">
            <v>0</v>
          </cell>
          <cell r="FM170">
            <v>0</v>
          </cell>
          <cell r="FN170">
            <v>0</v>
          </cell>
          <cell r="FO170">
            <v>0</v>
          </cell>
          <cell r="FP170">
            <v>0</v>
          </cell>
          <cell r="FQ170">
            <v>0</v>
          </cell>
          <cell r="FR170">
            <v>0</v>
          </cell>
          <cell r="FS170">
            <v>0</v>
          </cell>
          <cell r="FT170">
            <v>0</v>
          </cell>
          <cell r="FU170">
            <v>0</v>
          </cell>
          <cell r="FV170">
            <v>0</v>
          </cell>
          <cell r="FW170">
            <v>0</v>
          </cell>
          <cell r="FX170">
            <v>0</v>
          </cell>
          <cell r="FY170">
            <v>0</v>
          </cell>
          <cell r="FZ170">
            <v>0</v>
          </cell>
        </row>
        <row r="171">
          <cell r="B171">
            <v>0</v>
          </cell>
          <cell r="C171">
            <v>0</v>
          </cell>
          <cell r="D171">
            <v>0</v>
          </cell>
          <cell r="E171">
            <v>0</v>
          </cell>
          <cell r="F171">
            <v>0</v>
          </cell>
          <cell r="G171">
            <v>0</v>
          </cell>
          <cell r="H171">
            <v>0</v>
          </cell>
          <cell r="I171">
            <v>0</v>
          </cell>
          <cell r="J171">
            <v>0</v>
          </cell>
          <cell r="K171">
            <v>0</v>
          </cell>
          <cell r="L171">
            <v>0</v>
          </cell>
          <cell r="M171">
            <v>0</v>
          </cell>
          <cell r="N171">
            <v>0</v>
          </cell>
          <cell r="O171">
            <v>0</v>
          </cell>
          <cell r="P171">
            <v>0</v>
          </cell>
          <cell r="Q171">
            <v>0</v>
          </cell>
          <cell r="R171">
            <v>0</v>
          </cell>
          <cell r="S171">
            <v>0</v>
          </cell>
          <cell r="T171">
            <v>0</v>
          </cell>
          <cell r="U171">
            <v>0</v>
          </cell>
          <cell r="V171">
            <v>0</v>
          </cell>
          <cell r="W171">
            <v>0</v>
          </cell>
          <cell r="X171">
            <v>0</v>
          </cell>
          <cell r="Y171">
            <v>0</v>
          </cell>
          <cell r="Z171">
            <v>0</v>
          </cell>
          <cell r="AA171">
            <v>0</v>
          </cell>
          <cell r="AB171">
            <v>0</v>
          </cell>
          <cell r="AC171">
            <v>0</v>
          </cell>
          <cell r="AD171">
            <v>0</v>
          </cell>
          <cell r="AE171">
            <v>0</v>
          </cell>
          <cell r="AF171">
            <v>0</v>
          </cell>
          <cell r="AG171">
            <v>0</v>
          </cell>
          <cell r="AH171">
            <v>0</v>
          </cell>
          <cell r="AI171">
            <v>0</v>
          </cell>
          <cell r="AJ171">
            <v>0</v>
          </cell>
          <cell r="AK171">
            <v>0</v>
          </cell>
          <cell r="AL171">
            <v>0</v>
          </cell>
          <cell r="AM171">
            <v>0</v>
          </cell>
          <cell r="AN171">
            <v>0</v>
          </cell>
          <cell r="AO171">
            <v>0</v>
          </cell>
          <cell r="AP171">
            <v>0</v>
          </cell>
          <cell r="AQ171">
            <v>0</v>
          </cell>
          <cell r="AR171">
            <v>0</v>
          </cell>
          <cell r="AS171">
            <v>0</v>
          </cell>
          <cell r="AT171">
            <v>0</v>
          </cell>
          <cell r="AU171">
            <v>0</v>
          </cell>
          <cell r="AV171">
            <v>0</v>
          </cell>
          <cell r="AW171">
            <v>0</v>
          </cell>
          <cell r="AX171">
            <v>0</v>
          </cell>
          <cell r="AY171">
            <v>0</v>
          </cell>
          <cell r="AZ171">
            <v>0</v>
          </cell>
          <cell r="BA171">
            <v>0</v>
          </cell>
          <cell r="BB171">
            <v>0</v>
          </cell>
          <cell r="BC171">
            <v>0</v>
          </cell>
          <cell r="BD171">
            <v>0</v>
          </cell>
          <cell r="BE171">
            <v>0</v>
          </cell>
          <cell r="BF171">
            <v>0</v>
          </cell>
          <cell r="BG171">
            <v>0</v>
          </cell>
          <cell r="BH171">
            <v>0</v>
          </cell>
          <cell r="BI171">
            <v>0</v>
          </cell>
          <cell r="BJ171">
            <v>0</v>
          </cell>
          <cell r="BK171">
            <v>0</v>
          </cell>
          <cell r="BL171">
            <v>0</v>
          </cell>
          <cell r="BM171">
            <v>0</v>
          </cell>
          <cell r="BN171">
            <v>0</v>
          </cell>
          <cell r="BO171">
            <v>0</v>
          </cell>
          <cell r="BP171">
            <v>0</v>
          </cell>
          <cell r="BQ171">
            <v>0</v>
          </cell>
          <cell r="BR171">
            <v>0</v>
          </cell>
          <cell r="BS171">
            <v>0</v>
          </cell>
          <cell r="BT171">
            <v>0</v>
          </cell>
          <cell r="BU171">
            <v>0</v>
          </cell>
          <cell r="BV171">
            <v>0</v>
          </cell>
          <cell r="BW171">
            <v>0</v>
          </cell>
          <cell r="BX171">
            <v>0</v>
          </cell>
          <cell r="BY171">
            <v>0</v>
          </cell>
          <cell r="BZ171">
            <v>0</v>
          </cell>
          <cell r="CA171">
            <v>0</v>
          </cell>
          <cell r="CB171">
            <v>0</v>
          </cell>
          <cell r="CC171">
            <v>0</v>
          </cell>
          <cell r="CD171">
            <v>0</v>
          </cell>
          <cell r="CE171">
            <v>0</v>
          </cell>
          <cell r="CF171">
            <v>0</v>
          </cell>
          <cell r="CG171">
            <v>0</v>
          </cell>
          <cell r="CH171">
            <v>0</v>
          </cell>
          <cell r="CI171">
            <v>0</v>
          </cell>
          <cell r="CJ171">
            <v>0</v>
          </cell>
          <cell r="CK171">
            <v>0</v>
          </cell>
          <cell r="CL171">
            <v>0</v>
          </cell>
          <cell r="CM171">
            <v>0</v>
          </cell>
          <cell r="CN171">
            <v>0</v>
          </cell>
          <cell r="CO171">
            <v>0</v>
          </cell>
          <cell r="CP171">
            <v>0</v>
          </cell>
          <cell r="CQ171">
            <v>0</v>
          </cell>
          <cell r="CR171">
            <v>0</v>
          </cell>
          <cell r="CS171">
            <v>0</v>
          </cell>
          <cell r="CT171">
            <v>0</v>
          </cell>
          <cell r="CU171">
            <v>0</v>
          </cell>
          <cell r="CV171">
            <v>0</v>
          </cell>
          <cell r="CW171">
            <v>0</v>
          </cell>
          <cell r="CX171">
            <v>0</v>
          </cell>
          <cell r="CY171">
            <v>0</v>
          </cell>
          <cell r="CZ171">
            <v>0</v>
          </cell>
          <cell r="DA171">
            <v>0</v>
          </cell>
          <cell r="DB171">
            <v>0</v>
          </cell>
          <cell r="DC171">
            <v>0</v>
          </cell>
          <cell r="DD171">
            <v>0</v>
          </cell>
          <cell r="DE171">
            <v>0</v>
          </cell>
          <cell r="DF171">
            <v>0</v>
          </cell>
          <cell r="DG171">
            <v>0</v>
          </cell>
          <cell r="DH171">
            <v>0</v>
          </cell>
          <cell r="DI171">
            <v>0</v>
          </cell>
          <cell r="DJ171">
            <v>0</v>
          </cell>
          <cell r="DK171">
            <v>0</v>
          </cell>
          <cell r="DL171">
            <v>0</v>
          </cell>
          <cell r="DM171">
            <v>0</v>
          </cell>
          <cell r="DN171">
            <v>0</v>
          </cell>
          <cell r="DO171">
            <v>0</v>
          </cell>
          <cell r="DP171">
            <v>0</v>
          </cell>
          <cell r="DQ171">
            <v>0</v>
          </cell>
          <cell r="DR171">
            <v>0</v>
          </cell>
          <cell r="DS171">
            <v>0</v>
          </cell>
          <cell r="DT171">
            <v>0</v>
          </cell>
          <cell r="DU171">
            <v>0</v>
          </cell>
          <cell r="DV171">
            <v>0</v>
          </cell>
          <cell r="DW171">
            <v>0</v>
          </cell>
          <cell r="DX171">
            <v>0</v>
          </cell>
          <cell r="DY171">
            <v>0</v>
          </cell>
          <cell r="DZ171">
            <v>0</v>
          </cell>
          <cell r="EA171">
            <v>0</v>
          </cell>
          <cell r="EB171">
            <v>0</v>
          </cell>
          <cell r="EC171">
            <v>0</v>
          </cell>
          <cell r="ED171">
            <v>0</v>
          </cell>
          <cell r="EE171">
            <v>0</v>
          </cell>
          <cell r="EF171">
            <v>0</v>
          </cell>
          <cell r="EG171">
            <v>0</v>
          </cell>
          <cell r="EH171">
            <v>0</v>
          </cell>
          <cell r="EI171">
            <v>0</v>
          </cell>
          <cell r="EJ171">
            <v>0</v>
          </cell>
          <cell r="EK171">
            <v>0</v>
          </cell>
          <cell r="EL171">
            <v>0</v>
          </cell>
          <cell r="EM171">
            <v>0</v>
          </cell>
          <cell r="EN171">
            <v>0</v>
          </cell>
          <cell r="EO171">
            <v>0</v>
          </cell>
          <cell r="EP171">
            <v>0</v>
          </cell>
          <cell r="EQ171">
            <v>0</v>
          </cell>
          <cell r="ER171">
            <v>0</v>
          </cell>
          <cell r="ES171">
            <v>0</v>
          </cell>
          <cell r="ET171">
            <v>0</v>
          </cell>
          <cell r="EU171">
            <v>0</v>
          </cell>
          <cell r="EV171">
            <v>0</v>
          </cell>
          <cell r="EW171">
            <v>0</v>
          </cell>
          <cell r="EX171">
            <v>0</v>
          </cell>
          <cell r="EY171">
            <v>0</v>
          </cell>
          <cell r="EZ171">
            <v>0</v>
          </cell>
          <cell r="FA171">
            <v>0</v>
          </cell>
          <cell r="FB171">
            <v>0</v>
          </cell>
          <cell r="FC171">
            <v>0</v>
          </cell>
          <cell r="FD171">
            <v>0</v>
          </cell>
          <cell r="FE171">
            <v>0</v>
          </cell>
          <cell r="FF171">
            <v>0</v>
          </cell>
          <cell r="FG171">
            <v>0</v>
          </cell>
          <cell r="FH171">
            <v>0</v>
          </cell>
          <cell r="FI171">
            <v>0</v>
          </cell>
          <cell r="FJ171">
            <v>0</v>
          </cell>
          <cell r="FK171">
            <v>0</v>
          </cell>
          <cell r="FL171">
            <v>0</v>
          </cell>
          <cell r="FM171">
            <v>0</v>
          </cell>
          <cell r="FN171">
            <v>0</v>
          </cell>
          <cell r="FO171">
            <v>0</v>
          </cell>
          <cell r="FP171">
            <v>0</v>
          </cell>
          <cell r="FQ171">
            <v>0</v>
          </cell>
          <cell r="FR171">
            <v>0</v>
          </cell>
          <cell r="FS171">
            <v>0</v>
          </cell>
          <cell r="FT171">
            <v>0</v>
          </cell>
          <cell r="FU171">
            <v>0</v>
          </cell>
          <cell r="FV171">
            <v>0</v>
          </cell>
          <cell r="FW171">
            <v>0</v>
          </cell>
          <cell r="FX171">
            <v>0</v>
          </cell>
          <cell r="FY171">
            <v>0</v>
          </cell>
          <cell r="FZ171">
            <v>0</v>
          </cell>
        </row>
        <row r="172">
          <cell r="B172">
            <v>0</v>
          </cell>
          <cell r="C172">
            <v>0</v>
          </cell>
          <cell r="D172">
            <v>0</v>
          </cell>
          <cell r="E172">
            <v>0</v>
          </cell>
          <cell r="F172">
            <v>0</v>
          </cell>
          <cell r="G172">
            <v>0</v>
          </cell>
          <cell r="H172">
            <v>0</v>
          </cell>
          <cell r="I172">
            <v>0</v>
          </cell>
          <cell r="J172">
            <v>0</v>
          </cell>
          <cell r="K172">
            <v>0</v>
          </cell>
          <cell r="L172">
            <v>0</v>
          </cell>
          <cell r="M172">
            <v>0</v>
          </cell>
          <cell r="N172">
            <v>0</v>
          </cell>
          <cell r="O172">
            <v>0</v>
          </cell>
          <cell r="P172">
            <v>0</v>
          </cell>
          <cell r="Q172">
            <v>0</v>
          </cell>
          <cell r="R172">
            <v>0</v>
          </cell>
          <cell r="S172">
            <v>0</v>
          </cell>
          <cell r="T172">
            <v>0</v>
          </cell>
          <cell r="U172">
            <v>0</v>
          </cell>
          <cell r="V172">
            <v>0</v>
          </cell>
          <cell r="W172">
            <v>0</v>
          </cell>
          <cell r="X172">
            <v>0</v>
          </cell>
          <cell r="Y172">
            <v>0</v>
          </cell>
          <cell r="Z172">
            <v>0</v>
          </cell>
          <cell r="AA172">
            <v>0</v>
          </cell>
          <cell r="AB172">
            <v>0</v>
          </cell>
          <cell r="AC172">
            <v>0</v>
          </cell>
          <cell r="AD172">
            <v>0</v>
          </cell>
          <cell r="AE172">
            <v>0</v>
          </cell>
          <cell r="AF172">
            <v>0</v>
          </cell>
          <cell r="AG172">
            <v>0</v>
          </cell>
          <cell r="AH172">
            <v>0</v>
          </cell>
          <cell r="AI172">
            <v>0</v>
          </cell>
          <cell r="AJ172">
            <v>0</v>
          </cell>
          <cell r="AK172">
            <v>0</v>
          </cell>
          <cell r="AL172">
            <v>0</v>
          </cell>
          <cell r="AM172">
            <v>0</v>
          </cell>
          <cell r="AN172">
            <v>0</v>
          </cell>
          <cell r="AO172">
            <v>0</v>
          </cell>
          <cell r="AP172">
            <v>0</v>
          </cell>
          <cell r="AQ172">
            <v>0</v>
          </cell>
          <cell r="AR172">
            <v>0</v>
          </cell>
          <cell r="AS172">
            <v>0</v>
          </cell>
          <cell r="AT172">
            <v>0</v>
          </cell>
          <cell r="AU172">
            <v>0</v>
          </cell>
          <cell r="AV172">
            <v>0</v>
          </cell>
          <cell r="AW172">
            <v>0</v>
          </cell>
          <cell r="AX172">
            <v>0</v>
          </cell>
          <cell r="AY172">
            <v>0</v>
          </cell>
          <cell r="AZ172">
            <v>0</v>
          </cell>
          <cell r="BA172">
            <v>0</v>
          </cell>
          <cell r="BB172">
            <v>0</v>
          </cell>
          <cell r="BC172">
            <v>0</v>
          </cell>
          <cell r="BD172">
            <v>0</v>
          </cell>
          <cell r="BE172">
            <v>0</v>
          </cell>
          <cell r="BF172">
            <v>0</v>
          </cell>
          <cell r="BG172">
            <v>0</v>
          </cell>
          <cell r="BH172">
            <v>0</v>
          </cell>
          <cell r="BI172">
            <v>0</v>
          </cell>
          <cell r="BJ172">
            <v>0</v>
          </cell>
          <cell r="BK172">
            <v>0</v>
          </cell>
          <cell r="BL172">
            <v>0</v>
          </cell>
          <cell r="BM172">
            <v>0</v>
          </cell>
          <cell r="BN172">
            <v>0</v>
          </cell>
          <cell r="BO172">
            <v>0</v>
          </cell>
          <cell r="BP172">
            <v>0</v>
          </cell>
          <cell r="BQ172">
            <v>0</v>
          </cell>
          <cell r="BR172">
            <v>0</v>
          </cell>
          <cell r="BS172">
            <v>0</v>
          </cell>
          <cell r="BT172">
            <v>0</v>
          </cell>
          <cell r="BU172">
            <v>0</v>
          </cell>
          <cell r="BV172">
            <v>0</v>
          </cell>
          <cell r="BW172">
            <v>0</v>
          </cell>
          <cell r="BX172">
            <v>0</v>
          </cell>
          <cell r="BY172">
            <v>0</v>
          </cell>
          <cell r="BZ172">
            <v>0</v>
          </cell>
          <cell r="CA172">
            <v>0</v>
          </cell>
          <cell r="CB172">
            <v>0</v>
          </cell>
          <cell r="CC172">
            <v>0</v>
          </cell>
          <cell r="CD172">
            <v>0</v>
          </cell>
          <cell r="CE172">
            <v>0</v>
          </cell>
          <cell r="CF172">
            <v>0</v>
          </cell>
          <cell r="CG172">
            <v>0</v>
          </cell>
          <cell r="CH172">
            <v>0</v>
          </cell>
          <cell r="CI172">
            <v>0</v>
          </cell>
          <cell r="CJ172">
            <v>0</v>
          </cell>
          <cell r="CK172">
            <v>0</v>
          </cell>
          <cell r="CL172">
            <v>0</v>
          </cell>
          <cell r="CM172">
            <v>0</v>
          </cell>
          <cell r="CN172">
            <v>0</v>
          </cell>
          <cell r="CO172">
            <v>0</v>
          </cell>
          <cell r="CP172">
            <v>0</v>
          </cell>
          <cell r="CQ172">
            <v>0</v>
          </cell>
          <cell r="CR172">
            <v>0</v>
          </cell>
          <cell r="CS172">
            <v>0</v>
          </cell>
          <cell r="CT172">
            <v>0</v>
          </cell>
          <cell r="CU172">
            <v>0</v>
          </cell>
          <cell r="CV172">
            <v>0</v>
          </cell>
          <cell r="CW172">
            <v>0</v>
          </cell>
          <cell r="CX172">
            <v>0</v>
          </cell>
          <cell r="CY172">
            <v>0</v>
          </cell>
          <cell r="CZ172">
            <v>0</v>
          </cell>
          <cell r="DA172">
            <v>0</v>
          </cell>
          <cell r="DB172">
            <v>0</v>
          </cell>
          <cell r="DC172">
            <v>0</v>
          </cell>
          <cell r="DD172">
            <v>0</v>
          </cell>
          <cell r="DE172">
            <v>0</v>
          </cell>
          <cell r="DF172">
            <v>0</v>
          </cell>
          <cell r="DG172">
            <v>0</v>
          </cell>
          <cell r="DH172">
            <v>0</v>
          </cell>
          <cell r="DI172">
            <v>0</v>
          </cell>
          <cell r="DJ172">
            <v>0</v>
          </cell>
          <cell r="DK172">
            <v>0</v>
          </cell>
          <cell r="DL172">
            <v>0</v>
          </cell>
          <cell r="DM172">
            <v>0</v>
          </cell>
          <cell r="DN172">
            <v>0</v>
          </cell>
          <cell r="DO172">
            <v>0</v>
          </cell>
          <cell r="DP172">
            <v>0</v>
          </cell>
          <cell r="DQ172">
            <v>0</v>
          </cell>
          <cell r="DR172">
            <v>0</v>
          </cell>
          <cell r="DS172">
            <v>0</v>
          </cell>
          <cell r="DT172">
            <v>0</v>
          </cell>
          <cell r="DU172">
            <v>0</v>
          </cell>
          <cell r="DV172">
            <v>0</v>
          </cell>
          <cell r="DW172">
            <v>0</v>
          </cell>
          <cell r="DX172">
            <v>0</v>
          </cell>
          <cell r="DY172">
            <v>0</v>
          </cell>
          <cell r="DZ172">
            <v>0</v>
          </cell>
          <cell r="EA172">
            <v>0</v>
          </cell>
          <cell r="EB172">
            <v>0</v>
          </cell>
          <cell r="EC172">
            <v>0</v>
          </cell>
          <cell r="ED172">
            <v>0</v>
          </cell>
          <cell r="EE172">
            <v>0</v>
          </cell>
          <cell r="EF172">
            <v>0</v>
          </cell>
          <cell r="EG172">
            <v>0</v>
          </cell>
          <cell r="EH172">
            <v>0</v>
          </cell>
          <cell r="EI172">
            <v>0</v>
          </cell>
          <cell r="EJ172">
            <v>0</v>
          </cell>
          <cell r="EK172">
            <v>0</v>
          </cell>
          <cell r="EL172">
            <v>0</v>
          </cell>
          <cell r="EM172">
            <v>0</v>
          </cell>
          <cell r="EN172">
            <v>0</v>
          </cell>
          <cell r="EO172">
            <v>0</v>
          </cell>
          <cell r="EP172">
            <v>0</v>
          </cell>
          <cell r="EQ172">
            <v>0</v>
          </cell>
          <cell r="ER172">
            <v>0</v>
          </cell>
          <cell r="ES172">
            <v>0</v>
          </cell>
          <cell r="ET172">
            <v>0</v>
          </cell>
          <cell r="EU172">
            <v>0</v>
          </cell>
          <cell r="EV172">
            <v>0</v>
          </cell>
          <cell r="EW172">
            <v>0</v>
          </cell>
          <cell r="EX172">
            <v>0</v>
          </cell>
          <cell r="EY172">
            <v>0</v>
          </cell>
          <cell r="EZ172">
            <v>0</v>
          </cell>
          <cell r="FA172">
            <v>0</v>
          </cell>
          <cell r="FB172">
            <v>0</v>
          </cell>
          <cell r="FC172">
            <v>0</v>
          </cell>
          <cell r="FD172">
            <v>0</v>
          </cell>
          <cell r="FE172">
            <v>0</v>
          </cell>
          <cell r="FF172">
            <v>0</v>
          </cell>
          <cell r="FG172">
            <v>0</v>
          </cell>
          <cell r="FH172">
            <v>0</v>
          </cell>
          <cell r="FI172">
            <v>0</v>
          </cell>
          <cell r="FJ172">
            <v>0</v>
          </cell>
          <cell r="FK172">
            <v>0</v>
          </cell>
          <cell r="FL172">
            <v>0</v>
          </cell>
          <cell r="FM172">
            <v>0</v>
          </cell>
          <cell r="FN172">
            <v>0</v>
          </cell>
          <cell r="FO172">
            <v>0</v>
          </cell>
          <cell r="FP172">
            <v>0</v>
          </cell>
          <cell r="FQ172">
            <v>0</v>
          </cell>
          <cell r="FR172">
            <v>0</v>
          </cell>
          <cell r="FS172">
            <v>0</v>
          </cell>
          <cell r="FT172">
            <v>0</v>
          </cell>
          <cell r="FU172">
            <v>0</v>
          </cell>
          <cell r="FV172">
            <v>0</v>
          </cell>
          <cell r="FW172">
            <v>0</v>
          </cell>
          <cell r="FX172">
            <v>0</v>
          </cell>
          <cell r="FY172">
            <v>0</v>
          </cell>
          <cell r="FZ172">
            <v>0</v>
          </cell>
        </row>
        <row r="173">
          <cell r="B173">
            <v>0.1</v>
          </cell>
          <cell r="C173">
            <v>7.0000000000000007E-2</v>
          </cell>
          <cell r="D173">
            <v>0.17</v>
          </cell>
          <cell r="E173">
            <v>0.1</v>
          </cell>
          <cell r="F173">
            <v>0.15</v>
          </cell>
          <cell r="G173">
            <v>0.215</v>
          </cell>
          <cell r="H173">
            <v>6.5000000000000002E-2</v>
          </cell>
          <cell r="I173">
            <v>0.05</v>
          </cell>
          <cell r="J173">
            <v>0.13</v>
          </cell>
          <cell r="K173">
            <v>0.17499999999999999</v>
          </cell>
          <cell r="L173">
            <v>0.17</v>
          </cell>
          <cell r="M173">
            <v>0.16</v>
          </cell>
          <cell r="N173">
            <v>1</v>
          </cell>
          <cell r="O173">
            <v>1</v>
          </cell>
          <cell r="P173">
            <v>1</v>
          </cell>
          <cell r="Q173">
            <v>1</v>
          </cell>
          <cell r="R173">
            <v>1</v>
          </cell>
          <cell r="S173">
            <v>1</v>
          </cell>
          <cell r="T173">
            <v>1</v>
          </cell>
          <cell r="U173">
            <v>1</v>
          </cell>
          <cell r="V173">
            <v>1</v>
          </cell>
          <cell r="W173">
            <v>1</v>
          </cell>
          <cell r="X173">
            <v>1</v>
          </cell>
          <cell r="Y173">
            <v>1</v>
          </cell>
          <cell r="Z173">
            <v>9.5000000000000001E-2</v>
          </cell>
          <cell r="AA173">
            <v>0.1</v>
          </cell>
          <cell r="AB173">
            <v>0.14000000000000001</v>
          </cell>
          <cell r="AC173">
            <v>0.11</v>
          </cell>
          <cell r="AD173">
            <v>0.11</v>
          </cell>
          <cell r="AE173">
            <v>0.19</v>
          </cell>
          <cell r="AF173">
            <v>0.09</v>
          </cell>
          <cell r="AG173">
            <v>0.11</v>
          </cell>
          <cell r="AH173">
            <v>0.15</v>
          </cell>
          <cell r="AI173">
            <v>0.2</v>
          </cell>
          <cell r="AJ173">
            <v>0.2</v>
          </cell>
          <cell r="AK173">
            <v>0.2</v>
          </cell>
          <cell r="AL173">
            <v>0</v>
          </cell>
          <cell r="AM173">
            <v>0</v>
          </cell>
          <cell r="AN173">
            <v>0</v>
          </cell>
          <cell r="AO173">
            <v>463676124.17699343</v>
          </cell>
          <cell r="AP173">
            <v>0</v>
          </cell>
          <cell r="AQ173">
            <v>0</v>
          </cell>
          <cell r="AR173">
            <v>0</v>
          </cell>
          <cell r="AS173">
            <v>0</v>
          </cell>
          <cell r="AT173">
            <v>0</v>
          </cell>
          <cell r="AU173">
            <v>0</v>
          </cell>
          <cell r="AV173">
            <v>0</v>
          </cell>
          <cell r="AW173">
            <v>0</v>
          </cell>
          <cell r="AX173">
            <v>0</v>
          </cell>
          <cell r="AY173">
            <v>0</v>
          </cell>
          <cell r="AZ173">
            <v>0</v>
          </cell>
          <cell r="BA173">
            <v>111521207.61464098</v>
          </cell>
          <cell r="BB173">
            <v>0</v>
          </cell>
          <cell r="BC173">
            <v>0</v>
          </cell>
          <cell r="BD173">
            <v>0</v>
          </cell>
          <cell r="BE173">
            <v>0</v>
          </cell>
          <cell r="BF173">
            <v>0</v>
          </cell>
          <cell r="BG173">
            <v>0</v>
          </cell>
          <cell r="BH173">
            <v>0</v>
          </cell>
          <cell r="BI173">
            <v>0</v>
          </cell>
          <cell r="BJ173">
            <v>0</v>
          </cell>
          <cell r="BK173">
            <v>0</v>
          </cell>
          <cell r="BL173">
            <v>0</v>
          </cell>
          <cell r="BM173">
            <v>0</v>
          </cell>
          <cell r="BN173">
            <v>0</v>
          </cell>
          <cell r="BO173">
            <v>0</v>
          </cell>
          <cell r="BP173">
            <v>0</v>
          </cell>
          <cell r="BQ173">
            <v>0</v>
          </cell>
          <cell r="BR173">
            <v>0</v>
          </cell>
          <cell r="BS173">
            <v>0</v>
          </cell>
          <cell r="BT173">
            <v>0</v>
          </cell>
          <cell r="BU173">
            <v>0</v>
          </cell>
          <cell r="BV173">
            <v>0</v>
          </cell>
          <cell r="BW173">
            <v>-79467208.551942945</v>
          </cell>
          <cell r="BX173">
            <v>0</v>
          </cell>
          <cell r="BY173">
            <v>0</v>
          </cell>
          <cell r="BZ173">
            <v>-22921418.990893371</v>
          </cell>
          <cell r="CA173">
            <v>0</v>
          </cell>
          <cell r="CB173">
            <v>548648538.14786935</v>
          </cell>
          <cell r="CC173">
            <v>0</v>
          </cell>
          <cell r="CD173">
            <v>0</v>
          </cell>
          <cell r="CE173">
            <v>0</v>
          </cell>
          <cell r="CF173">
            <v>0</v>
          </cell>
          <cell r="CG173">
            <v>258585460.6935614</v>
          </cell>
          <cell r="CH173">
            <v>0</v>
          </cell>
          <cell r="CI173">
            <v>0</v>
          </cell>
          <cell r="CJ173">
            <v>0</v>
          </cell>
          <cell r="CK173">
            <v>0</v>
          </cell>
          <cell r="CL173">
            <v>0</v>
          </cell>
          <cell r="CM173">
            <v>0</v>
          </cell>
          <cell r="CN173">
            <v>0</v>
          </cell>
          <cell r="CO173">
            <v>0</v>
          </cell>
          <cell r="CP173">
            <v>0</v>
          </cell>
          <cell r="CQ173">
            <v>0</v>
          </cell>
          <cell r="CR173">
            <v>0</v>
          </cell>
          <cell r="CS173">
            <v>463676124.17699343</v>
          </cell>
          <cell r="CT173">
            <v>0</v>
          </cell>
          <cell r="CU173">
            <v>0</v>
          </cell>
          <cell r="CV173">
            <v>0</v>
          </cell>
          <cell r="CW173">
            <v>0</v>
          </cell>
          <cell r="CX173">
            <v>0</v>
          </cell>
          <cell r="CY173">
            <v>0</v>
          </cell>
          <cell r="CZ173">
            <v>0</v>
          </cell>
          <cell r="DA173">
            <v>0</v>
          </cell>
          <cell r="DB173">
            <v>0</v>
          </cell>
          <cell r="DC173">
            <v>0</v>
          </cell>
          <cell r="DD173">
            <v>0</v>
          </cell>
          <cell r="DE173">
            <v>150168101.44709095</v>
          </cell>
          <cell r="DF173">
            <v>0</v>
          </cell>
          <cell r="DG173">
            <v>0</v>
          </cell>
          <cell r="DH173">
            <v>0</v>
          </cell>
          <cell r="DI173">
            <v>0</v>
          </cell>
          <cell r="DJ173">
            <v>0</v>
          </cell>
          <cell r="DK173">
            <v>0</v>
          </cell>
          <cell r="DL173">
            <v>0</v>
          </cell>
          <cell r="DM173">
            <v>0</v>
          </cell>
          <cell r="DN173">
            <v>0</v>
          </cell>
          <cell r="DO173">
            <v>0</v>
          </cell>
          <cell r="DP173">
            <v>0</v>
          </cell>
          <cell r="DQ173">
            <v>0</v>
          </cell>
          <cell r="DR173">
            <v>0</v>
          </cell>
          <cell r="DS173">
            <v>0</v>
          </cell>
          <cell r="DT173">
            <v>0</v>
          </cell>
          <cell r="DU173">
            <v>0</v>
          </cell>
          <cell r="DV173">
            <v>0</v>
          </cell>
          <cell r="DW173">
            <v>0</v>
          </cell>
          <cell r="DX173">
            <v>0</v>
          </cell>
          <cell r="DY173">
            <v>0</v>
          </cell>
          <cell r="DZ173">
            <v>0</v>
          </cell>
          <cell r="EA173">
            <v>0</v>
          </cell>
          <cell r="EB173">
            <v>0</v>
          </cell>
          <cell r="EC173">
            <v>0</v>
          </cell>
          <cell r="ED173">
            <v>0</v>
          </cell>
          <cell r="EE173">
            <v>0</v>
          </cell>
          <cell r="EF173">
            <v>0</v>
          </cell>
          <cell r="EG173">
            <v>0</v>
          </cell>
          <cell r="EH173">
            <v>0</v>
          </cell>
          <cell r="EI173">
            <v>0</v>
          </cell>
          <cell r="EJ173">
            <v>0</v>
          </cell>
          <cell r="EK173">
            <v>0</v>
          </cell>
          <cell r="EL173">
            <v>0</v>
          </cell>
          <cell r="EM173">
            <v>0</v>
          </cell>
          <cell r="EN173">
            <v>0</v>
          </cell>
          <cell r="EO173">
            <v>0</v>
          </cell>
          <cell r="EP173">
            <v>0</v>
          </cell>
          <cell r="EQ173">
            <v>0</v>
          </cell>
          <cell r="ER173">
            <v>0</v>
          </cell>
          <cell r="ES173">
            <v>0</v>
          </cell>
          <cell r="ET173">
            <v>0</v>
          </cell>
          <cell r="EU173">
            <v>0</v>
          </cell>
          <cell r="EV173">
            <v>0</v>
          </cell>
          <cell r="EW173">
            <v>0</v>
          </cell>
          <cell r="EX173">
            <v>0</v>
          </cell>
          <cell r="EY173">
            <v>0</v>
          </cell>
          <cell r="EZ173">
            <v>0</v>
          </cell>
          <cell r="FA173">
            <v>0</v>
          </cell>
          <cell r="FB173">
            <v>0</v>
          </cell>
          <cell r="FC173">
            <v>0</v>
          </cell>
          <cell r="FD173">
            <v>0</v>
          </cell>
          <cell r="FE173">
            <v>0</v>
          </cell>
          <cell r="FF173">
            <v>0</v>
          </cell>
          <cell r="FG173">
            <v>0</v>
          </cell>
          <cell r="FH173">
            <v>0</v>
          </cell>
          <cell r="FI173">
            <v>0</v>
          </cell>
          <cell r="FJ173">
            <v>0</v>
          </cell>
          <cell r="FK173">
            <v>0</v>
          </cell>
          <cell r="FL173">
            <v>0</v>
          </cell>
          <cell r="FM173">
            <v>0</v>
          </cell>
          <cell r="FN173">
            <v>0</v>
          </cell>
          <cell r="FO173">
            <v>0</v>
          </cell>
          <cell r="FP173">
            <v>0</v>
          </cell>
          <cell r="FQ173">
            <v>0</v>
          </cell>
          <cell r="FR173">
            <v>0</v>
          </cell>
          <cell r="FS173">
            <v>0</v>
          </cell>
          <cell r="FT173">
            <v>0</v>
          </cell>
          <cell r="FU173">
            <v>0</v>
          </cell>
          <cell r="FV173">
            <v>0</v>
          </cell>
          <cell r="FW173">
            <v>0</v>
          </cell>
          <cell r="FX173">
            <v>0</v>
          </cell>
          <cell r="FY173">
            <v>0</v>
          </cell>
          <cell r="FZ173">
            <v>0</v>
          </cell>
        </row>
        <row r="174">
          <cell r="B174">
            <v>0.1</v>
          </cell>
          <cell r="C174">
            <v>7.0000000000000007E-2</v>
          </cell>
          <cell r="D174">
            <v>0.17</v>
          </cell>
          <cell r="E174">
            <v>0.1</v>
          </cell>
          <cell r="F174">
            <v>0.15</v>
          </cell>
          <cell r="G174">
            <v>0.215</v>
          </cell>
          <cell r="H174">
            <v>6.5000000000000002E-2</v>
          </cell>
          <cell r="I174">
            <v>0.05</v>
          </cell>
          <cell r="J174">
            <v>0.13</v>
          </cell>
          <cell r="K174">
            <v>0.17499999999999999</v>
          </cell>
          <cell r="L174">
            <v>0.17</v>
          </cell>
          <cell r="M174">
            <v>0.16</v>
          </cell>
          <cell r="N174">
            <v>1</v>
          </cell>
          <cell r="O174">
            <v>1</v>
          </cell>
          <cell r="P174">
            <v>1</v>
          </cell>
          <cell r="Q174">
            <v>1</v>
          </cell>
          <cell r="R174">
            <v>1</v>
          </cell>
          <cell r="S174">
            <v>1</v>
          </cell>
          <cell r="T174">
            <v>1</v>
          </cell>
          <cell r="U174">
            <v>1</v>
          </cell>
          <cell r="V174">
            <v>1</v>
          </cell>
          <cell r="W174">
            <v>1</v>
          </cell>
          <cell r="X174">
            <v>1</v>
          </cell>
          <cell r="Y174">
            <v>1</v>
          </cell>
          <cell r="Z174">
            <v>9.5000000000000001E-2</v>
          </cell>
          <cell r="AA174">
            <v>0.1</v>
          </cell>
          <cell r="AB174">
            <v>0.14000000000000001</v>
          </cell>
          <cell r="AC174">
            <v>0.11</v>
          </cell>
          <cell r="AD174">
            <v>0.11</v>
          </cell>
          <cell r="AE174">
            <v>0.19</v>
          </cell>
          <cell r="AF174">
            <v>0.09</v>
          </cell>
          <cell r="AG174">
            <v>0.11</v>
          </cell>
          <cell r="AH174">
            <v>0.15</v>
          </cell>
          <cell r="AI174">
            <v>0.2</v>
          </cell>
          <cell r="AJ174">
            <v>0.2</v>
          </cell>
          <cell r="AK174">
            <v>0.2</v>
          </cell>
          <cell r="AL174">
            <v>0</v>
          </cell>
          <cell r="AM174">
            <v>0</v>
          </cell>
          <cell r="AN174">
            <v>0</v>
          </cell>
          <cell r="AO174">
            <v>0</v>
          </cell>
          <cell r="AP174">
            <v>0</v>
          </cell>
          <cell r="AQ174">
            <v>0</v>
          </cell>
          <cell r="AR174">
            <v>0</v>
          </cell>
          <cell r="AS174">
            <v>0</v>
          </cell>
          <cell r="AT174">
            <v>0</v>
          </cell>
          <cell r="AU174">
            <v>0</v>
          </cell>
          <cell r="AV174">
            <v>0</v>
          </cell>
          <cell r="AW174">
            <v>0</v>
          </cell>
          <cell r="AX174">
            <v>0</v>
          </cell>
          <cell r="AY174">
            <v>0</v>
          </cell>
          <cell r="AZ174">
            <v>0</v>
          </cell>
          <cell r="BA174">
            <v>0</v>
          </cell>
          <cell r="BB174">
            <v>0</v>
          </cell>
          <cell r="BC174">
            <v>0</v>
          </cell>
          <cell r="BD174">
            <v>0</v>
          </cell>
          <cell r="BE174">
            <v>0</v>
          </cell>
          <cell r="BF174">
            <v>0</v>
          </cell>
          <cell r="BG174">
            <v>0</v>
          </cell>
          <cell r="BH174">
            <v>0</v>
          </cell>
          <cell r="BI174">
            <v>0</v>
          </cell>
          <cell r="BJ174">
            <v>0</v>
          </cell>
          <cell r="BK174">
            <v>0</v>
          </cell>
          <cell r="BL174">
            <v>0</v>
          </cell>
          <cell r="BM174">
            <v>0</v>
          </cell>
          <cell r="BN174">
            <v>0</v>
          </cell>
          <cell r="BO174">
            <v>0</v>
          </cell>
          <cell r="BP174">
            <v>0</v>
          </cell>
          <cell r="BQ174">
            <v>0</v>
          </cell>
          <cell r="BR174">
            <v>0</v>
          </cell>
          <cell r="BS174">
            <v>0</v>
          </cell>
          <cell r="BT174">
            <v>0</v>
          </cell>
          <cell r="BU174">
            <v>0</v>
          </cell>
          <cell r="BV174">
            <v>0</v>
          </cell>
          <cell r="BW174">
            <v>0</v>
          </cell>
          <cell r="BX174">
            <v>0</v>
          </cell>
          <cell r="BY174">
            <v>0</v>
          </cell>
          <cell r="BZ174">
            <v>0</v>
          </cell>
          <cell r="CA174">
            <v>0</v>
          </cell>
          <cell r="CB174">
            <v>0</v>
          </cell>
          <cell r="CC174">
            <v>0</v>
          </cell>
          <cell r="CD174">
            <v>0</v>
          </cell>
          <cell r="CE174">
            <v>0</v>
          </cell>
          <cell r="CF174">
            <v>0</v>
          </cell>
          <cell r="CG174">
            <v>0</v>
          </cell>
          <cell r="CH174">
            <v>0</v>
          </cell>
          <cell r="CI174">
            <v>0</v>
          </cell>
          <cell r="CJ174">
            <v>0</v>
          </cell>
          <cell r="CK174">
            <v>0</v>
          </cell>
          <cell r="CL174">
            <v>0</v>
          </cell>
          <cell r="CM174">
            <v>0</v>
          </cell>
          <cell r="CN174">
            <v>0</v>
          </cell>
          <cell r="CO174">
            <v>0</v>
          </cell>
          <cell r="CP174">
            <v>0</v>
          </cell>
          <cell r="CQ174">
            <v>0</v>
          </cell>
          <cell r="CR174">
            <v>0</v>
          </cell>
          <cell r="CS174">
            <v>0</v>
          </cell>
          <cell r="CT174">
            <v>0</v>
          </cell>
          <cell r="CU174">
            <v>0</v>
          </cell>
          <cell r="CV174">
            <v>0</v>
          </cell>
          <cell r="CW174">
            <v>0</v>
          </cell>
          <cell r="CX174">
            <v>0</v>
          </cell>
          <cell r="CY174">
            <v>0</v>
          </cell>
          <cell r="CZ174">
            <v>0</v>
          </cell>
          <cell r="DA174">
            <v>0</v>
          </cell>
          <cell r="DB174">
            <v>0</v>
          </cell>
          <cell r="DC174">
            <v>0</v>
          </cell>
          <cell r="DD174">
            <v>0</v>
          </cell>
          <cell r="DE174">
            <v>0</v>
          </cell>
          <cell r="DF174">
            <v>0</v>
          </cell>
          <cell r="DG174">
            <v>0</v>
          </cell>
          <cell r="DH174">
            <v>0</v>
          </cell>
          <cell r="DI174">
            <v>0</v>
          </cell>
          <cell r="DJ174">
            <v>0</v>
          </cell>
          <cell r="DK174">
            <v>0</v>
          </cell>
          <cell r="DL174">
            <v>0</v>
          </cell>
          <cell r="DM174">
            <v>0</v>
          </cell>
          <cell r="DN174">
            <v>0</v>
          </cell>
          <cell r="DO174">
            <v>0</v>
          </cell>
          <cell r="DP174">
            <v>0</v>
          </cell>
          <cell r="DQ174">
            <v>0</v>
          </cell>
          <cell r="DR174">
            <v>0</v>
          </cell>
          <cell r="DS174">
            <v>0</v>
          </cell>
          <cell r="DT174">
            <v>0</v>
          </cell>
          <cell r="DU174">
            <v>0</v>
          </cell>
          <cell r="DV174">
            <v>0</v>
          </cell>
          <cell r="DW174">
            <v>0</v>
          </cell>
          <cell r="DX174">
            <v>0</v>
          </cell>
          <cell r="DY174">
            <v>0</v>
          </cell>
          <cell r="DZ174">
            <v>0</v>
          </cell>
          <cell r="EA174">
            <v>0</v>
          </cell>
          <cell r="EB174">
            <v>0</v>
          </cell>
          <cell r="EC174">
            <v>0</v>
          </cell>
          <cell r="ED174">
            <v>0</v>
          </cell>
          <cell r="EE174">
            <v>0</v>
          </cell>
          <cell r="EF174">
            <v>0</v>
          </cell>
          <cell r="EG174">
            <v>0</v>
          </cell>
          <cell r="EH174">
            <v>0</v>
          </cell>
          <cell r="EI174">
            <v>0</v>
          </cell>
          <cell r="EJ174">
            <v>0</v>
          </cell>
          <cell r="EK174">
            <v>0</v>
          </cell>
          <cell r="EL174">
            <v>0</v>
          </cell>
          <cell r="EM174">
            <v>0</v>
          </cell>
          <cell r="EN174">
            <v>0</v>
          </cell>
          <cell r="EO174">
            <v>0</v>
          </cell>
          <cell r="EP174">
            <v>0</v>
          </cell>
          <cell r="EQ174">
            <v>0</v>
          </cell>
          <cell r="ER174">
            <v>0</v>
          </cell>
          <cell r="ES174">
            <v>0</v>
          </cell>
          <cell r="ET174">
            <v>0</v>
          </cell>
          <cell r="EU174">
            <v>0</v>
          </cell>
          <cell r="EV174">
            <v>0</v>
          </cell>
          <cell r="EW174">
            <v>0</v>
          </cell>
          <cell r="EX174">
            <v>0</v>
          </cell>
          <cell r="EY174">
            <v>0</v>
          </cell>
          <cell r="EZ174">
            <v>0</v>
          </cell>
          <cell r="FA174">
            <v>0</v>
          </cell>
          <cell r="FB174">
            <v>0</v>
          </cell>
          <cell r="FC174">
            <v>0</v>
          </cell>
          <cell r="FD174">
            <v>0</v>
          </cell>
          <cell r="FE174">
            <v>0</v>
          </cell>
          <cell r="FF174">
            <v>0</v>
          </cell>
          <cell r="FG174">
            <v>0</v>
          </cell>
          <cell r="FH174">
            <v>0</v>
          </cell>
          <cell r="FI174">
            <v>0</v>
          </cell>
          <cell r="FJ174">
            <v>0</v>
          </cell>
          <cell r="FK174">
            <v>0</v>
          </cell>
          <cell r="FL174">
            <v>0</v>
          </cell>
          <cell r="FM174">
            <v>0</v>
          </cell>
          <cell r="FN174">
            <v>0</v>
          </cell>
          <cell r="FO174">
            <v>0</v>
          </cell>
          <cell r="FP174">
            <v>0</v>
          </cell>
          <cell r="FQ174">
            <v>0</v>
          </cell>
          <cell r="FR174">
            <v>0</v>
          </cell>
          <cell r="FS174">
            <v>0</v>
          </cell>
          <cell r="FT174">
            <v>0</v>
          </cell>
          <cell r="FU174">
            <v>0</v>
          </cell>
          <cell r="FV174">
            <v>0</v>
          </cell>
          <cell r="FW174">
            <v>0</v>
          </cell>
          <cell r="FX174">
            <v>0</v>
          </cell>
          <cell r="FY174">
            <v>0</v>
          </cell>
          <cell r="FZ174">
            <v>0</v>
          </cell>
        </row>
        <row r="175">
          <cell r="B175">
            <v>0.1</v>
          </cell>
          <cell r="C175">
            <v>7.0000000000000007E-2</v>
          </cell>
          <cell r="D175">
            <v>0.17</v>
          </cell>
          <cell r="E175">
            <v>0.1</v>
          </cell>
          <cell r="F175">
            <v>0.15</v>
          </cell>
          <cell r="G175">
            <v>0.215</v>
          </cell>
          <cell r="H175">
            <v>6.5000000000000002E-2</v>
          </cell>
          <cell r="I175">
            <v>0.05</v>
          </cell>
          <cell r="J175">
            <v>0.13</v>
          </cell>
          <cell r="K175">
            <v>0.17499999999999999</v>
          </cell>
          <cell r="L175">
            <v>0.17</v>
          </cell>
          <cell r="M175">
            <v>0.16</v>
          </cell>
          <cell r="N175">
            <v>1</v>
          </cell>
          <cell r="O175">
            <v>1</v>
          </cell>
          <cell r="P175">
            <v>1</v>
          </cell>
          <cell r="Q175">
            <v>1</v>
          </cell>
          <cell r="R175">
            <v>1</v>
          </cell>
          <cell r="S175">
            <v>1</v>
          </cell>
          <cell r="T175">
            <v>1</v>
          </cell>
          <cell r="U175">
            <v>1</v>
          </cell>
          <cell r="V175">
            <v>1</v>
          </cell>
          <cell r="W175">
            <v>1</v>
          </cell>
          <cell r="X175">
            <v>1</v>
          </cell>
          <cell r="Y175">
            <v>1</v>
          </cell>
          <cell r="Z175">
            <v>9.5000000000000001E-2</v>
          </cell>
          <cell r="AA175">
            <v>0.1</v>
          </cell>
          <cell r="AB175">
            <v>0.14000000000000001</v>
          </cell>
          <cell r="AC175">
            <v>0.11</v>
          </cell>
          <cell r="AD175">
            <v>0.11</v>
          </cell>
          <cell r="AE175">
            <v>0.19</v>
          </cell>
          <cell r="AF175">
            <v>0.09</v>
          </cell>
          <cell r="AG175">
            <v>0.11</v>
          </cell>
          <cell r="AH175">
            <v>0.15</v>
          </cell>
          <cell r="AI175">
            <v>0.2</v>
          </cell>
          <cell r="AJ175">
            <v>0.2</v>
          </cell>
          <cell r="AK175">
            <v>0.2</v>
          </cell>
          <cell r="AL175">
            <v>0</v>
          </cell>
          <cell r="AM175">
            <v>0</v>
          </cell>
          <cell r="AN175">
            <v>0</v>
          </cell>
          <cell r="AO175">
            <v>0</v>
          </cell>
          <cell r="AP175">
            <v>0</v>
          </cell>
          <cell r="AQ175">
            <v>0</v>
          </cell>
          <cell r="AR175">
            <v>0</v>
          </cell>
          <cell r="AS175">
            <v>0</v>
          </cell>
          <cell r="AT175">
            <v>0</v>
          </cell>
          <cell r="AU175">
            <v>0</v>
          </cell>
          <cell r="AV175">
            <v>0</v>
          </cell>
          <cell r="AW175">
            <v>0</v>
          </cell>
          <cell r="AX175">
            <v>0</v>
          </cell>
          <cell r="AY175">
            <v>0</v>
          </cell>
          <cell r="AZ175">
            <v>0</v>
          </cell>
          <cell r="BA175">
            <v>0</v>
          </cell>
          <cell r="BB175">
            <v>0</v>
          </cell>
          <cell r="BC175">
            <v>0</v>
          </cell>
          <cell r="BD175">
            <v>0</v>
          </cell>
          <cell r="BE175">
            <v>0</v>
          </cell>
          <cell r="BF175">
            <v>9703.6296457291901</v>
          </cell>
          <cell r="BG175">
            <v>0</v>
          </cell>
          <cell r="BH175">
            <v>0</v>
          </cell>
          <cell r="BI175">
            <v>0</v>
          </cell>
          <cell r="BJ175">
            <v>0</v>
          </cell>
          <cell r="BK175">
            <v>0</v>
          </cell>
          <cell r="BL175">
            <v>0</v>
          </cell>
          <cell r="BM175">
            <v>0</v>
          </cell>
          <cell r="BN175">
            <v>0</v>
          </cell>
          <cell r="BO175">
            <v>0</v>
          </cell>
          <cell r="BP175">
            <v>0</v>
          </cell>
          <cell r="BQ175">
            <v>0</v>
          </cell>
          <cell r="BR175">
            <v>0</v>
          </cell>
          <cell r="BS175">
            <v>0</v>
          </cell>
          <cell r="BT175">
            <v>0</v>
          </cell>
          <cell r="BU175">
            <v>0</v>
          </cell>
          <cell r="BV175">
            <v>0</v>
          </cell>
          <cell r="BW175">
            <v>0</v>
          </cell>
          <cell r="BX175">
            <v>0</v>
          </cell>
          <cell r="BY175">
            <v>0</v>
          </cell>
          <cell r="BZ175">
            <v>174531.22832428396</v>
          </cell>
          <cell r="CA175">
            <v>0</v>
          </cell>
          <cell r="CB175">
            <v>1693429.4140129965</v>
          </cell>
          <cell r="CC175">
            <v>0</v>
          </cell>
          <cell r="CD175">
            <v>0</v>
          </cell>
          <cell r="CE175">
            <v>0</v>
          </cell>
          <cell r="CF175">
            <v>0</v>
          </cell>
          <cell r="CG175">
            <v>0</v>
          </cell>
          <cell r="CH175">
            <v>0</v>
          </cell>
          <cell r="CI175">
            <v>0</v>
          </cell>
          <cell r="CJ175">
            <v>0</v>
          </cell>
          <cell r="CK175">
            <v>0</v>
          </cell>
          <cell r="CL175">
            <v>0</v>
          </cell>
          <cell r="CM175">
            <v>0</v>
          </cell>
          <cell r="CN175">
            <v>0</v>
          </cell>
          <cell r="CO175">
            <v>0</v>
          </cell>
          <cell r="CP175">
            <v>0</v>
          </cell>
          <cell r="CQ175">
            <v>0</v>
          </cell>
          <cell r="CR175">
            <v>0</v>
          </cell>
          <cell r="CS175">
            <v>0</v>
          </cell>
          <cell r="CT175">
            <v>0</v>
          </cell>
          <cell r="CU175">
            <v>0</v>
          </cell>
          <cell r="CV175">
            <v>0</v>
          </cell>
          <cell r="CW175">
            <v>0</v>
          </cell>
          <cell r="CX175">
            <v>0</v>
          </cell>
          <cell r="CY175">
            <v>0</v>
          </cell>
          <cell r="CZ175">
            <v>0</v>
          </cell>
          <cell r="DA175">
            <v>0</v>
          </cell>
          <cell r="DB175">
            <v>0</v>
          </cell>
          <cell r="DC175">
            <v>0</v>
          </cell>
          <cell r="DD175">
            <v>0</v>
          </cell>
          <cell r="DE175">
            <v>0</v>
          </cell>
          <cell r="DF175">
            <v>0</v>
          </cell>
          <cell r="DG175">
            <v>0</v>
          </cell>
          <cell r="DH175">
            <v>0</v>
          </cell>
          <cell r="DI175">
            <v>0</v>
          </cell>
          <cell r="DJ175">
            <v>0</v>
          </cell>
          <cell r="DK175">
            <v>0</v>
          </cell>
          <cell r="DL175">
            <v>0</v>
          </cell>
          <cell r="DM175">
            <v>0</v>
          </cell>
          <cell r="DN175">
            <v>0</v>
          </cell>
          <cell r="DO175">
            <v>0</v>
          </cell>
          <cell r="DP175">
            <v>0</v>
          </cell>
          <cell r="DQ175">
            <v>0</v>
          </cell>
          <cell r="DR175">
            <v>0</v>
          </cell>
          <cell r="DS175">
            <v>0</v>
          </cell>
          <cell r="DT175">
            <v>0</v>
          </cell>
          <cell r="DU175">
            <v>0</v>
          </cell>
          <cell r="DV175">
            <v>0</v>
          </cell>
          <cell r="DW175">
            <v>0</v>
          </cell>
          <cell r="DX175">
            <v>0</v>
          </cell>
          <cell r="DY175">
            <v>0</v>
          </cell>
          <cell r="DZ175">
            <v>0</v>
          </cell>
          <cell r="EA175">
            <v>0</v>
          </cell>
          <cell r="EB175">
            <v>0</v>
          </cell>
          <cell r="EC175">
            <v>0</v>
          </cell>
          <cell r="ED175">
            <v>0</v>
          </cell>
          <cell r="EE175">
            <v>0</v>
          </cell>
          <cell r="EF175">
            <v>0</v>
          </cell>
          <cell r="EG175">
            <v>0</v>
          </cell>
          <cell r="EH175">
            <v>0</v>
          </cell>
          <cell r="EI175">
            <v>0</v>
          </cell>
          <cell r="EJ175">
            <v>0</v>
          </cell>
          <cell r="EK175">
            <v>0</v>
          </cell>
          <cell r="EL175">
            <v>0</v>
          </cell>
          <cell r="EM175">
            <v>0</v>
          </cell>
          <cell r="EN175">
            <v>0</v>
          </cell>
          <cell r="EO175">
            <v>0</v>
          </cell>
          <cell r="EP175">
            <v>0</v>
          </cell>
          <cell r="EQ175">
            <v>0</v>
          </cell>
          <cell r="ER175">
            <v>0</v>
          </cell>
          <cell r="ES175">
            <v>0</v>
          </cell>
          <cell r="ET175">
            <v>0</v>
          </cell>
          <cell r="EU175">
            <v>0</v>
          </cell>
          <cell r="EV175">
            <v>0</v>
          </cell>
          <cell r="EW175">
            <v>0</v>
          </cell>
          <cell r="EX175">
            <v>0</v>
          </cell>
          <cell r="EY175">
            <v>0</v>
          </cell>
          <cell r="EZ175">
            <v>0</v>
          </cell>
          <cell r="FA175">
            <v>0</v>
          </cell>
          <cell r="FB175">
            <v>0</v>
          </cell>
          <cell r="FC175">
            <v>0</v>
          </cell>
          <cell r="FD175">
            <v>0</v>
          </cell>
          <cell r="FE175">
            <v>0</v>
          </cell>
          <cell r="FF175">
            <v>0</v>
          </cell>
          <cell r="FG175">
            <v>0</v>
          </cell>
          <cell r="FH175">
            <v>0</v>
          </cell>
          <cell r="FI175">
            <v>0</v>
          </cell>
          <cell r="FJ175">
            <v>0</v>
          </cell>
          <cell r="FK175">
            <v>0</v>
          </cell>
          <cell r="FL175">
            <v>0</v>
          </cell>
          <cell r="FM175">
            <v>0</v>
          </cell>
          <cell r="FN175">
            <v>0</v>
          </cell>
          <cell r="FO175">
            <v>0</v>
          </cell>
          <cell r="FP175">
            <v>0</v>
          </cell>
          <cell r="FQ175">
            <v>0</v>
          </cell>
          <cell r="FR175">
            <v>0</v>
          </cell>
          <cell r="FS175">
            <v>0</v>
          </cell>
          <cell r="FT175">
            <v>0</v>
          </cell>
          <cell r="FU175">
            <v>0</v>
          </cell>
          <cell r="FV175">
            <v>0</v>
          </cell>
          <cell r="FW175">
            <v>0</v>
          </cell>
          <cell r="FX175">
            <v>0</v>
          </cell>
          <cell r="FY175">
            <v>0</v>
          </cell>
          <cell r="FZ175">
            <v>0</v>
          </cell>
        </row>
        <row r="176">
          <cell r="B176">
            <v>0.1</v>
          </cell>
          <cell r="C176">
            <v>7.0000000000000007E-2</v>
          </cell>
          <cell r="D176">
            <v>0.17</v>
          </cell>
          <cell r="E176">
            <v>0.1</v>
          </cell>
          <cell r="F176">
            <v>0.15</v>
          </cell>
          <cell r="G176">
            <v>0.215</v>
          </cell>
          <cell r="H176">
            <v>6.5000000000000002E-2</v>
          </cell>
          <cell r="I176">
            <v>0.05</v>
          </cell>
          <cell r="J176">
            <v>0.13</v>
          </cell>
          <cell r="K176">
            <v>0.17499999999999999</v>
          </cell>
          <cell r="L176">
            <v>0.17</v>
          </cell>
          <cell r="M176">
            <v>0.16</v>
          </cell>
          <cell r="N176">
            <v>1</v>
          </cell>
          <cell r="O176">
            <v>1</v>
          </cell>
          <cell r="P176">
            <v>1</v>
          </cell>
          <cell r="Q176">
            <v>1</v>
          </cell>
          <cell r="R176">
            <v>1</v>
          </cell>
          <cell r="S176">
            <v>1</v>
          </cell>
          <cell r="T176">
            <v>1</v>
          </cell>
          <cell r="U176">
            <v>1</v>
          </cell>
          <cell r="V176">
            <v>1</v>
          </cell>
          <cell r="W176">
            <v>1</v>
          </cell>
          <cell r="X176">
            <v>1</v>
          </cell>
          <cell r="Y176">
            <v>1</v>
          </cell>
          <cell r="Z176">
            <v>9.5000000000000001E-2</v>
          </cell>
          <cell r="AA176">
            <v>0.1</v>
          </cell>
          <cell r="AB176">
            <v>0.14000000000000001</v>
          </cell>
          <cell r="AC176">
            <v>0.11</v>
          </cell>
          <cell r="AD176">
            <v>0.11</v>
          </cell>
          <cell r="AE176">
            <v>0.19</v>
          </cell>
          <cell r="AF176">
            <v>0.09</v>
          </cell>
          <cell r="AG176">
            <v>0.11</v>
          </cell>
          <cell r="AH176">
            <v>0.15</v>
          </cell>
          <cell r="AI176">
            <v>0.2</v>
          </cell>
          <cell r="AJ176">
            <v>0.2</v>
          </cell>
          <cell r="AK176">
            <v>0.2</v>
          </cell>
          <cell r="AL176">
            <v>0</v>
          </cell>
          <cell r="AM176">
            <v>45220077.811167881</v>
          </cell>
          <cell r="AN176">
            <v>0</v>
          </cell>
          <cell r="AO176">
            <v>0</v>
          </cell>
          <cell r="AP176">
            <v>0</v>
          </cell>
          <cell r="AQ176">
            <v>0</v>
          </cell>
          <cell r="AR176">
            <v>0</v>
          </cell>
          <cell r="AS176">
            <v>0</v>
          </cell>
          <cell r="AT176">
            <v>0</v>
          </cell>
          <cell r="AU176">
            <v>0</v>
          </cell>
          <cell r="AV176">
            <v>0</v>
          </cell>
          <cell r="AW176">
            <v>0</v>
          </cell>
          <cell r="AX176">
            <v>0</v>
          </cell>
          <cell r="AY176">
            <v>7317268.2211265378</v>
          </cell>
          <cell r="AZ176">
            <v>0</v>
          </cell>
          <cell r="BA176">
            <v>0</v>
          </cell>
          <cell r="BB176">
            <v>0</v>
          </cell>
          <cell r="BC176">
            <v>0</v>
          </cell>
          <cell r="BD176">
            <v>0</v>
          </cell>
          <cell r="BE176">
            <v>0</v>
          </cell>
          <cell r="BF176">
            <v>0</v>
          </cell>
          <cell r="BG176">
            <v>0</v>
          </cell>
          <cell r="BH176">
            <v>0</v>
          </cell>
          <cell r="BI176">
            <v>0</v>
          </cell>
          <cell r="BJ176">
            <v>0</v>
          </cell>
          <cell r="BK176">
            <v>0</v>
          </cell>
          <cell r="BL176">
            <v>0</v>
          </cell>
          <cell r="BM176">
            <v>0</v>
          </cell>
          <cell r="BN176">
            <v>0</v>
          </cell>
          <cell r="BO176">
            <v>0</v>
          </cell>
          <cell r="BP176">
            <v>0</v>
          </cell>
          <cell r="BQ176">
            <v>0</v>
          </cell>
          <cell r="BR176">
            <v>0</v>
          </cell>
          <cell r="BS176">
            <v>0</v>
          </cell>
          <cell r="BT176">
            <v>0</v>
          </cell>
          <cell r="BU176">
            <v>0</v>
          </cell>
          <cell r="BV176">
            <v>0</v>
          </cell>
          <cell r="BW176">
            <v>40213583.197150201</v>
          </cell>
          <cell r="BX176">
            <v>0</v>
          </cell>
          <cell r="BY176">
            <v>0</v>
          </cell>
          <cell r="BZ176">
            <v>43923735.892261945</v>
          </cell>
          <cell r="CA176">
            <v>0</v>
          </cell>
          <cell r="CB176">
            <v>35998610.476218335</v>
          </cell>
          <cell r="CC176">
            <v>0</v>
          </cell>
          <cell r="CD176">
            <v>0</v>
          </cell>
          <cell r="CE176">
            <v>45220077.811167881</v>
          </cell>
          <cell r="CF176">
            <v>0</v>
          </cell>
          <cell r="CG176">
            <v>0</v>
          </cell>
          <cell r="CH176">
            <v>0</v>
          </cell>
          <cell r="CI176">
            <v>0</v>
          </cell>
          <cell r="CJ176">
            <v>0</v>
          </cell>
          <cell r="CK176">
            <v>0</v>
          </cell>
          <cell r="CL176">
            <v>0</v>
          </cell>
          <cell r="CM176">
            <v>0</v>
          </cell>
          <cell r="CN176">
            <v>0</v>
          </cell>
          <cell r="CO176">
            <v>0</v>
          </cell>
          <cell r="CP176">
            <v>0</v>
          </cell>
          <cell r="CQ176">
            <v>0</v>
          </cell>
          <cell r="CR176">
            <v>0</v>
          </cell>
          <cell r="CS176">
            <v>0</v>
          </cell>
          <cell r="CT176">
            <v>0</v>
          </cell>
          <cell r="CU176">
            <v>0</v>
          </cell>
          <cell r="CV176">
            <v>0</v>
          </cell>
          <cell r="CW176">
            <v>0</v>
          </cell>
          <cell r="CX176">
            <v>0</v>
          </cell>
          <cell r="CY176">
            <v>0</v>
          </cell>
          <cell r="CZ176">
            <v>0</v>
          </cell>
          <cell r="DA176">
            <v>0</v>
          </cell>
          <cell r="DB176">
            <v>0</v>
          </cell>
          <cell r="DC176">
            <v>32154966.563169491</v>
          </cell>
          <cell r="DD176">
            <v>0</v>
          </cell>
          <cell r="DE176">
            <v>0</v>
          </cell>
          <cell r="DF176">
            <v>0</v>
          </cell>
          <cell r="DG176">
            <v>0</v>
          </cell>
          <cell r="DH176">
            <v>0</v>
          </cell>
          <cell r="DI176">
            <v>0</v>
          </cell>
          <cell r="DJ176">
            <v>0</v>
          </cell>
          <cell r="DK176">
            <v>0</v>
          </cell>
          <cell r="DL176">
            <v>0</v>
          </cell>
          <cell r="DM176">
            <v>0</v>
          </cell>
          <cell r="DN176">
            <v>0</v>
          </cell>
          <cell r="DO176">
            <v>0</v>
          </cell>
          <cell r="DP176">
            <v>0</v>
          </cell>
          <cell r="DQ176">
            <v>0</v>
          </cell>
          <cell r="DR176">
            <v>0</v>
          </cell>
          <cell r="DS176">
            <v>0</v>
          </cell>
          <cell r="DT176">
            <v>0</v>
          </cell>
          <cell r="DU176">
            <v>0</v>
          </cell>
          <cell r="DV176">
            <v>0</v>
          </cell>
          <cell r="DW176">
            <v>0</v>
          </cell>
          <cell r="DX176">
            <v>0</v>
          </cell>
          <cell r="DY176">
            <v>0</v>
          </cell>
          <cell r="DZ176">
            <v>0</v>
          </cell>
          <cell r="EA176">
            <v>0</v>
          </cell>
          <cell r="EB176">
            <v>0</v>
          </cell>
          <cell r="EC176">
            <v>0</v>
          </cell>
          <cell r="ED176">
            <v>0</v>
          </cell>
          <cell r="EE176">
            <v>0</v>
          </cell>
          <cell r="EF176">
            <v>0</v>
          </cell>
          <cell r="EG176">
            <v>0</v>
          </cell>
          <cell r="EH176">
            <v>0</v>
          </cell>
          <cell r="EI176">
            <v>0</v>
          </cell>
          <cell r="EJ176">
            <v>0</v>
          </cell>
          <cell r="EK176">
            <v>0</v>
          </cell>
          <cell r="EL176">
            <v>0</v>
          </cell>
          <cell r="EM176">
            <v>0</v>
          </cell>
          <cell r="EN176">
            <v>0</v>
          </cell>
          <cell r="EO176">
            <v>0</v>
          </cell>
          <cell r="EP176">
            <v>0</v>
          </cell>
          <cell r="EQ176">
            <v>0</v>
          </cell>
          <cell r="ER176">
            <v>0</v>
          </cell>
          <cell r="ES176">
            <v>0</v>
          </cell>
          <cell r="ET176">
            <v>0</v>
          </cell>
          <cell r="EU176">
            <v>0</v>
          </cell>
          <cell r="EV176">
            <v>0</v>
          </cell>
          <cell r="EW176">
            <v>0</v>
          </cell>
          <cell r="EX176">
            <v>0</v>
          </cell>
          <cell r="EY176">
            <v>0</v>
          </cell>
          <cell r="EZ176">
            <v>0</v>
          </cell>
          <cell r="FA176">
            <v>0</v>
          </cell>
          <cell r="FB176">
            <v>0</v>
          </cell>
          <cell r="FC176">
            <v>0</v>
          </cell>
          <cell r="FD176">
            <v>0</v>
          </cell>
          <cell r="FE176">
            <v>0</v>
          </cell>
          <cell r="FF176">
            <v>0</v>
          </cell>
          <cell r="FG176">
            <v>0</v>
          </cell>
          <cell r="FH176">
            <v>0</v>
          </cell>
          <cell r="FI176">
            <v>0</v>
          </cell>
          <cell r="FJ176">
            <v>0</v>
          </cell>
          <cell r="FK176">
            <v>0</v>
          </cell>
          <cell r="FL176">
            <v>0</v>
          </cell>
          <cell r="FM176">
            <v>0</v>
          </cell>
          <cell r="FN176">
            <v>0</v>
          </cell>
          <cell r="FO176">
            <v>0</v>
          </cell>
          <cell r="FP176">
            <v>0</v>
          </cell>
          <cell r="FQ176">
            <v>0</v>
          </cell>
          <cell r="FR176">
            <v>0</v>
          </cell>
          <cell r="FS176">
            <v>0</v>
          </cell>
          <cell r="FT176">
            <v>0</v>
          </cell>
          <cell r="FU176">
            <v>0</v>
          </cell>
          <cell r="FV176">
            <v>0</v>
          </cell>
          <cell r="FW176">
            <v>0</v>
          </cell>
          <cell r="FX176">
            <v>0</v>
          </cell>
          <cell r="FY176">
            <v>0</v>
          </cell>
          <cell r="FZ176">
            <v>0</v>
          </cell>
        </row>
        <row r="177">
          <cell r="B177">
            <v>0.1</v>
          </cell>
          <cell r="C177">
            <v>7.0000000000000007E-2</v>
          </cell>
          <cell r="D177">
            <v>0.17</v>
          </cell>
          <cell r="E177">
            <v>0.1</v>
          </cell>
          <cell r="F177">
            <v>0.15</v>
          </cell>
          <cell r="G177">
            <v>0.215</v>
          </cell>
          <cell r="H177">
            <v>6.5000000000000002E-2</v>
          </cell>
          <cell r="I177">
            <v>0.05</v>
          </cell>
          <cell r="J177">
            <v>0.13</v>
          </cell>
          <cell r="K177">
            <v>0.17499999999999999</v>
          </cell>
          <cell r="L177">
            <v>0.17</v>
          </cell>
          <cell r="M177">
            <v>0.16</v>
          </cell>
          <cell r="N177">
            <v>1</v>
          </cell>
          <cell r="O177">
            <v>1</v>
          </cell>
          <cell r="P177">
            <v>1</v>
          </cell>
          <cell r="Q177">
            <v>1</v>
          </cell>
          <cell r="R177">
            <v>1</v>
          </cell>
          <cell r="S177">
            <v>1</v>
          </cell>
          <cell r="T177">
            <v>1</v>
          </cell>
          <cell r="U177">
            <v>1</v>
          </cell>
          <cell r="V177">
            <v>1</v>
          </cell>
          <cell r="W177">
            <v>1</v>
          </cell>
          <cell r="X177">
            <v>1</v>
          </cell>
          <cell r="Y177">
            <v>1</v>
          </cell>
          <cell r="Z177">
            <v>9.5000000000000001E-2</v>
          </cell>
          <cell r="AA177">
            <v>0.1</v>
          </cell>
          <cell r="AB177">
            <v>0.14000000000000001</v>
          </cell>
          <cell r="AC177">
            <v>0.11</v>
          </cell>
          <cell r="AD177">
            <v>0.11</v>
          </cell>
          <cell r="AE177">
            <v>0.19</v>
          </cell>
          <cell r="AF177">
            <v>0.09</v>
          </cell>
          <cell r="AG177">
            <v>0.11</v>
          </cell>
          <cell r="AH177">
            <v>0.15</v>
          </cell>
          <cell r="AI177">
            <v>0.2</v>
          </cell>
          <cell r="AJ177">
            <v>0.2</v>
          </cell>
          <cell r="AK177">
            <v>0.2</v>
          </cell>
          <cell r="AL177">
            <v>0</v>
          </cell>
          <cell r="AM177">
            <v>0</v>
          </cell>
          <cell r="AN177">
            <v>0</v>
          </cell>
          <cell r="AO177">
            <v>0</v>
          </cell>
          <cell r="AP177">
            <v>0</v>
          </cell>
          <cell r="AQ177">
            <v>0</v>
          </cell>
          <cell r="AR177">
            <v>0</v>
          </cell>
          <cell r="AS177">
            <v>0</v>
          </cell>
          <cell r="AT177">
            <v>0</v>
          </cell>
          <cell r="AU177">
            <v>0</v>
          </cell>
          <cell r="AV177">
            <v>0</v>
          </cell>
          <cell r="AW177">
            <v>0</v>
          </cell>
          <cell r="AX177">
            <v>0</v>
          </cell>
          <cell r="AY177">
            <v>0</v>
          </cell>
          <cell r="AZ177">
            <v>0</v>
          </cell>
          <cell r="BA177">
            <v>0</v>
          </cell>
          <cell r="BB177">
            <v>0</v>
          </cell>
          <cell r="BC177">
            <v>0</v>
          </cell>
          <cell r="BD177">
            <v>0</v>
          </cell>
          <cell r="BE177">
            <v>0</v>
          </cell>
          <cell r="BF177">
            <v>0</v>
          </cell>
          <cell r="BG177">
            <v>0</v>
          </cell>
          <cell r="BH177">
            <v>0</v>
          </cell>
          <cell r="BI177">
            <v>0</v>
          </cell>
          <cell r="BJ177">
            <v>0</v>
          </cell>
          <cell r="BK177">
            <v>0</v>
          </cell>
          <cell r="BL177">
            <v>0</v>
          </cell>
          <cell r="BM177">
            <v>0</v>
          </cell>
          <cell r="BN177">
            <v>0</v>
          </cell>
          <cell r="BO177">
            <v>0</v>
          </cell>
          <cell r="BP177">
            <v>0</v>
          </cell>
          <cell r="BQ177">
            <v>0</v>
          </cell>
          <cell r="BR177">
            <v>0</v>
          </cell>
          <cell r="BS177">
            <v>0</v>
          </cell>
          <cell r="BT177">
            <v>0</v>
          </cell>
          <cell r="BU177">
            <v>0</v>
          </cell>
          <cell r="BV177">
            <v>0</v>
          </cell>
          <cell r="BW177">
            <v>0</v>
          </cell>
          <cell r="BX177">
            <v>0</v>
          </cell>
          <cell r="BY177">
            <v>0</v>
          </cell>
          <cell r="BZ177">
            <v>0</v>
          </cell>
          <cell r="CA177">
            <v>0</v>
          </cell>
          <cell r="CB177">
            <v>0</v>
          </cell>
          <cell r="CC177">
            <v>0</v>
          </cell>
          <cell r="CD177">
            <v>0</v>
          </cell>
          <cell r="CE177">
            <v>0</v>
          </cell>
          <cell r="CF177">
            <v>0</v>
          </cell>
          <cell r="CG177">
            <v>0</v>
          </cell>
          <cell r="CH177">
            <v>0</v>
          </cell>
          <cell r="CI177">
            <v>0</v>
          </cell>
          <cell r="CJ177">
            <v>0</v>
          </cell>
          <cell r="CK177">
            <v>0</v>
          </cell>
          <cell r="CL177">
            <v>0</v>
          </cell>
          <cell r="CM177">
            <v>0</v>
          </cell>
          <cell r="CN177">
            <v>0</v>
          </cell>
          <cell r="CO177">
            <v>0</v>
          </cell>
          <cell r="CP177">
            <v>0</v>
          </cell>
          <cell r="CQ177">
            <v>0</v>
          </cell>
          <cell r="CR177">
            <v>0</v>
          </cell>
          <cell r="CS177">
            <v>0</v>
          </cell>
          <cell r="CT177">
            <v>0</v>
          </cell>
          <cell r="CU177">
            <v>0</v>
          </cell>
          <cell r="CV177">
            <v>0</v>
          </cell>
          <cell r="CW177">
            <v>0</v>
          </cell>
          <cell r="CX177">
            <v>0</v>
          </cell>
          <cell r="CY177">
            <v>0</v>
          </cell>
          <cell r="CZ177">
            <v>0</v>
          </cell>
          <cell r="DA177">
            <v>0</v>
          </cell>
          <cell r="DB177">
            <v>0</v>
          </cell>
          <cell r="DC177">
            <v>0</v>
          </cell>
          <cell r="DD177">
            <v>0</v>
          </cell>
          <cell r="DE177">
            <v>0</v>
          </cell>
          <cell r="DF177">
            <v>0</v>
          </cell>
          <cell r="DG177">
            <v>0</v>
          </cell>
          <cell r="DH177">
            <v>0</v>
          </cell>
          <cell r="DI177">
            <v>0</v>
          </cell>
          <cell r="DJ177">
            <v>0</v>
          </cell>
          <cell r="DK177">
            <v>0</v>
          </cell>
          <cell r="DL177">
            <v>0</v>
          </cell>
          <cell r="DM177">
            <v>0</v>
          </cell>
          <cell r="DN177">
            <v>0</v>
          </cell>
          <cell r="DO177">
            <v>0</v>
          </cell>
          <cell r="DP177">
            <v>0</v>
          </cell>
          <cell r="DQ177">
            <v>0</v>
          </cell>
          <cell r="DR177">
            <v>0</v>
          </cell>
          <cell r="DS177">
            <v>0</v>
          </cell>
          <cell r="DT177">
            <v>0</v>
          </cell>
          <cell r="DU177">
            <v>0</v>
          </cell>
          <cell r="DV177">
            <v>0</v>
          </cell>
          <cell r="DW177">
            <v>0</v>
          </cell>
          <cell r="DX177">
            <v>0</v>
          </cell>
          <cell r="DY177">
            <v>0</v>
          </cell>
          <cell r="DZ177">
            <v>0</v>
          </cell>
          <cell r="EA177">
            <v>0</v>
          </cell>
          <cell r="EB177">
            <v>0</v>
          </cell>
          <cell r="EC177">
            <v>0</v>
          </cell>
          <cell r="ED177">
            <v>0</v>
          </cell>
          <cell r="EE177">
            <v>0</v>
          </cell>
          <cell r="EF177">
            <v>0</v>
          </cell>
          <cell r="EG177">
            <v>0</v>
          </cell>
          <cell r="EH177">
            <v>0</v>
          </cell>
          <cell r="EI177">
            <v>0</v>
          </cell>
          <cell r="EJ177">
            <v>0</v>
          </cell>
          <cell r="EK177">
            <v>0</v>
          </cell>
          <cell r="EL177">
            <v>0</v>
          </cell>
          <cell r="EM177">
            <v>0</v>
          </cell>
          <cell r="EN177">
            <v>0</v>
          </cell>
          <cell r="EO177">
            <v>0</v>
          </cell>
          <cell r="EP177">
            <v>0</v>
          </cell>
          <cell r="EQ177">
            <v>0</v>
          </cell>
          <cell r="ER177">
            <v>0</v>
          </cell>
          <cell r="ES177">
            <v>0</v>
          </cell>
          <cell r="ET177">
            <v>0</v>
          </cell>
          <cell r="EU177">
            <v>0</v>
          </cell>
          <cell r="EV177">
            <v>0</v>
          </cell>
          <cell r="EW177">
            <v>0</v>
          </cell>
          <cell r="EX177">
            <v>0</v>
          </cell>
          <cell r="EY177">
            <v>0</v>
          </cell>
          <cell r="EZ177">
            <v>0</v>
          </cell>
          <cell r="FA177">
            <v>0</v>
          </cell>
          <cell r="FB177">
            <v>0</v>
          </cell>
          <cell r="FC177">
            <v>0</v>
          </cell>
          <cell r="FD177">
            <v>0</v>
          </cell>
          <cell r="FE177">
            <v>0</v>
          </cell>
          <cell r="FF177">
            <v>0</v>
          </cell>
          <cell r="FG177">
            <v>0</v>
          </cell>
          <cell r="FH177">
            <v>0</v>
          </cell>
          <cell r="FI177">
            <v>0</v>
          </cell>
          <cell r="FJ177">
            <v>0</v>
          </cell>
          <cell r="FK177">
            <v>0</v>
          </cell>
          <cell r="FL177">
            <v>0</v>
          </cell>
          <cell r="FM177">
            <v>0</v>
          </cell>
          <cell r="FN177">
            <v>0</v>
          </cell>
          <cell r="FO177">
            <v>0</v>
          </cell>
          <cell r="FP177">
            <v>0</v>
          </cell>
          <cell r="FQ177">
            <v>0</v>
          </cell>
          <cell r="FR177">
            <v>0</v>
          </cell>
          <cell r="FS177">
            <v>0</v>
          </cell>
          <cell r="FT177">
            <v>0</v>
          </cell>
          <cell r="FU177">
            <v>0</v>
          </cell>
          <cell r="FV177">
            <v>0</v>
          </cell>
          <cell r="FW177">
            <v>0</v>
          </cell>
          <cell r="FX177">
            <v>0</v>
          </cell>
          <cell r="FY177">
            <v>0</v>
          </cell>
          <cell r="FZ177">
            <v>0</v>
          </cell>
        </row>
        <row r="178">
          <cell r="B178">
            <v>0.1</v>
          </cell>
          <cell r="C178">
            <v>7.0000000000000007E-2</v>
          </cell>
          <cell r="D178">
            <v>0.17</v>
          </cell>
          <cell r="E178">
            <v>0.1</v>
          </cell>
          <cell r="F178">
            <v>0.15</v>
          </cell>
          <cell r="G178">
            <v>0.215</v>
          </cell>
          <cell r="H178">
            <v>6.5000000000000002E-2</v>
          </cell>
          <cell r="I178">
            <v>0.05</v>
          </cell>
          <cell r="J178">
            <v>0.13</v>
          </cell>
          <cell r="K178">
            <v>0.17499999999999999</v>
          </cell>
          <cell r="L178">
            <v>0.17</v>
          </cell>
          <cell r="M178">
            <v>0.16</v>
          </cell>
          <cell r="N178">
            <v>1</v>
          </cell>
          <cell r="O178">
            <v>1</v>
          </cell>
          <cell r="P178">
            <v>1</v>
          </cell>
          <cell r="Q178">
            <v>1</v>
          </cell>
          <cell r="R178">
            <v>1</v>
          </cell>
          <cell r="S178">
            <v>1</v>
          </cell>
          <cell r="T178">
            <v>1</v>
          </cell>
          <cell r="U178">
            <v>1</v>
          </cell>
          <cell r="V178">
            <v>1</v>
          </cell>
          <cell r="W178">
            <v>1</v>
          </cell>
          <cell r="X178">
            <v>1</v>
          </cell>
          <cell r="Y178">
            <v>1</v>
          </cell>
          <cell r="Z178">
            <v>9.5000000000000001E-2</v>
          </cell>
          <cell r="AA178">
            <v>0.1</v>
          </cell>
          <cell r="AB178">
            <v>0.14000000000000001</v>
          </cell>
          <cell r="AC178">
            <v>0.11</v>
          </cell>
          <cell r="AD178">
            <v>0.11</v>
          </cell>
          <cell r="AE178">
            <v>0.19</v>
          </cell>
          <cell r="AF178">
            <v>0.09</v>
          </cell>
          <cell r="AG178">
            <v>0.11</v>
          </cell>
          <cell r="AH178">
            <v>0.15</v>
          </cell>
          <cell r="AI178">
            <v>0.2</v>
          </cell>
          <cell r="AJ178">
            <v>0.2</v>
          </cell>
          <cell r="AK178">
            <v>0.2</v>
          </cell>
          <cell r="AL178">
            <v>0</v>
          </cell>
          <cell r="AM178">
            <v>0</v>
          </cell>
          <cell r="AN178">
            <v>0</v>
          </cell>
          <cell r="AO178">
            <v>0</v>
          </cell>
          <cell r="AP178">
            <v>0</v>
          </cell>
          <cell r="AQ178">
            <v>16276450.373096162</v>
          </cell>
          <cell r="AR178">
            <v>0</v>
          </cell>
          <cell r="AS178">
            <v>0</v>
          </cell>
          <cell r="AT178">
            <v>0</v>
          </cell>
          <cell r="AU178">
            <v>0</v>
          </cell>
          <cell r="AV178">
            <v>0</v>
          </cell>
          <cell r="AW178">
            <v>0</v>
          </cell>
          <cell r="AX178">
            <v>0</v>
          </cell>
          <cell r="AY178">
            <v>0</v>
          </cell>
          <cell r="AZ178">
            <v>0</v>
          </cell>
          <cell r="BA178">
            <v>0</v>
          </cell>
          <cell r="BB178">
            <v>0</v>
          </cell>
          <cell r="BC178">
            <v>18928345.174205527</v>
          </cell>
          <cell r="BD178">
            <v>0</v>
          </cell>
          <cell r="BE178">
            <v>0</v>
          </cell>
          <cell r="BF178">
            <v>0</v>
          </cell>
          <cell r="BG178">
            <v>0</v>
          </cell>
          <cell r="BH178">
            <v>0</v>
          </cell>
          <cell r="BI178">
            <v>0</v>
          </cell>
          <cell r="BJ178">
            <v>0</v>
          </cell>
          <cell r="BK178">
            <v>0</v>
          </cell>
          <cell r="BL178">
            <v>0</v>
          </cell>
          <cell r="BM178">
            <v>0</v>
          </cell>
          <cell r="BN178">
            <v>0</v>
          </cell>
          <cell r="BO178">
            <v>0</v>
          </cell>
          <cell r="BP178">
            <v>0</v>
          </cell>
          <cell r="BQ178">
            <v>0</v>
          </cell>
          <cell r="BR178">
            <v>0</v>
          </cell>
          <cell r="BS178">
            <v>0</v>
          </cell>
          <cell r="BT178">
            <v>0</v>
          </cell>
          <cell r="BU178">
            <v>0</v>
          </cell>
          <cell r="BV178">
            <v>0</v>
          </cell>
          <cell r="BW178">
            <v>20180706.813376341</v>
          </cell>
          <cell r="BX178">
            <v>0</v>
          </cell>
          <cell r="BY178">
            <v>0</v>
          </cell>
          <cell r="BZ178">
            <v>29778147.926621765</v>
          </cell>
          <cell r="CA178">
            <v>0</v>
          </cell>
          <cell r="CB178">
            <v>93121381.40820089</v>
          </cell>
          <cell r="CC178">
            <v>0</v>
          </cell>
          <cell r="CD178">
            <v>0</v>
          </cell>
          <cell r="CE178">
            <v>0</v>
          </cell>
          <cell r="CF178">
            <v>0</v>
          </cell>
          <cell r="CG178">
            <v>0</v>
          </cell>
          <cell r="CH178">
            <v>0</v>
          </cell>
          <cell r="CI178">
            <v>16276450.373096162</v>
          </cell>
          <cell r="CJ178">
            <v>0</v>
          </cell>
          <cell r="CK178">
            <v>0</v>
          </cell>
          <cell r="CL178">
            <v>0</v>
          </cell>
          <cell r="CM178">
            <v>0</v>
          </cell>
          <cell r="CN178">
            <v>0</v>
          </cell>
          <cell r="CO178">
            <v>0</v>
          </cell>
          <cell r="CP178">
            <v>0</v>
          </cell>
          <cell r="CQ178">
            <v>0</v>
          </cell>
          <cell r="CR178">
            <v>0</v>
          </cell>
          <cell r="CS178">
            <v>0</v>
          </cell>
          <cell r="CT178">
            <v>0</v>
          </cell>
          <cell r="CU178">
            <v>8174.0618578570857</v>
          </cell>
          <cell r="CV178">
            <v>0</v>
          </cell>
          <cell r="CW178">
            <v>0</v>
          </cell>
          <cell r="CX178">
            <v>0</v>
          </cell>
          <cell r="CY178">
            <v>0</v>
          </cell>
          <cell r="CZ178">
            <v>0</v>
          </cell>
          <cell r="DA178">
            <v>0</v>
          </cell>
          <cell r="DB178">
            <v>0</v>
          </cell>
          <cell r="DC178">
            <v>0</v>
          </cell>
          <cell r="DD178">
            <v>0</v>
          </cell>
          <cell r="DE178">
            <v>0</v>
          </cell>
          <cell r="DF178">
            <v>0</v>
          </cell>
          <cell r="DG178">
            <v>15015139.907473531</v>
          </cell>
          <cell r="DH178">
            <v>0</v>
          </cell>
          <cell r="DI178">
            <v>0</v>
          </cell>
          <cell r="DJ178">
            <v>0</v>
          </cell>
          <cell r="DK178">
            <v>0</v>
          </cell>
          <cell r="DL178">
            <v>0</v>
          </cell>
          <cell r="DM178">
            <v>0</v>
          </cell>
          <cell r="DN178">
            <v>0</v>
          </cell>
          <cell r="DO178">
            <v>0</v>
          </cell>
          <cell r="DP178">
            <v>0</v>
          </cell>
          <cell r="DQ178">
            <v>0</v>
          </cell>
          <cell r="DR178">
            <v>0</v>
          </cell>
          <cell r="DS178">
            <v>0</v>
          </cell>
          <cell r="DT178">
            <v>0</v>
          </cell>
          <cell r="DU178">
            <v>0</v>
          </cell>
          <cell r="DV178">
            <v>0</v>
          </cell>
          <cell r="DW178">
            <v>0</v>
          </cell>
          <cell r="DX178">
            <v>0</v>
          </cell>
          <cell r="DY178">
            <v>0</v>
          </cell>
          <cell r="DZ178">
            <v>0</v>
          </cell>
          <cell r="EA178">
            <v>0</v>
          </cell>
          <cell r="EB178">
            <v>0</v>
          </cell>
          <cell r="EC178">
            <v>0</v>
          </cell>
          <cell r="ED178">
            <v>0</v>
          </cell>
          <cell r="EE178">
            <v>0</v>
          </cell>
          <cell r="EF178">
            <v>0</v>
          </cell>
          <cell r="EG178">
            <v>0</v>
          </cell>
          <cell r="EH178">
            <v>0</v>
          </cell>
          <cell r="EI178">
            <v>0</v>
          </cell>
          <cell r="EJ178">
            <v>0</v>
          </cell>
          <cell r="EK178">
            <v>0</v>
          </cell>
          <cell r="EL178">
            <v>0</v>
          </cell>
          <cell r="EM178">
            <v>0</v>
          </cell>
          <cell r="EN178">
            <v>0</v>
          </cell>
          <cell r="EO178">
            <v>0</v>
          </cell>
          <cell r="EP178">
            <v>0</v>
          </cell>
          <cell r="EQ178">
            <v>0</v>
          </cell>
          <cell r="ER178">
            <v>0</v>
          </cell>
          <cell r="ES178">
            <v>0</v>
          </cell>
          <cell r="ET178">
            <v>0</v>
          </cell>
          <cell r="EU178">
            <v>0</v>
          </cell>
          <cell r="EV178">
            <v>0</v>
          </cell>
          <cell r="EW178">
            <v>0</v>
          </cell>
          <cell r="EX178">
            <v>0</v>
          </cell>
          <cell r="EY178">
            <v>0</v>
          </cell>
          <cell r="EZ178">
            <v>0</v>
          </cell>
          <cell r="FA178">
            <v>0</v>
          </cell>
          <cell r="FB178">
            <v>0</v>
          </cell>
          <cell r="FC178">
            <v>0</v>
          </cell>
          <cell r="FD178">
            <v>0</v>
          </cell>
          <cell r="FE178">
            <v>0</v>
          </cell>
          <cell r="FF178">
            <v>0</v>
          </cell>
          <cell r="FG178">
            <v>0</v>
          </cell>
          <cell r="FH178">
            <v>0</v>
          </cell>
          <cell r="FI178">
            <v>0</v>
          </cell>
          <cell r="FJ178">
            <v>0</v>
          </cell>
          <cell r="FK178">
            <v>0</v>
          </cell>
          <cell r="FL178">
            <v>0</v>
          </cell>
          <cell r="FM178">
            <v>0</v>
          </cell>
          <cell r="FN178">
            <v>0</v>
          </cell>
          <cell r="FO178">
            <v>0</v>
          </cell>
          <cell r="FP178">
            <v>0</v>
          </cell>
          <cell r="FQ178">
            <v>0</v>
          </cell>
          <cell r="FR178">
            <v>0</v>
          </cell>
          <cell r="FS178">
            <v>0</v>
          </cell>
          <cell r="FT178">
            <v>0</v>
          </cell>
          <cell r="FU178">
            <v>0</v>
          </cell>
          <cell r="FV178">
            <v>0</v>
          </cell>
          <cell r="FW178">
            <v>0</v>
          </cell>
          <cell r="FX178">
            <v>0</v>
          </cell>
          <cell r="FY178">
            <v>0</v>
          </cell>
          <cell r="FZ178">
            <v>0</v>
          </cell>
        </row>
        <row r="179">
          <cell r="B179">
            <v>0.1</v>
          </cell>
          <cell r="C179">
            <v>7.0000000000000007E-2</v>
          </cell>
          <cell r="D179">
            <v>0.17</v>
          </cell>
          <cell r="E179">
            <v>0.1</v>
          </cell>
          <cell r="F179">
            <v>0.15</v>
          </cell>
          <cell r="G179">
            <v>0.215</v>
          </cell>
          <cell r="H179">
            <v>6.5000000000000002E-2</v>
          </cell>
          <cell r="I179">
            <v>0.05</v>
          </cell>
          <cell r="J179">
            <v>0.13</v>
          </cell>
          <cell r="K179">
            <v>0.17499999999999999</v>
          </cell>
          <cell r="L179">
            <v>0.17</v>
          </cell>
          <cell r="M179">
            <v>0.16</v>
          </cell>
          <cell r="N179">
            <v>1</v>
          </cell>
          <cell r="O179">
            <v>1</v>
          </cell>
          <cell r="P179">
            <v>1</v>
          </cell>
          <cell r="Q179">
            <v>1</v>
          </cell>
          <cell r="R179">
            <v>1</v>
          </cell>
          <cell r="S179">
            <v>1</v>
          </cell>
          <cell r="T179">
            <v>1</v>
          </cell>
          <cell r="U179">
            <v>1</v>
          </cell>
          <cell r="V179">
            <v>1</v>
          </cell>
          <cell r="W179">
            <v>1</v>
          </cell>
          <cell r="X179">
            <v>1</v>
          </cell>
          <cell r="Y179">
            <v>1</v>
          </cell>
          <cell r="Z179">
            <v>9.5000000000000001E-2</v>
          </cell>
          <cell r="AA179">
            <v>0.1</v>
          </cell>
          <cell r="AB179">
            <v>0.14000000000000001</v>
          </cell>
          <cell r="AC179">
            <v>0.11</v>
          </cell>
          <cell r="AD179">
            <v>0.11</v>
          </cell>
          <cell r="AE179">
            <v>0.19</v>
          </cell>
          <cell r="AF179">
            <v>0.09</v>
          </cell>
          <cell r="AG179">
            <v>0.11</v>
          </cell>
          <cell r="AH179">
            <v>0.15</v>
          </cell>
          <cell r="AI179">
            <v>0.2</v>
          </cell>
          <cell r="AJ179">
            <v>0.2</v>
          </cell>
          <cell r="AK179">
            <v>0.2</v>
          </cell>
          <cell r="AL179">
            <v>0</v>
          </cell>
          <cell r="AM179">
            <v>0</v>
          </cell>
          <cell r="AN179">
            <v>0</v>
          </cell>
          <cell r="AO179">
            <v>0</v>
          </cell>
          <cell r="AP179">
            <v>10480830.341230169</v>
          </cell>
          <cell r="AQ179">
            <v>0</v>
          </cell>
          <cell r="AR179">
            <v>0</v>
          </cell>
          <cell r="AS179">
            <v>0</v>
          </cell>
          <cell r="AT179">
            <v>0</v>
          </cell>
          <cell r="AU179">
            <v>0</v>
          </cell>
          <cell r="AV179">
            <v>0</v>
          </cell>
          <cell r="AW179">
            <v>0</v>
          </cell>
          <cell r="AX179">
            <v>0</v>
          </cell>
          <cell r="AY179">
            <v>0</v>
          </cell>
          <cell r="AZ179">
            <v>0</v>
          </cell>
          <cell r="BA179">
            <v>0</v>
          </cell>
          <cell r="BB179">
            <v>12242555.725155603</v>
          </cell>
          <cell r="BC179">
            <v>0</v>
          </cell>
          <cell r="BD179">
            <v>0</v>
          </cell>
          <cell r="BE179">
            <v>0</v>
          </cell>
          <cell r="BF179">
            <v>0</v>
          </cell>
          <cell r="BG179">
            <v>0</v>
          </cell>
          <cell r="BH179">
            <v>0</v>
          </cell>
          <cell r="BI179">
            <v>0</v>
          </cell>
          <cell r="BJ179">
            <v>0</v>
          </cell>
          <cell r="BK179">
            <v>0</v>
          </cell>
          <cell r="BL179">
            <v>0</v>
          </cell>
          <cell r="BM179">
            <v>0</v>
          </cell>
          <cell r="BN179">
            <v>0</v>
          </cell>
          <cell r="BO179">
            <v>0</v>
          </cell>
          <cell r="BP179">
            <v>0</v>
          </cell>
          <cell r="BQ179">
            <v>0</v>
          </cell>
          <cell r="BR179">
            <v>0</v>
          </cell>
          <cell r="BS179">
            <v>0</v>
          </cell>
          <cell r="BT179">
            <v>0</v>
          </cell>
          <cell r="BU179">
            <v>0</v>
          </cell>
          <cell r="BV179">
            <v>0</v>
          </cell>
          <cell r="BW179">
            <v>13288593.959269894</v>
          </cell>
          <cell r="BX179">
            <v>0</v>
          </cell>
          <cell r="BY179">
            <v>0</v>
          </cell>
          <cell r="BZ179">
            <v>19496067.806900539</v>
          </cell>
          <cell r="CA179">
            <v>0</v>
          </cell>
          <cell r="CB179">
            <v>60229443.757553346</v>
          </cell>
          <cell r="CC179">
            <v>0</v>
          </cell>
          <cell r="CD179">
            <v>0</v>
          </cell>
          <cell r="CE179">
            <v>0</v>
          </cell>
          <cell r="CF179">
            <v>0</v>
          </cell>
          <cell r="CG179">
            <v>0</v>
          </cell>
          <cell r="CH179">
            <v>6659371.2698149476</v>
          </cell>
          <cell r="CI179">
            <v>0</v>
          </cell>
          <cell r="CJ179">
            <v>0</v>
          </cell>
          <cell r="CK179">
            <v>0</v>
          </cell>
          <cell r="CL179">
            <v>0</v>
          </cell>
          <cell r="CM179">
            <v>0</v>
          </cell>
          <cell r="CN179">
            <v>0</v>
          </cell>
          <cell r="CO179">
            <v>0</v>
          </cell>
          <cell r="CP179">
            <v>0</v>
          </cell>
          <cell r="CQ179">
            <v>0</v>
          </cell>
          <cell r="CR179">
            <v>0</v>
          </cell>
          <cell r="CS179">
            <v>0</v>
          </cell>
          <cell r="CT179">
            <v>0</v>
          </cell>
          <cell r="CU179">
            <v>0</v>
          </cell>
          <cell r="CV179">
            <v>0</v>
          </cell>
          <cell r="CW179">
            <v>0</v>
          </cell>
          <cell r="CX179">
            <v>0</v>
          </cell>
          <cell r="CY179">
            <v>0</v>
          </cell>
          <cell r="CZ179">
            <v>0</v>
          </cell>
          <cell r="DA179">
            <v>0</v>
          </cell>
          <cell r="DB179">
            <v>0</v>
          </cell>
          <cell r="DC179">
            <v>0</v>
          </cell>
          <cell r="DD179">
            <v>0</v>
          </cell>
          <cell r="DE179">
            <v>0</v>
          </cell>
          <cell r="DF179">
            <v>10480830.341230169</v>
          </cell>
          <cell r="DG179">
            <v>0</v>
          </cell>
          <cell r="DH179">
            <v>0</v>
          </cell>
          <cell r="DI179">
            <v>0</v>
          </cell>
          <cell r="DJ179">
            <v>0</v>
          </cell>
          <cell r="DK179">
            <v>0</v>
          </cell>
          <cell r="DL179">
            <v>0</v>
          </cell>
          <cell r="DM179">
            <v>0</v>
          </cell>
          <cell r="DN179">
            <v>0</v>
          </cell>
          <cell r="DO179">
            <v>0</v>
          </cell>
          <cell r="DP179">
            <v>0</v>
          </cell>
          <cell r="DQ179">
            <v>0</v>
          </cell>
          <cell r="DR179">
            <v>0</v>
          </cell>
          <cell r="DS179">
            <v>0</v>
          </cell>
          <cell r="DT179">
            <v>0</v>
          </cell>
          <cell r="DU179">
            <v>0</v>
          </cell>
          <cell r="DV179">
            <v>0</v>
          </cell>
          <cell r="DW179">
            <v>0</v>
          </cell>
          <cell r="DX179">
            <v>0</v>
          </cell>
          <cell r="DY179">
            <v>0</v>
          </cell>
          <cell r="DZ179">
            <v>0</v>
          </cell>
          <cell r="EA179">
            <v>0</v>
          </cell>
          <cell r="EB179">
            <v>0</v>
          </cell>
          <cell r="EC179">
            <v>0</v>
          </cell>
          <cell r="ED179">
            <v>0</v>
          </cell>
          <cell r="EE179">
            <v>0</v>
          </cell>
          <cell r="EF179">
            <v>0</v>
          </cell>
          <cell r="EG179">
            <v>0</v>
          </cell>
          <cell r="EH179">
            <v>0</v>
          </cell>
          <cell r="EI179">
            <v>0</v>
          </cell>
          <cell r="EJ179">
            <v>0</v>
          </cell>
          <cell r="EK179">
            <v>0</v>
          </cell>
          <cell r="EL179">
            <v>0</v>
          </cell>
          <cell r="EM179">
            <v>0</v>
          </cell>
          <cell r="EN179">
            <v>0</v>
          </cell>
          <cell r="EO179">
            <v>0</v>
          </cell>
          <cell r="EP179">
            <v>0</v>
          </cell>
          <cell r="EQ179">
            <v>0</v>
          </cell>
          <cell r="ER179">
            <v>0</v>
          </cell>
          <cell r="ES179">
            <v>0</v>
          </cell>
          <cell r="ET179">
            <v>0</v>
          </cell>
          <cell r="EU179">
            <v>0</v>
          </cell>
          <cell r="EV179">
            <v>0</v>
          </cell>
          <cell r="EW179">
            <v>0</v>
          </cell>
          <cell r="EX179">
            <v>0</v>
          </cell>
          <cell r="EY179">
            <v>0</v>
          </cell>
          <cell r="EZ179">
            <v>0</v>
          </cell>
          <cell r="FA179">
            <v>0</v>
          </cell>
          <cell r="FB179">
            <v>0</v>
          </cell>
          <cell r="FC179">
            <v>0</v>
          </cell>
          <cell r="FD179">
            <v>0</v>
          </cell>
          <cell r="FE179">
            <v>0</v>
          </cell>
          <cell r="FF179">
            <v>0</v>
          </cell>
          <cell r="FG179">
            <v>0</v>
          </cell>
          <cell r="FH179">
            <v>0</v>
          </cell>
          <cell r="FI179">
            <v>0</v>
          </cell>
          <cell r="FJ179">
            <v>0</v>
          </cell>
          <cell r="FK179">
            <v>0</v>
          </cell>
          <cell r="FL179">
            <v>0</v>
          </cell>
          <cell r="FM179">
            <v>0</v>
          </cell>
          <cell r="FN179">
            <v>0</v>
          </cell>
          <cell r="FO179">
            <v>0</v>
          </cell>
          <cell r="FP179">
            <v>0</v>
          </cell>
          <cell r="FQ179">
            <v>0</v>
          </cell>
          <cell r="FR179">
            <v>0</v>
          </cell>
          <cell r="FS179">
            <v>0</v>
          </cell>
          <cell r="FT179">
            <v>0</v>
          </cell>
          <cell r="FU179">
            <v>0</v>
          </cell>
          <cell r="FV179">
            <v>0</v>
          </cell>
          <cell r="FW179">
            <v>0</v>
          </cell>
          <cell r="FX179">
            <v>0</v>
          </cell>
          <cell r="FY179">
            <v>0</v>
          </cell>
          <cell r="FZ179">
            <v>0</v>
          </cell>
        </row>
        <row r="180">
          <cell r="B180">
            <v>0.1</v>
          </cell>
          <cell r="C180">
            <v>7.0000000000000007E-2</v>
          </cell>
          <cell r="D180">
            <v>0.17</v>
          </cell>
          <cell r="E180">
            <v>0.1</v>
          </cell>
          <cell r="F180">
            <v>0.15</v>
          </cell>
          <cell r="G180">
            <v>0.215</v>
          </cell>
          <cell r="H180">
            <v>6.5000000000000002E-2</v>
          </cell>
          <cell r="I180">
            <v>0.05</v>
          </cell>
          <cell r="J180">
            <v>0.13</v>
          </cell>
          <cell r="K180">
            <v>0.17499999999999999</v>
          </cell>
          <cell r="L180">
            <v>0.17</v>
          </cell>
          <cell r="M180">
            <v>0.16</v>
          </cell>
          <cell r="N180">
            <v>1</v>
          </cell>
          <cell r="O180">
            <v>1</v>
          </cell>
          <cell r="P180">
            <v>1</v>
          </cell>
          <cell r="Q180">
            <v>1</v>
          </cell>
          <cell r="R180">
            <v>1</v>
          </cell>
          <cell r="S180">
            <v>1</v>
          </cell>
          <cell r="T180">
            <v>1</v>
          </cell>
          <cell r="U180">
            <v>1</v>
          </cell>
          <cell r="V180">
            <v>1</v>
          </cell>
          <cell r="W180">
            <v>1</v>
          </cell>
          <cell r="X180">
            <v>1</v>
          </cell>
          <cell r="Y180">
            <v>1</v>
          </cell>
          <cell r="Z180">
            <v>9.5000000000000001E-2</v>
          </cell>
          <cell r="AA180">
            <v>0.1</v>
          </cell>
          <cell r="AB180">
            <v>0.14000000000000001</v>
          </cell>
          <cell r="AC180">
            <v>0.11</v>
          </cell>
          <cell r="AD180">
            <v>0.11</v>
          </cell>
          <cell r="AE180">
            <v>0.19</v>
          </cell>
          <cell r="AF180">
            <v>0.09</v>
          </cell>
          <cell r="AG180">
            <v>0.11</v>
          </cell>
          <cell r="AH180">
            <v>0.15</v>
          </cell>
          <cell r="AI180">
            <v>0.2</v>
          </cell>
          <cell r="AJ180">
            <v>0.2</v>
          </cell>
          <cell r="AK180">
            <v>0.2</v>
          </cell>
          <cell r="AL180">
            <v>16593502.527400875</v>
          </cell>
          <cell r="AM180">
            <v>0</v>
          </cell>
          <cell r="AN180">
            <v>0</v>
          </cell>
          <cell r="AO180">
            <v>0</v>
          </cell>
          <cell r="AP180">
            <v>0</v>
          </cell>
          <cell r="AQ180">
            <v>0</v>
          </cell>
          <cell r="AR180">
            <v>0</v>
          </cell>
          <cell r="AS180">
            <v>0</v>
          </cell>
          <cell r="AT180">
            <v>0</v>
          </cell>
          <cell r="AU180">
            <v>0</v>
          </cell>
          <cell r="AV180">
            <v>0</v>
          </cell>
          <cell r="AW180">
            <v>0</v>
          </cell>
          <cell r="AX180">
            <v>2249128.8160018758</v>
          </cell>
          <cell r="AY180">
            <v>0</v>
          </cell>
          <cell r="AZ180">
            <v>0</v>
          </cell>
          <cell r="BA180">
            <v>0</v>
          </cell>
          <cell r="BB180">
            <v>0</v>
          </cell>
          <cell r="BC180">
            <v>0</v>
          </cell>
          <cell r="BD180">
            <v>0</v>
          </cell>
          <cell r="BE180">
            <v>0</v>
          </cell>
          <cell r="BF180">
            <v>0</v>
          </cell>
          <cell r="BG180">
            <v>0</v>
          </cell>
          <cell r="BH180">
            <v>0</v>
          </cell>
          <cell r="BI180">
            <v>0</v>
          </cell>
          <cell r="BJ180">
            <v>0</v>
          </cell>
          <cell r="BK180">
            <v>0</v>
          </cell>
          <cell r="BL180">
            <v>0</v>
          </cell>
          <cell r="BM180">
            <v>0</v>
          </cell>
          <cell r="BN180">
            <v>0</v>
          </cell>
          <cell r="BO180">
            <v>0</v>
          </cell>
          <cell r="BP180">
            <v>0</v>
          </cell>
          <cell r="BQ180">
            <v>0</v>
          </cell>
          <cell r="BR180">
            <v>0</v>
          </cell>
          <cell r="BS180">
            <v>0</v>
          </cell>
          <cell r="BT180">
            <v>0</v>
          </cell>
          <cell r="BU180">
            <v>0</v>
          </cell>
          <cell r="BV180">
            <v>0</v>
          </cell>
          <cell r="BW180">
            <v>83394437.852040514</v>
          </cell>
          <cell r="BX180">
            <v>0</v>
          </cell>
          <cell r="BY180">
            <v>0</v>
          </cell>
          <cell r="BZ180">
            <v>84534837.668771327</v>
          </cell>
          <cell r="CA180">
            <v>0</v>
          </cell>
          <cell r="CB180">
            <v>11064991.703368848</v>
          </cell>
          <cell r="CC180">
            <v>0</v>
          </cell>
          <cell r="CD180">
            <v>13973869.052948669</v>
          </cell>
          <cell r="CE180">
            <v>0</v>
          </cell>
          <cell r="CF180">
            <v>0</v>
          </cell>
          <cell r="CG180">
            <v>0</v>
          </cell>
          <cell r="CH180">
            <v>0</v>
          </cell>
          <cell r="CI180">
            <v>0</v>
          </cell>
          <cell r="CJ180">
            <v>0</v>
          </cell>
          <cell r="CK180">
            <v>0</v>
          </cell>
          <cell r="CL180">
            <v>0</v>
          </cell>
          <cell r="CM180">
            <v>0</v>
          </cell>
          <cell r="CN180">
            <v>0</v>
          </cell>
          <cell r="CO180">
            <v>0</v>
          </cell>
          <cell r="CP180">
            <v>0</v>
          </cell>
          <cell r="CQ180">
            <v>0</v>
          </cell>
          <cell r="CR180">
            <v>0</v>
          </cell>
          <cell r="CS180">
            <v>0</v>
          </cell>
          <cell r="CT180">
            <v>0</v>
          </cell>
          <cell r="CU180">
            <v>0</v>
          </cell>
          <cell r="CV180">
            <v>0</v>
          </cell>
          <cell r="CW180">
            <v>0</v>
          </cell>
          <cell r="CX180">
            <v>0</v>
          </cell>
          <cell r="CY180">
            <v>0</v>
          </cell>
          <cell r="CZ180">
            <v>0</v>
          </cell>
          <cell r="DA180">
            <v>0</v>
          </cell>
          <cell r="DB180">
            <v>16593502.527400875</v>
          </cell>
          <cell r="DC180">
            <v>0</v>
          </cell>
          <cell r="DD180">
            <v>0</v>
          </cell>
          <cell r="DE180">
            <v>0</v>
          </cell>
          <cell r="DF180">
            <v>0</v>
          </cell>
          <cell r="DG180">
            <v>0</v>
          </cell>
          <cell r="DH180">
            <v>0</v>
          </cell>
          <cell r="DI180">
            <v>0</v>
          </cell>
          <cell r="DJ180">
            <v>0</v>
          </cell>
          <cell r="DK180">
            <v>0</v>
          </cell>
          <cell r="DL180">
            <v>0</v>
          </cell>
          <cell r="DM180">
            <v>0</v>
          </cell>
          <cell r="DN180">
            <v>0</v>
          </cell>
          <cell r="DO180">
            <v>0</v>
          </cell>
          <cell r="DP180">
            <v>0</v>
          </cell>
          <cell r="DQ180">
            <v>0</v>
          </cell>
          <cell r="DR180">
            <v>0</v>
          </cell>
          <cell r="DS180">
            <v>0</v>
          </cell>
          <cell r="DT180">
            <v>0</v>
          </cell>
          <cell r="DU180">
            <v>0</v>
          </cell>
          <cell r="DV180">
            <v>0</v>
          </cell>
          <cell r="DW180">
            <v>0</v>
          </cell>
          <cell r="DX180">
            <v>0</v>
          </cell>
          <cell r="DY180">
            <v>0</v>
          </cell>
          <cell r="DZ180">
            <v>0</v>
          </cell>
          <cell r="EA180">
            <v>0</v>
          </cell>
          <cell r="EB180">
            <v>0</v>
          </cell>
          <cell r="EC180">
            <v>0</v>
          </cell>
          <cell r="ED180">
            <v>0</v>
          </cell>
          <cell r="EE180">
            <v>0</v>
          </cell>
          <cell r="EF180">
            <v>0</v>
          </cell>
          <cell r="EG180">
            <v>0</v>
          </cell>
          <cell r="EH180">
            <v>0</v>
          </cell>
          <cell r="EI180">
            <v>0</v>
          </cell>
          <cell r="EJ180">
            <v>0</v>
          </cell>
          <cell r="EK180">
            <v>0</v>
          </cell>
          <cell r="EL180">
            <v>0</v>
          </cell>
          <cell r="EM180">
            <v>0</v>
          </cell>
          <cell r="EN180">
            <v>0</v>
          </cell>
          <cell r="EO180">
            <v>0</v>
          </cell>
          <cell r="EP180">
            <v>0</v>
          </cell>
          <cell r="EQ180">
            <v>0</v>
          </cell>
          <cell r="ER180">
            <v>0</v>
          </cell>
          <cell r="ES180">
            <v>0</v>
          </cell>
          <cell r="ET180">
            <v>0</v>
          </cell>
          <cell r="EU180">
            <v>0</v>
          </cell>
          <cell r="EV180">
            <v>0</v>
          </cell>
          <cell r="EW180">
            <v>0</v>
          </cell>
          <cell r="EX180">
            <v>0</v>
          </cell>
          <cell r="EY180">
            <v>0</v>
          </cell>
          <cell r="EZ180">
            <v>0</v>
          </cell>
          <cell r="FA180">
            <v>0</v>
          </cell>
          <cell r="FB180">
            <v>0</v>
          </cell>
          <cell r="FC180">
            <v>0</v>
          </cell>
          <cell r="FD180">
            <v>0</v>
          </cell>
          <cell r="FE180">
            <v>0</v>
          </cell>
          <cell r="FF180">
            <v>0</v>
          </cell>
          <cell r="FG180">
            <v>0</v>
          </cell>
          <cell r="FH180">
            <v>0</v>
          </cell>
          <cell r="FI180">
            <v>0</v>
          </cell>
          <cell r="FJ180">
            <v>0</v>
          </cell>
          <cell r="FK180">
            <v>0</v>
          </cell>
          <cell r="FL180">
            <v>0</v>
          </cell>
          <cell r="FM180">
            <v>0</v>
          </cell>
          <cell r="FN180">
            <v>0</v>
          </cell>
          <cell r="FO180">
            <v>0</v>
          </cell>
          <cell r="FP180">
            <v>0</v>
          </cell>
          <cell r="FQ180">
            <v>0</v>
          </cell>
          <cell r="FR180">
            <v>0</v>
          </cell>
          <cell r="FS180">
            <v>0</v>
          </cell>
          <cell r="FT180">
            <v>0</v>
          </cell>
          <cell r="FU180">
            <v>0</v>
          </cell>
          <cell r="FV180">
            <v>0</v>
          </cell>
          <cell r="FW180">
            <v>0</v>
          </cell>
          <cell r="FX180">
            <v>0</v>
          </cell>
          <cell r="FY180">
            <v>0</v>
          </cell>
          <cell r="FZ180">
            <v>0</v>
          </cell>
        </row>
        <row r="181">
          <cell r="B181">
            <v>0</v>
          </cell>
          <cell r="C181">
            <v>0</v>
          </cell>
          <cell r="D181">
            <v>0</v>
          </cell>
          <cell r="E181">
            <v>0</v>
          </cell>
          <cell r="F181">
            <v>0</v>
          </cell>
          <cell r="G181">
            <v>0</v>
          </cell>
          <cell r="H181">
            <v>0</v>
          </cell>
          <cell r="I181">
            <v>0</v>
          </cell>
          <cell r="J181">
            <v>0</v>
          </cell>
          <cell r="K181">
            <v>0</v>
          </cell>
          <cell r="L181">
            <v>0</v>
          </cell>
          <cell r="M181">
            <v>0</v>
          </cell>
          <cell r="N181">
            <v>0</v>
          </cell>
          <cell r="O181">
            <v>0</v>
          </cell>
          <cell r="P181">
            <v>0</v>
          </cell>
          <cell r="Q181">
            <v>0</v>
          </cell>
          <cell r="R181">
            <v>0</v>
          </cell>
          <cell r="S181">
            <v>0</v>
          </cell>
          <cell r="T181">
            <v>0</v>
          </cell>
          <cell r="U181">
            <v>0</v>
          </cell>
          <cell r="V181">
            <v>0</v>
          </cell>
          <cell r="W181">
            <v>0</v>
          </cell>
          <cell r="X181">
            <v>0</v>
          </cell>
          <cell r="Y181">
            <v>0</v>
          </cell>
          <cell r="Z181">
            <v>0</v>
          </cell>
          <cell r="AA181">
            <v>0</v>
          </cell>
          <cell r="AB181">
            <v>0</v>
          </cell>
          <cell r="AC181">
            <v>0</v>
          </cell>
          <cell r="AD181">
            <v>0</v>
          </cell>
          <cell r="AE181">
            <v>0</v>
          </cell>
          <cell r="AF181">
            <v>0</v>
          </cell>
          <cell r="AG181">
            <v>0</v>
          </cell>
          <cell r="AH181">
            <v>0</v>
          </cell>
          <cell r="AI181">
            <v>0</v>
          </cell>
          <cell r="AJ181">
            <v>0</v>
          </cell>
          <cell r="AK181">
            <v>0</v>
          </cell>
          <cell r="AL181">
            <v>0</v>
          </cell>
          <cell r="AM181">
            <v>0</v>
          </cell>
          <cell r="AN181">
            <v>0</v>
          </cell>
          <cell r="AO181">
            <v>0</v>
          </cell>
          <cell r="AP181">
            <v>0</v>
          </cell>
          <cell r="AQ181">
            <v>0</v>
          </cell>
          <cell r="AR181">
            <v>0</v>
          </cell>
          <cell r="AS181">
            <v>0</v>
          </cell>
          <cell r="AT181">
            <v>0</v>
          </cell>
          <cell r="AU181">
            <v>0</v>
          </cell>
          <cell r="AV181">
            <v>0</v>
          </cell>
          <cell r="AW181">
            <v>0</v>
          </cell>
          <cell r="AX181">
            <v>0</v>
          </cell>
          <cell r="AY181">
            <v>0</v>
          </cell>
          <cell r="AZ181">
            <v>0</v>
          </cell>
          <cell r="BA181">
            <v>0</v>
          </cell>
          <cell r="BB181">
            <v>0</v>
          </cell>
          <cell r="BC181">
            <v>0</v>
          </cell>
          <cell r="BD181">
            <v>0</v>
          </cell>
          <cell r="BE181">
            <v>0</v>
          </cell>
          <cell r="BF181">
            <v>0</v>
          </cell>
          <cell r="BG181">
            <v>0</v>
          </cell>
          <cell r="BH181">
            <v>0</v>
          </cell>
          <cell r="BI181">
            <v>0</v>
          </cell>
          <cell r="BJ181">
            <v>0</v>
          </cell>
          <cell r="BK181">
            <v>0</v>
          </cell>
          <cell r="BL181">
            <v>0</v>
          </cell>
          <cell r="BM181">
            <v>0</v>
          </cell>
          <cell r="BN181">
            <v>0</v>
          </cell>
          <cell r="BO181">
            <v>0</v>
          </cell>
          <cell r="BP181">
            <v>0</v>
          </cell>
          <cell r="BQ181">
            <v>0</v>
          </cell>
          <cell r="BR181">
            <v>0</v>
          </cell>
          <cell r="BS181">
            <v>0</v>
          </cell>
          <cell r="BT181">
            <v>0</v>
          </cell>
          <cell r="BU181">
            <v>0</v>
          </cell>
          <cell r="BV181">
            <v>0</v>
          </cell>
          <cell r="BW181">
            <v>0</v>
          </cell>
          <cell r="BX181">
            <v>0</v>
          </cell>
          <cell r="BY181">
            <v>0</v>
          </cell>
          <cell r="BZ181">
            <v>0</v>
          </cell>
          <cell r="CA181">
            <v>0</v>
          </cell>
          <cell r="CB181">
            <v>0</v>
          </cell>
          <cell r="CC181">
            <v>0</v>
          </cell>
          <cell r="CD181">
            <v>0</v>
          </cell>
          <cell r="CE181">
            <v>0</v>
          </cell>
          <cell r="CF181">
            <v>0</v>
          </cell>
          <cell r="CG181">
            <v>0</v>
          </cell>
          <cell r="CH181">
            <v>0</v>
          </cell>
          <cell r="CI181">
            <v>0</v>
          </cell>
          <cell r="CJ181">
            <v>0</v>
          </cell>
          <cell r="CK181">
            <v>0</v>
          </cell>
          <cell r="CL181">
            <v>0</v>
          </cell>
          <cell r="CM181">
            <v>0</v>
          </cell>
          <cell r="CN181">
            <v>0</v>
          </cell>
          <cell r="CO181">
            <v>0</v>
          </cell>
          <cell r="CP181">
            <v>0</v>
          </cell>
          <cell r="CQ181">
            <v>0</v>
          </cell>
          <cell r="CR181">
            <v>0</v>
          </cell>
          <cell r="CS181">
            <v>0</v>
          </cell>
          <cell r="CT181">
            <v>0</v>
          </cell>
          <cell r="CU181">
            <v>0</v>
          </cell>
          <cell r="CV181">
            <v>0</v>
          </cell>
          <cell r="CW181">
            <v>0</v>
          </cell>
          <cell r="CX181">
            <v>0</v>
          </cell>
          <cell r="CY181">
            <v>0</v>
          </cell>
          <cell r="CZ181">
            <v>0</v>
          </cell>
          <cell r="DA181">
            <v>0</v>
          </cell>
          <cell r="DB181">
            <v>0</v>
          </cell>
          <cell r="DC181">
            <v>0</v>
          </cell>
          <cell r="DD181">
            <v>0</v>
          </cell>
          <cell r="DE181">
            <v>0</v>
          </cell>
          <cell r="DF181">
            <v>0</v>
          </cell>
          <cell r="DG181">
            <v>0</v>
          </cell>
          <cell r="DH181">
            <v>0</v>
          </cell>
          <cell r="DI181">
            <v>0</v>
          </cell>
          <cell r="DJ181">
            <v>0</v>
          </cell>
          <cell r="DK181">
            <v>0</v>
          </cell>
          <cell r="DL181">
            <v>0</v>
          </cell>
          <cell r="DM181">
            <v>0</v>
          </cell>
          <cell r="DN181">
            <v>0</v>
          </cell>
          <cell r="DO181">
            <v>0</v>
          </cell>
          <cell r="DP181">
            <v>0</v>
          </cell>
          <cell r="DQ181">
            <v>0</v>
          </cell>
          <cell r="DR181">
            <v>0</v>
          </cell>
          <cell r="DS181">
            <v>0</v>
          </cell>
          <cell r="DT181">
            <v>0</v>
          </cell>
          <cell r="DU181">
            <v>0</v>
          </cell>
          <cell r="DV181">
            <v>0</v>
          </cell>
          <cell r="DW181">
            <v>0</v>
          </cell>
          <cell r="DX181">
            <v>0</v>
          </cell>
          <cell r="DY181">
            <v>0</v>
          </cell>
          <cell r="DZ181">
            <v>0</v>
          </cell>
          <cell r="EA181">
            <v>0</v>
          </cell>
          <cell r="EB181">
            <v>0</v>
          </cell>
          <cell r="EC181">
            <v>0</v>
          </cell>
          <cell r="ED181">
            <v>0</v>
          </cell>
          <cell r="EE181">
            <v>0</v>
          </cell>
          <cell r="EF181">
            <v>0</v>
          </cell>
          <cell r="EG181">
            <v>0</v>
          </cell>
          <cell r="EH181">
            <v>0</v>
          </cell>
          <cell r="EI181">
            <v>0</v>
          </cell>
          <cell r="EJ181">
            <v>0</v>
          </cell>
          <cell r="EK181">
            <v>0</v>
          </cell>
          <cell r="EL181">
            <v>0</v>
          </cell>
          <cell r="EM181">
            <v>0</v>
          </cell>
          <cell r="EN181">
            <v>0</v>
          </cell>
          <cell r="EO181">
            <v>0</v>
          </cell>
          <cell r="EP181">
            <v>10258479.357681053</v>
          </cell>
          <cell r="EQ181">
            <v>0</v>
          </cell>
          <cell r="ER181">
            <v>0</v>
          </cell>
          <cell r="ES181">
            <v>0</v>
          </cell>
          <cell r="ET181">
            <v>0</v>
          </cell>
          <cell r="EU181">
            <v>0</v>
          </cell>
          <cell r="EV181">
            <v>0</v>
          </cell>
          <cell r="EW181">
            <v>0</v>
          </cell>
          <cell r="EX181">
            <v>0</v>
          </cell>
          <cell r="EY181">
            <v>0</v>
          </cell>
          <cell r="EZ181">
            <v>0</v>
          </cell>
          <cell r="FA181">
            <v>0</v>
          </cell>
          <cell r="FB181">
            <v>-5267450.7572927913</v>
          </cell>
          <cell r="FC181">
            <v>0</v>
          </cell>
          <cell r="FD181">
            <v>0</v>
          </cell>
          <cell r="FE181">
            <v>6092768.5514396057</v>
          </cell>
          <cell r="FF181">
            <v>0</v>
          </cell>
          <cell r="FG181">
            <v>50468425.007199213</v>
          </cell>
          <cell r="FH181">
            <v>0</v>
          </cell>
          <cell r="FI181">
            <v>0</v>
          </cell>
          <cell r="FJ181">
            <v>0</v>
          </cell>
          <cell r="FK181">
            <v>201747492.50832775</v>
          </cell>
          <cell r="FL181">
            <v>0</v>
          </cell>
          <cell r="FM181">
            <v>0</v>
          </cell>
          <cell r="FN181">
            <v>0</v>
          </cell>
          <cell r="FO181">
            <v>0</v>
          </cell>
          <cell r="FP181">
            <v>0</v>
          </cell>
          <cell r="FQ181">
            <v>0</v>
          </cell>
          <cell r="FR181">
            <v>0</v>
          </cell>
          <cell r="FS181">
            <v>34721954.85453473</v>
          </cell>
          <cell r="FT181">
            <v>0</v>
          </cell>
          <cell r="FU181">
            <v>0</v>
          </cell>
          <cell r="FV181">
            <v>0</v>
          </cell>
          <cell r="FW181">
            <v>0</v>
          </cell>
          <cell r="FX181">
            <v>0</v>
          </cell>
          <cell r="FY181">
            <v>0</v>
          </cell>
          <cell r="FZ181">
            <v>0</v>
          </cell>
        </row>
        <row r="182">
          <cell r="B182">
            <v>0</v>
          </cell>
          <cell r="C182">
            <v>0</v>
          </cell>
          <cell r="D182">
            <v>0</v>
          </cell>
          <cell r="E182">
            <v>0</v>
          </cell>
          <cell r="F182">
            <v>0</v>
          </cell>
          <cell r="G182">
            <v>0</v>
          </cell>
          <cell r="H182">
            <v>0</v>
          </cell>
          <cell r="I182">
            <v>0</v>
          </cell>
          <cell r="J182">
            <v>0</v>
          </cell>
          <cell r="K182">
            <v>0</v>
          </cell>
          <cell r="L182">
            <v>0</v>
          </cell>
          <cell r="M182">
            <v>0</v>
          </cell>
          <cell r="N182">
            <v>0</v>
          </cell>
          <cell r="O182">
            <v>0</v>
          </cell>
          <cell r="P182">
            <v>0</v>
          </cell>
          <cell r="Q182">
            <v>0</v>
          </cell>
          <cell r="R182">
            <v>0</v>
          </cell>
          <cell r="S182">
            <v>0</v>
          </cell>
          <cell r="T182">
            <v>0</v>
          </cell>
          <cell r="U182">
            <v>0</v>
          </cell>
          <cell r="V182">
            <v>0</v>
          </cell>
          <cell r="W182">
            <v>0</v>
          </cell>
          <cell r="X182">
            <v>0</v>
          </cell>
          <cell r="Y182">
            <v>0</v>
          </cell>
          <cell r="Z182">
            <v>0</v>
          </cell>
          <cell r="AA182">
            <v>0</v>
          </cell>
          <cell r="AB182">
            <v>0</v>
          </cell>
          <cell r="AC182">
            <v>0</v>
          </cell>
          <cell r="AD182">
            <v>0</v>
          </cell>
          <cell r="AE182">
            <v>0</v>
          </cell>
          <cell r="AF182">
            <v>0</v>
          </cell>
          <cell r="AG182">
            <v>0</v>
          </cell>
          <cell r="AH182">
            <v>0</v>
          </cell>
          <cell r="AI182">
            <v>0</v>
          </cell>
          <cell r="AJ182">
            <v>0</v>
          </cell>
          <cell r="AK182">
            <v>0</v>
          </cell>
          <cell r="AL182">
            <v>0</v>
          </cell>
          <cell r="AM182">
            <v>0</v>
          </cell>
          <cell r="AN182">
            <v>0</v>
          </cell>
          <cell r="AO182">
            <v>0</v>
          </cell>
          <cell r="AP182">
            <v>0</v>
          </cell>
          <cell r="AQ182">
            <v>0</v>
          </cell>
          <cell r="AR182">
            <v>0</v>
          </cell>
          <cell r="AS182">
            <v>0</v>
          </cell>
          <cell r="AT182">
            <v>0</v>
          </cell>
          <cell r="AU182">
            <v>0</v>
          </cell>
          <cell r="AV182">
            <v>0</v>
          </cell>
          <cell r="AW182">
            <v>0</v>
          </cell>
          <cell r="AX182">
            <v>0</v>
          </cell>
          <cell r="AY182">
            <v>0</v>
          </cell>
          <cell r="AZ182">
            <v>0</v>
          </cell>
          <cell r="BA182">
            <v>0</v>
          </cell>
          <cell r="BB182">
            <v>0</v>
          </cell>
          <cell r="BC182">
            <v>0</v>
          </cell>
          <cell r="BD182">
            <v>0</v>
          </cell>
          <cell r="BE182">
            <v>0</v>
          </cell>
          <cell r="BF182">
            <v>0</v>
          </cell>
          <cell r="BG182">
            <v>0</v>
          </cell>
          <cell r="BH182">
            <v>0</v>
          </cell>
          <cell r="BI182">
            <v>0</v>
          </cell>
          <cell r="BJ182">
            <v>0</v>
          </cell>
          <cell r="BK182">
            <v>0</v>
          </cell>
          <cell r="BL182">
            <v>0</v>
          </cell>
          <cell r="BM182">
            <v>0</v>
          </cell>
          <cell r="BN182">
            <v>0</v>
          </cell>
          <cell r="BO182">
            <v>0</v>
          </cell>
          <cell r="BP182">
            <v>0</v>
          </cell>
          <cell r="BQ182">
            <v>0</v>
          </cell>
          <cell r="BR182">
            <v>0</v>
          </cell>
          <cell r="BS182">
            <v>0</v>
          </cell>
          <cell r="BT182">
            <v>0</v>
          </cell>
          <cell r="BU182">
            <v>0</v>
          </cell>
          <cell r="BV182">
            <v>0</v>
          </cell>
          <cell r="BW182">
            <v>0</v>
          </cell>
          <cell r="BX182">
            <v>0</v>
          </cell>
          <cell r="BY182">
            <v>0</v>
          </cell>
          <cell r="BZ182">
            <v>0</v>
          </cell>
          <cell r="CA182">
            <v>0</v>
          </cell>
          <cell r="CB182">
            <v>0</v>
          </cell>
          <cell r="CC182">
            <v>0</v>
          </cell>
          <cell r="CD182">
            <v>0</v>
          </cell>
          <cell r="CE182">
            <v>0</v>
          </cell>
          <cell r="CF182">
            <v>0</v>
          </cell>
          <cell r="CG182">
            <v>0</v>
          </cell>
          <cell r="CH182">
            <v>0</v>
          </cell>
          <cell r="CI182">
            <v>0</v>
          </cell>
          <cell r="CJ182">
            <v>0</v>
          </cell>
          <cell r="CK182">
            <v>0</v>
          </cell>
          <cell r="CL182">
            <v>0</v>
          </cell>
          <cell r="CM182">
            <v>0</v>
          </cell>
          <cell r="CN182">
            <v>0</v>
          </cell>
          <cell r="CO182">
            <v>0</v>
          </cell>
          <cell r="CP182">
            <v>0</v>
          </cell>
          <cell r="CQ182">
            <v>0</v>
          </cell>
          <cell r="CR182">
            <v>0</v>
          </cell>
          <cell r="CS182">
            <v>0</v>
          </cell>
          <cell r="CT182">
            <v>0</v>
          </cell>
          <cell r="CU182">
            <v>0</v>
          </cell>
          <cell r="CV182">
            <v>0</v>
          </cell>
          <cell r="CW182">
            <v>0</v>
          </cell>
          <cell r="CX182">
            <v>0</v>
          </cell>
          <cell r="CY182">
            <v>0</v>
          </cell>
          <cell r="CZ182">
            <v>0</v>
          </cell>
          <cell r="DA182">
            <v>0</v>
          </cell>
          <cell r="DB182">
            <v>0</v>
          </cell>
          <cell r="DC182">
            <v>0</v>
          </cell>
          <cell r="DD182">
            <v>0</v>
          </cell>
          <cell r="DE182">
            <v>0</v>
          </cell>
          <cell r="DF182">
            <v>0</v>
          </cell>
          <cell r="DG182">
            <v>0</v>
          </cell>
          <cell r="DH182">
            <v>0</v>
          </cell>
          <cell r="DI182">
            <v>0</v>
          </cell>
          <cell r="DJ182">
            <v>0</v>
          </cell>
          <cell r="DK182">
            <v>0</v>
          </cell>
          <cell r="DL182">
            <v>0</v>
          </cell>
          <cell r="DM182">
            <v>0</v>
          </cell>
          <cell r="DN182">
            <v>0</v>
          </cell>
          <cell r="DO182">
            <v>0</v>
          </cell>
          <cell r="DP182">
            <v>0</v>
          </cell>
          <cell r="DQ182">
            <v>0</v>
          </cell>
          <cell r="DR182">
            <v>0</v>
          </cell>
          <cell r="DS182">
            <v>0</v>
          </cell>
          <cell r="DT182">
            <v>0</v>
          </cell>
          <cell r="DU182">
            <v>0</v>
          </cell>
          <cell r="DV182">
            <v>0</v>
          </cell>
          <cell r="DW182">
            <v>0</v>
          </cell>
          <cell r="DX182">
            <v>0</v>
          </cell>
          <cell r="DY182">
            <v>0</v>
          </cell>
          <cell r="DZ182">
            <v>0</v>
          </cell>
          <cell r="EA182">
            <v>0</v>
          </cell>
          <cell r="EB182">
            <v>0</v>
          </cell>
          <cell r="EC182">
            <v>0</v>
          </cell>
          <cell r="ED182">
            <v>0</v>
          </cell>
          <cell r="EE182">
            <v>0</v>
          </cell>
          <cell r="EF182">
            <v>0</v>
          </cell>
          <cell r="EG182">
            <v>0</v>
          </cell>
          <cell r="EH182">
            <v>0</v>
          </cell>
          <cell r="EI182">
            <v>0</v>
          </cell>
          <cell r="EJ182">
            <v>0</v>
          </cell>
          <cell r="EK182">
            <v>0</v>
          </cell>
          <cell r="EL182">
            <v>0</v>
          </cell>
          <cell r="EM182">
            <v>0</v>
          </cell>
          <cell r="EN182">
            <v>0</v>
          </cell>
          <cell r="EO182">
            <v>0</v>
          </cell>
          <cell r="EP182">
            <v>0</v>
          </cell>
          <cell r="EQ182">
            <v>0</v>
          </cell>
          <cell r="ER182">
            <v>0</v>
          </cell>
          <cell r="ES182">
            <v>0</v>
          </cell>
          <cell r="ET182">
            <v>0</v>
          </cell>
          <cell r="EU182">
            <v>0</v>
          </cell>
          <cell r="EV182">
            <v>0</v>
          </cell>
          <cell r="EW182">
            <v>0</v>
          </cell>
          <cell r="EX182">
            <v>0</v>
          </cell>
          <cell r="EY182">
            <v>0</v>
          </cell>
          <cell r="EZ182">
            <v>0</v>
          </cell>
          <cell r="FA182">
            <v>0</v>
          </cell>
          <cell r="FB182">
            <v>0</v>
          </cell>
          <cell r="FC182">
            <v>0</v>
          </cell>
          <cell r="FD182">
            <v>0</v>
          </cell>
          <cell r="FE182">
            <v>0</v>
          </cell>
          <cell r="FF182">
            <v>0</v>
          </cell>
          <cell r="FG182">
            <v>0</v>
          </cell>
          <cell r="FH182">
            <v>0</v>
          </cell>
          <cell r="FI182">
            <v>0</v>
          </cell>
          <cell r="FJ182">
            <v>0</v>
          </cell>
          <cell r="FK182">
            <v>0</v>
          </cell>
          <cell r="FL182">
            <v>0</v>
          </cell>
          <cell r="FM182">
            <v>0</v>
          </cell>
          <cell r="FN182">
            <v>0</v>
          </cell>
          <cell r="FO182">
            <v>0</v>
          </cell>
          <cell r="FP182">
            <v>0</v>
          </cell>
          <cell r="FQ182">
            <v>0</v>
          </cell>
          <cell r="FR182">
            <v>0</v>
          </cell>
          <cell r="FS182">
            <v>0</v>
          </cell>
          <cell r="FT182">
            <v>0</v>
          </cell>
          <cell r="FU182">
            <v>0</v>
          </cell>
          <cell r="FV182">
            <v>0</v>
          </cell>
          <cell r="FW182">
            <v>0</v>
          </cell>
          <cell r="FX182">
            <v>0</v>
          </cell>
          <cell r="FY182">
            <v>0</v>
          </cell>
          <cell r="FZ182">
            <v>0</v>
          </cell>
        </row>
        <row r="183">
          <cell r="B183">
            <v>0</v>
          </cell>
          <cell r="C183">
            <v>0</v>
          </cell>
          <cell r="D183">
            <v>0</v>
          </cell>
          <cell r="E183">
            <v>0</v>
          </cell>
          <cell r="F183">
            <v>0</v>
          </cell>
          <cell r="G183">
            <v>0</v>
          </cell>
          <cell r="H183">
            <v>0</v>
          </cell>
          <cell r="I183">
            <v>0</v>
          </cell>
          <cell r="J183">
            <v>0</v>
          </cell>
          <cell r="K183">
            <v>0</v>
          </cell>
          <cell r="L183">
            <v>0</v>
          </cell>
          <cell r="M183">
            <v>0</v>
          </cell>
          <cell r="N183">
            <v>0</v>
          </cell>
          <cell r="O183">
            <v>0</v>
          </cell>
          <cell r="P183">
            <v>0</v>
          </cell>
          <cell r="Q183">
            <v>0</v>
          </cell>
          <cell r="R183">
            <v>0</v>
          </cell>
          <cell r="S183">
            <v>0</v>
          </cell>
          <cell r="T183">
            <v>0</v>
          </cell>
          <cell r="U183">
            <v>0</v>
          </cell>
          <cell r="V183">
            <v>0</v>
          </cell>
          <cell r="W183">
            <v>0</v>
          </cell>
          <cell r="X183">
            <v>0</v>
          </cell>
          <cell r="Y183">
            <v>0</v>
          </cell>
          <cell r="Z183">
            <v>0</v>
          </cell>
          <cell r="AA183">
            <v>0</v>
          </cell>
          <cell r="AB183">
            <v>0</v>
          </cell>
          <cell r="AC183">
            <v>0</v>
          </cell>
          <cell r="AD183">
            <v>0</v>
          </cell>
          <cell r="AE183">
            <v>0</v>
          </cell>
          <cell r="AF183">
            <v>0</v>
          </cell>
          <cell r="AG183">
            <v>0</v>
          </cell>
          <cell r="AH183">
            <v>0</v>
          </cell>
          <cell r="AI183">
            <v>0</v>
          </cell>
          <cell r="AJ183">
            <v>0</v>
          </cell>
          <cell r="AK183">
            <v>0</v>
          </cell>
          <cell r="AL183">
            <v>0</v>
          </cell>
          <cell r="AM183">
            <v>0</v>
          </cell>
          <cell r="AN183">
            <v>0</v>
          </cell>
          <cell r="AO183">
            <v>0</v>
          </cell>
          <cell r="AP183">
            <v>0</v>
          </cell>
          <cell r="AQ183">
            <v>0</v>
          </cell>
          <cell r="AR183">
            <v>0</v>
          </cell>
          <cell r="AS183">
            <v>0</v>
          </cell>
          <cell r="AT183">
            <v>0</v>
          </cell>
          <cell r="AU183">
            <v>0</v>
          </cell>
          <cell r="AV183">
            <v>0</v>
          </cell>
          <cell r="AW183">
            <v>0</v>
          </cell>
          <cell r="AX183">
            <v>0</v>
          </cell>
          <cell r="AY183">
            <v>0</v>
          </cell>
          <cell r="AZ183">
            <v>0</v>
          </cell>
          <cell r="BA183">
            <v>0</v>
          </cell>
          <cell r="BB183">
            <v>0</v>
          </cell>
          <cell r="BC183">
            <v>0</v>
          </cell>
          <cell r="BD183">
            <v>0</v>
          </cell>
          <cell r="BE183">
            <v>0</v>
          </cell>
          <cell r="BF183">
            <v>0</v>
          </cell>
          <cell r="BG183">
            <v>0</v>
          </cell>
          <cell r="BH183">
            <v>0</v>
          </cell>
          <cell r="BI183">
            <v>0</v>
          </cell>
          <cell r="BJ183">
            <v>0</v>
          </cell>
          <cell r="BK183">
            <v>0</v>
          </cell>
          <cell r="BL183">
            <v>0</v>
          </cell>
          <cell r="BM183">
            <v>0</v>
          </cell>
          <cell r="BN183">
            <v>0</v>
          </cell>
          <cell r="BO183">
            <v>0</v>
          </cell>
          <cell r="BP183">
            <v>0</v>
          </cell>
          <cell r="BQ183">
            <v>0</v>
          </cell>
          <cell r="BR183">
            <v>0</v>
          </cell>
          <cell r="BS183">
            <v>0</v>
          </cell>
          <cell r="BT183">
            <v>0</v>
          </cell>
          <cell r="BU183">
            <v>0</v>
          </cell>
          <cell r="BV183">
            <v>0</v>
          </cell>
          <cell r="BW183">
            <v>0</v>
          </cell>
          <cell r="BX183">
            <v>0</v>
          </cell>
          <cell r="BY183">
            <v>0</v>
          </cell>
          <cell r="BZ183">
            <v>0</v>
          </cell>
          <cell r="CA183">
            <v>0</v>
          </cell>
          <cell r="CB183">
            <v>0</v>
          </cell>
          <cell r="CC183">
            <v>0</v>
          </cell>
          <cell r="CD183">
            <v>0</v>
          </cell>
          <cell r="CE183">
            <v>0</v>
          </cell>
          <cell r="CF183">
            <v>0</v>
          </cell>
          <cell r="CG183">
            <v>0</v>
          </cell>
          <cell r="CH183">
            <v>0</v>
          </cell>
          <cell r="CI183">
            <v>0</v>
          </cell>
          <cell r="CJ183">
            <v>0</v>
          </cell>
          <cell r="CK183">
            <v>0</v>
          </cell>
          <cell r="CL183">
            <v>0</v>
          </cell>
          <cell r="CM183">
            <v>0</v>
          </cell>
          <cell r="CN183">
            <v>0</v>
          </cell>
          <cell r="CO183">
            <v>0</v>
          </cell>
          <cell r="CP183">
            <v>0</v>
          </cell>
          <cell r="CQ183">
            <v>0</v>
          </cell>
          <cell r="CR183">
            <v>0</v>
          </cell>
          <cell r="CS183">
            <v>0</v>
          </cell>
          <cell r="CT183">
            <v>0</v>
          </cell>
          <cell r="CU183">
            <v>0</v>
          </cell>
          <cell r="CV183">
            <v>0</v>
          </cell>
          <cell r="CW183">
            <v>0</v>
          </cell>
          <cell r="CX183">
            <v>0</v>
          </cell>
          <cell r="CY183">
            <v>0</v>
          </cell>
          <cell r="CZ183">
            <v>0</v>
          </cell>
          <cell r="DA183">
            <v>0</v>
          </cell>
          <cell r="DB183">
            <v>0</v>
          </cell>
          <cell r="DC183">
            <v>0</v>
          </cell>
          <cell r="DD183">
            <v>0</v>
          </cell>
          <cell r="DE183">
            <v>0</v>
          </cell>
          <cell r="DF183">
            <v>0</v>
          </cell>
          <cell r="DG183">
            <v>0</v>
          </cell>
          <cell r="DH183">
            <v>0</v>
          </cell>
          <cell r="DI183">
            <v>0</v>
          </cell>
          <cell r="DJ183">
            <v>0</v>
          </cell>
          <cell r="DK183">
            <v>0</v>
          </cell>
          <cell r="DL183">
            <v>0</v>
          </cell>
          <cell r="DM183">
            <v>0</v>
          </cell>
          <cell r="DN183">
            <v>0</v>
          </cell>
          <cell r="DO183">
            <v>0</v>
          </cell>
          <cell r="DP183">
            <v>0</v>
          </cell>
          <cell r="DQ183">
            <v>0</v>
          </cell>
          <cell r="DR183">
            <v>0</v>
          </cell>
          <cell r="DS183">
            <v>0</v>
          </cell>
          <cell r="DT183">
            <v>0</v>
          </cell>
          <cell r="DU183">
            <v>0</v>
          </cell>
          <cell r="DV183">
            <v>0</v>
          </cell>
          <cell r="DW183">
            <v>0</v>
          </cell>
          <cell r="DX183">
            <v>0</v>
          </cell>
          <cell r="DY183">
            <v>0</v>
          </cell>
          <cell r="DZ183">
            <v>0</v>
          </cell>
          <cell r="EA183">
            <v>0</v>
          </cell>
          <cell r="EB183">
            <v>0</v>
          </cell>
          <cell r="EC183">
            <v>0</v>
          </cell>
          <cell r="ED183">
            <v>0</v>
          </cell>
          <cell r="EE183">
            <v>0</v>
          </cell>
          <cell r="EF183">
            <v>0</v>
          </cell>
          <cell r="EG183">
            <v>0</v>
          </cell>
          <cell r="EH183">
            <v>0</v>
          </cell>
          <cell r="EI183">
            <v>0</v>
          </cell>
          <cell r="EJ183">
            <v>0</v>
          </cell>
          <cell r="EK183">
            <v>0</v>
          </cell>
          <cell r="EL183">
            <v>0</v>
          </cell>
          <cell r="EM183">
            <v>0</v>
          </cell>
          <cell r="EN183">
            <v>0</v>
          </cell>
          <cell r="EO183">
            <v>0</v>
          </cell>
          <cell r="EP183">
            <v>0</v>
          </cell>
          <cell r="EQ183">
            <v>0</v>
          </cell>
          <cell r="ER183">
            <v>0</v>
          </cell>
          <cell r="ES183">
            <v>0</v>
          </cell>
          <cell r="ET183">
            <v>0</v>
          </cell>
          <cell r="EU183">
            <v>0</v>
          </cell>
          <cell r="EV183">
            <v>0</v>
          </cell>
          <cell r="EW183">
            <v>0</v>
          </cell>
          <cell r="EX183">
            <v>0</v>
          </cell>
          <cell r="EY183">
            <v>0</v>
          </cell>
          <cell r="EZ183">
            <v>0</v>
          </cell>
          <cell r="FA183">
            <v>0</v>
          </cell>
          <cell r="FB183">
            <v>0</v>
          </cell>
          <cell r="FC183">
            <v>0</v>
          </cell>
          <cell r="FD183">
            <v>0</v>
          </cell>
          <cell r="FE183">
            <v>0</v>
          </cell>
          <cell r="FF183">
            <v>0</v>
          </cell>
          <cell r="FG183">
            <v>0</v>
          </cell>
          <cell r="FH183">
            <v>0</v>
          </cell>
          <cell r="FI183">
            <v>0</v>
          </cell>
          <cell r="FJ183">
            <v>0</v>
          </cell>
          <cell r="FK183">
            <v>0</v>
          </cell>
          <cell r="FL183">
            <v>0</v>
          </cell>
          <cell r="FM183">
            <v>0</v>
          </cell>
          <cell r="FN183">
            <v>0</v>
          </cell>
          <cell r="FO183">
            <v>0</v>
          </cell>
          <cell r="FP183">
            <v>0</v>
          </cell>
          <cell r="FQ183">
            <v>0</v>
          </cell>
          <cell r="FR183">
            <v>0</v>
          </cell>
          <cell r="FS183">
            <v>0</v>
          </cell>
          <cell r="FT183">
            <v>0</v>
          </cell>
          <cell r="FU183">
            <v>0</v>
          </cell>
          <cell r="FV183">
            <v>0</v>
          </cell>
          <cell r="FW183">
            <v>0</v>
          </cell>
          <cell r="FX183">
            <v>0</v>
          </cell>
          <cell r="FY183">
            <v>0</v>
          </cell>
          <cell r="FZ183">
            <v>0</v>
          </cell>
        </row>
        <row r="184">
          <cell r="B184">
            <v>0</v>
          </cell>
          <cell r="C184">
            <v>0</v>
          </cell>
          <cell r="D184">
            <v>0</v>
          </cell>
          <cell r="E184">
            <v>0</v>
          </cell>
          <cell r="F184">
            <v>0</v>
          </cell>
          <cell r="G184">
            <v>0</v>
          </cell>
          <cell r="H184">
            <v>0</v>
          </cell>
          <cell r="I184">
            <v>0</v>
          </cell>
          <cell r="J184">
            <v>0</v>
          </cell>
          <cell r="K184">
            <v>0</v>
          </cell>
          <cell r="L184">
            <v>0</v>
          </cell>
          <cell r="M184">
            <v>0</v>
          </cell>
          <cell r="N184">
            <v>0</v>
          </cell>
          <cell r="O184">
            <v>0</v>
          </cell>
          <cell r="P184">
            <v>0</v>
          </cell>
          <cell r="Q184">
            <v>0</v>
          </cell>
          <cell r="R184">
            <v>0</v>
          </cell>
          <cell r="S184">
            <v>0</v>
          </cell>
          <cell r="T184">
            <v>0</v>
          </cell>
          <cell r="U184">
            <v>0</v>
          </cell>
          <cell r="V184">
            <v>0</v>
          </cell>
          <cell r="W184">
            <v>0</v>
          </cell>
          <cell r="X184">
            <v>0</v>
          </cell>
          <cell r="Y184">
            <v>0</v>
          </cell>
          <cell r="Z184">
            <v>0</v>
          </cell>
          <cell r="AA184">
            <v>0</v>
          </cell>
          <cell r="AB184">
            <v>0</v>
          </cell>
          <cell r="AC184">
            <v>0</v>
          </cell>
          <cell r="AD184">
            <v>0</v>
          </cell>
          <cell r="AE184">
            <v>0</v>
          </cell>
          <cell r="AF184">
            <v>0</v>
          </cell>
          <cell r="AG184">
            <v>0</v>
          </cell>
          <cell r="AH184">
            <v>0</v>
          </cell>
          <cell r="AI184">
            <v>0</v>
          </cell>
          <cell r="AJ184">
            <v>0</v>
          </cell>
          <cell r="AK184">
            <v>0</v>
          </cell>
          <cell r="AL184">
            <v>0</v>
          </cell>
          <cell r="AM184">
            <v>0</v>
          </cell>
          <cell r="AN184">
            <v>0</v>
          </cell>
          <cell r="AO184">
            <v>0</v>
          </cell>
          <cell r="AP184">
            <v>0</v>
          </cell>
          <cell r="AQ184">
            <v>0</v>
          </cell>
          <cell r="AR184">
            <v>0</v>
          </cell>
          <cell r="AS184">
            <v>0</v>
          </cell>
          <cell r="AT184">
            <v>0</v>
          </cell>
          <cell r="AU184">
            <v>0</v>
          </cell>
          <cell r="AV184">
            <v>0</v>
          </cell>
          <cell r="AW184">
            <v>0</v>
          </cell>
          <cell r="AX184">
            <v>0</v>
          </cell>
          <cell r="AY184">
            <v>0</v>
          </cell>
          <cell r="AZ184">
            <v>0</v>
          </cell>
          <cell r="BA184">
            <v>0</v>
          </cell>
          <cell r="BB184">
            <v>0</v>
          </cell>
          <cell r="BC184">
            <v>0</v>
          </cell>
          <cell r="BD184">
            <v>0</v>
          </cell>
          <cell r="BE184">
            <v>0</v>
          </cell>
          <cell r="BF184">
            <v>0</v>
          </cell>
          <cell r="BG184">
            <v>0</v>
          </cell>
          <cell r="BH184">
            <v>0</v>
          </cell>
          <cell r="BI184">
            <v>0</v>
          </cell>
          <cell r="BJ184">
            <v>0</v>
          </cell>
          <cell r="BK184">
            <v>0</v>
          </cell>
          <cell r="BL184">
            <v>0</v>
          </cell>
          <cell r="BM184">
            <v>0</v>
          </cell>
          <cell r="BN184">
            <v>0</v>
          </cell>
          <cell r="BO184">
            <v>0</v>
          </cell>
          <cell r="BP184">
            <v>0</v>
          </cell>
          <cell r="BQ184">
            <v>0</v>
          </cell>
          <cell r="BR184">
            <v>0</v>
          </cell>
          <cell r="BS184">
            <v>0</v>
          </cell>
          <cell r="BT184">
            <v>0</v>
          </cell>
          <cell r="BU184">
            <v>0</v>
          </cell>
          <cell r="BV184">
            <v>0</v>
          </cell>
          <cell r="BW184">
            <v>0</v>
          </cell>
          <cell r="BX184">
            <v>0</v>
          </cell>
          <cell r="BY184">
            <v>0</v>
          </cell>
          <cell r="BZ184">
            <v>0</v>
          </cell>
          <cell r="CA184">
            <v>0</v>
          </cell>
          <cell r="CB184">
            <v>0</v>
          </cell>
          <cell r="CC184">
            <v>0</v>
          </cell>
          <cell r="CD184">
            <v>0</v>
          </cell>
          <cell r="CE184">
            <v>0</v>
          </cell>
          <cell r="CF184">
            <v>0</v>
          </cell>
          <cell r="CG184">
            <v>0</v>
          </cell>
          <cell r="CH184">
            <v>0</v>
          </cell>
          <cell r="CI184">
            <v>0</v>
          </cell>
          <cell r="CJ184">
            <v>0</v>
          </cell>
          <cell r="CK184">
            <v>0</v>
          </cell>
          <cell r="CL184">
            <v>0</v>
          </cell>
          <cell r="CM184">
            <v>0</v>
          </cell>
          <cell r="CN184">
            <v>0</v>
          </cell>
          <cell r="CO184">
            <v>0</v>
          </cell>
          <cell r="CP184">
            <v>0</v>
          </cell>
          <cell r="CQ184">
            <v>0</v>
          </cell>
          <cell r="CR184">
            <v>0</v>
          </cell>
          <cell r="CS184">
            <v>0</v>
          </cell>
          <cell r="CT184">
            <v>0</v>
          </cell>
          <cell r="CU184">
            <v>0</v>
          </cell>
          <cell r="CV184">
            <v>0</v>
          </cell>
          <cell r="CW184">
            <v>0</v>
          </cell>
          <cell r="CX184">
            <v>0</v>
          </cell>
          <cell r="CY184">
            <v>0</v>
          </cell>
          <cell r="CZ184">
            <v>0</v>
          </cell>
          <cell r="DA184">
            <v>0</v>
          </cell>
          <cell r="DB184">
            <v>0</v>
          </cell>
          <cell r="DC184">
            <v>0</v>
          </cell>
          <cell r="DD184">
            <v>0</v>
          </cell>
          <cell r="DE184">
            <v>0</v>
          </cell>
          <cell r="DF184">
            <v>0</v>
          </cell>
          <cell r="DG184">
            <v>0</v>
          </cell>
          <cell r="DH184">
            <v>0</v>
          </cell>
          <cell r="DI184">
            <v>0</v>
          </cell>
          <cell r="DJ184">
            <v>0</v>
          </cell>
          <cell r="DK184">
            <v>0</v>
          </cell>
          <cell r="DL184">
            <v>0</v>
          </cell>
          <cell r="DM184">
            <v>0</v>
          </cell>
          <cell r="DN184">
            <v>0</v>
          </cell>
          <cell r="DO184">
            <v>0</v>
          </cell>
          <cell r="DP184">
            <v>0</v>
          </cell>
          <cell r="DQ184">
            <v>0</v>
          </cell>
          <cell r="DR184">
            <v>0</v>
          </cell>
          <cell r="DS184">
            <v>0</v>
          </cell>
          <cell r="DT184">
            <v>0</v>
          </cell>
          <cell r="DU184">
            <v>0</v>
          </cell>
          <cell r="DV184">
            <v>0</v>
          </cell>
          <cell r="DW184">
            <v>0</v>
          </cell>
          <cell r="DX184">
            <v>0</v>
          </cell>
          <cell r="DY184">
            <v>0</v>
          </cell>
          <cell r="DZ184">
            <v>0</v>
          </cell>
          <cell r="EA184">
            <v>0</v>
          </cell>
          <cell r="EB184">
            <v>0</v>
          </cell>
          <cell r="EC184">
            <v>0</v>
          </cell>
          <cell r="ED184">
            <v>0</v>
          </cell>
          <cell r="EE184">
            <v>0</v>
          </cell>
          <cell r="EF184">
            <v>0</v>
          </cell>
          <cell r="EG184">
            <v>0</v>
          </cell>
          <cell r="EH184">
            <v>0</v>
          </cell>
          <cell r="EI184">
            <v>0</v>
          </cell>
          <cell r="EJ184">
            <v>0</v>
          </cell>
          <cell r="EK184">
            <v>0</v>
          </cell>
          <cell r="EL184">
            <v>0</v>
          </cell>
          <cell r="EM184">
            <v>0</v>
          </cell>
          <cell r="EN184">
            <v>0</v>
          </cell>
          <cell r="EO184">
            <v>0</v>
          </cell>
          <cell r="EP184">
            <v>0</v>
          </cell>
          <cell r="EQ184">
            <v>0</v>
          </cell>
          <cell r="ER184">
            <v>0</v>
          </cell>
          <cell r="ES184">
            <v>0</v>
          </cell>
          <cell r="ET184">
            <v>0</v>
          </cell>
          <cell r="EU184">
            <v>0</v>
          </cell>
          <cell r="EV184">
            <v>0</v>
          </cell>
          <cell r="EW184">
            <v>0</v>
          </cell>
          <cell r="EX184">
            <v>0</v>
          </cell>
          <cell r="EY184">
            <v>0</v>
          </cell>
          <cell r="EZ184">
            <v>0</v>
          </cell>
          <cell r="FA184">
            <v>0</v>
          </cell>
          <cell r="FB184">
            <v>0</v>
          </cell>
          <cell r="FC184">
            <v>0</v>
          </cell>
          <cell r="FD184">
            <v>0</v>
          </cell>
          <cell r="FE184">
            <v>0</v>
          </cell>
          <cell r="FF184">
            <v>0</v>
          </cell>
          <cell r="FG184">
            <v>0</v>
          </cell>
          <cell r="FH184">
            <v>0</v>
          </cell>
          <cell r="FI184">
            <v>0</v>
          </cell>
          <cell r="FJ184">
            <v>0</v>
          </cell>
          <cell r="FK184">
            <v>0</v>
          </cell>
          <cell r="FL184">
            <v>0</v>
          </cell>
          <cell r="FM184">
            <v>0</v>
          </cell>
          <cell r="FN184">
            <v>0</v>
          </cell>
          <cell r="FO184">
            <v>0</v>
          </cell>
          <cell r="FP184">
            <v>0</v>
          </cell>
          <cell r="FQ184">
            <v>0</v>
          </cell>
          <cell r="FR184">
            <v>0</v>
          </cell>
          <cell r="FS184">
            <v>0</v>
          </cell>
          <cell r="FT184">
            <v>0</v>
          </cell>
          <cell r="FU184">
            <v>0</v>
          </cell>
          <cell r="FV184">
            <v>0</v>
          </cell>
          <cell r="FW184">
            <v>0</v>
          </cell>
          <cell r="FX184">
            <v>0</v>
          </cell>
          <cell r="FY184">
            <v>0</v>
          </cell>
          <cell r="FZ184">
            <v>0</v>
          </cell>
        </row>
        <row r="185">
          <cell r="B185">
            <v>0</v>
          </cell>
          <cell r="C185">
            <v>0</v>
          </cell>
          <cell r="D185">
            <v>0</v>
          </cell>
          <cell r="E185">
            <v>0</v>
          </cell>
          <cell r="F185">
            <v>0</v>
          </cell>
          <cell r="G185">
            <v>0</v>
          </cell>
          <cell r="H185">
            <v>0</v>
          </cell>
          <cell r="I185">
            <v>0</v>
          </cell>
          <cell r="J185">
            <v>0</v>
          </cell>
          <cell r="K185">
            <v>0</v>
          </cell>
          <cell r="L185">
            <v>0</v>
          </cell>
          <cell r="M185">
            <v>0</v>
          </cell>
          <cell r="N185">
            <v>0</v>
          </cell>
          <cell r="O185">
            <v>0</v>
          </cell>
          <cell r="P185">
            <v>0</v>
          </cell>
          <cell r="Q185">
            <v>0</v>
          </cell>
          <cell r="R185">
            <v>0</v>
          </cell>
          <cell r="S185">
            <v>0</v>
          </cell>
          <cell r="T185">
            <v>0</v>
          </cell>
          <cell r="U185">
            <v>0</v>
          </cell>
          <cell r="V185">
            <v>0</v>
          </cell>
          <cell r="W185">
            <v>0</v>
          </cell>
          <cell r="X185">
            <v>0</v>
          </cell>
          <cell r="Y185">
            <v>0</v>
          </cell>
          <cell r="Z185">
            <v>0</v>
          </cell>
          <cell r="AA185">
            <v>0</v>
          </cell>
          <cell r="AB185">
            <v>0</v>
          </cell>
          <cell r="AC185">
            <v>0</v>
          </cell>
          <cell r="AD185">
            <v>0</v>
          </cell>
          <cell r="AE185">
            <v>0</v>
          </cell>
          <cell r="AF185">
            <v>0</v>
          </cell>
          <cell r="AG185">
            <v>0</v>
          </cell>
          <cell r="AH185">
            <v>0</v>
          </cell>
          <cell r="AI185">
            <v>0</v>
          </cell>
          <cell r="AJ185">
            <v>0</v>
          </cell>
          <cell r="AK185">
            <v>0</v>
          </cell>
          <cell r="AL185">
            <v>0</v>
          </cell>
          <cell r="AM185">
            <v>0</v>
          </cell>
          <cell r="AN185">
            <v>0</v>
          </cell>
          <cell r="AO185">
            <v>0</v>
          </cell>
          <cell r="AP185">
            <v>0</v>
          </cell>
          <cell r="AQ185">
            <v>0</v>
          </cell>
          <cell r="AR185">
            <v>0</v>
          </cell>
          <cell r="AS185">
            <v>0</v>
          </cell>
          <cell r="AT185">
            <v>0</v>
          </cell>
          <cell r="AU185">
            <v>0</v>
          </cell>
          <cell r="AV185">
            <v>0</v>
          </cell>
          <cell r="AW185">
            <v>0</v>
          </cell>
          <cell r="AX185">
            <v>0</v>
          </cell>
          <cell r="AY185">
            <v>0</v>
          </cell>
          <cell r="AZ185">
            <v>0</v>
          </cell>
          <cell r="BA185">
            <v>0</v>
          </cell>
          <cell r="BB185">
            <v>0</v>
          </cell>
          <cell r="BC185">
            <v>0</v>
          </cell>
          <cell r="BD185">
            <v>0</v>
          </cell>
          <cell r="BE185">
            <v>0</v>
          </cell>
          <cell r="BF185">
            <v>0</v>
          </cell>
          <cell r="BG185">
            <v>0</v>
          </cell>
          <cell r="BH185">
            <v>0</v>
          </cell>
          <cell r="BI185">
            <v>0</v>
          </cell>
          <cell r="BJ185">
            <v>0</v>
          </cell>
          <cell r="BK185">
            <v>0</v>
          </cell>
          <cell r="BL185">
            <v>0</v>
          </cell>
          <cell r="BM185">
            <v>0</v>
          </cell>
          <cell r="BN185">
            <v>0</v>
          </cell>
          <cell r="BO185">
            <v>0</v>
          </cell>
          <cell r="BP185">
            <v>0</v>
          </cell>
          <cell r="BQ185">
            <v>0</v>
          </cell>
          <cell r="BR185">
            <v>0</v>
          </cell>
          <cell r="BS185">
            <v>0</v>
          </cell>
          <cell r="BT185">
            <v>0</v>
          </cell>
          <cell r="BU185">
            <v>0</v>
          </cell>
          <cell r="BV185">
            <v>0</v>
          </cell>
          <cell r="BW185">
            <v>0</v>
          </cell>
          <cell r="BX185">
            <v>0</v>
          </cell>
          <cell r="BY185">
            <v>0</v>
          </cell>
          <cell r="BZ185">
            <v>0</v>
          </cell>
          <cell r="CA185">
            <v>0</v>
          </cell>
          <cell r="CB185">
            <v>0</v>
          </cell>
          <cell r="CC185">
            <v>0</v>
          </cell>
          <cell r="CD185">
            <v>0</v>
          </cell>
          <cell r="CE185">
            <v>0</v>
          </cell>
          <cell r="CF185">
            <v>0</v>
          </cell>
          <cell r="CG185">
            <v>0</v>
          </cell>
          <cell r="CH185">
            <v>0</v>
          </cell>
          <cell r="CI185">
            <v>0</v>
          </cell>
          <cell r="CJ185">
            <v>0</v>
          </cell>
          <cell r="CK185">
            <v>0</v>
          </cell>
          <cell r="CL185">
            <v>0</v>
          </cell>
          <cell r="CM185">
            <v>0</v>
          </cell>
          <cell r="CN185">
            <v>0</v>
          </cell>
          <cell r="CO185">
            <v>0</v>
          </cell>
          <cell r="CP185">
            <v>0</v>
          </cell>
          <cell r="CQ185">
            <v>0</v>
          </cell>
          <cell r="CR185">
            <v>0</v>
          </cell>
          <cell r="CS185">
            <v>0</v>
          </cell>
          <cell r="CT185">
            <v>0</v>
          </cell>
          <cell r="CU185">
            <v>0</v>
          </cell>
          <cell r="CV185">
            <v>0</v>
          </cell>
          <cell r="CW185">
            <v>0</v>
          </cell>
          <cell r="CX185">
            <v>0</v>
          </cell>
          <cell r="CY185">
            <v>0</v>
          </cell>
          <cell r="CZ185">
            <v>0</v>
          </cell>
          <cell r="DA185">
            <v>0</v>
          </cell>
          <cell r="DB185">
            <v>0</v>
          </cell>
          <cell r="DC185">
            <v>0</v>
          </cell>
          <cell r="DD185">
            <v>0</v>
          </cell>
          <cell r="DE185">
            <v>0</v>
          </cell>
          <cell r="DF185">
            <v>0</v>
          </cell>
          <cell r="DG185">
            <v>0</v>
          </cell>
          <cell r="DH185">
            <v>0</v>
          </cell>
          <cell r="DI185">
            <v>0</v>
          </cell>
          <cell r="DJ185">
            <v>0</v>
          </cell>
          <cell r="DK185">
            <v>0</v>
          </cell>
          <cell r="DL185">
            <v>0</v>
          </cell>
          <cell r="DM185">
            <v>0</v>
          </cell>
          <cell r="DN185">
            <v>0</v>
          </cell>
          <cell r="DO185">
            <v>0</v>
          </cell>
          <cell r="DP185">
            <v>0</v>
          </cell>
          <cell r="DQ185">
            <v>0</v>
          </cell>
          <cell r="DR185">
            <v>0</v>
          </cell>
          <cell r="DS185">
            <v>0</v>
          </cell>
          <cell r="DT185">
            <v>0</v>
          </cell>
          <cell r="DU185">
            <v>0</v>
          </cell>
          <cell r="DV185">
            <v>0</v>
          </cell>
          <cell r="DW185">
            <v>0</v>
          </cell>
          <cell r="DX185">
            <v>0</v>
          </cell>
          <cell r="DY185">
            <v>0</v>
          </cell>
          <cell r="DZ185">
            <v>0</v>
          </cell>
          <cell r="EA185">
            <v>0</v>
          </cell>
          <cell r="EB185">
            <v>0</v>
          </cell>
          <cell r="EC185">
            <v>0</v>
          </cell>
          <cell r="ED185">
            <v>0</v>
          </cell>
          <cell r="EE185">
            <v>0</v>
          </cell>
          <cell r="EF185">
            <v>0</v>
          </cell>
          <cell r="EG185">
            <v>0</v>
          </cell>
          <cell r="EH185">
            <v>0</v>
          </cell>
          <cell r="EI185">
            <v>0</v>
          </cell>
          <cell r="EJ185">
            <v>0</v>
          </cell>
          <cell r="EK185">
            <v>0</v>
          </cell>
          <cell r="EL185">
            <v>0</v>
          </cell>
          <cell r="EM185">
            <v>0</v>
          </cell>
          <cell r="EN185">
            <v>0</v>
          </cell>
          <cell r="EO185">
            <v>0</v>
          </cell>
          <cell r="EP185">
            <v>0</v>
          </cell>
          <cell r="EQ185">
            <v>0</v>
          </cell>
          <cell r="ER185">
            <v>0</v>
          </cell>
          <cell r="ES185">
            <v>0</v>
          </cell>
          <cell r="ET185">
            <v>0</v>
          </cell>
          <cell r="EU185">
            <v>0</v>
          </cell>
          <cell r="EV185">
            <v>0</v>
          </cell>
          <cell r="EW185">
            <v>0</v>
          </cell>
          <cell r="EX185">
            <v>0</v>
          </cell>
          <cell r="EY185">
            <v>0</v>
          </cell>
          <cell r="EZ185">
            <v>0</v>
          </cell>
          <cell r="FA185">
            <v>0</v>
          </cell>
          <cell r="FB185">
            <v>0</v>
          </cell>
          <cell r="FC185">
            <v>0</v>
          </cell>
          <cell r="FD185">
            <v>0</v>
          </cell>
          <cell r="FE185">
            <v>0</v>
          </cell>
          <cell r="FF185">
            <v>0</v>
          </cell>
          <cell r="FG185">
            <v>0</v>
          </cell>
          <cell r="FH185">
            <v>0</v>
          </cell>
          <cell r="FI185">
            <v>0</v>
          </cell>
          <cell r="FJ185">
            <v>0</v>
          </cell>
          <cell r="FK185">
            <v>0</v>
          </cell>
          <cell r="FL185">
            <v>0</v>
          </cell>
          <cell r="FM185">
            <v>0</v>
          </cell>
          <cell r="FN185">
            <v>0</v>
          </cell>
          <cell r="FO185">
            <v>0</v>
          </cell>
          <cell r="FP185">
            <v>0</v>
          </cell>
          <cell r="FQ185">
            <v>0</v>
          </cell>
          <cell r="FR185">
            <v>0</v>
          </cell>
          <cell r="FS185">
            <v>0</v>
          </cell>
          <cell r="FT185">
            <v>0</v>
          </cell>
          <cell r="FU185">
            <v>0</v>
          </cell>
          <cell r="FV185">
            <v>0</v>
          </cell>
          <cell r="FW185">
            <v>0</v>
          </cell>
          <cell r="FX185">
            <v>0</v>
          </cell>
          <cell r="FY185">
            <v>0</v>
          </cell>
          <cell r="FZ185">
            <v>0</v>
          </cell>
        </row>
        <row r="186">
          <cell r="B186">
            <v>0</v>
          </cell>
          <cell r="C186">
            <v>0</v>
          </cell>
          <cell r="D186">
            <v>0</v>
          </cell>
          <cell r="E186">
            <v>0</v>
          </cell>
          <cell r="F186">
            <v>0</v>
          </cell>
          <cell r="G186">
            <v>0</v>
          </cell>
          <cell r="H186">
            <v>0</v>
          </cell>
          <cell r="I186">
            <v>0</v>
          </cell>
          <cell r="J186">
            <v>0</v>
          </cell>
          <cell r="K186">
            <v>0</v>
          </cell>
          <cell r="L186">
            <v>0</v>
          </cell>
          <cell r="M186">
            <v>0</v>
          </cell>
          <cell r="N186">
            <v>0</v>
          </cell>
          <cell r="O186">
            <v>0</v>
          </cell>
          <cell r="P186">
            <v>0</v>
          </cell>
          <cell r="Q186">
            <v>0</v>
          </cell>
          <cell r="R186">
            <v>0</v>
          </cell>
          <cell r="S186">
            <v>0</v>
          </cell>
          <cell r="T186">
            <v>0</v>
          </cell>
          <cell r="U186">
            <v>0</v>
          </cell>
          <cell r="V186">
            <v>0</v>
          </cell>
          <cell r="W186">
            <v>0</v>
          </cell>
          <cell r="X186">
            <v>0</v>
          </cell>
          <cell r="Y186">
            <v>0</v>
          </cell>
          <cell r="Z186">
            <v>0</v>
          </cell>
          <cell r="AA186">
            <v>0</v>
          </cell>
          <cell r="AB186">
            <v>0</v>
          </cell>
          <cell r="AC186">
            <v>0</v>
          </cell>
          <cell r="AD186">
            <v>0</v>
          </cell>
          <cell r="AE186">
            <v>0</v>
          </cell>
          <cell r="AF186">
            <v>0</v>
          </cell>
          <cell r="AG186">
            <v>0</v>
          </cell>
          <cell r="AH186">
            <v>0</v>
          </cell>
          <cell r="AI186">
            <v>0</v>
          </cell>
          <cell r="AJ186">
            <v>0</v>
          </cell>
          <cell r="AK186">
            <v>0</v>
          </cell>
          <cell r="AL186">
            <v>0</v>
          </cell>
          <cell r="AM186">
            <v>0</v>
          </cell>
          <cell r="AN186">
            <v>0</v>
          </cell>
          <cell r="AO186">
            <v>0</v>
          </cell>
          <cell r="AP186">
            <v>0</v>
          </cell>
          <cell r="AQ186">
            <v>0</v>
          </cell>
          <cell r="AR186">
            <v>0</v>
          </cell>
          <cell r="AS186">
            <v>0</v>
          </cell>
          <cell r="AT186">
            <v>0</v>
          </cell>
          <cell r="AU186">
            <v>0</v>
          </cell>
          <cell r="AV186">
            <v>0</v>
          </cell>
          <cell r="AW186">
            <v>0</v>
          </cell>
          <cell r="AX186">
            <v>0</v>
          </cell>
          <cell r="AY186">
            <v>0</v>
          </cell>
          <cell r="AZ186">
            <v>0</v>
          </cell>
          <cell r="BA186">
            <v>0</v>
          </cell>
          <cell r="BB186">
            <v>0</v>
          </cell>
          <cell r="BC186">
            <v>0</v>
          </cell>
          <cell r="BD186">
            <v>0</v>
          </cell>
          <cell r="BE186">
            <v>0</v>
          </cell>
          <cell r="BF186">
            <v>0</v>
          </cell>
          <cell r="BG186">
            <v>0</v>
          </cell>
          <cell r="BH186">
            <v>0</v>
          </cell>
          <cell r="BI186">
            <v>0</v>
          </cell>
          <cell r="BJ186">
            <v>0</v>
          </cell>
          <cell r="BK186">
            <v>0</v>
          </cell>
          <cell r="BL186">
            <v>0</v>
          </cell>
          <cell r="BM186">
            <v>0</v>
          </cell>
          <cell r="BN186">
            <v>0</v>
          </cell>
          <cell r="BO186">
            <v>0</v>
          </cell>
          <cell r="BP186">
            <v>0</v>
          </cell>
          <cell r="BQ186">
            <v>0</v>
          </cell>
          <cell r="BR186">
            <v>0</v>
          </cell>
          <cell r="BS186">
            <v>0</v>
          </cell>
          <cell r="BT186">
            <v>0</v>
          </cell>
          <cell r="BU186">
            <v>0</v>
          </cell>
          <cell r="BV186">
            <v>0</v>
          </cell>
          <cell r="BW186">
            <v>0</v>
          </cell>
          <cell r="BX186">
            <v>0</v>
          </cell>
          <cell r="BY186">
            <v>0</v>
          </cell>
          <cell r="BZ186">
            <v>0</v>
          </cell>
          <cell r="CA186">
            <v>0</v>
          </cell>
          <cell r="CB186">
            <v>0</v>
          </cell>
          <cell r="CC186">
            <v>0</v>
          </cell>
          <cell r="CD186">
            <v>0</v>
          </cell>
          <cell r="CE186">
            <v>0</v>
          </cell>
          <cell r="CF186">
            <v>0</v>
          </cell>
          <cell r="CG186">
            <v>0</v>
          </cell>
          <cell r="CH186">
            <v>0</v>
          </cell>
          <cell r="CI186">
            <v>0</v>
          </cell>
          <cell r="CJ186">
            <v>0</v>
          </cell>
          <cell r="CK186">
            <v>0</v>
          </cell>
          <cell r="CL186">
            <v>0</v>
          </cell>
          <cell r="CM186">
            <v>0</v>
          </cell>
          <cell r="CN186">
            <v>0</v>
          </cell>
          <cell r="CO186">
            <v>0</v>
          </cell>
          <cell r="CP186">
            <v>0</v>
          </cell>
          <cell r="CQ186">
            <v>0</v>
          </cell>
          <cell r="CR186">
            <v>0</v>
          </cell>
          <cell r="CS186">
            <v>0</v>
          </cell>
          <cell r="CT186">
            <v>0</v>
          </cell>
          <cell r="CU186">
            <v>0</v>
          </cell>
          <cell r="CV186">
            <v>0</v>
          </cell>
          <cell r="CW186">
            <v>0</v>
          </cell>
          <cell r="CX186">
            <v>0</v>
          </cell>
          <cell r="CY186">
            <v>0</v>
          </cell>
          <cell r="CZ186">
            <v>0</v>
          </cell>
          <cell r="DA186">
            <v>0</v>
          </cell>
          <cell r="DB186">
            <v>0</v>
          </cell>
          <cell r="DC186">
            <v>0</v>
          </cell>
          <cell r="DD186">
            <v>0</v>
          </cell>
          <cell r="DE186">
            <v>0</v>
          </cell>
          <cell r="DF186">
            <v>0</v>
          </cell>
          <cell r="DG186">
            <v>0</v>
          </cell>
          <cell r="DH186">
            <v>0</v>
          </cell>
          <cell r="DI186">
            <v>0</v>
          </cell>
          <cell r="DJ186">
            <v>0</v>
          </cell>
          <cell r="DK186">
            <v>0</v>
          </cell>
          <cell r="DL186">
            <v>0</v>
          </cell>
          <cell r="DM186">
            <v>0</v>
          </cell>
          <cell r="DN186">
            <v>0</v>
          </cell>
          <cell r="DO186">
            <v>0</v>
          </cell>
          <cell r="DP186">
            <v>0</v>
          </cell>
          <cell r="DQ186">
            <v>0</v>
          </cell>
          <cell r="DR186">
            <v>0</v>
          </cell>
          <cell r="DS186">
            <v>0</v>
          </cell>
          <cell r="DT186">
            <v>0</v>
          </cell>
          <cell r="DU186">
            <v>0</v>
          </cell>
          <cell r="DV186">
            <v>0</v>
          </cell>
          <cell r="DW186">
            <v>0</v>
          </cell>
          <cell r="DX186">
            <v>0</v>
          </cell>
          <cell r="DY186">
            <v>0</v>
          </cell>
          <cell r="DZ186">
            <v>0</v>
          </cell>
          <cell r="EA186">
            <v>0</v>
          </cell>
          <cell r="EB186">
            <v>0</v>
          </cell>
          <cell r="EC186">
            <v>0</v>
          </cell>
          <cell r="ED186">
            <v>0</v>
          </cell>
          <cell r="EE186">
            <v>0</v>
          </cell>
          <cell r="EF186">
            <v>0</v>
          </cell>
          <cell r="EG186">
            <v>0</v>
          </cell>
          <cell r="EH186">
            <v>0</v>
          </cell>
          <cell r="EI186">
            <v>0</v>
          </cell>
          <cell r="EJ186">
            <v>0</v>
          </cell>
          <cell r="EK186">
            <v>0</v>
          </cell>
          <cell r="EL186">
            <v>0</v>
          </cell>
          <cell r="EM186">
            <v>0</v>
          </cell>
          <cell r="EN186">
            <v>0</v>
          </cell>
          <cell r="EO186">
            <v>0</v>
          </cell>
          <cell r="EP186">
            <v>0</v>
          </cell>
          <cell r="EQ186">
            <v>0</v>
          </cell>
          <cell r="ER186">
            <v>0</v>
          </cell>
          <cell r="ES186">
            <v>0</v>
          </cell>
          <cell r="ET186">
            <v>0</v>
          </cell>
          <cell r="EU186">
            <v>0</v>
          </cell>
          <cell r="EV186">
            <v>0</v>
          </cell>
          <cell r="EW186">
            <v>0</v>
          </cell>
          <cell r="EX186">
            <v>0</v>
          </cell>
          <cell r="EY186">
            <v>0</v>
          </cell>
          <cell r="EZ186">
            <v>0</v>
          </cell>
          <cell r="FA186">
            <v>0</v>
          </cell>
          <cell r="FB186">
            <v>0</v>
          </cell>
          <cell r="FC186">
            <v>0</v>
          </cell>
          <cell r="FD186">
            <v>0</v>
          </cell>
          <cell r="FE186">
            <v>0</v>
          </cell>
          <cell r="FF186">
            <v>0</v>
          </cell>
          <cell r="FG186">
            <v>0</v>
          </cell>
          <cell r="FH186">
            <v>0</v>
          </cell>
          <cell r="FI186">
            <v>0</v>
          </cell>
          <cell r="FJ186">
            <v>0</v>
          </cell>
          <cell r="FK186">
            <v>0</v>
          </cell>
          <cell r="FL186">
            <v>0</v>
          </cell>
          <cell r="FM186">
            <v>0</v>
          </cell>
          <cell r="FN186">
            <v>0</v>
          </cell>
          <cell r="FO186">
            <v>0</v>
          </cell>
          <cell r="FP186">
            <v>0</v>
          </cell>
          <cell r="FQ186">
            <v>0</v>
          </cell>
          <cell r="FR186">
            <v>0</v>
          </cell>
          <cell r="FS186">
            <v>0</v>
          </cell>
          <cell r="FT186">
            <v>0</v>
          </cell>
          <cell r="FU186">
            <v>0</v>
          </cell>
          <cell r="FV186">
            <v>0</v>
          </cell>
          <cell r="FW186">
            <v>0</v>
          </cell>
          <cell r="FX186">
            <v>0</v>
          </cell>
          <cell r="FY186">
            <v>0</v>
          </cell>
          <cell r="FZ186">
            <v>0</v>
          </cell>
        </row>
        <row r="187">
          <cell r="B187">
            <v>0</v>
          </cell>
          <cell r="C187">
            <v>0</v>
          </cell>
          <cell r="D187">
            <v>0</v>
          </cell>
          <cell r="E187">
            <v>0</v>
          </cell>
          <cell r="F187">
            <v>0</v>
          </cell>
          <cell r="G187">
            <v>0</v>
          </cell>
          <cell r="H187">
            <v>0</v>
          </cell>
          <cell r="I187">
            <v>0</v>
          </cell>
          <cell r="J187">
            <v>0</v>
          </cell>
          <cell r="K187">
            <v>0</v>
          </cell>
          <cell r="L187">
            <v>0</v>
          </cell>
          <cell r="M187">
            <v>0</v>
          </cell>
          <cell r="N187">
            <v>0</v>
          </cell>
          <cell r="O187">
            <v>0</v>
          </cell>
          <cell r="P187">
            <v>0</v>
          </cell>
          <cell r="Q187">
            <v>0</v>
          </cell>
          <cell r="R187">
            <v>0</v>
          </cell>
          <cell r="S187">
            <v>0</v>
          </cell>
          <cell r="T187">
            <v>0</v>
          </cell>
          <cell r="U187">
            <v>0</v>
          </cell>
          <cell r="V187">
            <v>0</v>
          </cell>
          <cell r="W187">
            <v>0</v>
          </cell>
          <cell r="X187">
            <v>0</v>
          </cell>
          <cell r="Y187">
            <v>0</v>
          </cell>
          <cell r="Z187">
            <v>0</v>
          </cell>
          <cell r="AA187">
            <v>0</v>
          </cell>
          <cell r="AB187">
            <v>0</v>
          </cell>
          <cell r="AC187">
            <v>0</v>
          </cell>
          <cell r="AD187">
            <v>0</v>
          </cell>
          <cell r="AE187">
            <v>0</v>
          </cell>
          <cell r="AF187">
            <v>0</v>
          </cell>
          <cell r="AG187">
            <v>0</v>
          </cell>
          <cell r="AH187">
            <v>0</v>
          </cell>
          <cell r="AI187">
            <v>0</v>
          </cell>
          <cell r="AJ187">
            <v>0</v>
          </cell>
          <cell r="AK187">
            <v>0</v>
          </cell>
          <cell r="AL187">
            <v>0</v>
          </cell>
          <cell r="AM187">
            <v>0</v>
          </cell>
          <cell r="AN187">
            <v>0</v>
          </cell>
          <cell r="AO187">
            <v>0</v>
          </cell>
          <cell r="AP187">
            <v>0</v>
          </cell>
          <cell r="AQ187">
            <v>0</v>
          </cell>
          <cell r="AR187">
            <v>0</v>
          </cell>
          <cell r="AS187">
            <v>0</v>
          </cell>
          <cell r="AT187">
            <v>0</v>
          </cell>
          <cell r="AU187">
            <v>0</v>
          </cell>
          <cell r="AV187">
            <v>0</v>
          </cell>
          <cell r="AW187">
            <v>0</v>
          </cell>
          <cell r="AX187">
            <v>0</v>
          </cell>
          <cell r="AY187">
            <v>0</v>
          </cell>
          <cell r="AZ187">
            <v>0</v>
          </cell>
          <cell r="BA187">
            <v>0</v>
          </cell>
          <cell r="BB187">
            <v>0</v>
          </cell>
          <cell r="BC187">
            <v>0</v>
          </cell>
          <cell r="BD187">
            <v>0</v>
          </cell>
          <cell r="BE187">
            <v>0</v>
          </cell>
          <cell r="BF187">
            <v>0</v>
          </cell>
          <cell r="BG187">
            <v>0</v>
          </cell>
          <cell r="BH187">
            <v>0</v>
          </cell>
          <cell r="BI187">
            <v>0</v>
          </cell>
          <cell r="BJ187">
            <v>0</v>
          </cell>
          <cell r="BK187">
            <v>0</v>
          </cell>
          <cell r="BL187">
            <v>0</v>
          </cell>
          <cell r="BM187">
            <v>0</v>
          </cell>
          <cell r="BN187">
            <v>0</v>
          </cell>
          <cell r="BO187">
            <v>0</v>
          </cell>
          <cell r="BP187">
            <v>0</v>
          </cell>
          <cell r="BQ187">
            <v>0</v>
          </cell>
          <cell r="BR187">
            <v>0</v>
          </cell>
          <cell r="BS187">
            <v>0</v>
          </cell>
          <cell r="BT187">
            <v>0</v>
          </cell>
          <cell r="BU187">
            <v>0</v>
          </cell>
          <cell r="BV187">
            <v>0</v>
          </cell>
          <cell r="BW187">
            <v>0</v>
          </cell>
          <cell r="BX187">
            <v>0</v>
          </cell>
          <cell r="BY187">
            <v>0</v>
          </cell>
          <cell r="BZ187">
            <v>0</v>
          </cell>
          <cell r="CA187">
            <v>0</v>
          </cell>
          <cell r="CB187">
            <v>0</v>
          </cell>
          <cell r="CC187">
            <v>0</v>
          </cell>
          <cell r="CD187">
            <v>0</v>
          </cell>
          <cell r="CE187">
            <v>0</v>
          </cell>
          <cell r="CF187">
            <v>0</v>
          </cell>
          <cell r="CG187">
            <v>0</v>
          </cell>
          <cell r="CH187">
            <v>0</v>
          </cell>
          <cell r="CI187">
            <v>0</v>
          </cell>
          <cell r="CJ187">
            <v>0</v>
          </cell>
          <cell r="CK187">
            <v>0</v>
          </cell>
          <cell r="CL187">
            <v>0</v>
          </cell>
          <cell r="CM187">
            <v>0</v>
          </cell>
          <cell r="CN187">
            <v>0</v>
          </cell>
          <cell r="CO187">
            <v>0</v>
          </cell>
          <cell r="CP187">
            <v>0</v>
          </cell>
          <cell r="CQ187">
            <v>0</v>
          </cell>
          <cell r="CR187">
            <v>0</v>
          </cell>
          <cell r="CS187">
            <v>0</v>
          </cell>
          <cell r="CT187">
            <v>0</v>
          </cell>
          <cell r="CU187">
            <v>0</v>
          </cell>
          <cell r="CV187">
            <v>0</v>
          </cell>
          <cell r="CW187">
            <v>0</v>
          </cell>
          <cell r="CX187">
            <v>0</v>
          </cell>
          <cell r="CY187">
            <v>0</v>
          </cell>
          <cell r="CZ187">
            <v>0</v>
          </cell>
          <cell r="DA187">
            <v>0</v>
          </cell>
          <cell r="DB187">
            <v>0</v>
          </cell>
          <cell r="DC187">
            <v>0</v>
          </cell>
          <cell r="DD187">
            <v>0</v>
          </cell>
          <cell r="DE187">
            <v>0</v>
          </cell>
          <cell r="DF187">
            <v>0</v>
          </cell>
          <cell r="DG187">
            <v>0</v>
          </cell>
          <cell r="DH187">
            <v>0</v>
          </cell>
          <cell r="DI187">
            <v>0</v>
          </cell>
          <cell r="DJ187">
            <v>0</v>
          </cell>
          <cell r="DK187">
            <v>0</v>
          </cell>
          <cell r="DL187">
            <v>0</v>
          </cell>
          <cell r="DM187">
            <v>0</v>
          </cell>
          <cell r="DN187">
            <v>0</v>
          </cell>
          <cell r="DO187">
            <v>0</v>
          </cell>
          <cell r="DP187">
            <v>0</v>
          </cell>
          <cell r="DQ187">
            <v>0</v>
          </cell>
          <cell r="DR187">
            <v>0</v>
          </cell>
          <cell r="DS187">
            <v>0</v>
          </cell>
          <cell r="DT187">
            <v>0</v>
          </cell>
          <cell r="DU187">
            <v>0</v>
          </cell>
          <cell r="DV187">
            <v>0</v>
          </cell>
          <cell r="DW187">
            <v>0</v>
          </cell>
          <cell r="DX187">
            <v>0</v>
          </cell>
          <cell r="DY187">
            <v>0</v>
          </cell>
          <cell r="DZ187">
            <v>0</v>
          </cell>
          <cell r="EA187">
            <v>0</v>
          </cell>
          <cell r="EB187">
            <v>0</v>
          </cell>
          <cell r="EC187">
            <v>0</v>
          </cell>
          <cell r="ED187">
            <v>0</v>
          </cell>
          <cell r="EE187">
            <v>0</v>
          </cell>
          <cell r="EF187">
            <v>0</v>
          </cell>
          <cell r="EG187">
            <v>0</v>
          </cell>
          <cell r="EH187">
            <v>0</v>
          </cell>
          <cell r="EI187">
            <v>0</v>
          </cell>
          <cell r="EJ187">
            <v>0</v>
          </cell>
          <cell r="EK187">
            <v>0</v>
          </cell>
          <cell r="EL187">
            <v>0</v>
          </cell>
          <cell r="EM187">
            <v>0</v>
          </cell>
          <cell r="EN187">
            <v>0</v>
          </cell>
          <cell r="EO187">
            <v>0</v>
          </cell>
          <cell r="EP187">
            <v>0</v>
          </cell>
          <cell r="EQ187">
            <v>0</v>
          </cell>
          <cell r="ER187">
            <v>0</v>
          </cell>
          <cell r="ES187">
            <v>0</v>
          </cell>
          <cell r="ET187">
            <v>0</v>
          </cell>
          <cell r="EU187">
            <v>0</v>
          </cell>
          <cell r="EV187">
            <v>0</v>
          </cell>
          <cell r="EW187">
            <v>0</v>
          </cell>
          <cell r="EX187">
            <v>0</v>
          </cell>
          <cell r="EY187">
            <v>0</v>
          </cell>
          <cell r="EZ187">
            <v>0</v>
          </cell>
          <cell r="FA187">
            <v>0</v>
          </cell>
          <cell r="FB187">
            <v>0</v>
          </cell>
          <cell r="FC187">
            <v>0</v>
          </cell>
          <cell r="FD187">
            <v>0</v>
          </cell>
          <cell r="FE187">
            <v>0</v>
          </cell>
          <cell r="FF187">
            <v>0</v>
          </cell>
          <cell r="FG187">
            <v>0</v>
          </cell>
          <cell r="FH187">
            <v>0</v>
          </cell>
          <cell r="FI187">
            <v>0</v>
          </cell>
          <cell r="FJ187">
            <v>0</v>
          </cell>
          <cell r="FK187">
            <v>0</v>
          </cell>
          <cell r="FL187">
            <v>0</v>
          </cell>
          <cell r="FM187">
            <v>0</v>
          </cell>
          <cell r="FN187">
            <v>0</v>
          </cell>
          <cell r="FO187">
            <v>0</v>
          </cell>
          <cell r="FP187">
            <v>0</v>
          </cell>
          <cell r="FQ187">
            <v>0</v>
          </cell>
          <cell r="FR187">
            <v>0</v>
          </cell>
          <cell r="FS187">
            <v>0</v>
          </cell>
          <cell r="FT187">
            <v>0</v>
          </cell>
          <cell r="FU187">
            <v>0</v>
          </cell>
          <cell r="FV187">
            <v>0</v>
          </cell>
          <cell r="FW187">
            <v>0</v>
          </cell>
          <cell r="FX187">
            <v>0</v>
          </cell>
          <cell r="FY187">
            <v>0</v>
          </cell>
          <cell r="FZ187">
            <v>0</v>
          </cell>
        </row>
        <row r="188">
          <cell r="B188">
            <v>0</v>
          </cell>
          <cell r="C188">
            <v>0</v>
          </cell>
          <cell r="D188">
            <v>0</v>
          </cell>
          <cell r="E188">
            <v>0</v>
          </cell>
          <cell r="F188">
            <v>0</v>
          </cell>
          <cell r="G188">
            <v>0</v>
          </cell>
          <cell r="H188">
            <v>0</v>
          </cell>
          <cell r="I188">
            <v>0</v>
          </cell>
          <cell r="J188">
            <v>0</v>
          </cell>
          <cell r="K188">
            <v>0</v>
          </cell>
          <cell r="L188">
            <v>0</v>
          </cell>
          <cell r="M188">
            <v>0</v>
          </cell>
          <cell r="N188">
            <v>0</v>
          </cell>
          <cell r="O188">
            <v>0</v>
          </cell>
          <cell r="P188">
            <v>0</v>
          </cell>
          <cell r="Q188">
            <v>0</v>
          </cell>
          <cell r="R188">
            <v>0</v>
          </cell>
          <cell r="S188">
            <v>0</v>
          </cell>
          <cell r="T188">
            <v>0</v>
          </cell>
          <cell r="U188">
            <v>0</v>
          </cell>
          <cell r="V188">
            <v>0</v>
          </cell>
          <cell r="W188">
            <v>0</v>
          </cell>
          <cell r="X188">
            <v>0</v>
          </cell>
          <cell r="Y188">
            <v>0</v>
          </cell>
          <cell r="Z188">
            <v>0</v>
          </cell>
          <cell r="AA188">
            <v>0</v>
          </cell>
          <cell r="AB188">
            <v>0</v>
          </cell>
          <cell r="AC188">
            <v>0</v>
          </cell>
          <cell r="AD188">
            <v>0</v>
          </cell>
          <cell r="AE188">
            <v>0</v>
          </cell>
          <cell r="AF188">
            <v>0</v>
          </cell>
          <cell r="AG188">
            <v>0</v>
          </cell>
          <cell r="AH188">
            <v>0</v>
          </cell>
          <cell r="AI188">
            <v>0</v>
          </cell>
          <cell r="AJ188">
            <v>0</v>
          </cell>
          <cell r="AK188">
            <v>0</v>
          </cell>
          <cell r="AL188">
            <v>0</v>
          </cell>
          <cell r="AM188">
            <v>0</v>
          </cell>
          <cell r="AN188">
            <v>0</v>
          </cell>
          <cell r="AO188">
            <v>0</v>
          </cell>
          <cell r="AP188">
            <v>0</v>
          </cell>
          <cell r="AQ188">
            <v>0</v>
          </cell>
          <cell r="AR188">
            <v>0</v>
          </cell>
          <cell r="AS188">
            <v>0</v>
          </cell>
          <cell r="AT188">
            <v>0</v>
          </cell>
          <cell r="AU188">
            <v>0</v>
          </cell>
          <cell r="AV188">
            <v>0</v>
          </cell>
          <cell r="AW188">
            <v>0</v>
          </cell>
          <cell r="AX188">
            <v>0</v>
          </cell>
          <cell r="AY188">
            <v>0</v>
          </cell>
          <cell r="AZ188">
            <v>0</v>
          </cell>
          <cell r="BA188">
            <v>0</v>
          </cell>
          <cell r="BB188">
            <v>0</v>
          </cell>
          <cell r="BC188">
            <v>0</v>
          </cell>
          <cell r="BD188">
            <v>0</v>
          </cell>
          <cell r="BE188">
            <v>0</v>
          </cell>
          <cell r="BF188">
            <v>0</v>
          </cell>
          <cell r="BG188">
            <v>0</v>
          </cell>
          <cell r="BH188">
            <v>0</v>
          </cell>
          <cell r="BI188">
            <v>0</v>
          </cell>
          <cell r="BJ188">
            <v>0</v>
          </cell>
          <cell r="BK188">
            <v>0</v>
          </cell>
          <cell r="BL188">
            <v>0</v>
          </cell>
          <cell r="BM188">
            <v>0</v>
          </cell>
          <cell r="BN188">
            <v>0</v>
          </cell>
          <cell r="BO188">
            <v>0</v>
          </cell>
          <cell r="BP188">
            <v>0</v>
          </cell>
          <cell r="BQ188">
            <v>0</v>
          </cell>
          <cell r="BR188">
            <v>0</v>
          </cell>
          <cell r="BS188">
            <v>0</v>
          </cell>
          <cell r="BT188">
            <v>0</v>
          </cell>
          <cell r="BU188">
            <v>0</v>
          </cell>
          <cell r="BV188">
            <v>0</v>
          </cell>
          <cell r="BW188">
            <v>0</v>
          </cell>
          <cell r="BX188">
            <v>0</v>
          </cell>
          <cell r="BY188">
            <v>0</v>
          </cell>
          <cell r="BZ188">
            <v>0</v>
          </cell>
          <cell r="CA188">
            <v>0</v>
          </cell>
          <cell r="CB188">
            <v>0</v>
          </cell>
          <cell r="CC188">
            <v>0</v>
          </cell>
          <cell r="CD188">
            <v>0</v>
          </cell>
          <cell r="CE188">
            <v>0</v>
          </cell>
          <cell r="CF188">
            <v>0</v>
          </cell>
          <cell r="CG188">
            <v>0</v>
          </cell>
          <cell r="CH188">
            <v>0</v>
          </cell>
          <cell r="CI188">
            <v>0</v>
          </cell>
          <cell r="CJ188">
            <v>0</v>
          </cell>
          <cell r="CK188">
            <v>0</v>
          </cell>
          <cell r="CL188">
            <v>0</v>
          </cell>
          <cell r="CM188">
            <v>0</v>
          </cell>
          <cell r="CN188">
            <v>0</v>
          </cell>
          <cell r="CO188">
            <v>0</v>
          </cell>
          <cell r="CP188">
            <v>0</v>
          </cell>
          <cell r="CQ188">
            <v>0</v>
          </cell>
          <cell r="CR188">
            <v>0</v>
          </cell>
          <cell r="CS188">
            <v>0</v>
          </cell>
          <cell r="CT188">
            <v>0</v>
          </cell>
          <cell r="CU188">
            <v>0</v>
          </cell>
          <cell r="CV188">
            <v>0</v>
          </cell>
          <cell r="CW188">
            <v>0</v>
          </cell>
          <cell r="CX188">
            <v>0</v>
          </cell>
          <cell r="CY188">
            <v>0</v>
          </cell>
          <cell r="CZ188">
            <v>0</v>
          </cell>
          <cell r="DA188">
            <v>0</v>
          </cell>
          <cell r="DB188">
            <v>0</v>
          </cell>
          <cell r="DC188">
            <v>0</v>
          </cell>
          <cell r="DD188">
            <v>0</v>
          </cell>
          <cell r="DE188">
            <v>0</v>
          </cell>
          <cell r="DF188">
            <v>0</v>
          </cell>
          <cell r="DG188">
            <v>0</v>
          </cell>
          <cell r="DH188">
            <v>0</v>
          </cell>
          <cell r="DI188">
            <v>0</v>
          </cell>
          <cell r="DJ188">
            <v>0</v>
          </cell>
          <cell r="DK188">
            <v>0</v>
          </cell>
          <cell r="DL188">
            <v>0</v>
          </cell>
          <cell r="DM188">
            <v>0</v>
          </cell>
          <cell r="DN188">
            <v>0</v>
          </cell>
          <cell r="DO188">
            <v>0</v>
          </cell>
          <cell r="DP188">
            <v>0</v>
          </cell>
          <cell r="DQ188">
            <v>0</v>
          </cell>
          <cell r="DR188">
            <v>0</v>
          </cell>
          <cell r="DS188">
            <v>0</v>
          </cell>
          <cell r="DT188">
            <v>0</v>
          </cell>
          <cell r="DU188">
            <v>0</v>
          </cell>
          <cell r="DV188">
            <v>0</v>
          </cell>
          <cell r="DW188">
            <v>0</v>
          </cell>
          <cell r="DX188">
            <v>0</v>
          </cell>
          <cell r="DY188">
            <v>0</v>
          </cell>
          <cell r="DZ188">
            <v>0</v>
          </cell>
          <cell r="EA188">
            <v>0</v>
          </cell>
          <cell r="EB188">
            <v>0</v>
          </cell>
          <cell r="EC188">
            <v>0</v>
          </cell>
          <cell r="ED188">
            <v>0</v>
          </cell>
          <cell r="EE188">
            <v>0</v>
          </cell>
          <cell r="EF188">
            <v>0</v>
          </cell>
          <cell r="EG188">
            <v>0</v>
          </cell>
          <cell r="EH188">
            <v>0</v>
          </cell>
          <cell r="EI188">
            <v>0</v>
          </cell>
          <cell r="EJ188">
            <v>0</v>
          </cell>
          <cell r="EK188">
            <v>0</v>
          </cell>
          <cell r="EL188">
            <v>0</v>
          </cell>
          <cell r="EM188">
            <v>0</v>
          </cell>
          <cell r="EN188">
            <v>0</v>
          </cell>
          <cell r="EO188">
            <v>0</v>
          </cell>
          <cell r="EP188">
            <v>0</v>
          </cell>
          <cell r="EQ188">
            <v>0</v>
          </cell>
          <cell r="ER188">
            <v>0</v>
          </cell>
          <cell r="ES188">
            <v>0</v>
          </cell>
          <cell r="ET188">
            <v>0</v>
          </cell>
          <cell r="EU188">
            <v>0</v>
          </cell>
          <cell r="EV188">
            <v>0</v>
          </cell>
          <cell r="EW188">
            <v>0</v>
          </cell>
          <cell r="EX188">
            <v>0</v>
          </cell>
          <cell r="EY188">
            <v>0</v>
          </cell>
          <cell r="EZ188">
            <v>0</v>
          </cell>
          <cell r="FA188">
            <v>0</v>
          </cell>
          <cell r="FB188">
            <v>0</v>
          </cell>
          <cell r="FC188">
            <v>0</v>
          </cell>
          <cell r="FD188">
            <v>0</v>
          </cell>
          <cell r="FE188">
            <v>0</v>
          </cell>
          <cell r="FF188">
            <v>0</v>
          </cell>
          <cell r="FG188">
            <v>0</v>
          </cell>
          <cell r="FH188">
            <v>0</v>
          </cell>
          <cell r="FI188">
            <v>0</v>
          </cell>
          <cell r="FJ188">
            <v>0</v>
          </cell>
          <cell r="FK188">
            <v>0</v>
          </cell>
          <cell r="FL188">
            <v>0</v>
          </cell>
          <cell r="FM188">
            <v>0</v>
          </cell>
          <cell r="FN188">
            <v>0</v>
          </cell>
          <cell r="FO188">
            <v>0</v>
          </cell>
          <cell r="FP188">
            <v>0</v>
          </cell>
          <cell r="FQ188">
            <v>0</v>
          </cell>
          <cell r="FR188">
            <v>0</v>
          </cell>
          <cell r="FS188">
            <v>0</v>
          </cell>
          <cell r="FT188">
            <v>0</v>
          </cell>
          <cell r="FU188">
            <v>0</v>
          </cell>
          <cell r="FV188">
            <v>0</v>
          </cell>
          <cell r="FW188">
            <v>0</v>
          </cell>
          <cell r="FX188">
            <v>0</v>
          </cell>
          <cell r="FY188">
            <v>0</v>
          </cell>
          <cell r="FZ188">
            <v>0</v>
          </cell>
        </row>
        <row r="189">
          <cell r="B189">
            <v>0</v>
          </cell>
          <cell r="C189">
            <v>0</v>
          </cell>
          <cell r="D189">
            <v>0</v>
          </cell>
          <cell r="E189">
            <v>0</v>
          </cell>
          <cell r="F189">
            <v>0</v>
          </cell>
          <cell r="G189">
            <v>0</v>
          </cell>
          <cell r="H189">
            <v>0</v>
          </cell>
          <cell r="I189">
            <v>0</v>
          </cell>
          <cell r="J189">
            <v>0</v>
          </cell>
          <cell r="K189">
            <v>0</v>
          </cell>
          <cell r="L189">
            <v>0</v>
          </cell>
          <cell r="M189">
            <v>0</v>
          </cell>
          <cell r="N189">
            <v>0</v>
          </cell>
          <cell r="O189">
            <v>0</v>
          </cell>
          <cell r="P189">
            <v>0</v>
          </cell>
          <cell r="Q189">
            <v>0</v>
          </cell>
          <cell r="R189">
            <v>0</v>
          </cell>
          <cell r="S189">
            <v>0</v>
          </cell>
          <cell r="T189">
            <v>0</v>
          </cell>
          <cell r="U189">
            <v>0</v>
          </cell>
          <cell r="V189">
            <v>0</v>
          </cell>
          <cell r="W189">
            <v>0</v>
          </cell>
          <cell r="X189">
            <v>0</v>
          </cell>
          <cell r="Y189">
            <v>0</v>
          </cell>
          <cell r="Z189">
            <v>0</v>
          </cell>
          <cell r="AA189">
            <v>0</v>
          </cell>
          <cell r="AB189">
            <v>0</v>
          </cell>
          <cell r="AC189">
            <v>0</v>
          </cell>
          <cell r="AD189">
            <v>0</v>
          </cell>
          <cell r="AE189">
            <v>0</v>
          </cell>
          <cell r="AF189">
            <v>0</v>
          </cell>
          <cell r="AG189">
            <v>0</v>
          </cell>
          <cell r="AH189">
            <v>0</v>
          </cell>
          <cell r="AI189">
            <v>0</v>
          </cell>
          <cell r="AJ189">
            <v>0</v>
          </cell>
          <cell r="AK189">
            <v>0</v>
          </cell>
          <cell r="AL189">
            <v>0</v>
          </cell>
          <cell r="AM189">
            <v>0</v>
          </cell>
          <cell r="AN189">
            <v>0</v>
          </cell>
          <cell r="AO189">
            <v>0</v>
          </cell>
          <cell r="AP189">
            <v>0</v>
          </cell>
          <cell r="AQ189">
            <v>0</v>
          </cell>
          <cell r="AR189">
            <v>0</v>
          </cell>
          <cell r="AS189">
            <v>0</v>
          </cell>
          <cell r="AT189">
            <v>0</v>
          </cell>
          <cell r="AU189">
            <v>0</v>
          </cell>
          <cell r="AV189">
            <v>0</v>
          </cell>
          <cell r="AW189">
            <v>0</v>
          </cell>
          <cell r="AX189">
            <v>0</v>
          </cell>
          <cell r="AY189">
            <v>0</v>
          </cell>
          <cell r="AZ189">
            <v>0</v>
          </cell>
          <cell r="BA189">
            <v>0</v>
          </cell>
          <cell r="BB189">
            <v>0</v>
          </cell>
          <cell r="BC189">
            <v>0</v>
          </cell>
          <cell r="BD189">
            <v>0</v>
          </cell>
          <cell r="BE189">
            <v>0</v>
          </cell>
          <cell r="BF189">
            <v>0</v>
          </cell>
          <cell r="BG189">
            <v>0</v>
          </cell>
          <cell r="BH189">
            <v>0</v>
          </cell>
          <cell r="BI189">
            <v>0</v>
          </cell>
          <cell r="BJ189">
            <v>0</v>
          </cell>
          <cell r="BK189">
            <v>0</v>
          </cell>
          <cell r="BL189">
            <v>0</v>
          </cell>
          <cell r="BM189">
            <v>0</v>
          </cell>
          <cell r="BN189">
            <v>0</v>
          </cell>
          <cell r="BO189">
            <v>0</v>
          </cell>
          <cell r="BP189">
            <v>0</v>
          </cell>
          <cell r="BQ189">
            <v>0</v>
          </cell>
          <cell r="BR189">
            <v>0</v>
          </cell>
          <cell r="BS189">
            <v>0</v>
          </cell>
          <cell r="BT189">
            <v>0</v>
          </cell>
          <cell r="BU189">
            <v>0</v>
          </cell>
          <cell r="BV189">
            <v>0</v>
          </cell>
          <cell r="BW189">
            <v>0</v>
          </cell>
          <cell r="BX189">
            <v>0</v>
          </cell>
          <cell r="BY189">
            <v>0</v>
          </cell>
          <cell r="BZ189">
            <v>0</v>
          </cell>
          <cell r="CA189">
            <v>0</v>
          </cell>
          <cell r="CB189">
            <v>0</v>
          </cell>
          <cell r="CC189">
            <v>0</v>
          </cell>
          <cell r="CD189">
            <v>0</v>
          </cell>
          <cell r="CE189">
            <v>0</v>
          </cell>
          <cell r="CF189">
            <v>0</v>
          </cell>
          <cell r="CG189">
            <v>0</v>
          </cell>
          <cell r="CH189">
            <v>0</v>
          </cell>
          <cell r="CI189">
            <v>0</v>
          </cell>
          <cell r="CJ189">
            <v>0</v>
          </cell>
          <cell r="CK189">
            <v>0</v>
          </cell>
          <cell r="CL189">
            <v>0</v>
          </cell>
          <cell r="CM189">
            <v>0</v>
          </cell>
          <cell r="CN189">
            <v>0</v>
          </cell>
          <cell r="CO189">
            <v>0</v>
          </cell>
          <cell r="CP189">
            <v>0</v>
          </cell>
          <cell r="CQ189">
            <v>0</v>
          </cell>
          <cell r="CR189">
            <v>0</v>
          </cell>
          <cell r="CS189">
            <v>0</v>
          </cell>
          <cell r="CT189">
            <v>0</v>
          </cell>
          <cell r="CU189">
            <v>0</v>
          </cell>
          <cell r="CV189">
            <v>0</v>
          </cell>
          <cell r="CW189">
            <v>0</v>
          </cell>
          <cell r="CX189">
            <v>0</v>
          </cell>
          <cell r="CY189">
            <v>0</v>
          </cell>
          <cell r="CZ189">
            <v>0</v>
          </cell>
          <cell r="DA189">
            <v>0</v>
          </cell>
          <cell r="DB189">
            <v>0</v>
          </cell>
          <cell r="DC189">
            <v>0</v>
          </cell>
          <cell r="DD189">
            <v>0</v>
          </cell>
          <cell r="DE189">
            <v>0</v>
          </cell>
          <cell r="DF189">
            <v>0</v>
          </cell>
          <cell r="DG189">
            <v>0</v>
          </cell>
          <cell r="DH189">
            <v>0</v>
          </cell>
          <cell r="DI189">
            <v>0</v>
          </cell>
          <cell r="DJ189">
            <v>0</v>
          </cell>
          <cell r="DK189">
            <v>0</v>
          </cell>
          <cell r="DL189">
            <v>0</v>
          </cell>
          <cell r="DM189">
            <v>0</v>
          </cell>
          <cell r="DN189">
            <v>0</v>
          </cell>
          <cell r="DO189">
            <v>0</v>
          </cell>
          <cell r="DP189">
            <v>0</v>
          </cell>
          <cell r="DQ189">
            <v>0</v>
          </cell>
          <cell r="DR189">
            <v>0</v>
          </cell>
          <cell r="DS189">
            <v>0</v>
          </cell>
          <cell r="DT189">
            <v>0</v>
          </cell>
          <cell r="DU189">
            <v>0</v>
          </cell>
          <cell r="DV189">
            <v>0</v>
          </cell>
          <cell r="DW189">
            <v>0</v>
          </cell>
          <cell r="DX189">
            <v>0</v>
          </cell>
          <cell r="DY189">
            <v>0</v>
          </cell>
          <cell r="DZ189">
            <v>0</v>
          </cell>
          <cell r="EA189">
            <v>0</v>
          </cell>
          <cell r="EB189">
            <v>0</v>
          </cell>
          <cell r="EC189">
            <v>0</v>
          </cell>
          <cell r="ED189">
            <v>0</v>
          </cell>
          <cell r="EE189">
            <v>0</v>
          </cell>
          <cell r="EF189">
            <v>0</v>
          </cell>
          <cell r="EG189">
            <v>0</v>
          </cell>
          <cell r="EH189">
            <v>0</v>
          </cell>
          <cell r="EI189">
            <v>0</v>
          </cell>
          <cell r="EJ189">
            <v>0</v>
          </cell>
          <cell r="EK189">
            <v>0</v>
          </cell>
          <cell r="EL189">
            <v>0</v>
          </cell>
          <cell r="EM189">
            <v>0</v>
          </cell>
          <cell r="EN189">
            <v>0</v>
          </cell>
          <cell r="EO189">
            <v>0</v>
          </cell>
          <cell r="EP189">
            <v>0</v>
          </cell>
          <cell r="EQ189">
            <v>0</v>
          </cell>
          <cell r="ER189">
            <v>0</v>
          </cell>
          <cell r="ES189">
            <v>0</v>
          </cell>
          <cell r="ET189">
            <v>0</v>
          </cell>
          <cell r="EU189">
            <v>0</v>
          </cell>
          <cell r="EV189">
            <v>0</v>
          </cell>
          <cell r="EW189">
            <v>0</v>
          </cell>
          <cell r="EX189">
            <v>0</v>
          </cell>
          <cell r="EY189">
            <v>0</v>
          </cell>
          <cell r="EZ189">
            <v>0</v>
          </cell>
          <cell r="FA189">
            <v>0</v>
          </cell>
          <cell r="FB189">
            <v>0</v>
          </cell>
          <cell r="FC189">
            <v>0</v>
          </cell>
          <cell r="FD189">
            <v>0</v>
          </cell>
          <cell r="FE189">
            <v>0</v>
          </cell>
          <cell r="FF189">
            <v>0</v>
          </cell>
          <cell r="FG189">
            <v>0</v>
          </cell>
          <cell r="FH189">
            <v>0</v>
          </cell>
          <cell r="FI189">
            <v>0</v>
          </cell>
          <cell r="FJ189">
            <v>0</v>
          </cell>
          <cell r="FK189">
            <v>0</v>
          </cell>
          <cell r="FL189">
            <v>0</v>
          </cell>
          <cell r="FM189">
            <v>0</v>
          </cell>
          <cell r="FN189">
            <v>0</v>
          </cell>
          <cell r="FO189">
            <v>0</v>
          </cell>
          <cell r="FP189">
            <v>0</v>
          </cell>
          <cell r="FQ189">
            <v>0</v>
          </cell>
          <cell r="FR189">
            <v>0</v>
          </cell>
          <cell r="FS189">
            <v>0</v>
          </cell>
          <cell r="FT189">
            <v>0</v>
          </cell>
          <cell r="FU189">
            <v>0</v>
          </cell>
          <cell r="FV189">
            <v>0</v>
          </cell>
          <cell r="FW189">
            <v>0</v>
          </cell>
          <cell r="FX189">
            <v>0</v>
          </cell>
          <cell r="FY189">
            <v>0</v>
          </cell>
          <cell r="FZ189">
            <v>0</v>
          </cell>
        </row>
        <row r="190">
          <cell r="B190">
            <v>0</v>
          </cell>
          <cell r="C190">
            <v>0</v>
          </cell>
          <cell r="D190">
            <v>0</v>
          </cell>
          <cell r="E190">
            <v>0</v>
          </cell>
          <cell r="F190">
            <v>0</v>
          </cell>
          <cell r="G190">
            <v>0</v>
          </cell>
          <cell r="H190">
            <v>0</v>
          </cell>
          <cell r="I190">
            <v>0</v>
          </cell>
          <cell r="J190">
            <v>0</v>
          </cell>
          <cell r="K190">
            <v>0</v>
          </cell>
          <cell r="L190">
            <v>0</v>
          </cell>
          <cell r="M190">
            <v>0</v>
          </cell>
          <cell r="N190">
            <v>0</v>
          </cell>
          <cell r="O190">
            <v>0</v>
          </cell>
          <cell r="P190">
            <v>0</v>
          </cell>
          <cell r="Q190">
            <v>0</v>
          </cell>
          <cell r="R190">
            <v>0</v>
          </cell>
          <cell r="S190">
            <v>0</v>
          </cell>
          <cell r="T190">
            <v>0</v>
          </cell>
          <cell r="U190">
            <v>0</v>
          </cell>
          <cell r="V190">
            <v>0</v>
          </cell>
          <cell r="W190">
            <v>0</v>
          </cell>
          <cell r="X190">
            <v>0</v>
          </cell>
          <cell r="Y190">
            <v>0</v>
          </cell>
          <cell r="Z190">
            <v>0</v>
          </cell>
          <cell r="AA190">
            <v>0</v>
          </cell>
          <cell r="AB190">
            <v>0</v>
          </cell>
          <cell r="AC190">
            <v>0</v>
          </cell>
          <cell r="AD190">
            <v>0</v>
          </cell>
          <cell r="AE190">
            <v>0</v>
          </cell>
          <cell r="AF190">
            <v>0</v>
          </cell>
          <cell r="AG190">
            <v>0</v>
          </cell>
          <cell r="AH190">
            <v>0</v>
          </cell>
          <cell r="AI190">
            <v>0</v>
          </cell>
          <cell r="AJ190">
            <v>0</v>
          </cell>
          <cell r="AK190">
            <v>0</v>
          </cell>
          <cell r="AL190">
            <v>0</v>
          </cell>
          <cell r="AM190">
            <v>0</v>
          </cell>
          <cell r="AN190">
            <v>0</v>
          </cell>
          <cell r="AO190">
            <v>0</v>
          </cell>
          <cell r="AP190">
            <v>0</v>
          </cell>
          <cell r="AQ190">
            <v>0</v>
          </cell>
          <cell r="AR190">
            <v>0</v>
          </cell>
          <cell r="AS190">
            <v>0</v>
          </cell>
          <cell r="AT190">
            <v>0</v>
          </cell>
          <cell r="AU190">
            <v>0</v>
          </cell>
          <cell r="AV190">
            <v>0</v>
          </cell>
          <cell r="AW190">
            <v>0</v>
          </cell>
          <cell r="AX190">
            <v>0</v>
          </cell>
          <cell r="AY190">
            <v>0</v>
          </cell>
          <cell r="AZ190">
            <v>0</v>
          </cell>
          <cell r="BA190">
            <v>0</v>
          </cell>
          <cell r="BB190">
            <v>0</v>
          </cell>
          <cell r="BC190">
            <v>0</v>
          </cell>
          <cell r="BD190">
            <v>0</v>
          </cell>
          <cell r="BE190">
            <v>0</v>
          </cell>
          <cell r="BF190">
            <v>0</v>
          </cell>
          <cell r="BG190">
            <v>0</v>
          </cell>
          <cell r="BH190">
            <v>0</v>
          </cell>
          <cell r="BI190">
            <v>0</v>
          </cell>
          <cell r="BJ190">
            <v>0</v>
          </cell>
          <cell r="BK190">
            <v>0</v>
          </cell>
          <cell r="BL190">
            <v>0</v>
          </cell>
          <cell r="BM190">
            <v>0</v>
          </cell>
          <cell r="BN190">
            <v>0</v>
          </cell>
          <cell r="BO190">
            <v>0</v>
          </cell>
          <cell r="BP190">
            <v>0</v>
          </cell>
          <cell r="BQ190">
            <v>0</v>
          </cell>
          <cell r="BR190">
            <v>0</v>
          </cell>
          <cell r="BS190">
            <v>0</v>
          </cell>
          <cell r="BT190">
            <v>0</v>
          </cell>
          <cell r="BU190">
            <v>0</v>
          </cell>
          <cell r="BV190">
            <v>0</v>
          </cell>
          <cell r="BW190">
            <v>0</v>
          </cell>
          <cell r="BX190">
            <v>0</v>
          </cell>
          <cell r="BY190">
            <v>0</v>
          </cell>
          <cell r="BZ190">
            <v>0</v>
          </cell>
          <cell r="CA190">
            <v>0</v>
          </cell>
          <cell r="CB190">
            <v>0</v>
          </cell>
          <cell r="CC190">
            <v>0</v>
          </cell>
          <cell r="CD190">
            <v>0</v>
          </cell>
          <cell r="CE190">
            <v>0</v>
          </cell>
          <cell r="CF190">
            <v>0</v>
          </cell>
          <cell r="CG190">
            <v>0</v>
          </cell>
          <cell r="CH190">
            <v>0</v>
          </cell>
          <cell r="CI190">
            <v>0</v>
          </cell>
          <cell r="CJ190">
            <v>0</v>
          </cell>
          <cell r="CK190">
            <v>0</v>
          </cell>
          <cell r="CL190">
            <v>0</v>
          </cell>
          <cell r="CM190">
            <v>0</v>
          </cell>
          <cell r="CN190">
            <v>0</v>
          </cell>
          <cell r="CO190">
            <v>0</v>
          </cell>
          <cell r="CP190">
            <v>0</v>
          </cell>
          <cell r="CQ190">
            <v>0</v>
          </cell>
          <cell r="CR190">
            <v>0</v>
          </cell>
          <cell r="CS190">
            <v>0</v>
          </cell>
          <cell r="CT190">
            <v>0</v>
          </cell>
          <cell r="CU190">
            <v>0</v>
          </cell>
          <cell r="CV190">
            <v>0</v>
          </cell>
          <cell r="CW190">
            <v>0</v>
          </cell>
          <cell r="CX190">
            <v>0</v>
          </cell>
          <cell r="CY190">
            <v>0</v>
          </cell>
          <cell r="CZ190">
            <v>0</v>
          </cell>
          <cell r="DA190">
            <v>0</v>
          </cell>
          <cell r="DB190">
            <v>0</v>
          </cell>
          <cell r="DC190">
            <v>0</v>
          </cell>
          <cell r="DD190">
            <v>0</v>
          </cell>
          <cell r="DE190">
            <v>0</v>
          </cell>
          <cell r="DF190">
            <v>0</v>
          </cell>
          <cell r="DG190">
            <v>0</v>
          </cell>
          <cell r="DH190">
            <v>0</v>
          </cell>
          <cell r="DI190">
            <v>0</v>
          </cell>
          <cell r="DJ190">
            <v>0</v>
          </cell>
          <cell r="DK190">
            <v>0</v>
          </cell>
          <cell r="DL190">
            <v>0</v>
          </cell>
          <cell r="DM190">
            <v>0</v>
          </cell>
          <cell r="DN190">
            <v>0</v>
          </cell>
          <cell r="DO190">
            <v>0</v>
          </cell>
          <cell r="DP190">
            <v>0</v>
          </cell>
          <cell r="DQ190">
            <v>0</v>
          </cell>
          <cell r="DR190">
            <v>0</v>
          </cell>
          <cell r="DS190">
            <v>0</v>
          </cell>
          <cell r="DT190">
            <v>0</v>
          </cell>
          <cell r="DU190">
            <v>0</v>
          </cell>
          <cell r="DV190">
            <v>0</v>
          </cell>
          <cell r="DW190">
            <v>0</v>
          </cell>
          <cell r="DX190">
            <v>0</v>
          </cell>
          <cell r="DY190">
            <v>0</v>
          </cell>
          <cell r="DZ190">
            <v>0</v>
          </cell>
          <cell r="EA190">
            <v>0</v>
          </cell>
          <cell r="EB190">
            <v>0</v>
          </cell>
          <cell r="EC190">
            <v>0</v>
          </cell>
          <cell r="ED190">
            <v>0</v>
          </cell>
          <cell r="EE190">
            <v>0</v>
          </cell>
          <cell r="EF190">
            <v>0</v>
          </cell>
          <cell r="EG190">
            <v>0</v>
          </cell>
          <cell r="EH190">
            <v>0</v>
          </cell>
          <cell r="EI190">
            <v>0</v>
          </cell>
          <cell r="EJ190">
            <v>0</v>
          </cell>
          <cell r="EK190">
            <v>0</v>
          </cell>
          <cell r="EL190">
            <v>0</v>
          </cell>
          <cell r="EM190">
            <v>0</v>
          </cell>
          <cell r="EN190">
            <v>0</v>
          </cell>
          <cell r="EO190">
            <v>0</v>
          </cell>
          <cell r="EP190">
            <v>0</v>
          </cell>
          <cell r="EQ190">
            <v>0</v>
          </cell>
          <cell r="ER190">
            <v>0</v>
          </cell>
          <cell r="ES190">
            <v>0</v>
          </cell>
          <cell r="ET190">
            <v>0</v>
          </cell>
          <cell r="EU190">
            <v>0</v>
          </cell>
          <cell r="EV190">
            <v>0</v>
          </cell>
          <cell r="EW190">
            <v>0</v>
          </cell>
          <cell r="EX190">
            <v>0</v>
          </cell>
          <cell r="EY190">
            <v>0</v>
          </cell>
          <cell r="EZ190">
            <v>0</v>
          </cell>
          <cell r="FA190">
            <v>0</v>
          </cell>
          <cell r="FB190">
            <v>0</v>
          </cell>
          <cell r="FC190">
            <v>0</v>
          </cell>
          <cell r="FD190">
            <v>0</v>
          </cell>
          <cell r="FE190">
            <v>0</v>
          </cell>
          <cell r="FF190">
            <v>0</v>
          </cell>
          <cell r="FG190">
            <v>0</v>
          </cell>
          <cell r="FH190">
            <v>0</v>
          </cell>
          <cell r="FI190">
            <v>0</v>
          </cell>
          <cell r="FJ190">
            <v>0</v>
          </cell>
          <cell r="FK190">
            <v>0</v>
          </cell>
          <cell r="FL190">
            <v>0</v>
          </cell>
          <cell r="FM190">
            <v>0</v>
          </cell>
          <cell r="FN190">
            <v>0</v>
          </cell>
          <cell r="FO190">
            <v>0</v>
          </cell>
          <cell r="FP190">
            <v>0</v>
          </cell>
          <cell r="FQ190">
            <v>0</v>
          </cell>
          <cell r="FR190">
            <v>0</v>
          </cell>
          <cell r="FS190">
            <v>0</v>
          </cell>
          <cell r="FT190">
            <v>0</v>
          </cell>
          <cell r="FU190">
            <v>0</v>
          </cell>
          <cell r="FV190">
            <v>0</v>
          </cell>
          <cell r="FW190">
            <v>0</v>
          </cell>
          <cell r="FX190">
            <v>0</v>
          </cell>
          <cell r="FY190">
            <v>0</v>
          </cell>
          <cell r="FZ190">
            <v>0</v>
          </cell>
        </row>
        <row r="191">
          <cell r="B191">
            <v>0</v>
          </cell>
          <cell r="C191">
            <v>0</v>
          </cell>
          <cell r="D191">
            <v>0</v>
          </cell>
          <cell r="E191">
            <v>0</v>
          </cell>
          <cell r="F191">
            <v>0</v>
          </cell>
          <cell r="G191">
            <v>0</v>
          </cell>
          <cell r="H191">
            <v>0</v>
          </cell>
          <cell r="I191">
            <v>0</v>
          </cell>
          <cell r="J191">
            <v>0</v>
          </cell>
          <cell r="K191">
            <v>0</v>
          </cell>
          <cell r="L191">
            <v>0</v>
          </cell>
          <cell r="M191">
            <v>0</v>
          </cell>
          <cell r="N191">
            <v>0</v>
          </cell>
          <cell r="O191">
            <v>0</v>
          </cell>
          <cell r="P191">
            <v>0</v>
          </cell>
          <cell r="Q191">
            <v>0</v>
          </cell>
          <cell r="R191">
            <v>0</v>
          </cell>
          <cell r="S191">
            <v>0</v>
          </cell>
          <cell r="T191">
            <v>0</v>
          </cell>
          <cell r="U191">
            <v>0</v>
          </cell>
          <cell r="V191">
            <v>0</v>
          </cell>
          <cell r="W191">
            <v>0</v>
          </cell>
          <cell r="X191">
            <v>0</v>
          </cell>
          <cell r="Y191">
            <v>0</v>
          </cell>
          <cell r="Z191">
            <v>0</v>
          </cell>
          <cell r="AA191">
            <v>0</v>
          </cell>
          <cell r="AB191">
            <v>0</v>
          </cell>
          <cell r="AC191">
            <v>0</v>
          </cell>
          <cell r="AD191">
            <v>0</v>
          </cell>
          <cell r="AE191">
            <v>0</v>
          </cell>
          <cell r="AF191">
            <v>0</v>
          </cell>
          <cell r="AG191">
            <v>0</v>
          </cell>
          <cell r="AH191">
            <v>0</v>
          </cell>
          <cell r="AI191">
            <v>0</v>
          </cell>
          <cell r="AJ191">
            <v>0</v>
          </cell>
          <cell r="AK191">
            <v>0</v>
          </cell>
          <cell r="AL191">
            <v>0</v>
          </cell>
          <cell r="AM191">
            <v>0</v>
          </cell>
          <cell r="AN191">
            <v>0</v>
          </cell>
          <cell r="AO191">
            <v>0</v>
          </cell>
          <cell r="AP191">
            <v>0</v>
          </cell>
          <cell r="AQ191">
            <v>0</v>
          </cell>
          <cell r="AR191">
            <v>0</v>
          </cell>
          <cell r="AS191">
            <v>0</v>
          </cell>
          <cell r="AT191">
            <v>0</v>
          </cell>
          <cell r="AU191">
            <v>0</v>
          </cell>
          <cell r="AV191">
            <v>0</v>
          </cell>
          <cell r="AW191">
            <v>0</v>
          </cell>
          <cell r="AX191">
            <v>0</v>
          </cell>
          <cell r="AY191">
            <v>0</v>
          </cell>
          <cell r="AZ191">
            <v>0</v>
          </cell>
          <cell r="BA191">
            <v>0</v>
          </cell>
          <cell r="BB191">
            <v>0</v>
          </cell>
          <cell r="BC191">
            <v>0</v>
          </cell>
          <cell r="BD191">
            <v>0</v>
          </cell>
          <cell r="BE191">
            <v>0</v>
          </cell>
          <cell r="BF191">
            <v>0</v>
          </cell>
          <cell r="BG191">
            <v>0</v>
          </cell>
          <cell r="BH191">
            <v>0</v>
          </cell>
          <cell r="BI191">
            <v>0</v>
          </cell>
          <cell r="BJ191">
            <v>0</v>
          </cell>
          <cell r="BK191">
            <v>0</v>
          </cell>
          <cell r="BL191">
            <v>0</v>
          </cell>
          <cell r="BM191">
            <v>0</v>
          </cell>
          <cell r="BN191">
            <v>0</v>
          </cell>
          <cell r="BO191">
            <v>0</v>
          </cell>
          <cell r="BP191">
            <v>0</v>
          </cell>
          <cell r="BQ191">
            <v>0</v>
          </cell>
          <cell r="BR191">
            <v>0</v>
          </cell>
          <cell r="BS191">
            <v>0</v>
          </cell>
          <cell r="BT191">
            <v>0</v>
          </cell>
          <cell r="BU191">
            <v>0</v>
          </cell>
          <cell r="BV191">
            <v>0</v>
          </cell>
          <cell r="BW191">
            <v>0</v>
          </cell>
          <cell r="BX191">
            <v>0</v>
          </cell>
          <cell r="BY191">
            <v>0</v>
          </cell>
          <cell r="BZ191">
            <v>0</v>
          </cell>
          <cell r="CA191">
            <v>0</v>
          </cell>
          <cell r="CB191">
            <v>0</v>
          </cell>
          <cell r="CC191">
            <v>0</v>
          </cell>
          <cell r="CD191">
            <v>0</v>
          </cell>
          <cell r="CE191">
            <v>0</v>
          </cell>
          <cell r="CF191">
            <v>0</v>
          </cell>
          <cell r="CG191">
            <v>0</v>
          </cell>
          <cell r="CH191">
            <v>0</v>
          </cell>
          <cell r="CI191">
            <v>0</v>
          </cell>
          <cell r="CJ191">
            <v>0</v>
          </cell>
          <cell r="CK191">
            <v>0</v>
          </cell>
          <cell r="CL191">
            <v>0</v>
          </cell>
          <cell r="CM191">
            <v>0</v>
          </cell>
          <cell r="CN191">
            <v>0</v>
          </cell>
          <cell r="CO191">
            <v>0</v>
          </cell>
          <cell r="CP191">
            <v>0</v>
          </cell>
          <cell r="CQ191">
            <v>0</v>
          </cell>
          <cell r="CR191">
            <v>0</v>
          </cell>
          <cell r="CS191">
            <v>0</v>
          </cell>
          <cell r="CT191">
            <v>0</v>
          </cell>
          <cell r="CU191">
            <v>0</v>
          </cell>
          <cell r="CV191">
            <v>0</v>
          </cell>
          <cell r="CW191">
            <v>0</v>
          </cell>
          <cell r="CX191">
            <v>0</v>
          </cell>
          <cell r="CY191">
            <v>0</v>
          </cell>
          <cell r="CZ191">
            <v>0</v>
          </cell>
          <cell r="DA191">
            <v>0</v>
          </cell>
          <cell r="DB191">
            <v>0</v>
          </cell>
          <cell r="DC191">
            <v>0</v>
          </cell>
          <cell r="DD191">
            <v>0</v>
          </cell>
          <cell r="DE191">
            <v>0</v>
          </cell>
          <cell r="DF191">
            <v>0</v>
          </cell>
          <cell r="DG191">
            <v>0</v>
          </cell>
          <cell r="DH191">
            <v>0</v>
          </cell>
          <cell r="DI191">
            <v>0</v>
          </cell>
          <cell r="DJ191">
            <v>0</v>
          </cell>
          <cell r="DK191">
            <v>0</v>
          </cell>
          <cell r="DL191">
            <v>0</v>
          </cell>
          <cell r="DM191">
            <v>0</v>
          </cell>
          <cell r="DN191">
            <v>0</v>
          </cell>
          <cell r="DO191">
            <v>0</v>
          </cell>
          <cell r="DP191">
            <v>0</v>
          </cell>
          <cell r="DQ191">
            <v>0</v>
          </cell>
          <cell r="DR191">
            <v>0</v>
          </cell>
          <cell r="DS191">
            <v>0</v>
          </cell>
          <cell r="DT191">
            <v>0</v>
          </cell>
          <cell r="DU191">
            <v>0</v>
          </cell>
          <cell r="DV191">
            <v>0</v>
          </cell>
          <cell r="DW191">
            <v>0</v>
          </cell>
          <cell r="DX191">
            <v>0</v>
          </cell>
          <cell r="DY191">
            <v>0</v>
          </cell>
          <cell r="DZ191">
            <v>0</v>
          </cell>
          <cell r="EA191">
            <v>0</v>
          </cell>
          <cell r="EB191">
            <v>0</v>
          </cell>
          <cell r="EC191">
            <v>0</v>
          </cell>
          <cell r="ED191">
            <v>0</v>
          </cell>
          <cell r="EE191">
            <v>0</v>
          </cell>
          <cell r="EF191">
            <v>0</v>
          </cell>
          <cell r="EG191">
            <v>0</v>
          </cell>
          <cell r="EH191">
            <v>0</v>
          </cell>
          <cell r="EI191">
            <v>0</v>
          </cell>
          <cell r="EJ191">
            <v>0</v>
          </cell>
          <cell r="EK191">
            <v>0</v>
          </cell>
          <cell r="EL191">
            <v>0</v>
          </cell>
          <cell r="EM191">
            <v>0</v>
          </cell>
          <cell r="EN191">
            <v>0</v>
          </cell>
          <cell r="EO191">
            <v>0</v>
          </cell>
          <cell r="EP191">
            <v>0</v>
          </cell>
          <cell r="EQ191">
            <v>0</v>
          </cell>
          <cell r="ER191">
            <v>0</v>
          </cell>
          <cell r="ES191">
            <v>0</v>
          </cell>
          <cell r="ET191">
            <v>0</v>
          </cell>
          <cell r="EU191">
            <v>0</v>
          </cell>
          <cell r="EV191">
            <v>0</v>
          </cell>
          <cell r="EW191">
            <v>0</v>
          </cell>
          <cell r="EX191">
            <v>0</v>
          </cell>
          <cell r="EY191">
            <v>0</v>
          </cell>
          <cell r="EZ191">
            <v>0</v>
          </cell>
          <cell r="FA191">
            <v>0</v>
          </cell>
          <cell r="FB191">
            <v>0</v>
          </cell>
          <cell r="FC191">
            <v>0</v>
          </cell>
          <cell r="FD191">
            <v>0</v>
          </cell>
          <cell r="FE191">
            <v>0</v>
          </cell>
          <cell r="FF191">
            <v>0</v>
          </cell>
          <cell r="FG191">
            <v>0</v>
          </cell>
          <cell r="FH191">
            <v>0</v>
          </cell>
          <cell r="FI191">
            <v>0</v>
          </cell>
          <cell r="FJ191">
            <v>0</v>
          </cell>
          <cell r="FK191">
            <v>0</v>
          </cell>
          <cell r="FL191">
            <v>0</v>
          </cell>
          <cell r="FM191">
            <v>0</v>
          </cell>
          <cell r="FN191">
            <v>0</v>
          </cell>
          <cell r="FO191">
            <v>0</v>
          </cell>
          <cell r="FP191">
            <v>0</v>
          </cell>
          <cell r="FQ191">
            <v>0</v>
          </cell>
          <cell r="FR191">
            <v>0</v>
          </cell>
          <cell r="FS191">
            <v>0</v>
          </cell>
          <cell r="FT191">
            <v>0</v>
          </cell>
          <cell r="FU191">
            <v>0</v>
          </cell>
          <cell r="FV191">
            <v>0</v>
          </cell>
          <cell r="FW191">
            <v>0</v>
          </cell>
          <cell r="FX191">
            <v>0</v>
          </cell>
          <cell r="FY191">
            <v>0</v>
          </cell>
          <cell r="FZ191">
            <v>0</v>
          </cell>
        </row>
        <row r="192">
          <cell r="B192">
            <v>0</v>
          </cell>
          <cell r="C192">
            <v>0</v>
          </cell>
          <cell r="D192">
            <v>0</v>
          </cell>
          <cell r="E192">
            <v>0</v>
          </cell>
          <cell r="F192">
            <v>0</v>
          </cell>
          <cell r="G192">
            <v>0</v>
          </cell>
          <cell r="H192">
            <v>0</v>
          </cell>
          <cell r="I192">
            <v>0</v>
          </cell>
          <cell r="J192">
            <v>0</v>
          </cell>
          <cell r="K192">
            <v>0</v>
          </cell>
          <cell r="L192">
            <v>0</v>
          </cell>
          <cell r="M192">
            <v>0</v>
          </cell>
          <cell r="N192">
            <v>0</v>
          </cell>
          <cell r="O192">
            <v>0</v>
          </cell>
          <cell r="P192">
            <v>0</v>
          </cell>
          <cell r="Q192">
            <v>0</v>
          </cell>
          <cell r="R192">
            <v>0</v>
          </cell>
          <cell r="S192">
            <v>0</v>
          </cell>
          <cell r="T192">
            <v>0</v>
          </cell>
          <cell r="U192">
            <v>0</v>
          </cell>
          <cell r="V192">
            <v>0</v>
          </cell>
          <cell r="W192">
            <v>0</v>
          </cell>
          <cell r="X192">
            <v>0</v>
          </cell>
          <cell r="Y192">
            <v>0</v>
          </cell>
          <cell r="Z192">
            <v>0</v>
          </cell>
          <cell r="AA192">
            <v>0</v>
          </cell>
          <cell r="AB192">
            <v>0</v>
          </cell>
          <cell r="AC192">
            <v>0</v>
          </cell>
          <cell r="AD192">
            <v>0</v>
          </cell>
          <cell r="AE192">
            <v>0</v>
          </cell>
          <cell r="AF192">
            <v>0</v>
          </cell>
          <cell r="AG192">
            <v>0</v>
          </cell>
          <cell r="AH192">
            <v>0</v>
          </cell>
          <cell r="AI192">
            <v>0</v>
          </cell>
          <cell r="AJ192">
            <v>0</v>
          </cell>
          <cell r="AK192">
            <v>0</v>
          </cell>
          <cell r="AL192">
            <v>0</v>
          </cell>
          <cell r="AM192">
            <v>0</v>
          </cell>
          <cell r="AN192">
            <v>0</v>
          </cell>
          <cell r="AO192">
            <v>0</v>
          </cell>
          <cell r="AP192">
            <v>0</v>
          </cell>
          <cell r="AQ192">
            <v>0</v>
          </cell>
          <cell r="AR192">
            <v>0</v>
          </cell>
          <cell r="AS192">
            <v>0</v>
          </cell>
          <cell r="AT192">
            <v>0</v>
          </cell>
          <cell r="AU192">
            <v>0</v>
          </cell>
          <cell r="AV192">
            <v>0</v>
          </cell>
          <cell r="AW192">
            <v>0</v>
          </cell>
          <cell r="AX192">
            <v>0</v>
          </cell>
          <cell r="AY192">
            <v>0</v>
          </cell>
          <cell r="AZ192">
            <v>0</v>
          </cell>
          <cell r="BA192">
            <v>0</v>
          </cell>
          <cell r="BB192">
            <v>0</v>
          </cell>
          <cell r="BC192">
            <v>0</v>
          </cell>
          <cell r="BD192">
            <v>0</v>
          </cell>
          <cell r="BE192">
            <v>0</v>
          </cell>
          <cell r="BF192">
            <v>0</v>
          </cell>
          <cell r="BG192">
            <v>0</v>
          </cell>
          <cell r="BH192">
            <v>0</v>
          </cell>
          <cell r="BI192">
            <v>0</v>
          </cell>
          <cell r="BJ192">
            <v>0</v>
          </cell>
          <cell r="BK192">
            <v>0</v>
          </cell>
          <cell r="BL192">
            <v>0</v>
          </cell>
          <cell r="BM192">
            <v>0</v>
          </cell>
          <cell r="BN192">
            <v>0</v>
          </cell>
          <cell r="BO192">
            <v>0</v>
          </cell>
          <cell r="BP192">
            <v>0</v>
          </cell>
          <cell r="BQ192">
            <v>0</v>
          </cell>
          <cell r="BR192">
            <v>0</v>
          </cell>
          <cell r="BS192">
            <v>0</v>
          </cell>
          <cell r="BT192">
            <v>0</v>
          </cell>
          <cell r="BU192">
            <v>0</v>
          </cell>
          <cell r="BV192">
            <v>0</v>
          </cell>
          <cell r="BW192">
            <v>0</v>
          </cell>
          <cell r="BX192">
            <v>0</v>
          </cell>
          <cell r="BY192">
            <v>0</v>
          </cell>
          <cell r="BZ192">
            <v>0</v>
          </cell>
          <cell r="CA192">
            <v>0</v>
          </cell>
          <cell r="CB192">
            <v>0</v>
          </cell>
          <cell r="CC192">
            <v>0</v>
          </cell>
          <cell r="CD192">
            <v>0</v>
          </cell>
          <cell r="CE192">
            <v>0</v>
          </cell>
          <cell r="CF192">
            <v>0</v>
          </cell>
          <cell r="CG192">
            <v>0</v>
          </cell>
          <cell r="CH192">
            <v>0</v>
          </cell>
          <cell r="CI192">
            <v>0</v>
          </cell>
          <cell r="CJ192">
            <v>0</v>
          </cell>
          <cell r="CK192">
            <v>0</v>
          </cell>
          <cell r="CL192">
            <v>0</v>
          </cell>
          <cell r="CM192">
            <v>0</v>
          </cell>
          <cell r="CN192">
            <v>0</v>
          </cell>
          <cell r="CO192">
            <v>0</v>
          </cell>
          <cell r="CP192">
            <v>0</v>
          </cell>
          <cell r="CQ192">
            <v>0</v>
          </cell>
          <cell r="CR192">
            <v>0</v>
          </cell>
          <cell r="CS192">
            <v>0</v>
          </cell>
          <cell r="CT192">
            <v>0</v>
          </cell>
          <cell r="CU192">
            <v>0</v>
          </cell>
          <cell r="CV192">
            <v>0</v>
          </cell>
          <cell r="CW192">
            <v>0</v>
          </cell>
          <cell r="CX192">
            <v>0</v>
          </cell>
          <cell r="CY192">
            <v>0</v>
          </cell>
          <cell r="CZ192">
            <v>0</v>
          </cell>
          <cell r="DA192">
            <v>0</v>
          </cell>
          <cell r="DB192">
            <v>0</v>
          </cell>
          <cell r="DC192">
            <v>0</v>
          </cell>
          <cell r="DD192">
            <v>0</v>
          </cell>
          <cell r="DE192">
            <v>0</v>
          </cell>
          <cell r="DF192">
            <v>0</v>
          </cell>
          <cell r="DG192">
            <v>0</v>
          </cell>
          <cell r="DH192">
            <v>0</v>
          </cell>
          <cell r="DI192">
            <v>0</v>
          </cell>
          <cell r="DJ192">
            <v>0</v>
          </cell>
          <cell r="DK192">
            <v>0</v>
          </cell>
          <cell r="DL192">
            <v>0</v>
          </cell>
          <cell r="DM192">
            <v>0</v>
          </cell>
          <cell r="DN192">
            <v>0</v>
          </cell>
          <cell r="DO192">
            <v>0</v>
          </cell>
          <cell r="DP192">
            <v>0</v>
          </cell>
          <cell r="DQ192">
            <v>0</v>
          </cell>
          <cell r="DR192">
            <v>0</v>
          </cell>
          <cell r="DS192">
            <v>0</v>
          </cell>
          <cell r="DT192">
            <v>0</v>
          </cell>
          <cell r="DU192">
            <v>0</v>
          </cell>
          <cell r="DV192">
            <v>0</v>
          </cell>
          <cell r="DW192">
            <v>0</v>
          </cell>
          <cell r="DX192">
            <v>0</v>
          </cell>
          <cell r="DY192">
            <v>0</v>
          </cell>
          <cell r="DZ192">
            <v>0</v>
          </cell>
          <cell r="EA192">
            <v>0</v>
          </cell>
          <cell r="EB192">
            <v>0</v>
          </cell>
          <cell r="EC192">
            <v>0</v>
          </cell>
          <cell r="ED192">
            <v>0</v>
          </cell>
          <cell r="EE192">
            <v>0</v>
          </cell>
          <cell r="EF192">
            <v>0</v>
          </cell>
          <cell r="EG192">
            <v>0</v>
          </cell>
          <cell r="EH192">
            <v>0</v>
          </cell>
          <cell r="EI192">
            <v>0</v>
          </cell>
          <cell r="EJ192">
            <v>0</v>
          </cell>
          <cell r="EK192">
            <v>0</v>
          </cell>
          <cell r="EL192">
            <v>0</v>
          </cell>
          <cell r="EM192">
            <v>0</v>
          </cell>
          <cell r="EN192">
            <v>0</v>
          </cell>
          <cell r="EO192">
            <v>0</v>
          </cell>
          <cell r="EP192">
            <v>0</v>
          </cell>
          <cell r="EQ192">
            <v>0</v>
          </cell>
          <cell r="ER192">
            <v>0</v>
          </cell>
          <cell r="ES192">
            <v>0</v>
          </cell>
          <cell r="ET192">
            <v>0</v>
          </cell>
          <cell r="EU192">
            <v>0</v>
          </cell>
          <cell r="EV192">
            <v>0</v>
          </cell>
          <cell r="EW192">
            <v>0</v>
          </cell>
          <cell r="EX192">
            <v>0</v>
          </cell>
          <cell r="EY192">
            <v>0</v>
          </cell>
          <cell r="EZ192">
            <v>0</v>
          </cell>
          <cell r="FA192">
            <v>0</v>
          </cell>
          <cell r="FB192">
            <v>0</v>
          </cell>
          <cell r="FC192">
            <v>0</v>
          </cell>
          <cell r="FD192">
            <v>0</v>
          </cell>
          <cell r="FE192">
            <v>0</v>
          </cell>
          <cell r="FF192">
            <v>0</v>
          </cell>
          <cell r="FG192">
            <v>0</v>
          </cell>
          <cell r="FH192">
            <v>0</v>
          </cell>
          <cell r="FI192">
            <v>0</v>
          </cell>
          <cell r="FJ192">
            <v>0</v>
          </cell>
          <cell r="FK192">
            <v>0</v>
          </cell>
          <cell r="FL192">
            <v>0</v>
          </cell>
          <cell r="FM192">
            <v>0</v>
          </cell>
          <cell r="FN192">
            <v>0</v>
          </cell>
          <cell r="FO192">
            <v>0</v>
          </cell>
          <cell r="FP192">
            <v>0</v>
          </cell>
          <cell r="FQ192">
            <v>0</v>
          </cell>
          <cell r="FR192">
            <v>0</v>
          </cell>
          <cell r="FS192">
            <v>0</v>
          </cell>
          <cell r="FT192">
            <v>0</v>
          </cell>
          <cell r="FU192">
            <v>0</v>
          </cell>
          <cell r="FV192">
            <v>0</v>
          </cell>
          <cell r="FW192">
            <v>0</v>
          </cell>
          <cell r="FX192">
            <v>0</v>
          </cell>
          <cell r="FY192">
            <v>0</v>
          </cell>
          <cell r="FZ192">
            <v>0</v>
          </cell>
        </row>
        <row r="193">
          <cell r="B193">
            <v>0</v>
          </cell>
          <cell r="C193">
            <v>0</v>
          </cell>
          <cell r="D193">
            <v>0</v>
          </cell>
          <cell r="E193">
            <v>0</v>
          </cell>
          <cell r="F193">
            <v>0</v>
          </cell>
          <cell r="G193">
            <v>0</v>
          </cell>
          <cell r="H193">
            <v>0</v>
          </cell>
          <cell r="I193">
            <v>0</v>
          </cell>
          <cell r="J193">
            <v>0</v>
          </cell>
          <cell r="K193">
            <v>0</v>
          </cell>
          <cell r="L193">
            <v>0</v>
          </cell>
          <cell r="M193">
            <v>0</v>
          </cell>
          <cell r="N193">
            <v>0</v>
          </cell>
          <cell r="O193">
            <v>0</v>
          </cell>
          <cell r="P193">
            <v>0</v>
          </cell>
          <cell r="Q193">
            <v>0</v>
          </cell>
          <cell r="R193">
            <v>0</v>
          </cell>
          <cell r="S193">
            <v>0</v>
          </cell>
          <cell r="T193">
            <v>0</v>
          </cell>
          <cell r="U193">
            <v>0</v>
          </cell>
          <cell r="V193">
            <v>0</v>
          </cell>
          <cell r="W193">
            <v>0</v>
          </cell>
          <cell r="X193">
            <v>0</v>
          </cell>
          <cell r="Y193">
            <v>0</v>
          </cell>
          <cell r="Z193">
            <v>0</v>
          </cell>
          <cell r="AA193">
            <v>0</v>
          </cell>
          <cell r="AB193">
            <v>0</v>
          </cell>
          <cell r="AC193">
            <v>0</v>
          </cell>
          <cell r="AD193">
            <v>0</v>
          </cell>
          <cell r="AE193">
            <v>0</v>
          </cell>
          <cell r="AF193">
            <v>0</v>
          </cell>
          <cell r="AG193">
            <v>0</v>
          </cell>
          <cell r="AH193">
            <v>0</v>
          </cell>
          <cell r="AI193">
            <v>0</v>
          </cell>
          <cell r="AJ193">
            <v>0</v>
          </cell>
          <cell r="AK193">
            <v>0</v>
          </cell>
          <cell r="AL193">
            <v>0</v>
          </cell>
          <cell r="AM193">
            <v>0</v>
          </cell>
          <cell r="AN193">
            <v>0</v>
          </cell>
          <cell r="AO193">
            <v>0</v>
          </cell>
          <cell r="AP193">
            <v>0</v>
          </cell>
          <cell r="AQ193">
            <v>0</v>
          </cell>
          <cell r="AR193">
            <v>0</v>
          </cell>
          <cell r="AS193">
            <v>0</v>
          </cell>
          <cell r="AT193">
            <v>0</v>
          </cell>
          <cell r="AU193">
            <v>0</v>
          </cell>
          <cell r="AV193">
            <v>0</v>
          </cell>
          <cell r="AW193">
            <v>0</v>
          </cell>
          <cell r="AX193">
            <v>0</v>
          </cell>
          <cell r="AY193">
            <v>0</v>
          </cell>
          <cell r="AZ193">
            <v>0</v>
          </cell>
          <cell r="BA193">
            <v>0</v>
          </cell>
          <cell r="BB193">
            <v>0</v>
          </cell>
          <cell r="BC193">
            <v>0</v>
          </cell>
          <cell r="BD193">
            <v>0</v>
          </cell>
          <cell r="BE193">
            <v>0</v>
          </cell>
          <cell r="BF193">
            <v>0</v>
          </cell>
          <cell r="BG193">
            <v>0</v>
          </cell>
          <cell r="BH193">
            <v>0</v>
          </cell>
          <cell r="BI193">
            <v>0</v>
          </cell>
          <cell r="BJ193">
            <v>0</v>
          </cell>
          <cell r="BK193">
            <v>0</v>
          </cell>
          <cell r="BL193">
            <v>0</v>
          </cell>
          <cell r="BM193">
            <v>0</v>
          </cell>
          <cell r="BN193">
            <v>0</v>
          </cell>
          <cell r="BO193">
            <v>0</v>
          </cell>
          <cell r="BP193">
            <v>0</v>
          </cell>
          <cell r="BQ193">
            <v>0</v>
          </cell>
          <cell r="BR193">
            <v>0</v>
          </cell>
          <cell r="BS193">
            <v>0</v>
          </cell>
          <cell r="BT193">
            <v>0</v>
          </cell>
          <cell r="BU193">
            <v>0</v>
          </cell>
          <cell r="BV193">
            <v>0</v>
          </cell>
          <cell r="BW193">
            <v>0</v>
          </cell>
          <cell r="BX193">
            <v>0</v>
          </cell>
          <cell r="BY193">
            <v>0</v>
          </cell>
          <cell r="BZ193">
            <v>0</v>
          </cell>
          <cell r="CA193">
            <v>0</v>
          </cell>
          <cell r="CB193">
            <v>0</v>
          </cell>
          <cell r="CC193">
            <v>0</v>
          </cell>
          <cell r="CD193">
            <v>0</v>
          </cell>
          <cell r="CE193">
            <v>0</v>
          </cell>
          <cell r="CF193">
            <v>0</v>
          </cell>
          <cell r="CG193">
            <v>0</v>
          </cell>
          <cell r="CH193">
            <v>0</v>
          </cell>
          <cell r="CI193">
            <v>0</v>
          </cell>
          <cell r="CJ193">
            <v>0</v>
          </cell>
          <cell r="CK193">
            <v>0</v>
          </cell>
          <cell r="CL193">
            <v>0</v>
          </cell>
          <cell r="CM193">
            <v>0</v>
          </cell>
          <cell r="CN193">
            <v>0</v>
          </cell>
          <cell r="CO193">
            <v>0</v>
          </cell>
          <cell r="CP193">
            <v>0</v>
          </cell>
          <cell r="CQ193">
            <v>0</v>
          </cell>
          <cell r="CR193">
            <v>0</v>
          </cell>
          <cell r="CS193">
            <v>0</v>
          </cell>
          <cell r="CT193">
            <v>0</v>
          </cell>
          <cell r="CU193">
            <v>0</v>
          </cell>
          <cell r="CV193">
            <v>0</v>
          </cell>
          <cell r="CW193">
            <v>0</v>
          </cell>
          <cell r="CX193">
            <v>0</v>
          </cell>
          <cell r="CY193">
            <v>0</v>
          </cell>
          <cell r="CZ193">
            <v>0</v>
          </cell>
          <cell r="DA193">
            <v>0</v>
          </cell>
          <cell r="DB193">
            <v>0</v>
          </cell>
          <cell r="DC193">
            <v>0</v>
          </cell>
          <cell r="DD193">
            <v>0</v>
          </cell>
          <cell r="DE193">
            <v>0</v>
          </cell>
          <cell r="DF193">
            <v>0</v>
          </cell>
          <cell r="DG193">
            <v>0</v>
          </cell>
          <cell r="DH193">
            <v>0</v>
          </cell>
          <cell r="DI193">
            <v>0</v>
          </cell>
          <cell r="DJ193">
            <v>0</v>
          </cell>
          <cell r="DK193">
            <v>0</v>
          </cell>
          <cell r="DL193">
            <v>0</v>
          </cell>
          <cell r="DM193">
            <v>0</v>
          </cell>
          <cell r="DN193">
            <v>0</v>
          </cell>
          <cell r="DO193">
            <v>0</v>
          </cell>
          <cell r="DP193">
            <v>0</v>
          </cell>
          <cell r="DQ193">
            <v>0</v>
          </cell>
          <cell r="DR193">
            <v>0</v>
          </cell>
          <cell r="DS193">
            <v>0</v>
          </cell>
          <cell r="DT193">
            <v>0</v>
          </cell>
          <cell r="DU193">
            <v>0</v>
          </cell>
          <cell r="DV193">
            <v>0</v>
          </cell>
          <cell r="DW193">
            <v>0</v>
          </cell>
          <cell r="DX193">
            <v>0</v>
          </cell>
          <cell r="DY193">
            <v>0</v>
          </cell>
          <cell r="DZ193">
            <v>0</v>
          </cell>
          <cell r="EA193">
            <v>0</v>
          </cell>
          <cell r="EB193">
            <v>0</v>
          </cell>
          <cell r="EC193">
            <v>0</v>
          </cell>
          <cell r="ED193">
            <v>0</v>
          </cell>
          <cell r="EE193">
            <v>0</v>
          </cell>
          <cell r="EF193">
            <v>0</v>
          </cell>
          <cell r="EG193">
            <v>0</v>
          </cell>
          <cell r="EH193">
            <v>0</v>
          </cell>
          <cell r="EI193">
            <v>0</v>
          </cell>
          <cell r="EJ193">
            <v>0</v>
          </cell>
          <cell r="EK193">
            <v>0</v>
          </cell>
          <cell r="EL193">
            <v>0</v>
          </cell>
          <cell r="EM193">
            <v>0</v>
          </cell>
          <cell r="EN193">
            <v>0</v>
          </cell>
          <cell r="EO193">
            <v>0</v>
          </cell>
          <cell r="EP193">
            <v>0</v>
          </cell>
          <cell r="EQ193">
            <v>0</v>
          </cell>
          <cell r="ER193">
            <v>0</v>
          </cell>
          <cell r="ES193">
            <v>0</v>
          </cell>
          <cell r="ET193">
            <v>0</v>
          </cell>
          <cell r="EU193">
            <v>0</v>
          </cell>
          <cell r="EV193">
            <v>0</v>
          </cell>
          <cell r="EW193">
            <v>0</v>
          </cell>
          <cell r="EX193">
            <v>0</v>
          </cell>
          <cell r="EY193">
            <v>0</v>
          </cell>
          <cell r="EZ193">
            <v>0</v>
          </cell>
          <cell r="FA193">
            <v>0</v>
          </cell>
          <cell r="FB193">
            <v>0</v>
          </cell>
          <cell r="FC193">
            <v>0</v>
          </cell>
          <cell r="FD193">
            <v>0</v>
          </cell>
          <cell r="FE193">
            <v>0</v>
          </cell>
          <cell r="FF193">
            <v>0</v>
          </cell>
          <cell r="FG193">
            <v>0</v>
          </cell>
          <cell r="FH193">
            <v>0</v>
          </cell>
          <cell r="FI193">
            <v>0</v>
          </cell>
          <cell r="FJ193">
            <v>0</v>
          </cell>
          <cell r="FK193">
            <v>0</v>
          </cell>
          <cell r="FL193">
            <v>0</v>
          </cell>
          <cell r="FM193">
            <v>0</v>
          </cell>
          <cell r="FN193">
            <v>0</v>
          </cell>
          <cell r="FO193">
            <v>0</v>
          </cell>
          <cell r="FP193">
            <v>0</v>
          </cell>
          <cell r="FQ193">
            <v>0</v>
          </cell>
          <cell r="FR193">
            <v>0</v>
          </cell>
          <cell r="FS193">
            <v>0</v>
          </cell>
          <cell r="FT193">
            <v>0</v>
          </cell>
          <cell r="FU193">
            <v>0</v>
          </cell>
          <cell r="FV193">
            <v>0</v>
          </cell>
          <cell r="FW193">
            <v>0</v>
          </cell>
          <cell r="FX193">
            <v>0</v>
          </cell>
          <cell r="FY193">
            <v>0</v>
          </cell>
          <cell r="FZ193">
            <v>0</v>
          </cell>
        </row>
        <row r="194">
          <cell r="B194">
            <v>0</v>
          </cell>
          <cell r="C194">
            <v>0</v>
          </cell>
          <cell r="D194">
            <v>0</v>
          </cell>
          <cell r="E194">
            <v>0</v>
          </cell>
          <cell r="F194">
            <v>0</v>
          </cell>
          <cell r="G194">
            <v>0</v>
          </cell>
          <cell r="H194">
            <v>0</v>
          </cell>
          <cell r="I194">
            <v>0</v>
          </cell>
          <cell r="J194">
            <v>0</v>
          </cell>
          <cell r="K194">
            <v>0</v>
          </cell>
          <cell r="L194">
            <v>0</v>
          </cell>
          <cell r="M194">
            <v>0</v>
          </cell>
          <cell r="N194">
            <v>0</v>
          </cell>
          <cell r="O194">
            <v>0</v>
          </cell>
          <cell r="P194">
            <v>0</v>
          </cell>
          <cell r="Q194">
            <v>0</v>
          </cell>
          <cell r="R194">
            <v>0</v>
          </cell>
          <cell r="S194">
            <v>0</v>
          </cell>
          <cell r="T194">
            <v>0</v>
          </cell>
          <cell r="U194">
            <v>0</v>
          </cell>
          <cell r="V194">
            <v>0</v>
          </cell>
          <cell r="W194">
            <v>0</v>
          </cell>
          <cell r="X194">
            <v>0</v>
          </cell>
          <cell r="Y194">
            <v>0</v>
          </cell>
          <cell r="Z194">
            <v>0</v>
          </cell>
          <cell r="AA194">
            <v>0</v>
          </cell>
          <cell r="AB194">
            <v>0</v>
          </cell>
          <cell r="AC194">
            <v>0</v>
          </cell>
          <cell r="AD194">
            <v>0</v>
          </cell>
          <cell r="AE194">
            <v>0</v>
          </cell>
          <cell r="AF194">
            <v>0</v>
          </cell>
          <cell r="AG194">
            <v>0</v>
          </cell>
          <cell r="AH194">
            <v>0</v>
          </cell>
          <cell r="AI194">
            <v>0</v>
          </cell>
          <cell r="AJ194">
            <v>0</v>
          </cell>
          <cell r="AK194">
            <v>0</v>
          </cell>
          <cell r="AL194">
            <v>0</v>
          </cell>
          <cell r="AM194">
            <v>0</v>
          </cell>
          <cell r="AN194">
            <v>0</v>
          </cell>
          <cell r="AO194">
            <v>0</v>
          </cell>
          <cell r="AP194">
            <v>0</v>
          </cell>
          <cell r="AQ194">
            <v>0</v>
          </cell>
          <cell r="AR194">
            <v>0</v>
          </cell>
          <cell r="AS194">
            <v>0</v>
          </cell>
          <cell r="AT194">
            <v>0</v>
          </cell>
          <cell r="AU194">
            <v>0</v>
          </cell>
          <cell r="AV194">
            <v>0</v>
          </cell>
          <cell r="AW194">
            <v>0</v>
          </cell>
          <cell r="AX194">
            <v>0</v>
          </cell>
          <cell r="AY194">
            <v>0</v>
          </cell>
          <cell r="AZ194">
            <v>0</v>
          </cell>
          <cell r="BA194">
            <v>0</v>
          </cell>
          <cell r="BB194">
            <v>0</v>
          </cell>
          <cell r="BC194">
            <v>0</v>
          </cell>
          <cell r="BD194">
            <v>0</v>
          </cell>
          <cell r="BE194">
            <v>0</v>
          </cell>
          <cell r="BF194">
            <v>0</v>
          </cell>
          <cell r="BG194">
            <v>0</v>
          </cell>
          <cell r="BH194">
            <v>0</v>
          </cell>
          <cell r="BI194">
            <v>0</v>
          </cell>
          <cell r="BJ194">
            <v>0</v>
          </cell>
          <cell r="BK194">
            <v>0</v>
          </cell>
          <cell r="BL194">
            <v>0</v>
          </cell>
          <cell r="BM194">
            <v>0</v>
          </cell>
          <cell r="BN194">
            <v>0</v>
          </cell>
          <cell r="BO194">
            <v>0</v>
          </cell>
          <cell r="BP194">
            <v>0</v>
          </cell>
          <cell r="BQ194">
            <v>0</v>
          </cell>
          <cell r="BR194">
            <v>0</v>
          </cell>
          <cell r="BS194">
            <v>0</v>
          </cell>
          <cell r="BT194">
            <v>0</v>
          </cell>
          <cell r="BU194">
            <v>0</v>
          </cell>
          <cell r="BV194">
            <v>0</v>
          </cell>
          <cell r="BW194">
            <v>0</v>
          </cell>
          <cell r="BX194">
            <v>0</v>
          </cell>
          <cell r="BY194">
            <v>0</v>
          </cell>
          <cell r="BZ194">
            <v>0</v>
          </cell>
          <cell r="CA194">
            <v>0</v>
          </cell>
          <cell r="CB194">
            <v>0</v>
          </cell>
          <cell r="CC194">
            <v>0</v>
          </cell>
          <cell r="CD194">
            <v>0</v>
          </cell>
          <cell r="CE194">
            <v>0</v>
          </cell>
          <cell r="CF194">
            <v>0</v>
          </cell>
          <cell r="CG194">
            <v>0</v>
          </cell>
          <cell r="CH194">
            <v>0</v>
          </cell>
          <cell r="CI194">
            <v>0</v>
          </cell>
          <cell r="CJ194">
            <v>0</v>
          </cell>
          <cell r="CK194">
            <v>0</v>
          </cell>
          <cell r="CL194">
            <v>0</v>
          </cell>
          <cell r="CM194">
            <v>0</v>
          </cell>
          <cell r="CN194">
            <v>0</v>
          </cell>
          <cell r="CO194">
            <v>0</v>
          </cell>
          <cell r="CP194">
            <v>0</v>
          </cell>
          <cell r="CQ194">
            <v>0</v>
          </cell>
          <cell r="CR194">
            <v>0</v>
          </cell>
          <cell r="CS194">
            <v>0</v>
          </cell>
          <cell r="CT194">
            <v>0</v>
          </cell>
          <cell r="CU194">
            <v>0</v>
          </cell>
          <cell r="CV194">
            <v>0</v>
          </cell>
          <cell r="CW194">
            <v>0</v>
          </cell>
          <cell r="CX194">
            <v>0</v>
          </cell>
          <cell r="CY194">
            <v>0</v>
          </cell>
          <cell r="CZ194">
            <v>0</v>
          </cell>
          <cell r="DA194">
            <v>0</v>
          </cell>
          <cell r="DB194">
            <v>0</v>
          </cell>
          <cell r="DC194">
            <v>0</v>
          </cell>
          <cell r="DD194">
            <v>0</v>
          </cell>
          <cell r="DE194">
            <v>0</v>
          </cell>
          <cell r="DF194">
            <v>0</v>
          </cell>
          <cell r="DG194">
            <v>0</v>
          </cell>
          <cell r="DH194">
            <v>0</v>
          </cell>
          <cell r="DI194">
            <v>0</v>
          </cell>
          <cell r="DJ194">
            <v>0</v>
          </cell>
          <cell r="DK194">
            <v>0</v>
          </cell>
          <cell r="DL194">
            <v>0</v>
          </cell>
          <cell r="DM194">
            <v>0</v>
          </cell>
          <cell r="DN194">
            <v>0</v>
          </cell>
          <cell r="DO194">
            <v>0</v>
          </cell>
          <cell r="DP194">
            <v>0</v>
          </cell>
          <cell r="DQ194">
            <v>0</v>
          </cell>
          <cell r="DR194">
            <v>0</v>
          </cell>
          <cell r="DS194">
            <v>0</v>
          </cell>
          <cell r="DT194">
            <v>0</v>
          </cell>
          <cell r="DU194">
            <v>0</v>
          </cell>
          <cell r="DV194">
            <v>0</v>
          </cell>
          <cell r="DW194">
            <v>0</v>
          </cell>
          <cell r="DX194">
            <v>0</v>
          </cell>
          <cell r="DY194">
            <v>0</v>
          </cell>
          <cell r="DZ194">
            <v>0</v>
          </cell>
          <cell r="EA194">
            <v>0</v>
          </cell>
          <cell r="EB194">
            <v>0</v>
          </cell>
          <cell r="EC194">
            <v>0</v>
          </cell>
          <cell r="ED194">
            <v>0</v>
          </cell>
          <cell r="EE194">
            <v>0</v>
          </cell>
          <cell r="EF194">
            <v>0</v>
          </cell>
          <cell r="EG194">
            <v>0</v>
          </cell>
          <cell r="EH194">
            <v>0</v>
          </cell>
          <cell r="EI194">
            <v>0</v>
          </cell>
          <cell r="EJ194">
            <v>0</v>
          </cell>
          <cell r="EK194">
            <v>0</v>
          </cell>
          <cell r="EL194">
            <v>0</v>
          </cell>
          <cell r="EM194">
            <v>0</v>
          </cell>
          <cell r="EN194">
            <v>0</v>
          </cell>
          <cell r="EO194">
            <v>0</v>
          </cell>
          <cell r="EP194">
            <v>0</v>
          </cell>
          <cell r="EQ194">
            <v>0</v>
          </cell>
          <cell r="ER194">
            <v>0</v>
          </cell>
          <cell r="ES194">
            <v>0</v>
          </cell>
          <cell r="ET194">
            <v>0</v>
          </cell>
          <cell r="EU194">
            <v>0</v>
          </cell>
          <cell r="EV194">
            <v>0</v>
          </cell>
          <cell r="EW194">
            <v>0</v>
          </cell>
          <cell r="EX194">
            <v>0</v>
          </cell>
          <cell r="EY194">
            <v>0</v>
          </cell>
          <cell r="EZ194">
            <v>0</v>
          </cell>
          <cell r="FA194">
            <v>0</v>
          </cell>
          <cell r="FB194">
            <v>0</v>
          </cell>
          <cell r="FC194">
            <v>0</v>
          </cell>
          <cell r="FD194">
            <v>0</v>
          </cell>
          <cell r="FE194">
            <v>0</v>
          </cell>
          <cell r="FF194">
            <v>0</v>
          </cell>
          <cell r="FG194">
            <v>0</v>
          </cell>
          <cell r="FH194">
            <v>0</v>
          </cell>
          <cell r="FI194">
            <v>0</v>
          </cell>
          <cell r="FJ194">
            <v>0</v>
          </cell>
          <cell r="FK194">
            <v>0</v>
          </cell>
          <cell r="FL194">
            <v>0</v>
          </cell>
          <cell r="FM194">
            <v>0</v>
          </cell>
          <cell r="FN194">
            <v>0</v>
          </cell>
          <cell r="FO194">
            <v>0</v>
          </cell>
          <cell r="FP194">
            <v>0</v>
          </cell>
          <cell r="FQ194">
            <v>0</v>
          </cell>
          <cell r="FR194">
            <v>0</v>
          </cell>
          <cell r="FS194">
            <v>0</v>
          </cell>
          <cell r="FT194">
            <v>0</v>
          </cell>
          <cell r="FU194">
            <v>0</v>
          </cell>
          <cell r="FV194">
            <v>0</v>
          </cell>
          <cell r="FW194">
            <v>0</v>
          </cell>
          <cell r="FX194">
            <v>0</v>
          </cell>
          <cell r="FY194">
            <v>0</v>
          </cell>
          <cell r="FZ194">
            <v>0</v>
          </cell>
        </row>
        <row r="195">
          <cell r="B195">
            <v>0</v>
          </cell>
          <cell r="C195">
            <v>0</v>
          </cell>
          <cell r="D195">
            <v>0</v>
          </cell>
          <cell r="E195">
            <v>0</v>
          </cell>
          <cell r="F195">
            <v>0</v>
          </cell>
          <cell r="G195">
            <v>0</v>
          </cell>
          <cell r="H195">
            <v>0</v>
          </cell>
          <cell r="I195">
            <v>0</v>
          </cell>
          <cell r="J195">
            <v>0</v>
          </cell>
          <cell r="K195">
            <v>0</v>
          </cell>
          <cell r="L195">
            <v>0</v>
          </cell>
          <cell r="M195">
            <v>0</v>
          </cell>
          <cell r="N195">
            <v>0</v>
          </cell>
          <cell r="O195">
            <v>0</v>
          </cell>
          <cell r="P195">
            <v>0</v>
          </cell>
          <cell r="Q195">
            <v>0</v>
          </cell>
          <cell r="R195">
            <v>0</v>
          </cell>
          <cell r="S195">
            <v>0</v>
          </cell>
          <cell r="T195">
            <v>0</v>
          </cell>
          <cell r="U195">
            <v>0</v>
          </cell>
          <cell r="V195">
            <v>0</v>
          </cell>
          <cell r="W195">
            <v>0</v>
          </cell>
          <cell r="X195">
            <v>0</v>
          </cell>
          <cell r="Y195">
            <v>0</v>
          </cell>
          <cell r="Z195">
            <v>0</v>
          </cell>
          <cell r="AA195">
            <v>0</v>
          </cell>
          <cell r="AB195">
            <v>0</v>
          </cell>
          <cell r="AC195">
            <v>0</v>
          </cell>
          <cell r="AD195">
            <v>0</v>
          </cell>
          <cell r="AE195">
            <v>0</v>
          </cell>
          <cell r="AF195">
            <v>0</v>
          </cell>
          <cell r="AG195">
            <v>0</v>
          </cell>
          <cell r="AH195">
            <v>0</v>
          </cell>
          <cell r="AI195">
            <v>0</v>
          </cell>
          <cell r="AJ195">
            <v>0</v>
          </cell>
          <cell r="AK195">
            <v>0</v>
          </cell>
          <cell r="AL195">
            <v>0</v>
          </cell>
          <cell r="AM195">
            <v>0</v>
          </cell>
          <cell r="AN195">
            <v>0</v>
          </cell>
          <cell r="AO195">
            <v>0</v>
          </cell>
          <cell r="AP195">
            <v>0</v>
          </cell>
          <cell r="AQ195">
            <v>0</v>
          </cell>
          <cell r="AR195">
            <v>0</v>
          </cell>
          <cell r="AS195">
            <v>0</v>
          </cell>
          <cell r="AT195">
            <v>0</v>
          </cell>
          <cell r="AU195">
            <v>0</v>
          </cell>
          <cell r="AV195">
            <v>0</v>
          </cell>
          <cell r="AW195">
            <v>0</v>
          </cell>
          <cell r="AX195">
            <v>0</v>
          </cell>
          <cell r="AY195">
            <v>0</v>
          </cell>
          <cell r="AZ195">
            <v>0</v>
          </cell>
          <cell r="BA195">
            <v>0</v>
          </cell>
          <cell r="BB195">
            <v>0</v>
          </cell>
          <cell r="BC195">
            <v>0</v>
          </cell>
          <cell r="BD195">
            <v>0</v>
          </cell>
          <cell r="BE195">
            <v>0</v>
          </cell>
          <cell r="BF195">
            <v>0</v>
          </cell>
          <cell r="BG195">
            <v>0</v>
          </cell>
          <cell r="BH195">
            <v>0</v>
          </cell>
          <cell r="BI195">
            <v>0</v>
          </cell>
          <cell r="BJ195">
            <v>0</v>
          </cell>
          <cell r="BK195">
            <v>0</v>
          </cell>
          <cell r="BL195">
            <v>0</v>
          </cell>
          <cell r="BM195">
            <v>0</v>
          </cell>
          <cell r="BN195">
            <v>0</v>
          </cell>
          <cell r="BO195">
            <v>0</v>
          </cell>
          <cell r="BP195">
            <v>0</v>
          </cell>
          <cell r="BQ195">
            <v>0</v>
          </cell>
          <cell r="BR195">
            <v>0</v>
          </cell>
          <cell r="BS195">
            <v>0</v>
          </cell>
          <cell r="BT195">
            <v>0</v>
          </cell>
          <cell r="BU195">
            <v>0</v>
          </cell>
          <cell r="BV195">
            <v>0</v>
          </cell>
          <cell r="BW195">
            <v>0</v>
          </cell>
          <cell r="BX195">
            <v>0</v>
          </cell>
          <cell r="BY195">
            <v>0</v>
          </cell>
          <cell r="BZ195">
            <v>0</v>
          </cell>
          <cell r="CA195">
            <v>0</v>
          </cell>
          <cell r="CB195">
            <v>0</v>
          </cell>
          <cell r="CC195">
            <v>0</v>
          </cell>
          <cell r="CD195">
            <v>0</v>
          </cell>
          <cell r="CE195">
            <v>0</v>
          </cell>
          <cell r="CF195">
            <v>0</v>
          </cell>
          <cell r="CG195">
            <v>0</v>
          </cell>
          <cell r="CH195">
            <v>0</v>
          </cell>
          <cell r="CI195">
            <v>0</v>
          </cell>
          <cell r="CJ195">
            <v>0</v>
          </cell>
          <cell r="CK195">
            <v>0</v>
          </cell>
          <cell r="CL195">
            <v>0</v>
          </cell>
          <cell r="CM195">
            <v>0</v>
          </cell>
          <cell r="CN195">
            <v>0</v>
          </cell>
          <cell r="CO195">
            <v>0</v>
          </cell>
          <cell r="CP195">
            <v>0</v>
          </cell>
          <cell r="CQ195">
            <v>0</v>
          </cell>
          <cell r="CR195">
            <v>0</v>
          </cell>
          <cell r="CS195">
            <v>0</v>
          </cell>
          <cell r="CT195">
            <v>0</v>
          </cell>
          <cell r="CU195">
            <v>0</v>
          </cell>
          <cell r="CV195">
            <v>0</v>
          </cell>
          <cell r="CW195">
            <v>0</v>
          </cell>
          <cell r="CX195">
            <v>0</v>
          </cell>
          <cell r="CY195">
            <v>0</v>
          </cell>
          <cell r="CZ195">
            <v>0</v>
          </cell>
          <cell r="DA195">
            <v>0</v>
          </cell>
          <cell r="DB195">
            <v>0</v>
          </cell>
          <cell r="DC195">
            <v>0</v>
          </cell>
          <cell r="DD195">
            <v>0</v>
          </cell>
          <cell r="DE195">
            <v>0</v>
          </cell>
          <cell r="DF195">
            <v>0</v>
          </cell>
          <cell r="DG195">
            <v>0</v>
          </cell>
          <cell r="DH195">
            <v>0</v>
          </cell>
          <cell r="DI195">
            <v>0</v>
          </cell>
          <cell r="DJ195">
            <v>0</v>
          </cell>
          <cell r="DK195">
            <v>0</v>
          </cell>
          <cell r="DL195">
            <v>0</v>
          </cell>
          <cell r="DM195">
            <v>0</v>
          </cell>
          <cell r="DN195">
            <v>0</v>
          </cell>
          <cell r="DO195">
            <v>0</v>
          </cell>
          <cell r="DP195">
            <v>0</v>
          </cell>
          <cell r="DQ195">
            <v>0</v>
          </cell>
          <cell r="DR195">
            <v>0</v>
          </cell>
          <cell r="DS195">
            <v>0</v>
          </cell>
          <cell r="DT195">
            <v>0</v>
          </cell>
          <cell r="DU195">
            <v>0</v>
          </cell>
          <cell r="DV195">
            <v>0</v>
          </cell>
          <cell r="DW195">
            <v>0</v>
          </cell>
          <cell r="DX195">
            <v>0</v>
          </cell>
          <cell r="DY195">
            <v>0</v>
          </cell>
          <cell r="DZ195">
            <v>0</v>
          </cell>
          <cell r="EA195">
            <v>0</v>
          </cell>
          <cell r="EB195">
            <v>0</v>
          </cell>
          <cell r="EC195">
            <v>0</v>
          </cell>
          <cell r="ED195">
            <v>0</v>
          </cell>
          <cell r="EE195">
            <v>0</v>
          </cell>
          <cell r="EF195">
            <v>0</v>
          </cell>
          <cell r="EG195">
            <v>0</v>
          </cell>
          <cell r="EH195">
            <v>0</v>
          </cell>
          <cell r="EI195">
            <v>0</v>
          </cell>
          <cell r="EJ195">
            <v>0</v>
          </cell>
          <cell r="EK195">
            <v>0</v>
          </cell>
          <cell r="EL195">
            <v>0</v>
          </cell>
          <cell r="EM195">
            <v>0</v>
          </cell>
          <cell r="EN195">
            <v>0</v>
          </cell>
          <cell r="EO195">
            <v>0</v>
          </cell>
          <cell r="EP195">
            <v>0</v>
          </cell>
          <cell r="EQ195">
            <v>0</v>
          </cell>
          <cell r="ER195">
            <v>0</v>
          </cell>
          <cell r="ES195">
            <v>0</v>
          </cell>
          <cell r="ET195">
            <v>0</v>
          </cell>
          <cell r="EU195">
            <v>0</v>
          </cell>
          <cell r="EV195">
            <v>0</v>
          </cell>
          <cell r="EW195">
            <v>0</v>
          </cell>
          <cell r="EX195">
            <v>0</v>
          </cell>
          <cell r="EY195">
            <v>0</v>
          </cell>
          <cell r="EZ195">
            <v>0</v>
          </cell>
          <cell r="FA195">
            <v>0</v>
          </cell>
          <cell r="FB195">
            <v>0</v>
          </cell>
          <cell r="FC195">
            <v>0</v>
          </cell>
          <cell r="FD195">
            <v>0</v>
          </cell>
          <cell r="FE195">
            <v>0</v>
          </cell>
          <cell r="FF195">
            <v>0</v>
          </cell>
          <cell r="FG195">
            <v>0</v>
          </cell>
          <cell r="FH195">
            <v>0</v>
          </cell>
          <cell r="FI195">
            <v>0</v>
          </cell>
          <cell r="FJ195">
            <v>0</v>
          </cell>
          <cell r="FK195">
            <v>0</v>
          </cell>
          <cell r="FL195">
            <v>0</v>
          </cell>
          <cell r="FM195">
            <v>0</v>
          </cell>
          <cell r="FN195">
            <v>0</v>
          </cell>
          <cell r="FO195">
            <v>0</v>
          </cell>
          <cell r="FP195">
            <v>0</v>
          </cell>
          <cell r="FQ195">
            <v>0</v>
          </cell>
          <cell r="FR195">
            <v>0</v>
          </cell>
          <cell r="FS195">
            <v>0</v>
          </cell>
          <cell r="FT195">
            <v>0</v>
          </cell>
          <cell r="FU195">
            <v>0</v>
          </cell>
          <cell r="FV195">
            <v>0</v>
          </cell>
          <cell r="FW195">
            <v>0</v>
          </cell>
          <cell r="FX195">
            <v>0</v>
          </cell>
          <cell r="FY195">
            <v>0</v>
          </cell>
          <cell r="FZ195">
            <v>0</v>
          </cell>
        </row>
        <row r="196">
          <cell r="B196">
            <v>0</v>
          </cell>
          <cell r="C196">
            <v>0</v>
          </cell>
          <cell r="D196">
            <v>0</v>
          </cell>
          <cell r="E196">
            <v>0</v>
          </cell>
          <cell r="F196">
            <v>0</v>
          </cell>
          <cell r="G196">
            <v>0</v>
          </cell>
          <cell r="H196">
            <v>0</v>
          </cell>
          <cell r="I196">
            <v>0</v>
          </cell>
          <cell r="J196">
            <v>0</v>
          </cell>
          <cell r="K196">
            <v>0</v>
          </cell>
          <cell r="L196">
            <v>0</v>
          </cell>
          <cell r="M196">
            <v>0</v>
          </cell>
          <cell r="N196">
            <v>0</v>
          </cell>
          <cell r="O196">
            <v>0</v>
          </cell>
          <cell r="P196">
            <v>0</v>
          </cell>
          <cell r="Q196">
            <v>0</v>
          </cell>
          <cell r="R196">
            <v>0</v>
          </cell>
          <cell r="S196">
            <v>0</v>
          </cell>
          <cell r="T196">
            <v>0</v>
          </cell>
          <cell r="U196">
            <v>0</v>
          </cell>
          <cell r="V196">
            <v>0</v>
          </cell>
          <cell r="W196">
            <v>0</v>
          </cell>
          <cell r="X196">
            <v>0</v>
          </cell>
          <cell r="Y196">
            <v>0</v>
          </cell>
          <cell r="Z196">
            <v>0</v>
          </cell>
          <cell r="AA196">
            <v>0</v>
          </cell>
          <cell r="AB196">
            <v>0</v>
          </cell>
          <cell r="AC196">
            <v>0</v>
          </cell>
          <cell r="AD196">
            <v>0</v>
          </cell>
          <cell r="AE196">
            <v>0</v>
          </cell>
          <cell r="AF196">
            <v>0</v>
          </cell>
          <cell r="AG196">
            <v>0</v>
          </cell>
          <cell r="AH196">
            <v>0</v>
          </cell>
          <cell r="AI196">
            <v>0</v>
          </cell>
          <cell r="AJ196">
            <v>0</v>
          </cell>
          <cell r="AK196">
            <v>0</v>
          </cell>
          <cell r="AL196">
            <v>0</v>
          </cell>
          <cell r="AM196">
            <v>0</v>
          </cell>
          <cell r="AN196">
            <v>0</v>
          </cell>
          <cell r="AO196">
            <v>0</v>
          </cell>
          <cell r="AP196">
            <v>0</v>
          </cell>
          <cell r="AQ196">
            <v>0</v>
          </cell>
          <cell r="AR196">
            <v>0</v>
          </cell>
          <cell r="AS196">
            <v>0</v>
          </cell>
          <cell r="AT196">
            <v>0</v>
          </cell>
          <cell r="AU196">
            <v>0</v>
          </cell>
          <cell r="AV196">
            <v>0</v>
          </cell>
          <cell r="AW196">
            <v>0</v>
          </cell>
          <cell r="AX196">
            <v>0</v>
          </cell>
          <cell r="AY196">
            <v>0</v>
          </cell>
          <cell r="AZ196">
            <v>0</v>
          </cell>
          <cell r="BA196">
            <v>0</v>
          </cell>
          <cell r="BB196">
            <v>0</v>
          </cell>
          <cell r="BC196">
            <v>0</v>
          </cell>
          <cell r="BD196">
            <v>0</v>
          </cell>
          <cell r="BE196">
            <v>0</v>
          </cell>
          <cell r="BF196">
            <v>0</v>
          </cell>
          <cell r="BG196">
            <v>0</v>
          </cell>
          <cell r="BH196">
            <v>0</v>
          </cell>
          <cell r="BI196">
            <v>0</v>
          </cell>
          <cell r="BJ196">
            <v>0</v>
          </cell>
          <cell r="BK196">
            <v>0</v>
          </cell>
          <cell r="BL196">
            <v>0</v>
          </cell>
          <cell r="BM196">
            <v>0</v>
          </cell>
          <cell r="BN196">
            <v>0</v>
          </cell>
          <cell r="BO196">
            <v>0</v>
          </cell>
          <cell r="BP196">
            <v>0</v>
          </cell>
          <cell r="BQ196">
            <v>0</v>
          </cell>
          <cell r="BR196">
            <v>0</v>
          </cell>
          <cell r="BS196">
            <v>0</v>
          </cell>
          <cell r="BT196">
            <v>0</v>
          </cell>
          <cell r="BU196">
            <v>0</v>
          </cell>
          <cell r="BV196">
            <v>0</v>
          </cell>
          <cell r="BW196">
            <v>0</v>
          </cell>
          <cell r="BX196">
            <v>0</v>
          </cell>
          <cell r="BY196">
            <v>0</v>
          </cell>
          <cell r="BZ196">
            <v>0</v>
          </cell>
          <cell r="CA196">
            <v>0</v>
          </cell>
          <cell r="CB196">
            <v>0</v>
          </cell>
          <cell r="CC196">
            <v>0</v>
          </cell>
          <cell r="CD196">
            <v>0</v>
          </cell>
          <cell r="CE196">
            <v>0</v>
          </cell>
          <cell r="CF196">
            <v>0</v>
          </cell>
          <cell r="CG196">
            <v>0</v>
          </cell>
          <cell r="CH196">
            <v>0</v>
          </cell>
          <cell r="CI196">
            <v>0</v>
          </cell>
          <cell r="CJ196">
            <v>0</v>
          </cell>
          <cell r="CK196">
            <v>0</v>
          </cell>
          <cell r="CL196">
            <v>0</v>
          </cell>
          <cell r="CM196">
            <v>0</v>
          </cell>
          <cell r="CN196">
            <v>0</v>
          </cell>
          <cell r="CO196">
            <v>0</v>
          </cell>
          <cell r="CP196">
            <v>0</v>
          </cell>
          <cell r="CQ196">
            <v>0</v>
          </cell>
          <cell r="CR196">
            <v>0</v>
          </cell>
          <cell r="CS196">
            <v>0</v>
          </cell>
          <cell r="CT196">
            <v>0</v>
          </cell>
          <cell r="CU196">
            <v>0</v>
          </cell>
          <cell r="CV196">
            <v>0</v>
          </cell>
          <cell r="CW196">
            <v>0</v>
          </cell>
          <cell r="CX196">
            <v>0</v>
          </cell>
          <cell r="CY196">
            <v>0</v>
          </cell>
          <cell r="CZ196">
            <v>0</v>
          </cell>
          <cell r="DA196">
            <v>0</v>
          </cell>
          <cell r="DB196">
            <v>0</v>
          </cell>
          <cell r="DC196">
            <v>0</v>
          </cell>
          <cell r="DD196">
            <v>0</v>
          </cell>
          <cell r="DE196">
            <v>0</v>
          </cell>
          <cell r="DF196">
            <v>0</v>
          </cell>
          <cell r="DG196">
            <v>0</v>
          </cell>
          <cell r="DH196">
            <v>0</v>
          </cell>
          <cell r="DI196">
            <v>0</v>
          </cell>
          <cell r="DJ196">
            <v>0</v>
          </cell>
          <cell r="DK196">
            <v>0</v>
          </cell>
          <cell r="DL196">
            <v>0</v>
          </cell>
          <cell r="DM196">
            <v>0</v>
          </cell>
          <cell r="DN196">
            <v>0</v>
          </cell>
          <cell r="DO196">
            <v>0</v>
          </cell>
          <cell r="DP196">
            <v>0</v>
          </cell>
          <cell r="DQ196">
            <v>0</v>
          </cell>
          <cell r="DR196">
            <v>0</v>
          </cell>
          <cell r="DS196">
            <v>0</v>
          </cell>
          <cell r="DT196">
            <v>0</v>
          </cell>
          <cell r="DU196">
            <v>0</v>
          </cell>
          <cell r="DV196">
            <v>0</v>
          </cell>
          <cell r="DW196">
            <v>0</v>
          </cell>
          <cell r="DX196">
            <v>0</v>
          </cell>
          <cell r="DY196">
            <v>0</v>
          </cell>
          <cell r="DZ196">
            <v>0</v>
          </cell>
          <cell r="EA196">
            <v>0</v>
          </cell>
          <cell r="EB196">
            <v>0</v>
          </cell>
          <cell r="EC196">
            <v>0</v>
          </cell>
          <cell r="ED196">
            <v>0</v>
          </cell>
          <cell r="EE196">
            <v>0</v>
          </cell>
          <cell r="EF196">
            <v>0</v>
          </cell>
          <cell r="EG196">
            <v>0</v>
          </cell>
          <cell r="EH196">
            <v>0</v>
          </cell>
          <cell r="EI196">
            <v>0</v>
          </cell>
          <cell r="EJ196">
            <v>0</v>
          </cell>
          <cell r="EK196">
            <v>0</v>
          </cell>
          <cell r="EL196">
            <v>0</v>
          </cell>
          <cell r="EM196">
            <v>0</v>
          </cell>
          <cell r="EN196">
            <v>0</v>
          </cell>
          <cell r="EO196">
            <v>0</v>
          </cell>
          <cell r="EP196">
            <v>0</v>
          </cell>
          <cell r="EQ196">
            <v>0</v>
          </cell>
          <cell r="ER196">
            <v>0</v>
          </cell>
          <cell r="ES196">
            <v>0</v>
          </cell>
          <cell r="ET196">
            <v>0</v>
          </cell>
          <cell r="EU196">
            <v>0</v>
          </cell>
          <cell r="EV196">
            <v>0</v>
          </cell>
          <cell r="EW196">
            <v>0</v>
          </cell>
          <cell r="EX196">
            <v>0</v>
          </cell>
          <cell r="EY196">
            <v>0</v>
          </cell>
          <cell r="EZ196">
            <v>0</v>
          </cell>
          <cell r="FA196">
            <v>0</v>
          </cell>
          <cell r="FB196">
            <v>0</v>
          </cell>
          <cell r="FC196">
            <v>0</v>
          </cell>
          <cell r="FD196">
            <v>0</v>
          </cell>
          <cell r="FE196">
            <v>0</v>
          </cell>
          <cell r="FF196">
            <v>0</v>
          </cell>
          <cell r="FG196">
            <v>0</v>
          </cell>
          <cell r="FH196">
            <v>0</v>
          </cell>
          <cell r="FI196">
            <v>0</v>
          </cell>
          <cell r="FJ196">
            <v>0</v>
          </cell>
          <cell r="FK196">
            <v>0</v>
          </cell>
          <cell r="FL196">
            <v>0</v>
          </cell>
          <cell r="FM196">
            <v>0</v>
          </cell>
          <cell r="FN196">
            <v>0</v>
          </cell>
          <cell r="FO196">
            <v>0</v>
          </cell>
          <cell r="FP196">
            <v>0</v>
          </cell>
          <cell r="FQ196">
            <v>0</v>
          </cell>
          <cell r="FR196">
            <v>0</v>
          </cell>
          <cell r="FS196">
            <v>0</v>
          </cell>
          <cell r="FT196">
            <v>0</v>
          </cell>
          <cell r="FU196">
            <v>0</v>
          </cell>
          <cell r="FV196">
            <v>0</v>
          </cell>
          <cell r="FW196">
            <v>0</v>
          </cell>
          <cell r="FX196">
            <v>0</v>
          </cell>
          <cell r="FY196">
            <v>0</v>
          </cell>
          <cell r="FZ196">
            <v>0</v>
          </cell>
        </row>
        <row r="197">
          <cell r="B197">
            <v>0</v>
          </cell>
          <cell r="C197">
            <v>0</v>
          </cell>
          <cell r="D197">
            <v>0</v>
          </cell>
          <cell r="E197">
            <v>0</v>
          </cell>
          <cell r="F197">
            <v>0</v>
          </cell>
          <cell r="G197">
            <v>0</v>
          </cell>
          <cell r="H197">
            <v>0</v>
          </cell>
          <cell r="I197">
            <v>0</v>
          </cell>
          <cell r="J197">
            <v>0</v>
          </cell>
          <cell r="K197">
            <v>0</v>
          </cell>
          <cell r="L197">
            <v>0</v>
          </cell>
          <cell r="M197">
            <v>0</v>
          </cell>
          <cell r="N197">
            <v>0</v>
          </cell>
          <cell r="O197">
            <v>0</v>
          </cell>
          <cell r="P197">
            <v>0</v>
          </cell>
          <cell r="Q197">
            <v>0</v>
          </cell>
          <cell r="R197">
            <v>0</v>
          </cell>
          <cell r="S197">
            <v>0</v>
          </cell>
          <cell r="T197">
            <v>0</v>
          </cell>
          <cell r="U197">
            <v>0</v>
          </cell>
          <cell r="V197">
            <v>0</v>
          </cell>
          <cell r="W197">
            <v>0</v>
          </cell>
          <cell r="X197">
            <v>0</v>
          </cell>
          <cell r="Y197">
            <v>0</v>
          </cell>
          <cell r="Z197">
            <v>0</v>
          </cell>
          <cell r="AA197">
            <v>0</v>
          </cell>
          <cell r="AB197">
            <v>0</v>
          </cell>
          <cell r="AC197">
            <v>0</v>
          </cell>
          <cell r="AD197">
            <v>0</v>
          </cell>
          <cell r="AE197">
            <v>0</v>
          </cell>
          <cell r="AF197">
            <v>0</v>
          </cell>
          <cell r="AG197">
            <v>0</v>
          </cell>
          <cell r="AH197">
            <v>0</v>
          </cell>
          <cell r="AI197">
            <v>0</v>
          </cell>
          <cell r="AJ197">
            <v>0</v>
          </cell>
          <cell r="AK197">
            <v>0</v>
          </cell>
          <cell r="AL197">
            <v>0</v>
          </cell>
          <cell r="AM197">
            <v>0</v>
          </cell>
          <cell r="AN197">
            <v>0</v>
          </cell>
          <cell r="AO197">
            <v>0</v>
          </cell>
          <cell r="AP197">
            <v>0</v>
          </cell>
          <cell r="AQ197">
            <v>0</v>
          </cell>
          <cell r="AR197">
            <v>0</v>
          </cell>
          <cell r="AS197">
            <v>0</v>
          </cell>
          <cell r="AT197">
            <v>0</v>
          </cell>
          <cell r="AU197">
            <v>0</v>
          </cell>
          <cell r="AV197">
            <v>0</v>
          </cell>
          <cell r="AW197">
            <v>0</v>
          </cell>
          <cell r="AX197">
            <v>0</v>
          </cell>
          <cell r="AY197">
            <v>0</v>
          </cell>
          <cell r="AZ197">
            <v>0</v>
          </cell>
          <cell r="BA197">
            <v>0</v>
          </cell>
          <cell r="BB197">
            <v>0</v>
          </cell>
          <cell r="BC197">
            <v>0</v>
          </cell>
          <cell r="BD197">
            <v>0</v>
          </cell>
          <cell r="BE197">
            <v>0</v>
          </cell>
          <cell r="BF197">
            <v>0</v>
          </cell>
          <cell r="BG197">
            <v>0</v>
          </cell>
          <cell r="BH197">
            <v>0</v>
          </cell>
          <cell r="BI197">
            <v>0</v>
          </cell>
          <cell r="BJ197">
            <v>0</v>
          </cell>
          <cell r="BK197">
            <v>0</v>
          </cell>
          <cell r="BL197">
            <v>0</v>
          </cell>
          <cell r="BM197">
            <v>0</v>
          </cell>
          <cell r="BN197">
            <v>0</v>
          </cell>
          <cell r="BO197">
            <v>0</v>
          </cell>
          <cell r="BP197">
            <v>0</v>
          </cell>
          <cell r="BQ197">
            <v>0</v>
          </cell>
          <cell r="BR197">
            <v>0</v>
          </cell>
          <cell r="BS197">
            <v>0</v>
          </cell>
          <cell r="BT197">
            <v>0</v>
          </cell>
          <cell r="BU197">
            <v>0</v>
          </cell>
          <cell r="BV197">
            <v>0</v>
          </cell>
          <cell r="BW197">
            <v>0</v>
          </cell>
          <cell r="BX197">
            <v>0</v>
          </cell>
          <cell r="BY197">
            <v>0</v>
          </cell>
          <cell r="BZ197">
            <v>0</v>
          </cell>
          <cell r="CA197">
            <v>0</v>
          </cell>
          <cell r="CB197">
            <v>0</v>
          </cell>
          <cell r="CC197">
            <v>0</v>
          </cell>
          <cell r="CD197">
            <v>0</v>
          </cell>
          <cell r="CE197">
            <v>0</v>
          </cell>
          <cell r="CF197">
            <v>0</v>
          </cell>
          <cell r="CG197">
            <v>0</v>
          </cell>
          <cell r="CH197">
            <v>0</v>
          </cell>
          <cell r="CI197">
            <v>0</v>
          </cell>
          <cell r="CJ197">
            <v>0</v>
          </cell>
          <cell r="CK197">
            <v>0</v>
          </cell>
          <cell r="CL197">
            <v>0</v>
          </cell>
          <cell r="CM197">
            <v>0</v>
          </cell>
          <cell r="CN197">
            <v>0</v>
          </cell>
          <cell r="CO197">
            <v>0</v>
          </cell>
          <cell r="CP197">
            <v>0</v>
          </cell>
          <cell r="CQ197">
            <v>0</v>
          </cell>
          <cell r="CR197">
            <v>0</v>
          </cell>
          <cell r="CS197">
            <v>0</v>
          </cell>
          <cell r="CT197">
            <v>0</v>
          </cell>
          <cell r="CU197">
            <v>0</v>
          </cell>
          <cell r="CV197">
            <v>0</v>
          </cell>
          <cell r="CW197">
            <v>0</v>
          </cell>
          <cell r="CX197">
            <v>0</v>
          </cell>
          <cell r="CY197">
            <v>0</v>
          </cell>
          <cell r="CZ197">
            <v>0</v>
          </cell>
          <cell r="DA197">
            <v>0</v>
          </cell>
          <cell r="DB197">
            <v>0</v>
          </cell>
          <cell r="DC197">
            <v>0</v>
          </cell>
          <cell r="DD197">
            <v>0</v>
          </cell>
          <cell r="DE197">
            <v>0</v>
          </cell>
          <cell r="DF197">
            <v>0</v>
          </cell>
          <cell r="DG197">
            <v>0</v>
          </cell>
          <cell r="DH197">
            <v>0</v>
          </cell>
          <cell r="DI197">
            <v>0</v>
          </cell>
          <cell r="DJ197">
            <v>0</v>
          </cell>
          <cell r="DK197">
            <v>0</v>
          </cell>
          <cell r="DL197">
            <v>0</v>
          </cell>
          <cell r="DM197">
            <v>0</v>
          </cell>
          <cell r="DN197">
            <v>0</v>
          </cell>
          <cell r="DO197">
            <v>0</v>
          </cell>
          <cell r="DP197">
            <v>0</v>
          </cell>
          <cell r="DQ197">
            <v>0</v>
          </cell>
          <cell r="DR197">
            <v>0</v>
          </cell>
          <cell r="DS197">
            <v>0</v>
          </cell>
          <cell r="DT197">
            <v>0</v>
          </cell>
          <cell r="DU197">
            <v>0</v>
          </cell>
          <cell r="DV197">
            <v>0</v>
          </cell>
          <cell r="DW197">
            <v>0</v>
          </cell>
          <cell r="DX197">
            <v>0</v>
          </cell>
          <cell r="DY197">
            <v>0</v>
          </cell>
          <cell r="DZ197">
            <v>0</v>
          </cell>
          <cell r="EA197">
            <v>0</v>
          </cell>
          <cell r="EB197">
            <v>0</v>
          </cell>
          <cell r="EC197">
            <v>0</v>
          </cell>
          <cell r="ED197">
            <v>0</v>
          </cell>
          <cell r="EE197">
            <v>0</v>
          </cell>
          <cell r="EF197">
            <v>0</v>
          </cell>
          <cell r="EG197">
            <v>0</v>
          </cell>
          <cell r="EH197">
            <v>0</v>
          </cell>
          <cell r="EI197">
            <v>0</v>
          </cell>
          <cell r="EJ197">
            <v>0</v>
          </cell>
          <cell r="EK197">
            <v>0</v>
          </cell>
          <cell r="EL197">
            <v>0</v>
          </cell>
          <cell r="EM197">
            <v>0</v>
          </cell>
          <cell r="EN197">
            <v>0</v>
          </cell>
          <cell r="EO197">
            <v>0</v>
          </cell>
          <cell r="EP197">
            <v>0</v>
          </cell>
          <cell r="EQ197">
            <v>0</v>
          </cell>
          <cell r="ER197">
            <v>0</v>
          </cell>
          <cell r="ES197">
            <v>0</v>
          </cell>
          <cell r="ET197">
            <v>0</v>
          </cell>
          <cell r="EU197">
            <v>0</v>
          </cell>
          <cell r="EV197">
            <v>0</v>
          </cell>
          <cell r="EW197">
            <v>0</v>
          </cell>
          <cell r="EX197">
            <v>0</v>
          </cell>
          <cell r="EY197">
            <v>0</v>
          </cell>
          <cell r="EZ197">
            <v>0</v>
          </cell>
          <cell r="FA197">
            <v>0</v>
          </cell>
          <cell r="FB197">
            <v>0</v>
          </cell>
          <cell r="FC197">
            <v>0</v>
          </cell>
          <cell r="FD197">
            <v>0</v>
          </cell>
          <cell r="FE197">
            <v>0</v>
          </cell>
          <cell r="FF197">
            <v>0</v>
          </cell>
          <cell r="FG197">
            <v>0</v>
          </cell>
          <cell r="FH197">
            <v>0</v>
          </cell>
          <cell r="FI197">
            <v>0</v>
          </cell>
          <cell r="FJ197">
            <v>0</v>
          </cell>
          <cell r="FK197">
            <v>0</v>
          </cell>
          <cell r="FL197">
            <v>0</v>
          </cell>
          <cell r="FM197">
            <v>0</v>
          </cell>
          <cell r="FN197">
            <v>0</v>
          </cell>
          <cell r="FO197">
            <v>0</v>
          </cell>
          <cell r="FP197">
            <v>0</v>
          </cell>
          <cell r="FQ197">
            <v>0</v>
          </cell>
          <cell r="FR197">
            <v>0</v>
          </cell>
          <cell r="FS197">
            <v>0</v>
          </cell>
          <cell r="FT197">
            <v>0</v>
          </cell>
          <cell r="FU197">
            <v>0</v>
          </cell>
          <cell r="FV197">
            <v>0</v>
          </cell>
          <cell r="FW197">
            <v>0</v>
          </cell>
          <cell r="FX197">
            <v>0</v>
          </cell>
          <cell r="FY197">
            <v>0</v>
          </cell>
          <cell r="FZ197">
            <v>0</v>
          </cell>
        </row>
        <row r="198">
          <cell r="B198">
            <v>0</v>
          </cell>
          <cell r="C198">
            <v>0</v>
          </cell>
          <cell r="D198">
            <v>0</v>
          </cell>
          <cell r="E198">
            <v>0</v>
          </cell>
          <cell r="F198">
            <v>0</v>
          </cell>
          <cell r="G198">
            <v>0</v>
          </cell>
          <cell r="H198">
            <v>0</v>
          </cell>
          <cell r="I198">
            <v>0</v>
          </cell>
          <cell r="J198">
            <v>0</v>
          </cell>
          <cell r="K198">
            <v>0</v>
          </cell>
          <cell r="L198">
            <v>0</v>
          </cell>
          <cell r="M198">
            <v>0</v>
          </cell>
          <cell r="N198">
            <v>0</v>
          </cell>
          <cell r="O198">
            <v>0</v>
          </cell>
          <cell r="P198">
            <v>0</v>
          </cell>
          <cell r="Q198">
            <v>0</v>
          </cell>
          <cell r="R198">
            <v>0</v>
          </cell>
          <cell r="S198">
            <v>0</v>
          </cell>
          <cell r="T198">
            <v>0</v>
          </cell>
          <cell r="U198">
            <v>0</v>
          </cell>
          <cell r="V198">
            <v>0</v>
          </cell>
          <cell r="W198">
            <v>0</v>
          </cell>
          <cell r="X198">
            <v>0</v>
          </cell>
          <cell r="Y198">
            <v>0</v>
          </cell>
          <cell r="Z198">
            <v>0</v>
          </cell>
          <cell r="AA198">
            <v>0</v>
          </cell>
          <cell r="AB198">
            <v>0</v>
          </cell>
          <cell r="AC198">
            <v>0</v>
          </cell>
          <cell r="AD198">
            <v>0</v>
          </cell>
          <cell r="AE198">
            <v>0</v>
          </cell>
          <cell r="AF198">
            <v>0</v>
          </cell>
          <cell r="AG198">
            <v>0</v>
          </cell>
          <cell r="AH198">
            <v>0</v>
          </cell>
          <cell r="AI198">
            <v>0</v>
          </cell>
          <cell r="AJ198">
            <v>0</v>
          </cell>
          <cell r="AK198">
            <v>0</v>
          </cell>
          <cell r="AL198">
            <v>0</v>
          </cell>
          <cell r="AM198">
            <v>0</v>
          </cell>
          <cell r="AN198">
            <v>0</v>
          </cell>
          <cell r="AO198">
            <v>0</v>
          </cell>
          <cell r="AP198">
            <v>0</v>
          </cell>
          <cell r="AQ198">
            <v>0</v>
          </cell>
          <cell r="AR198">
            <v>0</v>
          </cell>
          <cell r="AS198">
            <v>0</v>
          </cell>
          <cell r="AT198">
            <v>0</v>
          </cell>
          <cell r="AU198">
            <v>0</v>
          </cell>
          <cell r="AV198">
            <v>0</v>
          </cell>
          <cell r="AW198">
            <v>0</v>
          </cell>
          <cell r="AX198">
            <v>0</v>
          </cell>
          <cell r="AY198">
            <v>0</v>
          </cell>
          <cell r="AZ198">
            <v>0</v>
          </cell>
          <cell r="BA198">
            <v>0</v>
          </cell>
          <cell r="BB198">
            <v>0</v>
          </cell>
          <cell r="BC198">
            <v>0</v>
          </cell>
          <cell r="BD198">
            <v>0</v>
          </cell>
          <cell r="BE198">
            <v>0</v>
          </cell>
          <cell r="BF198">
            <v>0</v>
          </cell>
          <cell r="BG198">
            <v>0</v>
          </cell>
          <cell r="BH198">
            <v>0</v>
          </cell>
          <cell r="BI198">
            <v>0</v>
          </cell>
          <cell r="BJ198">
            <v>0</v>
          </cell>
          <cell r="BK198">
            <v>0</v>
          </cell>
          <cell r="BL198">
            <v>0</v>
          </cell>
          <cell r="BM198">
            <v>0</v>
          </cell>
          <cell r="BN198">
            <v>0</v>
          </cell>
          <cell r="BO198">
            <v>0</v>
          </cell>
          <cell r="BP198">
            <v>0</v>
          </cell>
          <cell r="BQ198">
            <v>0</v>
          </cell>
          <cell r="BR198">
            <v>0</v>
          </cell>
          <cell r="BS198">
            <v>0</v>
          </cell>
          <cell r="BT198">
            <v>0</v>
          </cell>
          <cell r="BU198">
            <v>0</v>
          </cell>
          <cell r="BV198">
            <v>0</v>
          </cell>
          <cell r="BW198">
            <v>0</v>
          </cell>
          <cell r="BX198">
            <v>0</v>
          </cell>
          <cell r="BY198">
            <v>0</v>
          </cell>
          <cell r="BZ198">
            <v>0</v>
          </cell>
          <cell r="CA198">
            <v>0</v>
          </cell>
          <cell r="CB198">
            <v>0</v>
          </cell>
          <cell r="CC198">
            <v>0</v>
          </cell>
          <cell r="CD198">
            <v>0</v>
          </cell>
          <cell r="CE198">
            <v>0</v>
          </cell>
          <cell r="CF198">
            <v>0</v>
          </cell>
          <cell r="CG198">
            <v>0</v>
          </cell>
          <cell r="CH198">
            <v>0</v>
          </cell>
          <cell r="CI198">
            <v>0</v>
          </cell>
          <cell r="CJ198">
            <v>0</v>
          </cell>
          <cell r="CK198">
            <v>0</v>
          </cell>
          <cell r="CL198">
            <v>0</v>
          </cell>
          <cell r="CM198">
            <v>0</v>
          </cell>
          <cell r="CN198">
            <v>0</v>
          </cell>
          <cell r="CO198">
            <v>0</v>
          </cell>
          <cell r="CP198">
            <v>0</v>
          </cell>
          <cell r="CQ198">
            <v>0</v>
          </cell>
          <cell r="CR198">
            <v>0</v>
          </cell>
          <cell r="CS198">
            <v>0</v>
          </cell>
          <cell r="CT198">
            <v>0</v>
          </cell>
          <cell r="CU198">
            <v>0</v>
          </cell>
          <cell r="CV198">
            <v>0</v>
          </cell>
          <cell r="CW198">
            <v>0</v>
          </cell>
          <cell r="CX198">
            <v>0</v>
          </cell>
          <cell r="CY198">
            <v>0</v>
          </cell>
          <cell r="CZ198">
            <v>0</v>
          </cell>
          <cell r="DA198">
            <v>0</v>
          </cell>
          <cell r="DB198">
            <v>0</v>
          </cell>
          <cell r="DC198">
            <v>0</v>
          </cell>
          <cell r="DD198">
            <v>0</v>
          </cell>
          <cell r="DE198">
            <v>0</v>
          </cell>
          <cell r="DF198">
            <v>0</v>
          </cell>
          <cell r="DG198">
            <v>0</v>
          </cell>
          <cell r="DH198">
            <v>0</v>
          </cell>
          <cell r="DI198">
            <v>0</v>
          </cell>
          <cell r="DJ198">
            <v>0</v>
          </cell>
          <cell r="DK198">
            <v>0</v>
          </cell>
          <cell r="DL198">
            <v>0</v>
          </cell>
          <cell r="DM198">
            <v>0</v>
          </cell>
          <cell r="DN198">
            <v>0</v>
          </cell>
          <cell r="DO198">
            <v>0</v>
          </cell>
          <cell r="DP198">
            <v>0</v>
          </cell>
          <cell r="DQ198">
            <v>0</v>
          </cell>
          <cell r="DR198">
            <v>0</v>
          </cell>
          <cell r="DS198">
            <v>0</v>
          </cell>
          <cell r="DT198">
            <v>0</v>
          </cell>
          <cell r="DU198">
            <v>0</v>
          </cell>
          <cell r="DV198">
            <v>0</v>
          </cell>
          <cell r="DW198">
            <v>0</v>
          </cell>
          <cell r="DX198">
            <v>0</v>
          </cell>
          <cell r="DY198">
            <v>0</v>
          </cell>
          <cell r="DZ198">
            <v>0</v>
          </cell>
          <cell r="EA198">
            <v>0</v>
          </cell>
          <cell r="EB198">
            <v>0</v>
          </cell>
          <cell r="EC198">
            <v>0</v>
          </cell>
          <cell r="ED198">
            <v>0</v>
          </cell>
          <cell r="EE198">
            <v>0</v>
          </cell>
          <cell r="EF198">
            <v>0</v>
          </cell>
          <cell r="EG198">
            <v>0</v>
          </cell>
          <cell r="EH198">
            <v>0</v>
          </cell>
          <cell r="EI198">
            <v>0</v>
          </cell>
          <cell r="EJ198">
            <v>0</v>
          </cell>
          <cell r="EK198">
            <v>0</v>
          </cell>
          <cell r="EL198">
            <v>0</v>
          </cell>
          <cell r="EM198">
            <v>0</v>
          </cell>
          <cell r="EN198">
            <v>0</v>
          </cell>
          <cell r="EO198">
            <v>0</v>
          </cell>
          <cell r="EP198">
            <v>0</v>
          </cell>
          <cell r="EQ198">
            <v>0</v>
          </cell>
          <cell r="ER198">
            <v>0</v>
          </cell>
          <cell r="ES198">
            <v>0</v>
          </cell>
          <cell r="ET198">
            <v>0</v>
          </cell>
          <cell r="EU198">
            <v>0</v>
          </cell>
          <cell r="EV198">
            <v>0</v>
          </cell>
          <cell r="EW198">
            <v>0</v>
          </cell>
          <cell r="EX198">
            <v>0</v>
          </cell>
          <cell r="EY198">
            <v>0</v>
          </cell>
          <cell r="EZ198">
            <v>0</v>
          </cell>
          <cell r="FA198">
            <v>0</v>
          </cell>
          <cell r="FB198">
            <v>0</v>
          </cell>
          <cell r="FC198">
            <v>0</v>
          </cell>
          <cell r="FD198">
            <v>0</v>
          </cell>
          <cell r="FE198">
            <v>0</v>
          </cell>
          <cell r="FF198">
            <v>0</v>
          </cell>
          <cell r="FG198">
            <v>0</v>
          </cell>
          <cell r="FH198">
            <v>0</v>
          </cell>
          <cell r="FI198">
            <v>0</v>
          </cell>
          <cell r="FJ198">
            <v>0</v>
          </cell>
          <cell r="FK198">
            <v>0</v>
          </cell>
          <cell r="FL198">
            <v>0</v>
          </cell>
          <cell r="FM198">
            <v>0</v>
          </cell>
          <cell r="FN198">
            <v>0</v>
          </cell>
          <cell r="FO198">
            <v>0</v>
          </cell>
          <cell r="FP198">
            <v>0</v>
          </cell>
          <cell r="FQ198">
            <v>0</v>
          </cell>
          <cell r="FR198">
            <v>0</v>
          </cell>
          <cell r="FS198">
            <v>0</v>
          </cell>
          <cell r="FT198">
            <v>0</v>
          </cell>
          <cell r="FU198">
            <v>0</v>
          </cell>
          <cell r="FV198">
            <v>0</v>
          </cell>
          <cell r="FW198">
            <v>0</v>
          </cell>
          <cell r="FX198">
            <v>0</v>
          </cell>
          <cell r="FY198">
            <v>0</v>
          </cell>
          <cell r="FZ198">
            <v>0</v>
          </cell>
        </row>
        <row r="199">
          <cell r="B199">
            <v>0</v>
          </cell>
          <cell r="C199">
            <v>0</v>
          </cell>
          <cell r="D199">
            <v>0</v>
          </cell>
          <cell r="E199">
            <v>0</v>
          </cell>
          <cell r="F199">
            <v>0</v>
          </cell>
          <cell r="G199">
            <v>0</v>
          </cell>
          <cell r="H199">
            <v>0</v>
          </cell>
          <cell r="I199">
            <v>0</v>
          </cell>
          <cell r="J199">
            <v>0</v>
          </cell>
          <cell r="K199">
            <v>0</v>
          </cell>
          <cell r="L199">
            <v>0</v>
          </cell>
          <cell r="M199">
            <v>0</v>
          </cell>
          <cell r="N199">
            <v>0</v>
          </cell>
          <cell r="O199">
            <v>0</v>
          </cell>
          <cell r="P199">
            <v>0</v>
          </cell>
          <cell r="Q199">
            <v>0</v>
          </cell>
          <cell r="R199">
            <v>0</v>
          </cell>
          <cell r="S199">
            <v>0</v>
          </cell>
          <cell r="T199">
            <v>0</v>
          </cell>
          <cell r="U199">
            <v>0</v>
          </cell>
          <cell r="V199">
            <v>0</v>
          </cell>
          <cell r="W199">
            <v>0</v>
          </cell>
          <cell r="X199">
            <v>0</v>
          </cell>
          <cell r="Y199">
            <v>0</v>
          </cell>
          <cell r="Z199">
            <v>0</v>
          </cell>
          <cell r="AA199">
            <v>0</v>
          </cell>
          <cell r="AB199">
            <v>0</v>
          </cell>
          <cell r="AC199">
            <v>0</v>
          </cell>
          <cell r="AD199">
            <v>0</v>
          </cell>
          <cell r="AE199">
            <v>0</v>
          </cell>
          <cell r="AF199">
            <v>0</v>
          </cell>
          <cell r="AG199">
            <v>0</v>
          </cell>
          <cell r="AH199">
            <v>0</v>
          </cell>
          <cell r="AI199">
            <v>0</v>
          </cell>
          <cell r="AJ199">
            <v>0</v>
          </cell>
          <cell r="AK199">
            <v>0</v>
          </cell>
          <cell r="AL199">
            <v>0</v>
          </cell>
          <cell r="AM199">
            <v>0</v>
          </cell>
          <cell r="AN199">
            <v>0</v>
          </cell>
          <cell r="AO199">
            <v>0</v>
          </cell>
          <cell r="AP199">
            <v>0</v>
          </cell>
          <cell r="AQ199">
            <v>0</v>
          </cell>
          <cell r="AR199">
            <v>0</v>
          </cell>
          <cell r="AS199">
            <v>0</v>
          </cell>
          <cell r="AT199">
            <v>0</v>
          </cell>
          <cell r="AU199">
            <v>0</v>
          </cell>
          <cell r="AV199">
            <v>0</v>
          </cell>
          <cell r="AW199">
            <v>0</v>
          </cell>
          <cell r="AX199">
            <v>0</v>
          </cell>
          <cell r="AY199">
            <v>0</v>
          </cell>
          <cell r="AZ199">
            <v>0</v>
          </cell>
          <cell r="BA199">
            <v>0</v>
          </cell>
          <cell r="BB199">
            <v>0</v>
          </cell>
          <cell r="BC199">
            <v>0</v>
          </cell>
          <cell r="BD199">
            <v>0</v>
          </cell>
          <cell r="BE199">
            <v>0</v>
          </cell>
          <cell r="BF199">
            <v>0</v>
          </cell>
          <cell r="BG199">
            <v>0</v>
          </cell>
          <cell r="BH199">
            <v>0</v>
          </cell>
          <cell r="BI199">
            <v>0</v>
          </cell>
          <cell r="BJ199">
            <v>0</v>
          </cell>
          <cell r="BK199">
            <v>0</v>
          </cell>
          <cell r="BL199">
            <v>0</v>
          </cell>
          <cell r="BM199">
            <v>0</v>
          </cell>
          <cell r="BN199">
            <v>0</v>
          </cell>
          <cell r="BO199">
            <v>0</v>
          </cell>
          <cell r="BP199">
            <v>0</v>
          </cell>
          <cell r="BQ199">
            <v>0</v>
          </cell>
          <cell r="BR199">
            <v>0</v>
          </cell>
          <cell r="BS199">
            <v>0</v>
          </cell>
          <cell r="BT199">
            <v>0</v>
          </cell>
          <cell r="BU199">
            <v>0</v>
          </cell>
          <cell r="BV199">
            <v>0</v>
          </cell>
          <cell r="BW199">
            <v>0</v>
          </cell>
          <cell r="BX199">
            <v>0</v>
          </cell>
          <cell r="BY199">
            <v>0</v>
          </cell>
          <cell r="BZ199">
            <v>0</v>
          </cell>
          <cell r="CA199">
            <v>0</v>
          </cell>
          <cell r="CB199">
            <v>0</v>
          </cell>
          <cell r="CC199">
            <v>0</v>
          </cell>
          <cell r="CD199">
            <v>0</v>
          </cell>
          <cell r="CE199">
            <v>0</v>
          </cell>
          <cell r="CF199">
            <v>0</v>
          </cell>
          <cell r="CG199">
            <v>0</v>
          </cell>
          <cell r="CH199">
            <v>0</v>
          </cell>
          <cell r="CI199">
            <v>0</v>
          </cell>
          <cell r="CJ199">
            <v>0</v>
          </cell>
          <cell r="CK199">
            <v>0</v>
          </cell>
          <cell r="CL199">
            <v>0</v>
          </cell>
          <cell r="CM199">
            <v>0</v>
          </cell>
          <cell r="CN199">
            <v>0</v>
          </cell>
          <cell r="CO199">
            <v>0</v>
          </cell>
          <cell r="CP199">
            <v>0</v>
          </cell>
          <cell r="CQ199">
            <v>0</v>
          </cell>
          <cell r="CR199">
            <v>0</v>
          </cell>
          <cell r="CS199">
            <v>0</v>
          </cell>
          <cell r="CT199">
            <v>0</v>
          </cell>
          <cell r="CU199">
            <v>0</v>
          </cell>
          <cell r="CV199">
            <v>0</v>
          </cell>
          <cell r="CW199">
            <v>0</v>
          </cell>
          <cell r="CX199">
            <v>0</v>
          </cell>
          <cell r="CY199">
            <v>0</v>
          </cell>
          <cell r="CZ199">
            <v>0</v>
          </cell>
          <cell r="DA199">
            <v>0</v>
          </cell>
          <cell r="DB199">
            <v>0</v>
          </cell>
          <cell r="DC199">
            <v>0</v>
          </cell>
          <cell r="DD199">
            <v>0</v>
          </cell>
          <cell r="DE199">
            <v>0</v>
          </cell>
          <cell r="DF199">
            <v>0</v>
          </cell>
          <cell r="DG199">
            <v>0</v>
          </cell>
          <cell r="DH199">
            <v>0</v>
          </cell>
          <cell r="DI199">
            <v>0</v>
          </cell>
          <cell r="DJ199">
            <v>0</v>
          </cell>
          <cell r="DK199">
            <v>0</v>
          </cell>
          <cell r="DL199">
            <v>0</v>
          </cell>
          <cell r="DM199">
            <v>0</v>
          </cell>
          <cell r="DN199">
            <v>0</v>
          </cell>
          <cell r="DO199">
            <v>0</v>
          </cell>
          <cell r="DP199">
            <v>0</v>
          </cell>
          <cell r="DQ199">
            <v>0</v>
          </cell>
          <cell r="DR199">
            <v>0</v>
          </cell>
          <cell r="DS199">
            <v>0</v>
          </cell>
          <cell r="DT199">
            <v>0</v>
          </cell>
          <cell r="DU199">
            <v>0</v>
          </cell>
          <cell r="DV199">
            <v>0</v>
          </cell>
          <cell r="DW199">
            <v>0</v>
          </cell>
          <cell r="DX199">
            <v>0</v>
          </cell>
          <cell r="DY199">
            <v>0</v>
          </cell>
          <cell r="DZ199">
            <v>0</v>
          </cell>
          <cell r="EA199">
            <v>0</v>
          </cell>
          <cell r="EB199">
            <v>0</v>
          </cell>
          <cell r="EC199">
            <v>0</v>
          </cell>
          <cell r="ED199">
            <v>0</v>
          </cell>
          <cell r="EE199">
            <v>0</v>
          </cell>
          <cell r="EF199">
            <v>0</v>
          </cell>
          <cell r="EG199">
            <v>0</v>
          </cell>
          <cell r="EH199">
            <v>0</v>
          </cell>
          <cell r="EI199">
            <v>0</v>
          </cell>
          <cell r="EJ199">
            <v>0</v>
          </cell>
          <cell r="EK199">
            <v>0</v>
          </cell>
          <cell r="EL199">
            <v>0</v>
          </cell>
          <cell r="EM199">
            <v>0</v>
          </cell>
          <cell r="EN199">
            <v>0</v>
          </cell>
          <cell r="EO199">
            <v>0</v>
          </cell>
          <cell r="EP199">
            <v>0</v>
          </cell>
          <cell r="EQ199">
            <v>0</v>
          </cell>
          <cell r="ER199">
            <v>0</v>
          </cell>
          <cell r="ES199">
            <v>0</v>
          </cell>
          <cell r="ET199">
            <v>0</v>
          </cell>
          <cell r="EU199">
            <v>0</v>
          </cell>
          <cell r="EV199">
            <v>0</v>
          </cell>
          <cell r="EW199">
            <v>0</v>
          </cell>
          <cell r="EX199">
            <v>0</v>
          </cell>
          <cell r="EY199">
            <v>0</v>
          </cell>
          <cell r="EZ199">
            <v>0</v>
          </cell>
          <cell r="FA199">
            <v>0</v>
          </cell>
          <cell r="FB199">
            <v>0</v>
          </cell>
          <cell r="FC199">
            <v>0</v>
          </cell>
          <cell r="FD199">
            <v>0</v>
          </cell>
          <cell r="FE199">
            <v>0</v>
          </cell>
          <cell r="FF199">
            <v>0</v>
          </cell>
          <cell r="FG199">
            <v>0</v>
          </cell>
          <cell r="FH199">
            <v>0</v>
          </cell>
          <cell r="FI199">
            <v>0</v>
          </cell>
          <cell r="FJ199">
            <v>0</v>
          </cell>
          <cell r="FK199">
            <v>0</v>
          </cell>
          <cell r="FL199">
            <v>0</v>
          </cell>
          <cell r="FM199">
            <v>0</v>
          </cell>
          <cell r="FN199">
            <v>0</v>
          </cell>
          <cell r="FO199">
            <v>0</v>
          </cell>
          <cell r="FP199">
            <v>0</v>
          </cell>
          <cell r="FQ199">
            <v>0</v>
          </cell>
          <cell r="FR199">
            <v>0</v>
          </cell>
          <cell r="FS199">
            <v>0</v>
          </cell>
          <cell r="FT199">
            <v>0</v>
          </cell>
          <cell r="FU199">
            <v>0</v>
          </cell>
          <cell r="FV199">
            <v>0</v>
          </cell>
          <cell r="FW199">
            <v>0</v>
          </cell>
          <cell r="FX199">
            <v>0</v>
          </cell>
          <cell r="FY199">
            <v>0</v>
          </cell>
          <cell r="FZ199">
            <v>0</v>
          </cell>
        </row>
        <row r="200">
          <cell r="B200">
            <v>0</v>
          </cell>
          <cell r="C200">
            <v>0</v>
          </cell>
          <cell r="D200">
            <v>0</v>
          </cell>
          <cell r="E200">
            <v>0</v>
          </cell>
          <cell r="F200">
            <v>0</v>
          </cell>
          <cell r="G200">
            <v>0</v>
          </cell>
          <cell r="H200">
            <v>0</v>
          </cell>
          <cell r="I200">
            <v>0</v>
          </cell>
          <cell r="J200">
            <v>0</v>
          </cell>
          <cell r="K200">
            <v>0</v>
          </cell>
          <cell r="L200">
            <v>0</v>
          </cell>
          <cell r="M200">
            <v>0</v>
          </cell>
          <cell r="N200">
            <v>0</v>
          </cell>
          <cell r="O200">
            <v>0</v>
          </cell>
          <cell r="P200">
            <v>0</v>
          </cell>
          <cell r="Q200">
            <v>0</v>
          </cell>
          <cell r="R200">
            <v>0</v>
          </cell>
          <cell r="S200">
            <v>0</v>
          </cell>
          <cell r="T200">
            <v>0</v>
          </cell>
          <cell r="U200">
            <v>0</v>
          </cell>
          <cell r="V200">
            <v>0</v>
          </cell>
          <cell r="W200">
            <v>0</v>
          </cell>
          <cell r="X200">
            <v>0</v>
          </cell>
          <cell r="Y200">
            <v>0</v>
          </cell>
          <cell r="Z200">
            <v>0</v>
          </cell>
          <cell r="AA200">
            <v>0</v>
          </cell>
          <cell r="AB200">
            <v>0</v>
          </cell>
          <cell r="AC200">
            <v>0</v>
          </cell>
          <cell r="AD200">
            <v>0</v>
          </cell>
          <cell r="AE200">
            <v>0</v>
          </cell>
          <cell r="AF200">
            <v>0</v>
          </cell>
          <cell r="AG200">
            <v>0</v>
          </cell>
          <cell r="AH200">
            <v>0</v>
          </cell>
          <cell r="AI200">
            <v>0</v>
          </cell>
          <cell r="AJ200">
            <v>0</v>
          </cell>
          <cell r="AK200">
            <v>0</v>
          </cell>
          <cell r="AL200">
            <v>0</v>
          </cell>
          <cell r="AM200">
            <v>0</v>
          </cell>
          <cell r="AN200">
            <v>0</v>
          </cell>
          <cell r="AO200">
            <v>0</v>
          </cell>
          <cell r="AP200">
            <v>0</v>
          </cell>
          <cell r="AQ200">
            <v>0</v>
          </cell>
          <cell r="AR200">
            <v>0</v>
          </cell>
          <cell r="AS200">
            <v>0</v>
          </cell>
          <cell r="AT200">
            <v>0</v>
          </cell>
          <cell r="AU200">
            <v>0</v>
          </cell>
          <cell r="AV200">
            <v>0</v>
          </cell>
          <cell r="AW200">
            <v>0</v>
          </cell>
          <cell r="AX200">
            <v>0</v>
          </cell>
          <cell r="AY200">
            <v>0</v>
          </cell>
          <cell r="AZ200">
            <v>0</v>
          </cell>
          <cell r="BA200">
            <v>0</v>
          </cell>
          <cell r="BB200">
            <v>0</v>
          </cell>
          <cell r="BC200">
            <v>0</v>
          </cell>
          <cell r="BD200">
            <v>0</v>
          </cell>
          <cell r="BE200">
            <v>0</v>
          </cell>
          <cell r="BF200">
            <v>0</v>
          </cell>
          <cell r="BG200">
            <v>0</v>
          </cell>
          <cell r="BH200">
            <v>0</v>
          </cell>
          <cell r="BI200">
            <v>0</v>
          </cell>
          <cell r="BJ200">
            <v>0</v>
          </cell>
          <cell r="BK200">
            <v>0</v>
          </cell>
          <cell r="BL200">
            <v>0</v>
          </cell>
          <cell r="BM200">
            <v>0</v>
          </cell>
          <cell r="BN200">
            <v>0</v>
          </cell>
          <cell r="BO200">
            <v>0</v>
          </cell>
          <cell r="BP200">
            <v>0</v>
          </cell>
          <cell r="BQ200">
            <v>0</v>
          </cell>
          <cell r="BR200">
            <v>0</v>
          </cell>
          <cell r="BS200">
            <v>0</v>
          </cell>
          <cell r="BT200">
            <v>0</v>
          </cell>
          <cell r="BU200">
            <v>0</v>
          </cell>
          <cell r="BV200">
            <v>0</v>
          </cell>
          <cell r="BW200">
            <v>0</v>
          </cell>
          <cell r="BX200">
            <v>0</v>
          </cell>
          <cell r="BY200">
            <v>0</v>
          </cell>
          <cell r="BZ200">
            <v>0</v>
          </cell>
          <cell r="CA200">
            <v>0</v>
          </cell>
          <cell r="CB200">
            <v>0</v>
          </cell>
          <cell r="CC200">
            <v>0</v>
          </cell>
          <cell r="CD200">
            <v>0</v>
          </cell>
          <cell r="CE200">
            <v>0</v>
          </cell>
          <cell r="CF200">
            <v>0</v>
          </cell>
          <cell r="CG200">
            <v>0</v>
          </cell>
          <cell r="CH200">
            <v>0</v>
          </cell>
          <cell r="CI200">
            <v>0</v>
          </cell>
          <cell r="CJ200">
            <v>0</v>
          </cell>
          <cell r="CK200">
            <v>0</v>
          </cell>
          <cell r="CL200">
            <v>0</v>
          </cell>
          <cell r="CM200">
            <v>0</v>
          </cell>
          <cell r="CN200">
            <v>0</v>
          </cell>
          <cell r="CO200">
            <v>0</v>
          </cell>
          <cell r="CP200">
            <v>0</v>
          </cell>
          <cell r="CQ200">
            <v>0</v>
          </cell>
          <cell r="CR200">
            <v>0</v>
          </cell>
          <cell r="CS200">
            <v>0</v>
          </cell>
          <cell r="CT200">
            <v>0</v>
          </cell>
          <cell r="CU200">
            <v>0</v>
          </cell>
          <cell r="CV200">
            <v>0</v>
          </cell>
          <cell r="CW200">
            <v>0</v>
          </cell>
          <cell r="CX200">
            <v>0</v>
          </cell>
          <cell r="CY200">
            <v>0</v>
          </cell>
          <cell r="CZ200">
            <v>0</v>
          </cell>
          <cell r="DA200">
            <v>0</v>
          </cell>
          <cell r="DB200">
            <v>0</v>
          </cell>
          <cell r="DC200">
            <v>0</v>
          </cell>
          <cell r="DD200">
            <v>0</v>
          </cell>
          <cell r="DE200">
            <v>0</v>
          </cell>
          <cell r="DF200">
            <v>0</v>
          </cell>
          <cell r="DG200">
            <v>0</v>
          </cell>
          <cell r="DH200">
            <v>0</v>
          </cell>
          <cell r="DI200">
            <v>0</v>
          </cell>
          <cell r="DJ200">
            <v>0</v>
          </cell>
          <cell r="DK200">
            <v>0</v>
          </cell>
          <cell r="DL200">
            <v>0</v>
          </cell>
          <cell r="DM200">
            <v>0</v>
          </cell>
          <cell r="DN200">
            <v>0</v>
          </cell>
          <cell r="DO200">
            <v>0</v>
          </cell>
          <cell r="DP200">
            <v>0</v>
          </cell>
          <cell r="DQ200">
            <v>0</v>
          </cell>
          <cell r="DR200">
            <v>0</v>
          </cell>
          <cell r="DS200">
            <v>0</v>
          </cell>
          <cell r="DT200">
            <v>0</v>
          </cell>
          <cell r="DU200">
            <v>0</v>
          </cell>
          <cell r="DV200">
            <v>0</v>
          </cell>
          <cell r="DW200">
            <v>0</v>
          </cell>
          <cell r="DX200">
            <v>0</v>
          </cell>
          <cell r="DY200">
            <v>0</v>
          </cell>
          <cell r="DZ200">
            <v>0</v>
          </cell>
          <cell r="EA200">
            <v>0</v>
          </cell>
          <cell r="EB200">
            <v>0</v>
          </cell>
          <cell r="EC200">
            <v>0</v>
          </cell>
          <cell r="ED200">
            <v>0</v>
          </cell>
          <cell r="EE200">
            <v>0</v>
          </cell>
          <cell r="EF200">
            <v>0</v>
          </cell>
          <cell r="EG200">
            <v>0</v>
          </cell>
          <cell r="EH200">
            <v>0</v>
          </cell>
          <cell r="EI200">
            <v>0</v>
          </cell>
          <cell r="EJ200">
            <v>0</v>
          </cell>
          <cell r="EK200">
            <v>0</v>
          </cell>
          <cell r="EL200">
            <v>0</v>
          </cell>
          <cell r="EM200">
            <v>0</v>
          </cell>
          <cell r="EN200">
            <v>0</v>
          </cell>
          <cell r="EO200">
            <v>0</v>
          </cell>
          <cell r="EP200">
            <v>0</v>
          </cell>
          <cell r="EQ200">
            <v>0</v>
          </cell>
          <cell r="ER200">
            <v>0</v>
          </cell>
          <cell r="ES200">
            <v>0</v>
          </cell>
          <cell r="ET200">
            <v>0</v>
          </cell>
          <cell r="EU200">
            <v>0</v>
          </cell>
          <cell r="EV200">
            <v>0</v>
          </cell>
          <cell r="EW200">
            <v>0</v>
          </cell>
          <cell r="EX200">
            <v>0</v>
          </cell>
          <cell r="EY200">
            <v>0</v>
          </cell>
          <cell r="EZ200">
            <v>0</v>
          </cell>
          <cell r="FA200">
            <v>0</v>
          </cell>
          <cell r="FB200">
            <v>0</v>
          </cell>
          <cell r="FC200">
            <v>0</v>
          </cell>
          <cell r="FD200">
            <v>0</v>
          </cell>
          <cell r="FE200">
            <v>0</v>
          </cell>
          <cell r="FF200">
            <v>0</v>
          </cell>
          <cell r="FG200">
            <v>0</v>
          </cell>
          <cell r="FH200">
            <v>0</v>
          </cell>
          <cell r="FI200">
            <v>0</v>
          </cell>
          <cell r="FJ200">
            <v>0</v>
          </cell>
          <cell r="FK200">
            <v>0</v>
          </cell>
          <cell r="FL200">
            <v>0</v>
          </cell>
          <cell r="FM200">
            <v>0</v>
          </cell>
          <cell r="FN200">
            <v>0</v>
          </cell>
          <cell r="FO200">
            <v>0</v>
          </cell>
          <cell r="FP200">
            <v>0</v>
          </cell>
          <cell r="FQ200">
            <v>0</v>
          </cell>
          <cell r="FR200">
            <v>0</v>
          </cell>
          <cell r="FS200">
            <v>0</v>
          </cell>
          <cell r="FT200">
            <v>0</v>
          </cell>
          <cell r="FU200">
            <v>0</v>
          </cell>
          <cell r="FV200">
            <v>0</v>
          </cell>
          <cell r="FW200">
            <v>0</v>
          </cell>
          <cell r="FX200">
            <v>0</v>
          </cell>
          <cell r="FY200">
            <v>0</v>
          </cell>
          <cell r="FZ200">
            <v>0</v>
          </cell>
        </row>
        <row r="201">
          <cell r="B201">
            <v>0</v>
          </cell>
          <cell r="C201">
            <v>0</v>
          </cell>
          <cell r="D201">
            <v>0</v>
          </cell>
          <cell r="E201">
            <v>0</v>
          </cell>
          <cell r="F201">
            <v>0</v>
          </cell>
          <cell r="G201">
            <v>0</v>
          </cell>
          <cell r="H201">
            <v>0</v>
          </cell>
          <cell r="I201">
            <v>0</v>
          </cell>
          <cell r="J201">
            <v>0</v>
          </cell>
          <cell r="K201">
            <v>0</v>
          </cell>
          <cell r="L201">
            <v>0</v>
          </cell>
          <cell r="M201">
            <v>0</v>
          </cell>
          <cell r="N201">
            <v>0</v>
          </cell>
          <cell r="O201">
            <v>0</v>
          </cell>
          <cell r="P201">
            <v>0</v>
          </cell>
          <cell r="Q201">
            <v>0</v>
          </cell>
          <cell r="R201">
            <v>0</v>
          </cell>
          <cell r="S201">
            <v>0</v>
          </cell>
          <cell r="T201">
            <v>0</v>
          </cell>
          <cell r="U201">
            <v>0</v>
          </cell>
          <cell r="V201">
            <v>0</v>
          </cell>
          <cell r="W201">
            <v>0</v>
          </cell>
          <cell r="X201">
            <v>0</v>
          </cell>
          <cell r="Y201">
            <v>0</v>
          </cell>
          <cell r="Z201">
            <v>0</v>
          </cell>
          <cell r="AA201">
            <v>0</v>
          </cell>
          <cell r="AB201">
            <v>0</v>
          </cell>
          <cell r="AC201">
            <v>0</v>
          </cell>
          <cell r="AD201">
            <v>0</v>
          </cell>
          <cell r="AE201">
            <v>0</v>
          </cell>
          <cell r="AF201">
            <v>0</v>
          </cell>
          <cell r="AG201">
            <v>0</v>
          </cell>
          <cell r="AH201">
            <v>0</v>
          </cell>
          <cell r="AI201">
            <v>0</v>
          </cell>
          <cell r="AJ201">
            <v>0</v>
          </cell>
          <cell r="AK201">
            <v>0</v>
          </cell>
          <cell r="AL201">
            <v>0</v>
          </cell>
          <cell r="AM201">
            <v>0</v>
          </cell>
          <cell r="AN201">
            <v>0</v>
          </cell>
          <cell r="AO201">
            <v>0</v>
          </cell>
          <cell r="AP201">
            <v>0</v>
          </cell>
          <cell r="AQ201">
            <v>0</v>
          </cell>
          <cell r="AR201">
            <v>0</v>
          </cell>
          <cell r="AS201">
            <v>0</v>
          </cell>
          <cell r="AT201">
            <v>0</v>
          </cell>
          <cell r="AU201">
            <v>0</v>
          </cell>
          <cell r="AV201">
            <v>0</v>
          </cell>
          <cell r="AW201">
            <v>0</v>
          </cell>
          <cell r="AX201">
            <v>0</v>
          </cell>
          <cell r="AY201">
            <v>0</v>
          </cell>
          <cell r="AZ201">
            <v>0</v>
          </cell>
          <cell r="BA201">
            <v>0</v>
          </cell>
          <cell r="BB201">
            <v>0</v>
          </cell>
          <cell r="BC201">
            <v>0</v>
          </cell>
          <cell r="BD201">
            <v>0</v>
          </cell>
          <cell r="BE201">
            <v>0</v>
          </cell>
          <cell r="BF201">
            <v>0</v>
          </cell>
          <cell r="BG201">
            <v>0</v>
          </cell>
          <cell r="BH201">
            <v>0</v>
          </cell>
          <cell r="BI201">
            <v>0</v>
          </cell>
          <cell r="BJ201">
            <v>0</v>
          </cell>
          <cell r="BK201">
            <v>0</v>
          </cell>
          <cell r="BL201">
            <v>0</v>
          </cell>
          <cell r="BM201">
            <v>0</v>
          </cell>
          <cell r="BN201">
            <v>0</v>
          </cell>
          <cell r="BO201">
            <v>0</v>
          </cell>
          <cell r="BP201">
            <v>0</v>
          </cell>
          <cell r="BQ201">
            <v>0</v>
          </cell>
          <cell r="BR201">
            <v>0</v>
          </cell>
          <cell r="BS201">
            <v>0</v>
          </cell>
          <cell r="BT201">
            <v>0</v>
          </cell>
          <cell r="BU201">
            <v>0</v>
          </cell>
          <cell r="BV201">
            <v>0</v>
          </cell>
          <cell r="BW201">
            <v>0</v>
          </cell>
          <cell r="BX201">
            <v>0</v>
          </cell>
          <cell r="BY201">
            <v>0</v>
          </cell>
          <cell r="BZ201">
            <v>0</v>
          </cell>
          <cell r="CA201">
            <v>0</v>
          </cell>
          <cell r="CB201">
            <v>0</v>
          </cell>
          <cell r="CC201">
            <v>0</v>
          </cell>
          <cell r="CD201">
            <v>0</v>
          </cell>
          <cell r="CE201">
            <v>0</v>
          </cell>
          <cell r="CF201">
            <v>0</v>
          </cell>
          <cell r="CG201">
            <v>0</v>
          </cell>
          <cell r="CH201">
            <v>0</v>
          </cell>
          <cell r="CI201">
            <v>0</v>
          </cell>
          <cell r="CJ201">
            <v>0</v>
          </cell>
          <cell r="CK201">
            <v>0</v>
          </cell>
          <cell r="CL201">
            <v>0</v>
          </cell>
          <cell r="CM201">
            <v>0</v>
          </cell>
          <cell r="CN201">
            <v>0</v>
          </cell>
          <cell r="CO201">
            <v>0</v>
          </cell>
          <cell r="CP201">
            <v>0</v>
          </cell>
          <cell r="CQ201">
            <v>0</v>
          </cell>
          <cell r="CR201">
            <v>0</v>
          </cell>
          <cell r="CS201">
            <v>0</v>
          </cell>
          <cell r="CT201">
            <v>0</v>
          </cell>
          <cell r="CU201">
            <v>0</v>
          </cell>
          <cell r="CV201">
            <v>0</v>
          </cell>
          <cell r="CW201">
            <v>0</v>
          </cell>
          <cell r="CX201">
            <v>0</v>
          </cell>
          <cell r="CY201">
            <v>0</v>
          </cell>
          <cell r="CZ201">
            <v>0</v>
          </cell>
          <cell r="DA201">
            <v>0</v>
          </cell>
          <cell r="DB201">
            <v>0</v>
          </cell>
          <cell r="DC201">
            <v>0</v>
          </cell>
          <cell r="DD201">
            <v>0</v>
          </cell>
          <cell r="DE201">
            <v>0</v>
          </cell>
          <cell r="DF201">
            <v>0</v>
          </cell>
          <cell r="DG201">
            <v>0</v>
          </cell>
          <cell r="DH201">
            <v>0</v>
          </cell>
          <cell r="DI201">
            <v>0</v>
          </cell>
          <cell r="DJ201">
            <v>0</v>
          </cell>
          <cell r="DK201">
            <v>0</v>
          </cell>
          <cell r="DL201">
            <v>0</v>
          </cell>
          <cell r="DM201">
            <v>0</v>
          </cell>
          <cell r="DN201">
            <v>0</v>
          </cell>
          <cell r="DO201">
            <v>0</v>
          </cell>
          <cell r="DP201">
            <v>0</v>
          </cell>
          <cell r="DQ201">
            <v>0</v>
          </cell>
          <cell r="DR201">
            <v>0</v>
          </cell>
          <cell r="DS201">
            <v>0</v>
          </cell>
          <cell r="DT201">
            <v>0</v>
          </cell>
          <cell r="DU201">
            <v>0</v>
          </cell>
          <cell r="DV201">
            <v>0</v>
          </cell>
          <cell r="DW201">
            <v>0</v>
          </cell>
          <cell r="DX201">
            <v>0</v>
          </cell>
          <cell r="DY201">
            <v>0</v>
          </cell>
          <cell r="DZ201">
            <v>0</v>
          </cell>
          <cell r="EA201">
            <v>0</v>
          </cell>
          <cell r="EB201">
            <v>0</v>
          </cell>
          <cell r="EC201">
            <v>0</v>
          </cell>
          <cell r="ED201">
            <v>0</v>
          </cell>
          <cell r="EE201">
            <v>0</v>
          </cell>
          <cell r="EF201">
            <v>0</v>
          </cell>
          <cell r="EG201">
            <v>0</v>
          </cell>
          <cell r="EH201">
            <v>0</v>
          </cell>
          <cell r="EI201">
            <v>0</v>
          </cell>
          <cell r="EJ201">
            <v>0</v>
          </cell>
          <cell r="EK201">
            <v>0</v>
          </cell>
          <cell r="EL201">
            <v>0</v>
          </cell>
          <cell r="EM201">
            <v>0</v>
          </cell>
          <cell r="EN201">
            <v>0</v>
          </cell>
          <cell r="EO201">
            <v>0</v>
          </cell>
          <cell r="EP201">
            <v>0</v>
          </cell>
          <cell r="EQ201">
            <v>0</v>
          </cell>
          <cell r="ER201">
            <v>0</v>
          </cell>
          <cell r="ES201">
            <v>0</v>
          </cell>
          <cell r="ET201">
            <v>0</v>
          </cell>
          <cell r="EU201">
            <v>0</v>
          </cell>
          <cell r="EV201">
            <v>0</v>
          </cell>
          <cell r="EW201">
            <v>0</v>
          </cell>
          <cell r="EX201">
            <v>0</v>
          </cell>
          <cell r="EY201">
            <v>0</v>
          </cell>
          <cell r="EZ201">
            <v>0</v>
          </cell>
          <cell r="FA201">
            <v>0</v>
          </cell>
          <cell r="FB201">
            <v>0</v>
          </cell>
          <cell r="FC201">
            <v>0</v>
          </cell>
          <cell r="FD201">
            <v>0</v>
          </cell>
          <cell r="FE201">
            <v>0</v>
          </cell>
          <cell r="FF201">
            <v>0</v>
          </cell>
          <cell r="FG201">
            <v>0</v>
          </cell>
          <cell r="FH201">
            <v>0</v>
          </cell>
          <cell r="FI201">
            <v>0</v>
          </cell>
          <cell r="FJ201">
            <v>0</v>
          </cell>
          <cell r="FK201">
            <v>0</v>
          </cell>
          <cell r="FL201">
            <v>0</v>
          </cell>
          <cell r="FM201">
            <v>0</v>
          </cell>
          <cell r="FN201">
            <v>0</v>
          </cell>
          <cell r="FO201">
            <v>0</v>
          </cell>
          <cell r="FP201">
            <v>0</v>
          </cell>
          <cell r="FQ201">
            <v>0</v>
          </cell>
          <cell r="FR201">
            <v>0</v>
          </cell>
          <cell r="FS201">
            <v>0</v>
          </cell>
          <cell r="FT201">
            <v>0</v>
          </cell>
          <cell r="FU201">
            <v>0</v>
          </cell>
          <cell r="FV201">
            <v>0</v>
          </cell>
          <cell r="FW201">
            <v>0</v>
          </cell>
          <cell r="FX201">
            <v>0</v>
          </cell>
          <cell r="FY201">
            <v>0</v>
          </cell>
          <cell r="FZ201">
            <v>0</v>
          </cell>
        </row>
        <row r="202">
          <cell r="B202">
            <v>0</v>
          </cell>
          <cell r="C202">
            <v>0</v>
          </cell>
          <cell r="D202">
            <v>0</v>
          </cell>
          <cell r="E202">
            <v>0</v>
          </cell>
          <cell r="F202">
            <v>0</v>
          </cell>
          <cell r="G202">
            <v>0</v>
          </cell>
          <cell r="H202">
            <v>0</v>
          </cell>
          <cell r="I202">
            <v>0</v>
          </cell>
          <cell r="J202">
            <v>0</v>
          </cell>
          <cell r="K202">
            <v>0</v>
          </cell>
          <cell r="L202">
            <v>0</v>
          </cell>
          <cell r="M202">
            <v>0</v>
          </cell>
          <cell r="N202">
            <v>0</v>
          </cell>
          <cell r="O202">
            <v>0</v>
          </cell>
          <cell r="P202">
            <v>0</v>
          </cell>
          <cell r="Q202">
            <v>0</v>
          </cell>
          <cell r="R202">
            <v>0</v>
          </cell>
          <cell r="S202">
            <v>0</v>
          </cell>
          <cell r="T202">
            <v>0</v>
          </cell>
          <cell r="U202">
            <v>0</v>
          </cell>
          <cell r="V202">
            <v>0</v>
          </cell>
          <cell r="W202">
            <v>0</v>
          </cell>
          <cell r="X202">
            <v>0</v>
          </cell>
          <cell r="Y202">
            <v>0</v>
          </cell>
          <cell r="Z202">
            <v>0</v>
          </cell>
          <cell r="AA202">
            <v>0</v>
          </cell>
          <cell r="AB202">
            <v>0</v>
          </cell>
          <cell r="AC202">
            <v>0</v>
          </cell>
          <cell r="AD202">
            <v>0</v>
          </cell>
          <cell r="AE202">
            <v>0</v>
          </cell>
          <cell r="AF202">
            <v>0</v>
          </cell>
          <cell r="AG202">
            <v>0</v>
          </cell>
          <cell r="AH202">
            <v>0</v>
          </cell>
          <cell r="AI202">
            <v>0</v>
          </cell>
          <cell r="AJ202">
            <v>0</v>
          </cell>
          <cell r="AK202">
            <v>0</v>
          </cell>
          <cell r="AL202">
            <v>0</v>
          </cell>
          <cell r="AM202">
            <v>0</v>
          </cell>
          <cell r="AN202">
            <v>0</v>
          </cell>
          <cell r="AO202">
            <v>0</v>
          </cell>
          <cell r="AP202">
            <v>0</v>
          </cell>
          <cell r="AQ202">
            <v>0</v>
          </cell>
          <cell r="AR202">
            <v>0</v>
          </cell>
          <cell r="AS202">
            <v>0</v>
          </cell>
          <cell r="AT202">
            <v>0</v>
          </cell>
          <cell r="AU202">
            <v>0</v>
          </cell>
          <cell r="AV202">
            <v>0</v>
          </cell>
          <cell r="AW202">
            <v>0</v>
          </cell>
          <cell r="AX202">
            <v>0</v>
          </cell>
          <cell r="AY202">
            <v>0</v>
          </cell>
          <cell r="AZ202">
            <v>0</v>
          </cell>
          <cell r="BA202">
            <v>0</v>
          </cell>
          <cell r="BB202">
            <v>0</v>
          </cell>
          <cell r="BC202">
            <v>0</v>
          </cell>
          <cell r="BD202">
            <v>0</v>
          </cell>
          <cell r="BE202">
            <v>0</v>
          </cell>
          <cell r="BF202">
            <v>0</v>
          </cell>
          <cell r="BG202">
            <v>0</v>
          </cell>
          <cell r="BH202">
            <v>0</v>
          </cell>
          <cell r="BI202">
            <v>0</v>
          </cell>
          <cell r="BJ202">
            <v>0</v>
          </cell>
          <cell r="BK202">
            <v>0</v>
          </cell>
          <cell r="BL202">
            <v>0</v>
          </cell>
          <cell r="BM202">
            <v>0</v>
          </cell>
          <cell r="BN202">
            <v>0</v>
          </cell>
          <cell r="BO202">
            <v>0</v>
          </cell>
          <cell r="BP202">
            <v>0</v>
          </cell>
          <cell r="BQ202">
            <v>0</v>
          </cell>
          <cell r="BR202">
            <v>0</v>
          </cell>
          <cell r="BS202">
            <v>0</v>
          </cell>
          <cell r="BT202">
            <v>0</v>
          </cell>
          <cell r="BU202">
            <v>0</v>
          </cell>
          <cell r="BV202">
            <v>0</v>
          </cell>
          <cell r="BW202">
            <v>0</v>
          </cell>
          <cell r="BX202">
            <v>0</v>
          </cell>
          <cell r="BY202">
            <v>0</v>
          </cell>
          <cell r="BZ202">
            <v>0</v>
          </cell>
          <cell r="CA202">
            <v>0</v>
          </cell>
          <cell r="CB202">
            <v>0</v>
          </cell>
          <cell r="CC202">
            <v>0</v>
          </cell>
          <cell r="CD202">
            <v>0</v>
          </cell>
          <cell r="CE202">
            <v>0</v>
          </cell>
          <cell r="CF202">
            <v>0</v>
          </cell>
          <cell r="CG202">
            <v>0</v>
          </cell>
          <cell r="CH202">
            <v>0</v>
          </cell>
          <cell r="CI202">
            <v>0</v>
          </cell>
          <cell r="CJ202">
            <v>0</v>
          </cell>
          <cell r="CK202">
            <v>0</v>
          </cell>
          <cell r="CL202">
            <v>0</v>
          </cell>
          <cell r="CM202">
            <v>0</v>
          </cell>
          <cell r="CN202">
            <v>0</v>
          </cell>
          <cell r="CO202">
            <v>0</v>
          </cell>
          <cell r="CP202">
            <v>0</v>
          </cell>
          <cell r="CQ202">
            <v>0</v>
          </cell>
          <cell r="CR202">
            <v>0</v>
          </cell>
          <cell r="CS202">
            <v>0</v>
          </cell>
          <cell r="CT202">
            <v>0</v>
          </cell>
          <cell r="CU202">
            <v>0</v>
          </cell>
          <cell r="CV202">
            <v>0</v>
          </cell>
          <cell r="CW202">
            <v>0</v>
          </cell>
          <cell r="CX202">
            <v>0</v>
          </cell>
          <cell r="CY202">
            <v>0</v>
          </cell>
          <cell r="CZ202">
            <v>0</v>
          </cell>
          <cell r="DA202">
            <v>0</v>
          </cell>
          <cell r="DB202">
            <v>0</v>
          </cell>
          <cell r="DC202">
            <v>0</v>
          </cell>
          <cell r="DD202">
            <v>0</v>
          </cell>
          <cell r="DE202">
            <v>0</v>
          </cell>
          <cell r="DF202">
            <v>0</v>
          </cell>
          <cell r="DG202">
            <v>0</v>
          </cell>
          <cell r="DH202">
            <v>0</v>
          </cell>
          <cell r="DI202">
            <v>0</v>
          </cell>
          <cell r="DJ202">
            <v>0</v>
          </cell>
          <cell r="DK202">
            <v>0</v>
          </cell>
          <cell r="DL202">
            <v>0</v>
          </cell>
          <cell r="DM202">
            <v>0</v>
          </cell>
          <cell r="DN202">
            <v>0</v>
          </cell>
          <cell r="DO202">
            <v>0</v>
          </cell>
          <cell r="DP202">
            <v>0</v>
          </cell>
          <cell r="DQ202">
            <v>0</v>
          </cell>
          <cell r="DR202">
            <v>0</v>
          </cell>
          <cell r="DS202">
            <v>0</v>
          </cell>
          <cell r="DT202">
            <v>0</v>
          </cell>
          <cell r="DU202">
            <v>0</v>
          </cell>
          <cell r="DV202">
            <v>0</v>
          </cell>
          <cell r="DW202">
            <v>0</v>
          </cell>
          <cell r="DX202">
            <v>0</v>
          </cell>
          <cell r="DY202">
            <v>0</v>
          </cell>
          <cell r="DZ202">
            <v>0</v>
          </cell>
          <cell r="EA202">
            <v>0</v>
          </cell>
          <cell r="EB202">
            <v>0</v>
          </cell>
          <cell r="EC202">
            <v>0</v>
          </cell>
          <cell r="ED202">
            <v>0</v>
          </cell>
          <cell r="EE202">
            <v>0</v>
          </cell>
          <cell r="EF202">
            <v>0</v>
          </cell>
          <cell r="EG202">
            <v>0</v>
          </cell>
          <cell r="EH202">
            <v>0</v>
          </cell>
          <cell r="EI202">
            <v>0</v>
          </cell>
          <cell r="EJ202">
            <v>0</v>
          </cell>
          <cell r="EK202">
            <v>0</v>
          </cell>
          <cell r="EL202">
            <v>0</v>
          </cell>
          <cell r="EM202">
            <v>0</v>
          </cell>
          <cell r="EN202">
            <v>0</v>
          </cell>
          <cell r="EO202">
            <v>0</v>
          </cell>
          <cell r="EP202">
            <v>0</v>
          </cell>
          <cell r="EQ202">
            <v>0</v>
          </cell>
          <cell r="ER202">
            <v>0</v>
          </cell>
          <cell r="ES202">
            <v>0</v>
          </cell>
          <cell r="ET202">
            <v>0</v>
          </cell>
          <cell r="EU202">
            <v>0</v>
          </cell>
          <cell r="EV202">
            <v>0</v>
          </cell>
          <cell r="EW202">
            <v>0</v>
          </cell>
          <cell r="EX202">
            <v>0</v>
          </cell>
          <cell r="EY202">
            <v>0</v>
          </cell>
          <cell r="EZ202">
            <v>0</v>
          </cell>
          <cell r="FA202">
            <v>0</v>
          </cell>
          <cell r="FB202">
            <v>0</v>
          </cell>
          <cell r="FC202">
            <v>0</v>
          </cell>
          <cell r="FD202">
            <v>0</v>
          </cell>
          <cell r="FE202">
            <v>0</v>
          </cell>
          <cell r="FF202">
            <v>0</v>
          </cell>
          <cell r="FG202">
            <v>0</v>
          </cell>
          <cell r="FH202">
            <v>0</v>
          </cell>
          <cell r="FI202">
            <v>0</v>
          </cell>
          <cell r="FJ202">
            <v>0</v>
          </cell>
          <cell r="FK202">
            <v>0</v>
          </cell>
          <cell r="FL202">
            <v>0</v>
          </cell>
          <cell r="FM202">
            <v>0</v>
          </cell>
          <cell r="FN202">
            <v>0</v>
          </cell>
          <cell r="FO202">
            <v>0</v>
          </cell>
          <cell r="FP202">
            <v>0</v>
          </cell>
          <cell r="FQ202">
            <v>0</v>
          </cell>
          <cell r="FR202">
            <v>0</v>
          </cell>
          <cell r="FS202">
            <v>0</v>
          </cell>
          <cell r="FT202">
            <v>0</v>
          </cell>
          <cell r="FU202">
            <v>0</v>
          </cell>
          <cell r="FV202">
            <v>0</v>
          </cell>
          <cell r="FW202">
            <v>0</v>
          </cell>
          <cell r="FX202">
            <v>0</v>
          </cell>
          <cell r="FY202">
            <v>0</v>
          </cell>
          <cell r="FZ202">
            <v>0</v>
          </cell>
        </row>
        <row r="203">
          <cell r="B203">
            <v>0</v>
          </cell>
          <cell r="C203">
            <v>0</v>
          </cell>
          <cell r="D203">
            <v>0</v>
          </cell>
          <cell r="E203">
            <v>0</v>
          </cell>
          <cell r="F203">
            <v>0</v>
          </cell>
          <cell r="G203">
            <v>0</v>
          </cell>
          <cell r="H203">
            <v>0</v>
          </cell>
          <cell r="I203">
            <v>0</v>
          </cell>
          <cell r="J203">
            <v>0</v>
          </cell>
          <cell r="K203">
            <v>0</v>
          </cell>
          <cell r="L203">
            <v>0</v>
          </cell>
          <cell r="M203">
            <v>0</v>
          </cell>
          <cell r="N203">
            <v>0</v>
          </cell>
          <cell r="O203">
            <v>0</v>
          </cell>
          <cell r="P203">
            <v>0</v>
          </cell>
          <cell r="Q203">
            <v>0</v>
          </cell>
          <cell r="R203">
            <v>0</v>
          </cell>
          <cell r="S203">
            <v>0</v>
          </cell>
          <cell r="T203">
            <v>0</v>
          </cell>
          <cell r="U203">
            <v>0</v>
          </cell>
          <cell r="V203">
            <v>0</v>
          </cell>
          <cell r="W203">
            <v>0</v>
          </cell>
          <cell r="X203">
            <v>0</v>
          </cell>
          <cell r="Y203">
            <v>0</v>
          </cell>
          <cell r="Z203">
            <v>0</v>
          </cell>
          <cell r="AA203">
            <v>0</v>
          </cell>
          <cell r="AB203">
            <v>0</v>
          </cell>
          <cell r="AC203">
            <v>0</v>
          </cell>
          <cell r="AD203">
            <v>0</v>
          </cell>
          <cell r="AE203">
            <v>0</v>
          </cell>
          <cell r="AF203">
            <v>0</v>
          </cell>
          <cell r="AG203">
            <v>0</v>
          </cell>
          <cell r="AH203">
            <v>0</v>
          </cell>
          <cell r="AI203">
            <v>0</v>
          </cell>
          <cell r="AJ203">
            <v>0</v>
          </cell>
          <cell r="AK203">
            <v>0</v>
          </cell>
          <cell r="AL203">
            <v>0</v>
          </cell>
          <cell r="AM203">
            <v>0</v>
          </cell>
          <cell r="AN203">
            <v>0</v>
          </cell>
          <cell r="AO203">
            <v>0</v>
          </cell>
          <cell r="AP203">
            <v>0</v>
          </cell>
          <cell r="AQ203">
            <v>0</v>
          </cell>
          <cell r="AR203">
            <v>0</v>
          </cell>
          <cell r="AS203">
            <v>0</v>
          </cell>
          <cell r="AT203">
            <v>0</v>
          </cell>
          <cell r="AU203">
            <v>0</v>
          </cell>
          <cell r="AV203">
            <v>0</v>
          </cell>
          <cell r="AW203">
            <v>0</v>
          </cell>
          <cell r="AX203">
            <v>0</v>
          </cell>
          <cell r="AY203">
            <v>0</v>
          </cell>
          <cell r="AZ203">
            <v>0</v>
          </cell>
          <cell r="BA203">
            <v>0</v>
          </cell>
          <cell r="BB203">
            <v>0</v>
          </cell>
          <cell r="BC203">
            <v>0</v>
          </cell>
          <cell r="BD203">
            <v>0</v>
          </cell>
          <cell r="BE203">
            <v>0</v>
          </cell>
          <cell r="BF203">
            <v>0</v>
          </cell>
          <cell r="BG203">
            <v>0</v>
          </cell>
          <cell r="BH203">
            <v>0</v>
          </cell>
          <cell r="BI203">
            <v>0</v>
          </cell>
          <cell r="BJ203">
            <v>0</v>
          </cell>
          <cell r="BK203">
            <v>0</v>
          </cell>
          <cell r="BL203">
            <v>0</v>
          </cell>
          <cell r="BM203">
            <v>0</v>
          </cell>
          <cell r="BN203">
            <v>0</v>
          </cell>
          <cell r="BO203">
            <v>0</v>
          </cell>
          <cell r="BP203">
            <v>0</v>
          </cell>
          <cell r="BQ203">
            <v>0</v>
          </cell>
          <cell r="BR203">
            <v>0</v>
          </cell>
          <cell r="BS203">
            <v>0</v>
          </cell>
          <cell r="BT203">
            <v>0</v>
          </cell>
          <cell r="BU203">
            <v>0</v>
          </cell>
          <cell r="BV203">
            <v>0</v>
          </cell>
          <cell r="BW203">
            <v>0</v>
          </cell>
          <cell r="BX203">
            <v>0</v>
          </cell>
          <cell r="BY203">
            <v>0</v>
          </cell>
          <cell r="BZ203">
            <v>0</v>
          </cell>
          <cell r="CA203">
            <v>0</v>
          </cell>
          <cell r="CB203">
            <v>0</v>
          </cell>
          <cell r="CC203">
            <v>0</v>
          </cell>
          <cell r="CD203">
            <v>0</v>
          </cell>
          <cell r="CE203">
            <v>0</v>
          </cell>
          <cell r="CF203">
            <v>0</v>
          </cell>
          <cell r="CG203">
            <v>0</v>
          </cell>
          <cell r="CH203">
            <v>0</v>
          </cell>
          <cell r="CI203">
            <v>0</v>
          </cell>
          <cell r="CJ203">
            <v>0</v>
          </cell>
          <cell r="CK203">
            <v>0</v>
          </cell>
          <cell r="CL203">
            <v>0</v>
          </cell>
          <cell r="CM203">
            <v>0</v>
          </cell>
          <cell r="CN203">
            <v>0</v>
          </cell>
          <cell r="CO203">
            <v>0</v>
          </cell>
          <cell r="CP203">
            <v>0</v>
          </cell>
          <cell r="CQ203">
            <v>0</v>
          </cell>
          <cell r="CR203">
            <v>0</v>
          </cell>
          <cell r="CS203">
            <v>0</v>
          </cell>
          <cell r="CT203">
            <v>0</v>
          </cell>
          <cell r="CU203">
            <v>0</v>
          </cell>
          <cell r="CV203">
            <v>0</v>
          </cell>
          <cell r="CW203">
            <v>0</v>
          </cell>
          <cell r="CX203">
            <v>0</v>
          </cell>
          <cell r="CY203">
            <v>0</v>
          </cell>
          <cell r="CZ203">
            <v>0</v>
          </cell>
          <cell r="DA203">
            <v>0</v>
          </cell>
          <cell r="DB203">
            <v>0</v>
          </cell>
          <cell r="DC203">
            <v>0</v>
          </cell>
          <cell r="DD203">
            <v>0</v>
          </cell>
          <cell r="DE203">
            <v>0</v>
          </cell>
          <cell r="DF203">
            <v>0</v>
          </cell>
          <cell r="DG203">
            <v>0</v>
          </cell>
          <cell r="DH203">
            <v>0</v>
          </cell>
          <cell r="DI203">
            <v>0</v>
          </cell>
          <cell r="DJ203">
            <v>0</v>
          </cell>
          <cell r="DK203">
            <v>0</v>
          </cell>
          <cell r="DL203">
            <v>0</v>
          </cell>
          <cell r="DM203">
            <v>0</v>
          </cell>
          <cell r="DN203">
            <v>0</v>
          </cell>
          <cell r="DO203">
            <v>0</v>
          </cell>
          <cell r="DP203">
            <v>0</v>
          </cell>
          <cell r="DQ203">
            <v>0</v>
          </cell>
          <cell r="DR203">
            <v>0</v>
          </cell>
          <cell r="DS203">
            <v>0</v>
          </cell>
          <cell r="DT203">
            <v>0</v>
          </cell>
          <cell r="DU203">
            <v>0</v>
          </cell>
          <cell r="DV203">
            <v>0</v>
          </cell>
          <cell r="DW203">
            <v>0</v>
          </cell>
          <cell r="DX203">
            <v>0</v>
          </cell>
          <cell r="DY203">
            <v>0</v>
          </cell>
          <cell r="DZ203">
            <v>0</v>
          </cell>
          <cell r="EA203">
            <v>0</v>
          </cell>
          <cell r="EB203">
            <v>0</v>
          </cell>
          <cell r="EC203">
            <v>0</v>
          </cell>
          <cell r="ED203">
            <v>0</v>
          </cell>
          <cell r="EE203">
            <v>0</v>
          </cell>
          <cell r="EF203">
            <v>0</v>
          </cell>
          <cell r="EG203">
            <v>0</v>
          </cell>
          <cell r="EH203">
            <v>0</v>
          </cell>
          <cell r="EI203">
            <v>0</v>
          </cell>
          <cell r="EJ203">
            <v>0</v>
          </cell>
          <cell r="EK203">
            <v>0</v>
          </cell>
          <cell r="EL203">
            <v>0</v>
          </cell>
          <cell r="EM203">
            <v>0</v>
          </cell>
          <cell r="EN203">
            <v>0</v>
          </cell>
          <cell r="EO203">
            <v>0</v>
          </cell>
          <cell r="EP203">
            <v>0</v>
          </cell>
          <cell r="EQ203">
            <v>0</v>
          </cell>
          <cell r="ER203">
            <v>0</v>
          </cell>
          <cell r="ES203">
            <v>0</v>
          </cell>
          <cell r="ET203">
            <v>0</v>
          </cell>
          <cell r="EU203">
            <v>0</v>
          </cell>
          <cell r="EV203">
            <v>0</v>
          </cell>
          <cell r="EW203">
            <v>0</v>
          </cell>
          <cell r="EX203">
            <v>0</v>
          </cell>
          <cell r="EY203">
            <v>0</v>
          </cell>
          <cell r="EZ203">
            <v>0</v>
          </cell>
          <cell r="FA203">
            <v>0</v>
          </cell>
          <cell r="FB203">
            <v>0</v>
          </cell>
          <cell r="FC203">
            <v>0</v>
          </cell>
          <cell r="FD203">
            <v>0</v>
          </cell>
          <cell r="FE203">
            <v>0</v>
          </cell>
          <cell r="FF203">
            <v>0</v>
          </cell>
          <cell r="FG203">
            <v>0</v>
          </cell>
          <cell r="FH203">
            <v>0</v>
          </cell>
          <cell r="FI203">
            <v>0</v>
          </cell>
          <cell r="FJ203">
            <v>0</v>
          </cell>
          <cell r="FK203">
            <v>0</v>
          </cell>
          <cell r="FL203">
            <v>0</v>
          </cell>
          <cell r="FM203">
            <v>0</v>
          </cell>
          <cell r="FN203">
            <v>0</v>
          </cell>
          <cell r="FO203">
            <v>0</v>
          </cell>
          <cell r="FP203">
            <v>0</v>
          </cell>
          <cell r="FQ203">
            <v>0</v>
          </cell>
          <cell r="FR203">
            <v>0</v>
          </cell>
          <cell r="FS203">
            <v>0</v>
          </cell>
          <cell r="FT203">
            <v>0</v>
          </cell>
          <cell r="FU203">
            <v>0</v>
          </cell>
          <cell r="FV203">
            <v>0</v>
          </cell>
          <cell r="FW203">
            <v>0</v>
          </cell>
          <cell r="FX203">
            <v>0</v>
          </cell>
          <cell r="FY203">
            <v>0</v>
          </cell>
          <cell r="FZ203">
            <v>0</v>
          </cell>
        </row>
        <row r="204">
          <cell r="B204">
            <v>0</v>
          </cell>
          <cell r="C204">
            <v>0</v>
          </cell>
          <cell r="D204">
            <v>0</v>
          </cell>
          <cell r="E204">
            <v>0</v>
          </cell>
          <cell r="F204">
            <v>0</v>
          </cell>
          <cell r="G204">
            <v>0</v>
          </cell>
          <cell r="H204">
            <v>0</v>
          </cell>
          <cell r="I204">
            <v>0</v>
          </cell>
          <cell r="J204">
            <v>0</v>
          </cell>
          <cell r="K204">
            <v>0</v>
          </cell>
          <cell r="L204">
            <v>0</v>
          </cell>
          <cell r="M204">
            <v>0</v>
          </cell>
          <cell r="N204">
            <v>0</v>
          </cell>
          <cell r="O204">
            <v>0</v>
          </cell>
          <cell r="P204">
            <v>0</v>
          </cell>
          <cell r="Q204">
            <v>0</v>
          </cell>
          <cell r="R204">
            <v>0</v>
          </cell>
          <cell r="S204">
            <v>0</v>
          </cell>
          <cell r="T204">
            <v>0</v>
          </cell>
          <cell r="U204">
            <v>0</v>
          </cell>
          <cell r="V204">
            <v>0</v>
          </cell>
          <cell r="W204">
            <v>0</v>
          </cell>
          <cell r="X204">
            <v>0</v>
          </cell>
          <cell r="Y204">
            <v>0</v>
          </cell>
          <cell r="Z204">
            <v>0</v>
          </cell>
          <cell r="AA204">
            <v>0</v>
          </cell>
          <cell r="AB204">
            <v>0</v>
          </cell>
          <cell r="AC204">
            <v>0</v>
          </cell>
          <cell r="AD204">
            <v>0</v>
          </cell>
          <cell r="AE204">
            <v>0</v>
          </cell>
          <cell r="AF204">
            <v>0</v>
          </cell>
          <cell r="AG204">
            <v>0</v>
          </cell>
          <cell r="AH204">
            <v>0</v>
          </cell>
          <cell r="AI204">
            <v>0</v>
          </cell>
          <cell r="AJ204">
            <v>0</v>
          </cell>
          <cell r="AK204">
            <v>0</v>
          </cell>
          <cell r="AL204">
            <v>0</v>
          </cell>
          <cell r="AM204">
            <v>0</v>
          </cell>
          <cell r="AN204">
            <v>0</v>
          </cell>
          <cell r="AO204">
            <v>0</v>
          </cell>
          <cell r="AP204">
            <v>0</v>
          </cell>
          <cell r="AQ204">
            <v>0</v>
          </cell>
          <cell r="AR204">
            <v>0</v>
          </cell>
          <cell r="AS204">
            <v>0</v>
          </cell>
          <cell r="AT204">
            <v>0</v>
          </cell>
          <cell r="AU204">
            <v>0</v>
          </cell>
          <cell r="AV204">
            <v>0</v>
          </cell>
          <cell r="AW204">
            <v>0</v>
          </cell>
          <cell r="AX204">
            <v>0</v>
          </cell>
          <cell r="AY204">
            <v>0</v>
          </cell>
          <cell r="AZ204">
            <v>0</v>
          </cell>
          <cell r="BA204">
            <v>0</v>
          </cell>
          <cell r="BB204">
            <v>0</v>
          </cell>
          <cell r="BC204">
            <v>0</v>
          </cell>
          <cell r="BD204">
            <v>0</v>
          </cell>
          <cell r="BE204">
            <v>0</v>
          </cell>
          <cell r="BF204">
            <v>0</v>
          </cell>
          <cell r="BG204">
            <v>0</v>
          </cell>
          <cell r="BH204">
            <v>0</v>
          </cell>
          <cell r="BI204">
            <v>0</v>
          </cell>
          <cell r="BJ204">
            <v>0</v>
          </cell>
          <cell r="BK204">
            <v>0</v>
          </cell>
          <cell r="BL204">
            <v>0</v>
          </cell>
          <cell r="BM204">
            <v>0</v>
          </cell>
          <cell r="BN204">
            <v>0</v>
          </cell>
          <cell r="BO204">
            <v>0</v>
          </cell>
          <cell r="BP204">
            <v>0</v>
          </cell>
          <cell r="BQ204">
            <v>0</v>
          </cell>
          <cell r="BR204">
            <v>0</v>
          </cell>
          <cell r="BS204">
            <v>0</v>
          </cell>
          <cell r="BT204">
            <v>0</v>
          </cell>
          <cell r="BU204">
            <v>0</v>
          </cell>
          <cell r="BV204">
            <v>0</v>
          </cell>
          <cell r="BW204">
            <v>0</v>
          </cell>
          <cell r="BX204">
            <v>0</v>
          </cell>
          <cell r="BY204">
            <v>0</v>
          </cell>
          <cell r="BZ204">
            <v>0</v>
          </cell>
          <cell r="CA204">
            <v>0</v>
          </cell>
          <cell r="CB204">
            <v>0</v>
          </cell>
          <cell r="CC204">
            <v>0</v>
          </cell>
          <cell r="CD204">
            <v>0</v>
          </cell>
          <cell r="CE204">
            <v>0</v>
          </cell>
          <cell r="CF204">
            <v>0</v>
          </cell>
          <cell r="CG204">
            <v>0</v>
          </cell>
          <cell r="CH204">
            <v>0</v>
          </cell>
          <cell r="CI204">
            <v>0</v>
          </cell>
          <cell r="CJ204">
            <v>0</v>
          </cell>
          <cell r="CK204">
            <v>0</v>
          </cell>
          <cell r="CL204">
            <v>0</v>
          </cell>
          <cell r="CM204">
            <v>0</v>
          </cell>
          <cell r="CN204">
            <v>0</v>
          </cell>
          <cell r="CO204">
            <v>0</v>
          </cell>
          <cell r="CP204">
            <v>0</v>
          </cell>
          <cell r="CQ204">
            <v>0</v>
          </cell>
          <cell r="CR204">
            <v>0</v>
          </cell>
          <cell r="CS204">
            <v>0</v>
          </cell>
          <cell r="CT204">
            <v>0</v>
          </cell>
          <cell r="CU204">
            <v>0</v>
          </cell>
          <cell r="CV204">
            <v>0</v>
          </cell>
          <cell r="CW204">
            <v>0</v>
          </cell>
          <cell r="CX204">
            <v>0</v>
          </cell>
          <cell r="CY204">
            <v>0</v>
          </cell>
          <cell r="CZ204">
            <v>0</v>
          </cell>
          <cell r="DA204">
            <v>0</v>
          </cell>
          <cell r="DB204">
            <v>0</v>
          </cell>
          <cell r="DC204">
            <v>0</v>
          </cell>
          <cell r="DD204">
            <v>0</v>
          </cell>
          <cell r="DE204">
            <v>0</v>
          </cell>
          <cell r="DF204">
            <v>0</v>
          </cell>
          <cell r="DG204">
            <v>0</v>
          </cell>
          <cell r="DH204">
            <v>0</v>
          </cell>
          <cell r="DI204">
            <v>0</v>
          </cell>
          <cell r="DJ204">
            <v>0</v>
          </cell>
          <cell r="DK204">
            <v>0</v>
          </cell>
          <cell r="DL204">
            <v>0</v>
          </cell>
          <cell r="DM204">
            <v>0</v>
          </cell>
          <cell r="DN204">
            <v>0</v>
          </cell>
          <cell r="DO204">
            <v>0</v>
          </cell>
          <cell r="DP204">
            <v>0</v>
          </cell>
          <cell r="DQ204">
            <v>0</v>
          </cell>
          <cell r="DR204">
            <v>0</v>
          </cell>
          <cell r="DS204">
            <v>0</v>
          </cell>
          <cell r="DT204">
            <v>0</v>
          </cell>
          <cell r="DU204">
            <v>0</v>
          </cell>
          <cell r="DV204">
            <v>0</v>
          </cell>
          <cell r="DW204">
            <v>0</v>
          </cell>
          <cell r="DX204">
            <v>0</v>
          </cell>
          <cell r="DY204">
            <v>0</v>
          </cell>
          <cell r="DZ204">
            <v>0</v>
          </cell>
          <cell r="EA204">
            <v>0</v>
          </cell>
          <cell r="EB204">
            <v>0</v>
          </cell>
          <cell r="EC204">
            <v>0</v>
          </cell>
          <cell r="ED204">
            <v>0</v>
          </cell>
          <cell r="EE204">
            <v>0</v>
          </cell>
          <cell r="EF204">
            <v>0</v>
          </cell>
          <cell r="EG204">
            <v>0</v>
          </cell>
          <cell r="EH204">
            <v>0</v>
          </cell>
          <cell r="EI204">
            <v>0</v>
          </cell>
          <cell r="EJ204">
            <v>0</v>
          </cell>
          <cell r="EK204">
            <v>0</v>
          </cell>
          <cell r="EL204">
            <v>0</v>
          </cell>
          <cell r="EM204">
            <v>0</v>
          </cell>
          <cell r="EN204">
            <v>0</v>
          </cell>
          <cell r="EO204">
            <v>0</v>
          </cell>
          <cell r="EP204">
            <v>0</v>
          </cell>
          <cell r="EQ204">
            <v>0</v>
          </cell>
          <cell r="ER204">
            <v>0</v>
          </cell>
          <cell r="ES204">
            <v>0</v>
          </cell>
          <cell r="ET204">
            <v>0</v>
          </cell>
          <cell r="EU204">
            <v>0</v>
          </cell>
          <cell r="EV204">
            <v>0</v>
          </cell>
          <cell r="EW204">
            <v>0</v>
          </cell>
          <cell r="EX204">
            <v>0</v>
          </cell>
          <cell r="EY204">
            <v>0</v>
          </cell>
          <cell r="EZ204">
            <v>0</v>
          </cell>
          <cell r="FA204">
            <v>0</v>
          </cell>
          <cell r="FB204">
            <v>0</v>
          </cell>
          <cell r="FC204">
            <v>0</v>
          </cell>
          <cell r="FD204">
            <v>0</v>
          </cell>
          <cell r="FE204">
            <v>0</v>
          </cell>
          <cell r="FF204">
            <v>0</v>
          </cell>
          <cell r="FG204">
            <v>0</v>
          </cell>
          <cell r="FH204">
            <v>0</v>
          </cell>
          <cell r="FI204">
            <v>0</v>
          </cell>
          <cell r="FJ204">
            <v>0</v>
          </cell>
          <cell r="FK204">
            <v>0</v>
          </cell>
          <cell r="FL204">
            <v>0</v>
          </cell>
          <cell r="FM204">
            <v>0</v>
          </cell>
          <cell r="FN204">
            <v>0</v>
          </cell>
          <cell r="FO204">
            <v>0</v>
          </cell>
          <cell r="FP204">
            <v>0</v>
          </cell>
          <cell r="FQ204">
            <v>0</v>
          </cell>
          <cell r="FR204">
            <v>0</v>
          </cell>
          <cell r="FS204">
            <v>0</v>
          </cell>
          <cell r="FT204">
            <v>0</v>
          </cell>
          <cell r="FU204">
            <v>0</v>
          </cell>
          <cell r="FV204">
            <v>0</v>
          </cell>
          <cell r="FW204">
            <v>0</v>
          </cell>
          <cell r="FX204">
            <v>0</v>
          </cell>
          <cell r="FY204">
            <v>0</v>
          </cell>
          <cell r="FZ204">
            <v>0</v>
          </cell>
        </row>
        <row r="205">
          <cell r="B205">
            <v>0</v>
          </cell>
          <cell r="C205">
            <v>0</v>
          </cell>
          <cell r="D205">
            <v>0</v>
          </cell>
          <cell r="E205">
            <v>0</v>
          </cell>
          <cell r="F205">
            <v>0</v>
          </cell>
          <cell r="G205">
            <v>0</v>
          </cell>
          <cell r="H205">
            <v>0</v>
          </cell>
          <cell r="I205">
            <v>0</v>
          </cell>
          <cell r="J205">
            <v>0</v>
          </cell>
          <cell r="K205">
            <v>0</v>
          </cell>
          <cell r="L205">
            <v>0</v>
          </cell>
          <cell r="M205">
            <v>0</v>
          </cell>
          <cell r="N205">
            <v>0</v>
          </cell>
          <cell r="O205">
            <v>0</v>
          </cell>
          <cell r="P205">
            <v>0</v>
          </cell>
          <cell r="Q205">
            <v>0</v>
          </cell>
          <cell r="R205">
            <v>0</v>
          </cell>
          <cell r="S205">
            <v>0</v>
          </cell>
          <cell r="T205">
            <v>0</v>
          </cell>
          <cell r="U205">
            <v>0</v>
          </cell>
          <cell r="V205">
            <v>0</v>
          </cell>
          <cell r="W205">
            <v>0</v>
          </cell>
          <cell r="X205">
            <v>0</v>
          </cell>
          <cell r="Y205">
            <v>0</v>
          </cell>
          <cell r="Z205">
            <v>0</v>
          </cell>
          <cell r="AA205">
            <v>0</v>
          </cell>
          <cell r="AB205">
            <v>0</v>
          </cell>
          <cell r="AC205">
            <v>0</v>
          </cell>
          <cell r="AD205">
            <v>0</v>
          </cell>
          <cell r="AE205">
            <v>0</v>
          </cell>
          <cell r="AF205">
            <v>0</v>
          </cell>
          <cell r="AG205">
            <v>0</v>
          </cell>
          <cell r="AH205">
            <v>0</v>
          </cell>
          <cell r="AI205">
            <v>0</v>
          </cell>
          <cell r="AJ205">
            <v>0</v>
          </cell>
          <cell r="AK205">
            <v>0</v>
          </cell>
          <cell r="AL205">
            <v>0</v>
          </cell>
          <cell r="AM205">
            <v>0</v>
          </cell>
          <cell r="AN205">
            <v>0</v>
          </cell>
          <cell r="AO205">
            <v>0</v>
          </cell>
          <cell r="AP205">
            <v>0</v>
          </cell>
          <cell r="AQ205">
            <v>0</v>
          </cell>
          <cell r="AR205">
            <v>0</v>
          </cell>
          <cell r="AS205">
            <v>0</v>
          </cell>
          <cell r="AT205">
            <v>0</v>
          </cell>
          <cell r="AU205">
            <v>0</v>
          </cell>
          <cell r="AV205">
            <v>0</v>
          </cell>
          <cell r="AW205">
            <v>0</v>
          </cell>
          <cell r="AX205">
            <v>0</v>
          </cell>
          <cell r="AY205">
            <v>0</v>
          </cell>
          <cell r="AZ205">
            <v>0</v>
          </cell>
          <cell r="BA205">
            <v>0</v>
          </cell>
          <cell r="BB205">
            <v>0</v>
          </cell>
          <cell r="BC205">
            <v>0</v>
          </cell>
          <cell r="BD205">
            <v>0</v>
          </cell>
          <cell r="BE205">
            <v>0</v>
          </cell>
          <cell r="BF205">
            <v>0</v>
          </cell>
          <cell r="BG205">
            <v>0</v>
          </cell>
          <cell r="BH205">
            <v>0</v>
          </cell>
          <cell r="BI205">
            <v>0</v>
          </cell>
          <cell r="BJ205">
            <v>0</v>
          </cell>
          <cell r="BK205">
            <v>0</v>
          </cell>
          <cell r="BL205">
            <v>0</v>
          </cell>
          <cell r="BM205">
            <v>0</v>
          </cell>
          <cell r="BN205">
            <v>0</v>
          </cell>
          <cell r="BO205">
            <v>0</v>
          </cell>
          <cell r="BP205">
            <v>0</v>
          </cell>
          <cell r="BQ205">
            <v>0</v>
          </cell>
          <cell r="BR205">
            <v>0</v>
          </cell>
          <cell r="BS205">
            <v>0</v>
          </cell>
          <cell r="BT205">
            <v>0</v>
          </cell>
          <cell r="BU205">
            <v>0</v>
          </cell>
          <cell r="BV205">
            <v>0</v>
          </cell>
          <cell r="BW205">
            <v>0</v>
          </cell>
          <cell r="BX205">
            <v>0</v>
          </cell>
          <cell r="BY205">
            <v>0</v>
          </cell>
          <cell r="BZ205">
            <v>0</v>
          </cell>
          <cell r="CA205">
            <v>0</v>
          </cell>
          <cell r="CB205">
            <v>0</v>
          </cell>
          <cell r="CC205">
            <v>0</v>
          </cell>
          <cell r="CD205">
            <v>0</v>
          </cell>
          <cell r="CE205">
            <v>0</v>
          </cell>
          <cell r="CF205">
            <v>0</v>
          </cell>
          <cell r="CG205">
            <v>0</v>
          </cell>
          <cell r="CH205">
            <v>0</v>
          </cell>
          <cell r="CI205">
            <v>0</v>
          </cell>
          <cell r="CJ205">
            <v>0</v>
          </cell>
          <cell r="CK205">
            <v>0</v>
          </cell>
          <cell r="CL205">
            <v>0</v>
          </cell>
          <cell r="CM205">
            <v>0</v>
          </cell>
          <cell r="CN205">
            <v>0</v>
          </cell>
          <cell r="CO205">
            <v>0</v>
          </cell>
          <cell r="CP205">
            <v>0</v>
          </cell>
          <cell r="CQ205">
            <v>0</v>
          </cell>
          <cell r="CR205">
            <v>0</v>
          </cell>
          <cell r="CS205">
            <v>0</v>
          </cell>
          <cell r="CT205">
            <v>0</v>
          </cell>
          <cell r="CU205">
            <v>0</v>
          </cell>
          <cell r="CV205">
            <v>0</v>
          </cell>
          <cell r="CW205">
            <v>0</v>
          </cell>
          <cell r="CX205">
            <v>0</v>
          </cell>
          <cell r="CY205">
            <v>0</v>
          </cell>
          <cell r="CZ205">
            <v>0</v>
          </cell>
          <cell r="DA205">
            <v>0</v>
          </cell>
          <cell r="DB205">
            <v>0</v>
          </cell>
          <cell r="DC205">
            <v>0</v>
          </cell>
          <cell r="DD205">
            <v>0</v>
          </cell>
          <cell r="DE205">
            <v>0</v>
          </cell>
          <cell r="DF205">
            <v>0</v>
          </cell>
          <cell r="DG205">
            <v>0</v>
          </cell>
          <cell r="DH205">
            <v>0</v>
          </cell>
          <cell r="DI205">
            <v>0</v>
          </cell>
          <cell r="DJ205">
            <v>0</v>
          </cell>
          <cell r="DK205">
            <v>0</v>
          </cell>
          <cell r="DL205">
            <v>0</v>
          </cell>
          <cell r="DM205">
            <v>0</v>
          </cell>
          <cell r="DN205">
            <v>0</v>
          </cell>
          <cell r="DO205">
            <v>0</v>
          </cell>
          <cell r="DP205">
            <v>0</v>
          </cell>
          <cell r="DQ205">
            <v>0</v>
          </cell>
          <cell r="DR205">
            <v>0</v>
          </cell>
          <cell r="DS205">
            <v>0</v>
          </cell>
          <cell r="DT205">
            <v>0</v>
          </cell>
          <cell r="DU205">
            <v>0</v>
          </cell>
          <cell r="DV205">
            <v>0</v>
          </cell>
          <cell r="DW205">
            <v>0</v>
          </cell>
          <cell r="DX205">
            <v>0</v>
          </cell>
          <cell r="DY205">
            <v>0</v>
          </cell>
          <cell r="DZ205">
            <v>0</v>
          </cell>
          <cell r="EA205">
            <v>0</v>
          </cell>
          <cell r="EB205">
            <v>0</v>
          </cell>
          <cell r="EC205">
            <v>0</v>
          </cell>
          <cell r="ED205">
            <v>0</v>
          </cell>
          <cell r="EE205">
            <v>0</v>
          </cell>
          <cell r="EF205">
            <v>0</v>
          </cell>
          <cell r="EG205">
            <v>0</v>
          </cell>
          <cell r="EH205">
            <v>0</v>
          </cell>
          <cell r="EI205">
            <v>0</v>
          </cell>
          <cell r="EJ205">
            <v>0</v>
          </cell>
          <cell r="EK205">
            <v>0</v>
          </cell>
          <cell r="EL205">
            <v>0</v>
          </cell>
          <cell r="EM205">
            <v>0</v>
          </cell>
          <cell r="EN205">
            <v>0</v>
          </cell>
          <cell r="EO205">
            <v>0</v>
          </cell>
          <cell r="EP205">
            <v>0</v>
          </cell>
          <cell r="EQ205">
            <v>0</v>
          </cell>
          <cell r="ER205">
            <v>0</v>
          </cell>
          <cell r="ES205">
            <v>0</v>
          </cell>
          <cell r="ET205">
            <v>0</v>
          </cell>
          <cell r="EU205">
            <v>0</v>
          </cell>
          <cell r="EV205">
            <v>0</v>
          </cell>
          <cell r="EW205">
            <v>0</v>
          </cell>
          <cell r="EX205">
            <v>0</v>
          </cell>
          <cell r="EY205">
            <v>0</v>
          </cell>
          <cell r="EZ205">
            <v>0</v>
          </cell>
          <cell r="FA205">
            <v>0</v>
          </cell>
          <cell r="FB205">
            <v>0</v>
          </cell>
          <cell r="FC205">
            <v>0</v>
          </cell>
          <cell r="FD205">
            <v>0</v>
          </cell>
          <cell r="FE205">
            <v>0</v>
          </cell>
          <cell r="FF205">
            <v>0</v>
          </cell>
          <cell r="FG205">
            <v>0</v>
          </cell>
          <cell r="FH205">
            <v>0</v>
          </cell>
          <cell r="FI205">
            <v>0</v>
          </cell>
          <cell r="FJ205">
            <v>0</v>
          </cell>
          <cell r="FK205">
            <v>0</v>
          </cell>
          <cell r="FL205">
            <v>0</v>
          </cell>
          <cell r="FM205">
            <v>0</v>
          </cell>
          <cell r="FN205">
            <v>0</v>
          </cell>
          <cell r="FO205">
            <v>0</v>
          </cell>
          <cell r="FP205">
            <v>0</v>
          </cell>
          <cell r="FQ205">
            <v>0</v>
          </cell>
          <cell r="FR205">
            <v>0</v>
          </cell>
          <cell r="FS205">
            <v>0</v>
          </cell>
          <cell r="FT205">
            <v>0</v>
          </cell>
          <cell r="FU205">
            <v>0</v>
          </cell>
          <cell r="FV205">
            <v>0</v>
          </cell>
          <cell r="FW205">
            <v>0</v>
          </cell>
          <cell r="FX205">
            <v>0</v>
          </cell>
          <cell r="FY205">
            <v>0</v>
          </cell>
          <cell r="FZ205">
            <v>0</v>
          </cell>
        </row>
        <row r="206">
          <cell r="B206">
            <v>0</v>
          </cell>
          <cell r="C206">
            <v>0</v>
          </cell>
          <cell r="D206">
            <v>0</v>
          </cell>
          <cell r="E206">
            <v>0</v>
          </cell>
          <cell r="F206">
            <v>0</v>
          </cell>
          <cell r="G206">
            <v>0</v>
          </cell>
          <cell r="H206">
            <v>0</v>
          </cell>
          <cell r="I206">
            <v>0</v>
          </cell>
          <cell r="J206">
            <v>0</v>
          </cell>
          <cell r="K206">
            <v>0</v>
          </cell>
          <cell r="L206">
            <v>0</v>
          </cell>
          <cell r="M206">
            <v>0</v>
          </cell>
          <cell r="N206">
            <v>0</v>
          </cell>
          <cell r="O206">
            <v>0</v>
          </cell>
          <cell r="P206">
            <v>0</v>
          </cell>
          <cell r="Q206">
            <v>0</v>
          </cell>
          <cell r="R206">
            <v>0</v>
          </cell>
          <cell r="S206">
            <v>0</v>
          </cell>
          <cell r="T206">
            <v>0</v>
          </cell>
          <cell r="U206">
            <v>0</v>
          </cell>
          <cell r="V206">
            <v>0</v>
          </cell>
          <cell r="W206">
            <v>0</v>
          </cell>
          <cell r="X206">
            <v>0</v>
          </cell>
          <cell r="Y206">
            <v>0</v>
          </cell>
          <cell r="Z206">
            <v>0</v>
          </cell>
          <cell r="AA206">
            <v>0</v>
          </cell>
          <cell r="AB206">
            <v>0</v>
          </cell>
          <cell r="AC206">
            <v>0</v>
          </cell>
          <cell r="AD206">
            <v>0</v>
          </cell>
          <cell r="AE206">
            <v>0</v>
          </cell>
          <cell r="AF206">
            <v>0</v>
          </cell>
          <cell r="AG206">
            <v>0</v>
          </cell>
          <cell r="AH206">
            <v>0</v>
          </cell>
          <cell r="AI206">
            <v>0</v>
          </cell>
          <cell r="AJ206">
            <v>0</v>
          </cell>
          <cell r="AK206">
            <v>0</v>
          </cell>
          <cell r="AL206">
            <v>0</v>
          </cell>
          <cell r="AM206">
            <v>0</v>
          </cell>
          <cell r="AN206">
            <v>0</v>
          </cell>
          <cell r="AO206">
            <v>0</v>
          </cell>
          <cell r="AP206">
            <v>0</v>
          </cell>
          <cell r="AQ206">
            <v>0</v>
          </cell>
          <cell r="AR206">
            <v>0</v>
          </cell>
          <cell r="AS206">
            <v>0</v>
          </cell>
          <cell r="AT206">
            <v>0</v>
          </cell>
          <cell r="AU206">
            <v>0</v>
          </cell>
          <cell r="AV206">
            <v>0</v>
          </cell>
          <cell r="AW206">
            <v>0</v>
          </cell>
          <cell r="AX206">
            <v>0</v>
          </cell>
          <cell r="AY206">
            <v>0</v>
          </cell>
          <cell r="AZ206">
            <v>0</v>
          </cell>
          <cell r="BA206">
            <v>0</v>
          </cell>
          <cell r="BB206">
            <v>0</v>
          </cell>
          <cell r="BC206">
            <v>0</v>
          </cell>
          <cell r="BD206">
            <v>0</v>
          </cell>
          <cell r="BE206">
            <v>0</v>
          </cell>
          <cell r="BF206">
            <v>0</v>
          </cell>
          <cell r="BG206">
            <v>0</v>
          </cell>
          <cell r="BH206">
            <v>0</v>
          </cell>
          <cell r="BI206">
            <v>0</v>
          </cell>
          <cell r="BJ206">
            <v>0</v>
          </cell>
          <cell r="BK206">
            <v>0</v>
          </cell>
          <cell r="BL206">
            <v>0</v>
          </cell>
          <cell r="BM206">
            <v>0</v>
          </cell>
          <cell r="BN206">
            <v>0</v>
          </cell>
          <cell r="BO206">
            <v>0</v>
          </cell>
          <cell r="BP206">
            <v>0</v>
          </cell>
          <cell r="BQ206">
            <v>0</v>
          </cell>
          <cell r="BR206">
            <v>0</v>
          </cell>
          <cell r="BS206">
            <v>0</v>
          </cell>
          <cell r="BT206">
            <v>0</v>
          </cell>
          <cell r="BU206">
            <v>0</v>
          </cell>
          <cell r="BV206">
            <v>0</v>
          </cell>
          <cell r="BW206">
            <v>0</v>
          </cell>
          <cell r="BX206">
            <v>0</v>
          </cell>
          <cell r="BY206">
            <v>0</v>
          </cell>
          <cell r="BZ206">
            <v>0</v>
          </cell>
          <cell r="CA206">
            <v>0</v>
          </cell>
          <cell r="CB206">
            <v>0</v>
          </cell>
          <cell r="CC206">
            <v>0</v>
          </cell>
          <cell r="CD206">
            <v>0</v>
          </cell>
          <cell r="CE206">
            <v>0</v>
          </cell>
          <cell r="CF206">
            <v>0</v>
          </cell>
          <cell r="CG206">
            <v>0</v>
          </cell>
          <cell r="CH206">
            <v>0</v>
          </cell>
          <cell r="CI206">
            <v>0</v>
          </cell>
          <cell r="CJ206">
            <v>0</v>
          </cell>
          <cell r="CK206">
            <v>0</v>
          </cell>
          <cell r="CL206">
            <v>0</v>
          </cell>
          <cell r="CM206">
            <v>0</v>
          </cell>
          <cell r="CN206">
            <v>0</v>
          </cell>
          <cell r="CO206">
            <v>0</v>
          </cell>
          <cell r="CP206">
            <v>0</v>
          </cell>
          <cell r="CQ206">
            <v>0</v>
          </cell>
          <cell r="CR206">
            <v>0</v>
          </cell>
          <cell r="CS206">
            <v>0</v>
          </cell>
          <cell r="CT206">
            <v>0</v>
          </cell>
          <cell r="CU206">
            <v>0</v>
          </cell>
          <cell r="CV206">
            <v>0</v>
          </cell>
          <cell r="CW206">
            <v>0</v>
          </cell>
          <cell r="CX206">
            <v>0</v>
          </cell>
          <cell r="CY206">
            <v>0</v>
          </cell>
          <cell r="CZ206">
            <v>0</v>
          </cell>
          <cell r="DA206">
            <v>0</v>
          </cell>
          <cell r="DB206">
            <v>0</v>
          </cell>
          <cell r="DC206">
            <v>0</v>
          </cell>
          <cell r="DD206">
            <v>0</v>
          </cell>
          <cell r="DE206">
            <v>0</v>
          </cell>
          <cell r="DF206">
            <v>0</v>
          </cell>
          <cell r="DG206">
            <v>0</v>
          </cell>
          <cell r="DH206">
            <v>0</v>
          </cell>
          <cell r="DI206">
            <v>0</v>
          </cell>
          <cell r="DJ206">
            <v>0</v>
          </cell>
          <cell r="DK206">
            <v>0</v>
          </cell>
          <cell r="DL206">
            <v>0</v>
          </cell>
          <cell r="DM206">
            <v>0</v>
          </cell>
          <cell r="DN206">
            <v>0</v>
          </cell>
          <cell r="DO206">
            <v>0</v>
          </cell>
          <cell r="DP206">
            <v>0</v>
          </cell>
          <cell r="DQ206">
            <v>0</v>
          </cell>
          <cell r="DR206">
            <v>0</v>
          </cell>
          <cell r="DS206">
            <v>0</v>
          </cell>
          <cell r="DT206">
            <v>0</v>
          </cell>
          <cell r="DU206">
            <v>0</v>
          </cell>
          <cell r="DV206">
            <v>0</v>
          </cell>
          <cell r="DW206">
            <v>0</v>
          </cell>
          <cell r="DX206">
            <v>0</v>
          </cell>
          <cell r="DY206">
            <v>0</v>
          </cell>
          <cell r="DZ206">
            <v>0</v>
          </cell>
          <cell r="EA206">
            <v>0</v>
          </cell>
          <cell r="EB206">
            <v>0</v>
          </cell>
          <cell r="EC206">
            <v>0</v>
          </cell>
          <cell r="ED206">
            <v>0</v>
          </cell>
          <cell r="EE206">
            <v>0</v>
          </cell>
          <cell r="EF206">
            <v>0</v>
          </cell>
          <cell r="EG206">
            <v>0</v>
          </cell>
          <cell r="EH206">
            <v>0</v>
          </cell>
          <cell r="EI206">
            <v>0</v>
          </cell>
          <cell r="EJ206">
            <v>0</v>
          </cell>
          <cell r="EK206">
            <v>0</v>
          </cell>
          <cell r="EL206">
            <v>0</v>
          </cell>
          <cell r="EM206">
            <v>0</v>
          </cell>
          <cell r="EN206">
            <v>0</v>
          </cell>
          <cell r="EO206">
            <v>0</v>
          </cell>
          <cell r="EP206">
            <v>0</v>
          </cell>
          <cell r="EQ206">
            <v>0</v>
          </cell>
          <cell r="ER206">
            <v>0</v>
          </cell>
          <cell r="ES206">
            <v>0</v>
          </cell>
          <cell r="ET206">
            <v>0</v>
          </cell>
          <cell r="EU206">
            <v>0</v>
          </cell>
          <cell r="EV206">
            <v>0</v>
          </cell>
          <cell r="EW206">
            <v>0</v>
          </cell>
          <cell r="EX206">
            <v>0</v>
          </cell>
          <cell r="EY206">
            <v>0</v>
          </cell>
          <cell r="EZ206">
            <v>0</v>
          </cell>
          <cell r="FA206">
            <v>0</v>
          </cell>
          <cell r="FB206">
            <v>0</v>
          </cell>
          <cell r="FC206">
            <v>0</v>
          </cell>
          <cell r="FD206">
            <v>0</v>
          </cell>
          <cell r="FE206">
            <v>0</v>
          </cell>
          <cell r="FF206">
            <v>0</v>
          </cell>
          <cell r="FG206">
            <v>0</v>
          </cell>
          <cell r="FH206">
            <v>0</v>
          </cell>
          <cell r="FI206">
            <v>0</v>
          </cell>
          <cell r="FJ206">
            <v>0</v>
          </cell>
          <cell r="FK206">
            <v>0</v>
          </cell>
          <cell r="FL206">
            <v>0</v>
          </cell>
          <cell r="FM206">
            <v>0</v>
          </cell>
          <cell r="FN206">
            <v>0</v>
          </cell>
          <cell r="FO206">
            <v>0</v>
          </cell>
          <cell r="FP206">
            <v>0</v>
          </cell>
          <cell r="FQ206">
            <v>0</v>
          </cell>
          <cell r="FR206">
            <v>0</v>
          </cell>
          <cell r="FS206">
            <v>0</v>
          </cell>
          <cell r="FT206">
            <v>0</v>
          </cell>
          <cell r="FU206">
            <v>0</v>
          </cell>
          <cell r="FV206">
            <v>0</v>
          </cell>
          <cell r="FW206">
            <v>0</v>
          </cell>
          <cell r="FX206">
            <v>0</v>
          </cell>
          <cell r="FY206">
            <v>0</v>
          </cell>
          <cell r="FZ206">
            <v>0</v>
          </cell>
        </row>
        <row r="207">
          <cell r="B207">
            <v>0</v>
          </cell>
          <cell r="C207">
            <v>0</v>
          </cell>
          <cell r="D207">
            <v>0</v>
          </cell>
          <cell r="E207">
            <v>0</v>
          </cell>
          <cell r="F207">
            <v>0</v>
          </cell>
          <cell r="G207">
            <v>0</v>
          </cell>
          <cell r="H207">
            <v>0</v>
          </cell>
          <cell r="I207">
            <v>0</v>
          </cell>
          <cell r="J207">
            <v>0.13</v>
          </cell>
          <cell r="K207">
            <v>0</v>
          </cell>
          <cell r="L207">
            <v>0</v>
          </cell>
          <cell r="M207">
            <v>0</v>
          </cell>
          <cell r="N207">
            <v>0</v>
          </cell>
          <cell r="O207">
            <v>0</v>
          </cell>
          <cell r="P207">
            <v>0</v>
          </cell>
          <cell r="Q207">
            <v>0</v>
          </cell>
          <cell r="R207">
            <v>0</v>
          </cell>
          <cell r="S207">
            <v>0</v>
          </cell>
          <cell r="T207">
            <v>0</v>
          </cell>
          <cell r="U207">
            <v>0</v>
          </cell>
          <cell r="V207">
            <v>0</v>
          </cell>
          <cell r="W207">
            <v>0</v>
          </cell>
          <cell r="X207">
            <v>0</v>
          </cell>
          <cell r="Y207">
            <v>0</v>
          </cell>
          <cell r="Z207">
            <v>0</v>
          </cell>
          <cell r="AA207">
            <v>0</v>
          </cell>
          <cell r="AB207">
            <v>0</v>
          </cell>
          <cell r="AC207">
            <v>0</v>
          </cell>
          <cell r="AD207">
            <v>0</v>
          </cell>
          <cell r="AE207">
            <v>0</v>
          </cell>
          <cell r="AF207">
            <v>0</v>
          </cell>
          <cell r="AG207">
            <v>0</v>
          </cell>
          <cell r="AH207">
            <v>0.2</v>
          </cell>
          <cell r="AI207">
            <v>0</v>
          </cell>
          <cell r="AJ207">
            <v>0</v>
          </cell>
          <cell r="AK207">
            <v>0</v>
          </cell>
          <cell r="AL207">
            <v>0</v>
          </cell>
          <cell r="AM207">
            <v>0</v>
          </cell>
          <cell r="AN207">
            <v>0</v>
          </cell>
          <cell r="AO207">
            <v>0</v>
          </cell>
          <cell r="AP207">
            <v>0</v>
          </cell>
          <cell r="AQ207">
            <v>0</v>
          </cell>
          <cell r="AR207">
            <v>0</v>
          </cell>
          <cell r="AS207">
            <v>0</v>
          </cell>
          <cell r="AT207">
            <v>47108877.769999996</v>
          </cell>
          <cell r="AU207">
            <v>0</v>
          </cell>
          <cell r="AV207">
            <v>0</v>
          </cell>
          <cell r="AW207">
            <v>0</v>
          </cell>
          <cell r="AX207">
            <v>0</v>
          </cell>
          <cell r="AY207">
            <v>0</v>
          </cell>
          <cell r="AZ207">
            <v>0</v>
          </cell>
          <cell r="BA207">
            <v>0</v>
          </cell>
          <cell r="BB207">
            <v>0</v>
          </cell>
          <cell r="BC207">
            <v>0</v>
          </cell>
          <cell r="BD207">
            <v>0</v>
          </cell>
          <cell r="BE207">
            <v>0</v>
          </cell>
          <cell r="BF207">
            <v>26104146</v>
          </cell>
          <cell r="BG207">
            <v>0</v>
          </cell>
          <cell r="BH207">
            <v>0</v>
          </cell>
          <cell r="BI207">
            <v>0</v>
          </cell>
          <cell r="BJ207">
            <v>0</v>
          </cell>
          <cell r="BK207">
            <v>0</v>
          </cell>
          <cell r="BL207">
            <v>0</v>
          </cell>
          <cell r="BM207">
            <v>0</v>
          </cell>
          <cell r="BN207">
            <v>0</v>
          </cell>
          <cell r="BO207">
            <v>0</v>
          </cell>
          <cell r="BP207">
            <v>0</v>
          </cell>
          <cell r="BQ207">
            <v>0</v>
          </cell>
          <cell r="BR207">
            <v>1</v>
          </cell>
          <cell r="BS207">
            <v>0</v>
          </cell>
          <cell r="BT207">
            <v>0</v>
          </cell>
          <cell r="BU207">
            <v>0</v>
          </cell>
          <cell r="BV207">
            <v>27973538.090325005</v>
          </cell>
          <cell r="BW207">
            <v>27973538.090325005</v>
          </cell>
          <cell r="BX207">
            <v>27973538.090325005</v>
          </cell>
          <cell r="BY207">
            <v>28262736.490492489</v>
          </cell>
          <cell r="BZ207">
            <v>27664673.018734261</v>
          </cell>
          <cell r="CA207">
            <v>29644626.21127459</v>
          </cell>
          <cell r="CB207">
            <v>0</v>
          </cell>
          <cell r="CC207">
            <v>0</v>
          </cell>
          <cell r="CD207">
            <v>0</v>
          </cell>
          <cell r="CE207">
            <v>0</v>
          </cell>
          <cell r="CF207">
            <v>0</v>
          </cell>
          <cell r="CG207">
            <v>0</v>
          </cell>
          <cell r="CH207">
            <v>0</v>
          </cell>
          <cell r="CI207">
            <v>0</v>
          </cell>
          <cell r="CJ207">
            <v>0</v>
          </cell>
          <cell r="CK207">
            <v>0</v>
          </cell>
          <cell r="CL207">
            <v>10635596.090000002</v>
          </cell>
          <cell r="CM207">
            <v>0</v>
          </cell>
          <cell r="CN207">
            <v>0</v>
          </cell>
          <cell r="CO207">
            <v>0</v>
          </cell>
          <cell r="CP207">
            <v>0</v>
          </cell>
          <cell r="CQ207">
            <v>0</v>
          </cell>
          <cell r="CR207">
            <v>0</v>
          </cell>
          <cell r="CS207">
            <v>0</v>
          </cell>
          <cell r="CT207">
            <v>0</v>
          </cell>
          <cell r="CU207">
            <v>0</v>
          </cell>
          <cell r="CV207">
            <v>0</v>
          </cell>
          <cell r="CW207">
            <v>0</v>
          </cell>
          <cell r="CX207">
            <v>21004731.77</v>
          </cell>
          <cell r="CY207">
            <v>0</v>
          </cell>
          <cell r="CZ207">
            <v>0</v>
          </cell>
          <cell r="DA207">
            <v>0</v>
          </cell>
          <cell r="DB207">
            <v>0</v>
          </cell>
          <cell r="DC207">
            <v>0</v>
          </cell>
          <cell r="DD207">
            <v>0</v>
          </cell>
          <cell r="DE207">
            <v>0</v>
          </cell>
          <cell r="DF207">
            <v>0</v>
          </cell>
          <cell r="DG207">
            <v>0</v>
          </cell>
          <cell r="DH207">
            <v>0</v>
          </cell>
          <cell r="DI207">
            <v>0</v>
          </cell>
          <cell r="DJ207">
            <v>20343772.789999999</v>
          </cell>
          <cell r="DK207">
            <v>0</v>
          </cell>
          <cell r="DL207">
            <v>0</v>
          </cell>
          <cell r="DM207">
            <v>0</v>
          </cell>
          <cell r="DN207">
            <v>0</v>
          </cell>
          <cell r="DO207">
            <v>0</v>
          </cell>
          <cell r="DP207">
            <v>0</v>
          </cell>
          <cell r="DQ207">
            <v>0</v>
          </cell>
          <cell r="DR207">
            <v>0</v>
          </cell>
          <cell r="DS207">
            <v>0</v>
          </cell>
          <cell r="DT207">
            <v>0</v>
          </cell>
          <cell r="DU207">
            <v>0</v>
          </cell>
          <cell r="DV207">
            <v>0</v>
          </cell>
          <cell r="DW207">
            <v>0</v>
          </cell>
          <cell r="DX207">
            <v>0</v>
          </cell>
          <cell r="DY207">
            <v>0</v>
          </cell>
          <cell r="DZ207">
            <v>0</v>
          </cell>
          <cell r="EA207">
            <v>0</v>
          </cell>
          <cell r="EB207">
            <v>0</v>
          </cell>
          <cell r="EC207">
            <v>0</v>
          </cell>
          <cell r="ED207">
            <v>0</v>
          </cell>
          <cell r="EE207">
            <v>0</v>
          </cell>
          <cell r="EF207">
            <v>0</v>
          </cell>
          <cell r="EG207">
            <v>0</v>
          </cell>
          <cell r="EH207">
            <v>0</v>
          </cell>
          <cell r="EI207">
            <v>0</v>
          </cell>
          <cell r="EJ207">
            <v>0</v>
          </cell>
          <cell r="EK207">
            <v>0</v>
          </cell>
          <cell r="EL207">
            <v>0</v>
          </cell>
          <cell r="EM207">
            <v>0</v>
          </cell>
          <cell r="EN207">
            <v>0</v>
          </cell>
          <cell r="EO207">
            <v>0</v>
          </cell>
          <cell r="EP207">
            <v>0</v>
          </cell>
          <cell r="EQ207">
            <v>0</v>
          </cell>
          <cell r="ER207">
            <v>0</v>
          </cell>
          <cell r="ES207">
            <v>0</v>
          </cell>
          <cell r="ET207">
            <v>0</v>
          </cell>
          <cell r="EU207">
            <v>0</v>
          </cell>
          <cell r="EV207">
            <v>0</v>
          </cell>
          <cell r="EW207">
            <v>0</v>
          </cell>
          <cell r="EX207">
            <v>0</v>
          </cell>
          <cell r="EY207">
            <v>0</v>
          </cell>
          <cell r="EZ207">
            <v>0</v>
          </cell>
          <cell r="FA207">
            <v>0</v>
          </cell>
          <cell r="FB207">
            <v>0</v>
          </cell>
          <cell r="FC207">
            <v>0</v>
          </cell>
          <cell r="FD207">
            <v>0</v>
          </cell>
          <cell r="FE207">
            <v>0</v>
          </cell>
          <cell r="FF207">
            <v>0</v>
          </cell>
          <cell r="FG207">
            <v>0</v>
          </cell>
          <cell r="FH207">
            <v>0</v>
          </cell>
          <cell r="FI207">
            <v>0</v>
          </cell>
          <cell r="FJ207">
            <v>0</v>
          </cell>
          <cell r="FK207">
            <v>0</v>
          </cell>
          <cell r="FL207">
            <v>0</v>
          </cell>
          <cell r="FM207">
            <v>0</v>
          </cell>
          <cell r="FN207">
            <v>0</v>
          </cell>
          <cell r="FO207">
            <v>0</v>
          </cell>
          <cell r="FP207">
            <v>0</v>
          </cell>
          <cell r="FQ207">
            <v>0</v>
          </cell>
          <cell r="FR207">
            <v>0</v>
          </cell>
          <cell r="FS207">
            <v>0</v>
          </cell>
          <cell r="FT207">
            <v>0</v>
          </cell>
          <cell r="FU207">
            <v>0</v>
          </cell>
          <cell r="FV207">
            <v>0</v>
          </cell>
          <cell r="FW207">
            <v>0</v>
          </cell>
          <cell r="FX207">
            <v>0</v>
          </cell>
          <cell r="FY207">
            <v>0</v>
          </cell>
          <cell r="FZ207">
            <v>0</v>
          </cell>
        </row>
        <row r="208">
          <cell r="B208">
            <v>0</v>
          </cell>
          <cell r="C208">
            <v>0</v>
          </cell>
          <cell r="D208">
            <v>0</v>
          </cell>
          <cell r="E208">
            <v>0</v>
          </cell>
          <cell r="F208">
            <v>0</v>
          </cell>
          <cell r="G208">
            <v>0</v>
          </cell>
          <cell r="H208">
            <v>0</v>
          </cell>
          <cell r="I208">
            <v>0</v>
          </cell>
          <cell r="J208">
            <v>0</v>
          </cell>
          <cell r="K208">
            <v>0</v>
          </cell>
          <cell r="L208">
            <v>0</v>
          </cell>
          <cell r="M208">
            <v>0</v>
          </cell>
          <cell r="N208">
            <v>0</v>
          </cell>
          <cell r="O208">
            <v>0</v>
          </cell>
          <cell r="P208">
            <v>0</v>
          </cell>
          <cell r="Q208">
            <v>0</v>
          </cell>
          <cell r="R208">
            <v>0</v>
          </cell>
          <cell r="S208">
            <v>0</v>
          </cell>
          <cell r="T208">
            <v>0</v>
          </cell>
          <cell r="U208">
            <v>0</v>
          </cell>
          <cell r="V208">
            <v>0</v>
          </cell>
          <cell r="W208">
            <v>0</v>
          </cell>
          <cell r="X208">
            <v>0</v>
          </cell>
          <cell r="Y208">
            <v>0</v>
          </cell>
          <cell r="Z208">
            <v>0</v>
          </cell>
          <cell r="AA208">
            <v>0</v>
          </cell>
          <cell r="AB208">
            <v>0</v>
          </cell>
          <cell r="AC208">
            <v>0</v>
          </cell>
          <cell r="AD208">
            <v>0</v>
          </cell>
          <cell r="AE208">
            <v>0</v>
          </cell>
          <cell r="AF208">
            <v>0</v>
          </cell>
          <cell r="AG208">
            <v>0</v>
          </cell>
          <cell r="AH208">
            <v>0</v>
          </cell>
          <cell r="AI208">
            <v>0</v>
          </cell>
          <cell r="AJ208">
            <v>0</v>
          </cell>
          <cell r="AK208">
            <v>0</v>
          </cell>
          <cell r="AL208">
            <v>0</v>
          </cell>
          <cell r="AM208">
            <v>0</v>
          </cell>
          <cell r="AN208">
            <v>0</v>
          </cell>
          <cell r="AO208">
            <v>0</v>
          </cell>
          <cell r="AP208">
            <v>0</v>
          </cell>
          <cell r="AQ208">
            <v>0</v>
          </cell>
          <cell r="AR208">
            <v>0</v>
          </cell>
          <cell r="AS208">
            <v>0</v>
          </cell>
          <cell r="AT208">
            <v>0</v>
          </cell>
          <cell r="AU208">
            <v>0</v>
          </cell>
          <cell r="AV208">
            <v>0</v>
          </cell>
          <cell r="AW208">
            <v>0</v>
          </cell>
          <cell r="AX208">
            <v>0</v>
          </cell>
          <cell r="AY208">
            <v>0</v>
          </cell>
          <cell r="AZ208">
            <v>0</v>
          </cell>
          <cell r="BA208">
            <v>0</v>
          </cell>
          <cell r="BB208">
            <v>0</v>
          </cell>
          <cell r="BC208">
            <v>0</v>
          </cell>
          <cell r="BD208">
            <v>0</v>
          </cell>
          <cell r="BE208">
            <v>0</v>
          </cell>
          <cell r="BF208">
            <v>0</v>
          </cell>
          <cell r="BG208">
            <v>0</v>
          </cell>
          <cell r="BH208">
            <v>0</v>
          </cell>
          <cell r="BI208">
            <v>0</v>
          </cell>
          <cell r="BJ208">
            <v>0</v>
          </cell>
          <cell r="BK208">
            <v>0</v>
          </cell>
          <cell r="BL208">
            <v>0</v>
          </cell>
          <cell r="BM208">
            <v>0</v>
          </cell>
          <cell r="BN208">
            <v>0</v>
          </cell>
          <cell r="BO208">
            <v>0</v>
          </cell>
          <cell r="BP208">
            <v>0</v>
          </cell>
          <cell r="BQ208">
            <v>0</v>
          </cell>
          <cell r="BR208">
            <v>0</v>
          </cell>
          <cell r="BS208">
            <v>0</v>
          </cell>
          <cell r="BT208">
            <v>0</v>
          </cell>
          <cell r="BU208">
            <v>0</v>
          </cell>
          <cell r="BV208">
            <v>0</v>
          </cell>
          <cell r="BW208">
            <v>0</v>
          </cell>
          <cell r="BX208">
            <v>0</v>
          </cell>
          <cell r="BY208">
            <v>0</v>
          </cell>
          <cell r="BZ208">
            <v>0</v>
          </cell>
          <cell r="CA208">
            <v>0</v>
          </cell>
          <cell r="CB208">
            <v>0</v>
          </cell>
          <cell r="CC208">
            <v>0</v>
          </cell>
          <cell r="CD208">
            <v>0</v>
          </cell>
          <cell r="CE208">
            <v>0</v>
          </cell>
          <cell r="CF208">
            <v>0</v>
          </cell>
          <cell r="CG208">
            <v>0</v>
          </cell>
          <cell r="CH208">
            <v>0</v>
          </cell>
          <cell r="CI208">
            <v>0</v>
          </cell>
          <cell r="CJ208">
            <v>0</v>
          </cell>
          <cell r="CK208">
            <v>0</v>
          </cell>
          <cell r="CL208">
            <v>0</v>
          </cell>
          <cell r="CM208">
            <v>0</v>
          </cell>
          <cell r="CN208">
            <v>0</v>
          </cell>
          <cell r="CO208">
            <v>0</v>
          </cell>
          <cell r="CP208">
            <v>0</v>
          </cell>
          <cell r="CQ208">
            <v>0</v>
          </cell>
          <cell r="CR208">
            <v>0</v>
          </cell>
          <cell r="CS208">
            <v>0</v>
          </cell>
          <cell r="CT208">
            <v>0</v>
          </cell>
          <cell r="CU208">
            <v>0</v>
          </cell>
          <cell r="CV208">
            <v>0</v>
          </cell>
          <cell r="CW208">
            <v>0</v>
          </cell>
          <cell r="CX208">
            <v>0</v>
          </cell>
          <cell r="CY208">
            <v>0</v>
          </cell>
          <cell r="CZ208">
            <v>0</v>
          </cell>
          <cell r="DA208">
            <v>0</v>
          </cell>
          <cell r="DB208">
            <v>0</v>
          </cell>
          <cell r="DC208">
            <v>0</v>
          </cell>
          <cell r="DD208">
            <v>0</v>
          </cell>
          <cell r="DE208">
            <v>0</v>
          </cell>
          <cell r="DF208">
            <v>0</v>
          </cell>
          <cell r="DG208">
            <v>0</v>
          </cell>
          <cell r="DH208">
            <v>0</v>
          </cell>
          <cell r="DI208">
            <v>0</v>
          </cell>
          <cell r="DJ208">
            <v>0</v>
          </cell>
          <cell r="DK208">
            <v>0</v>
          </cell>
          <cell r="DL208">
            <v>0</v>
          </cell>
          <cell r="DM208">
            <v>0</v>
          </cell>
          <cell r="DN208">
            <v>0</v>
          </cell>
          <cell r="DO208">
            <v>0</v>
          </cell>
          <cell r="DP208">
            <v>0</v>
          </cell>
          <cell r="DQ208">
            <v>0</v>
          </cell>
          <cell r="DR208">
            <v>0</v>
          </cell>
          <cell r="DS208">
            <v>0</v>
          </cell>
          <cell r="DT208">
            <v>0</v>
          </cell>
          <cell r="DU208">
            <v>0</v>
          </cell>
          <cell r="DV208">
            <v>0</v>
          </cell>
          <cell r="DW208">
            <v>0</v>
          </cell>
          <cell r="DX208">
            <v>0</v>
          </cell>
          <cell r="DY208">
            <v>0</v>
          </cell>
          <cell r="DZ208">
            <v>0</v>
          </cell>
          <cell r="EA208">
            <v>0</v>
          </cell>
          <cell r="EB208">
            <v>0</v>
          </cell>
          <cell r="EC208">
            <v>0</v>
          </cell>
          <cell r="ED208">
            <v>0</v>
          </cell>
          <cell r="EE208">
            <v>0</v>
          </cell>
          <cell r="EF208">
            <v>0</v>
          </cell>
          <cell r="EG208">
            <v>0</v>
          </cell>
          <cell r="EH208">
            <v>0</v>
          </cell>
          <cell r="EI208">
            <v>0</v>
          </cell>
          <cell r="EJ208">
            <v>0</v>
          </cell>
          <cell r="EK208">
            <v>0</v>
          </cell>
          <cell r="EL208">
            <v>0</v>
          </cell>
          <cell r="EM208">
            <v>0</v>
          </cell>
          <cell r="EN208">
            <v>0</v>
          </cell>
          <cell r="EO208">
            <v>0</v>
          </cell>
          <cell r="EP208">
            <v>0</v>
          </cell>
          <cell r="EQ208">
            <v>0</v>
          </cell>
          <cell r="ER208">
            <v>0</v>
          </cell>
          <cell r="ES208">
            <v>0</v>
          </cell>
          <cell r="ET208">
            <v>0</v>
          </cell>
          <cell r="EU208">
            <v>0</v>
          </cell>
          <cell r="EV208">
            <v>0</v>
          </cell>
          <cell r="EW208">
            <v>0</v>
          </cell>
          <cell r="EX208">
            <v>0</v>
          </cell>
          <cell r="EY208">
            <v>0</v>
          </cell>
          <cell r="EZ208">
            <v>0</v>
          </cell>
          <cell r="FA208">
            <v>0</v>
          </cell>
          <cell r="FB208">
            <v>0</v>
          </cell>
          <cell r="FC208">
            <v>0</v>
          </cell>
          <cell r="FD208">
            <v>0</v>
          </cell>
          <cell r="FE208">
            <v>0</v>
          </cell>
          <cell r="FF208">
            <v>0</v>
          </cell>
          <cell r="FG208">
            <v>0</v>
          </cell>
          <cell r="FH208">
            <v>0</v>
          </cell>
          <cell r="FI208">
            <v>0</v>
          </cell>
          <cell r="FJ208">
            <v>0</v>
          </cell>
          <cell r="FK208">
            <v>0</v>
          </cell>
          <cell r="FL208">
            <v>0</v>
          </cell>
          <cell r="FM208">
            <v>0</v>
          </cell>
          <cell r="FN208">
            <v>0</v>
          </cell>
          <cell r="FO208">
            <v>0</v>
          </cell>
          <cell r="FP208">
            <v>0</v>
          </cell>
          <cell r="FQ208">
            <v>0</v>
          </cell>
          <cell r="FR208">
            <v>0</v>
          </cell>
          <cell r="FS208">
            <v>0</v>
          </cell>
          <cell r="FT208">
            <v>0</v>
          </cell>
          <cell r="FU208">
            <v>0</v>
          </cell>
          <cell r="FV208">
            <v>0</v>
          </cell>
          <cell r="FW208">
            <v>0</v>
          </cell>
          <cell r="FX208">
            <v>0</v>
          </cell>
          <cell r="FY208">
            <v>0</v>
          </cell>
          <cell r="FZ208">
            <v>0</v>
          </cell>
        </row>
        <row r="209">
          <cell r="B209">
            <v>0</v>
          </cell>
          <cell r="C209">
            <v>0</v>
          </cell>
          <cell r="D209">
            <v>0</v>
          </cell>
          <cell r="E209">
            <v>0</v>
          </cell>
          <cell r="F209">
            <v>0</v>
          </cell>
          <cell r="G209">
            <v>0</v>
          </cell>
          <cell r="H209">
            <v>0</v>
          </cell>
          <cell r="I209">
            <v>0</v>
          </cell>
          <cell r="J209">
            <v>0</v>
          </cell>
          <cell r="K209">
            <v>0</v>
          </cell>
          <cell r="L209">
            <v>0</v>
          </cell>
          <cell r="M209">
            <v>0</v>
          </cell>
          <cell r="N209">
            <v>0</v>
          </cell>
          <cell r="O209">
            <v>0</v>
          </cell>
          <cell r="P209">
            <v>0</v>
          </cell>
          <cell r="Q209">
            <v>0</v>
          </cell>
          <cell r="R209">
            <v>0</v>
          </cell>
          <cell r="S209">
            <v>0</v>
          </cell>
          <cell r="T209">
            <v>0</v>
          </cell>
          <cell r="U209">
            <v>0</v>
          </cell>
          <cell r="V209">
            <v>0</v>
          </cell>
          <cell r="W209">
            <v>0</v>
          </cell>
          <cell r="X209">
            <v>0</v>
          </cell>
          <cell r="Y209">
            <v>0</v>
          </cell>
          <cell r="Z209">
            <v>0</v>
          </cell>
          <cell r="AA209">
            <v>0</v>
          </cell>
          <cell r="AB209">
            <v>0</v>
          </cell>
          <cell r="AC209">
            <v>0</v>
          </cell>
          <cell r="AD209">
            <v>0</v>
          </cell>
          <cell r="AE209">
            <v>0</v>
          </cell>
          <cell r="AF209">
            <v>0</v>
          </cell>
          <cell r="AG209">
            <v>0</v>
          </cell>
          <cell r="AH209">
            <v>0</v>
          </cell>
          <cell r="AI209">
            <v>0</v>
          </cell>
          <cell r="AJ209">
            <v>0</v>
          </cell>
          <cell r="AK209">
            <v>0</v>
          </cell>
          <cell r="AL209">
            <v>0</v>
          </cell>
          <cell r="AM209">
            <v>0</v>
          </cell>
          <cell r="AN209">
            <v>0</v>
          </cell>
          <cell r="AO209">
            <v>0</v>
          </cell>
          <cell r="AP209">
            <v>0</v>
          </cell>
          <cell r="AQ209">
            <v>0</v>
          </cell>
          <cell r="AR209">
            <v>0</v>
          </cell>
          <cell r="AS209">
            <v>0</v>
          </cell>
          <cell r="AT209">
            <v>0</v>
          </cell>
          <cell r="AU209">
            <v>0</v>
          </cell>
          <cell r="AV209">
            <v>0</v>
          </cell>
          <cell r="AW209">
            <v>0</v>
          </cell>
          <cell r="AX209">
            <v>0</v>
          </cell>
          <cell r="AY209">
            <v>0</v>
          </cell>
          <cell r="AZ209">
            <v>0</v>
          </cell>
          <cell r="BA209">
            <v>0</v>
          </cell>
          <cell r="BB209">
            <v>0</v>
          </cell>
          <cell r="BC209">
            <v>0</v>
          </cell>
          <cell r="BD209">
            <v>0</v>
          </cell>
          <cell r="BE209">
            <v>0</v>
          </cell>
          <cell r="BF209">
            <v>0</v>
          </cell>
          <cell r="BG209">
            <v>0</v>
          </cell>
          <cell r="BH209">
            <v>0</v>
          </cell>
          <cell r="BI209">
            <v>0</v>
          </cell>
          <cell r="BJ209">
            <v>0</v>
          </cell>
          <cell r="BK209">
            <v>0</v>
          </cell>
          <cell r="BL209">
            <v>0</v>
          </cell>
          <cell r="BM209">
            <v>0</v>
          </cell>
          <cell r="BN209">
            <v>0</v>
          </cell>
          <cell r="BO209">
            <v>0</v>
          </cell>
          <cell r="BP209">
            <v>0</v>
          </cell>
          <cell r="BQ209">
            <v>0</v>
          </cell>
          <cell r="BR209">
            <v>0</v>
          </cell>
          <cell r="BS209">
            <v>0</v>
          </cell>
          <cell r="BT209">
            <v>0</v>
          </cell>
          <cell r="BU209">
            <v>0</v>
          </cell>
          <cell r="BV209">
            <v>0</v>
          </cell>
          <cell r="BW209">
            <v>0</v>
          </cell>
          <cell r="BX209">
            <v>0</v>
          </cell>
          <cell r="BY209">
            <v>0</v>
          </cell>
          <cell r="BZ209">
            <v>0</v>
          </cell>
          <cell r="CA209">
            <v>0</v>
          </cell>
          <cell r="CB209">
            <v>0</v>
          </cell>
          <cell r="CC209">
            <v>0</v>
          </cell>
          <cell r="CD209">
            <v>0</v>
          </cell>
          <cell r="CE209">
            <v>0</v>
          </cell>
          <cell r="CF209">
            <v>0</v>
          </cell>
          <cell r="CG209">
            <v>0</v>
          </cell>
          <cell r="CH209">
            <v>0</v>
          </cell>
          <cell r="CI209">
            <v>0</v>
          </cell>
          <cell r="CJ209">
            <v>0</v>
          </cell>
          <cell r="CK209">
            <v>0</v>
          </cell>
          <cell r="CL209">
            <v>0</v>
          </cell>
          <cell r="CM209">
            <v>0</v>
          </cell>
          <cell r="CN209">
            <v>0</v>
          </cell>
          <cell r="CO209">
            <v>0</v>
          </cell>
          <cell r="CP209">
            <v>0</v>
          </cell>
          <cell r="CQ209">
            <v>0</v>
          </cell>
          <cell r="CR209">
            <v>0</v>
          </cell>
          <cell r="CS209">
            <v>0</v>
          </cell>
          <cell r="CT209">
            <v>0</v>
          </cell>
          <cell r="CU209">
            <v>0</v>
          </cell>
          <cell r="CV209">
            <v>0</v>
          </cell>
          <cell r="CW209">
            <v>0</v>
          </cell>
          <cell r="CX209">
            <v>0</v>
          </cell>
          <cell r="CY209">
            <v>0</v>
          </cell>
          <cell r="CZ209">
            <v>0</v>
          </cell>
          <cell r="DA209">
            <v>0</v>
          </cell>
          <cell r="DB209">
            <v>0</v>
          </cell>
          <cell r="DC209">
            <v>0</v>
          </cell>
          <cell r="DD209">
            <v>0</v>
          </cell>
          <cell r="DE209">
            <v>0</v>
          </cell>
          <cell r="DF209">
            <v>0</v>
          </cell>
          <cell r="DG209">
            <v>0</v>
          </cell>
          <cell r="DH209">
            <v>0</v>
          </cell>
          <cell r="DI209">
            <v>0</v>
          </cell>
          <cell r="DJ209">
            <v>0</v>
          </cell>
          <cell r="DK209">
            <v>0</v>
          </cell>
          <cell r="DL209">
            <v>0</v>
          </cell>
          <cell r="DM209">
            <v>0</v>
          </cell>
          <cell r="DN209">
            <v>0</v>
          </cell>
          <cell r="DO209">
            <v>0</v>
          </cell>
          <cell r="DP209">
            <v>0</v>
          </cell>
          <cell r="DQ209">
            <v>0</v>
          </cell>
          <cell r="DR209">
            <v>0</v>
          </cell>
          <cell r="DS209">
            <v>0</v>
          </cell>
          <cell r="DT209">
            <v>0</v>
          </cell>
          <cell r="DU209">
            <v>0</v>
          </cell>
          <cell r="DV209">
            <v>0</v>
          </cell>
          <cell r="DW209">
            <v>0</v>
          </cell>
          <cell r="DX209">
            <v>0</v>
          </cell>
          <cell r="DY209">
            <v>0</v>
          </cell>
          <cell r="DZ209">
            <v>0</v>
          </cell>
          <cell r="EA209">
            <v>0</v>
          </cell>
          <cell r="EB209">
            <v>0</v>
          </cell>
          <cell r="EC209">
            <v>0</v>
          </cell>
          <cell r="ED209">
            <v>0</v>
          </cell>
          <cell r="EE209">
            <v>0</v>
          </cell>
          <cell r="EF209">
            <v>0</v>
          </cell>
          <cell r="EG209">
            <v>0</v>
          </cell>
          <cell r="EH209">
            <v>0</v>
          </cell>
          <cell r="EI209">
            <v>0</v>
          </cell>
          <cell r="EJ209">
            <v>0</v>
          </cell>
          <cell r="EK209">
            <v>0</v>
          </cell>
          <cell r="EL209">
            <v>0</v>
          </cell>
          <cell r="EM209">
            <v>0</v>
          </cell>
          <cell r="EN209">
            <v>0</v>
          </cell>
          <cell r="EO209">
            <v>0</v>
          </cell>
          <cell r="EP209">
            <v>0</v>
          </cell>
          <cell r="EQ209">
            <v>0</v>
          </cell>
          <cell r="ER209">
            <v>0</v>
          </cell>
          <cell r="ES209">
            <v>0</v>
          </cell>
          <cell r="ET209">
            <v>0</v>
          </cell>
          <cell r="EU209">
            <v>0</v>
          </cell>
          <cell r="EV209">
            <v>0</v>
          </cell>
          <cell r="EW209">
            <v>0</v>
          </cell>
          <cell r="EX209">
            <v>0</v>
          </cell>
          <cell r="EY209">
            <v>0</v>
          </cell>
          <cell r="EZ209">
            <v>0</v>
          </cell>
          <cell r="FA209">
            <v>0</v>
          </cell>
          <cell r="FB209">
            <v>0</v>
          </cell>
          <cell r="FC209">
            <v>0</v>
          </cell>
          <cell r="FD209">
            <v>0</v>
          </cell>
          <cell r="FE209">
            <v>0</v>
          </cell>
          <cell r="FF209">
            <v>0</v>
          </cell>
          <cell r="FG209">
            <v>0</v>
          </cell>
          <cell r="FH209">
            <v>0</v>
          </cell>
          <cell r="FI209">
            <v>0</v>
          </cell>
          <cell r="FJ209">
            <v>0</v>
          </cell>
          <cell r="FK209">
            <v>0</v>
          </cell>
          <cell r="FL209">
            <v>0</v>
          </cell>
          <cell r="FM209">
            <v>0</v>
          </cell>
          <cell r="FN209">
            <v>0</v>
          </cell>
          <cell r="FO209">
            <v>0</v>
          </cell>
          <cell r="FP209">
            <v>0</v>
          </cell>
          <cell r="FQ209">
            <v>0</v>
          </cell>
          <cell r="FR209">
            <v>0</v>
          </cell>
          <cell r="FS209">
            <v>0</v>
          </cell>
          <cell r="FT209">
            <v>0</v>
          </cell>
          <cell r="FU209">
            <v>0</v>
          </cell>
          <cell r="FV209">
            <v>0</v>
          </cell>
          <cell r="FW209">
            <v>0</v>
          </cell>
          <cell r="FX209">
            <v>0</v>
          </cell>
          <cell r="FY209">
            <v>0</v>
          </cell>
          <cell r="FZ209">
            <v>0</v>
          </cell>
        </row>
        <row r="210">
          <cell r="B210">
            <v>0</v>
          </cell>
          <cell r="C210">
            <v>0</v>
          </cell>
          <cell r="D210">
            <v>0</v>
          </cell>
          <cell r="E210">
            <v>0</v>
          </cell>
          <cell r="F210">
            <v>0</v>
          </cell>
          <cell r="G210">
            <v>0</v>
          </cell>
          <cell r="H210">
            <v>0</v>
          </cell>
          <cell r="I210">
            <v>0</v>
          </cell>
          <cell r="J210">
            <v>0</v>
          </cell>
          <cell r="K210">
            <v>0</v>
          </cell>
          <cell r="L210">
            <v>0</v>
          </cell>
          <cell r="M210">
            <v>0</v>
          </cell>
          <cell r="N210">
            <v>0</v>
          </cell>
          <cell r="O210">
            <v>0</v>
          </cell>
          <cell r="P210">
            <v>0</v>
          </cell>
          <cell r="Q210">
            <v>0</v>
          </cell>
          <cell r="R210">
            <v>0</v>
          </cell>
          <cell r="S210">
            <v>0</v>
          </cell>
          <cell r="T210">
            <v>0</v>
          </cell>
          <cell r="U210">
            <v>0</v>
          </cell>
          <cell r="V210">
            <v>0</v>
          </cell>
          <cell r="W210">
            <v>0</v>
          </cell>
          <cell r="X210">
            <v>0</v>
          </cell>
          <cell r="Y210">
            <v>0</v>
          </cell>
          <cell r="Z210">
            <v>0</v>
          </cell>
          <cell r="AA210">
            <v>0</v>
          </cell>
          <cell r="AB210">
            <v>0</v>
          </cell>
          <cell r="AC210">
            <v>0</v>
          </cell>
          <cell r="AD210">
            <v>0</v>
          </cell>
          <cell r="AE210">
            <v>0</v>
          </cell>
          <cell r="AF210">
            <v>0</v>
          </cell>
          <cell r="AG210">
            <v>0</v>
          </cell>
          <cell r="AH210">
            <v>0</v>
          </cell>
          <cell r="AI210">
            <v>0</v>
          </cell>
          <cell r="AJ210">
            <v>0</v>
          </cell>
          <cell r="AK210">
            <v>0</v>
          </cell>
          <cell r="AL210">
            <v>0</v>
          </cell>
          <cell r="AM210">
            <v>0</v>
          </cell>
          <cell r="AN210">
            <v>0</v>
          </cell>
          <cell r="AO210">
            <v>0</v>
          </cell>
          <cell r="AP210">
            <v>0</v>
          </cell>
          <cell r="AQ210">
            <v>0</v>
          </cell>
          <cell r="AR210">
            <v>0</v>
          </cell>
          <cell r="AS210">
            <v>0</v>
          </cell>
          <cell r="AT210">
            <v>0</v>
          </cell>
          <cell r="AU210">
            <v>0</v>
          </cell>
          <cell r="AV210">
            <v>0</v>
          </cell>
          <cell r="AW210">
            <v>0</v>
          </cell>
          <cell r="AX210">
            <v>0</v>
          </cell>
          <cell r="AY210">
            <v>0</v>
          </cell>
          <cell r="AZ210">
            <v>0</v>
          </cell>
          <cell r="BA210">
            <v>0</v>
          </cell>
          <cell r="BB210">
            <v>0</v>
          </cell>
          <cell r="BC210">
            <v>0</v>
          </cell>
          <cell r="BD210">
            <v>0</v>
          </cell>
          <cell r="BE210">
            <v>0</v>
          </cell>
          <cell r="BF210">
            <v>0</v>
          </cell>
          <cell r="BG210">
            <v>0</v>
          </cell>
          <cell r="BH210">
            <v>0</v>
          </cell>
          <cell r="BI210">
            <v>0</v>
          </cell>
          <cell r="BJ210">
            <v>0</v>
          </cell>
          <cell r="BK210">
            <v>0</v>
          </cell>
          <cell r="BL210">
            <v>0</v>
          </cell>
          <cell r="BM210">
            <v>0</v>
          </cell>
          <cell r="BN210">
            <v>0</v>
          </cell>
          <cell r="BO210">
            <v>0</v>
          </cell>
          <cell r="BP210">
            <v>0</v>
          </cell>
          <cell r="BQ210">
            <v>0</v>
          </cell>
          <cell r="BR210">
            <v>0</v>
          </cell>
          <cell r="BS210">
            <v>0</v>
          </cell>
          <cell r="BT210">
            <v>0</v>
          </cell>
          <cell r="BU210">
            <v>0</v>
          </cell>
          <cell r="BV210">
            <v>0</v>
          </cell>
          <cell r="BW210">
            <v>0</v>
          </cell>
          <cell r="BX210">
            <v>0</v>
          </cell>
          <cell r="BY210">
            <v>0</v>
          </cell>
          <cell r="BZ210">
            <v>0</v>
          </cell>
          <cell r="CA210">
            <v>0</v>
          </cell>
          <cell r="CB210">
            <v>0</v>
          </cell>
          <cell r="CC210">
            <v>0</v>
          </cell>
          <cell r="CD210">
            <v>0</v>
          </cell>
          <cell r="CE210">
            <v>0</v>
          </cell>
          <cell r="CF210">
            <v>0</v>
          </cell>
          <cell r="CG210">
            <v>0</v>
          </cell>
          <cell r="CH210">
            <v>0</v>
          </cell>
          <cell r="CI210">
            <v>0</v>
          </cell>
          <cell r="CJ210">
            <v>0</v>
          </cell>
          <cell r="CK210">
            <v>0</v>
          </cell>
          <cell r="CL210">
            <v>0</v>
          </cell>
          <cell r="CM210">
            <v>0</v>
          </cell>
          <cell r="CN210">
            <v>0</v>
          </cell>
          <cell r="CO210">
            <v>0</v>
          </cell>
          <cell r="CP210">
            <v>0</v>
          </cell>
          <cell r="CQ210">
            <v>0</v>
          </cell>
          <cell r="CR210">
            <v>0</v>
          </cell>
          <cell r="CS210">
            <v>0</v>
          </cell>
          <cell r="CT210">
            <v>0</v>
          </cell>
          <cell r="CU210">
            <v>0</v>
          </cell>
          <cell r="CV210">
            <v>0</v>
          </cell>
          <cell r="CW210">
            <v>0</v>
          </cell>
          <cell r="CX210">
            <v>0</v>
          </cell>
          <cell r="CY210">
            <v>0</v>
          </cell>
          <cell r="CZ210">
            <v>0</v>
          </cell>
          <cell r="DA210">
            <v>0</v>
          </cell>
          <cell r="DB210">
            <v>0</v>
          </cell>
          <cell r="DC210">
            <v>0</v>
          </cell>
          <cell r="DD210">
            <v>0</v>
          </cell>
          <cell r="DE210">
            <v>0</v>
          </cell>
          <cell r="DF210">
            <v>0</v>
          </cell>
          <cell r="DG210">
            <v>0</v>
          </cell>
          <cell r="DH210">
            <v>0</v>
          </cell>
          <cell r="DI210">
            <v>0</v>
          </cell>
          <cell r="DJ210">
            <v>0</v>
          </cell>
          <cell r="DK210">
            <v>0</v>
          </cell>
          <cell r="DL210">
            <v>0</v>
          </cell>
          <cell r="DM210">
            <v>0</v>
          </cell>
          <cell r="DN210">
            <v>0</v>
          </cell>
          <cell r="DO210">
            <v>0</v>
          </cell>
          <cell r="DP210">
            <v>0</v>
          </cell>
          <cell r="DQ210">
            <v>0</v>
          </cell>
          <cell r="DR210">
            <v>0</v>
          </cell>
          <cell r="DS210">
            <v>0</v>
          </cell>
          <cell r="DT210">
            <v>0</v>
          </cell>
          <cell r="DU210">
            <v>0</v>
          </cell>
          <cell r="DV210">
            <v>0</v>
          </cell>
          <cell r="DW210">
            <v>0</v>
          </cell>
          <cell r="DX210">
            <v>0</v>
          </cell>
          <cell r="DY210">
            <v>0</v>
          </cell>
          <cell r="DZ210">
            <v>0</v>
          </cell>
          <cell r="EA210">
            <v>0</v>
          </cell>
          <cell r="EB210">
            <v>0</v>
          </cell>
          <cell r="EC210">
            <v>0</v>
          </cell>
          <cell r="ED210">
            <v>0</v>
          </cell>
          <cell r="EE210">
            <v>0</v>
          </cell>
          <cell r="EF210">
            <v>0</v>
          </cell>
          <cell r="EG210">
            <v>0</v>
          </cell>
          <cell r="EH210">
            <v>0</v>
          </cell>
          <cell r="EI210">
            <v>0</v>
          </cell>
          <cell r="EJ210">
            <v>0</v>
          </cell>
          <cell r="EK210">
            <v>0</v>
          </cell>
          <cell r="EL210">
            <v>0</v>
          </cell>
          <cell r="EM210">
            <v>0</v>
          </cell>
          <cell r="EN210">
            <v>0</v>
          </cell>
          <cell r="EO210">
            <v>0</v>
          </cell>
          <cell r="EP210">
            <v>0</v>
          </cell>
          <cell r="EQ210">
            <v>0</v>
          </cell>
          <cell r="ER210">
            <v>0</v>
          </cell>
          <cell r="ES210">
            <v>0</v>
          </cell>
          <cell r="ET210">
            <v>0</v>
          </cell>
          <cell r="EU210">
            <v>0</v>
          </cell>
          <cell r="EV210">
            <v>0</v>
          </cell>
          <cell r="EW210">
            <v>0</v>
          </cell>
          <cell r="EX210">
            <v>0</v>
          </cell>
          <cell r="EY210">
            <v>0</v>
          </cell>
          <cell r="EZ210">
            <v>0</v>
          </cell>
          <cell r="FA210">
            <v>0</v>
          </cell>
          <cell r="FB210">
            <v>0</v>
          </cell>
          <cell r="FC210">
            <v>0</v>
          </cell>
          <cell r="FD210">
            <v>0</v>
          </cell>
          <cell r="FE210">
            <v>0</v>
          </cell>
          <cell r="FF210">
            <v>0</v>
          </cell>
          <cell r="FG210">
            <v>0</v>
          </cell>
          <cell r="FH210">
            <v>0</v>
          </cell>
          <cell r="FI210">
            <v>0</v>
          </cell>
          <cell r="FJ210">
            <v>0</v>
          </cell>
          <cell r="FK210">
            <v>0</v>
          </cell>
          <cell r="FL210">
            <v>0</v>
          </cell>
          <cell r="FM210">
            <v>0</v>
          </cell>
          <cell r="FN210">
            <v>0</v>
          </cell>
          <cell r="FO210">
            <v>0</v>
          </cell>
          <cell r="FP210">
            <v>0</v>
          </cell>
          <cell r="FQ210">
            <v>0</v>
          </cell>
          <cell r="FR210">
            <v>0</v>
          </cell>
          <cell r="FS210">
            <v>0</v>
          </cell>
          <cell r="FT210">
            <v>0</v>
          </cell>
          <cell r="FU210">
            <v>0</v>
          </cell>
          <cell r="FV210">
            <v>0</v>
          </cell>
          <cell r="FW210">
            <v>0</v>
          </cell>
          <cell r="FX210">
            <v>0</v>
          </cell>
          <cell r="FY210">
            <v>0</v>
          </cell>
          <cell r="FZ210">
            <v>0</v>
          </cell>
        </row>
        <row r="211">
          <cell r="B211">
            <v>0</v>
          </cell>
          <cell r="C211">
            <v>0</v>
          </cell>
          <cell r="D211">
            <v>0</v>
          </cell>
          <cell r="E211">
            <v>0</v>
          </cell>
          <cell r="F211">
            <v>0</v>
          </cell>
          <cell r="G211">
            <v>0</v>
          </cell>
          <cell r="H211">
            <v>0</v>
          </cell>
          <cell r="I211">
            <v>0</v>
          </cell>
          <cell r="J211">
            <v>0</v>
          </cell>
          <cell r="K211">
            <v>0</v>
          </cell>
          <cell r="L211">
            <v>0</v>
          </cell>
          <cell r="M211">
            <v>0</v>
          </cell>
          <cell r="N211">
            <v>0</v>
          </cell>
          <cell r="O211">
            <v>0</v>
          </cell>
          <cell r="P211">
            <v>0</v>
          </cell>
          <cell r="Q211">
            <v>0</v>
          </cell>
          <cell r="R211">
            <v>0</v>
          </cell>
          <cell r="S211">
            <v>0</v>
          </cell>
          <cell r="T211">
            <v>0</v>
          </cell>
          <cell r="U211">
            <v>0</v>
          </cell>
          <cell r="V211">
            <v>0</v>
          </cell>
          <cell r="W211">
            <v>0</v>
          </cell>
          <cell r="X211">
            <v>0</v>
          </cell>
          <cell r="Y211">
            <v>0</v>
          </cell>
          <cell r="Z211">
            <v>0</v>
          </cell>
          <cell r="AA211">
            <v>0</v>
          </cell>
          <cell r="AB211">
            <v>0</v>
          </cell>
          <cell r="AC211">
            <v>0</v>
          </cell>
          <cell r="AD211">
            <v>0</v>
          </cell>
          <cell r="AE211">
            <v>0</v>
          </cell>
          <cell r="AF211">
            <v>0</v>
          </cell>
          <cell r="AG211">
            <v>0</v>
          </cell>
          <cell r="AH211">
            <v>0</v>
          </cell>
          <cell r="AI211">
            <v>0</v>
          </cell>
          <cell r="AJ211">
            <v>0</v>
          </cell>
          <cell r="AK211">
            <v>0</v>
          </cell>
          <cell r="AL211">
            <v>0</v>
          </cell>
          <cell r="AM211">
            <v>0</v>
          </cell>
          <cell r="AN211">
            <v>0</v>
          </cell>
          <cell r="AO211">
            <v>0</v>
          </cell>
          <cell r="AP211">
            <v>0</v>
          </cell>
          <cell r="AQ211">
            <v>0</v>
          </cell>
          <cell r="AR211">
            <v>0</v>
          </cell>
          <cell r="AS211">
            <v>0</v>
          </cell>
          <cell r="AT211">
            <v>0</v>
          </cell>
          <cell r="AU211">
            <v>0</v>
          </cell>
          <cell r="AV211">
            <v>0</v>
          </cell>
          <cell r="AW211">
            <v>0</v>
          </cell>
          <cell r="AX211">
            <v>0</v>
          </cell>
          <cell r="AY211">
            <v>0</v>
          </cell>
          <cell r="AZ211">
            <v>0</v>
          </cell>
          <cell r="BA211">
            <v>0</v>
          </cell>
          <cell r="BB211">
            <v>0</v>
          </cell>
          <cell r="BC211">
            <v>0</v>
          </cell>
          <cell r="BD211">
            <v>0</v>
          </cell>
          <cell r="BE211">
            <v>0</v>
          </cell>
          <cell r="BF211">
            <v>0</v>
          </cell>
          <cell r="BG211">
            <v>0</v>
          </cell>
          <cell r="BH211">
            <v>0</v>
          </cell>
          <cell r="BI211">
            <v>0</v>
          </cell>
          <cell r="BJ211">
            <v>0</v>
          </cell>
          <cell r="BK211">
            <v>0</v>
          </cell>
          <cell r="BL211">
            <v>0</v>
          </cell>
          <cell r="BM211">
            <v>0</v>
          </cell>
          <cell r="BN211">
            <v>0</v>
          </cell>
          <cell r="BO211">
            <v>0</v>
          </cell>
          <cell r="BP211">
            <v>0</v>
          </cell>
          <cell r="BQ211">
            <v>0</v>
          </cell>
          <cell r="BR211">
            <v>0</v>
          </cell>
          <cell r="BS211">
            <v>0</v>
          </cell>
          <cell r="BT211">
            <v>0</v>
          </cell>
          <cell r="BU211">
            <v>0</v>
          </cell>
          <cell r="BV211">
            <v>0</v>
          </cell>
          <cell r="BW211">
            <v>0</v>
          </cell>
          <cell r="BX211">
            <v>0</v>
          </cell>
          <cell r="BY211">
            <v>0</v>
          </cell>
          <cell r="BZ211">
            <v>0</v>
          </cell>
          <cell r="CA211">
            <v>0</v>
          </cell>
          <cell r="CB211">
            <v>0</v>
          </cell>
          <cell r="CC211">
            <v>0</v>
          </cell>
          <cell r="CD211">
            <v>0</v>
          </cell>
          <cell r="CE211">
            <v>0</v>
          </cell>
          <cell r="CF211">
            <v>0</v>
          </cell>
          <cell r="CG211">
            <v>0</v>
          </cell>
          <cell r="CH211">
            <v>0</v>
          </cell>
          <cell r="CI211">
            <v>0</v>
          </cell>
          <cell r="CJ211">
            <v>0</v>
          </cell>
          <cell r="CK211">
            <v>0</v>
          </cell>
          <cell r="CL211">
            <v>0</v>
          </cell>
          <cell r="CM211">
            <v>0</v>
          </cell>
          <cell r="CN211">
            <v>0</v>
          </cell>
          <cell r="CO211">
            <v>0</v>
          </cell>
          <cell r="CP211">
            <v>0</v>
          </cell>
          <cell r="CQ211">
            <v>0</v>
          </cell>
          <cell r="CR211">
            <v>0</v>
          </cell>
          <cell r="CS211">
            <v>0</v>
          </cell>
          <cell r="CT211">
            <v>0</v>
          </cell>
          <cell r="CU211">
            <v>0</v>
          </cell>
          <cell r="CV211">
            <v>0</v>
          </cell>
          <cell r="CW211">
            <v>0</v>
          </cell>
          <cell r="CX211">
            <v>0</v>
          </cell>
          <cell r="CY211">
            <v>0</v>
          </cell>
          <cell r="CZ211">
            <v>0</v>
          </cell>
          <cell r="DA211">
            <v>0</v>
          </cell>
          <cell r="DB211">
            <v>0</v>
          </cell>
          <cell r="DC211">
            <v>0</v>
          </cell>
          <cell r="DD211">
            <v>0</v>
          </cell>
          <cell r="DE211">
            <v>0</v>
          </cell>
          <cell r="DF211">
            <v>0</v>
          </cell>
          <cell r="DG211">
            <v>0</v>
          </cell>
          <cell r="DH211">
            <v>0</v>
          </cell>
          <cell r="DI211">
            <v>0</v>
          </cell>
          <cell r="DJ211">
            <v>0</v>
          </cell>
          <cell r="DK211">
            <v>0</v>
          </cell>
          <cell r="DL211">
            <v>0</v>
          </cell>
          <cell r="DM211">
            <v>0</v>
          </cell>
          <cell r="DN211">
            <v>0</v>
          </cell>
          <cell r="DO211">
            <v>0</v>
          </cell>
          <cell r="DP211">
            <v>0</v>
          </cell>
          <cell r="DQ211">
            <v>0</v>
          </cell>
          <cell r="DR211">
            <v>0</v>
          </cell>
          <cell r="DS211">
            <v>0</v>
          </cell>
          <cell r="DT211">
            <v>0</v>
          </cell>
          <cell r="DU211">
            <v>0</v>
          </cell>
          <cell r="DV211">
            <v>0</v>
          </cell>
          <cell r="DW211">
            <v>0</v>
          </cell>
          <cell r="DX211">
            <v>0</v>
          </cell>
          <cell r="DY211">
            <v>0</v>
          </cell>
          <cell r="DZ211">
            <v>0</v>
          </cell>
          <cell r="EA211">
            <v>0</v>
          </cell>
          <cell r="EB211">
            <v>0</v>
          </cell>
          <cell r="EC211">
            <v>0</v>
          </cell>
          <cell r="ED211">
            <v>0</v>
          </cell>
          <cell r="EE211">
            <v>0</v>
          </cell>
          <cell r="EF211">
            <v>0</v>
          </cell>
          <cell r="EG211">
            <v>0</v>
          </cell>
          <cell r="EH211">
            <v>0</v>
          </cell>
          <cell r="EI211">
            <v>0</v>
          </cell>
          <cell r="EJ211">
            <v>0</v>
          </cell>
          <cell r="EK211">
            <v>0</v>
          </cell>
          <cell r="EL211">
            <v>0</v>
          </cell>
          <cell r="EM211">
            <v>0</v>
          </cell>
          <cell r="EN211">
            <v>0</v>
          </cell>
          <cell r="EO211">
            <v>0</v>
          </cell>
          <cell r="EP211">
            <v>0</v>
          </cell>
          <cell r="EQ211">
            <v>0</v>
          </cell>
          <cell r="ER211">
            <v>0</v>
          </cell>
          <cell r="ES211">
            <v>0</v>
          </cell>
          <cell r="ET211">
            <v>0</v>
          </cell>
          <cell r="EU211">
            <v>0</v>
          </cell>
          <cell r="EV211">
            <v>0</v>
          </cell>
          <cell r="EW211">
            <v>0</v>
          </cell>
          <cell r="EX211">
            <v>0</v>
          </cell>
          <cell r="EY211">
            <v>0</v>
          </cell>
          <cell r="EZ211">
            <v>0</v>
          </cell>
          <cell r="FA211">
            <v>0</v>
          </cell>
          <cell r="FB211">
            <v>0</v>
          </cell>
          <cell r="FC211">
            <v>0</v>
          </cell>
          <cell r="FD211">
            <v>0</v>
          </cell>
          <cell r="FE211">
            <v>0</v>
          </cell>
          <cell r="FF211">
            <v>0</v>
          </cell>
          <cell r="FG211">
            <v>0</v>
          </cell>
          <cell r="FH211">
            <v>0</v>
          </cell>
          <cell r="FI211">
            <v>0</v>
          </cell>
          <cell r="FJ211">
            <v>0</v>
          </cell>
          <cell r="FK211">
            <v>0</v>
          </cell>
          <cell r="FL211">
            <v>0</v>
          </cell>
          <cell r="FM211">
            <v>0</v>
          </cell>
          <cell r="FN211">
            <v>0</v>
          </cell>
          <cell r="FO211">
            <v>0</v>
          </cell>
          <cell r="FP211">
            <v>0</v>
          </cell>
          <cell r="FQ211">
            <v>0</v>
          </cell>
          <cell r="FR211">
            <v>0</v>
          </cell>
          <cell r="FS211">
            <v>0</v>
          </cell>
          <cell r="FT211">
            <v>0</v>
          </cell>
          <cell r="FU211">
            <v>0</v>
          </cell>
          <cell r="FV211">
            <v>0</v>
          </cell>
          <cell r="FW211">
            <v>0</v>
          </cell>
          <cell r="FX211">
            <v>0</v>
          </cell>
          <cell r="FY211">
            <v>0</v>
          </cell>
          <cell r="FZ211">
            <v>0</v>
          </cell>
        </row>
        <row r="212">
          <cell r="B212">
            <v>0</v>
          </cell>
          <cell r="C212">
            <v>0</v>
          </cell>
          <cell r="D212">
            <v>0</v>
          </cell>
          <cell r="E212">
            <v>0</v>
          </cell>
          <cell r="F212">
            <v>0</v>
          </cell>
          <cell r="G212">
            <v>0</v>
          </cell>
          <cell r="H212">
            <v>0</v>
          </cell>
          <cell r="I212">
            <v>0</v>
          </cell>
          <cell r="J212">
            <v>0</v>
          </cell>
          <cell r="K212">
            <v>0</v>
          </cell>
          <cell r="L212">
            <v>0</v>
          </cell>
          <cell r="M212">
            <v>0</v>
          </cell>
          <cell r="N212">
            <v>0</v>
          </cell>
          <cell r="O212">
            <v>0</v>
          </cell>
          <cell r="P212">
            <v>0</v>
          </cell>
          <cell r="Q212">
            <v>0</v>
          </cell>
          <cell r="R212">
            <v>0</v>
          </cell>
          <cell r="S212">
            <v>0</v>
          </cell>
          <cell r="T212">
            <v>0</v>
          </cell>
          <cell r="U212">
            <v>0</v>
          </cell>
          <cell r="V212">
            <v>0</v>
          </cell>
          <cell r="W212">
            <v>0</v>
          </cell>
          <cell r="X212">
            <v>0</v>
          </cell>
          <cell r="Y212">
            <v>0</v>
          </cell>
          <cell r="Z212">
            <v>0</v>
          </cell>
          <cell r="AA212">
            <v>0</v>
          </cell>
          <cell r="AB212">
            <v>0</v>
          </cell>
          <cell r="AC212">
            <v>0</v>
          </cell>
          <cell r="AD212">
            <v>0</v>
          </cell>
          <cell r="AE212">
            <v>0</v>
          </cell>
          <cell r="AF212">
            <v>0</v>
          </cell>
          <cell r="AG212">
            <v>0</v>
          </cell>
          <cell r="AH212">
            <v>0</v>
          </cell>
          <cell r="AI212">
            <v>0</v>
          </cell>
          <cell r="AJ212">
            <v>0</v>
          </cell>
          <cell r="AK212">
            <v>0</v>
          </cell>
          <cell r="AL212">
            <v>0</v>
          </cell>
          <cell r="AM212">
            <v>0</v>
          </cell>
          <cell r="AN212">
            <v>0</v>
          </cell>
          <cell r="AO212">
            <v>0</v>
          </cell>
          <cell r="AP212">
            <v>0</v>
          </cell>
          <cell r="AQ212">
            <v>0</v>
          </cell>
          <cell r="AR212">
            <v>0</v>
          </cell>
          <cell r="AS212">
            <v>0</v>
          </cell>
          <cell r="AT212">
            <v>0</v>
          </cell>
          <cell r="AU212">
            <v>0</v>
          </cell>
          <cell r="AV212">
            <v>0</v>
          </cell>
          <cell r="AW212">
            <v>0</v>
          </cell>
          <cell r="AX212">
            <v>0</v>
          </cell>
          <cell r="AY212">
            <v>0</v>
          </cell>
          <cell r="AZ212">
            <v>0</v>
          </cell>
          <cell r="BA212">
            <v>0</v>
          </cell>
          <cell r="BB212">
            <v>0</v>
          </cell>
          <cell r="BC212">
            <v>0</v>
          </cell>
          <cell r="BD212">
            <v>0</v>
          </cell>
          <cell r="BE212">
            <v>0</v>
          </cell>
          <cell r="BF212">
            <v>0</v>
          </cell>
          <cell r="BG212">
            <v>0</v>
          </cell>
          <cell r="BH212">
            <v>0</v>
          </cell>
          <cell r="BI212">
            <v>0</v>
          </cell>
          <cell r="BJ212">
            <v>0</v>
          </cell>
          <cell r="BK212">
            <v>0</v>
          </cell>
          <cell r="BL212">
            <v>0</v>
          </cell>
          <cell r="BM212">
            <v>0</v>
          </cell>
          <cell r="BN212">
            <v>0</v>
          </cell>
          <cell r="BO212">
            <v>0</v>
          </cell>
          <cell r="BP212">
            <v>0</v>
          </cell>
          <cell r="BQ212">
            <v>0</v>
          </cell>
          <cell r="BR212">
            <v>0</v>
          </cell>
          <cell r="BS212">
            <v>0</v>
          </cell>
          <cell r="BT212">
            <v>0</v>
          </cell>
          <cell r="BU212">
            <v>0</v>
          </cell>
          <cell r="BV212">
            <v>0</v>
          </cell>
          <cell r="BW212">
            <v>0</v>
          </cell>
          <cell r="BX212">
            <v>0</v>
          </cell>
          <cell r="BY212">
            <v>0</v>
          </cell>
          <cell r="BZ212">
            <v>0</v>
          </cell>
          <cell r="CA212">
            <v>0</v>
          </cell>
          <cell r="CB212">
            <v>0</v>
          </cell>
          <cell r="CC212">
            <v>0</v>
          </cell>
          <cell r="CD212">
            <v>0</v>
          </cell>
          <cell r="CE212">
            <v>0</v>
          </cell>
          <cell r="CF212">
            <v>0</v>
          </cell>
          <cell r="CG212">
            <v>0</v>
          </cell>
          <cell r="CH212">
            <v>0</v>
          </cell>
          <cell r="CI212">
            <v>0</v>
          </cell>
          <cell r="CJ212">
            <v>0</v>
          </cell>
          <cell r="CK212">
            <v>0</v>
          </cell>
          <cell r="CL212">
            <v>0</v>
          </cell>
          <cell r="CM212">
            <v>0</v>
          </cell>
          <cell r="CN212">
            <v>0</v>
          </cell>
          <cell r="CO212">
            <v>0</v>
          </cell>
          <cell r="CP212">
            <v>0</v>
          </cell>
          <cell r="CQ212">
            <v>0</v>
          </cell>
          <cell r="CR212">
            <v>0</v>
          </cell>
          <cell r="CS212">
            <v>0</v>
          </cell>
          <cell r="CT212">
            <v>0</v>
          </cell>
          <cell r="CU212">
            <v>0</v>
          </cell>
          <cell r="CV212">
            <v>0</v>
          </cell>
          <cell r="CW212">
            <v>0</v>
          </cell>
          <cell r="CX212">
            <v>0</v>
          </cell>
          <cell r="CY212">
            <v>0</v>
          </cell>
          <cell r="CZ212">
            <v>0</v>
          </cell>
          <cell r="DA212">
            <v>0</v>
          </cell>
          <cell r="DB212">
            <v>0</v>
          </cell>
          <cell r="DC212">
            <v>0</v>
          </cell>
          <cell r="DD212">
            <v>0</v>
          </cell>
          <cell r="DE212">
            <v>0</v>
          </cell>
          <cell r="DF212">
            <v>0</v>
          </cell>
          <cell r="DG212">
            <v>0</v>
          </cell>
          <cell r="DH212">
            <v>0</v>
          </cell>
          <cell r="DI212">
            <v>0</v>
          </cell>
          <cell r="DJ212">
            <v>0</v>
          </cell>
          <cell r="DK212">
            <v>0</v>
          </cell>
          <cell r="DL212">
            <v>0</v>
          </cell>
          <cell r="DM212">
            <v>0</v>
          </cell>
          <cell r="DN212">
            <v>0</v>
          </cell>
          <cell r="DO212">
            <v>0</v>
          </cell>
          <cell r="DP212">
            <v>0</v>
          </cell>
          <cell r="DQ212">
            <v>0</v>
          </cell>
          <cell r="DR212">
            <v>0</v>
          </cell>
          <cell r="DS212">
            <v>0</v>
          </cell>
          <cell r="DT212">
            <v>0</v>
          </cell>
          <cell r="DU212">
            <v>0</v>
          </cell>
          <cell r="DV212">
            <v>0</v>
          </cell>
          <cell r="DW212">
            <v>0</v>
          </cell>
          <cell r="DX212">
            <v>0</v>
          </cell>
          <cell r="DY212">
            <v>0</v>
          </cell>
          <cell r="DZ212">
            <v>0</v>
          </cell>
          <cell r="EA212">
            <v>0</v>
          </cell>
          <cell r="EB212">
            <v>0</v>
          </cell>
          <cell r="EC212">
            <v>0</v>
          </cell>
          <cell r="ED212">
            <v>0</v>
          </cell>
          <cell r="EE212">
            <v>0</v>
          </cell>
          <cell r="EF212">
            <v>0</v>
          </cell>
          <cell r="EG212">
            <v>0</v>
          </cell>
          <cell r="EH212">
            <v>0</v>
          </cell>
          <cell r="EI212">
            <v>0</v>
          </cell>
          <cell r="EJ212">
            <v>0</v>
          </cell>
          <cell r="EK212">
            <v>0</v>
          </cell>
          <cell r="EL212">
            <v>0</v>
          </cell>
          <cell r="EM212">
            <v>0</v>
          </cell>
          <cell r="EN212">
            <v>0</v>
          </cell>
          <cell r="EO212">
            <v>0</v>
          </cell>
          <cell r="EP212">
            <v>0</v>
          </cell>
          <cell r="EQ212">
            <v>0</v>
          </cell>
          <cell r="ER212">
            <v>0</v>
          </cell>
          <cell r="ES212">
            <v>0</v>
          </cell>
          <cell r="ET212">
            <v>0</v>
          </cell>
          <cell r="EU212">
            <v>0</v>
          </cell>
          <cell r="EV212">
            <v>0</v>
          </cell>
          <cell r="EW212">
            <v>0</v>
          </cell>
          <cell r="EX212">
            <v>0</v>
          </cell>
          <cell r="EY212">
            <v>0</v>
          </cell>
          <cell r="EZ212">
            <v>0</v>
          </cell>
          <cell r="FA212">
            <v>0</v>
          </cell>
          <cell r="FB212">
            <v>0</v>
          </cell>
          <cell r="FC212">
            <v>0</v>
          </cell>
          <cell r="FD212">
            <v>0</v>
          </cell>
          <cell r="FE212">
            <v>0</v>
          </cell>
          <cell r="FF212">
            <v>0</v>
          </cell>
          <cell r="FG212">
            <v>0</v>
          </cell>
          <cell r="FH212">
            <v>0</v>
          </cell>
          <cell r="FI212">
            <v>0</v>
          </cell>
          <cell r="FJ212">
            <v>0</v>
          </cell>
          <cell r="FK212">
            <v>0</v>
          </cell>
          <cell r="FL212">
            <v>0</v>
          </cell>
          <cell r="FM212">
            <v>0</v>
          </cell>
          <cell r="FN212">
            <v>0</v>
          </cell>
          <cell r="FO212">
            <v>0</v>
          </cell>
          <cell r="FP212">
            <v>0</v>
          </cell>
          <cell r="FQ212">
            <v>0</v>
          </cell>
          <cell r="FR212">
            <v>0</v>
          </cell>
          <cell r="FS212">
            <v>0</v>
          </cell>
          <cell r="FT212">
            <v>0</v>
          </cell>
          <cell r="FU212">
            <v>0</v>
          </cell>
          <cell r="FV212">
            <v>0</v>
          </cell>
          <cell r="FW212">
            <v>0</v>
          </cell>
          <cell r="FX212">
            <v>0</v>
          </cell>
          <cell r="FY212">
            <v>0</v>
          </cell>
          <cell r="FZ212">
            <v>0</v>
          </cell>
        </row>
        <row r="213">
          <cell r="B213">
            <v>0</v>
          </cell>
          <cell r="C213">
            <v>0</v>
          </cell>
          <cell r="D213">
            <v>0</v>
          </cell>
          <cell r="E213">
            <v>0</v>
          </cell>
          <cell r="F213">
            <v>0</v>
          </cell>
          <cell r="G213">
            <v>0</v>
          </cell>
          <cell r="H213">
            <v>0</v>
          </cell>
          <cell r="I213">
            <v>0</v>
          </cell>
          <cell r="J213">
            <v>0</v>
          </cell>
          <cell r="K213">
            <v>0</v>
          </cell>
          <cell r="L213">
            <v>0</v>
          </cell>
          <cell r="M213">
            <v>0</v>
          </cell>
          <cell r="N213">
            <v>0</v>
          </cell>
          <cell r="O213">
            <v>0</v>
          </cell>
          <cell r="P213">
            <v>0</v>
          </cell>
          <cell r="Q213">
            <v>0</v>
          </cell>
          <cell r="R213">
            <v>0</v>
          </cell>
          <cell r="S213">
            <v>0</v>
          </cell>
          <cell r="T213">
            <v>0</v>
          </cell>
          <cell r="U213">
            <v>0</v>
          </cell>
          <cell r="V213">
            <v>0</v>
          </cell>
          <cell r="W213">
            <v>0</v>
          </cell>
          <cell r="X213">
            <v>0</v>
          </cell>
          <cell r="Y213">
            <v>0</v>
          </cell>
          <cell r="Z213">
            <v>0</v>
          </cell>
          <cell r="AA213">
            <v>0</v>
          </cell>
          <cell r="AB213">
            <v>0</v>
          </cell>
          <cell r="AC213">
            <v>0</v>
          </cell>
          <cell r="AD213">
            <v>0</v>
          </cell>
          <cell r="AE213">
            <v>0</v>
          </cell>
          <cell r="AF213">
            <v>0</v>
          </cell>
          <cell r="AG213">
            <v>0</v>
          </cell>
          <cell r="AH213">
            <v>0</v>
          </cell>
          <cell r="AI213">
            <v>0</v>
          </cell>
          <cell r="AJ213">
            <v>0</v>
          </cell>
          <cell r="AK213">
            <v>0</v>
          </cell>
          <cell r="AL213">
            <v>0</v>
          </cell>
          <cell r="AM213">
            <v>0</v>
          </cell>
          <cell r="AN213">
            <v>0</v>
          </cell>
          <cell r="AO213">
            <v>0</v>
          </cell>
          <cell r="AP213">
            <v>0</v>
          </cell>
          <cell r="AQ213">
            <v>0</v>
          </cell>
          <cell r="AR213">
            <v>0</v>
          </cell>
          <cell r="AS213">
            <v>0</v>
          </cell>
          <cell r="AT213">
            <v>0</v>
          </cell>
          <cell r="AU213">
            <v>0</v>
          </cell>
          <cell r="AV213">
            <v>0</v>
          </cell>
          <cell r="AW213">
            <v>0</v>
          </cell>
          <cell r="AX213">
            <v>0</v>
          </cell>
          <cell r="AY213">
            <v>0</v>
          </cell>
          <cell r="AZ213">
            <v>0</v>
          </cell>
          <cell r="BA213">
            <v>0</v>
          </cell>
          <cell r="BB213">
            <v>0</v>
          </cell>
          <cell r="BC213">
            <v>0</v>
          </cell>
          <cell r="BD213">
            <v>0</v>
          </cell>
          <cell r="BE213">
            <v>0</v>
          </cell>
          <cell r="BF213">
            <v>0</v>
          </cell>
          <cell r="BG213">
            <v>0</v>
          </cell>
          <cell r="BH213">
            <v>0</v>
          </cell>
          <cell r="BI213">
            <v>0</v>
          </cell>
          <cell r="BJ213">
            <v>0</v>
          </cell>
          <cell r="BK213">
            <v>0</v>
          </cell>
          <cell r="BL213">
            <v>0</v>
          </cell>
          <cell r="BM213">
            <v>0</v>
          </cell>
          <cell r="BN213">
            <v>0</v>
          </cell>
          <cell r="BO213">
            <v>0</v>
          </cell>
          <cell r="BP213">
            <v>0</v>
          </cell>
          <cell r="BQ213">
            <v>0</v>
          </cell>
          <cell r="BR213">
            <v>0</v>
          </cell>
          <cell r="BS213">
            <v>0</v>
          </cell>
          <cell r="BT213">
            <v>0</v>
          </cell>
          <cell r="BU213">
            <v>0</v>
          </cell>
          <cell r="BV213">
            <v>0</v>
          </cell>
          <cell r="BW213">
            <v>0</v>
          </cell>
          <cell r="BX213">
            <v>0</v>
          </cell>
          <cell r="BY213">
            <v>0</v>
          </cell>
          <cell r="BZ213">
            <v>0</v>
          </cell>
          <cell r="CA213">
            <v>0</v>
          </cell>
          <cell r="CB213">
            <v>0</v>
          </cell>
          <cell r="CC213">
            <v>0</v>
          </cell>
          <cell r="CD213">
            <v>0</v>
          </cell>
          <cell r="CE213">
            <v>0</v>
          </cell>
          <cell r="CF213">
            <v>0</v>
          </cell>
          <cell r="CG213">
            <v>0</v>
          </cell>
          <cell r="CH213">
            <v>0</v>
          </cell>
          <cell r="CI213">
            <v>0</v>
          </cell>
          <cell r="CJ213">
            <v>0</v>
          </cell>
          <cell r="CK213">
            <v>0</v>
          </cell>
          <cell r="CL213">
            <v>0</v>
          </cell>
          <cell r="CM213">
            <v>0</v>
          </cell>
          <cell r="CN213">
            <v>0</v>
          </cell>
          <cell r="CO213">
            <v>0</v>
          </cell>
          <cell r="CP213">
            <v>0</v>
          </cell>
          <cell r="CQ213">
            <v>0</v>
          </cell>
          <cell r="CR213">
            <v>0</v>
          </cell>
          <cell r="CS213">
            <v>0</v>
          </cell>
          <cell r="CT213">
            <v>0</v>
          </cell>
          <cell r="CU213">
            <v>0</v>
          </cell>
          <cell r="CV213">
            <v>0</v>
          </cell>
          <cell r="CW213">
            <v>0</v>
          </cell>
          <cell r="CX213">
            <v>0</v>
          </cell>
          <cell r="CY213">
            <v>0</v>
          </cell>
          <cell r="CZ213">
            <v>0</v>
          </cell>
          <cell r="DA213">
            <v>0</v>
          </cell>
          <cell r="DB213">
            <v>0</v>
          </cell>
          <cell r="DC213">
            <v>0</v>
          </cell>
          <cell r="DD213">
            <v>0</v>
          </cell>
          <cell r="DE213">
            <v>0</v>
          </cell>
          <cell r="DF213">
            <v>0</v>
          </cell>
          <cell r="DG213">
            <v>0</v>
          </cell>
          <cell r="DH213">
            <v>0</v>
          </cell>
          <cell r="DI213">
            <v>0</v>
          </cell>
          <cell r="DJ213">
            <v>0</v>
          </cell>
          <cell r="DK213">
            <v>0</v>
          </cell>
          <cell r="DL213">
            <v>0</v>
          </cell>
          <cell r="DM213">
            <v>0</v>
          </cell>
          <cell r="DN213">
            <v>0</v>
          </cell>
          <cell r="DO213">
            <v>0</v>
          </cell>
          <cell r="DP213">
            <v>0</v>
          </cell>
          <cell r="DQ213">
            <v>0</v>
          </cell>
          <cell r="DR213">
            <v>0</v>
          </cell>
          <cell r="DS213">
            <v>0</v>
          </cell>
          <cell r="DT213">
            <v>0</v>
          </cell>
          <cell r="DU213">
            <v>0</v>
          </cell>
          <cell r="DV213">
            <v>0</v>
          </cell>
          <cell r="DW213">
            <v>0</v>
          </cell>
          <cell r="DX213">
            <v>0</v>
          </cell>
          <cell r="DY213">
            <v>0</v>
          </cell>
          <cell r="DZ213">
            <v>0</v>
          </cell>
          <cell r="EA213">
            <v>0</v>
          </cell>
          <cell r="EB213">
            <v>0</v>
          </cell>
          <cell r="EC213">
            <v>0</v>
          </cell>
          <cell r="ED213">
            <v>0</v>
          </cell>
          <cell r="EE213">
            <v>0</v>
          </cell>
          <cell r="EF213">
            <v>0</v>
          </cell>
          <cell r="EG213">
            <v>0</v>
          </cell>
          <cell r="EH213">
            <v>0</v>
          </cell>
          <cell r="EI213">
            <v>0</v>
          </cell>
          <cell r="EJ213">
            <v>0</v>
          </cell>
          <cell r="EK213">
            <v>0</v>
          </cell>
          <cell r="EL213">
            <v>0</v>
          </cell>
          <cell r="EM213">
            <v>0</v>
          </cell>
          <cell r="EN213">
            <v>0</v>
          </cell>
          <cell r="EO213">
            <v>0</v>
          </cell>
          <cell r="EP213">
            <v>0</v>
          </cell>
          <cell r="EQ213">
            <v>0</v>
          </cell>
          <cell r="ER213">
            <v>0</v>
          </cell>
          <cell r="ES213">
            <v>0</v>
          </cell>
          <cell r="ET213">
            <v>0</v>
          </cell>
          <cell r="EU213">
            <v>0</v>
          </cell>
          <cell r="EV213">
            <v>0</v>
          </cell>
          <cell r="EW213">
            <v>0</v>
          </cell>
          <cell r="EX213">
            <v>0</v>
          </cell>
          <cell r="EY213">
            <v>0</v>
          </cell>
          <cell r="EZ213">
            <v>0</v>
          </cell>
          <cell r="FA213">
            <v>0</v>
          </cell>
          <cell r="FB213">
            <v>0</v>
          </cell>
          <cell r="FC213">
            <v>0</v>
          </cell>
          <cell r="FD213">
            <v>0</v>
          </cell>
          <cell r="FE213">
            <v>0</v>
          </cell>
          <cell r="FF213">
            <v>0</v>
          </cell>
          <cell r="FG213">
            <v>0</v>
          </cell>
          <cell r="FH213">
            <v>0</v>
          </cell>
          <cell r="FI213">
            <v>0</v>
          </cell>
          <cell r="FJ213">
            <v>0</v>
          </cell>
          <cell r="FK213">
            <v>0</v>
          </cell>
          <cell r="FL213">
            <v>0</v>
          </cell>
          <cell r="FM213">
            <v>0</v>
          </cell>
          <cell r="FN213">
            <v>0</v>
          </cell>
          <cell r="FO213">
            <v>0</v>
          </cell>
          <cell r="FP213">
            <v>0</v>
          </cell>
          <cell r="FQ213">
            <v>0</v>
          </cell>
          <cell r="FR213">
            <v>0</v>
          </cell>
          <cell r="FS213">
            <v>0</v>
          </cell>
          <cell r="FT213">
            <v>0</v>
          </cell>
          <cell r="FU213">
            <v>0</v>
          </cell>
          <cell r="FV213">
            <v>0</v>
          </cell>
          <cell r="FW213">
            <v>0</v>
          </cell>
          <cell r="FX213">
            <v>0</v>
          </cell>
          <cell r="FY213">
            <v>0</v>
          </cell>
          <cell r="FZ213">
            <v>0</v>
          </cell>
        </row>
        <row r="214">
          <cell r="B214">
            <v>0</v>
          </cell>
          <cell r="C214">
            <v>0</v>
          </cell>
          <cell r="D214">
            <v>0</v>
          </cell>
          <cell r="E214">
            <v>0</v>
          </cell>
          <cell r="F214">
            <v>0</v>
          </cell>
          <cell r="G214">
            <v>0</v>
          </cell>
          <cell r="H214">
            <v>0</v>
          </cell>
          <cell r="I214">
            <v>0</v>
          </cell>
          <cell r="J214">
            <v>0</v>
          </cell>
          <cell r="K214">
            <v>0</v>
          </cell>
          <cell r="L214">
            <v>0</v>
          </cell>
          <cell r="M214">
            <v>0</v>
          </cell>
          <cell r="N214">
            <v>0</v>
          </cell>
          <cell r="O214">
            <v>0</v>
          </cell>
          <cell r="P214">
            <v>0</v>
          </cell>
          <cell r="Q214">
            <v>0</v>
          </cell>
          <cell r="R214">
            <v>0</v>
          </cell>
          <cell r="S214">
            <v>0</v>
          </cell>
          <cell r="T214">
            <v>0</v>
          </cell>
          <cell r="U214">
            <v>0</v>
          </cell>
          <cell r="V214">
            <v>0</v>
          </cell>
          <cell r="W214">
            <v>0</v>
          </cell>
          <cell r="X214">
            <v>0</v>
          </cell>
          <cell r="Y214">
            <v>0</v>
          </cell>
          <cell r="Z214">
            <v>0</v>
          </cell>
          <cell r="AA214">
            <v>0</v>
          </cell>
          <cell r="AB214">
            <v>0</v>
          </cell>
          <cell r="AC214">
            <v>0</v>
          </cell>
          <cell r="AD214">
            <v>0</v>
          </cell>
          <cell r="AE214">
            <v>0</v>
          </cell>
          <cell r="AF214">
            <v>0</v>
          </cell>
          <cell r="AG214">
            <v>0</v>
          </cell>
          <cell r="AH214">
            <v>0</v>
          </cell>
          <cell r="AI214">
            <v>0</v>
          </cell>
          <cell r="AJ214">
            <v>0</v>
          </cell>
          <cell r="AK214">
            <v>0</v>
          </cell>
          <cell r="AL214">
            <v>0</v>
          </cell>
          <cell r="AM214">
            <v>0</v>
          </cell>
          <cell r="AN214">
            <v>0</v>
          </cell>
          <cell r="AO214">
            <v>0</v>
          </cell>
          <cell r="AP214">
            <v>0</v>
          </cell>
          <cell r="AQ214">
            <v>0</v>
          </cell>
          <cell r="AR214">
            <v>0</v>
          </cell>
          <cell r="AS214">
            <v>0</v>
          </cell>
          <cell r="AT214">
            <v>0</v>
          </cell>
          <cell r="AU214">
            <v>0</v>
          </cell>
          <cell r="AV214">
            <v>0</v>
          </cell>
          <cell r="AW214">
            <v>0</v>
          </cell>
          <cell r="AX214">
            <v>0</v>
          </cell>
          <cell r="AY214">
            <v>0</v>
          </cell>
          <cell r="AZ214">
            <v>0</v>
          </cell>
          <cell r="BA214">
            <v>0</v>
          </cell>
          <cell r="BB214">
            <v>0</v>
          </cell>
          <cell r="BC214">
            <v>0</v>
          </cell>
          <cell r="BD214">
            <v>0</v>
          </cell>
          <cell r="BE214">
            <v>0</v>
          </cell>
          <cell r="BF214">
            <v>0</v>
          </cell>
          <cell r="BG214">
            <v>0</v>
          </cell>
          <cell r="BH214">
            <v>0</v>
          </cell>
          <cell r="BI214">
            <v>0</v>
          </cell>
          <cell r="BJ214">
            <v>0</v>
          </cell>
          <cell r="BK214">
            <v>0</v>
          </cell>
          <cell r="BL214">
            <v>0</v>
          </cell>
          <cell r="BM214">
            <v>0</v>
          </cell>
          <cell r="BN214">
            <v>0</v>
          </cell>
          <cell r="BO214">
            <v>0</v>
          </cell>
          <cell r="BP214">
            <v>0</v>
          </cell>
          <cell r="BQ214">
            <v>0</v>
          </cell>
          <cell r="BR214">
            <v>0</v>
          </cell>
          <cell r="BS214">
            <v>0</v>
          </cell>
          <cell r="BT214">
            <v>0</v>
          </cell>
          <cell r="BU214">
            <v>0</v>
          </cell>
          <cell r="BV214">
            <v>0</v>
          </cell>
          <cell r="BW214">
            <v>0</v>
          </cell>
          <cell r="BX214">
            <v>0</v>
          </cell>
          <cell r="BY214">
            <v>0</v>
          </cell>
          <cell r="BZ214">
            <v>0</v>
          </cell>
          <cell r="CA214">
            <v>0</v>
          </cell>
          <cell r="CB214">
            <v>0</v>
          </cell>
          <cell r="CC214">
            <v>0</v>
          </cell>
          <cell r="CD214">
            <v>0</v>
          </cell>
          <cell r="CE214">
            <v>0</v>
          </cell>
          <cell r="CF214">
            <v>0</v>
          </cell>
          <cell r="CG214">
            <v>0</v>
          </cell>
          <cell r="CH214">
            <v>0</v>
          </cell>
          <cell r="CI214">
            <v>0</v>
          </cell>
          <cell r="CJ214">
            <v>0</v>
          </cell>
          <cell r="CK214">
            <v>0</v>
          </cell>
          <cell r="CL214">
            <v>0</v>
          </cell>
          <cell r="CM214">
            <v>0</v>
          </cell>
          <cell r="CN214">
            <v>0</v>
          </cell>
          <cell r="CO214">
            <v>0</v>
          </cell>
          <cell r="CP214">
            <v>0</v>
          </cell>
          <cell r="CQ214">
            <v>0</v>
          </cell>
          <cell r="CR214">
            <v>0</v>
          </cell>
          <cell r="CS214">
            <v>0</v>
          </cell>
          <cell r="CT214">
            <v>0</v>
          </cell>
          <cell r="CU214">
            <v>0</v>
          </cell>
          <cell r="CV214">
            <v>0</v>
          </cell>
          <cell r="CW214">
            <v>0</v>
          </cell>
          <cell r="CX214">
            <v>0</v>
          </cell>
          <cell r="CY214">
            <v>0</v>
          </cell>
          <cell r="CZ214">
            <v>0</v>
          </cell>
          <cell r="DA214">
            <v>0</v>
          </cell>
          <cell r="DB214">
            <v>0</v>
          </cell>
          <cell r="DC214">
            <v>0</v>
          </cell>
          <cell r="DD214">
            <v>0</v>
          </cell>
          <cell r="DE214">
            <v>0</v>
          </cell>
          <cell r="DF214">
            <v>0</v>
          </cell>
          <cell r="DG214">
            <v>0</v>
          </cell>
          <cell r="DH214">
            <v>0</v>
          </cell>
          <cell r="DI214">
            <v>0</v>
          </cell>
          <cell r="DJ214">
            <v>0</v>
          </cell>
          <cell r="DK214">
            <v>0</v>
          </cell>
          <cell r="DL214">
            <v>0</v>
          </cell>
          <cell r="DM214">
            <v>0</v>
          </cell>
          <cell r="DN214">
            <v>0</v>
          </cell>
          <cell r="DO214">
            <v>0</v>
          </cell>
          <cell r="DP214">
            <v>0</v>
          </cell>
          <cell r="DQ214">
            <v>0</v>
          </cell>
          <cell r="DR214">
            <v>0</v>
          </cell>
          <cell r="DS214">
            <v>0</v>
          </cell>
          <cell r="DT214">
            <v>0</v>
          </cell>
          <cell r="DU214">
            <v>0</v>
          </cell>
          <cell r="DV214">
            <v>0</v>
          </cell>
          <cell r="DW214">
            <v>0</v>
          </cell>
          <cell r="DX214">
            <v>0</v>
          </cell>
          <cell r="DY214">
            <v>0</v>
          </cell>
          <cell r="DZ214">
            <v>0</v>
          </cell>
          <cell r="EA214">
            <v>0</v>
          </cell>
          <cell r="EB214">
            <v>0</v>
          </cell>
          <cell r="EC214">
            <v>0</v>
          </cell>
          <cell r="ED214">
            <v>0</v>
          </cell>
          <cell r="EE214">
            <v>0</v>
          </cell>
          <cell r="EF214">
            <v>0</v>
          </cell>
          <cell r="EG214">
            <v>0</v>
          </cell>
          <cell r="EH214">
            <v>0</v>
          </cell>
          <cell r="EI214">
            <v>0</v>
          </cell>
          <cell r="EJ214">
            <v>0</v>
          </cell>
          <cell r="EK214">
            <v>0</v>
          </cell>
          <cell r="EL214">
            <v>0</v>
          </cell>
          <cell r="EM214">
            <v>0</v>
          </cell>
          <cell r="EN214">
            <v>0</v>
          </cell>
          <cell r="EO214">
            <v>0</v>
          </cell>
          <cell r="EP214">
            <v>0</v>
          </cell>
          <cell r="EQ214">
            <v>0</v>
          </cell>
          <cell r="ER214">
            <v>0</v>
          </cell>
          <cell r="ES214">
            <v>0</v>
          </cell>
          <cell r="ET214">
            <v>0</v>
          </cell>
          <cell r="EU214">
            <v>0</v>
          </cell>
          <cell r="EV214">
            <v>0</v>
          </cell>
          <cell r="EW214">
            <v>0</v>
          </cell>
          <cell r="EX214">
            <v>0</v>
          </cell>
          <cell r="EY214">
            <v>0</v>
          </cell>
          <cell r="EZ214">
            <v>0</v>
          </cell>
          <cell r="FA214">
            <v>0</v>
          </cell>
          <cell r="FB214">
            <v>0</v>
          </cell>
          <cell r="FC214">
            <v>0</v>
          </cell>
          <cell r="FD214">
            <v>0</v>
          </cell>
          <cell r="FE214">
            <v>0</v>
          </cell>
          <cell r="FF214">
            <v>0</v>
          </cell>
          <cell r="FG214">
            <v>0</v>
          </cell>
          <cell r="FH214">
            <v>0</v>
          </cell>
          <cell r="FI214">
            <v>0</v>
          </cell>
          <cell r="FJ214">
            <v>0</v>
          </cell>
          <cell r="FK214">
            <v>0</v>
          </cell>
          <cell r="FL214">
            <v>0</v>
          </cell>
          <cell r="FM214">
            <v>0</v>
          </cell>
          <cell r="FN214">
            <v>0</v>
          </cell>
          <cell r="FO214">
            <v>0</v>
          </cell>
          <cell r="FP214">
            <v>0</v>
          </cell>
          <cell r="FQ214">
            <v>0</v>
          </cell>
          <cell r="FR214">
            <v>0</v>
          </cell>
          <cell r="FS214">
            <v>0</v>
          </cell>
          <cell r="FT214">
            <v>0</v>
          </cell>
          <cell r="FU214">
            <v>0</v>
          </cell>
          <cell r="FV214">
            <v>0</v>
          </cell>
          <cell r="FW214">
            <v>0</v>
          </cell>
          <cell r="FX214">
            <v>0</v>
          </cell>
          <cell r="FY214">
            <v>0</v>
          </cell>
          <cell r="FZ214">
            <v>0</v>
          </cell>
        </row>
        <row r="215">
          <cell r="B215">
            <v>0</v>
          </cell>
          <cell r="C215">
            <v>0</v>
          </cell>
          <cell r="D215">
            <v>0</v>
          </cell>
          <cell r="E215">
            <v>0</v>
          </cell>
          <cell r="F215">
            <v>0</v>
          </cell>
          <cell r="G215">
            <v>0</v>
          </cell>
          <cell r="H215">
            <v>0</v>
          </cell>
          <cell r="I215">
            <v>0</v>
          </cell>
          <cell r="J215">
            <v>0</v>
          </cell>
          <cell r="K215">
            <v>0</v>
          </cell>
          <cell r="L215">
            <v>0</v>
          </cell>
          <cell r="M215">
            <v>0</v>
          </cell>
          <cell r="N215">
            <v>0</v>
          </cell>
          <cell r="O215">
            <v>0</v>
          </cell>
          <cell r="P215">
            <v>0</v>
          </cell>
          <cell r="Q215">
            <v>0</v>
          </cell>
          <cell r="R215">
            <v>0</v>
          </cell>
          <cell r="S215">
            <v>0</v>
          </cell>
          <cell r="T215">
            <v>0</v>
          </cell>
          <cell r="U215">
            <v>0</v>
          </cell>
          <cell r="V215">
            <v>0</v>
          </cell>
          <cell r="W215">
            <v>0</v>
          </cell>
          <cell r="X215">
            <v>0</v>
          </cell>
          <cell r="Y215">
            <v>0</v>
          </cell>
          <cell r="Z215">
            <v>0</v>
          </cell>
          <cell r="AA215">
            <v>0</v>
          </cell>
          <cell r="AB215">
            <v>0</v>
          </cell>
          <cell r="AC215">
            <v>0</v>
          </cell>
          <cell r="AD215">
            <v>0</v>
          </cell>
          <cell r="AE215">
            <v>0</v>
          </cell>
          <cell r="AF215">
            <v>0</v>
          </cell>
          <cell r="AG215">
            <v>0</v>
          </cell>
          <cell r="AH215">
            <v>0</v>
          </cell>
          <cell r="AI215">
            <v>0</v>
          </cell>
          <cell r="AJ215">
            <v>0</v>
          </cell>
          <cell r="AK215">
            <v>0</v>
          </cell>
          <cell r="AL215">
            <v>0</v>
          </cell>
          <cell r="AM215">
            <v>0</v>
          </cell>
          <cell r="AN215">
            <v>0</v>
          </cell>
          <cell r="AO215">
            <v>0</v>
          </cell>
          <cell r="AP215">
            <v>0</v>
          </cell>
          <cell r="AQ215">
            <v>0</v>
          </cell>
          <cell r="AR215">
            <v>0</v>
          </cell>
          <cell r="AS215">
            <v>0</v>
          </cell>
          <cell r="AT215">
            <v>0</v>
          </cell>
          <cell r="AU215">
            <v>0</v>
          </cell>
          <cell r="AV215">
            <v>0</v>
          </cell>
          <cell r="AW215">
            <v>0</v>
          </cell>
          <cell r="AX215">
            <v>0</v>
          </cell>
          <cell r="AY215">
            <v>0</v>
          </cell>
          <cell r="AZ215">
            <v>0</v>
          </cell>
          <cell r="BA215">
            <v>0</v>
          </cell>
          <cell r="BB215">
            <v>0</v>
          </cell>
          <cell r="BC215">
            <v>0</v>
          </cell>
          <cell r="BD215">
            <v>0</v>
          </cell>
          <cell r="BE215">
            <v>0</v>
          </cell>
          <cell r="BF215">
            <v>0</v>
          </cell>
          <cell r="BG215">
            <v>0</v>
          </cell>
          <cell r="BH215">
            <v>0</v>
          </cell>
          <cell r="BI215">
            <v>0</v>
          </cell>
          <cell r="BJ215">
            <v>0</v>
          </cell>
          <cell r="BK215">
            <v>0</v>
          </cell>
          <cell r="BL215">
            <v>0</v>
          </cell>
          <cell r="BM215">
            <v>0</v>
          </cell>
          <cell r="BN215">
            <v>0</v>
          </cell>
          <cell r="BO215">
            <v>0</v>
          </cell>
          <cell r="BP215">
            <v>0</v>
          </cell>
          <cell r="BQ215">
            <v>0</v>
          </cell>
          <cell r="BR215">
            <v>0</v>
          </cell>
          <cell r="BS215">
            <v>0</v>
          </cell>
          <cell r="BT215">
            <v>0</v>
          </cell>
          <cell r="BU215">
            <v>0</v>
          </cell>
          <cell r="BV215">
            <v>0</v>
          </cell>
          <cell r="BW215">
            <v>0</v>
          </cell>
          <cell r="BX215">
            <v>0</v>
          </cell>
          <cell r="BY215">
            <v>0</v>
          </cell>
          <cell r="BZ215">
            <v>0</v>
          </cell>
          <cell r="CA215">
            <v>0</v>
          </cell>
          <cell r="CB215">
            <v>0</v>
          </cell>
          <cell r="CC215">
            <v>0</v>
          </cell>
          <cell r="CD215">
            <v>0</v>
          </cell>
          <cell r="CE215">
            <v>0</v>
          </cell>
          <cell r="CF215">
            <v>0</v>
          </cell>
          <cell r="CG215">
            <v>0</v>
          </cell>
          <cell r="CH215">
            <v>0</v>
          </cell>
          <cell r="CI215">
            <v>0</v>
          </cell>
          <cell r="CJ215">
            <v>0</v>
          </cell>
          <cell r="CK215">
            <v>0</v>
          </cell>
          <cell r="CL215">
            <v>0</v>
          </cell>
          <cell r="CM215">
            <v>0</v>
          </cell>
          <cell r="CN215">
            <v>0</v>
          </cell>
          <cell r="CO215">
            <v>0</v>
          </cell>
          <cell r="CP215">
            <v>0</v>
          </cell>
          <cell r="CQ215">
            <v>0</v>
          </cell>
          <cell r="CR215">
            <v>0</v>
          </cell>
          <cell r="CS215">
            <v>0</v>
          </cell>
          <cell r="CT215">
            <v>0</v>
          </cell>
          <cell r="CU215">
            <v>0</v>
          </cell>
          <cell r="CV215">
            <v>0</v>
          </cell>
          <cell r="CW215">
            <v>0</v>
          </cell>
          <cell r="CX215">
            <v>0</v>
          </cell>
          <cell r="CY215">
            <v>0</v>
          </cell>
          <cell r="CZ215">
            <v>0</v>
          </cell>
          <cell r="DA215">
            <v>0</v>
          </cell>
          <cell r="DB215">
            <v>0</v>
          </cell>
          <cell r="DC215">
            <v>0</v>
          </cell>
          <cell r="DD215">
            <v>0</v>
          </cell>
          <cell r="DE215">
            <v>0</v>
          </cell>
          <cell r="DF215">
            <v>0</v>
          </cell>
          <cell r="DG215">
            <v>0</v>
          </cell>
          <cell r="DH215">
            <v>0</v>
          </cell>
          <cell r="DI215">
            <v>0</v>
          </cell>
          <cell r="DJ215">
            <v>0</v>
          </cell>
          <cell r="DK215">
            <v>0</v>
          </cell>
          <cell r="DL215">
            <v>0</v>
          </cell>
          <cell r="DM215">
            <v>0</v>
          </cell>
          <cell r="DN215">
            <v>0</v>
          </cell>
          <cell r="DO215">
            <v>0</v>
          </cell>
          <cell r="DP215">
            <v>0</v>
          </cell>
          <cell r="DQ215">
            <v>0</v>
          </cell>
          <cell r="DR215">
            <v>0</v>
          </cell>
          <cell r="DS215">
            <v>0</v>
          </cell>
          <cell r="DT215">
            <v>0</v>
          </cell>
          <cell r="DU215">
            <v>0</v>
          </cell>
          <cell r="DV215">
            <v>0</v>
          </cell>
          <cell r="DW215">
            <v>0</v>
          </cell>
          <cell r="DX215">
            <v>0</v>
          </cell>
          <cell r="DY215">
            <v>0</v>
          </cell>
          <cell r="DZ215">
            <v>0</v>
          </cell>
          <cell r="EA215">
            <v>0</v>
          </cell>
          <cell r="EB215">
            <v>0</v>
          </cell>
          <cell r="EC215">
            <v>0</v>
          </cell>
          <cell r="ED215">
            <v>0</v>
          </cell>
          <cell r="EE215">
            <v>0</v>
          </cell>
          <cell r="EF215">
            <v>0</v>
          </cell>
          <cell r="EG215">
            <v>0</v>
          </cell>
          <cell r="EH215">
            <v>0</v>
          </cell>
          <cell r="EI215">
            <v>0</v>
          </cell>
          <cell r="EJ215">
            <v>0</v>
          </cell>
          <cell r="EK215">
            <v>0</v>
          </cell>
          <cell r="EL215">
            <v>0</v>
          </cell>
          <cell r="EM215">
            <v>0</v>
          </cell>
          <cell r="EN215">
            <v>0</v>
          </cell>
          <cell r="EO215">
            <v>0</v>
          </cell>
          <cell r="EP215">
            <v>0</v>
          </cell>
          <cell r="EQ215">
            <v>0</v>
          </cell>
          <cell r="ER215">
            <v>0</v>
          </cell>
          <cell r="ES215">
            <v>0</v>
          </cell>
          <cell r="ET215">
            <v>0</v>
          </cell>
          <cell r="EU215">
            <v>0</v>
          </cell>
          <cell r="EV215">
            <v>0</v>
          </cell>
          <cell r="EW215">
            <v>0</v>
          </cell>
          <cell r="EX215">
            <v>0</v>
          </cell>
          <cell r="EY215">
            <v>0</v>
          </cell>
          <cell r="EZ215">
            <v>0</v>
          </cell>
          <cell r="FA215">
            <v>0</v>
          </cell>
          <cell r="FB215">
            <v>0</v>
          </cell>
          <cell r="FC215">
            <v>0</v>
          </cell>
          <cell r="FD215">
            <v>0</v>
          </cell>
          <cell r="FE215">
            <v>0</v>
          </cell>
          <cell r="FF215">
            <v>0</v>
          </cell>
          <cell r="FG215">
            <v>0</v>
          </cell>
          <cell r="FH215">
            <v>0</v>
          </cell>
          <cell r="FI215">
            <v>0</v>
          </cell>
          <cell r="FJ215">
            <v>0</v>
          </cell>
          <cell r="FK215">
            <v>0</v>
          </cell>
          <cell r="FL215">
            <v>0</v>
          </cell>
          <cell r="FM215">
            <v>0</v>
          </cell>
          <cell r="FN215">
            <v>0</v>
          </cell>
          <cell r="FO215">
            <v>0</v>
          </cell>
          <cell r="FP215">
            <v>0</v>
          </cell>
          <cell r="FQ215">
            <v>0</v>
          </cell>
          <cell r="FR215">
            <v>0</v>
          </cell>
          <cell r="FS215">
            <v>0</v>
          </cell>
          <cell r="FT215">
            <v>0</v>
          </cell>
          <cell r="FU215">
            <v>0</v>
          </cell>
          <cell r="FV215">
            <v>0</v>
          </cell>
          <cell r="FW215">
            <v>0</v>
          </cell>
          <cell r="FX215">
            <v>0</v>
          </cell>
          <cell r="FY215">
            <v>0</v>
          </cell>
          <cell r="FZ215">
            <v>0</v>
          </cell>
        </row>
        <row r="216">
          <cell r="B216">
            <v>0</v>
          </cell>
          <cell r="C216">
            <v>0</v>
          </cell>
          <cell r="D216">
            <v>0</v>
          </cell>
          <cell r="E216">
            <v>0</v>
          </cell>
          <cell r="F216">
            <v>0</v>
          </cell>
          <cell r="G216">
            <v>0</v>
          </cell>
          <cell r="H216">
            <v>0</v>
          </cell>
          <cell r="I216">
            <v>0</v>
          </cell>
          <cell r="J216">
            <v>0</v>
          </cell>
          <cell r="K216">
            <v>0</v>
          </cell>
          <cell r="L216">
            <v>0</v>
          </cell>
          <cell r="M216">
            <v>0</v>
          </cell>
          <cell r="N216">
            <v>0</v>
          </cell>
          <cell r="O216">
            <v>0</v>
          </cell>
          <cell r="P216">
            <v>0</v>
          </cell>
          <cell r="Q216">
            <v>0</v>
          </cell>
          <cell r="R216">
            <v>0</v>
          </cell>
          <cell r="S216">
            <v>0</v>
          </cell>
          <cell r="T216">
            <v>0</v>
          </cell>
          <cell r="U216">
            <v>0</v>
          </cell>
          <cell r="V216">
            <v>0</v>
          </cell>
          <cell r="W216">
            <v>0</v>
          </cell>
          <cell r="X216">
            <v>0</v>
          </cell>
          <cell r="Y216">
            <v>0</v>
          </cell>
          <cell r="Z216">
            <v>0</v>
          </cell>
          <cell r="AA216">
            <v>0</v>
          </cell>
          <cell r="AB216">
            <v>0</v>
          </cell>
          <cell r="AC216">
            <v>0</v>
          </cell>
          <cell r="AD216">
            <v>0</v>
          </cell>
          <cell r="AE216">
            <v>0</v>
          </cell>
          <cell r="AF216">
            <v>0</v>
          </cell>
          <cell r="AG216">
            <v>0</v>
          </cell>
          <cell r="AH216">
            <v>0</v>
          </cell>
          <cell r="AI216">
            <v>0</v>
          </cell>
          <cell r="AJ216">
            <v>0</v>
          </cell>
          <cell r="AK216">
            <v>0</v>
          </cell>
          <cell r="AL216">
            <v>0</v>
          </cell>
          <cell r="AM216">
            <v>0</v>
          </cell>
          <cell r="AN216">
            <v>0</v>
          </cell>
          <cell r="AO216">
            <v>0</v>
          </cell>
          <cell r="AP216">
            <v>0</v>
          </cell>
          <cell r="AQ216">
            <v>0</v>
          </cell>
          <cell r="AR216">
            <v>0</v>
          </cell>
          <cell r="AS216">
            <v>0</v>
          </cell>
          <cell r="AT216">
            <v>0</v>
          </cell>
          <cell r="AU216">
            <v>0</v>
          </cell>
          <cell r="AV216">
            <v>0</v>
          </cell>
          <cell r="AW216">
            <v>0</v>
          </cell>
          <cell r="AX216">
            <v>0</v>
          </cell>
          <cell r="AY216">
            <v>0</v>
          </cell>
          <cell r="AZ216">
            <v>0</v>
          </cell>
          <cell r="BA216">
            <v>0</v>
          </cell>
          <cell r="BB216">
            <v>0</v>
          </cell>
          <cell r="BC216">
            <v>0</v>
          </cell>
          <cell r="BD216">
            <v>0</v>
          </cell>
          <cell r="BE216">
            <v>0</v>
          </cell>
          <cell r="BF216">
            <v>0</v>
          </cell>
          <cell r="BG216">
            <v>0</v>
          </cell>
          <cell r="BH216">
            <v>0</v>
          </cell>
          <cell r="BI216">
            <v>0</v>
          </cell>
          <cell r="BJ216">
            <v>0</v>
          </cell>
          <cell r="BK216">
            <v>0</v>
          </cell>
          <cell r="BL216">
            <v>0</v>
          </cell>
          <cell r="BM216">
            <v>0</v>
          </cell>
          <cell r="BN216">
            <v>0</v>
          </cell>
          <cell r="BO216">
            <v>0</v>
          </cell>
          <cell r="BP216">
            <v>0</v>
          </cell>
          <cell r="BQ216">
            <v>0</v>
          </cell>
          <cell r="BR216">
            <v>0</v>
          </cell>
          <cell r="BS216">
            <v>0</v>
          </cell>
          <cell r="BT216">
            <v>0</v>
          </cell>
          <cell r="BU216">
            <v>0</v>
          </cell>
          <cell r="BV216">
            <v>0</v>
          </cell>
          <cell r="BW216">
            <v>0</v>
          </cell>
          <cell r="BX216">
            <v>0</v>
          </cell>
          <cell r="BY216">
            <v>0</v>
          </cell>
          <cell r="BZ216">
            <v>0</v>
          </cell>
          <cell r="CA216">
            <v>0</v>
          </cell>
          <cell r="CB216">
            <v>0</v>
          </cell>
          <cell r="CC216">
            <v>0</v>
          </cell>
          <cell r="CD216">
            <v>0</v>
          </cell>
          <cell r="CE216">
            <v>0</v>
          </cell>
          <cell r="CF216">
            <v>0</v>
          </cell>
          <cell r="CG216">
            <v>0</v>
          </cell>
          <cell r="CH216">
            <v>0</v>
          </cell>
          <cell r="CI216">
            <v>0</v>
          </cell>
          <cell r="CJ216">
            <v>0</v>
          </cell>
          <cell r="CK216">
            <v>0</v>
          </cell>
          <cell r="CL216">
            <v>0</v>
          </cell>
          <cell r="CM216">
            <v>0</v>
          </cell>
          <cell r="CN216">
            <v>0</v>
          </cell>
          <cell r="CO216">
            <v>0</v>
          </cell>
          <cell r="CP216">
            <v>0</v>
          </cell>
          <cell r="CQ216">
            <v>0</v>
          </cell>
          <cell r="CR216">
            <v>0</v>
          </cell>
          <cell r="CS216">
            <v>0</v>
          </cell>
          <cell r="CT216">
            <v>0</v>
          </cell>
          <cell r="CU216">
            <v>0</v>
          </cell>
          <cell r="CV216">
            <v>0</v>
          </cell>
          <cell r="CW216">
            <v>0</v>
          </cell>
          <cell r="CX216">
            <v>0</v>
          </cell>
          <cell r="CY216">
            <v>0</v>
          </cell>
          <cell r="CZ216">
            <v>0</v>
          </cell>
          <cell r="DA216">
            <v>0</v>
          </cell>
          <cell r="DB216">
            <v>0</v>
          </cell>
          <cell r="DC216">
            <v>0</v>
          </cell>
          <cell r="DD216">
            <v>0</v>
          </cell>
          <cell r="DE216">
            <v>0</v>
          </cell>
          <cell r="DF216">
            <v>0</v>
          </cell>
          <cell r="DG216">
            <v>0</v>
          </cell>
          <cell r="DH216">
            <v>0</v>
          </cell>
          <cell r="DI216">
            <v>0</v>
          </cell>
          <cell r="DJ216">
            <v>0</v>
          </cell>
          <cell r="DK216">
            <v>0</v>
          </cell>
          <cell r="DL216">
            <v>0</v>
          </cell>
          <cell r="DM216">
            <v>0</v>
          </cell>
          <cell r="DN216">
            <v>0</v>
          </cell>
          <cell r="DO216">
            <v>0</v>
          </cell>
          <cell r="DP216">
            <v>0</v>
          </cell>
          <cell r="DQ216">
            <v>0</v>
          </cell>
          <cell r="DR216">
            <v>0</v>
          </cell>
          <cell r="DS216">
            <v>0</v>
          </cell>
          <cell r="DT216">
            <v>0</v>
          </cell>
          <cell r="DU216">
            <v>0</v>
          </cell>
          <cell r="DV216">
            <v>0</v>
          </cell>
          <cell r="DW216">
            <v>0</v>
          </cell>
          <cell r="DX216">
            <v>0</v>
          </cell>
          <cell r="DY216">
            <v>0</v>
          </cell>
          <cell r="DZ216">
            <v>0</v>
          </cell>
          <cell r="EA216">
            <v>0</v>
          </cell>
          <cell r="EB216">
            <v>0</v>
          </cell>
          <cell r="EC216">
            <v>0</v>
          </cell>
          <cell r="ED216">
            <v>0</v>
          </cell>
          <cell r="EE216">
            <v>0</v>
          </cell>
          <cell r="EF216">
            <v>0</v>
          </cell>
          <cell r="EG216">
            <v>0</v>
          </cell>
          <cell r="EH216">
            <v>0</v>
          </cell>
          <cell r="EI216">
            <v>0</v>
          </cell>
          <cell r="EJ216">
            <v>0</v>
          </cell>
          <cell r="EK216">
            <v>0</v>
          </cell>
          <cell r="EL216">
            <v>0</v>
          </cell>
          <cell r="EM216">
            <v>0</v>
          </cell>
          <cell r="EN216">
            <v>0</v>
          </cell>
          <cell r="EO216">
            <v>0</v>
          </cell>
          <cell r="EP216">
            <v>0</v>
          </cell>
          <cell r="EQ216">
            <v>0</v>
          </cell>
          <cell r="ER216">
            <v>0</v>
          </cell>
          <cell r="ES216">
            <v>0</v>
          </cell>
          <cell r="ET216">
            <v>0</v>
          </cell>
          <cell r="EU216">
            <v>0</v>
          </cell>
          <cell r="EV216">
            <v>0</v>
          </cell>
          <cell r="EW216">
            <v>0</v>
          </cell>
          <cell r="EX216">
            <v>0</v>
          </cell>
          <cell r="EY216">
            <v>0</v>
          </cell>
          <cell r="EZ216">
            <v>0</v>
          </cell>
          <cell r="FA216">
            <v>0</v>
          </cell>
          <cell r="FB216">
            <v>0</v>
          </cell>
          <cell r="FC216">
            <v>0</v>
          </cell>
          <cell r="FD216">
            <v>0</v>
          </cell>
          <cell r="FE216">
            <v>0</v>
          </cell>
          <cell r="FF216">
            <v>0</v>
          </cell>
          <cell r="FG216">
            <v>0</v>
          </cell>
          <cell r="FH216">
            <v>0</v>
          </cell>
          <cell r="FI216">
            <v>0</v>
          </cell>
          <cell r="FJ216">
            <v>0</v>
          </cell>
          <cell r="FK216">
            <v>0</v>
          </cell>
          <cell r="FL216">
            <v>0</v>
          </cell>
          <cell r="FM216">
            <v>0</v>
          </cell>
          <cell r="FN216">
            <v>0</v>
          </cell>
          <cell r="FO216">
            <v>0</v>
          </cell>
          <cell r="FP216">
            <v>0</v>
          </cell>
          <cell r="FQ216">
            <v>0</v>
          </cell>
          <cell r="FR216">
            <v>0</v>
          </cell>
          <cell r="FS216">
            <v>0</v>
          </cell>
          <cell r="FT216">
            <v>0</v>
          </cell>
          <cell r="FU216">
            <v>0</v>
          </cell>
          <cell r="FV216">
            <v>0</v>
          </cell>
          <cell r="FW216">
            <v>0</v>
          </cell>
          <cell r="FX216">
            <v>0</v>
          </cell>
          <cell r="FY216">
            <v>0</v>
          </cell>
          <cell r="FZ216">
            <v>0</v>
          </cell>
        </row>
        <row r="217">
          <cell r="B217">
            <v>0</v>
          </cell>
          <cell r="C217">
            <v>0</v>
          </cell>
          <cell r="D217">
            <v>0</v>
          </cell>
          <cell r="E217">
            <v>0</v>
          </cell>
          <cell r="F217">
            <v>0</v>
          </cell>
          <cell r="G217">
            <v>0</v>
          </cell>
          <cell r="H217">
            <v>0</v>
          </cell>
          <cell r="I217">
            <v>0</v>
          </cell>
          <cell r="J217">
            <v>0</v>
          </cell>
          <cell r="K217">
            <v>0</v>
          </cell>
          <cell r="L217">
            <v>0</v>
          </cell>
          <cell r="M217">
            <v>0</v>
          </cell>
          <cell r="N217">
            <v>0</v>
          </cell>
          <cell r="O217">
            <v>0</v>
          </cell>
          <cell r="P217">
            <v>0</v>
          </cell>
          <cell r="Q217">
            <v>0</v>
          </cell>
          <cell r="R217">
            <v>0</v>
          </cell>
          <cell r="S217">
            <v>0</v>
          </cell>
          <cell r="T217">
            <v>0</v>
          </cell>
          <cell r="U217">
            <v>0</v>
          </cell>
          <cell r="V217">
            <v>0</v>
          </cell>
          <cell r="W217">
            <v>0</v>
          </cell>
          <cell r="X217">
            <v>0</v>
          </cell>
          <cell r="Y217">
            <v>0</v>
          </cell>
          <cell r="Z217">
            <v>0</v>
          </cell>
          <cell r="AA217">
            <v>0</v>
          </cell>
          <cell r="AB217">
            <v>0</v>
          </cell>
          <cell r="AC217">
            <v>0</v>
          </cell>
          <cell r="AD217">
            <v>0</v>
          </cell>
          <cell r="AE217">
            <v>0</v>
          </cell>
          <cell r="AF217">
            <v>0</v>
          </cell>
          <cell r="AG217">
            <v>0</v>
          </cell>
          <cell r="AH217">
            <v>0</v>
          </cell>
          <cell r="AI217">
            <v>0</v>
          </cell>
          <cell r="AJ217">
            <v>0</v>
          </cell>
          <cell r="AK217">
            <v>0</v>
          </cell>
          <cell r="AL217">
            <v>0</v>
          </cell>
          <cell r="AM217">
            <v>0</v>
          </cell>
          <cell r="AN217">
            <v>0</v>
          </cell>
          <cell r="AO217">
            <v>0</v>
          </cell>
          <cell r="AP217">
            <v>0</v>
          </cell>
          <cell r="AQ217">
            <v>0</v>
          </cell>
          <cell r="AR217">
            <v>0</v>
          </cell>
          <cell r="AS217">
            <v>0</v>
          </cell>
          <cell r="AT217">
            <v>0</v>
          </cell>
          <cell r="AU217">
            <v>0</v>
          </cell>
          <cell r="AV217">
            <v>0</v>
          </cell>
          <cell r="AW217">
            <v>0</v>
          </cell>
          <cell r="AX217">
            <v>0</v>
          </cell>
          <cell r="AY217">
            <v>0</v>
          </cell>
          <cell r="AZ217">
            <v>0</v>
          </cell>
          <cell r="BA217">
            <v>0</v>
          </cell>
          <cell r="BB217">
            <v>0</v>
          </cell>
          <cell r="BC217">
            <v>0</v>
          </cell>
          <cell r="BD217">
            <v>0</v>
          </cell>
          <cell r="BE217">
            <v>0</v>
          </cell>
          <cell r="BF217">
            <v>0</v>
          </cell>
          <cell r="BG217">
            <v>0</v>
          </cell>
          <cell r="BH217">
            <v>0</v>
          </cell>
          <cell r="BI217">
            <v>0</v>
          </cell>
          <cell r="BJ217">
            <v>0</v>
          </cell>
          <cell r="BK217">
            <v>0</v>
          </cell>
          <cell r="BL217">
            <v>0</v>
          </cell>
          <cell r="BM217">
            <v>0</v>
          </cell>
          <cell r="BN217">
            <v>0</v>
          </cell>
          <cell r="BO217">
            <v>0</v>
          </cell>
          <cell r="BP217">
            <v>0</v>
          </cell>
          <cell r="BQ217">
            <v>0</v>
          </cell>
          <cell r="BR217">
            <v>0</v>
          </cell>
          <cell r="BS217">
            <v>0</v>
          </cell>
          <cell r="BT217">
            <v>0</v>
          </cell>
          <cell r="BU217">
            <v>0</v>
          </cell>
          <cell r="BV217">
            <v>0</v>
          </cell>
          <cell r="BW217">
            <v>0</v>
          </cell>
          <cell r="BX217">
            <v>0</v>
          </cell>
          <cell r="BY217">
            <v>0</v>
          </cell>
          <cell r="BZ217">
            <v>0</v>
          </cell>
          <cell r="CA217">
            <v>0</v>
          </cell>
          <cell r="CB217">
            <v>0</v>
          </cell>
          <cell r="CC217">
            <v>0</v>
          </cell>
          <cell r="CD217">
            <v>0</v>
          </cell>
          <cell r="CE217">
            <v>0</v>
          </cell>
          <cell r="CF217">
            <v>0</v>
          </cell>
          <cell r="CG217">
            <v>0</v>
          </cell>
          <cell r="CH217">
            <v>0</v>
          </cell>
          <cell r="CI217">
            <v>0</v>
          </cell>
          <cell r="CJ217">
            <v>0</v>
          </cell>
          <cell r="CK217">
            <v>0</v>
          </cell>
          <cell r="CL217">
            <v>0</v>
          </cell>
          <cell r="CM217">
            <v>0</v>
          </cell>
          <cell r="CN217">
            <v>0</v>
          </cell>
          <cell r="CO217">
            <v>0</v>
          </cell>
          <cell r="CP217">
            <v>0</v>
          </cell>
          <cell r="CQ217">
            <v>0</v>
          </cell>
          <cell r="CR217">
            <v>0</v>
          </cell>
          <cell r="CS217">
            <v>0</v>
          </cell>
          <cell r="CT217">
            <v>0</v>
          </cell>
          <cell r="CU217">
            <v>0</v>
          </cell>
          <cell r="CV217">
            <v>0</v>
          </cell>
          <cell r="CW217">
            <v>0</v>
          </cell>
          <cell r="CX217">
            <v>0</v>
          </cell>
          <cell r="CY217">
            <v>0</v>
          </cell>
          <cell r="CZ217">
            <v>0</v>
          </cell>
          <cell r="DA217">
            <v>0</v>
          </cell>
          <cell r="DB217">
            <v>0</v>
          </cell>
          <cell r="DC217">
            <v>0</v>
          </cell>
          <cell r="DD217">
            <v>0</v>
          </cell>
          <cell r="DE217">
            <v>0</v>
          </cell>
          <cell r="DF217">
            <v>0</v>
          </cell>
          <cell r="DG217">
            <v>0</v>
          </cell>
          <cell r="DH217">
            <v>0</v>
          </cell>
          <cell r="DI217">
            <v>0</v>
          </cell>
          <cell r="DJ217">
            <v>0</v>
          </cell>
          <cell r="DK217">
            <v>0</v>
          </cell>
          <cell r="DL217">
            <v>0</v>
          </cell>
          <cell r="DM217">
            <v>0</v>
          </cell>
          <cell r="DN217">
            <v>0</v>
          </cell>
          <cell r="DO217">
            <v>0</v>
          </cell>
          <cell r="DP217">
            <v>0</v>
          </cell>
          <cell r="DQ217">
            <v>0</v>
          </cell>
          <cell r="DR217">
            <v>0</v>
          </cell>
          <cell r="DS217">
            <v>0</v>
          </cell>
          <cell r="DT217">
            <v>0</v>
          </cell>
          <cell r="DU217">
            <v>0</v>
          </cell>
          <cell r="DV217">
            <v>0</v>
          </cell>
          <cell r="DW217">
            <v>0</v>
          </cell>
          <cell r="DX217">
            <v>0</v>
          </cell>
          <cell r="DY217">
            <v>0</v>
          </cell>
          <cell r="DZ217">
            <v>0</v>
          </cell>
          <cell r="EA217">
            <v>0</v>
          </cell>
          <cell r="EB217">
            <v>0</v>
          </cell>
          <cell r="EC217">
            <v>0</v>
          </cell>
          <cell r="ED217">
            <v>0</v>
          </cell>
          <cell r="EE217">
            <v>0</v>
          </cell>
          <cell r="EF217">
            <v>0</v>
          </cell>
          <cell r="EG217">
            <v>0</v>
          </cell>
          <cell r="EH217">
            <v>0</v>
          </cell>
          <cell r="EI217">
            <v>0</v>
          </cell>
          <cell r="EJ217">
            <v>0</v>
          </cell>
          <cell r="EK217">
            <v>0</v>
          </cell>
          <cell r="EL217">
            <v>0</v>
          </cell>
          <cell r="EM217">
            <v>0</v>
          </cell>
          <cell r="EN217">
            <v>0</v>
          </cell>
          <cell r="EO217">
            <v>0</v>
          </cell>
          <cell r="EP217">
            <v>0</v>
          </cell>
          <cell r="EQ217">
            <v>0</v>
          </cell>
          <cell r="ER217">
            <v>0</v>
          </cell>
          <cell r="ES217">
            <v>0</v>
          </cell>
          <cell r="ET217">
            <v>0</v>
          </cell>
          <cell r="EU217">
            <v>0</v>
          </cell>
          <cell r="EV217">
            <v>0</v>
          </cell>
          <cell r="EW217">
            <v>0</v>
          </cell>
          <cell r="EX217">
            <v>0</v>
          </cell>
          <cell r="EY217">
            <v>0</v>
          </cell>
          <cell r="EZ217">
            <v>0</v>
          </cell>
          <cell r="FA217">
            <v>0</v>
          </cell>
          <cell r="FB217">
            <v>0</v>
          </cell>
          <cell r="FC217">
            <v>0</v>
          </cell>
          <cell r="FD217">
            <v>0</v>
          </cell>
          <cell r="FE217">
            <v>0</v>
          </cell>
          <cell r="FF217">
            <v>0</v>
          </cell>
          <cell r="FG217">
            <v>0</v>
          </cell>
          <cell r="FH217">
            <v>0</v>
          </cell>
          <cell r="FI217">
            <v>0</v>
          </cell>
          <cell r="FJ217">
            <v>0</v>
          </cell>
          <cell r="FK217">
            <v>0</v>
          </cell>
          <cell r="FL217">
            <v>0</v>
          </cell>
          <cell r="FM217">
            <v>0</v>
          </cell>
          <cell r="FN217">
            <v>0</v>
          </cell>
          <cell r="FO217">
            <v>0</v>
          </cell>
          <cell r="FP217">
            <v>0</v>
          </cell>
          <cell r="FQ217">
            <v>0</v>
          </cell>
          <cell r="FR217">
            <v>0</v>
          </cell>
          <cell r="FS217">
            <v>0</v>
          </cell>
          <cell r="FT217">
            <v>0</v>
          </cell>
          <cell r="FU217">
            <v>0</v>
          </cell>
          <cell r="FV217">
            <v>0</v>
          </cell>
          <cell r="FW217">
            <v>0</v>
          </cell>
          <cell r="FX217">
            <v>0</v>
          </cell>
          <cell r="FY217">
            <v>0</v>
          </cell>
          <cell r="FZ217">
            <v>0</v>
          </cell>
        </row>
        <row r="218">
          <cell r="B218">
            <v>0</v>
          </cell>
          <cell r="C218">
            <v>0</v>
          </cell>
          <cell r="D218">
            <v>0</v>
          </cell>
          <cell r="E218">
            <v>0</v>
          </cell>
          <cell r="F218">
            <v>0</v>
          </cell>
          <cell r="G218">
            <v>0</v>
          </cell>
          <cell r="H218">
            <v>0</v>
          </cell>
          <cell r="I218">
            <v>0</v>
          </cell>
          <cell r="J218">
            <v>0</v>
          </cell>
          <cell r="K218">
            <v>0</v>
          </cell>
          <cell r="L218">
            <v>0</v>
          </cell>
          <cell r="M218">
            <v>0</v>
          </cell>
          <cell r="N218">
            <v>0</v>
          </cell>
          <cell r="O218">
            <v>0</v>
          </cell>
          <cell r="P218">
            <v>0</v>
          </cell>
          <cell r="Q218">
            <v>0</v>
          </cell>
          <cell r="R218">
            <v>0</v>
          </cell>
          <cell r="S218">
            <v>0</v>
          </cell>
          <cell r="T218">
            <v>0</v>
          </cell>
          <cell r="U218">
            <v>0</v>
          </cell>
          <cell r="V218">
            <v>0</v>
          </cell>
          <cell r="W218">
            <v>0</v>
          </cell>
          <cell r="X218">
            <v>0</v>
          </cell>
          <cell r="Y218">
            <v>0</v>
          </cell>
          <cell r="Z218">
            <v>0</v>
          </cell>
          <cell r="AA218">
            <v>0</v>
          </cell>
          <cell r="AB218">
            <v>0</v>
          </cell>
          <cell r="AC218">
            <v>0</v>
          </cell>
          <cell r="AD218">
            <v>0</v>
          </cell>
          <cell r="AE218">
            <v>0</v>
          </cell>
          <cell r="AF218">
            <v>0</v>
          </cell>
          <cell r="AG218">
            <v>0</v>
          </cell>
          <cell r="AH218">
            <v>0</v>
          </cell>
          <cell r="AI218">
            <v>0</v>
          </cell>
          <cell r="AJ218">
            <v>0</v>
          </cell>
          <cell r="AK218">
            <v>0</v>
          </cell>
          <cell r="AL218">
            <v>0</v>
          </cell>
          <cell r="AM218">
            <v>0</v>
          </cell>
          <cell r="AN218">
            <v>0</v>
          </cell>
          <cell r="AO218">
            <v>0</v>
          </cell>
          <cell r="AP218">
            <v>0</v>
          </cell>
          <cell r="AQ218">
            <v>0</v>
          </cell>
          <cell r="AR218">
            <v>0</v>
          </cell>
          <cell r="AS218">
            <v>0</v>
          </cell>
          <cell r="AT218">
            <v>0</v>
          </cell>
          <cell r="AU218">
            <v>0</v>
          </cell>
          <cell r="AV218">
            <v>0</v>
          </cell>
          <cell r="AW218">
            <v>0</v>
          </cell>
          <cell r="AX218">
            <v>0</v>
          </cell>
          <cell r="AY218">
            <v>0</v>
          </cell>
          <cell r="AZ218">
            <v>0</v>
          </cell>
          <cell r="BA218">
            <v>0</v>
          </cell>
          <cell r="BB218">
            <v>0</v>
          </cell>
          <cell r="BC218">
            <v>0</v>
          </cell>
          <cell r="BD218">
            <v>0</v>
          </cell>
          <cell r="BE218">
            <v>0</v>
          </cell>
          <cell r="BF218">
            <v>0</v>
          </cell>
          <cell r="BG218">
            <v>0</v>
          </cell>
          <cell r="BH218">
            <v>0</v>
          </cell>
          <cell r="BI218">
            <v>0</v>
          </cell>
          <cell r="BJ218">
            <v>0</v>
          </cell>
          <cell r="BK218">
            <v>0</v>
          </cell>
          <cell r="BL218">
            <v>0</v>
          </cell>
          <cell r="BM218">
            <v>0</v>
          </cell>
          <cell r="BN218">
            <v>0</v>
          </cell>
          <cell r="BO218">
            <v>0</v>
          </cell>
          <cell r="BP218">
            <v>0</v>
          </cell>
          <cell r="BQ218">
            <v>0</v>
          </cell>
          <cell r="BR218">
            <v>0</v>
          </cell>
          <cell r="BS218">
            <v>0</v>
          </cell>
          <cell r="BT218">
            <v>0</v>
          </cell>
          <cell r="BU218">
            <v>0</v>
          </cell>
          <cell r="BV218">
            <v>0</v>
          </cell>
          <cell r="BW218">
            <v>0</v>
          </cell>
          <cell r="BX218">
            <v>0</v>
          </cell>
          <cell r="BY218">
            <v>0</v>
          </cell>
          <cell r="BZ218">
            <v>0</v>
          </cell>
          <cell r="CA218">
            <v>0</v>
          </cell>
          <cell r="CB218">
            <v>0</v>
          </cell>
          <cell r="CC218">
            <v>0</v>
          </cell>
          <cell r="CD218">
            <v>0</v>
          </cell>
          <cell r="CE218">
            <v>0</v>
          </cell>
          <cell r="CF218">
            <v>0</v>
          </cell>
          <cell r="CG218">
            <v>0</v>
          </cell>
          <cell r="CH218">
            <v>0</v>
          </cell>
          <cell r="CI218">
            <v>0</v>
          </cell>
          <cell r="CJ218">
            <v>0</v>
          </cell>
          <cell r="CK218">
            <v>0</v>
          </cell>
          <cell r="CL218">
            <v>0</v>
          </cell>
          <cell r="CM218">
            <v>0</v>
          </cell>
          <cell r="CN218">
            <v>0</v>
          </cell>
          <cell r="CO218">
            <v>0</v>
          </cell>
          <cell r="CP218">
            <v>0</v>
          </cell>
          <cell r="CQ218">
            <v>0</v>
          </cell>
          <cell r="CR218">
            <v>0</v>
          </cell>
          <cell r="CS218">
            <v>0</v>
          </cell>
          <cell r="CT218">
            <v>0</v>
          </cell>
          <cell r="CU218">
            <v>0</v>
          </cell>
          <cell r="CV218">
            <v>0</v>
          </cell>
          <cell r="CW218">
            <v>0</v>
          </cell>
          <cell r="CX218">
            <v>0</v>
          </cell>
          <cell r="CY218">
            <v>0</v>
          </cell>
          <cell r="CZ218">
            <v>0</v>
          </cell>
          <cell r="DA218">
            <v>0</v>
          </cell>
          <cell r="DB218">
            <v>0</v>
          </cell>
          <cell r="DC218">
            <v>0</v>
          </cell>
          <cell r="DD218">
            <v>0</v>
          </cell>
          <cell r="DE218">
            <v>0</v>
          </cell>
          <cell r="DF218">
            <v>0</v>
          </cell>
          <cell r="DG218">
            <v>0</v>
          </cell>
          <cell r="DH218">
            <v>0</v>
          </cell>
          <cell r="DI218">
            <v>0</v>
          </cell>
          <cell r="DJ218">
            <v>0</v>
          </cell>
          <cell r="DK218">
            <v>0</v>
          </cell>
          <cell r="DL218">
            <v>0</v>
          </cell>
          <cell r="DM218">
            <v>0</v>
          </cell>
          <cell r="DN218">
            <v>0</v>
          </cell>
          <cell r="DO218">
            <v>0</v>
          </cell>
          <cell r="DP218">
            <v>0</v>
          </cell>
          <cell r="DQ218">
            <v>0</v>
          </cell>
          <cell r="DR218">
            <v>0</v>
          </cell>
          <cell r="DS218">
            <v>0</v>
          </cell>
          <cell r="DT218">
            <v>0</v>
          </cell>
          <cell r="DU218">
            <v>0</v>
          </cell>
          <cell r="DV218">
            <v>0</v>
          </cell>
          <cell r="DW218">
            <v>0</v>
          </cell>
          <cell r="DX218">
            <v>0</v>
          </cell>
          <cell r="DY218">
            <v>0</v>
          </cell>
          <cell r="DZ218">
            <v>0</v>
          </cell>
          <cell r="EA218">
            <v>0</v>
          </cell>
          <cell r="EB218">
            <v>0</v>
          </cell>
          <cell r="EC218">
            <v>0</v>
          </cell>
          <cell r="ED218">
            <v>0</v>
          </cell>
          <cell r="EE218">
            <v>0</v>
          </cell>
          <cell r="EF218">
            <v>0</v>
          </cell>
          <cell r="EG218">
            <v>0</v>
          </cell>
          <cell r="EH218">
            <v>0</v>
          </cell>
          <cell r="EI218">
            <v>0</v>
          </cell>
          <cell r="EJ218">
            <v>0</v>
          </cell>
          <cell r="EK218">
            <v>0</v>
          </cell>
          <cell r="EL218">
            <v>0</v>
          </cell>
          <cell r="EM218">
            <v>0</v>
          </cell>
          <cell r="EN218">
            <v>0</v>
          </cell>
          <cell r="EO218">
            <v>0</v>
          </cell>
          <cell r="EP218">
            <v>0</v>
          </cell>
          <cell r="EQ218">
            <v>0</v>
          </cell>
          <cell r="ER218">
            <v>0</v>
          </cell>
          <cell r="ES218">
            <v>0</v>
          </cell>
          <cell r="ET218">
            <v>0</v>
          </cell>
          <cell r="EU218">
            <v>0</v>
          </cell>
          <cell r="EV218">
            <v>0</v>
          </cell>
          <cell r="EW218">
            <v>0</v>
          </cell>
          <cell r="EX218">
            <v>0</v>
          </cell>
          <cell r="EY218">
            <v>0</v>
          </cell>
          <cell r="EZ218">
            <v>0</v>
          </cell>
          <cell r="FA218">
            <v>0</v>
          </cell>
          <cell r="FB218">
            <v>0</v>
          </cell>
          <cell r="FC218">
            <v>0</v>
          </cell>
          <cell r="FD218">
            <v>0</v>
          </cell>
          <cell r="FE218">
            <v>0</v>
          </cell>
          <cell r="FF218">
            <v>0</v>
          </cell>
          <cell r="FG218">
            <v>0</v>
          </cell>
          <cell r="FH218">
            <v>0</v>
          </cell>
          <cell r="FI218">
            <v>0</v>
          </cell>
          <cell r="FJ218">
            <v>0</v>
          </cell>
          <cell r="FK218">
            <v>0</v>
          </cell>
          <cell r="FL218">
            <v>0</v>
          </cell>
          <cell r="FM218">
            <v>0</v>
          </cell>
          <cell r="FN218">
            <v>0</v>
          </cell>
          <cell r="FO218">
            <v>0</v>
          </cell>
          <cell r="FP218">
            <v>0</v>
          </cell>
          <cell r="FQ218">
            <v>0</v>
          </cell>
          <cell r="FR218">
            <v>0</v>
          </cell>
          <cell r="FS218">
            <v>0</v>
          </cell>
          <cell r="FT218">
            <v>0</v>
          </cell>
          <cell r="FU218">
            <v>0</v>
          </cell>
          <cell r="FV218">
            <v>0</v>
          </cell>
          <cell r="FW218">
            <v>0</v>
          </cell>
          <cell r="FX218">
            <v>0</v>
          </cell>
          <cell r="FY218">
            <v>0</v>
          </cell>
          <cell r="FZ218">
            <v>0</v>
          </cell>
        </row>
        <row r="219">
          <cell r="B219">
            <v>0</v>
          </cell>
          <cell r="C219">
            <v>0</v>
          </cell>
          <cell r="D219">
            <v>0</v>
          </cell>
          <cell r="E219">
            <v>0</v>
          </cell>
          <cell r="F219">
            <v>0</v>
          </cell>
          <cell r="G219">
            <v>0</v>
          </cell>
          <cell r="H219">
            <v>0</v>
          </cell>
          <cell r="I219">
            <v>0</v>
          </cell>
          <cell r="J219">
            <v>0</v>
          </cell>
          <cell r="K219">
            <v>0</v>
          </cell>
          <cell r="L219">
            <v>0</v>
          </cell>
          <cell r="M219">
            <v>0</v>
          </cell>
          <cell r="N219">
            <v>0</v>
          </cell>
          <cell r="O219">
            <v>0</v>
          </cell>
          <cell r="P219">
            <v>0</v>
          </cell>
          <cell r="Q219">
            <v>0</v>
          </cell>
          <cell r="R219">
            <v>0</v>
          </cell>
          <cell r="S219">
            <v>0</v>
          </cell>
          <cell r="T219">
            <v>0</v>
          </cell>
          <cell r="U219">
            <v>0</v>
          </cell>
          <cell r="V219">
            <v>0</v>
          </cell>
          <cell r="W219">
            <v>0</v>
          </cell>
          <cell r="X219">
            <v>0</v>
          </cell>
          <cell r="Y219">
            <v>0</v>
          </cell>
          <cell r="Z219">
            <v>0</v>
          </cell>
          <cell r="AA219">
            <v>0</v>
          </cell>
          <cell r="AB219">
            <v>0</v>
          </cell>
          <cell r="AC219">
            <v>0</v>
          </cell>
          <cell r="AD219">
            <v>0</v>
          </cell>
          <cell r="AE219">
            <v>0</v>
          </cell>
          <cell r="AF219">
            <v>0</v>
          </cell>
          <cell r="AG219">
            <v>0</v>
          </cell>
          <cell r="AH219">
            <v>0</v>
          </cell>
          <cell r="AI219">
            <v>0</v>
          </cell>
          <cell r="AJ219">
            <v>0</v>
          </cell>
          <cell r="AK219">
            <v>0</v>
          </cell>
          <cell r="AL219">
            <v>0</v>
          </cell>
          <cell r="AM219">
            <v>0</v>
          </cell>
          <cell r="AN219">
            <v>0</v>
          </cell>
          <cell r="AO219">
            <v>0</v>
          </cell>
          <cell r="AP219">
            <v>0</v>
          </cell>
          <cell r="AQ219">
            <v>0</v>
          </cell>
          <cell r="AR219">
            <v>0</v>
          </cell>
          <cell r="AS219">
            <v>0</v>
          </cell>
          <cell r="AT219">
            <v>0</v>
          </cell>
          <cell r="AU219">
            <v>0</v>
          </cell>
          <cell r="AV219">
            <v>0</v>
          </cell>
          <cell r="AW219">
            <v>0</v>
          </cell>
          <cell r="AX219">
            <v>0</v>
          </cell>
          <cell r="AY219">
            <v>0</v>
          </cell>
          <cell r="AZ219">
            <v>0</v>
          </cell>
          <cell r="BA219">
            <v>0</v>
          </cell>
          <cell r="BB219">
            <v>0</v>
          </cell>
          <cell r="BC219">
            <v>0</v>
          </cell>
          <cell r="BD219">
            <v>0</v>
          </cell>
          <cell r="BE219">
            <v>0</v>
          </cell>
          <cell r="BF219">
            <v>0</v>
          </cell>
          <cell r="BG219">
            <v>0</v>
          </cell>
          <cell r="BH219">
            <v>0</v>
          </cell>
          <cell r="BI219">
            <v>0</v>
          </cell>
          <cell r="BJ219">
            <v>0</v>
          </cell>
          <cell r="BK219">
            <v>0</v>
          </cell>
          <cell r="BL219">
            <v>0</v>
          </cell>
          <cell r="BM219">
            <v>0</v>
          </cell>
          <cell r="BN219">
            <v>0</v>
          </cell>
          <cell r="BO219">
            <v>0</v>
          </cell>
          <cell r="BP219">
            <v>0</v>
          </cell>
          <cell r="BQ219">
            <v>0</v>
          </cell>
          <cell r="BR219">
            <v>0</v>
          </cell>
          <cell r="BS219">
            <v>0</v>
          </cell>
          <cell r="BT219">
            <v>0</v>
          </cell>
          <cell r="BU219">
            <v>0</v>
          </cell>
          <cell r="BV219">
            <v>0</v>
          </cell>
          <cell r="BW219">
            <v>0</v>
          </cell>
          <cell r="BX219">
            <v>0</v>
          </cell>
          <cell r="BY219">
            <v>0</v>
          </cell>
          <cell r="BZ219">
            <v>0</v>
          </cell>
          <cell r="CA219">
            <v>0</v>
          </cell>
          <cell r="CB219">
            <v>0</v>
          </cell>
          <cell r="CC219">
            <v>0</v>
          </cell>
          <cell r="CD219">
            <v>0</v>
          </cell>
          <cell r="CE219">
            <v>0</v>
          </cell>
          <cell r="CF219">
            <v>0</v>
          </cell>
          <cell r="CG219">
            <v>0</v>
          </cell>
          <cell r="CH219">
            <v>0</v>
          </cell>
          <cell r="CI219">
            <v>0</v>
          </cell>
          <cell r="CJ219">
            <v>0</v>
          </cell>
          <cell r="CK219">
            <v>0</v>
          </cell>
          <cell r="CL219">
            <v>0</v>
          </cell>
          <cell r="CM219">
            <v>0</v>
          </cell>
          <cell r="CN219">
            <v>0</v>
          </cell>
          <cell r="CO219">
            <v>0</v>
          </cell>
          <cell r="CP219">
            <v>0</v>
          </cell>
          <cell r="CQ219">
            <v>0</v>
          </cell>
          <cell r="CR219">
            <v>0</v>
          </cell>
          <cell r="CS219">
            <v>0</v>
          </cell>
          <cell r="CT219">
            <v>0</v>
          </cell>
          <cell r="CU219">
            <v>0</v>
          </cell>
          <cell r="CV219">
            <v>0</v>
          </cell>
          <cell r="CW219">
            <v>0</v>
          </cell>
          <cell r="CX219">
            <v>0</v>
          </cell>
          <cell r="CY219">
            <v>0</v>
          </cell>
          <cell r="CZ219">
            <v>0</v>
          </cell>
          <cell r="DA219">
            <v>0</v>
          </cell>
          <cell r="DB219">
            <v>0</v>
          </cell>
          <cell r="DC219">
            <v>0</v>
          </cell>
          <cell r="DD219">
            <v>0</v>
          </cell>
          <cell r="DE219">
            <v>0</v>
          </cell>
          <cell r="DF219">
            <v>0</v>
          </cell>
          <cell r="DG219">
            <v>0</v>
          </cell>
          <cell r="DH219">
            <v>0</v>
          </cell>
          <cell r="DI219">
            <v>0</v>
          </cell>
          <cell r="DJ219">
            <v>0</v>
          </cell>
          <cell r="DK219">
            <v>0</v>
          </cell>
          <cell r="DL219">
            <v>0</v>
          </cell>
          <cell r="DM219">
            <v>0</v>
          </cell>
          <cell r="DN219">
            <v>0</v>
          </cell>
          <cell r="DO219">
            <v>0</v>
          </cell>
          <cell r="DP219">
            <v>0</v>
          </cell>
          <cell r="DQ219">
            <v>0</v>
          </cell>
          <cell r="DR219">
            <v>0</v>
          </cell>
          <cell r="DS219">
            <v>0</v>
          </cell>
          <cell r="DT219">
            <v>0</v>
          </cell>
          <cell r="DU219">
            <v>0</v>
          </cell>
          <cell r="DV219">
            <v>0</v>
          </cell>
          <cell r="DW219">
            <v>0</v>
          </cell>
          <cell r="DX219">
            <v>0</v>
          </cell>
          <cell r="DY219">
            <v>0</v>
          </cell>
          <cell r="DZ219">
            <v>0</v>
          </cell>
          <cell r="EA219">
            <v>0</v>
          </cell>
          <cell r="EB219">
            <v>0</v>
          </cell>
          <cell r="EC219">
            <v>0</v>
          </cell>
          <cell r="ED219">
            <v>0</v>
          </cell>
          <cell r="EE219">
            <v>0</v>
          </cell>
          <cell r="EF219">
            <v>0</v>
          </cell>
          <cell r="EG219">
            <v>0</v>
          </cell>
          <cell r="EH219">
            <v>0</v>
          </cell>
          <cell r="EI219">
            <v>0</v>
          </cell>
          <cell r="EJ219">
            <v>0</v>
          </cell>
          <cell r="EK219">
            <v>0</v>
          </cell>
          <cell r="EL219">
            <v>0</v>
          </cell>
          <cell r="EM219">
            <v>0</v>
          </cell>
          <cell r="EN219">
            <v>0</v>
          </cell>
          <cell r="EO219">
            <v>0</v>
          </cell>
          <cell r="EP219">
            <v>0</v>
          </cell>
          <cell r="EQ219">
            <v>0</v>
          </cell>
          <cell r="ER219">
            <v>0</v>
          </cell>
          <cell r="ES219">
            <v>0</v>
          </cell>
          <cell r="ET219">
            <v>0</v>
          </cell>
          <cell r="EU219">
            <v>0</v>
          </cell>
          <cell r="EV219">
            <v>0</v>
          </cell>
          <cell r="EW219">
            <v>0</v>
          </cell>
          <cell r="EX219">
            <v>0</v>
          </cell>
          <cell r="EY219">
            <v>0</v>
          </cell>
          <cell r="EZ219">
            <v>0</v>
          </cell>
          <cell r="FA219">
            <v>0</v>
          </cell>
          <cell r="FB219">
            <v>0</v>
          </cell>
          <cell r="FC219">
            <v>0</v>
          </cell>
          <cell r="FD219">
            <v>0</v>
          </cell>
          <cell r="FE219">
            <v>0</v>
          </cell>
          <cell r="FF219">
            <v>0</v>
          </cell>
          <cell r="FG219">
            <v>0</v>
          </cell>
          <cell r="FH219">
            <v>0</v>
          </cell>
          <cell r="FI219">
            <v>0</v>
          </cell>
          <cell r="FJ219">
            <v>0</v>
          </cell>
          <cell r="FK219">
            <v>0</v>
          </cell>
          <cell r="FL219">
            <v>0</v>
          </cell>
          <cell r="FM219">
            <v>0</v>
          </cell>
          <cell r="FN219">
            <v>0</v>
          </cell>
          <cell r="FO219">
            <v>0</v>
          </cell>
          <cell r="FP219">
            <v>0</v>
          </cell>
          <cell r="FQ219">
            <v>0</v>
          </cell>
          <cell r="FR219">
            <v>0</v>
          </cell>
          <cell r="FS219">
            <v>0</v>
          </cell>
          <cell r="FT219">
            <v>0</v>
          </cell>
          <cell r="FU219">
            <v>0</v>
          </cell>
          <cell r="FV219">
            <v>0</v>
          </cell>
          <cell r="FW219">
            <v>0</v>
          </cell>
          <cell r="FX219">
            <v>0</v>
          </cell>
          <cell r="FY219">
            <v>0</v>
          </cell>
          <cell r="FZ219">
            <v>0</v>
          </cell>
        </row>
        <row r="220">
          <cell r="B220">
            <v>0</v>
          </cell>
          <cell r="C220">
            <v>0</v>
          </cell>
          <cell r="D220">
            <v>0</v>
          </cell>
          <cell r="E220">
            <v>0</v>
          </cell>
          <cell r="F220">
            <v>0</v>
          </cell>
          <cell r="G220">
            <v>0</v>
          </cell>
          <cell r="H220">
            <v>0</v>
          </cell>
          <cell r="I220">
            <v>0</v>
          </cell>
          <cell r="J220">
            <v>0</v>
          </cell>
          <cell r="K220">
            <v>0</v>
          </cell>
          <cell r="L220">
            <v>0</v>
          </cell>
          <cell r="M220">
            <v>0</v>
          </cell>
          <cell r="N220">
            <v>0</v>
          </cell>
          <cell r="O220">
            <v>0</v>
          </cell>
          <cell r="P220">
            <v>0</v>
          </cell>
          <cell r="Q220">
            <v>0</v>
          </cell>
          <cell r="R220">
            <v>0</v>
          </cell>
          <cell r="S220">
            <v>0</v>
          </cell>
          <cell r="T220">
            <v>0</v>
          </cell>
          <cell r="U220">
            <v>0</v>
          </cell>
          <cell r="V220">
            <v>0</v>
          </cell>
          <cell r="W220">
            <v>0</v>
          </cell>
          <cell r="X220">
            <v>0</v>
          </cell>
          <cell r="Y220">
            <v>0</v>
          </cell>
          <cell r="Z220">
            <v>0</v>
          </cell>
          <cell r="AA220">
            <v>0</v>
          </cell>
          <cell r="AB220">
            <v>0</v>
          </cell>
          <cell r="AC220">
            <v>0</v>
          </cell>
          <cell r="AD220">
            <v>0</v>
          </cell>
          <cell r="AE220">
            <v>0</v>
          </cell>
          <cell r="AF220">
            <v>0</v>
          </cell>
          <cell r="AG220">
            <v>0</v>
          </cell>
          <cell r="AH220">
            <v>0</v>
          </cell>
          <cell r="AI220">
            <v>0</v>
          </cell>
          <cell r="AJ220">
            <v>0</v>
          </cell>
          <cell r="AK220">
            <v>0</v>
          </cell>
          <cell r="AL220">
            <v>0</v>
          </cell>
          <cell r="AM220">
            <v>0</v>
          </cell>
          <cell r="AN220">
            <v>0</v>
          </cell>
          <cell r="AO220">
            <v>0</v>
          </cell>
          <cell r="AP220">
            <v>0</v>
          </cell>
          <cell r="AQ220">
            <v>0</v>
          </cell>
          <cell r="AR220">
            <v>0</v>
          </cell>
          <cell r="AS220">
            <v>0</v>
          </cell>
          <cell r="AT220">
            <v>0</v>
          </cell>
          <cell r="AU220">
            <v>0</v>
          </cell>
          <cell r="AV220">
            <v>0</v>
          </cell>
          <cell r="AW220">
            <v>0</v>
          </cell>
          <cell r="AX220">
            <v>0</v>
          </cell>
          <cell r="AY220">
            <v>0</v>
          </cell>
          <cell r="AZ220">
            <v>0</v>
          </cell>
          <cell r="BA220">
            <v>0</v>
          </cell>
          <cell r="BB220">
            <v>0</v>
          </cell>
          <cell r="BC220">
            <v>0</v>
          </cell>
          <cell r="BD220">
            <v>0</v>
          </cell>
          <cell r="BE220">
            <v>0</v>
          </cell>
          <cell r="BF220">
            <v>0</v>
          </cell>
          <cell r="BG220">
            <v>0</v>
          </cell>
          <cell r="BH220">
            <v>0</v>
          </cell>
          <cell r="BI220">
            <v>0</v>
          </cell>
          <cell r="BJ220">
            <v>0</v>
          </cell>
          <cell r="BK220">
            <v>0</v>
          </cell>
          <cell r="BL220">
            <v>0</v>
          </cell>
          <cell r="BM220">
            <v>0</v>
          </cell>
          <cell r="BN220">
            <v>0</v>
          </cell>
          <cell r="BO220">
            <v>0</v>
          </cell>
          <cell r="BP220">
            <v>0</v>
          </cell>
          <cell r="BQ220">
            <v>0</v>
          </cell>
          <cell r="BR220">
            <v>0</v>
          </cell>
          <cell r="BS220">
            <v>0</v>
          </cell>
          <cell r="BT220">
            <v>0</v>
          </cell>
          <cell r="BU220">
            <v>0</v>
          </cell>
          <cell r="BV220">
            <v>0</v>
          </cell>
          <cell r="BW220">
            <v>0</v>
          </cell>
          <cell r="BX220">
            <v>0</v>
          </cell>
          <cell r="BY220">
            <v>0</v>
          </cell>
          <cell r="BZ220">
            <v>0</v>
          </cell>
          <cell r="CA220">
            <v>0</v>
          </cell>
          <cell r="CB220">
            <v>0</v>
          </cell>
          <cell r="CC220">
            <v>0</v>
          </cell>
          <cell r="CD220">
            <v>0</v>
          </cell>
          <cell r="CE220">
            <v>0</v>
          </cell>
          <cell r="CF220">
            <v>0</v>
          </cell>
          <cell r="CG220">
            <v>0</v>
          </cell>
          <cell r="CH220">
            <v>0</v>
          </cell>
          <cell r="CI220">
            <v>0</v>
          </cell>
          <cell r="CJ220">
            <v>0</v>
          </cell>
          <cell r="CK220">
            <v>0</v>
          </cell>
          <cell r="CL220">
            <v>0</v>
          </cell>
          <cell r="CM220">
            <v>0</v>
          </cell>
          <cell r="CN220">
            <v>0</v>
          </cell>
          <cell r="CO220">
            <v>0</v>
          </cell>
          <cell r="CP220">
            <v>0</v>
          </cell>
          <cell r="CQ220">
            <v>0</v>
          </cell>
          <cell r="CR220">
            <v>0</v>
          </cell>
          <cell r="CS220">
            <v>0</v>
          </cell>
          <cell r="CT220">
            <v>0</v>
          </cell>
          <cell r="CU220">
            <v>0</v>
          </cell>
          <cell r="CV220">
            <v>0</v>
          </cell>
          <cell r="CW220">
            <v>0</v>
          </cell>
          <cell r="CX220">
            <v>0</v>
          </cell>
          <cell r="CY220">
            <v>0</v>
          </cell>
          <cell r="CZ220">
            <v>0</v>
          </cell>
          <cell r="DA220">
            <v>0</v>
          </cell>
          <cell r="DB220">
            <v>0</v>
          </cell>
          <cell r="DC220">
            <v>0</v>
          </cell>
          <cell r="DD220">
            <v>0</v>
          </cell>
          <cell r="DE220">
            <v>0</v>
          </cell>
          <cell r="DF220">
            <v>0</v>
          </cell>
          <cell r="DG220">
            <v>0</v>
          </cell>
          <cell r="DH220">
            <v>0</v>
          </cell>
          <cell r="DI220">
            <v>0</v>
          </cell>
          <cell r="DJ220">
            <v>0</v>
          </cell>
          <cell r="DK220">
            <v>0</v>
          </cell>
          <cell r="DL220">
            <v>0</v>
          </cell>
          <cell r="DM220">
            <v>0</v>
          </cell>
          <cell r="DN220">
            <v>0</v>
          </cell>
          <cell r="DO220">
            <v>0</v>
          </cell>
          <cell r="DP220">
            <v>0</v>
          </cell>
          <cell r="DQ220">
            <v>0</v>
          </cell>
          <cell r="DR220">
            <v>0</v>
          </cell>
          <cell r="DS220">
            <v>0</v>
          </cell>
          <cell r="DT220">
            <v>0</v>
          </cell>
          <cell r="DU220">
            <v>0</v>
          </cell>
          <cell r="DV220">
            <v>0</v>
          </cell>
          <cell r="DW220">
            <v>0</v>
          </cell>
          <cell r="DX220">
            <v>0</v>
          </cell>
          <cell r="DY220">
            <v>0</v>
          </cell>
          <cell r="DZ220">
            <v>0</v>
          </cell>
          <cell r="EA220">
            <v>0</v>
          </cell>
          <cell r="EB220">
            <v>0</v>
          </cell>
          <cell r="EC220">
            <v>0</v>
          </cell>
          <cell r="ED220">
            <v>0</v>
          </cell>
          <cell r="EE220">
            <v>0</v>
          </cell>
          <cell r="EF220">
            <v>0</v>
          </cell>
          <cell r="EG220">
            <v>0</v>
          </cell>
          <cell r="EH220">
            <v>0</v>
          </cell>
          <cell r="EI220">
            <v>0</v>
          </cell>
          <cell r="EJ220">
            <v>0</v>
          </cell>
          <cell r="EK220">
            <v>0</v>
          </cell>
          <cell r="EL220">
            <v>0</v>
          </cell>
          <cell r="EM220">
            <v>0</v>
          </cell>
          <cell r="EN220">
            <v>0</v>
          </cell>
          <cell r="EO220">
            <v>0</v>
          </cell>
          <cell r="EP220">
            <v>0</v>
          </cell>
          <cell r="EQ220">
            <v>0</v>
          </cell>
          <cell r="ER220">
            <v>0</v>
          </cell>
          <cell r="ES220">
            <v>0</v>
          </cell>
          <cell r="ET220">
            <v>0</v>
          </cell>
          <cell r="EU220">
            <v>0</v>
          </cell>
          <cell r="EV220">
            <v>0</v>
          </cell>
          <cell r="EW220">
            <v>0</v>
          </cell>
          <cell r="EX220">
            <v>0</v>
          </cell>
          <cell r="EY220">
            <v>0</v>
          </cell>
          <cell r="EZ220">
            <v>0</v>
          </cell>
          <cell r="FA220">
            <v>0</v>
          </cell>
          <cell r="FB220">
            <v>0</v>
          </cell>
          <cell r="FC220">
            <v>0</v>
          </cell>
          <cell r="FD220">
            <v>0</v>
          </cell>
          <cell r="FE220">
            <v>0</v>
          </cell>
          <cell r="FF220">
            <v>0</v>
          </cell>
          <cell r="FG220">
            <v>0</v>
          </cell>
          <cell r="FH220">
            <v>0</v>
          </cell>
          <cell r="FI220">
            <v>0</v>
          </cell>
          <cell r="FJ220">
            <v>0</v>
          </cell>
          <cell r="FK220">
            <v>0</v>
          </cell>
          <cell r="FL220">
            <v>0</v>
          </cell>
          <cell r="FM220">
            <v>0</v>
          </cell>
          <cell r="FN220">
            <v>0</v>
          </cell>
          <cell r="FO220">
            <v>0</v>
          </cell>
          <cell r="FP220">
            <v>0</v>
          </cell>
          <cell r="FQ220">
            <v>0</v>
          </cell>
          <cell r="FR220">
            <v>0</v>
          </cell>
          <cell r="FS220">
            <v>0</v>
          </cell>
          <cell r="FT220">
            <v>0</v>
          </cell>
          <cell r="FU220">
            <v>0</v>
          </cell>
          <cell r="FV220">
            <v>0</v>
          </cell>
          <cell r="FW220">
            <v>0</v>
          </cell>
          <cell r="FX220">
            <v>0</v>
          </cell>
          <cell r="FY220">
            <v>0</v>
          </cell>
          <cell r="FZ220">
            <v>0</v>
          </cell>
        </row>
        <row r="221">
          <cell r="B221">
            <v>0</v>
          </cell>
          <cell r="C221">
            <v>0</v>
          </cell>
          <cell r="D221">
            <v>0</v>
          </cell>
          <cell r="E221">
            <v>0</v>
          </cell>
          <cell r="F221">
            <v>0</v>
          </cell>
          <cell r="G221">
            <v>0</v>
          </cell>
          <cell r="H221">
            <v>0</v>
          </cell>
          <cell r="I221">
            <v>0</v>
          </cell>
          <cell r="J221">
            <v>0</v>
          </cell>
          <cell r="K221">
            <v>0</v>
          </cell>
          <cell r="L221">
            <v>0</v>
          </cell>
          <cell r="M221">
            <v>0</v>
          </cell>
          <cell r="N221">
            <v>0</v>
          </cell>
          <cell r="O221">
            <v>0</v>
          </cell>
          <cell r="P221">
            <v>0</v>
          </cell>
          <cell r="Q221">
            <v>0</v>
          </cell>
          <cell r="R221">
            <v>0</v>
          </cell>
          <cell r="S221">
            <v>0</v>
          </cell>
          <cell r="T221">
            <v>0</v>
          </cell>
          <cell r="U221">
            <v>0</v>
          </cell>
          <cell r="V221">
            <v>0</v>
          </cell>
          <cell r="W221">
            <v>0</v>
          </cell>
          <cell r="X221">
            <v>0</v>
          </cell>
          <cell r="Y221">
            <v>0</v>
          </cell>
          <cell r="Z221">
            <v>0</v>
          </cell>
          <cell r="AA221">
            <v>0</v>
          </cell>
          <cell r="AB221">
            <v>0</v>
          </cell>
          <cell r="AC221">
            <v>0</v>
          </cell>
          <cell r="AD221">
            <v>0</v>
          </cell>
          <cell r="AE221">
            <v>0</v>
          </cell>
          <cell r="AF221">
            <v>0</v>
          </cell>
          <cell r="AG221">
            <v>0</v>
          </cell>
          <cell r="AH221">
            <v>0</v>
          </cell>
          <cell r="AI221">
            <v>0</v>
          </cell>
          <cell r="AJ221">
            <v>0</v>
          </cell>
          <cell r="AK221">
            <v>0</v>
          </cell>
          <cell r="AL221">
            <v>0</v>
          </cell>
          <cell r="AM221">
            <v>0</v>
          </cell>
          <cell r="AN221">
            <v>0</v>
          </cell>
          <cell r="AO221">
            <v>0</v>
          </cell>
          <cell r="AP221">
            <v>0</v>
          </cell>
          <cell r="AQ221">
            <v>0</v>
          </cell>
          <cell r="AR221">
            <v>0</v>
          </cell>
          <cell r="AS221">
            <v>0</v>
          </cell>
          <cell r="AT221">
            <v>0</v>
          </cell>
          <cell r="AU221">
            <v>0</v>
          </cell>
          <cell r="AV221">
            <v>0</v>
          </cell>
          <cell r="AW221">
            <v>0</v>
          </cell>
          <cell r="AX221">
            <v>0</v>
          </cell>
          <cell r="AY221">
            <v>0</v>
          </cell>
          <cell r="AZ221">
            <v>0</v>
          </cell>
          <cell r="BA221">
            <v>0</v>
          </cell>
          <cell r="BB221">
            <v>0</v>
          </cell>
          <cell r="BC221">
            <v>0</v>
          </cell>
          <cell r="BD221">
            <v>0</v>
          </cell>
          <cell r="BE221">
            <v>0</v>
          </cell>
          <cell r="BF221">
            <v>0</v>
          </cell>
          <cell r="BG221">
            <v>0</v>
          </cell>
          <cell r="BH221">
            <v>0</v>
          </cell>
          <cell r="BI221">
            <v>0</v>
          </cell>
          <cell r="BJ221">
            <v>0</v>
          </cell>
          <cell r="BK221">
            <v>0</v>
          </cell>
          <cell r="BL221">
            <v>0</v>
          </cell>
          <cell r="BM221">
            <v>0</v>
          </cell>
          <cell r="BN221">
            <v>0</v>
          </cell>
          <cell r="BO221">
            <v>0</v>
          </cell>
          <cell r="BP221">
            <v>0</v>
          </cell>
          <cell r="BQ221">
            <v>0</v>
          </cell>
          <cell r="BR221">
            <v>0</v>
          </cell>
          <cell r="BS221">
            <v>0</v>
          </cell>
          <cell r="BT221">
            <v>0</v>
          </cell>
          <cell r="BU221">
            <v>0</v>
          </cell>
          <cell r="BV221">
            <v>0</v>
          </cell>
          <cell r="BW221">
            <v>0</v>
          </cell>
          <cell r="BX221">
            <v>0</v>
          </cell>
          <cell r="BY221">
            <v>0</v>
          </cell>
          <cell r="BZ221">
            <v>0</v>
          </cell>
          <cell r="CA221">
            <v>0</v>
          </cell>
          <cell r="CB221">
            <v>0</v>
          </cell>
          <cell r="CC221">
            <v>0</v>
          </cell>
          <cell r="CD221">
            <v>0</v>
          </cell>
          <cell r="CE221">
            <v>0</v>
          </cell>
          <cell r="CF221">
            <v>0</v>
          </cell>
          <cell r="CG221">
            <v>0</v>
          </cell>
          <cell r="CH221">
            <v>0</v>
          </cell>
          <cell r="CI221">
            <v>0</v>
          </cell>
          <cell r="CJ221">
            <v>0</v>
          </cell>
          <cell r="CK221">
            <v>0</v>
          </cell>
          <cell r="CL221">
            <v>0</v>
          </cell>
          <cell r="CM221">
            <v>0</v>
          </cell>
          <cell r="CN221">
            <v>0</v>
          </cell>
          <cell r="CO221">
            <v>0</v>
          </cell>
          <cell r="CP221">
            <v>0</v>
          </cell>
          <cell r="CQ221">
            <v>0</v>
          </cell>
          <cell r="CR221">
            <v>0</v>
          </cell>
          <cell r="CS221">
            <v>0</v>
          </cell>
          <cell r="CT221">
            <v>0</v>
          </cell>
          <cell r="CU221">
            <v>0</v>
          </cell>
          <cell r="CV221">
            <v>0</v>
          </cell>
          <cell r="CW221">
            <v>0</v>
          </cell>
          <cell r="CX221">
            <v>0</v>
          </cell>
          <cell r="CY221">
            <v>0</v>
          </cell>
          <cell r="CZ221">
            <v>0</v>
          </cell>
          <cell r="DA221">
            <v>0</v>
          </cell>
          <cell r="DB221">
            <v>0</v>
          </cell>
          <cell r="DC221">
            <v>0</v>
          </cell>
          <cell r="DD221">
            <v>0</v>
          </cell>
          <cell r="DE221">
            <v>0</v>
          </cell>
          <cell r="DF221">
            <v>0</v>
          </cell>
          <cell r="DG221">
            <v>0</v>
          </cell>
          <cell r="DH221">
            <v>0</v>
          </cell>
          <cell r="DI221">
            <v>0</v>
          </cell>
          <cell r="DJ221">
            <v>0</v>
          </cell>
          <cell r="DK221">
            <v>0</v>
          </cell>
          <cell r="DL221">
            <v>0</v>
          </cell>
          <cell r="DM221">
            <v>0</v>
          </cell>
          <cell r="DN221">
            <v>0</v>
          </cell>
          <cell r="DO221">
            <v>0</v>
          </cell>
          <cell r="DP221">
            <v>0</v>
          </cell>
          <cell r="DQ221">
            <v>0</v>
          </cell>
          <cell r="DR221">
            <v>0</v>
          </cell>
          <cell r="DS221">
            <v>0</v>
          </cell>
          <cell r="DT221">
            <v>0</v>
          </cell>
          <cell r="DU221">
            <v>0</v>
          </cell>
          <cell r="DV221">
            <v>0</v>
          </cell>
          <cell r="DW221">
            <v>0</v>
          </cell>
          <cell r="DX221">
            <v>0</v>
          </cell>
          <cell r="DY221">
            <v>0</v>
          </cell>
          <cell r="DZ221">
            <v>0</v>
          </cell>
          <cell r="EA221">
            <v>0</v>
          </cell>
          <cell r="EB221">
            <v>0</v>
          </cell>
          <cell r="EC221">
            <v>0</v>
          </cell>
          <cell r="ED221">
            <v>0</v>
          </cell>
          <cell r="EE221">
            <v>0</v>
          </cell>
          <cell r="EF221">
            <v>0</v>
          </cell>
          <cell r="EG221">
            <v>0</v>
          </cell>
          <cell r="EH221">
            <v>0</v>
          </cell>
          <cell r="EI221">
            <v>0</v>
          </cell>
          <cell r="EJ221">
            <v>0</v>
          </cell>
          <cell r="EK221">
            <v>0</v>
          </cell>
          <cell r="EL221">
            <v>0</v>
          </cell>
          <cell r="EM221">
            <v>0</v>
          </cell>
          <cell r="EN221">
            <v>0</v>
          </cell>
          <cell r="EO221">
            <v>0</v>
          </cell>
          <cell r="EP221">
            <v>0</v>
          </cell>
          <cell r="EQ221">
            <v>0</v>
          </cell>
          <cell r="ER221">
            <v>0</v>
          </cell>
          <cell r="ES221">
            <v>0</v>
          </cell>
          <cell r="ET221">
            <v>0</v>
          </cell>
          <cell r="EU221">
            <v>0</v>
          </cell>
          <cell r="EV221">
            <v>0</v>
          </cell>
          <cell r="EW221">
            <v>0</v>
          </cell>
          <cell r="EX221">
            <v>0</v>
          </cell>
          <cell r="EY221">
            <v>0</v>
          </cell>
          <cell r="EZ221">
            <v>0</v>
          </cell>
          <cell r="FA221">
            <v>0</v>
          </cell>
          <cell r="FB221">
            <v>0</v>
          </cell>
          <cell r="FC221">
            <v>0</v>
          </cell>
          <cell r="FD221">
            <v>0</v>
          </cell>
          <cell r="FE221">
            <v>0</v>
          </cell>
          <cell r="FF221">
            <v>0</v>
          </cell>
          <cell r="FG221">
            <v>0</v>
          </cell>
          <cell r="FH221">
            <v>0</v>
          </cell>
          <cell r="FI221">
            <v>0</v>
          </cell>
          <cell r="FJ221">
            <v>0</v>
          </cell>
          <cell r="FK221">
            <v>0</v>
          </cell>
          <cell r="FL221">
            <v>0</v>
          </cell>
          <cell r="FM221">
            <v>0</v>
          </cell>
          <cell r="FN221">
            <v>0</v>
          </cell>
          <cell r="FO221">
            <v>0</v>
          </cell>
          <cell r="FP221">
            <v>0</v>
          </cell>
          <cell r="FQ221">
            <v>0</v>
          </cell>
          <cell r="FR221">
            <v>0</v>
          </cell>
          <cell r="FS221">
            <v>0</v>
          </cell>
          <cell r="FT221">
            <v>0</v>
          </cell>
          <cell r="FU221">
            <v>0</v>
          </cell>
          <cell r="FV221">
            <v>0</v>
          </cell>
          <cell r="FW221">
            <v>0</v>
          </cell>
          <cell r="FX221">
            <v>0</v>
          </cell>
          <cell r="FY221">
            <v>0</v>
          </cell>
          <cell r="FZ221">
            <v>0</v>
          </cell>
        </row>
        <row r="222">
          <cell r="B222">
            <v>0</v>
          </cell>
          <cell r="C222">
            <v>0</v>
          </cell>
          <cell r="D222">
            <v>0</v>
          </cell>
          <cell r="E222">
            <v>0</v>
          </cell>
          <cell r="F222">
            <v>0</v>
          </cell>
          <cell r="G222">
            <v>0</v>
          </cell>
          <cell r="H222">
            <v>0</v>
          </cell>
          <cell r="I222">
            <v>0</v>
          </cell>
          <cell r="J222">
            <v>0</v>
          </cell>
          <cell r="K222">
            <v>0</v>
          </cell>
          <cell r="L222">
            <v>0</v>
          </cell>
          <cell r="M222">
            <v>0</v>
          </cell>
          <cell r="N222">
            <v>0</v>
          </cell>
          <cell r="O222">
            <v>0</v>
          </cell>
          <cell r="P222">
            <v>0</v>
          </cell>
          <cell r="Q222">
            <v>0</v>
          </cell>
          <cell r="R222">
            <v>0</v>
          </cell>
          <cell r="S222">
            <v>0</v>
          </cell>
          <cell r="T222">
            <v>0</v>
          </cell>
          <cell r="U222">
            <v>0</v>
          </cell>
          <cell r="V222">
            <v>0</v>
          </cell>
          <cell r="W222">
            <v>0</v>
          </cell>
          <cell r="X222">
            <v>0</v>
          </cell>
          <cell r="Y222">
            <v>0</v>
          </cell>
          <cell r="Z222">
            <v>0</v>
          </cell>
          <cell r="AA222">
            <v>0</v>
          </cell>
          <cell r="AB222">
            <v>0</v>
          </cell>
          <cell r="AC222">
            <v>0</v>
          </cell>
          <cell r="AD222">
            <v>0</v>
          </cell>
          <cell r="AE222">
            <v>0</v>
          </cell>
          <cell r="AF222">
            <v>0</v>
          </cell>
          <cell r="AG222">
            <v>0</v>
          </cell>
          <cell r="AH222">
            <v>0</v>
          </cell>
          <cell r="AI222">
            <v>0</v>
          </cell>
          <cell r="AJ222">
            <v>0</v>
          </cell>
          <cell r="AK222">
            <v>0</v>
          </cell>
          <cell r="AL222">
            <v>0</v>
          </cell>
          <cell r="AM222">
            <v>0</v>
          </cell>
          <cell r="AN222">
            <v>0</v>
          </cell>
          <cell r="AO222">
            <v>0</v>
          </cell>
          <cell r="AP222">
            <v>0</v>
          </cell>
          <cell r="AQ222">
            <v>0</v>
          </cell>
          <cell r="AR222">
            <v>0</v>
          </cell>
          <cell r="AS222">
            <v>0</v>
          </cell>
          <cell r="AT222">
            <v>0</v>
          </cell>
          <cell r="AU222">
            <v>0</v>
          </cell>
          <cell r="AV222">
            <v>0</v>
          </cell>
          <cell r="AW222">
            <v>0</v>
          </cell>
          <cell r="AX222">
            <v>0</v>
          </cell>
          <cell r="AY222">
            <v>0</v>
          </cell>
          <cell r="AZ222">
            <v>0</v>
          </cell>
          <cell r="BA222">
            <v>0</v>
          </cell>
          <cell r="BB222">
            <v>0</v>
          </cell>
          <cell r="BC222">
            <v>0</v>
          </cell>
          <cell r="BD222">
            <v>0</v>
          </cell>
          <cell r="BE222">
            <v>0</v>
          </cell>
          <cell r="BF222">
            <v>0</v>
          </cell>
          <cell r="BG222">
            <v>0</v>
          </cell>
          <cell r="BH222">
            <v>0</v>
          </cell>
          <cell r="BI222">
            <v>0</v>
          </cell>
          <cell r="BJ222">
            <v>0</v>
          </cell>
          <cell r="BK222">
            <v>0</v>
          </cell>
          <cell r="BL222">
            <v>0</v>
          </cell>
          <cell r="BM222">
            <v>0</v>
          </cell>
          <cell r="BN222">
            <v>0</v>
          </cell>
          <cell r="BO222">
            <v>0</v>
          </cell>
          <cell r="BP222">
            <v>0</v>
          </cell>
          <cell r="BQ222">
            <v>0</v>
          </cell>
          <cell r="BR222">
            <v>0</v>
          </cell>
          <cell r="BS222">
            <v>0</v>
          </cell>
          <cell r="BT222">
            <v>0</v>
          </cell>
          <cell r="BU222">
            <v>0</v>
          </cell>
          <cell r="BV222">
            <v>0</v>
          </cell>
          <cell r="BW222">
            <v>0</v>
          </cell>
          <cell r="BX222">
            <v>0</v>
          </cell>
          <cell r="BY222">
            <v>0</v>
          </cell>
          <cell r="BZ222">
            <v>0</v>
          </cell>
          <cell r="CA222">
            <v>0</v>
          </cell>
          <cell r="CB222">
            <v>0</v>
          </cell>
          <cell r="CC222">
            <v>0</v>
          </cell>
          <cell r="CD222">
            <v>0</v>
          </cell>
          <cell r="CE222">
            <v>0</v>
          </cell>
          <cell r="CF222">
            <v>0</v>
          </cell>
          <cell r="CG222">
            <v>0</v>
          </cell>
          <cell r="CH222">
            <v>0</v>
          </cell>
          <cell r="CI222">
            <v>0</v>
          </cell>
          <cell r="CJ222">
            <v>0</v>
          </cell>
          <cell r="CK222">
            <v>0</v>
          </cell>
          <cell r="CL222">
            <v>0</v>
          </cell>
          <cell r="CM222">
            <v>0</v>
          </cell>
          <cell r="CN222">
            <v>0</v>
          </cell>
          <cell r="CO222">
            <v>0</v>
          </cell>
          <cell r="CP222">
            <v>0</v>
          </cell>
          <cell r="CQ222">
            <v>0</v>
          </cell>
          <cell r="CR222">
            <v>0</v>
          </cell>
          <cell r="CS222">
            <v>0</v>
          </cell>
          <cell r="CT222">
            <v>0</v>
          </cell>
          <cell r="CU222">
            <v>0</v>
          </cell>
          <cell r="CV222">
            <v>0</v>
          </cell>
          <cell r="CW222">
            <v>0</v>
          </cell>
          <cell r="CX222">
            <v>0</v>
          </cell>
          <cell r="CY222">
            <v>0</v>
          </cell>
          <cell r="CZ222">
            <v>0</v>
          </cell>
          <cell r="DA222">
            <v>0</v>
          </cell>
          <cell r="DB222">
            <v>0</v>
          </cell>
          <cell r="DC222">
            <v>0</v>
          </cell>
          <cell r="DD222">
            <v>0</v>
          </cell>
          <cell r="DE222">
            <v>0</v>
          </cell>
          <cell r="DF222">
            <v>0</v>
          </cell>
          <cell r="DG222">
            <v>0</v>
          </cell>
          <cell r="DH222">
            <v>0</v>
          </cell>
          <cell r="DI222">
            <v>0</v>
          </cell>
          <cell r="DJ222">
            <v>0</v>
          </cell>
          <cell r="DK222">
            <v>0</v>
          </cell>
          <cell r="DL222">
            <v>0</v>
          </cell>
          <cell r="DM222">
            <v>0</v>
          </cell>
          <cell r="DN222">
            <v>0</v>
          </cell>
          <cell r="DO222">
            <v>0</v>
          </cell>
          <cell r="DP222">
            <v>0</v>
          </cell>
          <cell r="DQ222">
            <v>0</v>
          </cell>
          <cell r="DR222">
            <v>0</v>
          </cell>
          <cell r="DS222">
            <v>0</v>
          </cell>
          <cell r="DT222">
            <v>0</v>
          </cell>
          <cell r="DU222">
            <v>0</v>
          </cell>
          <cell r="DV222">
            <v>0</v>
          </cell>
          <cell r="DW222">
            <v>0</v>
          </cell>
          <cell r="DX222">
            <v>0</v>
          </cell>
          <cell r="DY222">
            <v>0</v>
          </cell>
          <cell r="DZ222">
            <v>0</v>
          </cell>
          <cell r="EA222">
            <v>0</v>
          </cell>
          <cell r="EB222">
            <v>0</v>
          </cell>
          <cell r="EC222">
            <v>0</v>
          </cell>
          <cell r="ED222">
            <v>0</v>
          </cell>
          <cell r="EE222">
            <v>0</v>
          </cell>
          <cell r="EF222">
            <v>0</v>
          </cell>
          <cell r="EG222">
            <v>0</v>
          </cell>
          <cell r="EH222">
            <v>0</v>
          </cell>
          <cell r="EI222">
            <v>0</v>
          </cell>
          <cell r="EJ222">
            <v>0</v>
          </cell>
          <cell r="EK222">
            <v>0</v>
          </cell>
          <cell r="EL222">
            <v>0</v>
          </cell>
          <cell r="EM222">
            <v>0</v>
          </cell>
          <cell r="EN222">
            <v>0</v>
          </cell>
          <cell r="EO222">
            <v>0</v>
          </cell>
          <cell r="EP222">
            <v>0</v>
          </cell>
          <cell r="EQ222">
            <v>0</v>
          </cell>
          <cell r="ER222">
            <v>0</v>
          </cell>
          <cell r="ES222">
            <v>0</v>
          </cell>
          <cell r="ET222">
            <v>0</v>
          </cell>
          <cell r="EU222">
            <v>0</v>
          </cell>
          <cell r="EV222">
            <v>0</v>
          </cell>
          <cell r="EW222">
            <v>0</v>
          </cell>
          <cell r="EX222">
            <v>0</v>
          </cell>
          <cell r="EY222">
            <v>0</v>
          </cell>
          <cell r="EZ222">
            <v>0</v>
          </cell>
          <cell r="FA222">
            <v>0</v>
          </cell>
          <cell r="FB222">
            <v>0</v>
          </cell>
          <cell r="FC222">
            <v>0</v>
          </cell>
          <cell r="FD222">
            <v>0</v>
          </cell>
          <cell r="FE222">
            <v>0</v>
          </cell>
          <cell r="FF222">
            <v>0</v>
          </cell>
          <cell r="FG222">
            <v>0</v>
          </cell>
          <cell r="FH222">
            <v>0</v>
          </cell>
          <cell r="FI222">
            <v>0</v>
          </cell>
          <cell r="FJ222">
            <v>0</v>
          </cell>
          <cell r="FK222">
            <v>0</v>
          </cell>
          <cell r="FL222">
            <v>0</v>
          </cell>
          <cell r="FM222">
            <v>0</v>
          </cell>
          <cell r="FN222">
            <v>0</v>
          </cell>
          <cell r="FO222">
            <v>0</v>
          </cell>
          <cell r="FP222">
            <v>0</v>
          </cell>
          <cell r="FQ222">
            <v>0</v>
          </cell>
          <cell r="FR222">
            <v>0</v>
          </cell>
          <cell r="FS222">
            <v>0</v>
          </cell>
          <cell r="FT222">
            <v>0</v>
          </cell>
          <cell r="FU222">
            <v>0</v>
          </cell>
          <cell r="FV222">
            <v>0</v>
          </cell>
          <cell r="FW222">
            <v>0</v>
          </cell>
          <cell r="FX222">
            <v>0</v>
          </cell>
          <cell r="FY222">
            <v>0</v>
          </cell>
          <cell r="FZ222">
            <v>0</v>
          </cell>
        </row>
        <row r="223">
          <cell r="B223">
            <v>0</v>
          </cell>
          <cell r="C223">
            <v>0</v>
          </cell>
          <cell r="D223">
            <v>0</v>
          </cell>
          <cell r="E223">
            <v>0</v>
          </cell>
          <cell r="F223">
            <v>0</v>
          </cell>
          <cell r="G223">
            <v>0</v>
          </cell>
          <cell r="H223">
            <v>0</v>
          </cell>
          <cell r="I223">
            <v>0</v>
          </cell>
          <cell r="J223">
            <v>0</v>
          </cell>
          <cell r="K223">
            <v>0</v>
          </cell>
          <cell r="L223">
            <v>0</v>
          </cell>
          <cell r="M223">
            <v>0</v>
          </cell>
          <cell r="N223">
            <v>0</v>
          </cell>
          <cell r="O223">
            <v>0</v>
          </cell>
          <cell r="P223">
            <v>0</v>
          </cell>
          <cell r="Q223">
            <v>0</v>
          </cell>
          <cell r="R223">
            <v>0</v>
          </cell>
          <cell r="S223">
            <v>0</v>
          </cell>
          <cell r="T223">
            <v>0</v>
          </cell>
          <cell r="U223">
            <v>0</v>
          </cell>
          <cell r="V223">
            <v>0</v>
          </cell>
          <cell r="W223">
            <v>0</v>
          </cell>
          <cell r="X223">
            <v>0</v>
          </cell>
          <cell r="Y223">
            <v>0</v>
          </cell>
          <cell r="Z223">
            <v>0</v>
          </cell>
          <cell r="AA223">
            <v>0</v>
          </cell>
          <cell r="AB223">
            <v>0</v>
          </cell>
          <cell r="AC223">
            <v>0</v>
          </cell>
          <cell r="AD223">
            <v>0</v>
          </cell>
          <cell r="AE223">
            <v>0</v>
          </cell>
          <cell r="AF223">
            <v>0</v>
          </cell>
          <cell r="AG223">
            <v>0</v>
          </cell>
          <cell r="AH223">
            <v>0</v>
          </cell>
          <cell r="AI223">
            <v>0</v>
          </cell>
          <cell r="AJ223">
            <v>0</v>
          </cell>
          <cell r="AK223">
            <v>0</v>
          </cell>
          <cell r="AL223">
            <v>0</v>
          </cell>
          <cell r="AM223">
            <v>0</v>
          </cell>
          <cell r="AN223">
            <v>0</v>
          </cell>
          <cell r="AO223">
            <v>0</v>
          </cell>
          <cell r="AP223">
            <v>0</v>
          </cell>
          <cell r="AQ223">
            <v>0</v>
          </cell>
          <cell r="AR223">
            <v>0</v>
          </cell>
          <cell r="AS223">
            <v>0</v>
          </cell>
          <cell r="AT223">
            <v>0</v>
          </cell>
          <cell r="AU223">
            <v>0</v>
          </cell>
          <cell r="AV223">
            <v>0</v>
          </cell>
          <cell r="AW223">
            <v>0</v>
          </cell>
          <cell r="AX223">
            <v>0</v>
          </cell>
          <cell r="AY223">
            <v>0</v>
          </cell>
          <cell r="AZ223">
            <v>0</v>
          </cell>
          <cell r="BA223">
            <v>0</v>
          </cell>
          <cell r="BB223">
            <v>0</v>
          </cell>
          <cell r="BC223">
            <v>0</v>
          </cell>
          <cell r="BD223">
            <v>0</v>
          </cell>
          <cell r="BE223">
            <v>0</v>
          </cell>
          <cell r="BF223">
            <v>0</v>
          </cell>
          <cell r="BG223">
            <v>0</v>
          </cell>
          <cell r="BH223">
            <v>0</v>
          </cell>
          <cell r="BI223">
            <v>0</v>
          </cell>
          <cell r="BJ223">
            <v>0</v>
          </cell>
          <cell r="BK223">
            <v>0</v>
          </cell>
          <cell r="BL223">
            <v>0</v>
          </cell>
          <cell r="BM223">
            <v>0</v>
          </cell>
          <cell r="BN223">
            <v>0</v>
          </cell>
          <cell r="BO223">
            <v>0</v>
          </cell>
          <cell r="BP223">
            <v>0</v>
          </cell>
          <cell r="BQ223">
            <v>0</v>
          </cell>
          <cell r="BR223">
            <v>0</v>
          </cell>
          <cell r="BS223">
            <v>0</v>
          </cell>
          <cell r="BT223">
            <v>0</v>
          </cell>
          <cell r="BU223">
            <v>0</v>
          </cell>
          <cell r="BV223">
            <v>0</v>
          </cell>
          <cell r="BW223">
            <v>0</v>
          </cell>
          <cell r="BX223">
            <v>0</v>
          </cell>
          <cell r="BY223">
            <v>0</v>
          </cell>
          <cell r="BZ223">
            <v>0</v>
          </cell>
          <cell r="CA223">
            <v>0</v>
          </cell>
          <cell r="CB223">
            <v>0</v>
          </cell>
          <cell r="CC223">
            <v>0</v>
          </cell>
          <cell r="CD223">
            <v>0</v>
          </cell>
          <cell r="CE223">
            <v>0</v>
          </cell>
          <cell r="CF223">
            <v>0</v>
          </cell>
          <cell r="CG223">
            <v>0</v>
          </cell>
          <cell r="CH223">
            <v>0</v>
          </cell>
          <cell r="CI223">
            <v>0</v>
          </cell>
          <cell r="CJ223">
            <v>0</v>
          </cell>
          <cell r="CK223">
            <v>0</v>
          </cell>
          <cell r="CL223">
            <v>0</v>
          </cell>
          <cell r="CM223">
            <v>0</v>
          </cell>
          <cell r="CN223">
            <v>0</v>
          </cell>
          <cell r="CO223">
            <v>0</v>
          </cell>
          <cell r="CP223">
            <v>0</v>
          </cell>
          <cell r="CQ223">
            <v>0</v>
          </cell>
          <cell r="CR223">
            <v>0</v>
          </cell>
          <cell r="CS223">
            <v>0</v>
          </cell>
          <cell r="CT223">
            <v>0</v>
          </cell>
          <cell r="CU223">
            <v>0</v>
          </cell>
          <cell r="CV223">
            <v>0</v>
          </cell>
          <cell r="CW223">
            <v>0</v>
          </cell>
          <cell r="CX223">
            <v>0</v>
          </cell>
          <cell r="CY223">
            <v>0</v>
          </cell>
          <cell r="CZ223">
            <v>0</v>
          </cell>
          <cell r="DA223">
            <v>0</v>
          </cell>
          <cell r="DB223">
            <v>0</v>
          </cell>
          <cell r="DC223">
            <v>0</v>
          </cell>
          <cell r="DD223">
            <v>0</v>
          </cell>
          <cell r="DE223">
            <v>0</v>
          </cell>
          <cell r="DF223">
            <v>0</v>
          </cell>
          <cell r="DG223">
            <v>0</v>
          </cell>
          <cell r="DH223">
            <v>0</v>
          </cell>
          <cell r="DI223">
            <v>0</v>
          </cell>
          <cell r="DJ223">
            <v>0</v>
          </cell>
          <cell r="DK223">
            <v>0</v>
          </cell>
          <cell r="DL223">
            <v>0</v>
          </cell>
          <cell r="DM223">
            <v>0</v>
          </cell>
          <cell r="DN223">
            <v>0</v>
          </cell>
          <cell r="DO223">
            <v>0</v>
          </cell>
          <cell r="DP223">
            <v>0</v>
          </cell>
          <cell r="DQ223">
            <v>0</v>
          </cell>
          <cell r="DR223">
            <v>0</v>
          </cell>
          <cell r="DS223">
            <v>0</v>
          </cell>
          <cell r="DT223">
            <v>0</v>
          </cell>
          <cell r="DU223">
            <v>0</v>
          </cell>
          <cell r="DV223">
            <v>0</v>
          </cell>
          <cell r="DW223">
            <v>0</v>
          </cell>
          <cell r="DX223">
            <v>0</v>
          </cell>
          <cell r="DY223">
            <v>0</v>
          </cell>
          <cell r="DZ223">
            <v>0</v>
          </cell>
          <cell r="EA223">
            <v>0</v>
          </cell>
          <cell r="EB223">
            <v>0</v>
          </cell>
          <cell r="EC223">
            <v>0</v>
          </cell>
          <cell r="ED223">
            <v>0</v>
          </cell>
          <cell r="EE223">
            <v>0</v>
          </cell>
          <cell r="EF223">
            <v>0</v>
          </cell>
          <cell r="EG223">
            <v>0</v>
          </cell>
          <cell r="EH223">
            <v>0</v>
          </cell>
          <cell r="EI223">
            <v>0</v>
          </cell>
          <cell r="EJ223">
            <v>0</v>
          </cell>
          <cell r="EK223">
            <v>0</v>
          </cell>
          <cell r="EL223">
            <v>0</v>
          </cell>
          <cell r="EM223">
            <v>0</v>
          </cell>
          <cell r="EN223">
            <v>0</v>
          </cell>
          <cell r="EO223">
            <v>0</v>
          </cell>
          <cell r="EP223">
            <v>0</v>
          </cell>
          <cell r="EQ223">
            <v>0</v>
          </cell>
          <cell r="ER223">
            <v>0</v>
          </cell>
          <cell r="ES223">
            <v>0</v>
          </cell>
          <cell r="ET223">
            <v>0</v>
          </cell>
          <cell r="EU223">
            <v>0</v>
          </cell>
          <cell r="EV223">
            <v>0</v>
          </cell>
          <cell r="EW223">
            <v>0</v>
          </cell>
          <cell r="EX223">
            <v>0</v>
          </cell>
          <cell r="EY223">
            <v>0</v>
          </cell>
          <cell r="EZ223">
            <v>0</v>
          </cell>
          <cell r="FA223">
            <v>0</v>
          </cell>
          <cell r="FB223">
            <v>0</v>
          </cell>
          <cell r="FC223">
            <v>0</v>
          </cell>
          <cell r="FD223">
            <v>0</v>
          </cell>
          <cell r="FE223">
            <v>0</v>
          </cell>
          <cell r="FF223">
            <v>0</v>
          </cell>
          <cell r="FG223">
            <v>0</v>
          </cell>
          <cell r="FH223">
            <v>0</v>
          </cell>
          <cell r="FI223">
            <v>0</v>
          </cell>
          <cell r="FJ223">
            <v>0</v>
          </cell>
          <cell r="FK223">
            <v>0</v>
          </cell>
          <cell r="FL223">
            <v>0</v>
          </cell>
          <cell r="FM223">
            <v>0</v>
          </cell>
          <cell r="FN223">
            <v>0</v>
          </cell>
          <cell r="FO223">
            <v>0</v>
          </cell>
          <cell r="FP223">
            <v>0</v>
          </cell>
          <cell r="FQ223">
            <v>0</v>
          </cell>
          <cell r="FR223">
            <v>0</v>
          </cell>
          <cell r="FS223">
            <v>0</v>
          </cell>
          <cell r="FT223">
            <v>0</v>
          </cell>
          <cell r="FU223">
            <v>0</v>
          </cell>
          <cell r="FV223">
            <v>0</v>
          </cell>
          <cell r="FW223">
            <v>0</v>
          </cell>
          <cell r="FX223">
            <v>0</v>
          </cell>
          <cell r="FY223">
            <v>0</v>
          </cell>
          <cell r="FZ223">
            <v>0</v>
          </cell>
        </row>
        <row r="224">
          <cell r="B224">
            <v>0</v>
          </cell>
          <cell r="C224">
            <v>0</v>
          </cell>
          <cell r="D224">
            <v>0</v>
          </cell>
          <cell r="E224">
            <v>0</v>
          </cell>
          <cell r="F224">
            <v>0</v>
          </cell>
          <cell r="G224">
            <v>0</v>
          </cell>
          <cell r="H224">
            <v>0</v>
          </cell>
          <cell r="I224">
            <v>0</v>
          </cell>
          <cell r="J224">
            <v>0</v>
          </cell>
          <cell r="K224">
            <v>0</v>
          </cell>
          <cell r="L224">
            <v>0</v>
          </cell>
          <cell r="M224">
            <v>0</v>
          </cell>
          <cell r="N224">
            <v>0</v>
          </cell>
          <cell r="O224">
            <v>0</v>
          </cell>
          <cell r="P224">
            <v>0</v>
          </cell>
          <cell r="Q224">
            <v>0</v>
          </cell>
          <cell r="R224">
            <v>0</v>
          </cell>
          <cell r="S224">
            <v>0</v>
          </cell>
          <cell r="T224">
            <v>0</v>
          </cell>
          <cell r="U224">
            <v>0</v>
          </cell>
          <cell r="V224">
            <v>0</v>
          </cell>
          <cell r="W224">
            <v>0</v>
          </cell>
          <cell r="X224">
            <v>0</v>
          </cell>
          <cell r="Y224">
            <v>0</v>
          </cell>
          <cell r="Z224">
            <v>0</v>
          </cell>
          <cell r="AA224">
            <v>0</v>
          </cell>
          <cell r="AB224">
            <v>0</v>
          </cell>
          <cell r="AC224">
            <v>0</v>
          </cell>
          <cell r="AD224">
            <v>0</v>
          </cell>
          <cell r="AE224">
            <v>0</v>
          </cell>
          <cell r="AF224">
            <v>0</v>
          </cell>
          <cell r="AG224">
            <v>0</v>
          </cell>
          <cell r="AH224">
            <v>0</v>
          </cell>
          <cell r="AI224">
            <v>0</v>
          </cell>
          <cell r="AJ224">
            <v>0</v>
          </cell>
          <cell r="AK224">
            <v>0</v>
          </cell>
          <cell r="AL224">
            <v>0</v>
          </cell>
          <cell r="AM224">
            <v>0</v>
          </cell>
          <cell r="AN224">
            <v>0</v>
          </cell>
          <cell r="AO224">
            <v>0</v>
          </cell>
          <cell r="AP224">
            <v>0</v>
          </cell>
          <cell r="AQ224">
            <v>0</v>
          </cell>
          <cell r="AR224">
            <v>0</v>
          </cell>
          <cell r="AS224">
            <v>0</v>
          </cell>
          <cell r="AT224">
            <v>0</v>
          </cell>
          <cell r="AU224">
            <v>0</v>
          </cell>
          <cell r="AV224">
            <v>0</v>
          </cell>
          <cell r="AW224">
            <v>0</v>
          </cell>
          <cell r="AX224">
            <v>0</v>
          </cell>
          <cell r="AY224">
            <v>0</v>
          </cell>
          <cell r="AZ224">
            <v>0</v>
          </cell>
          <cell r="BA224">
            <v>0</v>
          </cell>
          <cell r="BB224">
            <v>0</v>
          </cell>
          <cell r="BC224">
            <v>0</v>
          </cell>
          <cell r="BD224">
            <v>0</v>
          </cell>
          <cell r="BE224">
            <v>0</v>
          </cell>
          <cell r="BF224">
            <v>0</v>
          </cell>
          <cell r="BG224">
            <v>0</v>
          </cell>
          <cell r="BH224">
            <v>0</v>
          </cell>
          <cell r="BI224">
            <v>0</v>
          </cell>
          <cell r="BJ224">
            <v>0</v>
          </cell>
          <cell r="BK224">
            <v>0</v>
          </cell>
          <cell r="BL224">
            <v>0</v>
          </cell>
          <cell r="BM224">
            <v>0</v>
          </cell>
          <cell r="BN224">
            <v>0</v>
          </cell>
          <cell r="BO224">
            <v>0</v>
          </cell>
          <cell r="BP224">
            <v>0</v>
          </cell>
          <cell r="BQ224">
            <v>0</v>
          </cell>
          <cell r="BR224">
            <v>0</v>
          </cell>
          <cell r="BS224">
            <v>0</v>
          </cell>
          <cell r="BT224">
            <v>0</v>
          </cell>
          <cell r="BU224">
            <v>0</v>
          </cell>
          <cell r="BV224">
            <v>0</v>
          </cell>
          <cell r="BW224">
            <v>0</v>
          </cell>
          <cell r="BX224">
            <v>0</v>
          </cell>
          <cell r="BY224">
            <v>0</v>
          </cell>
          <cell r="BZ224">
            <v>0</v>
          </cell>
          <cell r="CA224">
            <v>0</v>
          </cell>
          <cell r="CB224">
            <v>0</v>
          </cell>
          <cell r="CC224">
            <v>0</v>
          </cell>
          <cell r="CD224">
            <v>0</v>
          </cell>
          <cell r="CE224">
            <v>0</v>
          </cell>
          <cell r="CF224">
            <v>0</v>
          </cell>
          <cell r="CG224">
            <v>0</v>
          </cell>
          <cell r="CH224">
            <v>0</v>
          </cell>
          <cell r="CI224">
            <v>0</v>
          </cell>
          <cell r="CJ224">
            <v>0</v>
          </cell>
          <cell r="CK224">
            <v>0</v>
          </cell>
          <cell r="CL224">
            <v>0</v>
          </cell>
          <cell r="CM224">
            <v>0</v>
          </cell>
          <cell r="CN224">
            <v>0</v>
          </cell>
          <cell r="CO224">
            <v>0</v>
          </cell>
          <cell r="CP224">
            <v>0</v>
          </cell>
          <cell r="CQ224">
            <v>0</v>
          </cell>
          <cell r="CR224">
            <v>0</v>
          </cell>
          <cell r="CS224">
            <v>0</v>
          </cell>
          <cell r="CT224">
            <v>0</v>
          </cell>
          <cell r="CU224">
            <v>0</v>
          </cell>
          <cell r="CV224">
            <v>0</v>
          </cell>
          <cell r="CW224">
            <v>0</v>
          </cell>
          <cell r="CX224">
            <v>0</v>
          </cell>
          <cell r="CY224">
            <v>0</v>
          </cell>
          <cell r="CZ224">
            <v>0</v>
          </cell>
          <cell r="DA224">
            <v>0</v>
          </cell>
          <cell r="DB224">
            <v>0</v>
          </cell>
          <cell r="DC224">
            <v>0</v>
          </cell>
          <cell r="DD224">
            <v>0</v>
          </cell>
          <cell r="DE224">
            <v>0</v>
          </cell>
          <cell r="DF224">
            <v>0</v>
          </cell>
          <cell r="DG224">
            <v>0</v>
          </cell>
          <cell r="DH224">
            <v>0</v>
          </cell>
          <cell r="DI224">
            <v>0</v>
          </cell>
          <cell r="DJ224">
            <v>0</v>
          </cell>
          <cell r="DK224">
            <v>0</v>
          </cell>
          <cell r="DL224">
            <v>0</v>
          </cell>
          <cell r="DM224">
            <v>0</v>
          </cell>
          <cell r="DN224">
            <v>0</v>
          </cell>
          <cell r="DO224">
            <v>0</v>
          </cell>
          <cell r="DP224">
            <v>0</v>
          </cell>
          <cell r="DQ224">
            <v>0</v>
          </cell>
          <cell r="DR224">
            <v>0</v>
          </cell>
          <cell r="DS224">
            <v>0</v>
          </cell>
          <cell r="DT224">
            <v>0</v>
          </cell>
          <cell r="DU224">
            <v>0</v>
          </cell>
          <cell r="DV224">
            <v>0</v>
          </cell>
          <cell r="DW224">
            <v>0</v>
          </cell>
          <cell r="DX224">
            <v>0</v>
          </cell>
          <cell r="DY224">
            <v>0</v>
          </cell>
          <cell r="DZ224">
            <v>0</v>
          </cell>
          <cell r="EA224">
            <v>0</v>
          </cell>
          <cell r="EB224">
            <v>0</v>
          </cell>
          <cell r="EC224">
            <v>0</v>
          </cell>
          <cell r="ED224">
            <v>0</v>
          </cell>
          <cell r="EE224">
            <v>0</v>
          </cell>
          <cell r="EF224">
            <v>0</v>
          </cell>
          <cell r="EG224">
            <v>0</v>
          </cell>
          <cell r="EH224">
            <v>0</v>
          </cell>
          <cell r="EI224">
            <v>0</v>
          </cell>
          <cell r="EJ224">
            <v>0</v>
          </cell>
          <cell r="EK224">
            <v>0</v>
          </cell>
          <cell r="EL224">
            <v>0</v>
          </cell>
          <cell r="EM224">
            <v>0</v>
          </cell>
          <cell r="EN224">
            <v>0</v>
          </cell>
          <cell r="EO224">
            <v>0</v>
          </cell>
          <cell r="EP224">
            <v>0</v>
          </cell>
          <cell r="EQ224">
            <v>0</v>
          </cell>
          <cell r="ER224">
            <v>0</v>
          </cell>
          <cell r="ES224">
            <v>0</v>
          </cell>
          <cell r="ET224">
            <v>0</v>
          </cell>
          <cell r="EU224">
            <v>0</v>
          </cell>
          <cell r="EV224">
            <v>0</v>
          </cell>
          <cell r="EW224">
            <v>0</v>
          </cell>
          <cell r="EX224">
            <v>0</v>
          </cell>
          <cell r="EY224">
            <v>0</v>
          </cell>
          <cell r="EZ224">
            <v>0</v>
          </cell>
          <cell r="FA224">
            <v>0</v>
          </cell>
          <cell r="FB224">
            <v>0</v>
          </cell>
          <cell r="FC224">
            <v>0</v>
          </cell>
          <cell r="FD224">
            <v>0</v>
          </cell>
          <cell r="FE224">
            <v>0</v>
          </cell>
          <cell r="FF224">
            <v>0</v>
          </cell>
          <cell r="FG224">
            <v>0</v>
          </cell>
          <cell r="FH224">
            <v>0</v>
          </cell>
          <cell r="FI224">
            <v>0</v>
          </cell>
          <cell r="FJ224">
            <v>0</v>
          </cell>
          <cell r="FK224">
            <v>0</v>
          </cell>
          <cell r="FL224">
            <v>0</v>
          </cell>
          <cell r="FM224">
            <v>0</v>
          </cell>
          <cell r="FN224">
            <v>0</v>
          </cell>
          <cell r="FO224">
            <v>0</v>
          </cell>
          <cell r="FP224">
            <v>0</v>
          </cell>
          <cell r="FQ224">
            <v>0</v>
          </cell>
          <cell r="FR224">
            <v>0</v>
          </cell>
          <cell r="FS224">
            <v>0</v>
          </cell>
          <cell r="FT224">
            <v>0</v>
          </cell>
          <cell r="FU224">
            <v>0</v>
          </cell>
          <cell r="FV224">
            <v>0</v>
          </cell>
          <cell r="FW224">
            <v>0</v>
          </cell>
          <cell r="FX224">
            <v>0</v>
          </cell>
          <cell r="FY224">
            <v>0</v>
          </cell>
          <cell r="FZ224">
            <v>0</v>
          </cell>
        </row>
        <row r="225">
          <cell r="B225">
            <v>0</v>
          </cell>
          <cell r="C225">
            <v>0</v>
          </cell>
          <cell r="D225">
            <v>0</v>
          </cell>
          <cell r="E225">
            <v>0</v>
          </cell>
          <cell r="F225">
            <v>0</v>
          </cell>
          <cell r="G225">
            <v>0</v>
          </cell>
          <cell r="H225">
            <v>0</v>
          </cell>
          <cell r="I225">
            <v>0</v>
          </cell>
          <cell r="J225">
            <v>0</v>
          </cell>
          <cell r="K225">
            <v>0</v>
          </cell>
          <cell r="L225">
            <v>0</v>
          </cell>
          <cell r="M225">
            <v>0</v>
          </cell>
          <cell r="N225">
            <v>0</v>
          </cell>
          <cell r="O225">
            <v>0</v>
          </cell>
          <cell r="P225">
            <v>0</v>
          </cell>
          <cell r="Q225">
            <v>0</v>
          </cell>
          <cell r="R225">
            <v>0</v>
          </cell>
          <cell r="S225">
            <v>0</v>
          </cell>
          <cell r="T225">
            <v>0</v>
          </cell>
          <cell r="U225">
            <v>0</v>
          </cell>
          <cell r="V225">
            <v>0</v>
          </cell>
          <cell r="W225">
            <v>0</v>
          </cell>
          <cell r="X225">
            <v>0</v>
          </cell>
          <cell r="Y225">
            <v>0</v>
          </cell>
          <cell r="Z225">
            <v>0</v>
          </cell>
          <cell r="AA225">
            <v>0</v>
          </cell>
          <cell r="AB225">
            <v>0</v>
          </cell>
          <cell r="AC225">
            <v>0</v>
          </cell>
          <cell r="AD225">
            <v>0</v>
          </cell>
          <cell r="AE225">
            <v>0</v>
          </cell>
          <cell r="AF225">
            <v>0</v>
          </cell>
          <cell r="AG225">
            <v>0</v>
          </cell>
          <cell r="AH225">
            <v>0</v>
          </cell>
          <cell r="AI225">
            <v>0</v>
          </cell>
          <cell r="AJ225">
            <v>0</v>
          </cell>
          <cell r="AK225">
            <v>0</v>
          </cell>
          <cell r="AL225">
            <v>0</v>
          </cell>
          <cell r="AM225">
            <v>0</v>
          </cell>
          <cell r="AN225">
            <v>0</v>
          </cell>
          <cell r="AO225">
            <v>0</v>
          </cell>
          <cell r="AP225">
            <v>0</v>
          </cell>
          <cell r="AQ225">
            <v>0</v>
          </cell>
          <cell r="AR225">
            <v>0</v>
          </cell>
          <cell r="AS225">
            <v>0</v>
          </cell>
          <cell r="AT225">
            <v>0</v>
          </cell>
          <cell r="AU225">
            <v>0</v>
          </cell>
          <cell r="AV225">
            <v>0</v>
          </cell>
          <cell r="AW225">
            <v>0</v>
          </cell>
          <cell r="AX225">
            <v>0</v>
          </cell>
          <cell r="AY225">
            <v>0</v>
          </cell>
          <cell r="AZ225">
            <v>0</v>
          </cell>
          <cell r="BA225">
            <v>0</v>
          </cell>
          <cell r="BB225">
            <v>0</v>
          </cell>
          <cell r="BC225">
            <v>0</v>
          </cell>
          <cell r="BD225">
            <v>0</v>
          </cell>
          <cell r="BE225">
            <v>0</v>
          </cell>
          <cell r="BF225">
            <v>0</v>
          </cell>
          <cell r="BG225">
            <v>0</v>
          </cell>
          <cell r="BH225">
            <v>0</v>
          </cell>
          <cell r="BI225">
            <v>0</v>
          </cell>
          <cell r="BJ225">
            <v>0</v>
          </cell>
          <cell r="BK225">
            <v>0</v>
          </cell>
          <cell r="BL225">
            <v>0</v>
          </cell>
          <cell r="BM225">
            <v>0</v>
          </cell>
          <cell r="BN225">
            <v>0</v>
          </cell>
          <cell r="BO225">
            <v>0</v>
          </cell>
          <cell r="BP225">
            <v>0</v>
          </cell>
          <cell r="BQ225">
            <v>0</v>
          </cell>
          <cell r="BR225">
            <v>0</v>
          </cell>
          <cell r="BS225">
            <v>0</v>
          </cell>
          <cell r="BT225">
            <v>0</v>
          </cell>
          <cell r="BU225">
            <v>0</v>
          </cell>
          <cell r="BV225">
            <v>0</v>
          </cell>
          <cell r="BW225">
            <v>0</v>
          </cell>
          <cell r="BX225">
            <v>0</v>
          </cell>
          <cell r="BY225">
            <v>0</v>
          </cell>
          <cell r="BZ225">
            <v>0</v>
          </cell>
          <cell r="CA225">
            <v>0</v>
          </cell>
          <cell r="CB225">
            <v>0</v>
          </cell>
          <cell r="CC225">
            <v>0</v>
          </cell>
          <cell r="CD225">
            <v>0</v>
          </cell>
          <cell r="CE225">
            <v>0</v>
          </cell>
          <cell r="CF225">
            <v>0</v>
          </cell>
          <cell r="CG225">
            <v>0</v>
          </cell>
          <cell r="CH225">
            <v>0</v>
          </cell>
          <cell r="CI225">
            <v>0</v>
          </cell>
          <cell r="CJ225">
            <v>0</v>
          </cell>
          <cell r="CK225">
            <v>0</v>
          </cell>
          <cell r="CL225">
            <v>0</v>
          </cell>
          <cell r="CM225">
            <v>0</v>
          </cell>
          <cell r="CN225">
            <v>0</v>
          </cell>
          <cell r="CO225">
            <v>0</v>
          </cell>
          <cell r="CP225">
            <v>0</v>
          </cell>
          <cell r="CQ225">
            <v>0</v>
          </cell>
          <cell r="CR225">
            <v>0</v>
          </cell>
          <cell r="CS225">
            <v>0</v>
          </cell>
          <cell r="CT225">
            <v>0</v>
          </cell>
          <cell r="CU225">
            <v>0</v>
          </cell>
          <cell r="CV225">
            <v>0</v>
          </cell>
          <cell r="CW225">
            <v>0</v>
          </cell>
          <cell r="CX225">
            <v>0</v>
          </cell>
          <cell r="CY225">
            <v>0</v>
          </cell>
          <cell r="CZ225">
            <v>0</v>
          </cell>
          <cell r="DA225">
            <v>0</v>
          </cell>
          <cell r="DB225">
            <v>0</v>
          </cell>
          <cell r="DC225">
            <v>0</v>
          </cell>
          <cell r="DD225">
            <v>0</v>
          </cell>
          <cell r="DE225">
            <v>0</v>
          </cell>
          <cell r="DF225">
            <v>0</v>
          </cell>
          <cell r="DG225">
            <v>0</v>
          </cell>
          <cell r="DH225">
            <v>0</v>
          </cell>
          <cell r="DI225">
            <v>0</v>
          </cell>
          <cell r="DJ225">
            <v>0</v>
          </cell>
          <cell r="DK225">
            <v>0</v>
          </cell>
          <cell r="DL225">
            <v>0</v>
          </cell>
          <cell r="DM225">
            <v>0</v>
          </cell>
          <cell r="DN225">
            <v>0</v>
          </cell>
          <cell r="DO225">
            <v>0</v>
          </cell>
          <cell r="DP225">
            <v>0</v>
          </cell>
          <cell r="DQ225">
            <v>0</v>
          </cell>
          <cell r="DR225">
            <v>0</v>
          </cell>
          <cell r="DS225">
            <v>0</v>
          </cell>
          <cell r="DT225">
            <v>0</v>
          </cell>
          <cell r="DU225">
            <v>0</v>
          </cell>
          <cell r="DV225">
            <v>0</v>
          </cell>
          <cell r="DW225">
            <v>0</v>
          </cell>
          <cell r="DX225">
            <v>0</v>
          </cell>
          <cell r="DY225">
            <v>0</v>
          </cell>
          <cell r="DZ225">
            <v>0</v>
          </cell>
          <cell r="EA225">
            <v>0</v>
          </cell>
          <cell r="EB225">
            <v>0</v>
          </cell>
          <cell r="EC225">
            <v>0</v>
          </cell>
          <cell r="ED225">
            <v>0</v>
          </cell>
          <cell r="EE225">
            <v>0</v>
          </cell>
          <cell r="EF225">
            <v>0</v>
          </cell>
          <cell r="EG225">
            <v>0</v>
          </cell>
          <cell r="EH225">
            <v>0</v>
          </cell>
          <cell r="EI225">
            <v>0</v>
          </cell>
          <cell r="EJ225">
            <v>0</v>
          </cell>
          <cell r="EK225">
            <v>0</v>
          </cell>
          <cell r="EL225">
            <v>0</v>
          </cell>
          <cell r="EM225">
            <v>0</v>
          </cell>
          <cell r="EN225">
            <v>0</v>
          </cell>
          <cell r="EO225">
            <v>0</v>
          </cell>
          <cell r="EP225">
            <v>0</v>
          </cell>
          <cell r="EQ225">
            <v>0</v>
          </cell>
          <cell r="ER225">
            <v>0</v>
          </cell>
          <cell r="ES225">
            <v>0</v>
          </cell>
          <cell r="ET225">
            <v>0</v>
          </cell>
          <cell r="EU225">
            <v>0</v>
          </cell>
          <cell r="EV225">
            <v>0</v>
          </cell>
          <cell r="EW225">
            <v>0</v>
          </cell>
          <cell r="EX225">
            <v>0</v>
          </cell>
          <cell r="EY225">
            <v>0</v>
          </cell>
          <cell r="EZ225">
            <v>0</v>
          </cell>
          <cell r="FA225">
            <v>0</v>
          </cell>
          <cell r="FB225">
            <v>0</v>
          </cell>
          <cell r="FC225">
            <v>0</v>
          </cell>
          <cell r="FD225">
            <v>0</v>
          </cell>
          <cell r="FE225">
            <v>0</v>
          </cell>
          <cell r="FF225">
            <v>0</v>
          </cell>
          <cell r="FG225">
            <v>0</v>
          </cell>
          <cell r="FH225">
            <v>0</v>
          </cell>
          <cell r="FI225">
            <v>0</v>
          </cell>
          <cell r="FJ225">
            <v>0</v>
          </cell>
          <cell r="FK225">
            <v>0</v>
          </cell>
          <cell r="FL225">
            <v>0</v>
          </cell>
          <cell r="FM225">
            <v>0</v>
          </cell>
          <cell r="FN225">
            <v>0</v>
          </cell>
          <cell r="FO225">
            <v>0</v>
          </cell>
          <cell r="FP225">
            <v>0</v>
          </cell>
          <cell r="FQ225">
            <v>0</v>
          </cell>
          <cell r="FR225">
            <v>0</v>
          </cell>
          <cell r="FS225">
            <v>0</v>
          </cell>
          <cell r="FT225">
            <v>0</v>
          </cell>
          <cell r="FU225">
            <v>0</v>
          </cell>
          <cell r="FV225">
            <v>0</v>
          </cell>
          <cell r="FW225">
            <v>0</v>
          </cell>
          <cell r="FX225">
            <v>0</v>
          </cell>
          <cell r="FY225">
            <v>0</v>
          </cell>
          <cell r="FZ225">
            <v>0</v>
          </cell>
        </row>
        <row r="226">
          <cell r="B226">
            <v>0</v>
          </cell>
          <cell r="C226">
            <v>0</v>
          </cell>
          <cell r="D226">
            <v>0</v>
          </cell>
          <cell r="E226">
            <v>0</v>
          </cell>
          <cell r="F226">
            <v>0</v>
          </cell>
          <cell r="G226">
            <v>0</v>
          </cell>
          <cell r="H226">
            <v>0</v>
          </cell>
          <cell r="I226">
            <v>0</v>
          </cell>
          <cell r="J226">
            <v>0</v>
          </cell>
          <cell r="K226">
            <v>0</v>
          </cell>
          <cell r="L226">
            <v>0</v>
          </cell>
          <cell r="M226">
            <v>0</v>
          </cell>
          <cell r="N226">
            <v>0</v>
          </cell>
          <cell r="O226">
            <v>0</v>
          </cell>
          <cell r="P226">
            <v>0</v>
          </cell>
          <cell r="Q226">
            <v>0</v>
          </cell>
          <cell r="R226">
            <v>0</v>
          </cell>
          <cell r="S226">
            <v>0</v>
          </cell>
          <cell r="T226">
            <v>0</v>
          </cell>
          <cell r="U226">
            <v>0</v>
          </cell>
          <cell r="V226">
            <v>0</v>
          </cell>
          <cell r="W226">
            <v>0</v>
          </cell>
          <cell r="X226">
            <v>0</v>
          </cell>
          <cell r="Y226">
            <v>0</v>
          </cell>
          <cell r="Z226">
            <v>0</v>
          </cell>
          <cell r="AA226">
            <v>0</v>
          </cell>
          <cell r="AB226">
            <v>0</v>
          </cell>
          <cell r="AC226">
            <v>0</v>
          </cell>
          <cell r="AD226">
            <v>0</v>
          </cell>
          <cell r="AE226">
            <v>0</v>
          </cell>
          <cell r="AF226">
            <v>0</v>
          </cell>
          <cell r="AG226">
            <v>0</v>
          </cell>
          <cell r="AH226">
            <v>0</v>
          </cell>
          <cell r="AI226">
            <v>0</v>
          </cell>
          <cell r="AJ226">
            <v>0</v>
          </cell>
          <cell r="AK226">
            <v>0</v>
          </cell>
          <cell r="AL226">
            <v>0</v>
          </cell>
          <cell r="AM226">
            <v>0</v>
          </cell>
          <cell r="AN226">
            <v>0</v>
          </cell>
          <cell r="AO226">
            <v>0</v>
          </cell>
          <cell r="AP226">
            <v>0</v>
          </cell>
          <cell r="AQ226">
            <v>0</v>
          </cell>
          <cell r="AR226">
            <v>0</v>
          </cell>
          <cell r="AS226">
            <v>0</v>
          </cell>
          <cell r="AT226">
            <v>0</v>
          </cell>
          <cell r="AU226">
            <v>0</v>
          </cell>
          <cell r="AV226">
            <v>0</v>
          </cell>
          <cell r="AW226">
            <v>0</v>
          </cell>
          <cell r="AX226">
            <v>0</v>
          </cell>
          <cell r="AY226">
            <v>0</v>
          </cell>
          <cell r="AZ226">
            <v>0</v>
          </cell>
          <cell r="BA226">
            <v>0</v>
          </cell>
          <cell r="BB226">
            <v>0</v>
          </cell>
          <cell r="BC226">
            <v>0</v>
          </cell>
          <cell r="BD226">
            <v>0</v>
          </cell>
          <cell r="BE226">
            <v>0</v>
          </cell>
          <cell r="BF226">
            <v>0</v>
          </cell>
          <cell r="BG226">
            <v>0</v>
          </cell>
          <cell r="BH226">
            <v>0</v>
          </cell>
          <cell r="BI226">
            <v>0</v>
          </cell>
          <cell r="BJ226">
            <v>0</v>
          </cell>
          <cell r="BK226">
            <v>0</v>
          </cell>
          <cell r="BL226">
            <v>0</v>
          </cell>
          <cell r="BM226">
            <v>0</v>
          </cell>
          <cell r="BN226">
            <v>0</v>
          </cell>
          <cell r="BO226">
            <v>0</v>
          </cell>
          <cell r="BP226">
            <v>0</v>
          </cell>
          <cell r="BQ226">
            <v>0</v>
          </cell>
          <cell r="BR226">
            <v>0</v>
          </cell>
          <cell r="BS226">
            <v>0</v>
          </cell>
          <cell r="BT226">
            <v>0</v>
          </cell>
          <cell r="BU226">
            <v>0</v>
          </cell>
          <cell r="BV226">
            <v>0</v>
          </cell>
          <cell r="BW226">
            <v>0</v>
          </cell>
          <cell r="BX226">
            <v>0</v>
          </cell>
          <cell r="BY226">
            <v>0</v>
          </cell>
          <cell r="BZ226">
            <v>0</v>
          </cell>
          <cell r="CA226">
            <v>0</v>
          </cell>
          <cell r="CB226">
            <v>0</v>
          </cell>
          <cell r="CC226">
            <v>0</v>
          </cell>
          <cell r="CD226">
            <v>0</v>
          </cell>
          <cell r="CE226">
            <v>0</v>
          </cell>
          <cell r="CF226">
            <v>0</v>
          </cell>
          <cell r="CG226">
            <v>0</v>
          </cell>
          <cell r="CH226">
            <v>0</v>
          </cell>
          <cell r="CI226">
            <v>0</v>
          </cell>
          <cell r="CJ226">
            <v>0</v>
          </cell>
          <cell r="CK226">
            <v>0</v>
          </cell>
          <cell r="CL226">
            <v>0</v>
          </cell>
          <cell r="CM226">
            <v>0</v>
          </cell>
          <cell r="CN226">
            <v>0</v>
          </cell>
          <cell r="CO226">
            <v>0</v>
          </cell>
          <cell r="CP226">
            <v>0</v>
          </cell>
          <cell r="CQ226">
            <v>0</v>
          </cell>
          <cell r="CR226">
            <v>0</v>
          </cell>
          <cell r="CS226">
            <v>0</v>
          </cell>
          <cell r="CT226">
            <v>0</v>
          </cell>
          <cell r="CU226">
            <v>0</v>
          </cell>
          <cell r="CV226">
            <v>0</v>
          </cell>
          <cell r="CW226">
            <v>0</v>
          </cell>
          <cell r="CX226">
            <v>0</v>
          </cell>
          <cell r="CY226">
            <v>0</v>
          </cell>
          <cell r="CZ226">
            <v>0</v>
          </cell>
          <cell r="DA226">
            <v>0</v>
          </cell>
          <cell r="DB226">
            <v>0</v>
          </cell>
          <cell r="DC226">
            <v>0</v>
          </cell>
          <cell r="DD226">
            <v>0</v>
          </cell>
          <cell r="DE226">
            <v>0</v>
          </cell>
          <cell r="DF226">
            <v>0</v>
          </cell>
          <cell r="DG226">
            <v>0</v>
          </cell>
          <cell r="DH226">
            <v>0</v>
          </cell>
          <cell r="DI226">
            <v>0</v>
          </cell>
          <cell r="DJ226">
            <v>0</v>
          </cell>
          <cell r="DK226">
            <v>0</v>
          </cell>
          <cell r="DL226">
            <v>0</v>
          </cell>
          <cell r="DM226">
            <v>0</v>
          </cell>
          <cell r="DN226">
            <v>0</v>
          </cell>
          <cell r="DO226">
            <v>0</v>
          </cell>
          <cell r="DP226">
            <v>0</v>
          </cell>
          <cell r="DQ226">
            <v>0</v>
          </cell>
          <cell r="DR226">
            <v>0</v>
          </cell>
          <cell r="DS226">
            <v>0</v>
          </cell>
          <cell r="DT226">
            <v>0</v>
          </cell>
          <cell r="DU226">
            <v>0</v>
          </cell>
          <cell r="DV226">
            <v>0</v>
          </cell>
          <cell r="DW226">
            <v>0</v>
          </cell>
          <cell r="DX226">
            <v>0</v>
          </cell>
          <cell r="DY226">
            <v>0</v>
          </cell>
          <cell r="DZ226">
            <v>0</v>
          </cell>
          <cell r="EA226">
            <v>0</v>
          </cell>
          <cell r="EB226">
            <v>0</v>
          </cell>
          <cell r="EC226">
            <v>0</v>
          </cell>
          <cell r="ED226">
            <v>0</v>
          </cell>
          <cell r="EE226">
            <v>0</v>
          </cell>
          <cell r="EF226">
            <v>0</v>
          </cell>
          <cell r="EG226">
            <v>0</v>
          </cell>
          <cell r="EH226">
            <v>0</v>
          </cell>
          <cell r="EI226">
            <v>0</v>
          </cell>
          <cell r="EJ226">
            <v>0</v>
          </cell>
          <cell r="EK226">
            <v>0</v>
          </cell>
          <cell r="EL226">
            <v>0</v>
          </cell>
          <cell r="EM226">
            <v>0</v>
          </cell>
          <cell r="EN226">
            <v>0</v>
          </cell>
          <cell r="EO226">
            <v>0</v>
          </cell>
          <cell r="EP226">
            <v>0</v>
          </cell>
          <cell r="EQ226">
            <v>0</v>
          </cell>
          <cell r="ER226">
            <v>0</v>
          </cell>
          <cell r="ES226">
            <v>0</v>
          </cell>
          <cell r="ET226">
            <v>0</v>
          </cell>
          <cell r="EU226">
            <v>0</v>
          </cell>
          <cell r="EV226">
            <v>0</v>
          </cell>
          <cell r="EW226">
            <v>0</v>
          </cell>
          <cell r="EX226">
            <v>0</v>
          </cell>
          <cell r="EY226">
            <v>0</v>
          </cell>
          <cell r="EZ226">
            <v>0</v>
          </cell>
          <cell r="FA226">
            <v>0</v>
          </cell>
          <cell r="FB226">
            <v>0</v>
          </cell>
          <cell r="FC226">
            <v>0</v>
          </cell>
          <cell r="FD226">
            <v>0</v>
          </cell>
          <cell r="FE226">
            <v>0</v>
          </cell>
          <cell r="FF226">
            <v>0</v>
          </cell>
          <cell r="FG226">
            <v>0</v>
          </cell>
          <cell r="FH226">
            <v>0</v>
          </cell>
          <cell r="FI226">
            <v>0</v>
          </cell>
          <cell r="FJ226">
            <v>0</v>
          </cell>
          <cell r="FK226">
            <v>0</v>
          </cell>
          <cell r="FL226">
            <v>0</v>
          </cell>
          <cell r="FM226">
            <v>0</v>
          </cell>
          <cell r="FN226">
            <v>0</v>
          </cell>
          <cell r="FO226">
            <v>0</v>
          </cell>
          <cell r="FP226">
            <v>0</v>
          </cell>
          <cell r="FQ226">
            <v>0</v>
          </cell>
          <cell r="FR226">
            <v>0</v>
          </cell>
          <cell r="FS226">
            <v>0</v>
          </cell>
          <cell r="FT226">
            <v>0</v>
          </cell>
          <cell r="FU226">
            <v>0</v>
          </cell>
          <cell r="FV226">
            <v>0</v>
          </cell>
          <cell r="FW226">
            <v>0</v>
          </cell>
          <cell r="FX226">
            <v>0</v>
          </cell>
          <cell r="FY226">
            <v>0</v>
          </cell>
          <cell r="FZ226">
            <v>0</v>
          </cell>
        </row>
        <row r="227">
          <cell r="B227">
            <v>0</v>
          </cell>
          <cell r="C227">
            <v>0</v>
          </cell>
          <cell r="D227">
            <v>0</v>
          </cell>
          <cell r="E227">
            <v>0</v>
          </cell>
          <cell r="F227">
            <v>0</v>
          </cell>
          <cell r="G227">
            <v>0</v>
          </cell>
          <cell r="H227">
            <v>0</v>
          </cell>
          <cell r="I227">
            <v>0</v>
          </cell>
          <cell r="J227">
            <v>0</v>
          </cell>
          <cell r="K227">
            <v>0</v>
          </cell>
          <cell r="L227">
            <v>0</v>
          </cell>
          <cell r="M227">
            <v>0</v>
          </cell>
          <cell r="N227">
            <v>0</v>
          </cell>
          <cell r="O227">
            <v>0</v>
          </cell>
          <cell r="P227">
            <v>0</v>
          </cell>
          <cell r="Q227">
            <v>0</v>
          </cell>
          <cell r="R227">
            <v>0</v>
          </cell>
          <cell r="S227">
            <v>0</v>
          </cell>
          <cell r="T227">
            <v>0</v>
          </cell>
          <cell r="U227">
            <v>0</v>
          </cell>
          <cell r="V227">
            <v>0</v>
          </cell>
          <cell r="W227">
            <v>0</v>
          </cell>
          <cell r="X227">
            <v>0</v>
          </cell>
          <cell r="Y227">
            <v>0</v>
          </cell>
          <cell r="Z227">
            <v>0</v>
          </cell>
          <cell r="AA227">
            <v>0</v>
          </cell>
          <cell r="AB227">
            <v>0</v>
          </cell>
          <cell r="AC227">
            <v>0</v>
          </cell>
          <cell r="AD227">
            <v>0</v>
          </cell>
          <cell r="AE227">
            <v>0</v>
          </cell>
          <cell r="AF227">
            <v>0</v>
          </cell>
          <cell r="AG227">
            <v>0</v>
          </cell>
          <cell r="AH227">
            <v>0</v>
          </cell>
          <cell r="AI227">
            <v>0</v>
          </cell>
          <cell r="AJ227">
            <v>0</v>
          </cell>
          <cell r="AK227">
            <v>0</v>
          </cell>
          <cell r="AL227">
            <v>0</v>
          </cell>
          <cell r="AM227">
            <v>0</v>
          </cell>
          <cell r="AN227">
            <v>0</v>
          </cell>
          <cell r="AO227">
            <v>0</v>
          </cell>
          <cell r="AP227">
            <v>0</v>
          </cell>
          <cell r="AQ227">
            <v>0</v>
          </cell>
          <cell r="AR227">
            <v>0</v>
          </cell>
          <cell r="AS227">
            <v>0</v>
          </cell>
          <cell r="AT227">
            <v>0</v>
          </cell>
          <cell r="AU227">
            <v>0</v>
          </cell>
          <cell r="AV227">
            <v>0</v>
          </cell>
          <cell r="AW227">
            <v>0</v>
          </cell>
          <cell r="AX227">
            <v>0</v>
          </cell>
          <cell r="AY227">
            <v>0</v>
          </cell>
          <cell r="AZ227">
            <v>0</v>
          </cell>
          <cell r="BA227">
            <v>0</v>
          </cell>
          <cell r="BB227">
            <v>0</v>
          </cell>
          <cell r="BC227">
            <v>0</v>
          </cell>
          <cell r="BD227">
            <v>0</v>
          </cell>
          <cell r="BE227">
            <v>0</v>
          </cell>
          <cell r="BF227">
            <v>0</v>
          </cell>
          <cell r="BG227">
            <v>0</v>
          </cell>
          <cell r="BH227">
            <v>0</v>
          </cell>
          <cell r="BI227">
            <v>0</v>
          </cell>
          <cell r="BJ227">
            <v>0</v>
          </cell>
          <cell r="BK227">
            <v>0</v>
          </cell>
          <cell r="BL227">
            <v>0</v>
          </cell>
          <cell r="BM227">
            <v>0</v>
          </cell>
          <cell r="BN227">
            <v>0</v>
          </cell>
          <cell r="BO227">
            <v>0</v>
          </cell>
          <cell r="BP227">
            <v>0</v>
          </cell>
          <cell r="BQ227">
            <v>0</v>
          </cell>
          <cell r="BR227">
            <v>0</v>
          </cell>
          <cell r="BS227">
            <v>0</v>
          </cell>
          <cell r="BT227">
            <v>0</v>
          </cell>
          <cell r="BU227">
            <v>0</v>
          </cell>
          <cell r="BV227">
            <v>0</v>
          </cell>
          <cell r="BW227">
            <v>0</v>
          </cell>
          <cell r="BX227">
            <v>0</v>
          </cell>
          <cell r="BY227">
            <v>0</v>
          </cell>
          <cell r="BZ227">
            <v>0</v>
          </cell>
          <cell r="CA227">
            <v>0</v>
          </cell>
          <cell r="CB227">
            <v>0</v>
          </cell>
          <cell r="CC227">
            <v>0</v>
          </cell>
          <cell r="CD227">
            <v>0</v>
          </cell>
          <cell r="CE227">
            <v>0</v>
          </cell>
          <cell r="CF227">
            <v>0</v>
          </cell>
          <cell r="CG227">
            <v>0</v>
          </cell>
          <cell r="CH227">
            <v>0</v>
          </cell>
          <cell r="CI227">
            <v>0</v>
          </cell>
          <cell r="CJ227">
            <v>0</v>
          </cell>
          <cell r="CK227">
            <v>0</v>
          </cell>
          <cell r="CL227">
            <v>0</v>
          </cell>
          <cell r="CM227">
            <v>0</v>
          </cell>
          <cell r="CN227">
            <v>0</v>
          </cell>
          <cell r="CO227">
            <v>0</v>
          </cell>
          <cell r="CP227">
            <v>0</v>
          </cell>
          <cell r="CQ227">
            <v>0</v>
          </cell>
          <cell r="CR227">
            <v>0</v>
          </cell>
          <cell r="CS227">
            <v>0</v>
          </cell>
          <cell r="CT227">
            <v>0</v>
          </cell>
          <cell r="CU227">
            <v>0</v>
          </cell>
          <cell r="CV227">
            <v>0</v>
          </cell>
          <cell r="CW227">
            <v>0</v>
          </cell>
          <cell r="CX227">
            <v>0</v>
          </cell>
          <cell r="CY227">
            <v>0</v>
          </cell>
          <cell r="CZ227">
            <v>0</v>
          </cell>
          <cell r="DA227">
            <v>0</v>
          </cell>
          <cell r="DB227">
            <v>0</v>
          </cell>
          <cell r="DC227">
            <v>0</v>
          </cell>
          <cell r="DD227">
            <v>0</v>
          </cell>
          <cell r="DE227">
            <v>0</v>
          </cell>
          <cell r="DF227">
            <v>0</v>
          </cell>
          <cell r="DG227">
            <v>0</v>
          </cell>
          <cell r="DH227">
            <v>0</v>
          </cell>
          <cell r="DI227">
            <v>0</v>
          </cell>
          <cell r="DJ227">
            <v>0</v>
          </cell>
          <cell r="DK227">
            <v>0</v>
          </cell>
          <cell r="DL227">
            <v>0</v>
          </cell>
          <cell r="DM227">
            <v>0</v>
          </cell>
          <cell r="DN227">
            <v>0</v>
          </cell>
          <cell r="DO227">
            <v>0</v>
          </cell>
          <cell r="DP227">
            <v>0</v>
          </cell>
          <cell r="DQ227">
            <v>0</v>
          </cell>
          <cell r="DR227">
            <v>0</v>
          </cell>
          <cell r="DS227">
            <v>0</v>
          </cell>
          <cell r="DT227">
            <v>0</v>
          </cell>
          <cell r="DU227">
            <v>0</v>
          </cell>
          <cell r="DV227">
            <v>0</v>
          </cell>
          <cell r="DW227">
            <v>0</v>
          </cell>
          <cell r="DX227">
            <v>0</v>
          </cell>
          <cell r="DY227">
            <v>0</v>
          </cell>
          <cell r="DZ227">
            <v>0</v>
          </cell>
          <cell r="EA227">
            <v>0</v>
          </cell>
          <cell r="EB227">
            <v>0</v>
          </cell>
          <cell r="EC227">
            <v>0</v>
          </cell>
          <cell r="ED227">
            <v>0</v>
          </cell>
          <cell r="EE227">
            <v>0</v>
          </cell>
          <cell r="EF227">
            <v>0</v>
          </cell>
          <cell r="EG227">
            <v>0</v>
          </cell>
          <cell r="EH227">
            <v>0</v>
          </cell>
          <cell r="EI227">
            <v>0</v>
          </cell>
          <cell r="EJ227">
            <v>0</v>
          </cell>
          <cell r="EK227">
            <v>0</v>
          </cell>
          <cell r="EL227">
            <v>0</v>
          </cell>
          <cell r="EM227">
            <v>0</v>
          </cell>
          <cell r="EN227">
            <v>0</v>
          </cell>
          <cell r="EO227">
            <v>0</v>
          </cell>
          <cell r="EP227">
            <v>0</v>
          </cell>
          <cell r="EQ227">
            <v>0</v>
          </cell>
          <cell r="ER227">
            <v>0</v>
          </cell>
          <cell r="ES227">
            <v>0</v>
          </cell>
          <cell r="ET227">
            <v>0</v>
          </cell>
          <cell r="EU227">
            <v>0</v>
          </cell>
          <cell r="EV227">
            <v>0</v>
          </cell>
          <cell r="EW227">
            <v>0</v>
          </cell>
          <cell r="EX227">
            <v>0</v>
          </cell>
          <cell r="EY227">
            <v>0</v>
          </cell>
          <cell r="EZ227">
            <v>0</v>
          </cell>
          <cell r="FA227">
            <v>0</v>
          </cell>
          <cell r="FB227">
            <v>0</v>
          </cell>
          <cell r="FC227">
            <v>0</v>
          </cell>
          <cell r="FD227">
            <v>0</v>
          </cell>
          <cell r="FE227">
            <v>0</v>
          </cell>
          <cell r="FF227">
            <v>0</v>
          </cell>
          <cell r="FG227">
            <v>0</v>
          </cell>
          <cell r="FH227">
            <v>0</v>
          </cell>
          <cell r="FI227">
            <v>0</v>
          </cell>
          <cell r="FJ227">
            <v>0</v>
          </cell>
          <cell r="FK227">
            <v>0</v>
          </cell>
          <cell r="FL227">
            <v>0</v>
          </cell>
          <cell r="FM227">
            <v>0</v>
          </cell>
          <cell r="FN227">
            <v>0</v>
          </cell>
          <cell r="FO227">
            <v>0</v>
          </cell>
          <cell r="FP227">
            <v>0</v>
          </cell>
          <cell r="FQ227">
            <v>0</v>
          </cell>
          <cell r="FR227">
            <v>0</v>
          </cell>
          <cell r="FS227">
            <v>0</v>
          </cell>
          <cell r="FT227">
            <v>0</v>
          </cell>
          <cell r="FU227">
            <v>0</v>
          </cell>
          <cell r="FV227">
            <v>0</v>
          </cell>
          <cell r="FW227">
            <v>0</v>
          </cell>
          <cell r="FX227">
            <v>0</v>
          </cell>
          <cell r="FY227">
            <v>0</v>
          </cell>
          <cell r="FZ227">
            <v>0</v>
          </cell>
        </row>
        <row r="228">
          <cell r="B228">
            <v>0</v>
          </cell>
          <cell r="C228">
            <v>0</v>
          </cell>
          <cell r="D228">
            <v>0</v>
          </cell>
          <cell r="E228">
            <v>0</v>
          </cell>
          <cell r="F228">
            <v>0</v>
          </cell>
          <cell r="G228">
            <v>0</v>
          </cell>
          <cell r="H228">
            <v>0</v>
          </cell>
          <cell r="I228">
            <v>0</v>
          </cell>
          <cell r="J228">
            <v>0</v>
          </cell>
          <cell r="K228">
            <v>0</v>
          </cell>
          <cell r="L228">
            <v>0</v>
          </cell>
          <cell r="M228">
            <v>0</v>
          </cell>
          <cell r="N228">
            <v>0</v>
          </cell>
          <cell r="O228">
            <v>0</v>
          </cell>
          <cell r="P228">
            <v>0</v>
          </cell>
          <cell r="Q228">
            <v>0</v>
          </cell>
          <cell r="R228">
            <v>0</v>
          </cell>
          <cell r="S228">
            <v>0</v>
          </cell>
          <cell r="T228">
            <v>0</v>
          </cell>
          <cell r="U228">
            <v>0</v>
          </cell>
          <cell r="V228">
            <v>0</v>
          </cell>
          <cell r="W228">
            <v>0</v>
          </cell>
          <cell r="X228">
            <v>0</v>
          </cell>
          <cell r="Y228">
            <v>0</v>
          </cell>
          <cell r="Z228">
            <v>0</v>
          </cell>
          <cell r="AA228">
            <v>0</v>
          </cell>
          <cell r="AB228">
            <v>0</v>
          </cell>
          <cell r="AC228">
            <v>0</v>
          </cell>
          <cell r="AD228">
            <v>0</v>
          </cell>
          <cell r="AE228">
            <v>0</v>
          </cell>
          <cell r="AF228">
            <v>0</v>
          </cell>
          <cell r="AG228">
            <v>0</v>
          </cell>
          <cell r="AH228">
            <v>0</v>
          </cell>
          <cell r="AI228">
            <v>0</v>
          </cell>
          <cell r="AJ228">
            <v>0</v>
          </cell>
          <cell r="AK228">
            <v>0</v>
          </cell>
          <cell r="AL228">
            <v>0</v>
          </cell>
          <cell r="AM228">
            <v>0</v>
          </cell>
          <cell r="AN228">
            <v>0</v>
          </cell>
          <cell r="AO228">
            <v>0</v>
          </cell>
          <cell r="AP228">
            <v>0</v>
          </cell>
          <cell r="AQ228">
            <v>0</v>
          </cell>
          <cell r="AR228">
            <v>0</v>
          </cell>
          <cell r="AS228">
            <v>0</v>
          </cell>
          <cell r="AT228">
            <v>0</v>
          </cell>
          <cell r="AU228">
            <v>0</v>
          </cell>
          <cell r="AV228">
            <v>0</v>
          </cell>
          <cell r="AW228">
            <v>0</v>
          </cell>
          <cell r="AX228">
            <v>0</v>
          </cell>
          <cell r="AY228">
            <v>0</v>
          </cell>
          <cell r="AZ228">
            <v>0</v>
          </cell>
          <cell r="BA228">
            <v>0</v>
          </cell>
          <cell r="BB228">
            <v>0</v>
          </cell>
          <cell r="BC228">
            <v>0</v>
          </cell>
          <cell r="BD228">
            <v>0</v>
          </cell>
          <cell r="BE228">
            <v>0</v>
          </cell>
          <cell r="BF228">
            <v>0</v>
          </cell>
          <cell r="BG228">
            <v>0</v>
          </cell>
          <cell r="BH228">
            <v>0</v>
          </cell>
          <cell r="BI228">
            <v>0</v>
          </cell>
          <cell r="BJ228">
            <v>0</v>
          </cell>
          <cell r="BK228">
            <v>0</v>
          </cell>
          <cell r="BL228">
            <v>0</v>
          </cell>
          <cell r="BM228">
            <v>0</v>
          </cell>
          <cell r="BN228">
            <v>0</v>
          </cell>
          <cell r="BO228">
            <v>0</v>
          </cell>
          <cell r="BP228">
            <v>0</v>
          </cell>
          <cell r="BQ228">
            <v>0</v>
          </cell>
          <cell r="BR228">
            <v>0</v>
          </cell>
          <cell r="BS228">
            <v>0</v>
          </cell>
          <cell r="BT228">
            <v>0</v>
          </cell>
          <cell r="BU228">
            <v>0</v>
          </cell>
          <cell r="BV228">
            <v>0</v>
          </cell>
          <cell r="BW228">
            <v>0</v>
          </cell>
          <cell r="BX228">
            <v>0</v>
          </cell>
          <cell r="BY228">
            <v>0</v>
          </cell>
          <cell r="BZ228">
            <v>0</v>
          </cell>
          <cell r="CA228">
            <v>0</v>
          </cell>
          <cell r="CB228">
            <v>0</v>
          </cell>
          <cell r="CC228">
            <v>0</v>
          </cell>
          <cell r="CD228">
            <v>0</v>
          </cell>
          <cell r="CE228">
            <v>0</v>
          </cell>
          <cell r="CF228">
            <v>0</v>
          </cell>
          <cell r="CG228">
            <v>0</v>
          </cell>
          <cell r="CH228">
            <v>0</v>
          </cell>
          <cell r="CI228">
            <v>0</v>
          </cell>
          <cell r="CJ228">
            <v>0</v>
          </cell>
          <cell r="CK228">
            <v>0</v>
          </cell>
          <cell r="CL228">
            <v>0</v>
          </cell>
          <cell r="CM228">
            <v>0</v>
          </cell>
          <cell r="CN228">
            <v>0</v>
          </cell>
          <cell r="CO228">
            <v>0</v>
          </cell>
          <cell r="CP228">
            <v>0</v>
          </cell>
          <cell r="CQ228">
            <v>0</v>
          </cell>
          <cell r="CR228">
            <v>0</v>
          </cell>
          <cell r="CS228">
            <v>0</v>
          </cell>
          <cell r="CT228">
            <v>0</v>
          </cell>
          <cell r="CU228">
            <v>0</v>
          </cell>
          <cell r="CV228">
            <v>0</v>
          </cell>
          <cell r="CW228">
            <v>0</v>
          </cell>
          <cell r="CX228">
            <v>0</v>
          </cell>
          <cell r="CY228">
            <v>0</v>
          </cell>
          <cell r="CZ228">
            <v>0</v>
          </cell>
          <cell r="DA228">
            <v>0</v>
          </cell>
          <cell r="DB228">
            <v>0</v>
          </cell>
          <cell r="DC228">
            <v>0</v>
          </cell>
          <cell r="DD228">
            <v>0</v>
          </cell>
          <cell r="DE228">
            <v>0</v>
          </cell>
          <cell r="DF228">
            <v>0</v>
          </cell>
          <cell r="DG228">
            <v>0</v>
          </cell>
          <cell r="DH228">
            <v>0</v>
          </cell>
          <cell r="DI228">
            <v>0</v>
          </cell>
          <cell r="DJ228">
            <v>0</v>
          </cell>
          <cell r="DK228">
            <v>0</v>
          </cell>
          <cell r="DL228">
            <v>0</v>
          </cell>
          <cell r="DM228">
            <v>0</v>
          </cell>
          <cell r="DN228">
            <v>0</v>
          </cell>
          <cell r="DO228">
            <v>0</v>
          </cell>
          <cell r="DP228">
            <v>0</v>
          </cell>
          <cell r="DQ228">
            <v>0</v>
          </cell>
          <cell r="DR228">
            <v>0</v>
          </cell>
          <cell r="DS228">
            <v>0</v>
          </cell>
          <cell r="DT228">
            <v>0</v>
          </cell>
          <cell r="DU228">
            <v>0</v>
          </cell>
          <cell r="DV228">
            <v>0</v>
          </cell>
          <cell r="DW228">
            <v>0</v>
          </cell>
          <cell r="DX228">
            <v>0</v>
          </cell>
          <cell r="DY228">
            <v>0</v>
          </cell>
          <cell r="DZ228">
            <v>0</v>
          </cell>
          <cell r="EA228">
            <v>0</v>
          </cell>
          <cell r="EB228">
            <v>0</v>
          </cell>
          <cell r="EC228">
            <v>0</v>
          </cell>
          <cell r="ED228">
            <v>0</v>
          </cell>
          <cell r="EE228">
            <v>0</v>
          </cell>
          <cell r="EF228">
            <v>0</v>
          </cell>
          <cell r="EG228">
            <v>0</v>
          </cell>
          <cell r="EH228">
            <v>0</v>
          </cell>
          <cell r="EI228">
            <v>0</v>
          </cell>
          <cell r="EJ228">
            <v>0</v>
          </cell>
          <cell r="EK228">
            <v>0</v>
          </cell>
          <cell r="EL228">
            <v>0</v>
          </cell>
          <cell r="EM228">
            <v>0</v>
          </cell>
          <cell r="EN228">
            <v>0</v>
          </cell>
          <cell r="EO228">
            <v>0</v>
          </cell>
          <cell r="EP228">
            <v>0</v>
          </cell>
          <cell r="EQ228">
            <v>0</v>
          </cell>
          <cell r="ER228">
            <v>0</v>
          </cell>
          <cell r="ES228">
            <v>0</v>
          </cell>
          <cell r="ET228">
            <v>0</v>
          </cell>
          <cell r="EU228">
            <v>0</v>
          </cell>
          <cell r="EV228">
            <v>0</v>
          </cell>
          <cell r="EW228">
            <v>0</v>
          </cell>
          <cell r="EX228">
            <v>0</v>
          </cell>
          <cell r="EY228">
            <v>0</v>
          </cell>
          <cell r="EZ228">
            <v>0</v>
          </cell>
          <cell r="FA228">
            <v>0</v>
          </cell>
          <cell r="FB228">
            <v>0</v>
          </cell>
          <cell r="FC228">
            <v>0</v>
          </cell>
          <cell r="FD228">
            <v>0</v>
          </cell>
          <cell r="FE228">
            <v>0</v>
          </cell>
          <cell r="FF228">
            <v>0</v>
          </cell>
          <cell r="FG228">
            <v>0</v>
          </cell>
          <cell r="FH228">
            <v>0</v>
          </cell>
          <cell r="FI228">
            <v>0</v>
          </cell>
          <cell r="FJ228">
            <v>0</v>
          </cell>
          <cell r="FK228">
            <v>0</v>
          </cell>
          <cell r="FL228">
            <v>0</v>
          </cell>
          <cell r="FM228">
            <v>0</v>
          </cell>
          <cell r="FN228">
            <v>0</v>
          </cell>
          <cell r="FO228">
            <v>0</v>
          </cell>
          <cell r="FP228">
            <v>0</v>
          </cell>
          <cell r="FQ228">
            <v>0</v>
          </cell>
          <cell r="FR228">
            <v>0</v>
          </cell>
          <cell r="FS228">
            <v>0</v>
          </cell>
          <cell r="FT228">
            <v>0</v>
          </cell>
          <cell r="FU228">
            <v>0</v>
          </cell>
          <cell r="FV228">
            <v>0</v>
          </cell>
          <cell r="FW228">
            <v>0</v>
          </cell>
          <cell r="FX228">
            <v>0</v>
          </cell>
          <cell r="FY228">
            <v>0</v>
          </cell>
          <cell r="FZ228">
            <v>0</v>
          </cell>
        </row>
        <row r="229">
          <cell r="B229">
            <v>0</v>
          </cell>
          <cell r="C229">
            <v>0</v>
          </cell>
          <cell r="D229">
            <v>0</v>
          </cell>
          <cell r="E229">
            <v>0</v>
          </cell>
          <cell r="F229">
            <v>0</v>
          </cell>
          <cell r="G229">
            <v>0</v>
          </cell>
          <cell r="H229">
            <v>0</v>
          </cell>
          <cell r="I229">
            <v>0</v>
          </cell>
          <cell r="J229">
            <v>0</v>
          </cell>
          <cell r="K229">
            <v>0</v>
          </cell>
          <cell r="L229">
            <v>0</v>
          </cell>
          <cell r="M229">
            <v>0</v>
          </cell>
          <cell r="N229">
            <v>0</v>
          </cell>
          <cell r="O229">
            <v>0</v>
          </cell>
          <cell r="P229">
            <v>0</v>
          </cell>
          <cell r="Q229">
            <v>0</v>
          </cell>
          <cell r="R229">
            <v>0</v>
          </cell>
          <cell r="S229">
            <v>0</v>
          </cell>
          <cell r="T229">
            <v>0</v>
          </cell>
          <cell r="U229">
            <v>0</v>
          </cell>
          <cell r="V229">
            <v>0</v>
          </cell>
          <cell r="W229">
            <v>0</v>
          </cell>
          <cell r="X229">
            <v>0</v>
          </cell>
          <cell r="Y229">
            <v>0</v>
          </cell>
          <cell r="Z229">
            <v>0</v>
          </cell>
          <cell r="AA229">
            <v>0</v>
          </cell>
          <cell r="AB229">
            <v>0</v>
          </cell>
          <cell r="AC229">
            <v>0</v>
          </cell>
          <cell r="AD229">
            <v>0</v>
          </cell>
          <cell r="AE229">
            <v>0</v>
          </cell>
          <cell r="AF229">
            <v>0</v>
          </cell>
          <cell r="AG229">
            <v>0</v>
          </cell>
          <cell r="AH229">
            <v>0</v>
          </cell>
          <cell r="AI229">
            <v>0</v>
          </cell>
          <cell r="AJ229">
            <v>0</v>
          </cell>
          <cell r="AK229">
            <v>0</v>
          </cell>
          <cell r="AL229">
            <v>0</v>
          </cell>
          <cell r="AM229">
            <v>0</v>
          </cell>
          <cell r="AN229">
            <v>0</v>
          </cell>
          <cell r="AO229">
            <v>0</v>
          </cell>
          <cell r="AP229">
            <v>0</v>
          </cell>
          <cell r="AQ229">
            <v>0</v>
          </cell>
          <cell r="AR229">
            <v>0</v>
          </cell>
          <cell r="AS229">
            <v>0</v>
          </cell>
          <cell r="AT229">
            <v>0</v>
          </cell>
          <cell r="AU229">
            <v>0</v>
          </cell>
          <cell r="AV229">
            <v>0</v>
          </cell>
          <cell r="AW229">
            <v>0</v>
          </cell>
          <cell r="AX229">
            <v>0</v>
          </cell>
          <cell r="AY229">
            <v>0</v>
          </cell>
          <cell r="AZ229">
            <v>0</v>
          </cell>
          <cell r="BA229">
            <v>0</v>
          </cell>
          <cell r="BB229">
            <v>0</v>
          </cell>
          <cell r="BC229">
            <v>0</v>
          </cell>
          <cell r="BD229">
            <v>0</v>
          </cell>
          <cell r="BE229">
            <v>0</v>
          </cell>
          <cell r="BF229">
            <v>0</v>
          </cell>
          <cell r="BG229">
            <v>0</v>
          </cell>
          <cell r="BH229">
            <v>0</v>
          </cell>
          <cell r="BI229">
            <v>0</v>
          </cell>
          <cell r="BJ229">
            <v>0</v>
          </cell>
          <cell r="BK229">
            <v>0</v>
          </cell>
          <cell r="BL229">
            <v>0</v>
          </cell>
          <cell r="BM229">
            <v>0</v>
          </cell>
          <cell r="BN229">
            <v>0</v>
          </cell>
          <cell r="BO229">
            <v>0</v>
          </cell>
          <cell r="BP229">
            <v>0</v>
          </cell>
          <cell r="BQ229">
            <v>0</v>
          </cell>
          <cell r="BR229">
            <v>0</v>
          </cell>
          <cell r="BS229">
            <v>0</v>
          </cell>
          <cell r="BT229">
            <v>0</v>
          </cell>
          <cell r="BU229">
            <v>0</v>
          </cell>
          <cell r="BV229">
            <v>0</v>
          </cell>
          <cell r="BW229">
            <v>0</v>
          </cell>
          <cell r="BX229">
            <v>0</v>
          </cell>
          <cell r="BY229">
            <v>0</v>
          </cell>
          <cell r="BZ229">
            <v>0</v>
          </cell>
          <cell r="CA229">
            <v>0</v>
          </cell>
          <cell r="CB229">
            <v>0</v>
          </cell>
          <cell r="CC229">
            <v>0</v>
          </cell>
          <cell r="CD229">
            <v>0</v>
          </cell>
          <cell r="CE229">
            <v>0</v>
          </cell>
          <cell r="CF229">
            <v>0</v>
          </cell>
          <cell r="CG229">
            <v>0</v>
          </cell>
          <cell r="CH229">
            <v>0</v>
          </cell>
          <cell r="CI229">
            <v>0</v>
          </cell>
          <cell r="CJ229">
            <v>0</v>
          </cell>
          <cell r="CK229">
            <v>0</v>
          </cell>
          <cell r="CL229">
            <v>0</v>
          </cell>
          <cell r="CM229">
            <v>0</v>
          </cell>
          <cell r="CN229">
            <v>0</v>
          </cell>
          <cell r="CO229">
            <v>0</v>
          </cell>
          <cell r="CP229">
            <v>0</v>
          </cell>
          <cell r="CQ229">
            <v>0</v>
          </cell>
          <cell r="CR229">
            <v>0</v>
          </cell>
          <cell r="CS229">
            <v>0</v>
          </cell>
          <cell r="CT229">
            <v>0</v>
          </cell>
          <cell r="CU229">
            <v>0</v>
          </cell>
          <cell r="CV229">
            <v>0</v>
          </cell>
          <cell r="CW229">
            <v>0</v>
          </cell>
          <cell r="CX229">
            <v>0</v>
          </cell>
          <cell r="CY229">
            <v>0</v>
          </cell>
          <cell r="CZ229">
            <v>0</v>
          </cell>
          <cell r="DA229">
            <v>0</v>
          </cell>
          <cell r="DB229">
            <v>0</v>
          </cell>
          <cell r="DC229">
            <v>0</v>
          </cell>
          <cell r="DD229">
            <v>0</v>
          </cell>
          <cell r="DE229">
            <v>0</v>
          </cell>
          <cell r="DF229">
            <v>0</v>
          </cell>
          <cell r="DG229">
            <v>0</v>
          </cell>
          <cell r="DH229">
            <v>0</v>
          </cell>
          <cell r="DI229">
            <v>0</v>
          </cell>
          <cell r="DJ229">
            <v>0</v>
          </cell>
          <cell r="DK229">
            <v>0</v>
          </cell>
          <cell r="DL229">
            <v>0</v>
          </cell>
          <cell r="DM229">
            <v>0</v>
          </cell>
          <cell r="DN229">
            <v>0</v>
          </cell>
          <cell r="DO229">
            <v>0</v>
          </cell>
          <cell r="DP229">
            <v>0</v>
          </cell>
          <cell r="DQ229">
            <v>0</v>
          </cell>
          <cell r="DR229">
            <v>0</v>
          </cell>
          <cell r="DS229">
            <v>0</v>
          </cell>
          <cell r="DT229">
            <v>0</v>
          </cell>
          <cell r="DU229">
            <v>0</v>
          </cell>
          <cell r="DV229">
            <v>0</v>
          </cell>
          <cell r="DW229">
            <v>0</v>
          </cell>
          <cell r="DX229">
            <v>0</v>
          </cell>
          <cell r="DY229">
            <v>0</v>
          </cell>
          <cell r="DZ229">
            <v>0</v>
          </cell>
          <cell r="EA229">
            <v>0</v>
          </cell>
          <cell r="EB229">
            <v>0</v>
          </cell>
          <cell r="EC229">
            <v>0</v>
          </cell>
          <cell r="ED229">
            <v>0</v>
          </cell>
          <cell r="EE229">
            <v>0</v>
          </cell>
          <cell r="EF229">
            <v>0</v>
          </cell>
          <cell r="EG229">
            <v>0</v>
          </cell>
          <cell r="EH229">
            <v>0</v>
          </cell>
          <cell r="EI229">
            <v>0</v>
          </cell>
          <cell r="EJ229">
            <v>0</v>
          </cell>
          <cell r="EK229">
            <v>0</v>
          </cell>
          <cell r="EL229">
            <v>0</v>
          </cell>
          <cell r="EM229">
            <v>0</v>
          </cell>
          <cell r="EN229">
            <v>0</v>
          </cell>
          <cell r="EO229">
            <v>0</v>
          </cell>
          <cell r="EP229">
            <v>0</v>
          </cell>
          <cell r="EQ229">
            <v>0</v>
          </cell>
          <cell r="ER229">
            <v>0</v>
          </cell>
          <cell r="ES229">
            <v>0</v>
          </cell>
          <cell r="ET229">
            <v>0</v>
          </cell>
          <cell r="EU229">
            <v>0</v>
          </cell>
          <cell r="EV229">
            <v>0</v>
          </cell>
          <cell r="EW229">
            <v>0</v>
          </cell>
          <cell r="EX229">
            <v>0</v>
          </cell>
          <cell r="EY229">
            <v>0</v>
          </cell>
          <cell r="EZ229">
            <v>0</v>
          </cell>
          <cell r="FA229">
            <v>0</v>
          </cell>
          <cell r="FB229">
            <v>0</v>
          </cell>
          <cell r="FC229">
            <v>0</v>
          </cell>
          <cell r="FD229">
            <v>0</v>
          </cell>
          <cell r="FE229">
            <v>0</v>
          </cell>
          <cell r="FF229">
            <v>0</v>
          </cell>
          <cell r="FG229">
            <v>0</v>
          </cell>
          <cell r="FH229">
            <v>0</v>
          </cell>
          <cell r="FI229">
            <v>0</v>
          </cell>
          <cell r="FJ229">
            <v>0</v>
          </cell>
          <cell r="FK229">
            <v>0</v>
          </cell>
          <cell r="FL229">
            <v>0</v>
          </cell>
          <cell r="FM229">
            <v>0</v>
          </cell>
          <cell r="FN229">
            <v>0</v>
          </cell>
          <cell r="FO229">
            <v>0</v>
          </cell>
          <cell r="FP229">
            <v>0</v>
          </cell>
          <cell r="FQ229">
            <v>0</v>
          </cell>
          <cell r="FR229">
            <v>0</v>
          </cell>
          <cell r="FS229">
            <v>0</v>
          </cell>
          <cell r="FT229">
            <v>0</v>
          </cell>
          <cell r="FU229">
            <v>0</v>
          </cell>
          <cell r="FV229">
            <v>0</v>
          </cell>
          <cell r="FW229">
            <v>0</v>
          </cell>
          <cell r="FX229">
            <v>0</v>
          </cell>
          <cell r="FY229">
            <v>0</v>
          </cell>
          <cell r="FZ229">
            <v>0</v>
          </cell>
        </row>
        <row r="230">
          <cell r="B230">
            <v>0</v>
          </cell>
          <cell r="C230">
            <v>0</v>
          </cell>
          <cell r="D230">
            <v>0</v>
          </cell>
          <cell r="E230">
            <v>0</v>
          </cell>
          <cell r="F230">
            <v>0</v>
          </cell>
          <cell r="G230">
            <v>0</v>
          </cell>
          <cell r="H230">
            <v>0</v>
          </cell>
          <cell r="I230">
            <v>0</v>
          </cell>
          <cell r="J230">
            <v>0</v>
          </cell>
          <cell r="K230">
            <v>0</v>
          </cell>
          <cell r="L230">
            <v>0</v>
          </cell>
          <cell r="M230">
            <v>0</v>
          </cell>
          <cell r="N230">
            <v>0</v>
          </cell>
          <cell r="O230">
            <v>0</v>
          </cell>
          <cell r="P230">
            <v>0</v>
          </cell>
          <cell r="Q230">
            <v>0</v>
          </cell>
          <cell r="R230">
            <v>0</v>
          </cell>
          <cell r="S230">
            <v>0</v>
          </cell>
          <cell r="T230">
            <v>0</v>
          </cell>
          <cell r="U230">
            <v>0</v>
          </cell>
          <cell r="V230">
            <v>0</v>
          </cell>
          <cell r="W230">
            <v>0</v>
          </cell>
          <cell r="X230">
            <v>0</v>
          </cell>
          <cell r="Y230">
            <v>0</v>
          </cell>
          <cell r="Z230">
            <v>0</v>
          </cell>
          <cell r="AA230">
            <v>0</v>
          </cell>
          <cell r="AB230">
            <v>0</v>
          </cell>
          <cell r="AC230">
            <v>0</v>
          </cell>
          <cell r="AD230">
            <v>0</v>
          </cell>
          <cell r="AE230">
            <v>0</v>
          </cell>
          <cell r="AF230">
            <v>0</v>
          </cell>
          <cell r="AG230">
            <v>0</v>
          </cell>
          <cell r="AH230">
            <v>0</v>
          </cell>
          <cell r="AI230">
            <v>0</v>
          </cell>
          <cell r="AJ230">
            <v>0</v>
          </cell>
          <cell r="AK230">
            <v>0</v>
          </cell>
          <cell r="AL230">
            <v>0</v>
          </cell>
          <cell r="AM230">
            <v>0</v>
          </cell>
          <cell r="AN230">
            <v>0</v>
          </cell>
          <cell r="AO230">
            <v>0</v>
          </cell>
          <cell r="AP230">
            <v>0</v>
          </cell>
          <cell r="AQ230">
            <v>0</v>
          </cell>
          <cell r="AR230">
            <v>0</v>
          </cell>
          <cell r="AS230">
            <v>0</v>
          </cell>
          <cell r="AT230">
            <v>0</v>
          </cell>
          <cell r="AU230">
            <v>0</v>
          </cell>
          <cell r="AV230">
            <v>0</v>
          </cell>
          <cell r="AW230">
            <v>0</v>
          </cell>
          <cell r="AX230">
            <v>0</v>
          </cell>
          <cell r="AY230">
            <v>0</v>
          </cell>
          <cell r="AZ230">
            <v>0</v>
          </cell>
          <cell r="BA230">
            <v>0</v>
          </cell>
          <cell r="BB230">
            <v>0</v>
          </cell>
          <cell r="BC230">
            <v>0</v>
          </cell>
          <cell r="BD230">
            <v>0</v>
          </cell>
          <cell r="BE230">
            <v>0</v>
          </cell>
          <cell r="BF230">
            <v>0</v>
          </cell>
          <cell r="BG230">
            <v>0</v>
          </cell>
          <cell r="BH230">
            <v>0</v>
          </cell>
          <cell r="BI230">
            <v>0</v>
          </cell>
          <cell r="BJ230">
            <v>0</v>
          </cell>
          <cell r="BK230">
            <v>0</v>
          </cell>
          <cell r="BL230">
            <v>0</v>
          </cell>
          <cell r="BM230">
            <v>0</v>
          </cell>
          <cell r="BN230">
            <v>0</v>
          </cell>
          <cell r="BO230">
            <v>0</v>
          </cell>
          <cell r="BP230">
            <v>0</v>
          </cell>
          <cell r="BQ230">
            <v>0</v>
          </cell>
          <cell r="BR230">
            <v>0</v>
          </cell>
          <cell r="BS230">
            <v>0</v>
          </cell>
          <cell r="BT230">
            <v>0</v>
          </cell>
          <cell r="BU230">
            <v>0</v>
          </cell>
          <cell r="BV230">
            <v>0</v>
          </cell>
          <cell r="BW230">
            <v>0</v>
          </cell>
          <cell r="BX230">
            <v>0</v>
          </cell>
          <cell r="BY230">
            <v>0</v>
          </cell>
          <cell r="BZ230">
            <v>0</v>
          </cell>
          <cell r="CA230">
            <v>0</v>
          </cell>
          <cell r="CB230">
            <v>0</v>
          </cell>
          <cell r="CC230">
            <v>0</v>
          </cell>
          <cell r="CD230">
            <v>0</v>
          </cell>
          <cell r="CE230">
            <v>0</v>
          </cell>
          <cell r="CF230">
            <v>0</v>
          </cell>
          <cell r="CG230">
            <v>0</v>
          </cell>
          <cell r="CH230">
            <v>0</v>
          </cell>
          <cell r="CI230">
            <v>0</v>
          </cell>
          <cell r="CJ230">
            <v>0</v>
          </cell>
          <cell r="CK230">
            <v>0</v>
          </cell>
          <cell r="CL230">
            <v>0</v>
          </cell>
          <cell r="CM230">
            <v>0</v>
          </cell>
          <cell r="CN230">
            <v>0</v>
          </cell>
          <cell r="CO230">
            <v>0</v>
          </cell>
          <cell r="CP230">
            <v>0</v>
          </cell>
          <cell r="CQ230">
            <v>0</v>
          </cell>
          <cell r="CR230">
            <v>0</v>
          </cell>
          <cell r="CS230">
            <v>0</v>
          </cell>
          <cell r="CT230">
            <v>0</v>
          </cell>
          <cell r="CU230">
            <v>0</v>
          </cell>
          <cell r="CV230">
            <v>0</v>
          </cell>
          <cell r="CW230">
            <v>0</v>
          </cell>
          <cell r="CX230">
            <v>0</v>
          </cell>
          <cell r="CY230">
            <v>0</v>
          </cell>
          <cell r="CZ230">
            <v>0</v>
          </cell>
          <cell r="DA230">
            <v>0</v>
          </cell>
          <cell r="DB230">
            <v>0</v>
          </cell>
          <cell r="DC230">
            <v>0</v>
          </cell>
          <cell r="DD230">
            <v>0</v>
          </cell>
          <cell r="DE230">
            <v>0</v>
          </cell>
          <cell r="DF230">
            <v>0</v>
          </cell>
          <cell r="DG230">
            <v>0</v>
          </cell>
          <cell r="DH230">
            <v>0</v>
          </cell>
          <cell r="DI230">
            <v>0</v>
          </cell>
          <cell r="DJ230">
            <v>0</v>
          </cell>
          <cell r="DK230">
            <v>0</v>
          </cell>
          <cell r="DL230">
            <v>0</v>
          </cell>
          <cell r="DM230">
            <v>0</v>
          </cell>
          <cell r="DN230">
            <v>0</v>
          </cell>
          <cell r="DO230">
            <v>0</v>
          </cell>
          <cell r="DP230">
            <v>0</v>
          </cell>
          <cell r="DQ230">
            <v>0</v>
          </cell>
          <cell r="DR230">
            <v>0</v>
          </cell>
          <cell r="DS230">
            <v>0</v>
          </cell>
          <cell r="DT230">
            <v>0</v>
          </cell>
          <cell r="DU230">
            <v>0</v>
          </cell>
          <cell r="DV230">
            <v>0</v>
          </cell>
          <cell r="DW230">
            <v>0</v>
          </cell>
          <cell r="DX230">
            <v>0</v>
          </cell>
          <cell r="DY230">
            <v>0</v>
          </cell>
          <cell r="DZ230">
            <v>0</v>
          </cell>
          <cell r="EA230">
            <v>0</v>
          </cell>
          <cell r="EB230">
            <v>0</v>
          </cell>
          <cell r="EC230">
            <v>0</v>
          </cell>
          <cell r="ED230">
            <v>0</v>
          </cell>
          <cell r="EE230">
            <v>0</v>
          </cell>
          <cell r="EF230">
            <v>0</v>
          </cell>
          <cell r="EG230">
            <v>0</v>
          </cell>
          <cell r="EH230">
            <v>0</v>
          </cell>
          <cell r="EI230">
            <v>0</v>
          </cell>
          <cell r="EJ230">
            <v>0</v>
          </cell>
          <cell r="EK230">
            <v>0</v>
          </cell>
          <cell r="EL230">
            <v>0</v>
          </cell>
          <cell r="EM230">
            <v>0</v>
          </cell>
          <cell r="EN230">
            <v>0</v>
          </cell>
          <cell r="EO230">
            <v>0</v>
          </cell>
          <cell r="EP230">
            <v>0</v>
          </cell>
          <cell r="EQ230">
            <v>0</v>
          </cell>
          <cell r="ER230">
            <v>0</v>
          </cell>
          <cell r="ES230">
            <v>0</v>
          </cell>
          <cell r="ET230">
            <v>0</v>
          </cell>
          <cell r="EU230">
            <v>0</v>
          </cell>
          <cell r="EV230">
            <v>0</v>
          </cell>
          <cell r="EW230">
            <v>0</v>
          </cell>
          <cell r="EX230">
            <v>0</v>
          </cell>
          <cell r="EY230">
            <v>0</v>
          </cell>
          <cell r="EZ230">
            <v>0</v>
          </cell>
          <cell r="FA230">
            <v>0</v>
          </cell>
          <cell r="FB230">
            <v>0</v>
          </cell>
          <cell r="FC230">
            <v>0</v>
          </cell>
          <cell r="FD230">
            <v>0</v>
          </cell>
          <cell r="FE230">
            <v>0</v>
          </cell>
          <cell r="FF230">
            <v>0</v>
          </cell>
          <cell r="FG230">
            <v>0</v>
          </cell>
          <cell r="FH230">
            <v>0</v>
          </cell>
          <cell r="FI230">
            <v>0</v>
          </cell>
          <cell r="FJ230">
            <v>0</v>
          </cell>
          <cell r="FK230">
            <v>0</v>
          </cell>
          <cell r="FL230">
            <v>0</v>
          </cell>
          <cell r="FM230">
            <v>0</v>
          </cell>
          <cell r="FN230">
            <v>0</v>
          </cell>
          <cell r="FO230">
            <v>0</v>
          </cell>
          <cell r="FP230">
            <v>0</v>
          </cell>
          <cell r="FQ230">
            <v>0</v>
          </cell>
          <cell r="FR230">
            <v>0</v>
          </cell>
          <cell r="FS230">
            <v>0</v>
          </cell>
          <cell r="FT230">
            <v>0</v>
          </cell>
          <cell r="FU230">
            <v>0</v>
          </cell>
          <cell r="FV230">
            <v>0</v>
          </cell>
          <cell r="FW230">
            <v>0</v>
          </cell>
          <cell r="FX230">
            <v>0</v>
          </cell>
          <cell r="FY230">
            <v>0</v>
          </cell>
          <cell r="FZ230">
            <v>0</v>
          </cell>
        </row>
        <row r="231">
          <cell r="B231">
            <v>0</v>
          </cell>
          <cell r="C231">
            <v>0</v>
          </cell>
          <cell r="D231">
            <v>0</v>
          </cell>
          <cell r="E231">
            <v>0</v>
          </cell>
          <cell r="F231">
            <v>0</v>
          </cell>
          <cell r="G231">
            <v>0</v>
          </cell>
          <cell r="H231">
            <v>0</v>
          </cell>
          <cell r="I231">
            <v>0</v>
          </cell>
          <cell r="J231">
            <v>0</v>
          </cell>
          <cell r="K231">
            <v>0</v>
          </cell>
          <cell r="L231">
            <v>0</v>
          </cell>
          <cell r="M231">
            <v>0</v>
          </cell>
          <cell r="N231">
            <v>0</v>
          </cell>
          <cell r="O231">
            <v>0</v>
          </cell>
          <cell r="P231">
            <v>0</v>
          </cell>
          <cell r="Q231">
            <v>0</v>
          </cell>
          <cell r="R231">
            <v>0</v>
          </cell>
          <cell r="S231">
            <v>0</v>
          </cell>
          <cell r="T231">
            <v>0</v>
          </cell>
          <cell r="U231">
            <v>0</v>
          </cell>
          <cell r="V231">
            <v>0</v>
          </cell>
          <cell r="W231">
            <v>0</v>
          </cell>
          <cell r="X231">
            <v>0</v>
          </cell>
          <cell r="Y231">
            <v>0</v>
          </cell>
          <cell r="Z231">
            <v>0</v>
          </cell>
          <cell r="AA231">
            <v>0</v>
          </cell>
          <cell r="AB231">
            <v>0</v>
          </cell>
          <cell r="AC231">
            <v>0</v>
          </cell>
          <cell r="AD231">
            <v>0</v>
          </cell>
          <cell r="AE231">
            <v>0</v>
          </cell>
          <cell r="AF231">
            <v>0</v>
          </cell>
          <cell r="AG231">
            <v>0</v>
          </cell>
          <cell r="AH231">
            <v>0</v>
          </cell>
          <cell r="AI231">
            <v>0</v>
          </cell>
          <cell r="AJ231">
            <v>0</v>
          </cell>
          <cell r="AK231">
            <v>0</v>
          </cell>
          <cell r="AL231">
            <v>0</v>
          </cell>
          <cell r="AM231">
            <v>0</v>
          </cell>
          <cell r="AN231">
            <v>0</v>
          </cell>
          <cell r="AO231">
            <v>0</v>
          </cell>
          <cell r="AP231">
            <v>0</v>
          </cell>
          <cell r="AQ231">
            <v>0</v>
          </cell>
          <cell r="AR231">
            <v>0</v>
          </cell>
          <cell r="AS231">
            <v>0</v>
          </cell>
          <cell r="AT231">
            <v>0</v>
          </cell>
          <cell r="AU231">
            <v>0</v>
          </cell>
          <cell r="AV231">
            <v>0</v>
          </cell>
          <cell r="AW231">
            <v>0</v>
          </cell>
          <cell r="AX231">
            <v>0</v>
          </cell>
          <cell r="AY231">
            <v>0</v>
          </cell>
          <cell r="AZ231">
            <v>0</v>
          </cell>
          <cell r="BA231">
            <v>0</v>
          </cell>
          <cell r="BB231">
            <v>0</v>
          </cell>
          <cell r="BC231">
            <v>0</v>
          </cell>
          <cell r="BD231">
            <v>0</v>
          </cell>
          <cell r="BE231">
            <v>0</v>
          </cell>
          <cell r="BF231">
            <v>0</v>
          </cell>
          <cell r="BG231">
            <v>0</v>
          </cell>
          <cell r="BH231">
            <v>0</v>
          </cell>
          <cell r="BI231">
            <v>0</v>
          </cell>
          <cell r="BJ231">
            <v>0</v>
          </cell>
          <cell r="BK231">
            <v>0</v>
          </cell>
          <cell r="BL231">
            <v>0</v>
          </cell>
          <cell r="BM231">
            <v>0</v>
          </cell>
          <cell r="BN231">
            <v>0</v>
          </cell>
          <cell r="BO231">
            <v>0</v>
          </cell>
          <cell r="BP231">
            <v>0</v>
          </cell>
          <cell r="BQ231">
            <v>0</v>
          </cell>
          <cell r="BR231">
            <v>0</v>
          </cell>
          <cell r="BS231">
            <v>0</v>
          </cell>
          <cell r="BT231">
            <v>0</v>
          </cell>
          <cell r="BU231">
            <v>0</v>
          </cell>
          <cell r="BV231">
            <v>0</v>
          </cell>
          <cell r="BW231">
            <v>0</v>
          </cell>
          <cell r="BX231">
            <v>0</v>
          </cell>
          <cell r="BY231">
            <v>0</v>
          </cell>
          <cell r="BZ231">
            <v>0</v>
          </cell>
          <cell r="CA231">
            <v>0</v>
          </cell>
          <cell r="CB231">
            <v>0</v>
          </cell>
          <cell r="CC231">
            <v>0</v>
          </cell>
          <cell r="CD231">
            <v>0</v>
          </cell>
          <cell r="CE231">
            <v>0</v>
          </cell>
          <cell r="CF231">
            <v>0</v>
          </cell>
          <cell r="CG231">
            <v>0</v>
          </cell>
          <cell r="CH231">
            <v>0</v>
          </cell>
          <cell r="CI231">
            <v>0</v>
          </cell>
          <cell r="CJ231">
            <v>0</v>
          </cell>
          <cell r="CK231">
            <v>0</v>
          </cell>
          <cell r="CL231">
            <v>0</v>
          </cell>
          <cell r="CM231">
            <v>0</v>
          </cell>
          <cell r="CN231">
            <v>0</v>
          </cell>
          <cell r="CO231">
            <v>0</v>
          </cell>
          <cell r="CP231">
            <v>0</v>
          </cell>
          <cell r="CQ231">
            <v>0</v>
          </cell>
          <cell r="CR231">
            <v>0</v>
          </cell>
          <cell r="CS231">
            <v>0</v>
          </cell>
          <cell r="CT231">
            <v>0</v>
          </cell>
          <cell r="CU231">
            <v>0</v>
          </cell>
          <cell r="CV231">
            <v>0</v>
          </cell>
          <cell r="CW231">
            <v>0</v>
          </cell>
          <cell r="CX231">
            <v>0</v>
          </cell>
          <cell r="CY231">
            <v>0</v>
          </cell>
          <cell r="CZ231">
            <v>0</v>
          </cell>
          <cell r="DA231">
            <v>0</v>
          </cell>
          <cell r="DB231">
            <v>0</v>
          </cell>
          <cell r="DC231">
            <v>0</v>
          </cell>
          <cell r="DD231">
            <v>0</v>
          </cell>
          <cell r="DE231">
            <v>0</v>
          </cell>
          <cell r="DF231">
            <v>0</v>
          </cell>
          <cell r="DG231">
            <v>0</v>
          </cell>
          <cell r="DH231">
            <v>0</v>
          </cell>
          <cell r="DI231">
            <v>0</v>
          </cell>
          <cell r="DJ231">
            <v>0</v>
          </cell>
          <cell r="DK231">
            <v>0</v>
          </cell>
          <cell r="DL231">
            <v>0</v>
          </cell>
          <cell r="DM231">
            <v>0</v>
          </cell>
          <cell r="DN231">
            <v>0</v>
          </cell>
          <cell r="DO231">
            <v>0</v>
          </cell>
          <cell r="DP231">
            <v>0</v>
          </cell>
          <cell r="DQ231">
            <v>0</v>
          </cell>
          <cell r="DR231">
            <v>0</v>
          </cell>
          <cell r="DS231">
            <v>0</v>
          </cell>
          <cell r="DT231">
            <v>0</v>
          </cell>
          <cell r="DU231">
            <v>0</v>
          </cell>
          <cell r="DV231">
            <v>0</v>
          </cell>
          <cell r="DW231">
            <v>0</v>
          </cell>
          <cell r="DX231">
            <v>0</v>
          </cell>
          <cell r="DY231">
            <v>0</v>
          </cell>
          <cell r="DZ231">
            <v>0</v>
          </cell>
          <cell r="EA231">
            <v>0</v>
          </cell>
          <cell r="EB231">
            <v>0</v>
          </cell>
          <cell r="EC231">
            <v>0</v>
          </cell>
          <cell r="ED231">
            <v>0</v>
          </cell>
          <cell r="EE231">
            <v>0</v>
          </cell>
          <cell r="EF231">
            <v>0</v>
          </cell>
          <cell r="EG231">
            <v>0</v>
          </cell>
          <cell r="EH231">
            <v>0</v>
          </cell>
          <cell r="EI231">
            <v>0</v>
          </cell>
          <cell r="EJ231">
            <v>0</v>
          </cell>
          <cell r="EK231">
            <v>0</v>
          </cell>
          <cell r="EL231">
            <v>0</v>
          </cell>
          <cell r="EM231">
            <v>0</v>
          </cell>
          <cell r="EN231">
            <v>0</v>
          </cell>
          <cell r="EO231">
            <v>0</v>
          </cell>
          <cell r="EP231">
            <v>0</v>
          </cell>
          <cell r="EQ231">
            <v>0</v>
          </cell>
          <cell r="ER231">
            <v>0</v>
          </cell>
          <cell r="ES231">
            <v>0</v>
          </cell>
          <cell r="ET231">
            <v>0</v>
          </cell>
          <cell r="EU231">
            <v>0</v>
          </cell>
          <cell r="EV231">
            <v>0</v>
          </cell>
          <cell r="EW231">
            <v>0</v>
          </cell>
          <cell r="EX231">
            <v>0</v>
          </cell>
          <cell r="EY231">
            <v>0</v>
          </cell>
          <cell r="EZ231">
            <v>0</v>
          </cell>
          <cell r="FA231">
            <v>0</v>
          </cell>
          <cell r="FB231">
            <v>0</v>
          </cell>
          <cell r="FC231">
            <v>0</v>
          </cell>
          <cell r="FD231">
            <v>0</v>
          </cell>
          <cell r="FE231">
            <v>0</v>
          </cell>
          <cell r="FF231">
            <v>0</v>
          </cell>
          <cell r="FG231">
            <v>0</v>
          </cell>
          <cell r="FH231">
            <v>0</v>
          </cell>
          <cell r="FI231">
            <v>0</v>
          </cell>
          <cell r="FJ231">
            <v>0</v>
          </cell>
          <cell r="FK231">
            <v>0</v>
          </cell>
          <cell r="FL231">
            <v>0</v>
          </cell>
          <cell r="FM231">
            <v>0</v>
          </cell>
          <cell r="FN231">
            <v>0</v>
          </cell>
          <cell r="FO231">
            <v>0</v>
          </cell>
          <cell r="FP231">
            <v>0</v>
          </cell>
          <cell r="FQ231">
            <v>0</v>
          </cell>
          <cell r="FR231">
            <v>0</v>
          </cell>
          <cell r="FS231">
            <v>0</v>
          </cell>
          <cell r="FT231">
            <v>0</v>
          </cell>
          <cell r="FU231">
            <v>0</v>
          </cell>
          <cell r="FV231">
            <v>0</v>
          </cell>
          <cell r="FW231">
            <v>0</v>
          </cell>
          <cell r="FX231">
            <v>0</v>
          </cell>
          <cell r="FY231">
            <v>0</v>
          </cell>
          <cell r="FZ231">
            <v>0</v>
          </cell>
        </row>
        <row r="232">
          <cell r="B232">
            <v>0</v>
          </cell>
          <cell r="C232">
            <v>0</v>
          </cell>
          <cell r="D232">
            <v>0</v>
          </cell>
          <cell r="E232">
            <v>0</v>
          </cell>
          <cell r="F232">
            <v>0</v>
          </cell>
          <cell r="G232">
            <v>0</v>
          </cell>
          <cell r="H232">
            <v>0</v>
          </cell>
          <cell r="I232">
            <v>0</v>
          </cell>
          <cell r="J232">
            <v>0</v>
          </cell>
          <cell r="K232">
            <v>0</v>
          </cell>
          <cell r="L232">
            <v>0</v>
          </cell>
          <cell r="M232">
            <v>0</v>
          </cell>
          <cell r="N232">
            <v>0</v>
          </cell>
          <cell r="O232">
            <v>0</v>
          </cell>
          <cell r="P232">
            <v>0</v>
          </cell>
          <cell r="Q232">
            <v>0</v>
          </cell>
          <cell r="R232">
            <v>0</v>
          </cell>
          <cell r="S232">
            <v>0</v>
          </cell>
          <cell r="T232">
            <v>0</v>
          </cell>
          <cell r="U232">
            <v>0</v>
          </cell>
          <cell r="V232">
            <v>0</v>
          </cell>
          <cell r="W232">
            <v>0</v>
          </cell>
          <cell r="X232">
            <v>0</v>
          </cell>
          <cell r="Y232">
            <v>0</v>
          </cell>
          <cell r="Z232">
            <v>0</v>
          </cell>
          <cell r="AA232">
            <v>0</v>
          </cell>
          <cell r="AB232">
            <v>0</v>
          </cell>
          <cell r="AC232">
            <v>0</v>
          </cell>
          <cell r="AD232">
            <v>0</v>
          </cell>
          <cell r="AE232">
            <v>0</v>
          </cell>
          <cell r="AF232">
            <v>0</v>
          </cell>
          <cell r="AG232">
            <v>0</v>
          </cell>
          <cell r="AH232">
            <v>0</v>
          </cell>
          <cell r="AI232">
            <v>0</v>
          </cell>
          <cell r="AJ232">
            <v>0</v>
          </cell>
          <cell r="AK232">
            <v>0</v>
          </cell>
          <cell r="AL232">
            <v>0</v>
          </cell>
          <cell r="AM232">
            <v>0</v>
          </cell>
          <cell r="AN232">
            <v>0</v>
          </cell>
          <cell r="AO232">
            <v>0</v>
          </cell>
          <cell r="AP232">
            <v>0</v>
          </cell>
          <cell r="AQ232">
            <v>0</v>
          </cell>
          <cell r="AR232">
            <v>0</v>
          </cell>
          <cell r="AS232">
            <v>0</v>
          </cell>
          <cell r="AT232">
            <v>0</v>
          </cell>
          <cell r="AU232">
            <v>0</v>
          </cell>
          <cell r="AV232">
            <v>0</v>
          </cell>
          <cell r="AW232">
            <v>0</v>
          </cell>
          <cell r="AX232">
            <v>0</v>
          </cell>
          <cell r="AY232">
            <v>0</v>
          </cell>
          <cell r="AZ232">
            <v>0</v>
          </cell>
          <cell r="BA232">
            <v>0</v>
          </cell>
          <cell r="BB232">
            <v>0</v>
          </cell>
          <cell r="BC232">
            <v>0</v>
          </cell>
          <cell r="BD232">
            <v>0</v>
          </cell>
          <cell r="BE232">
            <v>0</v>
          </cell>
          <cell r="BF232">
            <v>0</v>
          </cell>
          <cell r="BG232">
            <v>0</v>
          </cell>
          <cell r="BH232">
            <v>0</v>
          </cell>
          <cell r="BI232">
            <v>0</v>
          </cell>
          <cell r="BJ232">
            <v>0</v>
          </cell>
          <cell r="BK232">
            <v>0</v>
          </cell>
          <cell r="BL232">
            <v>0</v>
          </cell>
          <cell r="BM232">
            <v>0</v>
          </cell>
          <cell r="BN232">
            <v>0</v>
          </cell>
          <cell r="BO232">
            <v>0</v>
          </cell>
          <cell r="BP232">
            <v>0</v>
          </cell>
          <cell r="BQ232">
            <v>0</v>
          </cell>
          <cell r="BR232">
            <v>0</v>
          </cell>
          <cell r="BS232">
            <v>0</v>
          </cell>
          <cell r="BT232">
            <v>0</v>
          </cell>
          <cell r="BU232">
            <v>0</v>
          </cell>
          <cell r="BV232">
            <v>0</v>
          </cell>
          <cell r="BW232">
            <v>0</v>
          </cell>
          <cell r="BX232">
            <v>0</v>
          </cell>
          <cell r="BY232">
            <v>0</v>
          </cell>
          <cell r="BZ232">
            <v>0</v>
          </cell>
          <cell r="CA232">
            <v>0</v>
          </cell>
          <cell r="CB232">
            <v>0</v>
          </cell>
          <cell r="CC232">
            <v>0</v>
          </cell>
          <cell r="CD232">
            <v>0</v>
          </cell>
          <cell r="CE232">
            <v>0</v>
          </cell>
          <cell r="CF232">
            <v>0</v>
          </cell>
          <cell r="CG232">
            <v>0</v>
          </cell>
          <cell r="CH232">
            <v>0</v>
          </cell>
          <cell r="CI232">
            <v>0</v>
          </cell>
          <cell r="CJ232">
            <v>0</v>
          </cell>
          <cell r="CK232">
            <v>0</v>
          </cell>
          <cell r="CL232">
            <v>0</v>
          </cell>
          <cell r="CM232">
            <v>0</v>
          </cell>
          <cell r="CN232">
            <v>0</v>
          </cell>
          <cell r="CO232">
            <v>0</v>
          </cell>
          <cell r="CP232">
            <v>0</v>
          </cell>
          <cell r="CQ232">
            <v>0</v>
          </cell>
          <cell r="CR232">
            <v>0</v>
          </cell>
          <cell r="CS232">
            <v>0</v>
          </cell>
          <cell r="CT232">
            <v>0</v>
          </cell>
          <cell r="CU232">
            <v>0</v>
          </cell>
          <cell r="CV232">
            <v>0</v>
          </cell>
          <cell r="CW232">
            <v>0</v>
          </cell>
          <cell r="CX232">
            <v>0</v>
          </cell>
          <cell r="CY232">
            <v>0</v>
          </cell>
          <cell r="CZ232">
            <v>0</v>
          </cell>
          <cell r="DA232">
            <v>0</v>
          </cell>
          <cell r="DB232">
            <v>0</v>
          </cell>
          <cell r="DC232">
            <v>0</v>
          </cell>
          <cell r="DD232">
            <v>0</v>
          </cell>
          <cell r="DE232">
            <v>0</v>
          </cell>
          <cell r="DF232">
            <v>0</v>
          </cell>
          <cell r="DG232">
            <v>0</v>
          </cell>
          <cell r="DH232">
            <v>0</v>
          </cell>
          <cell r="DI232">
            <v>0</v>
          </cell>
          <cell r="DJ232">
            <v>0</v>
          </cell>
          <cell r="DK232">
            <v>0</v>
          </cell>
          <cell r="DL232">
            <v>0</v>
          </cell>
          <cell r="DM232">
            <v>0</v>
          </cell>
          <cell r="DN232">
            <v>0</v>
          </cell>
          <cell r="DO232">
            <v>0</v>
          </cell>
          <cell r="DP232">
            <v>0</v>
          </cell>
          <cell r="DQ232">
            <v>0</v>
          </cell>
          <cell r="DR232">
            <v>0</v>
          </cell>
          <cell r="DS232">
            <v>0</v>
          </cell>
          <cell r="DT232">
            <v>0</v>
          </cell>
          <cell r="DU232">
            <v>0</v>
          </cell>
          <cell r="DV232">
            <v>0</v>
          </cell>
          <cell r="DW232">
            <v>0</v>
          </cell>
          <cell r="DX232">
            <v>0</v>
          </cell>
          <cell r="DY232">
            <v>0</v>
          </cell>
          <cell r="DZ232">
            <v>0</v>
          </cell>
          <cell r="EA232">
            <v>0</v>
          </cell>
          <cell r="EB232">
            <v>0</v>
          </cell>
          <cell r="EC232">
            <v>0</v>
          </cell>
          <cell r="ED232">
            <v>0</v>
          </cell>
          <cell r="EE232">
            <v>0</v>
          </cell>
          <cell r="EF232">
            <v>0</v>
          </cell>
          <cell r="EG232">
            <v>0</v>
          </cell>
          <cell r="EH232">
            <v>0</v>
          </cell>
          <cell r="EI232">
            <v>0</v>
          </cell>
          <cell r="EJ232">
            <v>0</v>
          </cell>
          <cell r="EK232">
            <v>0</v>
          </cell>
          <cell r="EL232">
            <v>0</v>
          </cell>
          <cell r="EM232">
            <v>0</v>
          </cell>
          <cell r="EN232">
            <v>0</v>
          </cell>
          <cell r="EO232">
            <v>0</v>
          </cell>
          <cell r="EP232">
            <v>0</v>
          </cell>
          <cell r="EQ232">
            <v>0</v>
          </cell>
          <cell r="ER232">
            <v>0</v>
          </cell>
          <cell r="ES232">
            <v>0</v>
          </cell>
          <cell r="ET232">
            <v>0</v>
          </cell>
          <cell r="EU232">
            <v>0</v>
          </cell>
          <cell r="EV232">
            <v>0</v>
          </cell>
          <cell r="EW232">
            <v>0</v>
          </cell>
          <cell r="EX232">
            <v>0</v>
          </cell>
          <cell r="EY232">
            <v>0</v>
          </cell>
          <cell r="EZ232">
            <v>0</v>
          </cell>
          <cell r="FA232">
            <v>0</v>
          </cell>
          <cell r="FB232">
            <v>0</v>
          </cell>
          <cell r="FC232">
            <v>0</v>
          </cell>
          <cell r="FD232">
            <v>0</v>
          </cell>
          <cell r="FE232">
            <v>0</v>
          </cell>
          <cell r="FF232">
            <v>0</v>
          </cell>
          <cell r="FG232">
            <v>0</v>
          </cell>
          <cell r="FH232">
            <v>0</v>
          </cell>
          <cell r="FI232">
            <v>0</v>
          </cell>
          <cell r="FJ232">
            <v>0</v>
          </cell>
          <cell r="FK232">
            <v>0</v>
          </cell>
          <cell r="FL232">
            <v>0</v>
          </cell>
          <cell r="FM232">
            <v>0</v>
          </cell>
          <cell r="FN232">
            <v>0</v>
          </cell>
          <cell r="FO232">
            <v>0</v>
          </cell>
          <cell r="FP232">
            <v>0</v>
          </cell>
          <cell r="FQ232">
            <v>0</v>
          </cell>
          <cell r="FR232">
            <v>0</v>
          </cell>
          <cell r="FS232">
            <v>0</v>
          </cell>
          <cell r="FT232">
            <v>0</v>
          </cell>
          <cell r="FU232">
            <v>0</v>
          </cell>
          <cell r="FV232">
            <v>0</v>
          </cell>
          <cell r="FW232">
            <v>0</v>
          </cell>
          <cell r="FX232">
            <v>0</v>
          </cell>
          <cell r="FY232">
            <v>0</v>
          </cell>
          <cell r="FZ232">
            <v>0</v>
          </cell>
        </row>
        <row r="233">
          <cell r="B233">
            <v>0</v>
          </cell>
          <cell r="C233">
            <v>0</v>
          </cell>
          <cell r="D233">
            <v>0</v>
          </cell>
          <cell r="E233">
            <v>0</v>
          </cell>
          <cell r="F233">
            <v>0</v>
          </cell>
          <cell r="G233">
            <v>0</v>
          </cell>
          <cell r="H233">
            <v>0</v>
          </cell>
          <cell r="I233">
            <v>0</v>
          </cell>
          <cell r="J233">
            <v>0</v>
          </cell>
          <cell r="K233">
            <v>0</v>
          </cell>
          <cell r="L233">
            <v>0</v>
          </cell>
          <cell r="M233">
            <v>0</v>
          </cell>
          <cell r="N233">
            <v>0</v>
          </cell>
          <cell r="O233">
            <v>0</v>
          </cell>
          <cell r="P233">
            <v>0</v>
          </cell>
          <cell r="Q233">
            <v>0</v>
          </cell>
          <cell r="R233">
            <v>0</v>
          </cell>
          <cell r="S233">
            <v>0</v>
          </cell>
          <cell r="T233">
            <v>0</v>
          </cell>
          <cell r="U233">
            <v>0</v>
          </cell>
          <cell r="V233">
            <v>0</v>
          </cell>
          <cell r="W233">
            <v>0</v>
          </cell>
          <cell r="X233">
            <v>0</v>
          </cell>
          <cell r="Y233">
            <v>0</v>
          </cell>
          <cell r="Z233">
            <v>0</v>
          </cell>
          <cell r="AA233">
            <v>0</v>
          </cell>
          <cell r="AB233">
            <v>0</v>
          </cell>
          <cell r="AC233">
            <v>0</v>
          </cell>
          <cell r="AD233">
            <v>0</v>
          </cell>
          <cell r="AE233">
            <v>0</v>
          </cell>
          <cell r="AF233">
            <v>0</v>
          </cell>
          <cell r="AG233">
            <v>0</v>
          </cell>
          <cell r="AH233">
            <v>0</v>
          </cell>
          <cell r="AI233">
            <v>0</v>
          </cell>
          <cell r="AJ233">
            <v>0</v>
          </cell>
          <cell r="AK233">
            <v>0</v>
          </cell>
          <cell r="AL233">
            <v>0</v>
          </cell>
          <cell r="AM233">
            <v>0</v>
          </cell>
          <cell r="AN233">
            <v>0</v>
          </cell>
          <cell r="AO233">
            <v>0</v>
          </cell>
          <cell r="AP233">
            <v>0</v>
          </cell>
          <cell r="AQ233">
            <v>0</v>
          </cell>
          <cell r="AR233">
            <v>0</v>
          </cell>
          <cell r="AS233">
            <v>0</v>
          </cell>
          <cell r="AT233">
            <v>0</v>
          </cell>
          <cell r="AU233">
            <v>0</v>
          </cell>
          <cell r="AV233">
            <v>0</v>
          </cell>
          <cell r="AW233">
            <v>0</v>
          </cell>
          <cell r="AX233">
            <v>0</v>
          </cell>
          <cell r="AY233">
            <v>0</v>
          </cell>
          <cell r="AZ233">
            <v>0</v>
          </cell>
          <cell r="BA233">
            <v>0</v>
          </cell>
          <cell r="BB233">
            <v>0</v>
          </cell>
          <cell r="BC233">
            <v>0</v>
          </cell>
          <cell r="BD233">
            <v>0</v>
          </cell>
          <cell r="BE233">
            <v>0</v>
          </cell>
          <cell r="BF233">
            <v>0</v>
          </cell>
          <cell r="BG233">
            <v>0</v>
          </cell>
          <cell r="BH233">
            <v>0</v>
          </cell>
          <cell r="BI233">
            <v>0</v>
          </cell>
          <cell r="BJ233">
            <v>0</v>
          </cell>
          <cell r="BK233">
            <v>0</v>
          </cell>
          <cell r="BL233">
            <v>0</v>
          </cell>
          <cell r="BM233">
            <v>0</v>
          </cell>
          <cell r="BN233">
            <v>0</v>
          </cell>
          <cell r="BO233">
            <v>0</v>
          </cell>
          <cell r="BP233">
            <v>0</v>
          </cell>
          <cell r="BQ233">
            <v>0</v>
          </cell>
          <cell r="BR233">
            <v>0</v>
          </cell>
          <cell r="BS233">
            <v>0</v>
          </cell>
          <cell r="BT233">
            <v>0</v>
          </cell>
          <cell r="BU233">
            <v>0</v>
          </cell>
          <cell r="BV233">
            <v>0</v>
          </cell>
          <cell r="BW233">
            <v>0</v>
          </cell>
          <cell r="BX233">
            <v>0</v>
          </cell>
          <cell r="BY233">
            <v>0</v>
          </cell>
          <cell r="BZ233">
            <v>0</v>
          </cell>
          <cell r="CA233">
            <v>0</v>
          </cell>
          <cell r="CB233">
            <v>0</v>
          </cell>
          <cell r="CC233">
            <v>0</v>
          </cell>
          <cell r="CD233">
            <v>0</v>
          </cell>
          <cell r="CE233">
            <v>0</v>
          </cell>
          <cell r="CF233">
            <v>0</v>
          </cell>
          <cell r="CG233">
            <v>0</v>
          </cell>
          <cell r="CH233">
            <v>0</v>
          </cell>
          <cell r="CI233">
            <v>0</v>
          </cell>
          <cell r="CJ233">
            <v>0</v>
          </cell>
          <cell r="CK233">
            <v>0</v>
          </cell>
          <cell r="CL233">
            <v>0</v>
          </cell>
          <cell r="CM233">
            <v>0</v>
          </cell>
          <cell r="CN233">
            <v>0</v>
          </cell>
          <cell r="CO233">
            <v>0</v>
          </cell>
          <cell r="CP233">
            <v>0</v>
          </cell>
          <cell r="CQ233">
            <v>0</v>
          </cell>
          <cell r="CR233">
            <v>0</v>
          </cell>
          <cell r="CS233">
            <v>0</v>
          </cell>
          <cell r="CT233">
            <v>0</v>
          </cell>
          <cell r="CU233">
            <v>0</v>
          </cell>
          <cell r="CV233">
            <v>0</v>
          </cell>
          <cell r="CW233">
            <v>0</v>
          </cell>
          <cell r="CX233">
            <v>0</v>
          </cell>
          <cell r="CY233">
            <v>0</v>
          </cell>
          <cell r="CZ233">
            <v>0</v>
          </cell>
          <cell r="DA233">
            <v>0</v>
          </cell>
          <cell r="DB233">
            <v>0</v>
          </cell>
          <cell r="DC233">
            <v>0</v>
          </cell>
          <cell r="DD233">
            <v>0</v>
          </cell>
          <cell r="DE233">
            <v>0</v>
          </cell>
          <cell r="DF233">
            <v>0</v>
          </cell>
          <cell r="DG233">
            <v>0</v>
          </cell>
          <cell r="DH233">
            <v>0</v>
          </cell>
          <cell r="DI233">
            <v>0</v>
          </cell>
          <cell r="DJ233">
            <v>0</v>
          </cell>
          <cell r="DK233">
            <v>0</v>
          </cell>
          <cell r="DL233">
            <v>0</v>
          </cell>
          <cell r="DM233">
            <v>0</v>
          </cell>
          <cell r="DN233">
            <v>0</v>
          </cell>
          <cell r="DO233">
            <v>0</v>
          </cell>
          <cell r="DP233">
            <v>0</v>
          </cell>
          <cell r="DQ233">
            <v>0</v>
          </cell>
          <cell r="DR233">
            <v>0</v>
          </cell>
          <cell r="DS233">
            <v>0</v>
          </cell>
          <cell r="DT233">
            <v>0</v>
          </cell>
          <cell r="DU233">
            <v>0</v>
          </cell>
          <cell r="DV233">
            <v>0</v>
          </cell>
          <cell r="DW233">
            <v>0</v>
          </cell>
          <cell r="DX233">
            <v>0</v>
          </cell>
          <cell r="DY233">
            <v>0</v>
          </cell>
          <cell r="DZ233">
            <v>0</v>
          </cell>
          <cell r="EA233">
            <v>0</v>
          </cell>
          <cell r="EB233">
            <v>0</v>
          </cell>
          <cell r="EC233">
            <v>0</v>
          </cell>
          <cell r="ED233">
            <v>0</v>
          </cell>
          <cell r="EE233">
            <v>0</v>
          </cell>
          <cell r="EF233">
            <v>0</v>
          </cell>
          <cell r="EG233">
            <v>0</v>
          </cell>
          <cell r="EH233">
            <v>0</v>
          </cell>
          <cell r="EI233">
            <v>0</v>
          </cell>
          <cell r="EJ233">
            <v>0</v>
          </cell>
          <cell r="EK233">
            <v>0</v>
          </cell>
          <cell r="EL233">
            <v>0</v>
          </cell>
          <cell r="EM233">
            <v>0</v>
          </cell>
          <cell r="EN233">
            <v>0</v>
          </cell>
          <cell r="EO233">
            <v>0</v>
          </cell>
          <cell r="EP233">
            <v>0</v>
          </cell>
          <cell r="EQ233">
            <v>0</v>
          </cell>
          <cell r="ER233">
            <v>0</v>
          </cell>
          <cell r="ES233">
            <v>0</v>
          </cell>
          <cell r="ET233">
            <v>0</v>
          </cell>
          <cell r="EU233">
            <v>0</v>
          </cell>
          <cell r="EV233">
            <v>0</v>
          </cell>
          <cell r="EW233">
            <v>0</v>
          </cell>
          <cell r="EX233">
            <v>0</v>
          </cell>
          <cell r="EY233">
            <v>0</v>
          </cell>
          <cell r="EZ233">
            <v>0</v>
          </cell>
          <cell r="FA233">
            <v>0</v>
          </cell>
          <cell r="FB233">
            <v>0</v>
          </cell>
          <cell r="FC233">
            <v>0</v>
          </cell>
          <cell r="FD233">
            <v>0</v>
          </cell>
          <cell r="FE233">
            <v>0</v>
          </cell>
          <cell r="FF233">
            <v>0</v>
          </cell>
          <cell r="FG233">
            <v>0</v>
          </cell>
          <cell r="FH233">
            <v>0</v>
          </cell>
          <cell r="FI233">
            <v>0</v>
          </cell>
          <cell r="FJ233">
            <v>0</v>
          </cell>
          <cell r="FK233">
            <v>0</v>
          </cell>
          <cell r="FL233">
            <v>0</v>
          </cell>
          <cell r="FM233">
            <v>0</v>
          </cell>
          <cell r="FN233">
            <v>0</v>
          </cell>
          <cell r="FO233">
            <v>0</v>
          </cell>
          <cell r="FP233">
            <v>0</v>
          </cell>
          <cell r="FQ233">
            <v>0</v>
          </cell>
          <cell r="FR233">
            <v>0</v>
          </cell>
          <cell r="FS233">
            <v>0</v>
          </cell>
          <cell r="FT233">
            <v>0</v>
          </cell>
          <cell r="FU233">
            <v>0</v>
          </cell>
          <cell r="FV233">
            <v>0</v>
          </cell>
          <cell r="FW233">
            <v>0</v>
          </cell>
          <cell r="FX233">
            <v>0</v>
          </cell>
          <cell r="FY233">
            <v>0</v>
          </cell>
          <cell r="FZ233">
            <v>0</v>
          </cell>
        </row>
        <row r="234">
          <cell r="B234">
            <v>0</v>
          </cell>
          <cell r="C234">
            <v>0</v>
          </cell>
          <cell r="D234">
            <v>0</v>
          </cell>
          <cell r="E234">
            <v>0</v>
          </cell>
          <cell r="F234">
            <v>0</v>
          </cell>
          <cell r="G234">
            <v>0</v>
          </cell>
          <cell r="H234">
            <v>0</v>
          </cell>
          <cell r="I234">
            <v>0</v>
          </cell>
          <cell r="J234">
            <v>0</v>
          </cell>
          <cell r="K234">
            <v>0</v>
          </cell>
          <cell r="L234">
            <v>0</v>
          </cell>
          <cell r="M234">
            <v>0</v>
          </cell>
          <cell r="N234">
            <v>0</v>
          </cell>
          <cell r="O234">
            <v>0</v>
          </cell>
          <cell r="P234">
            <v>0</v>
          </cell>
          <cell r="Q234">
            <v>0</v>
          </cell>
          <cell r="R234">
            <v>0</v>
          </cell>
          <cell r="S234">
            <v>0</v>
          </cell>
          <cell r="T234">
            <v>0</v>
          </cell>
          <cell r="U234">
            <v>0</v>
          </cell>
          <cell r="V234">
            <v>0</v>
          </cell>
          <cell r="W234">
            <v>0</v>
          </cell>
          <cell r="X234">
            <v>0</v>
          </cell>
          <cell r="Y234">
            <v>0</v>
          </cell>
          <cell r="Z234">
            <v>0</v>
          </cell>
          <cell r="AA234">
            <v>0</v>
          </cell>
          <cell r="AB234">
            <v>0</v>
          </cell>
          <cell r="AC234">
            <v>0</v>
          </cell>
          <cell r="AD234">
            <v>0</v>
          </cell>
          <cell r="AE234">
            <v>0</v>
          </cell>
          <cell r="AF234">
            <v>0</v>
          </cell>
          <cell r="AG234">
            <v>0</v>
          </cell>
          <cell r="AH234">
            <v>0</v>
          </cell>
          <cell r="AI234">
            <v>0</v>
          </cell>
          <cell r="AJ234">
            <v>0</v>
          </cell>
          <cell r="AK234">
            <v>0</v>
          </cell>
          <cell r="AL234">
            <v>0</v>
          </cell>
          <cell r="AM234">
            <v>0</v>
          </cell>
          <cell r="AN234">
            <v>0</v>
          </cell>
          <cell r="AO234">
            <v>0</v>
          </cell>
          <cell r="AP234">
            <v>0</v>
          </cell>
          <cell r="AQ234">
            <v>0</v>
          </cell>
          <cell r="AR234">
            <v>0</v>
          </cell>
          <cell r="AS234">
            <v>0</v>
          </cell>
          <cell r="AT234">
            <v>0</v>
          </cell>
          <cell r="AU234">
            <v>0</v>
          </cell>
          <cell r="AV234">
            <v>0</v>
          </cell>
          <cell r="AW234">
            <v>0</v>
          </cell>
          <cell r="AX234">
            <v>0</v>
          </cell>
          <cell r="AY234">
            <v>0</v>
          </cell>
          <cell r="AZ234">
            <v>0</v>
          </cell>
          <cell r="BA234">
            <v>0</v>
          </cell>
          <cell r="BB234">
            <v>0</v>
          </cell>
          <cell r="BC234">
            <v>0</v>
          </cell>
          <cell r="BD234">
            <v>0</v>
          </cell>
          <cell r="BE234">
            <v>0</v>
          </cell>
          <cell r="BF234">
            <v>0</v>
          </cell>
          <cell r="BG234">
            <v>0</v>
          </cell>
          <cell r="BH234">
            <v>0</v>
          </cell>
          <cell r="BI234">
            <v>0</v>
          </cell>
          <cell r="BJ234">
            <v>0</v>
          </cell>
          <cell r="BK234">
            <v>0</v>
          </cell>
          <cell r="BL234">
            <v>0</v>
          </cell>
          <cell r="BM234">
            <v>0</v>
          </cell>
          <cell r="BN234">
            <v>0</v>
          </cell>
          <cell r="BO234">
            <v>0</v>
          </cell>
          <cell r="BP234">
            <v>0</v>
          </cell>
          <cell r="BQ234">
            <v>0</v>
          </cell>
          <cell r="BR234">
            <v>0</v>
          </cell>
          <cell r="BS234">
            <v>0</v>
          </cell>
          <cell r="BT234">
            <v>0</v>
          </cell>
          <cell r="BU234">
            <v>0</v>
          </cell>
          <cell r="BV234">
            <v>0</v>
          </cell>
          <cell r="BW234">
            <v>0</v>
          </cell>
          <cell r="BX234">
            <v>0</v>
          </cell>
          <cell r="BY234">
            <v>0</v>
          </cell>
          <cell r="BZ234">
            <v>0</v>
          </cell>
          <cell r="CA234">
            <v>0</v>
          </cell>
          <cell r="CB234">
            <v>0</v>
          </cell>
          <cell r="CC234">
            <v>0</v>
          </cell>
          <cell r="CD234">
            <v>0</v>
          </cell>
          <cell r="CE234">
            <v>0</v>
          </cell>
          <cell r="CF234">
            <v>0</v>
          </cell>
          <cell r="CG234">
            <v>0</v>
          </cell>
          <cell r="CH234">
            <v>0</v>
          </cell>
          <cell r="CI234">
            <v>0</v>
          </cell>
          <cell r="CJ234">
            <v>0</v>
          </cell>
          <cell r="CK234">
            <v>0</v>
          </cell>
          <cell r="CL234">
            <v>0</v>
          </cell>
          <cell r="CM234">
            <v>0</v>
          </cell>
          <cell r="CN234">
            <v>0</v>
          </cell>
          <cell r="CO234">
            <v>0</v>
          </cell>
          <cell r="CP234">
            <v>0</v>
          </cell>
          <cell r="CQ234">
            <v>0</v>
          </cell>
          <cell r="CR234">
            <v>0</v>
          </cell>
          <cell r="CS234">
            <v>0</v>
          </cell>
          <cell r="CT234">
            <v>0</v>
          </cell>
          <cell r="CU234">
            <v>0</v>
          </cell>
          <cell r="CV234">
            <v>0</v>
          </cell>
          <cell r="CW234">
            <v>0</v>
          </cell>
          <cell r="CX234">
            <v>0</v>
          </cell>
          <cell r="CY234">
            <v>0</v>
          </cell>
          <cell r="CZ234">
            <v>0</v>
          </cell>
          <cell r="DA234">
            <v>0</v>
          </cell>
          <cell r="DB234">
            <v>0</v>
          </cell>
          <cell r="DC234">
            <v>0</v>
          </cell>
          <cell r="DD234">
            <v>0</v>
          </cell>
          <cell r="DE234">
            <v>0</v>
          </cell>
          <cell r="DF234">
            <v>0</v>
          </cell>
          <cell r="DG234">
            <v>0</v>
          </cell>
          <cell r="DH234">
            <v>0</v>
          </cell>
          <cell r="DI234">
            <v>0</v>
          </cell>
          <cell r="DJ234">
            <v>0</v>
          </cell>
          <cell r="DK234">
            <v>0</v>
          </cell>
          <cell r="DL234">
            <v>0</v>
          </cell>
          <cell r="DM234">
            <v>0</v>
          </cell>
          <cell r="DN234">
            <v>0</v>
          </cell>
          <cell r="DO234">
            <v>0</v>
          </cell>
          <cell r="DP234">
            <v>0</v>
          </cell>
          <cell r="DQ234">
            <v>0</v>
          </cell>
          <cell r="DR234">
            <v>0</v>
          </cell>
          <cell r="DS234">
            <v>0</v>
          </cell>
          <cell r="DT234">
            <v>0</v>
          </cell>
          <cell r="DU234">
            <v>0</v>
          </cell>
          <cell r="DV234">
            <v>0</v>
          </cell>
          <cell r="DW234">
            <v>0</v>
          </cell>
          <cell r="DX234">
            <v>0</v>
          </cell>
          <cell r="DY234">
            <v>0</v>
          </cell>
          <cell r="DZ234">
            <v>0</v>
          </cell>
          <cell r="EA234">
            <v>0</v>
          </cell>
          <cell r="EB234">
            <v>0</v>
          </cell>
          <cell r="EC234">
            <v>0</v>
          </cell>
          <cell r="ED234">
            <v>0</v>
          </cell>
          <cell r="EE234">
            <v>0</v>
          </cell>
          <cell r="EF234">
            <v>0</v>
          </cell>
          <cell r="EG234">
            <v>0</v>
          </cell>
          <cell r="EH234">
            <v>0</v>
          </cell>
          <cell r="EI234">
            <v>0</v>
          </cell>
          <cell r="EJ234">
            <v>0</v>
          </cell>
          <cell r="EK234">
            <v>0</v>
          </cell>
          <cell r="EL234">
            <v>0</v>
          </cell>
          <cell r="EM234">
            <v>0</v>
          </cell>
          <cell r="EN234">
            <v>0</v>
          </cell>
          <cell r="EO234">
            <v>0</v>
          </cell>
          <cell r="EP234">
            <v>0</v>
          </cell>
          <cell r="EQ234">
            <v>0</v>
          </cell>
          <cell r="ER234">
            <v>0</v>
          </cell>
          <cell r="ES234">
            <v>0</v>
          </cell>
          <cell r="ET234">
            <v>0</v>
          </cell>
          <cell r="EU234">
            <v>0</v>
          </cell>
          <cell r="EV234">
            <v>0</v>
          </cell>
          <cell r="EW234">
            <v>0</v>
          </cell>
          <cell r="EX234">
            <v>0</v>
          </cell>
          <cell r="EY234">
            <v>0</v>
          </cell>
          <cell r="EZ234">
            <v>0</v>
          </cell>
          <cell r="FA234">
            <v>0</v>
          </cell>
          <cell r="FB234">
            <v>0</v>
          </cell>
          <cell r="FC234">
            <v>0</v>
          </cell>
          <cell r="FD234">
            <v>0</v>
          </cell>
          <cell r="FE234">
            <v>0</v>
          </cell>
          <cell r="FF234">
            <v>0</v>
          </cell>
          <cell r="FG234">
            <v>0</v>
          </cell>
          <cell r="FH234">
            <v>0</v>
          </cell>
          <cell r="FI234">
            <v>0</v>
          </cell>
          <cell r="FJ234">
            <v>0</v>
          </cell>
          <cell r="FK234">
            <v>0</v>
          </cell>
          <cell r="FL234">
            <v>0</v>
          </cell>
          <cell r="FM234">
            <v>0</v>
          </cell>
          <cell r="FN234">
            <v>0</v>
          </cell>
          <cell r="FO234">
            <v>0</v>
          </cell>
          <cell r="FP234">
            <v>0</v>
          </cell>
          <cell r="FQ234">
            <v>0</v>
          </cell>
          <cell r="FR234">
            <v>0</v>
          </cell>
          <cell r="FS234">
            <v>0</v>
          </cell>
          <cell r="FT234">
            <v>0</v>
          </cell>
          <cell r="FU234">
            <v>0</v>
          </cell>
          <cell r="FV234">
            <v>0</v>
          </cell>
          <cell r="FW234">
            <v>0</v>
          </cell>
          <cell r="FX234">
            <v>0</v>
          </cell>
          <cell r="FY234">
            <v>0</v>
          </cell>
          <cell r="FZ234">
            <v>0</v>
          </cell>
        </row>
        <row r="235">
          <cell r="B235">
            <v>0</v>
          </cell>
          <cell r="C235">
            <v>0</v>
          </cell>
          <cell r="D235">
            <v>0</v>
          </cell>
          <cell r="E235">
            <v>0</v>
          </cell>
          <cell r="F235">
            <v>0</v>
          </cell>
          <cell r="G235">
            <v>0</v>
          </cell>
          <cell r="H235">
            <v>0</v>
          </cell>
          <cell r="I235">
            <v>0</v>
          </cell>
          <cell r="J235">
            <v>0</v>
          </cell>
          <cell r="K235">
            <v>0</v>
          </cell>
          <cell r="L235">
            <v>0</v>
          </cell>
          <cell r="M235">
            <v>0</v>
          </cell>
          <cell r="N235">
            <v>0</v>
          </cell>
          <cell r="O235">
            <v>0</v>
          </cell>
          <cell r="P235">
            <v>0</v>
          </cell>
          <cell r="Q235">
            <v>0</v>
          </cell>
          <cell r="R235">
            <v>0</v>
          </cell>
          <cell r="S235">
            <v>0</v>
          </cell>
          <cell r="T235">
            <v>0</v>
          </cell>
          <cell r="U235">
            <v>0</v>
          </cell>
          <cell r="V235">
            <v>0</v>
          </cell>
          <cell r="W235">
            <v>0</v>
          </cell>
          <cell r="X235">
            <v>0</v>
          </cell>
          <cell r="Y235">
            <v>0</v>
          </cell>
          <cell r="Z235">
            <v>0</v>
          </cell>
          <cell r="AA235">
            <v>0</v>
          </cell>
          <cell r="AB235">
            <v>0</v>
          </cell>
          <cell r="AC235">
            <v>0</v>
          </cell>
          <cell r="AD235">
            <v>0</v>
          </cell>
          <cell r="AE235">
            <v>0</v>
          </cell>
          <cell r="AF235">
            <v>0</v>
          </cell>
          <cell r="AG235">
            <v>0</v>
          </cell>
          <cell r="AH235">
            <v>0</v>
          </cell>
          <cell r="AI235">
            <v>0</v>
          </cell>
          <cell r="AJ235">
            <v>0</v>
          </cell>
          <cell r="AK235">
            <v>0</v>
          </cell>
          <cell r="AL235">
            <v>0</v>
          </cell>
          <cell r="AM235">
            <v>0</v>
          </cell>
          <cell r="AN235">
            <v>0</v>
          </cell>
          <cell r="AO235">
            <v>0</v>
          </cell>
          <cell r="AP235">
            <v>0</v>
          </cell>
          <cell r="AQ235">
            <v>0</v>
          </cell>
          <cell r="AR235">
            <v>0</v>
          </cell>
          <cell r="AS235">
            <v>0</v>
          </cell>
          <cell r="AT235">
            <v>0</v>
          </cell>
          <cell r="AU235">
            <v>0</v>
          </cell>
          <cell r="AV235">
            <v>0</v>
          </cell>
          <cell r="AW235">
            <v>0</v>
          </cell>
          <cell r="AX235">
            <v>0</v>
          </cell>
          <cell r="AY235">
            <v>0</v>
          </cell>
          <cell r="AZ235">
            <v>0</v>
          </cell>
          <cell r="BA235">
            <v>0</v>
          </cell>
          <cell r="BB235">
            <v>0</v>
          </cell>
          <cell r="BC235">
            <v>0</v>
          </cell>
          <cell r="BD235">
            <v>0</v>
          </cell>
          <cell r="BE235">
            <v>0</v>
          </cell>
          <cell r="BF235">
            <v>0</v>
          </cell>
          <cell r="BG235">
            <v>0</v>
          </cell>
          <cell r="BH235">
            <v>0</v>
          </cell>
          <cell r="BI235">
            <v>0</v>
          </cell>
          <cell r="BJ235">
            <v>0</v>
          </cell>
          <cell r="BK235">
            <v>0</v>
          </cell>
          <cell r="BL235">
            <v>0</v>
          </cell>
          <cell r="BM235">
            <v>0</v>
          </cell>
          <cell r="BN235">
            <v>0</v>
          </cell>
          <cell r="BO235">
            <v>0</v>
          </cell>
          <cell r="BP235">
            <v>0</v>
          </cell>
          <cell r="BQ235">
            <v>0</v>
          </cell>
          <cell r="BR235">
            <v>0</v>
          </cell>
          <cell r="BS235">
            <v>0</v>
          </cell>
          <cell r="BT235">
            <v>0</v>
          </cell>
          <cell r="BU235">
            <v>0</v>
          </cell>
          <cell r="BV235">
            <v>0</v>
          </cell>
          <cell r="BW235">
            <v>0</v>
          </cell>
          <cell r="BX235">
            <v>0</v>
          </cell>
          <cell r="BY235">
            <v>0</v>
          </cell>
          <cell r="BZ235">
            <v>0</v>
          </cell>
          <cell r="CA235">
            <v>0</v>
          </cell>
          <cell r="CB235">
            <v>0</v>
          </cell>
          <cell r="CC235">
            <v>0</v>
          </cell>
          <cell r="CD235">
            <v>0</v>
          </cell>
          <cell r="CE235">
            <v>0</v>
          </cell>
          <cell r="CF235">
            <v>0</v>
          </cell>
          <cell r="CG235">
            <v>0</v>
          </cell>
          <cell r="CH235">
            <v>0</v>
          </cell>
          <cell r="CI235">
            <v>0</v>
          </cell>
          <cell r="CJ235">
            <v>0</v>
          </cell>
          <cell r="CK235">
            <v>0</v>
          </cell>
          <cell r="CL235">
            <v>0</v>
          </cell>
          <cell r="CM235">
            <v>0</v>
          </cell>
          <cell r="CN235">
            <v>0</v>
          </cell>
          <cell r="CO235">
            <v>0</v>
          </cell>
          <cell r="CP235">
            <v>0</v>
          </cell>
          <cell r="CQ235">
            <v>0</v>
          </cell>
          <cell r="CR235">
            <v>0</v>
          </cell>
          <cell r="CS235">
            <v>0</v>
          </cell>
          <cell r="CT235">
            <v>0</v>
          </cell>
          <cell r="CU235">
            <v>0</v>
          </cell>
          <cell r="CV235">
            <v>0</v>
          </cell>
          <cell r="CW235">
            <v>0</v>
          </cell>
          <cell r="CX235">
            <v>0</v>
          </cell>
          <cell r="CY235">
            <v>0</v>
          </cell>
          <cell r="CZ235">
            <v>0</v>
          </cell>
          <cell r="DA235">
            <v>0</v>
          </cell>
          <cell r="DB235">
            <v>0</v>
          </cell>
          <cell r="DC235">
            <v>0</v>
          </cell>
          <cell r="DD235">
            <v>0</v>
          </cell>
          <cell r="DE235">
            <v>0</v>
          </cell>
          <cell r="DF235">
            <v>0</v>
          </cell>
          <cell r="DG235">
            <v>0</v>
          </cell>
          <cell r="DH235">
            <v>0</v>
          </cell>
          <cell r="DI235">
            <v>0</v>
          </cell>
          <cell r="DJ235">
            <v>0</v>
          </cell>
          <cell r="DK235">
            <v>0</v>
          </cell>
          <cell r="DL235">
            <v>0</v>
          </cell>
          <cell r="DM235">
            <v>0</v>
          </cell>
          <cell r="DN235">
            <v>0</v>
          </cell>
          <cell r="DO235">
            <v>0</v>
          </cell>
          <cell r="DP235">
            <v>0</v>
          </cell>
          <cell r="DQ235">
            <v>0</v>
          </cell>
          <cell r="DR235">
            <v>0</v>
          </cell>
          <cell r="DS235">
            <v>0</v>
          </cell>
          <cell r="DT235">
            <v>0</v>
          </cell>
          <cell r="DU235">
            <v>0</v>
          </cell>
          <cell r="DV235">
            <v>0</v>
          </cell>
          <cell r="DW235">
            <v>0</v>
          </cell>
          <cell r="DX235">
            <v>0</v>
          </cell>
          <cell r="DY235">
            <v>0</v>
          </cell>
          <cell r="DZ235">
            <v>0</v>
          </cell>
          <cell r="EA235">
            <v>0</v>
          </cell>
          <cell r="EB235">
            <v>0</v>
          </cell>
          <cell r="EC235">
            <v>0</v>
          </cell>
          <cell r="ED235">
            <v>0</v>
          </cell>
          <cell r="EE235">
            <v>0</v>
          </cell>
          <cell r="EF235">
            <v>0</v>
          </cell>
          <cell r="EG235">
            <v>0</v>
          </cell>
          <cell r="EH235">
            <v>0</v>
          </cell>
          <cell r="EI235">
            <v>0</v>
          </cell>
          <cell r="EJ235">
            <v>0</v>
          </cell>
          <cell r="EK235">
            <v>0</v>
          </cell>
          <cell r="EL235">
            <v>0</v>
          </cell>
          <cell r="EM235">
            <v>0</v>
          </cell>
          <cell r="EN235">
            <v>0</v>
          </cell>
          <cell r="EO235">
            <v>0</v>
          </cell>
          <cell r="EP235">
            <v>0</v>
          </cell>
          <cell r="EQ235">
            <v>0</v>
          </cell>
          <cell r="ER235">
            <v>0</v>
          </cell>
          <cell r="ES235">
            <v>0</v>
          </cell>
          <cell r="ET235">
            <v>0</v>
          </cell>
          <cell r="EU235">
            <v>0</v>
          </cell>
          <cell r="EV235">
            <v>0</v>
          </cell>
          <cell r="EW235">
            <v>0</v>
          </cell>
          <cell r="EX235">
            <v>0</v>
          </cell>
          <cell r="EY235">
            <v>0</v>
          </cell>
          <cell r="EZ235">
            <v>0</v>
          </cell>
          <cell r="FA235">
            <v>0</v>
          </cell>
          <cell r="FB235">
            <v>0</v>
          </cell>
          <cell r="FC235">
            <v>0</v>
          </cell>
          <cell r="FD235">
            <v>0</v>
          </cell>
          <cell r="FE235">
            <v>0</v>
          </cell>
          <cell r="FF235">
            <v>0</v>
          </cell>
          <cell r="FG235">
            <v>0</v>
          </cell>
          <cell r="FH235">
            <v>0</v>
          </cell>
          <cell r="FI235">
            <v>0</v>
          </cell>
          <cell r="FJ235">
            <v>0</v>
          </cell>
          <cell r="FK235">
            <v>0</v>
          </cell>
          <cell r="FL235">
            <v>0</v>
          </cell>
          <cell r="FM235">
            <v>0</v>
          </cell>
          <cell r="FN235">
            <v>0</v>
          </cell>
          <cell r="FO235">
            <v>0</v>
          </cell>
          <cell r="FP235">
            <v>0</v>
          </cell>
          <cell r="FQ235">
            <v>0</v>
          </cell>
          <cell r="FR235">
            <v>0</v>
          </cell>
          <cell r="FS235">
            <v>0</v>
          </cell>
          <cell r="FT235">
            <v>0</v>
          </cell>
          <cell r="FU235">
            <v>0</v>
          </cell>
          <cell r="FV235">
            <v>0</v>
          </cell>
          <cell r="FW235">
            <v>0</v>
          </cell>
          <cell r="FX235">
            <v>0</v>
          </cell>
          <cell r="FY235">
            <v>0</v>
          </cell>
          <cell r="FZ235">
            <v>0</v>
          </cell>
        </row>
        <row r="236">
          <cell r="B236">
            <v>0</v>
          </cell>
          <cell r="C236">
            <v>0</v>
          </cell>
          <cell r="D236">
            <v>0</v>
          </cell>
          <cell r="E236">
            <v>0</v>
          </cell>
          <cell r="F236">
            <v>0</v>
          </cell>
          <cell r="G236">
            <v>0</v>
          </cell>
          <cell r="H236">
            <v>0</v>
          </cell>
          <cell r="I236">
            <v>0</v>
          </cell>
          <cell r="J236">
            <v>0</v>
          </cell>
          <cell r="K236">
            <v>0</v>
          </cell>
          <cell r="L236">
            <v>0</v>
          </cell>
          <cell r="M236">
            <v>0</v>
          </cell>
          <cell r="N236">
            <v>0</v>
          </cell>
          <cell r="O236">
            <v>0</v>
          </cell>
          <cell r="P236">
            <v>0</v>
          </cell>
          <cell r="Q236">
            <v>0</v>
          </cell>
          <cell r="R236">
            <v>0</v>
          </cell>
          <cell r="S236">
            <v>0</v>
          </cell>
          <cell r="T236">
            <v>0</v>
          </cell>
          <cell r="U236">
            <v>0</v>
          </cell>
          <cell r="V236">
            <v>0</v>
          </cell>
          <cell r="W236">
            <v>0</v>
          </cell>
          <cell r="X236">
            <v>0</v>
          </cell>
          <cell r="Y236">
            <v>0</v>
          </cell>
          <cell r="Z236">
            <v>0</v>
          </cell>
          <cell r="AA236">
            <v>0</v>
          </cell>
          <cell r="AB236">
            <v>0</v>
          </cell>
          <cell r="AC236">
            <v>0</v>
          </cell>
          <cell r="AD236">
            <v>0</v>
          </cell>
          <cell r="AE236">
            <v>0</v>
          </cell>
          <cell r="AF236">
            <v>0</v>
          </cell>
          <cell r="AG236">
            <v>0</v>
          </cell>
          <cell r="AH236">
            <v>0</v>
          </cell>
          <cell r="AI236">
            <v>0</v>
          </cell>
          <cell r="AJ236">
            <v>0</v>
          </cell>
          <cell r="AK236">
            <v>0</v>
          </cell>
          <cell r="AL236">
            <v>0</v>
          </cell>
          <cell r="AM236">
            <v>0</v>
          </cell>
          <cell r="AN236">
            <v>0</v>
          </cell>
          <cell r="AO236">
            <v>0</v>
          </cell>
          <cell r="AP236">
            <v>0</v>
          </cell>
          <cell r="AQ236">
            <v>0</v>
          </cell>
          <cell r="AR236">
            <v>0</v>
          </cell>
          <cell r="AS236">
            <v>0</v>
          </cell>
          <cell r="AT236">
            <v>0</v>
          </cell>
          <cell r="AU236">
            <v>0</v>
          </cell>
          <cell r="AV236">
            <v>0</v>
          </cell>
          <cell r="AW236">
            <v>0</v>
          </cell>
          <cell r="AX236">
            <v>0</v>
          </cell>
          <cell r="AY236">
            <v>0</v>
          </cell>
          <cell r="AZ236">
            <v>0</v>
          </cell>
          <cell r="BA236">
            <v>0</v>
          </cell>
          <cell r="BB236">
            <v>0</v>
          </cell>
          <cell r="BC236">
            <v>0</v>
          </cell>
          <cell r="BD236">
            <v>0</v>
          </cell>
          <cell r="BE236">
            <v>0</v>
          </cell>
          <cell r="BF236">
            <v>0</v>
          </cell>
          <cell r="BG236">
            <v>0</v>
          </cell>
          <cell r="BH236">
            <v>0</v>
          </cell>
          <cell r="BI236">
            <v>0</v>
          </cell>
          <cell r="BJ236">
            <v>0</v>
          </cell>
          <cell r="BK236">
            <v>0</v>
          </cell>
          <cell r="BL236">
            <v>0</v>
          </cell>
          <cell r="BM236">
            <v>0</v>
          </cell>
          <cell r="BN236">
            <v>0</v>
          </cell>
          <cell r="BO236">
            <v>0</v>
          </cell>
          <cell r="BP236">
            <v>0</v>
          </cell>
          <cell r="BQ236">
            <v>0</v>
          </cell>
          <cell r="BR236">
            <v>0</v>
          </cell>
          <cell r="BS236">
            <v>0</v>
          </cell>
          <cell r="BT236">
            <v>0</v>
          </cell>
          <cell r="BU236">
            <v>0</v>
          </cell>
          <cell r="BV236">
            <v>0</v>
          </cell>
          <cell r="BW236">
            <v>0</v>
          </cell>
          <cell r="BX236">
            <v>0</v>
          </cell>
          <cell r="BY236">
            <v>0</v>
          </cell>
          <cell r="BZ236">
            <v>0</v>
          </cell>
          <cell r="CA236">
            <v>0</v>
          </cell>
          <cell r="CB236">
            <v>0</v>
          </cell>
          <cell r="CC236">
            <v>0</v>
          </cell>
          <cell r="CD236">
            <v>0</v>
          </cell>
          <cell r="CE236">
            <v>0</v>
          </cell>
          <cell r="CF236">
            <v>0</v>
          </cell>
          <cell r="CG236">
            <v>0</v>
          </cell>
          <cell r="CH236">
            <v>0</v>
          </cell>
          <cell r="CI236">
            <v>0</v>
          </cell>
          <cell r="CJ236">
            <v>0</v>
          </cell>
          <cell r="CK236">
            <v>0</v>
          </cell>
          <cell r="CL236">
            <v>0</v>
          </cell>
          <cell r="CM236">
            <v>0</v>
          </cell>
          <cell r="CN236">
            <v>0</v>
          </cell>
          <cell r="CO236">
            <v>0</v>
          </cell>
          <cell r="CP236">
            <v>0</v>
          </cell>
          <cell r="CQ236">
            <v>0</v>
          </cell>
          <cell r="CR236">
            <v>0</v>
          </cell>
          <cell r="CS236">
            <v>0</v>
          </cell>
          <cell r="CT236">
            <v>0</v>
          </cell>
          <cell r="CU236">
            <v>0</v>
          </cell>
          <cell r="CV236">
            <v>0</v>
          </cell>
          <cell r="CW236">
            <v>0</v>
          </cell>
          <cell r="CX236">
            <v>0</v>
          </cell>
          <cell r="CY236">
            <v>0</v>
          </cell>
          <cell r="CZ236">
            <v>0</v>
          </cell>
          <cell r="DA236">
            <v>0</v>
          </cell>
          <cell r="DB236">
            <v>0</v>
          </cell>
          <cell r="DC236">
            <v>0</v>
          </cell>
          <cell r="DD236">
            <v>0</v>
          </cell>
          <cell r="DE236">
            <v>0</v>
          </cell>
          <cell r="DF236">
            <v>0</v>
          </cell>
          <cell r="DG236">
            <v>0</v>
          </cell>
          <cell r="DH236">
            <v>0</v>
          </cell>
          <cell r="DI236">
            <v>0</v>
          </cell>
          <cell r="DJ236">
            <v>0</v>
          </cell>
          <cell r="DK236">
            <v>0</v>
          </cell>
          <cell r="DL236">
            <v>0</v>
          </cell>
          <cell r="DM236">
            <v>0</v>
          </cell>
          <cell r="DN236">
            <v>0</v>
          </cell>
          <cell r="DO236">
            <v>0</v>
          </cell>
          <cell r="DP236">
            <v>0</v>
          </cell>
          <cell r="DQ236">
            <v>0</v>
          </cell>
          <cell r="DR236">
            <v>0</v>
          </cell>
          <cell r="DS236">
            <v>0</v>
          </cell>
          <cell r="DT236">
            <v>0</v>
          </cell>
          <cell r="DU236">
            <v>0</v>
          </cell>
          <cell r="DV236">
            <v>0</v>
          </cell>
          <cell r="DW236">
            <v>0</v>
          </cell>
          <cell r="DX236">
            <v>0</v>
          </cell>
          <cell r="DY236">
            <v>0</v>
          </cell>
          <cell r="DZ236">
            <v>0</v>
          </cell>
          <cell r="EA236">
            <v>0</v>
          </cell>
          <cell r="EB236">
            <v>0</v>
          </cell>
          <cell r="EC236">
            <v>0</v>
          </cell>
          <cell r="ED236">
            <v>0</v>
          </cell>
          <cell r="EE236">
            <v>0</v>
          </cell>
          <cell r="EF236">
            <v>0</v>
          </cell>
          <cell r="EG236">
            <v>0</v>
          </cell>
          <cell r="EH236">
            <v>0</v>
          </cell>
          <cell r="EI236">
            <v>0</v>
          </cell>
          <cell r="EJ236">
            <v>0</v>
          </cell>
          <cell r="EK236">
            <v>0</v>
          </cell>
          <cell r="EL236">
            <v>0</v>
          </cell>
          <cell r="EM236">
            <v>0</v>
          </cell>
          <cell r="EN236">
            <v>0</v>
          </cell>
          <cell r="EO236">
            <v>0</v>
          </cell>
          <cell r="EP236">
            <v>0</v>
          </cell>
          <cell r="EQ236">
            <v>0</v>
          </cell>
          <cell r="ER236">
            <v>0</v>
          </cell>
          <cell r="ES236">
            <v>0</v>
          </cell>
          <cell r="ET236">
            <v>0</v>
          </cell>
          <cell r="EU236">
            <v>0</v>
          </cell>
          <cell r="EV236">
            <v>0</v>
          </cell>
          <cell r="EW236">
            <v>0</v>
          </cell>
          <cell r="EX236">
            <v>0</v>
          </cell>
          <cell r="EY236">
            <v>0</v>
          </cell>
          <cell r="EZ236">
            <v>0</v>
          </cell>
          <cell r="FA236">
            <v>0</v>
          </cell>
          <cell r="FB236">
            <v>0</v>
          </cell>
          <cell r="FC236">
            <v>0</v>
          </cell>
          <cell r="FD236">
            <v>0</v>
          </cell>
          <cell r="FE236">
            <v>0</v>
          </cell>
          <cell r="FF236">
            <v>0</v>
          </cell>
          <cell r="FG236">
            <v>0</v>
          </cell>
          <cell r="FH236">
            <v>0</v>
          </cell>
          <cell r="FI236">
            <v>0</v>
          </cell>
          <cell r="FJ236">
            <v>0</v>
          </cell>
          <cell r="FK236">
            <v>0</v>
          </cell>
          <cell r="FL236">
            <v>0</v>
          </cell>
          <cell r="FM236">
            <v>0</v>
          </cell>
          <cell r="FN236">
            <v>0</v>
          </cell>
          <cell r="FO236">
            <v>0</v>
          </cell>
          <cell r="FP236">
            <v>0</v>
          </cell>
          <cell r="FQ236">
            <v>0</v>
          </cell>
          <cell r="FR236">
            <v>0</v>
          </cell>
          <cell r="FS236">
            <v>0</v>
          </cell>
          <cell r="FT236">
            <v>0</v>
          </cell>
          <cell r="FU236">
            <v>0</v>
          </cell>
          <cell r="FV236">
            <v>0</v>
          </cell>
          <cell r="FW236">
            <v>0</v>
          </cell>
          <cell r="FX236">
            <v>0</v>
          </cell>
          <cell r="FY236">
            <v>0</v>
          </cell>
          <cell r="FZ236">
            <v>0</v>
          </cell>
        </row>
        <row r="237">
          <cell r="B237">
            <v>0</v>
          </cell>
          <cell r="C237">
            <v>0</v>
          </cell>
          <cell r="D237">
            <v>0</v>
          </cell>
          <cell r="E237">
            <v>0</v>
          </cell>
          <cell r="F237">
            <v>0</v>
          </cell>
          <cell r="G237">
            <v>0</v>
          </cell>
          <cell r="H237">
            <v>0</v>
          </cell>
          <cell r="I237">
            <v>0</v>
          </cell>
          <cell r="J237">
            <v>0</v>
          </cell>
          <cell r="K237">
            <v>0</v>
          </cell>
          <cell r="L237">
            <v>0</v>
          </cell>
          <cell r="M237">
            <v>0</v>
          </cell>
          <cell r="N237">
            <v>0</v>
          </cell>
          <cell r="O237">
            <v>0</v>
          </cell>
          <cell r="P237">
            <v>0</v>
          </cell>
          <cell r="Q237">
            <v>0</v>
          </cell>
          <cell r="R237">
            <v>0</v>
          </cell>
          <cell r="S237">
            <v>0</v>
          </cell>
          <cell r="T237">
            <v>0</v>
          </cell>
          <cell r="U237">
            <v>0</v>
          </cell>
          <cell r="V237">
            <v>0</v>
          </cell>
          <cell r="W237">
            <v>0</v>
          </cell>
          <cell r="X237">
            <v>0</v>
          </cell>
          <cell r="Y237">
            <v>0</v>
          </cell>
          <cell r="Z237">
            <v>0</v>
          </cell>
          <cell r="AA237">
            <v>0</v>
          </cell>
          <cell r="AB237">
            <v>0</v>
          </cell>
          <cell r="AC237">
            <v>0</v>
          </cell>
          <cell r="AD237">
            <v>0</v>
          </cell>
          <cell r="AE237">
            <v>0</v>
          </cell>
          <cell r="AF237">
            <v>0</v>
          </cell>
          <cell r="AG237">
            <v>0</v>
          </cell>
          <cell r="AH237">
            <v>0</v>
          </cell>
          <cell r="AI237">
            <v>0</v>
          </cell>
          <cell r="AJ237">
            <v>0</v>
          </cell>
          <cell r="AK237">
            <v>0</v>
          </cell>
          <cell r="AL237">
            <v>0</v>
          </cell>
          <cell r="AM237">
            <v>0</v>
          </cell>
          <cell r="AN237">
            <v>0</v>
          </cell>
          <cell r="AO237">
            <v>0</v>
          </cell>
          <cell r="AP237">
            <v>0</v>
          </cell>
          <cell r="AQ237">
            <v>0</v>
          </cell>
          <cell r="AR237">
            <v>0</v>
          </cell>
          <cell r="AS237">
            <v>0</v>
          </cell>
          <cell r="AT237">
            <v>0</v>
          </cell>
          <cell r="AU237">
            <v>0</v>
          </cell>
          <cell r="AV237">
            <v>0</v>
          </cell>
          <cell r="AW237">
            <v>0</v>
          </cell>
          <cell r="AX237">
            <v>0</v>
          </cell>
          <cell r="AY237">
            <v>0</v>
          </cell>
          <cell r="AZ237">
            <v>0</v>
          </cell>
          <cell r="BA237">
            <v>0</v>
          </cell>
          <cell r="BB237">
            <v>0</v>
          </cell>
          <cell r="BC237">
            <v>0</v>
          </cell>
          <cell r="BD237">
            <v>0</v>
          </cell>
          <cell r="BE237">
            <v>0</v>
          </cell>
          <cell r="BF237">
            <v>0</v>
          </cell>
          <cell r="BG237">
            <v>0</v>
          </cell>
          <cell r="BH237">
            <v>0</v>
          </cell>
          <cell r="BI237">
            <v>0</v>
          </cell>
          <cell r="BJ237">
            <v>0</v>
          </cell>
          <cell r="BK237">
            <v>0</v>
          </cell>
          <cell r="BL237">
            <v>0</v>
          </cell>
          <cell r="BM237">
            <v>0</v>
          </cell>
          <cell r="BN237">
            <v>0</v>
          </cell>
          <cell r="BO237">
            <v>0</v>
          </cell>
          <cell r="BP237">
            <v>0</v>
          </cell>
          <cell r="BQ237">
            <v>0</v>
          </cell>
          <cell r="BR237">
            <v>0</v>
          </cell>
          <cell r="BS237">
            <v>0</v>
          </cell>
          <cell r="BT237">
            <v>0</v>
          </cell>
          <cell r="BU237">
            <v>0</v>
          </cell>
          <cell r="BV237">
            <v>0</v>
          </cell>
          <cell r="BW237">
            <v>0</v>
          </cell>
          <cell r="BX237">
            <v>0</v>
          </cell>
          <cell r="BY237">
            <v>0</v>
          </cell>
          <cell r="BZ237">
            <v>0</v>
          </cell>
          <cell r="CA237">
            <v>0</v>
          </cell>
          <cell r="CB237">
            <v>0</v>
          </cell>
          <cell r="CC237">
            <v>0</v>
          </cell>
          <cell r="CD237">
            <v>0</v>
          </cell>
          <cell r="CE237">
            <v>0</v>
          </cell>
          <cell r="CF237">
            <v>0</v>
          </cell>
          <cell r="CG237">
            <v>0</v>
          </cell>
          <cell r="CH237">
            <v>0</v>
          </cell>
          <cell r="CI237">
            <v>0</v>
          </cell>
          <cell r="CJ237">
            <v>0</v>
          </cell>
          <cell r="CK237">
            <v>0</v>
          </cell>
          <cell r="CL237">
            <v>0</v>
          </cell>
          <cell r="CM237">
            <v>0</v>
          </cell>
          <cell r="CN237">
            <v>0</v>
          </cell>
          <cell r="CO237">
            <v>0</v>
          </cell>
          <cell r="CP237">
            <v>0</v>
          </cell>
          <cell r="CQ237">
            <v>0</v>
          </cell>
          <cell r="CR237">
            <v>0</v>
          </cell>
          <cell r="CS237">
            <v>0</v>
          </cell>
          <cell r="CT237">
            <v>0</v>
          </cell>
          <cell r="CU237">
            <v>0</v>
          </cell>
          <cell r="CV237">
            <v>0</v>
          </cell>
          <cell r="CW237">
            <v>0</v>
          </cell>
          <cell r="CX237">
            <v>0</v>
          </cell>
          <cell r="CY237">
            <v>0</v>
          </cell>
          <cell r="CZ237">
            <v>0</v>
          </cell>
          <cell r="DA237">
            <v>0</v>
          </cell>
          <cell r="DB237">
            <v>0</v>
          </cell>
          <cell r="DC237">
            <v>0</v>
          </cell>
          <cell r="DD237">
            <v>0</v>
          </cell>
          <cell r="DE237">
            <v>0</v>
          </cell>
          <cell r="DF237">
            <v>0</v>
          </cell>
          <cell r="DG237">
            <v>0</v>
          </cell>
          <cell r="DH237">
            <v>0</v>
          </cell>
          <cell r="DI237">
            <v>0</v>
          </cell>
          <cell r="DJ237">
            <v>0</v>
          </cell>
          <cell r="DK237">
            <v>0</v>
          </cell>
          <cell r="DL237">
            <v>0</v>
          </cell>
          <cell r="DM237">
            <v>0</v>
          </cell>
          <cell r="DN237">
            <v>0</v>
          </cell>
          <cell r="DO237">
            <v>0</v>
          </cell>
          <cell r="DP237">
            <v>0</v>
          </cell>
          <cell r="DQ237">
            <v>0</v>
          </cell>
          <cell r="DR237">
            <v>0</v>
          </cell>
          <cell r="DS237">
            <v>0</v>
          </cell>
          <cell r="DT237">
            <v>0</v>
          </cell>
          <cell r="DU237">
            <v>0</v>
          </cell>
          <cell r="DV237">
            <v>0</v>
          </cell>
          <cell r="DW237">
            <v>0</v>
          </cell>
          <cell r="DX237">
            <v>0</v>
          </cell>
          <cell r="DY237">
            <v>0</v>
          </cell>
          <cell r="DZ237">
            <v>0</v>
          </cell>
          <cell r="EA237">
            <v>0</v>
          </cell>
          <cell r="EB237">
            <v>0</v>
          </cell>
          <cell r="EC237">
            <v>0</v>
          </cell>
          <cell r="ED237">
            <v>0</v>
          </cell>
          <cell r="EE237">
            <v>0</v>
          </cell>
          <cell r="EF237">
            <v>0</v>
          </cell>
          <cell r="EG237">
            <v>0</v>
          </cell>
          <cell r="EH237">
            <v>0</v>
          </cell>
          <cell r="EI237">
            <v>0</v>
          </cell>
          <cell r="EJ237">
            <v>0</v>
          </cell>
          <cell r="EK237">
            <v>0</v>
          </cell>
          <cell r="EL237">
            <v>0</v>
          </cell>
          <cell r="EM237">
            <v>0</v>
          </cell>
          <cell r="EN237">
            <v>0</v>
          </cell>
          <cell r="EO237">
            <v>0</v>
          </cell>
          <cell r="EP237">
            <v>0</v>
          </cell>
          <cell r="EQ237">
            <v>0</v>
          </cell>
          <cell r="ER237">
            <v>0</v>
          </cell>
          <cell r="ES237">
            <v>0</v>
          </cell>
          <cell r="ET237">
            <v>0</v>
          </cell>
          <cell r="EU237">
            <v>0</v>
          </cell>
          <cell r="EV237">
            <v>0</v>
          </cell>
          <cell r="EW237">
            <v>0</v>
          </cell>
          <cell r="EX237">
            <v>0</v>
          </cell>
          <cell r="EY237">
            <v>0</v>
          </cell>
          <cell r="EZ237">
            <v>0</v>
          </cell>
          <cell r="FA237">
            <v>0</v>
          </cell>
          <cell r="FB237">
            <v>0</v>
          </cell>
          <cell r="FC237">
            <v>0</v>
          </cell>
          <cell r="FD237">
            <v>0</v>
          </cell>
          <cell r="FE237">
            <v>0</v>
          </cell>
          <cell r="FF237">
            <v>0</v>
          </cell>
          <cell r="FG237">
            <v>0</v>
          </cell>
          <cell r="FH237">
            <v>0</v>
          </cell>
          <cell r="FI237">
            <v>0</v>
          </cell>
          <cell r="FJ237">
            <v>0</v>
          </cell>
          <cell r="FK237">
            <v>0</v>
          </cell>
          <cell r="FL237">
            <v>0</v>
          </cell>
          <cell r="FM237">
            <v>0</v>
          </cell>
          <cell r="FN237">
            <v>0</v>
          </cell>
          <cell r="FO237">
            <v>0</v>
          </cell>
          <cell r="FP237">
            <v>0</v>
          </cell>
          <cell r="FQ237">
            <v>0</v>
          </cell>
          <cell r="FR237">
            <v>0</v>
          </cell>
          <cell r="FS237">
            <v>0</v>
          </cell>
          <cell r="FT237">
            <v>0</v>
          </cell>
          <cell r="FU237">
            <v>0</v>
          </cell>
          <cell r="FV237">
            <v>0</v>
          </cell>
          <cell r="FW237">
            <v>0</v>
          </cell>
          <cell r="FX237">
            <v>0</v>
          </cell>
          <cell r="FY237">
            <v>0</v>
          </cell>
          <cell r="FZ237">
            <v>0</v>
          </cell>
        </row>
        <row r="238">
          <cell r="B238">
            <v>0</v>
          </cell>
          <cell r="C238">
            <v>0</v>
          </cell>
          <cell r="D238">
            <v>0</v>
          </cell>
          <cell r="E238">
            <v>0</v>
          </cell>
          <cell r="F238">
            <v>0</v>
          </cell>
          <cell r="G238">
            <v>0</v>
          </cell>
          <cell r="H238">
            <v>0</v>
          </cell>
          <cell r="I238">
            <v>0</v>
          </cell>
          <cell r="J238">
            <v>0</v>
          </cell>
          <cell r="K238">
            <v>0</v>
          </cell>
          <cell r="L238">
            <v>0</v>
          </cell>
          <cell r="M238">
            <v>0</v>
          </cell>
          <cell r="N238">
            <v>0</v>
          </cell>
          <cell r="O238">
            <v>0</v>
          </cell>
          <cell r="P238">
            <v>0</v>
          </cell>
          <cell r="Q238">
            <v>0</v>
          </cell>
          <cell r="R238">
            <v>0</v>
          </cell>
          <cell r="S238">
            <v>0</v>
          </cell>
          <cell r="T238">
            <v>0</v>
          </cell>
          <cell r="U238">
            <v>0</v>
          </cell>
          <cell r="V238">
            <v>0</v>
          </cell>
          <cell r="W238">
            <v>0</v>
          </cell>
          <cell r="X238">
            <v>0</v>
          </cell>
          <cell r="Y238">
            <v>0</v>
          </cell>
          <cell r="Z238">
            <v>0</v>
          </cell>
          <cell r="AA238">
            <v>0</v>
          </cell>
          <cell r="AB238">
            <v>0</v>
          </cell>
          <cell r="AC238">
            <v>0</v>
          </cell>
          <cell r="AD238">
            <v>0</v>
          </cell>
          <cell r="AE238">
            <v>0</v>
          </cell>
          <cell r="AF238">
            <v>0</v>
          </cell>
          <cell r="AG238">
            <v>0</v>
          </cell>
          <cell r="AH238">
            <v>0</v>
          </cell>
          <cell r="AI238">
            <v>0</v>
          </cell>
          <cell r="AJ238">
            <v>0</v>
          </cell>
          <cell r="AK238">
            <v>0</v>
          </cell>
          <cell r="AL238">
            <v>0</v>
          </cell>
          <cell r="AM238">
            <v>0</v>
          </cell>
          <cell r="AN238">
            <v>0</v>
          </cell>
          <cell r="AO238">
            <v>0</v>
          </cell>
          <cell r="AP238">
            <v>0</v>
          </cell>
          <cell r="AQ238">
            <v>0</v>
          </cell>
          <cell r="AR238">
            <v>0</v>
          </cell>
          <cell r="AS238">
            <v>0</v>
          </cell>
          <cell r="AT238">
            <v>0</v>
          </cell>
          <cell r="AU238">
            <v>0</v>
          </cell>
          <cell r="AV238">
            <v>0</v>
          </cell>
          <cell r="AW238">
            <v>0</v>
          </cell>
          <cell r="AX238">
            <v>0</v>
          </cell>
          <cell r="AY238">
            <v>0</v>
          </cell>
          <cell r="AZ238">
            <v>0</v>
          </cell>
          <cell r="BA238">
            <v>0</v>
          </cell>
          <cell r="BB238">
            <v>0</v>
          </cell>
          <cell r="BC238">
            <v>0</v>
          </cell>
          <cell r="BD238">
            <v>0</v>
          </cell>
          <cell r="BE238">
            <v>0</v>
          </cell>
          <cell r="BF238">
            <v>0</v>
          </cell>
          <cell r="BG238">
            <v>0</v>
          </cell>
          <cell r="BH238">
            <v>0</v>
          </cell>
          <cell r="BI238">
            <v>0</v>
          </cell>
          <cell r="BJ238">
            <v>0</v>
          </cell>
          <cell r="BK238">
            <v>0</v>
          </cell>
          <cell r="BL238">
            <v>0</v>
          </cell>
          <cell r="BM238">
            <v>0</v>
          </cell>
          <cell r="BN238">
            <v>0</v>
          </cell>
          <cell r="BO238">
            <v>0</v>
          </cell>
          <cell r="BP238">
            <v>0</v>
          </cell>
          <cell r="BQ238">
            <v>0</v>
          </cell>
          <cell r="BR238">
            <v>0</v>
          </cell>
          <cell r="BS238">
            <v>0</v>
          </cell>
          <cell r="BT238">
            <v>0</v>
          </cell>
          <cell r="BU238">
            <v>0</v>
          </cell>
          <cell r="BV238">
            <v>0</v>
          </cell>
          <cell r="BW238">
            <v>0</v>
          </cell>
          <cell r="BX238">
            <v>0</v>
          </cell>
          <cell r="BY238">
            <v>0</v>
          </cell>
          <cell r="BZ238">
            <v>0</v>
          </cell>
          <cell r="CA238">
            <v>0</v>
          </cell>
          <cell r="CB238">
            <v>0</v>
          </cell>
          <cell r="CC238">
            <v>0</v>
          </cell>
          <cell r="CD238">
            <v>0</v>
          </cell>
          <cell r="CE238">
            <v>0</v>
          </cell>
          <cell r="CF238">
            <v>0</v>
          </cell>
          <cell r="CG238">
            <v>0</v>
          </cell>
          <cell r="CH238">
            <v>0</v>
          </cell>
          <cell r="CI238">
            <v>0</v>
          </cell>
          <cell r="CJ238">
            <v>0</v>
          </cell>
          <cell r="CK238">
            <v>0</v>
          </cell>
          <cell r="CL238">
            <v>0</v>
          </cell>
          <cell r="CM238">
            <v>0</v>
          </cell>
          <cell r="CN238">
            <v>0</v>
          </cell>
          <cell r="CO238">
            <v>0</v>
          </cell>
          <cell r="CP238">
            <v>0</v>
          </cell>
          <cell r="CQ238">
            <v>0</v>
          </cell>
          <cell r="CR238">
            <v>0</v>
          </cell>
          <cell r="CS238">
            <v>0</v>
          </cell>
          <cell r="CT238">
            <v>0</v>
          </cell>
          <cell r="CU238">
            <v>0</v>
          </cell>
          <cell r="CV238">
            <v>0</v>
          </cell>
          <cell r="CW238">
            <v>0</v>
          </cell>
          <cell r="CX238">
            <v>0</v>
          </cell>
          <cell r="CY238">
            <v>0</v>
          </cell>
          <cell r="CZ238">
            <v>0</v>
          </cell>
          <cell r="DA238">
            <v>0</v>
          </cell>
          <cell r="DB238">
            <v>0</v>
          </cell>
          <cell r="DC238">
            <v>0</v>
          </cell>
          <cell r="DD238">
            <v>0</v>
          </cell>
          <cell r="DE238">
            <v>0</v>
          </cell>
          <cell r="DF238">
            <v>0</v>
          </cell>
          <cell r="DG238">
            <v>0</v>
          </cell>
          <cell r="DH238">
            <v>0</v>
          </cell>
          <cell r="DI238">
            <v>0</v>
          </cell>
          <cell r="DJ238">
            <v>0</v>
          </cell>
          <cell r="DK238">
            <v>0</v>
          </cell>
          <cell r="DL238">
            <v>0</v>
          </cell>
          <cell r="DM238">
            <v>0</v>
          </cell>
          <cell r="DN238">
            <v>0</v>
          </cell>
          <cell r="DO238">
            <v>0</v>
          </cell>
          <cell r="DP238">
            <v>0</v>
          </cell>
          <cell r="DQ238">
            <v>0</v>
          </cell>
          <cell r="DR238">
            <v>0</v>
          </cell>
          <cell r="DS238">
            <v>0</v>
          </cell>
          <cell r="DT238">
            <v>0</v>
          </cell>
          <cell r="DU238">
            <v>0</v>
          </cell>
          <cell r="DV238">
            <v>0</v>
          </cell>
          <cell r="DW238">
            <v>0</v>
          </cell>
          <cell r="DX238">
            <v>0</v>
          </cell>
          <cell r="DY238">
            <v>0</v>
          </cell>
          <cell r="DZ238">
            <v>0</v>
          </cell>
          <cell r="EA238">
            <v>0</v>
          </cell>
          <cell r="EB238">
            <v>0</v>
          </cell>
          <cell r="EC238">
            <v>0</v>
          </cell>
          <cell r="ED238">
            <v>0</v>
          </cell>
          <cell r="EE238">
            <v>0</v>
          </cell>
          <cell r="EF238">
            <v>0</v>
          </cell>
          <cell r="EG238">
            <v>0</v>
          </cell>
          <cell r="EH238">
            <v>0</v>
          </cell>
          <cell r="EI238">
            <v>0</v>
          </cell>
          <cell r="EJ238">
            <v>0</v>
          </cell>
          <cell r="EK238">
            <v>0</v>
          </cell>
          <cell r="EL238">
            <v>0</v>
          </cell>
          <cell r="EM238">
            <v>0</v>
          </cell>
          <cell r="EN238">
            <v>0</v>
          </cell>
          <cell r="EO238">
            <v>0</v>
          </cell>
          <cell r="EP238">
            <v>0</v>
          </cell>
          <cell r="EQ238">
            <v>0</v>
          </cell>
          <cell r="ER238">
            <v>0</v>
          </cell>
          <cell r="ES238">
            <v>0</v>
          </cell>
          <cell r="ET238">
            <v>0</v>
          </cell>
          <cell r="EU238">
            <v>0</v>
          </cell>
          <cell r="EV238">
            <v>0</v>
          </cell>
          <cell r="EW238">
            <v>0</v>
          </cell>
          <cell r="EX238">
            <v>0</v>
          </cell>
          <cell r="EY238">
            <v>0</v>
          </cell>
          <cell r="EZ238">
            <v>0</v>
          </cell>
          <cell r="FA238">
            <v>0</v>
          </cell>
          <cell r="FB238">
            <v>0</v>
          </cell>
          <cell r="FC238">
            <v>0</v>
          </cell>
          <cell r="FD238">
            <v>0</v>
          </cell>
          <cell r="FE238">
            <v>0</v>
          </cell>
          <cell r="FF238">
            <v>0</v>
          </cell>
          <cell r="FG238">
            <v>0</v>
          </cell>
          <cell r="FH238">
            <v>0</v>
          </cell>
          <cell r="FI238">
            <v>0</v>
          </cell>
          <cell r="FJ238">
            <v>0</v>
          </cell>
          <cell r="FK238">
            <v>0</v>
          </cell>
          <cell r="FL238">
            <v>0</v>
          </cell>
          <cell r="FM238">
            <v>0</v>
          </cell>
          <cell r="FN238">
            <v>0</v>
          </cell>
          <cell r="FO238">
            <v>0</v>
          </cell>
          <cell r="FP238">
            <v>0</v>
          </cell>
          <cell r="FQ238">
            <v>0</v>
          </cell>
          <cell r="FR238">
            <v>0</v>
          </cell>
          <cell r="FS238">
            <v>0</v>
          </cell>
          <cell r="FT238">
            <v>0</v>
          </cell>
          <cell r="FU238">
            <v>0</v>
          </cell>
          <cell r="FV238">
            <v>0</v>
          </cell>
          <cell r="FW238">
            <v>0</v>
          </cell>
          <cell r="FX238">
            <v>0</v>
          </cell>
          <cell r="FY238">
            <v>0</v>
          </cell>
          <cell r="FZ238">
            <v>0</v>
          </cell>
        </row>
        <row r="239">
          <cell r="B239">
            <v>0</v>
          </cell>
          <cell r="C239">
            <v>0</v>
          </cell>
          <cell r="D239">
            <v>0</v>
          </cell>
          <cell r="E239">
            <v>0</v>
          </cell>
          <cell r="F239">
            <v>0</v>
          </cell>
          <cell r="G239">
            <v>0</v>
          </cell>
          <cell r="H239">
            <v>0</v>
          </cell>
          <cell r="I239">
            <v>0</v>
          </cell>
          <cell r="J239">
            <v>0</v>
          </cell>
          <cell r="K239">
            <v>0</v>
          </cell>
          <cell r="L239">
            <v>0</v>
          </cell>
          <cell r="M239">
            <v>0</v>
          </cell>
          <cell r="N239">
            <v>0</v>
          </cell>
          <cell r="O239">
            <v>0</v>
          </cell>
          <cell r="P239">
            <v>0</v>
          </cell>
          <cell r="Q239">
            <v>0</v>
          </cell>
          <cell r="R239">
            <v>0</v>
          </cell>
          <cell r="S239">
            <v>0</v>
          </cell>
          <cell r="T239">
            <v>0</v>
          </cell>
          <cell r="U239">
            <v>0</v>
          </cell>
          <cell r="V239">
            <v>0</v>
          </cell>
          <cell r="W239">
            <v>0</v>
          </cell>
          <cell r="X239">
            <v>0</v>
          </cell>
          <cell r="Y239">
            <v>0</v>
          </cell>
          <cell r="Z239">
            <v>0</v>
          </cell>
          <cell r="AA239">
            <v>0</v>
          </cell>
          <cell r="AB239">
            <v>0</v>
          </cell>
          <cell r="AC239">
            <v>0</v>
          </cell>
          <cell r="AD239">
            <v>0</v>
          </cell>
          <cell r="AE239">
            <v>0</v>
          </cell>
          <cell r="AF239">
            <v>0</v>
          </cell>
          <cell r="AG239">
            <v>0</v>
          </cell>
          <cell r="AH239">
            <v>0</v>
          </cell>
          <cell r="AI239">
            <v>0</v>
          </cell>
          <cell r="AJ239">
            <v>0</v>
          </cell>
          <cell r="AK239">
            <v>0</v>
          </cell>
          <cell r="AL239">
            <v>0</v>
          </cell>
          <cell r="AM239">
            <v>0</v>
          </cell>
          <cell r="AN239">
            <v>0</v>
          </cell>
          <cell r="AO239">
            <v>0</v>
          </cell>
          <cell r="AP239">
            <v>0</v>
          </cell>
          <cell r="AQ239">
            <v>0</v>
          </cell>
          <cell r="AR239">
            <v>0</v>
          </cell>
          <cell r="AS239">
            <v>0</v>
          </cell>
          <cell r="AT239">
            <v>0</v>
          </cell>
          <cell r="AU239">
            <v>0</v>
          </cell>
          <cell r="AV239">
            <v>0</v>
          </cell>
          <cell r="AW239">
            <v>0</v>
          </cell>
          <cell r="AX239">
            <v>0</v>
          </cell>
          <cell r="AY239">
            <v>0</v>
          </cell>
          <cell r="AZ239">
            <v>0</v>
          </cell>
          <cell r="BA239">
            <v>0</v>
          </cell>
          <cell r="BB239">
            <v>0</v>
          </cell>
          <cell r="BC239">
            <v>0</v>
          </cell>
          <cell r="BD239">
            <v>0</v>
          </cell>
          <cell r="BE239">
            <v>0</v>
          </cell>
          <cell r="BF239">
            <v>0</v>
          </cell>
          <cell r="BG239">
            <v>0</v>
          </cell>
          <cell r="BH239">
            <v>0</v>
          </cell>
          <cell r="BI239">
            <v>0</v>
          </cell>
          <cell r="BJ239">
            <v>0</v>
          </cell>
          <cell r="BK239">
            <v>0</v>
          </cell>
          <cell r="BL239">
            <v>0</v>
          </cell>
          <cell r="BM239">
            <v>0</v>
          </cell>
          <cell r="BN239">
            <v>0</v>
          </cell>
          <cell r="BO239">
            <v>0</v>
          </cell>
          <cell r="BP239">
            <v>0</v>
          </cell>
          <cell r="BQ239">
            <v>0</v>
          </cell>
          <cell r="BR239">
            <v>0</v>
          </cell>
          <cell r="BS239">
            <v>0</v>
          </cell>
          <cell r="BT239">
            <v>0</v>
          </cell>
          <cell r="BU239">
            <v>0</v>
          </cell>
          <cell r="BV239">
            <v>0</v>
          </cell>
          <cell r="BW239">
            <v>0</v>
          </cell>
          <cell r="BX239">
            <v>0</v>
          </cell>
          <cell r="BY239">
            <v>0</v>
          </cell>
          <cell r="BZ239">
            <v>0</v>
          </cell>
          <cell r="CA239">
            <v>0</v>
          </cell>
          <cell r="CB239">
            <v>0</v>
          </cell>
          <cell r="CC239">
            <v>0</v>
          </cell>
          <cell r="CD239">
            <v>0</v>
          </cell>
          <cell r="CE239">
            <v>0</v>
          </cell>
          <cell r="CF239">
            <v>0</v>
          </cell>
          <cell r="CG239">
            <v>0</v>
          </cell>
          <cell r="CH239">
            <v>0</v>
          </cell>
          <cell r="CI239">
            <v>0</v>
          </cell>
          <cell r="CJ239">
            <v>0</v>
          </cell>
          <cell r="CK239">
            <v>0</v>
          </cell>
          <cell r="CL239">
            <v>0</v>
          </cell>
          <cell r="CM239">
            <v>0</v>
          </cell>
          <cell r="CN239">
            <v>0</v>
          </cell>
          <cell r="CO239">
            <v>0</v>
          </cell>
          <cell r="CP239">
            <v>0</v>
          </cell>
          <cell r="CQ239">
            <v>0</v>
          </cell>
          <cell r="CR239">
            <v>0</v>
          </cell>
          <cell r="CS239">
            <v>0</v>
          </cell>
          <cell r="CT239">
            <v>0</v>
          </cell>
          <cell r="CU239">
            <v>0</v>
          </cell>
          <cell r="CV239">
            <v>0</v>
          </cell>
          <cell r="CW239">
            <v>0</v>
          </cell>
          <cell r="CX239">
            <v>0</v>
          </cell>
          <cell r="CY239">
            <v>0</v>
          </cell>
          <cell r="CZ239">
            <v>0</v>
          </cell>
          <cell r="DA239">
            <v>0</v>
          </cell>
          <cell r="DB239">
            <v>0</v>
          </cell>
          <cell r="DC239">
            <v>0</v>
          </cell>
          <cell r="DD239">
            <v>0</v>
          </cell>
          <cell r="DE239">
            <v>0</v>
          </cell>
          <cell r="DF239">
            <v>0</v>
          </cell>
          <cell r="DG239">
            <v>0</v>
          </cell>
          <cell r="DH239">
            <v>0</v>
          </cell>
          <cell r="DI239">
            <v>0</v>
          </cell>
          <cell r="DJ239">
            <v>0</v>
          </cell>
          <cell r="DK239">
            <v>0</v>
          </cell>
          <cell r="DL239">
            <v>0</v>
          </cell>
          <cell r="DM239">
            <v>0</v>
          </cell>
          <cell r="DN239">
            <v>0</v>
          </cell>
          <cell r="DO239">
            <v>0</v>
          </cell>
          <cell r="DP239">
            <v>0</v>
          </cell>
          <cell r="DQ239">
            <v>0</v>
          </cell>
          <cell r="DR239">
            <v>0</v>
          </cell>
          <cell r="DS239">
            <v>0</v>
          </cell>
          <cell r="DT239">
            <v>0</v>
          </cell>
          <cell r="DU239">
            <v>0</v>
          </cell>
          <cell r="DV239">
            <v>0</v>
          </cell>
          <cell r="DW239">
            <v>0</v>
          </cell>
          <cell r="DX239">
            <v>0</v>
          </cell>
          <cell r="DY239">
            <v>0</v>
          </cell>
          <cell r="DZ239">
            <v>0</v>
          </cell>
          <cell r="EA239">
            <v>0</v>
          </cell>
          <cell r="EB239">
            <v>0</v>
          </cell>
          <cell r="EC239">
            <v>0</v>
          </cell>
          <cell r="ED239">
            <v>0</v>
          </cell>
          <cell r="EE239">
            <v>0</v>
          </cell>
          <cell r="EF239">
            <v>0</v>
          </cell>
          <cell r="EG239">
            <v>0</v>
          </cell>
          <cell r="EH239">
            <v>0</v>
          </cell>
          <cell r="EI239">
            <v>0</v>
          </cell>
          <cell r="EJ239">
            <v>0</v>
          </cell>
          <cell r="EK239">
            <v>0</v>
          </cell>
          <cell r="EL239">
            <v>0</v>
          </cell>
          <cell r="EM239">
            <v>0</v>
          </cell>
          <cell r="EN239">
            <v>0</v>
          </cell>
          <cell r="EO239">
            <v>0</v>
          </cell>
          <cell r="EP239">
            <v>0</v>
          </cell>
          <cell r="EQ239">
            <v>0</v>
          </cell>
          <cell r="ER239">
            <v>0</v>
          </cell>
          <cell r="ES239">
            <v>0</v>
          </cell>
          <cell r="ET239">
            <v>0</v>
          </cell>
          <cell r="EU239">
            <v>0</v>
          </cell>
          <cell r="EV239">
            <v>0</v>
          </cell>
          <cell r="EW239">
            <v>0</v>
          </cell>
          <cell r="EX239">
            <v>0</v>
          </cell>
          <cell r="EY239">
            <v>0</v>
          </cell>
          <cell r="EZ239">
            <v>0</v>
          </cell>
          <cell r="FA239">
            <v>0</v>
          </cell>
          <cell r="FB239">
            <v>0</v>
          </cell>
          <cell r="FC239">
            <v>0</v>
          </cell>
          <cell r="FD239">
            <v>0</v>
          </cell>
          <cell r="FE239">
            <v>0</v>
          </cell>
          <cell r="FF239">
            <v>0</v>
          </cell>
          <cell r="FG239">
            <v>0</v>
          </cell>
          <cell r="FH239">
            <v>0</v>
          </cell>
          <cell r="FI239">
            <v>0</v>
          </cell>
          <cell r="FJ239">
            <v>0</v>
          </cell>
          <cell r="FK239">
            <v>0</v>
          </cell>
          <cell r="FL239">
            <v>0</v>
          </cell>
          <cell r="FM239">
            <v>0</v>
          </cell>
          <cell r="FN239">
            <v>0</v>
          </cell>
          <cell r="FO239">
            <v>0</v>
          </cell>
          <cell r="FP239">
            <v>0</v>
          </cell>
          <cell r="FQ239">
            <v>0</v>
          </cell>
          <cell r="FR239">
            <v>0</v>
          </cell>
          <cell r="FS239">
            <v>0</v>
          </cell>
          <cell r="FT239">
            <v>0</v>
          </cell>
          <cell r="FU239">
            <v>0</v>
          </cell>
          <cell r="FV239">
            <v>0</v>
          </cell>
          <cell r="FW239">
            <v>0</v>
          </cell>
          <cell r="FX239">
            <v>0</v>
          </cell>
          <cell r="FY239">
            <v>0</v>
          </cell>
          <cell r="FZ239">
            <v>0</v>
          </cell>
        </row>
        <row r="240">
          <cell r="B240">
            <v>0</v>
          </cell>
          <cell r="C240">
            <v>0</v>
          </cell>
          <cell r="D240">
            <v>0</v>
          </cell>
          <cell r="E240">
            <v>0</v>
          </cell>
          <cell r="F240">
            <v>0</v>
          </cell>
          <cell r="G240">
            <v>0</v>
          </cell>
          <cell r="H240">
            <v>0</v>
          </cell>
          <cell r="I240">
            <v>0</v>
          </cell>
          <cell r="J240">
            <v>0</v>
          </cell>
          <cell r="K240">
            <v>0</v>
          </cell>
          <cell r="L240">
            <v>0</v>
          </cell>
          <cell r="M240">
            <v>0</v>
          </cell>
          <cell r="N240">
            <v>0</v>
          </cell>
          <cell r="O240">
            <v>0</v>
          </cell>
          <cell r="P240">
            <v>0</v>
          </cell>
          <cell r="Q240">
            <v>0</v>
          </cell>
          <cell r="R240">
            <v>0</v>
          </cell>
          <cell r="S240">
            <v>0</v>
          </cell>
          <cell r="T240">
            <v>0</v>
          </cell>
          <cell r="U240">
            <v>0</v>
          </cell>
          <cell r="V240">
            <v>0</v>
          </cell>
          <cell r="W240">
            <v>0</v>
          </cell>
          <cell r="X240">
            <v>0</v>
          </cell>
          <cell r="Y240">
            <v>0</v>
          </cell>
          <cell r="Z240">
            <v>0</v>
          </cell>
          <cell r="AA240">
            <v>0</v>
          </cell>
          <cell r="AB240">
            <v>0</v>
          </cell>
          <cell r="AC240">
            <v>0</v>
          </cell>
          <cell r="AD240">
            <v>0</v>
          </cell>
          <cell r="AE240">
            <v>0</v>
          </cell>
          <cell r="AF240">
            <v>0</v>
          </cell>
          <cell r="AG240">
            <v>0</v>
          </cell>
          <cell r="AH240">
            <v>0</v>
          </cell>
          <cell r="AI240">
            <v>0</v>
          </cell>
          <cell r="AJ240">
            <v>0</v>
          </cell>
          <cell r="AK240">
            <v>0</v>
          </cell>
          <cell r="AL240">
            <v>0</v>
          </cell>
          <cell r="AM240">
            <v>0</v>
          </cell>
          <cell r="AN240">
            <v>0</v>
          </cell>
          <cell r="AO240">
            <v>0</v>
          </cell>
          <cell r="AP240">
            <v>0</v>
          </cell>
          <cell r="AQ240">
            <v>0</v>
          </cell>
          <cell r="AR240">
            <v>0</v>
          </cell>
          <cell r="AS240">
            <v>0</v>
          </cell>
          <cell r="AT240">
            <v>0</v>
          </cell>
          <cell r="AU240">
            <v>0</v>
          </cell>
          <cell r="AV240">
            <v>0</v>
          </cell>
          <cell r="AW240">
            <v>0</v>
          </cell>
          <cell r="AX240">
            <v>0</v>
          </cell>
          <cell r="AY240">
            <v>0</v>
          </cell>
          <cell r="AZ240">
            <v>0</v>
          </cell>
          <cell r="BA240">
            <v>0</v>
          </cell>
          <cell r="BB240">
            <v>0</v>
          </cell>
          <cell r="BC240">
            <v>0</v>
          </cell>
          <cell r="BD240">
            <v>0</v>
          </cell>
          <cell r="BE240">
            <v>0</v>
          </cell>
          <cell r="BF240">
            <v>0</v>
          </cell>
          <cell r="BG240">
            <v>0</v>
          </cell>
          <cell r="BH240">
            <v>0</v>
          </cell>
          <cell r="BI240">
            <v>0</v>
          </cell>
          <cell r="BJ240">
            <v>0</v>
          </cell>
          <cell r="BK240">
            <v>0</v>
          </cell>
          <cell r="BL240">
            <v>0</v>
          </cell>
          <cell r="BM240">
            <v>0</v>
          </cell>
          <cell r="BN240">
            <v>0</v>
          </cell>
          <cell r="BO240">
            <v>0</v>
          </cell>
          <cell r="BP240">
            <v>0</v>
          </cell>
          <cell r="BQ240">
            <v>0</v>
          </cell>
          <cell r="BR240">
            <v>0</v>
          </cell>
          <cell r="BS240">
            <v>0</v>
          </cell>
          <cell r="BT240">
            <v>0</v>
          </cell>
          <cell r="BU240">
            <v>0</v>
          </cell>
          <cell r="BV240">
            <v>0</v>
          </cell>
          <cell r="BW240">
            <v>0</v>
          </cell>
          <cell r="BX240">
            <v>0</v>
          </cell>
          <cell r="BY240">
            <v>0</v>
          </cell>
          <cell r="BZ240">
            <v>0</v>
          </cell>
          <cell r="CA240">
            <v>0</v>
          </cell>
          <cell r="CB240">
            <v>0</v>
          </cell>
          <cell r="CC240">
            <v>0</v>
          </cell>
          <cell r="CD240">
            <v>0</v>
          </cell>
          <cell r="CE240">
            <v>0</v>
          </cell>
          <cell r="CF240">
            <v>0</v>
          </cell>
          <cell r="CG240">
            <v>0</v>
          </cell>
          <cell r="CH240">
            <v>0</v>
          </cell>
          <cell r="CI240">
            <v>0</v>
          </cell>
          <cell r="CJ240">
            <v>0</v>
          </cell>
          <cell r="CK240">
            <v>0</v>
          </cell>
          <cell r="CL240">
            <v>0</v>
          </cell>
          <cell r="CM240">
            <v>0</v>
          </cell>
          <cell r="CN240">
            <v>0</v>
          </cell>
          <cell r="CO240">
            <v>0</v>
          </cell>
          <cell r="CP240">
            <v>0</v>
          </cell>
          <cell r="CQ240">
            <v>0</v>
          </cell>
          <cell r="CR240">
            <v>0</v>
          </cell>
          <cell r="CS240">
            <v>0</v>
          </cell>
          <cell r="CT240">
            <v>0</v>
          </cell>
          <cell r="CU240">
            <v>0</v>
          </cell>
          <cell r="CV240">
            <v>0</v>
          </cell>
          <cell r="CW240">
            <v>0</v>
          </cell>
          <cell r="CX240">
            <v>0</v>
          </cell>
          <cell r="CY240">
            <v>0</v>
          </cell>
          <cell r="CZ240">
            <v>0</v>
          </cell>
          <cell r="DA240">
            <v>0</v>
          </cell>
          <cell r="DB240">
            <v>0</v>
          </cell>
          <cell r="DC240">
            <v>0</v>
          </cell>
          <cell r="DD240">
            <v>0</v>
          </cell>
          <cell r="DE240">
            <v>0</v>
          </cell>
          <cell r="DF240">
            <v>0</v>
          </cell>
          <cell r="DG240">
            <v>0</v>
          </cell>
          <cell r="DH240">
            <v>0</v>
          </cell>
          <cell r="DI240">
            <v>0</v>
          </cell>
          <cell r="DJ240">
            <v>0</v>
          </cell>
          <cell r="DK240">
            <v>0</v>
          </cell>
          <cell r="DL240">
            <v>0</v>
          </cell>
          <cell r="DM240">
            <v>0</v>
          </cell>
          <cell r="DN240">
            <v>0</v>
          </cell>
          <cell r="DO240">
            <v>0</v>
          </cell>
          <cell r="DP240">
            <v>0</v>
          </cell>
          <cell r="DQ240">
            <v>0</v>
          </cell>
          <cell r="DR240">
            <v>0</v>
          </cell>
          <cell r="DS240">
            <v>0</v>
          </cell>
          <cell r="DT240">
            <v>0</v>
          </cell>
          <cell r="DU240">
            <v>0</v>
          </cell>
          <cell r="DV240">
            <v>0</v>
          </cell>
          <cell r="DW240">
            <v>0</v>
          </cell>
          <cell r="DX240">
            <v>0</v>
          </cell>
          <cell r="DY240">
            <v>0</v>
          </cell>
          <cell r="DZ240">
            <v>0</v>
          </cell>
          <cell r="EA240">
            <v>0</v>
          </cell>
          <cell r="EB240">
            <v>0</v>
          </cell>
          <cell r="EC240">
            <v>0</v>
          </cell>
          <cell r="ED240">
            <v>0</v>
          </cell>
          <cell r="EE240">
            <v>0</v>
          </cell>
          <cell r="EF240">
            <v>0</v>
          </cell>
          <cell r="EG240">
            <v>0</v>
          </cell>
          <cell r="EH240">
            <v>0</v>
          </cell>
          <cell r="EI240">
            <v>0</v>
          </cell>
          <cell r="EJ240">
            <v>0</v>
          </cell>
          <cell r="EK240">
            <v>0</v>
          </cell>
          <cell r="EL240">
            <v>0</v>
          </cell>
          <cell r="EM240">
            <v>0</v>
          </cell>
          <cell r="EN240">
            <v>0</v>
          </cell>
          <cell r="EO240">
            <v>0</v>
          </cell>
          <cell r="EP240">
            <v>0</v>
          </cell>
          <cell r="EQ240">
            <v>0</v>
          </cell>
          <cell r="ER240">
            <v>0</v>
          </cell>
          <cell r="ES240">
            <v>0</v>
          </cell>
          <cell r="ET240">
            <v>0</v>
          </cell>
          <cell r="EU240">
            <v>0</v>
          </cell>
          <cell r="EV240">
            <v>0</v>
          </cell>
          <cell r="EW240">
            <v>0</v>
          </cell>
          <cell r="EX240">
            <v>0</v>
          </cell>
          <cell r="EY240">
            <v>0</v>
          </cell>
          <cell r="EZ240">
            <v>0</v>
          </cell>
          <cell r="FA240">
            <v>0</v>
          </cell>
          <cell r="FB240">
            <v>0</v>
          </cell>
          <cell r="FC240">
            <v>0</v>
          </cell>
          <cell r="FD240">
            <v>0</v>
          </cell>
          <cell r="FE240">
            <v>0</v>
          </cell>
          <cell r="FF240">
            <v>0</v>
          </cell>
          <cell r="FG240">
            <v>0</v>
          </cell>
          <cell r="FH240">
            <v>0</v>
          </cell>
          <cell r="FI240">
            <v>0</v>
          </cell>
          <cell r="FJ240">
            <v>0</v>
          </cell>
          <cell r="FK240">
            <v>0</v>
          </cell>
          <cell r="FL240">
            <v>0</v>
          </cell>
          <cell r="FM240">
            <v>0</v>
          </cell>
          <cell r="FN240">
            <v>0</v>
          </cell>
          <cell r="FO240">
            <v>0</v>
          </cell>
          <cell r="FP240">
            <v>0</v>
          </cell>
          <cell r="FQ240">
            <v>0</v>
          </cell>
          <cell r="FR240">
            <v>0</v>
          </cell>
          <cell r="FS240">
            <v>0</v>
          </cell>
          <cell r="FT240">
            <v>0</v>
          </cell>
          <cell r="FU240">
            <v>0</v>
          </cell>
          <cell r="FV240">
            <v>0</v>
          </cell>
          <cell r="FW240">
            <v>0</v>
          </cell>
          <cell r="FX240">
            <v>0</v>
          </cell>
          <cell r="FY240">
            <v>0</v>
          </cell>
          <cell r="FZ240">
            <v>0</v>
          </cell>
        </row>
        <row r="241">
          <cell r="B241">
            <v>0</v>
          </cell>
          <cell r="C241">
            <v>0</v>
          </cell>
          <cell r="D241">
            <v>0</v>
          </cell>
          <cell r="E241">
            <v>0</v>
          </cell>
          <cell r="F241">
            <v>0</v>
          </cell>
          <cell r="G241">
            <v>0</v>
          </cell>
          <cell r="H241">
            <v>0</v>
          </cell>
          <cell r="I241">
            <v>0</v>
          </cell>
          <cell r="J241">
            <v>0</v>
          </cell>
          <cell r="K241">
            <v>0</v>
          </cell>
          <cell r="L241">
            <v>0</v>
          </cell>
          <cell r="M241">
            <v>0</v>
          </cell>
          <cell r="N241">
            <v>0</v>
          </cell>
          <cell r="O241">
            <v>0</v>
          </cell>
          <cell r="P241">
            <v>0</v>
          </cell>
          <cell r="Q241">
            <v>0</v>
          </cell>
          <cell r="R241">
            <v>0</v>
          </cell>
          <cell r="S241">
            <v>0</v>
          </cell>
          <cell r="T241">
            <v>0</v>
          </cell>
          <cell r="U241">
            <v>0</v>
          </cell>
          <cell r="V241">
            <v>0</v>
          </cell>
          <cell r="W241">
            <v>0</v>
          </cell>
          <cell r="X241">
            <v>0</v>
          </cell>
          <cell r="Y241">
            <v>0</v>
          </cell>
          <cell r="Z241">
            <v>0</v>
          </cell>
          <cell r="AA241">
            <v>0</v>
          </cell>
          <cell r="AB241">
            <v>0</v>
          </cell>
          <cell r="AC241">
            <v>0</v>
          </cell>
          <cell r="AD241">
            <v>0</v>
          </cell>
          <cell r="AE241">
            <v>0</v>
          </cell>
          <cell r="AF241">
            <v>0</v>
          </cell>
          <cell r="AG241">
            <v>0</v>
          </cell>
          <cell r="AH241">
            <v>0</v>
          </cell>
          <cell r="AI241">
            <v>0</v>
          </cell>
          <cell r="AJ241">
            <v>0</v>
          </cell>
          <cell r="AK241">
            <v>0</v>
          </cell>
          <cell r="AL241">
            <v>0</v>
          </cell>
          <cell r="AM241">
            <v>0</v>
          </cell>
          <cell r="AN241">
            <v>0</v>
          </cell>
          <cell r="AO241">
            <v>0</v>
          </cell>
          <cell r="AP241">
            <v>0</v>
          </cell>
          <cell r="AQ241">
            <v>0</v>
          </cell>
          <cell r="AR241">
            <v>0</v>
          </cell>
          <cell r="AS241">
            <v>0</v>
          </cell>
          <cell r="AT241">
            <v>0</v>
          </cell>
          <cell r="AU241">
            <v>0</v>
          </cell>
          <cell r="AV241">
            <v>0</v>
          </cell>
          <cell r="AW241">
            <v>0</v>
          </cell>
          <cell r="AX241">
            <v>0</v>
          </cell>
          <cell r="AY241">
            <v>0</v>
          </cell>
          <cell r="AZ241">
            <v>0</v>
          </cell>
          <cell r="BA241">
            <v>0</v>
          </cell>
          <cell r="BB241">
            <v>0</v>
          </cell>
          <cell r="BC241">
            <v>0</v>
          </cell>
          <cell r="BD241">
            <v>0</v>
          </cell>
          <cell r="BE241">
            <v>0</v>
          </cell>
          <cell r="BF241">
            <v>0</v>
          </cell>
          <cell r="BG241">
            <v>0</v>
          </cell>
          <cell r="BH241">
            <v>0</v>
          </cell>
          <cell r="BI241">
            <v>0</v>
          </cell>
          <cell r="BJ241">
            <v>0</v>
          </cell>
          <cell r="BK241">
            <v>0</v>
          </cell>
          <cell r="BL241">
            <v>0</v>
          </cell>
          <cell r="BM241">
            <v>0</v>
          </cell>
          <cell r="BN241">
            <v>0</v>
          </cell>
          <cell r="BO241">
            <v>0</v>
          </cell>
          <cell r="BP241">
            <v>0</v>
          </cell>
          <cell r="BQ241">
            <v>0</v>
          </cell>
          <cell r="BR241">
            <v>0</v>
          </cell>
          <cell r="BS241">
            <v>0</v>
          </cell>
          <cell r="BT241">
            <v>0</v>
          </cell>
          <cell r="BU241">
            <v>0</v>
          </cell>
          <cell r="BV241">
            <v>0</v>
          </cell>
          <cell r="BW241">
            <v>0</v>
          </cell>
          <cell r="BX241">
            <v>0</v>
          </cell>
          <cell r="BY241">
            <v>0</v>
          </cell>
          <cell r="BZ241">
            <v>0</v>
          </cell>
          <cell r="CA241">
            <v>0</v>
          </cell>
          <cell r="CB241">
            <v>0</v>
          </cell>
          <cell r="CC241">
            <v>0</v>
          </cell>
          <cell r="CD241">
            <v>0</v>
          </cell>
          <cell r="CE241">
            <v>0</v>
          </cell>
          <cell r="CF241">
            <v>0</v>
          </cell>
          <cell r="CG241">
            <v>0</v>
          </cell>
          <cell r="CH241">
            <v>0</v>
          </cell>
          <cell r="CI241">
            <v>0</v>
          </cell>
          <cell r="CJ241">
            <v>0</v>
          </cell>
          <cell r="CK241">
            <v>0</v>
          </cell>
          <cell r="CL241">
            <v>0</v>
          </cell>
          <cell r="CM241">
            <v>0</v>
          </cell>
          <cell r="CN241">
            <v>0</v>
          </cell>
          <cell r="CO241">
            <v>0</v>
          </cell>
          <cell r="CP241">
            <v>0</v>
          </cell>
          <cell r="CQ241">
            <v>0</v>
          </cell>
          <cell r="CR241">
            <v>0</v>
          </cell>
          <cell r="CS241">
            <v>0</v>
          </cell>
          <cell r="CT241">
            <v>0</v>
          </cell>
          <cell r="CU241">
            <v>0</v>
          </cell>
          <cell r="CV241">
            <v>0</v>
          </cell>
          <cell r="CW241">
            <v>0</v>
          </cell>
          <cell r="CX241">
            <v>0</v>
          </cell>
          <cell r="CY241">
            <v>0</v>
          </cell>
          <cell r="CZ241">
            <v>0</v>
          </cell>
          <cell r="DA241">
            <v>0</v>
          </cell>
          <cell r="DB241">
            <v>0</v>
          </cell>
          <cell r="DC241">
            <v>0</v>
          </cell>
          <cell r="DD241">
            <v>0</v>
          </cell>
          <cell r="DE241">
            <v>0</v>
          </cell>
          <cell r="DF241">
            <v>0</v>
          </cell>
          <cell r="DG241">
            <v>0</v>
          </cell>
          <cell r="DH241">
            <v>0</v>
          </cell>
          <cell r="DI241">
            <v>0</v>
          </cell>
          <cell r="DJ241">
            <v>0</v>
          </cell>
          <cell r="DK241">
            <v>0</v>
          </cell>
          <cell r="DL241">
            <v>0</v>
          </cell>
          <cell r="DM241">
            <v>0</v>
          </cell>
          <cell r="DN241">
            <v>0</v>
          </cell>
          <cell r="DO241">
            <v>0</v>
          </cell>
          <cell r="DP241">
            <v>0</v>
          </cell>
          <cell r="DQ241">
            <v>0</v>
          </cell>
          <cell r="DR241">
            <v>0</v>
          </cell>
          <cell r="DS241">
            <v>0</v>
          </cell>
          <cell r="DT241">
            <v>0</v>
          </cell>
          <cell r="DU241">
            <v>0</v>
          </cell>
          <cell r="DV241">
            <v>0</v>
          </cell>
          <cell r="DW241">
            <v>0</v>
          </cell>
          <cell r="DX241">
            <v>0</v>
          </cell>
          <cell r="DY241">
            <v>0</v>
          </cell>
          <cell r="DZ241">
            <v>0</v>
          </cell>
          <cell r="EA241">
            <v>0</v>
          </cell>
          <cell r="EB241">
            <v>0</v>
          </cell>
          <cell r="EC241">
            <v>0</v>
          </cell>
          <cell r="ED241">
            <v>0</v>
          </cell>
          <cell r="EE241">
            <v>0</v>
          </cell>
          <cell r="EF241">
            <v>0</v>
          </cell>
          <cell r="EG241">
            <v>0</v>
          </cell>
          <cell r="EH241">
            <v>0</v>
          </cell>
          <cell r="EI241">
            <v>0</v>
          </cell>
          <cell r="EJ241">
            <v>0</v>
          </cell>
          <cell r="EK241">
            <v>0</v>
          </cell>
          <cell r="EL241">
            <v>0</v>
          </cell>
          <cell r="EM241">
            <v>0</v>
          </cell>
          <cell r="EN241">
            <v>0</v>
          </cell>
          <cell r="EO241">
            <v>0</v>
          </cell>
          <cell r="EP241">
            <v>0</v>
          </cell>
          <cell r="EQ241">
            <v>0</v>
          </cell>
          <cell r="ER241">
            <v>0</v>
          </cell>
          <cell r="ES241">
            <v>0</v>
          </cell>
          <cell r="ET241">
            <v>0</v>
          </cell>
          <cell r="EU241">
            <v>0</v>
          </cell>
          <cell r="EV241">
            <v>0</v>
          </cell>
          <cell r="EW241">
            <v>0</v>
          </cell>
          <cell r="EX241">
            <v>0</v>
          </cell>
          <cell r="EY241">
            <v>0</v>
          </cell>
          <cell r="EZ241">
            <v>0</v>
          </cell>
          <cell r="FA241">
            <v>0</v>
          </cell>
          <cell r="FB241">
            <v>0</v>
          </cell>
          <cell r="FC241">
            <v>0</v>
          </cell>
          <cell r="FD241">
            <v>0</v>
          </cell>
          <cell r="FE241">
            <v>0</v>
          </cell>
          <cell r="FF241">
            <v>0</v>
          </cell>
          <cell r="FG241">
            <v>0</v>
          </cell>
          <cell r="FH241">
            <v>0</v>
          </cell>
          <cell r="FI241">
            <v>0</v>
          </cell>
          <cell r="FJ241">
            <v>0</v>
          </cell>
          <cell r="FK241">
            <v>0</v>
          </cell>
          <cell r="FL241">
            <v>0</v>
          </cell>
          <cell r="FM241">
            <v>0</v>
          </cell>
          <cell r="FN241">
            <v>0</v>
          </cell>
          <cell r="FO241">
            <v>0</v>
          </cell>
          <cell r="FP241">
            <v>0</v>
          </cell>
          <cell r="FQ241">
            <v>0</v>
          </cell>
          <cell r="FR241">
            <v>0</v>
          </cell>
          <cell r="FS241">
            <v>0</v>
          </cell>
          <cell r="FT241">
            <v>0</v>
          </cell>
          <cell r="FU241">
            <v>0</v>
          </cell>
          <cell r="FV241">
            <v>0</v>
          </cell>
          <cell r="FW241">
            <v>0</v>
          </cell>
          <cell r="FX241">
            <v>0</v>
          </cell>
          <cell r="FY241">
            <v>0</v>
          </cell>
          <cell r="FZ241">
            <v>0</v>
          </cell>
        </row>
        <row r="242">
          <cell r="B242">
            <v>0</v>
          </cell>
          <cell r="C242">
            <v>0</v>
          </cell>
          <cell r="D242">
            <v>0</v>
          </cell>
          <cell r="E242">
            <v>0</v>
          </cell>
          <cell r="F242">
            <v>0</v>
          </cell>
          <cell r="G242">
            <v>0</v>
          </cell>
          <cell r="H242">
            <v>0</v>
          </cell>
          <cell r="I242">
            <v>0</v>
          </cell>
          <cell r="J242">
            <v>0</v>
          </cell>
          <cell r="K242">
            <v>0</v>
          </cell>
          <cell r="L242">
            <v>0</v>
          </cell>
          <cell r="M242">
            <v>0</v>
          </cell>
          <cell r="N242">
            <v>0</v>
          </cell>
          <cell r="O242">
            <v>0</v>
          </cell>
          <cell r="P242">
            <v>0</v>
          </cell>
          <cell r="Q242">
            <v>0</v>
          </cell>
          <cell r="R242">
            <v>0</v>
          </cell>
          <cell r="S242">
            <v>0</v>
          </cell>
          <cell r="T242">
            <v>0</v>
          </cell>
          <cell r="U242">
            <v>0</v>
          </cell>
          <cell r="V242">
            <v>0</v>
          </cell>
          <cell r="W242">
            <v>0</v>
          </cell>
          <cell r="X242">
            <v>0</v>
          </cell>
          <cell r="Y242">
            <v>0</v>
          </cell>
          <cell r="Z242">
            <v>0</v>
          </cell>
          <cell r="AA242">
            <v>0</v>
          </cell>
          <cell r="AB242">
            <v>0</v>
          </cell>
          <cell r="AC242">
            <v>0</v>
          </cell>
          <cell r="AD242">
            <v>0</v>
          </cell>
          <cell r="AE242">
            <v>0</v>
          </cell>
          <cell r="AF242">
            <v>0</v>
          </cell>
          <cell r="AG242">
            <v>0</v>
          </cell>
          <cell r="AH242">
            <v>0</v>
          </cell>
          <cell r="AI242">
            <v>0</v>
          </cell>
          <cell r="AJ242">
            <v>0</v>
          </cell>
          <cell r="AK242">
            <v>0</v>
          </cell>
          <cell r="AL242">
            <v>0</v>
          </cell>
          <cell r="AM242">
            <v>0</v>
          </cell>
          <cell r="AN242">
            <v>0</v>
          </cell>
          <cell r="AO242">
            <v>0</v>
          </cell>
          <cell r="AP242">
            <v>0</v>
          </cell>
          <cell r="AQ242">
            <v>0</v>
          </cell>
          <cell r="AR242">
            <v>0</v>
          </cell>
          <cell r="AS242">
            <v>0</v>
          </cell>
          <cell r="AT242">
            <v>0</v>
          </cell>
          <cell r="AU242">
            <v>0</v>
          </cell>
          <cell r="AV242">
            <v>0</v>
          </cell>
          <cell r="AW242">
            <v>0</v>
          </cell>
          <cell r="AX242">
            <v>0</v>
          </cell>
          <cell r="AY242">
            <v>0</v>
          </cell>
          <cell r="AZ242">
            <v>0</v>
          </cell>
          <cell r="BA242">
            <v>0</v>
          </cell>
          <cell r="BB242">
            <v>0</v>
          </cell>
          <cell r="BC242">
            <v>0</v>
          </cell>
          <cell r="BD242">
            <v>0</v>
          </cell>
          <cell r="BE242">
            <v>0</v>
          </cell>
          <cell r="BF242">
            <v>0</v>
          </cell>
          <cell r="BG242">
            <v>0</v>
          </cell>
          <cell r="BH242">
            <v>0</v>
          </cell>
          <cell r="BI242">
            <v>0</v>
          </cell>
          <cell r="BJ242">
            <v>0</v>
          </cell>
          <cell r="BK242">
            <v>0</v>
          </cell>
          <cell r="BL242">
            <v>0</v>
          </cell>
          <cell r="BM242">
            <v>0</v>
          </cell>
          <cell r="BN242">
            <v>0</v>
          </cell>
          <cell r="BO242">
            <v>0</v>
          </cell>
          <cell r="BP242">
            <v>0</v>
          </cell>
          <cell r="BQ242">
            <v>0</v>
          </cell>
          <cell r="BR242">
            <v>0</v>
          </cell>
          <cell r="BS242">
            <v>0</v>
          </cell>
          <cell r="BT242">
            <v>0</v>
          </cell>
          <cell r="BU242">
            <v>0</v>
          </cell>
          <cell r="BV242">
            <v>0</v>
          </cell>
          <cell r="BW242">
            <v>0</v>
          </cell>
          <cell r="BX242">
            <v>0</v>
          </cell>
          <cell r="BY242">
            <v>0</v>
          </cell>
          <cell r="BZ242">
            <v>0</v>
          </cell>
          <cell r="CA242">
            <v>0</v>
          </cell>
          <cell r="CB242">
            <v>0</v>
          </cell>
          <cell r="CC242">
            <v>0</v>
          </cell>
          <cell r="CD242">
            <v>0</v>
          </cell>
          <cell r="CE242">
            <v>0</v>
          </cell>
          <cell r="CF242">
            <v>0</v>
          </cell>
          <cell r="CG242">
            <v>0</v>
          </cell>
          <cell r="CH242">
            <v>0</v>
          </cell>
          <cell r="CI242">
            <v>0</v>
          </cell>
          <cell r="CJ242">
            <v>0</v>
          </cell>
          <cell r="CK242">
            <v>0</v>
          </cell>
          <cell r="CL242">
            <v>0</v>
          </cell>
          <cell r="CM242">
            <v>0</v>
          </cell>
          <cell r="CN242">
            <v>0</v>
          </cell>
          <cell r="CO242">
            <v>0</v>
          </cell>
          <cell r="CP242">
            <v>0</v>
          </cell>
          <cell r="CQ242">
            <v>0</v>
          </cell>
          <cell r="CR242">
            <v>0</v>
          </cell>
          <cell r="CS242">
            <v>0</v>
          </cell>
          <cell r="CT242">
            <v>0</v>
          </cell>
          <cell r="CU242">
            <v>0</v>
          </cell>
          <cell r="CV242">
            <v>0</v>
          </cell>
          <cell r="CW242">
            <v>0</v>
          </cell>
          <cell r="CX242">
            <v>0</v>
          </cell>
          <cell r="CY242">
            <v>0</v>
          </cell>
          <cell r="CZ242">
            <v>0</v>
          </cell>
          <cell r="DA242">
            <v>0</v>
          </cell>
          <cell r="DB242">
            <v>0</v>
          </cell>
          <cell r="DC242">
            <v>0</v>
          </cell>
          <cell r="DD242">
            <v>0</v>
          </cell>
          <cell r="DE242">
            <v>0</v>
          </cell>
          <cell r="DF242">
            <v>0</v>
          </cell>
          <cell r="DG242">
            <v>0</v>
          </cell>
          <cell r="DH242">
            <v>0</v>
          </cell>
          <cell r="DI242">
            <v>0</v>
          </cell>
          <cell r="DJ242">
            <v>0</v>
          </cell>
          <cell r="DK242">
            <v>0</v>
          </cell>
          <cell r="DL242">
            <v>0</v>
          </cell>
          <cell r="DM242">
            <v>0</v>
          </cell>
          <cell r="DN242">
            <v>0</v>
          </cell>
          <cell r="DO242">
            <v>0</v>
          </cell>
          <cell r="DP242">
            <v>0</v>
          </cell>
          <cell r="DQ242">
            <v>0</v>
          </cell>
          <cell r="DR242">
            <v>0</v>
          </cell>
          <cell r="DS242">
            <v>0</v>
          </cell>
          <cell r="DT242">
            <v>0</v>
          </cell>
          <cell r="DU242">
            <v>0</v>
          </cell>
          <cell r="DV242">
            <v>0</v>
          </cell>
          <cell r="DW242">
            <v>0</v>
          </cell>
          <cell r="DX242">
            <v>0</v>
          </cell>
          <cell r="DY242">
            <v>0</v>
          </cell>
          <cell r="DZ242">
            <v>0</v>
          </cell>
          <cell r="EA242">
            <v>0</v>
          </cell>
          <cell r="EB242">
            <v>0</v>
          </cell>
          <cell r="EC242">
            <v>0</v>
          </cell>
          <cell r="ED242">
            <v>0</v>
          </cell>
          <cell r="EE242">
            <v>0</v>
          </cell>
          <cell r="EF242">
            <v>0</v>
          </cell>
          <cell r="EG242">
            <v>0</v>
          </cell>
          <cell r="EH242">
            <v>0</v>
          </cell>
          <cell r="EI242">
            <v>0</v>
          </cell>
          <cell r="EJ242">
            <v>0</v>
          </cell>
          <cell r="EK242">
            <v>0</v>
          </cell>
          <cell r="EL242">
            <v>0</v>
          </cell>
          <cell r="EM242">
            <v>0</v>
          </cell>
          <cell r="EN242">
            <v>0</v>
          </cell>
          <cell r="EO242">
            <v>0</v>
          </cell>
          <cell r="EP242">
            <v>0</v>
          </cell>
          <cell r="EQ242">
            <v>0</v>
          </cell>
          <cell r="ER242">
            <v>0</v>
          </cell>
          <cell r="ES242">
            <v>0</v>
          </cell>
          <cell r="ET242">
            <v>0</v>
          </cell>
          <cell r="EU242">
            <v>0</v>
          </cell>
          <cell r="EV242">
            <v>0</v>
          </cell>
          <cell r="EW242">
            <v>0</v>
          </cell>
          <cell r="EX242">
            <v>0</v>
          </cell>
          <cell r="EY242">
            <v>0</v>
          </cell>
          <cell r="EZ242">
            <v>0</v>
          </cell>
          <cell r="FA242">
            <v>0</v>
          </cell>
          <cell r="FB242">
            <v>0</v>
          </cell>
          <cell r="FC242">
            <v>0</v>
          </cell>
          <cell r="FD242">
            <v>0</v>
          </cell>
          <cell r="FE242">
            <v>0</v>
          </cell>
          <cell r="FF242">
            <v>0</v>
          </cell>
          <cell r="FG242">
            <v>0</v>
          </cell>
          <cell r="FH242">
            <v>0</v>
          </cell>
          <cell r="FI242">
            <v>0</v>
          </cell>
          <cell r="FJ242">
            <v>0</v>
          </cell>
          <cell r="FK242">
            <v>0</v>
          </cell>
          <cell r="FL242">
            <v>0</v>
          </cell>
          <cell r="FM242">
            <v>0</v>
          </cell>
          <cell r="FN242">
            <v>0</v>
          </cell>
          <cell r="FO242">
            <v>0</v>
          </cell>
          <cell r="FP242">
            <v>0</v>
          </cell>
          <cell r="FQ242">
            <v>0</v>
          </cell>
          <cell r="FR242">
            <v>0</v>
          </cell>
          <cell r="FS242">
            <v>0</v>
          </cell>
          <cell r="FT242">
            <v>0</v>
          </cell>
          <cell r="FU242">
            <v>0</v>
          </cell>
          <cell r="FV242">
            <v>0</v>
          </cell>
          <cell r="FW242">
            <v>0</v>
          </cell>
          <cell r="FX242">
            <v>0</v>
          </cell>
          <cell r="FY242">
            <v>0</v>
          </cell>
          <cell r="FZ242">
            <v>0</v>
          </cell>
        </row>
        <row r="243">
          <cell r="B243">
            <v>0</v>
          </cell>
          <cell r="C243">
            <v>0</v>
          </cell>
          <cell r="D243">
            <v>0</v>
          </cell>
          <cell r="E243">
            <v>0</v>
          </cell>
          <cell r="F243">
            <v>0</v>
          </cell>
          <cell r="G243">
            <v>0</v>
          </cell>
          <cell r="H243">
            <v>0</v>
          </cell>
          <cell r="I243">
            <v>0</v>
          </cell>
          <cell r="J243">
            <v>0</v>
          </cell>
          <cell r="K243">
            <v>0</v>
          </cell>
          <cell r="L243">
            <v>0</v>
          </cell>
          <cell r="M243">
            <v>0</v>
          </cell>
          <cell r="N243">
            <v>0</v>
          </cell>
          <cell r="O243">
            <v>0</v>
          </cell>
          <cell r="P243">
            <v>0</v>
          </cell>
          <cell r="Q243">
            <v>0</v>
          </cell>
          <cell r="R243">
            <v>0</v>
          </cell>
          <cell r="S243">
            <v>0</v>
          </cell>
          <cell r="T243">
            <v>0</v>
          </cell>
          <cell r="U243">
            <v>0</v>
          </cell>
          <cell r="V243">
            <v>0</v>
          </cell>
          <cell r="W243">
            <v>0</v>
          </cell>
          <cell r="X243">
            <v>0</v>
          </cell>
          <cell r="Y243">
            <v>0</v>
          </cell>
          <cell r="Z243">
            <v>0</v>
          </cell>
          <cell r="AA243">
            <v>0</v>
          </cell>
          <cell r="AB243">
            <v>0</v>
          </cell>
          <cell r="AC243">
            <v>0</v>
          </cell>
          <cell r="AD243">
            <v>0</v>
          </cell>
          <cell r="AE243">
            <v>0</v>
          </cell>
          <cell r="AF243">
            <v>0</v>
          </cell>
          <cell r="AG243">
            <v>0</v>
          </cell>
          <cell r="AH243">
            <v>0</v>
          </cell>
          <cell r="AI243">
            <v>0</v>
          </cell>
          <cell r="AJ243">
            <v>0</v>
          </cell>
          <cell r="AK243">
            <v>0</v>
          </cell>
          <cell r="AL243">
            <v>0</v>
          </cell>
          <cell r="AM243">
            <v>0</v>
          </cell>
          <cell r="AN243">
            <v>0</v>
          </cell>
          <cell r="AO243">
            <v>0</v>
          </cell>
          <cell r="AP243">
            <v>0</v>
          </cell>
          <cell r="AQ243">
            <v>0</v>
          </cell>
          <cell r="AR243">
            <v>0</v>
          </cell>
          <cell r="AS243">
            <v>0</v>
          </cell>
          <cell r="AT243">
            <v>0</v>
          </cell>
          <cell r="AU243">
            <v>0</v>
          </cell>
          <cell r="AV243">
            <v>0</v>
          </cell>
          <cell r="AW243">
            <v>0</v>
          </cell>
          <cell r="AX243">
            <v>0</v>
          </cell>
          <cell r="AY243">
            <v>0</v>
          </cell>
          <cell r="AZ243">
            <v>0</v>
          </cell>
          <cell r="BA243">
            <v>0</v>
          </cell>
          <cell r="BB243">
            <v>0</v>
          </cell>
          <cell r="BC243">
            <v>0</v>
          </cell>
          <cell r="BD243">
            <v>0</v>
          </cell>
          <cell r="BE243">
            <v>0</v>
          </cell>
          <cell r="BF243">
            <v>0</v>
          </cell>
          <cell r="BG243">
            <v>0</v>
          </cell>
          <cell r="BH243">
            <v>0</v>
          </cell>
          <cell r="BI243">
            <v>0</v>
          </cell>
          <cell r="BJ243">
            <v>0</v>
          </cell>
          <cell r="BK243">
            <v>0</v>
          </cell>
          <cell r="BL243">
            <v>0</v>
          </cell>
          <cell r="BM243">
            <v>0</v>
          </cell>
          <cell r="BN243">
            <v>0</v>
          </cell>
          <cell r="BO243">
            <v>0</v>
          </cell>
          <cell r="BP243">
            <v>0</v>
          </cell>
          <cell r="BQ243">
            <v>0</v>
          </cell>
          <cell r="BR243">
            <v>0</v>
          </cell>
          <cell r="BS243">
            <v>0</v>
          </cell>
          <cell r="BT243">
            <v>0</v>
          </cell>
          <cell r="BU243">
            <v>0</v>
          </cell>
          <cell r="BV243">
            <v>0</v>
          </cell>
          <cell r="BW243">
            <v>0</v>
          </cell>
          <cell r="BX243">
            <v>0</v>
          </cell>
          <cell r="BY243">
            <v>0</v>
          </cell>
          <cell r="BZ243">
            <v>0</v>
          </cell>
          <cell r="CA243">
            <v>0</v>
          </cell>
          <cell r="CB243">
            <v>0</v>
          </cell>
          <cell r="CC243">
            <v>0</v>
          </cell>
          <cell r="CD243">
            <v>0</v>
          </cell>
          <cell r="CE243">
            <v>0</v>
          </cell>
          <cell r="CF243">
            <v>0</v>
          </cell>
          <cell r="CG243">
            <v>0</v>
          </cell>
          <cell r="CH243">
            <v>0</v>
          </cell>
          <cell r="CI243">
            <v>0</v>
          </cell>
          <cell r="CJ243">
            <v>0</v>
          </cell>
          <cell r="CK243">
            <v>0</v>
          </cell>
          <cell r="CL243">
            <v>0</v>
          </cell>
          <cell r="CM243">
            <v>0</v>
          </cell>
          <cell r="CN243">
            <v>0</v>
          </cell>
          <cell r="CO243">
            <v>0</v>
          </cell>
          <cell r="CP243">
            <v>0</v>
          </cell>
          <cell r="CQ243">
            <v>0</v>
          </cell>
          <cell r="CR243">
            <v>0</v>
          </cell>
          <cell r="CS243">
            <v>0</v>
          </cell>
          <cell r="CT243">
            <v>0</v>
          </cell>
          <cell r="CU243">
            <v>0</v>
          </cell>
          <cell r="CV243">
            <v>0</v>
          </cell>
          <cell r="CW243">
            <v>0</v>
          </cell>
          <cell r="CX243">
            <v>0</v>
          </cell>
          <cell r="CY243">
            <v>0</v>
          </cell>
          <cell r="CZ243">
            <v>0</v>
          </cell>
          <cell r="DA243">
            <v>0</v>
          </cell>
          <cell r="DB243">
            <v>0</v>
          </cell>
          <cell r="DC243">
            <v>0</v>
          </cell>
          <cell r="DD243">
            <v>0</v>
          </cell>
          <cell r="DE243">
            <v>0</v>
          </cell>
          <cell r="DF243">
            <v>0</v>
          </cell>
          <cell r="DG243">
            <v>0</v>
          </cell>
          <cell r="DH243">
            <v>0</v>
          </cell>
          <cell r="DI243">
            <v>0</v>
          </cell>
          <cell r="DJ243">
            <v>0</v>
          </cell>
          <cell r="DK243">
            <v>0</v>
          </cell>
          <cell r="DL243">
            <v>0</v>
          </cell>
          <cell r="DM243">
            <v>0</v>
          </cell>
          <cell r="DN243">
            <v>0</v>
          </cell>
          <cell r="DO243">
            <v>0</v>
          </cell>
          <cell r="DP243">
            <v>0</v>
          </cell>
          <cell r="DQ243">
            <v>0</v>
          </cell>
          <cell r="DR243">
            <v>0</v>
          </cell>
          <cell r="DS243">
            <v>0</v>
          </cell>
          <cell r="DT243">
            <v>0</v>
          </cell>
          <cell r="DU243">
            <v>0</v>
          </cell>
          <cell r="DV243">
            <v>0</v>
          </cell>
          <cell r="DW243">
            <v>0</v>
          </cell>
          <cell r="DX243">
            <v>0</v>
          </cell>
          <cell r="DY243">
            <v>0</v>
          </cell>
          <cell r="DZ243">
            <v>0</v>
          </cell>
          <cell r="EA243">
            <v>0</v>
          </cell>
          <cell r="EB243">
            <v>0</v>
          </cell>
          <cell r="EC243">
            <v>0</v>
          </cell>
          <cell r="ED243">
            <v>0.05</v>
          </cell>
          <cell r="EE243">
            <v>0</v>
          </cell>
          <cell r="EF243">
            <v>0</v>
          </cell>
          <cell r="EG243">
            <v>0</v>
          </cell>
          <cell r="EH243">
            <v>0</v>
          </cell>
          <cell r="EI243">
            <v>0</v>
          </cell>
          <cell r="EJ243">
            <v>0</v>
          </cell>
          <cell r="EK243">
            <v>0</v>
          </cell>
          <cell r="EL243">
            <v>0.05</v>
          </cell>
          <cell r="EM243">
            <v>0</v>
          </cell>
          <cell r="EN243">
            <v>0</v>
          </cell>
          <cell r="EO243">
            <v>0</v>
          </cell>
          <cell r="EP243">
            <v>18556000</v>
          </cell>
          <cell r="EQ243">
            <v>0</v>
          </cell>
          <cell r="ER243">
            <v>0</v>
          </cell>
          <cell r="ES243">
            <v>0</v>
          </cell>
          <cell r="ET243">
            <v>1708142.9330991206</v>
          </cell>
          <cell r="EU243">
            <v>0</v>
          </cell>
          <cell r="EV243">
            <v>0</v>
          </cell>
          <cell r="EW243">
            <v>0</v>
          </cell>
          <cell r="EX243">
            <v>0</v>
          </cell>
          <cell r="EY243">
            <v>0</v>
          </cell>
          <cell r="EZ243">
            <v>0</v>
          </cell>
          <cell r="FA243">
            <v>0</v>
          </cell>
          <cell r="FB243">
            <v>0</v>
          </cell>
          <cell r="FC243">
            <v>0</v>
          </cell>
          <cell r="FD243">
            <v>0</v>
          </cell>
          <cell r="FE243">
            <v>0</v>
          </cell>
          <cell r="FF243">
            <v>0</v>
          </cell>
          <cell r="FG243">
            <v>0</v>
          </cell>
          <cell r="FH243">
            <v>4269608.5396670662</v>
          </cell>
          <cell r="FI243">
            <v>1782915.7401856852</v>
          </cell>
          <cell r="FJ243">
            <v>547775.86769575055</v>
          </cell>
          <cell r="FK243">
            <v>18301800</v>
          </cell>
          <cell r="FL243">
            <v>0</v>
          </cell>
          <cell r="FM243">
            <v>0</v>
          </cell>
          <cell r="FN243">
            <v>0</v>
          </cell>
          <cell r="FO243">
            <v>16638000</v>
          </cell>
          <cell r="FP243">
            <v>0</v>
          </cell>
          <cell r="FQ243">
            <v>0</v>
          </cell>
          <cell r="FR243">
            <v>0</v>
          </cell>
          <cell r="FS243">
            <v>19375400</v>
          </cell>
          <cell r="FT243">
            <v>0</v>
          </cell>
          <cell r="FU243">
            <v>0</v>
          </cell>
          <cell r="FV243">
            <v>0</v>
          </cell>
          <cell r="FW243">
            <v>20411600.000000004</v>
          </cell>
          <cell r="FX243">
            <v>0</v>
          </cell>
          <cell r="FY243">
            <v>0</v>
          </cell>
          <cell r="FZ243">
            <v>0</v>
          </cell>
        </row>
        <row r="244">
          <cell r="B244">
            <v>0</v>
          </cell>
          <cell r="C244">
            <v>0</v>
          </cell>
          <cell r="D244">
            <v>0</v>
          </cell>
          <cell r="E244">
            <v>0</v>
          </cell>
          <cell r="F244">
            <v>0</v>
          </cell>
          <cell r="G244">
            <v>0</v>
          </cell>
          <cell r="H244">
            <v>0</v>
          </cell>
          <cell r="I244">
            <v>0</v>
          </cell>
          <cell r="J244">
            <v>0</v>
          </cell>
          <cell r="K244">
            <v>0</v>
          </cell>
          <cell r="L244">
            <v>0</v>
          </cell>
          <cell r="M244">
            <v>0</v>
          </cell>
          <cell r="N244">
            <v>0</v>
          </cell>
          <cell r="O244">
            <v>0</v>
          </cell>
          <cell r="P244">
            <v>0</v>
          </cell>
          <cell r="Q244">
            <v>0</v>
          </cell>
          <cell r="R244">
            <v>0</v>
          </cell>
          <cell r="S244">
            <v>0</v>
          </cell>
          <cell r="T244">
            <v>0</v>
          </cell>
          <cell r="U244">
            <v>0</v>
          </cell>
          <cell r="V244">
            <v>0</v>
          </cell>
          <cell r="W244">
            <v>0</v>
          </cell>
          <cell r="X244">
            <v>0</v>
          </cell>
          <cell r="Y244">
            <v>0</v>
          </cell>
          <cell r="Z244">
            <v>0</v>
          </cell>
          <cell r="AA244">
            <v>0</v>
          </cell>
          <cell r="AB244">
            <v>0</v>
          </cell>
          <cell r="AC244">
            <v>0</v>
          </cell>
          <cell r="AD244">
            <v>0</v>
          </cell>
          <cell r="AE244">
            <v>0</v>
          </cell>
          <cell r="AF244">
            <v>0</v>
          </cell>
          <cell r="AG244">
            <v>0</v>
          </cell>
          <cell r="AH244">
            <v>0</v>
          </cell>
          <cell r="AI244">
            <v>0</v>
          </cell>
          <cell r="AJ244">
            <v>0</v>
          </cell>
          <cell r="AK244">
            <v>0</v>
          </cell>
          <cell r="AL244">
            <v>0</v>
          </cell>
          <cell r="AM244">
            <v>0</v>
          </cell>
          <cell r="AN244">
            <v>0</v>
          </cell>
          <cell r="AO244">
            <v>0</v>
          </cell>
          <cell r="AP244">
            <v>0</v>
          </cell>
          <cell r="AQ244">
            <v>0</v>
          </cell>
          <cell r="AR244">
            <v>0</v>
          </cell>
          <cell r="AS244">
            <v>0</v>
          </cell>
          <cell r="AT244">
            <v>0</v>
          </cell>
          <cell r="AU244">
            <v>0</v>
          </cell>
          <cell r="AV244">
            <v>0</v>
          </cell>
          <cell r="AW244">
            <v>0</v>
          </cell>
          <cell r="AX244">
            <v>0</v>
          </cell>
          <cell r="AY244">
            <v>0</v>
          </cell>
          <cell r="AZ244">
            <v>0</v>
          </cell>
          <cell r="BA244">
            <v>0</v>
          </cell>
          <cell r="BB244">
            <v>0</v>
          </cell>
          <cell r="BC244">
            <v>0</v>
          </cell>
          <cell r="BD244">
            <v>0</v>
          </cell>
          <cell r="BE244">
            <v>0</v>
          </cell>
          <cell r="BF244">
            <v>0</v>
          </cell>
          <cell r="BG244">
            <v>0</v>
          </cell>
          <cell r="BH244">
            <v>0</v>
          </cell>
          <cell r="BI244">
            <v>0</v>
          </cell>
          <cell r="BJ244">
            <v>0</v>
          </cell>
          <cell r="BK244">
            <v>0</v>
          </cell>
          <cell r="BL244">
            <v>0</v>
          </cell>
          <cell r="BM244">
            <v>0</v>
          </cell>
          <cell r="BN244">
            <v>0</v>
          </cell>
          <cell r="BO244">
            <v>0</v>
          </cell>
          <cell r="BP244">
            <v>0</v>
          </cell>
          <cell r="BQ244">
            <v>0</v>
          </cell>
          <cell r="BR244">
            <v>0</v>
          </cell>
          <cell r="BS244">
            <v>0</v>
          </cell>
          <cell r="BT244">
            <v>0</v>
          </cell>
          <cell r="BU244">
            <v>0</v>
          </cell>
          <cell r="BV244">
            <v>0</v>
          </cell>
          <cell r="BW244">
            <v>0</v>
          </cell>
          <cell r="BX244">
            <v>0</v>
          </cell>
          <cell r="BY244">
            <v>0</v>
          </cell>
          <cell r="BZ244">
            <v>0</v>
          </cell>
          <cell r="CA244">
            <v>0</v>
          </cell>
          <cell r="CB244">
            <v>0</v>
          </cell>
          <cell r="CC244">
            <v>0</v>
          </cell>
          <cell r="CD244">
            <v>0</v>
          </cell>
          <cell r="CE244">
            <v>0</v>
          </cell>
          <cell r="CF244">
            <v>0</v>
          </cell>
          <cell r="CG244">
            <v>0</v>
          </cell>
          <cell r="CH244">
            <v>0</v>
          </cell>
          <cell r="CI244">
            <v>0</v>
          </cell>
          <cell r="CJ244">
            <v>0</v>
          </cell>
          <cell r="CK244">
            <v>0</v>
          </cell>
          <cell r="CL244">
            <v>0</v>
          </cell>
          <cell r="CM244">
            <v>0</v>
          </cell>
          <cell r="CN244">
            <v>0</v>
          </cell>
          <cell r="CO244">
            <v>0</v>
          </cell>
          <cell r="CP244">
            <v>0</v>
          </cell>
          <cell r="CQ244">
            <v>0</v>
          </cell>
          <cell r="CR244">
            <v>0</v>
          </cell>
          <cell r="CS244">
            <v>0</v>
          </cell>
          <cell r="CT244">
            <v>0</v>
          </cell>
          <cell r="CU244">
            <v>0</v>
          </cell>
          <cell r="CV244">
            <v>0</v>
          </cell>
          <cell r="CW244">
            <v>0</v>
          </cell>
          <cell r="CX244">
            <v>0</v>
          </cell>
          <cell r="CY244">
            <v>0</v>
          </cell>
          <cell r="CZ244">
            <v>0</v>
          </cell>
          <cell r="DA244">
            <v>0</v>
          </cell>
          <cell r="DB244">
            <v>0</v>
          </cell>
          <cell r="DC244">
            <v>0</v>
          </cell>
          <cell r="DD244">
            <v>0</v>
          </cell>
          <cell r="DE244">
            <v>0</v>
          </cell>
          <cell r="DF244">
            <v>0</v>
          </cell>
          <cell r="DG244">
            <v>0</v>
          </cell>
          <cell r="DH244">
            <v>0</v>
          </cell>
          <cell r="DI244">
            <v>0</v>
          </cell>
          <cell r="DJ244">
            <v>0</v>
          </cell>
          <cell r="DK244">
            <v>0</v>
          </cell>
          <cell r="DL244">
            <v>0</v>
          </cell>
          <cell r="DM244">
            <v>0</v>
          </cell>
          <cell r="DN244">
            <v>0</v>
          </cell>
          <cell r="DO244">
            <v>0</v>
          </cell>
          <cell r="DP244">
            <v>0</v>
          </cell>
          <cell r="DQ244">
            <v>0</v>
          </cell>
          <cell r="DR244">
            <v>0</v>
          </cell>
          <cell r="DS244">
            <v>0</v>
          </cell>
          <cell r="DT244">
            <v>0</v>
          </cell>
          <cell r="DU244">
            <v>0</v>
          </cell>
          <cell r="DV244">
            <v>0</v>
          </cell>
          <cell r="DW244">
            <v>0</v>
          </cell>
          <cell r="DX244">
            <v>0</v>
          </cell>
          <cell r="DY244">
            <v>0</v>
          </cell>
          <cell r="DZ244">
            <v>0</v>
          </cell>
          <cell r="EA244">
            <v>0</v>
          </cell>
          <cell r="EB244">
            <v>0</v>
          </cell>
          <cell r="EC244">
            <v>0</v>
          </cell>
          <cell r="ED244">
            <v>0</v>
          </cell>
          <cell r="EE244">
            <v>0</v>
          </cell>
          <cell r="EF244">
            <v>0</v>
          </cell>
          <cell r="EG244">
            <v>0</v>
          </cell>
          <cell r="EH244">
            <v>0</v>
          </cell>
          <cell r="EI244">
            <v>0</v>
          </cell>
          <cell r="EJ244">
            <v>0</v>
          </cell>
          <cell r="EK244">
            <v>0</v>
          </cell>
          <cell r="EL244">
            <v>0</v>
          </cell>
          <cell r="EM244">
            <v>0</v>
          </cell>
          <cell r="EN244">
            <v>0</v>
          </cell>
          <cell r="EO244">
            <v>0</v>
          </cell>
          <cell r="EP244">
            <v>0</v>
          </cell>
          <cell r="EQ244">
            <v>0</v>
          </cell>
          <cell r="ER244">
            <v>0</v>
          </cell>
          <cell r="ES244">
            <v>0</v>
          </cell>
          <cell r="ET244">
            <v>0</v>
          </cell>
          <cell r="EU244">
            <v>0</v>
          </cell>
          <cell r="EV244">
            <v>0</v>
          </cell>
          <cell r="EW244">
            <v>0</v>
          </cell>
          <cell r="EX244">
            <v>0</v>
          </cell>
          <cell r="EY244">
            <v>0</v>
          </cell>
          <cell r="EZ244">
            <v>0</v>
          </cell>
          <cell r="FA244">
            <v>0</v>
          </cell>
          <cell r="FB244">
            <v>0</v>
          </cell>
          <cell r="FC244">
            <v>0</v>
          </cell>
          <cell r="FD244">
            <v>0</v>
          </cell>
          <cell r="FE244">
            <v>0</v>
          </cell>
          <cell r="FF244">
            <v>0</v>
          </cell>
          <cell r="FG244">
            <v>0</v>
          </cell>
          <cell r="FH244">
            <v>0</v>
          </cell>
          <cell r="FI244">
            <v>0</v>
          </cell>
          <cell r="FJ244">
            <v>0</v>
          </cell>
          <cell r="FK244">
            <v>0</v>
          </cell>
          <cell r="FL244">
            <v>0</v>
          </cell>
          <cell r="FM244">
            <v>0</v>
          </cell>
          <cell r="FN244">
            <v>0</v>
          </cell>
          <cell r="FO244">
            <v>0</v>
          </cell>
          <cell r="FP244">
            <v>0</v>
          </cell>
          <cell r="FQ244">
            <v>0</v>
          </cell>
          <cell r="FR244">
            <v>0</v>
          </cell>
          <cell r="FS244">
            <v>0</v>
          </cell>
          <cell r="FT244">
            <v>0</v>
          </cell>
          <cell r="FU244">
            <v>0</v>
          </cell>
          <cell r="FV244">
            <v>0</v>
          </cell>
          <cell r="FW244">
            <v>0</v>
          </cell>
          <cell r="FX244">
            <v>0</v>
          </cell>
          <cell r="FY244">
            <v>0</v>
          </cell>
          <cell r="FZ244">
            <v>0</v>
          </cell>
        </row>
        <row r="245">
          <cell r="B245">
            <v>0</v>
          </cell>
          <cell r="C245">
            <v>0</v>
          </cell>
          <cell r="D245">
            <v>0</v>
          </cell>
          <cell r="E245">
            <v>0</v>
          </cell>
          <cell r="F245">
            <v>0</v>
          </cell>
          <cell r="G245">
            <v>0</v>
          </cell>
          <cell r="H245">
            <v>0</v>
          </cell>
          <cell r="I245">
            <v>0</v>
          </cell>
          <cell r="J245">
            <v>0</v>
          </cell>
          <cell r="K245">
            <v>0</v>
          </cell>
          <cell r="L245">
            <v>0</v>
          </cell>
          <cell r="M245">
            <v>0</v>
          </cell>
          <cell r="N245">
            <v>0</v>
          </cell>
          <cell r="O245">
            <v>0</v>
          </cell>
          <cell r="P245">
            <v>0</v>
          </cell>
          <cell r="Q245">
            <v>0</v>
          </cell>
          <cell r="R245">
            <v>0</v>
          </cell>
          <cell r="S245">
            <v>0</v>
          </cell>
          <cell r="T245">
            <v>0</v>
          </cell>
          <cell r="U245">
            <v>0</v>
          </cell>
          <cell r="V245">
            <v>0</v>
          </cell>
          <cell r="W245">
            <v>0</v>
          </cell>
          <cell r="X245">
            <v>0</v>
          </cell>
          <cell r="Y245">
            <v>0</v>
          </cell>
          <cell r="Z245">
            <v>0</v>
          </cell>
          <cell r="AA245">
            <v>0</v>
          </cell>
          <cell r="AB245">
            <v>0</v>
          </cell>
          <cell r="AC245">
            <v>0</v>
          </cell>
          <cell r="AD245">
            <v>0</v>
          </cell>
          <cell r="AE245">
            <v>0</v>
          </cell>
          <cell r="AF245">
            <v>0</v>
          </cell>
          <cell r="AG245">
            <v>0</v>
          </cell>
          <cell r="AH245">
            <v>0</v>
          </cell>
          <cell r="AI245">
            <v>0</v>
          </cell>
          <cell r="AJ245">
            <v>0</v>
          </cell>
          <cell r="AK245">
            <v>0</v>
          </cell>
          <cell r="AL245">
            <v>0</v>
          </cell>
          <cell r="AM245">
            <v>0</v>
          </cell>
          <cell r="AN245">
            <v>0</v>
          </cell>
          <cell r="AO245">
            <v>0</v>
          </cell>
          <cell r="AP245">
            <v>0</v>
          </cell>
          <cell r="AQ245">
            <v>0</v>
          </cell>
          <cell r="AR245">
            <v>0</v>
          </cell>
          <cell r="AS245">
            <v>0</v>
          </cell>
          <cell r="AT245">
            <v>0</v>
          </cell>
          <cell r="AU245">
            <v>0</v>
          </cell>
          <cell r="AV245">
            <v>0</v>
          </cell>
          <cell r="AW245">
            <v>0</v>
          </cell>
          <cell r="AX245">
            <v>0</v>
          </cell>
          <cell r="AY245">
            <v>0</v>
          </cell>
          <cell r="AZ245">
            <v>0</v>
          </cell>
          <cell r="BA245">
            <v>0</v>
          </cell>
          <cell r="BB245">
            <v>0</v>
          </cell>
          <cell r="BC245">
            <v>0</v>
          </cell>
          <cell r="BD245">
            <v>0</v>
          </cell>
          <cell r="BE245">
            <v>0</v>
          </cell>
          <cell r="BF245">
            <v>0</v>
          </cell>
          <cell r="BG245">
            <v>0</v>
          </cell>
          <cell r="BH245">
            <v>0</v>
          </cell>
          <cell r="BI245">
            <v>0</v>
          </cell>
          <cell r="BJ245">
            <v>0</v>
          </cell>
          <cell r="BK245">
            <v>0</v>
          </cell>
          <cell r="BL245">
            <v>0</v>
          </cell>
          <cell r="BM245">
            <v>0</v>
          </cell>
          <cell r="BN245">
            <v>0</v>
          </cell>
          <cell r="BO245">
            <v>0</v>
          </cell>
          <cell r="BP245">
            <v>0</v>
          </cell>
          <cell r="BQ245">
            <v>0</v>
          </cell>
          <cell r="BR245">
            <v>0</v>
          </cell>
          <cell r="BS245">
            <v>0</v>
          </cell>
          <cell r="BT245">
            <v>0</v>
          </cell>
          <cell r="BU245">
            <v>0</v>
          </cell>
          <cell r="BV245">
            <v>0</v>
          </cell>
          <cell r="BW245">
            <v>0</v>
          </cell>
          <cell r="BX245">
            <v>0</v>
          </cell>
          <cell r="BY245">
            <v>0</v>
          </cell>
          <cell r="BZ245">
            <v>0</v>
          </cell>
          <cell r="CA245">
            <v>0</v>
          </cell>
          <cell r="CB245">
            <v>0</v>
          </cell>
          <cell r="CC245">
            <v>0</v>
          </cell>
          <cell r="CD245">
            <v>0</v>
          </cell>
          <cell r="CE245">
            <v>0</v>
          </cell>
          <cell r="CF245">
            <v>0</v>
          </cell>
          <cell r="CG245">
            <v>0</v>
          </cell>
          <cell r="CH245">
            <v>0</v>
          </cell>
          <cell r="CI245">
            <v>0</v>
          </cell>
          <cell r="CJ245">
            <v>0</v>
          </cell>
          <cell r="CK245">
            <v>0</v>
          </cell>
          <cell r="CL245">
            <v>0</v>
          </cell>
          <cell r="CM245">
            <v>0</v>
          </cell>
          <cell r="CN245">
            <v>0</v>
          </cell>
          <cell r="CO245">
            <v>0</v>
          </cell>
          <cell r="CP245">
            <v>0</v>
          </cell>
          <cell r="CQ245">
            <v>0</v>
          </cell>
          <cell r="CR245">
            <v>0</v>
          </cell>
          <cell r="CS245">
            <v>0</v>
          </cell>
          <cell r="CT245">
            <v>0</v>
          </cell>
          <cell r="CU245">
            <v>0</v>
          </cell>
          <cell r="CV245">
            <v>0</v>
          </cell>
          <cell r="CW245">
            <v>0</v>
          </cell>
          <cell r="CX245">
            <v>0</v>
          </cell>
          <cell r="CY245">
            <v>0</v>
          </cell>
          <cell r="CZ245">
            <v>0</v>
          </cell>
          <cell r="DA245">
            <v>0</v>
          </cell>
          <cell r="DB245">
            <v>0</v>
          </cell>
          <cell r="DC245">
            <v>0</v>
          </cell>
          <cell r="DD245">
            <v>0</v>
          </cell>
          <cell r="DE245">
            <v>0</v>
          </cell>
          <cell r="DF245">
            <v>0</v>
          </cell>
          <cell r="DG245">
            <v>0</v>
          </cell>
          <cell r="DH245">
            <v>0</v>
          </cell>
          <cell r="DI245">
            <v>0</v>
          </cell>
          <cell r="DJ245">
            <v>0</v>
          </cell>
          <cell r="DK245">
            <v>0</v>
          </cell>
          <cell r="DL245">
            <v>0</v>
          </cell>
          <cell r="DM245">
            <v>0</v>
          </cell>
          <cell r="DN245">
            <v>0</v>
          </cell>
          <cell r="DO245">
            <v>0</v>
          </cell>
          <cell r="DP245">
            <v>0</v>
          </cell>
          <cell r="DQ245">
            <v>0</v>
          </cell>
          <cell r="DR245">
            <v>0</v>
          </cell>
          <cell r="DS245">
            <v>0</v>
          </cell>
          <cell r="DT245">
            <v>0</v>
          </cell>
          <cell r="DU245">
            <v>0</v>
          </cell>
          <cell r="DV245">
            <v>0</v>
          </cell>
          <cell r="DW245">
            <v>0</v>
          </cell>
          <cell r="DX245">
            <v>0</v>
          </cell>
          <cell r="DY245">
            <v>0</v>
          </cell>
          <cell r="DZ245">
            <v>0</v>
          </cell>
          <cell r="EA245">
            <v>0</v>
          </cell>
          <cell r="EB245">
            <v>0</v>
          </cell>
          <cell r="EC245">
            <v>0</v>
          </cell>
          <cell r="ED245">
            <v>0</v>
          </cell>
          <cell r="EE245">
            <v>0</v>
          </cell>
          <cell r="EF245">
            <v>0</v>
          </cell>
          <cell r="EG245">
            <v>0</v>
          </cell>
          <cell r="EH245">
            <v>0</v>
          </cell>
          <cell r="EI245">
            <v>0</v>
          </cell>
          <cell r="EJ245">
            <v>0</v>
          </cell>
          <cell r="EK245">
            <v>0</v>
          </cell>
          <cell r="EL245">
            <v>0</v>
          </cell>
          <cell r="EM245">
            <v>0</v>
          </cell>
          <cell r="EN245">
            <v>0</v>
          </cell>
          <cell r="EO245">
            <v>0</v>
          </cell>
          <cell r="EP245">
            <v>0</v>
          </cell>
          <cell r="EQ245">
            <v>0</v>
          </cell>
          <cell r="ER245">
            <v>0</v>
          </cell>
          <cell r="ES245">
            <v>0</v>
          </cell>
          <cell r="ET245">
            <v>0</v>
          </cell>
          <cell r="EU245">
            <v>0</v>
          </cell>
          <cell r="EV245">
            <v>0</v>
          </cell>
          <cell r="EW245">
            <v>0</v>
          </cell>
          <cell r="EX245">
            <v>0</v>
          </cell>
          <cell r="EY245">
            <v>0</v>
          </cell>
          <cell r="EZ245">
            <v>0</v>
          </cell>
          <cell r="FA245">
            <v>0</v>
          </cell>
          <cell r="FB245">
            <v>0</v>
          </cell>
          <cell r="FC245">
            <v>0</v>
          </cell>
          <cell r="FD245">
            <v>0</v>
          </cell>
          <cell r="FE245">
            <v>0</v>
          </cell>
          <cell r="FF245">
            <v>0</v>
          </cell>
          <cell r="FG245">
            <v>0</v>
          </cell>
          <cell r="FH245">
            <v>0</v>
          </cell>
          <cell r="FI245">
            <v>0</v>
          </cell>
          <cell r="FJ245">
            <v>0</v>
          </cell>
          <cell r="FK245">
            <v>0</v>
          </cell>
          <cell r="FL245">
            <v>0</v>
          </cell>
          <cell r="FM245">
            <v>0</v>
          </cell>
          <cell r="FN245">
            <v>0</v>
          </cell>
          <cell r="FO245">
            <v>0</v>
          </cell>
          <cell r="FP245">
            <v>0</v>
          </cell>
          <cell r="FQ245">
            <v>0</v>
          </cell>
          <cell r="FR245">
            <v>0</v>
          </cell>
          <cell r="FS245">
            <v>0</v>
          </cell>
          <cell r="FT245">
            <v>0</v>
          </cell>
          <cell r="FU245">
            <v>0</v>
          </cell>
          <cell r="FV245">
            <v>0</v>
          </cell>
          <cell r="FW245">
            <v>0</v>
          </cell>
          <cell r="FX245">
            <v>0</v>
          </cell>
          <cell r="FY245">
            <v>0</v>
          </cell>
          <cell r="FZ245">
            <v>0</v>
          </cell>
        </row>
        <row r="246">
          <cell r="B246">
            <v>0</v>
          </cell>
          <cell r="C246">
            <v>0</v>
          </cell>
          <cell r="D246">
            <v>0</v>
          </cell>
          <cell r="E246">
            <v>0</v>
          </cell>
          <cell r="F246">
            <v>0</v>
          </cell>
          <cell r="G246">
            <v>0</v>
          </cell>
          <cell r="H246">
            <v>0</v>
          </cell>
          <cell r="I246">
            <v>0</v>
          </cell>
          <cell r="J246">
            <v>0</v>
          </cell>
          <cell r="K246">
            <v>0</v>
          </cell>
          <cell r="L246">
            <v>0</v>
          </cell>
          <cell r="M246">
            <v>0</v>
          </cell>
          <cell r="N246">
            <v>0</v>
          </cell>
          <cell r="O246">
            <v>0</v>
          </cell>
          <cell r="P246">
            <v>0</v>
          </cell>
          <cell r="Q246">
            <v>0</v>
          </cell>
          <cell r="R246">
            <v>0</v>
          </cell>
          <cell r="S246">
            <v>0</v>
          </cell>
          <cell r="T246">
            <v>0</v>
          </cell>
          <cell r="U246">
            <v>0</v>
          </cell>
          <cell r="V246">
            <v>0</v>
          </cell>
          <cell r="W246">
            <v>0</v>
          </cell>
          <cell r="X246">
            <v>0</v>
          </cell>
          <cell r="Y246">
            <v>0</v>
          </cell>
          <cell r="Z246">
            <v>0</v>
          </cell>
          <cell r="AA246">
            <v>0</v>
          </cell>
          <cell r="AB246">
            <v>0</v>
          </cell>
          <cell r="AC246">
            <v>0</v>
          </cell>
          <cell r="AD246">
            <v>0</v>
          </cell>
          <cell r="AE246">
            <v>0</v>
          </cell>
          <cell r="AF246">
            <v>0</v>
          </cell>
          <cell r="AG246">
            <v>0</v>
          </cell>
          <cell r="AH246">
            <v>0</v>
          </cell>
          <cell r="AI246">
            <v>0</v>
          </cell>
          <cell r="AJ246">
            <v>0</v>
          </cell>
          <cell r="AK246">
            <v>0</v>
          </cell>
          <cell r="AL246">
            <v>0</v>
          </cell>
          <cell r="AM246">
            <v>0</v>
          </cell>
          <cell r="AN246">
            <v>0</v>
          </cell>
          <cell r="AO246">
            <v>0</v>
          </cell>
          <cell r="AP246">
            <v>0</v>
          </cell>
          <cell r="AQ246">
            <v>0</v>
          </cell>
          <cell r="AR246">
            <v>0</v>
          </cell>
          <cell r="AS246">
            <v>0</v>
          </cell>
          <cell r="AT246">
            <v>0</v>
          </cell>
          <cell r="AU246">
            <v>0</v>
          </cell>
          <cell r="AV246">
            <v>0</v>
          </cell>
          <cell r="AW246">
            <v>0</v>
          </cell>
          <cell r="AX246">
            <v>0</v>
          </cell>
          <cell r="AY246">
            <v>0</v>
          </cell>
          <cell r="AZ246">
            <v>0</v>
          </cell>
          <cell r="BA246">
            <v>0</v>
          </cell>
          <cell r="BB246">
            <v>0</v>
          </cell>
          <cell r="BC246">
            <v>0</v>
          </cell>
          <cell r="BD246">
            <v>0</v>
          </cell>
          <cell r="BE246">
            <v>0</v>
          </cell>
          <cell r="BF246">
            <v>0</v>
          </cell>
          <cell r="BG246">
            <v>0</v>
          </cell>
          <cell r="BH246">
            <v>0</v>
          </cell>
          <cell r="BI246">
            <v>0</v>
          </cell>
          <cell r="BJ246">
            <v>0</v>
          </cell>
          <cell r="BK246">
            <v>0</v>
          </cell>
          <cell r="BL246">
            <v>0</v>
          </cell>
          <cell r="BM246">
            <v>0</v>
          </cell>
          <cell r="BN246">
            <v>0</v>
          </cell>
          <cell r="BO246">
            <v>0</v>
          </cell>
          <cell r="BP246">
            <v>0</v>
          </cell>
          <cell r="BQ246">
            <v>0</v>
          </cell>
          <cell r="BR246">
            <v>0</v>
          </cell>
          <cell r="BS246">
            <v>0</v>
          </cell>
          <cell r="BT246">
            <v>0</v>
          </cell>
          <cell r="BU246">
            <v>0</v>
          </cell>
          <cell r="BV246">
            <v>0</v>
          </cell>
          <cell r="BW246">
            <v>0</v>
          </cell>
          <cell r="BX246">
            <v>0</v>
          </cell>
          <cell r="BY246">
            <v>0</v>
          </cell>
          <cell r="BZ246">
            <v>0</v>
          </cell>
          <cell r="CA246">
            <v>0</v>
          </cell>
          <cell r="CB246">
            <v>0</v>
          </cell>
          <cell r="CC246">
            <v>0</v>
          </cell>
          <cell r="CD246">
            <v>0</v>
          </cell>
          <cell r="CE246">
            <v>0</v>
          </cell>
          <cell r="CF246">
            <v>0</v>
          </cell>
          <cell r="CG246">
            <v>0</v>
          </cell>
          <cell r="CH246">
            <v>0</v>
          </cell>
          <cell r="CI246">
            <v>0</v>
          </cell>
          <cell r="CJ246">
            <v>0</v>
          </cell>
          <cell r="CK246">
            <v>0</v>
          </cell>
          <cell r="CL246">
            <v>0</v>
          </cell>
          <cell r="CM246">
            <v>0</v>
          </cell>
          <cell r="CN246">
            <v>0</v>
          </cell>
          <cell r="CO246">
            <v>0</v>
          </cell>
          <cell r="CP246">
            <v>0</v>
          </cell>
          <cell r="CQ246">
            <v>0</v>
          </cell>
          <cell r="CR246">
            <v>0</v>
          </cell>
          <cell r="CS246">
            <v>0</v>
          </cell>
          <cell r="CT246">
            <v>0</v>
          </cell>
          <cell r="CU246">
            <v>0</v>
          </cell>
          <cell r="CV246">
            <v>0</v>
          </cell>
          <cell r="CW246">
            <v>0</v>
          </cell>
          <cell r="CX246">
            <v>0</v>
          </cell>
          <cell r="CY246">
            <v>0</v>
          </cell>
          <cell r="CZ246">
            <v>0</v>
          </cell>
          <cell r="DA246">
            <v>0</v>
          </cell>
          <cell r="DB246">
            <v>0</v>
          </cell>
          <cell r="DC246">
            <v>0</v>
          </cell>
          <cell r="DD246">
            <v>0</v>
          </cell>
          <cell r="DE246">
            <v>0</v>
          </cell>
          <cell r="DF246">
            <v>0</v>
          </cell>
          <cell r="DG246">
            <v>0</v>
          </cell>
          <cell r="DH246">
            <v>0</v>
          </cell>
          <cell r="DI246">
            <v>0</v>
          </cell>
          <cell r="DJ246">
            <v>0</v>
          </cell>
          <cell r="DK246">
            <v>0</v>
          </cell>
          <cell r="DL246">
            <v>0</v>
          </cell>
          <cell r="DM246">
            <v>0</v>
          </cell>
          <cell r="DN246">
            <v>0</v>
          </cell>
          <cell r="DO246">
            <v>0</v>
          </cell>
          <cell r="DP246">
            <v>0</v>
          </cell>
          <cell r="DQ246">
            <v>0</v>
          </cell>
          <cell r="DR246">
            <v>0</v>
          </cell>
          <cell r="DS246">
            <v>0</v>
          </cell>
          <cell r="DT246">
            <v>0</v>
          </cell>
          <cell r="DU246">
            <v>0</v>
          </cell>
          <cell r="DV246">
            <v>0</v>
          </cell>
          <cell r="DW246">
            <v>0</v>
          </cell>
          <cell r="DX246">
            <v>0</v>
          </cell>
          <cell r="DY246">
            <v>0</v>
          </cell>
          <cell r="DZ246">
            <v>0</v>
          </cell>
          <cell r="EA246">
            <v>0</v>
          </cell>
          <cell r="EB246">
            <v>0</v>
          </cell>
          <cell r="EC246">
            <v>0</v>
          </cell>
          <cell r="ED246">
            <v>0</v>
          </cell>
          <cell r="EE246">
            <v>0.09</v>
          </cell>
          <cell r="EF246">
            <v>0</v>
          </cell>
          <cell r="EG246">
            <v>0</v>
          </cell>
          <cell r="EH246">
            <v>0</v>
          </cell>
          <cell r="EI246">
            <v>0</v>
          </cell>
          <cell r="EJ246">
            <v>0</v>
          </cell>
          <cell r="EK246">
            <v>0</v>
          </cell>
          <cell r="EL246">
            <v>0</v>
          </cell>
          <cell r="EM246">
            <v>0.14000000000000001</v>
          </cell>
          <cell r="EN246">
            <v>0</v>
          </cell>
          <cell r="EO246">
            <v>0</v>
          </cell>
          <cell r="EP246">
            <v>0</v>
          </cell>
          <cell r="EQ246">
            <v>1266375.4399999997</v>
          </cell>
          <cell r="ER246">
            <v>0</v>
          </cell>
          <cell r="ES246">
            <v>0</v>
          </cell>
          <cell r="ET246">
            <v>0</v>
          </cell>
          <cell r="EU246">
            <v>308588.07621496334</v>
          </cell>
          <cell r="EV246">
            <v>0</v>
          </cell>
          <cell r="EW246">
            <v>0</v>
          </cell>
          <cell r="EX246">
            <v>0</v>
          </cell>
          <cell r="EY246">
            <v>0</v>
          </cell>
          <cell r="EZ246">
            <v>0</v>
          </cell>
          <cell r="FA246">
            <v>0</v>
          </cell>
          <cell r="FB246">
            <v>819586.92577711772</v>
          </cell>
          <cell r="FC246">
            <v>819586.92577711772</v>
          </cell>
          <cell r="FD246">
            <v>819586.92577711772</v>
          </cell>
          <cell r="FE246">
            <v>833029.16541154985</v>
          </cell>
          <cell r="FF246">
            <v>806144.68614268536</v>
          </cell>
          <cell r="FG246">
            <v>843392.12548214733</v>
          </cell>
          <cell r="FH246">
            <v>133000</v>
          </cell>
          <cell r="FI246">
            <v>78925.731163806544</v>
          </cell>
          <cell r="FJ246">
            <v>8431.8989460000012</v>
          </cell>
          <cell r="FK246">
            <v>0</v>
          </cell>
          <cell r="FL246">
            <v>1266375.44</v>
          </cell>
          <cell r="FM246">
            <v>0</v>
          </cell>
          <cell r="FN246">
            <v>0</v>
          </cell>
          <cell r="FO246">
            <v>0</v>
          </cell>
          <cell r="FP246">
            <v>830539.29119595687</v>
          </cell>
          <cell r="FQ246">
            <v>0</v>
          </cell>
          <cell r="FR246">
            <v>0</v>
          </cell>
          <cell r="FS246">
            <v>0</v>
          </cell>
          <cell r="FT246">
            <v>1380866.4900000002</v>
          </cell>
          <cell r="FU246">
            <v>0</v>
          </cell>
          <cell r="FV246">
            <v>0</v>
          </cell>
          <cell r="FW246">
            <v>0</v>
          </cell>
          <cell r="FX246">
            <v>0</v>
          </cell>
          <cell r="FY246">
            <v>0</v>
          </cell>
          <cell r="FZ246">
            <v>0</v>
          </cell>
        </row>
        <row r="247">
          <cell r="B247">
            <v>0</v>
          </cell>
          <cell r="C247">
            <v>0.08</v>
          </cell>
          <cell r="D247">
            <v>0</v>
          </cell>
          <cell r="E247">
            <v>0</v>
          </cell>
          <cell r="F247">
            <v>0</v>
          </cell>
          <cell r="G247">
            <v>0</v>
          </cell>
          <cell r="H247">
            <v>0</v>
          </cell>
          <cell r="I247">
            <v>0</v>
          </cell>
          <cell r="J247">
            <v>0</v>
          </cell>
          <cell r="K247">
            <v>0</v>
          </cell>
          <cell r="L247">
            <v>0</v>
          </cell>
          <cell r="M247">
            <v>0</v>
          </cell>
          <cell r="N247">
            <v>0</v>
          </cell>
          <cell r="O247">
            <v>1</v>
          </cell>
          <cell r="P247">
            <v>0</v>
          </cell>
          <cell r="Q247">
            <v>0</v>
          </cell>
          <cell r="R247">
            <v>0</v>
          </cell>
          <cell r="S247">
            <v>0</v>
          </cell>
          <cell r="T247">
            <v>0</v>
          </cell>
          <cell r="U247">
            <v>0</v>
          </cell>
          <cell r="V247">
            <v>0</v>
          </cell>
          <cell r="W247">
            <v>0</v>
          </cell>
          <cell r="X247">
            <v>0</v>
          </cell>
          <cell r="Y247">
            <v>0</v>
          </cell>
          <cell r="Z247">
            <v>0</v>
          </cell>
          <cell r="AA247">
            <v>0.08</v>
          </cell>
          <cell r="AB247">
            <v>0</v>
          </cell>
          <cell r="AC247">
            <v>0</v>
          </cell>
          <cell r="AD247">
            <v>0</v>
          </cell>
          <cell r="AE247">
            <v>0</v>
          </cell>
          <cell r="AF247">
            <v>0</v>
          </cell>
          <cell r="AG247">
            <v>0</v>
          </cell>
          <cell r="AH247">
            <v>0</v>
          </cell>
          <cell r="AI247">
            <v>0</v>
          </cell>
          <cell r="AJ247">
            <v>0</v>
          </cell>
          <cell r="AK247">
            <v>0</v>
          </cell>
          <cell r="AL247">
            <v>0</v>
          </cell>
          <cell r="AM247">
            <v>4832947.7319999998</v>
          </cell>
          <cell r="AN247">
            <v>0</v>
          </cell>
          <cell r="AO247">
            <v>0</v>
          </cell>
          <cell r="AP247">
            <v>0</v>
          </cell>
          <cell r="AQ247">
            <v>0</v>
          </cell>
          <cell r="AR247">
            <v>0</v>
          </cell>
          <cell r="AS247">
            <v>0</v>
          </cell>
          <cell r="AT247">
            <v>0</v>
          </cell>
          <cell r="AU247">
            <v>0</v>
          </cell>
          <cell r="AV247">
            <v>0</v>
          </cell>
          <cell r="AW247">
            <v>0</v>
          </cell>
          <cell r="AX247">
            <v>0</v>
          </cell>
          <cell r="AY247">
            <v>4994654.702898602</v>
          </cell>
          <cell r="AZ247">
            <v>0</v>
          </cell>
          <cell r="BA247">
            <v>0</v>
          </cell>
          <cell r="BB247">
            <v>0</v>
          </cell>
          <cell r="BC247">
            <v>0</v>
          </cell>
          <cell r="BD247">
            <v>0</v>
          </cell>
          <cell r="BE247">
            <v>0</v>
          </cell>
          <cell r="BF247">
            <v>0</v>
          </cell>
          <cell r="BG247">
            <v>0</v>
          </cell>
          <cell r="BH247">
            <v>0</v>
          </cell>
          <cell r="BI247">
            <v>0</v>
          </cell>
          <cell r="BJ247">
            <v>0</v>
          </cell>
          <cell r="BK247">
            <v>0</v>
          </cell>
          <cell r="BL247">
            <v>0</v>
          </cell>
          <cell r="BM247">
            <v>0</v>
          </cell>
          <cell r="BN247">
            <v>0</v>
          </cell>
          <cell r="BO247">
            <v>0</v>
          </cell>
          <cell r="BP247">
            <v>0</v>
          </cell>
          <cell r="BQ247">
            <v>0</v>
          </cell>
          <cell r="BR247">
            <v>0</v>
          </cell>
          <cell r="BS247">
            <v>0</v>
          </cell>
          <cell r="BT247">
            <v>0</v>
          </cell>
          <cell r="BU247">
            <v>0</v>
          </cell>
          <cell r="BV247">
            <v>7146292.5695564272</v>
          </cell>
          <cell r="BW247">
            <v>7146292.5695564272</v>
          </cell>
          <cell r="BX247">
            <v>7146292.5695564272</v>
          </cell>
          <cell r="BY247">
            <v>7161387.4073480908</v>
          </cell>
          <cell r="BZ247">
            <v>7131197.7317647655</v>
          </cell>
          <cell r="CA247">
            <v>7167064.7282724977</v>
          </cell>
          <cell r="CB247">
            <v>50000</v>
          </cell>
          <cell r="CC247">
            <v>0</v>
          </cell>
          <cell r="CD247">
            <v>0</v>
          </cell>
          <cell r="CE247">
            <v>4832947.7319999998</v>
          </cell>
          <cell r="CF247">
            <v>0</v>
          </cell>
          <cell r="CG247">
            <v>0</v>
          </cell>
          <cell r="CH247">
            <v>0</v>
          </cell>
          <cell r="CI247">
            <v>0</v>
          </cell>
          <cell r="CJ247">
            <v>0</v>
          </cell>
          <cell r="CK247">
            <v>0</v>
          </cell>
          <cell r="CL247">
            <v>0</v>
          </cell>
          <cell r="CM247">
            <v>0</v>
          </cell>
          <cell r="CN247">
            <v>0</v>
          </cell>
          <cell r="CO247">
            <v>0</v>
          </cell>
          <cell r="CP247">
            <v>0</v>
          </cell>
          <cell r="CQ247">
            <v>4819566.3880000003</v>
          </cell>
          <cell r="CR247">
            <v>0</v>
          </cell>
          <cell r="CS247">
            <v>0</v>
          </cell>
          <cell r="CT247">
            <v>0</v>
          </cell>
          <cell r="CU247">
            <v>0</v>
          </cell>
          <cell r="CV247">
            <v>0</v>
          </cell>
          <cell r="CW247">
            <v>0</v>
          </cell>
          <cell r="CX247">
            <v>0</v>
          </cell>
          <cell r="CY247">
            <v>0</v>
          </cell>
          <cell r="CZ247">
            <v>0</v>
          </cell>
          <cell r="DA247">
            <v>0</v>
          </cell>
          <cell r="DB247">
            <v>0</v>
          </cell>
          <cell r="DC247">
            <v>5395453.0980000002</v>
          </cell>
          <cell r="DD247">
            <v>0</v>
          </cell>
          <cell r="DE247">
            <v>0</v>
          </cell>
          <cell r="DF247">
            <v>0</v>
          </cell>
          <cell r="DG247">
            <v>0</v>
          </cell>
          <cell r="DH247">
            <v>0</v>
          </cell>
          <cell r="DI247">
            <v>0</v>
          </cell>
          <cell r="DJ247">
            <v>0</v>
          </cell>
          <cell r="DK247">
            <v>0</v>
          </cell>
          <cell r="DL247">
            <v>0</v>
          </cell>
          <cell r="DM247">
            <v>0</v>
          </cell>
          <cell r="DN247">
            <v>0</v>
          </cell>
          <cell r="DO247">
            <v>0</v>
          </cell>
          <cell r="DP247">
            <v>0</v>
          </cell>
          <cell r="DQ247">
            <v>0</v>
          </cell>
          <cell r="DR247">
            <v>0</v>
          </cell>
          <cell r="DS247">
            <v>0</v>
          </cell>
          <cell r="DT247">
            <v>0</v>
          </cell>
          <cell r="DU247">
            <v>0</v>
          </cell>
          <cell r="DV247">
            <v>0</v>
          </cell>
          <cell r="DW247">
            <v>0</v>
          </cell>
          <cell r="DX247">
            <v>0</v>
          </cell>
          <cell r="DY247">
            <v>0</v>
          </cell>
          <cell r="DZ247">
            <v>0</v>
          </cell>
          <cell r="EA247">
            <v>0</v>
          </cell>
          <cell r="EB247">
            <v>0</v>
          </cell>
          <cell r="EC247">
            <v>0</v>
          </cell>
          <cell r="ED247">
            <v>0</v>
          </cell>
          <cell r="EE247">
            <v>0</v>
          </cell>
          <cell r="EF247">
            <v>0</v>
          </cell>
          <cell r="EG247">
            <v>0</v>
          </cell>
          <cell r="EH247">
            <v>0</v>
          </cell>
          <cell r="EI247">
            <v>0</v>
          </cell>
          <cell r="EJ247">
            <v>0</v>
          </cell>
          <cell r="EK247">
            <v>0</v>
          </cell>
          <cell r="EL247">
            <v>0</v>
          </cell>
          <cell r="EM247">
            <v>0</v>
          </cell>
          <cell r="EN247">
            <v>0</v>
          </cell>
          <cell r="EO247">
            <v>0</v>
          </cell>
          <cell r="EP247">
            <v>0</v>
          </cell>
          <cell r="EQ247">
            <v>0</v>
          </cell>
          <cell r="ER247">
            <v>0</v>
          </cell>
          <cell r="ES247">
            <v>0</v>
          </cell>
          <cell r="ET247">
            <v>0</v>
          </cell>
          <cell r="EU247">
            <v>0</v>
          </cell>
          <cell r="EV247">
            <v>0</v>
          </cell>
          <cell r="EW247">
            <v>0</v>
          </cell>
          <cell r="EX247">
            <v>0</v>
          </cell>
          <cell r="EY247">
            <v>0</v>
          </cell>
          <cell r="EZ247">
            <v>0</v>
          </cell>
          <cell r="FA247">
            <v>0</v>
          </cell>
          <cell r="FB247">
            <v>0</v>
          </cell>
          <cell r="FC247">
            <v>0</v>
          </cell>
          <cell r="FD247">
            <v>0</v>
          </cell>
          <cell r="FE247">
            <v>0</v>
          </cell>
          <cell r="FF247">
            <v>0</v>
          </cell>
          <cell r="FG247">
            <v>0</v>
          </cell>
          <cell r="FH247">
            <v>0</v>
          </cell>
          <cell r="FI247">
            <v>0</v>
          </cell>
          <cell r="FJ247">
            <v>0</v>
          </cell>
          <cell r="FK247">
            <v>0</v>
          </cell>
          <cell r="FL247">
            <v>0</v>
          </cell>
          <cell r="FM247">
            <v>0</v>
          </cell>
          <cell r="FN247">
            <v>0</v>
          </cell>
          <cell r="FO247">
            <v>0</v>
          </cell>
          <cell r="FP247">
            <v>0</v>
          </cell>
          <cell r="FQ247">
            <v>0</v>
          </cell>
          <cell r="FR247">
            <v>0</v>
          </cell>
          <cell r="FS247">
            <v>0</v>
          </cell>
          <cell r="FT247">
            <v>0</v>
          </cell>
          <cell r="FU247">
            <v>0</v>
          </cell>
          <cell r="FV247">
            <v>0</v>
          </cell>
          <cell r="FW247">
            <v>0</v>
          </cell>
          <cell r="FX247">
            <v>0</v>
          </cell>
          <cell r="FY247">
            <v>0</v>
          </cell>
          <cell r="FZ247">
            <v>0</v>
          </cell>
        </row>
        <row r="248">
          <cell r="B248">
            <v>0.1</v>
          </cell>
          <cell r="C248">
            <v>0</v>
          </cell>
          <cell r="D248">
            <v>0</v>
          </cell>
          <cell r="E248">
            <v>0</v>
          </cell>
          <cell r="F248">
            <v>0</v>
          </cell>
          <cell r="G248">
            <v>0</v>
          </cell>
          <cell r="H248">
            <v>0</v>
          </cell>
          <cell r="I248">
            <v>0</v>
          </cell>
          <cell r="J248">
            <v>0</v>
          </cell>
          <cell r="K248">
            <v>0</v>
          </cell>
          <cell r="L248">
            <v>0</v>
          </cell>
          <cell r="M248">
            <v>0</v>
          </cell>
          <cell r="N248">
            <v>0.8</v>
          </cell>
          <cell r="O248">
            <v>0</v>
          </cell>
          <cell r="P248">
            <v>0</v>
          </cell>
          <cell r="Q248">
            <v>0</v>
          </cell>
          <cell r="R248">
            <v>0</v>
          </cell>
          <cell r="S248">
            <v>0</v>
          </cell>
          <cell r="T248">
            <v>0</v>
          </cell>
          <cell r="U248">
            <v>0</v>
          </cell>
          <cell r="V248">
            <v>0</v>
          </cell>
          <cell r="W248">
            <v>0</v>
          </cell>
          <cell r="X248">
            <v>0</v>
          </cell>
          <cell r="Y248">
            <v>0</v>
          </cell>
          <cell r="Z248">
            <v>0.09</v>
          </cell>
          <cell r="AA248">
            <v>0</v>
          </cell>
          <cell r="AB248">
            <v>0</v>
          </cell>
          <cell r="AC248">
            <v>0</v>
          </cell>
          <cell r="AD248">
            <v>0</v>
          </cell>
          <cell r="AE248">
            <v>0</v>
          </cell>
          <cell r="AF248">
            <v>0</v>
          </cell>
          <cell r="AG248">
            <v>0</v>
          </cell>
          <cell r="AH248">
            <v>0</v>
          </cell>
          <cell r="AI248">
            <v>0</v>
          </cell>
          <cell r="AJ248">
            <v>0</v>
          </cell>
          <cell r="AK248">
            <v>0</v>
          </cell>
          <cell r="AL248">
            <v>19331790.927999999</v>
          </cell>
          <cell r="AM248">
            <v>0</v>
          </cell>
          <cell r="AN248">
            <v>0</v>
          </cell>
          <cell r="AO248">
            <v>0</v>
          </cell>
          <cell r="AP248">
            <v>0</v>
          </cell>
          <cell r="AQ248">
            <v>0</v>
          </cell>
          <cell r="AR248">
            <v>0</v>
          </cell>
          <cell r="AS248">
            <v>0</v>
          </cell>
          <cell r="AT248">
            <v>0</v>
          </cell>
          <cell r="AU248">
            <v>0</v>
          </cell>
          <cell r="AV248">
            <v>0</v>
          </cell>
          <cell r="AW248">
            <v>0</v>
          </cell>
          <cell r="AX248">
            <v>19978618.811594415</v>
          </cell>
          <cell r="AY248">
            <v>0</v>
          </cell>
          <cell r="AZ248">
            <v>0</v>
          </cell>
          <cell r="BA248">
            <v>0</v>
          </cell>
          <cell r="BB248">
            <v>0</v>
          </cell>
          <cell r="BC248">
            <v>0</v>
          </cell>
          <cell r="BD248">
            <v>0</v>
          </cell>
          <cell r="BE248">
            <v>0</v>
          </cell>
          <cell r="BF248">
            <v>0</v>
          </cell>
          <cell r="BG248">
            <v>0</v>
          </cell>
          <cell r="BH248">
            <v>0</v>
          </cell>
          <cell r="BI248">
            <v>0</v>
          </cell>
          <cell r="BJ248">
            <v>0</v>
          </cell>
          <cell r="BK248">
            <v>0</v>
          </cell>
          <cell r="BL248">
            <v>0</v>
          </cell>
          <cell r="BM248">
            <v>0</v>
          </cell>
          <cell r="BN248">
            <v>0</v>
          </cell>
          <cell r="BO248">
            <v>0</v>
          </cell>
          <cell r="BP248">
            <v>0</v>
          </cell>
          <cell r="BQ248">
            <v>0</v>
          </cell>
          <cell r="BR248">
            <v>0</v>
          </cell>
          <cell r="BS248">
            <v>0</v>
          </cell>
          <cell r="BT248">
            <v>0</v>
          </cell>
          <cell r="BU248">
            <v>0</v>
          </cell>
          <cell r="BV248">
            <v>28585170.278225709</v>
          </cell>
          <cell r="BW248">
            <v>28585170.278225709</v>
          </cell>
          <cell r="BX248">
            <v>28585170.278225709</v>
          </cell>
          <cell r="BY248">
            <v>28645549.629392363</v>
          </cell>
          <cell r="BZ248">
            <v>28524790.927059062</v>
          </cell>
          <cell r="CA248">
            <v>28668258.913089991</v>
          </cell>
          <cell r="CB248">
            <v>200000</v>
          </cell>
          <cell r="CC248">
            <v>0</v>
          </cell>
          <cell r="CD248">
            <v>19331790.927999999</v>
          </cell>
          <cell r="CE248">
            <v>0</v>
          </cell>
          <cell r="CF248">
            <v>0</v>
          </cell>
          <cell r="CG248">
            <v>0</v>
          </cell>
          <cell r="CH248">
            <v>0</v>
          </cell>
          <cell r="CI248">
            <v>0</v>
          </cell>
          <cell r="CJ248">
            <v>0</v>
          </cell>
          <cell r="CK248">
            <v>0</v>
          </cell>
          <cell r="CL248">
            <v>0</v>
          </cell>
          <cell r="CM248">
            <v>0</v>
          </cell>
          <cell r="CN248">
            <v>0</v>
          </cell>
          <cell r="CO248">
            <v>0</v>
          </cell>
          <cell r="CP248">
            <v>19278265.552000001</v>
          </cell>
          <cell r="CQ248">
            <v>0</v>
          </cell>
          <cell r="CR248">
            <v>0</v>
          </cell>
          <cell r="CS248">
            <v>0</v>
          </cell>
          <cell r="CT248">
            <v>0</v>
          </cell>
          <cell r="CU248">
            <v>0</v>
          </cell>
          <cell r="CV248">
            <v>0</v>
          </cell>
          <cell r="CW248">
            <v>0</v>
          </cell>
          <cell r="CX248">
            <v>0</v>
          </cell>
          <cell r="CY248">
            <v>0</v>
          </cell>
          <cell r="CZ248">
            <v>0</v>
          </cell>
          <cell r="DA248">
            <v>0</v>
          </cell>
          <cell r="DB248">
            <v>21581812.392000001</v>
          </cell>
          <cell r="DC248">
            <v>0</v>
          </cell>
          <cell r="DD248">
            <v>0</v>
          </cell>
          <cell r="DE248">
            <v>0</v>
          </cell>
          <cell r="DF248">
            <v>0</v>
          </cell>
          <cell r="DG248">
            <v>0</v>
          </cell>
          <cell r="DH248">
            <v>0</v>
          </cell>
          <cell r="DI248">
            <v>0</v>
          </cell>
          <cell r="DJ248">
            <v>0</v>
          </cell>
          <cell r="DK248">
            <v>0</v>
          </cell>
          <cell r="DL248">
            <v>0</v>
          </cell>
          <cell r="DM248">
            <v>0</v>
          </cell>
          <cell r="DN248">
            <v>0</v>
          </cell>
          <cell r="DO248">
            <v>0</v>
          </cell>
          <cell r="DP248">
            <v>0</v>
          </cell>
          <cell r="DQ248">
            <v>0</v>
          </cell>
          <cell r="DR248">
            <v>0</v>
          </cell>
          <cell r="DS248">
            <v>0</v>
          </cell>
          <cell r="DT248">
            <v>0</v>
          </cell>
          <cell r="DU248">
            <v>0</v>
          </cell>
          <cell r="DV248">
            <v>0</v>
          </cell>
          <cell r="DW248">
            <v>0</v>
          </cell>
          <cell r="DX248">
            <v>0</v>
          </cell>
          <cell r="DY248">
            <v>0</v>
          </cell>
          <cell r="DZ248">
            <v>0</v>
          </cell>
          <cell r="EA248">
            <v>0</v>
          </cell>
          <cell r="EB248">
            <v>0</v>
          </cell>
          <cell r="EC248">
            <v>0</v>
          </cell>
          <cell r="ED248">
            <v>0</v>
          </cell>
          <cell r="EE248">
            <v>0</v>
          </cell>
          <cell r="EF248">
            <v>0</v>
          </cell>
          <cell r="EG248">
            <v>0</v>
          </cell>
          <cell r="EH248">
            <v>0</v>
          </cell>
          <cell r="EI248">
            <v>0</v>
          </cell>
          <cell r="EJ248">
            <v>0</v>
          </cell>
          <cell r="EK248">
            <v>0</v>
          </cell>
          <cell r="EL248">
            <v>0</v>
          </cell>
          <cell r="EM248">
            <v>0</v>
          </cell>
          <cell r="EN248">
            <v>0</v>
          </cell>
          <cell r="EO248">
            <v>0</v>
          </cell>
          <cell r="EP248">
            <v>0</v>
          </cell>
          <cell r="EQ248">
            <v>0</v>
          </cell>
          <cell r="ER248">
            <v>0</v>
          </cell>
          <cell r="ES248">
            <v>0</v>
          </cell>
          <cell r="ET248">
            <v>0</v>
          </cell>
          <cell r="EU248">
            <v>0</v>
          </cell>
          <cell r="EV248">
            <v>0</v>
          </cell>
          <cell r="EW248">
            <v>0</v>
          </cell>
          <cell r="EX248">
            <v>0</v>
          </cell>
          <cell r="EY248">
            <v>0</v>
          </cell>
          <cell r="EZ248">
            <v>0</v>
          </cell>
          <cell r="FA248">
            <v>0</v>
          </cell>
          <cell r="FB248">
            <v>0</v>
          </cell>
          <cell r="FC248">
            <v>0</v>
          </cell>
          <cell r="FD248">
            <v>0</v>
          </cell>
          <cell r="FE248">
            <v>0</v>
          </cell>
          <cell r="FF248">
            <v>0</v>
          </cell>
          <cell r="FG248">
            <v>0</v>
          </cell>
          <cell r="FH248">
            <v>0</v>
          </cell>
          <cell r="FI248">
            <v>0</v>
          </cell>
          <cell r="FJ248">
            <v>0</v>
          </cell>
          <cell r="FK248">
            <v>0</v>
          </cell>
          <cell r="FL248">
            <v>0</v>
          </cell>
          <cell r="FM248">
            <v>0</v>
          </cell>
          <cell r="FN248">
            <v>0</v>
          </cell>
          <cell r="FO248">
            <v>0</v>
          </cell>
          <cell r="FP248">
            <v>0</v>
          </cell>
          <cell r="FQ248">
            <v>0</v>
          </cell>
          <cell r="FR248">
            <v>0</v>
          </cell>
          <cell r="FS248">
            <v>0</v>
          </cell>
          <cell r="FT248">
            <v>0</v>
          </cell>
          <cell r="FU248">
            <v>0</v>
          </cell>
          <cell r="FV248">
            <v>0</v>
          </cell>
          <cell r="FW248">
            <v>0</v>
          </cell>
          <cell r="FX248">
            <v>0</v>
          </cell>
          <cell r="FY248">
            <v>0</v>
          </cell>
          <cell r="FZ248">
            <v>0</v>
          </cell>
        </row>
        <row r="249">
          <cell r="B249">
            <v>0</v>
          </cell>
          <cell r="C249">
            <v>0</v>
          </cell>
          <cell r="D249">
            <v>0.15</v>
          </cell>
          <cell r="E249">
            <v>0</v>
          </cell>
          <cell r="F249">
            <v>0</v>
          </cell>
          <cell r="G249">
            <v>0</v>
          </cell>
          <cell r="H249">
            <v>0</v>
          </cell>
          <cell r="I249">
            <v>0</v>
          </cell>
          <cell r="J249">
            <v>0</v>
          </cell>
          <cell r="K249">
            <v>0</v>
          </cell>
          <cell r="L249">
            <v>0</v>
          </cell>
          <cell r="M249">
            <v>0</v>
          </cell>
          <cell r="N249">
            <v>0</v>
          </cell>
          <cell r="O249">
            <v>0</v>
          </cell>
          <cell r="P249">
            <v>1</v>
          </cell>
          <cell r="Q249">
            <v>0</v>
          </cell>
          <cell r="R249">
            <v>0</v>
          </cell>
          <cell r="S249">
            <v>0</v>
          </cell>
          <cell r="T249">
            <v>0</v>
          </cell>
          <cell r="U249">
            <v>0</v>
          </cell>
          <cell r="V249">
            <v>0</v>
          </cell>
          <cell r="W249">
            <v>0</v>
          </cell>
          <cell r="X249">
            <v>0</v>
          </cell>
          <cell r="Y249">
            <v>0</v>
          </cell>
          <cell r="Z249">
            <v>0</v>
          </cell>
          <cell r="AA249">
            <v>0</v>
          </cell>
          <cell r="AB249">
            <v>0.11</v>
          </cell>
          <cell r="AC249">
            <v>0</v>
          </cell>
          <cell r="AD249">
            <v>0</v>
          </cell>
          <cell r="AE249">
            <v>0</v>
          </cell>
          <cell r="AF249">
            <v>0</v>
          </cell>
          <cell r="AG249">
            <v>0</v>
          </cell>
          <cell r="AH249">
            <v>0</v>
          </cell>
          <cell r="AI249">
            <v>0</v>
          </cell>
          <cell r="AJ249">
            <v>0</v>
          </cell>
          <cell r="AK249">
            <v>0</v>
          </cell>
          <cell r="AL249">
            <v>0</v>
          </cell>
          <cell r="AM249">
            <v>0</v>
          </cell>
          <cell r="AN249">
            <v>651520.17000000016</v>
          </cell>
          <cell r="AO249">
            <v>0</v>
          </cell>
          <cell r="AP249">
            <v>0</v>
          </cell>
          <cell r="AQ249">
            <v>0</v>
          </cell>
          <cell r="AR249">
            <v>0</v>
          </cell>
          <cell r="AS249">
            <v>0</v>
          </cell>
          <cell r="AT249">
            <v>0</v>
          </cell>
          <cell r="AU249">
            <v>0</v>
          </cell>
          <cell r="AV249">
            <v>0</v>
          </cell>
          <cell r="AW249">
            <v>0</v>
          </cell>
          <cell r="AX249">
            <v>0</v>
          </cell>
          <cell r="AY249">
            <v>0</v>
          </cell>
          <cell r="AZ249">
            <v>125726.08150166328</v>
          </cell>
          <cell r="BA249">
            <v>0</v>
          </cell>
          <cell r="BB249">
            <v>0</v>
          </cell>
          <cell r="BC249">
            <v>0</v>
          </cell>
          <cell r="BD249">
            <v>0</v>
          </cell>
          <cell r="BE249">
            <v>0</v>
          </cell>
          <cell r="BF249">
            <v>0</v>
          </cell>
          <cell r="BG249">
            <v>0</v>
          </cell>
          <cell r="BH249">
            <v>0</v>
          </cell>
          <cell r="BI249">
            <v>0</v>
          </cell>
          <cell r="BJ249">
            <v>0</v>
          </cell>
          <cell r="BK249">
            <v>0</v>
          </cell>
          <cell r="BL249">
            <v>0</v>
          </cell>
          <cell r="BM249">
            <v>0</v>
          </cell>
          <cell r="BN249">
            <v>0</v>
          </cell>
          <cell r="BO249">
            <v>0</v>
          </cell>
          <cell r="BP249">
            <v>0</v>
          </cell>
          <cell r="BQ249">
            <v>0</v>
          </cell>
          <cell r="BR249">
            <v>0</v>
          </cell>
          <cell r="BS249">
            <v>0</v>
          </cell>
          <cell r="BT249">
            <v>0</v>
          </cell>
          <cell r="BU249">
            <v>0</v>
          </cell>
          <cell r="BV249">
            <v>188774.90704994759</v>
          </cell>
          <cell r="BW249">
            <v>188774.90704994759</v>
          </cell>
          <cell r="BX249">
            <v>188774.90704994759</v>
          </cell>
          <cell r="BY249">
            <v>196260.35674350616</v>
          </cell>
          <cell r="BZ249">
            <v>181289.45735638903</v>
          </cell>
          <cell r="CA249">
            <v>199329.39111786519</v>
          </cell>
          <cell r="CB249">
            <v>205000</v>
          </cell>
          <cell r="CC249">
            <v>0</v>
          </cell>
          <cell r="CD249">
            <v>0</v>
          </cell>
          <cell r="CE249">
            <v>0</v>
          </cell>
          <cell r="CF249">
            <v>651520.17000000004</v>
          </cell>
          <cell r="CG249">
            <v>0</v>
          </cell>
          <cell r="CH249">
            <v>0</v>
          </cell>
          <cell r="CI249">
            <v>0</v>
          </cell>
          <cell r="CJ249">
            <v>0</v>
          </cell>
          <cell r="CK249">
            <v>0</v>
          </cell>
          <cell r="CL249">
            <v>0</v>
          </cell>
          <cell r="CM249">
            <v>0</v>
          </cell>
          <cell r="CN249">
            <v>0</v>
          </cell>
          <cell r="CO249">
            <v>0</v>
          </cell>
          <cell r="CP249">
            <v>0</v>
          </cell>
          <cell r="CQ249">
            <v>0</v>
          </cell>
          <cell r="CR249">
            <v>623020.79999999993</v>
          </cell>
          <cell r="CS249">
            <v>0</v>
          </cell>
          <cell r="CT249">
            <v>0</v>
          </cell>
          <cell r="CU249">
            <v>0</v>
          </cell>
          <cell r="CV249">
            <v>0</v>
          </cell>
          <cell r="CW249">
            <v>0</v>
          </cell>
          <cell r="CX249">
            <v>0</v>
          </cell>
          <cell r="CY249">
            <v>0</v>
          </cell>
          <cell r="CZ249">
            <v>0</v>
          </cell>
          <cell r="DA249">
            <v>0</v>
          </cell>
          <cell r="DB249">
            <v>0</v>
          </cell>
          <cell r="DC249">
            <v>0</v>
          </cell>
          <cell r="DD249">
            <v>915183.72</v>
          </cell>
          <cell r="DE249">
            <v>0</v>
          </cell>
          <cell r="DF249">
            <v>0</v>
          </cell>
          <cell r="DG249">
            <v>0</v>
          </cell>
          <cell r="DH249">
            <v>0</v>
          </cell>
          <cell r="DI249">
            <v>0</v>
          </cell>
          <cell r="DJ249">
            <v>0</v>
          </cell>
          <cell r="DK249">
            <v>0</v>
          </cell>
          <cell r="DL249">
            <v>0</v>
          </cell>
          <cell r="DM249">
            <v>0</v>
          </cell>
          <cell r="DN249">
            <v>0</v>
          </cell>
          <cell r="DO249">
            <v>0</v>
          </cell>
          <cell r="DP249">
            <v>0</v>
          </cell>
          <cell r="DQ249">
            <v>0</v>
          </cell>
          <cell r="DR249">
            <v>0</v>
          </cell>
          <cell r="DS249">
            <v>0</v>
          </cell>
          <cell r="DT249">
            <v>0</v>
          </cell>
          <cell r="DU249">
            <v>0</v>
          </cell>
          <cell r="DV249">
            <v>0</v>
          </cell>
          <cell r="DW249">
            <v>0</v>
          </cell>
          <cell r="DX249">
            <v>0</v>
          </cell>
          <cell r="DY249">
            <v>0</v>
          </cell>
          <cell r="DZ249">
            <v>0</v>
          </cell>
          <cell r="EA249">
            <v>0</v>
          </cell>
          <cell r="EB249">
            <v>0</v>
          </cell>
          <cell r="EC249">
            <v>0</v>
          </cell>
          <cell r="ED249">
            <v>0</v>
          </cell>
          <cell r="EE249">
            <v>0</v>
          </cell>
          <cell r="EF249">
            <v>0</v>
          </cell>
          <cell r="EG249">
            <v>0</v>
          </cell>
          <cell r="EH249">
            <v>0</v>
          </cell>
          <cell r="EI249">
            <v>0</v>
          </cell>
          <cell r="EJ249">
            <v>0</v>
          </cell>
          <cell r="EK249">
            <v>0</v>
          </cell>
          <cell r="EL249">
            <v>0</v>
          </cell>
          <cell r="EM249">
            <v>0</v>
          </cell>
          <cell r="EN249">
            <v>0</v>
          </cell>
          <cell r="EO249">
            <v>0</v>
          </cell>
          <cell r="EP249">
            <v>0</v>
          </cell>
          <cell r="EQ249">
            <v>0</v>
          </cell>
          <cell r="ER249">
            <v>0</v>
          </cell>
          <cell r="ES249">
            <v>0</v>
          </cell>
          <cell r="ET249">
            <v>0</v>
          </cell>
          <cell r="EU249">
            <v>0</v>
          </cell>
          <cell r="EV249">
            <v>0</v>
          </cell>
          <cell r="EW249">
            <v>0</v>
          </cell>
          <cell r="EX249">
            <v>0</v>
          </cell>
          <cell r="EY249">
            <v>0</v>
          </cell>
          <cell r="EZ249">
            <v>0</v>
          </cell>
          <cell r="FA249">
            <v>0</v>
          </cell>
          <cell r="FB249">
            <v>0</v>
          </cell>
          <cell r="FC249">
            <v>0</v>
          </cell>
          <cell r="FD249">
            <v>0</v>
          </cell>
          <cell r="FE249">
            <v>0</v>
          </cell>
          <cell r="FF249">
            <v>0</v>
          </cell>
          <cell r="FG249">
            <v>0</v>
          </cell>
          <cell r="FH249">
            <v>0</v>
          </cell>
          <cell r="FI249">
            <v>0</v>
          </cell>
          <cell r="FJ249">
            <v>0</v>
          </cell>
          <cell r="FK249">
            <v>0</v>
          </cell>
          <cell r="FL249">
            <v>0</v>
          </cell>
          <cell r="FM249">
            <v>0</v>
          </cell>
          <cell r="FN249">
            <v>0</v>
          </cell>
          <cell r="FO249">
            <v>0</v>
          </cell>
          <cell r="FP249">
            <v>0</v>
          </cell>
          <cell r="FQ249">
            <v>0</v>
          </cell>
          <cell r="FR249">
            <v>0</v>
          </cell>
          <cell r="FS249">
            <v>0</v>
          </cell>
          <cell r="FT249">
            <v>0</v>
          </cell>
          <cell r="FU249">
            <v>0</v>
          </cell>
          <cell r="FV249">
            <v>0</v>
          </cell>
          <cell r="FW249">
            <v>0</v>
          </cell>
          <cell r="FX249">
            <v>0</v>
          </cell>
          <cell r="FY249">
            <v>0</v>
          </cell>
          <cell r="FZ249">
            <v>0</v>
          </cell>
        </row>
        <row r="250">
          <cell r="B250">
            <v>0</v>
          </cell>
          <cell r="C250">
            <v>0</v>
          </cell>
          <cell r="D250">
            <v>0</v>
          </cell>
          <cell r="E250">
            <v>0.08</v>
          </cell>
          <cell r="F250">
            <v>0</v>
          </cell>
          <cell r="G250">
            <v>0</v>
          </cell>
          <cell r="H250">
            <v>0</v>
          </cell>
          <cell r="I250">
            <v>0</v>
          </cell>
          <cell r="J250">
            <v>0</v>
          </cell>
          <cell r="K250">
            <v>0</v>
          </cell>
          <cell r="L250">
            <v>0</v>
          </cell>
          <cell r="M250">
            <v>0</v>
          </cell>
          <cell r="N250">
            <v>0</v>
          </cell>
          <cell r="O250">
            <v>0</v>
          </cell>
          <cell r="P250">
            <v>0</v>
          </cell>
          <cell r="Q250">
            <v>0.8</v>
          </cell>
          <cell r="R250">
            <v>0</v>
          </cell>
          <cell r="S250">
            <v>0</v>
          </cell>
          <cell r="T250">
            <v>0</v>
          </cell>
          <cell r="U250">
            <v>0</v>
          </cell>
          <cell r="V250">
            <v>0</v>
          </cell>
          <cell r="W250">
            <v>0</v>
          </cell>
          <cell r="X250">
            <v>0</v>
          </cell>
          <cell r="Y250">
            <v>0</v>
          </cell>
          <cell r="Z250">
            <v>0</v>
          </cell>
          <cell r="AA250">
            <v>0</v>
          </cell>
          <cell r="AB250">
            <v>0</v>
          </cell>
          <cell r="AC250">
            <v>0.1</v>
          </cell>
          <cell r="AD250">
            <v>0</v>
          </cell>
          <cell r="AE250">
            <v>0</v>
          </cell>
          <cell r="AF250">
            <v>0</v>
          </cell>
          <cell r="AG250">
            <v>0</v>
          </cell>
          <cell r="AH250">
            <v>0</v>
          </cell>
          <cell r="AI250">
            <v>0</v>
          </cell>
          <cell r="AJ250">
            <v>0</v>
          </cell>
          <cell r="AK250">
            <v>0</v>
          </cell>
          <cell r="AL250">
            <v>0</v>
          </cell>
          <cell r="AM250">
            <v>0</v>
          </cell>
          <cell r="AN250">
            <v>0</v>
          </cell>
          <cell r="AO250">
            <v>9724025.8399999961</v>
          </cell>
          <cell r="AP250">
            <v>0</v>
          </cell>
          <cell r="AQ250">
            <v>0</v>
          </cell>
          <cell r="AR250">
            <v>0</v>
          </cell>
          <cell r="AS250">
            <v>0</v>
          </cell>
          <cell r="AT250">
            <v>0</v>
          </cell>
          <cell r="AU250">
            <v>0</v>
          </cell>
          <cell r="AV250">
            <v>0</v>
          </cell>
          <cell r="AW250">
            <v>0</v>
          </cell>
          <cell r="AX250">
            <v>0</v>
          </cell>
          <cell r="AY250">
            <v>0</v>
          </cell>
          <cell r="AZ250">
            <v>0</v>
          </cell>
          <cell r="BA250">
            <v>1824437.8568705798</v>
          </cell>
          <cell r="BB250">
            <v>0</v>
          </cell>
          <cell r="BC250">
            <v>0</v>
          </cell>
          <cell r="BD250">
            <v>0</v>
          </cell>
          <cell r="BE250">
            <v>0</v>
          </cell>
          <cell r="BF250">
            <v>0</v>
          </cell>
          <cell r="BG250">
            <v>0</v>
          </cell>
          <cell r="BH250">
            <v>0</v>
          </cell>
          <cell r="BI250">
            <v>0</v>
          </cell>
          <cell r="BJ250">
            <v>0</v>
          </cell>
          <cell r="BK250">
            <v>0</v>
          </cell>
          <cell r="BL250">
            <v>0</v>
          </cell>
          <cell r="BM250">
            <v>0</v>
          </cell>
          <cell r="BN250">
            <v>0</v>
          </cell>
          <cell r="BO250">
            <v>0</v>
          </cell>
          <cell r="BP250">
            <v>0</v>
          </cell>
          <cell r="BQ250">
            <v>0</v>
          </cell>
          <cell r="BR250">
            <v>0</v>
          </cell>
          <cell r="BS250">
            <v>0</v>
          </cell>
          <cell r="BT250">
            <v>0</v>
          </cell>
          <cell r="BU250">
            <v>0</v>
          </cell>
          <cell r="BV250">
            <v>5171571.3523739064</v>
          </cell>
          <cell r="BW250">
            <v>5171571.3523739064</v>
          </cell>
          <cell r="BX250">
            <v>5171571.3523739064</v>
          </cell>
          <cell r="BY250">
            <v>5284827.7686896892</v>
          </cell>
          <cell r="BZ250">
            <v>5058314.9360581227</v>
          </cell>
          <cell r="CA250">
            <v>5549684.7646720773</v>
          </cell>
          <cell r="CB250">
            <v>3533106.6304204869</v>
          </cell>
          <cell r="CC250">
            <v>0</v>
          </cell>
          <cell r="CD250">
            <v>0</v>
          </cell>
          <cell r="CE250">
            <v>0</v>
          </cell>
          <cell r="CF250">
            <v>0</v>
          </cell>
          <cell r="CG250">
            <v>9724025.8399999999</v>
          </cell>
          <cell r="CH250">
            <v>0</v>
          </cell>
          <cell r="CI250">
            <v>0</v>
          </cell>
          <cell r="CJ250">
            <v>0</v>
          </cell>
          <cell r="CK250">
            <v>0</v>
          </cell>
          <cell r="CL250">
            <v>0</v>
          </cell>
          <cell r="CM250">
            <v>0</v>
          </cell>
          <cell r="CN250">
            <v>0</v>
          </cell>
          <cell r="CO250">
            <v>0</v>
          </cell>
          <cell r="CP250">
            <v>0</v>
          </cell>
          <cell r="CQ250">
            <v>0</v>
          </cell>
          <cell r="CR250">
            <v>0</v>
          </cell>
          <cell r="CS250">
            <v>7962347.0299999947</v>
          </cell>
          <cell r="CT250">
            <v>0</v>
          </cell>
          <cell r="CU250">
            <v>0</v>
          </cell>
          <cell r="CV250">
            <v>0</v>
          </cell>
          <cell r="CW250">
            <v>0</v>
          </cell>
          <cell r="CX250">
            <v>0</v>
          </cell>
          <cell r="CY250">
            <v>0</v>
          </cell>
          <cell r="CZ250">
            <v>0</v>
          </cell>
          <cell r="DA250">
            <v>0</v>
          </cell>
          <cell r="DB250">
            <v>0</v>
          </cell>
          <cell r="DC250">
            <v>0</v>
          </cell>
          <cell r="DD250">
            <v>0</v>
          </cell>
          <cell r="DE250">
            <v>10604489.319999998</v>
          </cell>
          <cell r="DF250">
            <v>0</v>
          </cell>
          <cell r="DG250">
            <v>0</v>
          </cell>
          <cell r="DH250">
            <v>0</v>
          </cell>
          <cell r="DI250">
            <v>0</v>
          </cell>
          <cell r="DJ250">
            <v>0</v>
          </cell>
          <cell r="DK250">
            <v>0</v>
          </cell>
          <cell r="DL250">
            <v>0</v>
          </cell>
          <cell r="DM250">
            <v>0</v>
          </cell>
          <cell r="DN250">
            <v>0</v>
          </cell>
          <cell r="DO250">
            <v>0</v>
          </cell>
          <cell r="DP250">
            <v>0</v>
          </cell>
          <cell r="DQ250">
            <v>0</v>
          </cell>
          <cell r="DR250">
            <v>0</v>
          </cell>
          <cell r="DS250">
            <v>0</v>
          </cell>
          <cell r="DT250">
            <v>0</v>
          </cell>
          <cell r="DU250">
            <v>0</v>
          </cell>
          <cell r="DV250">
            <v>0</v>
          </cell>
          <cell r="DW250">
            <v>0</v>
          </cell>
          <cell r="DX250">
            <v>0</v>
          </cell>
          <cell r="DY250">
            <v>0</v>
          </cell>
          <cell r="DZ250">
            <v>0</v>
          </cell>
          <cell r="EA250">
            <v>0</v>
          </cell>
          <cell r="EB250">
            <v>0</v>
          </cell>
          <cell r="EC250">
            <v>0</v>
          </cell>
          <cell r="ED250">
            <v>0</v>
          </cell>
          <cell r="EE250">
            <v>0</v>
          </cell>
          <cell r="EF250">
            <v>0</v>
          </cell>
          <cell r="EG250">
            <v>0</v>
          </cell>
          <cell r="EH250">
            <v>0</v>
          </cell>
          <cell r="EI250">
            <v>0</v>
          </cell>
          <cell r="EJ250">
            <v>0</v>
          </cell>
          <cell r="EK250">
            <v>0</v>
          </cell>
          <cell r="EL250">
            <v>0</v>
          </cell>
          <cell r="EM250">
            <v>0</v>
          </cell>
          <cell r="EN250">
            <v>0</v>
          </cell>
          <cell r="EO250">
            <v>0</v>
          </cell>
          <cell r="EP250">
            <v>0</v>
          </cell>
          <cell r="EQ250">
            <v>0</v>
          </cell>
          <cell r="ER250">
            <v>0</v>
          </cell>
          <cell r="ES250">
            <v>0</v>
          </cell>
          <cell r="ET250">
            <v>0</v>
          </cell>
          <cell r="EU250">
            <v>0</v>
          </cell>
          <cell r="EV250">
            <v>0</v>
          </cell>
          <cell r="EW250">
            <v>0</v>
          </cell>
          <cell r="EX250">
            <v>0</v>
          </cell>
          <cell r="EY250">
            <v>0</v>
          </cell>
          <cell r="EZ250">
            <v>0</v>
          </cell>
          <cell r="FA250">
            <v>0</v>
          </cell>
          <cell r="FB250">
            <v>0</v>
          </cell>
          <cell r="FC250">
            <v>0</v>
          </cell>
          <cell r="FD250">
            <v>0</v>
          </cell>
          <cell r="FE250">
            <v>0</v>
          </cell>
          <cell r="FF250">
            <v>0</v>
          </cell>
          <cell r="FG250">
            <v>0</v>
          </cell>
          <cell r="FH250">
            <v>0</v>
          </cell>
          <cell r="FI250">
            <v>0</v>
          </cell>
          <cell r="FJ250">
            <v>0</v>
          </cell>
          <cell r="FK250">
            <v>0</v>
          </cell>
          <cell r="FL250">
            <v>0</v>
          </cell>
          <cell r="FM250">
            <v>0</v>
          </cell>
          <cell r="FN250">
            <v>0</v>
          </cell>
          <cell r="FO250">
            <v>0</v>
          </cell>
          <cell r="FP250">
            <v>0</v>
          </cell>
          <cell r="FQ250">
            <v>0</v>
          </cell>
          <cell r="FR250">
            <v>0</v>
          </cell>
          <cell r="FS250">
            <v>0</v>
          </cell>
          <cell r="FT250">
            <v>0</v>
          </cell>
          <cell r="FU250">
            <v>0</v>
          </cell>
          <cell r="FV250">
            <v>0</v>
          </cell>
          <cell r="FW250">
            <v>0</v>
          </cell>
          <cell r="FX250">
            <v>0</v>
          </cell>
          <cell r="FY250">
            <v>0</v>
          </cell>
          <cell r="FZ250">
            <v>0</v>
          </cell>
        </row>
        <row r="251">
          <cell r="B251">
            <v>0</v>
          </cell>
          <cell r="C251">
            <v>0</v>
          </cell>
          <cell r="D251">
            <v>0</v>
          </cell>
          <cell r="E251">
            <v>0</v>
          </cell>
          <cell r="F251">
            <v>0</v>
          </cell>
          <cell r="G251">
            <v>0.12</v>
          </cell>
          <cell r="H251">
            <v>0</v>
          </cell>
          <cell r="I251">
            <v>0</v>
          </cell>
          <cell r="J251">
            <v>0</v>
          </cell>
          <cell r="K251">
            <v>0</v>
          </cell>
          <cell r="L251">
            <v>0</v>
          </cell>
          <cell r="M251">
            <v>0</v>
          </cell>
          <cell r="N251">
            <v>0</v>
          </cell>
          <cell r="O251">
            <v>0</v>
          </cell>
          <cell r="P251">
            <v>0</v>
          </cell>
          <cell r="Q251">
            <v>0</v>
          </cell>
          <cell r="R251">
            <v>0</v>
          </cell>
          <cell r="S251">
            <v>1</v>
          </cell>
          <cell r="T251">
            <v>0</v>
          </cell>
          <cell r="U251">
            <v>0</v>
          </cell>
          <cell r="V251">
            <v>0</v>
          </cell>
          <cell r="W251">
            <v>0</v>
          </cell>
          <cell r="X251">
            <v>0</v>
          </cell>
          <cell r="Y251">
            <v>0</v>
          </cell>
          <cell r="Z251">
            <v>0</v>
          </cell>
          <cell r="AA251">
            <v>0</v>
          </cell>
          <cell r="AB251">
            <v>0</v>
          </cell>
          <cell r="AC251">
            <v>0</v>
          </cell>
          <cell r="AD251">
            <v>0</v>
          </cell>
          <cell r="AE251">
            <v>0.19</v>
          </cell>
          <cell r="AF251">
            <v>0</v>
          </cell>
          <cell r="AG251">
            <v>0</v>
          </cell>
          <cell r="AH251">
            <v>0</v>
          </cell>
          <cell r="AI251">
            <v>0</v>
          </cell>
          <cell r="AJ251">
            <v>0</v>
          </cell>
          <cell r="AK251">
            <v>0</v>
          </cell>
          <cell r="AL251">
            <v>0</v>
          </cell>
          <cell r="AM251">
            <v>0</v>
          </cell>
          <cell r="AN251">
            <v>0</v>
          </cell>
          <cell r="AO251">
            <v>0</v>
          </cell>
          <cell r="AP251">
            <v>0</v>
          </cell>
          <cell r="AQ251">
            <v>0</v>
          </cell>
          <cell r="AR251">
            <v>0</v>
          </cell>
          <cell r="AS251">
            <v>0</v>
          </cell>
          <cell r="AT251">
            <v>0</v>
          </cell>
          <cell r="AU251">
            <v>0</v>
          </cell>
          <cell r="AV251">
            <v>0</v>
          </cell>
          <cell r="AW251">
            <v>0</v>
          </cell>
          <cell r="AX251">
            <v>0</v>
          </cell>
          <cell r="AY251">
            <v>0</v>
          </cell>
          <cell r="AZ251">
            <v>0</v>
          </cell>
          <cell r="BA251">
            <v>0</v>
          </cell>
          <cell r="BB251">
            <v>0</v>
          </cell>
          <cell r="BC251">
            <v>22561.638170795602</v>
          </cell>
          <cell r="BD251">
            <v>0</v>
          </cell>
          <cell r="BE251">
            <v>0</v>
          </cell>
          <cell r="BF251">
            <v>0</v>
          </cell>
          <cell r="BG251">
            <v>0</v>
          </cell>
          <cell r="BH251">
            <v>0</v>
          </cell>
          <cell r="BI251">
            <v>0</v>
          </cell>
          <cell r="BJ251">
            <v>0</v>
          </cell>
          <cell r="BK251">
            <v>0</v>
          </cell>
          <cell r="BL251">
            <v>0</v>
          </cell>
          <cell r="BM251">
            <v>0</v>
          </cell>
          <cell r="BN251">
            <v>0</v>
          </cell>
          <cell r="BO251">
            <v>0</v>
          </cell>
          <cell r="BP251">
            <v>0</v>
          </cell>
          <cell r="BQ251">
            <v>0</v>
          </cell>
          <cell r="BR251">
            <v>0</v>
          </cell>
          <cell r="BS251">
            <v>0</v>
          </cell>
          <cell r="BT251">
            <v>0</v>
          </cell>
          <cell r="BU251">
            <v>0</v>
          </cell>
          <cell r="BV251">
            <v>36781.422393025081</v>
          </cell>
          <cell r="BW251">
            <v>36781.422393025081</v>
          </cell>
          <cell r="BX251">
            <v>36781.422393025081</v>
          </cell>
          <cell r="BY251">
            <v>36781.422393025088</v>
          </cell>
          <cell r="BZ251">
            <v>36781.422393025088</v>
          </cell>
          <cell r="CA251">
            <v>33797.088250658744</v>
          </cell>
          <cell r="CB251">
            <v>0</v>
          </cell>
          <cell r="CC251">
            <v>0</v>
          </cell>
          <cell r="CD251">
            <v>0</v>
          </cell>
          <cell r="CE251">
            <v>0</v>
          </cell>
          <cell r="CF251">
            <v>0</v>
          </cell>
          <cell r="CG251">
            <v>0</v>
          </cell>
          <cell r="CH251">
            <v>0</v>
          </cell>
          <cell r="CI251">
            <v>18182.249999999993</v>
          </cell>
          <cell r="CJ251">
            <v>0</v>
          </cell>
          <cell r="CK251">
            <v>0</v>
          </cell>
          <cell r="CL251">
            <v>0</v>
          </cell>
          <cell r="CM251">
            <v>0</v>
          </cell>
          <cell r="CN251">
            <v>0</v>
          </cell>
          <cell r="CO251">
            <v>0</v>
          </cell>
          <cell r="CP251">
            <v>0</v>
          </cell>
          <cell r="CQ251">
            <v>0</v>
          </cell>
          <cell r="CR251">
            <v>0</v>
          </cell>
          <cell r="CS251">
            <v>0</v>
          </cell>
          <cell r="CT251">
            <v>0</v>
          </cell>
          <cell r="CU251">
            <v>18120.569999999996</v>
          </cell>
          <cell r="CV251">
            <v>0</v>
          </cell>
          <cell r="CW251">
            <v>0</v>
          </cell>
          <cell r="CX251">
            <v>0</v>
          </cell>
          <cell r="CY251">
            <v>0</v>
          </cell>
          <cell r="CZ251">
            <v>0</v>
          </cell>
          <cell r="DA251">
            <v>0</v>
          </cell>
          <cell r="DB251">
            <v>0</v>
          </cell>
          <cell r="DC251">
            <v>0</v>
          </cell>
          <cell r="DD251">
            <v>0</v>
          </cell>
          <cell r="DE251">
            <v>0</v>
          </cell>
          <cell r="DF251">
            <v>0</v>
          </cell>
          <cell r="DG251">
            <v>21214.559999999998</v>
          </cell>
          <cell r="DH251">
            <v>0</v>
          </cell>
          <cell r="DI251">
            <v>0</v>
          </cell>
          <cell r="DJ251">
            <v>0</v>
          </cell>
          <cell r="DK251">
            <v>0</v>
          </cell>
          <cell r="DL251">
            <v>0</v>
          </cell>
          <cell r="DM251">
            <v>0</v>
          </cell>
          <cell r="DN251">
            <v>0</v>
          </cell>
          <cell r="DO251">
            <v>0</v>
          </cell>
          <cell r="DP251">
            <v>0</v>
          </cell>
          <cell r="DQ251">
            <v>0</v>
          </cell>
          <cell r="DR251">
            <v>0</v>
          </cell>
          <cell r="DS251">
            <v>0</v>
          </cell>
          <cell r="DT251">
            <v>0</v>
          </cell>
          <cell r="DU251">
            <v>0</v>
          </cell>
          <cell r="DV251">
            <v>0</v>
          </cell>
          <cell r="DW251">
            <v>0</v>
          </cell>
          <cell r="DX251">
            <v>0</v>
          </cell>
          <cell r="DY251">
            <v>0</v>
          </cell>
          <cell r="DZ251">
            <v>0</v>
          </cell>
          <cell r="EA251">
            <v>0</v>
          </cell>
          <cell r="EB251">
            <v>0</v>
          </cell>
          <cell r="EC251">
            <v>0</v>
          </cell>
          <cell r="ED251">
            <v>0</v>
          </cell>
          <cell r="EE251">
            <v>0</v>
          </cell>
          <cell r="EF251">
            <v>0</v>
          </cell>
          <cell r="EG251">
            <v>0</v>
          </cell>
          <cell r="EH251">
            <v>0</v>
          </cell>
          <cell r="EI251">
            <v>0</v>
          </cell>
          <cell r="EJ251">
            <v>0</v>
          </cell>
          <cell r="EK251">
            <v>0</v>
          </cell>
          <cell r="EL251">
            <v>0</v>
          </cell>
          <cell r="EM251">
            <v>0</v>
          </cell>
          <cell r="EN251">
            <v>0</v>
          </cell>
          <cell r="EO251">
            <v>0</v>
          </cell>
          <cell r="EP251">
            <v>0</v>
          </cell>
          <cell r="EQ251">
            <v>0</v>
          </cell>
          <cell r="ER251">
            <v>0</v>
          </cell>
          <cell r="ES251">
            <v>0</v>
          </cell>
          <cell r="ET251">
            <v>0</v>
          </cell>
          <cell r="EU251">
            <v>0</v>
          </cell>
          <cell r="EV251">
            <v>0</v>
          </cell>
          <cell r="EW251">
            <v>0</v>
          </cell>
          <cell r="EX251">
            <v>0</v>
          </cell>
          <cell r="EY251">
            <v>0</v>
          </cell>
          <cell r="EZ251">
            <v>0</v>
          </cell>
          <cell r="FA251">
            <v>0</v>
          </cell>
          <cell r="FB251">
            <v>0</v>
          </cell>
          <cell r="FC251">
            <v>0</v>
          </cell>
          <cell r="FD251">
            <v>0</v>
          </cell>
          <cell r="FE251">
            <v>0</v>
          </cell>
          <cell r="FF251">
            <v>0</v>
          </cell>
          <cell r="FG251">
            <v>0</v>
          </cell>
          <cell r="FH251">
            <v>0</v>
          </cell>
          <cell r="FI251">
            <v>0</v>
          </cell>
          <cell r="FJ251">
            <v>0</v>
          </cell>
          <cell r="FK251">
            <v>0</v>
          </cell>
          <cell r="FL251">
            <v>0</v>
          </cell>
          <cell r="FM251">
            <v>0</v>
          </cell>
          <cell r="FN251">
            <v>0</v>
          </cell>
          <cell r="FO251">
            <v>0</v>
          </cell>
          <cell r="FP251">
            <v>0</v>
          </cell>
          <cell r="FQ251">
            <v>0</v>
          </cell>
          <cell r="FR251">
            <v>0</v>
          </cell>
          <cell r="FS251">
            <v>0</v>
          </cell>
          <cell r="FT251">
            <v>0</v>
          </cell>
          <cell r="FU251">
            <v>0</v>
          </cell>
          <cell r="FV251">
            <v>0</v>
          </cell>
          <cell r="FW251">
            <v>0</v>
          </cell>
          <cell r="FX251">
            <v>0</v>
          </cell>
          <cell r="FY251">
            <v>0</v>
          </cell>
          <cell r="FZ251">
            <v>0</v>
          </cell>
        </row>
        <row r="252">
          <cell r="B252">
            <v>0</v>
          </cell>
          <cell r="C252">
            <v>0</v>
          </cell>
          <cell r="D252">
            <v>0</v>
          </cell>
          <cell r="E252">
            <v>0</v>
          </cell>
          <cell r="F252">
            <v>0</v>
          </cell>
          <cell r="G252">
            <v>0</v>
          </cell>
          <cell r="H252">
            <v>0</v>
          </cell>
          <cell r="I252">
            <v>0</v>
          </cell>
          <cell r="J252">
            <v>0.13</v>
          </cell>
          <cell r="K252">
            <v>0</v>
          </cell>
          <cell r="L252">
            <v>0</v>
          </cell>
          <cell r="M252">
            <v>0</v>
          </cell>
          <cell r="N252">
            <v>0</v>
          </cell>
          <cell r="O252">
            <v>0</v>
          </cell>
          <cell r="P252">
            <v>0</v>
          </cell>
          <cell r="Q252">
            <v>0</v>
          </cell>
          <cell r="R252">
            <v>0</v>
          </cell>
          <cell r="S252">
            <v>0</v>
          </cell>
          <cell r="T252">
            <v>0</v>
          </cell>
          <cell r="U252">
            <v>0</v>
          </cell>
          <cell r="V252">
            <v>1</v>
          </cell>
          <cell r="W252">
            <v>0</v>
          </cell>
          <cell r="X252">
            <v>0</v>
          </cell>
          <cell r="Y252">
            <v>0</v>
          </cell>
          <cell r="Z252">
            <v>0</v>
          </cell>
          <cell r="AA252">
            <v>0</v>
          </cell>
          <cell r="AB252">
            <v>0</v>
          </cell>
          <cell r="AC252">
            <v>0</v>
          </cell>
          <cell r="AD252">
            <v>0</v>
          </cell>
          <cell r="AE252">
            <v>0</v>
          </cell>
          <cell r="AF252">
            <v>0</v>
          </cell>
          <cell r="AG252">
            <v>0</v>
          </cell>
          <cell r="AH252">
            <v>0.2</v>
          </cell>
          <cell r="AI252">
            <v>0</v>
          </cell>
          <cell r="AJ252">
            <v>0</v>
          </cell>
          <cell r="AK252">
            <v>0</v>
          </cell>
          <cell r="AL252">
            <v>0</v>
          </cell>
          <cell r="AM252">
            <v>0</v>
          </cell>
          <cell r="AN252">
            <v>0</v>
          </cell>
          <cell r="AO252">
            <v>0</v>
          </cell>
          <cell r="AP252">
            <v>0</v>
          </cell>
          <cell r="AQ252">
            <v>0</v>
          </cell>
          <cell r="AR252">
            <v>0</v>
          </cell>
          <cell r="AS252">
            <v>0</v>
          </cell>
          <cell r="AT252">
            <v>330493.62216834765</v>
          </cell>
          <cell r="AU252">
            <v>0</v>
          </cell>
          <cell r="AV252">
            <v>0</v>
          </cell>
          <cell r="AW252">
            <v>0</v>
          </cell>
          <cell r="AX252">
            <v>0</v>
          </cell>
          <cell r="AY252">
            <v>0</v>
          </cell>
          <cell r="AZ252">
            <v>0</v>
          </cell>
          <cell r="BA252">
            <v>0</v>
          </cell>
          <cell r="BB252">
            <v>0</v>
          </cell>
          <cell r="BC252">
            <v>0</v>
          </cell>
          <cell r="BD252">
            <v>0</v>
          </cell>
          <cell r="BE252">
            <v>0</v>
          </cell>
          <cell r="BF252">
            <v>77290.70176924688</v>
          </cell>
          <cell r="BG252">
            <v>0</v>
          </cell>
          <cell r="BH252">
            <v>0</v>
          </cell>
          <cell r="BI252">
            <v>0</v>
          </cell>
          <cell r="BJ252">
            <v>0</v>
          </cell>
          <cell r="BK252">
            <v>0</v>
          </cell>
          <cell r="BL252">
            <v>0</v>
          </cell>
          <cell r="BM252">
            <v>0</v>
          </cell>
          <cell r="BN252">
            <v>0</v>
          </cell>
          <cell r="BO252">
            <v>0</v>
          </cell>
          <cell r="BP252">
            <v>0</v>
          </cell>
          <cell r="BQ252">
            <v>0</v>
          </cell>
          <cell r="BR252">
            <v>0</v>
          </cell>
          <cell r="BS252">
            <v>0</v>
          </cell>
          <cell r="BT252">
            <v>0</v>
          </cell>
          <cell r="BU252">
            <v>0</v>
          </cell>
          <cell r="BV252">
            <v>136613.32468257612</v>
          </cell>
          <cell r="BW252">
            <v>136613.32468257612</v>
          </cell>
          <cell r="BX252">
            <v>136613.32468257612</v>
          </cell>
          <cell r="BY252">
            <v>144195.18249230328</v>
          </cell>
          <cell r="BZ252">
            <v>129031.46687284892</v>
          </cell>
          <cell r="CA252">
            <v>142308.96420793212</v>
          </cell>
          <cell r="CB252">
            <v>0</v>
          </cell>
          <cell r="CC252">
            <v>0</v>
          </cell>
          <cell r="CD252">
            <v>0</v>
          </cell>
          <cell r="CE252">
            <v>0</v>
          </cell>
          <cell r="CF252">
            <v>0</v>
          </cell>
          <cell r="CG252">
            <v>0</v>
          </cell>
          <cell r="CH252">
            <v>0</v>
          </cell>
          <cell r="CI252">
            <v>0</v>
          </cell>
          <cell r="CJ252">
            <v>0</v>
          </cell>
          <cell r="CK252">
            <v>0</v>
          </cell>
          <cell r="CL252">
            <v>219737.00000000017</v>
          </cell>
          <cell r="CM252">
            <v>0</v>
          </cell>
          <cell r="CN252">
            <v>0</v>
          </cell>
          <cell r="CO252">
            <v>0</v>
          </cell>
          <cell r="CP252">
            <v>0</v>
          </cell>
          <cell r="CQ252">
            <v>0</v>
          </cell>
          <cell r="CR252">
            <v>0</v>
          </cell>
          <cell r="CS252">
            <v>0</v>
          </cell>
          <cell r="CT252">
            <v>0</v>
          </cell>
          <cell r="CU252">
            <v>0</v>
          </cell>
          <cell r="CV252">
            <v>0</v>
          </cell>
          <cell r="CW252">
            <v>0</v>
          </cell>
          <cell r="CX252">
            <v>276983.7400000004</v>
          </cell>
          <cell r="CY252">
            <v>0</v>
          </cell>
          <cell r="CZ252">
            <v>0</v>
          </cell>
          <cell r="DA252">
            <v>0</v>
          </cell>
          <cell r="DB252">
            <v>0</v>
          </cell>
          <cell r="DC252">
            <v>0</v>
          </cell>
          <cell r="DD252">
            <v>0</v>
          </cell>
          <cell r="DE252">
            <v>0</v>
          </cell>
          <cell r="DF252">
            <v>0</v>
          </cell>
          <cell r="DG252">
            <v>0</v>
          </cell>
          <cell r="DH252">
            <v>0</v>
          </cell>
          <cell r="DI252">
            <v>0</v>
          </cell>
          <cell r="DJ252">
            <v>336052.7599999996</v>
          </cell>
          <cell r="DK252">
            <v>0</v>
          </cell>
          <cell r="DL252">
            <v>0</v>
          </cell>
          <cell r="DM252">
            <v>0</v>
          </cell>
          <cell r="DN252">
            <v>0</v>
          </cell>
          <cell r="DO252">
            <v>0</v>
          </cell>
          <cell r="DP252">
            <v>0</v>
          </cell>
          <cell r="DQ252">
            <v>0</v>
          </cell>
          <cell r="DR252">
            <v>0</v>
          </cell>
          <cell r="DS252">
            <v>0</v>
          </cell>
          <cell r="DT252">
            <v>0</v>
          </cell>
          <cell r="DU252">
            <v>0</v>
          </cell>
          <cell r="DV252">
            <v>0</v>
          </cell>
          <cell r="DW252">
            <v>0</v>
          </cell>
          <cell r="DX252">
            <v>0</v>
          </cell>
          <cell r="DY252">
            <v>0</v>
          </cell>
          <cell r="DZ252">
            <v>0</v>
          </cell>
          <cell r="EA252">
            <v>0</v>
          </cell>
          <cell r="EB252">
            <v>0</v>
          </cell>
          <cell r="EC252">
            <v>0</v>
          </cell>
          <cell r="ED252">
            <v>0</v>
          </cell>
          <cell r="EE252">
            <v>0</v>
          </cell>
          <cell r="EF252">
            <v>0</v>
          </cell>
          <cell r="EG252">
            <v>0</v>
          </cell>
          <cell r="EH252">
            <v>0</v>
          </cell>
          <cell r="EI252">
            <v>0</v>
          </cell>
          <cell r="EJ252">
            <v>0</v>
          </cell>
          <cell r="EK252">
            <v>0</v>
          </cell>
          <cell r="EL252">
            <v>0</v>
          </cell>
          <cell r="EM252">
            <v>0</v>
          </cell>
          <cell r="EN252">
            <v>0</v>
          </cell>
          <cell r="EO252">
            <v>0</v>
          </cell>
          <cell r="EP252">
            <v>0</v>
          </cell>
          <cell r="EQ252">
            <v>0</v>
          </cell>
          <cell r="ER252">
            <v>0</v>
          </cell>
          <cell r="ES252">
            <v>0</v>
          </cell>
          <cell r="ET252">
            <v>0</v>
          </cell>
          <cell r="EU252">
            <v>0</v>
          </cell>
          <cell r="EV252">
            <v>0</v>
          </cell>
          <cell r="EW252">
            <v>0</v>
          </cell>
          <cell r="EX252">
            <v>0</v>
          </cell>
          <cell r="EY252">
            <v>0</v>
          </cell>
          <cell r="EZ252">
            <v>0</v>
          </cell>
          <cell r="FA252">
            <v>0</v>
          </cell>
          <cell r="FB252">
            <v>0</v>
          </cell>
          <cell r="FC252">
            <v>0</v>
          </cell>
          <cell r="FD252">
            <v>0</v>
          </cell>
          <cell r="FE252">
            <v>0</v>
          </cell>
          <cell r="FF252">
            <v>0</v>
          </cell>
          <cell r="FG252">
            <v>0</v>
          </cell>
          <cell r="FH252">
            <v>0</v>
          </cell>
          <cell r="FI252">
            <v>0</v>
          </cell>
          <cell r="FJ252">
            <v>0</v>
          </cell>
          <cell r="FK252">
            <v>0</v>
          </cell>
          <cell r="FL252">
            <v>0</v>
          </cell>
          <cell r="FM252">
            <v>0</v>
          </cell>
          <cell r="FN252">
            <v>0</v>
          </cell>
          <cell r="FO252">
            <v>0</v>
          </cell>
          <cell r="FP252">
            <v>0</v>
          </cell>
          <cell r="FQ252">
            <v>0</v>
          </cell>
          <cell r="FR252">
            <v>0</v>
          </cell>
          <cell r="FS252">
            <v>0</v>
          </cell>
          <cell r="FT252">
            <v>0</v>
          </cell>
          <cell r="FU252">
            <v>0</v>
          </cell>
          <cell r="FV252">
            <v>0</v>
          </cell>
          <cell r="FW252">
            <v>0</v>
          </cell>
          <cell r="FX252">
            <v>0</v>
          </cell>
          <cell r="FY252">
            <v>0</v>
          </cell>
          <cell r="FZ252">
            <v>0</v>
          </cell>
        </row>
        <row r="253">
          <cell r="B253">
            <v>0</v>
          </cell>
          <cell r="C253">
            <v>0</v>
          </cell>
          <cell r="D253">
            <v>0</v>
          </cell>
          <cell r="E253">
            <v>0</v>
          </cell>
          <cell r="F253">
            <v>0.14000000000000001</v>
          </cell>
          <cell r="G253">
            <v>0</v>
          </cell>
          <cell r="H253">
            <v>0</v>
          </cell>
          <cell r="I253">
            <v>0</v>
          </cell>
          <cell r="J253">
            <v>0</v>
          </cell>
          <cell r="K253">
            <v>0</v>
          </cell>
          <cell r="L253">
            <v>0</v>
          </cell>
          <cell r="M253">
            <v>0</v>
          </cell>
          <cell r="N253">
            <v>0</v>
          </cell>
          <cell r="O253">
            <v>0</v>
          </cell>
          <cell r="P253">
            <v>0</v>
          </cell>
          <cell r="Q253">
            <v>0</v>
          </cell>
          <cell r="R253">
            <v>0.8</v>
          </cell>
          <cell r="S253">
            <v>0</v>
          </cell>
          <cell r="T253">
            <v>0</v>
          </cell>
          <cell r="U253">
            <v>0</v>
          </cell>
          <cell r="V253">
            <v>0</v>
          </cell>
          <cell r="W253">
            <v>0</v>
          </cell>
          <cell r="X253">
            <v>0</v>
          </cell>
          <cell r="Y253">
            <v>0</v>
          </cell>
          <cell r="Z253">
            <v>0</v>
          </cell>
          <cell r="AA253">
            <v>0</v>
          </cell>
          <cell r="AB253">
            <v>0</v>
          </cell>
          <cell r="AC253">
            <v>0</v>
          </cell>
          <cell r="AD253">
            <v>0.11</v>
          </cell>
          <cell r="AE253">
            <v>0</v>
          </cell>
          <cell r="AF253">
            <v>0</v>
          </cell>
          <cell r="AG253">
            <v>0</v>
          </cell>
          <cell r="AH253">
            <v>0</v>
          </cell>
          <cell r="AI253">
            <v>0</v>
          </cell>
          <cell r="AJ253">
            <v>0</v>
          </cell>
          <cell r="AK253">
            <v>0</v>
          </cell>
          <cell r="AL253">
            <v>0</v>
          </cell>
          <cell r="AM253">
            <v>0</v>
          </cell>
          <cell r="AN253">
            <v>0</v>
          </cell>
          <cell r="AO253">
            <v>0</v>
          </cell>
          <cell r="AP253">
            <v>4912287.3200000012</v>
          </cell>
          <cell r="AQ253">
            <v>0</v>
          </cell>
          <cell r="AR253">
            <v>0</v>
          </cell>
          <cell r="AS253">
            <v>0</v>
          </cell>
          <cell r="AT253">
            <v>0</v>
          </cell>
          <cell r="AU253">
            <v>0</v>
          </cell>
          <cell r="AV253">
            <v>0</v>
          </cell>
          <cell r="AW253">
            <v>0</v>
          </cell>
          <cell r="AX253">
            <v>0</v>
          </cell>
          <cell r="AY253">
            <v>0</v>
          </cell>
          <cell r="AZ253">
            <v>0</v>
          </cell>
          <cell r="BA253">
            <v>0</v>
          </cell>
          <cell r="BB253">
            <v>9554137.8726541381</v>
          </cell>
          <cell r="BC253">
            <v>0</v>
          </cell>
          <cell r="BD253">
            <v>0</v>
          </cell>
          <cell r="BE253">
            <v>0</v>
          </cell>
          <cell r="BF253">
            <v>0</v>
          </cell>
          <cell r="BG253">
            <v>0</v>
          </cell>
          <cell r="BH253">
            <v>0</v>
          </cell>
          <cell r="BI253">
            <v>0</v>
          </cell>
          <cell r="BJ253">
            <v>0</v>
          </cell>
          <cell r="BK253">
            <v>0</v>
          </cell>
          <cell r="BL253">
            <v>0</v>
          </cell>
          <cell r="BM253">
            <v>0</v>
          </cell>
          <cell r="BN253">
            <v>0</v>
          </cell>
          <cell r="BO253">
            <v>0</v>
          </cell>
          <cell r="BP253">
            <v>0</v>
          </cell>
          <cell r="BQ253">
            <v>0</v>
          </cell>
          <cell r="BR253">
            <v>0</v>
          </cell>
          <cell r="BS253">
            <v>0</v>
          </cell>
          <cell r="BT253">
            <v>0</v>
          </cell>
          <cell r="BU253">
            <v>0</v>
          </cell>
          <cell r="BV253">
            <v>12156312.04809056</v>
          </cell>
          <cell r="BW253">
            <v>12156312.04809056</v>
          </cell>
          <cell r="BX253">
            <v>12156312.04809056</v>
          </cell>
          <cell r="BY253">
            <v>12139330.505702607</v>
          </cell>
          <cell r="BZ253">
            <v>12173293.590478513</v>
          </cell>
          <cell r="CA253">
            <v>12114764.47978395</v>
          </cell>
          <cell r="CB253">
            <v>315169.99999999919</v>
          </cell>
          <cell r="CC253">
            <v>0</v>
          </cell>
          <cell r="CD253">
            <v>0</v>
          </cell>
          <cell r="CE253">
            <v>0</v>
          </cell>
          <cell r="CF253">
            <v>0</v>
          </cell>
          <cell r="CG253">
            <v>0</v>
          </cell>
          <cell r="CH253">
            <v>4912287.32</v>
          </cell>
          <cell r="CI253">
            <v>0</v>
          </cell>
          <cell r="CJ253">
            <v>0</v>
          </cell>
          <cell r="CK253">
            <v>0</v>
          </cell>
          <cell r="CL253">
            <v>0</v>
          </cell>
          <cell r="CM253">
            <v>0</v>
          </cell>
          <cell r="CN253">
            <v>0</v>
          </cell>
          <cell r="CO253">
            <v>0</v>
          </cell>
          <cell r="CP253">
            <v>0</v>
          </cell>
          <cell r="CQ253">
            <v>0</v>
          </cell>
          <cell r="CR253">
            <v>0</v>
          </cell>
          <cell r="CS253">
            <v>0</v>
          </cell>
          <cell r="CT253">
            <v>5283598.62</v>
          </cell>
          <cell r="CU253">
            <v>0</v>
          </cell>
          <cell r="CV253">
            <v>0</v>
          </cell>
          <cell r="CW253">
            <v>0</v>
          </cell>
          <cell r="CX253">
            <v>0</v>
          </cell>
          <cell r="CY253">
            <v>0</v>
          </cell>
          <cell r="CZ253">
            <v>0</v>
          </cell>
          <cell r="DA253">
            <v>0</v>
          </cell>
          <cell r="DB253">
            <v>0</v>
          </cell>
          <cell r="DC253">
            <v>0</v>
          </cell>
          <cell r="DD253">
            <v>0</v>
          </cell>
          <cell r="DE253">
            <v>0</v>
          </cell>
          <cell r="DF253">
            <v>5712399.9100000001</v>
          </cell>
          <cell r="DG253">
            <v>0</v>
          </cell>
          <cell r="DH253">
            <v>0</v>
          </cell>
          <cell r="DI253">
            <v>0</v>
          </cell>
          <cell r="DJ253">
            <v>0</v>
          </cell>
          <cell r="DK253">
            <v>0</v>
          </cell>
          <cell r="DL253">
            <v>0</v>
          </cell>
          <cell r="DM253">
            <v>0</v>
          </cell>
          <cell r="DN253">
            <v>0</v>
          </cell>
          <cell r="DO253">
            <v>0</v>
          </cell>
          <cell r="DP253">
            <v>0</v>
          </cell>
          <cell r="DQ253">
            <v>0</v>
          </cell>
          <cell r="DR253">
            <v>0</v>
          </cell>
          <cell r="DS253">
            <v>0</v>
          </cell>
          <cell r="DT253">
            <v>0</v>
          </cell>
          <cell r="DU253">
            <v>0</v>
          </cell>
          <cell r="DV253">
            <v>0</v>
          </cell>
          <cell r="DW253">
            <v>0</v>
          </cell>
          <cell r="DX253">
            <v>0</v>
          </cell>
          <cell r="DY253">
            <v>0</v>
          </cell>
          <cell r="DZ253">
            <v>0</v>
          </cell>
          <cell r="EA253">
            <v>0</v>
          </cell>
          <cell r="EB253">
            <v>0</v>
          </cell>
          <cell r="EC253">
            <v>0</v>
          </cell>
          <cell r="ED253">
            <v>0</v>
          </cell>
          <cell r="EE253">
            <v>0</v>
          </cell>
          <cell r="EF253">
            <v>0</v>
          </cell>
          <cell r="EG253">
            <v>0</v>
          </cell>
          <cell r="EH253">
            <v>0</v>
          </cell>
          <cell r="EI253">
            <v>0</v>
          </cell>
          <cell r="EJ253">
            <v>0</v>
          </cell>
          <cell r="EK253">
            <v>0</v>
          </cell>
          <cell r="EL253">
            <v>0</v>
          </cell>
          <cell r="EM253">
            <v>0</v>
          </cell>
          <cell r="EN253">
            <v>0</v>
          </cell>
          <cell r="EO253">
            <v>0</v>
          </cell>
          <cell r="EP253">
            <v>0</v>
          </cell>
          <cell r="EQ253">
            <v>0</v>
          </cell>
          <cell r="ER253">
            <v>0</v>
          </cell>
          <cell r="ES253">
            <v>0</v>
          </cell>
          <cell r="ET253">
            <v>0</v>
          </cell>
          <cell r="EU253">
            <v>0</v>
          </cell>
          <cell r="EV253">
            <v>0</v>
          </cell>
          <cell r="EW253">
            <v>0</v>
          </cell>
          <cell r="EX253">
            <v>0</v>
          </cell>
          <cell r="EY253">
            <v>0</v>
          </cell>
          <cell r="EZ253">
            <v>0</v>
          </cell>
          <cell r="FA253">
            <v>0</v>
          </cell>
          <cell r="FB253">
            <v>0</v>
          </cell>
          <cell r="FC253">
            <v>0</v>
          </cell>
          <cell r="FD253">
            <v>0</v>
          </cell>
          <cell r="FE253">
            <v>0</v>
          </cell>
          <cell r="FF253">
            <v>0</v>
          </cell>
          <cell r="FG253">
            <v>0</v>
          </cell>
          <cell r="FH253">
            <v>0</v>
          </cell>
          <cell r="FI253">
            <v>0</v>
          </cell>
          <cell r="FJ253">
            <v>0</v>
          </cell>
          <cell r="FK253">
            <v>0</v>
          </cell>
          <cell r="FL253">
            <v>0</v>
          </cell>
          <cell r="FM253">
            <v>0</v>
          </cell>
          <cell r="FN253">
            <v>0</v>
          </cell>
          <cell r="FO253">
            <v>0</v>
          </cell>
          <cell r="FP253">
            <v>0</v>
          </cell>
          <cell r="FQ253">
            <v>0</v>
          </cell>
          <cell r="FR253">
            <v>0</v>
          </cell>
          <cell r="FS253">
            <v>0</v>
          </cell>
          <cell r="FT253">
            <v>0</v>
          </cell>
          <cell r="FU253">
            <v>0</v>
          </cell>
          <cell r="FV253">
            <v>0</v>
          </cell>
          <cell r="FW253">
            <v>0</v>
          </cell>
          <cell r="FX253">
            <v>0</v>
          </cell>
          <cell r="FY253">
            <v>0</v>
          </cell>
          <cell r="FZ253">
            <v>0</v>
          </cell>
        </row>
        <row r="254">
          <cell r="B254">
            <v>0</v>
          </cell>
          <cell r="C254">
            <v>0</v>
          </cell>
          <cell r="D254">
            <v>0</v>
          </cell>
          <cell r="E254">
            <v>0</v>
          </cell>
          <cell r="F254">
            <v>0</v>
          </cell>
          <cell r="G254">
            <v>0</v>
          </cell>
          <cell r="H254">
            <v>0</v>
          </cell>
          <cell r="I254">
            <v>0</v>
          </cell>
          <cell r="J254">
            <v>0</v>
          </cell>
          <cell r="K254">
            <v>0</v>
          </cell>
          <cell r="L254">
            <v>0</v>
          </cell>
          <cell r="M254">
            <v>0</v>
          </cell>
          <cell r="N254">
            <v>0</v>
          </cell>
          <cell r="O254">
            <v>0</v>
          </cell>
          <cell r="P254">
            <v>0</v>
          </cell>
          <cell r="Q254">
            <v>0</v>
          </cell>
          <cell r="R254">
            <v>0</v>
          </cell>
          <cell r="S254">
            <v>0</v>
          </cell>
          <cell r="T254">
            <v>0</v>
          </cell>
          <cell r="U254">
            <v>0</v>
          </cell>
          <cell r="V254">
            <v>0</v>
          </cell>
          <cell r="W254">
            <v>0</v>
          </cell>
          <cell r="X254">
            <v>0</v>
          </cell>
          <cell r="Y254">
            <v>0</v>
          </cell>
          <cell r="Z254">
            <v>0</v>
          </cell>
          <cell r="AA254">
            <v>0</v>
          </cell>
          <cell r="AB254">
            <v>0</v>
          </cell>
          <cell r="AC254">
            <v>0</v>
          </cell>
          <cell r="AD254">
            <v>0</v>
          </cell>
          <cell r="AE254">
            <v>0</v>
          </cell>
          <cell r="AF254">
            <v>0</v>
          </cell>
          <cell r="AG254">
            <v>0</v>
          </cell>
          <cell r="AH254">
            <v>0</v>
          </cell>
          <cell r="AI254">
            <v>0</v>
          </cell>
          <cell r="AJ254">
            <v>0</v>
          </cell>
          <cell r="AK254">
            <v>0</v>
          </cell>
          <cell r="AL254">
            <v>0</v>
          </cell>
          <cell r="AM254">
            <v>0</v>
          </cell>
          <cell r="AN254">
            <v>0</v>
          </cell>
          <cell r="AO254">
            <v>0</v>
          </cell>
          <cell r="AP254">
            <v>0</v>
          </cell>
          <cell r="AQ254">
            <v>0</v>
          </cell>
          <cell r="AR254">
            <v>0</v>
          </cell>
          <cell r="AS254">
            <v>0</v>
          </cell>
          <cell r="AT254">
            <v>0</v>
          </cell>
          <cell r="AU254">
            <v>0</v>
          </cell>
          <cell r="AV254">
            <v>0</v>
          </cell>
          <cell r="AW254">
            <v>0</v>
          </cell>
          <cell r="AX254">
            <v>0</v>
          </cell>
          <cell r="AY254">
            <v>0</v>
          </cell>
          <cell r="AZ254">
            <v>0</v>
          </cell>
          <cell r="BA254">
            <v>0</v>
          </cell>
          <cell r="BB254">
            <v>0</v>
          </cell>
          <cell r="BC254">
            <v>0</v>
          </cell>
          <cell r="BD254">
            <v>0</v>
          </cell>
          <cell r="BE254">
            <v>0</v>
          </cell>
          <cell r="BF254">
            <v>0</v>
          </cell>
          <cell r="BG254">
            <v>0</v>
          </cell>
          <cell r="BH254">
            <v>0</v>
          </cell>
          <cell r="BI254">
            <v>0</v>
          </cell>
          <cell r="BJ254">
            <v>0</v>
          </cell>
          <cell r="BK254">
            <v>0</v>
          </cell>
          <cell r="BL254">
            <v>0</v>
          </cell>
          <cell r="BM254">
            <v>0</v>
          </cell>
          <cell r="BN254">
            <v>0</v>
          </cell>
          <cell r="BO254">
            <v>0</v>
          </cell>
          <cell r="BP254">
            <v>0</v>
          </cell>
          <cell r="BQ254">
            <v>0</v>
          </cell>
          <cell r="BR254">
            <v>0</v>
          </cell>
          <cell r="BS254">
            <v>0</v>
          </cell>
          <cell r="BT254">
            <v>0</v>
          </cell>
          <cell r="BU254">
            <v>0</v>
          </cell>
          <cell r="BV254">
            <v>0</v>
          </cell>
          <cell r="BW254">
            <v>0</v>
          </cell>
          <cell r="BX254">
            <v>0</v>
          </cell>
          <cell r="BY254">
            <v>0</v>
          </cell>
          <cell r="BZ254">
            <v>0</v>
          </cell>
          <cell r="CA254">
            <v>0</v>
          </cell>
          <cell r="CB254">
            <v>0</v>
          </cell>
          <cell r="CC254">
            <v>0</v>
          </cell>
          <cell r="CD254">
            <v>0</v>
          </cell>
          <cell r="CE254">
            <v>0</v>
          </cell>
          <cell r="CF254">
            <v>0</v>
          </cell>
          <cell r="CG254">
            <v>0</v>
          </cell>
          <cell r="CH254">
            <v>0</v>
          </cell>
          <cell r="CI254">
            <v>0</v>
          </cell>
          <cell r="CJ254">
            <v>0</v>
          </cell>
          <cell r="CK254">
            <v>0</v>
          </cell>
          <cell r="CL254">
            <v>0</v>
          </cell>
          <cell r="CM254">
            <v>0</v>
          </cell>
          <cell r="CN254">
            <v>0</v>
          </cell>
          <cell r="CO254">
            <v>0</v>
          </cell>
          <cell r="CP254">
            <v>0</v>
          </cell>
          <cell r="CQ254">
            <v>0</v>
          </cell>
          <cell r="CR254">
            <v>0</v>
          </cell>
          <cell r="CS254">
            <v>0</v>
          </cell>
          <cell r="CT254">
            <v>0</v>
          </cell>
          <cell r="CU254">
            <v>0</v>
          </cell>
          <cell r="CV254">
            <v>0</v>
          </cell>
          <cell r="CW254">
            <v>0</v>
          </cell>
          <cell r="CX254">
            <v>0</v>
          </cell>
          <cell r="CY254">
            <v>0</v>
          </cell>
          <cell r="CZ254">
            <v>0</v>
          </cell>
          <cell r="DA254">
            <v>0</v>
          </cell>
          <cell r="DB254">
            <v>0</v>
          </cell>
          <cell r="DC254">
            <v>0</v>
          </cell>
          <cell r="DD254">
            <v>0</v>
          </cell>
          <cell r="DE254">
            <v>0</v>
          </cell>
          <cell r="DF254">
            <v>0</v>
          </cell>
          <cell r="DG254">
            <v>0</v>
          </cell>
          <cell r="DH254">
            <v>0</v>
          </cell>
          <cell r="DI254">
            <v>0</v>
          </cell>
          <cell r="DJ254">
            <v>0</v>
          </cell>
          <cell r="DK254">
            <v>0</v>
          </cell>
          <cell r="DL254">
            <v>0</v>
          </cell>
          <cell r="DM254">
            <v>0</v>
          </cell>
          <cell r="DN254">
            <v>0</v>
          </cell>
          <cell r="DO254">
            <v>0</v>
          </cell>
          <cell r="DP254">
            <v>0</v>
          </cell>
          <cell r="DQ254">
            <v>0</v>
          </cell>
          <cell r="DR254">
            <v>0</v>
          </cell>
          <cell r="DS254">
            <v>0</v>
          </cell>
          <cell r="DT254">
            <v>0</v>
          </cell>
          <cell r="DU254">
            <v>0</v>
          </cell>
          <cell r="DV254">
            <v>0</v>
          </cell>
          <cell r="DW254">
            <v>0</v>
          </cell>
          <cell r="DX254">
            <v>0</v>
          </cell>
          <cell r="DY254">
            <v>0</v>
          </cell>
          <cell r="DZ254">
            <v>0</v>
          </cell>
          <cell r="EA254">
            <v>0</v>
          </cell>
          <cell r="EB254">
            <v>0</v>
          </cell>
          <cell r="EC254">
            <v>0</v>
          </cell>
          <cell r="ED254">
            <v>0</v>
          </cell>
          <cell r="EE254">
            <v>0</v>
          </cell>
          <cell r="EF254">
            <v>0</v>
          </cell>
          <cell r="EG254">
            <v>0</v>
          </cell>
          <cell r="EH254">
            <v>0</v>
          </cell>
          <cell r="EI254">
            <v>0</v>
          </cell>
          <cell r="EJ254">
            <v>0</v>
          </cell>
          <cell r="EK254">
            <v>0</v>
          </cell>
          <cell r="EL254">
            <v>0</v>
          </cell>
          <cell r="EM254">
            <v>0</v>
          </cell>
          <cell r="EN254">
            <v>0</v>
          </cell>
          <cell r="EO254">
            <v>0</v>
          </cell>
          <cell r="EP254">
            <v>0</v>
          </cell>
          <cell r="EQ254">
            <v>0</v>
          </cell>
          <cell r="ER254">
            <v>0</v>
          </cell>
          <cell r="ES254">
            <v>0</v>
          </cell>
          <cell r="ET254">
            <v>0</v>
          </cell>
          <cell r="EU254">
            <v>0</v>
          </cell>
          <cell r="EV254">
            <v>0</v>
          </cell>
          <cell r="EW254">
            <v>0</v>
          </cell>
          <cell r="EX254">
            <v>0</v>
          </cell>
          <cell r="EY254">
            <v>0</v>
          </cell>
          <cell r="EZ254">
            <v>0</v>
          </cell>
          <cell r="FA254">
            <v>0</v>
          </cell>
          <cell r="FB254">
            <v>0</v>
          </cell>
          <cell r="FC254">
            <v>0</v>
          </cell>
          <cell r="FD254">
            <v>0</v>
          </cell>
          <cell r="FE254">
            <v>0</v>
          </cell>
          <cell r="FF254">
            <v>0</v>
          </cell>
          <cell r="FG254">
            <v>0</v>
          </cell>
          <cell r="FH254">
            <v>0</v>
          </cell>
          <cell r="FI254">
            <v>0</v>
          </cell>
          <cell r="FJ254">
            <v>0</v>
          </cell>
          <cell r="FK254">
            <v>0</v>
          </cell>
          <cell r="FL254">
            <v>0</v>
          </cell>
          <cell r="FM254">
            <v>0</v>
          </cell>
          <cell r="FN254">
            <v>0</v>
          </cell>
          <cell r="FO254">
            <v>0</v>
          </cell>
          <cell r="FP254">
            <v>0</v>
          </cell>
          <cell r="FQ254">
            <v>0</v>
          </cell>
          <cell r="FR254">
            <v>0</v>
          </cell>
          <cell r="FS254">
            <v>0</v>
          </cell>
          <cell r="FT254">
            <v>0</v>
          </cell>
          <cell r="FU254">
            <v>0</v>
          </cell>
          <cell r="FV254">
            <v>0</v>
          </cell>
          <cell r="FW254">
            <v>0</v>
          </cell>
          <cell r="FX254">
            <v>0</v>
          </cell>
          <cell r="FY254">
            <v>0</v>
          </cell>
          <cell r="FZ254">
            <v>0</v>
          </cell>
        </row>
        <row r="255">
          <cell r="B255">
            <v>0</v>
          </cell>
          <cell r="C255">
            <v>0</v>
          </cell>
          <cell r="D255">
            <v>0</v>
          </cell>
          <cell r="E255">
            <v>0</v>
          </cell>
          <cell r="F255">
            <v>0</v>
          </cell>
          <cell r="G255">
            <v>0</v>
          </cell>
          <cell r="H255">
            <v>0</v>
          </cell>
          <cell r="I255">
            <v>0</v>
          </cell>
          <cell r="J255">
            <v>0</v>
          </cell>
          <cell r="K255">
            <v>0</v>
          </cell>
          <cell r="L255">
            <v>0</v>
          </cell>
          <cell r="M255">
            <v>0</v>
          </cell>
          <cell r="N255">
            <v>0</v>
          </cell>
          <cell r="O255">
            <v>0</v>
          </cell>
          <cell r="P255">
            <v>0</v>
          </cell>
          <cell r="Q255">
            <v>0</v>
          </cell>
          <cell r="R255">
            <v>0</v>
          </cell>
          <cell r="S255">
            <v>0</v>
          </cell>
          <cell r="T255">
            <v>0</v>
          </cell>
          <cell r="U255">
            <v>0</v>
          </cell>
          <cell r="V255">
            <v>0</v>
          </cell>
          <cell r="W255">
            <v>0</v>
          </cell>
          <cell r="X255">
            <v>0</v>
          </cell>
          <cell r="Y255">
            <v>0</v>
          </cell>
          <cell r="Z255">
            <v>0</v>
          </cell>
          <cell r="AA255">
            <v>0</v>
          </cell>
          <cell r="AB255">
            <v>0</v>
          </cell>
          <cell r="AC255">
            <v>0</v>
          </cell>
          <cell r="AD255">
            <v>0</v>
          </cell>
          <cell r="AE255">
            <v>0</v>
          </cell>
          <cell r="AF255">
            <v>0</v>
          </cell>
          <cell r="AG255">
            <v>0</v>
          </cell>
          <cell r="AH255">
            <v>0</v>
          </cell>
          <cell r="AI255">
            <v>0</v>
          </cell>
          <cell r="AJ255">
            <v>0</v>
          </cell>
          <cell r="AK255">
            <v>0</v>
          </cell>
          <cell r="AL255">
            <v>0</v>
          </cell>
          <cell r="AM255">
            <v>0</v>
          </cell>
          <cell r="AN255">
            <v>0</v>
          </cell>
          <cell r="AO255">
            <v>0</v>
          </cell>
          <cell r="AP255">
            <v>0</v>
          </cell>
          <cell r="AQ255">
            <v>0</v>
          </cell>
          <cell r="AR255">
            <v>0</v>
          </cell>
          <cell r="AS255">
            <v>0</v>
          </cell>
          <cell r="AT255">
            <v>0</v>
          </cell>
          <cell r="AU255">
            <v>0</v>
          </cell>
          <cell r="AV255">
            <v>0</v>
          </cell>
          <cell r="AW255">
            <v>0</v>
          </cell>
          <cell r="AX255">
            <v>0</v>
          </cell>
          <cell r="AY255">
            <v>0</v>
          </cell>
          <cell r="AZ255">
            <v>0</v>
          </cell>
          <cell r="BA255">
            <v>0</v>
          </cell>
          <cell r="BB255">
            <v>0</v>
          </cell>
          <cell r="BC255">
            <v>0</v>
          </cell>
          <cell r="BD255">
            <v>0</v>
          </cell>
          <cell r="BE255">
            <v>0</v>
          </cell>
          <cell r="BF255">
            <v>0</v>
          </cell>
          <cell r="BG255">
            <v>0</v>
          </cell>
          <cell r="BH255">
            <v>0</v>
          </cell>
          <cell r="BI255">
            <v>0</v>
          </cell>
          <cell r="BJ255">
            <v>0</v>
          </cell>
          <cell r="BK255">
            <v>0</v>
          </cell>
          <cell r="BL255">
            <v>0</v>
          </cell>
          <cell r="BM255">
            <v>0</v>
          </cell>
          <cell r="BN255">
            <v>0</v>
          </cell>
          <cell r="BO255">
            <v>0</v>
          </cell>
          <cell r="BP255">
            <v>0</v>
          </cell>
          <cell r="BQ255">
            <v>0</v>
          </cell>
          <cell r="BR255">
            <v>0</v>
          </cell>
          <cell r="BS255">
            <v>0</v>
          </cell>
          <cell r="BT255">
            <v>0</v>
          </cell>
          <cell r="BU255">
            <v>0</v>
          </cell>
          <cell r="BV255">
            <v>0</v>
          </cell>
          <cell r="BW255">
            <v>0</v>
          </cell>
          <cell r="BX255">
            <v>0</v>
          </cell>
          <cell r="BY255">
            <v>0</v>
          </cell>
          <cell r="BZ255">
            <v>0</v>
          </cell>
          <cell r="CA255">
            <v>0</v>
          </cell>
          <cell r="CB255">
            <v>0</v>
          </cell>
          <cell r="CC255">
            <v>0</v>
          </cell>
          <cell r="CD255">
            <v>0</v>
          </cell>
          <cell r="CE255">
            <v>0</v>
          </cell>
          <cell r="CF255">
            <v>0</v>
          </cell>
          <cell r="CG255">
            <v>0</v>
          </cell>
          <cell r="CH255">
            <v>0</v>
          </cell>
          <cell r="CI255">
            <v>0</v>
          </cell>
          <cell r="CJ255">
            <v>0</v>
          </cell>
          <cell r="CK255">
            <v>0</v>
          </cell>
          <cell r="CL255">
            <v>0</v>
          </cell>
          <cell r="CM255">
            <v>0</v>
          </cell>
          <cell r="CN255">
            <v>0</v>
          </cell>
          <cell r="CO255">
            <v>0</v>
          </cell>
          <cell r="CP255">
            <v>0</v>
          </cell>
          <cell r="CQ255">
            <v>0</v>
          </cell>
          <cell r="CR255">
            <v>0</v>
          </cell>
          <cell r="CS255">
            <v>0</v>
          </cell>
          <cell r="CT255">
            <v>0</v>
          </cell>
          <cell r="CU255">
            <v>0</v>
          </cell>
          <cell r="CV255">
            <v>0</v>
          </cell>
          <cell r="CW255">
            <v>0</v>
          </cell>
          <cell r="CX255">
            <v>0</v>
          </cell>
          <cell r="CY255">
            <v>0</v>
          </cell>
          <cell r="CZ255">
            <v>0</v>
          </cell>
          <cell r="DA255">
            <v>0</v>
          </cell>
          <cell r="DB255">
            <v>0</v>
          </cell>
          <cell r="DC255">
            <v>0</v>
          </cell>
          <cell r="DD255">
            <v>0</v>
          </cell>
          <cell r="DE255">
            <v>0</v>
          </cell>
          <cell r="DF255">
            <v>0</v>
          </cell>
          <cell r="DG255">
            <v>0</v>
          </cell>
          <cell r="DH255">
            <v>0</v>
          </cell>
          <cell r="DI255">
            <v>0</v>
          </cell>
          <cell r="DJ255">
            <v>0</v>
          </cell>
          <cell r="DK255">
            <v>0</v>
          </cell>
          <cell r="DL255">
            <v>0</v>
          </cell>
          <cell r="DM255">
            <v>0</v>
          </cell>
          <cell r="DN255">
            <v>0</v>
          </cell>
          <cell r="DO255">
            <v>0</v>
          </cell>
          <cell r="DP255">
            <v>0</v>
          </cell>
          <cell r="DQ255">
            <v>0</v>
          </cell>
          <cell r="DR255">
            <v>0</v>
          </cell>
          <cell r="DS255">
            <v>0</v>
          </cell>
          <cell r="DT255">
            <v>0</v>
          </cell>
          <cell r="DU255">
            <v>0</v>
          </cell>
          <cell r="DV255">
            <v>0</v>
          </cell>
          <cell r="DW255">
            <v>0</v>
          </cell>
          <cell r="DX255">
            <v>0</v>
          </cell>
          <cell r="DY255">
            <v>0</v>
          </cell>
          <cell r="DZ255">
            <v>0</v>
          </cell>
          <cell r="EA255">
            <v>0</v>
          </cell>
          <cell r="EB255">
            <v>0</v>
          </cell>
          <cell r="EC255">
            <v>0</v>
          </cell>
          <cell r="ED255">
            <v>0</v>
          </cell>
          <cell r="EE255">
            <v>0</v>
          </cell>
          <cell r="EF255">
            <v>0</v>
          </cell>
          <cell r="EG255">
            <v>0</v>
          </cell>
          <cell r="EH255">
            <v>0</v>
          </cell>
          <cell r="EI255">
            <v>0</v>
          </cell>
          <cell r="EJ255">
            <v>0</v>
          </cell>
          <cell r="EK255">
            <v>0</v>
          </cell>
          <cell r="EL255">
            <v>0</v>
          </cell>
          <cell r="EM255">
            <v>0</v>
          </cell>
          <cell r="EN255">
            <v>0</v>
          </cell>
          <cell r="EO255">
            <v>0</v>
          </cell>
          <cell r="EP255">
            <v>0</v>
          </cell>
          <cell r="EQ255">
            <v>0</v>
          </cell>
          <cell r="ER255">
            <v>0</v>
          </cell>
          <cell r="ES255">
            <v>0</v>
          </cell>
          <cell r="ET255">
            <v>0</v>
          </cell>
          <cell r="EU255">
            <v>0</v>
          </cell>
          <cell r="EV255">
            <v>0</v>
          </cell>
          <cell r="EW255">
            <v>0</v>
          </cell>
          <cell r="EX255">
            <v>0</v>
          </cell>
          <cell r="EY255">
            <v>0</v>
          </cell>
          <cell r="EZ255">
            <v>0</v>
          </cell>
          <cell r="FA255">
            <v>0</v>
          </cell>
          <cell r="FB255">
            <v>0</v>
          </cell>
          <cell r="FC255">
            <v>0</v>
          </cell>
          <cell r="FD255">
            <v>0</v>
          </cell>
          <cell r="FE255">
            <v>0</v>
          </cell>
          <cell r="FF255">
            <v>0</v>
          </cell>
          <cell r="FG255">
            <v>0</v>
          </cell>
          <cell r="FH255">
            <v>0</v>
          </cell>
          <cell r="FI255">
            <v>0</v>
          </cell>
          <cell r="FJ255">
            <v>0</v>
          </cell>
          <cell r="FK255">
            <v>0</v>
          </cell>
          <cell r="FL255">
            <v>0</v>
          </cell>
          <cell r="FM255">
            <v>0</v>
          </cell>
          <cell r="FN255">
            <v>0</v>
          </cell>
          <cell r="FO255">
            <v>0</v>
          </cell>
          <cell r="FP255">
            <v>0</v>
          </cell>
          <cell r="FQ255">
            <v>0</v>
          </cell>
          <cell r="FR255">
            <v>0</v>
          </cell>
          <cell r="FS255">
            <v>0</v>
          </cell>
          <cell r="FT255">
            <v>0</v>
          </cell>
          <cell r="FU255">
            <v>0</v>
          </cell>
          <cell r="FV255">
            <v>0</v>
          </cell>
          <cell r="FW255">
            <v>0</v>
          </cell>
          <cell r="FX255">
            <v>0</v>
          </cell>
          <cell r="FY255">
            <v>0</v>
          </cell>
          <cell r="FZ255">
            <v>0</v>
          </cell>
        </row>
        <row r="256">
          <cell r="B256">
            <v>0</v>
          </cell>
          <cell r="C256">
            <v>0</v>
          </cell>
          <cell r="D256">
            <v>0</v>
          </cell>
          <cell r="E256">
            <v>0</v>
          </cell>
          <cell r="F256">
            <v>0</v>
          </cell>
          <cell r="G256">
            <v>0</v>
          </cell>
          <cell r="H256">
            <v>0</v>
          </cell>
          <cell r="I256">
            <v>0</v>
          </cell>
          <cell r="J256">
            <v>0</v>
          </cell>
          <cell r="K256">
            <v>0</v>
          </cell>
          <cell r="L256">
            <v>0</v>
          </cell>
          <cell r="M256">
            <v>0</v>
          </cell>
          <cell r="N256">
            <v>0</v>
          </cell>
          <cell r="O256">
            <v>0</v>
          </cell>
          <cell r="P256">
            <v>0</v>
          </cell>
          <cell r="Q256">
            <v>0</v>
          </cell>
          <cell r="R256">
            <v>0</v>
          </cell>
          <cell r="S256">
            <v>0</v>
          </cell>
          <cell r="T256">
            <v>0</v>
          </cell>
          <cell r="U256">
            <v>0</v>
          </cell>
          <cell r="V256">
            <v>0</v>
          </cell>
          <cell r="W256">
            <v>0</v>
          </cell>
          <cell r="X256">
            <v>0</v>
          </cell>
          <cell r="Y256">
            <v>0</v>
          </cell>
          <cell r="Z256">
            <v>0</v>
          </cell>
          <cell r="AA256">
            <v>0</v>
          </cell>
          <cell r="AB256">
            <v>0</v>
          </cell>
          <cell r="AC256">
            <v>0</v>
          </cell>
          <cell r="AD256">
            <v>0</v>
          </cell>
          <cell r="AE256">
            <v>0</v>
          </cell>
          <cell r="AF256">
            <v>0</v>
          </cell>
          <cell r="AG256">
            <v>0</v>
          </cell>
          <cell r="AH256">
            <v>0</v>
          </cell>
          <cell r="AI256">
            <v>0</v>
          </cell>
          <cell r="AJ256">
            <v>0</v>
          </cell>
          <cell r="AK256">
            <v>0</v>
          </cell>
          <cell r="AL256">
            <v>0</v>
          </cell>
          <cell r="AM256">
            <v>0</v>
          </cell>
          <cell r="AN256">
            <v>0</v>
          </cell>
          <cell r="AO256">
            <v>0</v>
          </cell>
          <cell r="AP256">
            <v>0</v>
          </cell>
          <cell r="AQ256">
            <v>0</v>
          </cell>
          <cell r="AR256">
            <v>0</v>
          </cell>
          <cell r="AS256">
            <v>0</v>
          </cell>
          <cell r="AT256">
            <v>0</v>
          </cell>
          <cell r="AU256">
            <v>0</v>
          </cell>
          <cell r="AV256">
            <v>0</v>
          </cell>
          <cell r="AW256">
            <v>0</v>
          </cell>
          <cell r="AX256">
            <v>0</v>
          </cell>
          <cell r="AY256">
            <v>0</v>
          </cell>
          <cell r="AZ256">
            <v>0</v>
          </cell>
          <cell r="BA256">
            <v>0</v>
          </cell>
          <cell r="BB256">
            <v>0</v>
          </cell>
          <cell r="BC256">
            <v>0</v>
          </cell>
          <cell r="BD256">
            <v>0</v>
          </cell>
          <cell r="BE256">
            <v>0</v>
          </cell>
          <cell r="BF256">
            <v>0</v>
          </cell>
          <cell r="BG256">
            <v>0</v>
          </cell>
          <cell r="BH256">
            <v>0</v>
          </cell>
          <cell r="BI256">
            <v>0</v>
          </cell>
          <cell r="BJ256">
            <v>0</v>
          </cell>
          <cell r="BK256">
            <v>0</v>
          </cell>
          <cell r="BL256">
            <v>0</v>
          </cell>
          <cell r="BM256">
            <v>0</v>
          </cell>
          <cell r="BN256">
            <v>0</v>
          </cell>
          <cell r="BO256">
            <v>0</v>
          </cell>
          <cell r="BP256">
            <v>0</v>
          </cell>
          <cell r="BQ256">
            <v>0</v>
          </cell>
          <cell r="BR256">
            <v>0</v>
          </cell>
          <cell r="BS256">
            <v>0</v>
          </cell>
          <cell r="BT256">
            <v>0</v>
          </cell>
          <cell r="BU256">
            <v>0</v>
          </cell>
          <cell r="BV256">
            <v>0</v>
          </cell>
          <cell r="BW256">
            <v>0</v>
          </cell>
          <cell r="BX256">
            <v>0</v>
          </cell>
          <cell r="BY256">
            <v>0</v>
          </cell>
          <cell r="BZ256">
            <v>0</v>
          </cell>
          <cell r="CA256">
            <v>0</v>
          </cell>
          <cell r="CB256">
            <v>0</v>
          </cell>
          <cell r="CC256">
            <v>0</v>
          </cell>
          <cell r="CD256">
            <v>0</v>
          </cell>
          <cell r="CE256">
            <v>0</v>
          </cell>
          <cell r="CF256">
            <v>0</v>
          </cell>
          <cell r="CG256">
            <v>0</v>
          </cell>
          <cell r="CH256">
            <v>0</v>
          </cell>
          <cell r="CI256">
            <v>0</v>
          </cell>
          <cell r="CJ256">
            <v>0</v>
          </cell>
          <cell r="CK256">
            <v>0</v>
          </cell>
          <cell r="CL256">
            <v>0</v>
          </cell>
          <cell r="CM256">
            <v>0</v>
          </cell>
          <cell r="CN256">
            <v>0</v>
          </cell>
          <cell r="CO256">
            <v>0</v>
          </cell>
          <cell r="CP256">
            <v>0</v>
          </cell>
          <cell r="CQ256">
            <v>0</v>
          </cell>
          <cell r="CR256">
            <v>0</v>
          </cell>
          <cell r="CS256">
            <v>0</v>
          </cell>
          <cell r="CT256">
            <v>0</v>
          </cell>
          <cell r="CU256">
            <v>0</v>
          </cell>
          <cell r="CV256">
            <v>0</v>
          </cell>
          <cell r="CW256">
            <v>0</v>
          </cell>
          <cell r="CX256">
            <v>0</v>
          </cell>
          <cell r="CY256">
            <v>0</v>
          </cell>
          <cell r="CZ256">
            <v>0</v>
          </cell>
          <cell r="DA256">
            <v>0</v>
          </cell>
          <cell r="DB256">
            <v>0</v>
          </cell>
          <cell r="DC256">
            <v>0</v>
          </cell>
          <cell r="DD256">
            <v>0</v>
          </cell>
          <cell r="DE256">
            <v>0</v>
          </cell>
          <cell r="DF256">
            <v>0</v>
          </cell>
          <cell r="DG256">
            <v>0</v>
          </cell>
          <cell r="DH256">
            <v>0</v>
          </cell>
          <cell r="DI256">
            <v>0</v>
          </cell>
          <cell r="DJ256">
            <v>0</v>
          </cell>
          <cell r="DK256">
            <v>0</v>
          </cell>
          <cell r="DL256">
            <v>0</v>
          </cell>
          <cell r="DM256">
            <v>0</v>
          </cell>
          <cell r="DN256">
            <v>0</v>
          </cell>
          <cell r="DO256">
            <v>0</v>
          </cell>
          <cell r="DP256">
            <v>0</v>
          </cell>
          <cell r="DQ256">
            <v>0</v>
          </cell>
          <cell r="DR256">
            <v>0</v>
          </cell>
          <cell r="DS256">
            <v>0</v>
          </cell>
          <cell r="DT256">
            <v>0</v>
          </cell>
          <cell r="DU256">
            <v>0</v>
          </cell>
          <cell r="DV256">
            <v>0</v>
          </cell>
          <cell r="DW256">
            <v>0</v>
          </cell>
          <cell r="DX256">
            <v>0</v>
          </cell>
          <cell r="DY256">
            <v>0</v>
          </cell>
          <cell r="DZ256">
            <v>0</v>
          </cell>
          <cell r="EA256">
            <v>0</v>
          </cell>
          <cell r="EB256">
            <v>0</v>
          </cell>
          <cell r="EC256">
            <v>0</v>
          </cell>
          <cell r="ED256">
            <v>0</v>
          </cell>
          <cell r="EE256">
            <v>0</v>
          </cell>
          <cell r="EF256">
            <v>0</v>
          </cell>
          <cell r="EG256">
            <v>0</v>
          </cell>
          <cell r="EH256">
            <v>0</v>
          </cell>
          <cell r="EI256">
            <v>0</v>
          </cell>
          <cell r="EJ256">
            <v>0</v>
          </cell>
          <cell r="EK256">
            <v>0</v>
          </cell>
          <cell r="EL256">
            <v>0</v>
          </cell>
          <cell r="EM256">
            <v>0</v>
          </cell>
          <cell r="EN256">
            <v>0</v>
          </cell>
          <cell r="EO256">
            <v>0</v>
          </cell>
          <cell r="EP256">
            <v>0</v>
          </cell>
          <cell r="EQ256">
            <v>0</v>
          </cell>
          <cell r="ER256">
            <v>0</v>
          </cell>
          <cell r="ES256">
            <v>0</v>
          </cell>
          <cell r="ET256">
            <v>0</v>
          </cell>
          <cell r="EU256">
            <v>0</v>
          </cell>
          <cell r="EV256">
            <v>0</v>
          </cell>
          <cell r="EW256">
            <v>0</v>
          </cell>
          <cell r="EX256">
            <v>0</v>
          </cell>
          <cell r="EY256">
            <v>0</v>
          </cell>
          <cell r="EZ256">
            <v>0</v>
          </cell>
          <cell r="FA256">
            <v>0</v>
          </cell>
          <cell r="FB256">
            <v>0</v>
          </cell>
          <cell r="FC256">
            <v>0</v>
          </cell>
          <cell r="FD256">
            <v>0</v>
          </cell>
          <cell r="FE256">
            <v>0</v>
          </cell>
          <cell r="FF256">
            <v>0</v>
          </cell>
          <cell r="FG256">
            <v>0</v>
          </cell>
          <cell r="FH256">
            <v>0</v>
          </cell>
          <cell r="FI256">
            <v>0</v>
          </cell>
          <cell r="FJ256">
            <v>0</v>
          </cell>
          <cell r="FK256">
            <v>0</v>
          </cell>
          <cell r="FL256">
            <v>0</v>
          </cell>
          <cell r="FM256">
            <v>0</v>
          </cell>
          <cell r="FN256">
            <v>0</v>
          </cell>
          <cell r="FO256">
            <v>0</v>
          </cell>
          <cell r="FP256">
            <v>0</v>
          </cell>
          <cell r="FQ256">
            <v>0</v>
          </cell>
          <cell r="FR256">
            <v>0</v>
          </cell>
          <cell r="FS256">
            <v>0</v>
          </cell>
          <cell r="FT256">
            <v>0</v>
          </cell>
          <cell r="FU256">
            <v>0</v>
          </cell>
          <cell r="FV256">
            <v>0</v>
          </cell>
          <cell r="FW256">
            <v>0</v>
          </cell>
          <cell r="FX256">
            <v>0</v>
          </cell>
          <cell r="FY256">
            <v>0</v>
          </cell>
          <cell r="FZ256">
            <v>0</v>
          </cell>
        </row>
        <row r="257">
          <cell r="B257">
            <v>0</v>
          </cell>
          <cell r="C257">
            <v>0</v>
          </cell>
          <cell r="D257">
            <v>0</v>
          </cell>
          <cell r="E257">
            <v>0</v>
          </cell>
          <cell r="F257">
            <v>0</v>
          </cell>
          <cell r="G257">
            <v>0</v>
          </cell>
          <cell r="H257">
            <v>0</v>
          </cell>
          <cell r="I257">
            <v>0</v>
          </cell>
          <cell r="J257">
            <v>0</v>
          </cell>
          <cell r="K257">
            <v>0</v>
          </cell>
          <cell r="L257">
            <v>0</v>
          </cell>
          <cell r="M257">
            <v>0</v>
          </cell>
          <cell r="N257">
            <v>0</v>
          </cell>
          <cell r="O257">
            <v>0</v>
          </cell>
          <cell r="P257">
            <v>0</v>
          </cell>
          <cell r="Q257">
            <v>0</v>
          </cell>
          <cell r="R257">
            <v>0</v>
          </cell>
          <cell r="S257">
            <v>0</v>
          </cell>
          <cell r="T257">
            <v>0</v>
          </cell>
          <cell r="U257">
            <v>0</v>
          </cell>
          <cell r="V257">
            <v>0</v>
          </cell>
          <cell r="W257">
            <v>0</v>
          </cell>
          <cell r="X257">
            <v>0</v>
          </cell>
          <cell r="Y257">
            <v>0</v>
          </cell>
          <cell r="Z257">
            <v>0</v>
          </cell>
          <cell r="AA257">
            <v>0</v>
          </cell>
          <cell r="AB257">
            <v>0</v>
          </cell>
          <cell r="AC257">
            <v>0</v>
          </cell>
          <cell r="AD257">
            <v>0</v>
          </cell>
          <cell r="AE257">
            <v>0</v>
          </cell>
          <cell r="AF257">
            <v>0</v>
          </cell>
          <cell r="AG257">
            <v>0</v>
          </cell>
          <cell r="AH257">
            <v>0</v>
          </cell>
          <cell r="AI257">
            <v>0</v>
          </cell>
          <cell r="AJ257">
            <v>0</v>
          </cell>
          <cell r="AK257">
            <v>0</v>
          </cell>
          <cell r="AL257">
            <v>0</v>
          </cell>
          <cell r="AM257">
            <v>0</v>
          </cell>
          <cell r="AN257">
            <v>0</v>
          </cell>
          <cell r="AO257">
            <v>0</v>
          </cell>
          <cell r="AP257">
            <v>0</v>
          </cell>
          <cell r="AQ257">
            <v>0</v>
          </cell>
          <cell r="AR257">
            <v>0</v>
          </cell>
          <cell r="AS257">
            <v>0</v>
          </cell>
          <cell r="AT257">
            <v>0</v>
          </cell>
          <cell r="AU257">
            <v>0</v>
          </cell>
          <cell r="AV257">
            <v>0</v>
          </cell>
          <cell r="AW257">
            <v>0</v>
          </cell>
          <cell r="AX257">
            <v>0</v>
          </cell>
          <cell r="AY257">
            <v>0</v>
          </cell>
          <cell r="AZ257">
            <v>0</v>
          </cell>
          <cell r="BA257">
            <v>0</v>
          </cell>
          <cell r="BB257">
            <v>0</v>
          </cell>
          <cell r="BC257">
            <v>0</v>
          </cell>
          <cell r="BD257">
            <v>0</v>
          </cell>
          <cell r="BE257">
            <v>0</v>
          </cell>
          <cell r="BF257">
            <v>0</v>
          </cell>
          <cell r="BG257">
            <v>0</v>
          </cell>
          <cell r="BH257">
            <v>0</v>
          </cell>
          <cell r="BI257">
            <v>0</v>
          </cell>
          <cell r="BJ257">
            <v>0</v>
          </cell>
          <cell r="BK257">
            <v>0</v>
          </cell>
          <cell r="BL257">
            <v>0</v>
          </cell>
          <cell r="BM257">
            <v>0</v>
          </cell>
          <cell r="BN257">
            <v>0</v>
          </cell>
          <cell r="BO257">
            <v>0</v>
          </cell>
          <cell r="BP257">
            <v>0</v>
          </cell>
          <cell r="BQ257">
            <v>0</v>
          </cell>
          <cell r="BR257">
            <v>0</v>
          </cell>
          <cell r="BS257">
            <v>0</v>
          </cell>
          <cell r="BT257">
            <v>0</v>
          </cell>
          <cell r="BU257">
            <v>0</v>
          </cell>
          <cell r="BV257">
            <v>0</v>
          </cell>
          <cell r="BW257">
            <v>0</v>
          </cell>
          <cell r="BX257">
            <v>0</v>
          </cell>
          <cell r="BY257">
            <v>0</v>
          </cell>
          <cell r="BZ257">
            <v>0</v>
          </cell>
          <cell r="CA257">
            <v>0</v>
          </cell>
          <cell r="CB257">
            <v>0</v>
          </cell>
          <cell r="CC257">
            <v>0</v>
          </cell>
          <cell r="CD257">
            <v>0</v>
          </cell>
          <cell r="CE257">
            <v>0</v>
          </cell>
          <cell r="CF257">
            <v>0</v>
          </cell>
          <cell r="CG257">
            <v>0</v>
          </cell>
          <cell r="CH257">
            <v>0</v>
          </cell>
          <cell r="CI257">
            <v>0</v>
          </cell>
          <cell r="CJ257">
            <v>0</v>
          </cell>
          <cell r="CK257">
            <v>0</v>
          </cell>
          <cell r="CL257">
            <v>0</v>
          </cell>
          <cell r="CM257">
            <v>0</v>
          </cell>
          <cell r="CN257">
            <v>0</v>
          </cell>
          <cell r="CO257">
            <v>0</v>
          </cell>
          <cell r="CP257">
            <v>0</v>
          </cell>
          <cell r="CQ257">
            <v>0</v>
          </cell>
          <cell r="CR257">
            <v>0</v>
          </cell>
          <cell r="CS257">
            <v>0</v>
          </cell>
          <cell r="CT257">
            <v>0</v>
          </cell>
          <cell r="CU257">
            <v>0</v>
          </cell>
          <cell r="CV257">
            <v>0</v>
          </cell>
          <cell r="CW257">
            <v>0</v>
          </cell>
          <cell r="CX257">
            <v>0</v>
          </cell>
          <cell r="CY257">
            <v>0</v>
          </cell>
          <cell r="CZ257">
            <v>0</v>
          </cell>
          <cell r="DA257">
            <v>0</v>
          </cell>
          <cell r="DB257">
            <v>0</v>
          </cell>
          <cell r="DC257">
            <v>0</v>
          </cell>
          <cell r="DD257">
            <v>0</v>
          </cell>
          <cell r="DE257">
            <v>0</v>
          </cell>
          <cell r="DF257">
            <v>0</v>
          </cell>
          <cell r="DG257">
            <v>0</v>
          </cell>
          <cell r="DH257">
            <v>0</v>
          </cell>
          <cell r="DI257">
            <v>0</v>
          </cell>
          <cell r="DJ257">
            <v>0</v>
          </cell>
          <cell r="DK257">
            <v>0</v>
          </cell>
          <cell r="DL257">
            <v>0</v>
          </cell>
          <cell r="DM257">
            <v>0</v>
          </cell>
          <cell r="DN257">
            <v>0</v>
          </cell>
          <cell r="DO257">
            <v>0</v>
          </cell>
          <cell r="DP257">
            <v>0</v>
          </cell>
          <cell r="DQ257">
            <v>0</v>
          </cell>
          <cell r="DR257">
            <v>0</v>
          </cell>
          <cell r="DS257">
            <v>0</v>
          </cell>
          <cell r="DT257">
            <v>0</v>
          </cell>
          <cell r="DU257">
            <v>0</v>
          </cell>
          <cell r="DV257">
            <v>0</v>
          </cell>
          <cell r="DW257">
            <v>0</v>
          </cell>
          <cell r="DX257">
            <v>0</v>
          </cell>
          <cell r="DY257">
            <v>0</v>
          </cell>
          <cell r="DZ257">
            <v>0</v>
          </cell>
          <cell r="EA257">
            <v>0</v>
          </cell>
          <cell r="EB257">
            <v>0</v>
          </cell>
          <cell r="EC257">
            <v>0</v>
          </cell>
          <cell r="ED257">
            <v>0</v>
          </cell>
          <cell r="EE257">
            <v>0</v>
          </cell>
          <cell r="EF257">
            <v>0</v>
          </cell>
          <cell r="EG257">
            <v>0</v>
          </cell>
          <cell r="EH257">
            <v>0</v>
          </cell>
          <cell r="EI257">
            <v>0</v>
          </cell>
          <cell r="EJ257">
            <v>0</v>
          </cell>
          <cell r="EK257">
            <v>0</v>
          </cell>
          <cell r="EL257">
            <v>0</v>
          </cell>
          <cell r="EM257">
            <v>0</v>
          </cell>
          <cell r="EN257">
            <v>0</v>
          </cell>
          <cell r="EO257">
            <v>0</v>
          </cell>
          <cell r="EP257">
            <v>0</v>
          </cell>
          <cell r="EQ257">
            <v>0</v>
          </cell>
          <cell r="ER257">
            <v>0</v>
          </cell>
          <cell r="ES257">
            <v>0</v>
          </cell>
          <cell r="ET257">
            <v>0</v>
          </cell>
          <cell r="EU257">
            <v>0</v>
          </cell>
          <cell r="EV257">
            <v>0</v>
          </cell>
          <cell r="EW257">
            <v>0</v>
          </cell>
          <cell r="EX257">
            <v>0</v>
          </cell>
          <cell r="EY257">
            <v>0</v>
          </cell>
          <cell r="EZ257">
            <v>0</v>
          </cell>
          <cell r="FA257">
            <v>0</v>
          </cell>
          <cell r="FB257">
            <v>0</v>
          </cell>
          <cell r="FC257">
            <v>0</v>
          </cell>
          <cell r="FD257">
            <v>0</v>
          </cell>
          <cell r="FE257">
            <v>0</v>
          </cell>
          <cell r="FF257">
            <v>0</v>
          </cell>
          <cell r="FG257">
            <v>0</v>
          </cell>
          <cell r="FH257">
            <v>0</v>
          </cell>
          <cell r="FI257">
            <v>0</v>
          </cell>
          <cell r="FJ257">
            <v>0</v>
          </cell>
          <cell r="FK257">
            <v>0</v>
          </cell>
          <cell r="FL257">
            <v>0</v>
          </cell>
          <cell r="FM257">
            <v>0</v>
          </cell>
          <cell r="FN257">
            <v>0</v>
          </cell>
          <cell r="FO257">
            <v>0</v>
          </cell>
          <cell r="FP257">
            <v>0</v>
          </cell>
          <cell r="FQ257">
            <v>0</v>
          </cell>
          <cell r="FR257">
            <v>0</v>
          </cell>
          <cell r="FS257">
            <v>0</v>
          </cell>
          <cell r="FT257">
            <v>0</v>
          </cell>
          <cell r="FU257">
            <v>0</v>
          </cell>
          <cell r="FV257">
            <v>0</v>
          </cell>
          <cell r="FW257">
            <v>0</v>
          </cell>
          <cell r="FX257">
            <v>0</v>
          </cell>
          <cell r="FY257">
            <v>0</v>
          </cell>
          <cell r="FZ257">
            <v>0</v>
          </cell>
        </row>
        <row r="258">
          <cell r="B258">
            <v>0</v>
          </cell>
          <cell r="C258">
            <v>0</v>
          </cell>
          <cell r="D258">
            <v>0</v>
          </cell>
          <cell r="E258">
            <v>0</v>
          </cell>
          <cell r="F258">
            <v>0</v>
          </cell>
          <cell r="G258">
            <v>0</v>
          </cell>
          <cell r="H258">
            <v>0</v>
          </cell>
          <cell r="I258">
            <v>0</v>
          </cell>
          <cell r="J258">
            <v>0</v>
          </cell>
          <cell r="K258">
            <v>0</v>
          </cell>
          <cell r="L258">
            <v>0</v>
          </cell>
          <cell r="M258">
            <v>0</v>
          </cell>
          <cell r="N258">
            <v>0</v>
          </cell>
          <cell r="O258">
            <v>0</v>
          </cell>
          <cell r="P258">
            <v>0</v>
          </cell>
          <cell r="Q258">
            <v>0</v>
          </cell>
          <cell r="R258">
            <v>0</v>
          </cell>
          <cell r="S258">
            <v>0</v>
          </cell>
          <cell r="T258">
            <v>0</v>
          </cell>
          <cell r="U258">
            <v>0</v>
          </cell>
          <cell r="V258">
            <v>0</v>
          </cell>
          <cell r="W258">
            <v>0</v>
          </cell>
          <cell r="X258">
            <v>0</v>
          </cell>
          <cell r="Y258">
            <v>0</v>
          </cell>
          <cell r="Z258">
            <v>0</v>
          </cell>
          <cell r="AA258">
            <v>0</v>
          </cell>
          <cell r="AB258">
            <v>0</v>
          </cell>
          <cell r="AC258">
            <v>0</v>
          </cell>
          <cell r="AD258">
            <v>0</v>
          </cell>
          <cell r="AE258">
            <v>0</v>
          </cell>
          <cell r="AF258">
            <v>0</v>
          </cell>
          <cell r="AG258">
            <v>0</v>
          </cell>
          <cell r="AH258">
            <v>0</v>
          </cell>
          <cell r="AI258">
            <v>0</v>
          </cell>
          <cell r="AJ258">
            <v>0</v>
          </cell>
          <cell r="AK258">
            <v>0</v>
          </cell>
          <cell r="AL258">
            <v>0</v>
          </cell>
          <cell r="AM258">
            <v>0</v>
          </cell>
          <cell r="AN258">
            <v>0</v>
          </cell>
          <cell r="AO258">
            <v>0</v>
          </cell>
          <cell r="AP258">
            <v>0</v>
          </cell>
          <cell r="AQ258">
            <v>0</v>
          </cell>
          <cell r="AR258">
            <v>0</v>
          </cell>
          <cell r="AS258">
            <v>0</v>
          </cell>
          <cell r="AT258">
            <v>0</v>
          </cell>
          <cell r="AU258">
            <v>0</v>
          </cell>
          <cell r="AV258">
            <v>0</v>
          </cell>
          <cell r="AW258">
            <v>0</v>
          </cell>
          <cell r="AX258">
            <v>0</v>
          </cell>
          <cell r="AY258">
            <v>0</v>
          </cell>
          <cell r="AZ258">
            <v>0</v>
          </cell>
          <cell r="BA258">
            <v>0</v>
          </cell>
          <cell r="BB258">
            <v>0</v>
          </cell>
          <cell r="BC258">
            <v>0</v>
          </cell>
          <cell r="BD258">
            <v>0</v>
          </cell>
          <cell r="BE258">
            <v>0</v>
          </cell>
          <cell r="BF258">
            <v>0</v>
          </cell>
          <cell r="BG258">
            <v>0</v>
          </cell>
          <cell r="BH258">
            <v>0</v>
          </cell>
          <cell r="BI258">
            <v>0</v>
          </cell>
          <cell r="BJ258">
            <v>0</v>
          </cell>
          <cell r="BK258">
            <v>0</v>
          </cell>
          <cell r="BL258">
            <v>0</v>
          </cell>
          <cell r="BM258">
            <v>0</v>
          </cell>
          <cell r="BN258">
            <v>0</v>
          </cell>
          <cell r="BO258">
            <v>0</v>
          </cell>
          <cell r="BP258">
            <v>0</v>
          </cell>
          <cell r="BQ258">
            <v>0</v>
          </cell>
          <cell r="BR258">
            <v>0</v>
          </cell>
          <cell r="BS258">
            <v>0</v>
          </cell>
          <cell r="BT258">
            <v>0</v>
          </cell>
          <cell r="BU258">
            <v>0</v>
          </cell>
          <cell r="BV258">
            <v>0</v>
          </cell>
          <cell r="BW258">
            <v>0</v>
          </cell>
          <cell r="BX258">
            <v>0</v>
          </cell>
          <cell r="BY258">
            <v>0</v>
          </cell>
          <cell r="BZ258">
            <v>0</v>
          </cell>
          <cell r="CA258">
            <v>0</v>
          </cell>
          <cell r="CB258">
            <v>0</v>
          </cell>
          <cell r="CC258">
            <v>0</v>
          </cell>
          <cell r="CD258">
            <v>0</v>
          </cell>
          <cell r="CE258">
            <v>0</v>
          </cell>
          <cell r="CF258">
            <v>0</v>
          </cell>
          <cell r="CG258">
            <v>0</v>
          </cell>
          <cell r="CH258">
            <v>0</v>
          </cell>
          <cell r="CI258">
            <v>0</v>
          </cell>
          <cell r="CJ258">
            <v>0</v>
          </cell>
          <cell r="CK258">
            <v>0</v>
          </cell>
          <cell r="CL258">
            <v>0</v>
          </cell>
          <cell r="CM258">
            <v>0</v>
          </cell>
          <cell r="CN258">
            <v>0</v>
          </cell>
          <cell r="CO258">
            <v>0</v>
          </cell>
          <cell r="CP258">
            <v>0</v>
          </cell>
          <cell r="CQ258">
            <v>0</v>
          </cell>
          <cell r="CR258">
            <v>0</v>
          </cell>
          <cell r="CS258">
            <v>0</v>
          </cell>
          <cell r="CT258">
            <v>0</v>
          </cell>
          <cell r="CU258">
            <v>0</v>
          </cell>
          <cell r="CV258">
            <v>0</v>
          </cell>
          <cell r="CW258">
            <v>0</v>
          </cell>
          <cell r="CX258">
            <v>0</v>
          </cell>
          <cell r="CY258">
            <v>0</v>
          </cell>
          <cell r="CZ258">
            <v>0</v>
          </cell>
          <cell r="DA258">
            <v>0</v>
          </cell>
          <cell r="DB258">
            <v>0</v>
          </cell>
          <cell r="DC258">
            <v>0</v>
          </cell>
          <cell r="DD258">
            <v>0</v>
          </cell>
          <cell r="DE258">
            <v>0</v>
          </cell>
          <cell r="DF258">
            <v>0</v>
          </cell>
          <cell r="DG258">
            <v>0</v>
          </cell>
          <cell r="DH258">
            <v>0</v>
          </cell>
          <cell r="DI258">
            <v>0</v>
          </cell>
          <cell r="DJ258">
            <v>0</v>
          </cell>
          <cell r="DK258">
            <v>0</v>
          </cell>
          <cell r="DL258">
            <v>0</v>
          </cell>
          <cell r="DM258">
            <v>0</v>
          </cell>
          <cell r="DN258">
            <v>0</v>
          </cell>
          <cell r="DO258">
            <v>0</v>
          </cell>
          <cell r="DP258">
            <v>0</v>
          </cell>
          <cell r="DQ258">
            <v>0</v>
          </cell>
          <cell r="DR258">
            <v>0</v>
          </cell>
          <cell r="DS258">
            <v>0</v>
          </cell>
          <cell r="DT258">
            <v>0</v>
          </cell>
          <cell r="DU258">
            <v>0</v>
          </cell>
          <cell r="DV258">
            <v>0</v>
          </cell>
          <cell r="DW258">
            <v>0</v>
          </cell>
          <cell r="DX258">
            <v>0</v>
          </cell>
          <cell r="DY258">
            <v>0</v>
          </cell>
          <cell r="DZ258">
            <v>0</v>
          </cell>
          <cell r="EA258">
            <v>0</v>
          </cell>
          <cell r="EB258">
            <v>0</v>
          </cell>
          <cell r="EC258">
            <v>0</v>
          </cell>
          <cell r="ED258">
            <v>0</v>
          </cell>
          <cell r="EE258">
            <v>0</v>
          </cell>
          <cell r="EF258">
            <v>0</v>
          </cell>
          <cell r="EG258">
            <v>0</v>
          </cell>
          <cell r="EH258">
            <v>0</v>
          </cell>
          <cell r="EI258">
            <v>0</v>
          </cell>
          <cell r="EJ258">
            <v>0</v>
          </cell>
          <cell r="EK258">
            <v>0</v>
          </cell>
          <cell r="EL258">
            <v>0</v>
          </cell>
          <cell r="EM258">
            <v>0</v>
          </cell>
          <cell r="EN258">
            <v>0</v>
          </cell>
          <cell r="EO258">
            <v>0</v>
          </cell>
          <cell r="EP258">
            <v>0</v>
          </cell>
          <cell r="EQ258">
            <v>0</v>
          </cell>
          <cell r="ER258">
            <v>0</v>
          </cell>
          <cell r="ES258">
            <v>0</v>
          </cell>
          <cell r="ET258">
            <v>0</v>
          </cell>
          <cell r="EU258">
            <v>0</v>
          </cell>
          <cell r="EV258">
            <v>0</v>
          </cell>
          <cell r="EW258">
            <v>0</v>
          </cell>
          <cell r="EX258">
            <v>0</v>
          </cell>
          <cell r="EY258">
            <v>0</v>
          </cell>
          <cell r="EZ258">
            <v>0</v>
          </cell>
          <cell r="FA258">
            <v>0</v>
          </cell>
          <cell r="FB258">
            <v>0</v>
          </cell>
          <cell r="FC258">
            <v>0</v>
          </cell>
          <cell r="FD258">
            <v>0</v>
          </cell>
          <cell r="FE258">
            <v>0</v>
          </cell>
          <cell r="FF258">
            <v>0</v>
          </cell>
          <cell r="FG258">
            <v>0</v>
          </cell>
          <cell r="FH258">
            <v>0</v>
          </cell>
          <cell r="FI258">
            <v>0</v>
          </cell>
          <cell r="FJ258">
            <v>0</v>
          </cell>
          <cell r="FK258">
            <v>0</v>
          </cell>
          <cell r="FL258">
            <v>0</v>
          </cell>
          <cell r="FM258">
            <v>0</v>
          </cell>
          <cell r="FN258">
            <v>0</v>
          </cell>
          <cell r="FO258">
            <v>0</v>
          </cell>
          <cell r="FP258">
            <v>0</v>
          </cell>
          <cell r="FQ258">
            <v>0</v>
          </cell>
          <cell r="FR258">
            <v>0</v>
          </cell>
          <cell r="FS258">
            <v>0</v>
          </cell>
          <cell r="FT258">
            <v>0</v>
          </cell>
          <cell r="FU258">
            <v>0</v>
          </cell>
          <cell r="FV258">
            <v>0</v>
          </cell>
          <cell r="FW258">
            <v>0</v>
          </cell>
          <cell r="FX258">
            <v>0</v>
          </cell>
          <cell r="FY258">
            <v>0</v>
          </cell>
          <cell r="FZ258">
            <v>0</v>
          </cell>
        </row>
        <row r="259">
          <cell r="B259">
            <v>0</v>
          </cell>
          <cell r="C259">
            <v>0</v>
          </cell>
          <cell r="D259">
            <v>0</v>
          </cell>
          <cell r="E259">
            <v>0</v>
          </cell>
          <cell r="F259">
            <v>0</v>
          </cell>
          <cell r="G259">
            <v>0</v>
          </cell>
          <cell r="H259">
            <v>0</v>
          </cell>
          <cell r="I259">
            <v>0</v>
          </cell>
          <cell r="J259">
            <v>0</v>
          </cell>
          <cell r="K259">
            <v>0</v>
          </cell>
          <cell r="L259">
            <v>0</v>
          </cell>
          <cell r="M259">
            <v>0</v>
          </cell>
          <cell r="N259">
            <v>0</v>
          </cell>
          <cell r="O259">
            <v>0</v>
          </cell>
          <cell r="P259">
            <v>0</v>
          </cell>
          <cell r="Q259">
            <v>0</v>
          </cell>
          <cell r="R259">
            <v>0</v>
          </cell>
          <cell r="S259">
            <v>0</v>
          </cell>
          <cell r="T259">
            <v>0</v>
          </cell>
          <cell r="U259">
            <v>0</v>
          </cell>
          <cell r="V259">
            <v>0</v>
          </cell>
          <cell r="W259">
            <v>0</v>
          </cell>
          <cell r="X259">
            <v>0</v>
          </cell>
          <cell r="Y259">
            <v>0</v>
          </cell>
          <cell r="Z259">
            <v>0</v>
          </cell>
          <cell r="AA259">
            <v>0</v>
          </cell>
          <cell r="AB259">
            <v>0</v>
          </cell>
          <cell r="AC259">
            <v>0</v>
          </cell>
          <cell r="AD259">
            <v>0</v>
          </cell>
          <cell r="AE259">
            <v>0</v>
          </cell>
          <cell r="AF259">
            <v>0</v>
          </cell>
          <cell r="AG259">
            <v>0</v>
          </cell>
          <cell r="AH259">
            <v>0</v>
          </cell>
          <cell r="AI259">
            <v>0</v>
          </cell>
          <cell r="AJ259">
            <v>0</v>
          </cell>
          <cell r="AK259">
            <v>0</v>
          </cell>
          <cell r="AL259">
            <v>0</v>
          </cell>
          <cell r="AM259">
            <v>0</v>
          </cell>
          <cell r="AN259">
            <v>0</v>
          </cell>
          <cell r="AO259">
            <v>0</v>
          </cell>
          <cell r="AP259">
            <v>0</v>
          </cell>
          <cell r="AQ259">
            <v>0</v>
          </cell>
          <cell r="AR259">
            <v>0</v>
          </cell>
          <cell r="AS259">
            <v>0</v>
          </cell>
          <cell r="AT259">
            <v>0</v>
          </cell>
          <cell r="AU259">
            <v>0</v>
          </cell>
          <cell r="AV259">
            <v>0</v>
          </cell>
          <cell r="AW259">
            <v>0</v>
          </cell>
          <cell r="AX259">
            <v>0</v>
          </cell>
          <cell r="AY259">
            <v>0</v>
          </cell>
          <cell r="AZ259">
            <v>0</v>
          </cell>
          <cell r="BA259">
            <v>0</v>
          </cell>
          <cell r="BB259">
            <v>0</v>
          </cell>
          <cell r="BC259">
            <v>0</v>
          </cell>
          <cell r="BD259">
            <v>0</v>
          </cell>
          <cell r="BE259">
            <v>0</v>
          </cell>
          <cell r="BF259">
            <v>0</v>
          </cell>
          <cell r="BG259">
            <v>0</v>
          </cell>
          <cell r="BH259">
            <v>0</v>
          </cell>
          <cell r="BI259">
            <v>0</v>
          </cell>
          <cell r="BJ259">
            <v>0</v>
          </cell>
          <cell r="BK259">
            <v>0</v>
          </cell>
          <cell r="BL259">
            <v>0</v>
          </cell>
          <cell r="BM259">
            <v>0</v>
          </cell>
          <cell r="BN259">
            <v>0</v>
          </cell>
          <cell r="BO259">
            <v>0</v>
          </cell>
          <cell r="BP259">
            <v>0</v>
          </cell>
          <cell r="BQ259">
            <v>0</v>
          </cell>
          <cell r="BR259">
            <v>0</v>
          </cell>
          <cell r="BS259">
            <v>0</v>
          </cell>
          <cell r="BT259">
            <v>0</v>
          </cell>
          <cell r="BU259">
            <v>0</v>
          </cell>
          <cell r="BV259">
            <v>0</v>
          </cell>
          <cell r="BW259">
            <v>0</v>
          </cell>
          <cell r="BX259">
            <v>0</v>
          </cell>
          <cell r="BY259">
            <v>0</v>
          </cell>
          <cell r="BZ259">
            <v>0</v>
          </cell>
          <cell r="CA259">
            <v>0</v>
          </cell>
          <cell r="CB259">
            <v>0</v>
          </cell>
          <cell r="CC259">
            <v>0</v>
          </cell>
          <cell r="CD259">
            <v>0</v>
          </cell>
          <cell r="CE259">
            <v>0</v>
          </cell>
          <cell r="CF259">
            <v>0</v>
          </cell>
          <cell r="CG259">
            <v>0</v>
          </cell>
          <cell r="CH259">
            <v>0</v>
          </cell>
          <cell r="CI259">
            <v>0</v>
          </cell>
          <cell r="CJ259">
            <v>0</v>
          </cell>
          <cell r="CK259">
            <v>0</v>
          </cell>
          <cell r="CL259">
            <v>0</v>
          </cell>
          <cell r="CM259">
            <v>0</v>
          </cell>
          <cell r="CN259">
            <v>0</v>
          </cell>
          <cell r="CO259">
            <v>0</v>
          </cell>
          <cell r="CP259">
            <v>0</v>
          </cell>
          <cell r="CQ259">
            <v>0</v>
          </cell>
          <cell r="CR259">
            <v>0</v>
          </cell>
          <cell r="CS259">
            <v>0</v>
          </cell>
          <cell r="CT259">
            <v>0</v>
          </cell>
          <cell r="CU259">
            <v>0</v>
          </cell>
          <cell r="CV259">
            <v>0</v>
          </cell>
          <cell r="CW259">
            <v>0</v>
          </cell>
          <cell r="CX259">
            <v>0</v>
          </cell>
          <cell r="CY259">
            <v>0</v>
          </cell>
          <cell r="CZ259">
            <v>0</v>
          </cell>
          <cell r="DA259">
            <v>0</v>
          </cell>
          <cell r="DB259">
            <v>0</v>
          </cell>
          <cell r="DC259">
            <v>0</v>
          </cell>
          <cell r="DD259">
            <v>0</v>
          </cell>
          <cell r="DE259">
            <v>0</v>
          </cell>
          <cell r="DF259">
            <v>0</v>
          </cell>
          <cell r="DG259">
            <v>0</v>
          </cell>
          <cell r="DH259">
            <v>0</v>
          </cell>
          <cell r="DI259">
            <v>0</v>
          </cell>
          <cell r="DJ259">
            <v>0</v>
          </cell>
          <cell r="DK259">
            <v>0</v>
          </cell>
          <cell r="DL259">
            <v>0</v>
          </cell>
          <cell r="DM259">
            <v>0</v>
          </cell>
          <cell r="DN259">
            <v>0</v>
          </cell>
          <cell r="DO259">
            <v>0</v>
          </cell>
          <cell r="DP259">
            <v>0</v>
          </cell>
          <cell r="DQ259">
            <v>0</v>
          </cell>
          <cell r="DR259">
            <v>0</v>
          </cell>
          <cell r="DS259">
            <v>0</v>
          </cell>
          <cell r="DT259">
            <v>0</v>
          </cell>
          <cell r="DU259">
            <v>0</v>
          </cell>
          <cell r="DV259">
            <v>0</v>
          </cell>
          <cell r="DW259">
            <v>0</v>
          </cell>
          <cell r="DX259">
            <v>0</v>
          </cell>
          <cell r="DY259">
            <v>0</v>
          </cell>
          <cell r="DZ259">
            <v>0</v>
          </cell>
          <cell r="EA259">
            <v>0</v>
          </cell>
          <cell r="EB259">
            <v>0</v>
          </cell>
          <cell r="EC259">
            <v>0</v>
          </cell>
          <cell r="ED259">
            <v>0</v>
          </cell>
          <cell r="EE259">
            <v>0</v>
          </cell>
          <cell r="EF259">
            <v>0</v>
          </cell>
          <cell r="EG259">
            <v>0</v>
          </cell>
          <cell r="EH259">
            <v>0</v>
          </cell>
          <cell r="EI259">
            <v>0</v>
          </cell>
          <cell r="EJ259">
            <v>0</v>
          </cell>
          <cell r="EK259">
            <v>0</v>
          </cell>
          <cell r="EL259">
            <v>0</v>
          </cell>
          <cell r="EM259">
            <v>0</v>
          </cell>
          <cell r="EN259">
            <v>0</v>
          </cell>
          <cell r="EO259">
            <v>0</v>
          </cell>
          <cell r="EP259">
            <v>0</v>
          </cell>
          <cell r="EQ259">
            <v>0</v>
          </cell>
          <cell r="ER259">
            <v>0</v>
          </cell>
          <cell r="ES259">
            <v>0</v>
          </cell>
          <cell r="ET259">
            <v>0</v>
          </cell>
          <cell r="EU259">
            <v>0</v>
          </cell>
          <cell r="EV259">
            <v>0</v>
          </cell>
          <cell r="EW259">
            <v>0</v>
          </cell>
          <cell r="EX259">
            <v>0</v>
          </cell>
          <cell r="EY259">
            <v>0</v>
          </cell>
          <cell r="EZ259">
            <v>0</v>
          </cell>
          <cell r="FA259">
            <v>0</v>
          </cell>
          <cell r="FB259">
            <v>0</v>
          </cell>
          <cell r="FC259">
            <v>0</v>
          </cell>
          <cell r="FD259">
            <v>0</v>
          </cell>
          <cell r="FE259">
            <v>0</v>
          </cell>
          <cell r="FF259">
            <v>0</v>
          </cell>
          <cell r="FG259">
            <v>0</v>
          </cell>
          <cell r="FH259">
            <v>0</v>
          </cell>
          <cell r="FI259">
            <v>0</v>
          </cell>
          <cell r="FJ259">
            <v>0</v>
          </cell>
          <cell r="FK259">
            <v>0</v>
          </cell>
          <cell r="FL259">
            <v>0</v>
          </cell>
          <cell r="FM259">
            <v>0</v>
          </cell>
          <cell r="FN259">
            <v>0</v>
          </cell>
          <cell r="FO259">
            <v>0</v>
          </cell>
          <cell r="FP259">
            <v>0</v>
          </cell>
          <cell r="FQ259">
            <v>0</v>
          </cell>
          <cell r="FR259">
            <v>0</v>
          </cell>
          <cell r="FS259">
            <v>0</v>
          </cell>
          <cell r="FT259">
            <v>0</v>
          </cell>
          <cell r="FU259">
            <v>0</v>
          </cell>
          <cell r="FV259">
            <v>0</v>
          </cell>
          <cell r="FW259">
            <v>0</v>
          </cell>
          <cell r="FX259">
            <v>0</v>
          </cell>
          <cell r="FY259">
            <v>0</v>
          </cell>
          <cell r="FZ259">
            <v>0</v>
          </cell>
        </row>
        <row r="260">
          <cell r="B260">
            <v>0</v>
          </cell>
          <cell r="C260">
            <v>0</v>
          </cell>
          <cell r="D260">
            <v>0</v>
          </cell>
          <cell r="E260">
            <v>0</v>
          </cell>
          <cell r="F260">
            <v>0</v>
          </cell>
          <cell r="G260">
            <v>0</v>
          </cell>
          <cell r="H260">
            <v>0</v>
          </cell>
          <cell r="I260">
            <v>0</v>
          </cell>
          <cell r="J260">
            <v>0</v>
          </cell>
          <cell r="K260">
            <v>0</v>
          </cell>
          <cell r="L260">
            <v>0</v>
          </cell>
          <cell r="M260">
            <v>0</v>
          </cell>
          <cell r="N260">
            <v>0</v>
          </cell>
          <cell r="O260">
            <v>0</v>
          </cell>
          <cell r="P260">
            <v>0</v>
          </cell>
          <cell r="Q260">
            <v>0</v>
          </cell>
          <cell r="R260">
            <v>0</v>
          </cell>
          <cell r="S260">
            <v>0</v>
          </cell>
          <cell r="T260">
            <v>0</v>
          </cell>
          <cell r="U260">
            <v>0</v>
          </cell>
          <cell r="V260">
            <v>0</v>
          </cell>
          <cell r="W260">
            <v>0</v>
          </cell>
          <cell r="X260">
            <v>0</v>
          </cell>
          <cell r="Y260">
            <v>0</v>
          </cell>
          <cell r="Z260">
            <v>0</v>
          </cell>
          <cell r="AA260">
            <v>0</v>
          </cell>
          <cell r="AB260">
            <v>0</v>
          </cell>
          <cell r="AC260">
            <v>0</v>
          </cell>
          <cell r="AD260">
            <v>0</v>
          </cell>
          <cell r="AE260">
            <v>0</v>
          </cell>
          <cell r="AF260">
            <v>0</v>
          </cell>
          <cell r="AG260">
            <v>0</v>
          </cell>
          <cell r="AH260">
            <v>0</v>
          </cell>
          <cell r="AI260">
            <v>0</v>
          </cell>
          <cell r="AJ260">
            <v>0</v>
          </cell>
          <cell r="AK260">
            <v>0</v>
          </cell>
          <cell r="AL260">
            <v>0</v>
          </cell>
          <cell r="AM260">
            <v>0</v>
          </cell>
          <cell r="AN260">
            <v>0</v>
          </cell>
          <cell r="AO260">
            <v>0</v>
          </cell>
          <cell r="AP260">
            <v>0</v>
          </cell>
          <cell r="AQ260">
            <v>0</v>
          </cell>
          <cell r="AR260">
            <v>0</v>
          </cell>
          <cell r="AS260">
            <v>0</v>
          </cell>
          <cell r="AT260">
            <v>0</v>
          </cell>
          <cell r="AU260">
            <v>0</v>
          </cell>
          <cell r="AV260">
            <v>0</v>
          </cell>
          <cell r="AW260">
            <v>0</v>
          </cell>
          <cell r="AX260">
            <v>0</v>
          </cell>
          <cell r="AY260">
            <v>0</v>
          </cell>
          <cell r="AZ260">
            <v>0</v>
          </cell>
          <cell r="BA260">
            <v>0</v>
          </cell>
          <cell r="BB260">
            <v>0</v>
          </cell>
          <cell r="BC260">
            <v>0</v>
          </cell>
          <cell r="BD260">
            <v>0</v>
          </cell>
          <cell r="BE260">
            <v>0</v>
          </cell>
          <cell r="BF260">
            <v>0</v>
          </cell>
          <cell r="BG260">
            <v>0</v>
          </cell>
          <cell r="BH260">
            <v>0</v>
          </cell>
          <cell r="BI260">
            <v>0</v>
          </cell>
          <cell r="BJ260">
            <v>0</v>
          </cell>
          <cell r="BK260">
            <v>0</v>
          </cell>
          <cell r="BL260">
            <v>0</v>
          </cell>
          <cell r="BM260">
            <v>0</v>
          </cell>
          <cell r="BN260">
            <v>0</v>
          </cell>
          <cell r="BO260">
            <v>0</v>
          </cell>
          <cell r="BP260">
            <v>0</v>
          </cell>
          <cell r="BQ260">
            <v>0</v>
          </cell>
          <cell r="BR260">
            <v>0</v>
          </cell>
          <cell r="BS260">
            <v>0</v>
          </cell>
          <cell r="BT260">
            <v>0</v>
          </cell>
          <cell r="BU260">
            <v>0</v>
          </cell>
          <cell r="BV260">
            <v>0</v>
          </cell>
          <cell r="BW260">
            <v>0</v>
          </cell>
          <cell r="BX260">
            <v>0</v>
          </cell>
          <cell r="BY260">
            <v>0</v>
          </cell>
          <cell r="BZ260">
            <v>0</v>
          </cell>
          <cell r="CA260">
            <v>0</v>
          </cell>
          <cell r="CB260">
            <v>0</v>
          </cell>
          <cell r="CC260">
            <v>0</v>
          </cell>
          <cell r="CD260">
            <v>0</v>
          </cell>
          <cell r="CE260">
            <v>0</v>
          </cell>
          <cell r="CF260">
            <v>0</v>
          </cell>
          <cell r="CG260">
            <v>0</v>
          </cell>
          <cell r="CH260">
            <v>0</v>
          </cell>
          <cell r="CI260">
            <v>0</v>
          </cell>
          <cell r="CJ260">
            <v>0</v>
          </cell>
          <cell r="CK260">
            <v>0</v>
          </cell>
          <cell r="CL260">
            <v>0</v>
          </cell>
          <cell r="CM260">
            <v>0</v>
          </cell>
          <cell r="CN260">
            <v>0</v>
          </cell>
          <cell r="CO260">
            <v>0</v>
          </cell>
          <cell r="CP260">
            <v>0</v>
          </cell>
          <cell r="CQ260">
            <v>0</v>
          </cell>
          <cell r="CR260">
            <v>0</v>
          </cell>
          <cell r="CS260">
            <v>0</v>
          </cell>
          <cell r="CT260">
            <v>0</v>
          </cell>
          <cell r="CU260">
            <v>0</v>
          </cell>
          <cell r="CV260">
            <v>0</v>
          </cell>
          <cell r="CW260">
            <v>0</v>
          </cell>
          <cell r="CX260">
            <v>0</v>
          </cell>
          <cell r="CY260">
            <v>0</v>
          </cell>
          <cell r="CZ260">
            <v>0</v>
          </cell>
          <cell r="DA260">
            <v>0</v>
          </cell>
          <cell r="DB260">
            <v>0</v>
          </cell>
          <cell r="DC260">
            <v>0</v>
          </cell>
          <cell r="DD260">
            <v>0</v>
          </cell>
          <cell r="DE260">
            <v>0</v>
          </cell>
          <cell r="DF260">
            <v>0</v>
          </cell>
          <cell r="DG260">
            <v>0</v>
          </cell>
          <cell r="DH260">
            <v>0</v>
          </cell>
          <cell r="DI260">
            <v>0</v>
          </cell>
          <cell r="DJ260">
            <v>0</v>
          </cell>
          <cell r="DK260">
            <v>0</v>
          </cell>
          <cell r="DL260">
            <v>0</v>
          </cell>
          <cell r="DM260">
            <v>0</v>
          </cell>
          <cell r="DN260">
            <v>0</v>
          </cell>
          <cell r="DO260">
            <v>0</v>
          </cell>
          <cell r="DP260">
            <v>0</v>
          </cell>
          <cell r="DQ260">
            <v>0</v>
          </cell>
          <cell r="DR260">
            <v>0</v>
          </cell>
          <cell r="DS260">
            <v>0</v>
          </cell>
          <cell r="DT260">
            <v>0</v>
          </cell>
          <cell r="DU260">
            <v>0</v>
          </cell>
          <cell r="DV260">
            <v>0</v>
          </cell>
          <cell r="DW260">
            <v>0</v>
          </cell>
          <cell r="DX260">
            <v>0</v>
          </cell>
          <cell r="DY260">
            <v>0</v>
          </cell>
          <cell r="DZ260">
            <v>0</v>
          </cell>
          <cell r="EA260">
            <v>0</v>
          </cell>
          <cell r="EB260">
            <v>0</v>
          </cell>
          <cell r="EC260">
            <v>0</v>
          </cell>
          <cell r="ED260">
            <v>0</v>
          </cell>
          <cell r="EE260">
            <v>0</v>
          </cell>
          <cell r="EF260">
            <v>0</v>
          </cell>
          <cell r="EG260">
            <v>0</v>
          </cell>
          <cell r="EH260">
            <v>0</v>
          </cell>
          <cell r="EI260">
            <v>0</v>
          </cell>
          <cell r="EJ260">
            <v>0</v>
          </cell>
          <cell r="EK260">
            <v>0</v>
          </cell>
          <cell r="EL260">
            <v>0</v>
          </cell>
          <cell r="EM260">
            <v>0</v>
          </cell>
          <cell r="EN260">
            <v>0</v>
          </cell>
          <cell r="EO260">
            <v>0</v>
          </cell>
          <cell r="EP260">
            <v>0</v>
          </cell>
          <cell r="EQ260">
            <v>0</v>
          </cell>
          <cell r="ER260">
            <v>0</v>
          </cell>
          <cell r="ES260">
            <v>0</v>
          </cell>
          <cell r="ET260">
            <v>0</v>
          </cell>
          <cell r="EU260">
            <v>0</v>
          </cell>
          <cell r="EV260">
            <v>0</v>
          </cell>
          <cell r="EW260">
            <v>0</v>
          </cell>
          <cell r="EX260">
            <v>0</v>
          </cell>
          <cell r="EY260">
            <v>0</v>
          </cell>
          <cell r="EZ260">
            <v>0</v>
          </cell>
          <cell r="FA260">
            <v>0</v>
          </cell>
          <cell r="FB260">
            <v>0</v>
          </cell>
          <cell r="FC260">
            <v>0</v>
          </cell>
          <cell r="FD260">
            <v>0</v>
          </cell>
          <cell r="FE260">
            <v>0</v>
          </cell>
          <cell r="FF260">
            <v>0</v>
          </cell>
          <cell r="FG260">
            <v>0</v>
          </cell>
          <cell r="FH260">
            <v>0</v>
          </cell>
          <cell r="FI260">
            <v>0</v>
          </cell>
          <cell r="FJ260">
            <v>0</v>
          </cell>
          <cell r="FK260">
            <v>0</v>
          </cell>
          <cell r="FL260">
            <v>0</v>
          </cell>
          <cell r="FM260">
            <v>0</v>
          </cell>
          <cell r="FN260">
            <v>0</v>
          </cell>
          <cell r="FO260">
            <v>0</v>
          </cell>
          <cell r="FP260">
            <v>0</v>
          </cell>
          <cell r="FQ260">
            <v>0</v>
          </cell>
          <cell r="FR260">
            <v>0</v>
          </cell>
          <cell r="FS260">
            <v>0</v>
          </cell>
          <cell r="FT260">
            <v>0</v>
          </cell>
          <cell r="FU260">
            <v>0</v>
          </cell>
          <cell r="FV260">
            <v>0</v>
          </cell>
          <cell r="FW260">
            <v>0</v>
          </cell>
          <cell r="FX260">
            <v>0</v>
          </cell>
          <cell r="FY260">
            <v>0</v>
          </cell>
          <cell r="FZ260">
            <v>0</v>
          </cell>
        </row>
        <row r="261">
          <cell r="B261">
            <v>0</v>
          </cell>
          <cell r="C261">
            <v>0</v>
          </cell>
          <cell r="D261">
            <v>0</v>
          </cell>
          <cell r="E261">
            <v>0</v>
          </cell>
          <cell r="F261">
            <v>0</v>
          </cell>
          <cell r="G261">
            <v>0</v>
          </cell>
          <cell r="H261">
            <v>0</v>
          </cell>
          <cell r="I261">
            <v>0</v>
          </cell>
          <cell r="J261">
            <v>0</v>
          </cell>
          <cell r="K261">
            <v>0</v>
          </cell>
          <cell r="L261">
            <v>0</v>
          </cell>
          <cell r="M261">
            <v>0</v>
          </cell>
          <cell r="N261">
            <v>0</v>
          </cell>
          <cell r="O261">
            <v>0</v>
          </cell>
          <cell r="P261">
            <v>0</v>
          </cell>
          <cell r="Q261">
            <v>0</v>
          </cell>
          <cell r="R261">
            <v>0</v>
          </cell>
          <cell r="S261">
            <v>0</v>
          </cell>
          <cell r="T261">
            <v>0</v>
          </cell>
          <cell r="U261">
            <v>0</v>
          </cell>
          <cell r="V261">
            <v>0</v>
          </cell>
          <cell r="W261">
            <v>0</v>
          </cell>
          <cell r="X261">
            <v>0</v>
          </cell>
          <cell r="Y261">
            <v>0</v>
          </cell>
          <cell r="Z261">
            <v>0</v>
          </cell>
          <cell r="AA261">
            <v>0</v>
          </cell>
          <cell r="AB261">
            <v>0</v>
          </cell>
          <cell r="AC261">
            <v>0</v>
          </cell>
          <cell r="AD261">
            <v>0</v>
          </cell>
          <cell r="AE261">
            <v>0</v>
          </cell>
          <cell r="AF261">
            <v>0</v>
          </cell>
          <cell r="AG261">
            <v>0</v>
          </cell>
          <cell r="AH261">
            <v>0</v>
          </cell>
          <cell r="AI261">
            <v>0</v>
          </cell>
          <cell r="AJ261">
            <v>0</v>
          </cell>
          <cell r="AK261">
            <v>0</v>
          </cell>
          <cell r="AL261">
            <v>0</v>
          </cell>
          <cell r="AM261">
            <v>0</v>
          </cell>
          <cell r="AN261">
            <v>0</v>
          </cell>
          <cell r="AO261">
            <v>0</v>
          </cell>
          <cell r="AP261">
            <v>0</v>
          </cell>
          <cell r="AQ261">
            <v>0</v>
          </cell>
          <cell r="AR261">
            <v>0</v>
          </cell>
          <cell r="AS261">
            <v>0</v>
          </cell>
          <cell r="AT261">
            <v>0</v>
          </cell>
          <cell r="AU261">
            <v>0</v>
          </cell>
          <cell r="AV261">
            <v>0</v>
          </cell>
          <cell r="AW261">
            <v>0</v>
          </cell>
          <cell r="AX261">
            <v>0</v>
          </cell>
          <cell r="AY261">
            <v>0</v>
          </cell>
          <cell r="AZ261">
            <v>0</v>
          </cell>
          <cell r="BA261">
            <v>0</v>
          </cell>
          <cell r="BB261">
            <v>0</v>
          </cell>
          <cell r="BC261">
            <v>0</v>
          </cell>
          <cell r="BD261">
            <v>0</v>
          </cell>
          <cell r="BE261">
            <v>0</v>
          </cell>
          <cell r="BF261">
            <v>0</v>
          </cell>
          <cell r="BG261">
            <v>0</v>
          </cell>
          <cell r="BH261">
            <v>0</v>
          </cell>
          <cell r="BI261">
            <v>0</v>
          </cell>
          <cell r="BJ261">
            <v>0</v>
          </cell>
          <cell r="BK261">
            <v>0</v>
          </cell>
          <cell r="BL261">
            <v>0</v>
          </cell>
          <cell r="BM261">
            <v>0</v>
          </cell>
          <cell r="BN261">
            <v>0</v>
          </cell>
          <cell r="BO261">
            <v>0</v>
          </cell>
          <cell r="BP261">
            <v>0</v>
          </cell>
          <cell r="BQ261">
            <v>0</v>
          </cell>
          <cell r="BR261">
            <v>0</v>
          </cell>
          <cell r="BS261">
            <v>0</v>
          </cell>
          <cell r="BT261">
            <v>0</v>
          </cell>
          <cell r="BU261">
            <v>0</v>
          </cell>
          <cell r="BV261">
            <v>0</v>
          </cell>
          <cell r="BW261">
            <v>0</v>
          </cell>
          <cell r="BX261">
            <v>0</v>
          </cell>
          <cell r="BY261">
            <v>0</v>
          </cell>
          <cell r="BZ261">
            <v>0</v>
          </cell>
          <cell r="CA261">
            <v>0</v>
          </cell>
          <cell r="CB261">
            <v>0</v>
          </cell>
          <cell r="CC261">
            <v>0</v>
          </cell>
          <cell r="CD261">
            <v>0</v>
          </cell>
          <cell r="CE261">
            <v>0</v>
          </cell>
          <cell r="CF261">
            <v>0</v>
          </cell>
          <cell r="CG261">
            <v>0</v>
          </cell>
          <cell r="CH261">
            <v>0</v>
          </cell>
          <cell r="CI261">
            <v>0</v>
          </cell>
          <cell r="CJ261">
            <v>0</v>
          </cell>
          <cell r="CK261">
            <v>0</v>
          </cell>
          <cell r="CL261">
            <v>0</v>
          </cell>
          <cell r="CM261">
            <v>0</v>
          </cell>
          <cell r="CN261">
            <v>0</v>
          </cell>
          <cell r="CO261">
            <v>0</v>
          </cell>
          <cell r="CP261">
            <v>0</v>
          </cell>
          <cell r="CQ261">
            <v>0</v>
          </cell>
          <cell r="CR261">
            <v>0</v>
          </cell>
          <cell r="CS261">
            <v>0</v>
          </cell>
          <cell r="CT261">
            <v>0</v>
          </cell>
          <cell r="CU261">
            <v>0</v>
          </cell>
          <cell r="CV261">
            <v>0</v>
          </cell>
          <cell r="CW261">
            <v>0</v>
          </cell>
          <cell r="CX261">
            <v>0</v>
          </cell>
          <cell r="CY261">
            <v>0</v>
          </cell>
          <cell r="CZ261">
            <v>0</v>
          </cell>
          <cell r="DA261">
            <v>0</v>
          </cell>
          <cell r="DB261">
            <v>0</v>
          </cell>
          <cell r="DC261">
            <v>0</v>
          </cell>
          <cell r="DD261">
            <v>0</v>
          </cell>
          <cell r="DE261">
            <v>0</v>
          </cell>
          <cell r="DF261">
            <v>0</v>
          </cell>
          <cell r="DG261">
            <v>0</v>
          </cell>
          <cell r="DH261">
            <v>0</v>
          </cell>
          <cell r="DI261">
            <v>0</v>
          </cell>
          <cell r="DJ261">
            <v>0</v>
          </cell>
          <cell r="DK261">
            <v>0</v>
          </cell>
          <cell r="DL261">
            <v>0</v>
          </cell>
          <cell r="DM261">
            <v>0</v>
          </cell>
          <cell r="DN261">
            <v>0</v>
          </cell>
          <cell r="DO261">
            <v>0</v>
          </cell>
          <cell r="DP261">
            <v>0</v>
          </cell>
          <cell r="DQ261">
            <v>0</v>
          </cell>
          <cell r="DR261">
            <v>0</v>
          </cell>
          <cell r="DS261">
            <v>0</v>
          </cell>
          <cell r="DT261">
            <v>0</v>
          </cell>
          <cell r="DU261">
            <v>0</v>
          </cell>
          <cell r="DV261">
            <v>0</v>
          </cell>
          <cell r="DW261">
            <v>0</v>
          </cell>
          <cell r="DX261">
            <v>0</v>
          </cell>
          <cell r="DY261">
            <v>0</v>
          </cell>
          <cell r="DZ261">
            <v>0</v>
          </cell>
          <cell r="EA261">
            <v>0</v>
          </cell>
          <cell r="EB261">
            <v>0</v>
          </cell>
          <cell r="EC261">
            <v>0</v>
          </cell>
          <cell r="ED261">
            <v>0</v>
          </cell>
          <cell r="EE261">
            <v>0</v>
          </cell>
          <cell r="EF261">
            <v>0</v>
          </cell>
          <cell r="EG261">
            <v>0</v>
          </cell>
          <cell r="EH261">
            <v>0</v>
          </cell>
          <cell r="EI261">
            <v>0</v>
          </cell>
          <cell r="EJ261">
            <v>0</v>
          </cell>
          <cell r="EK261">
            <v>0</v>
          </cell>
          <cell r="EL261">
            <v>0</v>
          </cell>
          <cell r="EM261">
            <v>0</v>
          </cell>
          <cell r="EN261">
            <v>0</v>
          </cell>
          <cell r="EO261">
            <v>0</v>
          </cell>
          <cell r="EP261">
            <v>0</v>
          </cell>
          <cell r="EQ261">
            <v>0</v>
          </cell>
          <cell r="ER261">
            <v>0</v>
          </cell>
          <cell r="ES261">
            <v>0</v>
          </cell>
          <cell r="ET261">
            <v>0</v>
          </cell>
          <cell r="EU261">
            <v>0</v>
          </cell>
          <cell r="EV261">
            <v>0</v>
          </cell>
          <cell r="EW261">
            <v>0</v>
          </cell>
          <cell r="EX261">
            <v>0</v>
          </cell>
          <cell r="EY261">
            <v>0</v>
          </cell>
          <cell r="EZ261">
            <v>0</v>
          </cell>
          <cell r="FA261">
            <v>0</v>
          </cell>
          <cell r="FB261">
            <v>0</v>
          </cell>
          <cell r="FC261">
            <v>0</v>
          </cell>
          <cell r="FD261">
            <v>0</v>
          </cell>
          <cell r="FE261">
            <v>0</v>
          </cell>
          <cell r="FF261">
            <v>0</v>
          </cell>
          <cell r="FG261">
            <v>0</v>
          </cell>
          <cell r="FH261">
            <v>0</v>
          </cell>
          <cell r="FI261">
            <v>0</v>
          </cell>
          <cell r="FJ261">
            <v>0</v>
          </cell>
          <cell r="FK261">
            <v>0</v>
          </cell>
          <cell r="FL261">
            <v>0</v>
          </cell>
          <cell r="FM261">
            <v>0</v>
          </cell>
          <cell r="FN261">
            <v>0</v>
          </cell>
          <cell r="FO261">
            <v>0</v>
          </cell>
          <cell r="FP261">
            <v>0</v>
          </cell>
          <cell r="FQ261">
            <v>0</v>
          </cell>
          <cell r="FR261">
            <v>0</v>
          </cell>
          <cell r="FS261">
            <v>0</v>
          </cell>
          <cell r="FT261">
            <v>0</v>
          </cell>
          <cell r="FU261">
            <v>0</v>
          </cell>
          <cell r="FV261">
            <v>0</v>
          </cell>
          <cell r="FW261">
            <v>0</v>
          </cell>
          <cell r="FX261">
            <v>0</v>
          </cell>
          <cell r="FY261">
            <v>0</v>
          </cell>
          <cell r="FZ261">
            <v>0</v>
          </cell>
        </row>
        <row r="262">
          <cell r="B262">
            <v>0</v>
          </cell>
          <cell r="C262">
            <v>0</v>
          </cell>
          <cell r="D262">
            <v>0</v>
          </cell>
          <cell r="E262">
            <v>0</v>
          </cell>
          <cell r="F262">
            <v>0</v>
          </cell>
          <cell r="G262">
            <v>0</v>
          </cell>
          <cell r="H262">
            <v>0</v>
          </cell>
          <cell r="I262">
            <v>0</v>
          </cell>
          <cell r="J262">
            <v>0</v>
          </cell>
          <cell r="K262">
            <v>0</v>
          </cell>
          <cell r="L262">
            <v>0</v>
          </cell>
          <cell r="M262">
            <v>0</v>
          </cell>
          <cell r="N262">
            <v>0</v>
          </cell>
          <cell r="O262">
            <v>0</v>
          </cell>
          <cell r="P262">
            <v>0</v>
          </cell>
          <cell r="Q262">
            <v>0</v>
          </cell>
          <cell r="R262">
            <v>0</v>
          </cell>
          <cell r="S262">
            <v>0</v>
          </cell>
          <cell r="T262">
            <v>0</v>
          </cell>
          <cell r="U262">
            <v>0</v>
          </cell>
          <cell r="V262">
            <v>0</v>
          </cell>
          <cell r="W262">
            <v>0</v>
          </cell>
          <cell r="X262">
            <v>0</v>
          </cell>
          <cell r="Y262">
            <v>0</v>
          </cell>
          <cell r="Z262">
            <v>0</v>
          </cell>
          <cell r="AA262">
            <v>0</v>
          </cell>
          <cell r="AB262">
            <v>0</v>
          </cell>
          <cell r="AC262">
            <v>0</v>
          </cell>
          <cell r="AD262">
            <v>0</v>
          </cell>
          <cell r="AE262">
            <v>0</v>
          </cell>
          <cell r="AF262">
            <v>0</v>
          </cell>
          <cell r="AG262">
            <v>0</v>
          </cell>
          <cell r="AH262">
            <v>0</v>
          </cell>
          <cell r="AI262">
            <v>0</v>
          </cell>
          <cell r="AJ262">
            <v>0</v>
          </cell>
          <cell r="AK262">
            <v>0</v>
          </cell>
          <cell r="AL262">
            <v>0</v>
          </cell>
          <cell r="AM262">
            <v>0</v>
          </cell>
          <cell r="AN262">
            <v>0</v>
          </cell>
          <cell r="AO262">
            <v>0</v>
          </cell>
          <cell r="AP262">
            <v>0</v>
          </cell>
          <cell r="AQ262">
            <v>0</v>
          </cell>
          <cell r="AR262">
            <v>0</v>
          </cell>
          <cell r="AS262">
            <v>0</v>
          </cell>
          <cell r="AT262">
            <v>0</v>
          </cell>
          <cell r="AU262">
            <v>0</v>
          </cell>
          <cell r="AV262">
            <v>0</v>
          </cell>
          <cell r="AW262">
            <v>0</v>
          </cell>
          <cell r="AX262">
            <v>0</v>
          </cell>
          <cell r="AY262">
            <v>0</v>
          </cell>
          <cell r="AZ262">
            <v>0</v>
          </cell>
          <cell r="BA262">
            <v>0</v>
          </cell>
          <cell r="BB262">
            <v>0</v>
          </cell>
          <cell r="BC262">
            <v>0</v>
          </cell>
          <cell r="BD262">
            <v>0</v>
          </cell>
          <cell r="BE262">
            <v>0</v>
          </cell>
          <cell r="BF262">
            <v>0</v>
          </cell>
          <cell r="BG262">
            <v>0</v>
          </cell>
          <cell r="BH262">
            <v>0</v>
          </cell>
          <cell r="BI262">
            <v>0</v>
          </cell>
          <cell r="BJ262">
            <v>0</v>
          </cell>
          <cell r="BK262">
            <v>0</v>
          </cell>
          <cell r="BL262">
            <v>0</v>
          </cell>
          <cell r="BM262">
            <v>0</v>
          </cell>
          <cell r="BN262">
            <v>0</v>
          </cell>
          <cell r="BO262">
            <v>0</v>
          </cell>
          <cell r="BP262">
            <v>0</v>
          </cell>
          <cell r="BQ262">
            <v>0</v>
          </cell>
          <cell r="BR262">
            <v>0</v>
          </cell>
          <cell r="BS262">
            <v>0</v>
          </cell>
          <cell r="BT262">
            <v>0</v>
          </cell>
          <cell r="BU262">
            <v>0</v>
          </cell>
          <cell r="BV262">
            <v>0</v>
          </cell>
          <cell r="BW262">
            <v>0</v>
          </cell>
          <cell r="BX262">
            <v>0</v>
          </cell>
          <cell r="BY262">
            <v>0</v>
          </cell>
          <cell r="BZ262">
            <v>0</v>
          </cell>
          <cell r="CA262">
            <v>0</v>
          </cell>
          <cell r="CB262">
            <v>0</v>
          </cell>
          <cell r="CC262">
            <v>0</v>
          </cell>
          <cell r="CD262">
            <v>0</v>
          </cell>
          <cell r="CE262">
            <v>0</v>
          </cell>
          <cell r="CF262">
            <v>0</v>
          </cell>
          <cell r="CG262">
            <v>0</v>
          </cell>
          <cell r="CH262">
            <v>0</v>
          </cell>
          <cell r="CI262">
            <v>0</v>
          </cell>
          <cell r="CJ262">
            <v>0</v>
          </cell>
          <cell r="CK262">
            <v>0</v>
          </cell>
          <cell r="CL262">
            <v>0</v>
          </cell>
          <cell r="CM262">
            <v>0</v>
          </cell>
          <cell r="CN262">
            <v>0</v>
          </cell>
          <cell r="CO262">
            <v>0</v>
          </cell>
          <cell r="CP262">
            <v>0</v>
          </cell>
          <cell r="CQ262">
            <v>0</v>
          </cell>
          <cell r="CR262">
            <v>0</v>
          </cell>
          <cell r="CS262">
            <v>0</v>
          </cell>
          <cell r="CT262">
            <v>0</v>
          </cell>
          <cell r="CU262">
            <v>0</v>
          </cell>
          <cell r="CV262">
            <v>0</v>
          </cell>
          <cell r="CW262">
            <v>0</v>
          </cell>
          <cell r="CX262">
            <v>0</v>
          </cell>
          <cell r="CY262">
            <v>0</v>
          </cell>
          <cell r="CZ262">
            <v>0</v>
          </cell>
          <cell r="DA262">
            <v>0</v>
          </cell>
          <cell r="DB262">
            <v>0</v>
          </cell>
          <cell r="DC262">
            <v>0</v>
          </cell>
          <cell r="DD262">
            <v>0</v>
          </cell>
          <cell r="DE262">
            <v>0</v>
          </cell>
          <cell r="DF262">
            <v>0</v>
          </cell>
          <cell r="DG262">
            <v>0</v>
          </cell>
          <cell r="DH262">
            <v>0</v>
          </cell>
          <cell r="DI262">
            <v>0</v>
          </cell>
          <cell r="DJ262">
            <v>0</v>
          </cell>
          <cell r="DK262">
            <v>0</v>
          </cell>
          <cell r="DL262">
            <v>0</v>
          </cell>
          <cell r="DM262">
            <v>0</v>
          </cell>
          <cell r="DN262">
            <v>0</v>
          </cell>
          <cell r="DO262">
            <v>0</v>
          </cell>
          <cell r="DP262">
            <v>0</v>
          </cell>
          <cell r="DQ262">
            <v>0</v>
          </cell>
          <cell r="DR262">
            <v>0</v>
          </cell>
          <cell r="DS262">
            <v>0</v>
          </cell>
          <cell r="DT262">
            <v>0</v>
          </cell>
          <cell r="DU262">
            <v>0</v>
          </cell>
          <cell r="DV262">
            <v>0</v>
          </cell>
          <cell r="DW262">
            <v>0</v>
          </cell>
          <cell r="DX262">
            <v>0</v>
          </cell>
          <cell r="DY262">
            <v>0</v>
          </cell>
          <cell r="DZ262">
            <v>0</v>
          </cell>
          <cell r="EA262">
            <v>0</v>
          </cell>
          <cell r="EB262">
            <v>0</v>
          </cell>
          <cell r="EC262">
            <v>0</v>
          </cell>
          <cell r="ED262">
            <v>0</v>
          </cell>
          <cell r="EE262">
            <v>0</v>
          </cell>
          <cell r="EF262">
            <v>0</v>
          </cell>
          <cell r="EG262">
            <v>0</v>
          </cell>
          <cell r="EH262">
            <v>0</v>
          </cell>
          <cell r="EI262">
            <v>0</v>
          </cell>
          <cell r="EJ262">
            <v>0</v>
          </cell>
          <cell r="EK262">
            <v>0</v>
          </cell>
          <cell r="EL262">
            <v>0</v>
          </cell>
          <cell r="EM262">
            <v>0</v>
          </cell>
          <cell r="EN262">
            <v>0</v>
          </cell>
          <cell r="EO262">
            <v>0</v>
          </cell>
          <cell r="EP262">
            <v>0</v>
          </cell>
          <cell r="EQ262">
            <v>0</v>
          </cell>
          <cell r="ER262">
            <v>0</v>
          </cell>
          <cell r="ES262">
            <v>0</v>
          </cell>
          <cell r="ET262">
            <v>0</v>
          </cell>
          <cell r="EU262">
            <v>0</v>
          </cell>
          <cell r="EV262">
            <v>0</v>
          </cell>
          <cell r="EW262">
            <v>0</v>
          </cell>
          <cell r="EX262">
            <v>0</v>
          </cell>
          <cell r="EY262">
            <v>0</v>
          </cell>
          <cell r="EZ262">
            <v>0</v>
          </cell>
          <cell r="FA262">
            <v>0</v>
          </cell>
          <cell r="FB262">
            <v>0</v>
          </cell>
          <cell r="FC262">
            <v>0</v>
          </cell>
          <cell r="FD262">
            <v>0</v>
          </cell>
          <cell r="FE262">
            <v>0</v>
          </cell>
          <cell r="FF262">
            <v>0</v>
          </cell>
          <cell r="FG262">
            <v>0</v>
          </cell>
          <cell r="FH262">
            <v>0</v>
          </cell>
          <cell r="FI262">
            <v>0</v>
          </cell>
          <cell r="FJ262">
            <v>0</v>
          </cell>
          <cell r="FK262">
            <v>0</v>
          </cell>
          <cell r="FL262">
            <v>0</v>
          </cell>
          <cell r="FM262">
            <v>0</v>
          </cell>
          <cell r="FN262">
            <v>0</v>
          </cell>
          <cell r="FO262">
            <v>0</v>
          </cell>
          <cell r="FP262">
            <v>0</v>
          </cell>
          <cell r="FQ262">
            <v>0</v>
          </cell>
          <cell r="FR262">
            <v>0</v>
          </cell>
          <cell r="FS262">
            <v>0</v>
          </cell>
          <cell r="FT262">
            <v>0</v>
          </cell>
          <cell r="FU262">
            <v>0</v>
          </cell>
          <cell r="FV262">
            <v>0</v>
          </cell>
          <cell r="FW262">
            <v>0</v>
          </cell>
          <cell r="FX262">
            <v>0</v>
          </cell>
          <cell r="FY262">
            <v>0</v>
          </cell>
          <cell r="FZ262">
            <v>0</v>
          </cell>
        </row>
        <row r="263">
          <cell r="B263">
            <v>0</v>
          </cell>
          <cell r="C263">
            <v>0</v>
          </cell>
          <cell r="D263">
            <v>0</v>
          </cell>
          <cell r="E263">
            <v>0</v>
          </cell>
          <cell r="F263">
            <v>0</v>
          </cell>
          <cell r="G263">
            <v>0</v>
          </cell>
          <cell r="H263">
            <v>0</v>
          </cell>
          <cell r="I263">
            <v>0</v>
          </cell>
          <cell r="J263">
            <v>0</v>
          </cell>
          <cell r="K263">
            <v>0</v>
          </cell>
          <cell r="L263">
            <v>0</v>
          </cell>
          <cell r="M263">
            <v>0</v>
          </cell>
          <cell r="N263">
            <v>0</v>
          </cell>
          <cell r="O263">
            <v>0</v>
          </cell>
          <cell r="P263">
            <v>0</v>
          </cell>
          <cell r="Q263">
            <v>0</v>
          </cell>
          <cell r="R263">
            <v>0</v>
          </cell>
          <cell r="S263">
            <v>0</v>
          </cell>
          <cell r="T263">
            <v>0</v>
          </cell>
          <cell r="U263">
            <v>0</v>
          </cell>
          <cell r="V263">
            <v>0</v>
          </cell>
          <cell r="W263">
            <v>0</v>
          </cell>
          <cell r="X263">
            <v>0</v>
          </cell>
          <cell r="Y263">
            <v>0</v>
          </cell>
          <cell r="Z263">
            <v>0</v>
          </cell>
          <cell r="AA263">
            <v>0</v>
          </cell>
          <cell r="AB263">
            <v>0</v>
          </cell>
          <cell r="AC263">
            <v>0</v>
          </cell>
          <cell r="AD263">
            <v>0</v>
          </cell>
          <cell r="AE263">
            <v>0</v>
          </cell>
          <cell r="AF263">
            <v>0</v>
          </cell>
          <cell r="AG263">
            <v>0</v>
          </cell>
          <cell r="AH263">
            <v>0</v>
          </cell>
          <cell r="AI263">
            <v>0</v>
          </cell>
          <cell r="AJ263">
            <v>0</v>
          </cell>
          <cell r="AK263">
            <v>0</v>
          </cell>
          <cell r="AL263">
            <v>0</v>
          </cell>
          <cell r="AM263">
            <v>0</v>
          </cell>
          <cell r="AN263">
            <v>0</v>
          </cell>
          <cell r="AO263">
            <v>0</v>
          </cell>
          <cell r="AP263">
            <v>0</v>
          </cell>
          <cell r="AQ263">
            <v>0</v>
          </cell>
          <cell r="AR263">
            <v>0</v>
          </cell>
          <cell r="AS263">
            <v>0</v>
          </cell>
          <cell r="AT263">
            <v>0</v>
          </cell>
          <cell r="AU263">
            <v>0</v>
          </cell>
          <cell r="AV263">
            <v>0</v>
          </cell>
          <cell r="AW263">
            <v>0</v>
          </cell>
          <cell r="AX263">
            <v>0</v>
          </cell>
          <cell r="AY263">
            <v>0</v>
          </cell>
          <cell r="AZ263">
            <v>0</v>
          </cell>
          <cell r="BA263">
            <v>0</v>
          </cell>
          <cell r="BB263">
            <v>0</v>
          </cell>
          <cell r="BC263">
            <v>0</v>
          </cell>
          <cell r="BD263">
            <v>0</v>
          </cell>
          <cell r="BE263">
            <v>0</v>
          </cell>
          <cell r="BF263">
            <v>0</v>
          </cell>
          <cell r="BG263">
            <v>0</v>
          </cell>
          <cell r="BH263">
            <v>0</v>
          </cell>
          <cell r="BI263">
            <v>0</v>
          </cell>
          <cell r="BJ263">
            <v>0</v>
          </cell>
          <cell r="BK263">
            <v>0</v>
          </cell>
          <cell r="BL263">
            <v>0</v>
          </cell>
          <cell r="BM263">
            <v>0</v>
          </cell>
          <cell r="BN263">
            <v>0</v>
          </cell>
          <cell r="BO263">
            <v>0</v>
          </cell>
          <cell r="BP263">
            <v>0</v>
          </cell>
          <cell r="BQ263">
            <v>0</v>
          </cell>
          <cell r="BR263">
            <v>0</v>
          </cell>
          <cell r="BS263">
            <v>0</v>
          </cell>
          <cell r="BT263">
            <v>0</v>
          </cell>
          <cell r="BU263">
            <v>0</v>
          </cell>
          <cell r="BV263">
            <v>0</v>
          </cell>
          <cell r="BW263">
            <v>0</v>
          </cell>
          <cell r="BX263">
            <v>0</v>
          </cell>
          <cell r="BY263">
            <v>0</v>
          </cell>
          <cell r="BZ263">
            <v>0</v>
          </cell>
          <cell r="CA263">
            <v>0</v>
          </cell>
          <cell r="CB263">
            <v>0</v>
          </cell>
          <cell r="CC263">
            <v>0</v>
          </cell>
          <cell r="CD263">
            <v>0</v>
          </cell>
          <cell r="CE263">
            <v>0</v>
          </cell>
          <cell r="CF263">
            <v>0</v>
          </cell>
          <cell r="CG263">
            <v>0</v>
          </cell>
          <cell r="CH263">
            <v>0</v>
          </cell>
          <cell r="CI263">
            <v>0</v>
          </cell>
          <cell r="CJ263">
            <v>0</v>
          </cell>
          <cell r="CK263">
            <v>0</v>
          </cell>
          <cell r="CL263">
            <v>0</v>
          </cell>
          <cell r="CM263">
            <v>0</v>
          </cell>
          <cell r="CN263">
            <v>0</v>
          </cell>
          <cell r="CO263">
            <v>0</v>
          </cell>
          <cell r="CP263">
            <v>0</v>
          </cell>
          <cell r="CQ263">
            <v>0</v>
          </cell>
          <cell r="CR263">
            <v>0</v>
          </cell>
          <cell r="CS263">
            <v>0</v>
          </cell>
          <cell r="CT263">
            <v>0</v>
          </cell>
          <cell r="CU263">
            <v>0</v>
          </cell>
          <cell r="CV263">
            <v>0</v>
          </cell>
          <cell r="CW263">
            <v>0</v>
          </cell>
          <cell r="CX263">
            <v>0</v>
          </cell>
          <cell r="CY263">
            <v>0</v>
          </cell>
          <cell r="CZ263">
            <v>0</v>
          </cell>
          <cell r="DA263">
            <v>0</v>
          </cell>
          <cell r="DB263">
            <v>0</v>
          </cell>
          <cell r="DC263">
            <v>0</v>
          </cell>
          <cell r="DD263">
            <v>0</v>
          </cell>
          <cell r="DE263">
            <v>0</v>
          </cell>
          <cell r="DF263">
            <v>0</v>
          </cell>
          <cell r="DG263">
            <v>0</v>
          </cell>
          <cell r="DH263">
            <v>0</v>
          </cell>
          <cell r="DI263">
            <v>0</v>
          </cell>
          <cell r="DJ263">
            <v>0</v>
          </cell>
          <cell r="DK263">
            <v>0</v>
          </cell>
          <cell r="DL263">
            <v>0</v>
          </cell>
          <cell r="DM263">
            <v>0</v>
          </cell>
          <cell r="DN263">
            <v>0</v>
          </cell>
          <cell r="DO263">
            <v>0</v>
          </cell>
          <cell r="DP263">
            <v>0</v>
          </cell>
          <cell r="DQ263">
            <v>0</v>
          </cell>
          <cell r="DR263">
            <v>0</v>
          </cell>
          <cell r="DS263">
            <v>0</v>
          </cell>
          <cell r="DT263">
            <v>0</v>
          </cell>
          <cell r="DU263">
            <v>0</v>
          </cell>
          <cell r="DV263">
            <v>0</v>
          </cell>
          <cell r="DW263">
            <v>0</v>
          </cell>
          <cell r="DX263">
            <v>0</v>
          </cell>
          <cell r="DY263">
            <v>0</v>
          </cell>
          <cell r="DZ263">
            <v>0</v>
          </cell>
          <cell r="EA263">
            <v>0</v>
          </cell>
          <cell r="EB263">
            <v>0</v>
          </cell>
          <cell r="EC263">
            <v>0</v>
          </cell>
          <cell r="ED263">
            <v>0</v>
          </cell>
          <cell r="EE263">
            <v>0</v>
          </cell>
          <cell r="EF263">
            <v>0</v>
          </cell>
          <cell r="EG263">
            <v>0</v>
          </cell>
          <cell r="EH263">
            <v>0</v>
          </cell>
          <cell r="EI263">
            <v>0</v>
          </cell>
          <cell r="EJ263">
            <v>0</v>
          </cell>
          <cell r="EK263">
            <v>0</v>
          </cell>
          <cell r="EL263">
            <v>0</v>
          </cell>
          <cell r="EM263">
            <v>0</v>
          </cell>
          <cell r="EN263">
            <v>0</v>
          </cell>
          <cell r="EO263">
            <v>0</v>
          </cell>
          <cell r="EP263">
            <v>0</v>
          </cell>
          <cell r="EQ263">
            <v>0</v>
          </cell>
          <cell r="ER263">
            <v>0</v>
          </cell>
          <cell r="ES263">
            <v>0</v>
          </cell>
          <cell r="ET263">
            <v>0</v>
          </cell>
          <cell r="EU263">
            <v>0</v>
          </cell>
          <cell r="EV263">
            <v>0</v>
          </cell>
          <cell r="EW263">
            <v>0</v>
          </cell>
          <cell r="EX263">
            <v>0</v>
          </cell>
          <cell r="EY263">
            <v>0</v>
          </cell>
          <cell r="EZ263">
            <v>0</v>
          </cell>
          <cell r="FA263">
            <v>0</v>
          </cell>
          <cell r="FB263">
            <v>0</v>
          </cell>
          <cell r="FC263">
            <v>0</v>
          </cell>
          <cell r="FD263">
            <v>0</v>
          </cell>
          <cell r="FE263">
            <v>0</v>
          </cell>
          <cell r="FF263">
            <v>0</v>
          </cell>
          <cell r="FG263">
            <v>0</v>
          </cell>
          <cell r="FH263">
            <v>0</v>
          </cell>
          <cell r="FI263">
            <v>0</v>
          </cell>
          <cell r="FJ263">
            <v>0</v>
          </cell>
          <cell r="FK263">
            <v>0</v>
          </cell>
          <cell r="FL263">
            <v>0</v>
          </cell>
          <cell r="FM263">
            <v>0</v>
          </cell>
          <cell r="FN263">
            <v>0</v>
          </cell>
          <cell r="FO263">
            <v>0</v>
          </cell>
          <cell r="FP263">
            <v>0</v>
          </cell>
          <cell r="FQ263">
            <v>0</v>
          </cell>
          <cell r="FR263">
            <v>0</v>
          </cell>
          <cell r="FS263">
            <v>0</v>
          </cell>
          <cell r="FT263">
            <v>0</v>
          </cell>
          <cell r="FU263">
            <v>0</v>
          </cell>
          <cell r="FV263">
            <v>0</v>
          </cell>
          <cell r="FW263">
            <v>0</v>
          </cell>
          <cell r="FX263">
            <v>0</v>
          </cell>
          <cell r="FY263">
            <v>0</v>
          </cell>
          <cell r="FZ263">
            <v>0</v>
          </cell>
        </row>
        <row r="264">
          <cell r="B264">
            <v>0</v>
          </cell>
          <cell r="C264">
            <v>0</v>
          </cell>
          <cell r="D264">
            <v>0</v>
          </cell>
          <cell r="E264">
            <v>0</v>
          </cell>
          <cell r="F264">
            <v>0</v>
          </cell>
          <cell r="G264">
            <v>0</v>
          </cell>
          <cell r="H264">
            <v>0</v>
          </cell>
          <cell r="I264">
            <v>0</v>
          </cell>
          <cell r="J264">
            <v>0</v>
          </cell>
          <cell r="K264">
            <v>0</v>
          </cell>
          <cell r="L264">
            <v>0</v>
          </cell>
          <cell r="M264">
            <v>0</v>
          </cell>
          <cell r="N264">
            <v>0</v>
          </cell>
          <cell r="O264">
            <v>0</v>
          </cell>
          <cell r="P264">
            <v>0</v>
          </cell>
          <cell r="Q264">
            <v>0</v>
          </cell>
          <cell r="R264">
            <v>0</v>
          </cell>
          <cell r="S264">
            <v>0</v>
          </cell>
          <cell r="T264">
            <v>0</v>
          </cell>
          <cell r="U264">
            <v>0</v>
          </cell>
          <cell r="V264">
            <v>0</v>
          </cell>
          <cell r="W264">
            <v>0</v>
          </cell>
          <cell r="X264">
            <v>0</v>
          </cell>
          <cell r="Y264">
            <v>0</v>
          </cell>
          <cell r="Z264">
            <v>0</v>
          </cell>
          <cell r="AA264">
            <v>0</v>
          </cell>
          <cell r="AB264">
            <v>0</v>
          </cell>
          <cell r="AC264">
            <v>0</v>
          </cell>
          <cell r="AD264">
            <v>0</v>
          </cell>
          <cell r="AE264">
            <v>0</v>
          </cell>
          <cell r="AF264">
            <v>0</v>
          </cell>
          <cell r="AG264">
            <v>0</v>
          </cell>
          <cell r="AH264">
            <v>0</v>
          </cell>
          <cell r="AI264">
            <v>0</v>
          </cell>
          <cell r="AJ264">
            <v>0</v>
          </cell>
          <cell r="AK264">
            <v>0</v>
          </cell>
          <cell r="AL264">
            <v>0</v>
          </cell>
          <cell r="AM264">
            <v>0</v>
          </cell>
          <cell r="AN264">
            <v>0</v>
          </cell>
          <cell r="AO264">
            <v>0</v>
          </cell>
          <cell r="AP264">
            <v>0</v>
          </cell>
          <cell r="AQ264">
            <v>0</v>
          </cell>
          <cell r="AR264">
            <v>0</v>
          </cell>
          <cell r="AS264">
            <v>0</v>
          </cell>
          <cell r="AT264">
            <v>0</v>
          </cell>
          <cell r="AU264">
            <v>0</v>
          </cell>
          <cell r="AV264">
            <v>0</v>
          </cell>
          <cell r="AW264">
            <v>0</v>
          </cell>
          <cell r="AX264">
            <v>0</v>
          </cell>
          <cell r="AY264">
            <v>0</v>
          </cell>
          <cell r="AZ264">
            <v>0</v>
          </cell>
          <cell r="BA264">
            <v>0</v>
          </cell>
          <cell r="BB264">
            <v>0</v>
          </cell>
          <cell r="BC264">
            <v>0</v>
          </cell>
          <cell r="BD264">
            <v>0</v>
          </cell>
          <cell r="BE264">
            <v>0</v>
          </cell>
          <cell r="BF264">
            <v>0</v>
          </cell>
          <cell r="BG264">
            <v>0</v>
          </cell>
          <cell r="BH264">
            <v>0</v>
          </cell>
          <cell r="BI264">
            <v>0</v>
          </cell>
          <cell r="BJ264">
            <v>0</v>
          </cell>
          <cell r="BK264">
            <v>0</v>
          </cell>
          <cell r="BL264">
            <v>0</v>
          </cell>
          <cell r="BM264">
            <v>0</v>
          </cell>
          <cell r="BN264">
            <v>0</v>
          </cell>
          <cell r="BO264">
            <v>0</v>
          </cell>
          <cell r="BP264">
            <v>0</v>
          </cell>
          <cell r="BQ264">
            <v>0</v>
          </cell>
          <cell r="BR264">
            <v>0</v>
          </cell>
          <cell r="BS264">
            <v>0</v>
          </cell>
          <cell r="BT264">
            <v>0</v>
          </cell>
          <cell r="BU264">
            <v>0</v>
          </cell>
          <cell r="BV264">
            <v>0</v>
          </cell>
          <cell r="BW264">
            <v>0</v>
          </cell>
          <cell r="BX264">
            <v>0</v>
          </cell>
          <cell r="BY264">
            <v>0</v>
          </cell>
          <cell r="BZ264">
            <v>0</v>
          </cell>
          <cell r="CA264">
            <v>0</v>
          </cell>
          <cell r="CB264">
            <v>0</v>
          </cell>
          <cell r="CC264">
            <v>0</v>
          </cell>
          <cell r="CD264">
            <v>0</v>
          </cell>
          <cell r="CE264">
            <v>0</v>
          </cell>
          <cell r="CF264">
            <v>0</v>
          </cell>
          <cell r="CG264">
            <v>0</v>
          </cell>
          <cell r="CH264">
            <v>0</v>
          </cell>
          <cell r="CI264">
            <v>0</v>
          </cell>
          <cell r="CJ264">
            <v>0</v>
          </cell>
          <cell r="CK264">
            <v>0</v>
          </cell>
          <cell r="CL264">
            <v>0</v>
          </cell>
          <cell r="CM264">
            <v>0</v>
          </cell>
          <cell r="CN264">
            <v>0</v>
          </cell>
          <cell r="CO264">
            <v>0</v>
          </cell>
          <cell r="CP264">
            <v>0</v>
          </cell>
          <cell r="CQ264">
            <v>0</v>
          </cell>
          <cell r="CR264">
            <v>0</v>
          </cell>
          <cell r="CS264">
            <v>0</v>
          </cell>
          <cell r="CT264">
            <v>0</v>
          </cell>
          <cell r="CU264">
            <v>0</v>
          </cell>
          <cell r="CV264">
            <v>0</v>
          </cell>
          <cell r="CW264">
            <v>0</v>
          </cell>
          <cell r="CX264">
            <v>0</v>
          </cell>
          <cell r="CY264">
            <v>0</v>
          </cell>
          <cell r="CZ264">
            <v>0</v>
          </cell>
          <cell r="DA264">
            <v>0</v>
          </cell>
          <cell r="DB264">
            <v>0</v>
          </cell>
          <cell r="DC264">
            <v>0</v>
          </cell>
          <cell r="DD264">
            <v>0</v>
          </cell>
          <cell r="DE264">
            <v>0</v>
          </cell>
          <cell r="DF264">
            <v>0</v>
          </cell>
          <cell r="DG264">
            <v>0</v>
          </cell>
          <cell r="DH264">
            <v>0</v>
          </cell>
          <cell r="DI264">
            <v>0</v>
          </cell>
          <cell r="DJ264">
            <v>0</v>
          </cell>
          <cell r="DK264">
            <v>0</v>
          </cell>
          <cell r="DL264">
            <v>0</v>
          </cell>
          <cell r="DM264">
            <v>0</v>
          </cell>
          <cell r="DN264">
            <v>0</v>
          </cell>
          <cell r="DO264">
            <v>0</v>
          </cell>
          <cell r="DP264">
            <v>0</v>
          </cell>
          <cell r="DQ264">
            <v>0</v>
          </cell>
          <cell r="DR264">
            <v>0</v>
          </cell>
          <cell r="DS264">
            <v>0</v>
          </cell>
          <cell r="DT264">
            <v>0</v>
          </cell>
          <cell r="DU264">
            <v>0</v>
          </cell>
          <cell r="DV264">
            <v>0</v>
          </cell>
          <cell r="DW264">
            <v>0</v>
          </cell>
          <cell r="DX264">
            <v>0</v>
          </cell>
          <cell r="DY264">
            <v>0</v>
          </cell>
          <cell r="DZ264">
            <v>0</v>
          </cell>
          <cell r="EA264">
            <v>0</v>
          </cell>
          <cell r="EB264">
            <v>0</v>
          </cell>
          <cell r="EC264">
            <v>0</v>
          </cell>
          <cell r="ED264">
            <v>0</v>
          </cell>
          <cell r="EE264">
            <v>0</v>
          </cell>
          <cell r="EF264">
            <v>0</v>
          </cell>
          <cell r="EG264">
            <v>0</v>
          </cell>
          <cell r="EH264">
            <v>0</v>
          </cell>
          <cell r="EI264">
            <v>0</v>
          </cell>
          <cell r="EJ264">
            <v>0</v>
          </cell>
          <cell r="EK264">
            <v>0</v>
          </cell>
          <cell r="EL264">
            <v>0</v>
          </cell>
          <cell r="EM264">
            <v>0</v>
          </cell>
          <cell r="EN264">
            <v>0</v>
          </cell>
          <cell r="EO264">
            <v>0</v>
          </cell>
          <cell r="EP264">
            <v>0</v>
          </cell>
          <cell r="EQ264">
            <v>0</v>
          </cell>
          <cell r="ER264">
            <v>0</v>
          </cell>
          <cell r="ES264">
            <v>0</v>
          </cell>
          <cell r="ET264">
            <v>0</v>
          </cell>
          <cell r="EU264">
            <v>0</v>
          </cell>
          <cell r="EV264">
            <v>0</v>
          </cell>
          <cell r="EW264">
            <v>0</v>
          </cell>
          <cell r="EX264">
            <v>0</v>
          </cell>
          <cell r="EY264">
            <v>0</v>
          </cell>
          <cell r="EZ264">
            <v>0</v>
          </cell>
          <cell r="FA264">
            <v>0</v>
          </cell>
          <cell r="FB264">
            <v>0</v>
          </cell>
          <cell r="FC264">
            <v>0</v>
          </cell>
          <cell r="FD264">
            <v>0</v>
          </cell>
          <cell r="FE264">
            <v>0</v>
          </cell>
          <cell r="FF264">
            <v>0</v>
          </cell>
          <cell r="FG264">
            <v>0</v>
          </cell>
          <cell r="FH264">
            <v>0</v>
          </cell>
          <cell r="FI264">
            <v>0</v>
          </cell>
          <cell r="FJ264">
            <v>0</v>
          </cell>
          <cell r="FK264">
            <v>0</v>
          </cell>
          <cell r="FL264">
            <v>0</v>
          </cell>
          <cell r="FM264">
            <v>0</v>
          </cell>
          <cell r="FN264">
            <v>0</v>
          </cell>
          <cell r="FO264">
            <v>0</v>
          </cell>
          <cell r="FP264">
            <v>0</v>
          </cell>
          <cell r="FQ264">
            <v>0</v>
          </cell>
          <cell r="FR264">
            <v>0</v>
          </cell>
          <cell r="FS264">
            <v>0</v>
          </cell>
          <cell r="FT264">
            <v>0</v>
          </cell>
          <cell r="FU264">
            <v>0</v>
          </cell>
          <cell r="FV264">
            <v>0</v>
          </cell>
          <cell r="FW264">
            <v>0</v>
          </cell>
          <cell r="FX264">
            <v>0</v>
          </cell>
          <cell r="FY264">
            <v>0</v>
          </cell>
          <cell r="FZ264">
            <v>0</v>
          </cell>
        </row>
        <row r="265">
          <cell r="B265">
            <v>0</v>
          </cell>
          <cell r="C265">
            <v>0</v>
          </cell>
          <cell r="D265">
            <v>0</v>
          </cell>
          <cell r="E265">
            <v>0</v>
          </cell>
          <cell r="F265">
            <v>0</v>
          </cell>
          <cell r="G265">
            <v>0</v>
          </cell>
          <cell r="H265">
            <v>0</v>
          </cell>
          <cell r="I265">
            <v>0</v>
          </cell>
          <cell r="J265">
            <v>0</v>
          </cell>
          <cell r="K265">
            <v>0</v>
          </cell>
          <cell r="L265">
            <v>0</v>
          </cell>
          <cell r="M265">
            <v>0</v>
          </cell>
          <cell r="N265">
            <v>0</v>
          </cell>
          <cell r="O265">
            <v>0</v>
          </cell>
          <cell r="P265">
            <v>0</v>
          </cell>
          <cell r="Q265">
            <v>0</v>
          </cell>
          <cell r="R265">
            <v>0</v>
          </cell>
          <cell r="S265">
            <v>0</v>
          </cell>
          <cell r="T265">
            <v>0</v>
          </cell>
          <cell r="U265">
            <v>0</v>
          </cell>
          <cell r="V265">
            <v>0</v>
          </cell>
          <cell r="W265">
            <v>0</v>
          </cell>
          <cell r="X265">
            <v>0</v>
          </cell>
          <cell r="Y265">
            <v>0</v>
          </cell>
          <cell r="Z265">
            <v>0</v>
          </cell>
          <cell r="AA265">
            <v>0</v>
          </cell>
          <cell r="AB265">
            <v>0</v>
          </cell>
          <cell r="AC265">
            <v>0</v>
          </cell>
          <cell r="AD265">
            <v>0</v>
          </cell>
          <cell r="AE265">
            <v>0</v>
          </cell>
          <cell r="AF265">
            <v>0</v>
          </cell>
          <cell r="AG265">
            <v>0</v>
          </cell>
          <cell r="AH265">
            <v>0</v>
          </cell>
          <cell r="AI265">
            <v>0</v>
          </cell>
          <cell r="AJ265">
            <v>0</v>
          </cell>
          <cell r="AK265">
            <v>0</v>
          </cell>
          <cell r="AL265">
            <v>0</v>
          </cell>
          <cell r="AM265">
            <v>0</v>
          </cell>
          <cell r="AN265">
            <v>0</v>
          </cell>
          <cell r="AO265">
            <v>0</v>
          </cell>
          <cell r="AP265">
            <v>0</v>
          </cell>
          <cell r="AQ265">
            <v>0</v>
          </cell>
          <cell r="AR265">
            <v>0</v>
          </cell>
          <cell r="AS265">
            <v>0</v>
          </cell>
          <cell r="AT265">
            <v>0</v>
          </cell>
          <cell r="AU265">
            <v>0</v>
          </cell>
          <cell r="AV265">
            <v>0</v>
          </cell>
          <cell r="AW265">
            <v>0</v>
          </cell>
          <cell r="AX265">
            <v>0</v>
          </cell>
          <cell r="AY265">
            <v>0</v>
          </cell>
          <cell r="AZ265">
            <v>0</v>
          </cell>
          <cell r="BA265">
            <v>0</v>
          </cell>
          <cell r="BB265">
            <v>0</v>
          </cell>
          <cell r="BC265">
            <v>0</v>
          </cell>
          <cell r="BD265">
            <v>0</v>
          </cell>
          <cell r="BE265">
            <v>0</v>
          </cell>
          <cell r="BF265">
            <v>0</v>
          </cell>
          <cell r="BG265">
            <v>0</v>
          </cell>
          <cell r="BH265">
            <v>0</v>
          </cell>
          <cell r="BI265">
            <v>0</v>
          </cell>
          <cell r="BJ265">
            <v>0</v>
          </cell>
          <cell r="BK265">
            <v>0</v>
          </cell>
          <cell r="BL265">
            <v>0</v>
          </cell>
          <cell r="BM265">
            <v>0</v>
          </cell>
          <cell r="BN265">
            <v>0</v>
          </cell>
          <cell r="BO265">
            <v>0</v>
          </cell>
          <cell r="BP265">
            <v>0</v>
          </cell>
          <cell r="BQ265">
            <v>0</v>
          </cell>
          <cell r="BR265">
            <v>0</v>
          </cell>
          <cell r="BS265">
            <v>0</v>
          </cell>
          <cell r="BT265">
            <v>0</v>
          </cell>
          <cell r="BU265">
            <v>0</v>
          </cell>
          <cell r="BV265">
            <v>0</v>
          </cell>
          <cell r="BW265">
            <v>0</v>
          </cell>
          <cell r="BX265">
            <v>0</v>
          </cell>
          <cell r="BY265">
            <v>0</v>
          </cell>
          <cell r="BZ265">
            <v>0</v>
          </cell>
          <cell r="CA265">
            <v>0</v>
          </cell>
          <cell r="CB265">
            <v>0</v>
          </cell>
          <cell r="CC265">
            <v>0</v>
          </cell>
          <cell r="CD265">
            <v>0</v>
          </cell>
          <cell r="CE265">
            <v>0</v>
          </cell>
          <cell r="CF265">
            <v>0</v>
          </cell>
          <cell r="CG265">
            <v>0</v>
          </cell>
          <cell r="CH265">
            <v>0</v>
          </cell>
          <cell r="CI265">
            <v>0</v>
          </cell>
          <cell r="CJ265">
            <v>0</v>
          </cell>
          <cell r="CK265">
            <v>0</v>
          </cell>
          <cell r="CL265">
            <v>0</v>
          </cell>
          <cell r="CM265">
            <v>0</v>
          </cell>
          <cell r="CN265">
            <v>0</v>
          </cell>
          <cell r="CO265">
            <v>0</v>
          </cell>
          <cell r="CP265">
            <v>0</v>
          </cell>
          <cell r="CQ265">
            <v>0</v>
          </cell>
          <cell r="CR265">
            <v>0</v>
          </cell>
          <cell r="CS265">
            <v>0</v>
          </cell>
          <cell r="CT265">
            <v>0</v>
          </cell>
          <cell r="CU265">
            <v>0</v>
          </cell>
          <cell r="CV265">
            <v>0</v>
          </cell>
          <cell r="CW265">
            <v>0</v>
          </cell>
          <cell r="CX265">
            <v>0</v>
          </cell>
          <cell r="CY265">
            <v>0</v>
          </cell>
          <cell r="CZ265">
            <v>0</v>
          </cell>
          <cell r="DA265">
            <v>0</v>
          </cell>
          <cell r="DB265">
            <v>0</v>
          </cell>
          <cell r="DC265">
            <v>0</v>
          </cell>
          <cell r="DD265">
            <v>0</v>
          </cell>
          <cell r="DE265">
            <v>0</v>
          </cell>
          <cell r="DF265">
            <v>0</v>
          </cell>
          <cell r="DG265">
            <v>0</v>
          </cell>
          <cell r="DH265">
            <v>0</v>
          </cell>
          <cell r="DI265">
            <v>0</v>
          </cell>
          <cell r="DJ265">
            <v>0</v>
          </cell>
          <cell r="DK265">
            <v>0</v>
          </cell>
          <cell r="DL265">
            <v>0</v>
          </cell>
          <cell r="DM265">
            <v>0</v>
          </cell>
          <cell r="DN265">
            <v>0</v>
          </cell>
          <cell r="DO265">
            <v>0</v>
          </cell>
          <cell r="DP265">
            <v>0</v>
          </cell>
          <cell r="DQ265">
            <v>0</v>
          </cell>
          <cell r="DR265">
            <v>0</v>
          </cell>
          <cell r="DS265">
            <v>0</v>
          </cell>
          <cell r="DT265">
            <v>0</v>
          </cell>
          <cell r="DU265">
            <v>0</v>
          </cell>
          <cell r="DV265">
            <v>0</v>
          </cell>
          <cell r="DW265">
            <v>0</v>
          </cell>
          <cell r="DX265">
            <v>0</v>
          </cell>
          <cell r="DY265">
            <v>0</v>
          </cell>
          <cell r="DZ265">
            <v>0</v>
          </cell>
          <cell r="EA265">
            <v>0</v>
          </cell>
          <cell r="EB265">
            <v>0</v>
          </cell>
          <cell r="EC265">
            <v>0</v>
          </cell>
          <cell r="ED265">
            <v>0</v>
          </cell>
          <cell r="EE265">
            <v>0</v>
          </cell>
          <cell r="EF265">
            <v>0</v>
          </cell>
          <cell r="EG265">
            <v>0</v>
          </cell>
          <cell r="EH265">
            <v>0</v>
          </cell>
          <cell r="EI265">
            <v>0</v>
          </cell>
          <cell r="EJ265">
            <v>0</v>
          </cell>
          <cell r="EK265">
            <v>0</v>
          </cell>
          <cell r="EL265">
            <v>0</v>
          </cell>
          <cell r="EM265">
            <v>0</v>
          </cell>
          <cell r="EN265">
            <v>0</v>
          </cell>
          <cell r="EO265">
            <v>0</v>
          </cell>
          <cell r="EP265">
            <v>0</v>
          </cell>
          <cell r="EQ265">
            <v>0</v>
          </cell>
          <cell r="ER265">
            <v>0</v>
          </cell>
          <cell r="ES265">
            <v>0</v>
          </cell>
          <cell r="ET265">
            <v>0</v>
          </cell>
          <cell r="EU265">
            <v>0</v>
          </cell>
          <cell r="EV265">
            <v>0</v>
          </cell>
          <cell r="EW265">
            <v>0</v>
          </cell>
          <cell r="EX265">
            <v>0</v>
          </cell>
          <cell r="EY265">
            <v>0</v>
          </cell>
          <cell r="EZ265">
            <v>0</v>
          </cell>
          <cell r="FA265">
            <v>0</v>
          </cell>
          <cell r="FB265">
            <v>0</v>
          </cell>
          <cell r="FC265">
            <v>0</v>
          </cell>
          <cell r="FD265">
            <v>0</v>
          </cell>
          <cell r="FE265">
            <v>0</v>
          </cell>
          <cell r="FF265">
            <v>0</v>
          </cell>
          <cell r="FG265">
            <v>0</v>
          </cell>
          <cell r="FH265">
            <v>0</v>
          </cell>
          <cell r="FI265">
            <v>0</v>
          </cell>
          <cell r="FJ265">
            <v>0</v>
          </cell>
          <cell r="FK265">
            <v>0</v>
          </cell>
          <cell r="FL265">
            <v>0</v>
          </cell>
          <cell r="FM265">
            <v>0</v>
          </cell>
          <cell r="FN265">
            <v>0</v>
          </cell>
          <cell r="FO265">
            <v>0</v>
          </cell>
          <cell r="FP265">
            <v>0</v>
          </cell>
          <cell r="FQ265">
            <v>0</v>
          </cell>
          <cell r="FR265">
            <v>0</v>
          </cell>
          <cell r="FS265">
            <v>0</v>
          </cell>
          <cell r="FT265">
            <v>0</v>
          </cell>
          <cell r="FU265">
            <v>0</v>
          </cell>
          <cell r="FV265">
            <v>0</v>
          </cell>
          <cell r="FW265">
            <v>0</v>
          </cell>
          <cell r="FX265">
            <v>0</v>
          </cell>
          <cell r="FY265">
            <v>0</v>
          </cell>
          <cell r="FZ265">
            <v>0</v>
          </cell>
        </row>
        <row r="266">
          <cell r="B266">
            <v>0</v>
          </cell>
          <cell r="C266">
            <v>0</v>
          </cell>
          <cell r="D266">
            <v>0</v>
          </cell>
          <cell r="E266">
            <v>0</v>
          </cell>
          <cell r="F266">
            <v>0</v>
          </cell>
          <cell r="G266">
            <v>0</v>
          </cell>
          <cell r="H266">
            <v>0</v>
          </cell>
          <cell r="I266">
            <v>0</v>
          </cell>
          <cell r="J266">
            <v>0</v>
          </cell>
          <cell r="K266">
            <v>0</v>
          </cell>
          <cell r="L266">
            <v>0</v>
          </cell>
          <cell r="M266">
            <v>0</v>
          </cell>
          <cell r="N266">
            <v>0</v>
          </cell>
          <cell r="O266">
            <v>0</v>
          </cell>
          <cell r="P266">
            <v>0</v>
          </cell>
          <cell r="Q266">
            <v>0</v>
          </cell>
          <cell r="R266">
            <v>0</v>
          </cell>
          <cell r="S266">
            <v>0</v>
          </cell>
          <cell r="T266">
            <v>0</v>
          </cell>
          <cell r="U266">
            <v>0</v>
          </cell>
          <cell r="V266">
            <v>0</v>
          </cell>
          <cell r="W266">
            <v>0</v>
          </cell>
          <cell r="X266">
            <v>0</v>
          </cell>
          <cell r="Y266">
            <v>0</v>
          </cell>
          <cell r="Z266">
            <v>0</v>
          </cell>
          <cell r="AA266">
            <v>0</v>
          </cell>
          <cell r="AB266">
            <v>0</v>
          </cell>
          <cell r="AC266">
            <v>0</v>
          </cell>
          <cell r="AD266">
            <v>0</v>
          </cell>
          <cell r="AE266">
            <v>0</v>
          </cell>
          <cell r="AF266">
            <v>0</v>
          </cell>
          <cell r="AG266">
            <v>0</v>
          </cell>
          <cell r="AH266">
            <v>0</v>
          </cell>
          <cell r="AI266">
            <v>0</v>
          </cell>
          <cell r="AJ266">
            <v>0</v>
          </cell>
          <cell r="AK266">
            <v>0</v>
          </cell>
          <cell r="AL266">
            <v>0</v>
          </cell>
          <cell r="AM266">
            <v>0</v>
          </cell>
          <cell r="AN266">
            <v>0</v>
          </cell>
          <cell r="AO266">
            <v>0</v>
          </cell>
          <cell r="AP266">
            <v>0</v>
          </cell>
          <cell r="AQ266">
            <v>0</v>
          </cell>
          <cell r="AR266">
            <v>0</v>
          </cell>
          <cell r="AS266">
            <v>0</v>
          </cell>
          <cell r="AT266">
            <v>0</v>
          </cell>
          <cell r="AU266">
            <v>0</v>
          </cell>
          <cell r="AV266">
            <v>0</v>
          </cell>
          <cell r="AW266">
            <v>0</v>
          </cell>
          <cell r="AX266">
            <v>0</v>
          </cell>
          <cell r="AY266">
            <v>0</v>
          </cell>
          <cell r="AZ266">
            <v>0</v>
          </cell>
          <cell r="BA266">
            <v>0</v>
          </cell>
          <cell r="BB266">
            <v>0</v>
          </cell>
          <cell r="BC266">
            <v>0</v>
          </cell>
          <cell r="BD266">
            <v>0</v>
          </cell>
          <cell r="BE266">
            <v>0</v>
          </cell>
          <cell r="BF266">
            <v>0</v>
          </cell>
          <cell r="BG266">
            <v>0</v>
          </cell>
          <cell r="BH266">
            <v>0</v>
          </cell>
          <cell r="BI266">
            <v>0</v>
          </cell>
          <cell r="BJ266">
            <v>0</v>
          </cell>
          <cell r="BK266">
            <v>0</v>
          </cell>
          <cell r="BL266">
            <v>0</v>
          </cell>
          <cell r="BM266">
            <v>0</v>
          </cell>
          <cell r="BN266">
            <v>0</v>
          </cell>
          <cell r="BO266">
            <v>0</v>
          </cell>
          <cell r="BP266">
            <v>0</v>
          </cell>
          <cell r="BQ266">
            <v>0</v>
          </cell>
          <cell r="BR266">
            <v>0</v>
          </cell>
          <cell r="BS266">
            <v>0</v>
          </cell>
          <cell r="BT266">
            <v>0</v>
          </cell>
          <cell r="BU266">
            <v>0</v>
          </cell>
          <cell r="BV266">
            <v>0</v>
          </cell>
          <cell r="BW266">
            <v>0</v>
          </cell>
          <cell r="BX266">
            <v>0</v>
          </cell>
          <cell r="BY266">
            <v>0</v>
          </cell>
          <cell r="BZ266">
            <v>0</v>
          </cell>
          <cell r="CA266">
            <v>0</v>
          </cell>
          <cell r="CB266">
            <v>0</v>
          </cell>
          <cell r="CC266">
            <v>0</v>
          </cell>
          <cell r="CD266">
            <v>0</v>
          </cell>
          <cell r="CE266">
            <v>0</v>
          </cell>
          <cell r="CF266">
            <v>0</v>
          </cell>
          <cell r="CG266">
            <v>0</v>
          </cell>
          <cell r="CH266">
            <v>0</v>
          </cell>
          <cell r="CI266">
            <v>0</v>
          </cell>
          <cell r="CJ266">
            <v>0</v>
          </cell>
          <cell r="CK266">
            <v>0</v>
          </cell>
          <cell r="CL266">
            <v>0</v>
          </cell>
          <cell r="CM266">
            <v>0</v>
          </cell>
          <cell r="CN266">
            <v>0</v>
          </cell>
          <cell r="CO266">
            <v>0</v>
          </cell>
          <cell r="CP266">
            <v>0</v>
          </cell>
          <cell r="CQ266">
            <v>0</v>
          </cell>
          <cell r="CR266">
            <v>0</v>
          </cell>
          <cell r="CS266">
            <v>0</v>
          </cell>
          <cell r="CT266">
            <v>0</v>
          </cell>
          <cell r="CU266">
            <v>0</v>
          </cell>
          <cell r="CV266">
            <v>0</v>
          </cell>
          <cell r="CW266">
            <v>0</v>
          </cell>
          <cell r="CX266">
            <v>0</v>
          </cell>
          <cell r="CY266">
            <v>0</v>
          </cell>
          <cell r="CZ266">
            <v>0</v>
          </cell>
          <cell r="DA266">
            <v>0</v>
          </cell>
          <cell r="DB266">
            <v>0</v>
          </cell>
          <cell r="DC266">
            <v>0</v>
          </cell>
          <cell r="DD266">
            <v>0</v>
          </cell>
          <cell r="DE266">
            <v>0</v>
          </cell>
          <cell r="DF266">
            <v>0</v>
          </cell>
          <cell r="DG266">
            <v>0</v>
          </cell>
          <cell r="DH266">
            <v>0</v>
          </cell>
          <cell r="DI266">
            <v>0</v>
          </cell>
          <cell r="DJ266">
            <v>0</v>
          </cell>
          <cell r="DK266">
            <v>0</v>
          </cell>
          <cell r="DL266">
            <v>0</v>
          </cell>
          <cell r="DM266">
            <v>0</v>
          </cell>
          <cell r="DN266">
            <v>0</v>
          </cell>
          <cell r="DO266">
            <v>0</v>
          </cell>
          <cell r="DP266">
            <v>0</v>
          </cell>
          <cell r="DQ266">
            <v>0</v>
          </cell>
          <cell r="DR266">
            <v>0</v>
          </cell>
          <cell r="DS266">
            <v>0</v>
          </cell>
          <cell r="DT266">
            <v>0</v>
          </cell>
          <cell r="DU266">
            <v>0</v>
          </cell>
          <cell r="DV266">
            <v>0</v>
          </cell>
          <cell r="DW266">
            <v>0</v>
          </cell>
          <cell r="DX266">
            <v>0</v>
          </cell>
          <cell r="DY266">
            <v>0</v>
          </cell>
          <cell r="DZ266">
            <v>0</v>
          </cell>
          <cell r="EA266">
            <v>0</v>
          </cell>
          <cell r="EB266">
            <v>0</v>
          </cell>
          <cell r="EC266">
            <v>0</v>
          </cell>
          <cell r="ED266">
            <v>0</v>
          </cell>
          <cell r="EE266">
            <v>0</v>
          </cell>
          <cell r="EF266">
            <v>0</v>
          </cell>
          <cell r="EG266">
            <v>0</v>
          </cell>
          <cell r="EH266">
            <v>0</v>
          </cell>
          <cell r="EI266">
            <v>0</v>
          </cell>
          <cell r="EJ266">
            <v>0</v>
          </cell>
          <cell r="EK266">
            <v>0</v>
          </cell>
          <cell r="EL266">
            <v>0</v>
          </cell>
          <cell r="EM266">
            <v>0</v>
          </cell>
          <cell r="EN266">
            <v>0</v>
          </cell>
          <cell r="EO266">
            <v>0</v>
          </cell>
          <cell r="EP266">
            <v>0</v>
          </cell>
          <cell r="EQ266">
            <v>0</v>
          </cell>
          <cell r="ER266">
            <v>0</v>
          </cell>
          <cell r="ES266">
            <v>0</v>
          </cell>
          <cell r="ET266">
            <v>0</v>
          </cell>
          <cell r="EU266">
            <v>0</v>
          </cell>
          <cell r="EV266">
            <v>0</v>
          </cell>
          <cell r="EW266">
            <v>0</v>
          </cell>
          <cell r="EX266">
            <v>0</v>
          </cell>
          <cell r="EY266">
            <v>0</v>
          </cell>
          <cell r="EZ266">
            <v>0</v>
          </cell>
          <cell r="FA266">
            <v>0</v>
          </cell>
          <cell r="FB266">
            <v>0</v>
          </cell>
          <cell r="FC266">
            <v>0</v>
          </cell>
          <cell r="FD266">
            <v>0</v>
          </cell>
          <cell r="FE266">
            <v>0</v>
          </cell>
          <cell r="FF266">
            <v>0</v>
          </cell>
          <cell r="FG266">
            <v>0</v>
          </cell>
          <cell r="FH266">
            <v>0</v>
          </cell>
          <cell r="FI266">
            <v>0</v>
          </cell>
          <cell r="FJ266">
            <v>0</v>
          </cell>
          <cell r="FK266">
            <v>0</v>
          </cell>
          <cell r="FL266">
            <v>0</v>
          </cell>
          <cell r="FM266">
            <v>0</v>
          </cell>
          <cell r="FN266">
            <v>0</v>
          </cell>
          <cell r="FO266">
            <v>0</v>
          </cell>
          <cell r="FP266">
            <v>0</v>
          </cell>
          <cell r="FQ266">
            <v>0</v>
          </cell>
          <cell r="FR266">
            <v>0</v>
          </cell>
          <cell r="FS266">
            <v>0</v>
          </cell>
          <cell r="FT266">
            <v>0</v>
          </cell>
          <cell r="FU266">
            <v>0</v>
          </cell>
          <cell r="FV266">
            <v>0</v>
          </cell>
          <cell r="FW266">
            <v>0</v>
          </cell>
          <cell r="FX266">
            <v>0</v>
          </cell>
          <cell r="FY266">
            <v>0</v>
          </cell>
          <cell r="FZ266">
            <v>0</v>
          </cell>
        </row>
        <row r="267">
          <cell r="B267">
            <v>0</v>
          </cell>
          <cell r="C267">
            <v>0</v>
          </cell>
          <cell r="D267">
            <v>0</v>
          </cell>
          <cell r="E267">
            <v>0</v>
          </cell>
          <cell r="F267">
            <v>0</v>
          </cell>
          <cell r="G267">
            <v>0</v>
          </cell>
          <cell r="H267">
            <v>0</v>
          </cell>
          <cell r="I267">
            <v>0</v>
          </cell>
          <cell r="J267">
            <v>0</v>
          </cell>
          <cell r="K267">
            <v>0</v>
          </cell>
          <cell r="L267">
            <v>0</v>
          </cell>
          <cell r="M267">
            <v>0</v>
          </cell>
          <cell r="N267">
            <v>0</v>
          </cell>
          <cell r="O267">
            <v>0</v>
          </cell>
          <cell r="P267">
            <v>0</v>
          </cell>
          <cell r="Q267">
            <v>0</v>
          </cell>
          <cell r="R267">
            <v>0</v>
          </cell>
          <cell r="S267">
            <v>0</v>
          </cell>
          <cell r="T267">
            <v>0</v>
          </cell>
          <cell r="U267">
            <v>0</v>
          </cell>
          <cell r="V267">
            <v>0</v>
          </cell>
          <cell r="W267">
            <v>0</v>
          </cell>
          <cell r="X267">
            <v>0</v>
          </cell>
          <cell r="Y267">
            <v>0</v>
          </cell>
          <cell r="Z267">
            <v>0</v>
          </cell>
          <cell r="AA267">
            <v>0</v>
          </cell>
          <cell r="AB267">
            <v>0</v>
          </cell>
          <cell r="AC267">
            <v>0</v>
          </cell>
          <cell r="AD267">
            <v>0</v>
          </cell>
          <cell r="AE267">
            <v>0</v>
          </cell>
          <cell r="AF267">
            <v>0</v>
          </cell>
          <cell r="AG267">
            <v>0</v>
          </cell>
          <cell r="AH267">
            <v>0</v>
          </cell>
          <cell r="AI267">
            <v>0</v>
          </cell>
          <cell r="AJ267">
            <v>0</v>
          </cell>
          <cell r="AK267">
            <v>0</v>
          </cell>
          <cell r="AL267">
            <v>0</v>
          </cell>
          <cell r="AM267">
            <v>0</v>
          </cell>
          <cell r="AN267">
            <v>0</v>
          </cell>
          <cell r="AO267">
            <v>0</v>
          </cell>
          <cell r="AP267">
            <v>0</v>
          </cell>
          <cell r="AQ267">
            <v>0</v>
          </cell>
          <cell r="AR267">
            <v>0</v>
          </cell>
          <cell r="AS267">
            <v>0</v>
          </cell>
          <cell r="AT267">
            <v>0</v>
          </cell>
          <cell r="AU267">
            <v>0</v>
          </cell>
          <cell r="AV267">
            <v>0</v>
          </cell>
          <cell r="AW267">
            <v>0</v>
          </cell>
          <cell r="AX267">
            <v>0</v>
          </cell>
          <cell r="AY267">
            <v>0</v>
          </cell>
          <cell r="AZ267">
            <v>0</v>
          </cell>
          <cell r="BA267">
            <v>0</v>
          </cell>
          <cell r="BB267">
            <v>0</v>
          </cell>
          <cell r="BC267">
            <v>0</v>
          </cell>
          <cell r="BD267">
            <v>0</v>
          </cell>
          <cell r="BE267">
            <v>0</v>
          </cell>
          <cell r="BF267">
            <v>0</v>
          </cell>
          <cell r="BG267">
            <v>0</v>
          </cell>
          <cell r="BH267">
            <v>0</v>
          </cell>
          <cell r="BI267">
            <v>0</v>
          </cell>
          <cell r="BJ267">
            <v>0</v>
          </cell>
          <cell r="BK267">
            <v>0</v>
          </cell>
          <cell r="BL267">
            <v>0</v>
          </cell>
          <cell r="BM267">
            <v>0</v>
          </cell>
          <cell r="BN267">
            <v>0</v>
          </cell>
          <cell r="BO267">
            <v>0</v>
          </cell>
          <cell r="BP267">
            <v>0</v>
          </cell>
          <cell r="BQ267">
            <v>0</v>
          </cell>
          <cell r="BR267">
            <v>0</v>
          </cell>
          <cell r="BS267">
            <v>0</v>
          </cell>
          <cell r="BT267">
            <v>0</v>
          </cell>
          <cell r="BU267">
            <v>0</v>
          </cell>
          <cell r="BV267">
            <v>0</v>
          </cell>
          <cell r="BW267">
            <v>0</v>
          </cell>
          <cell r="BX267">
            <v>0</v>
          </cell>
          <cell r="BY267">
            <v>0</v>
          </cell>
          <cell r="BZ267">
            <v>0</v>
          </cell>
          <cell r="CA267">
            <v>0</v>
          </cell>
          <cell r="CB267">
            <v>0</v>
          </cell>
          <cell r="CC267">
            <v>0</v>
          </cell>
          <cell r="CD267">
            <v>0</v>
          </cell>
          <cell r="CE267">
            <v>0</v>
          </cell>
          <cell r="CF267">
            <v>0</v>
          </cell>
          <cell r="CG267">
            <v>0</v>
          </cell>
          <cell r="CH267">
            <v>0</v>
          </cell>
          <cell r="CI267">
            <v>0</v>
          </cell>
          <cell r="CJ267">
            <v>0</v>
          </cell>
          <cell r="CK267">
            <v>0</v>
          </cell>
          <cell r="CL267">
            <v>0</v>
          </cell>
          <cell r="CM267">
            <v>0</v>
          </cell>
          <cell r="CN267">
            <v>0</v>
          </cell>
          <cell r="CO267">
            <v>0</v>
          </cell>
          <cell r="CP267">
            <v>0</v>
          </cell>
          <cell r="CQ267">
            <v>0</v>
          </cell>
          <cell r="CR267">
            <v>0</v>
          </cell>
          <cell r="CS267">
            <v>0</v>
          </cell>
          <cell r="CT267">
            <v>0</v>
          </cell>
          <cell r="CU267">
            <v>0</v>
          </cell>
          <cell r="CV267">
            <v>0</v>
          </cell>
          <cell r="CW267">
            <v>0</v>
          </cell>
          <cell r="CX267">
            <v>0</v>
          </cell>
          <cell r="CY267">
            <v>0</v>
          </cell>
          <cell r="CZ267">
            <v>0</v>
          </cell>
          <cell r="DA267">
            <v>0</v>
          </cell>
          <cell r="DB267">
            <v>0</v>
          </cell>
          <cell r="DC267">
            <v>0</v>
          </cell>
          <cell r="DD267">
            <v>0</v>
          </cell>
          <cell r="DE267">
            <v>0</v>
          </cell>
          <cell r="DF267">
            <v>0</v>
          </cell>
          <cell r="DG267">
            <v>0</v>
          </cell>
          <cell r="DH267">
            <v>0</v>
          </cell>
          <cell r="DI267">
            <v>0</v>
          </cell>
          <cell r="DJ267">
            <v>0</v>
          </cell>
          <cell r="DK267">
            <v>0</v>
          </cell>
          <cell r="DL267">
            <v>0</v>
          </cell>
          <cell r="DM267">
            <v>0</v>
          </cell>
          <cell r="DN267">
            <v>0</v>
          </cell>
          <cell r="DO267">
            <v>0</v>
          </cell>
          <cell r="DP267">
            <v>0</v>
          </cell>
          <cell r="DQ267">
            <v>0</v>
          </cell>
          <cell r="DR267">
            <v>0</v>
          </cell>
          <cell r="DS267">
            <v>0</v>
          </cell>
          <cell r="DT267">
            <v>0</v>
          </cell>
          <cell r="DU267">
            <v>0</v>
          </cell>
          <cell r="DV267">
            <v>0</v>
          </cell>
          <cell r="DW267">
            <v>0</v>
          </cell>
          <cell r="DX267">
            <v>0</v>
          </cell>
          <cell r="DY267">
            <v>0</v>
          </cell>
          <cell r="DZ267">
            <v>0</v>
          </cell>
          <cell r="EA267">
            <v>0</v>
          </cell>
          <cell r="EB267">
            <v>0</v>
          </cell>
          <cell r="EC267">
            <v>0</v>
          </cell>
          <cell r="ED267">
            <v>0</v>
          </cell>
          <cell r="EE267">
            <v>0</v>
          </cell>
          <cell r="EF267">
            <v>0</v>
          </cell>
          <cell r="EG267">
            <v>0</v>
          </cell>
          <cell r="EH267">
            <v>0</v>
          </cell>
          <cell r="EI267">
            <v>0</v>
          </cell>
          <cell r="EJ267">
            <v>0</v>
          </cell>
          <cell r="EK267">
            <v>0</v>
          </cell>
          <cell r="EL267">
            <v>0</v>
          </cell>
          <cell r="EM267">
            <v>0</v>
          </cell>
          <cell r="EN267">
            <v>0</v>
          </cell>
          <cell r="EO267">
            <v>0</v>
          </cell>
          <cell r="EP267">
            <v>0</v>
          </cell>
          <cell r="EQ267">
            <v>0</v>
          </cell>
          <cell r="ER267">
            <v>0</v>
          </cell>
          <cell r="ES267">
            <v>0</v>
          </cell>
          <cell r="ET267">
            <v>0</v>
          </cell>
          <cell r="EU267">
            <v>0</v>
          </cell>
          <cell r="EV267">
            <v>0</v>
          </cell>
          <cell r="EW267">
            <v>0</v>
          </cell>
          <cell r="EX267">
            <v>0</v>
          </cell>
          <cell r="EY267">
            <v>0</v>
          </cell>
          <cell r="EZ267">
            <v>0</v>
          </cell>
          <cell r="FA267">
            <v>0</v>
          </cell>
          <cell r="FB267">
            <v>0</v>
          </cell>
          <cell r="FC267">
            <v>0</v>
          </cell>
          <cell r="FD267">
            <v>0</v>
          </cell>
          <cell r="FE267">
            <v>0</v>
          </cell>
          <cell r="FF267">
            <v>0</v>
          </cell>
          <cell r="FG267">
            <v>0</v>
          </cell>
          <cell r="FH267">
            <v>0</v>
          </cell>
          <cell r="FI267">
            <v>0</v>
          </cell>
          <cell r="FJ267">
            <v>0</v>
          </cell>
          <cell r="FK267">
            <v>0</v>
          </cell>
          <cell r="FL267">
            <v>0</v>
          </cell>
          <cell r="FM267">
            <v>0</v>
          </cell>
          <cell r="FN267">
            <v>0</v>
          </cell>
          <cell r="FO267">
            <v>0</v>
          </cell>
          <cell r="FP267">
            <v>0</v>
          </cell>
          <cell r="FQ267">
            <v>0</v>
          </cell>
          <cell r="FR267">
            <v>0</v>
          </cell>
          <cell r="FS267">
            <v>0</v>
          </cell>
          <cell r="FT267">
            <v>0</v>
          </cell>
          <cell r="FU267">
            <v>0</v>
          </cell>
          <cell r="FV267">
            <v>0</v>
          </cell>
          <cell r="FW267">
            <v>0</v>
          </cell>
          <cell r="FX267">
            <v>0</v>
          </cell>
          <cell r="FY267">
            <v>0</v>
          </cell>
          <cell r="FZ267">
            <v>0</v>
          </cell>
        </row>
        <row r="268">
          <cell r="B268">
            <v>0</v>
          </cell>
          <cell r="C268">
            <v>0</v>
          </cell>
          <cell r="D268">
            <v>0</v>
          </cell>
          <cell r="E268">
            <v>0</v>
          </cell>
          <cell r="F268">
            <v>0</v>
          </cell>
          <cell r="G268">
            <v>0</v>
          </cell>
          <cell r="H268">
            <v>0</v>
          </cell>
          <cell r="I268">
            <v>0</v>
          </cell>
          <cell r="J268">
            <v>0</v>
          </cell>
          <cell r="K268">
            <v>0</v>
          </cell>
          <cell r="L268">
            <v>0</v>
          </cell>
          <cell r="M268">
            <v>0</v>
          </cell>
          <cell r="N268">
            <v>0</v>
          </cell>
          <cell r="O268">
            <v>0</v>
          </cell>
          <cell r="P268">
            <v>0</v>
          </cell>
          <cell r="Q268">
            <v>0</v>
          </cell>
          <cell r="R268">
            <v>0</v>
          </cell>
          <cell r="S268">
            <v>0</v>
          </cell>
          <cell r="T268">
            <v>0</v>
          </cell>
          <cell r="U268">
            <v>0</v>
          </cell>
          <cell r="V268">
            <v>0</v>
          </cell>
          <cell r="W268">
            <v>0</v>
          </cell>
          <cell r="X268">
            <v>0</v>
          </cell>
          <cell r="Y268">
            <v>0</v>
          </cell>
          <cell r="Z268">
            <v>0</v>
          </cell>
          <cell r="AA268">
            <v>0</v>
          </cell>
          <cell r="AB268">
            <v>0</v>
          </cell>
          <cell r="AC268">
            <v>0</v>
          </cell>
          <cell r="AD268">
            <v>0</v>
          </cell>
          <cell r="AE268">
            <v>0</v>
          </cell>
          <cell r="AF268">
            <v>0</v>
          </cell>
          <cell r="AG268">
            <v>0</v>
          </cell>
          <cell r="AH268">
            <v>0</v>
          </cell>
          <cell r="AI268">
            <v>0</v>
          </cell>
          <cell r="AJ268">
            <v>0</v>
          </cell>
          <cell r="AK268">
            <v>0</v>
          </cell>
          <cell r="AL268">
            <v>0</v>
          </cell>
          <cell r="AM268">
            <v>0</v>
          </cell>
          <cell r="AN268">
            <v>0</v>
          </cell>
          <cell r="AO268">
            <v>0</v>
          </cell>
          <cell r="AP268">
            <v>0</v>
          </cell>
          <cell r="AQ268">
            <v>0</v>
          </cell>
          <cell r="AR268">
            <v>0</v>
          </cell>
          <cell r="AS268">
            <v>0</v>
          </cell>
          <cell r="AT268">
            <v>0</v>
          </cell>
          <cell r="AU268">
            <v>0</v>
          </cell>
          <cell r="AV268">
            <v>0</v>
          </cell>
          <cell r="AW268">
            <v>0</v>
          </cell>
          <cell r="AX268">
            <v>0</v>
          </cell>
          <cell r="AY268">
            <v>0</v>
          </cell>
          <cell r="AZ268">
            <v>0</v>
          </cell>
          <cell r="BA268">
            <v>0</v>
          </cell>
          <cell r="BB268">
            <v>0</v>
          </cell>
          <cell r="BC268">
            <v>0</v>
          </cell>
          <cell r="BD268">
            <v>0</v>
          </cell>
          <cell r="BE268">
            <v>0</v>
          </cell>
          <cell r="BF268">
            <v>0</v>
          </cell>
          <cell r="BG268">
            <v>0</v>
          </cell>
          <cell r="BH268">
            <v>0</v>
          </cell>
          <cell r="BI268">
            <v>0</v>
          </cell>
          <cell r="BJ268">
            <v>0</v>
          </cell>
          <cell r="BK268">
            <v>0</v>
          </cell>
          <cell r="BL268">
            <v>0</v>
          </cell>
          <cell r="BM268">
            <v>0</v>
          </cell>
          <cell r="BN268">
            <v>0</v>
          </cell>
          <cell r="BO268">
            <v>0</v>
          </cell>
          <cell r="BP268">
            <v>0</v>
          </cell>
          <cell r="BQ268">
            <v>0</v>
          </cell>
          <cell r="BR268">
            <v>0</v>
          </cell>
          <cell r="BS268">
            <v>0</v>
          </cell>
          <cell r="BT268">
            <v>0</v>
          </cell>
          <cell r="BU268">
            <v>0</v>
          </cell>
          <cell r="BV268">
            <v>0</v>
          </cell>
          <cell r="BW268">
            <v>0</v>
          </cell>
          <cell r="BX268">
            <v>0</v>
          </cell>
          <cell r="BY268">
            <v>0</v>
          </cell>
          <cell r="BZ268">
            <v>0</v>
          </cell>
          <cell r="CA268">
            <v>0</v>
          </cell>
          <cell r="CB268">
            <v>0</v>
          </cell>
          <cell r="CC268">
            <v>0</v>
          </cell>
          <cell r="CD268">
            <v>0</v>
          </cell>
          <cell r="CE268">
            <v>0</v>
          </cell>
          <cell r="CF268">
            <v>0</v>
          </cell>
          <cell r="CG268">
            <v>0</v>
          </cell>
          <cell r="CH268">
            <v>0</v>
          </cell>
          <cell r="CI268">
            <v>0</v>
          </cell>
          <cell r="CJ268">
            <v>0</v>
          </cell>
          <cell r="CK268">
            <v>0</v>
          </cell>
          <cell r="CL268">
            <v>0</v>
          </cell>
          <cell r="CM268">
            <v>0</v>
          </cell>
          <cell r="CN268">
            <v>0</v>
          </cell>
          <cell r="CO268">
            <v>0</v>
          </cell>
          <cell r="CP268">
            <v>0</v>
          </cell>
          <cell r="CQ268">
            <v>0</v>
          </cell>
          <cell r="CR268">
            <v>0</v>
          </cell>
          <cell r="CS268">
            <v>0</v>
          </cell>
          <cell r="CT268">
            <v>0</v>
          </cell>
          <cell r="CU268">
            <v>0</v>
          </cell>
          <cell r="CV268">
            <v>0</v>
          </cell>
          <cell r="CW268">
            <v>0</v>
          </cell>
          <cell r="CX268">
            <v>0</v>
          </cell>
          <cell r="CY268">
            <v>0</v>
          </cell>
          <cell r="CZ268">
            <v>0</v>
          </cell>
          <cell r="DA268">
            <v>0</v>
          </cell>
          <cell r="DB268">
            <v>0</v>
          </cell>
          <cell r="DC268">
            <v>0</v>
          </cell>
          <cell r="DD268">
            <v>0</v>
          </cell>
          <cell r="DE268">
            <v>0</v>
          </cell>
          <cell r="DF268">
            <v>0</v>
          </cell>
          <cell r="DG268">
            <v>0</v>
          </cell>
          <cell r="DH268">
            <v>0</v>
          </cell>
          <cell r="DI268">
            <v>0</v>
          </cell>
          <cell r="DJ268">
            <v>0</v>
          </cell>
          <cell r="DK268">
            <v>0</v>
          </cell>
          <cell r="DL268">
            <v>0</v>
          </cell>
          <cell r="DM268">
            <v>0</v>
          </cell>
          <cell r="DN268">
            <v>0</v>
          </cell>
          <cell r="DO268">
            <v>0</v>
          </cell>
          <cell r="DP268">
            <v>0</v>
          </cell>
          <cell r="DQ268">
            <v>0</v>
          </cell>
          <cell r="DR268">
            <v>0</v>
          </cell>
          <cell r="DS268">
            <v>0</v>
          </cell>
          <cell r="DT268">
            <v>0</v>
          </cell>
          <cell r="DU268">
            <v>0</v>
          </cell>
          <cell r="DV268">
            <v>0</v>
          </cell>
          <cell r="DW268">
            <v>0</v>
          </cell>
          <cell r="DX268">
            <v>0</v>
          </cell>
          <cell r="DY268">
            <v>0</v>
          </cell>
          <cell r="DZ268">
            <v>0</v>
          </cell>
          <cell r="EA268">
            <v>0</v>
          </cell>
          <cell r="EB268">
            <v>0</v>
          </cell>
          <cell r="EC268">
            <v>0</v>
          </cell>
          <cell r="ED268">
            <v>0</v>
          </cell>
          <cell r="EE268">
            <v>0</v>
          </cell>
          <cell r="EF268">
            <v>0</v>
          </cell>
          <cell r="EG268">
            <v>0</v>
          </cell>
          <cell r="EH268">
            <v>0</v>
          </cell>
          <cell r="EI268">
            <v>0</v>
          </cell>
          <cell r="EJ268">
            <v>0</v>
          </cell>
          <cell r="EK268">
            <v>0</v>
          </cell>
          <cell r="EL268">
            <v>0</v>
          </cell>
          <cell r="EM268">
            <v>0</v>
          </cell>
          <cell r="EN268">
            <v>0</v>
          </cell>
          <cell r="EO268">
            <v>0</v>
          </cell>
          <cell r="EP268">
            <v>0</v>
          </cell>
          <cell r="EQ268">
            <v>0</v>
          </cell>
          <cell r="ER268">
            <v>0</v>
          </cell>
          <cell r="ES268">
            <v>0</v>
          </cell>
          <cell r="ET268">
            <v>0</v>
          </cell>
          <cell r="EU268">
            <v>0</v>
          </cell>
          <cell r="EV268">
            <v>0</v>
          </cell>
          <cell r="EW268">
            <v>0</v>
          </cell>
          <cell r="EX268">
            <v>0</v>
          </cell>
          <cell r="EY268">
            <v>0</v>
          </cell>
          <cell r="EZ268">
            <v>0</v>
          </cell>
          <cell r="FA268">
            <v>0</v>
          </cell>
          <cell r="FB268">
            <v>0</v>
          </cell>
          <cell r="FC268">
            <v>0</v>
          </cell>
          <cell r="FD268">
            <v>0</v>
          </cell>
          <cell r="FE268">
            <v>0</v>
          </cell>
          <cell r="FF268">
            <v>0</v>
          </cell>
          <cell r="FG268">
            <v>0</v>
          </cell>
          <cell r="FH268">
            <v>0</v>
          </cell>
          <cell r="FI268">
            <v>0</v>
          </cell>
          <cell r="FJ268">
            <v>0</v>
          </cell>
          <cell r="FK268">
            <v>0</v>
          </cell>
          <cell r="FL268">
            <v>0</v>
          </cell>
          <cell r="FM268">
            <v>0</v>
          </cell>
          <cell r="FN268">
            <v>0</v>
          </cell>
          <cell r="FO268">
            <v>0</v>
          </cell>
          <cell r="FP268">
            <v>0</v>
          </cell>
          <cell r="FQ268">
            <v>0</v>
          </cell>
          <cell r="FR268">
            <v>0</v>
          </cell>
          <cell r="FS268">
            <v>0</v>
          </cell>
          <cell r="FT268">
            <v>0</v>
          </cell>
          <cell r="FU268">
            <v>0</v>
          </cell>
          <cell r="FV268">
            <v>0</v>
          </cell>
          <cell r="FW268">
            <v>0</v>
          </cell>
          <cell r="FX268">
            <v>0</v>
          </cell>
          <cell r="FY268">
            <v>0</v>
          </cell>
          <cell r="FZ268">
            <v>0</v>
          </cell>
        </row>
        <row r="269">
          <cell r="B269">
            <v>0</v>
          </cell>
          <cell r="C269">
            <v>0</v>
          </cell>
          <cell r="D269">
            <v>0</v>
          </cell>
          <cell r="E269">
            <v>0</v>
          </cell>
          <cell r="F269">
            <v>0</v>
          </cell>
          <cell r="G269">
            <v>0</v>
          </cell>
          <cell r="H269">
            <v>0</v>
          </cell>
          <cell r="I269">
            <v>0</v>
          </cell>
          <cell r="J269">
            <v>0</v>
          </cell>
          <cell r="K269">
            <v>0</v>
          </cell>
          <cell r="L269">
            <v>0</v>
          </cell>
          <cell r="M269">
            <v>0</v>
          </cell>
          <cell r="N269">
            <v>0</v>
          </cell>
          <cell r="O269">
            <v>0</v>
          </cell>
          <cell r="P269">
            <v>0</v>
          </cell>
          <cell r="Q269">
            <v>0</v>
          </cell>
          <cell r="R269">
            <v>0</v>
          </cell>
          <cell r="S269">
            <v>0</v>
          </cell>
          <cell r="T269">
            <v>0</v>
          </cell>
          <cell r="U269">
            <v>0</v>
          </cell>
          <cell r="V269">
            <v>0</v>
          </cell>
          <cell r="W269">
            <v>0</v>
          </cell>
          <cell r="X269">
            <v>0</v>
          </cell>
          <cell r="Y269">
            <v>0</v>
          </cell>
          <cell r="Z269">
            <v>0</v>
          </cell>
          <cell r="AA269">
            <v>0</v>
          </cell>
          <cell r="AB269">
            <v>0</v>
          </cell>
          <cell r="AC269">
            <v>0</v>
          </cell>
          <cell r="AD269">
            <v>0</v>
          </cell>
          <cell r="AE269">
            <v>0</v>
          </cell>
          <cell r="AF269">
            <v>0</v>
          </cell>
          <cell r="AG269">
            <v>0</v>
          </cell>
          <cell r="AH269">
            <v>0</v>
          </cell>
          <cell r="AI269">
            <v>0</v>
          </cell>
          <cell r="AJ269">
            <v>0</v>
          </cell>
          <cell r="AK269">
            <v>0</v>
          </cell>
          <cell r="AL269">
            <v>0</v>
          </cell>
          <cell r="AM269">
            <v>0</v>
          </cell>
          <cell r="AN269">
            <v>0</v>
          </cell>
          <cell r="AO269">
            <v>0</v>
          </cell>
          <cell r="AP269">
            <v>0</v>
          </cell>
          <cell r="AQ269">
            <v>0</v>
          </cell>
          <cell r="AR269">
            <v>0</v>
          </cell>
          <cell r="AS269">
            <v>0</v>
          </cell>
          <cell r="AT269">
            <v>0</v>
          </cell>
          <cell r="AU269">
            <v>0</v>
          </cell>
          <cell r="AV269">
            <v>0</v>
          </cell>
          <cell r="AW269">
            <v>0</v>
          </cell>
          <cell r="AX269">
            <v>0</v>
          </cell>
          <cell r="AY269">
            <v>0</v>
          </cell>
          <cell r="AZ269">
            <v>0</v>
          </cell>
          <cell r="BA269">
            <v>0</v>
          </cell>
          <cell r="BB269">
            <v>0</v>
          </cell>
          <cell r="BC269">
            <v>0</v>
          </cell>
          <cell r="BD269">
            <v>0</v>
          </cell>
          <cell r="BE269">
            <v>0</v>
          </cell>
          <cell r="BF269">
            <v>0</v>
          </cell>
          <cell r="BG269">
            <v>0</v>
          </cell>
          <cell r="BH269">
            <v>0</v>
          </cell>
          <cell r="BI269">
            <v>0</v>
          </cell>
          <cell r="BJ269">
            <v>0</v>
          </cell>
          <cell r="BK269">
            <v>0</v>
          </cell>
          <cell r="BL269">
            <v>0</v>
          </cell>
          <cell r="BM269">
            <v>0</v>
          </cell>
          <cell r="BN269">
            <v>0</v>
          </cell>
          <cell r="BO269">
            <v>0</v>
          </cell>
          <cell r="BP269">
            <v>0</v>
          </cell>
          <cell r="BQ269">
            <v>0</v>
          </cell>
          <cell r="BR269">
            <v>0</v>
          </cell>
          <cell r="BS269">
            <v>0</v>
          </cell>
          <cell r="BT269">
            <v>0</v>
          </cell>
          <cell r="BU269">
            <v>0</v>
          </cell>
          <cell r="BV269">
            <v>0</v>
          </cell>
          <cell r="BW269">
            <v>0</v>
          </cell>
          <cell r="BX269">
            <v>0</v>
          </cell>
          <cell r="BY269">
            <v>0</v>
          </cell>
          <cell r="BZ269">
            <v>0</v>
          </cell>
          <cell r="CA269">
            <v>0</v>
          </cell>
          <cell r="CB269">
            <v>0</v>
          </cell>
          <cell r="CC269">
            <v>0</v>
          </cell>
          <cell r="CD269">
            <v>0</v>
          </cell>
          <cell r="CE269">
            <v>0</v>
          </cell>
          <cell r="CF269">
            <v>0</v>
          </cell>
          <cell r="CG269">
            <v>0</v>
          </cell>
          <cell r="CH269">
            <v>0</v>
          </cell>
          <cell r="CI269">
            <v>0</v>
          </cell>
          <cell r="CJ269">
            <v>0</v>
          </cell>
          <cell r="CK269">
            <v>0</v>
          </cell>
          <cell r="CL269">
            <v>0</v>
          </cell>
          <cell r="CM269">
            <v>0</v>
          </cell>
          <cell r="CN269">
            <v>0</v>
          </cell>
          <cell r="CO269">
            <v>0</v>
          </cell>
          <cell r="CP269">
            <v>0</v>
          </cell>
          <cell r="CQ269">
            <v>0</v>
          </cell>
          <cell r="CR269">
            <v>0</v>
          </cell>
          <cell r="CS269">
            <v>0</v>
          </cell>
          <cell r="CT269">
            <v>0</v>
          </cell>
          <cell r="CU269">
            <v>0</v>
          </cell>
          <cell r="CV269">
            <v>0</v>
          </cell>
          <cell r="CW269">
            <v>0</v>
          </cell>
          <cell r="CX269">
            <v>0</v>
          </cell>
          <cell r="CY269">
            <v>0</v>
          </cell>
          <cell r="CZ269">
            <v>0</v>
          </cell>
          <cell r="DA269">
            <v>0</v>
          </cell>
          <cell r="DB269">
            <v>0</v>
          </cell>
          <cell r="DC269">
            <v>0</v>
          </cell>
          <cell r="DD269">
            <v>0</v>
          </cell>
          <cell r="DE269">
            <v>0</v>
          </cell>
          <cell r="DF269">
            <v>0</v>
          </cell>
          <cell r="DG269">
            <v>0</v>
          </cell>
          <cell r="DH269">
            <v>0</v>
          </cell>
          <cell r="DI269">
            <v>0</v>
          </cell>
          <cell r="DJ269">
            <v>0</v>
          </cell>
          <cell r="DK269">
            <v>0</v>
          </cell>
          <cell r="DL269">
            <v>0</v>
          </cell>
          <cell r="DM269">
            <v>0</v>
          </cell>
          <cell r="DN269">
            <v>0</v>
          </cell>
          <cell r="DO269">
            <v>0</v>
          </cell>
          <cell r="DP269">
            <v>0</v>
          </cell>
          <cell r="DQ269">
            <v>0</v>
          </cell>
          <cell r="DR269">
            <v>0</v>
          </cell>
          <cell r="DS269">
            <v>0</v>
          </cell>
          <cell r="DT269">
            <v>0</v>
          </cell>
          <cell r="DU269">
            <v>0</v>
          </cell>
          <cell r="DV269">
            <v>0</v>
          </cell>
          <cell r="DW269">
            <v>0</v>
          </cell>
          <cell r="DX269">
            <v>0</v>
          </cell>
          <cell r="DY269">
            <v>0</v>
          </cell>
          <cell r="EA269">
            <v>0</v>
          </cell>
          <cell r="EB269">
            <v>0</v>
          </cell>
          <cell r="EC269">
            <v>0</v>
          </cell>
          <cell r="ED269">
            <v>0</v>
          </cell>
          <cell r="EE269">
            <v>0</v>
          </cell>
          <cell r="EF269">
            <v>0</v>
          </cell>
          <cell r="EG269">
            <v>0</v>
          </cell>
          <cell r="EH269">
            <v>0</v>
          </cell>
          <cell r="EI269">
            <v>0</v>
          </cell>
          <cell r="EJ269">
            <v>0</v>
          </cell>
          <cell r="EK269">
            <v>0</v>
          </cell>
          <cell r="EL269">
            <v>0</v>
          </cell>
          <cell r="EM269">
            <v>0</v>
          </cell>
          <cell r="EN269">
            <v>0</v>
          </cell>
          <cell r="EO269">
            <v>0</v>
          </cell>
          <cell r="EP269">
            <v>0</v>
          </cell>
          <cell r="EQ269">
            <v>0</v>
          </cell>
          <cell r="ER269">
            <v>0</v>
          </cell>
          <cell r="ES269">
            <v>0</v>
          </cell>
          <cell r="ET269">
            <v>0</v>
          </cell>
          <cell r="EU269">
            <v>0</v>
          </cell>
          <cell r="EV269">
            <v>0</v>
          </cell>
          <cell r="EW269">
            <v>0</v>
          </cell>
          <cell r="EX269">
            <v>0</v>
          </cell>
          <cell r="EY269">
            <v>0</v>
          </cell>
          <cell r="EZ269">
            <v>0</v>
          </cell>
          <cell r="FA269">
            <v>0</v>
          </cell>
          <cell r="FB269">
            <v>0</v>
          </cell>
          <cell r="FC269">
            <v>0</v>
          </cell>
          <cell r="FD269">
            <v>0</v>
          </cell>
          <cell r="FE269">
            <v>0</v>
          </cell>
          <cell r="FF269">
            <v>0</v>
          </cell>
          <cell r="FG269">
            <v>0</v>
          </cell>
          <cell r="FH269">
            <v>0</v>
          </cell>
          <cell r="FI269">
            <v>0</v>
          </cell>
          <cell r="FJ269">
            <v>0</v>
          </cell>
          <cell r="FK269">
            <v>0</v>
          </cell>
          <cell r="FL269">
            <v>0</v>
          </cell>
          <cell r="FM269">
            <v>0</v>
          </cell>
          <cell r="FN269">
            <v>0</v>
          </cell>
          <cell r="FO269">
            <v>0</v>
          </cell>
          <cell r="FP269">
            <v>0</v>
          </cell>
          <cell r="FQ269">
            <v>0</v>
          </cell>
          <cell r="FR269">
            <v>0</v>
          </cell>
          <cell r="FS269">
            <v>0</v>
          </cell>
          <cell r="FT269">
            <v>0</v>
          </cell>
          <cell r="FU269">
            <v>0</v>
          </cell>
          <cell r="FV269">
            <v>0</v>
          </cell>
          <cell r="FW269">
            <v>0</v>
          </cell>
          <cell r="FX269">
            <v>0</v>
          </cell>
          <cell r="FY269">
            <v>0</v>
          </cell>
          <cell r="FZ269">
            <v>0</v>
          </cell>
        </row>
        <row r="270">
          <cell r="B270">
            <v>0</v>
          </cell>
          <cell r="C270">
            <v>0</v>
          </cell>
          <cell r="D270">
            <v>0</v>
          </cell>
          <cell r="E270">
            <v>0</v>
          </cell>
          <cell r="F270">
            <v>0</v>
          </cell>
          <cell r="G270">
            <v>0</v>
          </cell>
          <cell r="H270">
            <v>0</v>
          </cell>
          <cell r="I270">
            <v>0</v>
          </cell>
          <cell r="J270">
            <v>0</v>
          </cell>
          <cell r="K270">
            <v>0</v>
          </cell>
          <cell r="L270">
            <v>0</v>
          </cell>
          <cell r="M270">
            <v>0</v>
          </cell>
          <cell r="N270">
            <v>0</v>
          </cell>
          <cell r="O270">
            <v>0</v>
          </cell>
          <cell r="P270">
            <v>0</v>
          </cell>
          <cell r="Q270">
            <v>0</v>
          </cell>
          <cell r="R270">
            <v>0</v>
          </cell>
          <cell r="S270">
            <v>0</v>
          </cell>
          <cell r="T270">
            <v>0</v>
          </cell>
          <cell r="U270">
            <v>0</v>
          </cell>
          <cell r="V270">
            <v>0</v>
          </cell>
          <cell r="W270">
            <v>0</v>
          </cell>
          <cell r="X270">
            <v>0</v>
          </cell>
          <cell r="Y270">
            <v>0</v>
          </cell>
          <cell r="Z270">
            <v>0</v>
          </cell>
          <cell r="AA270">
            <v>0</v>
          </cell>
          <cell r="AB270">
            <v>0</v>
          </cell>
          <cell r="AC270">
            <v>0</v>
          </cell>
          <cell r="AD270">
            <v>0</v>
          </cell>
          <cell r="AE270">
            <v>0</v>
          </cell>
          <cell r="AF270">
            <v>0</v>
          </cell>
          <cell r="AG270">
            <v>0</v>
          </cell>
          <cell r="AH270">
            <v>0</v>
          </cell>
          <cell r="AI270">
            <v>0</v>
          </cell>
          <cell r="AJ270">
            <v>0</v>
          </cell>
          <cell r="AK270">
            <v>0</v>
          </cell>
          <cell r="AL270">
            <v>0</v>
          </cell>
          <cell r="AM270">
            <v>0</v>
          </cell>
          <cell r="AN270">
            <v>0</v>
          </cell>
          <cell r="AO270">
            <v>0</v>
          </cell>
          <cell r="AP270">
            <v>0</v>
          </cell>
          <cell r="AQ270">
            <v>0</v>
          </cell>
          <cell r="AR270">
            <v>0</v>
          </cell>
          <cell r="AS270">
            <v>0</v>
          </cell>
          <cell r="AT270">
            <v>0</v>
          </cell>
          <cell r="AU270">
            <v>0</v>
          </cell>
          <cell r="AV270">
            <v>0</v>
          </cell>
          <cell r="AW270">
            <v>0</v>
          </cell>
          <cell r="AX270">
            <v>0</v>
          </cell>
          <cell r="AY270">
            <v>0</v>
          </cell>
          <cell r="AZ270">
            <v>0</v>
          </cell>
          <cell r="BA270">
            <v>0</v>
          </cell>
          <cell r="BB270">
            <v>0</v>
          </cell>
          <cell r="BC270">
            <v>0</v>
          </cell>
          <cell r="BD270">
            <v>0</v>
          </cell>
          <cell r="BE270">
            <v>0</v>
          </cell>
          <cell r="BF270">
            <v>0</v>
          </cell>
          <cell r="BG270">
            <v>0</v>
          </cell>
          <cell r="BH270">
            <v>0</v>
          </cell>
          <cell r="BI270">
            <v>0</v>
          </cell>
          <cell r="BJ270">
            <v>0</v>
          </cell>
          <cell r="BK270">
            <v>0</v>
          </cell>
          <cell r="BL270">
            <v>0</v>
          </cell>
          <cell r="BM270">
            <v>0</v>
          </cell>
          <cell r="BN270">
            <v>0</v>
          </cell>
          <cell r="BO270">
            <v>0</v>
          </cell>
          <cell r="BP270">
            <v>0</v>
          </cell>
          <cell r="BQ270">
            <v>0</v>
          </cell>
          <cell r="BR270">
            <v>0</v>
          </cell>
          <cell r="BS270">
            <v>0</v>
          </cell>
          <cell r="BT270">
            <v>0</v>
          </cell>
          <cell r="BU270">
            <v>0</v>
          </cell>
          <cell r="BV270">
            <v>0</v>
          </cell>
          <cell r="BW270">
            <v>0</v>
          </cell>
          <cell r="BX270">
            <v>0</v>
          </cell>
          <cell r="BY270">
            <v>0</v>
          </cell>
          <cell r="BZ270">
            <v>0</v>
          </cell>
          <cell r="CA270">
            <v>0</v>
          </cell>
          <cell r="CB270">
            <v>0</v>
          </cell>
          <cell r="CC270">
            <v>0</v>
          </cell>
          <cell r="CD270">
            <v>0</v>
          </cell>
          <cell r="CE270">
            <v>0</v>
          </cell>
          <cell r="CF270">
            <v>0</v>
          </cell>
          <cell r="CG270">
            <v>0</v>
          </cell>
          <cell r="CH270">
            <v>0</v>
          </cell>
          <cell r="CI270">
            <v>0</v>
          </cell>
          <cell r="CJ270">
            <v>0</v>
          </cell>
          <cell r="CK270">
            <v>0</v>
          </cell>
          <cell r="CL270">
            <v>0</v>
          </cell>
          <cell r="CM270">
            <v>0</v>
          </cell>
          <cell r="CN270">
            <v>0</v>
          </cell>
          <cell r="CO270">
            <v>0</v>
          </cell>
          <cell r="CP270">
            <v>0</v>
          </cell>
          <cell r="CQ270">
            <v>0</v>
          </cell>
          <cell r="CR270">
            <v>0</v>
          </cell>
          <cell r="CS270">
            <v>0</v>
          </cell>
          <cell r="CT270">
            <v>0</v>
          </cell>
          <cell r="CU270">
            <v>0</v>
          </cell>
          <cell r="CV270">
            <v>0</v>
          </cell>
          <cell r="CW270">
            <v>0</v>
          </cell>
          <cell r="CX270">
            <v>0</v>
          </cell>
          <cell r="CY270">
            <v>0</v>
          </cell>
          <cell r="CZ270">
            <v>0</v>
          </cell>
          <cell r="DA270">
            <v>0</v>
          </cell>
          <cell r="DB270">
            <v>0</v>
          </cell>
          <cell r="DC270">
            <v>0</v>
          </cell>
          <cell r="DD270">
            <v>0</v>
          </cell>
          <cell r="DE270">
            <v>0</v>
          </cell>
          <cell r="DF270">
            <v>0</v>
          </cell>
          <cell r="DG270">
            <v>0</v>
          </cell>
          <cell r="DH270">
            <v>0</v>
          </cell>
          <cell r="DI270">
            <v>0</v>
          </cell>
          <cell r="DJ270">
            <v>0</v>
          </cell>
          <cell r="DK270">
            <v>0</v>
          </cell>
          <cell r="DL270">
            <v>0</v>
          </cell>
          <cell r="DM270">
            <v>0</v>
          </cell>
          <cell r="DN270">
            <v>0</v>
          </cell>
          <cell r="DO270">
            <v>0</v>
          </cell>
          <cell r="DP270">
            <v>0</v>
          </cell>
          <cell r="DQ270">
            <v>0</v>
          </cell>
          <cell r="DR270">
            <v>0</v>
          </cell>
          <cell r="DS270">
            <v>0</v>
          </cell>
          <cell r="DT270">
            <v>0</v>
          </cell>
          <cell r="DU270">
            <v>0</v>
          </cell>
          <cell r="DV270">
            <v>0</v>
          </cell>
          <cell r="DW270">
            <v>0</v>
          </cell>
          <cell r="DX270">
            <v>0</v>
          </cell>
          <cell r="DY270">
            <v>0</v>
          </cell>
          <cell r="EA270">
            <v>0</v>
          </cell>
          <cell r="EB270">
            <v>0</v>
          </cell>
          <cell r="EC270">
            <v>0</v>
          </cell>
          <cell r="ED270">
            <v>0</v>
          </cell>
          <cell r="EE270">
            <v>0</v>
          </cell>
          <cell r="EF270">
            <v>0</v>
          </cell>
          <cell r="EG270">
            <v>0</v>
          </cell>
          <cell r="EH270">
            <v>0</v>
          </cell>
          <cell r="EI270">
            <v>0</v>
          </cell>
          <cell r="EJ270">
            <v>0</v>
          </cell>
          <cell r="EK270">
            <v>0</v>
          </cell>
          <cell r="EL270">
            <v>0</v>
          </cell>
          <cell r="EM270">
            <v>0</v>
          </cell>
          <cell r="EN270">
            <v>0</v>
          </cell>
          <cell r="EO270">
            <v>0</v>
          </cell>
          <cell r="EP270">
            <v>0</v>
          </cell>
          <cell r="EQ270">
            <v>0</v>
          </cell>
          <cell r="ER270">
            <v>0</v>
          </cell>
          <cell r="ES270">
            <v>0</v>
          </cell>
          <cell r="ET270">
            <v>0</v>
          </cell>
          <cell r="EU270">
            <v>0</v>
          </cell>
          <cell r="EV270">
            <v>0</v>
          </cell>
          <cell r="EW270">
            <v>0</v>
          </cell>
          <cell r="EX270">
            <v>0</v>
          </cell>
          <cell r="EY270">
            <v>0</v>
          </cell>
          <cell r="EZ270">
            <v>0</v>
          </cell>
          <cell r="FA270">
            <v>0</v>
          </cell>
          <cell r="FB270">
            <v>0</v>
          </cell>
          <cell r="FC270">
            <v>0</v>
          </cell>
          <cell r="FD270">
            <v>0</v>
          </cell>
          <cell r="FE270">
            <v>0</v>
          </cell>
          <cell r="FF270">
            <v>0</v>
          </cell>
          <cell r="FG270">
            <v>0</v>
          </cell>
          <cell r="FH270">
            <v>0</v>
          </cell>
          <cell r="FI270">
            <v>0</v>
          </cell>
          <cell r="FJ270">
            <v>0</v>
          </cell>
          <cell r="FK270">
            <v>0</v>
          </cell>
          <cell r="FL270">
            <v>0</v>
          </cell>
          <cell r="FM270">
            <v>0</v>
          </cell>
          <cell r="FN270">
            <v>0</v>
          </cell>
          <cell r="FO270">
            <v>0</v>
          </cell>
          <cell r="FP270">
            <v>0</v>
          </cell>
          <cell r="FQ270">
            <v>0</v>
          </cell>
          <cell r="FR270">
            <v>0</v>
          </cell>
          <cell r="FS270">
            <v>0</v>
          </cell>
          <cell r="FT270">
            <v>0</v>
          </cell>
          <cell r="FU270">
            <v>0</v>
          </cell>
          <cell r="FV270">
            <v>0</v>
          </cell>
          <cell r="FW270">
            <v>0</v>
          </cell>
          <cell r="FX270">
            <v>0</v>
          </cell>
          <cell r="FY270">
            <v>0</v>
          </cell>
          <cell r="FZ270">
            <v>0</v>
          </cell>
        </row>
        <row r="271">
          <cell r="B271">
            <v>0</v>
          </cell>
          <cell r="C271">
            <v>0</v>
          </cell>
          <cell r="D271">
            <v>0</v>
          </cell>
          <cell r="E271">
            <v>0</v>
          </cell>
          <cell r="F271">
            <v>0</v>
          </cell>
          <cell r="G271">
            <v>0</v>
          </cell>
          <cell r="H271">
            <v>0</v>
          </cell>
          <cell r="I271">
            <v>0</v>
          </cell>
          <cell r="J271">
            <v>0</v>
          </cell>
          <cell r="K271">
            <v>0</v>
          </cell>
          <cell r="L271">
            <v>0</v>
          </cell>
          <cell r="M271">
            <v>0</v>
          </cell>
          <cell r="N271">
            <v>0</v>
          </cell>
          <cell r="O271">
            <v>0</v>
          </cell>
          <cell r="P271">
            <v>0</v>
          </cell>
          <cell r="Q271">
            <v>0</v>
          </cell>
          <cell r="R271">
            <v>0</v>
          </cell>
          <cell r="S271">
            <v>0</v>
          </cell>
          <cell r="T271">
            <v>0</v>
          </cell>
          <cell r="U271">
            <v>0</v>
          </cell>
          <cell r="V271">
            <v>0</v>
          </cell>
          <cell r="W271">
            <v>0</v>
          </cell>
          <cell r="X271">
            <v>0</v>
          </cell>
          <cell r="Y271">
            <v>0</v>
          </cell>
          <cell r="Z271">
            <v>0</v>
          </cell>
          <cell r="AA271">
            <v>0</v>
          </cell>
          <cell r="AB271">
            <v>0</v>
          </cell>
          <cell r="AC271">
            <v>0</v>
          </cell>
          <cell r="AD271">
            <v>0</v>
          </cell>
          <cell r="AE271">
            <v>0</v>
          </cell>
          <cell r="AF271">
            <v>0</v>
          </cell>
          <cell r="AG271">
            <v>0</v>
          </cell>
          <cell r="AH271">
            <v>0</v>
          </cell>
          <cell r="AI271">
            <v>0</v>
          </cell>
          <cell r="AJ271">
            <v>0</v>
          </cell>
          <cell r="AK271">
            <v>0</v>
          </cell>
          <cell r="AL271">
            <v>0</v>
          </cell>
          <cell r="AM271">
            <v>0</v>
          </cell>
          <cell r="AN271">
            <v>0</v>
          </cell>
          <cell r="AO271">
            <v>0</v>
          </cell>
          <cell r="AP271">
            <v>0</v>
          </cell>
          <cell r="AQ271">
            <v>0</v>
          </cell>
          <cell r="AR271">
            <v>0</v>
          </cell>
          <cell r="AS271">
            <v>0</v>
          </cell>
          <cell r="AT271">
            <v>0</v>
          </cell>
          <cell r="AU271">
            <v>0</v>
          </cell>
          <cell r="AV271">
            <v>0</v>
          </cell>
          <cell r="AW271">
            <v>0</v>
          </cell>
          <cell r="AX271">
            <v>0</v>
          </cell>
          <cell r="AY271">
            <v>0</v>
          </cell>
          <cell r="AZ271">
            <v>0</v>
          </cell>
          <cell r="BA271">
            <v>0</v>
          </cell>
          <cell r="BB271">
            <v>0</v>
          </cell>
          <cell r="BC271">
            <v>0</v>
          </cell>
          <cell r="BD271">
            <v>0</v>
          </cell>
          <cell r="BE271">
            <v>0</v>
          </cell>
          <cell r="BF271">
            <v>0</v>
          </cell>
          <cell r="BG271">
            <v>0</v>
          </cell>
          <cell r="BH271">
            <v>0</v>
          </cell>
          <cell r="BI271">
            <v>0</v>
          </cell>
          <cell r="BJ271">
            <v>0</v>
          </cell>
          <cell r="BK271">
            <v>0</v>
          </cell>
          <cell r="BL271">
            <v>0</v>
          </cell>
          <cell r="BM271">
            <v>0</v>
          </cell>
          <cell r="BN271">
            <v>0</v>
          </cell>
          <cell r="BO271">
            <v>0</v>
          </cell>
          <cell r="BP271">
            <v>0</v>
          </cell>
          <cell r="BQ271">
            <v>0</v>
          </cell>
          <cell r="BR271">
            <v>0</v>
          </cell>
          <cell r="BS271">
            <v>0</v>
          </cell>
          <cell r="BT271">
            <v>0</v>
          </cell>
          <cell r="BU271">
            <v>0</v>
          </cell>
          <cell r="BV271">
            <v>0</v>
          </cell>
          <cell r="BW271">
            <v>0</v>
          </cell>
          <cell r="BX271">
            <v>0</v>
          </cell>
          <cell r="BY271">
            <v>0</v>
          </cell>
          <cell r="BZ271">
            <v>0</v>
          </cell>
          <cell r="CA271">
            <v>0</v>
          </cell>
          <cell r="CB271">
            <v>0</v>
          </cell>
          <cell r="CC271">
            <v>0</v>
          </cell>
          <cell r="CD271">
            <v>0</v>
          </cell>
          <cell r="CE271">
            <v>0</v>
          </cell>
          <cell r="CF271">
            <v>0</v>
          </cell>
          <cell r="CG271">
            <v>0</v>
          </cell>
          <cell r="CH271">
            <v>0</v>
          </cell>
          <cell r="CI271">
            <v>0</v>
          </cell>
          <cell r="CJ271">
            <v>0</v>
          </cell>
          <cell r="CK271">
            <v>0</v>
          </cell>
          <cell r="CL271">
            <v>0</v>
          </cell>
          <cell r="CM271">
            <v>0</v>
          </cell>
          <cell r="CN271">
            <v>0</v>
          </cell>
          <cell r="CO271">
            <v>0</v>
          </cell>
          <cell r="CP271">
            <v>0</v>
          </cell>
          <cell r="CQ271">
            <v>0</v>
          </cell>
          <cell r="CR271">
            <v>0</v>
          </cell>
          <cell r="CS271">
            <v>0</v>
          </cell>
          <cell r="CT271">
            <v>0</v>
          </cell>
          <cell r="CU271">
            <v>0</v>
          </cell>
          <cell r="CV271">
            <v>0</v>
          </cell>
          <cell r="CW271">
            <v>0</v>
          </cell>
          <cell r="CX271">
            <v>0</v>
          </cell>
          <cell r="CY271">
            <v>0</v>
          </cell>
          <cell r="CZ271">
            <v>0</v>
          </cell>
          <cell r="DA271">
            <v>0</v>
          </cell>
          <cell r="DB271">
            <v>0</v>
          </cell>
          <cell r="DC271">
            <v>0</v>
          </cell>
          <cell r="DD271">
            <v>0</v>
          </cell>
          <cell r="DE271">
            <v>0</v>
          </cell>
          <cell r="DF271">
            <v>0</v>
          </cell>
          <cell r="DG271">
            <v>0</v>
          </cell>
          <cell r="DH271">
            <v>0</v>
          </cell>
          <cell r="DI271">
            <v>0</v>
          </cell>
          <cell r="DJ271">
            <v>0</v>
          </cell>
          <cell r="DK271">
            <v>0</v>
          </cell>
          <cell r="DL271">
            <v>0</v>
          </cell>
          <cell r="DM271">
            <v>0</v>
          </cell>
          <cell r="DN271">
            <v>0</v>
          </cell>
          <cell r="DO271">
            <v>0</v>
          </cell>
          <cell r="DP271">
            <v>0</v>
          </cell>
          <cell r="DQ271">
            <v>0</v>
          </cell>
          <cell r="DR271">
            <v>0</v>
          </cell>
          <cell r="DS271">
            <v>0</v>
          </cell>
          <cell r="DT271">
            <v>0</v>
          </cell>
          <cell r="DU271">
            <v>0</v>
          </cell>
          <cell r="DV271">
            <v>0</v>
          </cell>
          <cell r="DW271">
            <v>0</v>
          </cell>
          <cell r="DX271">
            <v>0</v>
          </cell>
          <cell r="DY271">
            <v>0</v>
          </cell>
          <cell r="EA271">
            <v>0</v>
          </cell>
          <cell r="EB271">
            <v>0</v>
          </cell>
          <cell r="EC271">
            <v>0</v>
          </cell>
          <cell r="ED271">
            <v>0</v>
          </cell>
          <cell r="EE271">
            <v>0</v>
          </cell>
          <cell r="EF271">
            <v>0</v>
          </cell>
          <cell r="EG271">
            <v>0</v>
          </cell>
          <cell r="EH271">
            <v>0</v>
          </cell>
          <cell r="EI271">
            <v>0</v>
          </cell>
          <cell r="EJ271">
            <v>0</v>
          </cell>
          <cell r="EK271">
            <v>0</v>
          </cell>
          <cell r="EL271">
            <v>0</v>
          </cell>
          <cell r="EM271">
            <v>0</v>
          </cell>
          <cell r="EN271">
            <v>0</v>
          </cell>
          <cell r="EO271">
            <v>0</v>
          </cell>
          <cell r="EP271">
            <v>0</v>
          </cell>
          <cell r="EQ271">
            <v>0</v>
          </cell>
          <cell r="ER271">
            <v>0</v>
          </cell>
          <cell r="ES271">
            <v>0</v>
          </cell>
          <cell r="ET271">
            <v>0</v>
          </cell>
          <cell r="EU271">
            <v>0</v>
          </cell>
          <cell r="EV271">
            <v>0</v>
          </cell>
          <cell r="EW271">
            <v>0</v>
          </cell>
          <cell r="EX271">
            <v>0</v>
          </cell>
          <cell r="EY271">
            <v>0</v>
          </cell>
          <cell r="EZ271">
            <v>0</v>
          </cell>
          <cell r="FA271">
            <v>0</v>
          </cell>
          <cell r="FB271">
            <v>0</v>
          </cell>
          <cell r="FC271">
            <v>0</v>
          </cell>
          <cell r="FD271">
            <v>0</v>
          </cell>
          <cell r="FE271">
            <v>0</v>
          </cell>
          <cell r="FF271">
            <v>0</v>
          </cell>
          <cell r="FG271">
            <v>0</v>
          </cell>
          <cell r="FH271">
            <v>0</v>
          </cell>
          <cell r="FI271">
            <v>0</v>
          </cell>
          <cell r="FJ271">
            <v>0</v>
          </cell>
          <cell r="FK271">
            <v>0</v>
          </cell>
          <cell r="FL271">
            <v>0</v>
          </cell>
          <cell r="FM271">
            <v>0</v>
          </cell>
          <cell r="FN271">
            <v>0</v>
          </cell>
          <cell r="FO271">
            <v>0</v>
          </cell>
          <cell r="FP271">
            <v>0</v>
          </cell>
          <cell r="FQ271">
            <v>0</v>
          </cell>
          <cell r="FR271">
            <v>0</v>
          </cell>
          <cell r="FS271">
            <v>0</v>
          </cell>
          <cell r="FT271">
            <v>0</v>
          </cell>
          <cell r="FU271">
            <v>0</v>
          </cell>
          <cell r="FV271">
            <v>0</v>
          </cell>
          <cell r="FW271">
            <v>0</v>
          </cell>
          <cell r="FX271">
            <v>0</v>
          </cell>
          <cell r="FY271">
            <v>0</v>
          </cell>
          <cell r="FZ271">
            <v>0</v>
          </cell>
        </row>
        <row r="272">
          <cell r="B272">
            <v>0</v>
          </cell>
          <cell r="C272">
            <v>0</v>
          </cell>
          <cell r="D272">
            <v>0</v>
          </cell>
          <cell r="E272">
            <v>0</v>
          </cell>
          <cell r="F272">
            <v>0</v>
          </cell>
          <cell r="G272">
            <v>0</v>
          </cell>
          <cell r="H272">
            <v>0</v>
          </cell>
          <cell r="I272">
            <v>0</v>
          </cell>
          <cell r="J272">
            <v>0</v>
          </cell>
          <cell r="K272">
            <v>0</v>
          </cell>
          <cell r="L272">
            <v>0</v>
          </cell>
          <cell r="M272">
            <v>0</v>
          </cell>
          <cell r="N272">
            <v>0</v>
          </cell>
          <cell r="O272">
            <v>0</v>
          </cell>
          <cell r="P272">
            <v>0</v>
          </cell>
          <cell r="Q272">
            <v>0</v>
          </cell>
          <cell r="R272">
            <v>0</v>
          </cell>
          <cell r="S272">
            <v>0</v>
          </cell>
          <cell r="T272">
            <v>0</v>
          </cell>
          <cell r="U272">
            <v>0</v>
          </cell>
          <cell r="V272">
            <v>0</v>
          </cell>
          <cell r="W272">
            <v>0</v>
          </cell>
          <cell r="X272">
            <v>0</v>
          </cell>
          <cell r="Y272">
            <v>0</v>
          </cell>
          <cell r="Z272">
            <v>0</v>
          </cell>
          <cell r="AA272">
            <v>0</v>
          </cell>
          <cell r="AB272">
            <v>0</v>
          </cell>
          <cell r="AC272">
            <v>0</v>
          </cell>
          <cell r="AD272">
            <v>0</v>
          </cell>
          <cell r="AE272">
            <v>0</v>
          </cell>
          <cell r="AF272">
            <v>0</v>
          </cell>
          <cell r="AG272">
            <v>0</v>
          </cell>
          <cell r="AH272">
            <v>0</v>
          </cell>
          <cell r="AI272">
            <v>0</v>
          </cell>
          <cell r="AJ272">
            <v>0</v>
          </cell>
          <cell r="AK272">
            <v>0</v>
          </cell>
          <cell r="AL272">
            <v>0</v>
          </cell>
          <cell r="AM272">
            <v>0</v>
          </cell>
          <cell r="AN272">
            <v>0</v>
          </cell>
          <cell r="AO272">
            <v>0</v>
          </cell>
          <cell r="AP272">
            <v>0</v>
          </cell>
          <cell r="AQ272">
            <v>0</v>
          </cell>
          <cell r="AR272">
            <v>0</v>
          </cell>
          <cell r="AS272">
            <v>0</v>
          </cell>
          <cell r="AT272">
            <v>0</v>
          </cell>
          <cell r="AU272">
            <v>0</v>
          </cell>
          <cell r="AV272">
            <v>0</v>
          </cell>
          <cell r="AW272">
            <v>0</v>
          </cell>
          <cell r="AX272">
            <v>0</v>
          </cell>
          <cell r="AY272">
            <v>0</v>
          </cell>
          <cell r="AZ272">
            <v>0</v>
          </cell>
          <cell r="BA272">
            <v>0</v>
          </cell>
          <cell r="BB272">
            <v>0</v>
          </cell>
          <cell r="BC272">
            <v>0</v>
          </cell>
          <cell r="BD272">
            <v>0</v>
          </cell>
          <cell r="BE272">
            <v>0</v>
          </cell>
          <cell r="BF272">
            <v>0</v>
          </cell>
          <cell r="BG272">
            <v>0</v>
          </cell>
          <cell r="BH272">
            <v>0</v>
          </cell>
          <cell r="BI272">
            <v>0</v>
          </cell>
          <cell r="BJ272">
            <v>0</v>
          </cell>
          <cell r="BK272">
            <v>0</v>
          </cell>
          <cell r="BL272">
            <v>0</v>
          </cell>
          <cell r="BM272">
            <v>0</v>
          </cell>
          <cell r="BN272">
            <v>0</v>
          </cell>
          <cell r="BO272">
            <v>0</v>
          </cell>
          <cell r="BP272">
            <v>0</v>
          </cell>
          <cell r="BQ272">
            <v>0</v>
          </cell>
          <cell r="BR272">
            <v>0</v>
          </cell>
          <cell r="BS272">
            <v>0</v>
          </cell>
          <cell r="BT272">
            <v>0</v>
          </cell>
          <cell r="BU272">
            <v>0</v>
          </cell>
          <cell r="BV272">
            <v>0</v>
          </cell>
          <cell r="BW272">
            <v>0</v>
          </cell>
          <cell r="BX272">
            <v>0</v>
          </cell>
          <cell r="BY272">
            <v>0</v>
          </cell>
          <cell r="BZ272">
            <v>0</v>
          </cell>
          <cell r="CA272">
            <v>0</v>
          </cell>
          <cell r="CB272">
            <v>0</v>
          </cell>
          <cell r="CC272">
            <v>0</v>
          </cell>
          <cell r="CD272">
            <v>0</v>
          </cell>
          <cell r="CE272">
            <v>0</v>
          </cell>
          <cell r="CF272">
            <v>0</v>
          </cell>
          <cell r="CG272">
            <v>0</v>
          </cell>
          <cell r="CH272">
            <v>0</v>
          </cell>
          <cell r="CI272">
            <v>0</v>
          </cell>
          <cell r="CJ272">
            <v>0</v>
          </cell>
          <cell r="CK272">
            <v>0</v>
          </cell>
          <cell r="CL272">
            <v>0</v>
          </cell>
          <cell r="CM272">
            <v>0</v>
          </cell>
          <cell r="CN272">
            <v>0</v>
          </cell>
          <cell r="CO272">
            <v>0</v>
          </cell>
          <cell r="CP272">
            <v>0</v>
          </cell>
          <cell r="CQ272">
            <v>0</v>
          </cell>
          <cell r="CR272">
            <v>0</v>
          </cell>
          <cell r="CS272">
            <v>0</v>
          </cell>
          <cell r="CT272">
            <v>0</v>
          </cell>
          <cell r="CU272">
            <v>0</v>
          </cell>
          <cell r="CV272">
            <v>0</v>
          </cell>
          <cell r="CW272">
            <v>0</v>
          </cell>
          <cell r="CX272">
            <v>0</v>
          </cell>
          <cell r="CY272">
            <v>0</v>
          </cell>
          <cell r="CZ272">
            <v>0</v>
          </cell>
          <cell r="DA272">
            <v>0</v>
          </cell>
          <cell r="DB272">
            <v>0</v>
          </cell>
          <cell r="DC272">
            <v>0</v>
          </cell>
          <cell r="DD272">
            <v>0</v>
          </cell>
          <cell r="DE272">
            <v>0</v>
          </cell>
          <cell r="DF272">
            <v>0</v>
          </cell>
          <cell r="DG272">
            <v>0</v>
          </cell>
          <cell r="DH272">
            <v>0</v>
          </cell>
          <cell r="DI272">
            <v>0</v>
          </cell>
          <cell r="DJ272">
            <v>0</v>
          </cell>
          <cell r="DK272">
            <v>0</v>
          </cell>
          <cell r="DL272">
            <v>0</v>
          </cell>
          <cell r="DM272">
            <v>0</v>
          </cell>
          <cell r="DN272">
            <v>0</v>
          </cell>
          <cell r="DO272">
            <v>0</v>
          </cell>
          <cell r="DP272">
            <v>0</v>
          </cell>
          <cell r="DQ272">
            <v>0</v>
          </cell>
          <cell r="DR272">
            <v>0</v>
          </cell>
          <cell r="DS272">
            <v>0</v>
          </cell>
          <cell r="DT272">
            <v>0</v>
          </cell>
          <cell r="DU272">
            <v>0</v>
          </cell>
          <cell r="DV272">
            <v>0</v>
          </cell>
          <cell r="DW272">
            <v>0</v>
          </cell>
          <cell r="DX272">
            <v>0</v>
          </cell>
          <cell r="DY272">
            <v>0</v>
          </cell>
          <cell r="EA272">
            <v>0</v>
          </cell>
          <cell r="EB272">
            <v>0</v>
          </cell>
          <cell r="EC272">
            <v>0</v>
          </cell>
          <cell r="ED272">
            <v>0</v>
          </cell>
          <cell r="EE272">
            <v>0</v>
          </cell>
          <cell r="EF272">
            <v>0</v>
          </cell>
          <cell r="EG272">
            <v>0</v>
          </cell>
          <cell r="EH272">
            <v>0</v>
          </cell>
          <cell r="EI272">
            <v>0</v>
          </cell>
          <cell r="EJ272">
            <v>0</v>
          </cell>
          <cell r="EK272">
            <v>0</v>
          </cell>
          <cell r="EL272">
            <v>0</v>
          </cell>
          <cell r="EM272">
            <v>0</v>
          </cell>
          <cell r="EN272">
            <v>0</v>
          </cell>
          <cell r="EO272">
            <v>0</v>
          </cell>
          <cell r="EP272">
            <v>0</v>
          </cell>
          <cell r="EQ272">
            <v>0</v>
          </cell>
          <cell r="ER272">
            <v>0</v>
          </cell>
          <cell r="ES272">
            <v>0</v>
          </cell>
          <cell r="ET272">
            <v>0</v>
          </cell>
          <cell r="EU272">
            <v>0</v>
          </cell>
          <cell r="EV272">
            <v>0</v>
          </cell>
          <cell r="EW272">
            <v>0</v>
          </cell>
          <cell r="EX272">
            <v>0</v>
          </cell>
          <cell r="EY272">
            <v>0</v>
          </cell>
          <cell r="EZ272">
            <v>0</v>
          </cell>
          <cell r="FA272">
            <v>0</v>
          </cell>
          <cell r="FB272">
            <v>0</v>
          </cell>
          <cell r="FC272">
            <v>0</v>
          </cell>
          <cell r="FD272">
            <v>0</v>
          </cell>
          <cell r="FE272">
            <v>0</v>
          </cell>
          <cell r="FF272">
            <v>0</v>
          </cell>
          <cell r="FG272">
            <v>0</v>
          </cell>
          <cell r="FH272">
            <v>0</v>
          </cell>
          <cell r="FI272">
            <v>0</v>
          </cell>
          <cell r="FJ272">
            <v>0</v>
          </cell>
          <cell r="FK272">
            <v>0</v>
          </cell>
          <cell r="FL272">
            <v>0</v>
          </cell>
          <cell r="FM272">
            <v>0</v>
          </cell>
          <cell r="FN272">
            <v>0</v>
          </cell>
          <cell r="FO272">
            <v>0</v>
          </cell>
          <cell r="FP272">
            <v>0</v>
          </cell>
          <cell r="FQ272">
            <v>0</v>
          </cell>
          <cell r="FR272">
            <v>0</v>
          </cell>
          <cell r="FS272">
            <v>0</v>
          </cell>
          <cell r="FT272">
            <v>0</v>
          </cell>
          <cell r="FU272">
            <v>0</v>
          </cell>
          <cell r="FV272">
            <v>0</v>
          </cell>
          <cell r="FW272">
            <v>0</v>
          </cell>
          <cell r="FX272">
            <v>0</v>
          </cell>
          <cell r="FY272">
            <v>0</v>
          </cell>
          <cell r="FZ272">
            <v>0</v>
          </cell>
        </row>
        <row r="273">
          <cell r="B273">
            <v>0</v>
          </cell>
          <cell r="C273">
            <v>0</v>
          </cell>
          <cell r="D273">
            <v>0</v>
          </cell>
          <cell r="E273">
            <v>0</v>
          </cell>
          <cell r="F273">
            <v>0</v>
          </cell>
          <cell r="G273">
            <v>0</v>
          </cell>
          <cell r="H273">
            <v>0</v>
          </cell>
          <cell r="I273">
            <v>0</v>
          </cell>
          <cell r="J273">
            <v>0</v>
          </cell>
          <cell r="K273">
            <v>0</v>
          </cell>
          <cell r="L273">
            <v>0</v>
          </cell>
          <cell r="M273">
            <v>0</v>
          </cell>
          <cell r="N273">
            <v>0</v>
          </cell>
          <cell r="O273">
            <v>0</v>
          </cell>
          <cell r="P273">
            <v>0</v>
          </cell>
          <cell r="Q273">
            <v>0</v>
          </cell>
          <cell r="R273">
            <v>0</v>
          </cell>
          <cell r="S273">
            <v>0</v>
          </cell>
          <cell r="T273">
            <v>0</v>
          </cell>
          <cell r="U273">
            <v>0</v>
          </cell>
          <cell r="V273">
            <v>0</v>
          </cell>
          <cell r="W273">
            <v>0</v>
          </cell>
          <cell r="X273">
            <v>0</v>
          </cell>
          <cell r="Y273">
            <v>0</v>
          </cell>
          <cell r="Z273">
            <v>0</v>
          </cell>
          <cell r="AA273">
            <v>0</v>
          </cell>
          <cell r="AB273">
            <v>0</v>
          </cell>
          <cell r="AC273">
            <v>0</v>
          </cell>
          <cell r="AD273">
            <v>0</v>
          </cell>
          <cell r="AE273">
            <v>0</v>
          </cell>
          <cell r="AF273">
            <v>0</v>
          </cell>
          <cell r="AG273">
            <v>0</v>
          </cell>
          <cell r="AH273">
            <v>0</v>
          </cell>
          <cell r="AI273">
            <v>0</v>
          </cell>
          <cell r="AJ273">
            <v>0</v>
          </cell>
          <cell r="AK273">
            <v>0</v>
          </cell>
          <cell r="AL273">
            <v>0</v>
          </cell>
          <cell r="AM273">
            <v>0</v>
          </cell>
          <cell r="AN273">
            <v>0</v>
          </cell>
          <cell r="AO273">
            <v>0</v>
          </cell>
          <cell r="AP273">
            <v>0</v>
          </cell>
          <cell r="AQ273">
            <v>0</v>
          </cell>
          <cell r="AR273">
            <v>0</v>
          </cell>
          <cell r="AS273">
            <v>0</v>
          </cell>
          <cell r="AT273">
            <v>0</v>
          </cell>
          <cell r="AU273">
            <v>0</v>
          </cell>
          <cell r="AV273">
            <v>0</v>
          </cell>
          <cell r="AW273">
            <v>0</v>
          </cell>
          <cell r="AX273">
            <v>0</v>
          </cell>
          <cell r="AY273">
            <v>0</v>
          </cell>
          <cell r="AZ273">
            <v>0</v>
          </cell>
          <cell r="BA273">
            <v>0</v>
          </cell>
          <cell r="BB273">
            <v>0</v>
          </cell>
          <cell r="BC273">
            <v>0</v>
          </cell>
          <cell r="BD273">
            <v>0</v>
          </cell>
          <cell r="BE273">
            <v>0</v>
          </cell>
          <cell r="BF273">
            <v>0</v>
          </cell>
          <cell r="BG273">
            <v>0</v>
          </cell>
          <cell r="BH273">
            <v>0</v>
          </cell>
          <cell r="BI273">
            <v>0</v>
          </cell>
          <cell r="BJ273">
            <v>0</v>
          </cell>
          <cell r="BK273">
            <v>0</v>
          </cell>
          <cell r="BL273">
            <v>0</v>
          </cell>
          <cell r="BM273">
            <v>0</v>
          </cell>
          <cell r="BN273">
            <v>0</v>
          </cell>
          <cell r="BO273">
            <v>0</v>
          </cell>
          <cell r="BP273">
            <v>0</v>
          </cell>
          <cell r="BQ273">
            <v>0</v>
          </cell>
          <cell r="BR273">
            <v>0</v>
          </cell>
          <cell r="BS273">
            <v>0</v>
          </cell>
          <cell r="BT273">
            <v>0</v>
          </cell>
          <cell r="BU273">
            <v>0</v>
          </cell>
          <cell r="BV273">
            <v>0</v>
          </cell>
          <cell r="BW273">
            <v>0</v>
          </cell>
          <cell r="BX273">
            <v>0</v>
          </cell>
          <cell r="BY273">
            <v>0</v>
          </cell>
          <cell r="BZ273">
            <v>0</v>
          </cell>
          <cell r="CA273">
            <v>0</v>
          </cell>
          <cell r="CB273">
            <v>0</v>
          </cell>
          <cell r="CC273">
            <v>0</v>
          </cell>
          <cell r="CD273">
            <v>0</v>
          </cell>
          <cell r="CE273">
            <v>0</v>
          </cell>
          <cell r="CF273">
            <v>0</v>
          </cell>
          <cell r="CG273">
            <v>0</v>
          </cell>
          <cell r="CH273">
            <v>0</v>
          </cell>
          <cell r="CI273">
            <v>0</v>
          </cell>
          <cell r="CJ273">
            <v>0</v>
          </cell>
          <cell r="CK273">
            <v>0</v>
          </cell>
          <cell r="CL273">
            <v>0</v>
          </cell>
          <cell r="CM273">
            <v>0</v>
          </cell>
          <cell r="CN273">
            <v>0</v>
          </cell>
          <cell r="CO273">
            <v>0</v>
          </cell>
          <cell r="CP273">
            <v>0</v>
          </cell>
          <cell r="CQ273">
            <v>0</v>
          </cell>
          <cell r="CR273">
            <v>0</v>
          </cell>
          <cell r="CS273">
            <v>0</v>
          </cell>
          <cell r="CT273">
            <v>0</v>
          </cell>
          <cell r="CU273">
            <v>0</v>
          </cell>
          <cell r="CV273">
            <v>0</v>
          </cell>
          <cell r="CW273">
            <v>0</v>
          </cell>
          <cell r="CX273">
            <v>0</v>
          </cell>
          <cell r="CY273">
            <v>0</v>
          </cell>
          <cell r="CZ273">
            <v>0</v>
          </cell>
          <cell r="DA273">
            <v>0</v>
          </cell>
          <cell r="DB273">
            <v>0</v>
          </cell>
          <cell r="DC273">
            <v>0</v>
          </cell>
          <cell r="DD273">
            <v>0</v>
          </cell>
          <cell r="DE273">
            <v>0</v>
          </cell>
          <cell r="DF273">
            <v>0</v>
          </cell>
          <cell r="DG273">
            <v>0</v>
          </cell>
          <cell r="DH273">
            <v>0</v>
          </cell>
          <cell r="DI273">
            <v>0</v>
          </cell>
          <cell r="DJ273">
            <v>0</v>
          </cell>
          <cell r="DK273">
            <v>0</v>
          </cell>
          <cell r="DL273">
            <v>0</v>
          </cell>
          <cell r="DM273">
            <v>0</v>
          </cell>
          <cell r="DN273">
            <v>0</v>
          </cell>
          <cell r="DO273">
            <v>0</v>
          </cell>
          <cell r="DP273">
            <v>0</v>
          </cell>
          <cell r="DQ273">
            <v>0</v>
          </cell>
          <cell r="DR273">
            <v>0</v>
          </cell>
          <cell r="DS273">
            <v>0</v>
          </cell>
          <cell r="DT273">
            <v>0</v>
          </cell>
          <cell r="DU273">
            <v>0</v>
          </cell>
          <cell r="DV273">
            <v>0</v>
          </cell>
          <cell r="DW273">
            <v>0</v>
          </cell>
          <cell r="DX273">
            <v>0</v>
          </cell>
          <cell r="DY273">
            <v>0</v>
          </cell>
          <cell r="EA273">
            <v>0</v>
          </cell>
          <cell r="EB273">
            <v>0</v>
          </cell>
          <cell r="EC273">
            <v>0</v>
          </cell>
          <cell r="ED273">
            <v>0</v>
          </cell>
          <cell r="EE273">
            <v>0</v>
          </cell>
          <cell r="EF273">
            <v>0</v>
          </cell>
          <cell r="EG273">
            <v>0</v>
          </cell>
          <cell r="EH273">
            <v>0</v>
          </cell>
          <cell r="EI273">
            <v>0</v>
          </cell>
          <cell r="EJ273">
            <v>0</v>
          </cell>
          <cell r="EK273">
            <v>0</v>
          </cell>
          <cell r="EL273">
            <v>0</v>
          </cell>
          <cell r="EM273">
            <v>0</v>
          </cell>
          <cell r="EN273">
            <v>0</v>
          </cell>
          <cell r="EO273">
            <v>0</v>
          </cell>
          <cell r="EP273">
            <v>0</v>
          </cell>
          <cell r="EQ273">
            <v>0</v>
          </cell>
          <cell r="ER273">
            <v>0</v>
          </cell>
          <cell r="ES273">
            <v>0</v>
          </cell>
          <cell r="ET273">
            <v>0</v>
          </cell>
          <cell r="EU273">
            <v>0</v>
          </cell>
          <cell r="EV273">
            <v>0</v>
          </cell>
          <cell r="EW273">
            <v>0</v>
          </cell>
          <cell r="EX273">
            <v>0</v>
          </cell>
          <cell r="EY273">
            <v>0</v>
          </cell>
          <cell r="EZ273">
            <v>0</v>
          </cell>
          <cell r="FA273">
            <v>0</v>
          </cell>
          <cell r="FB273">
            <v>0</v>
          </cell>
          <cell r="FC273">
            <v>0</v>
          </cell>
          <cell r="FD273">
            <v>0</v>
          </cell>
          <cell r="FE273">
            <v>0</v>
          </cell>
          <cell r="FF273">
            <v>0</v>
          </cell>
          <cell r="FG273">
            <v>0</v>
          </cell>
          <cell r="FH273">
            <v>0</v>
          </cell>
          <cell r="FI273">
            <v>0</v>
          </cell>
          <cell r="FJ273">
            <v>0</v>
          </cell>
          <cell r="FK273">
            <v>0</v>
          </cell>
          <cell r="FL273">
            <v>0</v>
          </cell>
          <cell r="FM273">
            <v>0</v>
          </cell>
          <cell r="FN273">
            <v>0</v>
          </cell>
          <cell r="FO273">
            <v>0</v>
          </cell>
          <cell r="FP273">
            <v>0</v>
          </cell>
          <cell r="FQ273">
            <v>0</v>
          </cell>
          <cell r="FR273">
            <v>0</v>
          </cell>
          <cell r="FS273">
            <v>0</v>
          </cell>
          <cell r="FT273">
            <v>0</v>
          </cell>
          <cell r="FU273">
            <v>0</v>
          </cell>
          <cell r="FV273">
            <v>0</v>
          </cell>
          <cell r="FW273">
            <v>0</v>
          </cell>
          <cell r="FX273">
            <v>0</v>
          </cell>
          <cell r="FY273">
            <v>0</v>
          </cell>
          <cell r="FZ273">
            <v>0</v>
          </cell>
        </row>
        <row r="274">
          <cell r="B274">
            <v>0</v>
          </cell>
          <cell r="C274">
            <v>0</v>
          </cell>
          <cell r="D274">
            <v>0</v>
          </cell>
          <cell r="E274">
            <v>0</v>
          </cell>
          <cell r="F274">
            <v>0</v>
          </cell>
          <cell r="G274">
            <v>0</v>
          </cell>
          <cell r="H274">
            <v>0</v>
          </cell>
          <cell r="I274">
            <v>0</v>
          </cell>
          <cell r="J274">
            <v>0</v>
          </cell>
          <cell r="K274">
            <v>0</v>
          </cell>
          <cell r="L274">
            <v>0</v>
          </cell>
          <cell r="M274">
            <v>0</v>
          </cell>
          <cell r="N274">
            <v>0</v>
          </cell>
          <cell r="O274">
            <v>0</v>
          </cell>
          <cell r="P274">
            <v>0</v>
          </cell>
          <cell r="Q274">
            <v>0</v>
          </cell>
          <cell r="R274">
            <v>0</v>
          </cell>
          <cell r="S274">
            <v>0</v>
          </cell>
          <cell r="T274">
            <v>0</v>
          </cell>
          <cell r="U274">
            <v>0</v>
          </cell>
          <cell r="V274">
            <v>0</v>
          </cell>
          <cell r="W274">
            <v>0</v>
          </cell>
          <cell r="X274">
            <v>0</v>
          </cell>
          <cell r="Y274">
            <v>0</v>
          </cell>
          <cell r="Z274">
            <v>0</v>
          </cell>
          <cell r="AA274">
            <v>0</v>
          </cell>
          <cell r="AB274">
            <v>0</v>
          </cell>
          <cell r="AC274">
            <v>0</v>
          </cell>
          <cell r="AD274">
            <v>0</v>
          </cell>
          <cell r="AE274">
            <v>0</v>
          </cell>
          <cell r="AF274">
            <v>0</v>
          </cell>
          <cell r="AG274">
            <v>0</v>
          </cell>
          <cell r="AH274">
            <v>0</v>
          </cell>
          <cell r="AI274">
            <v>0</v>
          </cell>
          <cell r="AJ274">
            <v>0</v>
          </cell>
          <cell r="AK274">
            <v>0</v>
          </cell>
          <cell r="AL274">
            <v>0</v>
          </cell>
          <cell r="AM274">
            <v>0</v>
          </cell>
          <cell r="AN274">
            <v>0</v>
          </cell>
          <cell r="AO274">
            <v>0</v>
          </cell>
          <cell r="AP274">
            <v>0</v>
          </cell>
          <cell r="AQ274">
            <v>0</v>
          </cell>
          <cell r="AR274">
            <v>0</v>
          </cell>
          <cell r="AS274">
            <v>0</v>
          </cell>
          <cell r="AT274">
            <v>0</v>
          </cell>
          <cell r="AU274">
            <v>0</v>
          </cell>
          <cell r="AV274">
            <v>0</v>
          </cell>
          <cell r="AW274">
            <v>0</v>
          </cell>
          <cell r="AX274">
            <v>0</v>
          </cell>
          <cell r="AY274">
            <v>0</v>
          </cell>
          <cell r="AZ274">
            <v>0</v>
          </cell>
          <cell r="BA274">
            <v>0</v>
          </cell>
          <cell r="BB274">
            <v>0</v>
          </cell>
          <cell r="BC274">
            <v>0</v>
          </cell>
          <cell r="BD274">
            <v>0</v>
          </cell>
          <cell r="BE274">
            <v>0</v>
          </cell>
          <cell r="BF274">
            <v>0</v>
          </cell>
          <cell r="BG274">
            <v>0</v>
          </cell>
          <cell r="BH274">
            <v>0</v>
          </cell>
          <cell r="BI274">
            <v>0</v>
          </cell>
          <cell r="BJ274">
            <v>0</v>
          </cell>
          <cell r="BK274">
            <v>0</v>
          </cell>
          <cell r="BL274">
            <v>0</v>
          </cell>
          <cell r="BM274">
            <v>0</v>
          </cell>
          <cell r="BN274">
            <v>0</v>
          </cell>
          <cell r="BO274">
            <v>0</v>
          </cell>
          <cell r="BP274">
            <v>0</v>
          </cell>
          <cell r="BQ274">
            <v>0</v>
          </cell>
          <cell r="BR274">
            <v>0</v>
          </cell>
          <cell r="BS274">
            <v>0</v>
          </cell>
          <cell r="BT274">
            <v>0</v>
          </cell>
          <cell r="BU274">
            <v>0</v>
          </cell>
          <cell r="BV274">
            <v>0</v>
          </cell>
          <cell r="BW274">
            <v>0</v>
          </cell>
          <cell r="BX274">
            <v>0</v>
          </cell>
          <cell r="BY274">
            <v>0</v>
          </cell>
          <cell r="BZ274">
            <v>0</v>
          </cell>
          <cell r="CA274">
            <v>0</v>
          </cell>
          <cell r="CB274">
            <v>0</v>
          </cell>
          <cell r="CC274">
            <v>0</v>
          </cell>
          <cell r="CD274">
            <v>0</v>
          </cell>
          <cell r="CE274">
            <v>0</v>
          </cell>
          <cell r="CF274">
            <v>0</v>
          </cell>
          <cell r="CG274">
            <v>0</v>
          </cell>
          <cell r="CH274">
            <v>0</v>
          </cell>
          <cell r="CI274">
            <v>0</v>
          </cell>
          <cell r="CJ274">
            <v>0</v>
          </cell>
          <cell r="CK274">
            <v>0</v>
          </cell>
          <cell r="CL274">
            <v>0</v>
          </cell>
          <cell r="CM274">
            <v>0</v>
          </cell>
          <cell r="CN274">
            <v>0</v>
          </cell>
          <cell r="CO274">
            <v>0</v>
          </cell>
          <cell r="CP274">
            <v>0</v>
          </cell>
          <cell r="CQ274">
            <v>0</v>
          </cell>
          <cell r="CR274">
            <v>0</v>
          </cell>
          <cell r="CS274">
            <v>0</v>
          </cell>
          <cell r="CT274">
            <v>0</v>
          </cell>
          <cell r="CU274">
            <v>0</v>
          </cell>
          <cell r="CV274">
            <v>0</v>
          </cell>
          <cell r="CW274">
            <v>0</v>
          </cell>
          <cell r="CX274">
            <v>0</v>
          </cell>
          <cell r="CY274">
            <v>0</v>
          </cell>
          <cell r="CZ274">
            <v>0</v>
          </cell>
          <cell r="DA274">
            <v>0</v>
          </cell>
          <cell r="DB274">
            <v>0</v>
          </cell>
          <cell r="DC274">
            <v>0</v>
          </cell>
          <cell r="DD274">
            <v>0</v>
          </cell>
          <cell r="DE274">
            <v>0</v>
          </cell>
          <cell r="DF274">
            <v>0</v>
          </cell>
          <cell r="DG274">
            <v>0</v>
          </cell>
          <cell r="DH274">
            <v>0</v>
          </cell>
          <cell r="DI274">
            <v>0</v>
          </cell>
          <cell r="DJ274">
            <v>0</v>
          </cell>
          <cell r="DK274">
            <v>0</v>
          </cell>
          <cell r="DL274">
            <v>0</v>
          </cell>
          <cell r="DM274">
            <v>0</v>
          </cell>
          <cell r="DN274">
            <v>0</v>
          </cell>
          <cell r="DO274">
            <v>0</v>
          </cell>
          <cell r="DP274">
            <v>0</v>
          </cell>
          <cell r="DQ274">
            <v>0</v>
          </cell>
          <cell r="DR274">
            <v>0</v>
          </cell>
          <cell r="DS274">
            <v>0</v>
          </cell>
          <cell r="DT274">
            <v>0</v>
          </cell>
          <cell r="DU274">
            <v>0</v>
          </cell>
          <cell r="DV274">
            <v>0</v>
          </cell>
          <cell r="DW274">
            <v>0</v>
          </cell>
          <cell r="DX274">
            <v>0</v>
          </cell>
          <cell r="DY274">
            <v>0</v>
          </cell>
          <cell r="EA274">
            <v>0</v>
          </cell>
          <cell r="EB274">
            <v>0</v>
          </cell>
          <cell r="EC274">
            <v>0</v>
          </cell>
          <cell r="ED274">
            <v>0</v>
          </cell>
          <cell r="EE274">
            <v>0</v>
          </cell>
          <cell r="EF274">
            <v>0</v>
          </cell>
          <cell r="EG274">
            <v>0</v>
          </cell>
          <cell r="EH274">
            <v>0</v>
          </cell>
          <cell r="EI274">
            <v>0</v>
          </cell>
          <cell r="EJ274">
            <v>0</v>
          </cell>
          <cell r="EK274">
            <v>0</v>
          </cell>
          <cell r="EL274">
            <v>0</v>
          </cell>
          <cell r="EM274">
            <v>0</v>
          </cell>
          <cell r="EN274">
            <v>0</v>
          </cell>
          <cell r="EO274">
            <v>0</v>
          </cell>
          <cell r="EP274">
            <v>0</v>
          </cell>
          <cell r="EQ274">
            <v>0</v>
          </cell>
          <cell r="ER274">
            <v>0</v>
          </cell>
          <cell r="ES274">
            <v>0</v>
          </cell>
          <cell r="ET274">
            <v>0</v>
          </cell>
          <cell r="EU274">
            <v>0</v>
          </cell>
          <cell r="EV274">
            <v>0</v>
          </cell>
          <cell r="EW274">
            <v>0</v>
          </cell>
          <cell r="EX274">
            <v>0</v>
          </cell>
          <cell r="EY274">
            <v>0</v>
          </cell>
          <cell r="EZ274">
            <v>0</v>
          </cell>
          <cell r="FA274">
            <v>0</v>
          </cell>
          <cell r="FB274">
            <v>0</v>
          </cell>
          <cell r="FC274">
            <v>0</v>
          </cell>
          <cell r="FD274">
            <v>0</v>
          </cell>
          <cell r="FE274">
            <v>0</v>
          </cell>
          <cell r="FF274">
            <v>0</v>
          </cell>
          <cell r="FG274">
            <v>0</v>
          </cell>
          <cell r="FH274">
            <v>0</v>
          </cell>
          <cell r="FI274">
            <v>0</v>
          </cell>
          <cell r="FJ274">
            <v>0</v>
          </cell>
          <cell r="FK274">
            <v>0</v>
          </cell>
          <cell r="FL274">
            <v>0</v>
          </cell>
          <cell r="FM274">
            <v>0</v>
          </cell>
          <cell r="FN274">
            <v>0</v>
          </cell>
          <cell r="FO274">
            <v>0</v>
          </cell>
          <cell r="FP274">
            <v>0</v>
          </cell>
          <cell r="FQ274">
            <v>0</v>
          </cell>
          <cell r="FR274">
            <v>0</v>
          </cell>
          <cell r="FS274">
            <v>0</v>
          </cell>
          <cell r="FT274">
            <v>0</v>
          </cell>
          <cell r="FU274">
            <v>0</v>
          </cell>
          <cell r="FV274">
            <v>0</v>
          </cell>
          <cell r="FW274">
            <v>0</v>
          </cell>
          <cell r="FX274">
            <v>0</v>
          </cell>
          <cell r="FY274">
            <v>0</v>
          </cell>
          <cell r="FZ274">
            <v>0</v>
          </cell>
        </row>
        <row r="275">
          <cell r="B275">
            <v>0</v>
          </cell>
          <cell r="C275">
            <v>0</v>
          </cell>
          <cell r="D275">
            <v>0</v>
          </cell>
          <cell r="E275">
            <v>0</v>
          </cell>
          <cell r="F275">
            <v>0</v>
          </cell>
          <cell r="G275">
            <v>0</v>
          </cell>
          <cell r="H275">
            <v>0</v>
          </cell>
          <cell r="I275">
            <v>0</v>
          </cell>
          <cell r="J275">
            <v>0</v>
          </cell>
          <cell r="K275">
            <v>0</v>
          </cell>
          <cell r="L275">
            <v>0</v>
          </cell>
          <cell r="M275">
            <v>0</v>
          </cell>
          <cell r="N275">
            <v>0</v>
          </cell>
          <cell r="O275">
            <v>0</v>
          </cell>
          <cell r="P275">
            <v>0</v>
          </cell>
          <cell r="Q275">
            <v>0</v>
          </cell>
          <cell r="R275">
            <v>0</v>
          </cell>
          <cell r="S275">
            <v>0</v>
          </cell>
          <cell r="T275">
            <v>0</v>
          </cell>
          <cell r="U275">
            <v>0</v>
          </cell>
          <cell r="V275">
            <v>0</v>
          </cell>
          <cell r="W275">
            <v>0</v>
          </cell>
          <cell r="X275">
            <v>0</v>
          </cell>
          <cell r="Y275">
            <v>0</v>
          </cell>
          <cell r="Z275">
            <v>0</v>
          </cell>
          <cell r="AA275">
            <v>0</v>
          </cell>
          <cell r="AB275">
            <v>0</v>
          </cell>
          <cell r="AC275">
            <v>0</v>
          </cell>
          <cell r="AD275">
            <v>0</v>
          </cell>
          <cell r="AE275">
            <v>0</v>
          </cell>
          <cell r="AF275">
            <v>0</v>
          </cell>
          <cell r="AG275">
            <v>0</v>
          </cell>
          <cell r="AH275">
            <v>0</v>
          </cell>
          <cell r="AI275">
            <v>0</v>
          </cell>
          <cell r="AJ275">
            <v>0</v>
          </cell>
          <cell r="AK275">
            <v>0</v>
          </cell>
          <cell r="AL275">
            <v>0</v>
          </cell>
          <cell r="AM275">
            <v>0</v>
          </cell>
          <cell r="AN275">
            <v>0</v>
          </cell>
          <cell r="AO275">
            <v>0</v>
          </cell>
          <cell r="AP275">
            <v>0</v>
          </cell>
          <cell r="AQ275">
            <v>0</v>
          </cell>
          <cell r="AR275">
            <v>0</v>
          </cell>
          <cell r="AS275">
            <v>0</v>
          </cell>
          <cell r="AT275">
            <v>0</v>
          </cell>
          <cell r="AU275">
            <v>0</v>
          </cell>
          <cell r="AV275">
            <v>0</v>
          </cell>
          <cell r="AW275">
            <v>0</v>
          </cell>
          <cell r="AX275">
            <v>0</v>
          </cell>
          <cell r="AY275">
            <v>0</v>
          </cell>
          <cell r="AZ275">
            <v>0</v>
          </cell>
          <cell r="BA275">
            <v>0</v>
          </cell>
          <cell r="BB275">
            <v>0</v>
          </cell>
          <cell r="BC275">
            <v>0</v>
          </cell>
          <cell r="BD275">
            <v>0</v>
          </cell>
          <cell r="BE275">
            <v>0</v>
          </cell>
          <cell r="BF275">
            <v>0</v>
          </cell>
          <cell r="BG275">
            <v>0</v>
          </cell>
          <cell r="BH275">
            <v>0</v>
          </cell>
          <cell r="BI275">
            <v>0</v>
          </cell>
          <cell r="BJ275">
            <v>0</v>
          </cell>
          <cell r="BK275">
            <v>0</v>
          </cell>
          <cell r="BL275">
            <v>0</v>
          </cell>
          <cell r="BM275">
            <v>0</v>
          </cell>
          <cell r="BN275">
            <v>0</v>
          </cell>
          <cell r="BO275">
            <v>0</v>
          </cell>
          <cell r="BP275">
            <v>0</v>
          </cell>
          <cell r="BQ275">
            <v>0</v>
          </cell>
          <cell r="BR275">
            <v>0</v>
          </cell>
          <cell r="BS275">
            <v>0</v>
          </cell>
          <cell r="BT275">
            <v>0</v>
          </cell>
          <cell r="BU275">
            <v>0</v>
          </cell>
          <cell r="BV275">
            <v>0</v>
          </cell>
          <cell r="BW275">
            <v>0</v>
          </cell>
          <cell r="BX275">
            <v>0</v>
          </cell>
          <cell r="BY275">
            <v>0</v>
          </cell>
          <cell r="BZ275">
            <v>0</v>
          </cell>
          <cell r="CA275">
            <v>0</v>
          </cell>
          <cell r="CB275">
            <v>0</v>
          </cell>
          <cell r="CC275">
            <v>0</v>
          </cell>
          <cell r="CD275">
            <v>0</v>
          </cell>
          <cell r="CE275">
            <v>0</v>
          </cell>
          <cell r="CF275">
            <v>0</v>
          </cell>
          <cell r="CG275">
            <v>0</v>
          </cell>
          <cell r="CH275">
            <v>0</v>
          </cell>
          <cell r="CI275">
            <v>0</v>
          </cell>
          <cell r="CJ275">
            <v>0</v>
          </cell>
          <cell r="CK275">
            <v>0</v>
          </cell>
          <cell r="CL275">
            <v>0</v>
          </cell>
          <cell r="CM275">
            <v>0</v>
          </cell>
          <cell r="CN275">
            <v>0</v>
          </cell>
          <cell r="CO275">
            <v>0</v>
          </cell>
          <cell r="CP275">
            <v>0</v>
          </cell>
          <cell r="CQ275">
            <v>0</v>
          </cell>
          <cell r="CR275">
            <v>0</v>
          </cell>
          <cell r="CS275">
            <v>0</v>
          </cell>
          <cell r="CT275">
            <v>0</v>
          </cell>
          <cell r="CU275">
            <v>0</v>
          </cell>
          <cell r="CV275">
            <v>0</v>
          </cell>
          <cell r="CW275">
            <v>0</v>
          </cell>
          <cell r="CX275">
            <v>0</v>
          </cell>
          <cell r="CY275">
            <v>0</v>
          </cell>
          <cell r="CZ275">
            <v>0</v>
          </cell>
          <cell r="DA275">
            <v>0</v>
          </cell>
          <cell r="DB275">
            <v>0</v>
          </cell>
          <cell r="DC275">
            <v>0</v>
          </cell>
          <cell r="DD275">
            <v>0</v>
          </cell>
          <cell r="DE275">
            <v>0</v>
          </cell>
          <cell r="DF275">
            <v>0</v>
          </cell>
          <cell r="DG275">
            <v>0</v>
          </cell>
          <cell r="DH275">
            <v>0</v>
          </cell>
          <cell r="DI275">
            <v>0</v>
          </cell>
          <cell r="DJ275">
            <v>0</v>
          </cell>
          <cell r="DK275">
            <v>0</v>
          </cell>
          <cell r="DL275">
            <v>0</v>
          </cell>
          <cell r="DM275">
            <v>0</v>
          </cell>
          <cell r="DN275">
            <v>0</v>
          </cell>
          <cell r="DO275">
            <v>0</v>
          </cell>
          <cell r="DP275">
            <v>0</v>
          </cell>
          <cell r="DQ275">
            <v>0</v>
          </cell>
          <cell r="DR275">
            <v>0</v>
          </cell>
          <cell r="DS275">
            <v>0</v>
          </cell>
          <cell r="DT275">
            <v>0</v>
          </cell>
          <cell r="DU275">
            <v>0</v>
          </cell>
          <cell r="DV275">
            <v>0</v>
          </cell>
          <cell r="DW275">
            <v>0</v>
          </cell>
          <cell r="DX275">
            <v>0</v>
          </cell>
          <cell r="DY275">
            <v>0</v>
          </cell>
          <cell r="EA275">
            <v>0</v>
          </cell>
          <cell r="EB275">
            <v>0</v>
          </cell>
          <cell r="EC275">
            <v>0</v>
          </cell>
          <cell r="ED275">
            <v>0</v>
          </cell>
          <cell r="EE275">
            <v>0</v>
          </cell>
          <cell r="EF275">
            <v>0</v>
          </cell>
          <cell r="EG275">
            <v>0</v>
          </cell>
          <cell r="EH275">
            <v>0</v>
          </cell>
          <cell r="EI275">
            <v>0</v>
          </cell>
          <cell r="EJ275">
            <v>0</v>
          </cell>
          <cell r="EK275">
            <v>0</v>
          </cell>
          <cell r="EL275">
            <v>0</v>
          </cell>
          <cell r="EM275">
            <v>0</v>
          </cell>
          <cell r="EN275">
            <v>0</v>
          </cell>
          <cell r="EO275">
            <v>0</v>
          </cell>
          <cell r="EP275">
            <v>0</v>
          </cell>
          <cell r="EQ275">
            <v>0</v>
          </cell>
          <cell r="ER275">
            <v>0</v>
          </cell>
          <cell r="ES275">
            <v>0</v>
          </cell>
          <cell r="ET275">
            <v>0</v>
          </cell>
          <cell r="EU275">
            <v>0</v>
          </cell>
          <cell r="EV275">
            <v>0</v>
          </cell>
          <cell r="EW275">
            <v>0</v>
          </cell>
          <cell r="EX275">
            <v>0</v>
          </cell>
          <cell r="EY275">
            <v>0</v>
          </cell>
          <cell r="EZ275">
            <v>0</v>
          </cell>
          <cell r="FA275">
            <v>0</v>
          </cell>
          <cell r="FB275">
            <v>0</v>
          </cell>
          <cell r="FC275">
            <v>0</v>
          </cell>
          <cell r="FD275">
            <v>0</v>
          </cell>
          <cell r="FE275">
            <v>0</v>
          </cell>
          <cell r="FF275">
            <v>0</v>
          </cell>
          <cell r="FG275">
            <v>0</v>
          </cell>
          <cell r="FH275">
            <v>0</v>
          </cell>
          <cell r="FI275">
            <v>0</v>
          </cell>
          <cell r="FJ275">
            <v>0</v>
          </cell>
          <cell r="FK275">
            <v>0</v>
          </cell>
          <cell r="FL275">
            <v>0</v>
          </cell>
          <cell r="FM275">
            <v>0</v>
          </cell>
          <cell r="FN275">
            <v>0</v>
          </cell>
          <cell r="FO275">
            <v>0</v>
          </cell>
          <cell r="FP275">
            <v>0</v>
          </cell>
          <cell r="FQ275">
            <v>0</v>
          </cell>
          <cell r="FR275">
            <v>0</v>
          </cell>
          <cell r="FS275">
            <v>0</v>
          </cell>
          <cell r="FT275">
            <v>0</v>
          </cell>
          <cell r="FU275">
            <v>0</v>
          </cell>
          <cell r="FV275">
            <v>0</v>
          </cell>
          <cell r="FW275">
            <v>0</v>
          </cell>
          <cell r="FX275">
            <v>0</v>
          </cell>
          <cell r="FY275">
            <v>0</v>
          </cell>
          <cell r="FZ275">
            <v>0</v>
          </cell>
        </row>
        <row r="276">
          <cell r="B276">
            <v>0</v>
          </cell>
          <cell r="C276">
            <v>0</v>
          </cell>
          <cell r="D276">
            <v>0</v>
          </cell>
          <cell r="E276">
            <v>0</v>
          </cell>
          <cell r="F276">
            <v>0</v>
          </cell>
          <cell r="G276">
            <v>0</v>
          </cell>
          <cell r="H276">
            <v>0</v>
          </cell>
          <cell r="I276">
            <v>0</v>
          </cell>
          <cell r="J276">
            <v>0</v>
          </cell>
          <cell r="K276">
            <v>0</v>
          </cell>
          <cell r="L276">
            <v>0</v>
          </cell>
          <cell r="M276">
            <v>0</v>
          </cell>
          <cell r="N276">
            <v>0</v>
          </cell>
          <cell r="O276">
            <v>0</v>
          </cell>
          <cell r="P276">
            <v>0</v>
          </cell>
          <cell r="Q276">
            <v>0</v>
          </cell>
          <cell r="R276">
            <v>0</v>
          </cell>
          <cell r="S276">
            <v>0</v>
          </cell>
          <cell r="T276">
            <v>0</v>
          </cell>
          <cell r="U276">
            <v>0</v>
          </cell>
          <cell r="V276">
            <v>0</v>
          </cell>
          <cell r="W276">
            <v>0</v>
          </cell>
          <cell r="X276">
            <v>0</v>
          </cell>
          <cell r="Y276">
            <v>0</v>
          </cell>
          <cell r="Z276">
            <v>0</v>
          </cell>
          <cell r="AA276">
            <v>0</v>
          </cell>
          <cell r="AB276">
            <v>0</v>
          </cell>
          <cell r="AC276">
            <v>0</v>
          </cell>
          <cell r="AD276">
            <v>0</v>
          </cell>
          <cell r="AE276">
            <v>0</v>
          </cell>
          <cell r="AF276">
            <v>0</v>
          </cell>
          <cell r="AG276">
            <v>0</v>
          </cell>
          <cell r="AH276">
            <v>0</v>
          </cell>
          <cell r="AI276">
            <v>0</v>
          </cell>
          <cell r="AJ276">
            <v>0</v>
          </cell>
          <cell r="AK276">
            <v>0</v>
          </cell>
          <cell r="AL276">
            <v>0</v>
          </cell>
          <cell r="AM276">
            <v>0</v>
          </cell>
          <cell r="AN276">
            <v>0</v>
          </cell>
          <cell r="AO276">
            <v>0</v>
          </cell>
          <cell r="AP276">
            <v>0</v>
          </cell>
          <cell r="AQ276">
            <v>0</v>
          </cell>
          <cell r="AR276">
            <v>0</v>
          </cell>
          <cell r="AS276">
            <v>0</v>
          </cell>
          <cell r="AT276">
            <v>0</v>
          </cell>
          <cell r="AU276">
            <v>0</v>
          </cell>
          <cell r="AV276">
            <v>0</v>
          </cell>
          <cell r="AW276">
            <v>0</v>
          </cell>
          <cell r="AX276">
            <v>0</v>
          </cell>
          <cell r="AY276">
            <v>0</v>
          </cell>
          <cell r="AZ276">
            <v>0</v>
          </cell>
          <cell r="BA276">
            <v>0</v>
          </cell>
          <cell r="BB276">
            <v>0</v>
          </cell>
          <cell r="BC276">
            <v>0</v>
          </cell>
          <cell r="BD276">
            <v>0</v>
          </cell>
          <cell r="BE276">
            <v>0</v>
          </cell>
          <cell r="BF276">
            <v>0</v>
          </cell>
          <cell r="BG276">
            <v>0</v>
          </cell>
          <cell r="BH276">
            <v>0</v>
          </cell>
          <cell r="BI276">
            <v>0</v>
          </cell>
          <cell r="BJ276">
            <v>0</v>
          </cell>
          <cell r="BK276">
            <v>0</v>
          </cell>
          <cell r="BL276">
            <v>0</v>
          </cell>
          <cell r="BM276">
            <v>0</v>
          </cell>
          <cell r="BN276">
            <v>0</v>
          </cell>
          <cell r="BO276">
            <v>0</v>
          </cell>
          <cell r="BP276">
            <v>0</v>
          </cell>
          <cell r="BQ276">
            <v>0</v>
          </cell>
          <cell r="BR276">
            <v>0</v>
          </cell>
          <cell r="BS276">
            <v>0</v>
          </cell>
          <cell r="BT276">
            <v>0</v>
          </cell>
          <cell r="BU276">
            <v>0</v>
          </cell>
          <cell r="BV276">
            <v>0</v>
          </cell>
          <cell r="BW276">
            <v>0</v>
          </cell>
          <cell r="BX276">
            <v>0</v>
          </cell>
          <cell r="BY276">
            <v>0</v>
          </cell>
          <cell r="BZ276">
            <v>0</v>
          </cell>
          <cell r="CA276">
            <v>0</v>
          </cell>
          <cell r="CB276">
            <v>0</v>
          </cell>
          <cell r="CC276">
            <v>0</v>
          </cell>
          <cell r="CD276">
            <v>0</v>
          </cell>
          <cell r="CE276">
            <v>0</v>
          </cell>
          <cell r="CF276">
            <v>0</v>
          </cell>
          <cell r="CG276">
            <v>0</v>
          </cell>
          <cell r="CH276">
            <v>0</v>
          </cell>
          <cell r="CI276">
            <v>0</v>
          </cell>
          <cell r="CJ276">
            <v>0</v>
          </cell>
          <cell r="CK276">
            <v>0</v>
          </cell>
          <cell r="CL276">
            <v>0</v>
          </cell>
          <cell r="CM276">
            <v>0</v>
          </cell>
          <cell r="CN276">
            <v>0</v>
          </cell>
          <cell r="CO276">
            <v>0</v>
          </cell>
          <cell r="CP276">
            <v>0</v>
          </cell>
          <cell r="CQ276">
            <v>0</v>
          </cell>
          <cell r="CR276">
            <v>0</v>
          </cell>
          <cell r="CS276">
            <v>0</v>
          </cell>
          <cell r="CT276">
            <v>0</v>
          </cell>
          <cell r="CU276">
            <v>0</v>
          </cell>
          <cell r="CV276">
            <v>0</v>
          </cell>
          <cell r="CW276">
            <v>0</v>
          </cell>
          <cell r="CX276">
            <v>0</v>
          </cell>
          <cell r="CY276">
            <v>0</v>
          </cell>
          <cell r="CZ276">
            <v>0</v>
          </cell>
          <cell r="DA276">
            <v>0</v>
          </cell>
          <cell r="DB276">
            <v>0</v>
          </cell>
          <cell r="DC276">
            <v>0</v>
          </cell>
          <cell r="DD276">
            <v>0</v>
          </cell>
          <cell r="DE276">
            <v>0</v>
          </cell>
          <cell r="DF276">
            <v>0</v>
          </cell>
          <cell r="DG276">
            <v>0</v>
          </cell>
          <cell r="DH276">
            <v>0</v>
          </cell>
          <cell r="DI276">
            <v>0</v>
          </cell>
          <cell r="DJ276">
            <v>0</v>
          </cell>
          <cell r="DK276">
            <v>0</v>
          </cell>
          <cell r="DL276">
            <v>0</v>
          </cell>
          <cell r="DM276">
            <v>0</v>
          </cell>
          <cell r="DN276">
            <v>0</v>
          </cell>
          <cell r="DO276">
            <v>0</v>
          </cell>
          <cell r="DP276">
            <v>0</v>
          </cell>
          <cell r="DQ276">
            <v>0</v>
          </cell>
          <cell r="DR276">
            <v>0</v>
          </cell>
          <cell r="DS276">
            <v>0</v>
          </cell>
          <cell r="DT276">
            <v>0</v>
          </cell>
          <cell r="DU276">
            <v>0</v>
          </cell>
          <cell r="DV276">
            <v>0</v>
          </cell>
          <cell r="DW276">
            <v>0</v>
          </cell>
          <cell r="DX276">
            <v>0</v>
          </cell>
          <cell r="DY276">
            <v>0</v>
          </cell>
          <cell r="EA276">
            <v>0</v>
          </cell>
          <cell r="EB276">
            <v>0</v>
          </cell>
          <cell r="EC276">
            <v>0</v>
          </cell>
          <cell r="ED276">
            <v>0</v>
          </cell>
          <cell r="EE276">
            <v>0</v>
          </cell>
          <cell r="EF276">
            <v>0</v>
          </cell>
          <cell r="EG276">
            <v>0</v>
          </cell>
          <cell r="EH276">
            <v>0</v>
          </cell>
          <cell r="EI276">
            <v>0</v>
          </cell>
          <cell r="EJ276">
            <v>0</v>
          </cell>
          <cell r="EK276">
            <v>0</v>
          </cell>
          <cell r="EL276">
            <v>0</v>
          </cell>
          <cell r="EM276">
            <v>0</v>
          </cell>
          <cell r="EN276">
            <v>0</v>
          </cell>
          <cell r="EO276">
            <v>0</v>
          </cell>
          <cell r="EP276">
            <v>0</v>
          </cell>
          <cell r="EQ276">
            <v>0</v>
          </cell>
          <cell r="ER276">
            <v>0</v>
          </cell>
          <cell r="ES276">
            <v>0</v>
          </cell>
          <cell r="ET276">
            <v>0</v>
          </cell>
          <cell r="EU276">
            <v>0</v>
          </cell>
          <cell r="EV276">
            <v>0</v>
          </cell>
          <cell r="EW276">
            <v>0</v>
          </cell>
          <cell r="EX276">
            <v>0</v>
          </cell>
          <cell r="EY276">
            <v>0</v>
          </cell>
          <cell r="EZ276">
            <v>0</v>
          </cell>
          <cell r="FA276">
            <v>0</v>
          </cell>
          <cell r="FB276">
            <v>0</v>
          </cell>
          <cell r="FC276">
            <v>0</v>
          </cell>
          <cell r="FD276">
            <v>0</v>
          </cell>
          <cell r="FE276">
            <v>0</v>
          </cell>
          <cell r="FF276">
            <v>0</v>
          </cell>
          <cell r="FG276">
            <v>0</v>
          </cell>
          <cell r="FH276">
            <v>0</v>
          </cell>
          <cell r="FI276">
            <v>0</v>
          </cell>
          <cell r="FJ276">
            <v>0</v>
          </cell>
          <cell r="FK276">
            <v>0</v>
          </cell>
          <cell r="FL276">
            <v>0</v>
          </cell>
          <cell r="FM276">
            <v>0</v>
          </cell>
          <cell r="FN276">
            <v>0</v>
          </cell>
          <cell r="FO276">
            <v>0</v>
          </cell>
          <cell r="FP276">
            <v>0</v>
          </cell>
          <cell r="FQ276">
            <v>0</v>
          </cell>
          <cell r="FR276">
            <v>0</v>
          </cell>
          <cell r="FS276">
            <v>0</v>
          </cell>
          <cell r="FT276">
            <v>0</v>
          </cell>
          <cell r="FU276">
            <v>0</v>
          </cell>
          <cell r="FV276">
            <v>0</v>
          </cell>
          <cell r="FW276">
            <v>0</v>
          </cell>
          <cell r="FX276">
            <v>0</v>
          </cell>
          <cell r="FY276">
            <v>0</v>
          </cell>
          <cell r="FZ276">
            <v>0</v>
          </cell>
        </row>
        <row r="277">
          <cell r="B277">
            <v>0</v>
          </cell>
          <cell r="C277">
            <v>0</v>
          </cell>
          <cell r="D277">
            <v>0</v>
          </cell>
          <cell r="E277">
            <v>0</v>
          </cell>
          <cell r="F277">
            <v>0</v>
          </cell>
          <cell r="G277">
            <v>0</v>
          </cell>
          <cell r="H277">
            <v>0</v>
          </cell>
          <cell r="I277">
            <v>0</v>
          </cell>
          <cell r="J277">
            <v>0</v>
          </cell>
          <cell r="K277">
            <v>0</v>
          </cell>
          <cell r="L277">
            <v>0</v>
          </cell>
          <cell r="M277">
            <v>0</v>
          </cell>
          <cell r="N277">
            <v>0</v>
          </cell>
          <cell r="O277">
            <v>0</v>
          </cell>
          <cell r="P277">
            <v>0</v>
          </cell>
          <cell r="Q277">
            <v>0</v>
          </cell>
          <cell r="R277">
            <v>0</v>
          </cell>
          <cell r="S277">
            <v>0</v>
          </cell>
          <cell r="T277">
            <v>0</v>
          </cell>
          <cell r="U277">
            <v>0</v>
          </cell>
          <cell r="V277">
            <v>0</v>
          </cell>
          <cell r="W277">
            <v>0</v>
          </cell>
          <cell r="X277">
            <v>0</v>
          </cell>
          <cell r="Y277">
            <v>0</v>
          </cell>
          <cell r="Z277">
            <v>0</v>
          </cell>
          <cell r="AA277">
            <v>0</v>
          </cell>
          <cell r="AB277">
            <v>0</v>
          </cell>
          <cell r="AC277">
            <v>0</v>
          </cell>
          <cell r="AD277">
            <v>0</v>
          </cell>
          <cell r="AE277">
            <v>0</v>
          </cell>
          <cell r="AF277">
            <v>0</v>
          </cell>
          <cell r="AG277">
            <v>0</v>
          </cell>
          <cell r="AH277">
            <v>0</v>
          </cell>
          <cell r="AI277">
            <v>0</v>
          </cell>
          <cell r="AJ277">
            <v>0</v>
          </cell>
          <cell r="AK277">
            <v>0</v>
          </cell>
          <cell r="AL277">
            <v>0</v>
          </cell>
          <cell r="AM277">
            <v>0</v>
          </cell>
          <cell r="AN277">
            <v>0</v>
          </cell>
          <cell r="AO277">
            <v>0</v>
          </cell>
          <cell r="AP277">
            <v>0</v>
          </cell>
          <cell r="AQ277">
            <v>0</v>
          </cell>
          <cell r="AR277">
            <v>0</v>
          </cell>
          <cell r="AS277">
            <v>0</v>
          </cell>
          <cell r="AT277">
            <v>0</v>
          </cell>
          <cell r="AU277">
            <v>0</v>
          </cell>
          <cell r="AV277">
            <v>0</v>
          </cell>
          <cell r="AW277">
            <v>0</v>
          </cell>
          <cell r="AX277">
            <v>0</v>
          </cell>
          <cell r="AY277">
            <v>0</v>
          </cell>
          <cell r="AZ277">
            <v>0</v>
          </cell>
          <cell r="BA277">
            <v>0</v>
          </cell>
          <cell r="BB277">
            <v>0</v>
          </cell>
          <cell r="BC277">
            <v>0</v>
          </cell>
          <cell r="BD277">
            <v>0</v>
          </cell>
          <cell r="BE277">
            <v>0</v>
          </cell>
          <cell r="BF277">
            <v>0</v>
          </cell>
          <cell r="BG277">
            <v>0</v>
          </cell>
          <cell r="BH277">
            <v>0</v>
          </cell>
          <cell r="BI277">
            <v>0</v>
          </cell>
          <cell r="BJ277">
            <v>0</v>
          </cell>
          <cell r="BK277">
            <v>0</v>
          </cell>
          <cell r="BL277">
            <v>0</v>
          </cell>
          <cell r="BM277">
            <v>0</v>
          </cell>
          <cell r="BN277">
            <v>0</v>
          </cell>
          <cell r="BO277">
            <v>0</v>
          </cell>
          <cell r="BP277">
            <v>0</v>
          </cell>
          <cell r="BQ277">
            <v>0</v>
          </cell>
          <cell r="BR277">
            <v>0</v>
          </cell>
          <cell r="BS277">
            <v>0</v>
          </cell>
          <cell r="BT277">
            <v>0</v>
          </cell>
          <cell r="BU277">
            <v>0</v>
          </cell>
          <cell r="BV277">
            <v>0</v>
          </cell>
          <cell r="BW277">
            <v>0</v>
          </cell>
          <cell r="BX277">
            <v>0</v>
          </cell>
          <cell r="BY277">
            <v>0</v>
          </cell>
          <cell r="BZ277">
            <v>0</v>
          </cell>
          <cell r="CA277">
            <v>0</v>
          </cell>
          <cell r="CB277">
            <v>0</v>
          </cell>
          <cell r="CC277">
            <v>0</v>
          </cell>
          <cell r="CD277">
            <v>0</v>
          </cell>
          <cell r="CE277">
            <v>0</v>
          </cell>
          <cell r="CF277">
            <v>0</v>
          </cell>
          <cell r="CG277">
            <v>0</v>
          </cell>
          <cell r="CH277">
            <v>0</v>
          </cell>
          <cell r="CI277">
            <v>0</v>
          </cell>
          <cell r="CJ277">
            <v>0</v>
          </cell>
          <cell r="CK277">
            <v>0</v>
          </cell>
          <cell r="CL277">
            <v>0</v>
          </cell>
          <cell r="CM277">
            <v>0</v>
          </cell>
          <cell r="CN277">
            <v>0</v>
          </cell>
          <cell r="CO277">
            <v>0</v>
          </cell>
          <cell r="CP277">
            <v>0</v>
          </cell>
          <cell r="CQ277">
            <v>0</v>
          </cell>
          <cell r="CR277">
            <v>0</v>
          </cell>
          <cell r="CS277">
            <v>0</v>
          </cell>
          <cell r="CT277">
            <v>0</v>
          </cell>
          <cell r="CU277">
            <v>0</v>
          </cell>
          <cell r="CV277">
            <v>0</v>
          </cell>
          <cell r="CW277">
            <v>0</v>
          </cell>
          <cell r="CX277">
            <v>0</v>
          </cell>
          <cell r="CY277">
            <v>0</v>
          </cell>
          <cell r="CZ277">
            <v>0</v>
          </cell>
          <cell r="DA277">
            <v>0</v>
          </cell>
          <cell r="DB277">
            <v>0</v>
          </cell>
          <cell r="DC277">
            <v>0</v>
          </cell>
          <cell r="DD277">
            <v>0</v>
          </cell>
          <cell r="DE277">
            <v>0</v>
          </cell>
          <cell r="DF277">
            <v>0</v>
          </cell>
          <cell r="DG277">
            <v>0</v>
          </cell>
          <cell r="DH277">
            <v>0</v>
          </cell>
          <cell r="DI277">
            <v>0</v>
          </cell>
          <cell r="DJ277">
            <v>0</v>
          </cell>
          <cell r="DK277">
            <v>0</v>
          </cell>
          <cell r="DL277">
            <v>0</v>
          </cell>
          <cell r="DM277">
            <v>0</v>
          </cell>
          <cell r="DN277">
            <v>0</v>
          </cell>
          <cell r="DO277">
            <v>0</v>
          </cell>
          <cell r="DP277">
            <v>0</v>
          </cell>
          <cell r="DQ277">
            <v>0</v>
          </cell>
          <cell r="DR277">
            <v>0</v>
          </cell>
          <cell r="DS277">
            <v>0</v>
          </cell>
          <cell r="DT277">
            <v>0</v>
          </cell>
          <cell r="DU277">
            <v>0</v>
          </cell>
          <cell r="DV277">
            <v>0</v>
          </cell>
          <cell r="DW277">
            <v>0</v>
          </cell>
          <cell r="DX277">
            <v>0</v>
          </cell>
          <cell r="DY277">
            <v>0</v>
          </cell>
          <cell r="EA277">
            <v>0</v>
          </cell>
          <cell r="EB277">
            <v>0</v>
          </cell>
          <cell r="EC277">
            <v>0</v>
          </cell>
          <cell r="ED277">
            <v>0</v>
          </cell>
          <cell r="EE277">
            <v>0</v>
          </cell>
          <cell r="EF277">
            <v>0</v>
          </cell>
          <cell r="EG277">
            <v>0</v>
          </cell>
          <cell r="EH277">
            <v>0</v>
          </cell>
          <cell r="EI277">
            <v>0</v>
          </cell>
          <cell r="EJ277">
            <v>0</v>
          </cell>
          <cell r="EK277">
            <v>0</v>
          </cell>
          <cell r="EL277">
            <v>0</v>
          </cell>
          <cell r="EM277">
            <v>0</v>
          </cell>
          <cell r="EN277">
            <v>0</v>
          </cell>
          <cell r="EO277">
            <v>0</v>
          </cell>
          <cell r="EP277">
            <v>0</v>
          </cell>
          <cell r="EQ277">
            <v>0</v>
          </cell>
          <cell r="ER277">
            <v>0</v>
          </cell>
          <cell r="ES277">
            <v>0</v>
          </cell>
          <cell r="ET277">
            <v>0</v>
          </cell>
          <cell r="EU277">
            <v>0</v>
          </cell>
          <cell r="EV277">
            <v>0</v>
          </cell>
          <cell r="EW277">
            <v>0</v>
          </cell>
          <cell r="EX277">
            <v>0</v>
          </cell>
          <cell r="EY277">
            <v>0</v>
          </cell>
          <cell r="EZ277">
            <v>0</v>
          </cell>
          <cell r="FA277">
            <v>0</v>
          </cell>
          <cell r="FB277">
            <v>0</v>
          </cell>
          <cell r="FC277">
            <v>0</v>
          </cell>
          <cell r="FD277">
            <v>0</v>
          </cell>
          <cell r="FE277">
            <v>0</v>
          </cell>
          <cell r="FF277">
            <v>0</v>
          </cell>
          <cell r="FG277">
            <v>0</v>
          </cell>
          <cell r="FH277">
            <v>0</v>
          </cell>
          <cell r="FI277">
            <v>0</v>
          </cell>
          <cell r="FJ277">
            <v>0</v>
          </cell>
          <cell r="FK277">
            <v>0</v>
          </cell>
          <cell r="FL277">
            <v>0</v>
          </cell>
          <cell r="FM277">
            <v>0</v>
          </cell>
          <cell r="FN277">
            <v>0</v>
          </cell>
          <cell r="FO277">
            <v>0</v>
          </cell>
          <cell r="FP277">
            <v>0</v>
          </cell>
          <cell r="FQ277">
            <v>0</v>
          </cell>
          <cell r="FR277">
            <v>0</v>
          </cell>
          <cell r="FS277">
            <v>0</v>
          </cell>
          <cell r="FT277">
            <v>0</v>
          </cell>
          <cell r="FU277">
            <v>0</v>
          </cell>
          <cell r="FV277">
            <v>0</v>
          </cell>
          <cell r="FW277">
            <v>0</v>
          </cell>
          <cell r="FX277">
            <v>0</v>
          </cell>
          <cell r="FY277">
            <v>0</v>
          </cell>
          <cell r="FZ277">
            <v>0</v>
          </cell>
        </row>
        <row r="278">
          <cell r="B278">
            <v>0</v>
          </cell>
          <cell r="C278">
            <v>0</v>
          </cell>
          <cell r="D278">
            <v>0</v>
          </cell>
          <cell r="E278">
            <v>0</v>
          </cell>
          <cell r="F278">
            <v>0</v>
          </cell>
          <cell r="G278">
            <v>0</v>
          </cell>
          <cell r="H278">
            <v>0</v>
          </cell>
          <cell r="I278">
            <v>0</v>
          </cell>
          <cell r="J278">
            <v>0</v>
          </cell>
          <cell r="K278">
            <v>0</v>
          </cell>
          <cell r="L278">
            <v>0</v>
          </cell>
          <cell r="M278">
            <v>0</v>
          </cell>
          <cell r="N278">
            <v>0</v>
          </cell>
          <cell r="O278">
            <v>0</v>
          </cell>
          <cell r="P278">
            <v>0</v>
          </cell>
          <cell r="Q278">
            <v>0</v>
          </cell>
          <cell r="R278">
            <v>0</v>
          </cell>
          <cell r="S278">
            <v>0</v>
          </cell>
          <cell r="T278">
            <v>0</v>
          </cell>
          <cell r="U278">
            <v>0</v>
          </cell>
          <cell r="V278">
            <v>0</v>
          </cell>
          <cell r="W278">
            <v>0</v>
          </cell>
          <cell r="X278">
            <v>0</v>
          </cell>
          <cell r="Y278">
            <v>0</v>
          </cell>
          <cell r="Z278">
            <v>0</v>
          </cell>
          <cell r="AA278">
            <v>0</v>
          </cell>
          <cell r="AB278">
            <v>0</v>
          </cell>
          <cell r="AC278">
            <v>0</v>
          </cell>
          <cell r="AD278">
            <v>0</v>
          </cell>
          <cell r="AE278">
            <v>0</v>
          </cell>
          <cell r="AF278">
            <v>0</v>
          </cell>
          <cell r="AG278">
            <v>0</v>
          </cell>
          <cell r="AH278">
            <v>0</v>
          </cell>
          <cell r="AI278">
            <v>0</v>
          </cell>
          <cell r="AJ278">
            <v>0</v>
          </cell>
          <cell r="AK278">
            <v>0</v>
          </cell>
          <cell r="AL278">
            <v>0</v>
          </cell>
          <cell r="AM278">
            <v>0</v>
          </cell>
          <cell r="AN278">
            <v>0</v>
          </cell>
          <cell r="AO278">
            <v>0</v>
          </cell>
          <cell r="AP278">
            <v>0</v>
          </cell>
          <cell r="AQ278">
            <v>0</v>
          </cell>
          <cell r="AR278">
            <v>0</v>
          </cell>
          <cell r="AS278">
            <v>0</v>
          </cell>
          <cell r="AT278">
            <v>0</v>
          </cell>
          <cell r="AU278">
            <v>0</v>
          </cell>
          <cell r="AV278">
            <v>0</v>
          </cell>
          <cell r="AW278">
            <v>0</v>
          </cell>
          <cell r="AX278">
            <v>0</v>
          </cell>
          <cell r="AY278">
            <v>0</v>
          </cell>
          <cell r="AZ278">
            <v>0</v>
          </cell>
          <cell r="BA278">
            <v>0</v>
          </cell>
          <cell r="BB278">
            <v>0</v>
          </cell>
          <cell r="BC278">
            <v>0</v>
          </cell>
          <cell r="BD278">
            <v>0</v>
          </cell>
          <cell r="BE278">
            <v>0</v>
          </cell>
          <cell r="BF278">
            <v>0</v>
          </cell>
          <cell r="BG278">
            <v>0</v>
          </cell>
          <cell r="BH278">
            <v>0</v>
          </cell>
          <cell r="BI278">
            <v>0</v>
          </cell>
          <cell r="BJ278">
            <v>0</v>
          </cell>
          <cell r="BK278">
            <v>0</v>
          </cell>
          <cell r="BL278">
            <v>0</v>
          </cell>
          <cell r="BM278">
            <v>0</v>
          </cell>
          <cell r="BN278">
            <v>0</v>
          </cell>
          <cell r="BO278">
            <v>0</v>
          </cell>
          <cell r="BP278">
            <v>0</v>
          </cell>
          <cell r="BQ278">
            <v>0</v>
          </cell>
          <cell r="BR278">
            <v>0</v>
          </cell>
          <cell r="BS278">
            <v>0</v>
          </cell>
          <cell r="BT278">
            <v>0</v>
          </cell>
          <cell r="BU278">
            <v>0</v>
          </cell>
          <cell r="BV278">
            <v>0</v>
          </cell>
          <cell r="BW278">
            <v>0</v>
          </cell>
          <cell r="BX278">
            <v>0</v>
          </cell>
          <cell r="BY278">
            <v>0</v>
          </cell>
          <cell r="BZ278">
            <v>0</v>
          </cell>
          <cell r="CA278">
            <v>0</v>
          </cell>
          <cell r="CB278">
            <v>0</v>
          </cell>
          <cell r="CC278">
            <v>0</v>
          </cell>
          <cell r="CD278">
            <v>0</v>
          </cell>
          <cell r="CE278">
            <v>0</v>
          </cell>
          <cell r="CF278">
            <v>0</v>
          </cell>
          <cell r="CG278">
            <v>0</v>
          </cell>
          <cell r="CH278">
            <v>0</v>
          </cell>
          <cell r="CI278">
            <v>0</v>
          </cell>
          <cell r="CJ278">
            <v>0</v>
          </cell>
          <cell r="CK278">
            <v>0</v>
          </cell>
          <cell r="CL278">
            <v>0</v>
          </cell>
          <cell r="CM278">
            <v>0</v>
          </cell>
          <cell r="CN278">
            <v>0</v>
          </cell>
          <cell r="CO278">
            <v>0</v>
          </cell>
          <cell r="CP278">
            <v>0</v>
          </cell>
          <cell r="CQ278">
            <v>0</v>
          </cell>
          <cell r="CR278">
            <v>0</v>
          </cell>
          <cell r="CS278">
            <v>0</v>
          </cell>
          <cell r="CT278">
            <v>0</v>
          </cell>
          <cell r="CU278">
            <v>0</v>
          </cell>
          <cell r="CV278">
            <v>0</v>
          </cell>
          <cell r="CW278">
            <v>0</v>
          </cell>
          <cell r="CX278">
            <v>0</v>
          </cell>
          <cell r="CY278">
            <v>0</v>
          </cell>
          <cell r="CZ278">
            <v>0</v>
          </cell>
          <cell r="DA278">
            <v>0</v>
          </cell>
          <cell r="DB278">
            <v>0</v>
          </cell>
          <cell r="DC278">
            <v>0</v>
          </cell>
          <cell r="DD278">
            <v>0</v>
          </cell>
          <cell r="DE278">
            <v>0</v>
          </cell>
          <cell r="DF278">
            <v>0</v>
          </cell>
          <cell r="DG278">
            <v>0</v>
          </cell>
          <cell r="DH278">
            <v>0</v>
          </cell>
          <cell r="DI278">
            <v>0</v>
          </cell>
          <cell r="DJ278">
            <v>0</v>
          </cell>
          <cell r="DK278">
            <v>0</v>
          </cell>
          <cell r="DL278">
            <v>0</v>
          </cell>
          <cell r="DM278">
            <v>0</v>
          </cell>
          <cell r="DN278">
            <v>0</v>
          </cell>
          <cell r="DO278">
            <v>0</v>
          </cell>
          <cell r="DP278">
            <v>0</v>
          </cell>
          <cell r="DQ278">
            <v>0</v>
          </cell>
          <cell r="DR278">
            <v>0</v>
          </cell>
          <cell r="DS278">
            <v>0</v>
          </cell>
          <cell r="DT278">
            <v>0</v>
          </cell>
          <cell r="DU278">
            <v>0</v>
          </cell>
          <cell r="DV278">
            <v>0</v>
          </cell>
          <cell r="DW278">
            <v>0</v>
          </cell>
          <cell r="DX278">
            <v>0</v>
          </cell>
          <cell r="DY278">
            <v>0</v>
          </cell>
          <cell r="EA278">
            <v>0</v>
          </cell>
          <cell r="EB278">
            <v>0</v>
          </cell>
          <cell r="EC278">
            <v>0</v>
          </cell>
          <cell r="ED278">
            <v>0</v>
          </cell>
          <cell r="EE278">
            <v>0</v>
          </cell>
          <cell r="EF278">
            <v>0</v>
          </cell>
          <cell r="EG278">
            <v>0</v>
          </cell>
          <cell r="EH278">
            <v>0</v>
          </cell>
          <cell r="EI278">
            <v>0</v>
          </cell>
          <cell r="EJ278">
            <v>0</v>
          </cell>
          <cell r="EK278">
            <v>0</v>
          </cell>
          <cell r="EL278">
            <v>0</v>
          </cell>
          <cell r="EM278">
            <v>0</v>
          </cell>
          <cell r="EN278">
            <v>0</v>
          </cell>
          <cell r="EO278">
            <v>0</v>
          </cell>
          <cell r="EP278">
            <v>0</v>
          </cell>
          <cell r="EQ278">
            <v>0</v>
          </cell>
          <cell r="ER278">
            <v>0</v>
          </cell>
          <cell r="ES278">
            <v>0</v>
          </cell>
          <cell r="ET278">
            <v>0</v>
          </cell>
          <cell r="EU278">
            <v>0</v>
          </cell>
          <cell r="EV278">
            <v>0</v>
          </cell>
          <cell r="EW278">
            <v>0</v>
          </cell>
          <cell r="EX278">
            <v>0</v>
          </cell>
          <cell r="EY278">
            <v>0</v>
          </cell>
          <cell r="EZ278">
            <v>0</v>
          </cell>
          <cell r="FA278">
            <v>0</v>
          </cell>
          <cell r="FB278">
            <v>0</v>
          </cell>
          <cell r="FC278">
            <v>0</v>
          </cell>
          <cell r="FD278">
            <v>0</v>
          </cell>
          <cell r="FE278">
            <v>0</v>
          </cell>
          <cell r="FF278">
            <v>0</v>
          </cell>
          <cell r="FG278">
            <v>0</v>
          </cell>
          <cell r="FH278">
            <v>0</v>
          </cell>
          <cell r="FI278">
            <v>0</v>
          </cell>
          <cell r="FJ278">
            <v>0</v>
          </cell>
          <cell r="FK278">
            <v>0</v>
          </cell>
          <cell r="FL278">
            <v>0</v>
          </cell>
          <cell r="FM278">
            <v>0</v>
          </cell>
          <cell r="FN278">
            <v>0</v>
          </cell>
          <cell r="FO278">
            <v>0</v>
          </cell>
          <cell r="FP278">
            <v>0</v>
          </cell>
          <cell r="FQ278">
            <v>0</v>
          </cell>
          <cell r="FR278">
            <v>0</v>
          </cell>
          <cell r="FS278">
            <v>0</v>
          </cell>
          <cell r="FT278">
            <v>0</v>
          </cell>
          <cell r="FU278">
            <v>0</v>
          </cell>
          <cell r="FV278">
            <v>0</v>
          </cell>
          <cell r="FW278">
            <v>0</v>
          </cell>
          <cell r="FX278">
            <v>0</v>
          </cell>
          <cell r="FY278">
            <v>0</v>
          </cell>
          <cell r="FZ278">
            <v>0</v>
          </cell>
        </row>
        <row r="279">
          <cell r="B279">
            <v>0</v>
          </cell>
          <cell r="C279">
            <v>0</v>
          </cell>
          <cell r="D279">
            <v>0</v>
          </cell>
          <cell r="E279">
            <v>0</v>
          </cell>
          <cell r="F279">
            <v>0</v>
          </cell>
          <cell r="G279">
            <v>0</v>
          </cell>
          <cell r="H279">
            <v>0</v>
          </cell>
          <cell r="I279">
            <v>0</v>
          </cell>
          <cell r="J279">
            <v>0</v>
          </cell>
          <cell r="K279">
            <v>0</v>
          </cell>
          <cell r="L279">
            <v>0</v>
          </cell>
          <cell r="M279">
            <v>0</v>
          </cell>
          <cell r="N279">
            <v>0</v>
          </cell>
          <cell r="O279">
            <v>0</v>
          </cell>
          <cell r="P279">
            <v>0</v>
          </cell>
          <cell r="Q279">
            <v>0</v>
          </cell>
          <cell r="R279">
            <v>0</v>
          </cell>
          <cell r="S279">
            <v>0</v>
          </cell>
          <cell r="T279">
            <v>0</v>
          </cell>
          <cell r="U279">
            <v>0</v>
          </cell>
          <cell r="V279">
            <v>0</v>
          </cell>
          <cell r="W279">
            <v>0</v>
          </cell>
          <cell r="X279">
            <v>0</v>
          </cell>
          <cell r="Y279">
            <v>0</v>
          </cell>
          <cell r="Z279">
            <v>0</v>
          </cell>
          <cell r="AA279">
            <v>0</v>
          </cell>
          <cell r="AB279">
            <v>0</v>
          </cell>
          <cell r="AC279">
            <v>0</v>
          </cell>
          <cell r="AD279">
            <v>0</v>
          </cell>
          <cell r="AE279">
            <v>0</v>
          </cell>
          <cell r="AF279">
            <v>0</v>
          </cell>
          <cell r="AG279">
            <v>0</v>
          </cell>
          <cell r="AH279">
            <v>0</v>
          </cell>
          <cell r="AI279">
            <v>0</v>
          </cell>
          <cell r="AJ279">
            <v>0</v>
          </cell>
          <cell r="AK279">
            <v>0</v>
          </cell>
          <cell r="AL279">
            <v>0</v>
          </cell>
          <cell r="AM279">
            <v>0</v>
          </cell>
          <cell r="AN279">
            <v>0</v>
          </cell>
          <cell r="AO279">
            <v>0</v>
          </cell>
          <cell r="AP279">
            <v>0</v>
          </cell>
          <cell r="AQ279">
            <v>0</v>
          </cell>
          <cell r="AR279">
            <v>0</v>
          </cell>
          <cell r="AS279">
            <v>0</v>
          </cell>
          <cell r="AT279">
            <v>0</v>
          </cell>
          <cell r="AU279">
            <v>0</v>
          </cell>
          <cell r="AV279">
            <v>0</v>
          </cell>
          <cell r="AW279">
            <v>0</v>
          </cell>
          <cell r="AX279">
            <v>0</v>
          </cell>
          <cell r="AY279">
            <v>0</v>
          </cell>
          <cell r="AZ279">
            <v>0</v>
          </cell>
          <cell r="BA279">
            <v>0</v>
          </cell>
          <cell r="BB279">
            <v>0</v>
          </cell>
          <cell r="BC279">
            <v>0</v>
          </cell>
          <cell r="BD279">
            <v>0</v>
          </cell>
          <cell r="BE279">
            <v>0</v>
          </cell>
          <cell r="BF279">
            <v>0</v>
          </cell>
          <cell r="BG279">
            <v>0</v>
          </cell>
          <cell r="BH279">
            <v>0</v>
          </cell>
          <cell r="BI279">
            <v>0</v>
          </cell>
          <cell r="BJ279">
            <v>0</v>
          </cell>
          <cell r="BK279">
            <v>0</v>
          </cell>
          <cell r="BL279">
            <v>0</v>
          </cell>
          <cell r="BM279">
            <v>0</v>
          </cell>
          <cell r="BN279">
            <v>0</v>
          </cell>
          <cell r="BO279">
            <v>0</v>
          </cell>
          <cell r="BP279">
            <v>0</v>
          </cell>
          <cell r="BQ279">
            <v>0</v>
          </cell>
          <cell r="BR279">
            <v>0</v>
          </cell>
          <cell r="BS279">
            <v>0</v>
          </cell>
          <cell r="BT279">
            <v>0</v>
          </cell>
          <cell r="BU279">
            <v>0</v>
          </cell>
          <cell r="BV279">
            <v>0</v>
          </cell>
          <cell r="BW279">
            <v>0</v>
          </cell>
          <cell r="BX279">
            <v>0</v>
          </cell>
          <cell r="BY279">
            <v>0</v>
          </cell>
          <cell r="BZ279">
            <v>0</v>
          </cell>
          <cell r="CA279">
            <v>0</v>
          </cell>
          <cell r="CB279">
            <v>0</v>
          </cell>
          <cell r="CC279">
            <v>0</v>
          </cell>
          <cell r="CD279">
            <v>0</v>
          </cell>
          <cell r="CE279">
            <v>0</v>
          </cell>
          <cell r="CF279">
            <v>0</v>
          </cell>
          <cell r="CG279">
            <v>0</v>
          </cell>
          <cell r="CH279">
            <v>0</v>
          </cell>
          <cell r="CI279">
            <v>0</v>
          </cell>
          <cell r="CJ279">
            <v>0</v>
          </cell>
          <cell r="CK279">
            <v>0</v>
          </cell>
          <cell r="CL279">
            <v>0</v>
          </cell>
          <cell r="CM279">
            <v>0</v>
          </cell>
          <cell r="CN279">
            <v>0</v>
          </cell>
          <cell r="CO279">
            <v>0</v>
          </cell>
          <cell r="CP279">
            <v>0</v>
          </cell>
          <cell r="CQ279">
            <v>0</v>
          </cell>
          <cell r="CR279">
            <v>0</v>
          </cell>
          <cell r="CS279">
            <v>0</v>
          </cell>
          <cell r="CT279">
            <v>0</v>
          </cell>
          <cell r="CU279">
            <v>0</v>
          </cell>
          <cell r="CV279">
            <v>0</v>
          </cell>
          <cell r="CW279">
            <v>0</v>
          </cell>
          <cell r="CX279">
            <v>0</v>
          </cell>
          <cell r="CY279">
            <v>0</v>
          </cell>
          <cell r="CZ279">
            <v>0</v>
          </cell>
          <cell r="DA279">
            <v>0</v>
          </cell>
          <cell r="DB279">
            <v>0</v>
          </cell>
          <cell r="DC279">
            <v>0</v>
          </cell>
          <cell r="DD279">
            <v>0</v>
          </cell>
          <cell r="DE279">
            <v>0</v>
          </cell>
          <cell r="DF279">
            <v>0</v>
          </cell>
          <cell r="DG279">
            <v>0</v>
          </cell>
          <cell r="DH279">
            <v>0</v>
          </cell>
          <cell r="DI279">
            <v>0</v>
          </cell>
          <cell r="DJ279">
            <v>0</v>
          </cell>
          <cell r="DK279">
            <v>0</v>
          </cell>
          <cell r="DL279">
            <v>0</v>
          </cell>
          <cell r="DM279">
            <v>0</v>
          </cell>
          <cell r="DN279">
            <v>0</v>
          </cell>
          <cell r="DO279">
            <v>0</v>
          </cell>
          <cell r="DP279">
            <v>0</v>
          </cell>
          <cell r="DQ279">
            <v>0</v>
          </cell>
          <cell r="DR279">
            <v>0</v>
          </cell>
          <cell r="DS279">
            <v>0</v>
          </cell>
          <cell r="DT279">
            <v>0</v>
          </cell>
          <cell r="DU279">
            <v>0</v>
          </cell>
          <cell r="DV279">
            <v>0</v>
          </cell>
          <cell r="DW279">
            <v>0</v>
          </cell>
          <cell r="DX279">
            <v>0</v>
          </cell>
          <cell r="DY279">
            <v>0</v>
          </cell>
          <cell r="EA279">
            <v>0</v>
          </cell>
          <cell r="EB279">
            <v>0</v>
          </cell>
          <cell r="EC279">
            <v>0</v>
          </cell>
          <cell r="ED279">
            <v>0</v>
          </cell>
          <cell r="EE279">
            <v>0</v>
          </cell>
          <cell r="EF279">
            <v>0</v>
          </cell>
          <cell r="EG279">
            <v>0</v>
          </cell>
          <cell r="EH279">
            <v>0</v>
          </cell>
          <cell r="EI279">
            <v>0</v>
          </cell>
          <cell r="EJ279">
            <v>0</v>
          </cell>
          <cell r="EK279">
            <v>0</v>
          </cell>
          <cell r="EL279">
            <v>0</v>
          </cell>
          <cell r="EM279">
            <v>0</v>
          </cell>
          <cell r="EN279">
            <v>0</v>
          </cell>
          <cell r="EO279">
            <v>0</v>
          </cell>
          <cell r="EP279">
            <v>0</v>
          </cell>
          <cell r="EQ279">
            <v>0</v>
          </cell>
          <cell r="ER279">
            <v>0</v>
          </cell>
          <cell r="ES279">
            <v>0</v>
          </cell>
          <cell r="ET279">
            <v>0</v>
          </cell>
          <cell r="EU279">
            <v>0</v>
          </cell>
          <cell r="EV279">
            <v>0</v>
          </cell>
          <cell r="EW279">
            <v>0</v>
          </cell>
          <cell r="EX279">
            <v>0</v>
          </cell>
          <cell r="EY279">
            <v>0</v>
          </cell>
          <cell r="EZ279">
            <v>0</v>
          </cell>
          <cell r="FA279">
            <v>0</v>
          </cell>
          <cell r="FB279">
            <v>0</v>
          </cell>
          <cell r="FC279">
            <v>0</v>
          </cell>
          <cell r="FD279">
            <v>0</v>
          </cell>
          <cell r="FE279">
            <v>0</v>
          </cell>
          <cell r="FF279">
            <v>0</v>
          </cell>
          <cell r="FG279">
            <v>0</v>
          </cell>
          <cell r="FH279">
            <v>0</v>
          </cell>
          <cell r="FI279">
            <v>0</v>
          </cell>
          <cell r="FJ279">
            <v>0</v>
          </cell>
          <cell r="FK279">
            <v>0</v>
          </cell>
          <cell r="FL279">
            <v>0</v>
          </cell>
          <cell r="FM279">
            <v>0</v>
          </cell>
          <cell r="FN279">
            <v>0</v>
          </cell>
          <cell r="FO279">
            <v>0</v>
          </cell>
          <cell r="FP279">
            <v>0</v>
          </cell>
          <cell r="FQ279">
            <v>0</v>
          </cell>
          <cell r="FR279">
            <v>0</v>
          </cell>
          <cell r="FS279">
            <v>0</v>
          </cell>
          <cell r="FT279">
            <v>0</v>
          </cell>
          <cell r="FU279">
            <v>0</v>
          </cell>
          <cell r="FV279">
            <v>0</v>
          </cell>
          <cell r="FW279">
            <v>0</v>
          </cell>
          <cell r="FX279">
            <v>0</v>
          </cell>
          <cell r="FY279">
            <v>0</v>
          </cell>
          <cell r="FZ279">
            <v>0</v>
          </cell>
        </row>
        <row r="280">
          <cell r="B280">
            <v>0</v>
          </cell>
          <cell r="C280">
            <v>0</v>
          </cell>
          <cell r="D280">
            <v>0</v>
          </cell>
          <cell r="E280">
            <v>0</v>
          </cell>
          <cell r="F280">
            <v>0</v>
          </cell>
          <cell r="G280">
            <v>0</v>
          </cell>
          <cell r="H280">
            <v>0</v>
          </cell>
          <cell r="I280">
            <v>0</v>
          </cell>
          <cell r="J280">
            <v>0</v>
          </cell>
          <cell r="K280">
            <v>0</v>
          </cell>
          <cell r="L280">
            <v>0</v>
          </cell>
          <cell r="M280">
            <v>0</v>
          </cell>
          <cell r="N280">
            <v>0</v>
          </cell>
          <cell r="O280">
            <v>0</v>
          </cell>
          <cell r="P280">
            <v>0</v>
          </cell>
          <cell r="Q280">
            <v>0</v>
          </cell>
          <cell r="R280">
            <v>0</v>
          </cell>
          <cell r="S280">
            <v>0</v>
          </cell>
          <cell r="T280">
            <v>0</v>
          </cell>
          <cell r="U280">
            <v>0</v>
          </cell>
          <cell r="V280">
            <v>0</v>
          </cell>
          <cell r="W280">
            <v>0</v>
          </cell>
          <cell r="X280">
            <v>0</v>
          </cell>
          <cell r="Y280">
            <v>0</v>
          </cell>
          <cell r="Z280">
            <v>0</v>
          </cell>
          <cell r="AA280">
            <v>0</v>
          </cell>
          <cell r="AB280">
            <v>0</v>
          </cell>
          <cell r="AC280">
            <v>0</v>
          </cell>
          <cell r="AD280">
            <v>0</v>
          </cell>
          <cell r="AE280">
            <v>0</v>
          </cell>
          <cell r="AF280">
            <v>0</v>
          </cell>
          <cell r="AG280">
            <v>0</v>
          </cell>
          <cell r="AH280">
            <v>0</v>
          </cell>
          <cell r="AI280">
            <v>0</v>
          </cell>
          <cell r="AJ280">
            <v>0</v>
          </cell>
          <cell r="AK280">
            <v>0</v>
          </cell>
          <cell r="AL280">
            <v>0</v>
          </cell>
          <cell r="AM280">
            <v>0</v>
          </cell>
          <cell r="AN280">
            <v>0</v>
          </cell>
          <cell r="AO280">
            <v>0</v>
          </cell>
          <cell r="AP280">
            <v>0</v>
          </cell>
          <cell r="AQ280">
            <v>0</v>
          </cell>
          <cell r="AR280">
            <v>0</v>
          </cell>
          <cell r="AS280">
            <v>0</v>
          </cell>
          <cell r="AT280">
            <v>0</v>
          </cell>
          <cell r="AU280">
            <v>0</v>
          </cell>
          <cell r="AV280">
            <v>0</v>
          </cell>
          <cell r="AW280">
            <v>0</v>
          </cell>
          <cell r="AX280">
            <v>0</v>
          </cell>
          <cell r="AY280">
            <v>0</v>
          </cell>
          <cell r="AZ280">
            <v>0</v>
          </cell>
          <cell r="BA280">
            <v>0</v>
          </cell>
          <cell r="BB280">
            <v>0</v>
          </cell>
          <cell r="BC280">
            <v>0</v>
          </cell>
          <cell r="BD280">
            <v>0</v>
          </cell>
          <cell r="BE280">
            <v>0</v>
          </cell>
          <cell r="BF280">
            <v>0</v>
          </cell>
          <cell r="BG280">
            <v>0</v>
          </cell>
          <cell r="BH280">
            <v>0</v>
          </cell>
          <cell r="BI280">
            <v>0</v>
          </cell>
          <cell r="BJ280">
            <v>0</v>
          </cell>
          <cell r="BK280">
            <v>0</v>
          </cell>
          <cell r="BL280">
            <v>0</v>
          </cell>
          <cell r="BM280">
            <v>0</v>
          </cell>
          <cell r="BN280">
            <v>0</v>
          </cell>
          <cell r="BO280">
            <v>0</v>
          </cell>
          <cell r="BP280">
            <v>0</v>
          </cell>
          <cell r="BQ280">
            <v>0</v>
          </cell>
          <cell r="BR280">
            <v>0</v>
          </cell>
          <cell r="BS280">
            <v>0</v>
          </cell>
          <cell r="BT280">
            <v>0</v>
          </cell>
          <cell r="BU280">
            <v>0</v>
          </cell>
          <cell r="BV280">
            <v>0</v>
          </cell>
          <cell r="BW280">
            <v>0</v>
          </cell>
          <cell r="BX280">
            <v>0</v>
          </cell>
          <cell r="BY280">
            <v>0</v>
          </cell>
          <cell r="BZ280">
            <v>0</v>
          </cell>
          <cell r="CA280">
            <v>0</v>
          </cell>
          <cell r="CB280">
            <v>0</v>
          </cell>
          <cell r="CC280">
            <v>0</v>
          </cell>
          <cell r="CD280">
            <v>0</v>
          </cell>
          <cell r="CE280">
            <v>0</v>
          </cell>
          <cell r="CF280">
            <v>0</v>
          </cell>
          <cell r="CG280">
            <v>0</v>
          </cell>
          <cell r="CH280">
            <v>0</v>
          </cell>
          <cell r="CI280">
            <v>0</v>
          </cell>
          <cell r="CJ280">
            <v>0</v>
          </cell>
          <cell r="CK280">
            <v>0</v>
          </cell>
          <cell r="CL280">
            <v>0</v>
          </cell>
          <cell r="CM280">
            <v>0</v>
          </cell>
          <cell r="CN280">
            <v>0</v>
          </cell>
          <cell r="CO280">
            <v>0</v>
          </cell>
          <cell r="CP280">
            <v>0</v>
          </cell>
          <cell r="CQ280">
            <v>0</v>
          </cell>
          <cell r="CR280">
            <v>0</v>
          </cell>
          <cell r="CS280">
            <v>0</v>
          </cell>
          <cell r="CT280">
            <v>0</v>
          </cell>
          <cell r="CU280">
            <v>0</v>
          </cell>
          <cell r="CV280">
            <v>0</v>
          </cell>
          <cell r="CW280">
            <v>0</v>
          </cell>
          <cell r="CX280">
            <v>0</v>
          </cell>
          <cell r="CY280">
            <v>0</v>
          </cell>
          <cell r="CZ280">
            <v>0</v>
          </cell>
          <cell r="DA280">
            <v>0</v>
          </cell>
          <cell r="DB280">
            <v>0</v>
          </cell>
          <cell r="DC280">
            <v>0</v>
          </cell>
          <cell r="DD280">
            <v>0</v>
          </cell>
          <cell r="DE280">
            <v>0</v>
          </cell>
          <cell r="DF280">
            <v>0</v>
          </cell>
          <cell r="DG280">
            <v>0</v>
          </cell>
          <cell r="DH280">
            <v>0</v>
          </cell>
          <cell r="DI280">
            <v>0</v>
          </cell>
          <cell r="DJ280">
            <v>0</v>
          </cell>
          <cell r="DK280">
            <v>0</v>
          </cell>
          <cell r="DL280">
            <v>0</v>
          </cell>
          <cell r="DM280">
            <v>0</v>
          </cell>
          <cell r="DN280">
            <v>0</v>
          </cell>
          <cell r="DO280">
            <v>0</v>
          </cell>
          <cell r="DP280">
            <v>0</v>
          </cell>
          <cell r="DQ280">
            <v>0</v>
          </cell>
          <cell r="DR280">
            <v>0</v>
          </cell>
          <cell r="DS280">
            <v>0</v>
          </cell>
          <cell r="DT280">
            <v>0</v>
          </cell>
          <cell r="DU280">
            <v>0</v>
          </cell>
          <cell r="DV280">
            <v>0</v>
          </cell>
          <cell r="DW280">
            <v>0</v>
          </cell>
          <cell r="DX280">
            <v>0</v>
          </cell>
          <cell r="DY280">
            <v>0</v>
          </cell>
          <cell r="EA280">
            <v>0</v>
          </cell>
          <cell r="EB280">
            <v>0</v>
          </cell>
          <cell r="EC280">
            <v>0</v>
          </cell>
          <cell r="ED280">
            <v>0</v>
          </cell>
          <cell r="EE280">
            <v>0</v>
          </cell>
          <cell r="EF280">
            <v>0</v>
          </cell>
          <cell r="EG280">
            <v>0</v>
          </cell>
          <cell r="EH280">
            <v>0</v>
          </cell>
          <cell r="EI280">
            <v>0</v>
          </cell>
          <cell r="EJ280">
            <v>0</v>
          </cell>
          <cell r="EK280">
            <v>0</v>
          </cell>
          <cell r="EL280">
            <v>0</v>
          </cell>
          <cell r="EM280">
            <v>0</v>
          </cell>
          <cell r="EN280">
            <v>0</v>
          </cell>
          <cell r="EO280">
            <v>0</v>
          </cell>
          <cell r="EP280">
            <v>0</v>
          </cell>
          <cell r="EQ280">
            <v>0</v>
          </cell>
          <cell r="ER280">
            <v>0</v>
          </cell>
          <cell r="ES280">
            <v>0</v>
          </cell>
          <cell r="ET280">
            <v>0</v>
          </cell>
          <cell r="EU280">
            <v>0</v>
          </cell>
          <cell r="EV280">
            <v>0</v>
          </cell>
          <cell r="EW280">
            <v>0</v>
          </cell>
          <cell r="EX280">
            <v>0</v>
          </cell>
          <cell r="EY280">
            <v>0</v>
          </cell>
          <cell r="EZ280">
            <v>0</v>
          </cell>
          <cell r="FA280">
            <v>0</v>
          </cell>
          <cell r="FB280">
            <v>0</v>
          </cell>
          <cell r="FC280">
            <v>0</v>
          </cell>
          <cell r="FD280">
            <v>0</v>
          </cell>
          <cell r="FE280">
            <v>0</v>
          </cell>
          <cell r="FF280">
            <v>0</v>
          </cell>
          <cell r="FG280">
            <v>0</v>
          </cell>
          <cell r="FH280">
            <v>0</v>
          </cell>
          <cell r="FI280">
            <v>0</v>
          </cell>
          <cell r="FJ280">
            <v>0</v>
          </cell>
          <cell r="FK280">
            <v>0</v>
          </cell>
          <cell r="FL280">
            <v>0</v>
          </cell>
          <cell r="FM280">
            <v>0</v>
          </cell>
          <cell r="FN280">
            <v>0</v>
          </cell>
          <cell r="FO280">
            <v>0</v>
          </cell>
          <cell r="FP280">
            <v>0</v>
          </cell>
          <cell r="FQ280">
            <v>0</v>
          </cell>
          <cell r="FR280">
            <v>0</v>
          </cell>
          <cell r="FS280">
            <v>0</v>
          </cell>
          <cell r="FT280">
            <v>0</v>
          </cell>
          <cell r="FU280">
            <v>0</v>
          </cell>
          <cell r="FV280">
            <v>0</v>
          </cell>
          <cell r="FW280">
            <v>0</v>
          </cell>
          <cell r="FX280">
            <v>0</v>
          </cell>
          <cell r="FY280">
            <v>0</v>
          </cell>
          <cell r="FZ280">
            <v>0</v>
          </cell>
        </row>
        <row r="281">
          <cell r="B281">
            <v>0</v>
          </cell>
          <cell r="C281">
            <v>0</v>
          </cell>
          <cell r="D281">
            <v>0</v>
          </cell>
          <cell r="E281">
            <v>0</v>
          </cell>
          <cell r="F281">
            <v>0</v>
          </cell>
          <cell r="G281">
            <v>0</v>
          </cell>
          <cell r="H281">
            <v>0</v>
          </cell>
          <cell r="I281">
            <v>0</v>
          </cell>
          <cell r="J281">
            <v>0</v>
          </cell>
          <cell r="K281">
            <v>0</v>
          </cell>
          <cell r="L281">
            <v>0</v>
          </cell>
          <cell r="M281">
            <v>0</v>
          </cell>
          <cell r="N281">
            <v>0</v>
          </cell>
          <cell r="O281">
            <v>0</v>
          </cell>
          <cell r="P281">
            <v>0</v>
          </cell>
          <cell r="Q281">
            <v>0</v>
          </cell>
          <cell r="R281">
            <v>0</v>
          </cell>
          <cell r="S281">
            <v>0</v>
          </cell>
          <cell r="T281">
            <v>0</v>
          </cell>
          <cell r="U281">
            <v>0</v>
          </cell>
          <cell r="V281">
            <v>0</v>
          </cell>
          <cell r="W281">
            <v>0</v>
          </cell>
          <cell r="X281">
            <v>0</v>
          </cell>
          <cell r="Y281">
            <v>0</v>
          </cell>
          <cell r="Z281">
            <v>0</v>
          </cell>
          <cell r="AA281">
            <v>0</v>
          </cell>
          <cell r="AB281">
            <v>0</v>
          </cell>
          <cell r="AC281">
            <v>0</v>
          </cell>
          <cell r="AD281">
            <v>0</v>
          </cell>
          <cell r="AE281">
            <v>0</v>
          </cell>
          <cell r="AF281">
            <v>0</v>
          </cell>
          <cell r="AG281">
            <v>0</v>
          </cell>
          <cell r="AH281">
            <v>0</v>
          </cell>
          <cell r="AI281">
            <v>0</v>
          </cell>
          <cell r="AJ281">
            <v>0</v>
          </cell>
          <cell r="AK281">
            <v>0</v>
          </cell>
          <cell r="AL281">
            <v>0</v>
          </cell>
          <cell r="AM281">
            <v>0</v>
          </cell>
          <cell r="AN281">
            <v>0</v>
          </cell>
          <cell r="AO281">
            <v>0</v>
          </cell>
          <cell r="AP281">
            <v>0</v>
          </cell>
          <cell r="AQ281">
            <v>0</v>
          </cell>
          <cell r="AR281">
            <v>0</v>
          </cell>
          <cell r="AS281">
            <v>0</v>
          </cell>
          <cell r="AT281">
            <v>0</v>
          </cell>
          <cell r="AU281">
            <v>0</v>
          </cell>
          <cell r="AV281">
            <v>0</v>
          </cell>
          <cell r="AW281">
            <v>0</v>
          </cell>
          <cell r="AX281">
            <v>0</v>
          </cell>
          <cell r="AY281">
            <v>0</v>
          </cell>
          <cell r="AZ281">
            <v>0</v>
          </cell>
          <cell r="BA281">
            <v>0</v>
          </cell>
          <cell r="BB281">
            <v>0</v>
          </cell>
          <cell r="BC281">
            <v>0</v>
          </cell>
          <cell r="BD281">
            <v>0</v>
          </cell>
          <cell r="BE281">
            <v>0</v>
          </cell>
          <cell r="BF281">
            <v>0</v>
          </cell>
          <cell r="BG281">
            <v>0</v>
          </cell>
          <cell r="BH281">
            <v>0</v>
          </cell>
          <cell r="BI281">
            <v>0</v>
          </cell>
          <cell r="BJ281">
            <v>0</v>
          </cell>
          <cell r="BK281">
            <v>0</v>
          </cell>
          <cell r="BL281">
            <v>0</v>
          </cell>
          <cell r="BM281">
            <v>0</v>
          </cell>
          <cell r="BN281">
            <v>0</v>
          </cell>
          <cell r="BO281">
            <v>0</v>
          </cell>
          <cell r="BP281">
            <v>0</v>
          </cell>
          <cell r="BQ281">
            <v>0</v>
          </cell>
          <cell r="BR281">
            <v>0</v>
          </cell>
          <cell r="BS281">
            <v>0</v>
          </cell>
          <cell r="BT281">
            <v>0</v>
          </cell>
          <cell r="BU281">
            <v>0</v>
          </cell>
          <cell r="BV281">
            <v>0</v>
          </cell>
          <cell r="BW281">
            <v>0</v>
          </cell>
          <cell r="BX281">
            <v>0</v>
          </cell>
          <cell r="BY281">
            <v>0</v>
          </cell>
          <cell r="BZ281">
            <v>0</v>
          </cell>
          <cell r="CA281">
            <v>0</v>
          </cell>
          <cell r="CB281">
            <v>0</v>
          </cell>
          <cell r="CC281">
            <v>0</v>
          </cell>
          <cell r="CD281">
            <v>0</v>
          </cell>
          <cell r="CE281">
            <v>0</v>
          </cell>
          <cell r="CF281">
            <v>0</v>
          </cell>
          <cell r="CG281">
            <v>0</v>
          </cell>
          <cell r="CH281">
            <v>0</v>
          </cell>
          <cell r="CI281">
            <v>0</v>
          </cell>
          <cell r="CJ281">
            <v>0</v>
          </cell>
          <cell r="CK281">
            <v>0</v>
          </cell>
          <cell r="CL281">
            <v>0</v>
          </cell>
          <cell r="CM281">
            <v>0</v>
          </cell>
          <cell r="CN281">
            <v>0</v>
          </cell>
          <cell r="CO281">
            <v>0</v>
          </cell>
          <cell r="CP281">
            <v>0</v>
          </cell>
          <cell r="CQ281">
            <v>0</v>
          </cell>
          <cell r="CR281">
            <v>0</v>
          </cell>
          <cell r="CS281">
            <v>0</v>
          </cell>
          <cell r="CT281">
            <v>0</v>
          </cell>
          <cell r="CU281">
            <v>0</v>
          </cell>
          <cell r="CV281">
            <v>0</v>
          </cell>
          <cell r="CW281">
            <v>0</v>
          </cell>
          <cell r="CX281">
            <v>0</v>
          </cell>
          <cell r="CY281">
            <v>0</v>
          </cell>
          <cell r="CZ281">
            <v>0</v>
          </cell>
          <cell r="DA281">
            <v>0</v>
          </cell>
          <cell r="DB281">
            <v>0</v>
          </cell>
          <cell r="DC281">
            <v>0</v>
          </cell>
          <cell r="DD281">
            <v>0</v>
          </cell>
          <cell r="DE281">
            <v>0</v>
          </cell>
          <cell r="DF281">
            <v>0</v>
          </cell>
          <cell r="DG281">
            <v>0</v>
          </cell>
          <cell r="DH281">
            <v>0</v>
          </cell>
          <cell r="DI281">
            <v>0</v>
          </cell>
          <cell r="DJ281">
            <v>0</v>
          </cell>
          <cell r="DK281">
            <v>0</v>
          </cell>
          <cell r="DL281">
            <v>0</v>
          </cell>
          <cell r="DM281">
            <v>0</v>
          </cell>
          <cell r="DN281">
            <v>0</v>
          </cell>
          <cell r="DO281">
            <v>0</v>
          </cell>
          <cell r="DP281">
            <v>0</v>
          </cell>
          <cell r="DQ281">
            <v>0</v>
          </cell>
          <cell r="DR281">
            <v>0</v>
          </cell>
          <cell r="DS281">
            <v>0</v>
          </cell>
          <cell r="DT281">
            <v>0</v>
          </cell>
          <cell r="DU281">
            <v>0</v>
          </cell>
          <cell r="DV281">
            <v>0</v>
          </cell>
          <cell r="DW281">
            <v>0</v>
          </cell>
          <cell r="DX281">
            <v>0</v>
          </cell>
          <cell r="DY281">
            <v>0</v>
          </cell>
          <cell r="EA281">
            <v>0</v>
          </cell>
          <cell r="EB281">
            <v>0</v>
          </cell>
          <cell r="EC281">
            <v>0</v>
          </cell>
          <cell r="ED281">
            <v>0</v>
          </cell>
          <cell r="EE281">
            <v>0</v>
          </cell>
          <cell r="EF281">
            <v>0</v>
          </cell>
          <cell r="EG281">
            <v>0</v>
          </cell>
          <cell r="EH281">
            <v>0</v>
          </cell>
          <cell r="EI281">
            <v>0</v>
          </cell>
          <cell r="EJ281">
            <v>0</v>
          </cell>
          <cell r="EK281">
            <v>0</v>
          </cell>
          <cell r="EL281">
            <v>0</v>
          </cell>
          <cell r="EM281">
            <v>0</v>
          </cell>
          <cell r="EN281">
            <v>0</v>
          </cell>
          <cell r="EO281">
            <v>0</v>
          </cell>
          <cell r="EP281">
            <v>0</v>
          </cell>
          <cell r="EQ281">
            <v>0</v>
          </cell>
          <cell r="ER281">
            <v>0</v>
          </cell>
          <cell r="ES281">
            <v>0</v>
          </cell>
          <cell r="ET281">
            <v>0</v>
          </cell>
          <cell r="EU281">
            <v>0</v>
          </cell>
          <cell r="EV281">
            <v>0</v>
          </cell>
          <cell r="EW281">
            <v>0</v>
          </cell>
          <cell r="EX281">
            <v>0</v>
          </cell>
          <cell r="EY281">
            <v>0</v>
          </cell>
          <cell r="EZ281">
            <v>0</v>
          </cell>
          <cell r="FA281">
            <v>0</v>
          </cell>
          <cell r="FB281">
            <v>0</v>
          </cell>
          <cell r="FC281">
            <v>0</v>
          </cell>
          <cell r="FD281">
            <v>0</v>
          </cell>
          <cell r="FE281">
            <v>0</v>
          </cell>
          <cell r="FF281">
            <v>0</v>
          </cell>
          <cell r="FG281">
            <v>0</v>
          </cell>
          <cell r="FH281">
            <v>0</v>
          </cell>
          <cell r="FI281">
            <v>0</v>
          </cell>
          <cell r="FJ281">
            <v>0</v>
          </cell>
          <cell r="FK281">
            <v>0</v>
          </cell>
          <cell r="FL281">
            <v>0</v>
          </cell>
          <cell r="FM281">
            <v>0</v>
          </cell>
          <cell r="FN281">
            <v>0</v>
          </cell>
          <cell r="FO281">
            <v>0</v>
          </cell>
          <cell r="FP281">
            <v>0</v>
          </cell>
          <cell r="FQ281">
            <v>0</v>
          </cell>
          <cell r="FR281">
            <v>0</v>
          </cell>
          <cell r="FS281">
            <v>0</v>
          </cell>
          <cell r="FT281">
            <v>0</v>
          </cell>
          <cell r="FU281">
            <v>0</v>
          </cell>
          <cell r="FV281">
            <v>0</v>
          </cell>
          <cell r="FW281">
            <v>0</v>
          </cell>
          <cell r="FX281">
            <v>0</v>
          </cell>
          <cell r="FY281">
            <v>0</v>
          </cell>
          <cell r="FZ281">
            <v>0</v>
          </cell>
        </row>
        <row r="282">
          <cell r="B282">
            <v>0</v>
          </cell>
          <cell r="C282">
            <v>0</v>
          </cell>
          <cell r="D282">
            <v>0</v>
          </cell>
          <cell r="E282">
            <v>0</v>
          </cell>
          <cell r="F282">
            <v>0</v>
          </cell>
          <cell r="G282">
            <v>0</v>
          </cell>
          <cell r="H282">
            <v>0</v>
          </cell>
          <cell r="I282">
            <v>0</v>
          </cell>
          <cell r="J282">
            <v>0</v>
          </cell>
          <cell r="K282">
            <v>0</v>
          </cell>
          <cell r="L282">
            <v>0</v>
          </cell>
          <cell r="M282">
            <v>0</v>
          </cell>
          <cell r="N282">
            <v>0</v>
          </cell>
          <cell r="O282">
            <v>0</v>
          </cell>
          <cell r="P282">
            <v>0</v>
          </cell>
          <cell r="Q282">
            <v>0</v>
          </cell>
          <cell r="R282">
            <v>0</v>
          </cell>
          <cell r="S282">
            <v>0</v>
          </cell>
          <cell r="T282">
            <v>0</v>
          </cell>
          <cell r="U282">
            <v>0</v>
          </cell>
          <cell r="V282">
            <v>0</v>
          </cell>
          <cell r="W282">
            <v>0</v>
          </cell>
          <cell r="X282">
            <v>0</v>
          </cell>
          <cell r="Y282">
            <v>0</v>
          </cell>
          <cell r="Z282">
            <v>0</v>
          </cell>
          <cell r="AA282">
            <v>0</v>
          </cell>
          <cell r="AB282">
            <v>0</v>
          </cell>
          <cell r="AC282">
            <v>0</v>
          </cell>
          <cell r="AD282">
            <v>0</v>
          </cell>
          <cell r="AE282">
            <v>0</v>
          </cell>
          <cell r="AF282">
            <v>0</v>
          </cell>
          <cell r="AG282">
            <v>0</v>
          </cell>
          <cell r="AH282">
            <v>0</v>
          </cell>
          <cell r="AI282">
            <v>0</v>
          </cell>
          <cell r="AJ282">
            <v>0</v>
          </cell>
          <cell r="AK282">
            <v>0</v>
          </cell>
          <cell r="AL282">
            <v>0</v>
          </cell>
          <cell r="AM282">
            <v>0</v>
          </cell>
          <cell r="AN282">
            <v>0</v>
          </cell>
          <cell r="AO282">
            <v>0</v>
          </cell>
          <cell r="AP282">
            <v>0</v>
          </cell>
          <cell r="AQ282">
            <v>0</v>
          </cell>
          <cell r="AR282">
            <v>0</v>
          </cell>
          <cell r="AS282">
            <v>0</v>
          </cell>
          <cell r="AT282">
            <v>0</v>
          </cell>
          <cell r="AU282">
            <v>0</v>
          </cell>
          <cell r="AV282">
            <v>0</v>
          </cell>
          <cell r="AW282">
            <v>0</v>
          </cell>
          <cell r="AX282">
            <v>0</v>
          </cell>
          <cell r="AY282">
            <v>0</v>
          </cell>
          <cell r="AZ282">
            <v>0</v>
          </cell>
          <cell r="BA282">
            <v>0</v>
          </cell>
          <cell r="BB282">
            <v>0</v>
          </cell>
          <cell r="BC282">
            <v>0</v>
          </cell>
          <cell r="BD282">
            <v>0</v>
          </cell>
          <cell r="BE282">
            <v>0</v>
          </cell>
          <cell r="BF282">
            <v>0</v>
          </cell>
          <cell r="BG282">
            <v>0</v>
          </cell>
          <cell r="BH282">
            <v>0</v>
          </cell>
          <cell r="BI282">
            <v>0</v>
          </cell>
          <cell r="BJ282">
            <v>0</v>
          </cell>
          <cell r="BK282">
            <v>0</v>
          </cell>
          <cell r="BL282">
            <v>0</v>
          </cell>
          <cell r="BM282">
            <v>0</v>
          </cell>
          <cell r="BN282">
            <v>0</v>
          </cell>
          <cell r="BO282">
            <v>0</v>
          </cell>
          <cell r="BP282">
            <v>0</v>
          </cell>
          <cell r="BQ282">
            <v>0</v>
          </cell>
          <cell r="BR282">
            <v>0</v>
          </cell>
          <cell r="BS282">
            <v>0</v>
          </cell>
          <cell r="BT282">
            <v>0</v>
          </cell>
          <cell r="BU282">
            <v>0</v>
          </cell>
          <cell r="BV282">
            <v>0</v>
          </cell>
          <cell r="BW282">
            <v>0</v>
          </cell>
          <cell r="BX282">
            <v>0</v>
          </cell>
          <cell r="BY282">
            <v>0</v>
          </cell>
          <cell r="BZ282">
            <v>0</v>
          </cell>
          <cell r="CA282">
            <v>0</v>
          </cell>
          <cell r="CB282">
            <v>0</v>
          </cell>
          <cell r="CC282">
            <v>0</v>
          </cell>
          <cell r="CD282">
            <v>0</v>
          </cell>
          <cell r="CE282">
            <v>0</v>
          </cell>
          <cell r="CF282">
            <v>0</v>
          </cell>
          <cell r="CG282">
            <v>0</v>
          </cell>
          <cell r="CH282">
            <v>0</v>
          </cell>
          <cell r="CI282">
            <v>0</v>
          </cell>
          <cell r="CJ282">
            <v>0</v>
          </cell>
          <cell r="CK282">
            <v>0</v>
          </cell>
          <cell r="CL282">
            <v>0</v>
          </cell>
          <cell r="CM282">
            <v>0</v>
          </cell>
          <cell r="CN282">
            <v>0</v>
          </cell>
          <cell r="CO282">
            <v>0</v>
          </cell>
          <cell r="CP282">
            <v>0</v>
          </cell>
          <cell r="CQ282">
            <v>0</v>
          </cell>
          <cell r="CR282">
            <v>0</v>
          </cell>
          <cell r="CS282">
            <v>0</v>
          </cell>
          <cell r="CT282">
            <v>0</v>
          </cell>
          <cell r="CU282">
            <v>0</v>
          </cell>
          <cell r="CV282">
            <v>0</v>
          </cell>
          <cell r="CW282">
            <v>0</v>
          </cell>
          <cell r="CX282">
            <v>0</v>
          </cell>
          <cell r="CY282">
            <v>0</v>
          </cell>
          <cell r="CZ282">
            <v>0</v>
          </cell>
          <cell r="DA282">
            <v>0</v>
          </cell>
          <cell r="DB282">
            <v>0</v>
          </cell>
          <cell r="DC282">
            <v>0</v>
          </cell>
          <cell r="DD282">
            <v>0</v>
          </cell>
          <cell r="DE282">
            <v>0</v>
          </cell>
          <cell r="DF282">
            <v>0</v>
          </cell>
          <cell r="DG282">
            <v>0</v>
          </cell>
          <cell r="DH282">
            <v>0</v>
          </cell>
          <cell r="DI282">
            <v>0</v>
          </cell>
          <cell r="DJ282">
            <v>0</v>
          </cell>
          <cell r="DK282">
            <v>0</v>
          </cell>
          <cell r="DL282">
            <v>0</v>
          </cell>
          <cell r="DM282">
            <v>0</v>
          </cell>
          <cell r="DN282">
            <v>0</v>
          </cell>
          <cell r="DO282">
            <v>0</v>
          </cell>
          <cell r="DP282">
            <v>0</v>
          </cell>
          <cell r="DQ282">
            <v>0</v>
          </cell>
          <cell r="DR282">
            <v>0</v>
          </cell>
          <cell r="DS282">
            <v>0</v>
          </cell>
          <cell r="DT282">
            <v>0</v>
          </cell>
          <cell r="DU282">
            <v>0</v>
          </cell>
          <cell r="DV282">
            <v>0</v>
          </cell>
          <cell r="DW282">
            <v>0</v>
          </cell>
          <cell r="DX282">
            <v>0</v>
          </cell>
          <cell r="DY282">
            <v>0</v>
          </cell>
          <cell r="EA282">
            <v>0</v>
          </cell>
          <cell r="EB282">
            <v>0</v>
          </cell>
          <cell r="EC282">
            <v>0</v>
          </cell>
          <cell r="ED282">
            <v>0</v>
          </cell>
          <cell r="EE282">
            <v>0</v>
          </cell>
          <cell r="EF282">
            <v>0</v>
          </cell>
          <cell r="EG282">
            <v>0</v>
          </cell>
          <cell r="EH282">
            <v>0</v>
          </cell>
          <cell r="EI282">
            <v>0</v>
          </cell>
          <cell r="EJ282">
            <v>0</v>
          </cell>
          <cell r="EK282">
            <v>0</v>
          </cell>
          <cell r="EL282">
            <v>0</v>
          </cell>
          <cell r="EM282">
            <v>0</v>
          </cell>
          <cell r="EN282">
            <v>0</v>
          </cell>
          <cell r="EO282">
            <v>0</v>
          </cell>
          <cell r="EP282">
            <v>0</v>
          </cell>
          <cell r="EQ282">
            <v>0</v>
          </cell>
          <cell r="ER282">
            <v>0</v>
          </cell>
          <cell r="ES282">
            <v>0</v>
          </cell>
          <cell r="ET282">
            <v>0</v>
          </cell>
          <cell r="EU282">
            <v>0</v>
          </cell>
          <cell r="EV282">
            <v>0</v>
          </cell>
          <cell r="EW282">
            <v>0</v>
          </cell>
          <cell r="EX282">
            <v>0</v>
          </cell>
          <cell r="EY282">
            <v>0</v>
          </cell>
          <cell r="EZ282">
            <v>0</v>
          </cell>
          <cell r="FA282">
            <v>0</v>
          </cell>
          <cell r="FB282">
            <v>0</v>
          </cell>
          <cell r="FC282">
            <v>0</v>
          </cell>
          <cell r="FD282">
            <v>0</v>
          </cell>
          <cell r="FE282">
            <v>0</v>
          </cell>
          <cell r="FF282">
            <v>0</v>
          </cell>
          <cell r="FG282">
            <v>0</v>
          </cell>
          <cell r="FH282">
            <v>0</v>
          </cell>
          <cell r="FI282">
            <v>0</v>
          </cell>
          <cell r="FJ282">
            <v>0</v>
          </cell>
          <cell r="FK282">
            <v>0</v>
          </cell>
          <cell r="FL282">
            <v>0</v>
          </cell>
          <cell r="FM282">
            <v>0</v>
          </cell>
          <cell r="FN282">
            <v>0</v>
          </cell>
          <cell r="FO282">
            <v>0</v>
          </cell>
          <cell r="FP282">
            <v>0</v>
          </cell>
          <cell r="FQ282">
            <v>0</v>
          </cell>
          <cell r="FR282">
            <v>0</v>
          </cell>
          <cell r="FS282">
            <v>0</v>
          </cell>
          <cell r="FT282">
            <v>0</v>
          </cell>
          <cell r="FU282">
            <v>0</v>
          </cell>
          <cell r="FV282">
            <v>0</v>
          </cell>
          <cell r="FW282">
            <v>0</v>
          </cell>
          <cell r="FX282">
            <v>0</v>
          </cell>
          <cell r="FY282">
            <v>0</v>
          </cell>
          <cell r="FZ282">
            <v>0</v>
          </cell>
        </row>
        <row r="283">
          <cell r="B283">
            <v>0</v>
          </cell>
          <cell r="C283">
            <v>0</v>
          </cell>
          <cell r="D283">
            <v>0</v>
          </cell>
          <cell r="E283">
            <v>0</v>
          </cell>
          <cell r="F283">
            <v>0</v>
          </cell>
          <cell r="G283">
            <v>0</v>
          </cell>
          <cell r="H283">
            <v>0</v>
          </cell>
          <cell r="I283">
            <v>0</v>
          </cell>
          <cell r="J283">
            <v>0</v>
          </cell>
          <cell r="K283">
            <v>0</v>
          </cell>
          <cell r="L283">
            <v>0</v>
          </cell>
          <cell r="M283">
            <v>0</v>
          </cell>
          <cell r="N283">
            <v>0</v>
          </cell>
          <cell r="O283">
            <v>0</v>
          </cell>
          <cell r="P283">
            <v>0</v>
          </cell>
          <cell r="Q283">
            <v>0</v>
          </cell>
          <cell r="R283">
            <v>0</v>
          </cell>
          <cell r="S283">
            <v>0</v>
          </cell>
          <cell r="T283">
            <v>0</v>
          </cell>
          <cell r="U283">
            <v>0</v>
          </cell>
          <cell r="V283">
            <v>0</v>
          </cell>
          <cell r="W283">
            <v>0</v>
          </cell>
          <cell r="X283">
            <v>0</v>
          </cell>
          <cell r="Y283">
            <v>0</v>
          </cell>
          <cell r="Z283">
            <v>0</v>
          </cell>
          <cell r="AA283">
            <v>0</v>
          </cell>
          <cell r="AB283">
            <v>0</v>
          </cell>
          <cell r="AC283">
            <v>0</v>
          </cell>
          <cell r="AD283">
            <v>0</v>
          </cell>
          <cell r="AE283">
            <v>0</v>
          </cell>
          <cell r="AF283">
            <v>0</v>
          </cell>
          <cell r="AG283">
            <v>0</v>
          </cell>
          <cell r="AH283">
            <v>0</v>
          </cell>
          <cell r="AI283">
            <v>0</v>
          </cell>
          <cell r="AJ283">
            <v>0</v>
          </cell>
          <cell r="AK283">
            <v>0</v>
          </cell>
          <cell r="AL283">
            <v>0</v>
          </cell>
          <cell r="AM283">
            <v>0</v>
          </cell>
          <cell r="AN283">
            <v>0</v>
          </cell>
          <cell r="AO283">
            <v>0</v>
          </cell>
          <cell r="AP283">
            <v>0</v>
          </cell>
          <cell r="AQ283">
            <v>0</v>
          </cell>
          <cell r="AR283">
            <v>0</v>
          </cell>
          <cell r="AS283">
            <v>0</v>
          </cell>
          <cell r="AT283">
            <v>0</v>
          </cell>
          <cell r="AU283">
            <v>0</v>
          </cell>
          <cell r="AV283">
            <v>0</v>
          </cell>
          <cell r="AW283">
            <v>0</v>
          </cell>
          <cell r="AX283">
            <v>0</v>
          </cell>
          <cell r="AY283">
            <v>0</v>
          </cell>
          <cell r="AZ283">
            <v>0</v>
          </cell>
          <cell r="BA283">
            <v>0</v>
          </cell>
          <cell r="BB283">
            <v>0</v>
          </cell>
          <cell r="BC283">
            <v>0</v>
          </cell>
          <cell r="BD283">
            <v>0</v>
          </cell>
          <cell r="BE283">
            <v>0</v>
          </cell>
          <cell r="BF283">
            <v>0</v>
          </cell>
          <cell r="BG283">
            <v>0</v>
          </cell>
          <cell r="BH283">
            <v>0</v>
          </cell>
          <cell r="BI283">
            <v>0</v>
          </cell>
          <cell r="BJ283">
            <v>0</v>
          </cell>
          <cell r="BK283">
            <v>0</v>
          </cell>
          <cell r="BL283">
            <v>0</v>
          </cell>
          <cell r="BM283">
            <v>0</v>
          </cell>
          <cell r="BN283">
            <v>0</v>
          </cell>
          <cell r="BO283">
            <v>0</v>
          </cell>
          <cell r="BP283">
            <v>0</v>
          </cell>
          <cell r="BQ283">
            <v>0</v>
          </cell>
          <cell r="BR283">
            <v>0</v>
          </cell>
          <cell r="BS283">
            <v>0</v>
          </cell>
          <cell r="BT283">
            <v>0</v>
          </cell>
          <cell r="BU283">
            <v>0</v>
          </cell>
          <cell r="BV283">
            <v>0</v>
          </cell>
          <cell r="BW283">
            <v>0</v>
          </cell>
          <cell r="BX283">
            <v>0</v>
          </cell>
          <cell r="BY283">
            <v>0</v>
          </cell>
          <cell r="BZ283">
            <v>0</v>
          </cell>
          <cell r="CA283">
            <v>0</v>
          </cell>
          <cell r="CB283">
            <v>0</v>
          </cell>
          <cell r="CC283">
            <v>0</v>
          </cell>
          <cell r="CD283">
            <v>0</v>
          </cell>
          <cell r="CE283">
            <v>0</v>
          </cell>
          <cell r="CF283">
            <v>0</v>
          </cell>
          <cell r="CG283">
            <v>0</v>
          </cell>
          <cell r="CH283">
            <v>0</v>
          </cell>
          <cell r="CI283">
            <v>0</v>
          </cell>
          <cell r="CJ283">
            <v>0</v>
          </cell>
          <cell r="CK283">
            <v>0</v>
          </cell>
          <cell r="CL283">
            <v>0</v>
          </cell>
          <cell r="CM283">
            <v>0</v>
          </cell>
          <cell r="CN283">
            <v>0</v>
          </cell>
          <cell r="CO283">
            <v>0</v>
          </cell>
          <cell r="CP283">
            <v>0</v>
          </cell>
          <cell r="CQ283">
            <v>0</v>
          </cell>
          <cell r="CR283">
            <v>0</v>
          </cell>
          <cell r="CS283">
            <v>0</v>
          </cell>
          <cell r="CT283">
            <v>0</v>
          </cell>
          <cell r="CU283">
            <v>0</v>
          </cell>
          <cell r="CV283">
            <v>0</v>
          </cell>
          <cell r="CW283">
            <v>0</v>
          </cell>
          <cell r="CX283">
            <v>0</v>
          </cell>
          <cell r="CY283">
            <v>0</v>
          </cell>
          <cell r="CZ283">
            <v>0</v>
          </cell>
          <cell r="DA283">
            <v>0</v>
          </cell>
          <cell r="DB283">
            <v>0</v>
          </cell>
          <cell r="DC283">
            <v>0</v>
          </cell>
          <cell r="DD283">
            <v>0</v>
          </cell>
          <cell r="DE283">
            <v>0</v>
          </cell>
          <cell r="DF283">
            <v>0</v>
          </cell>
          <cell r="DG283">
            <v>0</v>
          </cell>
          <cell r="DH283">
            <v>0</v>
          </cell>
          <cell r="DI283">
            <v>0</v>
          </cell>
          <cell r="DJ283">
            <v>0</v>
          </cell>
          <cell r="DK283">
            <v>0</v>
          </cell>
          <cell r="DL283">
            <v>0</v>
          </cell>
          <cell r="DM283">
            <v>0</v>
          </cell>
          <cell r="DN283">
            <v>0</v>
          </cell>
          <cell r="DO283">
            <v>0</v>
          </cell>
          <cell r="DP283">
            <v>0</v>
          </cell>
          <cell r="DQ283">
            <v>0</v>
          </cell>
          <cell r="DR283">
            <v>0</v>
          </cell>
          <cell r="DS283">
            <v>0</v>
          </cell>
          <cell r="DT283">
            <v>0</v>
          </cell>
          <cell r="DU283">
            <v>0</v>
          </cell>
          <cell r="DV283">
            <v>0</v>
          </cell>
          <cell r="DW283">
            <v>0</v>
          </cell>
          <cell r="DX283">
            <v>0</v>
          </cell>
          <cell r="DY283">
            <v>0</v>
          </cell>
          <cell r="EA283">
            <v>0</v>
          </cell>
          <cell r="EB283">
            <v>0</v>
          </cell>
          <cell r="EC283">
            <v>0</v>
          </cell>
          <cell r="ED283">
            <v>0</v>
          </cell>
          <cell r="EE283">
            <v>0</v>
          </cell>
          <cell r="EF283">
            <v>0</v>
          </cell>
          <cell r="EG283">
            <v>0</v>
          </cell>
          <cell r="EH283">
            <v>0</v>
          </cell>
          <cell r="EI283">
            <v>0</v>
          </cell>
          <cell r="EJ283">
            <v>0</v>
          </cell>
          <cell r="EK283">
            <v>0</v>
          </cell>
          <cell r="EL283">
            <v>0</v>
          </cell>
          <cell r="EM283">
            <v>0</v>
          </cell>
          <cell r="EN283">
            <v>0</v>
          </cell>
          <cell r="EO283">
            <v>0</v>
          </cell>
          <cell r="EP283">
            <v>0</v>
          </cell>
          <cell r="EQ283">
            <v>0</v>
          </cell>
          <cell r="ER283">
            <v>0</v>
          </cell>
          <cell r="ES283">
            <v>0</v>
          </cell>
          <cell r="ET283">
            <v>0</v>
          </cell>
          <cell r="EU283">
            <v>0</v>
          </cell>
          <cell r="EV283">
            <v>0</v>
          </cell>
          <cell r="EW283">
            <v>0</v>
          </cell>
          <cell r="EX283">
            <v>0</v>
          </cell>
          <cell r="EY283">
            <v>0</v>
          </cell>
          <cell r="EZ283">
            <v>0</v>
          </cell>
          <cell r="FA283">
            <v>0</v>
          </cell>
          <cell r="FB283">
            <v>0</v>
          </cell>
          <cell r="FC283">
            <v>0</v>
          </cell>
          <cell r="FD283">
            <v>0</v>
          </cell>
          <cell r="FE283">
            <v>0</v>
          </cell>
          <cell r="FF283">
            <v>0</v>
          </cell>
          <cell r="FG283">
            <v>0</v>
          </cell>
          <cell r="FH283">
            <v>0</v>
          </cell>
          <cell r="FI283">
            <v>0</v>
          </cell>
          <cell r="FJ283">
            <v>0</v>
          </cell>
          <cell r="FK283">
            <v>0</v>
          </cell>
          <cell r="FL283">
            <v>0</v>
          </cell>
          <cell r="FM283">
            <v>0</v>
          </cell>
          <cell r="FN283">
            <v>0</v>
          </cell>
          <cell r="FO283">
            <v>0</v>
          </cell>
          <cell r="FP283">
            <v>0</v>
          </cell>
          <cell r="FQ283">
            <v>0</v>
          </cell>
          <cell r="FR283">
            <v>0</v>
          </cell>
          <cell r="FS283">
            <v>0</v>
          </cell>
          <cell r="FT283">
            <v>0</v>
          </cell>
          <cell r="FU283">
            <v>0</v>
          </cell>
          <cell r="FV283">
            <v>0</v>
          </cell>
          <cell r="FW283">
            <v>0</v>
          </cell>
          <cell r="FX283">
            <v>0</v>
          </cell>
          <cell r="FY283">
            <v>0</v>
          </cell>
          <cell r="FZ283">
            <v>0</v>
          </cell>
        </row>
        <row r="284">
          <cell r="B284" t="str">
            <v>end</v>
          </cell>
          <cell r="C284" t="str">
            <v>end</v>
          </cell>
          <cell r="D284" t="str">
            <v>end</v>
          </cell>
          <cell r="E284" t="str">
            <v>end</v>
          </cell>
          <cell r="F284" t="str">
            <v>end</v>
          </cell>
          <cell r="G284" t="str">
            <v>end</v>
          </cell>
          <cell r="H284" t="str">
            <v>end</v>
          </cell>
          <cell r="I284" t="str">
            <v>end</v>
          </cell>
          <cell r="J284" t="str">
            <v>end</v>
          </cell>
          <cell r="K284" t="str">
            <v>end</v>
          </cell>
          <cell r="L284" t="str">
            <v>end</v>
          </cell>
          <cell r="M284" t="str">
            <v>end</v>
          </cell>
          <cell r="N284" t="str">
            <v>end</v>
          </cell>
          <cell r="O284" t="str">
            <v>end</v>
          </cell>
          <cell r="P284" t="str">
            <v>end</v>
          </cell>
          <cell r="Q284" t="str">
            <v>end</v>
          </cell>
          <cell r="R284" t="str">
            <v>end</v>
          </cell>
          <cell r="S284" t="str">
            <v>end</v>
          </cell>
          <cell r="T284" t="str">
            <v>end</v>
          </cell>
          <cell r="U284" t="str">
            <v>end</v>
          </cell>
          <cell r="V284" t="str">
            <v>end</v>
          </cell>
          <cell r="W284" t="str">
            <v>end</v>
          </cell>
          <cell r="X284" t="str">
            <v>end</v>
          </cell>
          <cell r="Y284" t="str">
            <v>end</v>
          </cell>
          <cell r="Z284" t="str">
            <v>end</v>
          </cell>
          <cell r="AA284" t="str">
            <v>end</v>
          </cell>
          <cell r="AB284" t="str">
            <v>end</v>
          </cell>
          <cell r="AC284" t="str">
            <v>end</v>
          </cell>
          <cell r="AD284" t="str">
            <v>end</v>
          </cell>
          <cell r="AE284" t="str">
            <v>end</v>
          </cell>
          <cell r="AF284" t="str">
            <v>end</v>
          </cell>
          <cell r="AG284" t="str">
            <v>end</v>
          </cell>
          <cell r="AH284" t="str">
            <v>end</v>
          </cell>
          <cell r="AI284" t="str">
            <v>end</v>
          </cell>
          <cell r="AJ284" t="str">
            <v>end</v>
          </cell>
          <cell r="AK284" t="str">
            <v>end</v>
          </cell>
          <cell r="AL284" t="str">
            <v>end</v>
          </cell>
          <cell r="AM284" t="str">
            <v>end</v>
          </cell>
          <cell r="AN284" t="str">
            <v>end</v>
          </cell>
          <cell r="AO284" t="str">
            <v>end</v>
          </cell>
          <cell r="AP284" t="str">
            <v>end</v>
          </cell>
          <cell r="AQ284" t="str">
            <v>end</v>
          </cell>
          <cell r="AR284" t="str">
            <v>end</v>
          </cell>
          <cell r="AS284" t="str">
            <v>end</v>
          </cell>
          <cell r="AT284" t="str">
            <v>end</v>
          </cell>
          <cell r="AU284" t="str">
            <v>end</v>
          </cell>
          <cell r="AV284" t="str">
            <v>end</v>
          </cell>
          <cell r="AW284" t="str">
            <v>end</v>
          </cell>
          <cell r="AX284" t="str">
            <v>end</v>
          </cell>
          <cell r="AY284" t="str">
            <v>end</v>
          </cell>
          <cell r="AZ284" t="str">
            <v>end</v>
          </cell>
          <cell r="BA284" t="str">
            <v>end</v>
          </cell>
          <cell r="BB284" t="str">
            <v>end</v>
          </cell>
          <cell r="BC284" t="str">
            <v>end</v>
          </cell>
          <cell r="BD284" t="str">
            <v>end</v>
          </cell>
          <cell r="BE284" t="str">
            <v>end</v>
          </cell>
          <cell r="BF284" t="str">
            <v>end</v>
          </cell>
          <cell r="BG284" t="str">
            <v>end</v>
          </cell>
          <cell r="BH284" t="str">
            <v>end</v>
          </cell>
          <cell r="BI284" t="str">
            <v>end</v>
          </cell>
          <cell r="BJ284" t="str">
            <v>end</v>
          </cell>
          <cell r="BK284" t="str">
            <v>end</v>
          </cell>
          <cell r="BL284" t="str">
            <v>end</v>
          </cell>
          <cell r="BM284" t="str">
            <v>end</v>
          </cell>
          <cell r="BN284" t="str">
            <v>end</v>
          </cell>
          <cell r="BO284" t="str">
            <v>end</v>
          </cell>
          <cell r="BP284" t="str">
            <v>end</v>
          </cell>
          <cell r="BQ284" t="str">
            <v>end</v>
          </cell>
          <cell r="BR284" t="str">
            <v>end</v>
          </cell>
          <cell r="BS284" t="str">
            <v>end</v>
          </cell>
          <cell r="BT284" t="str">
            <v>end</v>
          </cell>
          <cell r="BU284" t="str">
            <v>end</v>
          </cell>
          <cell r="BV284" t="str">
            <v>end</v>
          </cell>
          <cell r="BW284" t="str">
            <v>end</v>
          </cell>
          <cell r="BX284" t="str">
            <v>end</v>
          </cell>
          <cell r="BY284" t="str">
            <v>end</v>
          </cell>
          <cell r="BZ284" t="str">
            <v>end</v>
          </cell>
          <cell r="CA284" t="str">
            <v>end</v>
          </cell>
          <cell r="CB284" t="str">
            <v>end</v>
          </cell>
          <cell r="CC284" t="str">
            <v>end</v>
          </cell>
          <cell r="CD284" t="str">
            <v>end</v>
          </cell>
          <cell r="CE284" t="str">
            <v>end</v>
          </cell>
          <cell r="CF284" t="str">
            <v>end</v>
          </cell>
          <cell r="CG284" t="str">
            <v>end</v>
          </cell>
          <cell r="CH284" t="str">
            <v>end</v>
          </cell>
          <cell r="CI284" t="str">
            <v>end</v>
          </cell>
          <cell r="CJ284" t="str">
            <v>end</v>
          </cell>
          <cell r="CK284" t="str">
            <v>end</v>
          </cell>
          <cell r="CL284" t="str">
            <v>end</v>
          </cell>
          <cell r="CM284" t="str">
            <v>end</v>
          </cell>
          <cell r="CN284" t="str">
            <v>end</v>
          </cell>
          <cell r="CO284" t="str">
            <v>end</v>
          </cell>
          <cell r="CP284" t="str">
            <v>end</v>
          </cell>
          <cell r="CQ284" t="str">
            <v>end</v>
          </cell>
          <cell r="CR284" t="str">
            <v>end</v>
          </cell>
          <cell r="CS284" t="str">
            <v>end</v>
          </cell>
          <cell r="CT284" t="str">
            <v>end</v>
          </cell>
          <cell r="CU284" t="str">
            <v>end</v>
          </cell>
          <cell r="CV284" t="str">
            <v>end</v>
          </cell>
          <cell r="CW284" t="str">
            <v>end</v>
          </cell>
          <cell r="CX284" t="str">
            <v>end</v>
          </cell>
          <cell r="CY284" t="str">
            <v>end</v>
          </cell>
          <cell r="CZ284" t="str">
            <v>end</v>
          </cell>
          <cell r="DA284" t="str">
            <v>end</v>
          </cell>
          <cell r="DB284" t="str">
            <v>end</v>
          </cell>
          <cell r="DC284" t="str">
            <v>end</v>
          </cell>
          <cell r="DD284" t="str">
            <v>end</v>
          </cell>
          <cell r="DE284" t="str">
            <v>end</v>
          </cell>
          <cell r="DF284" t="str">
            <v>end</v>
          </cell>
          <cell r="DG284" t="str">
            <v>end</v>
          </cell>
          <cell r="DH284" t="str">
            <v>end</v>
          </cell>
          <cell r="DI284" t="str">
            <v>end</v>
          </cell>
          <cell r="DJ284" t="str">
            <v>end</v>
          </cell>
          <cell r="DK284" t="str">
            <v>end</v>
          </cell>
          <cell r="DL284" t="str">
            <v>end</v>
          </cell>
          <cell r="DM284" t="str">
            <v>end</v>
          </cell>
          <cell r="DN284" t="str">
            <v>end</v>
          </cell>
          <cell r="DO284" t="str">
            <v>end</v>
          </cell>
          <cell r="DP284" t="str">
            <v>end</v>
          </cell>
          <cell r="DQ284" t="str">
            <v>end</v>
          </cell>
          <cell r="DR284" t="str">
            <v>end</v>
          </cell>
          <cell r="DS284" t="str">
            <v>end</v>
          </cell>
          <cell r="DT284" t="str">
            <v>end</v>
          </cell>
          <cell r="DU284" t="str">
            <v>end</v>
          </cell>
          <cell r="DV284" t="str">
            <v>end</v>
          </cell>
          <cell r="DW284" t="str">
            <v>end</v>
          </cell>
          <cell r="DX284" t="str">
            <v>end</v>
          </cell>
          <cell r="DY284" t="str">
            <v>end</v>
          </cell>
          <cell r="EA284" t="str">
            <v>end</v>
          </cell>
          <cell r="EB284" t="str">
            <v>end</v>
          </cell>
          <cell r="EC284" t="str">
            <v>end</v>
          </cell>
          <cell r="ED284" t="str">
            <v>end</v>
          </cell>
          <cell r="EE284" t="str">
            <v>end</v>
          </cell>
          <cell r="EF284" t="str">
            <v>end</v>
          </cell>
          <cell r="EG284" t="str">
            <v>end</v>
          </cell>
          <cell r="EH284" t="str">
            <v>end</v>
          </cell>
          <cell r="EI284" t="str">
            <v>end</v>
          </cell>
          <cell r="EJ284" t="str">
            <v>end</v>
          </cell>
          <cell r="EK284" t="str">
            <v>end</v>
          </cell>
          <cell r="EL284" t="str">
            <v>end</v>
          </cell>
          <cell r="EM284" t="str">
            <v>end</v>
          </cell>
          <cell r="EN284" t="str">
            <v>end</v>
          </cell>
          <cell r="EO284" t="str">
            <v>end</v>
          </cell>
          <cell r="EP284" t="str">
            <v>end</v>
          </cell>
          <cell r="EQ284" t="str">
            <v>end</v>
          </cell>
          <cell r="ER284" t="str">
            <v>end</v>
          </cell>
          <cell r="ES284" t="str">
            <v>end</v>
          </cell>
          <cell r="ET284" t="str">
            <v>end</v>
          </cell>
          <cell r="EU284" t="str">
            <v>end</v>
          </cell>
          <cell r="EV284" t="str">
            <v>end</v>
          </cell>
          <cell r="EW284" t="str">
            <v>end</v>
          </cell>
          <cell r="EX284" t="str">
            <v>end</v>
          </cell>
          <cell r="EY284" t="str">
            <v>end</v>
          </cell>
          <cell r="EZ284" t="str">
            <v>end</v>
          </cell>
          <cell r="FA284" t="str">
            <v>end</v>
          </cell>
          <cell r="FB284" t="str">
            <v>end</v>
          </cell>
          <cell r="FC284" t="str">
            <v>end</v>
          </cell>
          <cell r="FD284" t="str">
            <v>end</v>
          </cell>
          <cell r="FE284" t="str">
            <v>end</v>
          </cell>
          <cell r="FF284" t="str">
            <v>end</v>
          </cell>
          <cell r="FG284" t="str">
            <v>end</v>
          </cell>
          <cell r="FH284" t="str">
            <v>end</v>
          </cell>
          <cell r="FI284" t="str">
            <v>end</v>
          </cell>
          <cell r="FJ284" t="str">
            <v>end</v>
          </cell>
          <cell r="FK284" t="str">
            <v>end</v>
          </cell>
          <cell r="FL284" t="str">
            <v>end</v>
          </cell>
          <cell r="FM284" t="str">
            <v>end</v>
          </cell>
          <cell r="FN284" t="str">
            <v>end</v>
          </cell>
          <cell r="FO284" t="str">
            <v>end</v>
          </cell>
          <cell r="FP284" t="str">
            <v>end</v>
          </cell>
          <cell r="FQ284" t="str">
            <v>end</v>
          </cell>
          <cell r="FR284" t="str">
            <v>end</v>
          </cell>
          <cell r="FS284" t="str">
            <v>end</v>
          </cell>
          <cell r="FT284" t="str">
            <v>end</v>
          </cell>
          <cell r="FU284" t="str">
            <v>end</v>
          </cell>
          <cell r="FV284" t="str">
            <v>end</v>
          </cell>
          <cell r="FW284" t="str">
            <v>end</v>
          </cell>
          <cell r="FX284" t="str">
            <v>end</v>
          </cell>
          <cell r="FY284" t="str">
            <v>end</v>
          </cell>
          <cell r="FZ284" t="str">
            <v>end</v>
          </cell>
        </row>
      </sheetData>
      <sheetData sheetId="21"/>
      <sheetData sheetId="22"/>
      <sheetData sheetId="23"/>
      <sheetData sheetId="24"/>
      <sheetData sheetId="25"/>
      <sheetData sheetId="26"/>
      <sheetData sheetId="27"/>
      <sheetData sheetId="28"/>
      <sheetData sheetId="29"/>
    </sheetDataSet>
  </externalBook>
</externalLink>
</file>

<file path=xl/externalLinks/externalLink3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Feuil1"/>
      <sheetName val="VNCI_ASS"/>
    </sheetNames>
    <sheetDataSet>
      <sheetData sheetId="0" refreshError="1">
        <row r="3">
          <cell r="E3" t="str">
            <v>A3C</v>
          </cell>
          <cell r="O3" t="str">
            <v>A3C</v>
          </cell>
          <cell r="AJ3" t="str">
            <v>A3C</v>
          </cell>
          <cell r="AV3" t="str">
            <v>A3C</v>
          </cell>
        </row>
        <row r="4">
          <cell r="E4" t="str">
            <v>AAE ENA</v>
          </cell>
          <cell r="O4" t="str">
            <v>AAE ENA</v>
          </cell>
          <cell r="AJ4" t="str">
            <v>AAE ENA</v>
          </cell>
          <cell r="AV4" t="str">
            <v>AAE ENA</v>
          </cell>
        </row>
        <row r="5">
          <cell r="E5" t="str">
            <v>Agifrance</v>
          </cell>
          <cell r="O5" t="str">
            <v>Agifrance</v>
          </cell>
          <cell r="AJ5" t="str">
            <v>Agifrance</v>
          </cell>
          <cell r="AV5" t="str">
            <v>Agifrance</v>
          </cell>
        </row>
        <row r="6">
          <cell r="E6" t="str">
            <v>Alpes d'Huez Soleil</v>
          </cell>
          <cell r="O6" t="str">
            <v>Alpes d'Huez Soleil</v>
          </cell>
          <cell r="AJ6" t="str">
            <v>Alpes d'Huez Soleil</v>
          </cell>
          <cell r="AV6" t="str">
            <v>Alpes d'Huez Soleil</v>
          </cell>
        </row>
        <row r="7">
          <cell r="E7" t="str">
            <v>Asociart</v>
          </cell>
          <cell r="O7" t="str">
            <v>Asociart</v>
          </cell>
          <cell r="AJ7" t="str">
            <v>Asociart</v>
          </cell>
          <cell r="AV7" t="str">
            <v>Asociart</v>
          </cell>
        </row>
        <row r="8">
          <cell r="E8" t="str">
            <v>Assurbail</v>
          </cell>
          <cell r="O8" t="str">
            <v>Assurbail</v>
          </cell>
          <cell r="AJ8" t="str">
            <v>Assurbail</v>
          </cell>
          <cell r="AV8" t="str">
            <v>Assurbail</v>
          </cell>
        </row>
        <row r="9">
          <cell r="E9" t="str">
            <v>Assurbail</v>
          </cell>
          <cell r="O9" t="str">
            <v>Assurbail</v>
          </cell>
          <cell r="AJ9" t="str">
            <v>Assurbail</v>
          </cell>
          <cell r="AV9" t="str">
            <v>Assurbail</v>
          </cell>
        </row>
        <row r="10">
          <cell r="E10" t="str">
            <v>ASSURBAIL</v>
          </cell>
          <cell r="O10" t="str">
            <v>Assurbail</v>
          </cell>
          <cell r="AJ10" t="str">
            <v>Assurbail</v>
          </cell>
          <cell r="AV10" t="str">
            <v>Assurbail</v>
          </cell>
        </row>
        <row r="11">
          <cell r="E11" t="str">
            <v>ASSURBAIL</v>
          </cell>
          <cell r="O11" t="str">
            <v>Assurbail</v>
          </cell>
          <cell r="AJ11" t="str">
            <v>Assurbail</v>
          </cell>
          <cell r="AV11" t="str">
            <v>Assurbail</v>
          </cell>
        </row>
        <row r="12">
          <cell r="E12" t="str">
            <v>ASSURBAIL</v>
          </cell>
          <cell r="O12" t="str">
            <v>Assurbail</v>
          </cell>
          <cell r="AJ12" t="str">
            <v>Assurbail</v>
          </cell>
          <cell r="AV12" t="str">
            <v>Assurbail</v>
          </cell>
        </row>
        <row r="13">
          <cell r="E13" t="str">
            <v>Avoriaz  Soleil</v>
          </cell>
          <cell r="O13" t="str">
            <v>Avoriaz  Soleil</v>
          </cell>
          <cell r="AJ13" t="str">
            <v>Avoriaz  Soleil</v>
          </cell>
          <cell r="AV13" t="str">
            <v>Avoriaz  Soleil</v>
          </cell>
        </row>
        <row r="14">
          <cell r="E14" t="str">
            <v>Bail Ecureuil</v>
          </cell>
          <cell r="O14" t="str">
            <v>Bail Ecureuil</v>
          </cell>
          <cell r="AJ14" t="str">
            <v>Bail Ecureuil</v>
          </cell>
          <cell r="AV14" t="str">
            <v>Bail Ecureuil</v>
          </cell>
        </row>
        <row r="15">
          <cell r="E15" t="str">
            <v>BD2I</v>
          </cell>
          <cell r="O15" t="str">
            <v>BD2I</v>
          </cell>
          <cell r="AJ15" t="str">
            <v>BD2I</v>
          </cell>
          <cell r="AV15" t="str">
            <v>BD2I</v>
          </cell>
        </row>
        <row r="16">
          <cell r="E16" t="str">
            <v>Belle  Plagne Soleil</v>
          </cell>
          <cell r="O16" t="str">
            <v>Belle  Plagne Soleil</v>
          </cell>
          <cell r="AJ16" t="str">
            <v>Belle  Plagne Soleil</v>
          </cell>
          <cell r="AV16" t="str">
            <v>Belle  Plagne Soleil</v>
          </cell>
        </row>
        <row r="17">
          <cell r="E17" t="str">
            <v>Bouxiere (centre cial)</v>
          </cell>
          <cell r="O17" t="str">
            <v>Bouxiere (centre cial)</v>
          </cell>
          <cell r="AJ17" t="str">
            <v>Bouxiere (centre cial)</v>
          </cell>
          <cell r="AV17" t="str">
            <v>Bouxiere (centre cial)</v>
          </cell>
        </row>
        <row r="18">
          <cell r="E18" t="str">
            <v>CAPA conseils</v>
          </cell>
          <cell r="O18" t="str">
            <v>CAPA conseils</v>
          </cell>
          <cell r="AJ18" t="str">
            <v>CAPA conseils</v>
          </cell>
          <cell r="AV18" t="str">
            <v>CAPA conseils</v>
          </cell>
        </row>
        <row r="19">
          <cell r="E19" t="str">
            <v>Carré Bleu</v>
          </cell>
          <cell r="O19" t="str">
            <v>Carré Bleu</v>
          </cell>
          <cell r="AJ19" t="str">
            <v>Carré Bleu</v>
          </cell>
          <cell r="AV19" t="str">
            <v>Carrés Bleus</v>
          </cell>
        </row>
        <row r="20">
          <cell r="E20" t="str">
            <v>CDC Consultants</v>
          </cell>
          <cell r="O20" t="str">
            <v>CDC Consultants</v>
          </cell>
          <cell r="AJ20" t="str">
            <v>CDC Consultants</v>
          </cell>
          <cell r="AV20" t="str">
            <v>CDC Consultants</v>
          </cell>
        </row>
        <row r="21">
          <cell r="E21" t="str">
            <v>CDC Courtage</v>
          </cell>
          <cell r="O21" t="str">
            <v>CDC Courtage</v>
          </cell>
          <cell r="AJ21" t="str">
            <v>CDC Courtage</v>
          </cell>
          <cell r="AV21" t="str">
            <v>CDC Courtage</v>
          </cell>
        </row>
        <row r="22">
          <cell r="E22" t="str">
            <v>CDC Europe</v>
          </cell>
          <cell r="O22" t="str">
            <v>CDC Europe</v>
          </cell>
          <cell r="AJ22" t="str">
            <v>CDC Europe</v>
          </cell>
          <cell r="AV22" t="str">
            <v>CDC Europe</v>
          </cell>
        </row>
        <row r="23">
          <cell r="E23" t="str">
            <v>CDC Gestion</v>
          </cell>
          <cell r="O23" t="str">
            <v>CDC Gestion</v>
          </cell>
          <cell r="AJ23" t="str">
            <v>CDC Gestion</v>
          </cell>
          <cell r="AV23" t="str">
            <v>CDC Gestion</v>
          </cell>
        </row>
        <row r="24">
          <cell r="E24" t="str">
            <v>CDC Gestion FCP</v>
          </cell>
          <cell r="O24" t="str">
            <v>CDC Gestion FCP</v>
          </cell>
          <cell r="AJ24" t="str">
            <v>CDC Gestion FCP</v>
          </cell>
          <cell r="AV24" t="str">
            <v>CDC Gestion FCP</v>
          </cell>
        </row>
        <row r="25">
          <cell r="E25" t="str">
            <v>CDC Trésor</v>
          </cell>
          <cell r="O25" t="str">
            <v>CDC Trésor</v>
          </cell>
          <cell r="AJ25" t="str">
            <v>CDC Trésor</v>
          </cell>
          <cell r="AV25" t="str">
            <v>CDC Trésor</v>
          </cell>
        </row>
        <row r="26">
          <cell r="E26" t="str">
            <v>Chataigneraie</v>
          </cell>
          <cell r="O26" t="str">
            <v>Chataigneraie</v>
          </cell>
          <cell r="AJ26" t="str">
            <v>Chataigneraie</v>
          </cell>
          <cell r="AV26" t="str">
            <v>Chataigneraie</v>
          </cell>
        </row>
        <row r="27">
          <cell r="E27" t="str">
            <v>Cicobail</v>
          </cell>
          <cell r="O27" t="str">
            <v>Cicobail</v>
          </cell>
          <cell r="AJ27" t="str">
            <v>Cicobail</v>
          </cell>
          <cell r="AV27" t="str">
            <v>Cicobail</v>
          </cell>
        </row>
        <row r="28">
          <cell r="E28" t="str">
            <v>CICOGE</v>
          </cell>
          <cell r="O28" t="str">
            <v>CICOGE</v>
          </cell>
          <cell r="AJ28" t="str">
            <v>CICOGE</v>
          </cell>
          <cell r="AV28" t="str">
            <v>CICOGE</v>
          </cell>
        </row>
        <row r="29">
          <cell r="E29" t="str">
            <v>CICOGE</v>
          </cell>
          <cell r="O29" t="str">
            <v>CICOGE</v>
          </cell>
          <cell r="AJ29" t="str">
            <v>CICOGE</v>
          </cell>
          <cell r="AV29" t="str">
            <v>CICOGE</v>
          </cell>
        </row>
        <row r="30">
          <cell r="E30" t="str">
            <v>CICOGE</v>
          </cell>
          <cell r="O30" t="str">
            <v>CICOGE</v>
          </cell>
          <cell r="AJ30" t="str">
            <v>CICOGE</v>
          </cell>
          <cell r="AV30" t="str">
            <v>CICOGE</v>
          </cell>
        </row>
        <row r="31">
          <cell r="E31" t="str">
            <v>CILOGER</v>
          </cell>
          <cell r="O31" t="str">
            <v>CILOGER</v>
          </cell>
          <cell r="AJ31" t="str">
            <v>CILOGER</v>
          </cell>
          <cell r="AV31" t="str">
            <v>CILOGER</v>
          </cell>
        </row>
        <row r="32">
          <cell r="E32" t="str">
            <v>CIMO</v>
          </cell>
          <cell r="O32" t="str">
            <v>CIMO</v>
          </cell>
          <cell r="AJ32" t="str">
            <v>CIMO</v>
          </cell>
          <cell r="AV32" t="str">
            <v>CIMO</v>
          </cell>
        </row>
        <row r="33">
          <cell r="E33" t="str">
            <v>CIMO</v>
          </cell>
          <cell r="O33" t="str">
            <v>CIMO</v>
          </cell>
          <cell r="AJ33" t="str">
            <v>CIMO</v>
          </cell>
          <cell r="AV33" t="str">
            <v>CIMO</v>
          </cell>
        </row>
        <row r="34">
          <cell r="E34" t="str">
            <v>CNP  Immobilier</v>
          </cell>
          <cell r="O34" t="str">
            <v>CNP  Immobilier</v>
          </cell>
          <cell r="AJ34" t="str">
            <v>CNP  Immobilier</v>
          </cell>
          <cell r="AV34" t="str">
            <v>CNP  Immobilier</v>
          </cell>
        </row>
        <row r="35">
          <cell r="E35" t="str">
            <v>CNP ASS Seguros de vida</v>
          </cell>
          <cell r="O35" t="str">
            <v>CNP ASS Seguros de vida</v>
          </cell>
          <cell r="AJ35" t="str">
            <v>CNP ASS Seguros de vida</v>
          </cell>
        </row>
        <row r="36">
          <cell r="E36" t="str">
            <v>CNP ASSURANCES</v>
          </cell>
          <cell r="O36" t="str">
            <v>CNP ASSURANCES</v>
          </cell>
          <cell r="AJ36" t="str">
            <v>CNP ASSURANCES</v>
          </cell>
        </row>
        <row r="37">
          <cell r="E37" t="str">
            <v>CNP IAM</v>
          </cell>
          <cell r="O37" t="str">
            <v>CNP IAM</v>
          </cell>
          <cell r="AJ37" t="str">
            <v>CNP IAM</v>
          </cell>
        </row>
        <row r="38">
          <cell r="E38" t="str">
            <v>CNP International</v>
          </cell>
          <cell r="O38" t="str">
            <v>CNP International</v>
          </cell>
          <cell r="AJ38" t="str">
            <v>CNP International</v>
          </cell>
        </row>
        <row r="39">
          <cell r="E39" t="str">
            <v>Comptapierre</v>
          </cell>
          <cell r="O39" t="str">
            <v>Comptapierre</v>
          </cell>
          <cell r="AJ39" t="str">
            <v>Comptapierre</v>
          </cell>
        </row>
        <row r="40">
          <cell r="E40" t="str">
            <v>CREP</v>
          </cell>
          <cell r="O40" t="str">
            <v>CREP</v>
          </cell>
          <cell r="AJ40" t="str">
            <v>CREP</v>
          </cell>
        </row>
        <row r="41">
          <cell r="E41" t="str">
            <v>Daille  Soleil</v>
          </cell>
          <cell r="O41" t="str">
            <v>Daille  Soleil</v>
          </cell>
          <cell r="AJ41" t="str">
            <v>Daille  Soleil</v>
          </cell>
        </row>
        <row r="42">
          <cell r="E42" t="str">
            <v>Defense (centre cial)</v>
          </cell>
          <cell r="O42" t="str">
            <v>Defense (centre cial)</v>
          </cell>
          <cell r="AJ42" t="str">
            <v>Defense (centre cial)</v>
          </cell>
        </row>
        <row r="43">
          <cell r="E43" t="str">
            <v>ECUREUIL VIE</v>
          </cell>
          <cell r="O43" t="str">
            <v>ECUREUIL VIE</v>
          </cell>
          <cell r="AJ43" t="str">
            <v>ECUREUIL VIE</v>
          </cell>
        </row>
        <row r="44">
          <cell r="E44" t="str">
            <v>Epargne dév. 1 - A</v>
          </cell>
          <cell r="O44" t="str">
            <v>Epargne dév. 1 - A</v>
          </cell>
          <cell r="AJ44" t="str">
            <v>Epargne dév. 1 - A</v>
          </cell>
        </row>
        <row r="45">
          <cell r="E45" t="str">
            <v>Epargne dév. 1 - A</v>
          </cell>
          <cell r="O45" t="str">
            <v>Epargne dév. 1 - A</v>
          </cell>
          <cell r="AJ45" t="str">
            <v>Epargne dév. 1 - A</v>
          </cell>
        </row>
        <row r="46">
          <cell r="E46" t="str">
            <v>Epargne dév. 1 - B</v>
          </cell>
          <cell r="O46" t="str">
            <v>Epargne dév. 1 - B</v>
          </cell>
          <cell r="AJ46" t="str">
            <v>Epargne dév. 1 - B</v>
          </cell>
        </row>
        <row r="47">
          <cell r="E47" t="str">
            <v>Epargne dév. 1 - B</v>
          </cell>
          <cell r="O47" t="str">
            <v>Epargne dév. 1 - B</v>
          </cell>
          <cell r="AJ47" t="str">
            <v>Epargne dév. 1 - B</v>
          </cell>
        </row>
        <row r="48">
          <cell r="E48" t="str">
            <v>Epargne dév. 2 - A</v>
          </cell>
          <cell r="O48" t="str">
            <v>Epargne dév. 2 - A</v>
          </cell>
          <cell r="AJ48" t="str">
            <v>Epargne dév. 2 - A</v>
          </cell>
        </row>
        <row r="49">
          <cell r="E49" t="str">
            <v>Epargne dév. 2 - B</v>
          </cell>
          <cell r="O49" t="str">
            <v>Epargne dév. 2 - B</v>
          </cell>
          <cell r="AJ49" t="str">
            <v>Epargne dév. 2 - B</v>
          </cell>
        </row>
        <row r="50">
          <cell r="E50" t="str">
            <v>Europrévoyance Cons.</v>
          </cell>
          <cell r="O50" t="str">
            <v>Europrévoyance Cons.</v>
          </cell>
          <cell r="AJ50" t="str">
            <v>Europrévoyance Cons.</v>
          </cell>
        </row>
        <row r="51">
          <cell r="E51" t="str">
            <v>Eurotitrisation</v>
          </cell>
          <cell r="O51" t="str">
            <v>Eurotitrisation</v>
          </cell>
          <cell r="AJ51" t="str">
            <v>Eurotitrisation</v>
          </cell>
        </row>
        <row r="52">
          <cell r="E52" t="str">
            <v>Financière bourgogne</v>
          </cell>
          <cell r="O52" t="str">
            <v>Financière bourgogne</v>
          </cell>
          <cell r="AJ52" t="str">
            <v>Financière bourgogne</v>
          </cell>
        </row>
        <row r="53">
          <cell r="E53" t="str">
            <v>Financière ctre loire</v>
          </cell>
          <cell r="O53" t="str">
            <v>Financière ctre loire</v>
          </cell>
          <cell r="AJ53" t="str">
            <v>Financière ctre loire</v>
          </cell>
        </row>
        <row r="54">
          <cell r="E54" t="str">
            <v>Firci</v>
          </cell>
          <cell r="O54" t="str">
            <v>Firci</v>
          </cell>
          <cell r="AJ54" t="str">
            <v>Firci</v>
          </cell>
        </row>
        <row r="55">
          <cell r="E55" t="str">
            <v>Foncière CNP</v>
          </cell>
          <cell r="O55" t="str">
            <v>Foncière CNP</v>
          </cell>
          <cell r="AJ55" t="str">
            <v>Foncière CNP</v>
          </cell>
        </row>
        <row r="56">
          <cell r="E56" t="str">
            <v>Foncière CNP</v>
          </cell>
          <cell r="O56" t="str">
            <v>Foncière CNP</v>
          </cell>
          <cell r="AJ56" t="str">
            <v>Foncière CNP</v>
          </cell>
        </row>
        <row r="57">
          <cell r="E57" t="str">
            <v>Fongepar</v>
          </cell>
          <cell r="O57" t="str">
            <v>Fongepar</v>
          </cell>
          <cell r="AJ57" t="str">
            <v>Fongepar</v>
          </cell>
        </row>
        <row r="58">
          <cell r="E58" t="str">
            <v>Forestière CDC</v>
          </cell>
          <cell r="O58" t="str">
            <v>Forestière CDC</v>
          </cell>
          <cell r="AJ58" t="str">
            <v>Forestière CDC</v>
          </cell>
        </row>
        <row r="59">
          <cell r="E59" t="str">
            <v>France capital dév.</v>
          </cell>
          <cell r="O59" t="str">
            <v>France capital dév.</v>
          </cell>
          <cell r="AJ59" t="str">
            <v>France capital dév.</v>
          </cell>
        </row>
        <row r="60">
          <cell r="E60" t="str">
            <v>France capital dév.</v>
          </cell>
          <cell r="O60" t="str">
            <v>France capital dév.</v>
          </cell>
          <cell r="AJ60" t="str">
            <v>France capital dév.</v>
          </cell>
        </row>
        <row r="61">
          <cell r="E61" t="str">
            <v>France Secours int.</v>
          </cell>
          <cell r="O61" t="str">
            <v>France Secours int.</v>
          </cell>
          <cell r="AJ61" t="str">
            <v>France Secours int.</v>
          </cell>
        </row>
        <row r="62">
          <cell r="E62" t="str">
            <v>Fraterna Rétiro</v>
          </cell>
          <cell r="O62" t="str">
            <v>Fraterna Rétiro</v>
          </cell>
          <cell r="AJ62" t="str">
            <v>Fraterna Rétiro</v>
          </cell>
        </row>
        <row r="63">
          <cell r="E63" t="str">
            <v>Fraterna Vida</v>
          </cell>
          <cell r="O63" t="str">
            <v>Fraterna Vida</v>
          </cell>
          <cell r="AJ63" t="str">
            <v>Fraterna Vida</v>
          </cell>
        </row>
        <row r="64">
          <cell r="E64" t="str">
            <v>Fructipierre 1</v>
          </cell>
          <cell r="O64" t="str">
            <v>Fructipierre 1</v>
          </cell>
          <cell r="AJ64" t="str">
            <v>Fructipierre 1</v>
          </cell>
        </row>
        <row r="65">
          <cell r="E65" t="str">
            <v>Fructipierre 2</v>
          </cell>
          <cell r="O65" t="str">
            <v>Fructipierre 2</v>
          </cell>
          <cell r="AJ65" t="str">
            <v>Fructipierre 2</v>
          </cell>
        </row>
        <row r="66">
          <cell r="E66" t="str">
            <v>GF de Brèves</v>
          </cell>
          <cell r="O66" t="str">
            <v>GF de Brèves</v>
          </cell>
          <cell r="AJ66" t="str">
            <v>GF de Brèves</v>
          </cell>
        </row>
        <row r="67">
          <cell r="E67" t="str">
            <v>GF de l'Est</v>
          </cell>
          <cell r="O67" t="str">
            <v>GF de l'Est</v>
          </cell>
          <cell r="AJ67" t="str">
            <v>GF de l'Est</v>
          </cell>
        </row>
        <row r="68">
          <cell r="E68" t="str">
            <v>GF Forêts Francaises 1</v>
          </cell>
          <cell r="O68" t="str">
            <v>GF Forêts Francaises 1</v>
          </cell>
          <cell r="AJ68" t="str">
            <v>GF Forêts Francaises 1</v>
          </cell>
        </row>
        <row r="69">
          <cell r="E69" t="str">
            <v>GF Forêts Francaises 2</v>
          </cell>
          <cell r="O69" t="str">
            <v>GF Forêts Francaises 2</v>
          </cell>
          <cell r="AJ69" t="str">
            <v>GF Forêts Francaises 2</v>
          </cell>
        </row>
        <row r="70">
          <cell r="E70" t="str">
            <v>GF forêts Gérées 1</v>
          </cell>
          <cell r="O70" t="str">
            <v>GF forêts Gérées 1</v>
          </cell>
          <cell r="AJ70" t="str">
            <v>GF forêts Gérées 1</v>
          </cell>
        </row>
        <row r="71">
          <cell r="E71" t="str">
            <v>GF forêts Gérées 2</v>
          </cell>
          <cell r="O71" t="str">
            <v>GF forêts Gérées 2</v>
          </cell>
          <cell r="AJ71" t="str">
            <v>GF forêts Gérées 2</v>
          </cell>
        </row>
        <row r="72">
          <cell r="E72" t="str">
            <v>GF forêts Gérées 3</v>
          </cell>
          <cell r="O72" t="str">
            <v>GF forêts Gérées 3</v>
          </cell>
          <cell r="AJ72" t="str">
            <v>GF forêts Gérées 3</v>
          </cell>
        </row>
        <row r="73">
          <cell r="E73" t="str">
            <v>GF forêts Gérées 4</v>
          </cell>
          <cell r="O73" t="str">
            <v>GF forêts Gérées 4</v>
          </cell>
          <cell r="AJ73" t="str">
            <v>GF forêts Gérées 4</v>
          </cell>
        </row>
        <row r="74">
          <cell r="E74" t="str">
            <v>GF forêts Gérées 5</v>
          </cell>
          <cell r="O74" t="str">
            <v>GF forêts Gérées 5</v>
          </cell>
          <cell r="AJ74" t="str">
            <v>GF forêts Gérées 5</v>
          </cell>
        </row>
        <row r="75">
          <cell r="E75" t="str">
            <v>GIP</v>
          </cell>
          <cell r="O75" t="str">
            <v>GIP</v>
          </cell>
          <cell r="AJ75" t="str">
            <v>GIP</v>
          </cell>
        </row>
        <row r="76">
          <cell r="E76" t="str">
            <v>Gpt. prop.CDC CNP</v>
          </cell>
          <cell r="O76" t="str">
            <v>Gpt. prop.CDC CNP</v>
          </cell>
          <cell r="AJ76" t="str">
            <v>Gpt. prop.CDC CNP</v>
          </cell>
        </row>
        <row r="77">
          <cell r="E77" t="str">
            <v>EURO-RSCG W.W.</v>
          </cell>
          <cell r="O77" t="str">
            <v>EURO-RSCG W.W.</v>
          </cell>
          <cell r="AJ77" t="str">
            <v>EURO-RSCG W.W.</v>
          </cell>
        </row>
        <row r="78">
          <cell r="E78" t="str">
            <v>HLI</v>
          </cell>
          <cell r="O78" t="str">
            <v>HLI</v>
          </cell>
          <cell r="AJ78" t="str">
            <v>HLI</v>
          </cell>
        </row>
        <row r="79">
          <cell r="E79" t="str">
            <v>I-CDC</v>
          </cell>
          <cell r="O79" t="str">
            <v>I-CDC</v>
          </cell>
          <cell r="AJ79" t="str">
            <v>I-CDC</v>
          </cell>
        </row>
        <row r="80">
          <cell r="E80" t="str">
            <v>I.T.V.</v>
          </cell>
          <cell r="O80" t="str">
            <v>I.T.V.</v>
          </cell>
          <cell r="AJ80" t="str">
            <v>I.T.V.</v>
          </cell>
        </row>
        <row r="81">
          <cell r="E81" t="str">
            <v>ISM  SA</v>
          </cell>
          <cell r="O81" t="str">
            <v>ISM  SA</v>
          </cell>
          <cell r="AJ81" t="str">
            <v>ISM  SA</v>
          </cell>
        </row>
        <row r="82">
          <cell r="E82" t="str">
            <v>Lancosme</v>
          </cell>
          <cell r="O82" t="str">
            <v>Lancosme</v>
          </cell>
          <cell r="AJ82" t="str">
            <v>Lancosme</v>
          </cell>
        </row>
        <row r="83">
          <cell r="E83" t="str">
            <v>Le  Grand  Feu</v>
          </cell>
          <cell r="O83" t="str">
            <v>Le  Grand  Feu</v>
          </cell>
          <cell r="AJ83" t="str">
            <v>Le  Grand  Feu</v>
          </cell>
        </row>
        <row r="84">
          <cell r="E84" t="str">
            <v>Lille  Hellemmes</v>
          </cell>
          <cell r="O84" t="str">
            <v>Lille  Hellemmes</v>
          </cell>
          <cell r="AJ84" t="str">
            <v>Lille  Hellemmes</v>
          </cell>
        </row>
        <row r="85">
          <cell r="E85" t="str">
            <v>Mac Donald</v>
          </cell>
          <cell r="O85" t="str">
            <v>Mac Donald</v>
          </cell>
          <cell r="AJ85" t="str">
            <v>Mac Donald</v>
          </cell>
        </row>
        <row r="86">
          <cell r="E86" t="str">
            <v>Matif</v>
          </cell>
          <cell r="O86" t="str">
            <v>Matif</v>
          </cell>
          <cell r="AJ86" t="str">
            <v>Matif</v>
          </cell>
        </row>
        <row r="87">
          <cell r="E87" t="str">
            <v>Menucourt</v>
          </cell>
          <cell r="O87" t="str">
            <v>Menucourt</v>
          </cell>
          <cell r="AJ87" t="str">
            <v>Menucourt</v>
          </cell>
        </row>
        <row r="88">
          <cell r="E88" t="str">
            <v>Meribel  Soleil</v>
          </cell>
          <cell r="O88" t="str">
            <v>Meribel  Soleil</v>
          </cell>
          <cell r="AJ88" t="str">
            <v>Meribel  Soleil</v>
          </cell>
        </row>
        <row r="89">
          <cell r="E89" t="str">
            <v>Montagne de la fage</v>
          </cell>
          <cell r="O89" t="str">
            <v>Montagne de la Fage</v>
          </cell>
          <cell r="AJ89" t="str">
            <v>Montagne de la fage</v>
          </cell>
        </row>
        <row r="90">
          <cell r="E90" t="str">
            <v>Morgan Grenfell "A"</v>
          </cell>
          <cell r="O90" t="str">
            <v>Morgan Grenfell "A"</v>
          </cell>
          <cell r="AJ90" t="str">
            <v>Morgan Grenfell "A"</v>
          </cell>
        </row>
        <row r="91">
          <cell r="E91" t="str">
            <v>Morgan Grenfell "B"</v>
          </cell>
          <cell r="O91" t="str">
            <v>Morgan Grenfell "B"</v>
          </cell>
          <cell r="AJ91" t="str">
            <v>Morgan Grenfell "B"</v>
          </cell>
        </row>
        <row r="92">
          <cell r="E92" t="str">
            <v xml:space="preserve">NEY Entrepot  </v>
          </cell>
          <cell r="O92" t="str">
            <v xml:space="preserve">NEY Entrepot  </v>
          </cell>
          <cell r="AJ92" t="str">
            <v xml:space="preserve">NEY Entrepot  </v>
          </cell>
        </row>
        <row r="93">
          <cell r="E93" t="str">
            <v>Parc de Montfort</v>
          </cell>
          <cell r="O93" t="str">
            <v>Parc de Montfort</v>
          </cell>
          <cell r="AJ93" t="str">
            <v>Parc de Montfort</v>
          </cell>
        </row>
        <row r="94">
          <cell r="E94" t="str">
            <v>PB  10</v>
          </cell>
          <cell r="O94" t="str">
            <v>PB  10</v>
          </cell>
          <cell r="AJ94" t="str">
            <v>PB  10</v>
          </cell>
        </row>
        <row r="95">
          <cell r="E95" t="str">
            <v>Pierre  Ecureuil</v>
          </cell>
          <cell r="O95" t="str">
            <v>Pierre  Ecureuil</v>
          </cell>
          <cell r="AJ95" t="str">
            <v>Pierre  Ecureuil</v>
          </cell>
        </row>
        <row r="96">
          <cell r="E96" t="str">
            <v>Pierre  Poste</v>
          </cell>
          <cell r="O96" t="str">
            <v>Pierre  Poste</v>
          </cell>
          <cell r="AJ96" t="str">
            <v>Pierre  Poste</v>
          </cell>
        </row>
        <row r="97">
          <cell r="E97" t="str">
            <v>Pierre  Poste</v>
          </cell>
          <cell r="O97" t="str">
            <v>Pierre  Poste</v>
          </cell>
          <cell r="AJ97" t="str">
            <v>Pierre  Poste</v>
          </cell>
        </row>
        <row r="98">
          <cell r="E98" t="str">
            <v>Pierre Ecureuil 2</v>
          </cell>
          <cell r="O98" t="str">
            <v>Pierre Ecureuil 2</v>
          </cell>
          <cell r="AJ98" t="str">
            <v>Pierre Ecureuil 2</v>
          </cell>
        </row>
        <row r="99">
          <cell r="E99" t="str">
            <v>POLISA VIE</v>
          </cell>
          <cell r="O99" t="str">
            <v>POLISA VIE</v>
          </cell>
          <cell r="AJ99" t="str">
            <v>POLISA VIE</v>
          </cell>
        </row>
        <row r="100">
          <cell r="E100" t="str">
            <v>POLLUX Dév.</v>
          </cell>
          <cell r="O100" t="str">
            <v>POLLUX Dév.</v>
          </cell>
          <cell r="AJ100" t="str">
            <v>POLLUX Dév.</v>
          </cell>
        </row>
        <row r="101">
          <cell r="E101" t="str">
            <v>Prévimut</v>
          </cell>
          <cell r="O101" t="str">
            <v>Prévimut</v>
          </cell>
          <cell r="AJ101" t="str">
            <v>Prévimut</v>
          </cell>
        </row>
        <row r="102">
          <cell r="E102" t="str">
            <v>PREVIPOSTE</v>
          </cell>
          <cell r="O102" t="str">
            <v>PREVIPOSTE</v>
          </cell>
          <cell r="AJ102" t="str">
            <v>PREVIPOSTE</v>
          </cell>
        </row>
        <row r="103">
          <cell r="E103" t="str">
            <v xml:space="preserve">PREVISOL </v>
          </cell>
          <cell r="O103" t="str">
            <v xml:space="preserve">PREVISOL </v>
          </cell>
          <cell r="AJ103" t="str">
            <v xml:space="preserve">PREVISOL </v>
          </cell>
        </row>
        <row r="104">
          <cell r="E104" t="str">
            <v>Rue de RENNES (136)</v>
          </cell>
          <cell r="O104" t="str">
            <v>Rue de RENNES (136)</v>
          </cell>
          <cell r="AJ104" t="str">
            <v>Rue de RENNES (136)</v>
          </cell>
        </row>
        <row r="105">
          <cell r="E105" t="str">
            <v>S-CDC</v>
          </cell>
          <cell r="O105" t="str">
            <v>S-CDC</v>
          </cell>
          <cell r="AJ105" t="str">
            <v>S-CDC</v>
          </cell>
        </row>
        <row r="106">
          <cell r="E106" t="str">
            <v>SAA</v>
          </cell>
          <cell r="O106" t="str">
            <v>SAA</v>
          </cell>
          <cell r="AJ106" t="str">
            <v>SAA</v>
          </cell>
        </row>
        <row r="107">
          <cell r="E107" t="str">
            <v>SAA</v>
          </cell>
          <cell r="O107" t="str">
            <v>SAA</v>
          </cell>
          <cell r="AJ107" t="str">
            <v>SAA</v>
          </cell>
        </row>
        <row r="108">
          <cell r="E108" t="str">
            <v>Sage</v>
          </cell>
          <cell r="O108" t="str">
            <v>Sage</v>
          </cell>
          <cell r="AJ108" t="str">
            <v>Sage</v>
          </cell>
        </row>
        <row r="109">
          <cell r="E109" t="str">
            <v>SCI de la CNP</v>
          </cell>
          <cell r="O109" t="str">
            <v>SCI de la CNP</v>
          </cell>
          <cell r="AJ109" t="str">
            <v>SCI de la CNP</v>
          </cell>
        </row>
        <row r="110">
          <cell r="E110" t="str">
            <v>SCI de la CNP</v>
          </cell>
          <cell r="O110" t="str">
            <v>SCI de la CNP</v>
          </cell>
          <cell r="AJ110" t="str">
            <v>SCI de la CNP</v>
          </cell>
        </row>
        <row r="111">
          <cell r="O111" t="str">
            <v>SCOR  VIE</v>
          </cell>
          <cell r="AJ111" t="str">
            <v>SCOR</v>
          </cell>
        </row>
        <row r="112">
          <cell r="E112" t="str">
            <v>Sertom</v>
          </cell>
          <cell r="O112" t="str">
            <v>Sertom</v>
          </cell>
          <cell r="AJ112" t="str">
            <v>Sertom</v>
          </cell>
        </row>
        <row r="113">
          <cell r="E113" t="str">
            <v>SICAC</v>
          </cell>
          <cell r="O113" t="str">
            <v>SICAC</v>
          </cell>
          <cell r="AJ113" t="str">
            <v>SICAC</v>
          </cell>
        </row>
        <row r="114">
          <cell r="E114" t="str">
            <v>SICAC</v>
          </cell>
          <cell r="O114" t="str">
            <v>SICAC</v>
          </cell>
          <cell r="AJ114" t="str">
            <v>SICAC</v>
          </cell>
        </row>
        <row r="115">
          <cell r="E115" t="str">
            <v>Siparex prov. de Fce</v>
          </cell>
          <cell r="O115" t="str">
            <v>Siparex prov. de Fce</v>
          </cell>
          <cell r="AJ115" t="str">
            <v>Siparex prov. de Fce</v>
          </cell>
        </row>
        <row r="116">
          <cell r="E116" t="str">
            <v>SIRCE 2</v>
          </cell>
          <cell r="O116" t="str">
            <v>SIRCE 2</v>
          </cell>
          <cell r="AJ116" t="str">
            <v>SIRCE 2</v>
          </cell>
        </row>
        <row r="117">
          <cell r="E117" t="str">
            <v>SMAF</v>
          </cell>
          <cell r="O117" t="str">
            <v>SMAF</v>
          </cell>
          <cell r="AJ117" t="str">
            <v>SMAF</v>
          </cell>
        </row>
        <row r="118">
          <cell r="E118" t="str">
            <v>Sofinnova Capital 2</v>
          </cell>
          <cell r="O118" t="str">
            <v>Sofinnova Capital 2</v>
          </cell>
          <cell r="AJ118" t="str">
            <v>Sofinnova Capital 2</v>
          </cell>
        </row>
        <row r="119">
          <cell r="E119" t="str">
            <v>Sogestop  C</v>
          </cell>
          <cell r="O119" t="str">
            <v>Sogestop  C</v>
          </cell>
          <cell r="AJ119" t="str">
            <v>Sogestop  C</v>
          </cell>
        </row>
        <row r="120">
          <cell r="E120" t="str">
            <v>Sogestop  E</v>
          </cell>
          <cell r="O120" t="str">
            <v>Sogestop  E</v>
          </cell>
          <cell r="AJ120" t="str">
            <v>Sogestop  E</v>
          </cell>
        </row>
        <row r="121">
          <cell r="E121" t="str">
            <v>Sogestop  H</v>
          </cell>
          <cell r="O121" t="str">
            <v>Sogestop  H</v>
          </cell>
          <cell r="AJ121" t="str">
            <v>Sogestop  F</v>
          </cell>
        </row>
        <row r="122">
          <cell r="E122" t="str">
            <v>Sogestop  G</v>
          </cell>
          <cell r="O122" t="str">
            <v>Sogestop  G</v>
          </cell>
          <cell r="AJ122" t="str">
            <v>Sogestop  G</v>
          </cell>
        </row>
        <row r="123">
          <cell r="E123" t="str">
            <v>Spific</v>
          </cell>
          <cell r="O123" t="str">
            <v>Spific</v>
          </cell>
          <cell r="AJ123" t="str">
            <v>Spific</v>
          </cell>
        </row>
        <row r="124">
          <cell r="E124" t="str">
            <v>VENDOME Europe</v>
          </cell>
          <cell r="O124" t="str">
            <v>VENDOME Europe</v>
          </cell>
          <cell r="AJ124" t="str">
            <v>VENDOME Europe</v>
          </cell>
        </row>
        <row r="125">
          <cell r="E125" t="str">
            <v>Victor  Hugo 147</v>
          </cell>
          <cell r="O125" t="str">
            <v>Victor  Hugo 147</v>
          </cell>
          <cell r="AJ125" t="str">
            <v>Victor  Hugo 147</v>
          </cell>
        </row>
        <row r="126">
          <cell r="E126" t="str">
            <v>Victor  Hugo 147</v>
          </cell>
          <cell r="O126" t="str">
            <v>Victor  Hugo 147</v>
          </cell>
          <cell r="AJ126" t="str">
            <v>Victor  Hugo 147</v>
          </cell>
        </row>
      </sheetData>
      <sheetData sheetId="1" refreshError="1"/>
    </sheetDataSet>
  </externalBook>
</externalLink>
</file>

<file path=xl/externalLinks/externalLink3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param"/>
      <sheetName val="CdR"/>
      <sheetName val="Bilan"/>
      <sheetName val="Var Cap Sem."/>
      <sheetName val="Var Cap"/>
      <sheetName val="OCI"/>
      <sheetName val="TFT"/>
      <sheetName val="2.1 Expo aux risques"/>
      <sheetName val="2.2 Expo souveraines 1"/>
      <sheetName val="2.2 Expo souveraines 2"/>
      <sheetName val="2.2 Expo souveraines 3"/>
      <sheetName val="3.1 Caisse, bques ctrales"/>
      <sheetName val="3.2 HFT"/>
      <sheetName val="3.2 HFT2"/>
      <sheetName val="3.3 Dérivés de couv."/>
      <sheetName val="3.4 AFS"/>
      <sheetName val="3.4 Titres non conso"/>
      <sheetName val="3.5 Prêts et créances ets"/>
      <sheetName val="3.6 Prêts et créances clts"/>
      <sheetName val="3.6 Location financement"/>
      <sheetName val="3.7 Dépréc. actifs"/>
      <sheetName val="3.8 Ecart de réeval port."/>
      <sheetName val="3.9 HTM"/>
      <sheetName val="3.10 Impôts"/>
      <sheetName val="3.10 Impôts (2)"/>
      <sheetName val="3.11 regul et actifs divers"/>
      <sheetName val="3.12 Part MEE"/>
      <sheetName val="3.13 Immo corp et incorp"/>
      <sheetName val="3.14 Ecarts d'acq"/>
      <sheetName val="3.15 Dettes envers etbs"/>
      <sheetName val="3.16 Dettes envers clts"/>
      <sheetName val="3.17 Dettes titres"/>
      <sheetName val="3.18 regul et passifs divers"/>
      <sheetName val="3.19 Prov techn assu"/>
      <sheetName val="3.20 Provisions"/>
      <sheetName val="3.21 Dettes sub."/>
      <sheetName val="3.22 Gains pertes en CP"/>
      <sheetName val="3.22 Gains pertes en CP 2"/>
      <sheetName val="3.23 DRAC"/>
      <sheetName val="4.1 Intérêts pdt ch assimil"/>
      <sheetName val="4.2 Commissions"/>
      <sheetName val="4.3 Gains et pertes IF à JV "/>
      <sheetName val="4.4 Gains ou pertes nets AFS"/>
      <sheetName val="4.5 Pdts et Ch autres activités"/>
      <sheetName val="4.6 Ch générales d'exploit"/>
      <sheetName val="4.7 Coût du risque"/>
      <sheetName val="4.8 Gains et pertes autres act"/>
      <sheetName val="4.9 Ecarts d'acquisition"/>
      <sheetName val="4.10 Impôts"/>
      <sheetName val="4.10 Impôts (2)"/>
      <sheetName val="5 Engagements"/>
      <sheetName val="6.1 JV éléments du bilan"/>
      <sheetName val="6.2 Hiérarchie JV"/>
      <sheetName val="7. Reclass. actifs fi"/>
      <sheetName val="8.1. PNB par secteur"/>
      <sheetName val="8.1 RN par secteur"/>
      <sheetName val="8.2 Bilan par secteur"/>
      <sheetName val="9.1 Parties liées"/>
      <sheetName val="9.2 Rému dirigeants"/>
      <sheetName val="10. Honoraires"/>
      <sheetName val="Sommaire"/>
      <sheetName val="Paramètres"/>
      <sheetName val="Caisse, bnques centrales-Tab"/>
      <sheetName val="A et P fin JV résultat - HFT1"/>
      <sheetName val="A et P fin JV résultat - HFT2"/>
      <sheetName val="Inst dérivés de couv- Tab"/>
      <sheetName val="AFS- Tableau"/>
      <sheetName val="Feuil2"/>
      <sheetName val="Feuil3"/>
      <sheetName val="Var Cap annuelle"/>
      <sheetName val="OCI recycl"/>
      <sheetName val="Sofiap Bilan d'ouv"/>
      <sheetName val="Bilan d'ouv LBP P"/>
      <sheetName val="BPE bilan d'ouv"/>
      <sheetName val="DRAC"/>
      <sheetName val="3.8 HTM"/>
      <sheetName val="3.9 Impôts"/>
      <sheetName val="3.9 Impôts2"/>
      <sheetName val="3.10 regul et actifs divers"/>
      <sheetName val="3.11 Part MEE"/>
      <sheetName val="3.12 Immo corp et incorp"/>
      <sheetName val="3.13 Ecarts d'acq"/>
      <sheetName val="3.14 Dettes envers etbs"/>
      <sheetName val="3.15 Dettes envers clts"/>
      <sheetName val="3.16 Dettes titres"/>
      <sheetName val="3.17 regul et passifs divers"/>
      <sheetName val="3.18 Prov techn assu"/>
      <sheetName val="3.19 Provisions"/>
      <sheetName val="3.20 Dettes sub."/>
      <sheetName val="4.10 Impôts2"/>
      <sheetName val="5 Engagements HB"/>
      <sheetName val="9.1 PNB par secteur"/>
      <sheetName val="9.1 RN par secteur"/>
      <sheetName val="9.2 Bilan par secteur"/>
      <sheetName val="10.1 Parties liées"/>
      <sheetName val="10.2 Rému dirigeants"/>
      <sheetName val="10.3 Honoraires"/>
      <sheetName val="12 Périmètre"/>
      <sheetName val="2.1 Expo glo aux risques credit"/>
      <sheetName val="Expositions souveraines"/>
      <sheetName val="GIIPE Evolution"/>
      <sheetName val="GIIPE Gains et Pertes latents"/>
      <sheetName val="GIIPE recensement ET dépréc"/>
      <sheetName val="GIIPE Maturité"/>
      <sheetName val="GIIPE autres que souverain"/>
      <sheetName val="Reclassement IAS39"/>
      <sheetName val="Compensation IFRS 7"/>
      <sheetName val="hold Compensation IFRS 7"/>
      <sheetName val="OCI cnp"/>
      <sheetName val="mino ifrs12"/>
      <sheetName val="cnp ifrs 12"/>
    </sheetNames>
    <sheetDataSet>
      <sheetData sheetId="0" refreshError="1">
        <row r="4">
          <cell r="B4" t="str">
            <v>31.12.13</v>
          </cell>
          <cell r="F4" t="str">
            <v>31.12.12</v>
          </cell>
        </row>
        <row r="9">
          <cell r="D9" t="str">
            <v>CA=C</v>
          </cell>
          <cell r="H9" t="str">
            <v>CA=C</v>
          </cell>
        </row>
        <row r="10">
          <cell r="D10" t="str">
            <v>PE=2013.12</v>
          </cell>
          <cell r="H10" t="str">
            <v>PE=2012.12</v>
          </cell>
        </row>
        <row r="11">
          <cell r="D11" t="str">
            <v>DP=2013.12</v>
          </cell>
          <cell r="H11" t="str">
            <v>DP=2012.12</v>
          </cell>
        </row>
        <row r="12">
          <cell r="D12" t="str">
            <v>SC=LBP</v>
          </cell>
          <cell r="H12" t="str">
            <v>SC=LBP</v>
          </cell>
        </row>
        <row r="13">
          <cell r="D13" t="str">
            <v>CC=EUR</v>
          </cell>
          <cell r="H13" t="str">
            <v>CC=EUR</v>
          </cell>
        </row>
        <row r="16">
          <cell r="D16" t="str">
            <v>VA=2</v>
          </cell>
          <cell r="H16" t="str">
            <v>VA=2</v>
          </cell>
        </row>
        <row r="18">
          <cell r="B18" t="str">
            <v>31.12.12</v>
          </cell>
        </row>
        <row r="21">
          <cell r="D21" t="str">
            <v>CA=C</v>
          </cell>
        </row>
        <row r="22">
          <cell r="D22" t="str">
            <v>PE=2012.12</v>
          </cell>
        </row>
        <row r="23">
          <cell r="D23" t="str">
            <v>DP=2012.12</v>
          </cell>
        </row>
        <row r="24">
          <cell r="D24" t="str">
            <v>SC=LBP</v>
          </cell>
        </row>
        <row r="25">
          <cell r="D25" t="str">
            <v>CC=EUR</v>
          </cell>
        </row>
        <row r="28">
          <cell r="D28" t="str">
            <v>VA=2</v>
          </cell>
        </row>
        <row r="33">
          <cell r="D33" t="str">
            <v>CA=C</v>
          </cell>
          <cell r="H33" t="str">
            <v>CA=C</v>
          </cell>
        </row>
        <row r="34">
          <cell r="D34" t="str">
            <v>PE=2013.12</v>
          </cell>
          <cell r="H34" t="str">
            <v>PE=2012.12</v>
          </cell>
        </row>
        <row r="35">
          <cell r="D35" t="str">
            <v>DP=2013.12</v>
          </cell>
          <cell r="H35" t="str">
            <v>DP=2012.12</v>
          </cell>
        </row>
        <row r="36">
          <cell r="D36" t="str">
            <v>SC=LBP</v>
          </cell>
          <cell r="H36" t="str">
            <v>SC=LBP</v>
          </cell>
        </row>
        <row r="37">
          <cell r="D37" t="str">
            <v>CC=EUR</v>
          </cell>
          <cell r="H37" t="str">
            <v>CC=EUR</v>
          </cell>
        </row>
        <row r="39">
          <cell r="D39" t="str">
            <v>FL=F99</v>
          </cell>
          <cell r="H39" t="str">
            <v>FL=F99</v>
          </cell>
        </row>
        <row r="40">
          <cell r="D40" t="str">
            <v>VA=2</v>
          </cell>
          <cell r="H40" t="str">
            <v>VA=2</v>
          </cell>
        </row>
      </sheetData>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sheetData sheetId="70"/>
      <sheetData sheetId="71"/>
      <sheetData sheetId="72"/>
      <sheetData sheetId="73"/>
      <sheetData sheetId="74"/>
      <sheetData sheetId="75"/>
      <sheetData sheetId="76"/>
      <sheetData sheetId="77"/>
      <sheetData sheetId="78"/>
      <sheetData sheetId="79"/>
      <sheetData sheetId="80"/>
      <sheetData sheetId="81"/>
      <sheetData sheetId="82"/>
      <sheetData sheetId="83"/>
      <sheetData sheetId="84"/>
      <sheetData sheetId="85"/>
      <sheetData sheetId="86"/>
      <sheetData sheetId="87"/>
      <sheetData sheetId="88"/>
      <sheetData sheetId="89"/>
      <sheetData sheetId="90"/>
      <sheetData sheetId="91"/>
      <sheetData sheetId="92"/>
      <sheetData sheetId="93"/>
      <sheetData sheetId="94"/>
      <sheetData sheetId="95"/>
      <sheetData sheetId="96"/>
      <sheetData sheetId="97"/>
      <sheetData sheetId="98"/>
      <sheetData sheetId="99"/>
      <sheetData sheetId="100"/>
      <sheetData sheetId="101"/>
      <sheetData sheetId="102"/>
      <sheetData sheetId="103"/>
      <sheetData sheetId="104"/>
      <sheetData sheetId="105"/>
      <sheetData sheetId="106"/>
      <sheetData sheetId="107"/>
      <sheetData sheetId="108"/>
      <sheetData sheetId="109"/>
      <sheetData sheetId="110"/>
    </sheetDataSet>
  </externalBook>
</externalLink>
</file>

<file path=xl/externalLinks/externalLink3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PTEPLN"/>
      <sheetName val="CPTEUSD"/>
      <sheetName val="CPTEeuros"/>
      <sheetName val="BALANCE-EUR"/>
      <sheetName val="BALANCE_USD"/>
      <sheetName val="BALANCE_PLN"/>
      <sheetName val="Feuil1"/>
      <sheetName val="Table"/>
    </sheetNames>
    <sheetDataSet>
      <sheetData sheetId="0" refreshError="1"/>
      <sheetData sheetId="1" refreshError="1"/>
      <sheetData sheetId="2" refreshError="1"/>
      <sheetData sheetId="3" refreshError="1">
        <row r="2">
          <cell r="B2">
            <v>201</v>
          </cell>
          <cell r="D2" t="str">
            <v>Participat Non Côtées Sté Immo</v>
          </cell>
          <cell r="G2">
            <v>16903.55</v>
          </cell>
          <cell r="H2">
            <v>16903.55</v>
          </cell>
        </row>
        <row r="3">
          <cell r="B3">
            <v>201</v>
          </cell>
          <cell r="D3" t="str">
            <v>Participat Non Côtées Sté Immo</v>
          </cell>
          <cell r="G3">
            <v>97138476.459999993</v>
          </cell>
          <cell r="H3">
            <v>98782841.150000006</v>
          </cell>
        </row>
        <row r="4">
          <cell r="B4">
            <v>201</v>
          </cell>
          <cell r="D4" t="str">
            <v>Participat Non Côtées Sté Immo</v>
          </cell>
          <cell r="G4">
            <v>51826708.689999998</v>
          </cell>
          <cell r="H4">
            <v>44961535.090000004</v>
          </cell>
        </row>
        <row r="5">
          <cell r="B5">
            <v>201</v>
          </cell>
          <cell r="D5" t="str">
            <v>Participat Non Côtées Sté Immo</v>
          </cell>
          <cell r="G5">
            <v>762092.64</v>
          </cell>
          <cell r="H5">
            <v>762092.64</v>
          </cell>
        </row>
        <row r="6">
          <cell r="B6">
            <v>201</v>
          </cell>
          <cell r="D6" t="str">
            <v>Participat Non Côtées Sté Immo</v>
          </cell>
          <cell r="G6">
            <v>5000000</v>
          </cell>
          <cell r="H6">
            <v>5000000</v>
          </cell>
        </row>
        <row r="7">
          <cell r="B7">
            <v>201</v>
          </cell>
          <cell r="D7" t="str">
            <v>Participat Non Côtées Sté Immo</v>
          </cell>
          <cell r="G7">
            <v>1939516.95</v>
          </cell>
          <cell r="H7">
            <v>1939516.95</v>
          </cell>
        </row>
        <row r="8">
          <cell r="B8">
            <v>201</v>
          </cell>
          <cell r="D8" t="str">
            <v>Participat Non Côtées Sté Immo</v>
          </cell>
          <cell r="G8">
            <v>762.25</v>
          </cell>
          <cell r="H8">
            <v>762.25</v>
          </cell>
        </row>
        <row r="9">
          <cell r="B9">
            <v>201</v>
          </cell>
          <cell r="D9" t="str">
            <v>Participat Non Côtées Sté Immo</v>
          </cell>
          <cell r="H9">
            <v>187</v>
          </cell>
        </row>
        <row r="10">
          <cell r="B10">
            <v>201</v>
          </cell>
          <cell r="D10" t="str">
            <v>Participat Non Côtées Sté Immo</v>
          </cell>
          <cell r="G10">
            <v>1905.61</v>
          </cell>
          <cell r="H10">
            <v>1905.61</v>
          </cell>
        </row>
        <row r="11">
          <cell r="B11">
            <v>201</v>
          </cell>
          <cell r="D11" t="str">
            <v>Participat Non Côtées Sté Immo</v>
          </cell>
          <cell r="G11">
            <v>1524.49</v>
          </cell>
          <cell r="H11">
            <v>1524.49</v>
          </cell>
        </row>
        <row r="12">
          <cell r="B12">
            <v>201</v>
          </cell>
          <cell r="D12" t="str">
            <v>Participat Non Côtées Sté Immo</v>
          </cell>
          <cell r="G12">
            <v>7622450.8600000003</v>
          </cell>
          <cell r="H12">
            <v>7622450.8600000003</v>
          </cell>
        </row>
        <row r="13">
          <cell r="B13">
            <v>201</v>
          </cell>
          <cell r="D13" t="str">
            <v>Participat Non Côtées Sté Immo</v>
          </cell>
          <cell r="G13">
            <v>6402.86</v>
          </cell>
          <cell r="H13">
            <v>6402.86</v>
          </cell>
        </row>
        <row r="14">
          <cell r="B14">
            <v>201</v>
          </cell>
          <cell r="D14" t="str">
            <v>Participat Non Côtées Sté Immo</v>
          </cell>
          <cell r="G14">
            <v>0</v>
          </cell>
          <cell r="H14">
            <v>0</v>
          </cell>
        </row>
        <row r="15">
          <cell r="B15">
            <v>201</v>
          </cell>
          <cell r="D15" t="str">
            <v>Participat Non Côtées Sté Immo</v>
          </cell>
          <cell r="G15">
            <v>914694.1</v>
          </cell>
          <cell r="H15">
            <v>914694.1</v>
          </cell>
        </row>
        <row r="16">
          <cell r="B16">
            <v>201</v>
          </cell>
          <cell r="D16" t="str">
            <v>Participat Non Côtées Sté Immo</v>
          </cell>
          <cell r="G16">
            <v>11166799.039999999</v>
          </cell>
          <cell r="H16">
            <v>11166799.039999999</v>
          </cell>
        </row>
        <row r="17">
          <cell r="B17">
            <v>201</v>
          </cell>
          <cell r="D17" t="str">
            <v>Participat Non Côtées Sté Immo</v>
          </cell>
          <cell r="G17">
            <v>22295577.300000001</v>
          </cell>
          <cell r="H17">
            <v>22295577.300000001</v>
          </cell>
        </row>
        <row r="18">
          <cell r="B18">
            <v>201</v>
          </cell>
          <cell r="D18" t="str">
            <v>Participat Non Côtées Sté Immo</v>
          </cell>
          <cell r="G18">
            <v>267112.94</v>
          </cell>
          <cell r="H18">
            <v>267112.94</v>
          </cell>
        </row>
        <row r="19">
          <cell r="B19">
            <v>201</v>
          </cell>
          <cell r="D19" t="str">
            <v>Participat Non Côtées Sté Immo</v>
          </cell>
          <cell r="G19">
            <v>1441490.13</v>
          </cell>
          <cell r="H19">
            <v>1441490.13</v>
          </cell>
        </row>
        <row r="20">
          <cell r="B20">
            <v>209</v>
          </cell>
          <cell r="D20" t="str">
            <v>Participat Non Côtées Sté Immo</v>
          </cell>
          <cell r="G20">
            <v>15243651.640000001</v>
          </cell>
          <cell r="H20">
            <v>15243651.640000001</v>
          </cell>
        </row>
        <row r="21">
          <cell r="B21">
            <v>270</v>
          </cell>
          <cell r="D21" t="str">
            <v>Participat Non Côtées Sté Immo</v>
          </cell>
          <cell r="G21">
            <v>15245000</v>
          </cell>
          <cell r="H21">
            <v>15245000</v>
          </cell>
        </row>
        <row r="22">
          <cell r="B22">
            <v>270</v>
          </cell>
          <cell r="D22" t="str">
            <v>Participat Non Côtées Sté Immo</v>
          </cell>
          <cell r="H22">
            <v>2281831.2000000002</v>
          </cell>
        </row>
        <row r="23">
          <cell r="B23">
            <v>270</v>
          </cell>
          <cell r="D23" t="str">
            <v>Participat Non Côtées Sté Immo</v>
          </cell>
          <cell r="G23">
            <v>27567062.449999999</v>
          </cell>
          <cell r="H23">
            <v>27567062.449999999</v>
          </cell>
        </row>
        <row r="24">
          <cell r="B24">
            <v>270</v>
          </cell>
          <cell r="D24" t="str">
            <v>Participat Non Côtées Sté Immo</v>
          </cell>
          <cell r="H24">
            <v>18500</v>
          </cell>
        </row>
        <row r="25">
          <cell r="B25">
            <v>270</v>
          </cell>
          <cell r="D25" t="str">
            <v>Participat Non Côtées Sté Immo</v>
          </cell>
          <cell r="H25">
            <v>4939</v>
          </cell>
        </row>
        <row r="26">
          <cell r="B26">
            <v>270</v>
          </cell>
          <cell r="D26" t="str">
            <v>Participat Non Côtées Sté Immo</v>
          </cell>
          <cell r="G26">
            <v>23701062.210000001</v>
          </cell>
          <cell r="H26">
            <v>26365430.859999999</v>
          </cell>
        </row>
        <row r="27">
          <cell r="B27">
            <v>270</v>
          </cell>
          <cell r="D27" t="str">
            <v>Participat Non Côtées Sté Immo</v>
          </cell>
          <cell r="G27">
            <v>511487.8</v>
          </cell>
          <cell r="H27">
            <v>511487.8</v>
          </cell>
        </row>
        <row r="28">
          <cell r="B28">
            <v>270</v>
          </cell>
          <cell r="D28" t="str">
            <v>Participat Non Côtées Sté Immo</v>
          </cell>
          <cell r="G28">
            <v>37000000</v>
          </cell>
          <cell r="H28">
            <v>32116000</v>
          </cell>
        </row>
        <row r="29">
          <cell r="B29">
            <v>270</v>
          </cell>
          <cell r="D29" t="str">
            <v>Participat Non Côtées Sté Immo</v>
          </cell>
          <cell r="G29">
            <v>8091936.5</v>
          </cell>
          <cell r="H29">
            <v>11957280</v>
          </cell>
        </row>
        <row r="30">
          <cell r="B30">
            <v>270</v>
          </cell>
          <cell r="D30" t="str">
            <v>Participat Non Côtées Sté Immo</v>
          </cell>
          <cell r="G30">
            <v>6207967</v>
          </cell>
          <cell r="H30">
            <v>11589409.75</v>
          </cell>
        </row>
        <row r="31">
          <cell r="B31">
            <v>270</v>
          </cell>
          <cell r="D31" t="str">
            <v>Participat Non Côtées Sté Immo</v>
          </cell>
          <cell r="G31">
            <v>762.25</v>
          </cell>
          <cell r="H31">
            <v>762.25</v>
          </cell>
        </row>
        <row r="32">
          <cell r="B32">
            <v>270</v>
          </cell>
          <cell r="D32" t="str">
            <v>Participat Non Côtées Sté Immo</v>
          </cell>
          <cell r="H32">
            <v>11915662.49</v>
          </cell>
        </row>
        <row r="33">
          <cell r="B33">
            <v>270</v>
          </cell>
          <cell r="D33" t="str">
            <v>Participat Non Côtées Sté Immo</v>
          </cell>
          <cell r="H33">
            <v>796961</v>
          </cell>
        </row>
        <row r="34">
          <cell r="B34">
            <v>270</v>
          </cell>
          <cell r="D34" t="str">
            <v>Participat Non Côtées Sté Immo</v>
          </cell>
          <cell r="G34">
            <v>2342546.84</v>
          </cell>
          <cell r="H34">
            <v>2342546.84</v>
          </cell>
        </row>
        <row r="35">
          <cell r="B35">
            <v>270</v>
          </cell>
          <cell r="D35" t="str">
            <v>Participat Non Côtées Sté Immo</v>
          </cell>
          <cell r="G35">
            <v>16291584</v>
          </cell>
          <cell r="H35">
            <v>18845712</v>
          </cell>
        </row>
        <row r="36">
          <cell r="B36">
            <v>270</v>
          </cell>
          <cell r="D36" t="str">
            <v>Participat Non Côtées Sté Immo</v>
          </cell>
          <cell r="G36">
            <v>10451887.24</v>
          </cell>
          <cell r="H36">
            <v>10451887.24</v>
          </cell>
        </row>
        <row r="37">
          <cell r="B37">
            <v>270</v>
          </cell>
          <cell r="D37" t="str">
            <v>Participat Non Côtées Sté Immo</v>
          </cell>
          <cell r="H37">
            <v>7620</v>
          </cell>
        </row>
        <row r="38">
          <cell r="B38">
            <v>270</v>
          </cell>
          <cell r="D38" t="str">
            <v>Participat Non Côtées Sté Immo</v>
          </cell>
          <cell r="G38">
            <v>1187978.8400000001</v>
          </cell>
          <cell r="H38">
            <v>1187978.8400000001</v>
          </cell>
        </row>
        <row r="39">
          <cell r="B39">
            <v>270</v>
          </cell>
          <cell r="D39" t="str">
            <v>Participat Non Côtées Sté Immo</v>
          </cell>
          <cell r="G39">
            <v>762.25</v>
          </cell>
          <cell r="H39">
            <v>762.25</v>
          </cell>
        </row>
        <row r="40">
          <cell r="B40">
            <v>295</v>
          </cell>
          <cell r="D40" t="str">
            <v>Participat Non Côtées Sté Immo</v>
          </cell>
          <cell r="H40">
            <v>0</v>
          </cell>
        </row>
        <row r="41">
          <cell r="G41">
            <v>364246106.88999999</v>
          </cell>
          <cell r="H41">
            <v>383632281.56999999</v>
          </cell>
        </row>
        <row r="42">
          <cell r="B42">
            <v>201</v>
          </cell>
          <cell r="D42" t="str">
            <v>Avances S/Part Immob</v>
          </cell>
          <cell r="G42">
            <v>0</v>
          </cell>
          <cell r="H42">
            <v>0</v>
          </cell>
        </row>
        <row r="43">
          <cell r="B43">
            <v>201</v>
          </cell>
          <cell r="D43" t="str">
            <v>Avances S/Part Immob</v>
          </cell>
          <cell r="G43">
            <v>38684330.420000002</v>
          </cell>
          <cell r="H43">
            <v>38684330.420000002</v>
          </cell>
        </row>
        <row r="44">
          <cell r="B44">
            <v>201</v>
          </cell>
          <cell r="D44" t="str">
            <v>Avances S/Part Immob</v>
          </cell>
          <cell r="G44">
            <v>33829456.990000002</v>
          </cell>
          <cell r="H44">
            <v>33829456.990000002</v>
          </cell>
        </row>
        <row r="45">
          <cell r="B45">
            <v>201</v>
          </cell>
          <cell r="D45" t="str">
            <v>Avances S/Part Immob</v>
          </cell>
          <cell r="G45">
            <v>4458.07</v>
          </cell>
          <cell r="H45">
            <v>3700.39</v>
          </cell>
        </row>
        <row r="46">
          <cell r="B46">
            <v>201</v>
          </cell>
          <cell r="D46" t="str">
            <v>Avances S/Part Immob</v>
          </cell>
          <cell r="G46">
            <v>30242.19</v>
          </cell>
          <cell r="H46">
            <v>25092.02</v>
          </cell>
        </row>
        <row r="47">
          <cell r="B47">
            <v>201</v>
          </cell>
          <cell r="D47" t="str">
            <v>Avances S/Part Immob</v>
          </cell>
          <cell r="G47">
            <v>3735.64</v>
          </cell>
          <cell r="H47">
            <v>408.52</v>
          </cell>
        </row>
        <row r="48">
          <cell r="B48">
            <v>201</v>
          </cell>
          <cell r="D48" t="str">
            <v>Avances S/Part Immob</v>
          </cell>
          <cell r="G48">
            <v>38519124.130000003</v>
          </cell>
          <cell r="H48">
            <v>36630055.829999998</v>
          </cell>
        </row>
        <row r="49">
          <cell r="B49">
            <v>201</v>
          </cell>
          <cell r="D49" t="str">
            <v>Avances S/Part Immob</v>
          </cell>
          <cell r="G49">
            <v>10879.52</v>
          </cell>
          <cell r="H49">
            <v>10879.52</v>
          </cell>
        </row>
        <row r="50">
          <cell r="B50">
            <v>201</v>
          </cell>
          <cell r="D50" t="str">
            <v>Avances S/Part Immob</v>
          </cell>
          <cell r="G50">
            <v>22867352.59</v>
          </cell>
          <cell r="H50">
            <v>22867352.59</v>
          </cell>
        </row>
        <row r="51">
          <cell r="B51">
            <v>201</v>
          </cell>
          <cell r="D51" t="str">
            <v>Avances S/Part Immob</v>
          </cell>
          <cell r="G51">
            <v>15244.9</v>
          </cell>
          <cell r="H51">
            <v>15244.9</v>
          </cell>
        </row>
        <row r="52">
          <cell r="B52">
            <v>201</v>
          </cell>
          <cell r="D52" t="str">
            <v>Avances S/Part Immob</v>
          </cell>
          <cell r="G52">
            <v>228673.52</v>
          </cell>
          <cell r="H52">
            <v>228673.52</v>
          </cell>
        </row>
        <row r="53">
          <cell r="B53">
            <v>270</v>
          </cell>
          <cell r="D53" t="str">
            <v>Avances S/Part Immob</v>
          </cell>
          <cell r="G53">
            <v>30944079.539999999</v>
          </cell>
          <cell r="H53">
            <v>27295724.280000001</v>
          </cell>
        </row>
        <row r="54">
          <cell r="B54">
            <v>270</v>
          </cell>
          <cell r="D54" t="str">
            <v>Avances S/Part Immob</v>
          </cell>
          <cell r="H54">
            <v>3186184.46</v>
          </cell>
        </row>
        <row r="55">
          <cell r="B55">
            <v>270</v>
          </cell>
          <cell r="D55" t="str">
            <v>Avances S/Part Immob</v>
          </cell>
          <cell r="G55">
            <v>13919260.119999999</v>
          </cell>
          <cell r="H55">
            <v>13919260.119999999</v>
          </cell>
        </row>
        <row r="56">
          <cell r="B56">
            <v>270</v>
          </cell>
          <cell r="D56" t="str">
            <v>Avances S/Part Immob</v>
          </cell>
          <cell r="H56">
            <v>56283501.270000003</v>
          </cell>
        </row>
        <row r="57">
          <cell r="B57">
            <v>270</v>
          </cell>
          <cell r="D57" t="str">
            <v>Avances S/Part Immob</v>
          </cell>
          <cell r="H57">
            <v>24085603.969999999</v>
          </cell>
        </row>
        <row r="58">
          <cell r="B58">
            <v>270</v>
          </cell>
          <cell r="D58" t="str">
            <v>Avances S/Part Immob</v>
          </cell>
          <cell r="G58">
            <v>16333968.25</v>
          </cell>
          <cell r="H58">
            <v>20721421.440000001</v>
          </cell>
        </row>
        <row r="59">
          <cell r="B59">
            <v>270</v>
          </cell>
          <cell r="D59" t="str">
            <v>Avances S/Part Immob</v>
          </cell>
          <cell r="G59">
            <v>6670281</v>
          </cell>
          <cell r="H59">
            <v>2552250</v>
          </cell>
        </row>
        <row r="60">
          <cell r="B60">
            <v>270</v>
          </cell>
          <cell r="D60" t="str">
            <v>Avances S/Part Immob</v>
          </cell>
          <cell r="G60">
            <v>10081091.449999999</v>
          </cell>
          <cell r="H60">
            <v>3654590.19</v>
          </cell>
        </row>
        <row r="61">
          <cell r="B61">
            <v>270</v>
          </cell>
          <cell r="D61" t="str">
            <v>Avances S/Part Immob</v>
          </cell>
          <cell r="G61">
            <v>23630919.329999998</v>
          </cell>
          <cell r="H61">
            <v>23630919.329999998</v>
          </cell>
        </row>
        <row r="62">
          <cell r="B62">
            <v>270</v>
          </cell>
          <cell r="D62" t="str">
            <v>Avances S/Part Immob</v>
          </cell>
          <cell r="H62">
            <v>35715000</v>
          </cell>
        </row>
        <row r="63">
          <cell r="B63">
            <v>270</v>
          </cell>
          <cell r="D63" t="str">
            <v>Avances S/Part Immob</v>
          </cell>
          <cell r="H63">
            <v>5443643.7599999998</v>
          </cell>
        </row>
        <row r="64">
          <cell r="B64">
            <v>270</v>
          </cell>
          <cell r="D64" t="str">
            <v>Avances S/Part Immob</v>
          </cell>
          <cell r="G64">
            <v>20578368.469999999</v>
          </cell>
          <cell r="H64">
            <v>28025626.43</v>
          </cell>
        </row>
        <row r="65">
          <cell r="B65">
            <v>270</v>
          </cell>
          <cell r="D65" t="str">
            <v>Avances S/Part Immob</v>
          </cell>
          <cell r="G65">
            <v>40398989.560000002</v>
          </cell>
          <cell r="H65">
            <v>40398989.560000002</v>
          </cell>
        </row>
        <row r="66">
          <cell r="B66">
            <v>270</v>
          </cell>
          <cell r="D66" t="str">
            <v>Avances S/Part Immob</v>
          </cell>
          <cell r="H66">
            <v>29351380</v>
          </cell>
        </row>
        <row r="67">
          <cell r="B67">
            <v>270</v>
          </cell>
          <cell r="D67" t="str">
            <v>Avances S/Part Immob</v>
          </cell>
          <cell r="G67">
            <v>228469.96</v>
          </cell>
          <cell r="H67">
            <v>228469.96</v>
          </cell>
        </row>
        <row r="68">
          <cell r="B68">
            <v>270</v>
          </cell>
          <cell r="D68" t="str">
            <v>Avances S/Part Immob</v>
          </cell>
          <cell r="G68">
            <v>13175002</v>
          </cell>
          <cell r="H68">
            <v>13175002</v>
          </cell>
        </row>
        <row r="69">
          <cell r="G69">
            <v>310153927.64999998</v>
          </cell>
          <cell r="H69">
            <v>459962761.47000003</v>
          </cell>
        </row>
        <row r="70">
          <cell r="B70">
            <v>201</v>
          </cell>
          <cell r="D70" t="str">
            <v>Participat Non Cote Sté Forest</v>
          </cell>
          <cell r="G70">
            <v>60223801.090000004</v>
          </cell>
          <cell r="H70">
            <v>61537146.890000001</v>
          </cell>
        </row>
        <row r="71">
          <cell r="G71">
            <v>60223801.090000004</v>
          </cell>
          <cell r="H71">
            <v>61537146.890000001</v>
          </cell>
        </row>
        <row r="72">
          <cell r="B72">
            <v>201</v>
          </cell>
          <cell r="D72" t="str">
            <v>Prêt Au Admin.Sté Imm/Forest</v>
          </cell>
          <cell r="G72">
            <v>16903.55</v>
          </cell>
          <cell r="H72">
            <v>16903.55</v>
          </cell>
        </row>
        <row r="73">
          <cell r="B73">
            <v>201</v>
          </cell>
          <cell r="D73" t="str">
            <v>Prêt Au Admin.Sté Imm/Forest</v>
          </cell>
          <cell r="G73">
            <v>19516.37</v>
          </cell>
          <cell r="H73">
            <v>19516.37</v>
          </cell>
        </row>
        <row r="74">
          <cell r="B74">
            <v>201</v>
          </cell>
          <cell r="D74" t="str">
            <v>Prêt Au Admin.Sté Imm/Forest</v>
          </cell>
          <cell r="G74">
            <v>59.22</v>
          </cell>
          <cell r="H74">
            <v>59.22</v>
          </cell>
        </row>
        <row r="75">
          <cell r="B75">
            <v>201</v>
          </cell>
          <cell r="D75" t="str">
            <v>Prêt Au Admin.Sté Imm/Forest</v>
          </cell>
          <cell r="G75">
            <v>91.47</v>
          </cell>
          <cell r="H75">
            <v>91.47</v>
          </cell>
        </row>
        <row r="76">
          <cell r="B76">
            <v>201</v>
          </cell>
          <cell r="D76" t="str">
            <v>Prêt Au Admin.Sté Imm/Forest</v>
          </cell>
          <cell r="G76">
            <v>91.47</v>
          </cell>
          <cell r="H76">
            <v>91.47</v>
          </cell>
        </row>
        <row r="77">
          <cell r="B77">
            <v>201</v>
          </cell>
          <cell r="D77" t="str">
            <v>Prêt Au Admin.Sté Imm/Forest</v>
          </cell>
          <cell r="G77">
            <v>76.22</v>
          </cell>
          <cell r="H77">
            <v>76.22</v>
          </cell>
        </row>
        <row r="78">
          <cell r="G78">
            <v>36738.300000000003</v>
          </cell>
          <cell r="H78">
            <v>36738.300000000003</v>
          </cell>
        </row>
        <row r="79">
          <cell r="B79">
            <v>201</v>
          </cell>
          <cell r="D79" t="str">
            <v>Part Non Côtée St Im/For-Knl</v>
          </cell>
          <cell r="G79">
            <v>-4879020</v>
          </cell>
          <cell r="H79">
            <v>-3714129</v>
          </cell>
        </row>
        <row r="80">
          <cell r="B80">
            <v>270</v>
          </cell>
          <cell r="D80" t="str">
            <v>Part Non Côtée St Im/For-Knl</v>
          </cell>
          <cell r="G80">
            <v>-18471880</v>
          </cell>
          <cell r="H80">
            <v>-12329880</v>
          </cell>
        </row>
        <row r="81">
          <cell r="G81">
            <v>-23350900</v>
          </cell>
          <cell r="H81">
            <v>-16044009</v>
          </cell>
        </row>
        <row r="82">
          <cell r="B82">
            <v>122</v>
          </cell>
          <cell r="D82" t="str">
            <v>Titre Placmt Non Cote Sté Div</v>
          </cell>
          <cell r="G82">
            <v>0</v>
          </cell>
        </row>
        <row r="83">
          <cell r="B83">
            <v>201</v>
          </cell>
          <cell r="D83" t="str">
            <v>Titre Placmt Non Cote Sté Div</v>
          </cell>
          <cell r="G83">
            <v>226937.48</v>
          </cell>
          <cell r="H83">
            <v>190712.31</v>
          </cell>
        </row>
        <row r="84">
          <cell r="B84">
            <v>201</v>
          </cell>
          <cell r="D84" t="str">
            <v>Titre Placmt Non Cote Sté Div</v>
          </cell>
          <cell r="H84">
            <v>2505007.62</v>
          </cell>
        </row>
        <row r="85">
          <cell r="B85">
            <v>201</v>
          </cell>
          <cell r="D85" t="str">
            <v>Titre Placmt Non Cote Sté Div</v>
          </cell>
          <cell r="G85">
            <v>0.01</v>
          </cell>
          <cell r="H85">
            <v>0</v>
          </cell>
        </row>
        <row r="86">
          <cell r="B86">
            <v>201</v>
          </cell>
          <cell r="D86" t="str">
            <v>Titre Placmt Non Cote Sté Div</v>
          </cell>
          <cell r="G86">
            <v>9438.27</v>
          </cell>
          <cell r="H86">
            <v>9438.27</v>
          </cell>
        </row>
        <row r="87">
          <cell r="B87">
            <v>201</v>
          </cell>
          <cell r="D87" t="str">
            <v>Titre Placmt Non Cote Sté Div</v>
          </cell>
          <cell r="H87">
            <v>1999862</v>
          </cell>
        </row>
        <row r="88">
          <cell r="B88">
            <v>201</v>
          </cell>
          <cell r="D88" t="str">
            <v>Titre Placmt Non Cote Sté Div</v>
          </cell>
          <cell r="G88">
            <v>5467760.3499999996</v>
          </cell>
          <cell r="H88">
            <v>3589346.36</v>
          </cell>
        </row>
        <row r="89">
          <cell r="B89">
            <v>201</v>
          </cell>
          <cell r="D89" t="str">
            <v>Titre Placmt Non Cote Sté Div</v>
          </cell>
          <cell r="H89">
            <v>1437252.62</v>
          </cell>
        </row>
        <row r="90">
          <cell r="B90">
            <v>201</v>
          </cell>
          <cell r="D90" t="str">
            <v>Titre Placmt Non Cote Sté Div</v>
          </cell>
          <cell r="G90">
            <v>7607.21</v>
          </cell>
          <cell r="H90">
            <v>7607.21</v>
          </cell>
        </row>
        <row r="91">
          <cell r="B91">
            <v>201</v>
          </cell>
          <cell r="D91" t="str">
            <v>Titre Placmt Non Cote Sté Div</v>
          </cell>
          <cell r="H91">
            <v>297168.87</v>
          </cell>
        </row>
        <row r="92">
          <cell r="B92">
            <v>201</v>
          </cell>
          <cell r="D92" t="str">
            <v>Titre Placmt Non Cote Sté Div</v>
          </cell>
          <cell r="H92">
            <v>2002647.67</v>
          </cell>
        </row>
        <row r="93">
          <cell r="B93">
            <v>201</v>
          </cell>
          <cell r="D93" t="str">
            <v>Titre Placmt Non Cote Sté Div</v>
          </cell>
          <cell r="G93">
            <v>0</v>
          </cell>
          <cell r="H93">
            <v>0</v>
          </cell>
        </row>
        <row r="94">
          <cell r="B94">
            <v>201</v>
          </cell>
          <cell r="D94" t="str">
            <v>Titre Placmt Non Cote Sté Div</v>
          </cell>
          <cell r="G94">
            <v>0</v>
          </cell>
          <cell r="H94">
            <v>0</v>
          </cell>
        </row>
        <row r="95">
          <cell r="B95">
            <v>201</v>
          </cell>
          <cell r="D95" t="str">
            <v>Titre Placmt Non Cote Sté Div</v>
          </cell>
          <cell r="G95">
            <v>297168.87</v>
          </cell>
          <cell r="H95">
            <v>0</v>
          </cell>
        </row>
        <row r="96">
          <cell r="B96">
            <v>201</v>
          </cell>
          <cell r="D96" t="str">
            <v>Titre Placmt Non Cote Sté Div</v>
          </cell>
          <cell r="G96">
            <v>3921750.97</v>
          </cell>
          <cell r="H96">
            <v>3921750.97</v>
          </cell>
        </row>
        <row r="97">
          <cell r="B97">
            <v>201</v>
          </cell>
          <cell r="D97" t="str">
            <v>Titre Placmt Non Cote Sté Div</v>
          </cell>
          <cell r="G97">
            <v>136170</v>
          </cell>
          <cell r="H97">
            <v>136170</v>
          </cell>
        </row>
        <row r="98">
          <cell r="B98">
            <v>201</v>
          </cell>
          <cell r="D98" t="str">
            <v>Titre Placmt Non Cote Sté Div</v>
          </cell>
          <cell r="G98">
            <v>1421119</v>
          </cell>
          <cell r="H98">
            <v>1421119</v>
          </cell>
        </row>
        <row r="99">
          <cell r="B99">
            <v>201</v>
          </cell>
          <cell r="D99" t="str">
            <v>Titre Placmt Non Cote Sté Div</v>
          </cell>
          <cell r="G99">
            <v>1001346.89</v>
          </cell>
          <cell r="H99">
            <v>1001346.89</v>
          </cell>
        </row>
        <row r="100">
          <cell r="B100">
            <v>201</v>
          </cell>
          <cell r="D100" t="str">
            <v>Titre Placmt Non Cote Sté Div</v>
          </cell>
          <cell r="G100">
            <v>1600000</v>
          </cell>
          <cell r="H100">
            <v>1578593.46</v>
          </cell>
        </row>
        <row r="101">
          <cell r="B101">
            <v>201</v>
          </cell>
          <cell r="D101" t="str">
            <v>Titre Placmt Non Cote Sté Div</v>
          </cell>
          <cell r="G101">
            <v>12195.92</v>
          </cell>
          <cell r="H101">
            <v>0</v>
          </cell>
        </row>
        <row r="102">
          <cell r="B102">
            <v>201</v>
          </cell>
          <cell r="D102" t="str">
            <v>Titre Placmt Non Cote Sté Div</v>
          </cell>
          <cell r="G102">
            <v>2980138.71</v>
          </cell>
          <cell r="H102">
            <v>2750082.75</v>
          </cell>
        </row>
        <row r="103">
          <cell r="B103">
            <v>201</v>
          </cell>
          <cell r="D103" t="str">
            <v>Titre Placmt Non Cote Sté Div</v>
          </cell>
          <cell r="G103">
            <v>1815499.83</v>
          </cell>
          <cell r="H103">
            <v>1525698.48</v>
          </cell>
        </row>
        <row r="104">
          <cell r="B104">
            <v>201</v>
          </cell>
          <cell r="D104" t="str">
            <v>Titre Placmt Non Cote Sté Div</v>
          </cell>
          <cell r="G104">
            <v>20863.28</v>
          </cell>
          <cell r="H104">
            <v>914222.77</v>
          </cell>
        </row>
        <row r="105">
          <cell r="B105">
            <v>201</v>
          </cell>
          <cell r="D105" t="str">
            <v>Titre Placmt Non Cote Sté Div</v>
          </cell>
          <cell r="G105">
            <v>11346873.939999999</v>
          </cell>
          <cell r="H105">
            <v>9535615.5199999996</v>
          </cell>
        </row>
        <row r="106">
          <cell r="B106">
            <v>201</v>
          </cell>
          <cell r="D106" t="str">
            <v>Titre Placmt Non Cote Sté Div</v>
          </cell>
          <cell r="H106">
            <v>1960000</v>
          </cell>
        </row>
        <row r="107">
          <cell r="B107">
            <v>201</v>
          </cell>
          <cell r="D107" t="str">
            <v>Titre Placmt Non Cote Sté Div</v>
          </cell>
          <cell r="H107">
            <v>40000</v>
          </cell>
        </row>
        <row r="108">
          <cell r="B108">
            <v>201</v>
          </cell>
          <cell r="D108" t="str">
            <v>Titre Placmt Non Cote Sté Div</v>
          </cell>
          <cell r="G108">
            <v>1584378.71</v>
          </cell>
          <cell r="H108">
            <v>1562706.71</v>
          </cell>
        </row>
        <row r="109">
          <cell r="B109">
            <v>201</v>
          </cell>
          <cell r="D109" t="str">
            <v>Titre Placmt Non Cote Sté Div</v>
          </cell>
          <cell r="G109">
            <v>16000</v>
          </cell>
          <cell r="H109">
            <v>16000</v>
          </cell>
        </row>
        <row r="110">
          <cell r="B110">
            <v>201</v>
          </cell>
          <cell r="D110" t="str">
            <v>Titre Placmt Non Cote Sté Div</v>
          </cell>
          <cell r="H110">
            <v>2017672.51</v>
          </cell>
        </row>
        <row r="111">
          <cell r="B111">
            <v>201</v>
          </cell>
          <cell r="D111" t="str">
            <v>Titre Placmt Non Cote Sté Div</v>
          </cell>
          <cell r="H111">
            <v>2000</v>
          </cell>
        </row>
        <row r="112">
          <cell r="B112">
            <v>201</v>
          </cell>
          <cell r="D112" t="str">
            <v>Titre Placmt Non Cote Sté Div</v>
          </cell>
          <cell r="G112">
            <v>0</v>
          </cell>
          <cell r="H112">
            <v>0</v>
          </cell>
        </row>
        <row r="113">
          <cell r="B113">
            <v>201</v>
          </cell>
          <cell r="D113" t="str">
            <v>Titre Placmt Non Cote Sté Div</v>
          </cell>
          <cell r="G113">
            <v>5522.32</v>
          </cell>
          <cell r="H113">
            <v>0</v>
          </cell>
        </row>
        <row r="114">
          <cell r="B114">
            <v>201</v>
          </cell>
          <cell r="D114" t="str">
            <v>Titre Placmt Non Cote Sté Div</v>
          </cell>
          <cell r="G114">
            <v>15.24</v>
          </cell>
          <cell r="H114">
            <v>15.24</v>
          </cell>
        </row>
        <row r="115">
          <cell r="B115">
            <v>201</v>
          </cell>
          <cell r="D115" t="str">
            <v>Titre Placmt Non Cote Sté Div</v>
          </cell>
          <cell r="G115">
            <v>3.81</v>
          </cell>
          <cell r="H115">
            <v>0</v>
          </cell>
        </row>
        <row r="116">
          <cell r="B116">
            <v>201</v>
          </cell>
          <cell r="D116" t="str">
            <v>Titre Placmt Non Cote Sté Div</v>
          </cell>
          <cell r="G116">
            <v>0</v>
          </cell>
          <cell r="H116">
            <v>0</v>
          </cell>
        </row>
        <row r="117">
          <cell r="B117">
            <v>201</v>
          </cell>
          <cell r="D117" t="str">
            <v>Titre Placmt Non Cote Sté Div</v>
          </cell>
          <cell r="G117">
            <v>152.44999999999999</v>
          </cell>
          <cell r="H117">
            <v>152.44999999999999</v>
          </cell>
        </row>
        <row r="118">
          <cell r="B118">
            <v>201</v>
          </cell>
          <cell r="D118" t="str">
            <v>Titre Placmt Non Cote Sté Div</v>
          </cell>
          <cell r="G118">
            <v>2919238.77</v>
          </cell>
          <cell r="H118">
            <v>2919238.77</v>
          </cell>
        </row>
        <row r="119">
          <cell r="B119">
            <v>201</v>
          </cell>
          <cell r="D119" t="str">
            <v>Titre Placmt Non Cote Sté Div</v>
          </cell>
          <cell r="G119">
            <v>137204.12</v>
          </cell>
          <cell r="H119">
            <v>137204.12</v>
          </cell>
        </row>
        <row r="120">
          <cell r="B120">
            <v>201</v>
          </cell>
          <cell r="D120" t="str">
            <v>Titre Placmt Non Cote Sté Div</v>
          </cell>
          <cell r="G120">
            <v>1815499.83</v>
          </cell>
          <cell r="H120">
            <v>1525698.48</v>
          </cell>
        </row>
        <row r="121">
          <cell r="B121">
            <v>201</v>
          </cell>
          <cell r="D121" t="str">
            <v>Titre Placmt Non Cote Sté Div</v>
          </cell>
          <cell r="G121">
            <v>85959.9</v>
          </cell>
          <cell r="H121">
            <v>85959.9</v>
          </cell>
        </row>
        <row r="122">
          <cell r="B122">
            <v>208</v>
          </cell>
          <cell r="D122" t="str">
            <v>Titre Placmt Non Cote Sté Div</v>
          </cell>
          <cell r="G122">
            <v>0</v>
          </cell>
        </row>
        <row r="123">
          <cell r="B123">
            <v>220</v>
          </cell>
          <cell r="D123" t="str">
            <v>Titre Placmt Non Cote Sté Div</v>
          </cell>
          <cell r="G123">
            <v>0</v>
          </cell>
        </row>
        <row r="124">
          <cell r="B124">
            <v>270</v>
          </cell>
          <cell r="D124" t="str">
            <v>Titre Placmt Non Cote Sté Div</v>
          </cell>
          <cell r="H124">
            <v>1862000</v>
          </cell>
        </row>
        <row r="125">
          <cell r="B125">
            <v>270</v>
          </cell>
          <cell r="D125" t="str">
            <v>Titre Placmt Non Cote Sté Div</v>
          </cell>
          <cell r="H125">
            <v>133000</v>
          </cell>
        </row>
        <row r="126">
          <cell r="B126">
            <v>270</v>
          </cell>
          <cell r="D126" t="str">
            <v>Titre Placmt Non Cote Sté Div</v>
          </cell>
          <cell r="G126">
            <v>5005843.84</v>
          </cell>
          <cell r="H126">
            <v>5005843.84</v>
          </cell>
        </row>
        <row r="127">
          <cell r="B127">
            <v>270</v>
          </cell>
          <cell r="D127" t="str">
            <v>Titre Placmt Non Cote Sté Div</v>
          </cell>
          <cell r="H127">
            <v>5010015.25</v>
          </cell>
        </row>
        <row r="128">
          <cell r="B128">
            <v>270</v>
          </cell>
          <cell r="D128" t="str">
            <v>Titre Placmt Non Cote Sté Div</v>
          </cell>
          <cell r="H128">
            <v>2999792</v>
          </cell>
        </row>
        <row r="129">
          <cell r="B129">
            <v>270</v>
          </cell>
          <cell r="D129" t="str">
            <v>Titre Placmt Non Cote Sté Div</v>
          </cell>
          <cell r="G129">
            <v>2931066</v>
          </cell>
          <cell r="H129">
            <v>2871126</v>
          </cell>
        </row>
        <row r="130">
          <cell r="B130">
            <v>270</v>
          </cell>
          <cell r="D130" t="str">
            <v>Titre Placmt Non Cote Sté Div</v>
          </cell>
          <cell r="G130">
            <v>1998</v>
          </cell>
          <cell r="H130">
            <v>1998</v>
          </cell>
        </row>
        <row r="131">
          <cell r="B131">
            <v>270</v>
          </cell>
          <cell r="D131" t="str">
            <v>Titre Placmt Non Cote Sté Div</v>
          </cell>
          <cell r="G131">
            <v>4962500</v>
          </cell>
          <cell r="H131">
            <v>4962500</v>
          </cell>
        </row>
        <row r="132">
          <cell r="B132">
            <v>270</v>
          </cell>
          <cell r="D132" t="str">
            <v>Titre Placmt Non Cote Sté Div</v>
          </cell>
          <cell r="G132">
            <v>37500</v>
          </cell>
          <cell r="H132">
            <v>37500</v>
          </cell>
        </row>
        <row r="133">
          <cell r="B133">
            <v>270</v>
          </cell>
          <cell r="D133" t="str">
            <v>Titre Placmt Non Cote Sté Div</v>
          </cell>
          <cell r="G133">
            <v>3960000</v>
          </cell>
          <cell r="H133">
            <v>3960000</v>
          </cell>
        </row>
        <row r="134">
          <cell r="B134">
            <v>270</v>
          </cell>
          <cell r="D134" t="str">
            <v>Titre Placmt Non Cote Sté Div</v>
          </cell>
          <cell r="G134">
            <v>40000</v>
          </cell>
          <cell r="H134">
            <v>40000</v>
          </cell>
        </row>
        <row r="135">
          <cell r="B135">
            <v>270</v>
          </cell>
          <cell r="D135" t="str">
            <v>Titre Placmt Non Cote Sté Div</v>
          </cell>
          <cell r="H135">
            <v>7628492.4199999999</v>
          </cell>
        </row>
        <row r="136">
          <cell r="B136">
            <v>270</v>
          </cell>
          <cell r="D136" t="str">
            <v>Titre Placmt Non Cote Sté Div</v>
          </cell>
          <cell r="H136">
            <v>3003971.51</v>
          </cell>
        </row>
        <row r="137">
          <cell r="B137">
            <v>270</v>
          </cell>
          <cell r="D137" t="str">
            <v>Titre Placmt Non Cote Sté Div</v>
          </cell>
          <cell r="H137">
            <v>2028179.86</v>
          </cell>
        </row>
        <row r="138">
          <cell r="B138">
            <v>270</v>
          </cell>
          <cell r="D138" t="str">
            <v>Titre Placmt Non Cote Sté Div</v>
          </cell>
          <cell r="H138">
            <v>12000</v>
          </cell>
        </row>
        <row r="139">
          <cell r="B139">
            <v>270</v>
          </cell>
          <cell r="D139" t="str">
            <v>Titre Placmt Non Cote Sté Div</v>
          </cell>
          <cell r="G139">
            <v>5714722.7699999996</v>
          </cell>
          <cell r="H139">
            <v>5556451.8300000001</v>
          </cell>
        </row>
        <row r="140">
          <cell r="B140">
            <v>270</v>
          </cell>
          <cell r="D140" t="str">
            <v>Titre Placmt Non Cote Sté Div</v>
          </cell>
          <cell r="G140">
            <v>6100</v>
          </cell>
          <cell r="H140">
            <v>6100</v>
          </cell>
        </row>
        <row r="141">
          <cell r="B141">
            <v>270</v>
          </cell>
          <cell r="D141" t="str">
            <v>Titre Placmt Non Cote Sté Div</v>
          </cell>
          <cell r="H141">
            <v>5000000</v>
          </cell>
        </row>
        <row r="142">
          <cell r="B142">
            <v>270</v>
          </cell>
          <cell r="D142" t="str">
            <v>Titre Placmt Non Cote Sté Div</v>
          </cell>
          <cell r="H142">
            <v>5074586</v>
          </cell>
        </row>
        <row r="143">
          <cell r="B143">
            <v>270</v>
          </cell>
          <cell r="D143" t="str">
            <v>Titre Placmt Non Cote Sté Div</v>
          </cell>
          <cell r="G143">
            <v>3019878</v>
          </cell>
          <cell r="H143">
            <v>3019878</v>
          </cell>
        </row>
        <row r="144">
          <cell r="B144">
            <v>270</v>
          </cell>
          <cell r="D144" t="str">
            <v>Titre Placmt Non Cote Sté Div</v>
          </cell>
          <cell r="G144">
            <v>2002693.77</v>
          </cell>
          <cell r="H144">
            <v>2002693.77</v>
          </cell>
        </row>
        <row r="145">
          <cell r="B145">
            <v>270</v>
          </cell>
          <cell r="D145" t="str">
            <v>Titre Placmt Non Cote Sté Div</v>
          </cell>
          <cell r="H145">
            <v>4994503.8600000003</v>
          </cell>
        </row>
        <row r="146">
          <cell r="B146">
            <v>270</v>
          </cell>
          <cell r="D146" t="str">
            <v>Titre Placmt Non Cote Sté Div</v>
          </cell>
          <cell r="H146">
            <v>10000</v>
          </cell>
        </row>
        <row r="147">
          <cell r="B147">
            <v>270</v>
          </cell>
          <cell r="D147" t="str">
            <v>Titre Placmt Non Cote Sté Div</v>
          </cell>
          <cell r="G147">
            <v>3400000</v>
          </cell>
          <cell r="H147">
            <v>3354511.1</v>
          </cell>
        </row>
        <row r="148">
          <cell r="B148">
            <v>270</v>
          </cell>
          <cell r="D148" t="str">
            <v>Titre Placmt Non Cote Sté Div</v>
          </cell>
          <cell r="H148">
            <v>0</v>
          </cell>
        </row>
        <row r="149">
          <cell r="B149">
            <v>270</v>
          </cell>
          <cell r="D149" t="str">
            <v>Titre Placmt Non Cote Sté Div</v>
          </cell>
          <cell r="G149">
            <v>3857937.14</v>
          </cell>
          <cell r="H149">
            <v>3242109.28</v>
          </cell>
        </row>
        <row r="150">
          <cell r="B150">
            <v>270</v>
          </cell>
          <cell r="D150" t="str">
            <v>Titre Placmt Non Cote Sté Div</v>
          </cell>
          <cell r="G150">
            <v>4538749.57</v>
          </cell>
          <cell r="H150">
            <v>3814246.21</v>
          </cell>
        </row>
        <row r="151">
          <cell r="B151">
            <v>270</v>
          </cell>
          <cell r="D151" t="str">
            <v>Titre Placmt Non Cote Sté Div</v>
          </cell>
          <cell r="H151">
            <v>2940000</v>
          </cell>
        </row>
        <row r="152">
          <cell r="B152">
            <v>270</v>
          </cell>
          <cell r="D152" t="str">
            <v>Titre Placmt Non Cote Sté Div</v>
          </cell>
          <cell r="H152">
            <v>60000</v>
          </cell>
        </row>
        <row r="153">
          <cell r="B153">
            <v>270</v>
          </cell>
          <cell r="D153" t="str">
            <v>Titre Placmt Non Cote Sté Div</v>
          </cell>
          <cell r="G153">
            <v>3366807.77</v>
          </cell>
          <cell r="H153">
            <v>3320754.77</v>
          </cell>
        </row>
        <row r="154">
          <cell r="B154">
            <v>270</v>
          </cell>
          <cell r="D154" t="str">
            <v>Titre Placmt Non Cote Sté Div</v>
          </cell>
          <cell r="G154">
            <v>34000</v>
          </cell>
          <cell r="H154">
            <v>34000</v>
          </cell>
        </row>
        <row r="155">
          <cell r="B155">
            <v>270</v>
          </cell>
          <cell r="D155" t="str">
            <v>Titre Placmt Non Cote Sté Div</v>
          </cell>
          <cell r="G155">
            <v>5843200.1500000004</v>
          </cell>
          <cell r="H155">
            <v>7818056.7400000002</v>
          </cell>
        </row>
        <row r="156">
          <cell r="B156">
            <v>270</v>
          </cell>
          <cell r="D156" t="str">
            <v>Titre Placmt Non Cote Sté Div</v>
          </cell>
          <cell r="G156">
            <v>6000</v>
          </cell>
          <cell r="H156">
            <v>8000</v>
          </cell>
        </row>
        <row r="157">
          <cell r="B157">
            <v>270</v>
          </cell>
          <cell r="D157" t="str">
            <v>Titre Placmt Non Cote Sté Div</v>
          </cell>
          <cell r="H157">
            <v>3053900</v>
          </cell>
        </row>
        <row r="158">
          <cell r="B158">
            <v>270</v>
          </cell>
          <cell r="D158" t="str">
            <v>Titre Placmt Non Cote Sté Div</v>
          </cell>
          <cell r="H158">
            <v>3000</v>
          </cell>
        </row>
        <row r="159">
          <cell r="B159">
            <v>270</v>
          </cell>
          <cell r="D159" t="str">
            <v>Titre Placmt Non Cote Sté Div</v>
          </cell>
          <cell r="G159">
            <v>3857937.14</v>
          </cell>
          <cell r="H159">
            <v>3242109.28</v>
          </cell>
        </row>
        <row r="160">
          <cell r="B160">
            <v>270</v>
          </cell>
          <cell r="D160" t="str">
            <v>Titre Placmt Non Cote Sté Div</v>
          </cell>
          <cell r="G160">
            <v>5000000</v>
          </cell>
          <cell r="H160">
            <v>5000000</v>
          </cell>
        </row>
        <row r="161">
          <cell r="G161">
            <v>94415780.030000001</v>
          </cell>
          <cell r="H161">
            <v>146201610.66999999</v>
          </cell>
        </row>
        <row r="162">
          <cell r="B162">
            <v>201</v>
          </cell>
          <cell r="D162" t="str">
            <v>Prêt Administrateur Titr Plct</v>
          </cell>
          <cell r="G162">
            <v>0</v>
          </cell>
          <cell r="H162">
            <v>0</v>
          </cell>
        </row>
        <row r="163">
          <cell r="G163">
            <v>0</v>
          </cell>
          <cell r="H163">
            <v>0</v>
          </cell>
        </row>
        <row r="164">
          <cell r="B164">
            <v>201</v>
          </cell>
          <cell r="D164" t="str">
            <v>Titre Placemt Non Côté Knl</v>
          </cell>
          <cell r="H164">
            <v>-2212770.7200000002</v>
          </cell>
        </row>
        <row r="165">
          <cell r="B165">
            <v>201</v>
          </cell>
          <cell r="D165" t="str">
            <v>Titre Placemt Non Côté Knl</v>
          </cell>
          <cell r="H165">
            <v>-1779818</v>
          </cell>
        </row>
        <row r="166">
          <cell r="B166">
            <v>201</v>
          </cell>
          <cell r="D166" t="str">
            <v>Titre Placemt Non Côté Knl</v>
          </cell>
          <cell r="G166">
            <v>-2248162.94</v>
          </cell>
          <cell r="H166">
            <v>-1797899.63</v>
          </cell>
        </row>
        <row r="167">
          <cell r="B167">
            <v>201</v>
          </cell>
          <cell r="D167" t="str">
            <v>Titre Placemt Non Côté Knl</v>
          </cell>
          <cell r="H167">
            <v>-715171.16</v>
          </cell>
        </row>
        <row r="168">
          <cell r="B168">
            <v>201</v>
          </cell>
          <cell r="D168" t="str">
            <v>Titre Placemt Non Côté Knl</v>
          </cell>
          <cell r="H168">
            <v>-1375054.18</v>
          </cell>
        </row>
        <row r="169">
          <cell r="B169">
            <v>201</v>
          </cell>
          <cell r="D169" t="str">
            <v>Titre Placemt Non Côté Knl</v>
          </cell>
          <cell r="G169">
            <v>0</v>
          </cell>
        </row>
        <row r="170">
          <cell r="B170">
            <v>201</v>
          </cell>
          <cell r="D170" t="str">
            <v>Titre Placemt Non Côté Knl</v>
          </cell>
          <cell r="G170">
            <v>0</v>
          </cell>
          <cell r="H170">
            <v>0</v>
          </cell>
        </row>
        <row r="171">
          <cell r="B171">
            <v>201</v>
          </cell>
          <cell r="D171" t="str">
            <v>Titre Placemt Non Côté Knl</v>
          </cell>
          <cell r="G171">
            <v>-867181</v>
          </cell>
          <cell r="H171">
            <v>-867181</v>
          </cell>
        </row>
        <row r="172">
          <cell r="B172">
            <v>201</v>
          </cell>
          <cell r="D172" t="str">
            <v>Titre Placemt Non Côté Knl</v>
          </cell>
          <cell r="G172">
            <v>-925000</v>
          </cell>
          <cell r="H172">
            <v>-875000</v>
          </cell>
        </row>
        <row r="173">
          <cell r="B173">
            <v>201</v>
          </cell>
          <cell r="D173" t="str">
            <v>Titre Placemt Non Côté Knl</v>
          </cell>
          <cell r="G173">
            <v>-1248000</v>
          </cell>
          <cell r="H173">
            <v>-1104000</v>
          </cell>
        </row>
        <row r="174">
          <cell r="B174">
            <v>201</v>
          </cell>
          <cell r="D174" t="str">
            <v>Titre Placemt Non Côté Knl</v>
          </cell>
          <cell r="G174">
            <v>-1736094.73</v>
          </cell>
          <cell r="H174">
            <v>-292121.75</v>
          </cell>
        </row>
        <row r="175">
          <cell r="B175">
            <v>201</v>
          </cell>
          <cell r="D175" t="str">
            <v>Titre Placemt Non Côté Knl</v>
          </cell>
          <cell r="G175">
            <v>-1452399.86</v>
          </cell>
          <cell r="H175">
            <v>-1067988.94</v>
          </cell>
        </row>
        <row r="176">
          <cell r="B176">
            <v>201</v>
          </cell>
          <cell r="D176" t="str">
            <v>Titre Placemt Non Côté Knl</v>
          </cell>
          <cell r="G176">
            <v>-4705264.95</v>
          </cell>
          <cell r="H176">
            <v>-2084915.61</v>
          </cell>
        </row>
        <row r="177">
          <cell r="B177">
            <v>201</v>
          </cell>
          <cell r="D177" t="str">
            <v>Titre Placemt Non Côté Knl</v>
          </cell>
          <cell r="H177">
            <v>-1940000</v>
          </cell>
        </row>
        <row r="178">
          <cell r="B178">
            <v>201</v>
          </cell>
          <cell r="D178" t="str">
            <v>Titre Placemt Non Côté Knl</v>
          </cell>
          <cell r="G178">
            <v>-1472000</v>
          </cell>
          <cell r="H178">
            <v>-1024000</v>
          </cell>
        </row>
        <row r="179">
          <cell r="B179">
            <v>201</v>
          </cell>
          <cell r="D179" t="str">
            <v>Titre Placemt Non Côté Knl</v>
          </cell>
          <cell r="H179">
            <v>-1065380</v>
          </cell>
        </row>
        <row r="180">
          <cell r="B180">
            <v>201</v>
          </cell>
          <cell r="D180" t="str">
            <v>Titre Placemt Non Côté Knl</v>
          </cell>
          <cell r="G180">
            <v>0</v>
          </cell>
          <cell r="H180">
            <v>0</v>
          </cell>
        </row>
        <row r="181">
          <cell r="B181">
            <v>201</v>
          </cell>
          <cell r="D181" t="str">
            <v>Titre Placemt Non Côté Knl</v>
          </cell>
          <cell r="G181">
            <v>-0.01</v>
          </cell>
          <cell r="H181">
            <v>0</v>
          </cell>
        </row>
        <row r="182">
          <cell r="B182">
            <v>201</v>
          </cell>
          <cell r="D182" t="str">
            <v>Titre Placemt Non Côté Knl</v>
          </cell>
          <cell r="G182">
            <v>-304898.05</v>
          </cell>
          <cell r="H182">
            <v>-0.02</v>
          </cell>
        </row>
        <row r="183">
          <cell r="B183">
            <v>201</v>
          </cell>
          <cell r="D183" t="str">
            <v>Titre Placemt Non Côté Knl</v>
          </cell>
          <cell r="G183">
            <v>-1180074.8899999999</v>
          </cell>
          <cell r="H183">
            <v>-610279.39</v>
          </cell>
        </row>
        <row r="184">
          <cell r="B184">
            <v>270</v>
          </cell>
          <cell r="D184" t="str">
            <v>Titre Placemt Non Côté Knl</v>
          </cell>
          <cell r="H184">
            <v>-1768900</v>
          </cell>
        </row>
        <row r="185">
          <cell r="B185">
            <v>270</v>
          </cell>
          <cell r="D185" t="str">
            <v>Titre Placemt Non Côté Knl</v>
          </cell>
          <cell r="G185">
            <v>-4500000</v>
          </cell>
          <cell r="H185">
            <v>-3625000</v>
          </cell>
        </row>
        <row r="186">
          <cell r="B186">
            <v>270</v>
          </cell>
          <cell r="D186" t="str">
            <v>Titre Placemt Non Côté Knl</v>
          </cell>
          <cell r="H186">
            <v>-4425541.4400000004</v>
          </cell>
        </row>
        <row r="187">
          <cell r="B187">
            <v>270</v>
          </cell>
          <cell r="D187" t="str">
            <v>Titre Placemt Non Côté Knl</v>
          </cell>
          <cell r="H187">
            <v>-2669731</v>
          </cell>
        </row>
        <row r="188">
          <cell r="B188">
            <v>270</v>
          </cell>
          <cell r="D188" t="str">
            <v>Titre Placemt Non Côté Knl</v>
          </cell>
          <cell r="G188">
            <v>-1408590</v>
          </cell>
          <cell r="H188">
            <v>-899100</v>
          </cell>
        </row>
        <row r="189">
          <cell r="B189">
            <v>270</v>
          </cell>
          <cell r="D189" t="str">
            <v>Titre Placemt Non Côté Knl</v>
          </cell>
          <cell r="G189">
            <v>-4210979</v>
          </cell>
          <cell r="H189">
            <v>-3304766.95</v>
          </cell>
        </row>
        <row r="190">
          <cell r="B190">
            <v>270</v>
          </cell>
          <cell r="D190" t="str">
            <v>Titre Placemt Non Côté Knl</v>
          </cell>
          <cell r="G190">
            <v>-31821</v>
          </cell>
          <cell r="H190">
            <v>-24973.05</v>
          </cell>
        </row>
        <row r="191">
          <cell r="B191">
            <v>270</v>
          </cell>
          <cell r="D191" t="str">
            <v>Titre Placemt Non Côté Knl</v>
          </cell>
          <cell r="G191">
            <v>-2649616</v>
          </cell>
          <cell r="H191">
            <v>-3185901</v>
          </cell>
        </row>
        <row r="192">
          <cell r="B192">
            <v>270</v>
          </cell>
          <cell r="D192" t="str">
            <v>Titre Placemt Non Côté Knl</v>
          </cell>
          <cell r="H192">
            <v>-7468294.0800000001</v>
          </cell>
        </row>
        <row r="193">
          <cell r="B193">
            <v>270</v>
          </cell>
          <cell r="D193" t="str">
            <v>Titre Placemt Non Côté Knl</v>
          </cell>
          <cell r="H193">
            <v>-2062580.78</v>
          </cell>
        </row>
        <row r="194">
          <cell r="B194">
            <v>270</v>
          </cell>
          <cell r="D194" t="str">
            <v>Titre Placemt Non Côté Knl</v>
          </cell>
          <cell r="H194">
            <v>-1520000</v>
          </cell>
        </row>
        <row r="195">
          <cell r="B195">
            <v>270</v>
          </cell>
          <cell r="D195" t="str">
            <v>Titre Placemt Non Côté Knl</v>
          </cell>
          <cell r="G195">
            <v>-3660000</v>
          </cell>
          <cell r="H195">
            <v>-2867000</v>
          </cell>
        </row>
        <row r="196">
          <cell r="B196">
            <v>270</v>
          </cell>
          <cell r="D196" t="str">
            <v>Titre Placemt Non Côté Knl</v>
          </cell>
          <cell r="G196">
            <v>-3660</v>
          </cell>
          <cell r="H196">
            <v>-2867</v>
          </cell>
        </row>
        <row r="197">
          <cell r="B197">
            <v>270</v>
          </cell>
          <cell r="D197" t="str">
            <v>Titre Placemt Non Côté Knl</v>
          </cell>
          <cell r="H197">
            <v>-4400000</v>
          </cell>
        </row>
        <row r="198">
          <cell r="B198">
            <v>270</v>
          </cell>
          <cell r="D198" t="str">
            <v>Titre Placemt Non Côté Knl</v>
          </cell>
          <cell r="H198">
            <v>-3750000</v>
          </cell>
        </row>
        <row r="199">
          <cell r="B199">
            <v>270</v>
          </cell>
          <cell r="D199" t="str">
            <v>Titre Placemt Non Côté Knl</v>
          </cell>
          <cell r="G199">
            <v>-1842760</v>
          </cell>
          <cell r="H199">
            <v>-1842760</v>
          </cell>
        </row>
        <row r="200">
          <cell r="B200">
            <v>270</v>
          </cell>
          <cell r="D200" t="str">
            <v>Titre Placemt Non Côté Knl</v>
          </cell>
          <cell r="G200">
            <v>-1850000</v>
          </cell>
          <cell r="H200">
            <v>-1750000</v>
          </cell>
        </row>
        <row r="201">
          <cell r="B201">
            <v>270</v>
          </cell>
          <cell r="D201" t="str">
            <v>Titre Placemt Non Côté Knl</v>
          </cell>
          <cell r="H201">
            <v>-4750000</v>
          </cell>
        </row>
        <row r="202">
          <cell r="B202">
            <v>270</v>
          </cell>
          <cell r="D202" t="str">
            <v>Titre Placemt Non Côté Knl</v>
          </cell>
          <cell r="G202">
            <v>-2720000</v>
          </cell>
          <cell r="H202">
            <v>-2346000</v>
          </cell>
        </row>
        <row r="203">
          <cell r="B203">
            <v>270</v>
          </cell>
          <cell r="D203" t="str">
            <v>Titre Placemt Non Côté Knl</v>
          </cell>
          <cell r="G203">
            <v>0</v>
          </cell>
        </row>
        <row r="204">
          <cell r="B204">
            <v>270</v>
          </cell>
          <cell r="D204" t="str">
            <v>Titre Placemt Non Côté Knl</v>
          </cell>
          <cell r="G204">
            <v>-3086349.71</v>
          </cell>
          <cell r="H204">
            <v>-2269476.4900000002</v>
          </cell>
        </row>
        <row r="205">
          <cell r="B205">
            <v>270</v>
          </cell>
          <cell r="D205" t="str">
            <v>Titre Placemt Non Côté Knl</v>
          </cell>
          <cell r="G205">
            <v>-3596959.04</v>
          </cell>
          <cell r="H205">
            <v>-2704300.56</v>
          </cell>
        </row>
        <row r="206">
          <cell r="B206">
            <v>270</v>
          </cell>
          <cell r="D206" t="str">
            <v>Titre Placemt Non Côté Knl</v>
          </cell>
          <cell r="H206">
            <v>-2910000</v>
          </cell>
        </row>
        <row r="207">
          <cell r="B207">
            <v>270</v>
          </cell>
          <cell r="D207" t="str">
            <v>Titre Placemt Non Côté Knl</v>
          </cell>
          <cell r="G207">
            <v>-3128000</v>
          </cell>
          <cell r="H207">
            <v>-2176000</v>
          </cell>
        </row>
        <row r="208">
          <cell r="B208">
            <v>270</v>
          </cell>
          <cell r="D208" t="str">
            <v>Titre Placemt Non Côté Knl</v>
          </cell>
          <cell r="G208">
            <v>-4385940</v>
          </cell>
          <cell r="H208">
            <v>-4126520</v>
          </cell>
        </row>
        <row r="209">
          <cell r="B209">
            <v>270</v>
          </cell>
          <cell r="D209" t="str">
            <v>Titre Placemt Non Côté Knl</v>
          </cell>
          <cell r="H209">
            <v>-1821000</v>
          </cell>
        </row>
        <row r="210">
          <cell r="B210">
            <v>270</v>
          </cell>
          <cell r="D210" t="str">
            <v>Titre Placemt Non Côté Knl</v>
          </cell>
          <cell r="G210">
            <v>-2507659.14</v>
          </cell>
          <cell r="H210">
            <v>-1296843.72</v>
          </cell>
        </row>
        <row r="211">
          <cell r="B211">
            <v>270</v>
          </cell>
          <cell r="D211" t="str">
            <v>Titre Placemt Non Côté Knl</v>
          </cell>
          <cell r="G211">
            <v>-4250000</v>
          </cell>
          <cell r="H211">
            <v>-3750000</v>
          </cell>
        </row>
        <row r="212">
          <cell r="G212">
            <v>-59971410.32</v>
          </cell>
          <cell r="H212">
            <v>-92529136.469999999</v>
          </cell>
        </row>
        <row r="213">
          <cell r="B213">
            <v>201</v>
          </cell>
          <cell r="D213" t="str">
            <v>Titre Sté Imm/Forest Acavi</v>
          </cell>
          <cell r="H213">
            <v>0</v>
          </cell>
        </row>
        <row r="214">
          <cell r="B214">
            <v>234</v>
          </cell>
          <cell r="D214" t="str">
            <v>Titre Sté Imm/Forest Acavi</v>
          </cell>
          <cell r="G214">
            <v>1266687.45</v>
          </cell>
          <cell r="H214">
            <v>1269738.25</v>
          </cell>
        </row>
        <row r="215">
          <cell r="B215">
            <v>234</v>
          </cell>
          <cell r="D215" t="str">
            <v>Titre Sté Imm/Forest Acavi</v>
          </cell>
          <cell r="G215">
            <v>1732136.78</v>
          </cell>
          <cell r="H215">
            <v>1680542.5</v>
          </cell>
        </row>
        <row r="216">
          <cell r="B216">
            <v>294</v>
          </cell>
          <cell r="D216" t="str">
            <v>Titre Sté Imm/Forest Acavi</v>
          </cell>
          <cell r="G216">
            <v>74732503.049999997</v>
          </cell>
          <cell r="H216">
            <v>74568512.969999999</v>
          </cell>
        </row>
        <row r="217">
          <cell r="B217">
            <v>294</v>
          </cell>
          <cell r="D217" t="str">
            <v>Titre Sté Imm/Forest Acavi</v>
          </cell>
          <cell r="G217">
            <v>58380244.710000001</v>
          </cell>
          <cell r="H217">
            <v>60276102.609999999</v>
          </cell>
        </row>
        <row r="218">
          <cell r="B218">
            <v>295</v>
          </cell>
          <cell r="D218" t="str">
            <v>Titre Sté Imm/Forest Acavi</v>
          </cell>
          <cell r="G218">
            <v>337152324.43000001</v>
          </cell>
          <cell r="H218">
            <v>356124733.88</v>
          </cell>
        </row>
        <row r="219">
          <cell r="G219">
            <v>473263896.42000002</v>
          </cell>
          <cell r="H219">
            <v>493919630.20999998</v>
          </cell>
        </row>
        <row r="220">
          <cell r="B220">
            <v>201</v>
          </cell>
          <cell r="D220" t="str">
            <v>Filiale Non Côtée Sté Assuranc</v>
          </cell>
          <cell r="G220">
            <v>94061043.640000001</v>
          </cell>
          <cell r="H220">
            <v>94061043.640000001</v>
          </cell>
        </row>
        <row r="221">
          <cell r="B221">
            <v>201</v>
          </cell>
          <cell r="D221" t="str">
            <v>Filiale Non Côtée Sté Assuranc</v>
          </cell>
          <cell r="H221">
            <v>451310374.54000002</v>
          </cell>
        </row>
        <row r="222">
          <cell r="B222">
            <v>201</v>
          </cell>
          <cell r="D222" t="str">
            <v>Filiale Non Côtée Sté Assuranc</v>
          </cell>
          <cell r="G222">
            <v>245595275.30000001</v>
          </cell>
          <cell r="H222">
            <v>245595275.30000001</v>
          </cell>
        </row>
        <row r="223">
          <cell r="B223">
            <v>201</v>
          </cell>
          <cell r="D223" t="str">
            <v>Filiale Non Côtée Sté Assuranc</v>
          </cell>
          <cell r="G223">
            <v>23324608.170000002</v>
          </cell>
          <cell r="H223">
            <v>23324608.170000002</v>
          </cell>
        </row>
        <row r="224">
          <cell r="B224">
            <v>201</v>
          </cell>
          <cell r="D224" t="str">
            <v>Filiale Non Côtée Sté Assuranc</v>
          </cell>
          <cell r="G224">
            <v>517866800.17000002</v>
          </cell>
          <cell r="H224">
            <v>0</v>
          </cell>
        </row>
        <row r="225">
          <cell r="B225">
            <v>201</v>
          </cell>
          <cell r="D225" t="str">
            <v>Filiale Non Côtée Sté Assuranc</v>
          </cell>
          <cell r="G225">
            <v>451742124.39999998</v>
          </cell>
          <cell r="H225">
            <v>451742124.39999998</v>
          </cell>
        </row>
        <row r="226">
          <cell r="B226">
            <v>201</v>
          </cell>
          <cell r="D226" t="str">
            <v>Filiale Non Côtée Sté Assuranc</v>
          </cell>
          <cell r="G226">
            <v>46591941.329999998</v>
          </cell>
          <cell r="H226">
            <v>50511085.68</v>
          </cell>
        </row>
        <row r="227">
          <cell r="B227">
            <v>201</v>
          </cell>
          <cell r="D227" t="str">
            <v>Filiale Non Côtée Sté Assuranc</v>
          </cell>
          <cell r="G227">
            <v>25082261.379999999</v>
          </cell>
          <cell r="H227">
            <v>26273556.82</v>
          </cell>
        </row>
        <row r="228">
          <cell r="B228">
            <v>201</v>
          </cell>
          <cell r="D228" t="str">
            <v>Filiale Non Côtée Sté Assuranc</v>
          </cell>
          <cell r="G228">
            <v>22409853.079999998</v>
          </cell>
          <cell r="H228">
            <v>22409853.079999998</v>
          </cell>
        </row>
        <row r="229">
          <cell r="B229">
            <v>201</v>
          </cell>
          <cell r="D229" t="str">
            <v>Filiale Non Côtée Sté Assuranc</v>
          </cell>
          <cell r="H229">
            <v>0</v>
          </cell>
        </row>
        <row r="230">
          <cell r="B230">
            <v>201</v>
          </cell>
          <cell r="D230" t="str">
            <v>Filiale Non Côtée Sté Assuranc</v>
          </cell>
          <cell r="G230">
            <v>125770256.28</v>
          </cell>
          <cell r="H230">
            <v>125770256.28</v>
          </cell>
        </row>
        <row r="231">
          <cell r="G231">
            <v>1552444163.75</v>
          </cell>
          <cell r="H231">
            <v>1490998177.9100001</v>
          </cell>
        </row>
        <row r="232">
          <cell r="B232">
            <v>122</v>
          </cell>
          <cell r="D232" t="str">
            <v>Filiale Non Côtée Sté Diverses</v>
          </cell>
          <cell r="G232">
            <v>10295316.609999999</v>
          </cell>
          <cell r="H232">
            <v>10295316.609999999</v>
          </cell>
        </row>
        <row r="233">
          <cell r="B233">
            <v>201</v>
          </cell>
          <cell r="D233" t="str">
            <v>Filiale Non Côtée Sté Diverses</v>
          </cell>
          <cell r="G233">
            <v>1348271.06</v>
          </cell>
          <cell r="H233">
            <v>6348195.0599999996</v>
          </cell>
        </row>
        <row r="234">
          <cell r="B234">
            <v>201</v>
          </cell>
          <cell r="D234" t="str">
            <v>Filiale Non Côtée Sté Diverses</v>
          </cell>
          <cell r="G234">
            <v>990.92</v>
          </cell>
          <cell r="H234">
            <v>990.92</v>
          </cell>
        </row>
        <row r="235">
          <cell r="B235">
            <v>201</v>
          </cell>
          <cell r="D235" t="str">
            <v>Filiale Non Côtée Sté Diverses</v>
          </cell>
          <cell r="G235">
            <v>134412468.34999999</v>
          </cell>
          <cell r="H235">
            <v>134412468.34999999</v>
          </cell>
        </row>
        <row r="236">
          <cell r="B236">
            <v>201</v>
          </cell>
          <cell r="D236" t="str">
            <v>Filiale Non Côtée Sté Diverses</v>
          </cell>
          <cell r="G236">
            <v>49560.21</v>
          </cell>
          <cell r="H236">
            <v>49560.21</v>
          </cell>
        </row>
        <row r="237">
          <cell r="B237">
            <v>201</v>
          </cell>
          <cell r="D237" t="str">
            <v>Filiale Non Côtée Sté Diverses</v>
          </cell>
          <cell r="H237">
            <v>1000</v>
          </cell>
        </row>
        <row r="238">
          <cell r="B238">
            <v>201</v>
          </cell>
          <cell r="D238" t="str">
            <v>Filiale Non Côtée Sté Diverses</v>
          </cell>
          <cell r="G238">
            <v>7683339</v>
          </cell>
          <cell r="H238">
            <v>7683339</v>
          </cell>
        </row>
        <row r="239">
          <cell r="B239">
            <v>201</v>
          </cell>
          <cell r="D239" t="str">
            <v>Filiale Non Côtée Sté Diverses</v>
          </cell>
          <cell r="G239">
            <v>7622.45</v>
          </cell>
          <cell r="H239">
            <v>7622.45</v>
          </cell>
        </row>
        <row r="240">
          <cell r="B240">
            <v>201</v>
          </cell>
          <cell r="D240" t="str">
            <v>Filiale Non Côtée Sté Diverses</v>
          </cell>
          <cell r="G240">
            <v>0</v>
          </cell>
        </row>
        <row r="241">
          <cell r="B241">
            <v>201</v>
          </cell>
          <cell r="D241" t="str">
            <v>Filiale Non Côtée Sté Diverses</v>
          </cell>
          <cell r="G241">
            <v>0</v>
          </cell>
        </row>
        <row r="242">
          <cell r="B242">
            <v>201</v>
          </cell>
          <cell r="D242" t="str">
            <v>Filiale Non Côtée Sté Diverses</v>
          </cell>
          <cell r="G242">
            <v>37705996.280000001</v>
          </cell>
          <cell r="H242">
            <v>37705996.280000001</v>
          </cell>
        </row>
        <row r="243">
          <cell r="B243">
            <v>201</v>
          </cell>
          <cell r="D243" t="str">
            <v>Filiale Non Côtée Sté Diverses</v>
          </cell>
          <cell r="G243">
            <v>76133.039999999994</v>
          </cell>
          <cell r="H243">
            <v>76133.039999999994</v>
          </cell>
        </row>
        <row r="244">
          <cell r="B244">
            <v>201</v>
          </cell>
          <cell r="D244" t="str">
            <v>Filiale Non Côtée Sté Diverses</v>
          </cell>
          <cell r="G244">
            <v>38020.78</v>
          </cell>
          <cell r="H244">
            <v>38020.78</v>
          </cell>
        </row>
        <row r="245">
          <cell r="B245">
            <v>208</v>
          </cell>
          <cell r="D245" t="str">
            <v>Filiale Non Côtée Sté Diverses</v>
          </cell>
          <cell r="G245">
            <v>9148944.2100000009</v>
          </cell>
          <cell r="H245">
            <v>9148944.2100000009</v>
          </cell>
        </row>
        <row r="246">
          <cell r="B246">
            <v>220</v>
          </cell>
          <cell r="D246" t="str">
            <v>Filiale Non Côtée Sté Diverses</v>
          </cell>
          <cell r="G246">
            <v>3050738.08</v>
          </cell>
          <cell r="H246">
            <v>3050738.08</v>
          </cell>
        </row>
        <row r="247">
          <cell r="B247">
            <v>270</v>
          </cell>
          <cell r="D247" t="str">
            <v>Filiale Non Côtée Sté Diverses</v>
          </cell>
          <cell r="H247">
            <v>0</v>
          </cell>
        </row>
        <row r="248">
          <cell r="G248">
            <v>203817400.99000001</v>
          </cell>
          <cell r="H248">
            <v>208818324.99000001</v>
          </cell>
        </row>
        <row r="249">
          <cell r="B249">
            <v>201</v>
          </cell>
          <cell r="D249" t="str">
            <v>Avces Filiale Nc Sté Diverses</v>
          </cell>
          <cell r="G249">
            <v>228673</v>
          </cell>
          <cell r="H249">
            <v>0</v>
          </cell>
        </row>
        <row r="250">
          <cell r="B250">
            <v>201</v>
          </cell>
          <cell r="D250" t="str">
            <v>Avces Filiale Nc Sté Diverses</v>
          </cell>
          <cell r="G250">
            <v>49539000.530000001</v>
          </cell>
          <cell r="H250">
            <v>58986513.270000003</v>
          </cell>
        </row>
        <row r="251">
          <cell r="B251">
            <v>201</v>
          </cell>
          <cell r="D251" t="str">
            <v>Avces Filiale Nc Sté Diverses</v>
          </cell>
          <cell r="H251">
            <v>139000</v>
          </cell>
        </row>
        <row r="252">
          <cell r="B252">
            <v>201</v>
          </cell>
          <cell r="D252" t="str">
            <v>Avces Filiale Nc Sté Diverses</v>
          </cell>
          <cell r="G252">
            <v>22867.35</v>
          </cell>
          <cell r="H252">
            <v>22867.35</v>
          </cell>
        </row>
        <row r="253">
          <cell r="B253">
            <v>201</v>
          </cell>
          <cell r="D253" t="str">
            <v>Avces Filiale Nc Sté Diverses</v>
          </cell>
          <cell r="H253">
            <v>13000000</v>
          </cell>
        </row>
        <row r="254">
          <cell r="B254">
            <v>270</v>
          </cell>
          <cell r="D254" t="str">
            <v>Avces Filiale Nc Sté Diverses</v>
          </cell>
          <cell r="H254">
            <v>0</v>
          </cell>
        </row>
        <row r="255">
          <cell r="G255">
            <v>49790540.880000003</v>
          </cell>
          <cell r="H255">
            <v>72148380.620000005</v>
          </cell>
        </row>
        <row r="256">
          <cell r="B256">
            <v>201</v>
          </cell>
          <cell r="D256" t="str">
            <v>Prêts Administrateur Filiales</v>
          </cell>
          <cell r="G256">
            <v>92</v>
          </cell>
          <cell r="H256">
            <v>92</v>
          </cell>
        </row>
        <row r="257">
          <cell r="B257">
            <v>201</v>
          </cell>
          <cell r="D257" t="str">
            <v>Prêts Administrateur Filiales</v>
          </cell>
          <cell r="G257">
            <v>114.34</v>
          </cell>
          <cell r="H257">
            <v>114.34</v>
          </cell>
        </row>
        <row r="258">
          <cell r="B258">
            <v>201</v>
          </cell>
          <cell r="D258" t="str">
            <v>Prêts Administrateur Filiales</v>
          </cell>
          <cell r="G258">
            <v>91.47</v>
          </cell>
          <cell r="H258">
            <v>91.47</v>
          </cell>
        </row>
        <row r="259">
          <cell r="B259">
            <v>201</v>
          </cell>
          <cell r="D259" t="str">
            <v>Prêts Administrateur Filiales</v>
          </cell>
          <cell r="G259">
            <v>91.47</v>
          </cell>
          <cell r="H259">
            <v>91.47</v>
          </cell>
        </row>
        <row r="260">
          <cell r="B260">
            <v>201</v>
          </cell>
          <cell r="D260" t="str">
            <v>Prêts Administrateur Filiales</v>
          </cell>
          <cell r="G260">
            <v>91.47</v>
          </cell>
          <cell r="H260">
            <v>91.47</v>
          </cell>
        </row>
        <row r="261">
          <cell r="B261">
            <v>201</v>
          </cell>
          <cell r="D261" t="str">
            <v>Prêts Administrateur Filiales</v>
          </cell>
          <cell r="G261">
            <v>60.98</v>
          </cell>
          <cell r="H261">
            <v>60.98</v>
          </cell>
        </row>
        <row r="262">
          <cell r="B262">
            <v>201</v>
          </cell>
          <cell r="D262" t="str">
            <v>Prêts Administrateur Filiales</v>
          </cell>
          <cell r="G262">
            <v>152.44999999999999</v>
          </cell>
          <cell r="H262">
            <v>152.44999999999999</v>
          </cell>
        </row>
        <row r="263">
          <cell r="B263">
            <v>201</v>
          </cell>
          <cell r="D263" t="str">
            <v>Prêts Administrateur Filiales</v>
          </cell>
          <cell r="G263">
            <v>45.73</v>
          </cell>
          <cell r="H263">
            <v>45.73</v>
          </cell>
        </row>
        <row r="264">
          <cell r="B264">
            <v>201</v>
          </cell>
          <cell r="D264" t="str">
            <v>Prêts Administrateur Filiales</v>
          </cell>
          <cell r="G264">
            <v>167.69</v>
          </cell>
          <cell r="H264">
            <v>167.69</v>
          </cell>
        </row>
        <row r="265">
          <cell r="B265">
            <v>201</v>
          </cell>
          <cell r="D265" t="str">
            <v>Prêts Administrateur Filiales</v>
          </cell>
          <cell r="G265">
            <v>91.47</v>
          </cell>
          <cell r="H265">
            <v>91.47</v>
          </cell>
        </row>
        <row r="266">
          <cell r="B266">
            <v>201</v>
          </cell>
          <cell r="D266" t="str">
            <v>Prêts Administrateur Filiales</v>
          </cell>
          <cell r="G266">
            <v>76.22</v>
          </cell>
          <cell r="H266">
            <v>76.22</v>
          </cell>
        </row>
        <row r="267">
          <cell r="G267">
            <v>1075.29</v>
          </cell>
          <cell r="H267">
            <v>1075.29</v>
          </cell>
        </row>
        <row r="268">
          <cell r="B268">
            <v>201</v>
          </cell>
          <cell r="D268" t="str">
            <v>Participat Non Côté Sté Assura</v>
          </cell>
          <cell r="G268">
            <v>6060127.2199999997</v>
          </cell>
          <cell r="H268">
            <v>6060127.2199999997</v>
          </cell>
        </row>
        <row r="269">
          <cell r="B269">
            <v>201</v>
          </cell>
          <cell r="D269" t="str">
            <v>Participat Non Côté Sté Assura</v>
          </cell>
          <cell r="G269">
            <v>0</v>
          </cell>
          <cell r="H269">
            <v>0</v>
          </cell>
        </row>
        <row r="270">
          <cell r="B270">
            <v>201</v>
          </cell>
          <cell r="D270" t="str">
            <v>Participat Non Côté Sté Assura</v>
          </cell>
          <cell r="G270">
            <v>0</v>
          </cell>
          <cell r="H270">
            <v>0</v>
          </cell>
        </row>
        <row r="271">
          <cell r="B271">
            <v>201</v>
          </cell>
          <cell r="D271" t="str">
            <v>Participat Non Côté Sté Assura</v>
          </cell>
          <cell r="G271">
            <v>5189364.55</v>
          </cell>
          <cell r="H271">
            <v>5189364.55</v>
          </cell>
        </row>
        <row r="272">
          <cell r="B272">
            <v>201</v>
          </cell>
          <cell r="D272" t="str">
            <v>Participat Non Côté Sté Assura</v>
          </cell>
          <cell r="G272">
            <v>3231482.28</v>
          </cell>
          <cell r="H272">
            <v>2809771.39</v>
          </cell>
        </row>
        <row r="273">
          <cell r="B273">
            <v>201</v>
          </cell>
          <cell r="D273" t="str">
            <v>Participat Non Côté Sté Assura</v>
          </cell>
          <cell r="G273">
            <v>7226540.9199999999</v>
          </cell>
          <cell r="H273">
            <v>7226540.9199999999</v>
          </cell>
        </row>
        <row r="274">
          <cell r="B274">
            <v>201</v>
          </cell>
          <cell r="D274" t="str">
            <v>Participat Non Côté Sté Assura</v>
          </cell>
          <cell r="G274">
            <v>5861398.54</v>
          </cell>
          <cell r="H274">
            <v>5861398.54</v>
          </cell>
        </row>
        <row r="275">
          <cell r="B275">
            <v>201</v>
          </cell>
          <cell r="D275" t="str">
            <v>Participat Non Côté Sté Assura</v>
          </cell>
          <cell r="G275">
            <v>4967142.66</v>
          </cell>
          <cell r="H275">
            <v>4967142.66</v>
          </cell>
        </row>
        <row r="276">
          <cell r="B276">
            <v>201</v>
          </cell>
          <cell r="D276" t="str">
            <v>Participat Non Côté Sté Assura</v>
          </cell>
          <cell r="G276">
            <v>827022.04</v>
          </cell>
          <cell r="H276">
            <v>827022.04</v>
          </cell>
        </row>
        <row r="277">
          <cell r="B277">
            <v>201</v>
          </cell>
          <cell r="D277" t="str">
            <v>Participat Non Côté Sté Assura</v>
          </cell>
          <cell r="G277">
            <v>819732.72</v>
          </cell>
          <cell r="H277">
            <v>819732.72</v>
          </cell>
        </row>
        <row r="278">
          <cell r="G278">
            <v>34182810.93</v>
          </cell>
          <cell r="H278">
            <v>33761100.039999999</v>
          </cell>
        </row>
        <row r="279">
          <cell r="B279">
            <v>201</v>
          </cell>
          <cell r="D279" t="str">
            <v>Avances S/Part Sté Assurance</v>
          </cell>
          <cell r="G279">
            <v>10212.19</v>
          </cell>
          <cell r="H279">
            <v>8582.0499999999993</v>
          </cell>
        </row>
        <row r="280">
          <cell r="G280">
            <v>10212.19</v>
          </cell>
          <cell r="H280">
            <v>8582.0499999999993</v>
          </cell>
        </row>
        <row r="281">
          <cell r="B281">
            <v>35</v>
          </cell>
          <cell r="D281" t="str">
            <v>Participat Non Côté Sté Divers</v>
          </cell>
          <cell r="G281">
            <v>762245.09</v>
          </cell>
          <cell r="H281">
            <v>1363214.09</v>
          </cell>
        </row>
        <row r="282">
          <cell r="B282">
            <v>201</v>
          </cell>
          <cell r="D282" t="str">
            <v>Participat Non Côté Sté Divers</v>
          </cell>
          <cell r="G282">
            <v>116695.75</v>
          </cell>
          <cell r="H282">
            <v>116695.75</v>
          </cell>
        </row>
        <row r="283">
          <cell r="B283">
            <v>201</v>
          </cell>
          <cell r="D283" t="str">
            <v>Participat Non Côté Sté Divers</v>
          </cell>
          <cell r="G283">
            <v>0</v>
          </cell>
          <cell r="H283">
            <v>0</v>
          </cell>
        </row>
        <row r="284">
          <cell r="B284">
            <v>201</v>
          </cell>
          <cell r="D284" t="str">
            <v>Participat Non Côté Sté Divers</v>
          </cell>
          <cell r="G284">
            <v>0</v>
          </cell>
          <cell r="H284">
            <v>0</v>
          </cell>
        </row>
        <row r="285">
          <cell r="B285">
            <v>201</v>
          </cell>
          <cell r="D285" t="str">
            <v>Participat Non Côté Sté Divers</v>
          </cell>
          <cell r="G285">
            <v>0</v>
          </cell>
          <cell r="H285">
            <v>0</v>
          </cell>
        </row>
        <row r="286">
          <cell r="B286">
            <v>201</v>
          </cell>
          <cell r="D286" t="str">
            <v>Participat Non Côté Sté Divers</v>
          </cell>
          <cell r="G286">
            <v>0</v>
          </cell>
          <cell r="H286">
            <v>0</v>
          </cell>
        </row>
        <row r="287">
          <cell r="B287">
            <v>201</v>
          </cell>
          <cell r="D287" t="str">
            <v>Participat Non Côté Sté Divers</v>
          </cell>
          <cell r="G287">
            <v>10005.27</v>
          </cell>
          <cell r="H287">
            <v>10005.27</v>
          </cell>
        </row>
        <row r="288">
          <cell r="B288">
            <v>201</v>
          </cell>
          <cell r="D288" t="str">
            <v>Participat Non Côté Sté Divers</v>
          </cell>
          <cell r="G288">
            <v>243.92</v>
          </cell>
          <cell r="H288">
            <v>243.92</v>
          </cell>
        </row>
        <row r="289">
          <cell r="B289">
            <v>201</v>
          </cell>
          <cell r="D289" t="str">
            <v>Participat Non Côté Sté Divers</v>
          </cell>
          <cell r="G289">
            <v>145021994.91999999</v>
          </cell>
          <cell r="H289">
            <v>145021994.91999999</v>
          </cell>
        </row>
        <row r="290">
          <cell r="B290">
            <v>201</v>
          </cell>
          <cell r="D290" t="str">
            <v>Participat Non Côté Sté Divers</v>
          </cell>
          <cell r="G290">
            <v>32467501.18</v>
          </cell>
          <cell r="H290">
            <v>32467501.18</v>
          </cell>
        </row>
        <row r="291">
          <cell r="B291">
            <v>201</v>
          </cell>
          <cell r="D291" t="str">
            <v>Participat Non Côté Sté Divers</v>
          </cell>
          <cell r="G291">
            <v>381107.3</v>
          </cell>
          <cell r="H291">
            <v>381107.3</v>
          </cell>
        </row>
        <row r="292">
          <cell r="B292">
            <v>201</v>
          </cell>
          <cell r="D292" t="str">
            <v>Participat Non Côté Sté Divers</v>
          </cell>
          <cell r="G292">
            <v>0</v>
          </cell>
        </row>
        <row r="293">
          <cell r="B293">
            <v>201</v>
          </cell>
          <cell r="D293" t="str">
            <v>Participat Non Côté Sté Divers</v>
          </cell>
          <cell r="G293">
            <v>2501596</v>
          </cell>
          <cell r="H293">
            <v>2501596</v>
          </cell>
        </row>
        <row r="294">
          <cell r="B294">
            <v>201</v>
          </cell>
          <cell r="D294" t="str">
            <v>Participat Non Côté Sté Divers</v>
          </cell>
          <cell r="G294">
            <v>12500</v>
          </cell>
          <cell r="H294">
            <v>12500</v>
          </cell>
        </row>
        <row r="295">
          <cell r="B295">
            <v>201</v>
          </cell>
          <cell r="D295" t="str">
            <v>Participat Non Côté Sté Divers</v>
          </cell>
          <cell r="G295">
            <v>0</v>
          </cell>
          <cell r="H295">
            <v>0</v>
          </cell>
        </row>
        <row r="296">
          <cell r="B296">
            <v>201</v>
          </cell>
          <cell r="D296" t="str">
            <v>Participat Non Côté Sté Divers</v>
          </cell>
          <cell r="G296">
            <v>7500000</v>
          </cell>
          <cell r="H296">
            <v>7500000</v>
          </cell>
        </row>
        <row r="297">
          <cell r="B297">
            <v>201</v>
          </cell>
          <cell r="D297" t="str">
            <v>Participat Non Côté Sté Divers</v>
          </cell>
          <cell r="G297">
            <v>1749500</v>
          </cell>
          <cell r="H297">
            <v>1749500</v>
          </cell>
        </row>
        <row r="298">
          <cell r="B298">
            <v>201</v>
          </cell>
          <cell r="D298" t="str">
            <v>Participat Non Côté Sté Divers</v>
          </cell>
          <cell r="G298">
            <v>3999970</v>
          </cell>
          <cell r="H298">
            <v>3999970</v>
          </cell>
        </row>
        <row r="299">
          <cell r="B299">
            <v>201</v>
          </cell>
          <cell r="D299" t="str">
            <v>Participat Non Côté Sté Divers</v>
          </cell>
          <cell r="G299">
            <v>747</v>
          </cell>
          <cell r="H299">
            <v>747</v>
          </cell>
        </row>
        <row r="300">
          <cell r="B300">
            <v>201</v>
          </cell>
          <cell r="D300" t="str">
            <v>Participat Non Côté Sté Divers</v>
          </cell>
          <cell r="G300">
            <v>440000.03</v>
          </cell>
          <cell r="H300">
            <v>440000.03</v>
          </cell>
        </row>
        <row r="301">
          <cell r="B301">
            <v>201</v>
          </cell>
          <cell r="D301" t="str">
            <v>Participat Non Côté Sté Divers</v>
          </cell>
          <cell r="G301">
            <v>5869.29</v>
          </cell>
          <cell r="H301">
            <v>5869.29</v>
          </cell>
        </row>
        <row r="302">
          <cell r="B302">
            <v>201</v>
          </cell>
          <cell r="D302" t="str">
            <v>Participat Non Côté Sté Divers</v>
          </cell>
          <cell r="H302">
            <v>914403.92</v>
          </cell>
        </row>
        <row r="303">
          <cell r="B303">
            <v>201</v>
          </cell>
          <cell r="D303" t="str">
            <v>Participat Non Côté Sté Divers</v>
          </cell>
          <cell r="G303">
            <v>17184.82</v>
          </cell>
          <cell r="H303">
            <v>0</v>
          </cell>
        </row>
        <row r="304">
          <cell r="B304">
            <v>201</v>
          </cell>
          <cell r="D304" t="str">
            <v>Participat Non Côté Sté Divers</v>
          </cell>
          <cell r="G304">
            <v>8235292.1100000003</v>
          </cell>
          <cell r="H304">
            <v>7021192.1100000003</v>
          </cell>
        </row>
        <row r="305">
          <cell r="B305">
            <v>201</v>
          </cell>
          <cell r="D305" t="str">
            <v>Participat Non Côté Sté Divers</v>
          </cell>
          <cell r="G305">
            <v>0</v>
          </cell>
          <cell r="H305">
            <v>0</v>
          </cell>
        </row>
        <row r="306">
          <cell r="B306">
            <v>201</v>
          </cell>
          <cell r="D306" t="str">
            <v>Participat Non Côté Sté Divers</v>
          </cell>
          <cell r="G306">
            <v>0</v>
          </cell>
          <cell r="H306">
            <v>0</v>
          </cell>
        </row>
        <row r="307">
          <cell r="B307">
            <v>201</v>
          </cell>
          <cell r="D307" t="str">
            <v>Participat Non Côté Sté Divers</v>
          </cell>
          <cell r="G307">
            <v>0</v>
          </cell>
          <cell r="H307">
            <v>0</v>
          </cell>
        </row>
        <row r="308">
          <cell r="B308">
            <v>270</v>
          </cell>
          <cell r="D308" t="str">
            <v>Participat Non Côté Sté Divers</v>
          </cell>
          <cell r="G308">
            <v>0</v>
          </cell>
          <cell r="H308">
            <v>0</v>
          </cell>
        </row>
        <row r="309">
          <cell r="B309">
            <v>270</v>
          </cell>
          <cell r="D309" t="str">
            <v>Participat Non Côté Sté Divers</v>
          </cell>
          <cell r="G309">
            <v>0</v>
          </cell>
          <cell r="H309">
            <v>0</v>
          </cell>
        </row>
        <row r="310">
          <cell r="B310" t="str">
            <v>EPO</v>
          </cell>
          <cell r="D310" t="str">
            <v>Participat Non Côté Sté Divers</v>
          </cell>
          <cell r="G310">
            <v>0</v>
          </cell>
        </row>
        <row r="311">
          <cell r="G311">
            <v>203222452.68000001</v>
          </cell>
          <cell r="H311">
            <v>203506540.78</v>
          </cell>
        </row>
        <row r="312">
          <cell r="B312">
            <v>201</v>
          </cell>
          <cell r="D312" t="str">
            <v>Avances S/Part Sté Diverses</v>
          </cell>
          <cell r="G312">
            <v>0</v>
          </cell>
          <cell r="H312">
            <v>0</v>
          </cell>
        </row>
        <row r="313">
          <cell r="G313">
            <v>0</v>
          </cell>
          <cell r="H313">
            <v>0</v>
          </cell>
        </row>
        <row r="314">
          <cell r="B314">
            <v>201</v>
          </cell>
          <cell r="D314" t="str">
            <v>Prêts Administrateur Participa</v>
          </cell>
          <cell r="G314">
            <v>15.24</v>
          </cell>
          <cell r="H314">
            <v>15.24</v>
          </cell>
        </row>
        <row r="315">
          <cell r="B315">
            <v>201</v>
          </cell>
          <cell r="D315" t="str">
            <v>Prêts Administrateur Participa</v>
          </cell>
          <cell r="G315">
            <v>0</v>
          </cell>
          <cell r="H315">
            <v>0</v>
          </cell>
        </row>
        <row r="316">
          <cell r="B316">
            <v>201</v>
          </cell>
          <cell r="D316" t="str">
            <v>Prêts Administrateur Participa</v>
          </cell>
          <cell r="G316">
            <v>15.24</v>
          </cell>
          <cell r="H316">
            <v>15.24</v>
          </cell>
        </row>
        <row r="317">
          <cell r="B317">
            <v>201</v>
          </cell>
          <cell r="D317" t="str">
            <v>Prêts Administrateur Participa</v>
          </cell>
          <cell r="G317">
            <v>10</v>
          </cell>
          <cell r="H317">
            <v>10</v>
          </cell>
        </row>
        <row r="318">
          <cell r="B318">
            <v>201</v>
          </cell>
          <cell r="D318" t="str">
            <v>Prêts Administrateur Participa</v>
          </cell>
          <cell r="G318">
            <v>15.24</v>
          </cell>
          <cell r="H318">
            <v>15.24</v>
          </cell>
        </row>
        <row r="319">
          <cell r="B319">
            <v>201</v>
          </cell>
          <cell r="D319" t="str">
            <v>Prêts Administrateur Participa</v>
          </cell>
          <cell r="G319">
            <v>0</v>
          </cell>
        </row>
        <row r="320">
          <cell r="B320">
            <v>201</v>
          </cell>
          <cell r="D320" t="str">
            <v>Prêts Administrateur Participa</v>
          </cell>
          <cell r="G320">
            <v>100</v>
          </cell>
          <cell r="H320">
            <v>100</v>
          </cell>
        </row>
        <row r="321">
          <cell r="B321">
            <v>201</v>
          </cell>
          <cell r="D321" t="str">
            <v>Prêts Administrateur Participa</v>
          </cell>
          <cell r="G321">
            <v>30</v>
          </cell>
          <cell r="H321">
            <v>30</v>
          </cell>
        </row>
        <row r="322">
          <cell r="B322">
            <v>201</v>
          </cell>
          <cell r="D322" t="str">
            <v>Prêts Administrateur Participa</v>
          </cell>
          <cell r="G322">
            <v>7622.45</v>
          </cell>
          <cell r="H322">
            <v>7622.45</v>
          </cell>
        </row>
        <row r="323">
          <cell r="B323">
            <v>201</v>
          </cell>
          <cell r="D323" t="str">
            <v>Prêts Administrateur Participa</v>
          </cell>
          <cell r="G323">
            <v>0</v>
          </cell>
          <cell r="H323">
            <v>0</v>
          </cell>
        </row>
        <row r="324">
          <cell r="B324">
            <v>201</v>
          </cell>
          <cell r="D324" t="str">
            <v>Prêts Administrateur Participa</v>
          </cell>
          <cell r="G324">
            <v>0</v>
          </cell>
          <cell r="H324">
            <v>0</v>
          </cell>
        </row>
        <row r="325">
          <cell r="B325">
            <v>201</v>
          </cell>
          <cell r="D325" t="str">
            <v>Prêts Administrateur Participa</v>
          </cell>
          <cell r="G325">
            <v>0</v>
          </cell>
          <cell r="H325">
            <v>0</v>
          </cell>
        </row>
        <row r="326">
          <cell r="G326">
            <v>7808.17</v>
          </cell>
          <cell r="H326">
            <v>7808.17</v>
          </cell>
        </row>
        <row r="327">
          <cell r="B327">
            <v>201</v>
          </cell>
          <cell r="D327" t="str">
            <v>Participat Sté Ass/Div Knl</v>
          </cell>
          <cell r="G327">
            <v>-2000000</v>
          </cell>
          <cell r="H327">
            <v>-1750000</v>
          </cell>
        </row>
        <row r="328">
          <cell r="B328">
            <v>201</v>
          </cell>
          <cell r="D328" t="str">
            <v>Participat Sté Ass/Div Knl</v>
          </cell>
          <cell r="G328">
            <v>-5325000</v>
          </cell>
          <cell r="H328">
            <v>-4125000</v>
          </cell>
        </row>
        <row r="329">
          <cell r="B329">
            <v>201</v>
          </cell>
          <cell r="D329" t="str">
            <v>Participat Sté Ass/Div Knl</v>
          </cell>
          <cell r="G329">
            <v>-2000000</v>
          </cell>
          <cell r="H329">
            <v>-2000000</v>
          </cell>
        </row>
        <row r="330">
          <cell r="B330">
            <v>201</v>
          </cell>
          <cell r="D330" t="str">
            <v>Participat Sté Ass/Div Knl</v>
          </cell>
          <cell r="G330">
            <v>-220000.09</v>
          </cell>
          <cell r="H330">
            <v>-220000.09</v>
          </cell>
        </row>
        <row r="331">
          <cell r="B331">
            <v>201</v>
          </cell>
          <cell r="D331" t="str">
            <v>Participat Sté Ass/Div Knl</v>
          </cell>
          <cell r="G331">
            <v>0</v>
          </cell>
          <cell r="H331">
            <v>0</v>
          </cell>
        </row>
        <row r="332">
          <cell r="B332">
            <v>201</v>
          </cell>
          <cell r="D332" t="str">
            <v>Participat Sté Ass/Div Knl</v>
          </cell>
          <cell r="G332">
            <v>0</v>
          </cell>
          <cell r="H332">
            <v>0</v>
          </cell>
        </row>
        <row r="333">
          <cell r="B333">
            <v>201</v>
          </cell>
          <cell r="D333" t="str">
            <v>Participat Sté Ass/Div Knl</v>
          </cell>
          <cell r="G333">
            <v>0</v>
          </cell>
          <cell r="H333">
            <v>0</v>
          </cell>
        </row>
        <row r="334">
          <cell r="B334">
            <v>201</v>
          </cell>
          <cell r="D334" t="str">
            <v>Participat Sté Ass/Div Knl</v>
          </cell>
          <cell r="G334">
            <v>0</v>
          </cell>
          <cell r="H334">
            <v>0</v>
          </cell>
        </row>
        <row r="335">
          <cell r="B335">
            <v>270</v>
          </cell>
          <cell r="D335" t="str">
            <v>Participat Sté Ass/Div Knl</v>
          </cell>
          <cell r="G335">
            <v>0</v>
          </cell>
          <cell r="H335">
            <v>0</v>
          </cell>
        </row>
        <row r="336">
          <cell r="B336">
            <v>270</v>
          </cell>
          <cell r="D336" t="str">
            <v>Participat Sté Ass/Div Knl</v>
          </cell>
          <cell r="G336">
            <v>0</v>
          </cell>
          <cell r="H336">
            <v>0</v>
          </cell>
        </row>
        <row r="337">
          <cell r="G337">
            <v>-9545000.0899999999</v>
          </cell>
          <cell r="H337">
            <v>-8095000.0899999999</v>
          </cell>
        </row>
        <row r="338">
          <cell r="B338">
            <v>122</v>
          </cell>
          <cell r="D338" t="str">
            <v>Provis Dépr Part Sté Immobiliè</v>
          </cell>
          <cell r="G338">
            <v>-1123127.71</v>
          </cell>
          <cell r="H338">
            <v>-1348237.21</v>
          </cell>
        </row>
        <row r="339">
          <cell r="B339">
            <v>201</v>
          </cell>
          <cell r="D339" t="str">
            <v>Provis Dépr Part Sté Immobiliè</v>
          </cell>
          <cell r="H339">
            <v>-25000000</v>
          </cell>
        </row>
        <row r="340">
          <cell r="B340">
            <v>201</v>
          </cell>
          <cell r="D340" t="str">
            <v>Provis Dépr Part Sté Immobiliè</v>
          </cell>
          <cell r="H340">
            <v>-4761811.2</v>
          </cell>
        </row>
        <row r="341">
          <cell r="B341">
            <v>201</v>
          </cell>
          <cell r="D341" t="str">
            <v>Provis Dépr Part Sté Immobiliè</v>
          </cell>
          <cell r="G341">
            <v>0</v>
          </cell>
        </row>
        <row r="342">
          <cell r="B342">
            <v>201</v>
          </cell>
          <cell r="D342" t="str">
            <v>Provis Dépr Part Sté Immobiliè</v>
          </cell>
          <cell r="H342">
            <v>0</v>
          </cell>
        </row>
        <row r="343">
          <cell r="B343">
            <v>201</v>
          </cell>
          <cell r="D343" t="str">
            <v>Provis Dépr Part Sté Immobiliè</v>
          </cell>
          <cell r="G343">
            <v>-11166799.24</v>
          </cell>
          <cell r="H343">
            <v>-11166799.24</v>
          </cell>
        </row>
        <row r="344">
          <cell r="B344">
            <v>201</v>
          </cell>
          <cell r="D344" t="str">
            <v>Provis Dépr Part Sté Immobiliè</v>
          </cell>
          <cell r="G344">
            <v>-21366313.489999998</v>
          </cell>
          <cell r="H344">
            <v>-21828213.129999999</v>
          </cell>
        </row>
        <row r="345">
          <cell r="B345">
            <v>201</v>
          </cell>
          <cell r="D345" t="str">
            <v>Provis Dépr Part Sté Immobiliè</v>
          </cell>
          <cell r="H345">
            <v>-113435.84</v>
          </cell>
        </row>
        <row r="346">
          <cell r="B346">
            <v>208</v>
          </cell>
          <cell r="D346" t="str">
            <v>Provis Dépr Part Sté Immobiliè</v>
          </cell>
          <cell r="G346">
            <v>-998068.65</v>
          </cell>
          <cell r="H346">
            <v>-1198112.45</v>
          </cell>
        </row>
        <row r="347">
          <cell r="B347">
            <v>209</v>
          </cell>
          <cell r="D347" t="str">
            <v>Provis Dépr Part Sté Immobiliè</v>
          </cell>
          <cell r="H347">
            <v>-2093400</v>
          </cell>
        </row>
        <row r="348">
          <cell r="B348">
            <v>220</v>
          </cell>
          <cell r="D348" t="str">
            <v>Provis Dépr Part Sté Immobiliè</v>
          </cell>
          <cell r="G348">
            <v>-332808.46000000002</v>
          </cell>
          <cell r="H348">
            <v>-399513.56</v>
          </cell>
        </row>
        <row r="349">
          <cell r="B349">
            <v>270</v>
          </cell>
          <cell r="D349" t="str">
            <v>Provis Dépr Part Sté Immobiliè</v>
          </cell>
          <cell r="G349">
            <v>-228675</v>
          </cell>
          <cell r="H349">
            <v>-899455</v>
          </cell>
        </row>
        <row r="350">
          <cell r="B350">
            <v>270</v>
          </cell>
          <cell r="D350" t="str">
            <v>Provis Dépr Part Sté Immobiliè</v>
          </cell>
          <cell r="H350">
            <v>-202311.26</v>
          </cell>
        </row>
        <row r="351">
          <cell r="B351">
            <v>270</v>
          </cell>
          <cell r="D351" t="str">
            <v>Provis Dépr Part Sté Immobiliè</v>
          </cell>
          <cell r="H351">
            <v>-155023.88</v>
          </cell>
        </row>
        <row r="352">
          <cell r="B352">
            <v>270</v>
          </cell>
          <cell r="D352" t="str">
            <v>Provis Dépr Part Sté Immobiliè</v>
          </cell>
          <cell r="G352">
            <v>-433687.73</v>
          </cell>
          <cell r="H352">
            <v>-433687.73</v>
          </cell>
        </row>
        <row r="353">
          <cell r="B353">
            <v>270</v>
          </cell>
          <cell r="D353" t="str">
            <v>Provis Dépr Part Sté Immobiliè</v>
          </cell>
          <cell r="H353">
            <v>-1506291.12</v>
          </cell>
        </row>
        <row r="354">
          <cell r="B354">
            <v>270</v>
          </cell>
          <cell r="D354" t="str">
            <v>Provis Dépr Part Sté Immobiliè</v>
          </cell>
          <cell r="G354">
            <v>-923362.25</v>
          </cell>
          <cell r="H354">
            <v>-1190762.25</v>
          </cell>
        </row>
        <row r="355">
          <cell r="G355">
            <v>-36572842.530000001</v>
          </cell>
          <cell r="H355">
            <v>-72297053.870000005</v>
          </cell>
        </row>
        <row r="356">
          <cell r="B356">
            <v>201</v>
          </cell>
          <cell r="D356" t="str">
            <v>Provis Dépr Part Sté Diverses</v>
          </cell>
          <cell r="G356">
            <v>0</v>
          </cell>
          <cell r="H356">
            <v>0</v>
          </cell>
        </row>
        <row r="357">
          <cell r="B357">
            <v>201</v>
          </cell>
          <cell r="D357" t="str">
            <v>Provis Dépr Part Sté Diverses</v>
          </cell>
          <cell r="G357">
            <v>0</v>
          </cell>
        </row>
        <row r="358">
          <cell r="B358">
            <v>201</v>
          </cell>
          <cell r="D358" t="str">
            <v>Provis Dépr Part Sté Diverses</v>
          </cell>
          <cell r="G358">
            <v>-133221.62</v>
          </cell>
          <cell r="H358">
            <v>-26220.11</v>
          </cell>
        </row>
        <row r="359">
          <cell r="B359">
            <v>201</v>
          </cell>
          <cell r="D359" t="str">
            <v>Provis Dépr Part Sté Diverses</v>
          </cell>
          <cell r="H359">
            <v>-246329.60000000001</v>
          </cell>
        </row>
        <row r="360">
          <cell r="B360">
            <v>201</v>
          </cell>
          <cell r="D360" t="str">
            <v>Provis Dépr Part Sté Diverses</v>
          </cell>
          <cell r="H360">
            <v>-10778.58</v>
          </cell>
        </row>
        <row r="361">
          <cell r="B361">
            <v>201</v>
          </cell>
          <cell r="D361" t="str">
            <v>Provis Dépr Part Sté Diverses</v>
          </cell>
          <cell r="H361">
            <v>-32390.43</v>
          </cell>
        </row>
        <row r="362">
          <cell r="B362">
            <v>201</v>
          </cell>
          <cell r="D362" t="str">
            <v>Provis Dépr Part Sté Diverses</v>
          </cell>
          <cell r="H362">
            <v>0</v>
          </cell>
        </row>
        <row r="363">
          <cell r="B363">
            <v>201</v>
          </cell>
          <cell r="D363" t="str">
            <v>Provis Dépr Part Sté Diverses</v>
          </cell>
          <cell r="G363">
            <v>-3971405.88</v>
          </cell>
          <cell r="H363">
            <v>-2098903.87</v>
          </cell>
        </row>
        <row r="364">
          <cell r="B364">
            <v>201</v>
          </cell>
          <cell r="D364" t="str">
            <v>Provis Dépr Part Sté Diverses</v>
          </cell>
          <cell r="G364">
            <v>-2401379.11</v>
          </cell>
          <cell r="H364">
            <v>-2556442.4</v>
          </cell>
        </row>
        <row r="365">
          <cell r="B365">
            <v>201</v>
          </cell>
          <cell r="D365" t="str">
            <v>Provis Dépr Part Sté Diverses</v>
          </cell>
          <cell r="H365">
            <v>-6517.26</v>
          </cell>
        </row>
        <row r="366">
          <cell r="B366">
            <v>201</v>
          </cell>
          <cell r="D366" t="str">
            <v>Provis Dépr Part Sté Diverses</v>
          </cell>
          <cell r="H366">
            <v>-725831.09</v>
          </cell>
        </row>
        <row r="367">
          <cell r="B367">
            <v>201</v>
          </cell>
          <cell r="D367" t="str">
            <v>Provis Dépr Part Sté Diverses</v>
          </cell>
          <cell r="H367">
            <v>-51364.25</v>
          </cell>
        </row>
        <row r="368">
          <cell r="B368">
            <v>270</v>
          </cell>
          <cell r="D368" t="str">
            <v>Provis Dépr Part Sté Diverses</v>
          </cell>
          <cell r="H368">
            <v>-13762.94</v>
          </cell>
        </row>
        <row r="369">
          <cell r="B369">
            <v>270</v>
          </cell>
          <cell r="D369" t="str">
            <v>Provis Dépr Part Sté Diverses</v>
          </cell>
          <cell r="H369">
            <v>-21557.15</v>
          </cell>
        </row>
        <row r="370">
          <cell r="B370">
            <v>270</v>
          </cell>
          <cell r="D370" t="str">
            <v>Provis Dépr Part Sté Diverses</v>
          </cell>
          <cell r="H370">
            <v>-68829.67</v>
          </cell>
        </row>
        <row r="371">
          <cell r="B371">
            <v>270</v>
          </cell>
          <cell r="D371" t="str">
            <v>Provis Dépr Part Sté Diverses</v>
          </cell>
          <cell r="H371">
            <v>0</v>
          </cell>
        </row>
        <row r="372">
          <cell r="B372">
            <v>270</v>
          </cell>
          <cell r="D372" t="str">
            <v>Provis Dépr Part Sté Diverses</v>
          </cell>
          <cell r="H372">
            <v>-185733.63</v>
          </cell>
        </row>
        <row r="373">
          <cell r="B373">
            <v>270</v>
          </cell>
          <cell r="D373" t="str">
            <v>Provis Dépr Part Sté Diverses</v>
          </cell>
          <cell r="H373">
            <v>-123109.89</v>
          </cell>
        </row>
        <row r="374">
          <cell r="B374">
            <v>270</v>
          </cell>
          <cell r="D374" t="str">
            <v>Provis Dépr Part Sté Diverses</v>
          </cell>
          <cell r="H374">
            <v>-1190381.24</v>
          </cell>
        </row>
        <row r="375">
          <cell r="B375">
            <v>270</v>
          </cell>
          <cell r="D375" t="str">
            <v>Provis Dépr Part Sté Diverses</v>
          </cell>
          <cell r="H375">
            <v>-109149.02</v>
          </cell>
        </row>
        <row r="376">
          <cell r="G376">
            <v>-6506006.6100000003</v>
          </cell>
          <cell r="H376">
            <v>-7467301.1299999999</v>
          </cell>
        </row>
        <row r="377">
          <cell r="B377">
            <v>201</v>
          </cell>
          <cell r="D377" t="str">
            <v>Provis Dépr Durable Participat</v>
          </cell>
          <cell r="G377">
            <v>0</v>
          </cell>
          <cell r="H377">
            <v>0</v>
          </cell>
        </row>
        <row r="378">
          <cell r="B378">
            <v>201</v>
          </cell>
          <cell r="D378" t="str">
            <v>Provis Dépr Durable Participat</v>
          </cell>
          <cell r="G378">
            <v>-2605088.36</v>
          </cell>
          <cell r="H378">
            <v>0</v>
          </cell>
        </row>
        <row r="379">
          <cell r="B379">
            <v>201</v>
          </cell>
          <cell r="D379" t="str">
            <v>Provis Dépr Durable Participat</v>
          </cell>
          <cell r="G379">
            <v>-5135372.72</v>
          </cell>
          <cell r="H379">
            <v>-14341931.039999999</v>
          </cell>
        </row>
        <row r="380">
          <cell r="B380">
            <v>201</v>
          </cell>
          <cell r="D380" t="str">
            <v>Provis Dépr Durable Participat</v>
          </cell>
          <cell r="G380">
            <v>-2211878.54</v>
          </cell>
          <cell r="H380">
            <v>-2834633.83</v>
          </cell>
        </row>
        <row r="381">
          <cell r="B381">
            <v>201</v>
          </cell>
          <cell r="D381" t="str">
            <v>Provis Dépr Durable Participat</v>
          </cell>
          <cell r="G381">
            <v>-4861223.2699999996</v>
          </cell>
          <cell r="H381">
            <v>-5778697.5300000003</v>
          </cell>
        </row>
        <row r="382">
          <cell r="B382">
            <v>201</v>
          </cell>
          <cell r="D382" t="str">
            <v>Provis Dépr Durable Participat</v>
          </cell>
          <cell r="G382">
            <v>-1316453.8600000001</v>
          </cell>
          <cell r="H382">
            <v>-1424716.32</v>
          </cell>
        </row>
        <row r="383">
          <cell r="B383">
            <v>201</v>
          </cell>
          <cell r="D383" t="str">
            <v>Provis Dépr Durable Participat</v>
          </cell>
          <cell r="G383">
            <v>-540636.13</v>
          </cell>
          <cell r="H383">
            <v>-839661.9</v>
          </cell>
        </row>
        <row r="384">
          <cell r="B384">
            <v>201</v>
          </cell>
          <cell r="D384" t="str">
            <v>Provis Dépr Durable Participat</v>
          </cell>
          <cell r="G384">
            <v>-417005.86</v>
          </cell>
          <cell r="H384">
            <v>-1122126.28</v>
          </cell>
        </row>
        <row r="385">
          <cell r="B385">
            <v>201</v>
          </cell>
          <cell r="D385" t="str">
            <v>Provis Dépr Durable Participat</v>
          </cell>
          <cell r="G385">
            <v>-243745.2</v>
          </cell>
          <cell r="H385">
            <v>0</v>
          </cell>
        </row>
        <row r="386">
          <cell r="B386">
            <v>201</v>
          </cell>
          <cell r="D386" t="str">
            <v>Provis Dépr Durable Participat</v>
          </cell>
          <cell r="G386">
            <v>-59047.199999999997</v>
          </cell>
          <cell r="H386">
            <v>0</v>
          </cell>
        </row>
        <row r="387">
          <cell r="B387">
            <v>209</v>
          </cell>
          <cell r="D387" t="str">
            <v>Provis Dépr Durable Participat</v>
          </cell>
          <cell r="G387">
            <v>-1785600</v>
          </cell>
          <cell r="H387">
            <v>0</v>
          </cell>
        </row>
        <row r="388">
          <cell r="B388">
            <v>270</v>
          </cell>
          <cell r="D388" t="str">
            <v>Provis Dépr Durable Participat</v>
          </cell>
          <cell r="G388">
            <v>-155023.88</v>
          </cell>
          <cell r="H388">
            <v>0</v>
          </cell>
        </row>
        <row r="389">
          <cell r="B389">
            <v>270</v>
          </cell>
          <cell r="D389" t="str">
            <v>Provis Dépr Durable Participat</v>
          </cell>
          <cell r="G389">
            <v>0</v>
          </cell>
          <cell r="H389">
            <v>0</v>
          </cell>
        </row>
        <row r="390">
          <cell r="B390">
            <v>270</v>
          </cell>
          <cell r="D390" t="str">
            <v>Provis Dépr Durable Participat</v>
          </cell>
          <cell r="G390">
            <v>0</v>
          </cell>
          <cell r="H390">
            <v>0</v>
          </cell>
        </row>
        <row r="391">
          <cell r="G391">
            <v>-19331075.02</v>
          </cell>
          <cell r="H391">
            <v>-26341766.899999999</v>
          </cell>
        </row>
        <row r="392">
          <cell r="B392">
            <v>201</v>
          </cell>
          <cell r="D392" t="str">
            <v>Créance Court Terme Particip..</v>
          </cell>
          <cell r="H392">
            <v>11814503.49</v>
          </cell>
        </row>
        <row r="393">
          <cell r="G393">
            <v>0</v>
          </cell>
          <cell r="H393">
            <v>11814503.49</v>
          </cell>
        </row>
        <row r="394">
          <cell r="B394">
            <v>201</v>
          </cell>
          <cell r="D394" t="str">
            <v>Créance Long Terme Participat.</v>
          </cell>
          <cell r="H394">
            <v>39559805.920000002</v>
          </cell>
        </row>
        <row r="395">
          <cell r="G395">
            <v>0</v>
          </cell>
          <cell r="H395">
            <v>39559805.920000002</v>
          </cell>
        </row>
        <row r="396">
          <cell r="B396">
            <v>201</v>
          </cell>
          <cell r="D396" t="str">
            <v>Autre Créditeur Sect Participa</v>
          </cell>
          <cell r="H396">
            <v>-187</v>
          </cell>
        </row>
        <row r="397">
          <cell r="B397">
            <v>270</v>
          </cell>
          <cell r="D397" t="str">
            <v>Autre Créditeur Sect Participa</v>
          </cell>
          <cell r="G397">
            <v>-648045.02</v>
          </cell>
          <cell r="H397">
            <v>-5708045.0199999996</v>
          </cell>
        </row>
        <row r="398">
          <cell r="B398">
            <v>270</v>
          </cell>
          <cell r="D398" t="str">
            <v>Autre Créditeur Sect Participa</v>
          </cell>
          <cell r="G398">
            <v>-304898.03000000003</v>
          </cell>
          <cell r="H398">
            <v>-1554898.03</v>
          </cell>
        </row>
        <row r="399">
          <cell r="G399">
            <v>-952943.05</v>
          </cell>
          <cell r="H399">
            <v>-7263130.0499999998</v>
          </cell>
        </row>
        <row r="400">
          <cell r="B400">
            <v>201</v>
          </cell>
          <cell r="D400" t="str">
            <v>Autre Débiteur Sect Participat</v>
          </cell>
          <cell r="G400">
            <v>0</v>
          </cell>
        </row>
        <row r="401">
          <cell r="G401">
            <v>0</v>
          </cell>
          <cell r="H401">
            <v>0</v>
          </cell>
        </row>
        <row r="402">
          <cell r="B402">
            <v>270</v>
          </cell>
          <cell r="D402" t="str">
            <v>Charge À Payer Sect Participat</v>
          </cell>
          <cell r="G402">
            <v>-1148376</v>
          </cell>
          <cell r="H402">
            <v>0</v>
          </cell>
        </row>
        <row r="403">
          <cell r="B403">
            <v>270</v>
          </cell>
          <cell r="D403" t="str">
            <v>Charge À Payer Sect Participat</v>
          </cell>
          <cell r="G403">
            <v>-1148376</v>
          </cell>
          <cell r="H403">
            <v>0</v>
          </cell>
        </row>
        <row r="404">
          <cell r="G404">
            <v>-2296752</v>
          </cell>
          <cell r="H404">
            <v>0</v>
          </cell>
        </row>
        <row r="405">
          <cell r="B405">
            <v>35</v>
          </cell>
          <cell r="D405" t="str">
            <v>Produits À Recevoir Sect Part</v>
          </cell>
          <cell r="G405">
            <v>0</v>
          </cell>
          <cell r="H405">
            <v>69740.240000000005</v>
          </cell>
        </row>
        <row r="406">
          <cell r="B406">
            <v>122</v>
          </cell>
          <cell r="D406" t="str">
            <v>Produits À Recevoir Sect Part</v>
          </cell>
          <cell r="G406">
            <v>0</v>
          </cell>
          <cell r="H406">
            <v>0</v>
          </cell>
        </row>
        <row r="407">
          <cell r="B407">
            <v>201</v>
          </cell>
          <cell r="D407" t="str">
            <v>Produits À Recevoir Sect Part</v>
          </cell>
          <cell r="G407">
            <v>0</v>
          </cell>
        </row>
        <row r="408">
          <cell r="B408">
            <v>201</v>
          </cell>
          <cell r="D408" t="str">
            <v>Produits À Recevoir Sect Part</v>
          </cell>
          <cell r="G408">
            <v>0</v>
          </cell>
        </row>
        <row r="409">
          <cell r="B409">
            <v>201</v>
          </cell>
          <cell r="D409" t="str">
            <v>Produits À Recevoir Sect Part</v>
          </cell>
          <cell r="G409">
            <v>0</v>
          </cell>
        </row>
        <row r="410">
          <cell r="B410">
            <v>201</v>
          </cell>
          <cell r="D410" t="str">
            <v>Produits À Recevoir Sect Part</v>
          </cell>
          <cell r="G410">
            <v>0</v>
          </cell>
          <cell r="H410">
            <v>0</v>
          </cell>
        </row>
        <row r="411">
          <cell r="B411">
            <v>201</v>
          </cell>
          <cell r="D411" t="str">
            <v>Produits À Recevoir Sect Part</v>
          </cell>
          <cell r="H411">
            <v>0</v>
          </cell>
        </row>
        <row r="412">
          <cell r="B412">
            <v>201</v>
          </cell>
          <cell r="D412" t="str">
            <v>Produits À Recevoir Sect Part</v>
          </cell>
          <cell r="G412">
            <v>0</v>
          </cell>
          <cell r="H412">
            <v>0</v>
          </cell>
        </row>
        <row r="413">
          <cell r="B413">
            <v>201</v>
          </cell>
          <cell r="D413" t="str">
            <v>Produits À Recevoir Sect Part</v>
          </cell>
          <cell r="G413">
            <v>0</v>
          </cell>
        </row>
        <row r="414">
          <cell r="B414">
            <v>201</v>
          </cell>
          <cell r="D414" t="str">
            <v>Produits À Recevoir Sect Part</v>
          </cell>
          <cell r="G414">
            <v>0</v>
          </cell>
        </row>
        <row r="415">
          <cell r="B415">
            <v>201</v>
          </cell>
          <cell r="D415" t="str">
            <v>Produits À Recevoir Sect Part</v>
          </cell>
          <cell r="G415">
            <v>0</v>
          </cell>
          <cell r="H415">
            <v>0</v>
          </cell>
        </row>
        <row r="416">
          <cell r="B416">
            <v>201</v>
          </cell>
          <cell r="D416" t="str">
            <v>Produits À Recevoir Sect Part</v>
          </cell>
          <cell r="G416">
            <v>0</v>
          </cell>
          <cell r="H416">
            <v>0</v>
          </cell>
        </row>
        <row r="417">
          <cell r="B417">
            <v>201</v>
          </cell>
          <cell r="D417" t="str">
            <v>Produits À Recevoir Sect Part</v>
          </cell>
          <cell r="G417">
            <v>0</v>
          </cell>
          <cell r="H417">
            <v>0</v>
          </cell>
        </row>
        <row r="418">
          <cell r="B418">
            <v>201</v>
          </cell>
          <cell r="D418" t="str">
            <v>Produits À Recevoir Sect Part</v>
          </cell>
          <cell r="G418">
            <v>0</v>
          </cell>
          <cell r="H418">
            <v>0</v>
          </cell>
        </row>
        <row r="419">
          <cell r="B419">
            <v>201</v>
          </cell>
          <cell r="D419" t="str">
            <v>Produits À Recevoir Sect Part</v>
          </cell>
          <cell r="G419">
            <v>0</v>
          </cell>
          <cell r="H419">
            <v>0</v>
          </cell>
        </row>
        <row r="420">
          <cell r="B420">
            <v>201</v>
          </cell>
          <cell r="D420" t="str">
            <v>Produits À Recevoir Sect Part</v>
          </cell>
          <cell r="G420">
            <v>0</v>
          </cell>
          <cell r="H420">
            <v>0</v>
          </cell>
        </row>
        <row r="421">
          <cell r="B421">
            <v>201</v>
          </cell>
          <cell r="D421" t="str">
            <v>Produits À Recevoir Sect Part</v>
          </cell>
          <cell r="H421">
            <v>0</v>
          </cell>
        </row>
        <row r="422">
          <cell r="B422">
            <v>201</v>
          </cell>
          <cell r="D422" t="str">
            <v>Produits À Recevoir Sect Part</v>
          </cell>
          <cell r="G422">
            <v>0</v>
          </cell>
          <cell r="H422">
            <v>0</v>
          </cell>
        </row>
        <row r="423">
          <cell r="B423">
            <v>201</v>
          </cell>
          <cell r="D423" t="str">
            <v>Produits À Recevoir Sect Part</v>
          </cell>
          <cell r="G423">
            <v>0</v>
          </cell>
          <cell r="H423">
            <v>0</v>
          </cell>
        </row>
        <row r="424">
          <cell r="B424">
            <v>201</v>
          </cell>
          <cell r="D424" t="str">
            <v>Produits À Recevoir Sect Part</v>
          </cell>
          <cell r="H424">
            <v>0</v>
          </cell>
        </row>
        <row r="425">
          <cell r="B425">
            <v>201</v>
          </cell>
          <cell r="D425" t="str">
            <v>Produits À Recevoir Sect Part</v>
          </cell>
          <cell r="G425">
            <v>0</v>
          </cell>
        </row>
        <row r="426">
          <cell r="B426">
            <v>201</v>
          </cell>
          <cell r="D426" t="str">
            <v>Produits À Recevoir Sect Part</v>
          </cell>
          <cell r="G426">
            <v>0</v>
          </cell>
          <cell r="H426">
            <v>0</v>
          </cell>
        </row>
        <row r="427">
          <cell r="B427">
            <v>201</v>
          </cell>
          <cell r="D427" t="str">
            <v>Produits À Recevoir Sect Part</v>
          </cell>
          <cell r="G427">
            <v>-0.03</v>
          </cell>
          <cell r="H427">
            <v>0</v>
          </cell>
        </row>
        <row r="428">
          <cell r="B428">
            <v>201</v>
          </cell>
          <cell r="D428" t="str">
            <v>Produits À Recevoir Sect Part</v>
          </cell>
          <cell r="G428">
            <v>0</v>
          </cell>
          <cell r="H428">
            <v>0</v>
          </cell>
        </row>
        <row r="429">
          <cell r="B429">
            <v>201</v>
          </cell>
          <cell r="D429" t="str">
            <v>Produits À Recevoir Sect Part</v>
          </cell>
          <cell r="G429">
            <v>1204.3499999999999</v>
          </cell>
          <cell r="H429">
            <v>1204.3499999999999</v>
          </cell>
        </row>
        <row r="430">
          <cell r="B430">
            <v>201</v>
          </cell>
          <cell r="D430" t="str">
            <v>Produits À Recevoir Sect Part</v>
          </cell>
          <cell r="G430">
            <v>0</v>
          </cell>
        </row>
        <row r="431">
          <cell r="B431">
            <v>201</v>
          </cell>
          <cell r="D431" t="str">
            <v>Produits À Recevoir Sect Part</v>
          </cell>
          <cell r="H431">
            <v>0</v>
          </cell>
        </row>
        <row r="432">
          <cell r="B432">
            <v>201</v>
          </cell>
          <cell r="D432" t="str">
            <v>Produits À Recevoir Sect Part</v>
          </cell>
          <cell r="G432">
            <v>0</v>
          </cell>
          <cell r="H432">
            <v>0</v>
          </cell>
        </row>
        <row r="433">
          <cell r="B433">
            <v>208</v>
          </cell>
          <cell r="D433" t="str">
            <v>Produits À Recevoir Sect Part</v>
          </cell>
          <cell r="G433">
            <v>0</v>
          </cell>
          <cell r="H433">
            <v>0</v>
          </cell>
        </row>
        <row r="434">
          <cell r="B434">
            <v>209</v>
          </cell>
          <cell r="D434" t="str">
            <v>Produits À Recevoir Sect Part</v>
          </cell>
          <cell r="G434">
            <v>0</v>
          </cell>
          <cell r="H434">
            <v>0</v>
          </cell>
        </row>
        <row r="435">
          <cell r="B435">
            <v>220</v>
          </cell>
          <cell r="D435" t="str">
            <v>Produits À Recevoir Sect Part</v>
          </cell>
          <cell r="G435">
            <v>0</v>
          </cell>
          <cell r="H435">
            <v>0</v>
          </cell>
        </row>
        <row r="436">
          <cell r="B436">
            <v>270</v>
          </cell>
          <cell r="D436" t="str">
            <v>Produits À Recevoir Sect Part</v>
          </cell>
          <cell r="G436">
            <v>0</v>
          </cell>
          <cell r="H436">
            <v>0</v>
          </cell>
        </row>
        <row r="437">
          <cell r="B437">
            <v>270</v>
          </cell>
          <cell r="D437" t="str">
            <v>Produits À Recevoir Sect Part</v>
          </cell>
          <cell r="G437">
            <v>25291.29</v>
          </cell>
          <cell r="H437">
            <v>25291.29</v>
          </cell>
        </row>
        <row r="438">
          <cell r="B438">
            <v>294</v>
          </cell>
          <cell r="D438" t="str">
            <v>Produits À Recevoir Sect Part</v>
          </cell>
          <cell r="G438">
            <v>0</v>
          </cell>
          <cell r="H438">
            <v>0</v>
          </cell>
        </row>
        <row r="439">
          <cell r="B439">
            <v>295</v>
          </cell>
          <cell r="D439" t="str">
            <v>Produits À Recevoir Sect Part</v>
          </cell>
          <cell r="G439">
            <v>0</v>
          </cell>
          <cell r="H439">
            <v>0</v>
          </cell>
        </row>
        <row r="440">
          <cell r="D440" t="str">
            <v>Produits À Recevoir Sect Part</v>
          </cell>
          <cell r="G440">
            <v>4677304.71</v>
          </cell>
          <cell r="H440">
            <v>5973151.0899999999</v>
          </cell>
        </row>
        <row r="441">
          <cell r="G441">
            <v>4703800.32</v>
          </cell>
          <cell r="H441">
            <v>6069386.9699999997</v>
          </cell>
        </row>
        <row r="442">
          <cell r="B442">
            <v>201</v>
          </cell>
          <cell r="D442" t="str">
            <v>Icne S/Avce Placmt Sté Immobil</v>
          </cell>
          <cell r="H442">
            <v>9927516.6600000001</v>
          </cell>
        </row>
        <row r="443">
          <cell r="B443">
            <v>201</v>
          </cell>
          <cell r="D443" t="str">
            <v>Icne S/Avce Placmt Sté Immobil</v>
          </cell>
          <cell r="H443">
            <v>7018861.96</v>
          </cell>
        </row>
        <row r="444">
          <cell r="B444">
            <v>201</v>
          </cell>
          <cell r="D444" t="str">
            <v>Icne S/Avce Placmt Sté Immobil</v>
          </cell>
          <cell r="G444">
            <v>1250</v>
          </cell>
          <cell r="H444">
            <v>1003.68</v>
          </cell>
        </row>
        <row r="445">
          <cell r="B445">
            <v>201</v>
          </cell>
          <cell r="D445" t="str">
            <v>Icne S/Avce Placmt Sté Immobil</v>
          </cell>
          <cell r="G445">
            <v>240</v>
          </cell>
          <cell r="H445">
            <v>60</v>
          </cell>
        </row>
        <row r="446">
          <cell r="B446">
            <v>201</v>
          </cell>
          <cell r="D446" t="str">
            <v>Icne S/Avce Placmt Sté Immobil</v>
          </cell>
          <cell r="G446">
            <v>2065000</v>
          </cell>
          <cell r="H446">
            <v>1400000</v>
          </cell>
        </row>
        <row r="447">
          <cell r="B447">
            <v>201</v>
          </cell>
          <cell r="D447" t="str">
            <v>Icne S/Avce Placmt Sté Immobil</v>
          </cell>
          <cell r="G447">
            <v>660</v>
          </cell>
          <cell r="H447">
            <v>619.04</v>
          </cell>
        </row>
        <row r="448">
          <cell r="B448">
            <v>201</v>
          </cell>
          <cell r="D448" t="str">
            <v>Icne S/Avce Placmt Sté Immobil</v>
          </cell>
          <cell r="H448">
            <v>4358517.4000000004</v>
          </cell>
        </row>
        <row r="449">
          <cell r="B449">
            <v>201</v>
          </cell>
          <cell r="D449" t="str">
            <v>Icne S/Avce Placmt Sté Immobil</v>
          </cell>
          <cell r="H449">
            <v>191414.98</v>
          </cell>
        </row>
        <row r="450">
          <cell r="B450">
            <v>270</v>
          </cell>
          <cell r="D450" t="str">
            <v>Icne S/Avce Placmt Sté Immobil</v>
          </cell>
          <cell r="G450">
            <v>1450000</v>
          </cell>
          <cell r="H450">
            <v>1778200</v>
          </cell>
        </row>
        <row r="451">
          <cell r="B451">
            <v>270</v>
          </cell>
          <cell r="D451" t="str">
            <v>Icne S/Avce Placmt Sté Immobil</v>
          </cell>
          <cell r="H451">
            <v>63700</v>
          </cell>
        </row>
        <row r="452">
          <cell r="B452">
            <v>270</v>
          </cell>
          <cell r="D452" t="str">
            <v>Icne S/Avce Placmt Sté Immobil</v>
          </cell>
          <cell r="G452">
            <v>700000</v>
          </cell>
          <cell r="H452">
            <v>674455</v>
          </cell>
        </row>
        <row r="453">
          <cell r="B453">
            <v>270</v>
          </cell>
          <cell r="D453" t="str">
            <v>Icne S/Avce Placmt Sté Immobil</v>
          </cell>
          <cell r="H453">
            <v>360000</v>
          </cell>
        </row>
        <row r="454">
          <cell r="B454">
            <v>270</v>
          </cell>
          <cell r="D454" t="str">
            <v>Icne S/Avce Placmt Sté Immobil</v>
          </cell>
          <cell r="H454">
            <v>1400000</v>
          </cell>
        </row>
        <row r="455">
          <cell r="B455">
            <v>270</v>
          </cell>
          <cell r="D455" t="str">
            <v>Icne S/Avce Placmt Sté Immobil</v>
          </cell>
          <cell r="G455">
            <v>1578045.57</v>
          </cell>
          <cell r="H455">
            <v>1034000</v>
          </cell>
        </row>
        <row r="456">
          <cell r="B456">
            <v>270</v>
          </cell>
          <cell r="D456" t="str">
            <v>Icne S/Avce Placmt Sté Immobil</v>
          </cell>
          <cell r="H456">
            <v>298305.89</v>
          </cell>
        </row>
        <row r="457">
          <cell r="B457">
            <v>270</v>
          </cell>
          <cell r="D457" t="str">
            <v>Icne S/Avce Placmt Sté Immobil</v>
          </cell>
          <cell r="H457">
            <v>0</v>
          </cell>
        </row>
        <row r="458">
          <cell r="B458">
            <v>270</v>
          </cell>
          <cell r="D458" t="str">
            <v>Icne S/Avce Placmt Sté Immobil</v>
          </cell>
          <cell r="G458">
            <v>1394224.24</v>
          </cell>
          <cell r="H458">
            <v>1335892</v>
          </cell>
        </row>
        <row r="459">
          <cell r="B459">
            <v>270</v>
          </cell>
          <cell r="D459" t="str">
            <v>Icne S/Avce Placmt Sté Immobil</v>
          </cell>
          <cell r="H459">
            <v>108800</v>
          </cell>
        </row>
        <row r="460">
          <cell r="B460">
            <v>270</v>
          </cell>
          <cell r="D460" t="str">
            <v>Icne S/Avce Placmt Sté Immobil</v>
          </cell>
          <cell r="G460">
            <v>1230000</v>
          </cell>
          <cell r="H460">
            <v>2380000</v>
          </cell>
        </row>
        <row r="461">
          <cell r="B461">
            <v>270</v>
          </cell>
          <cell r="D461" t="str">
            <v>Icne S/Avce Placmt Sté Immobil</v>
          </cell>
          <cell r="G461">
            <v>3900000</v>
          </cell>
          <cell r="H461">
            <v>4100000</v>
          </cell>
        </row>
        <row r="462">
          <cell r="B462">
            <v>270</v>
          </cell>
          <cell r="D462" t="str">
            <v>Icne S/Avce Placmt Sté Immobil</v>
          </cell>
          <cell r="H462">
            <v>457000</v>
          </cell>
        </row>
        <row r="463">
          <cell r="B463">
            <v>270</v>
          </cell>
          <cell r="D463" t="str">
            <v>Icne S/Avce Placmt Sté Immobil</v>
          </cell>
          <cell r="G463">
            <v>13680</v>
          </cell>
          <cell r="H463">
            <v>12999.94</v>
          </cell>
        </row>
        <row r="464">
          <cell r="B464">
            <v>270</v>
          </cell>
          <cell r="D464" t="str">
            <v>Icne S/Avce Placmt Sté Immobil</v>
          </cell>
          <cell r="H464">
            <v>650000</v>
          </cell>
        </row>
        <row r="465">
          <cell r="G465">
            <v>12333099.810000001</v>
          </cell>
          <cell r="H465">
            <v>37551346.549999997</v>
          </cell>
        </row>
        <row r="466">
          <cell r="B466">
            <v>201</v>
          </cell>
          <cell r="D466" t="str">
            <v>Icne S/Avce Placmt Divers</v>
          </cell>
          <cell r="G466">
            <v>2491562.71</v>
          </cell>
          <cell r="H466">
            <v>0</v>
          </cell>
        </row>
        <row r="467">
          <cell r="B467">
            <v>201</v>
          </cell>
          <cell r="D467" t="str">
            <v>Icne S/Avce Placmt Divers</v>
          </cell>
          <cell r="G467">
            <v>0</v>
          </cell>
          <cell r="H467">
            <v>0</v>
          </cell>
        </row>
        <row r="468">
          <cell r="B468">
            <v>270</v>
          </cell>
          <cell r="D468" t="str">
            <v>Icne S/Avce Placmt Divers</v>
          </cell>
          <cell r="G468">
            <v>0</v>
          </cell>
          <cell r="H468">
            <v>0</v>
          </cell>
        </row>
        <row r="469">
          <cell r="G469">
            <v>2491562.71</v>
          </cell>
          <cell r="H469">
            <v>0</v>
          </cell>
        </row>
        <row r="470">
          <cell r="B470">
            <v>35</v>
          </cell>
          <cell r="D470" t="str">
            <v>A1200 Banque Cdc Participation</v>
          </cell>
          <cell r="G470">
            <v>64937.4</v>
          </cell>
          <cell r="H470">
            <v>-497919.35</v>
          </cell>
        </row>
        <row r="471">
          <cell r="B471">
            <v>122</v>
          </cell>
          <cell r="D471" t="str">
            <v>A1200 Banque Cdc Participation</v>
          </cell>
          <cell r="G471">
            <v>539724.17000000004</v>
          </cell>
          <cell r="H471">
            <v>985850.27</v>
          </cell>
        </row>
        <row r="472">
          <cell r="B472">
            <v>201</v>
          </cell>
          <cell r="D472" t="str">
            <v>A1200 Banque Cdc Participation</v>
          </cell>
          <cell r="G472">
            <v>4146679.7</v>
          </cell>
          <cell r="H472">
            <v>4235629.8899999997</v>
          </cell>
        </row>
        <row r="473">
          <cell r="B473">
            <v>201</v>
          </cell>
          <cell r="D473" t="str">
            <v>A1200 Banque Cdc Participation</v>
          </cell>
          <cell r="G473">
            <v>2955223.51</v>
          </cell>
          <cell r="H473">
            <v>2955223.51</v>
          </cell>
        </row>
        <row r="474">
          <cell r="B474">
            <v>201</v>
          </cell>
          <cell r="D474" t="str">
            <v>A1200 Banque Cdc Participation</v>
          </cell>
          <cell r="G474">
            <v>-1577036.06</v>
          </cell>
          <cell r="H474">
            <v>-6348287.0599999996</v>
          </cell>
        </row>
        <row r="475">
          <cell r="B475">
            <v>201</v>
          </cell>
          <cell r="D475" t="str">
            <v>A1200 Banque Cdc Participation</v>
          </cell>
          <cell r="G475">
            <v>-990.92</v>
          </cell>
          <cell r="H475">
            <v>-990.92</v>
          </cell>
        </row>
        <row r="476">
          <cell r="B476">
            <v>201</v>
          </cell>
          <cell r="D476" t="str">
            <v>A1200 Banque Cdc Participation</v>
          </cell>
          <cell r="G476">
            <v>-35718532.579999998</v>
          </cell>
          <cell r="H476">
            <v>-35057124.950000003</v>
          </cell>
        </row>
        <row r="477">
          <cell r="B477">
            <v>201</v>
          </cell>
          <cell r="D477" t="str">
            <v>A1200 Banque Cdc Participation</v>
          </cell>
          <cell r="H477">
            <v>2143500</v>
          </cell>
        </row>
        <row r="478">
          <cell r="B478">
            <v>201</v>
          </cell>
          <cell r="D478" t="str">
            <v>A1200 Banque Cdc Participation</v>
          </cell>
          <cell r="G478">
            <v>-33805.57</v>
          </cell>
          <cell r="H478">
            <v>-33805.57</v>
          </cell>
        </row>
        <row r="479">
          <cell r="B479">
            <v>201</v>
          </cell>
          <cell r="D479" t="str">
            <v>A1200 Banque Cdc Participation</v>
          </cell>
          <cell r="G479">
            <v>791.31</v>
          </cell>
          <cell r="H479">
            <v>846.81</v>
          </cell>
        </row>
        <row r="480">
          <cell r="B480">
            <v>201</v>
          </cell>
          <cell r="D480" t="str">
            <v>A1200 Banque Cdc Participation</v>
          </cell>
          <cell r="H480">
            <v>-292236.90000000002</v>
          </cell>
        </row>
        <row r="481">
          <cell r="B481">
            <v>201</v>
          </cell>
          <cell r="D481" t="str">
            <v>A1200 Banque Cdc Participation</v>
          </cell>
          <cell r="G481">
            <v>19513.47</v>
          </cell>
          <cell r="H481">
            <v>19513.47</v>
          </cell>
        </row>
        <row r="482">
          <cell r="B482">
            <v>201</v>
          </cell>
          <cell r="D482" t="str">
            <v>A1200 Banque Cdc Participation</v>
          </cell>
          <cell r="G482">
            <v>-49782.21</v>
          </cell>
          <cell r="H482">
            <v>-49782.21</v>
          </cell>
        </row>
        <row r="483">
          <cell r="B483">
            <v>201</v>
          </cell>
          <cell r="D483" t="str">
            <v>A1200 Banque Cdc Participation</v>
          </cell>
          <cell r="G483">
            <v>-42700</v>
          </cell>
          <cell r="H483">
            <v>-42700</v>
          </cell>
        </row>
        <row r="484">
          <cell r="B484">
            <v>201</v>
          </cell>
          <cell r="D484" t="str">
            <v>A1200 Banque Cdc Participation</v>
          </cell>
          <cell r="H484">
            <v>0</v>
          </cell>
        </row>
        <row r="485">
          <cell r="B485">
            <v>201</v>
          </cell>
          <cell r="D485" t="str">
            <v>A1200 Banque Cdc Participation</v>
          </cell>
          <cell r="H485">
            <v>-220044</v>
          </cell>
        </row>
        <row r="486">
          <cell r="B486">
            <v>201</v>
          </cell>
          <cell r="D486" t="str">
            <v>A1200 Banque Cdc Participation</v>
          </cell>
          <cell r="G486">
            <v>84865.32</v>
          </cell>
          <cell r="H486">
            <v>84865.32</v>
          </cell>
        </row>
        <row r="487">
          <cell r="B487">
            <v>201</v>
          </cell>
          <cell r="D487" t="str">
            <v>A1200 Banque Cdc Participation</v>
          </cell>
          <cell r="G487">
            <v>103769</v>
          </cell>
          <cell r="H487">
            <v>103769</v>
          </cell>
        </row>
        <row r="488">
          <cell r="B488">
            <v>201</v>
          </cell>
          <cell r="D488" t="str">
            <v>A1200 Banque Cdc Participation</v>
          </cell>
          <cell r="G488">
            <v>-134930302.97</v>
          </cell>
          <cell r="H488">
            <v>-134347538.97</v>
          </cell>
        </row>
        <row r="489">
          <cell r="B489">
            <v>201</v>
          </cell>
          <cell r="D489" t="str">
            <v>A1200 Banque Cdc Participation</v>
          </cell>
          <cell r="G489">
            <v>301849.05</v>
          </cell>
          <cell r="H489">
            <v>301849.05</v>
          </cell>
        </row>
        <row r="490">
          <cell r="B490">
            <v>201</v>
          </cell>
          <cell r="D490" t="str">
            <v>A1200 Banque Cdc Participation</v>
          </cell>
          <cell r="G490">
            <v>-32467511.18</v>
          </cell>
          <cell r="H490">
            <v>-31887701.649999999</v>
          </cell>
        </row>
        <row r="491">
          <cell r="B491">
            <v>201</v>
          </cell>
          <cell r="D491" t="str">
            <v>A1200 Banque Cdc Participation</v>
          </cell>
          <cell r="G491">
            <v>-3219597.41</v>
          </cell>
          <cell r="H491">
            <v>-1791446.73</v>
          </cell>
        </row>
        <row r="492">
          <cell r="B492">
            <v>201</v>
          </cell>
          <cell r="D492" t="str">
            <v>A1200 Banque Cdc Participation</v>
          </cell>
          <cell r="H492">
            <v>-722081.45</v>
          </cell>
        </row>
        <row r="493">
          <cell r="B493">
            <v>201</v>
          </cell>
          <cell r="D493" t="str">
            <v>A1200 Banque Cdc Participation</v>
          </cell>
          <cell r="G493">
            <v>3854452.13</v>
          </cell>
          <cell r="H493">
            <v>11328273.59</v>
          </cell>
        </row>
        <row r="494">
          <cell r="B494">
            <v>201</v>
          </cell>
          <cell r="D494" t="str">
            <v>A1200 Banque Cdc Participation</v>
          </cell>
          <cell r="G494">
            <v>72580.47</v>
          </cell>
          <cell r="H494">
            <v>114967.97</v>
          </cell>
        </row>
        <row r="495">
          <cell r="B495">
            <v>201</v>
          </cell>
          <cell r="D495" t="str">
            <v>A1200 Banque Cdc Participation</v>
          </cell>
          <cell r="G495">
            <v>18992866.260000002</v>
          </cell>
          <cell r="H495">
            <v>21798223.359999999</v>
          </cell>
        </row>
        <row r="496">
          <cell r="B496">
            <v>201</v>
          </cell>
          <cell r="D496" t="str">
            <v>A1200 Banque Cdc Participation</v>
          </cell>
          <cell r="H496">
            <v>1265.0999999999999</v>
          </cell>
        </row>
        <row r="497">
          <cell r="B497">
            <v>201</v>
          </cell>
          <cell r="D497" t="str">
            <v>A1200 Banque Cdc Participation</v>
          </cell>
          <cell r="G497">
            <v>17074289.93</v>
          </cell>
          <cell r="H497">
            <v>17074289.93</v>
          </cell>
        </row>
        <row r="498">
          <cell r="B498">
            <v>201</v>
          </cell>
          <cell r="D498" t="str">
            <v>A1200 Banque Cdc Participation</v>
          </cell>
          <cell r="G498">
            <v>22867352.59</v>
          </cell>
          <cell r="H498">
            <v>22867352.59</v>
          </cell>
        </row>
        <row r="499">
          <cell r="B499">
            <v>201</v>
          </cell>
          <cell r="D499" t="str">
            <v>A1200 Banque Cdc Participation</v>
          </cell>
          <cell r="G499">
            <v>7820634.5800000001</v>
          </cell>
          <cell r="H499">
            <v>10610634.58</v>
          </cell>
        </row>
        <row r="500">
          <cell r="B500">
            <v>201</v>
          </cell>
          <cell r="D500" t="str">
            <v>A1200 Banque Cdc Participation</v>
          </cell>
          <cell r="G500">
            <v>-7576716.1600000001</v>
          </cell>
          <cell r="H500">
            <v>-7576716.1600000001</v>
          </cell>
        </row>
        <row r="501">
          <cell r="B501">
            <v>201</v>
          </cell>
          <cell r="D501" t="str">
            <v>A1200 Banque Cdc Participation</v>
          </cell>
          <cell r="H501">
            <v>452693.89</v>
          </cell>
        </row>
        <row r="502">
          <cell r="B502">
            <v>201</v>
          </cell>
          <cell r="D502" t="str">
            <v>A1200 Banque Cdc Participation</v>
          </cell>
          <cell r="G502">
            <v>44438.89</v>
          </cell>
          <cell r="H502">
            <v>44438.89</v>
          </cell>
        </row>
        <row r="503">
          <cell r="B503">
            <v>201</v>
          </cell>
          <cell r="D503" t="str">
            <v>A1200 Banque Cdc Participation</v>
          </cell>
          <cell r="G503">
            <v>-264439.09000000003</v>
          </cell>
          <cell r="H503">
            <v>-1429330.09</v>
          </cell>
        </row>
        <row r="504">
          <cell r="B504">
            <v>201</v>
          </cell>
          <cell r="D504" t="str">
            <v>A1200 Banque Cdc Participation</v>
          </cell>
          <cell r="H504">
            <v>-627593.49</v>
          </cell>
        </row>
        <row r="505">
          <cell r="B505">
            <v>201</v>
          </cell>
          <cell r="D505" t="str">
            <v>A1200 Banque Cdc Participation</v>
          </cell>
          <cell r="G505">
            <v>-109763185.41</v>
          </cell>
          <cell r="H505">
            <v>-87988013.170000002</v>
          </cell>
        </row>
        <row r="506">
          <cell r="B506">
            <v>201</v>
          </cell>
          <cell r="D506" t="str">
            <v>A1200 Banque Cdc Participation</v>
          </cell>
          <cell r="G506">
            <v>-501596</v>
          </cell>
          <cell r="H506">
            <v>-751596</v>
          </cell>
        </row>
        <row r="507">
          <cell r="B507">
            <v>201</v>
          </cell>
          <cell r="D507" t="str">
            <v>A1200 Banque Cdc Participation</v>
          </cell>
          <cell r="G507">
            <v>-12500</v>
          </cell>
          <cell r="H507">
            <v>-12500</v>
          </cell>
        </row>
        <row r="508">
          <cell r="B508">
            <v>201</v>
          </cell>
          <cell r="D508" t="str">
            <v>A1200 Banque Cdc Participation</v>
          </cell>
          <cell r="G508">
            <v>579161.44999999995</v>
          </cell>
          <cell r="H508">
            <v>579161.44999999995</v>
          </cell>
        </row>
        <row r="509">
          <cell r="B509">
            <v>201</v>
          </cell>
          <cell r="D509" t="str">
            <v>A1200 Banque Cdc Participation</v>
          </cell>
          <cell r="G509">
            <v>87341.09</v>
          </cell>
          <cell r="H509">
            <v>90919.1</v>
          </cell>
        </row>
        <row r="510">
          <cell r="B510">
            <v>201</v>
          </cell>
          <cell r="D510" t="str">
            <v>A1200 Banque Cdc Participation</v>
          </cell>
          <cell r="G510">
            <v>-22867.35</v>
          </cell>
          <cell r="H510">
            <v>-22867.35</v>
          </cell>
        </row>
        <row r="511">
          <cell r="B511">
            <v>201</v>
          </cell>
          <cell r="D511" t="str">
            <v>A1200 Banque Cdc Participation</v>
          </cell>
          <cell r="G511">
            <v>-2175000</v>
          </cell>
          <cell r="H511">
            <v>-3375000</v>
          </cell>
        </row>
        <row r="512">
          <cell r="B512">
            <v>201</v>
          </cell>
          <cell r="D512" t="str">
            <v>A1200 Banque Cdc Participation</v>
          </cell>
          <cell r="G512">
            <v>-3473550.86</v>
          </cell>
          <cell r="H512">
            <v>-3339486.86</v>
          </cell>
        </row>
        <row r="513">
          <cell r="B513">
            <v>201</v>
          </cell>
          <cell r="D513" t="str">
            <v>A1200 Banque Cdc Participation</v>
          </cell>
          <cell r="G513">
            <v>-1749600</v>
          </cell>
          <cell r="H513">
            <v>-1749600</v>
          </cell>
        </row>
        <row r="514">
          <cell r="B514">
            <v>201</v>
          </cell>
          <cell r="D514" t="str">
            <v>A1200 Banque Cdc Participation</v>
          </cell>
          <cell r="G514">
            <v>12742749.33</v>
          </cell>
          <cell r="H514">
            <v>12742749.33</v>
          </cell>
        </row>
        <row r="515">
          <cell r="B515">
            <v>201</v>
          </cell>
          <cell r="D515" t="str">
            <v>A1200 Banque Cdc Participation</v>
          </cell>
          <cell r="G515">
            <v>254553.76</v>
          </cell>
          <cell r="H515">
            <v>207613.76</v>
          </cell>
        </row>
        <row r="516">
          <cell r="B516">
            <v>201</v>
          </cell>
          <cell r="D516" t="str">
            <v>A1200 Banque Cdc Participation</v>
          </cell>
          <cell r="G516">
            <v>39941</v>
          </cell>
          <cell r="H516">
            <v>33565.370000000003</v>
          </cell>
        </row>
        <row r="517">
          <cell r="B517">
            <v>201</v>
          </cell>
          <cell r="D517" t="str">
            <v>A1200 Banque Cdc Participation</v>
          </cell>
          <cell r="G517">
            <v>-136170</v>
          </cell>
          <cell r="H517">
            <v>-136170</v>
          </cell>
        </row>
        <row r="518">
          <cell r="B518">
            <v>201</v>
          </cell>
          <cell r="D518" t="str">
            <v>A1200 Banque Cdc Participation</v>
          </cell>
          <cell r="G518">
            <v>-2000000</v>
          </cell>
          <cell r="H518">
            <v>-2000000</v>
          </cell>
        </row>
        <row r="519">
          <cell r="B519">
            <v>201</v>
          </cell>
          <cell r="D519" t="str">
            <v>A1200 Banque Cdc Participation</v>
          </cell>
          <cell r="G519">
            <v>-143592.49</v>
          </cell>
          <cell r="H519">
            <v>90501.26</v>
          </cell>
        </row>
        <row r="520">
          <cell r="B520">
            <v>201</v>
          </cell>
          <cell r="D520" t="str">
            <v>A1200 Banque Cdc Participation</v>
          </cell>
          <cell r="G520">
            <v>-553938</v>
          </cell>
          <cell r="H520">
            <v>-553938</v>
          </cell>
        </row>
        <row r="521">
          <cell r="B521">
            <v>201</v>
          </cell>
          <cell r="D521" t="str">
            <v>A1200 Banque Cdc Participation</v>
          </cell>
          <cell r="G521">
            <v>652176.13</v>
          </cell>
          <cell r="H521">
            <v>1592643.92</v>
          </cell>
        </row>
        <row r="522">
          <cell r="B522">
            <v>201</v>
          </cell>
          <cell r="D522" t="str">
            <v>A1200 Banque Cdc Participation</v>
          </cell>
          <cell r="G522">
            <v>151638.81</v>
          </cell>
          <cell r="H522">
            <v>527697.64</v>
          </cell>
        </row>
        <row r="523">
          <cell r="B523">
            <v>201</v>
          </cell>
          <cell r="D523" t="str">
            <v>A1200 Banque Cdc Participation</v>
          </cell>
          <cell r="G523">
            <v>-76346.89</v>
          </cell>
          <cell r="H523">
            <v>-126346.89</v>
          </cell>
        </row>
        <row r="524">
          <cell r="B524">
            <v>201</v>
          </cell>
          <cell r="D524" t="str">
            <v>A1200 Banque Cdc Participation</v>
          </cell>
          <cell r="G524">
            <v>-2598493.5</v>
          </cell>
          <cell r="H524">
            <v>-2598493.5</v>
          </cell>
        </row>
        <row r="525">
          <cell r="B525">
            <v>201</v>
          </cell>
          <cell r="D525" t="str">
            <v>A1200 Banque Cdc Participation</v>
          </cell>
          <cell r="G525">
            <v>9988.69</v>
          </cell>
          <cell r="H525">
            <v>12555.33</v>
          </cell>
        </row>
        <row r="526">
          <cell r="B526">
            <v>201</v>
          </cell>
          <cell r="D526" t="str">
            <v>A1200 Banque Cdc Participation</v>
          </cell>
          <cell r="G526">
            <v>762.25</v>
          </cell>
          <cell r="H526">
            <v>762.25</v>
          </cell>
        </row>
        <row r="527">
          <cell r="B527">
            <v>201</v>
          </cell>
          <cell r="D527" t="str">
            <v>A1200 Banque Cdc Participation</v>
          </cell>
          <cell r="G527">
            <v>-352000</v>
          </cell>
          <cell r="H527">
            <v>-474593.46</v>
          </cell>
        </row>
        <row r="528">
          <cell r="B528">
            <v>201</v>
          </cell>
          <cell r="D528" t="str">
            <v>A1200 Banque Cdc Participation</v>
          </cell>
          <cell r="H528">
            <v>-902208</v>
          </cell>
        </row>
        <row r="529">
          <cell r="B529">
            <v>201</v>
          </cell>
          <cell r="D529" t="str">
            <v>A1200 Banque Cdc Participation</v>
          </cell>
          <cell r="G529">
            <v>-896867.69</v>
          </cell>
          <cell r="H529">
            <v>-1698334.15</v>
          </cell>
        </row>
        <row r="530">
          <cell r="B530">
            <v>201</v>
          </cell>
          <cell r="D530" t="str">
            <v>A1200 Banque Cdc Participation</v>
          </cell>
          <cell r="G530">
            <v>-182040</v>
          </cell>
          <cell r="H530">
            <v>-182040</v>
          </cell>
        </row>
        <row r="531">
          <cell r="B531">
            <v>201</v>
          </cell>
          <cell r="D531" t="str">
            <v>A1200 Banque Cdc Participation</v>
          </cell>
          <cell r="G531">
            <v>4487717.95</v>
          </cell>
          <cell r="H531">
            <v>5604917.9500000002</v>
          </cell>
        </row>
        <row r="532">
          <cell r="B532">
            <v>201</v>
          </cell>
          <cell r="D532" t="str">
            <v>A1200 Banque Cdc Participation</v>
          </cell>
          <cell r="G532">
            <v>-363099.97</v>
          </cell>
          <cell r="H532">
            <v>-457709.55</v>
          </cell>
        </row>
        <row r="533">
          <cell r="B533">
            <v>201</v>
          </cell>
          <cell r="D533" t="str">
            <v>A1200 Banque Cdc Participation</v>
          </cell>
          <cell r="H533">
            <v>3916.84</v>
          </cell>
        </row>
        <row r="534">
          <cell r="B534">
            <v>201</v>
          </cell>
          <cell r="D534" t="str">
            <v>A1200 Banque Cdc Participation</v>
          </cell>
          <cell r="H534">
            <v>-13000000</v>
          </cell>
        </row>
        <row r="535">
          <cell r="B535">
            <v>201</v>
          </cell>
          <cell r="D535" t="str">
            <v>A1200 Banque Cdc Participation</v>
          </cell>
          <cell r="G535">
            <v>3644096.19</v>
          </cell>
          <cell r="H535">
            <v>2962262.89</v>
          </cell>
        </row>
        <row r="536">
          <cell r="B536">
            <v>201</v>
          </cell>
          <cell r="D536" t="str">
            <v>A1200 Banque Cdc Participation</v>
          </cell>
          <cell r="G536">
            <v>-6641608.9900000002</v>
          </cell>
          <cell r="H536">
            <v>-7450699.9199999999</v>
          </cell>
        </row>
        <row r="537">
          <cell r="B537">
            <v>201</v>
          </cell>
          <cell r="D537" t="str">
            <v>A1200 Banque Cdc Participation</v>
          </cell>
          <cell r="G537">
            <v>20022.59</v>
          </cell>
          <cell r="H537">
            <v>26382.45</v>
          </cell>
        </row>
        <row r="538">
          <cell r="B538">
            <v>201</v>
          </cell>
          <cell r="D538" t="str">
            <v>A1200 Banque Cdc Participation</v>
          </cell>
          <cell r="H538">
            <v>-20000</v>
          </cell>
        </row>
        <row r="539">
          <cell r="B539">
            <v>201</v>
          </cell>
          <cell r="D539" t="str">
            <v>A1200 Banque Cdc Participation</v>
          </cell>
          <cell r="H539">
            <v>-40000</v>
          </cell>
        </row>
        <row r="540">
          <cell r="B540">
            <v>201</v>
          </cell>
          <cell r="D540" t="str">
            <v>A1200 Banque Cdc Participation</v>
          </cell>
          <cell r="G540">
            <v>13907.99</v>
          </cell>
          <cell r="H540">
            <v>22727.38</v>
          </cell>
        </row>
        <row r="541">
          <cell r="B541">
            <v>201</v>
          </cell>
          <cell r="D541" t="str">
            <v>A1200 Banque Cdc Participation</v>
          </cell>
          <cell r="G541">
            <v>-112378.71</v>
          </cell>
          <cell r="H541">
            <v>-538706.71</v>
          </cell>
        </row>
        <row r="542">
          <cell r="B542">
            <v>201</v>
          </cell>
          <cell r="D542" t="str">
            <v>A1200 Banque Cdc Participation</v>
          </cell>
          <cell r="G542">
            <v>-16000</v>
          </cell>
          <cell r="H542">
            <v>-16000</v>
          </cell>
        </row>
        <row r="543">
          <cell r="B543">
            <v>201</v>
          </cell>
          <cell r="D543" t="str">
            <v>A1200 Banque Cdc Participation</v>
          </cell>
          <cell r="H543">
            <v>-952292.51</v>
          </cell>
        </row>
        <row r="544">
          <cell r="B544">
            <v>201</v>
          </cell>
          <cell r="D544" t="str">
            <v>A1200 Banque Cdc Participation</v>
          </cell>
          <cell r="H544">
            <v>-2000</v>
          </cell>
        </row>
        <row r="545">
          <cell r="B545">
            <v>201</v>
          </cell>
          <cell r="D545" t="str">
            <v>A1200 Banque Cdc Participation</v>
          </cell>
          <cell r="G545">
            <v>-40767222.25</v>
          </cell>
          <cell r="H545">
            <v>-36812868.490000002</v>
          </cell>
        </row>
        <row r="546">
          <cell r="B546">
            <v>201</v>
          </cell>
          <cell r="D546" t="str">
            <v>A1200 Banque Cdc Participation</v>
          </cell>
          <cell r="G546">
            <v>14194.73</v>
          </cell>
          <cell r="H546">
            <v>14194.73</v>
          </cell>
        </row>
        <row r="547">
          <cell r="B547">
            <v>201</v>
          </cell>
          <cell r="D547" t="str">
            <v>A1200 Banque Cdc Participation</v>
          </cell>
          <cell r="H547">
            <v>58286.34</v>
          </cell>
        </row>
        <row r="548">
          <cell r="B548">
            <v>201</v>
          </cell>
          <cell r="D548" t="str">
            <v>A1200 Banque Cdc Participation</v>
          </cell>
          <cell r="G548">
            <v>-37620548.710000001</v>
          </cell>
          <cell r="H548">
            <v>-37620548.710000001</v>
          </cell>
        </row>
        <row r="549">
          <cell r="B549">
            <v>201</v>
          </cell>
          <cell r="D549" t="str">
            <v>A1200 Banque Cdc Participation</v>
          </cell>
          <cell r="G549">
            <v>66633178.700000003</v>
          </cell>
          <cell r="H549">
            <v>84783178.700000003</v>
          </cell>
        </row>
        <row r="550">
          <cell r="B550">
            <v>201</v>
          </cell>
          <cell r="D550" t="str">
            <v>A1200 Banque Cdc Participation</v>
          </cell>
          <cell r="G550">
            <v>113521.57</v>
          </cell>
          <cell r="H550">
            <v>101438.39999999999</v>
          </cell>
        </row>
        <row r="551">
          <cell r="B551">
            <v>201</v>
          </cell>
          <cell r="D551" t="str">
            <v>A1200 Banque Cdc Participation</v>
          </cell>
          <cell r="G551">
            <v>-294061.95</v>
          </cell>
          <cell r="H551">
            <v>-247121.96</v>
          </cell>
        </row>
        <row r="552">
          <cell r="B552">
            <v>201</v>
          </cell>
          <cell r="D552" t="str">
            <v>A1200 Banque Cdc Participation</v>
          </cell>
          <cell r="G552">
            <v>-39941</v>
          </cell>
          <cell r="H552">
            <v>-33565.370000000003</v>
          </cell>
        </row>
        <row r="553">
          <cell r="B553">
            <v>201</v>
          </cell>
          <cell r="D553" t="str">
            <v>A1200 Banque Cdc Participation</v>
          </cell>
          <cell r="G553">
            <v>34583.51</v>
          </cell>
          <cell r="H553">
            <v>43624.01</v>
          </cell>
        </row>
        <row r="554">
          <cell r="B554">
            <v>201</v>
          </cell>
          <cell r="D554" t="str">
            <v>A1200 Banque Cdc Participation</v>
          </cell>
          <cell r="G554">
            <v>50928.59</v>
          </cell>
          <cell r="H554">
            <v>53988.98</v>
          </cell>
        </row>
        <row r="555">
          <cell r="B555">
            <v>201</v>
          </cell>
          <cell r="D555" t="str">
            <v>A1200 Banque Cdc Participation</v>
          </cell>
          <cell r="G555">
            <v>1950545.71</v>
          </cell>
          <cell r="H555">
            <v>1950545.71</v>
          </cell>
        </row>
        <row r="556">
          <cell r="B556">
            <v>201</v>
          </cell>
          <cell r="D556" t="str">
            <v>A1200 Banque Cdc Participation</v>
          </cell>
          <cell r="G556">
            <v>11293409.01</v>
          </cell>
          <cell r="H556">
            <v>11293409.01</v>
          </cell>
        </row>
        <row r="557">
          <cell r="B557">
            <v>201</v>
          </cell>
          <cell r="D557" t="str">
            <v>A1200 Banque Cdc Participation</v>
          </cell>
          <cell r="G557">
            <v>3536866.74</v>
          </cell>
          <cell r="H557">
            <v>4434517.78</v>
          </cell>
        </row>
        <row r="558">
          <cell r="B558">
            <v>201</v>
          </cell>
          <cell r="D558" t="str">
            <v>A1200 Banque Cdc Participation</v>
          </cell>
          <cell r="G558">
            <v>-7320598</v>
          </cell>
          <cell r="H558">
            <v>-6106498</v>
          </cell>
        </row>
        <row r="559">
          <cell r="B559">
            <v>201</v>
          </cell>
          <cell r="D559" t="str">
            <v>A1200 Banque Cdc Participation</v>
          </cell>
          <cell r="G559">
            <v>-2309442.6800000002</v>
          </cell>
          <cell r="H559">
            <v>-2614340.71</v>
          </cell>
        </row>
        <row r="560">
          <cell r="B560">
            <v>201</v>
          </cell>
          <cell r="D560" t="str">
            <v>A1200 Banque Cdc Participation</v>
          </cell>
          <cell r="G560">
            <v>-38112.25</v>
          </cell>
          <cell r="H560">
            <v>-38112.25</v>
          </cell>
        </row>
        <row r="561">
          <cell r="B561">
            <v>201</v>
          </cell>
          <cell r="D561" t="str">
            <v>A1200 Banque Cdc Participation</v>
          </cell>
          <cell r="G561">
            <v>-53357.16</v>
          </cell>
          <cell r="H561">
            <v>-53357.16</v>
          </cell>
        </row>
        <row r="562">
          <cell r="B562">
            <v>201</v>
          </cell>
          <cell r="D562" t="str">
            <v>A1200 Banque Cdc Participation</v>
          </cell>
          <cell r="G562">
            <v>-11128778.26</v>
          </cell>
          <cell r="H562">
            <v>-11128778.26</v>
          </cell>
        </row>
        <row r="563">
          <cell r="B563">
            <v>201</v>
          </cell>
          <cell r="D563" t="str">
            <v>A1200 Banque Cdc Participation</v>
          </cell>
          <cell r="G563">
            <v>-15244.9</v>
          </cell>
          <cell r="H563">
            <v>-15244.9</v>
          </cell>
        </row>
        <row r="564">
          <cell r="B564">
            <v>201</v>
          </cell>
          <cell r="D564" t="str">
            <v>A1200 Banque Cdc Participation</v>
          </cell>
          <cell r="G564">
            <v>9162.44</v>
          </cell>
          <cell r="H564">
            <v>9162.44</v>
          </cell>
        </row>
        <row r="565">
          <cell r="B565">
            <v>201</v>
          </cell>
          <cell r="D565" t="str">
            <v>A1200 Banque Cdc Participation</v>
          </cell>
          <cell r="G565">
            <v>-635424.93999999994</v>
          </cell>
          <cell r="H565">
            <v>-915419.09</v>
          </cell>
        </row>
        <row r="566">
          <cell r="B566">
            <v>201</v>
          </cell>
          <cell r="D566" t="str">
            <v>A1200 Banque Cdc Participation</v>
          </cell>
          <cell r="H566">
            <v>871.42</v>
          </cell>
        </row>
        <row r="567">
          <cell r="B567">
            <v>201</v>
          </cell>
          <cell r="D567" t="str">
            <v>A1200 Banque Cdc Participation</v>
          </cell>
          <cell r="G567">
            <v>-496087.3</v>
          </cell>
          <cell r="H567">
            <v>-496087.3</v>
          </cell>
        </row>
        <row r="568">
          <cell r="B568">
            <v>201</v>
          </cell>
          <cell r="D568" t="str">
            <v>A1200 Banque Cdc Participation</v>
          </cell>
          <cell r="G568">
            <v>120834.3</v>
          </cell>
          <cell r="H568">
            <v>127592.57</v>
          </cell>
        </row>
        <row r="569">
          <cell r="B569">
            <v>201</v>
          </cell>
          <cell r="D569" t="str">
            <v>A1200 Banque Cdc Participation</v>
          </cell>
          <cell r="G569">
            <v>162020.13</v>
          </cell>
          <cell r="H569">
            <v>239090.65</v>
          </cell>
        </row>
        <row r="570">
          <cell r="B570">
            <v>208</v>
          </cell>
          <cell r="D570" t="str">
            <v>A1200 Banque Cdc Participation</v>
          </cell>
          <cell r="G570">
            <v>479626.47</v>
          </cell>
          <cell r="H570">
            <v>876076.91</v>
          </cell>
        </row>
        <row r="571">
          <cell r="B571">
            <v>209</v>
          </cell>
          <cell r="D571" t="str">
            <v>A1200 Banque Cdc Participation</v>
          </cell>
          <cell r="G571">
            <v>933811.21</v>
          </cell>
          <cell r="H571">
            <v>1997611.21</v>
          </cell>
        </row>
        <row r="572">
          <cell r="B572">
            <v>220</v>
          </cell>
          <cell r="D572" t="str">
            <v>A1200 Banque Cdc Participation</v>
          </cell>
          <cell r="G572">
            <v>159932.63</v>
          </cell>
          <cell r="H572">
            <v>292130.01</v>
          </cell>
        </row>
        <row r="573">
          <cell r="B573">
            <v>234</v>
          </cell>
          <cell r="D573" t="str">
            <v>A1200 Banque Cdc Participation</v>
          </cell>
          <cell r="G573">
            <v>99702.69</v>
          </cell>
          <cell r="H573">
            <v>174582.69</v>
          </cell>
        </row>
        <row r="574">
          <cell r="B574">
            <v>234</v>
          </cell>
          <cell r="D574" t="str">
            <v>A1200 Banque Cdc Participation</v>
          </cell>
          <cell r="G574">
            <v>97160.34</v>
          </cell>
          <cell r="H574">
            <v>203810.34</v>
          </cell>
        </row>
        <row r="575">
          <cell r="B575">
            <v>234</v>
          </cell>
          <cell r="D575" t="str">
            <v>A1200 Banque Cdc Participation</v>
          </cell>
          <cell r="G575">
            <v>34301.03</v>
          </cell>
          <cell r="H575">
            <v>34301.03</v>
          </cell>
        </row>
        <row r="576">
          <cell r="B576">
            <v>236</v>
          </cell>
          <cell r="D576" t="str">
            <v>A1200 Banque Cdc Participation</v>
          </cell>
          <cell r="G576">
            <v>190896.66</v>
          </cell>
          <cell r="H576">
            <v>190896.66</v>
          </cell>
        </row>
        <row r="577">
          <cell r="B577">
            <v>236</v>
          </cell>
          <cell r="D577" t="str">
            <v>A1200 Banque Cdc Participation</v>
          </cell>
          <cell r="G577">
            <v>113330.6</v>
          </cell>
          <cell r="H577">
            <v>113330.6</v>
          </cell>
        </row>
        <row r="578">
          <cell r="B578">
            <v>236</v>
          </cell>
          <cell r="D578" t="str">
            <v>A1200 Banque Cdc Participation</v>
          </cell>
          <cell r="G578">
            <v>156001.07999999999</v>
          </cell>
          <cell r="H578">
            <v>156001.07999999999</v>
          </cell>
        </row>
        <row r="579">
          <cell r="B579">
            <v>270</v>
          </cell>
          <cell r="D579" t="str">
            <v>A1200 Banque Cdc Participation</v>
          </cell>
          <cell r="G579">
            <v>-747845.73</v>
          </cell>
          <cell r="H579">
            <v>-747845.73</v>
          </cell>
        </row>
        <row r="580">
          <cell r="B580">
            <v>270</v>
          </cell>
          <cell r="D580" t="str">
            <v>A1200 Banque Cdc Participation</v>
          </cell>
          <cell r="G580">
            <v>-46435223.719999999</v>
          </cell>
          <cell r="H580">
            <v>-41366614.490000002</v>
          </cell>
        </row>
        <row r="581">
          <cell r="B581">
            <v>270</v>
          </cell>
          <cell r="D581" t="str">
            <v>A1200 Banque Cdc Participation</v>
          </cell>
          <cell r="H581">
            <v>-93100</v>
          </cell>
        </row>
        <row r="582">
          <cell r="B582">
            <v>270</v>
          </cell>
          <cell r="D582" t="str">
            <v>A1200 Banque Cdc Participation</v>
          </cell>
          <cell r="H582">
            <v>-133000</v>
          </cell>
        </row>
        <row r="583">
          <cell r="B583">
            <v>270</v>
          </cell>
          <cell r="D583" t="str">
            <v>A1200 Banque Cdc Participation</v>
          </cell>
          <cell r="G583">
            <v>-505843.84</v>
          </cell>
          <cell r="H583">
            <v>-1380843.84</v>
          </cell>
        </row>
        <row r="584">
          <cell r="B584">
            <v>270</v>
          </cell>
          <cell r="D584" t="str">
            <v>A1200 Banque Cdc Participation</v>
          </cell>
          <cell r="H584">
            <v>-584473.81000000006</v>
          </cell>
        </row>
        <row r="585">
          <cell r="B585">
            <v>270</v>
          </cell>
          <cell r="D585" t="str">
            <v>A1200 Banque Cdc Participation</v>
          </cell>
          <cell r="H585">
            <v>-330061</v>
          </cell>
        </row>
        <row r="586">
          <cell r="B586">
            <v>270</v>
          </cell>
          <cell r="D586" t="str">
            <v>A1200 Banque Cdc Participation</v>
          </cell>
          <cell r="G586">
            <v>-1522476</v>
          </cell>
          <cell r="H586">
            <v>-1972026</v>
          </cell>
        </row>
        <row r="587">
          <cell r="B587">
            <v>270</v>
          </cell>
          <cell r="D587" t="str">
            <v>A1200 Banque Cdc Participation</v>
          </cell>
          <cell r="G587">
            <v>-1998</v>
          </cell>
          <cell r="H587">
            <v>-1998</v>
          </cell>
        </row>
        <row r="588">
          <cell r="B588">
            <v>270</v>
          </cell>
          <cell r="D588" t="str">
            <v>A1200 Banque Cdc Participation</v>
          </cell>
          <cell r="G588">
            <v>-751521</v>
          </cell>
          <cell r="H588">
            <v>-1657733.05</v>
          </cell>
        </row>
        <row r="589">
          <cell r="B589">
            <v>270</v>
          </cell>
          <cell r="D589" t="str">
            <v>A1200 Banque Cdc Participation</v>
          </cell>
          <cell r="G589">
            <v>-5679</v>
          </cell>
          <cell r="H589">
            <v>-12526.95</v>
          </cell>
        </row>
        <row r="590">
          <cell r="B590">
            <v>270</v>
          </cell>
          <cell r="D590" t="str">
            <v>A1200 Banque Cdc Participation</v>
          </cell>
          <cell r="G590">
            <v>-1310384</v>
          </cell>
          <cell r="H590">
            <v>-774099</v>
          </cell>
        </row>
        <row r="591">
          <cell r="B591">
            <v>270</v>
          </cell>
          <cell r="D591" t="str">
            <v>A1200 Banque Cdc Participation</v>
          </cell>
          <cell r="G591">
            <v>-40000</v>
          </cell>
          <cell r="H591">
            <v>-40000</v>
          </cell>
        </row>
        <row r="592">
          <cell r="B592">
            <v>270</v>
          </cell>
          <cell r="D592" t="str">
            <v>A1200 Banque Cdc Participation</v>
          </cell>
          <cell r="H592">
            <v>-160198.34</v>
          </cell>
        </row>
        <row r="593">
          <cell r="B593">
            <v>270</v>
          </cell>
          <cell r="D593" t="str">
            <v>A1200 Banque Cdc Participation</v>
          </cell>
          <cell r="H593">
            <v>-5468015.6600000001</v>
          </cell>
        </row>
        <row r="594">
          <cell r="B594">
            <v>270</v>
          </cell>
          <cell r="D594" t="str">
            <v>A1200 Banque Cdc Participation</v>
          </cell>
          <cell r="G594">
            <v>7351207.6299999999</v>
          </cell>
          <cell r="H594">
            <v>13242811.369999999</v>
          </cell>
        </row>
        <row r="595">
          <cell r="B595">
            <v>270</v>
          </cell>
          <cell r="D595" t="str">
            <v>A1200 Banque Cdc Participation</v>
          </cell>
          <cell r="H595">
            <v>-941390.73</v>
          </cell>
        </row>
        <row r="596">
          <cell r="B596">
            <v>270</v>
          </cell>
          <cell r="D596" t="str">
            <v>A1200 Banque Cdc Participation</v>
          </cell>
          <cell r="H596">
            <v>-508179.86</v>
          </cell>
        </row>
        <row r="597">
          <cell r="B597">
            <v>270</v>
          </cell>
          <cell r="D597" t="str">
            <v>A1200 Banque Cdc Participation</v>
          </cell>
          <cell r="H597">
            <v>-12000</v>
          </cell>
        </row>
        <row r="598">
          <cell r="B598">
            <v>270</v>
          </cell>
          <cell r="D598" t="str">
            <v>A1200 Banque Cdc Participation</v>
          </cell>
          <cell r="G598">
            <v>-2054722.77</v>
          </cell>
          <cell r="H598">
            <v>-2689451.83</v>
          </cell>
        </row>
        <row r="599">
          <cell r="B599">
            <v>270</v>
          </cell>
          <cell r="D599" t="str">
            <v>A1200 Banque Cdc Participation</v>
          </cell>
          <cell r="G599">
            <v>0</v>
          </cell>
          <cell r="H599">
            <v>-305</v>
          </cell>
        </row>
        <row r="600">
          <cell r="B600">
            <v>270</v>
          </cell>
          <cell r="D600" t="str">
            <v>A1200 Banque Cdc Participation</v>
          </cell>
          <cell r="H600">
            <v>-600000</v>
          </cell>
        </row>
        <row r="601">
          <cell r="B601">
            <v>270</v>
          </cell>
          <cell r="D601" t="str">
            <v>A1200 Banque Cdc Participation</v>
          </cell>
          <cell r="H601">
            <v>-1324586</v>
          </cell>
        </row>
        <row r="602">
          <cell r="B602">
            <v>270</v>
          </cell>
          <cell r="D602" t="str">
            <v>A1200 Banque Cdc Participation</v>
          </cell>
          <cell r="H602">
            <v>-56302186.270000003</v>
          </cell>
        </row>
        <row r="603">
          <cell r="B603">
            <v>270</v>
          </cell>
          <cell r="D603" t="str">
            <v>A1200 Banque Cdc Participation</v>
          </cell>
          <cell r="G603">
            <v>-1177118</v>
          </cell>
          <cell r="H603">
            <v>-1177118</v>
          </cell>
        </row>
        <row r="604">
          <cell r="B604">
            <v>270</v>
          </cell>
          <cell r="D604" t="str">
            <v>A1200 Banque Cdc Participation</v>
          </cell>
          <cell r="G604">
            <v>-152693.76999999999</v>
          </cell>
          <cell r="H604">
            <v>-252693.77</v>
          </cell>
        </row>
        <row r="605">
          <cell r="B605">
            <v>270</v>
          </cell>
          <cell r="D605" t="str">
            <v>A1200 Banque Cdc Participation</v>
          </cell>
          <cell r="H605">
            <v>-244503.86</v>
          </cell>
        </row>
        <row r="606">
          <cell r="B606">
            <v>270</v>
          </cell>
          <cell r="D606" t="str">
            <v>A1200 Banque Cdc Participation</v>
          </cell>
          <cell r="H606">
            <v>-10000</v>
          </cell>
        </row>
        <row r="607">
          <cell r="B607">
            <v>270</v>
          </cell>
          <cell r="D607" t="str">
            <v>A1200 Banque Cdc Participation</v>
          </cell>
          <cell r="G607">
            <v>-680000</v>
          </cell>
          <cell r="H607">
            <v>-1008511.1</v>
          </cell>
        </row>
        <row r="608">
          <cell r="B608">
            <v>270</v>
          </cell>
          <cell r="D608" t="str">
            <v>A1200 Banque Cdc Participation</v>
          </cell>
          <cell r="H608">
            <v>-24126705.719999999</v>
          </cell>
        </row>
        <row r="609">
          <cell r="B609">
            <v>270</v>
          </cell>
          <cell r="D609" t="str">
            <v>A1200 Banque Cdc Participation</v>
          </cell>
          <cell r="G609">
            <v>-40035030.460000001</v>
          </cell>
          <cell r="H609">
            <v>-44801934.609999999</v>
          </cell>
        </row>
        <row r="610">
          <cell r="B610">
            <v>270</v>
          </cell>
          <cell r="D610" t="str">
            <v>A1200 Banque Cdc Participation</v>
          </cell>
          <cell r="G610">
            <v>67057.69</v>
          </cell>
          <cell r="H610">
            <v>88287.01</v>
          </cell>
        </row>
        <row r="611">
          <cell r="B611">
            <v>270</v>
          </cell>
          <cell r="D611" t="str">
            <v>A1200 Banque Cdc Participation</v>
          </cell>
          <cell r="G611">
            <v>-18668200.079999998</v>
          </cell>
          <cell r="H611">
            <v>-19688544.109999999</v>
          </cell>
        </row>
        <row r="612">
          <cell r="B612">
            <v>270</v>
          </cell>
          <cell r="D612" t="str">
            <v>A1200 Banque Cdc Participation</v>
          </cell>
          <cell r="G612">
            <v>-14762217.5</v>
          </cell>
          <cell r="H612">
            <v>-14734866.140000001</v>
          </cell>
        </row>
        <row r="613">
          <cell r="B613">
            <v>270</v>
          </cell>
          <cell r="D613" t="str">
            <v>A1200 Banque Cdc Participation</v>
          </cell>
          <cell r="G613">
            <v>-771587.43</v>
          </cell>
          <cell r="H613">
            <v>-972632.78</v>
          </cell>
        </row>
        <row r="614">
          <cell r="B614">
            <v>270</v>
          </cell>
          <cell r="D614" t="str">
            <v>A1200 Banque Cdc Participation</v>
          </cell>
          <cell r="G614">
            <v>-941790.54</v>
          </cell>
          <cell r="H614">
            <v>-1109945.6499999999</v>
          </cell>
        </row>
        <row r="615">
          <cell r="B615">
            <v>270</v>
          </cell>
          <cell r="D615" t="str">
            <v>A1200 Banque Cdc Participation</v>
          </cell>
          <cell r="G615">
            <v>-16289058.449999999</v>
          </cell>
          <cell r="H615">
            <v>-15757835.560000001</v>
          </cell>
        </row>
        <row r="616">
          <cell r="B616">
            <v>270</v>
          </cell>
          <cell r="D616" t="str">
            <v>A1200 Banque Cdc Participation</v>
          </cell>
          <cell r="H616">
            <v>-30000</v>
          </cell>
        </row>
        <row r="617">
          <cell r="B617">
            <v>270</v>
          </cell>
          <cell r="D617" t="str">
            <v>A1200 Banque Cdc Participation</v>
          </cell>
          <cell r="H617">
            <v>-60000</v>
          </cell>
        </row>
        <row r="618">
          <cell r="B618">
            <v>270</v>
          </cell>
          <cell r="D618" t="str">
            <v>A1200 Banque Cdc Participation</v>
          </cell>
          <cell r="G618">
            <v>5370126.25</v>
          </cell>
          <cell r="H618">
            <v>7710696.4900000002</v>
          </cell>
        </row>
        <row r="619">
          <cell r="B619">
            <v>270</v>
          </cell>
          <cell r="D619" t="str">
            <v>A1200 Banque Cdc Participation</v>
          </cell>
          <cell r="H619">
            <v>-47630662.490000002</v>
          </cell>
        </row>
        <row r="620">
          <cell r="B620">
            <v>270</v>
          </cell>
          <cell r="D620" t="str">
            <v>A1200 Banque Cdc Participation</v>
          </cell>
          <cell r="G620">
            <v>-238807.77</v>
          </cell>
          <cell r="H620">
            <v>-1144754.77</v>
          </cell>
        </row>
        <row r="621">
          <cell r="B621">
            <v>270</v>
          </cell>
          <cell r="D621" t="str">
            <v>A1200 Banque Cdc Participation</v>
          </cell>
          <cell r="G621">
            <v>-34000</v>
          </cell>
          <cell r="H621">
            <v>-34000</v>
          </cell>
        </row>
        <row r="622">
          <cell r="B622">
            <v>270</v>
          </cell>
          <cell r="D622" t="str">
            <v>A1200 Banque Cdc Participation</v>
          </cell>
          <cell r="G622">
            <v>-1457260.15</v>
          </cell>
          <cell r="H622">
            <v>-3691536.74</v>
          </cell>
        </row>
        <row r="623">
          <cell r="B623">
            <v>270</v>
          </cell>
          <cell r="D623" t="str">
            <v>A1200 Banque Cdc Participation</v>
          </cell>
          <cell r="G623">
            <v>-6000</v>
          </cell>
          <cell r="H623">
            <v>-8000</v>
          </cell>
        </row>
        <row r="624">
          <cell r="B624">
            <v>270</v>
          </cell>
          <cell r="D624" t="str">
            <v>A1200 Banque Cdc Participation</v>
          </cell>
          <cell r="H624">
            <v>-1232900</v>
          </cell>
        </row>
        <row r="625">
          <cell r="B625">
            <v>270</v>
          </cell>
          <cell r="D625" t="str">
            <v>A1200 Banque Cdc Participation</v>
          </cell>
          <cell r="H625">
            <v>-3000</v>
          </cell>
        </row>
        <row r="626">
          <cell r="B626">
            <v>270</v>
          </cell>
          <cell r="D626" t="str">
            <v>A1200 Banque Cdc Participation</v>
          </cell>
          <cell r="H626">
            <v>-6240604.7599999998</v>
          </cell>
        </row>
        <row r="627">
          <cell r="B627">
            <v>270</v>
          </cell>
          <cell r="D627" t="str">
            <v>A1200 Banque Cdc Participation</v>
          </cell>
          <cell r="G627">
            <v>576281.78</v>
          </cell>
          <cell r="H627">
            <v>724045.52</v>
          </cell>
        </row>
        <row r="628">
          <cell r="B628">
            <v>270</v>
          </cell>
          <cell r="D628" t="str">
            <v>A1200 Banque Cdc Participation</v>
          </cell>
          <cell r="G628">
            <v>-36869952.469999999</v>
          </cell>
          <cell r="H628">
            <v>-46198895.340000004</v>
          </cell>
        </row>
        <row r="629">
          <cell r="B629">
            <v>270</v>
          </cell>
          <cell r="D629" t="str">
            <v>A1200 Banque Cdc Participation</v>
          </cell>
          <cell r="G629">
            <v>13987000.48</v>
          </cell>
          <cell r="H629">
            <v>18039392.98</v>
          </cell>
        </row>
        <row r="630">
          <cell r="B630">
            <v>270</v>
          </cell>
          <cell r="D630" t="str">
            <v>A1200 Banque Cdc Participation</v>
          </cell>
          <cell r="H630">
            <v>-29359000</v>
          </cell>
        </row>
        <row r="631">
          <cell r="B631">
            <v>270</v>
          </cell>
          <cell r="D631" t="str">
            <v>A1200 Banque Cdc Participation</v>
          </cell>
          <cell r="G631">
            <v>43437.51</v>
          </cell>
          <cell r="H631">
            <v>107705.53</v>
          </cell>
        </row>
        <row r="632">
          <cell r="B632">
            <v>270</v>
          </cell>
          <cell r="D632" t="str">
            <v>A1200 Banque Cdc Participation</v>
          </cell>
          <cell r="G632">
            <v>-1350278</v>
          </cell>
          <cell r="H632">
            <v>-1945265.56</v>
          </cell>
        </row>
        <row r="633">
          <cell r="B633">
            <v>270</v>
          </cell>
          <cell r="D633" t="str">
            <v>A1200 Banque Cdc Participation</v>
          </cell>
          <cell r="G633">
            <v>-750000</v>
          </cell>
          <cell r="H633">
            <v>-1250000</v>
          </cell>
        </row>
        <row r="634">
          <cell r="B634">
            <v>270</v>
          </cell>
          <cell r="D634" t="str">
            <v>A1200 Banque Cdc Participation</v>
          </cell>
          <cell r="G634">
            <v>4184725.52</v>
          </cell>
          <cell r="H634">
            <v>5936004.3399999999</v>
          </cell>
        </row>
        <row r="635">
          <cell r="B635">
            <v>294</v>
          </cell>
          <cell r="D635" t="str">
            <v>A1200 Banque Cdc Participation</v>
          </cell>
          <cell r="G635">
            <v>5733852.9000000004</v>
          </cell>
          <cell r="H635">
            <v>11900311.439999999</v>
          </cell>
        </row>
        <row r="636">
          <cell r="B636">
            <v>294</v>
          </cell>
          <cell r="D636" t="str">
            <v>A1200 Banque Cdc Participation</v>
          </cell>
          <cell r="G636">
            <v>830542.08</v>
          </cell>
          <cell r="H636">
            <v>830542.08</v>
          </cell>
        </row>
        <row r="637">
          <cell r="B637">
            <v>295</v>
          </cell>
          <cell r="D637" t="str">
            <v>A1200 Banque Cdc Participation</v>
          </cell>
          <cell r="G637">
            <v>20061094.57</v>
          </cell>
          <cell r="H637">
            <v>36941349.270000003</v>
          </cell>
        </row>
        <row r="638">
          <cell r="G638">
            <v>-389913398.52999997</v>
          </cell>
          <cell r="H638">
            <v>-502919032.85000002</v>
          </cell>
        </row>
        <row r="639">
          <cell r="B639">
            <v>201</v>
          </cell>
          <cell r="D639" t="str">
            <v>Actions Propres</v>
          </cell>
          <cell r="G639">
            <v>571607.59</v>
          </cell>
          <cell r="H639">
            <v>571607.59</v>
          </cell>
        </row>
        <row r="640">
          <cell r="G640">
            <v>571607.59</v>
          </cell>
          <cell r="H640">
            <v>571607.59</v>
          </cell>
        </row>
        <row r="641">
          <cell r="B641">
            <v>201</v>
          </cell>
          <cell r="D641" t="str">
            <v>Prêt Administr.Action Propre</v>
          </cell>
          <cell r="G641">
            <v>76.22</v>
          </cell>
          <cell r="H641">
            <v>76.22</v>
          </cell>
        </row>
        <row r="642">
          <cell r="G642">
            <v>76.22</v>
          </cell>
          <cell r="H642">
            <v>76.22</v>
          </cell>
        </row>
        <row r="643">
          <cell r="B643">
            <v>201</v>
          </cell>
          <cell r="D643" t="str">
            <v>-value s/Cession De Participat</v>
          </cell>
          <cell r="G643">
            <v>41466.129999999997</v>
          </cell>
          <cell r="H643">
            <v>0.01</v>
          </cell>
        </row>
        <row r="644">
          <cell r="B644">
            <v>201</v>
          </cell>
          <cell r="D644" t="str">
            <v>-value s/Cession De Participat</v>
          </cell>
          <cell r="G644">
            <v>19427.18</v>
          </cell>
        </row>
        <row r="645">
          <cell r="B645">
            <v>201</v>
          </cell>
          <cell r="D645" t="str">
            <v>-value s/Cession De Participat</v>
          </cell>
          <cell r="H645">
            <v>14339.96</v>
          </cell>
        </row>
        <row r="646">
          <cell r="B646">
            <v>201</v>
          </cell>
          <cell r="D646" t="str">
            <v>-value s/Cession De Participat</v>
          </cell>
          <cell r="G646">
            <v>0</v>
          </cell>
          <cell r="H646">
            <v>0</v>
          </cell>
        </row>
        <row r="647">
          <cell r="B647">
            <v>201</v>
          </cell>
          <cell r="D647" t="str">
            <v>-value s/Cession De Participat</v>
          </cell>
          <cell r="H647">
            <v>3.81</v>
          </cell>
        </row>
        <row r="648">
          <cell r="G648">
            <v>60893.31</v>
          </cell>
          <cell r="H648">
            <v>14343.78</v>
          </cell>
        </row>
        <row r="649">
          <cell r="B649">
            <v>201</v>
          </cell>
          <cell r="D649" t="str">
            <v>Perte/Créance.Liée À Particip</v>
          </cell>
          <cell r="H649">
            <v>22767956.670000002</v>
          </cell>
        </row>
        <row r="650">
          <cell r="G650">
            <v>0</v>
          </cell>
          <cell r="H650">
            <v>22767956.670000002</v>
          </cell>
        </row>
        <row r="651">
          <cell r="B651">
            <v>234</v>
          </cell>
          <cell r="D651" t="str">
            <v>Ajust Acavi Titr.St.Imm/Forest</v>
          </cell>
          <cell r="H651">
            <v>51594.28</v>
          </cell>
        </row>
        <row r="652">
          <cell r="G652">
            <v>0</v>
          </cell>
          <cell r="H652">
            <v>51594.28</v>
          </cell>
        </row>
        <row r="653">
          <cell r="B653">
            <v>122</v>
          </cell>
          <cell r="D653" t="str">
            <v>Dot Prov Dépréc Participations</v>
          </cell>
          <cell r="H653">
            <v>225109.5</v>
          </cell>
        </row>
        <row r="654">
          <cell r="B654">
            <v>201</v>
          </cell>
          <cell r="D654" t="str">
            <v>Dot Prov Dépréc Participations</v>
          </cell>
          <cell r="H654">
            <v>25000000</v>
          </cell>
        </row>
        <row r="655">
          <cell r="B655">
            <v>201</v>
          </cell>
          <cell r="D655" t="str">
            <v>Dot Prov Dépréc Participations</v>
          </cell>
          <cell r="H655">
            <v>2156722.84</v>
          </cell>
        </row>
        <row r="656">
          <cell r="B656">
            <v>201</v>
          </cell>
          <cell r="D656" t="str">
            <v>Dot Prov Dépréc Participations</v>
          </cell>
          <cell r="H656">
            <v>13295624.09</v>
          </cell>
        </row>
        <row r="657">
          <cell r="B657">
            <v>201</v>
          </cell>
          <cell r="D657" t="str">
            <v>Dot Prov Dépréc Participations</v>
          </cell>
          <cell r="G657">
            <v>2211878.54</v>
          </cell>
          <cell r="H657">
            <v>622755.29</v>
          </cell>
        </row>
        <row r="658">
          <cell r="B658">
            <v>201</v>
          </cell>
          <cell r="D658" t="str">
            <v>Dot Prov Dépréc Participations</v>
          </cell>
          <cell r="H658">
            <v>246329.60000000001</v>
          </cell>
        </row>
        <row r="659">
          <cell r="B659">
            <v>201</v>
          </cell>
          <cell r="D659" t="str">
            <v>Dot Prov Dépréc Participations</v>
          </cell>
          <cell r="H659">
            <v>10778.58</v>
          </cell>
        </row>
        <row r="660">
          <cell r="B660">
            <v>201</v>
          </cell>
          <cell r="D660" t="str">
            <v>Dot Prov Dépréc Participations</v>
          </cell>
          <cell r="H660">
            <v>32390.43</v>
          </cell>
        </row>
        <row r="661">
          <cell r="B661">
            <v>201</v>
          </cell>
          <cell r="D661" t="str">
            <v>Dot Prov Dépréc Participations</v>
          </cell>
          <cell r="H661">
            <v>0</v>
          </cell>
        </row>
        <row r="662">
          <cell r="B662">
            <v>201</v>
          </cell>
          <cell r="D662" t="str">
            <v>Dot Prov Dépréc Participations</v>
          </cell>
          <cell r="G662">
            <v>3971405.88</v>
          </cell>
        </row>
        <row r="663">
          <cell r="B663">
            <v>201</v>
          </cell>
          <cell r="D663" t="str">
            <v>Dot Prov Dépréc Participations</v>
          </cell>
          <cell r="G663">
            <v>2401379.11</v>
          </cell>
          <cell r="H663">
            <v>468445.09</v>
          </cell>
        </row>
        <row r="664">
          <cell r="B664">
            <v>201</v>
          </cell>
          <cell r="D664" t="str">
            <v>Dot Prov Dépréc Participations</v>
          </cell>
          <cell r="G664">
            <v>4861223.2699999996</v>
          </cell>
          <cell r="H664">
            <v>917474.26</v>
          </cell>
        </row>
        <row r="665">
          <cell r="B665">
            <v>201</v>
          </cell>
          <cell r="D665" t="str">
            <v>Dot Prov Dépréc Participations</v>
          </cell>
          <cell r="G665">
            <v>1316453.8600000001</v>
          </cell>
          <cell r="H665">
            <v>108262.46</v>
          </cell>
        </row>
        <row r="666">
          <cell r="B666">
            <v>201</v>
          </cell>
          <cell r="D666" t="str">
            <v>Dot Prov Dépréc Participations</v>
          </cell>
          <cell r="G666">
            <v>540636.13</v>
          </cell>
          <cell r="H666">
            <v>299025.77</v>
          </cell>
        </row>
        <row r="667">
          <cell r="B667">
            <v>201</v>
          </cell>
          <cell r="D667" t="str">
            <v>Dot Prov Dépréc Participations</v>
          </cell>
          <cell r="G667">
            <v>417005.86</v>
          </cell>
          <cell r="H667">
            <v>705120.42</v>
          </cell>
        </row>
        <row r="668">
          <cell r="B668">
            <v>201</v>
          </cell>
          <cell r="D668" t="str">
            <v>Dot Prov Dépréc Participations</v>
          </cell>
          <cell r="H668">
            <v>6517.26</v>
          </cell>
        </row>
        <row r="669">
          <cell r="B669">
            <v>201</v>
          </cell>
          <cell r="D669" t="str">
            <v>Dot Prov Dépréc Participations</v>
          </cell>
          <cell r="H669">
            <v>0</v>
          </cell>
        </row>
        <row r="670">
          <cell r="B670">
            <v>201</v>
          </cell>
          <cell r="D670" t="str">
            <v>Dot Prov Dépréc Participations</v>
          </cell>
          <cell r="H670">
            <v>725831.09</v>
          </cell>
        </row>
        <row r="671">
          <cell r="B671">
            <v>201</v>
          </cell>
          <cell r="D671" t="str">
            <v>Dot Prov Dépréc Participations</v>
          </cell>
          <cell r="G671">
            <v>874107.3</v>
          </cell>
          <cell r="H671">
            <v>461899.64</v>
          </cell>
        </row>
        <row r="672">
          <cell r="B672">
            <v>201</v>
          </cell>
          <cell r="D672" t="str">
            <v>Dot Prov Dépréc Participations</v>
          </cell>
          <cell r="H672">
            <v>51364.25</v>
          </cell>
        </row>
        <row r="673">
          <cell r="B673">
            <v>201</v>
          </cell>
          <cell r="D673" t="str">
            <v>Dot Prov Dépréc Participations</v>
          </cell>
          <cell r="H673">
            <v>54388.639999999999</v>
          </cell>
        </row>
        <row r="674">
          <cell r="B674">
            <v>208</v>
          </cell>
          <cell r="D674" t="str">
            <v>Dot Prov Dépréc Participations</v>
          </cell>
          <cell r="H674">
            <v>200043.8</v>
          </cell>
        </row>
        <row r="675">
          <cell r="B675">
            <v>209</v>
          </cell>
          <cell r="D675" t="str">
            <v>Dot Prov Dépréc Participations</v>
          </cell>
          <cell r="H675">
            <v>307800</v>
          </cell>
        </row>
        <row r="676">
          <cell r="B676">
            <v>220</v>
          </cell>
          <cell r="D676" t="str">
            <v>Dot Prov Dépréc Participations</v>
          </cell>
          <cell r="H676">
            <v>66705.100000000006</v>
          </cell>
        </row>
        <row r="677">
          <cell r="B677">
            <v>270</v>
          </cell>
          <cell r="D677" t="str">
            <v>Dot Prov Dépréc Participations</v>
          </cell>
          <cell r="G677">
            <v>228675</v>
          </cell>
          <cell r="H677">
            <v>670780</v>
          </cell>
        </row>
        <row r="678">
          <cell r="B678">
            <v>270</v>
          </cell>
          <cell r="D678" t="str">
            <v>Dot Prov Dépréc Participations</v>
          </cell>
          <cell r="H678">
            <v>13762.94</v>
          </cell>
        </row>
        <row r="679">
          <cell r="B679">
            <v>270</v>
          </cell>
          <cell r="D679" t="str">
            <v>Dot Prov Dépréc Participations</v>
          </cell>
          <cell r="H679">
            <v>21557.15</v>
          </cell>
        </row>
        <row r="680">
          <cell r="B680">
            <v>270</v>
          </cell>
          <cell r="D680" t="str">
            <v>Dot Prov Dépréc Participations</v>
          </cell>
          <cell r="H680">
            <v>68829.67</v>
          </cell>
        </row>
        <row r="681">
          <cell r="B681">
            <v>270</v>
          </cell>
          <cell r="D681" t="str">
            <v>Dot Prov Dépréc Participations</v>
          </cell>
          <cell r="H681">
            <v>202311.26</v>
          </cell>
        </row>
        <row r="682">
          <cell r="B682">
            <v>270</v>
          </cell>
          <cell r="D682" t="str">
            <v>Dot Prov Dépréc Participations</v>
          </cell>
          <cell r="H682">
            <v>0</v>
          </cell>
        </row>
        <row r="683">
          <cell r="B683">
            <v>270</v>
          </cell>
          <cell r="D683" t="str">
            <v>Dot Prov Dépréc Participations</v>
          </cell>
          <cell r="H683">
            <v>185733.63</v>
          </cell>
        </row>
        <row r="684">
          <cell r="B684">
            <v>270</v>
          </cell>
          <cell r="D684" t="str">
            <v>Dot Prov Dépréc Participations</v>
          </cell>
          <cell r="H684">
            <v>123109.89</v>
          </cell>
        </row>
        <row r="685">
          <cell r="B685">
            <v>270</v>
          </cell>
          <cell r="D685" t="str">
            <v>Dot Prov Dépréc Participations</v>
          </cell>
          <cell r="H685">
            <v>1506291.12</v>
          </cell>
        </row>
        <row r="686">
          <cell r="B686">
            <v>270</v>
          </cell>
          <cell r="D686" t="str">
            <v>Dot Prov Dépréc Participations</v>
          </cell>
          <cell r="H686">
            <v>1190381.24</v>
          </cell>
        </row>
        <row r="687">
          <cell r="B687">
            <v>270</v>
          </cell>
          <cell r="D687" t="str">
            <v>Dot Prov Dépréc Participations</v>
          </cell>
          <cell r="H687">
            <v>109149.02</v>
          </cell>
        </row>
        <row r="688">
          <cell r="B688">
            <v>270</v>
          </cell>
          <cell r="D688" t="str">
            <v>Dot Prov Dépréc Participations</v>
          </cell>
          <cell r="G688">
            <v>923362.25</v>
          </cell>
          <cell r="H688">
            <v>267400</v>
          </cell>
        </row>
        <row r="689">
          <cell r="G689">
            <v>17746127.199999999</v>
          </cell>
          <cell r="H689">
            <v>50321894.030000001</v>
          </cell>
        </row>
        <row r="690">
          <cell r="B690">
            <v>201</v>
          </cell>
          <cell r="D690" t="str">
            <v>Charges Exceptionnelles Partic</v>
          </cell>
          <cell r="G690">
            <v>132875.92000000001</v>
          </cell>
        </row>
        <row r="691">
          <cell r="B691">
            <v>201</v>
          </cell>
          <cell r="D691" t="str">
            <v>Charges Exceptionnelles Partic</v>
          </cell>
          <cell r="H691">
            <v>3390.47</v>
          </cell>
        </row>
        <row r="692">
          <cell r="B692">
            <v>201</v>
          </cell>
          <cell r="D692" t="str">
            <v>Charges Exceptionnelles Partic</v>
          </cell>
          <cell r="G692">
            <v>6005.53</v>
          </cell>
        </row>
        <row r="693">
          <cell r="B693">
            <v>201</v>
          </cell>
          <cell r="D693" t="str">
            <v>Charges Exceptionnelles Partic</v>
          </cell>
          <cell r="G693">
            <v>23.92</v>
          </cell>
        </row>
        <row r="694">
          <cell r="B694">
            <v>201</v>
          </cell>
          <cell r="D694" t="str">
            <v>Charges Exceptionnelles Partic</v>
          </cell>
          <cell r="G694">
            <v>4585113.96</v>
          </cell>
        </row>
        <row r="695">
          <cell r="B695">
            <v>270</v>
          </cell>
          <cell r="D695" t="str">
            <v>Charges Exceptionnelles Partic</v>
          </cell>
          <cell r="H695">
            <v>148355.26</v>
          </cell>
        </row>
        <row r="696">
          <cell r="B696">
            <v>270</v>
          </cell>
          <cell r="D696" t="str">
            <v>Charges Exceptionnelles Partic</v>
          </cell>
          <cell r="H696">
            <v>1114001.26</v>
          </cell>
        </row>
        <row r="697">
          <cell r="G697">
            <v>4724019.33</v>
          </cell>
          <cell r="H697">
            <v>1265746.99</v>
          </cell>
        </row>
        <row r="698">
          <cell r="B698">
            <v>234</v>
          </cell>
          <cell r="D698" t="str">
            <v>Revenu Acavi Titre.Immo/Forest</v>
          </cell>
          <cell r="G698">
            <v>-99702.69</v>
          </cell>
          <cell r="H698">
            <v>-74880</v>
          </cell>
        </row>
        <row r="699">
          <cell r="B699">
            <v>234</v>
          </cell>
          <cell r="D699" t="str">
            <v>Revenu Acavi Titre.Immo/Forest</v>
          </cell>
          <cell r="G699">
            <v>-97160.34</v>
          </cell>
          <cell r="H699">
            <v>-106650</v>
          </cell>
        </row>
        <row r="700">
          <cell r="B700">
            <v>294</v>
          </cell>
          <cell r="D700" t="str">
            <v>Revenu Acavi Titre.Immo/Forest</v>
          </cell>
          <cell r="G700">
            <v>-5019429.26</v>
          </cell>
          <cell r="H700">
            <v>-6166458.54</v>
          </cell>
        </row>
        <row r="701">
          <cell r="B701">
            <v>295</v>
          </cell>
          <cell r="D701" t="str">
            <v>Revenu Acavi Titre.Immo/Forest</v>
          </cell>
          <cell r="G701">
            <v>-18784853.760000002</v>
          </cell>
          <cell r="H701">
            <v>-16880254.699999999</v>
          </cell>
        </row>
        <row r="702">
          <cell r="G702">
            <v>-24001146.050000001</v>
          </cell>
          <cell r="H702">
            <v>-23228243.239999998</v>
          </cell>
        </row>
        <row r="703">
          <cell r="B703">
            <v>35</v>
          </cell>
          <cell r="D703" t="str">
            <v>Revenu Partic.Plact Sté Immob</v>
          </cell>
          <cell r="G703">
            <v>0</v>
          </cell>
        </row>
        <row r="704">
          <cell r="B704">
            <v>122</v>
          </cell>
          <cell r="D704" t="str">
            <v>Revenu Partic.Plact Sté Immob</v>
          </cell>
          <cell r="G704">
            <v>0</v>
          </cell>
          <cell r="H704">
            <v>-446126.1</v>
          </cell>
        </row>
        <row r="705">
          <cell r="B705">
            <v>201</v>
          </cell>
          <cell r="D705" t="str">
            <v>Revenu Partic.Plact Sté Immob</v>
          </cell>
          <cell r="G705">
            <v>0</v>
          </cell>
          <cell r="H705">
            <v>-7609732.54</v>
          </cell>
        </row>
        <row r="706">
          <cell r="B706">
            <v>201</v>
          </cell>
          <cell r="D706" t="str">
            <v>Revenu Partic.Plact Sté Immob</v>
          </cell>
          <cell r="G706">
            <v>-252.17</v>
          </cell>
          <cell r="H706">
            <v>-55.5</v>
          </cell>
        </row>
        <row r="707">
          <cell r="B707">
            <v>201</v>
          </cell>
          <cell r="D707" t="str">
            <v>Revenu Partic.Plact Sté Immob</v>
          </cell>
          <cell r="G707">
            <v>-5676881.6299999999</v>
          </cell>
          <cell r="H707">
            <v>-7473821.46</v>
          </cell>
        </row>
        <row r="708">
          <cell r="B708">
            <v>201</v>
          </cell>
          <cell r="D708" t="str">
            <v>Revenu Partic.Plact Sté Immob</v>
          </cell>
          <cell r="G708">
            <v>-3773390.76</v>
          </cell>
          <cell r="H708">
            <v>-2805357.1</v>
          </cell>
        </row>
        <row r="709">
          <cell r="B709">
            <v>201</v>
          </cell>
          <cell r="D709" t="str">
            <v>Revenu Partic.Plact Sté Immob</v>
          </cell>
          <cell r="G709">
            <v>-1972499.42</v>
          </cell>
          <cell r="H709">
            <v>0</v>
          </cell>
        </row>
        <row r="710">
          <cell r="B710">
            <v>201</v>
          </cell>
          <cell r="D710" t="str">
            <v>Revenu Partic.Plact Sté Immob</v>
          </cell>
          <cell r="G710">
            <v>-1775.7</v>
          </cell>
          <cell r="H710">
            <v>-1808.96</v>
          </cell>
        </row>
        <row r="711">
          <cell r="B711">
            <v>201</v>
          </cell>
          <cell r="D711" t="str">
            <v>Revenu Partic.Plact Sté Immob</v>
          </cell>
          <cell r="G711">
            <v>0</v>
          </cell>
          <cell r="H711">
            <v>-5252.6</v>
          </cell>
        </row>
        <row r="712">
          <cell r="B712">
            <v>201</v>
          </cell>
          <cell r="D712" t="str">
            <v>Revenu Partic.Plact Sté Immob</v>
          </cell>
          <cell r="G712">
            <v>0</v>
          </cell>
        </row>
        <row r="713">
          <cell r="B713">
            <v>201</v>
          </cell>
          <cell r="D713" t="str">
            <v>Revenu Partic.Plact Sté Immob</v>
          </cell>
          <cell r="G713">
            <v>-67969.94</v>
          </cell>
          <cell r="H713">
            <v>-77070.52</v>
          </cell>
        </row>
        <row r="714">
          <cell r="B714">
            <v>208</v>
          </cell>
          <cell r="D714" t="str">
            <v>Revenu Partic.Plact Sté Immob</v>
          </cell>
          <cell r="G714">
            <v>0</v>
          </cell>
          <cell r="H714">
            <v>-396450.44</v>
          </cell>
        </row>
        <row r="715">
          <cell r="B715">
            <v>209</v>
          </cell>
          <cell r="D715" t="str">
            <v>Revenu Partic.Plact Sté Immob</v>
          </cell>
          <cell r="G715">
            <v>-834201.02</v>
          </cell>
          <cell r="H715">
            <v>-1063800</v>
          </cell>
        </row>
        <row r="716">
          <cell r="B716">
            <v>220</v>
          </cell>
          <cell r="D716" t="str">
            <v>Revenu Partic.Plact Sté Immob</v>
          </cell>
          <cell r="G716">
            <v>0</v>
          </cell>
          <cell r="H716">
            <v>-132197.38</v>
          </cell>
        </row>
        <row r="717">
          <cell r="B717">
            <v>234</v>
          </cell>
          <cell r="D717" t="str">
            <v>Revenu Partic.Plact Sté Immob</v>
          </cell>
          <cell r="G717">
            <v>0</v>
          </cell>
          <cell r="H717">
            <v>0</v>
          </cell>
        </row>
        <row r="718">
          <cell r="B718">
            <v>234</v>
          </cell>
          <cell r="D718" t="str">
            <v>Revenu Partic.Plact Sté Immob</v>
          </cell>
          <cell r="G718">
            <v>0</v>
          </cell>
          <cell r="H718">
            <v>0</v>
          </cell>
        </row>
        <row r="719">
          <cell r="B719">
            <v>234</v>
          </cell>
          <cell r="D719" t="str">
            <v>Revenu Partic.Plact Sté Immob</v>
          </cell>
          <cell r="G719">
            <v>-34301.03</v>
          </cell>
        </row>
        <row r="720">
          <cell r="B720">
            <v>270</v>
          </cell>
          <cell r="D720" t="str">
            <v>Revenu Partic.Plact Sté Immob</v>
          </cell>
          <cell r="G720">
            <v>-20932.78</v>
          </cell>
          <cell r="H720">
            <v>-21229.32</v>
          </cell>
        </row>
        <row r="721">
          <cell r="B721">
            <v>270</v>
          </cell>
          <cell r="D721" t="str">
            <v>Revenu Partic.Plact Sté Immob</v>
          </cell>
          <cell r="H721">
            <v>-402400.21</v>
          </cell>
        </row>
        <row r="722">
          <cell r="B722">
            <v>270</v>
          </cell>
          <cell r="D722" t="str">
            <v>Revenu Partic.Plact Sté Immob</v>
          </cell>
          <cell r="G722">
            <v>-94167</v>
          </cell>
          <cell r="H722">
            <v>-278400</v>
          </cell>
        </row>
        <row r="723">
          <cell r="B723">
            <v>270</v>
          </cell>
          <cell r="D723" t="str">
            <v>Revenu Partic.Plact Sté Immob</v>
          </cell>
          <cell r="G723">
            <v>-186152.76</v>
          </cell>
          <cell r="H723">
            <v>-147763.74</v>
          </cell>
        </row>
        <row r="724">
          <cell r="B724">
            <v>294</v>
          </cell>
          <cell r="D724" t="str">
            <v>Revenu Partic.Plact Sté Immob</v>
          </cell>
          <cell r="G724">
            <v>0</v>
          </cell>
        </row>
        <row r="725">
          <cell r="B725">
            <v>295</v>
          </cell>
          <cell r="D725" t="str">
            <v>Revenu Partic.Plact Sté Immob</v>
          </cell>
          <cell r="G725">
            <v>0</v>
          </cell>
        </row>
        <row r="726">
          <cell r="B726">
            <v>201</v>
          </cell>
          <cell r="D726" t="str">
            <v>Revenu Partic.Plact Sté Immob</v>
          </cell>
          <cell r="G726">
            <v>-4677304.71</v>
          </cell>
          <cell r="H726">
            <v>-1295846.3799999999</v>
          </cell>
        </row>
        <row r="727">
          <cell r="G727">
            <v>-17339828.920000002</v>
          </cell>
          <cell r="H727">
            <v>-22157312.25</v>
          </cell>
        </row>
        <row r="728">
          <cell r="B728">
            <v>201</v>
          </cell>
          <cell r="D728" t="str">
            <v>Intérêt Avce Partic.Plact Immo</v>
          </cell>
          <cell r="H728">
            <v>-9927516.6600000001</v>
          </cell>
        </row>
        <row r="729">
          <cell r="B729">
            <v>201</v>
          </cell>
          <cell r="D729" t="str">
            <v>Intérêt Avce Partic.Plact Immo</v>
          </cell>
          <cell r="H729">
            <v>-7018861.96</v>
          </cell>
        </row>
        <row r="730">
          <cell r="B730">
            <v>201</v>
          </cell>
          <cell r="D730" t="str">
            <v>Intérêt Avce Partic.Plact Immo</v>
          </cell>
          <cell r="G730">
            <v>-1202.17</v>
          </cell>
          <cell r="H730">
            <v>-963.37</v>
          </cell>
        </row>
        <row r="731">
          <cell r="B731">
            <v>201</v>
          </cell>
          <cell r="D731" t="str">
            <v>Intérêt Avce Partic.Plact Immo</v>
          </cell>
          <cell r="G731">
            <v>-282.3</v>
          </cell>
          <cell r="H731">
            <v>-59.67</v>
          </cell>
        </row>
        <row r="732">
          <cell r="B732">
            <v>201</v>
          </cell>
          <cell r="D732" t="str">
            <v>Intérêt Avce Partic.Plact Immo</v>
          </cell>
          <cell r="G732">
            <v>-2054796.04</v>
          </cell>
          <cell r="H732">
            <v>-1400285.46</v>
          </cell>
        </row>
        <row r="733">
          <cell r="B733">
            <v>201</v>
          </cell>
          <cell r="D733" t="str">
            <v>Intérêt Avce Partic.Plact Immo</v>
          </cell>
          <cell r="G733">
            <v>-660</v>
          </cell>
          <cell r="H733">
            <v>-615.08000000000004</v>
          </cell>
        </row>
        <row r="734">
          <cell r="B734">
            <v>201</v>
          </cell>
          <cell r="D734" t="str">
            <v>Intérêt Avce Partic.Plact Immo</v>
          </cell>
          <cell r="H734">
            <v>-4358517.4000000004</v>
          </cell>
        </row>
        <row r="735">
          <cell r="B735">
            <v>201</v>
          </cell>
          <cell r="D735" t="str">
            <v>Intérêt Avce Partic.Plact Immo</v>
          </cell>
          <cell r="H735">
            <v>-191414.98</v>
          </cell>
        </row>
        <row r="736">
          <cell r="B736">
            <v>270</v>
          </cell>
          <cell r="D736" t="str">
            <v>Intérêt Avce Partic.Plact Immo</v>
          </cell>
          <cell r="G736">
            <v>-1450000</v>
          </cell>
          <cell r="H736">
            <v>-1896809.23</v>
          </cell>
        </row>
        <row r="737">
          <cell r="B737">
            <v>270</v>
          </cell>
          <cell r="D737" t="str">
            <v>Intérêt Avce Partic.Plact Immo</v>
          </cell>
          <cell r="H737">
            <v>-63700</v>
          </cell>
        </row>
        <row r="738">
          <cell r="B738">
            <v>270</v>
          </cell>
          <cell r="D738" t="str">
            <v>Intérêt Avce Partic.Plact Immo</v>
          </cell>
          <cell r="G738">
            <v>-762018.49</v>
          </cell>
          <cell r="H738">
            <v>-806058.74</v>
          </cell>
        </row>
        <row r="739">
          <cell r="B739">
            <v>270</v>
          </cell>
          <cell r="D739" t="str">
            <v>Intérêt Avce Partic.Plact Immo</v>
          </cell>
          <cell r="H739">
            <v>-360000</v>
          </cell>
        </row>
        <row r="740">
          <cell r="B740">
            <v>270</v>
          </cell>
          <cell r="D740" t="str">
            <v>Intérêt Avce Partic.Plact Immo</v>
          </cell>
          <cell r="H740">
            <v>-1419266</v>
          </cell>
        </row>
        <row r="741">
          <cell r="B741">
            <v>270</v>
          </cell>
          <cell r="D741" t="str">
            <v>Intérêt Avce Partic.Plact Immo</v>
          </cell>
          <cell r="G741">
            <v>-1379861.85</v>
          </cell>
          <cell r="H741">
            <v>-1740872.12</v>
          </cell>
        </row>
        <row r="742">
          <cell r="B742">
            <v>270</v>
          </cell>
          <cell r="D742" t="str">
            <v>Intérêt Avce Partic.Plact Immo</v>
          </cell>
          <cell r="H742">
            <v>-298305.89</v>
          </cell>
        </row>
        <row r="743">
          <cell r="B743">
            <v>270</v>
          </cell>
          <cell r="D743" t="str">
            <v>Intérêt Avce Partic.Plact Immo</v>
          </cell>
          <cell r="H743">
            <v>-423101.56</v>
          </cell>
        </row>
        <row r="744">
          <cell r="B744">
            <v>270</v>
          </cell>
          <cell r="D744" t="str">
            <v>Intérêt Avce Partic.Plact Immo</v>
          </cell>
          <cell r="G744">
            <v>-1454197.82</v>
          </cell>
          <cell r="H744">
            <v>-2003838</v>
          </cell>
        </row>
        <row r="745">
          <cell r="B745">
            <v>270</v>
          </cell>
          <cell r="D745" t="str">
            <v>Intérêt Avce Partic.Plact Immo</v>
          </cell>
          <cell r="H745">
            <v>-108800</v>
          </cell>
        </row>
        <row r="746">
          <cell r="B746">
            <v>270</v>
          </cell>
          <cell r="D746" t="str">
            <v>Intérêt Avce Partic.Plact Immo</v>
          </cell>
          <cell r="G746">
            <v>-1210638.97</v>
          </cell>
          <cell r="H746">
            <v>-2441098.17</v>
          </cell>
        </row>
        <row r="747">
          <cell r="B747">
            <v>270</v>
          </cell>
          <cell r="D747" t="str">
            <v>Intérêt Avce Partic.Plact Immo</v>
          </cell>
          <cell r="G747">
            <v>-3407822.07</v>
          </cell>
          <cell r="H747">
            <v>-4252392.5</v>
          </cell>
        </row>
        <row r="748">
          <cell r="B748">
            <v>270</v>
          </cell>
          <cell r="D748" t="str">
            <v>Intérêt Avce Partic.Plact Immo</v>
          </cell>
          <cell r="H748">
            <v>-457000</v>
          </cell>
        </row>
        <row r="749">
          <cell r="B749">
            <v>270</v>
          </cell>
          <cell r="D749" t="str">
            <v>Intérêt Avce Partic.Plact Immo</v>
          </cell>
          <cell r="G749">
            <v>-13680</v>
          </cell>
          <cell r="H749">
            <v>-13096.67</v>
          </cell>
        </row>
        <row r="750">
          <cell r="B750">
            <v>270</v>
          </cell>
          <cell r="D750" t="str">
            <v>Intérêt Avce Partic.Plact Immo</v>
          </cell>
          <cell r="H750">
            <v>-1151278.82</v>
          </cell>
        </row>
        <row r="751">
          <cell r="G751">
            <v>-11735159.710000001</v>
          </cell>
          <cell r="H751">
            <v>-40333852.280000001</v>
          </cell>
        </row>
        <row r="752">
          <cell r="B752">
            <v>201</v>
          </cell>
          <cell r="D752" t="str">
            <v>Jetons Présence Adm.Partic.Pla</v>
          </cell>
          <cell r="G752">
            <v>-2440</v>
          </cell>
          <cell r="H752">
            <v>-2440</v>
          </cell>
        </row>
        <row r="753">
          <cell r="B753">
            <v>201</v>
          </cell>
          <cell r="D753" t="str">
            <v>Jetons Présence Adm.Partic.Pla</v>
          </cell>
          <cell r="G753">
            <v>-7622.45</v>
          </cell>
          <cell r="H753">
            <v>-7625</v>
          </cell>
        </row>
        <row r="754">
          <cell r="B754">
            <v>201</v>
          </cell>
          <cell r="D754" t="str">
            <v>Jetons Présence Adm.Partic.Pla</v>
          </cell>
          <cell r="G754">
            <v>-1220</v>
          </cell>
          <cell r="H754">
            <v>-1220</v>
          </cell>
        </row>
        <row r="755">
          <cell r="B755">
            <v>201</v>
          </cell>
          <cell r="D755" t="str">
            <v>Jetons Présence Adm.Partic.Pla</v>
          </cell>
          <cell r="G755">
            <v>-12043.47</v>
          </cell>
          <cell r="H755">
            <v>-15500</v>
          </cell>
        </row>
        <row r="756">
          <cell r="B756">
            <v>201</v>
          </cell>
          <cell r="D756" t="str">
            <v>Jetons Présence Adm.Partic.Pla</v>
          </cell>
          <cell r="G756">
            <v>-7317.56</v>
          </cell>
          <cell r="H756">
            <v>-17613.75</v>
          </cell>
        </row>
        <row r="757">
          <cell r="B757">
            <v>201</v>
          </cell>
          <cell r="D757" t="str">
            <v>Jetons Présence Adm.Partic.Pla</v>
          </cell>
          <cell r="G757">
            <v>-3557.68</v>
          </cell>
          <cell r="H757">
            <v>-17550.03</v>
          </cell>
        </row>
        <row r="758">
          <cell r="B758">
            <v>201</v>
          </cell>
          <cell r="D758" t="str">
            <v>Jetons Présence Adm.Partic.Pla</v>
          </cell>
          <cell r="H758">
            <v>-3916.84</v>
          </cell>
        </row>
        <row r="759">
          <cell r="B759">
            <v>201</v>
          </cell>
          <cell r="D759" t="str">
            <v>Jetons Présence Adm.Partic.Pla</v>
          </cell>
          <cell r="G759">
            <v>-68346.2</v>
          </cell>
        </row>
        <row r="760">
          <cell r="B760">
            <v>201</v>
          </cell>
          <cell r="D760" t="str">
            <v>Jetons Présence Adm.Partic.Pla</v>
          </cell>
          <cell r="G760">
            <v>-16654.46</v>
          </cell>
          <cell r="H760">
            <v>-6758.27</v>
          </cell>
        </row>
        <row r="761">
          <cell r="G761">
            <v>-119201.82</v>
          </cell>
          <cell r="H761">
            <v>-72623.89</v>
          </cell>
        </row>
        <row r="762">
          <cell r="B762">
            <v>201</v>
          </cell>
          <cell r="D762" t="str">
            <v>Autres Prod.Financiers Partic</v>
          </cell>
          <cell r="G762">
            <v>-3128595.41</v>
          </cell>
        </row>
        <row r="763">
          <cell r="B763">
            <v>201</v>
          </cell>
          <cell r="D763" t="str">
            <v>Autres Prod.Financiers Partic</v>
          </cell>
          <cell r="G763">
            <v>-14128.97</v>
          </cell>
        </row>
        <row r="764">
          <cell r="B764">
            <v>201</v>
          </cell>
          <cell r="D764" t="str">
            <v>Autres Prod.Financiers Partic</v>
          </cell>
          <cell r="G764">
            <v>-39624.14</v>
          </cell>
          <cell r="H764">
            <v>-3578.01</v>
          </cell>
        </row>
        <row r="765">
          <cell r="B765">
            <v>201</v>
          </cell>
          <cell r="D765" t="str">
            <v>Autres Prod.Financiers Partic</v>
          </cell>
          <cell r="H765">
            <v>-936029.55</v>
          </cell>
        </row>
        <row r="766">
          <cell r="B766">
            <v>201</v>
          </cell>
          <cell r="D766" t="str">
            <v>Autres Prod.Financiers Partic</v>
          </cell>
          <cell r="H766">
            <v>-0.03</v>
          </cell>
        </row>
        <row r="767">
          <cell r="B767">
            <v>201</v>
          </cell>
          <cell r="D767" t="str">
            <v>Autres Prod.Financiers Partic</v>
          </cell>
          <cell r="H767">
            <v>-55441.48</v>
          </cell>
        </row>
        <row r="768">
          <cell r="B768">
            <v>201</v>
          </cell>
          <cell r="D768" t="str">
            <v>Autres Prod.Financiers Partic</v>
          </cell>
          <cell r="H768">
            <v>-3518.18</v>
          </cell>
        </row>
        <row r="769">
          <cell r="B769">
            <v>201</v>
          </cell>
          <cell r="D769" t="str">
            <v>Autres Prod.Financiers Partic</v>
          </cell>
          <cell r="G769">
            <v>-782113</v>
          </cell>
          <cell r="H769">
            <v>-897651.04</v>
          </cell>
        </row>
        <row r="770">
          <cell r="B770">
            <v>201</v>
          </cell>
          <cell r="D770" t="str">
            <v>Autres Prod.Financiers Partic</v>
          </cell>
          <cell r="H770">
            <v>-0.01</v>
          </cell>
        </row>
        <row r="771">
          <cell r="B771">
            <v>270</v>
          </cell>
          <cell r="D771" t="str">
            <v>Autres Prod.Financiers Partic</v>
          </cell>
          <cell r="G771">
            <v>-2440</v>
          </cell>
          <cell r="H771">
            <v>-488</v>
          </cell>
        </row>
        <row r="772">
          <cell r="G772">
            <v>-3966901.52</v>
          </cell>
          <cell r="H772">
            <v>-1896706.3</v>
          </cell>
        </row>
        <row r="773">
          <cell r="B773">
            <v>201</v>
          </cell>
          <cell r="D773" t="str">
            <v>Revenu Partic.Plact Sté Assur</v>
          </cell>
          <cell r="H773">
            <v>-2143500</v>
          </cell>
        </row>
        <row r="774">
          <cell r="B774">
            <v>201</v>
          </cell>
          <cell r="D774" t="str">
            <v>Revenu Partic.Plact Sté Assur</v>
          </cell>
          <cell r="G774">
            <v>-1417775.86</v>
          </cell>
          <cell r="H774">
            <v>-2790000</v>
          </cell>
        </row>
        <row r="775">
          <cell r="B775">
            <v>201</v>
          </cell>
          <cell r="D775" t="str">
            <v>Revenu Partic.Plact Sté Assur</v>
          </cell>
          <cell r="G775">
            <v>-41769488.880000003</v>
          </cell>
          <cell r="H775">
            <v>-21759672.239999998</v>
          </cell>
        </row>
        <row r="776">
          <cell r="B776">
            <v>201</v>
          </cell>
          <cell r="D776" t="str">
            <v>Revenu Partic.Plact Sté Assur</v>
          </cell>
          <cell r="G776">
            <v>-631446.31000000006</v>
          </cell>
          <cell r="H776">
            <v>-922917.76</v>
          </cell>
        </row>
        <row r="777">
          <cell r="B777">
            <v>201</v>
          </cell>
          <cell r="D777" t="str">
            <v>Revenu Partic.Plact Sté Assur</v>
          </cell>
          <cell r="G777">
            <v>-151638.81</v>
          </cell>
          <cell r="H777">
            <v>-376058.83</v>
          </cell>
        </row>
        <row r="778">
          <cell r="B778">
            <v>201</v>
          </cell>
          <cell r="D778" t="str">
            <v>Revenu Partic.Plact Sté Assur</v>
          </cell>
          <cell r="G778">
            <v>-1120500.28</v>
          </cell>
          <cell r="H778">
            <v>-1117200</v>
          </cell>
        </row>
        <row r="779">
          <cell r="B779">
            <v>201</v>
          </cell>
          <cell r="D779" t="str">
            <v>Revenu Partic.Plact Sté Assur</v>
          </cell>
          <cell r="G779">
            <v>-25757785.949999999</v>
          </cell>
          <cell r="H779">
            <v>-18150000</v>
          </cell>
        </row>
        <row r="780">
          <cell r="G780">
            <v>-70848636.090000004</v>
          </cell>
          <cell r="H780">
            <v>-47259348.829999998</v>
          </cell>
        </row>
        <row r="781">
          <cell r="B781">
            <v>201</v>
          </cell>
          <cell r="D781" t="str">
            <v>Interet Avance Partic Plact As</v>
          </cell>
          <cell r="G781">
            <v>-2526423.39</v>
          </cell>
          <cell r="H781">
            <v>-3054962.49</v>
          </cell>
        </row>
        <row r="782">
          <cell r="B782">
            <v>201</v>
          </cell>
          <cell r="D782" t="str">
            <v>Interet Avance Partic Plact As</v>
          </cell>
          <cell r="G782">
            <v>1131.17</v>
          </cell>
        </row>
        <row r="783">
          <cell r="B783">
            <v>270</v>
          </cell>
          <cell r="D783" t="str">
            <v>Interet Avance Partic Plact As</v>
          </cell>
          <cell r="G783">
            <v>23248.47</v>
          </cell>
        </row>
        <row r="784">
          <cell r="G784">
            <v>-2502043.75</v>
          </cell>
          <cell r="H784">
            <v>-3054962.49</v>
          </cell>
        </row>
        <row r="785">
          <cell r="B785">
            <v>35</v>
          </cell>
          <cell r="D785" t="str">
            <v>Revenu Partic.Plact Sté Divers</v>
          </cell>
          <cell r="G785">
            <v>-31627.96</v>
          </cell>
          <cell r="H785">
            <v>-107852.49</v>
          </cell>
        </row>
        <row r="786">
          <cell r="B786">
            <v>122</v>
          </cell>
          <cell r="D786" t="str">
            <v>Revenu Partic.Plact Sté Divers</v>
          </cell>
          <cell r="G786">
            <v>-539724.17000000004</v>
          </cell>
          <cell r="H786">
            <v>0</v>
          </cell>
        </row>
        <row r="787">
          <cell r="B787">
            <v>201</v>
          </cell>
          <cell r="D787" t="str">
            <v>Revenu Partic.Plact Sté Divers</v>
          </cell>
          <cell r="G787">
            <v>-222870</v>
          </cell>
          <cell r="H787">
            <v>-86510.19</v>
          </cell>
        </row>
        <row r="788">
          <cell r="B788">
            <v>201</v>
          </cell>
          <cell r="D788" t="str">
            <v>Revenu Partic.Plact Sté Divers</v>
          </cell>
          <cell r="G788">
            <v>251270</v>
          </cell>
        </row>
        <row r="789">
          <cell r="B789">
            <v>201</v>
          </cell>
          <cell r="D789" t="str">
            <v>Revenu Partic.Plact Sté Divers</v>
          </cell>
          <cell r="G789">
            <v>-9206268.3900000006</v>
          </cell>
          <cell r="H789">
            <v>0</v>
          </cell>
        </row>
        <row r="790">
          <cell r="B790">
            <v>201</v>
          </cell>
          <cell r="D790" t="str">
            <v>Revenu Partic.Plact Sté Divers</v>
          </cell>
          <cell r="G790">
            <v>-5183.2700000000004</v>
          </cell>
        </row>
        <row r="791">
          <cell r="B791">
            <v>201</v>
          </cell>
          <cell r="D791" t="str">
            <v>Revenu Partic.Plact Sté Divers</v>
          </cell>
          <cell r="G791">
            <v>-42606.45</v>
          </cell>
        </row>
        <row r="792">
          <cell r="B792">
            <v>201</v>
          </cell>
          <cell r="D792" t="str">
            <v>Revenu Partic.Plact Sté Divers</v>
          </cell>
          <cell r="G792">
            <v>-3443063.93</v>
          </cell>
          <cell r="H792">
            <v>-582764</v>
          </cell>
        </row>
        <row r="793">
          <cell r="B793">
            <v>201</v>
          </cell>
          <cell r="D793" t="str">
            <v>Revenu Partic.Plact Sté Divers</v>
          </cell>
          <cell r="H793">
            <v>-583200</v>
          </cell>
        </row>
        <row r="794">
          <cell r="B794">
            <v>201</v>
          </cell>
          <cell r="D794" t="str">
            <v>Revenu Partic.Plact Sté Divers</v>
          </cell>
          <cell r="G794">
            <v>-29439.89</v>
          </cell>
          <cell r="H794">
            <v>-41167.5</v>
          </cell>
        </row>
        <row r="795">
          <cell r="B795">
            <v>201</v>
          </cell>
          <cell r="D795" t="str">
            <v>Revenu Partic.Plact Sté Divers</v>
          </cell>
          <cell r="H795">
            <v>-1265.0999999999999</v>
          </cell>
        </row>
        <row r="796">
          <cell r="B796">
            <v>201</v>
          </cell>
          <cell r="D796" t="str">
            <v>Revenu Partic.Plact Sté Divers</v>
          </cell>
          <cell r="H796">
            <v>-134064</v>
          </cell>
        </row>
        <row r="797">
          <cell r="B797">
            <v>201</v>
          </cell>
          <cell r="D797" t="str">
            <v>Revenu Partic.Plact Sté Divers</v>
          </cell>
          <cell r="G797">
            <v>-69089.89</v>
          </cell>
          <cell r="H797">
            <v>-216480</v>
          </cell>
        </row>
        <row r="798">
          <cell r="B798">
            <v>201</v>
          </cell>
          <cell r="D798" t="str">
            <v>Revenu Partic.Plact Sté Divers</v>
          </cell>
          <cell r="G798">
            <v>-4110.4799999999996</v>
          </cell>
        </row>
        <row r="799">
          <cell r="B799">
            <v>201</v>
          </cell>
          <cell r="D799" t="str">
            <v>Revenu Partic.Plact Sté Divers</v>
          </cell>
          <cell r="G799">
            <v>-1204.3499999999999</v>
          </cell>
          <cell r="H799">
            <v>-2404.35</v>
          </cell>
        </row>
        <row r="800">
          <cell r="B800">
            <v>201</v>
          </cell>
          <cell r="D800" t="str">
            <v>Revenu Partic.Plact Sté Divers</v>
          </cell>
          <cell r="H800">
            <v>-871.42</v>
          </cell>
        </row>
        <row r="801">
          <cell r="B801">
            <v>208</v>
          </cell>
          <cell r="D801" t="str">
            <v>Revenu Partic.Plact Sté Divers</v>
          </cell>
          <cell r="G801">
            <v>-479626.47</v>
          </cell>
          <cell r="H801">
            <v>0</v>
          </cell>
        </row>
        <row r="802">
          <cell r="B802">
            <v>220</v>
          </cell>
          <cell r="D802" t="str">
            <v>Revenu Partic.Plact Sté Divers</v>
          </cell>
          <cell r="G802">
            <v>-159932.63</v>
          </cell>
          <cell r="H802">
            <v>0</v>
          </cell>
        </row>
        <row r="803">
          <cell r="B803">
            <v>270</v>
          </cell>
          <cell r="D803" t="str">
            <v>Revenu Partic.Plact Sté Divers</v>
          </cell>
          <cell r="G803">
            <v>-25291.29</v>
          </cell>
          <cell r="H803">
            <v>-50491.29</v>
          </cell>
        </row>
        <row r="804">
          <cell r="G804">
            <v>-14008769.17</v>
          </cell>
          <cell r="H804">
            <v>-1807070.34</v>
          </cell>
        </row>
        <row r="805">
          <cell r="B805">
            <v>201</v>
          </cell>
          <cell r="D805" t="str">
            <v>Intérêt Avce Partic.Plact Div</v>
          </cell>
          <cell r="G805">
            <v>0</v>
          </cell>
        </row>
        <row r="806">
          <cell r="B806">
            <v>270</v>
          </cell>
          <cell r="D806" t="str">
            <v>Intérêt Avce Partic.Plact Div</v>
          </cell>
          <cell r="G806">
            <v>0</v>
          </cell>
        </row>
        <row r="807">
          <cell r="G807">
            <v>0</v>
          </cell>
          <cell r="H807">
            <v>0</v>
          </cell>
        </row>
        <row r="808">
          <cell r="B808">
            <v>201</v>
          </cell>
          <cell r="D808" t="e">
            <v>#NAME?</v>
          </cell>
          <cell r="G808">
            <v>0</v>
          </cell>
          <cell r="H808">
            <v>0</v>
          </cell>
        </row>
        <row r="809">
          <cell r="B809">
            <v>201</v>
          </cell>
          <cell r="D809" t="e">
            <v>#NAME?</v>
          </cell>
          <cell r="G809">
            <v>-262503.03999999998</v>
          </cell>
          <cell r="H809">
            <v>-2131844.4</v>
          </cell>
        </row>
        <row r="810">
          <cell r="G810">
            <v>-262503.03999999998</v>
          </cell>
          <cell r="H810">
            <v>-2131844.4</v>
          </cell>
        </row>
        <row r="811">
          <cell r="B811">
            <v>201</v>
          </cell>
          <cell r="D811" t="str">
            <v>Ajust Acavi Titr.St.Imm/Forest</v>
          </cell>
          <cell r="H811">
            <v>0</v>
          </cell>
        </row>
        <row r="812">
          <cell r="B812">
            <v>201</v>
          </cell>
          <cell r="D812" t="str">
            <v>Ajust Acavi Titr.St.Imm/Forest</v>
          </cell>
          <cell r="H812">
            <v>0</v>
          </cell>
        </row>
        <row r="813">
          <cell r="B813">
            <v>234</v>
          </cell>
          <cell r="D813" t="str">
            <v>Ajust Acavi Titr.St.Imm/Forest</v>
          </cell>
          <cell r="G813">
            <v>-2450.4699999999998</v>
          </cell>
          <cell r="H813">
            <v>-3050.8</v>
          </cell>
        </row>
        <row r="814">
          <cell r="B814">
            <v>234</v>
          </cell>
          <cell r="D814" t="str">
            <v>Ajust Acavi Titr.St.Imm/Forest</v>
          </cell>
          <cell r="G814">
            <v>-290110.09000000003</v>
          </cell>
        </row>
        <row r="815">
          <cell r="B815">
            <v>294</v>
          </cell>
          <cell r="D815" t="str">
            <v>Ajust Acavi Titr.St.Imm/Forest</v>
          </cell>
          <cell r="G815">
            <v>-2948323.08</v>
          </cell>
          <cell r="H815">
            <v>-1480374.61</v>
          </cell>
        </row>
        <row r="816">
          <cell r="B816">
            <v>294</v>
          </cell>
          <cell r="D816" t="str">
            <v>Ajust Acavi Titr.St.Imm/Forest</v>
          </cell>
          <cell r="G816">
            <v>-3535851.23</v>
          </cell>
          <cell r="H816">
            <v>-3209203.7</v>
          </cell>
        </row>
        <row r="817">
          <cell r="B817">
            <v>295</v>
          </cell>
          <cell r="D817" t="str">
            <v>Ajust Acavi Titr.St.Imm/Forest</v>
          </cell>
          <cell r="G817">
            <v>-14421865.98</v>
          </cell>
          <cell r="H817">
            <v>-9975391.4499999993</v>
          </cell>
        </row>
      </sheetData>
      <sheetData sheetId="4" refreshError="1"/>
      <sheetData sheetId="5" refreshError="1"/>
      <sheetData sheetId="6" refreshError="1"/>
      <sheetData sheetId="7" refreshError="1"/>
    </sheetDataSet>
  </externalBook>
</externalLink>
</file>

<file path=xl/externalLinks/externalLink3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PART"/>
      <sheetName val="PORT_HORS_CONSO"/>
      <sheetName val="BALANCE"/>
      <sheetName val="A5DETAIL"/>
    </sheetNames>
    <sheetDataSet>
      <sheetData sheetId="0" refreshError="1"/>
      <sheetData sheetId="1" refreshError="1"/>
      <sheetData sheetId="2" refreshError="1"/>
      <sheetData sheetId="3" refreshError="1"/>
    </sheetDataSet>
  </externalBook>
</externalLink>
</file>

<file path=xl/externalLinks/externalLink3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ENTREES"/>
      <sheetName val="SORTIES"/>
      <sheetName val="Feuil3"/>
      <sheetName val="ACQU_CESS"/>
      <sheetName val="PRDS_CHGS"/>
      <sheetName val="BALANCE-EUR"/>
    </sheetNames>
    <sheetDataSet>
      <sheetData sheetId="0" refreshError="1"/>
      <sheetData sheetId="1" refreshError="1"/>
      <sheetData sheetId="2" refreshError="1"/>
      <sheetData sheetId="3" refreshError="1"/>
      <sheetData sheetId="4" refreshError="1"/>
      <sheetData sheetId="5" refreshError="1"/>
    </sheetDataSet>
  </externalBook>
</externalLink>
</file>

<file path=xl/externalLinks/externalLink3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PART"/>
      <sheetName val="PORT"/>
      <sheetName val="BALANCE"/>
      <sheetName val="A5GLOBAL"/>
      <sheetName val="A5DETAIL"/>
      <sheetName val="Feuil7"/>
      <sheetName val="Feuil8"/>
      <sheetName val="Feuil9"/>
      <sheetName val="Feuil10"/>
      <sheetName val="Feuil11"/>
      <sheetName val="Feuil12"/>
      <sheetName val="Feuil13"/>
      <sheetName val="Feuil14"/>
      <sheetName val="Feuil15"/>
      <sheetName val="Feuil16"/>
    </sheetNames>
    <sheetDataSet>
      <sheetData sheetId="0" refreshError="1">
        <row r="2">
          <cell r="I2">
            <v>15.24</v>
          </cell>
        </row>
        <row r="3">
          <cell r="I3">
            <v>0</v>
          </cell>
        </row>
        <row r="4">
          <cell r="I4">
            <v>0</v>
          </cell>
        </row>
        <row r="5">
          <cell r="I5">
            <v>0</v>
          </cell>
        </row>
        <row r="6">
          <cell r="I6">
            <v>38748934.760000005</v>
          </cell>
        </row>
        <row r="7">
          <cell r="I7">
            <v>0</v>
          </cell>
        </row>
        <row r="8">
          <cell r="I8">
            <v>0</v>
          </cell>
        </row>
        <row r="9">
          <cell r="I9">
            <v>0</v>
          </cell>
        </row>
        <row r="10">
          <cell r="I10">
            <v>16903.55</v>
          </cell>
        </row>
        <row r="11">
          <cell r="I11">
            <v>0</v>
          </cell>
        </row>
        <row r="12">
          <cell r="I12">
            <v>0</v>
          </cell>
        </row>
        <row r="13">
          <cell r="I13">
            <v>0</v>
          </cell>
        </row>
        <row r="14">
          <cell r="I14">
            <v>0</v>
          </cell>
        </row>
        <row r="15">
          <cell r="I15">
            <v>0</v>
          </cell>
        </row>
        <row r="16">
          <cell r="I16">
            <v>15.24</v>
          </cell>
        </row>
        <row r="17">
          <cell r="I17">
            <v>0</v>
          </cell>
        </row>
        <row r="18">
          <cell r="I18">
            <v>0</v>
          </cell>
        </row>
        <row r="19">
          <cell r="I19">
            <v>15.24</v>
          </cell>
        </row>
        <row r="20">
          <cell r="I20">
            <v>0</v>
          </cell>
        </row>
        <row r="21">
          <cell r="I21">
            <v>19516.37</v>
          </cell>
        </row>
        <row r="22">
          <cell r="I22">
            <v>0</v>
          </cell>
        </row>
        <row r="23">
          <cell r="I23">
            <v>0</v>
          </cell>
        </row>
        <row r="24">
          <cell r="I24">
            <v>0</v>
          </cell>
        </row>
        <row r="25">
          <cell r="I25">
            <v>0</v>
          </cell>
        </row>
        <row r="26">
          <cell r="I26">
            <v>0</v>
          </cell>
        </row>
        <row r="27">
          <cell r="I27">
            <v>76.22</v>
          </cell>
        </row>
        <row r="28">
          <cell r="I28">
            <v>91.47</v>
          </cell>
        </row>
        <row r="29">
          <cell r="I29">
            <v>38684330.420000002</v>
          </cell>
        </row>
        <row r="30">
          <cell r="I30">
            <v>91.47</v>
          </cell>
        </row>
        <row r="31">
          <cell r="I31">
            <v>10613.21</v>
          </cell>
        </row>
        <row r="32">
          <cell r="I32">
            <v>91.47</v>
          </cell>
        </row>
        <row r="33">
          <cell r="I33">
            <v>0</v>
          </cell>
        </row>
        <row r="34">
          <cell r="I34">
            <v>13919260.119999999</v>
          </cell>
        </row>
        <row r="35">
          <cell r="I35">
            <v>60.98</v>
          </cell>
        </row>
        <row r="36">
          <cell r="I36">
            <v>0</v>
          </cell>
        </row>
        <row r="37">
          <cell r="I37">
            <v>22867.35</v>
          </cell>
        </row>
        <row r="38">
          <cell r="I38">
            <v>0</v>
          </cell>
        </row>
        <row r="39">
          <cell r="I39">
            <v>0</v>
          </cell>
        </row>
        <row r="40">
          <cell r="I40">
            <v>0</v>
          </cell>
        </row>
        <row r="41">
          <cell r="I41">
            <v>100</v>
          </cell>
        </row>
        <row r="42">
          <cell r="I42">
            <v>33829456.990000002</v>
          </cell>
        </row>
        <row r="43">
          <cell r="I43">
            <v>0</v>
          </cell>
        </row>
        <row r="44">
          <cell r="I44">
            <v>0</v>
          </cell>
        </row>
        <row r="45">
          <cell r="I45">
            <v>0</v>
          </cell>
        </row>
        <row r="46">
          <cell r="I46">
            <v>0</v>
          </cell>
        </row>
        <row r="47">
          <cell r="I47">
            <v>0</v>
          </cell>
        </row>
        <row r="48">
          <cell r="I48">
            <v>0</v>
          </cell>
        </row>
        <row r="49">
          <cell r="I49">
            <v>0</v>
          </cell>
        </row>
        <row r="50">
          <cell r="I50">
            <v>0</v>
          </cell>
        </row>
        <row r="51">
          <cell r="I51">
            <v>0</v>
          </cell>
        </row>
        <row r="52">
          <cell r="I52">
            <v>7622.45</v>
          </cell>
        </row>
        <row r="53">
          <cell r="I53">
            <v>5162.2299999999996</v>
          </cell>
        </row>
        <row r="54">
          <cell r="I54">
            <v>0</v>
          </cell>
        </row>
        <row r="55">
          <cell r="I55">
            <v>0</v>
          </cell>
        </row>
        <row r="56">
          <cell r="I56">
            <v>0</v>
          </cell>
        </row>
        <row r="57">
          <cell r="I57">
            <v>0</v>
          </cell>
        </row>
        <row r="58">
          <cell r="I58">
            <v>0</v>
          </cell>
        </row>
        <row r="59">
          <cell r="I59">
            <v>29384907.850000001</v>
          </cell>
        </row>
        <row r="60">
          <cell r="I60">
            <v>0</v>
          </cell>
        </row>
        <row r="61">
          <cell r="I61">
            <v>0</v>
          </cell>
        </row>
        <row r="62">
          <cell r="I62">
            <v>152.44999999999999</v>
          </cell>
        </row>
        <row r="63">
          <cell r="I63">
            <v>0</v>
          </cell>
        </row>
        <row r="64">
          <cell r="I64">
            <v>0</v>
          </cell>
        </row>
        <row r="65">
          <cell r="I65">
            <v>0</v>
          </cell>
        </row>
        <row r="66">
          <cell r="I66">
            <v>39405000</v>
          </cell>
        </row>
        <row r="67">
          <cell r="I67">
            <v>30242.19</v>
          </cell>
        </row>
        <row r="68">
          <cell r="I68">
            <v>3735.64</v>
          </cell>
        </row>
        <row r="69">
          <cell r="I69">
            <v>23630919.329999998</v>
          </cell>
        </row>
        <row r="70">
          <cell r="I70">
            <v>0</v>
          </cell>
        </row>
        <row r="71">
          <cell r="I71">
            <v>0</v>
          </cell>
        </row>
        <row r="72">
          <cell r="I72">
            <v>0</v>
          </cell>
        </row>
        <row r="73">
          <cell r="I73">
            <v>0</v>
          </cell>
        </row>
        <row r="74">
          <cell r="I74">
            <v>0</v>
          </cell>
        </row>
        <row r="75">
          <cell r="I75">
            <v>55846047.979999997</v>
          </cell>
        </row>
        <row r="76">
          <cell r="I76">
            <v>0</v>
          </cell>
        </row>
        <row r="77">
          <cell r="I77">
            <v>0</v>
          </cell>
        </row>
        <row r="78">
          <cell r="I78">
            <v>0</v>
          </cell>
        </row>
        <row r="79">
          <cell r="I79">
            <v>0</v>
          </cell>
        </row>
        <row r="80">
          <cell r="I80">
            <v>45.73</v>
          </cell>
        </row>
        <row r="81">
          <cell r="I81">
            <v>167.69</v>
          </cell>
        </row>
        <row r="82">
          <cell r="I82">
            <v>0</v>
          </cell>
        </row>
        <row r="83">
          <cell r="I83">
            <v>0</v>
          </cell>
        </row>
        <row r="84">
          <cell r="I84">
            <v>0</v>
          </cell>
        </row>
        <row r="85">
          <cell r="I85">
            <v>0</v>
          </cell>
        </row>
        <row r="86">
          <cell r="I86">
            <v>0</v>
          </cell>
        </row>
        <row r="87">
          <cell r="I87">
            <v>16472499.619999999</v>
          </cell>
        </row>
        <row r="88">
          <cell r="I88">
            <v>40398989.560000002</v>
          </cell>
        </row>
        <row r="89">
          <cell r="I89">
            <v>0</v>
          </cell>
        </row>
        <row r="90">
          <cell r="I90">
            <v>10879.52</v>
          </cell>
        </row>
        <row r="91">
          <cell r="I91">
            <v>228469.96</v>
          </cell>
        </row>
        <row r="92">
          <cell r="I92">
            <v>0</v>
          </cell>
        </row>
        <row r="93">
          <cell r="I93">
            <v>59.22</v>
          </cell>
        </row>
        <row r="94">
          <cell r="I94">
            <v>0</v>
          </cell>
        </row>
        <row r="95">
          <cell r="I95">
            <v>22867352.59</v>
          </cell>
        </row>
        <row r="96">
          <cell r="I96">
            <v>0</v>
          </cell>
        </row>
        <row r="97">
          <cell r="I97">
            <v>0</v>
          </cell>
        </row>
        <row r="98">
          <cell r="I98">
            <v>0</v>
          </cell>
        </row>
        <row r="99">
          <cell r="I99">
            <v>0</v>
          </cell>
        </row>
        <row r="100">
          <cell r="I100">
            <v>0</v>
          </cell>
        </row>
        <row r="101">
          <cell r="I101">
            <v>0</v>
          </cell>
        </row>
        <row r="102">
          <cell r="I102">
            <v>91.47</v>
          </cell>
        </row>
        <row r="103">
          <cell r="I103">
            <v>91.47</v>
          </cell>
        </row>
        <row r="104">
          <cell r="I104">
            <v>15336.369999999999</v>
          </cell>
        </row>
        <row r="105">
          <cell r="I105">
            <v>76.22</v>
          </cell>
        </row>
        <row r="106">
          <cell r="I106">
            <v>0</v>
          </cell>
        </row>
        <row r="107">
          <cell r="I107">
            <v>0</v>
          </cell>
        </row>
        <row r="108">
          <cell r="I108">
            <v>0</v>
          </cell>
        </row>
        <row r="109">
          <cell r="I109">
            <v>228749.74</v>
          </cell>
        </row>
        <row r="110">
          <cell r="I110">
            <v>13175002</v>
          </cell>
        </row>
        <row r="111">
          <cell r="I111">
            <v>0</v>
          </cell>
        </row>
      </sheetData>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Set>
  </externalBook>
</externalLink>
</file>

<file path=xl/externalLinks/externalLink3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Feuil3"/>
      <sheetName val="A5"/>
      <sheetName val="EXPERTISE"/>
      <sheetName val="BALANCE"/>
      <sheetName val="BALANCES"/>
      <sheetName val="Feuil1"/>
    </sheetNames>
    <sheetDataSet>
      <sheetData sheetId="0" refreshError="1"/>
      <sheetData sheetId="1" refreshError="1"/>
      <sheetData sheetId="2" refreshError="1"/>
      <sheetData sheetId="3" refreshError="1">
        <row r="2">
          <cell r="C2">
            <v>201</v>
          </cell>
        </row>
        <row r="3">
          <cell r="C3">
            <v>201</v>
          </cell>
        </row>
        <row r="4">
          <cell r="C4">
            <v>201</v>
          </cell>
        </row>
        <row r="5">
          <cell r="C5">
            <v>201</v>
          </cell>
        </row>
        <row r="6">
          <cell r="C6">
            <v>201</v>
          </cell>
        </row>
        <row r="7">
          <cell r="C7">
            <v>201</v>
          </cell>
        </row>
        <row r="8">
          <cell r="C8">
            <v>201</v>
          </cell>
        </row>
        <row r="9">
          <cell r="C9">
            <v>201</v>
          </cell>
        </row>
        <row r="10">
          <cell r="C10">
            <v>201</v>
          </cell>
        </row>
        <row r="11">
          <cell r="C11">
            <v>201</v>
          </cell>
        </row>
        <row r="12">
          <cell r="C12">
            <v>201</v>
          </cell>
        </row>
        <row r="13">
          <cell r="C13">
            <v>201</v>
          </cell>
        </row>
        <row r="14">
          <cell r="C14">
            <v>201</v>
          </cell>
        </row>
        <row r="15">
          <cell r="C15">
            <v>201</v>
          </cell>
        </row>
        <row r="16">
          <cell r="C16">
            <v>201</v>
          </cell>
        </row>
        <row r="17">
          <cell r="C17">
            <v>201</v>
          </cell>
        </row>
        <row r="18">
          <cell r="C18">
            <v>201</v>
          </cell>
        </row>
        <row r="19">
          <cell r="C19">
            <v>201</v>
          </cell>
        </row>
        <row r="20">
          <cell r="C20">
            <v>201</v>
          </cell>
        </row>
        <row r="21">
          <cell r="C21">
            <v>201</v>
          </cell>
        </row>
        <row r="22">
          <cell r="C22">
            <v>201</v>
          </cell>
        </row>
        <row r="23">
          <cell r="C23">
            <v>201</v>
          </cell>
        </row>
        <row r="24">
          <cell r="C24">
            <v>201</v>
          </cell>
        </row>
        <row r="25">
          <cell r="C25">
            <v>201</v>
          </cell>
        </row>
        <row r="26">
          <cell r="C26">
            <v>201</v>
          </cell>
        </row>
        <row r="27">
          <cell r="C27">
            <v>201</v>
          </cell>
        </row>
        <row r="28">
          <cell r="C28">
            <v>201</v>
          </cell>
        </row>
        <row r="29">
          <cell r="C29">
            <v>201</v>
          </cell>
        </row>
        <row r="30">
          <cell r="C30">
            <v>201</v>
          </cell>
        </row>
        <row r="31">
          <cell r="C31">
            <v>201</v>
          </cell>
        </row>
        <row r="32">
          <cell r="C32">
            <v>201</v>
          </cell>
        </row>
        <row r="33">
          <cell r="C33">
            <v>201</v>
          </cell>
        </row>
        <row r="34">
          <cell r="C34">
            <v>201</v>
          </cell>
        </row>
        <row r="35">
          <cell r="C35">
            <v>201</v>
          </cell>
        </row>
        <row r="36">
          <cell r="C36">
            <v>201</v>
          </cell>
        </row>
        <row r="37">
          <cell r="C37">
            <v>201</v>
          </cell>
        </row>
        <row r="38">
          <cell r="C38">
            <v>201</v>
          </cell>
        </row>
        <row r="39">
          <cell r="C39">
            <v>201</v>
          </cell>
        </row>
        <row r="40">
          <cell r="C40">
            <v>201</v>
          </cell>
        </row>
        <row r="41">
          <cell r="C41">
            <v>201</v>
          </cell>
        </row>
        <row r="42">
          <cell r="C42">
            <v>201</v>
          </cell>
        </row>
        <row r="43">
          <cell r="C43">
            <v>201</v>
          </cell>
        </row>
        <row r="44">
          <cell r="C44">
            <v>201</v>
          </cell>
        </row>
        <row r="45">
          <cell r="C45">
            <v>201</v>
          </cell>
        </row>
        <row r="46">
          <cell r="C46">
            <v>201</v>
          </cell>
        </row>
        <row r="47">
          <cell r="C47">
            <v>201</v>
          </cell>
        </row>
        <row r="48">
          <cell r="C48">
            <v>201</v>
          </cell>
        </row>
        <row r="49">
          <cell r="C49">
            <v>201</v>
          </cell>
        </row>
        <row r="50">
          <cell r="C50">
            <v>201</v>
          </cell>
        </row>
        <row r="51">
          <cell r="C51">
            <v>201</v>
          </cell>
        </row>
        <row r="52">
          <cell r="C52">
            <v>201</v>
          </cell>
        </row>
        <row r="53">
          <cell r="C53">
            <v>201</v>
          </cell>
        </row>
        <row r="54">
          <cell r="C54">
            <v>201</v>
          </cell>
        </row>
        <row r="55">
          <cell r="C55">
            <v>201</v>
          </cell>
        </row>
        <row r="56">
          <cell r="C56">
            <v>201</v>
          </cell>
        </row>
        <row r="57">
          <cell r="C57">
            <v>201</v>
          </cell>
        </row>
        <row r="58">
          <cell r="C58">
            <v>201</v>
          </cell>
        </row>
        <row r="59">
          <cell r="C59">
            <v>201</v>
          </cell>
        </row>
        <row r="60">
          <cell r="C60">
            <v>201</v>
          </cell>
        </row>
        <row r="61">
          <cell r="C61">
            <v>201</v>
          </cell>
        </row>
        <row r="62">
          <cell r="C62">
            <v>201</v>
          </cell>
        </row>
        <row r="63">
          <cell r="C63">
            <v>201</v>
          </cell>
        </row>
        <row r="64">
          <cell r="C64">
            <v>201</v>
          </cell>
        </row>
        <row r="65">
          <cell r="C65">
            <v>201</v>
          </cell>
        </row>
        <row r="66">
          <cell r="C66">
            <v>201</v>
          </cell>
        </row>
        <row r="67">
          <cell r="C67">
            <v>201</v>
          </cell>
        </row>
        <row r="68">
          <cell r="C68">
            <v>201</v>
          </cell>
        </row>
        <row r="69">
          <cell r="C69">
            <v>201</v>
          </cell>
        </row>
        <row r="70">
          <cell r="C70">
            <v>201</v>
          </cell>
        </row>
        <row r="71">
          <cell r="C71">
            <v>201</v>
          </cell>
        </row>
        <row r="72">
          <cell r="C72">
            <v>201</v>
          </cell>
        </row>
        <row r="73">
          <cell r="C73">
            <v>201</v>
          </cell>
        </row>
        <row r="74">
          <cell r="C74">
            <v>201</v>
          </cell>
        </row>
        <row r="75">
          <cell r="C75">
            <v>201</v>
          </cell>
        </row>
        <row r="76">
          <cell r="C76">
            <v>201</v>
          </cell>
        </row>
        <row r="77">
          <cell r="C77">
            <v>201</v>
          </cell>
        </row>
        <row r="78">
          <cell r="C78">
            <v>201</v>
          </cell>
        </row>
        <row r="79">
          <cell r="C79">
            <v>201</v>
          </cell>
        </row>
        <row r="80">
          <cell r="C80">
            <v>201</v>
          </cell>
        </row>
        <row r="81">
          <cell r="C81">
            <v>201</v>
          </cell>
        </row>
        <row r="82">
          <cell r="C82">
            <v>201</v>
          </cell>
        </row>
        <row r="83">
          <cell r="C83">
            <v>201</v>
          </cell>
        </row>
        <row r="84">
          <cell r="C84">
            <v>201</v>
          </cell>
        </row>
        <row r="85">
          <cell r="C85">
            <v>201</v>
          </cell>
        </row>
        <row r="86">
          <cell r="C86">
            <v>201</v>
          </cell>
        </row>
        <row r="87">
          <cell r="C87">
            <v>201</v>
          </cell>
        </row>
        <row r="88">
          <cell r="C88">
            <v>201</v>
          </cell>
        </row>
        <row r="89">
          <cell r="C89">
            <v>201</v>
          </cell>
        </row>
        <row r="90">
          <cell r="C90">
            <v>201</v>
          </cell>
        </row>
        <row r="91">
          <cell r="C91">
            <v>270</v>
          </cell>
        </row>
        <row r="92">
          <cell r="C92">
            <v>270</v>
          </cell>
        </row>
        <row r="93">
          <cell r="C93">
            <v>270</v>
          </cell>
        </row>
        <row r="94">
          <cell r="C94">
            <v>270</v>
          </cell>
        </row>
        <row r="95">
          <cell r="C95">
            <v>270</v>
          </cell>
        </row>
        <row r="96">
          <cell r="C96">
            <v>270</v>
          </cell>
        </row>
        <row r="97">
          <cell r="C97">
            <v>270</v>
          </cell>
        </row>
        <row r="98">
          <cell r="C98">
            <v>270</v>
          </cell>
        </row>
        <row r="99">
          <cell r="C99">
            <v>270</v>
          </cell>
        </row>
        <row r="100">
          <cell r="C100">
            <v>270</v>
          </cell>
        </row>
        <row r="101">
          <cell r="C101">
            <v>270</v>
          </cell>
        </row>
        <row r="102">
          <cell r="C102">
            <v>270</v>
          </cell>
        </row>
        <row r="103">
          <cell r="C103">
            <v>270</v>
          </cell>
        </row>
        <row r="104">
          <cell r="C104">
            <v>270</v>
          </cell>
        </row>
        <row r="105">
          <cell r="C105">
            <v>270</v>
          </cell>
        </row>
        <row r="106">
          <cell r="C106">
            <v>270</v>
          </cell>
        </row>
        <row r="107">
          <cell r="C107">
            <v>270</v>
          </cell>
        </row>
        <row r="108">
          <cell r="C108">
            <v>270</v>
          </cell>
        </row>
        <row r="109">
          <cell r="C109">
            <v>270</v>
          </cell>
        </row>
        <row r="110">
          <cell r="C110">
            <v>201</v>
          </cell>
        </row>
        <row r="111">
          <cell r="C111">
            <v>201</v>
          </cell>
        </row>
        <row r="112">
          <cell r="C112">
            <v>201</v>
          </cell>
        </row>
        <row r="113">
          <cell r="C113">
            <v>201</v>
          </cell>
        </row>
        <row r="114">
          <cell r="C114">
            <v>201</v>
          </cell>
        </row>
        <row r="115">
          <cell r="C115">
            <v>208</v>
          </cell>
        </row>
        <row r="116">
          <cell r="C116">
            <v>208</v>
          </cell>
        </row>
        <row r="117">
          <cell r="C117">
            <v>270</v>
          </cell>
        </row>
        <row r="118">
          <cell r="C118">
            <v>270</v>
          </cell>
        </row>
        <row r="119">
          <cell r="C119">
            <v>270</v>
          </cell>
        </row>
        <row r="120">
          <cell r="C120">
            <v>201</v>
          </cell>
        </row>
        <row r="121">
          <cell r="C121">
            <v>201</v>
          </cell>
        </row>
        <row r="122">
          <cell r="C122">
            <v>201</v>
          </cell>
        </row>
        <row r="123">
          <cell r="C123">
            <v>201</v>
          </cell>
        </row>
        <row r="124">
          <cell r="C124">
            <v>201</v>
          </cell>
        </row>
        <row r="125">
          <cell r="C125">
            <v>201</v>
          </cell>
        </row>
        <row r="126">
          <cell r="C126">
            <v>201</v>
          </cell>
        </row>
        <row r="127">
          <cell r="C127">
            <v>201</v>
          </cell>
        </row>
        <row r="128">
          <cell r="C128">
            <v>270</v>
          </cell>
        </row>
        <row r="129">
          <cell r="C129">
            <v>270</v>
          </cell>
        </row>
        <row r="130">
          <cell r="C130">
            <v>270</v>
          </cell>
        </row>
        <row r="131">
          <cell r="C131">
            <v>270</v>
          </cell>
        </row>
        <row r="132">
          <cell r="C132">
            <v>270</v>
          </cell>
        </row>
        <row r="133">
          <cell r="C133">
            <v>270</v>
          </cell>
        </row>
        <row r="134">
          <cell r="C134">
            <v>270</v>
          </cell>
        </row>
        <row r="135">
          <cell r="C135">
            <v>270</v>
          </cell>
        </row>
        <row r="136">
          <cell r="C136">
            <v>270</v>
          </cell>
        </row>
        <row r="137">
          <cell r="C137">
            <v>270</v>
          </cell>
        </row>
        <row r="138">
          <cell r="C138">
            <v>270</v>
          </cell>
        </row>
        <row r="139">
          <cell r="C139">
            <v>270</v>
          </cell>
        </row>
        <row r="140">
          <cell r="C140">
            <v>270</v>
          </cell>
        </row>
        <row r="141">
          <cell r="C141">
            <v>270</v>
          </cell>
        </row>
        <row r="142">
          <cell r="C142">
            <v>270</v>
          </cell>
        </row>
        <row r="143">
          <cell r="C143">
            <v>270</v>
          </cell>
        </row>
        <row r="144">
          <cell r="C144">
            <v>270</v>
          </cell>
        </row>
        <row r="145">
          <cell r="C145">
            <v>270</v>
          </cell>
        </row>
        <row r="146">
          <cell r="C146">
            <v>270</v>
          </cell>
        </row>
        <row r="147">
          <cell r="C147">
            <v>201</v>
          </cell>
        </row>
        <row r="148">
          <cell r="C148">
            <v>201</v>
          </cell>
        </row>
        <row r="149">
          <cell r="C149">
            <v>201</v>
          </cell>
        </row>
        <row r="150">
          <cell r="C150">
            <v>201</v>
          </cell>
        </row>
        <row r="151">
          <cell r="C151">
            <v>201</v>
          </cell>
        </row>
        <row r="152">
          <cell r="C152">
            <v>201</v>
          </cell>
        </row>
        <row r="153">
          <cell r="C153">
            <v>201</v>
          </cell>
        </row>
        <row r="154">
          <cell r="C154">
            <v>208</v>
          </cell>
        </row>
        <row r="155">
          <cell r="C155">
            <v>208</v>
          </cell>
        </row>
        <row r="156">
          <cell r="C156">
            <v>270</v>
          </cell>
        </row>
        <row r="157">
          <cell r="C157">
            <v>270</v>
          </cell>
        </row>
        <row r="158">
          <cell r="C158">
            <v>270</v>
          </cell>
        </row>
        <row r="159">
          <cell r="C159">
            <v>201</v>
          </cell>
        </row>
        <row r="160">
          <cell r="C160">
            <v>201</v>
          </cell>
        </row>
        <row r="161">
          <cell r="C161">
            <v>201</v>
          </cell>
        </row>
        <row r="162">
          <cell r="C162">
            <v>201</v>
          </cell>
        </row>
        <row r="163">
          <cell r="C163">
            <v>201</v>
          </cell>
        </row>
        <row r="164">
          <cell r="C164">
            <v>201</v>
          </cell>
        </row>
        <row r="165">
          <cell r="C165">
            <v>201</v>
          </cell>
        </row>
        <row r="166">
          <cell r="C166">
            <v>201</v>
          </cell>
        </row>
        <row r="167">
          <cell r="C167">
            <v>201</v>
          </cell>
        </row>
        <row r="168">
          <cell r="C168">
            <v>201</v>
          </cell>
        </row>
        <row r="169">
          <cell r="C169">
            <v>201</v>
          </cell>
        </row>
        <row r="170">
          <cell r="C170">
            <v>201</v>
          </cell>
        </row>
        <row r="171">
          <cell r="C171">
            <v>201</v>
          </cell>
        </row>
        <row r="172">
          <cell r="C172">
            <v>201</v>
          </cell>
        </row>
        <row r="173">
          <cell r="C173">
            <v>201</v>
          </cell>
        </row>
        <row r="174">
          <cell r="C174">
            <v>201</v>
          </cell>
        </row>
        <row r="175">
          <cell r="C175">
            <v>201</v>
          </cell>
        </row>
        <row r="176">
          <cell r="C176">
            <v>201</v>
          </cell>
        </row>
        <row r="177">
          <cell r="C177">
            <v>201</v>
          </cell>
        </row>
        <row r="178">
          <cell r="C178">
            <v>201</v>
          </cell>
        </row>
        <row r="179">
          <cell r="C179">
            <v>201</v>
          </cell>
        </row>
        <row r="180">
          <cell r="C180">
            <v>201</v>
          </cell>
        </row>
        <row r="181">
          <cell r="C181">
            <v>201</v>
          </cell>
        </row>
        <row r="182">
          <cell r="C182">
            <v>270</v>
          </cell>
        </row>
        <row r="183">
          <cell r="C183">
            <v>270</v>
          </cell>
        </row>
        <row r="184">
          <cell r="C184">
            <v>270</v>
          </cell>
        </row>
        <row r="185">
          <cell r="C185">
            <v>270</v>
          </cell>
        </row>
        <row r="186">
          <cell r="C186">
            <v>270</v>
          </cell>
        </row>
        <row r="187">
          <cell r="C187">
            <v>270</v>
          </cell>
        </row>
        <row r="188">
          <cell r="C188">
            <v>270</v>
          </cell>
        </row>
        <row r="189">
          <cell r="C189">
            <v>270</v>
          </cell>
        </row>
        <row r="190">
          <cell r="C190">
            <v>270</v>
          </cell>
        </row>
        <row r="191">
          <cell r="C191">
            <v>270</v>
          </cell>
        </row>
        <row r="192">
          <cell r="C192">
            <v>270</v>
          </cell>
        </row>
        <row r="193">
          <cell r="C193">
            <v>201</v>
          </cell>
        </row>
        <row r="194">
          <cell r="C194">
            <v>201</v>
          </cell>
        </row>
        <row r="195">
          <cell r="C195">
            <v>201</v>
          </cell>
        </row>
        <row r="196">
          <cell r="C196">
            <v>201</v>
          </cell>
        </row>
        <row r="197">
          <cell r="C197">
            <v>201</v>
          </cell>
        </row>
        <row r="198">
          <cell r="C198">
            <v>201</v>
          </cell>
        </row>
        <row r="199">
          <cell r="C199">
            <v>201</v>
          </cell>
        </row>
        <row r="200">
          <cell r="C200">
            <v>201</v>
          </cell>
        </row>
        <row r="201">
          <cell r="C201">
            <v>201</v>
          </cell>
        </row>
        <row r="202">
          <cell r="C202">
            <v>201</v>
          </cell>
        </row>
        <row r="203">
          <cell r="C203">
            <v>201</v>
          </cell>
        </row>
        <row r="204">
          <cell r="C204">
            <v>201</v>
          </cell>
        </row>
        <row r="205">
          <cell r="C205">
            <v>201</v>
          </cell>
        </row>
        <row r="206">
          <cell r="C206">
            <v>201</v>
          </cell>
        </row>
        <row r="207">
          <cell r="C207">
            <v>201</v>
          </cell>
        </row>
        <row r="208">
          <cell r="C208">
            <v>201</v>
          </cell>
        </row>
        <row r="209">
          <cell r="C209">
            <v>201</v>
          </cell>
        </row>
        <row r="210">
          <cell r="C210">
            <v>201</v>
          </cell>
        </row>
        <row r="211">
          <cell r="C211">
            <v>201</v>
          </cell>
        </row>
        <row r="212">
          <cell r="C212">
            <v>201</v>
          </cell>
        </row>
        <row r="213">
          <cell r="C213">
            <v>201</v>
          </cell>
        </row>
        <row r="214">
          <cell r="C214">
            <v>201</v>
          </cell>
        </row>
        <row r="215">
          <cell r="C215">
            <v>201</v>
          </cell>
        </row>
        <row r="216">
          <cell r="C216">
            <v>201</v>
          </cell>
        </row>
        <row r="217">
          <cell r="C217">
            <v>201</v>
          </cell>
        </row>
        <row r="218">
          <cell r="C218">
            <v>201</v>
          </cell>
        </row>
        <row r="219">
          <cell r="C219">
            <v>201</v>
          </cell>
        </row>
        <row r="220">
          <cell r="C220">
            <v>201</v>
          </cell>
        </row>
        <row r="221">
          <cell r="C221">
            <v>201</v>
          </cell>
        </row>
        <row r="222">
          <cell r="C222">
            <v>201</v>
          </cell>
        </row>
        <row r="223">
          <cell r="C223">
            <v>201</v>
          </cell>
        </row>
        <row r="224">
          <cell r="C224">
            <v>201</v>
          </cell>
        </row>
        <row r="225">
          <cell r="C225">
            <v>201</v>
          </cell>
        </row>
        <row r="226">
          <cell r="C226">
            <v>201</v>
          </cell>
        </row>
        <row r="227">
          <cell r="C227">
            <v>201</v>
          </cell>
        </row>
        <row r="228">
          <cell r="C228">
            <v>201</v>
          </cell>
        </row>
        <row r="229">
          <cell r="C229">
            <v>201</v>
          </cell>
        </row>
        <row r="230">
          <cell r="C230">
            <v>201</v>
          </cell>
        </row>
        <row r="231">
          <cell r="C231">
            <v>201</v>
          </cell>
        </row>
        <row r="232">
          <cell r="C232">
            <v>201</v>
          </cell>
        </row>
        <row r="233">
          <cell r="C233">
            <v>201</v>
          </cell>
        </row>
        <row r="234">
          <cell r="C234">
            <v>201</v>
          </cell>
        </row>
        <row r="235">
          <cell r="C235">
            <v>201</v>
          </cell>
        </row>
        <row r="236">
          <cell r="C236">
            <v>201</v>
          </cell>
        </row>
        <row r="237">
          <cell r="C237">
            <v>201</v>
          </cell>
        </row>
        <row r="238">
          <cell r="C238">
            <v>201</v>
          </cell>
        </row>
        <row r="239">
          <cell r="C239">
            <v>201</v>
          </cell>
        </row>
        <row r="240">
          <cell r="C240">
            <v>201</v>
          </cell>
        </row>
        <row r="241">
          <cell r="C241">
            <v>201</v>
          </cell>
        </row>
        <row r="242">
          <cell r="C242">
            <v>201</v>
          </cell>
        </row>
        <row r="243">
          <cell r="C243">
            <v>201</v>
          </cell>
        </row>
        <row r="244">
          <cell r="C244">
            <v>201</v>
          </cell>
        </row>
        <row r="245">
          <cell r="C245">
            <v>201</v>
          </cell>
        </row>
        <row r="246">
          <cell r="C246">
            <v>201</v>
          </cell>
        </row>
        <row r="247">
          <cell r="C247">
            <v>201</v>
          </cell>
        </row>
        <row r="248">
          <cell r="C248">
            <v>201</v>
          </cell>
        </row>
        <row r="249">
          <cell r="C249">
            <v>201</v>
          </cell>
        </row>
        <row r="250">
          <cell r="C250">
            <v>201</v>
          </cell>
        </row>
        <row r="251">
          <cell r="C251">
            <v>201</v>
          </cell>
        </row>
        <row r="252">
          <cell r="C252">
            <v>201</v>
          </cell>
        </row>
        <row r="253">
          <cell r="C253">
            <v>201</v>
          </cell>
        </row>
        <row r="254">
          <cell r="C254">
            <v>201</v>
          </cell>
        </row>
        <row r="255">
          <cell r="C255">
            <v>201</v>
          </cell>
        </row>
        <row r="256">
          <cell r="C256">
            <v>201</v>
          </cell>
        </row>
        <row r="257">
          <cell r="C257">
            <v>201</v>
          </cell>
        </row>
        <row r="258">
          <cell r="C258">
            <v>201</v>
          </cell>
        </row>
        <row r="259">
          <cell r="C259">
            <v>201</v>
          </cell>
        </row>
        <row r="260">
          <cell r="C260">
            <v>201</v>
          </cell>
        </row>
        <row r="261">
          <cell r="C261">
            <v>201</v>
          </cell>
        </row>
        <row r="262">
          <cell r="C262">
            <v>201</v>
          </cell>
        </row>
        <row r="263">
          <cell r="C263">
            <v>201</v>
          </cell>
        </row>
        <row r="264">
          <cell r="C264">
            <v>201</v>
          </cell>
        </row>
        <row r="265">
          <cell r="C265">
            <v>201</v>
          </cell>
        </row>
        <row r="266">
          <cell r="C266">
            <v>201</v>
          </cell>
        </row>
        <row r="267">
          <cell r="C267">
            <v>201</v>
          </cell>
        </row>
        <row r="268">
          <cell r="C268">
            <v>201</v>
          </cell>
        </row>
        <row r="269">
          <cell r="C269">
            <v>201</v>
          </cell>
        </row>
        <row r="270">
          <cell r="C270">
            <v>201</v>
          </cell>
        </row>
        <row r="271">
          <cell r="C271">
            <v>201</v>
          </cell>
        </row>
        <row r="272">
          <cell r="C272">
            <v>201</v>
          </cell>
        </row>
        <row r="273">
          <cell r="C273">
            <v>201</v>
          </cell>
        </row>
        <row r="274">
          <cell r="C274">
            <v>201</v>
          </cell>
        </row>
        <row r="275">
          <cell r="C275">
            <v>270</v>
          </cell>
        </row>
        <row r="276">
          <cell r="C276">
            <v>270</v>
          </cell>
        </row>
        <row r="277">
          <cell r="C277">
            <v>201</v>
          </cell>
        </row>
        <row r="278">
          <cell r="C278">
            <v>201</v>
          </cell>
        </row>
        <row r="279">
          <cell r="C279">
            <v>270</v>
          </cell>
        </row>
        <row r="280">
          <cell r="C280">
            <v>270</v>
          </cell>
        </row>
        <row r="281">
          <cell r="C281">
            <v>201</v>
          </cell>
        </row>
        <row r="282">
          <cell r="C282">
            <v>201</v>
          </cell>
        </row>
        <row r="283">
          <cell r="C283">
            <v>270</v>
          </cell>
        </row>
        <row r="284">
          <cell r="C284">
            <v>270</v>
          </cell>
        </row>
        <row r="285">
          <cell r="C285">
            <v>201</v>
          </cell>
        </row>
        <row r="286">
          <cell r="C286">
            <v>201</v>
          </cell>
        </row>
        <row r="287">
          <cell r="C287">
            <v>201</v>
          </cell>
        </row>
        <row r="288">
          <cell r="C288">
            <v>201</v>
          </cell>
        </row>
        <row r="289">
          <cell r="C289">
            <v>201</v>
          </cell>
        </row>
        <row r="290">
          <cell r="C290">
            <v>201</v>
          </cell>
        </row>
        <row r="291">
          <cell r="C291">
            <v>201</v>
          </cell>
        </row>
        <row r="292">
          <cell r="C292">
            <v>201</v>
          </cell>
        </row>
        <row r="293">
          <cell r="C293">
            <v>201</v>
          </cell>
        </row>
        <row r="294">
          <cell r="C294">
            <v>201</v>
          </cell>
        </row>
        <row r="295">
          <cell r="C295">
            <v>201</v>
          </cell>
        </row>
        <row r="296">
          <cell r="C296">
            <v>201</v>
          </cell>
        </row>
        <row r="297">
          <cell r="C297">
            <v>201</v>
          </cell>
        </row>
        <row r="298">
          <cell r="C298">
            <v>201</v>
          </cell>
        </row>
        <row r="299">
          <cell r="C299">
            <v>201</v>
          </cell>
        </row>
        <row r="300">
          <cell r="C300">
            <v>201</v>
          </cell>
        </row>
        <row r="301">
          <cell r="C301">
            <v>201</v>
          </cell>
        </row>
        <row r="302">
          <cell r="C302">
            <v>201</v>
          </cell>
        </row>
        <row r="303">
          <cell r="C303">
            <v>201</v>
          </cell>
        </row>
        <row r="304">
          <cell r="C304">
            <v>201</v>
          </cell>
        </row>
        <row r="305">
          <cell r="C305">
            <v>201</v>
          </cell>
        </row>
        <row r="306">
          <cell r="C306">
            <v>201</v>
          </cell>
        </row>
        <row r="307">
          <cell r="C307">
            <v>201</v>
          </cell>
        </row>
        <row r="308">
          <cell r="C308">
            <v>201</v>
          </cell>
        </row>
        <row r="309">
          <cell r="C309">
            <v>201</v>
          </cell>
        </row>
        <row r="310">
          <cell r="C310">
            <v>201</v>
          </cell>
        </row>
        <row r="311">
          <cell r="C311">
            <v>201</v>
          </cell>
        </row>
        <row r="312">
          <cell r="C312">
            <v>201</v>
          </cell>
        </row>
        <row r="313">
          <cell r="C313">
            <v>201</v>
          </cell>
        </row>
        <row r="314">
          <cell r="C314">
            <v>201</v>
          </cell>
        </row>
        <row r="315">
          <cell r="C315">
            <v>201</v>
          </cell>
        </row>
        <row r="316">
          <cell r="C316">
            <v>201</v>
          </cell>
        </row>
        <row r="317">
          <cell r="C317">
            <v>201</v>
          </cell>
        </row>
        <row r="318">
          <cell r="C318">
            <v>201</v>
          </cell>
        </row>
        <row r="319">
          <cell r="C319">
            <v>201</v>
          </cell>
        </row>
        <row r="320">
          <cell r="C320">
            <v>201</v>
          </cell>
        </row>
        <row r="321">
          <cell r="C321">
            <v>201</v>
          </cell>
        </row>
        <row r="322">
          <cell r="C322">
            <v>201</v>
          </cell>
        </row>
        <row r="323">
          <cell r="C323">
            <v>201</v>
          </cell>
        </row>
        <row r="324">
          <cell r="C324">
            <v>201</v>
          </cell>
        </row>
        <row r="325">
          <cell r="C325">
            <v>201</v>
          </cell>
        </row>
        <row r="326">
          <cell r="C326">
            <v>201</v>
          </cell>
        </row>
        <row r="327">
          <cell r="C327">
            <v>201</v>
          </cell>
        </row>
        <row r="328">
          <cell r="C328">
            <v>201</v>
          </cell>
        </row>
        <row r="329">
          <cell r="C329">
            <v>201</v>
          </cell>
        </row>
        <row r="330">
          <cell r="C330">
            <v>201</v>
          </cell>
        </row>
        <row r="331">
          <cell r="C331">
            <v>201</v>
          </cell>
        </row>
        <row r="332">
          <cell r="C332">
            <v>201</v>
          </cell>
        </row>
        <row r="333">
          <cell r="C333">
            <v>201</v>
          </cell>
        </row>
        <row r="334">
          <cell r="C334">
            <v>201</v>
          </cell>
        </row>
        <row r="335">
          <cell r="C335">
            <v>201</v>
          </cell>
        </row>
        <row r="336">
          <cell r="C336">
            <v>201</v>
          </cell>
        </row>
        <row r="337">
          <cell r="C337">
            <v>201</v>
          </cell>
        </row>
        <row r="338">
          <cell r="C338">
            <v>201</v>
          </cell>
        </row>
        <row r="339">
          <cell r="C339">
            <v>201</v>
          </cell>
        </row>
        <row r="340">
          <cell r="C340">
            <v>201</v>
          </cell>
        </row>
        <row r="341">
          <cell r="C341">
            <v>201</v>
          </cell>
        </row>
        <row r="342">
          <cell r="C342">
            <v>201</v>
          </cell>
        </row>
        <row r="343">
          <cell r="C343">
            <v>201</v>
          </cell>
        </row>
        <row r="344">
          <cell r="C344">
            <v>201</v>
          </cell>
        </row>
        <row r="345">
          <cell r="C345">
            <v>201</v>
          </cell>
        </row>
        <row r="346">
          <cell r="C346">
            <v>201</v>
          </cell>
        </row>
        <row r="347">
          <cell r="C347">
            <v>201</v>
          </cell>
        </row>
        <row r="348">
          <cell r="C348">
            <v>201</v>
          </cell>
        </row>
        <row r="349">
          <cell r="C349">
            <v>201</v>
          </cell>
        </row>
        <row r="350">
          <cell r="C350">
            <v>201</v>
          </cell>
        </row>
        <row r="351">
          <cell r="C351">
            <v>201</v>
          </cell>
        </row>
        <row r="352">
          <cell r="C352">
            <v>201</v>
          </cell>
        </row>
        <row r="353">
          <cell r="C353">
            <v>201</v>
          </cell>
        </row>
        <row r="354">
          <cell r="C354">
            <v>201</v>
          </cell>
        </row>
        <row r="355">
          <cell r="C355">
            <v>201</v>
          </cell>
        </row>
        <row r="356">
          <cell r="C356">
            <v>201</v>
          </cell>
        </row>
        <row r="357">
          <cell r="C357">
            <v>201</v>
          </cell>
        </row>
        <row r="358">
          <cell r="C358">
            <v>201</v>
          </cell>
        </row>
        <row r="359">
          <cell r="C359">
            <v>201</v>
          </cell>
        </row>
        <row r="360">
          <cell r="C360">
            <v>201</v>
          </cell>
        </row>
        <row r="361">
          <cell r="C361">
            <v>201</v>
          </cell>
        </row>
        <row r="362">
          <cell r="C362">
            <v>201</v>
          </cell>
        </row>
        <row r="363">
          <cell r="C363">
            <v>201</v>
          </cell>
        </row>
        <row r="364">
          <cell r="C364">
            <v>201</v>
          </cell>
        </row>
        <row r="365">
          <cell r="C365">
            <v>201</v>
          </cell>
        </row>
        <row r="366">
          <cell r="C366">
            <v>270</v>
          </cell>
        </row>
        <row r="367">
          <cell r="C367">
            <v>270</v>
          </cell>
        </row>
        <row r="368">
          <cell r="C368">
            <v>270</v>
          </cell>
        </row>
        <row r="369">
          <cell r="C369">
            <v>270</v>
          </cell>
        </row>
        <row r="370">
          <cell r="C370">
            <v>270</v>
          </cell>
        </row>
        <row r="371">
          <cell r="C371">
            <v>270</v>
          </cell>
        </row>
        <row r="372">
          <cell r="C372">
            <v>270</v>
          </cell>
        </row>
        <row r="373">
          <cell r="C373">
            <v>270</v>
          </cell>
        </row>
        <row r="374">
          <cell r="C374">
            <v>270</v>
          </cell>
        </row>
        <row r="375">
          <cell r="C375">
            <v>270</v>
          </cell>
        </row>
        <row r="376">
          <cell r="C376">
            <v>270</v>
          </cell>
        </row>
        <row r="377">
          <cell r="C377">
            <v>270</v>
          </cell>
        </row>
        <row r="378">
          <cell r="C378">
            <v>270</v>
          </cell>
        </row>
        <row r="379">
          <cell r="C379">
            <v>270</v>
          </cell>
        </row>
        <row r="380">
          <cell r="C380">
            <v>270</v>
          </cell>
        </row>
        <row r="381">
          <cell r="C381">
            <v>270</v>
          </cell>
        </row>
        <row r="382">
          <cell r="C382">
            <v>270</v>
          </cell>
        </row>
        <row r="383">
          <cell r="C383">
            <v>270</v>
          </cell>
        </row>
        <row r="384">
          <cell r="C384">
            <v>270</v>
          </cell>
        </row>
        <row r="385">
          <cell r="C385">
            <v>201</v>
          </cell>
        </row>
        <row r="386">
          <cell r="C386">
            <v>201</v>
          </cell>
        </row>
        <row r="387">
          <cell r="C387">
            <v>201</v>
          </cell>
        </row>
        <row r="388">
          <cell r="C388">
            <v>201</v>
          </cell>
        </row>
        <row r="389">
          <cell r="C389">
            <v>201</v>
          </cell>
        </row>
        <row r="390">
          <cell r="C390">
            <v>201</v>
          </cell>
        </row>
        <row r="391">
          <cell r="C391">
            <v>201</v>
          </cell>
        </row>
        <row r="392">
          <cell r="C392">
            <v>201</v>
          </cell>
        </row>
        <row r="393">
          <cell r="C393">
            <v>201</v>
          </cell>
        </row>
        <row r="394">
          <cell r="C394">
            <v>208</v>
          </cell>
        </row>
        <row r="395">
          <cell r="C395">
            <v>208</v>
          </cell>
        </row>
        <row r="396">
          <cell r="C396">
            <v>270</v>
          </cell>
        </row>
        <row r="397">
          <cell r="C397">
            <v>270</v>
          </cell>
        </row>
        <row r="398">
          <cell r="C398">
            <v>270</v>
          </cell>
        </row>
        <row r="399">
          <cell r="C399">
            <v>201</v>
          </cell>
        </row>
        <row r="400">
          <cell r="C400">
            <v>201</v>
          </cell>
        </row>
        <row r="401">
          <cell r="C401">
            <v>201</v>
          </cell>
        </row>
        <row r="402">
          <cell r="C402">
            <v>201</v>
          </cell>
        </row>
        <row r="403">
          <cell r="C403">
            <v>201</v>
          </cell>
        </row>
        <row r="404">
          <cell r="C404">
            <v>201</v>
          </cell>
        </row>
        <row r="405">
          <cell r="C405">
            <v>201</v>
          </cell>
        </row>
        <row r="406">
          <cell r="C406">
            <v>201</v>
          </cell>
        </row>
        <row r="407">
          <cell r="C407">
            <v>201</v>
          </cell>
        </row>
        <row r="408">
          <cell r="C408">
            <v>201</v>
          </cell>
        </row>
        <row r="409">
          <cell r="C409">
            <v>201</v>
          </cell>
        </row>
        <row r="410">
          <cell r="C410">
            <v>201</v>
          </cell>
        </row>
        <row r="411">
          <cell r="C411">
            <v>201</v>
          </cell>
        </row>
        <row r="412">
          <cell r="C412">
            <v>201</v>
          </cell>
        </row>
        <row r="413">
          <cell r="C413">
            <v>201</v>
          </cell>
        </row>
        <row r="414">
          <cell r="C414">
            <v>201</v>
          </cell>
        </row>
        <row r="415">
          <cell r="C415">
            <v>201</v>
          </cell>
        </row>
        <row r="416">
          <cell r="C416">
            <v>201</v>
          </cell>
        </row>
        <row r="417">
          <cell r="C417">
            <v>201</v>
          </cell>
        </row>
        <row r="418">
          <cell r="C418">
            <v>201</v>
          </cell>
        </row>
        <row r="419">
          <cell r="C419">
            <v>201</v>
          </cell>
        </row>
        <row r="420">
          <cell r="C420">
            <v>201</v>
          </cell>
        </row>
        <row r="421">
          <cell r="C421">
            <v>201</v>
          </cell>
        </row>
        <row r="422">
          <cell r="C422">
            <v>201</v>
          </cell>
        </row>
        <row r="423">
          <cell r="C423">
            <v>270</v>
          </cell>
        </row>
        <row r="424">
          <cell r="C424">
            <v>270</v>
          </cell>
        </row>
        <row r="425">
          <cell r="C425">
            <v>270</v>
          </cell>
        </row>
        <row r="426">
          <cell r="C426">
            <v>270</v>
          </cell>
        </row>
        <row r="427">
          <cell r="C427">
            <v>270</v>
          </cell>
        </row>
        <row r="428">
          <cell r="C428">
            <v>270</v>
          </cell>
        </row>
        <row r="429">
          <cell r="C429">
            <v>270</v>
          </cell>
        </row>
        <row r="430">
          <cell r="C430">
            <v>270</v>
          </cell>
        </row>
        <row r="431">
          <cell r="C431">
            <v>270</v>
          </cell>
        </row>
        <row r="432">
          <cell r="C432">
            <v>270</v>
          </cell>
        </row>
        <row r="433">
          <cell r="C433">
            <v>270</v>
          </cell>
        </row>
        <row r="434">
          <cell r="C434">
            <v>201</v>
          </cell>
        </row>
        <row r="435">
          <cell r="C435">
            <v>201</v>
          </cell>
        </row>
        <row r="436">
          <cell r="C436">
            <v>201</v>
          </cell>
        </row>
        <row r="437">
          <cell r="C437">
            <v>201</v>
          </cell>
        </row>
        <row r="438">
          <cell r="C438">
            <v>201</v>
          </cell>
        </row>
        <row r="439">
          <cell r="C439">
            <v>201</v>
          </cell>
        </row>
        <row r="440">
          <cell r="C440">
            <v>201</v>
          </cell>
        </row>
        <row r="441">
          <cell r="C441">
            <v>201</v>
          </cell>
        </row>
        <row r="442">
          <cell r="C442">
            <v>201</v>
          </cell>
        </row>
        <row r="443">
          <cell r="C443">
            <v>201</v>
          </cell>
        </row>
        <row r="444">
          <cell r="C444">
            <v>201</v>
          </cell>
        </row>
        <row r="445">
          <cell r="C445">
            <v>201</v>
          </cell>
        </row>
        <row r="446">
          <cell r="C446">
            <v>201</v>
          </cell>
        </row>
        <row r="447">
          <cell r="C447">
            <v>201</v>
          </cell>
        </row>
        <row r="448">
          <cell r="C448">
            <v>201</v>
          </cell>
        </row>
        <row r="449">
          <cell r="C449">
            <v>201</v>
          </cell>
        </row>
        <row r="450">
          <cell r="C450">
            <v>201</v>
          </cell>
        </row>
        <row r="451">
          <cell r="C451">
            <v>201</v>
          </cell>
        </row>
        <row r="452">
          <cell r="C452">
            <v>201</v>
          </cell>
        </row>
        <row r="453">
          <cell r="C453">
            <v>201</v>
          </cell>
        </row>
        <row r="454">
          <cell r="C454">
            <v>201</v>
          </cell>
        </row>
        <row r="455">
          <cell r="C455">
            <v>201</v>
          </cell>
        </row>
        <row r="456">
          <cell r="C456">
            <v>201</v>
          </cell>
        </row>
        <row r="457">
          <cell r="C457">
            <v>201</v>
          </cell>
        </row>
        <row r="458">
          <cell r="C458">
            <v>201</v>
          </cell>
        </row>
        <row r="459">
          <cell r="C459">
            <v>201</v>
          </cell>
        </row>
        <row r="460">
          <cell r="C460">
            <v>201</v>
          </cell>
        </row>
        <row r="461">
          <cell r="C461">
            <v>201</v>
          </cell>
        </row>
        <row r="462">
          <cell r="C462">
            <v>201</v>
          </cell>
        </row>
        <row r="463">
          <cell r="C463">
            <v>201</v>
          </cell>
        </row>
        <row r="464">
          <cell r="C464">
            <v>201</v>
          </cell>
        </row>
        <row r="465">
          <cell r="C465">
            <v>201</v>
          </cell>
        </row>
        <row r="466">
          <cell r="C466">
            <v>201</v>
          </cell>
        </row>
        <row r="467">
          <cell r="C467">
            <v>201</v>
          </cell>
        </row>
        <row r="468">
          <cell r="C468">
            <v>201</v>
          </cell>
        </row>
        <row r="469">
          <cell r="C469">
            <v>201</v>
          </cell>
        </row>
        <row r="470">
          <cell r="C470">
            <v>201</v>
          </cell>
        </row>
        <row r="471">
          <cell r="C471">
            <v>201</v>
          </cell>
        </row>
        <row r="472">
          <cell r="C472">
            <v>201</v>
          </cell>
        </row>
        <row r="473">
          <cell r="C473">
            <v>208</v>
          </cell>
        </row>
        <row r="474">
          <cell r="C474" t="str">
            <v>EPO</v>
          </cell>
        </row>
        <row r="475">
          <cell r="C475">
            <v>201</v>
          </cell>
        </row>
        <row r="476">
          <cell r="C476">
            <v>201</v>
          </cell>
        </row>
        <row r="477">
          <cell r="C477">
            <v>201</v>
          </cell>
        </row>
        <row r="478">
          <cell r="C478">
            <v>201</v>
          </cell>
        </row>
        <row r="479">
          <cell r="C479">
            <v>201</v>
          </cell>
        </row>
        <row r="480">
          <cell r="C480">
            <v>201</v>
          </cell>
        </row>
        <row r="481">
          <cell r="C481">
            <v>201</v>
          </cell>
        </row>
        <row r="482">
          <cell r="C482">
            <v>201</v>
          </cell>
        </row>
        <row r="483">
          <cell r="C483">
            <v>201</v>
          </cell>
        </row>
        <row r="484">
          <cell r="C484">
            <v>201</v>
          </cell>
        </row>
        <row r="485">
          <cell r="C485">
            <v>201</v>
          </cell>
        </row>
        <row r="486">
          <cell r="C486">
            <v>201</v>
          </cell>
        </row>
        <row r="487">
          <cell r="C487">
            <v>201</v>
          </cell>
        </row>
        <row r="488">
          <cell r="C488">
            <v>201</v>
          </cell>
        </row>
        <row r="489">
          <cell r="C489">
            <v>201</v>
          </cell>
        </row>
        <row r="490">
          <cell r="C490">
            <v>201</v>
          </cell>
        </row>
        <row r="491">
          <cell r="C491">
            <v>201</v>
          </cell>
        </row>
        <row r="492">
          <cell r="C492">
            <v>201</v>
          </cell>
        </row>
        <row r="493">
          <cell r="C493">
            <v>201</v>
          </cell>
        </row>
        <row r="494">
          <cell r="C494">
            <v>201</v>
          </cell>
        </row>
        <row r="495">
          <cell r="C495">
            <v>201</v>
          </cell>
        </row>
        <row r="496">
          <cell r="C496">
            <v>201</v>
          </cell>
        </row>
        <row r="497">
          <cell r="C497">
            <v>201</v>
          </cell>
        </row>
        <row r="498">
          <cell r="C498">
            <v>201</v>
          </cell>
        </row>
        <row r="499">
          <cell r="C499">
            <v>201</v>
          </cell>
        </row>
        <row r="500">
          <cell r="C500">
            <v>201</v>
          </cell>
        </row>
        <row r="501">
          <cell r="C501">
            <v>201</v>
          </cell>
        </row>
        <row r="502">
          <cell r="C502">
            <v>201</v>
          </cell>
        </row>
        <row r="503">
          <cell r="C503">
            <v>201</v>
          </cell>
        </row>
        <row r="504">
          <cell r="C504">
            <v>201</v>
          </cell>
        </row>
        <row r="505">
          <cell r="C505">
            <v>201</v>
          </cell>
        </row>
        <row r="506">
          <cell r="C506">
            <v>201</v>
          </cell>
        </row>
        <row r="507">
          <cell r="C507">
            <v>201</v>
          </cell>
        </row>
        <row r="508">
          <cell r="C508">
            <v>201</v>
          </cell>
        </row>
        <row r="509">
          <cell r="C509">
            <v>201</v>
          </cell>
        </row>
        <row r="510">
          <cell r="C510">
            <v>201</v>
          </cell>
        </row>
        <row r="511">
          <cell r="C511">
            <v>201</v>
          </cell>
        </row>
        <row r="512">
          <cell r="C512">
            <v>201</v>
          </cell>
        </row>
        <row r="513">
          <cell r="C513">
            <v>201</v>
          </cell>
        </row>
        <row r="514">
          <cell r="C514">
            <v>201</v>
          </cell>
        </row>
        <row r="515">
          <cell r="C515">
            <v>201</v>
          </cell>
        </row>
        <row r="516">
          <cell r="C516">
            <v>201</v>
          </cell>
        </row>
        <row r="517">
          <cell r="C517">
            <v>201</v>
          </cell>
        </row>
        <row r="518">
          <cell r="C518">
            <v>201</v>
          </cell>
        </row>
        <row r="519">
          <cell r="C519">
            <v>201</v>
          </cell>
        </row>
        <row r="520">
          <cell r="C520">
            <v>201</v>
          </cell>
        </row>
        <row r="521">
          <cell r="C521">
            <v>201</v>
          </cell>
        </row>
        <row r="522">
          <cell r="C522">
            <v>201</v>
          </cell>
        </row>
        <row r="523">
          <cell r="C523">
            <v>201</v>
          </cell>
        </row>
        <row r="524">
          <cell r="C524">
            <v>201</v>
          </cell>
        </row>
        <row r="525">
          <cell r="C525">
            <v>201</v>
          </cell>
        </row>
        <row r="526">
          <cell r="C526">
            <v>201</v>
          </cell>
        </row>
        <row r="527">
          <cell r="C527">
            <v>201</v>
          </cell>
        </row>
        <row r="528">
          <cell r="C528">
            <v>201</v>
          </cell>
        </row>
        <row r="529">
          <cell r="C529">
            <v>201</v>
          </cell>
        </row>
        <row r="530">
          <cell r="C530">
            <v>201</v>
          </cell>
        </row>
        <row r="531">
          <cell r="C531">
            <v>201</v>
          </cell>
        </row>
        <row r="532">
          <cell r="C532">
            <v>201</v>
          </cell>
        </row>
        <row r="533">
          <cell r="C533">
            <v>35</v>
          </cell>
        </row>
        <row r="534">
          <cell r="C534">
            <v>35</v>
          </cell>
        </row>
        <row r="535">
          <cell r="C535">
            <v>35</v>
          </cell>
        </row>
        <row r="536">
          <cell r="C536">
            <v>35</v>
          </cell>
        </row>
        <row r="537">
          <cell r="C537">
            <v>35</v>
          </cell>
        </row>
        <row r="538">
          <cell r="C538">
            <v>35</v>
          </cell>
        </row>
        <row r="539">
          <cell r="C539">
            <v>35</v>
          </cell>
        </row>
        <row r="540">
          <cell r="C540">
            <v>35</v>
          </cell>
        </row>
        <row r="541">
          <cell r="C541">
            <v>35</v>
          </cell>
        </row>
        <row r="542">
          <cell r="C542">
            <v>35</v>
          </cell>
        </row>
        <row r="543">
          <cell r="C543">
            <v>35</v>
          </cell>
        </row>
        <row r="544">
          <cell r="C544">
            <v>35</v>
          </cell>
        </row>
        <row r="545">
          <cell r="C545">
            <v>35</v>
          </cell>
        </row>
        <row r="546">
          <cell r="C546">
            <v>35</v>
          </cell>
        </row>
        <row r="547">
          <cell r="C547">
            <v>35</v>
          </cell>
        </row>
        <row r="548">
          <cell r="C548">
            <v>35</v>
          </cell>
        </row>
        <row r="549">
          <cell r="C549">
            <v>35</v>
          </cell>
        </row>
        <row r="550">
          <cell r="C550">
            <v>35</v>
          </cell>
        </row>
        <row r="551">
          <cell r="C551">
            <v>35</v>
          </cell>
        </row>
        <row r="552">
          <cell r="C552">
            <v>35</v>
          </cell>
        </row>
        <row r="553">
          <cell r="C553">
            <v>35</v>
          </cell>
        </row>
        <row r="554">
          <cell r="C554">
            <v>35</v>
          </cell>
        </row>
        <row r="555">
          <cell r="C555">
            <v>35</v>
          </cell>
        </row>
        <row r="556">
          <cell r="C556">
            <v>35</v>
          </cell>
        </row>
        <row r="557">
          <cell r="C557">
            <v>35</v>
          </cell>
        </row>
        <row r="558">
          <cell r="C558">
            <v>35</v>
          </cell>
        </row>
        <row r="559">
          <cell r="C559">
            <v>35</v>
          </cell>
        </row>
        <row r="560">
          <cell r="C560">
            <v>35</v>
          </cell>
        </row>
        <row r="561">
          <cell r="C561">
            <v>35</v>
          </cell>
        </row>
        <row r="562">
          <cell r="C562">
            <v>35</v>
          </cell>
        </row>
        <row r="563">
          <cell r="C563">
            <v>35</v>
          </cell>
        </row>
        <row r="564">
          <cell r="C564">
            <v>35</v>
          </cell>
        </row>
        <row r="565">
          <cell r="C565">
            <v>35</v>
          </cell>
        </row>
        <row r="566">
          <cell r="C566">
            <v>35</v>
          </cell>
        </row>
        <row r="567">
          <cell r="C567">
            <v>35</v>
          </cell>
        </row>
        <row r="568">
          <cell r="C568">
            <v>35</v>
          </cell>
        </row>
        <row r="569">
          <cell r="C569">
            <v>35</v>
          </cell>
        </row>
        <row r="570">
          <cell r="C570">
            <v>35</v>
          </cell>
        </row>
        <row r="571">
          <cell r="C571">
            <v>35</v>
          </cell>
        </row>
        <row r="572">
          <cell r="C572">
            <v>35</v>
          </cell>
        </row>
        <row r="573">
          <cell r="C573">
            <v>35</v>
          </cell>
        </row>
        <row r="574">
          <cell r="C574">
            <v>35</v>
          </cell>
        </row>
        <row r="575">
          <cell r="C575">
            <v>35</v>
          </cell>
        </row>
        <row r="576">
          <cell r="C576">
            <v>35</v>
          </cell>
        </row>
        <row r="577">
          <cell r="C577">
            <v>35</v>
          </cell>
        </row>
      </sheetData>
      <sheetData sheetId="4" refreshError="1"/>
      <sheetData sheetId="5" refreshError="1"/>
    </sheetDataSet>
  </externalBook>
</externalLink>
</file>

<file path=xl/externalLinks/externalLink3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BALANCE"/>
      <sheetName val="PART"/>
      <sheetName val="EXTRACTION"/>
    </sheetNames>
    <sheetDataSet>
      <sheetData sheetId="0" refreshError="1">
        <row r="2">
          <cell r="D2" t="str">
            <v>P0091</v>
          </cell>
        </row>
        <row r="3">
          <cell r="D3" t="str">
            <v>P0197</v>
          </cell>
        </row>
        <row r="4">
          <cell r="D4" t="str">
            <v>P0199</v>
          </cell>
        </row>
        <row r="5">
          <cell r="D5" t="str">
            <v>P0200</v>
          </cell>
        </row>
        <row r="6">
          <cell r="D6" t="str">
            <v>P0201</v>
          </cell>
        </row>
        <row r="7">
          <cell r="D7" t="str">
            <v>P0203</v>
          </cell>
        </row>
        <row r="8">
          <cell r="D8" t="str">
            <v>P0204</v>
          </cell>
        </row>
        <row r="9">
          <cell r="D9" t="str">
            <v>P0206</v>
          </cell>
        </row>
        <row r="10">
          <cell r="D10" t="str">
            <v>P0207</v>
          </cell>
        </row>
        <row r="11">
          <cell r="D11" t="str">
            <v>P0302</v>
          </cell>
        </row>
        <row r="12">
          <cell r="D12" t="str">
            <v>P0320</v>
          </cell>
        </row>
        <row r="13">
          <cell r="D13" t="str">
            <v>P0427</v>
          </cell>
        </row>
        <row r="14">
          <cell r="D14" t="str">
            <v>P0432</v>
          </cell>
        </row>
        <row r="15">
          <cell r="D15" t="str">
            <v>P0445</v>
          </cell>
        </row>
        <row r="16">
          <cell r="D16" t="str">
            <v>P0446</v>
          </cell>
        </row>
        <row r="17">
          <cell r="D17" t="str">
            <v>P0474</v>
          </cell>
        </row>
        <row r="18">
          <cell r="D18" t="str">
            <v>P0482</v>
          </cell>
        </row>
        <row r="19">
          <cell r="D19" t="str">
            <v>P0562</v>
          </cell>
        </row>
        <row r="20">
          <cell r="D20" t="str">
            <v>P0564</v>
          </cell>
        </row>
        <row r="21">
          <cell r="D21" t="str">
            <v>P0593</v>
          </cell>
        </row>
        <row r="22">
          <cell r="D22" t="str">
            <v>P0600</v>
          </cell>
        </row>
        <row r="23">
          <cell r="D23" t="str">
            <v>P0788</v>
          </cell>
        </row>
        <row r="24">
          <cell r="D24" t="str">
            <v>P0812</v>
          </cell>
        </row>
        <row r="25">
          <cell r="D25" t="str">
            <v>PAL01</v>
          </cell>
        </row>
        <row r="26">
          <cell r="D26" t="str">
            <v>PAV01</v>
          </cell>
        </row>
        <row r="27">
          <cell r="D27" t="str">
            <v>PBE01</v>
          </cell>
        </row>
        <row r="28">
          <cell r="D28" t="str">
            <v>PBO01</v>
          </cell>
        </row>
        <row r="29">
          <cell r="D29" t="str">
            <v>PCH01</v>
          </cell>
        </row>
        <row r="30">
          <cell r="D30" t="str">
            <v>PDA01</v>
          </cell>
        </row>
        <row r="31">
          <cell r="D31" t="str">
            <v>PDE01</v>
          </cell>
        </row>
        <row r="32">
          <cell r="D32" t="str">
            <v>PFO01</v>
          </cell>
        </row>
        <row r="33">
          <cell r="D33" t="str">
            <v>PFR05</v>
          </cell>
        </row>
        <row r="34">
          <cell r="D34" t="str">
            <v>PFR06</v>
          </cell>
        </row>
        <row r="35">
          <cell r="D35" t="str">
            <v>PHL01</v>
          </cell>
        </row>
        <row r="36">
          <cell r="D36" t="str">
            <v>PIS01</v>
          </cell>
        </row>
        <row r="37">
          <cell r="D37" t="str">
            <v>PMA01</v>
          </cell>
        </row>
        <row r="38">
          <cell r="D38" t="str">
            <v>PME02</v>
          </cell>
        </row>
        <row r="39">
          <cell r="D39" t="str">
            <v>PNE01</v>
          </cell>
        </row>
        <row r="40">
          <cell r="D40" t="str">
            <v>PPB02</v>
          </cell>
        </row>
        <row r="41">
          <cell r="D41" t="str">
            <v>PPI02</v>
          </cell>
        </row>
        <row r="42">
          <cell r="D42" t="str">
            <v>PPI04</v>
          </cell>
        </row>
        <row r="43">
          <cell r="D43" t="str">
            <v>PRE01</v>
          </cell>
        </row>
        <row r="44">
          <cell r="D44" t="str">
            <v>PSE01</v>
          </cell>
        </row>
        <row r="45">
          <cell r="D45" t="str">
            <v>PSI01</v>
          </cell>
        </row>
        <row r="46">
          <cell r="D46" t="str">
            <v>PSP01</v>
          </cell>
        </row>
        <row r="47">
          <cell r="D47" t="str">
            <v>PVI01</v>
          </cell>
        </row>
        <row r="48">
          <cell r="D48" t="str">
            <v>P0083</v>
          </cell>
        </row>
        <row r="49">
          <cell r="D49" t="str">
            <v>P0086</v>
          </cell>
        </row>
        <row r="50">
          <cell r="D50" t="str">
            <v>P0087</v>
          </cell>
        </row>
        <row r="51">
          <cell r="D51" t="str">
            <v>P0089</v>
          </cell>
        </row>
        <row r="52">
          <cell r="D52" t="str">
            <v>P0091</v>
          </cell>
        </row>
        <row r="53">
          <cell r="D53" t="str">
            <v>P0127</v>
          </cell>
        </row>
        <row r="54">
          <cell r="D54" t="str">
            <v>P0203</v>
          </cell>
        </row>
        <row r="55">
          <cell r="D55" t="str">
            <v>P0217</v>
          </cell>
        </row>
        <row r="56">
          <cell r="D56" t="str">
            <v>P0233</v>
          </cell>
        </row>
        <row r="57">
          <cell r="D57" t="str">
            <v>P0262</v>
          </cell>
        </row>
        <row r="58">
          <cell r="D58" t="str">
            <v>P0288</v>
          </cell>
        </row>
        <row r="59">
          <cell r="D59" t="str">
            <v>P0427</v>
          </cell>
        </row>
        <row r="60">
          <cell r="D60" t="str">
            <v>P0432</v>
          </cell>
        </row>
        <row r="61">
          <cell r="D61" t="str">
            <v>P0446</v>
          </cell>
        </row>
        <row r="62">
          <cell r="D62" t="str">
            <v>P0474</v>
          </cell>
        </row>
        <row r="63">
          <cell r="D63" t="str">
            <v>P0562</v>
          </cell>
        </row>
        <row r="64">
          <cell r="D64" t="str">
            <v>P0564</v>
          </cell>
        </row>
        <row r="65">
          <cell r="D65" t="str">
            <v>P0578</v>
          </cell>
        </row>
        <row r="66">
          <cell r="D66" t="str">
            <v>P0600</v>
          </cell>
        </row>
        <row r="67">
          <cell r="D67" t="str">
            <v>PAL01</v>
          </cell>
        </row>
        <row r="68">
          <cell r="D68" t="str">
            <v>PAV01</v>
          </cell>
        </row>
        <row r="69">
          <cell r="D69" t="str">
            <v>PBE01</v>
          </cell>
        </row>
        <row r="70">
          <cell r="D70" t="str">
            <v>PBO01</v>
          </cell>
        </row>
        <row r="71">
          <cell r="D71" t="str">
            <v>PCH01</v>
          </cell>
        </row>
        <row r="72">
          <cell r="D72" t="str">
            <v>PDA01</v>
          </cell>
        </row>
        <row r="73">
          <cell r="D73" t="str">
            <v>PDE01</v>
          </cell>
        </row>
        <row r="74">
          <cell r="D74" t="str">
            <v>PFO01</v>
          </cell>
        </row>
        <row r="75">
          <cell r="D75" t="str">
            <v>PHL01</v>
          </cell>
        </row>
        <row r="76">
          <cell r="D76" t="str">
            <v>PME02</v>
          </cell>
        </row>
        <row r="77">
          <cell r="D77" t="str">
            <v>PNE01</v>
          </cell>
        </row>
        <row r="78">
          <cell r="D78" t="str">
            <v>PPB02</v>
          </cell>
        </row>
        <row r="79">
          <cell r="D79" t="str">
            <v>PSE01</v>
          </cell>
        </row>
        <row r="80">
          <cell r="D80" t="str">
            <v>PSI01</v>
          </cell>
        </row>
        <row r="81">
          <cell r="D81" t="str">
            <v>PSP01</v>
          </cell>
        </row>
        <row r="82">
          <cell r="D82" t="str">
            <v>P0193</v>
          </cell>
        </row>
        <row r="83">
          <cell r="D83" t="str">
            <v>P0194</v>
          </cell>
        </row>
        <row r="84">
          <cell r="D84" t="str">
            <v>P0195</v>
          </cell>
        </row>
        <row r="85">
          <cell r="D85" t="str">
            <v>P0196</v>
          </cell>
        </row>
        <row r="86">
          <cell r="D86" t="str">
            <v>P0225</v>
          </cell>
        </row>
        <row r="87">
          <cell r="D87" t="str">
            <v>P0226</v>
          </cell>
        </row>
        <row r="88">
          <cell r="D88" t="str">
            <v>P0227</v>
          </cell>
        </row>
        <row r="89">
          <cell r="D89" t="str">
            <v>P0228</v>
          </cell>
        </row>
        <row r="90">
          <cell r="D90" t="str">
            <v>P0632</v>
          </cell>
        </row>
        <row r="91">
          <cell r="D91" t="str">
            <v>P0635</v>
          </cell>
        </row>
        <row r="92">
          <cell r="D92" t="str">
            <v>PGF01</v>
          </cell>
        </row>
        <row r="93">
          <cell r="D93" t="str">
            <v>PGF02</v>
          </cell>
        </row>
        <row r="94">
          <cell r="D94" t="str">
            <v>PGF05</v>
          </cell>
        </row>
        <row r="95">
          <cell r="D95" t="str">
            <v>PGF06</v>
          </cell>
        </row>
        <row r="96">
          <cell r="D96" t="str">
            <v>PGF07</v>
          </cell>
        </row>
        <row r="97">
          <cell r="D97" t="str">
            <v>PGF08</v>
          </cell>
        </row>
        <row r="98">
          <cell r="D98" t="str">
            <v>PGF09</v>
          </cell>
        </row>
        <row r="99">
          <cell r="D99" t="str">
            <v>PLA01</v>
          </cell>
        </row>
        <row r="100">
          <cell r="D100" t="str">
            <v>P0141</v>
          </cell>
        </row>
        <row r="101">
          <cell r="D101" t="str">
            <v>P0193</v>
          </cell>
        </row>
        <row r="102">
          <cell r="D102" t="str">
            <v>P0194</v>
          </cell>
        </row>
        <row r="103">
          <cell r="D103" t="str">
            <v>P0196</v>
          </cell>
        </row>
        <row r="104">
          <cell r="D104" t="str">
            <v>P0225</v>
          </cell>
        </row>
        <row r="105">
          <cell r="D105" t="str">
            <v>P0226</v>
          </cell>
        </row>
        <row r="106">
          <cell r="D106" t="str">
            <v>P0227</v>
          </cell>
        </row>
        <row r="107">
          <cell r="D107" t="str">
            <v>P0228</v>
          </cell>
        </row>
        <row r="108">
          <cell r="D108" t="str">
            <v>P0322</v>
          </cell>
        </row>
        <row r="109">
          <cell r="D109" t="str">
            <v>P0632</v>
          </cell>
        </row>
        <row r="110">
          <cell r="D110" t="str">
            <v>P0635</v>
          </cell>
        </row>
        <row r="111">
          <cell r="D111" t="str">
            <v>PGF01</v>
          </cell>
        </row>
        <row r="112">
          <cell r="D112" t="str">
            <v>PGF02</v>
          </cell>
        </row>
        <row r="113">
          <cell r="D113" t="str">
            <v>PGF05</v>
          </cell>
        </row>
        <row r="114">
          <cell r="D114" t="str">
            <v>PGF06</v>
          </cell>
        </row>
        <row r="115">
          <cell r="D115" t="str">
            <v>PGF07</v>
          </cell>
        </row>
        <row r="116">
          <cell r="D116" t="str">
            <v>PGF08</v>
          </cell>
        </row>
        <row r="117">
          <cell r="D117" t="str">
            <v>PGF09</v>
          </cell>
        </row>
        <row r="118">
          <cell r="D118" t="str">
            <v>PLA01</v>
          </cell>
        </row>
        <row r="119">
          <cell r="D119" t="str">
            <v>P0306</v>
          </cell>
        </row>
        <row r="120">
          <cell r="D120" t="str">
            <v>P0320</v>
          </cell>
        </row>
        <row r="121">
          <cell r="D121" t="str">
            <v>P0722</v>
          </cell>
        </row>
        <row r="122">
          <cell r="D122" t="str">
            <v>PFR05</v>
          </cell>
        </row>
        <row r="123">
          <cell r="D123" t="str">
            <v>PPI01</v>
          </cell>
        </row>
        <row r="124">
          <cell r="D124" t="str">
            <v>P0028</v>
          </cell>
        </row>
        <row r="125">
          <cell r="D125" t="str">
            <v>P0005</v>
          </cell>
        </row>
        <row r="126">
          <cell r="D126" t="str">
            <v>P0006</v>
          </cell>
        </row>
        <row r="127">
          <cell r="D127" t="str">
            <v>P0007</v>
          </cell>
        </row>
        <row r="128">
          <cell r="D128" t="str">
            <v>P0011</v>
          </cell>
        </row>
        <row r="129">
          <cell r="D129" t="str">
            <v>P0019</v>
          </cell>
        </row>
        <row r="130">
          <cell r="D130" t="str">
            <v>P0026</v>
          </cell>
        </row>
        <row r="131">
          <cell r="D131" t="str">
            <v>P0034</v>
          </cell>
        </row>
        <row r="132">
          <cell r="D132" t="str">
            <v>P0092</v>
          </cell>
        </row>
        <row r="133">
          <cell r="D133" t="str">
            <v>P0093</v>
          </cell>
        </row>
        <row r="134">
          <cell r="D134" t="str">
            <v>P0094</v>
          </cell>
        </row>
        <row r="135">
          <cell r="D135" t="str">
            <v>P0224</v>
          </cell>
        </row>
        <row r="136">
          <cell r="D136" t="str">
            <v>P0334</v>
          </cell>
        </row>
        <row r="137">
          <cell r="D137" t="str">
            <v>P0780</v>
          </cell>
        </row>
        <row r="138">
          <cell r="D138" t="str">
            <v>PCI01</v>
          </cell>
        </row>
        <row r="139">
          <cell r="D139" t="str">
            <v>PEP01</v>
          </cell>
        </row>
        <row r="140">
          <cell r="D140" t="str">
            <v>PEP02</v>
          </cell>
        </row>
        <row r="141">
          <cell r="D141" t="str">
            <v>PEP03</v>
          </cell>
        </row>
        <row r="142">
          <cell r="D142" t="str">
            <v>PFI03</v>
          </cell>
        </row>
        <row r="143">
          <cell r="D143" t="str">
            <v>PFR02</v>
          </cell>
        </row>
        <row r="144">
          <cell r="D144" t="str">
            <v>PMO02</v>
          </cell>
        </row>
        <row r="145">
          <cell r="D145" t="str">
            <v>PMO03</v>
          </cell>
        </row>
        <row r="146">
          <cell r="D146" t="str">
            <v>PSA01</v>
          </cell>
        </row>
        <row r="147">
          <cell r="D147" t="str">
            <v>PSF01</v>
          </cell>
        </row>
        <row r="148">
          <cell r="D148" t="str">
            <v>PSO01</v>
          </cell>
        </row>
        <row r="149">
          <cell r="D149" t="str">
            <v>PSO06</v>
          </cell>
        </row>
        <row r="150">
          <cell r="D150" t="str">
            <v>PSO08</v>
          </cell>
        </row>
        <row r="151">
          <cell r="D151" t="str">
            <v>P0005</v>
          </cell>
        </row>
        <row r="152">
          <cell r="D152" t="str">
            <v>P0005</v>
          </cell>
        </row>
        <row r="153">
          <cell r="D153" t="str">
            <v>P0006</v>
          </cell>
        </row>
        <row r="154">
          <cell r="D154" t="str">
            <v>P0019</v>
          </cell>
        </row>
        <row r="155">
          <cell r="D155" t="str">
            <v>P0093</v>
          </cell>
        </row>
        <row r="156">
          <cell r="D156" t="str">
            <v>PEP02</v>
          </cell>
        </row>
        <row r="157">
          <cell r="D157" t="str">
            <v>PMO02</v>
          </cell>
        </row>
        <row r="158">
          <cell r="D158" t="str">
            <v>PSO01</v>
          </cell>
        </row>
        <row r="159">
          <cell r="D159" t="str">
            <v>PSO08</v>
          </cell>
        </row>
        <row r="160">
          <cell r="D160" t="str">
            <v>P0482</v>
          </cell>
        </row>
        <row r="161">
          <cell r="D161" t="str">
            <v>PAS02</v>
          </cell>
        </row>
        <row r="162">
          <cell r="D162" t="str">
            <v>P0028</v>
          </cell>
        </row>
        <row r="163">
          <cell r="D163" t="str">
            <v>PGP01</v>
          </cell>
        </row>
        <row r="164">
          <cell r="D164" t="str">
            <v>P0009</v>
          </cell>
        </row>
        <row r="165">
          <cell r="D165" t="str">
            <v>P0010</v>
          </cell>
        </row>
        <row r="166">
          <cell r="D166" t="str">
            <v>P0209</v>
          </cell>
        </row>
        <row r="167">
          <cell r="D167" t="str">
            <v>P0447</v>
          </cell>
        </row>
        <row r="168">
          <cell r="D168" t="str">
            <v>P0507</v>
          </cell>
        </row>
        <row r="169">
          <cell r="D169" t="str">
            <v>P0525</v>
          </cell>
        </row>
        <row r="170">
          <cell r="D170" t="str">
            <v>PBA01</v>
          </cell>
        </row>
        <row r="171">
          <cell r="D171" t="str">
            <v>PEP02</v>
          </cell>
        </row>
        <row r="172">
          <cell r="D172" t="str">
            <v>PEP04</v>
          </cell>
        </row>
        <row r="173">
          <cell r="D173" t="str">
            <v>PFO02</v>
          </cell>
        </row>
        <row r="174">
          <cell r="D174" t="str">
            <v>PFO03</v>
          </cell>
        </row>
        <row r="175">
          <cell r="D175" t="str">
            <v>PSE01</v>
          </cell>
        </row>
        <row r="176">
          <cell r="D176" t="str">
            <v>P0447</v>
          </cell>
        </row>
        <row r="177">
          <cell r="D177" t="str">
            <v>PSE01</v>
          </cell>
        </row>
        <row r="178">
          <cell r="D178" t="str">
            <v>P0209</v>
          </cell>
        </row>
        <row r="179">
          <cell r="D179" t="str">
            <v>PFO03</v>
          </cell>
        </row>
        <row r="180">
          <cell r="D180" t="str">
            <v>P0010</v>
          </cell>
        </row>
        <row r="181">
          <cell r="D181" t="str">
            <v>P0028</v>
          </cell>
        </row>
        <row r="182">
          <cell r="D182" t="str">
            <v>PEP02</v>
          </cell>
        </row>
        <row r="183">
          <cell r="D183" t="str">
            <v>PGP01</v>
          </cell>
        </row>
        <row r="184">
          <cell r="D184" t="str">
            <v>P0320</v>
          </cell>
        </row>
        <row r="185">
          <cell r="D185" t="str">
            <v>P0432</v>
          </cell>
        </row>
        <row r="186">
          <cell r="D186" t="str">
            <v>P0445</v>
          </cell>
        </row>
        <row r="187">
          <cell r="D187" t="str">
            <v>PBO01</v>
          </cell>
        </row>
        <row r="188">
          <cell r="D188" t="str">
            <v>PPI02</v>
          </cell>
        </row>
        <row r="189">
          <cell r="D189" t="str">
            <v>PPI04</v>
          </cell>
        </row>
        <row r="190">
          <cell r="D190" t="str">
            <v>PRE01</v>
          </cell>
        </row>
        <row r="191">
          <cell r="D191" t="str">
            <v>P0194</v>
          </cell>
        </row>
        <row r="192">
          <cell r="D192" t="str">
            <v>P0195</v>
          </cell>
        </row>
        <row r="193">
          <cell r="D193" t="str">
            <v>P0196</v>
          </cell>
        </row>
        <row r="194">
          <cell r="D194" t="str">
            <v>P0225</v>
          </cell>
        </row>
        <row r="195">
          <cell r="D195" t="str">
            <v>P0228</v>
          </cell>
        </row>
        <row r="196">
          <cell r="D196" t="str">
            <v>P0632</v>
          </cell>
        </row>
        <row r="197">
          <cell r="D197" t="str">
            <v>PGF08</v>
          </cell>
        </row>
        <row r="198">
          <cell r="D198" t="str">
            <v>P0447</v>
          </cell>
        </row>
        <row r="199">
          <cell r="D199" t="str">
            <v>P0525</v>
          </cell>
        </row>
        <row r="200">
          <cell r="D200" t="str">
            <v>P0091</v>
          </cell>
        </row>
      </sheetData>
      <sheetData sheetId="1" refreshError="1"/>
      <sheetData sheetId="2"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ftravail 881"/>
      <sheetName val="reconciliation note 8.8"/>
    </sheetNames>
    <definedNames>
      <definedName name="COMPTE10645" refersTo="#REF!"/>
    </definedNames>
    <sheetDataSet>
      <sheetData sheetId="0" refreshError="1"/>
      <sheetData sheetId="1" refreshError="1"/>
    </sheetDataSet>
  </externalBook>
</externalLink>
</file>

<file path=xl/externalLinks/externalLink4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param"/>
      <sheetName val="Bilan détaillé contrib"/>
      <sheetName val="Résultat détaillé contrib"/>
      <sheetName val="Contrôle"/>
      <sheetName val="Feuil1"/>
    </sheetNames>
    <sheetDataSet>
      <sheetData sheetId="0">
        <row r="3">
          <cell r="C3" t="str">
            <v>CA=C</v>
          </cell>
        </row>
      </sheetData>
      <sheetData sheetId="1"/>
      <sheetData sheetId="2"/>
      <sheetData sheetId="3"/>
      <sheetData sheetId="4"/>
    </sheetDataSet>
  </externalBook>
</externalLink>
</file>

<file path=xl/externalLinks/externalLink4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hap3 - Acti et résultat"/>
      <sheetName val="BDD"/>
      <sheetName val="Gestion d'actif"/>
      <sheetName val="Assurance"/>
      <sheetName val="PARAM"/>
      <sheetName val="Sommaire"/>
      <sheetName val="ETAT SYNTHETIQUE &gt;&gt;&gt;"/>
      <sheetName val="Compte de résultat"/>
      <sheetName val="Bilan"/>
      <sheetName val="OCI 2018.06"/>
      <sheetName val="Cdr2017"/>
      <sheetName val="Bilan-2017"/>
      <sheetName val="OCI 2017.06"/>
      <sheetName val="Var Cap"/>
      <sheetName val="TFT"/>
      <sheetName val="FTA"/>
      <sheetName val="FTA_Actif"/>
      <sheetName val="FTA_Passif"/>
      <sheetName val="FTA_Dépréc. A"/>
      <sheetName val="FTA_Dépréc. B"/>
      <sheetName val="FTA_KP"/>
      <sheetName val="NOTE DU BILAN &gt;&gt;&gt;"/>
      <sheetName val="NOTE 3.1"/>
      <sheetName val="NOTE 3.2"/>
      <sheetName val="NOTE 3.2.a"/>
      <sheetName val="NOTE 3.4"/>
      <sheetName val="NOTE 3.4.a"/>
      <sheetName val="NOTE 3.4.b"/>
      <sheetName val="NOTE 3.4.c"/>
      <sheetName val="NOTE 3.5"/>
      <sheetName val="NOTE 3.6"/>
      <sheetName val="NOTE 3.7"/>
      <sheetName val="NOTE 3.7 FTA"/>
      <sheetName val="NOTE 3.7.a"/>
      <sheetName val="NOTE 3.8.a"/>
      <sheetName val="NOTE 3.8.b"/>
      <sheetName val="NOTE 3.8.c"/>
      <sheetName val="NOTE 3.9"/>
      <sheetName val="NOTE 3.9.a"/>
      <sheetName val="NOTE 3.10"/>
      <sheetName val="NOTE 3.11"/>
      <sheetName val="NOTE 3.12"/>
      <sheetName val="NOTE 3.13"/>
      <sheetName val="NOTE 3.15"/>
      <sheetName val="NOTE 3.16"/>
      <sheetName val="NOTE 3.14"/>
      <sheetName val="NOTE 3.17"/>
      <sheetName val="NOTE 3.18"/>
      <sheetName val="NOTE 3.19"/>
      <sheetName val="NOTE 3.20"/>
      <sheetName val="NOTE DU RESULTAT &gt;&gt;&gt;"/>
      <sheetName val="NOTE 4.1"/>
      <sheetName val="NOTE 4.2"/>
      <sheetName val="NOTE 4.3"/>
      <sheetName val="NOTE 4.4"/>
      <sheetName val="NOTE 4.5"/>
      <sheetName val="NOTE 4.6"/>
      <sheetName val="NOTE 4.6.a"/>
      <sheetName val="NOTE 4.7"/>
      <sheetName val="NOTE 4.8"/>
      <sheetName val="NOTE 4.9"/>
      <sheetName val="NOTE 4.10"/>
      <sheetName val="NOTE 4.11"/>
      <sheetName val="NOTE 4.12"/>
      <sheetName val="NOTE 4.12.a"/>
      <sheetName val="NOTE HORS BILAN ET ANNEXES&gt;&gt;&gt;"/>
      <sheetName val="NOTE 5"/>
      <sheetName val="NOTE 6.1"/>
      <sheetName val="NOTE 6.2"/>
      <sheetName val="6.2.a"/>
      <sheetName val="NOTE 8.1"/>
      <sheetName val="NOTE 8.2"/>
      <sheetName val="NOTE 8.3"/>
      <sheetName val="PERIMETRE"/>
      <sheetName val="11 Périmètre"/>
      <sheetName val="11 Périmètre TNC"/>
      <sheetName val="Chap3_-_Acti_et_résultat"/>
      <sheetName val="Gestion_d'actif"/>
      <sheetName val="ETAT_SYNTHETIQUE_&gt;&gt;&gt;"/>
      <sheetName val="Compte_de_résultat"/>
      <sheetName val="OCI_2018_06"/>
      <sheetName val="OCI_2017_06"/>
      <sheetName val="Var_Cap"/>
      <sheetName val="FTA_Dépréc__A"/>
      <sheetName val="FTA_Dépréc__B"/>
      <sheetName val="NOTE_DU_BILAN_&gt;&gt;&gt;"/>
      <sheetName val="NOTE_3_1"/>
      <sheetName val="NOTE_3_2"/>
      <sheetName val="NOTE_3_2_a"/>
      <sheetName val="NOTE_3_4"/>
      <sheetName val="NOTE_3_4_a"/>
      <sheetName val="NOTE_3_4_b"/>
      <sheetName val="NOTE_3_4_c"/>
      <sheetName val="NOTE_3_5"/>
      <sheetName val="NOTE_3_6"/>
      <sheetName val="NOTE_3_7"/>
      <sheetName val="NOTE_3_7_FTA"/>
      <sheetName val="NOTE_3_7_a"/>
      <sheetName val="NOTE_3_8_a"/>
      <sheetName val="NOTE_3_8_b"/>
      <sheetName val="NOTE_3_8_c"/>
      <sheetName val="NOTE_3_9"/>
      <sheetName val="NOTE_3_9_a"/>
      <sheetName val="NOTE_3_10"/>
      <sheetName val="NOTE_3_11"/>
      <sheetName val="NOTE_3_12"/>
      <sheetName val="NOTE_3_13"/>
      <sheetName val="NOTE_3_15"/>
      <sheetName val="NOTE_3_16"/>
      <sheetName val="NOTE_3_14"/>
      <sheetName val="NOTE_3_17"/>
      <sheetName val="NOTE_3_18"/>
      <sheetName val="NOTE_3_19"/>
      <sheetName val="NOTE_3_20"/>
      <sheetName val="NOTE_DU_RESULTAT_&gt;&gt;&gt;"/>
      <sheetName val="NOTE_4_1"/>
      <sheetName val="NOTE_4_2"/>
      <sheetName val="NOTE_4_3"/>
      <sheetName val="NOTE_4_4"/>
      <sheetName val="NOTE_4_5"/>
      <sheetName val="NOTE_4_6"/>
      <sheetName val="NOTE_4_6_a"/>
      <sheetName val="NOTE_4_7"/>
      <sheetName val="NOTE_4_8"/>
      <sheetName val="NOTE_4_9"/>
      <sheetName val="NOTE_4_10"/>
      <sheetName val="NOTE_4_11"/>
      <sheetName val="NOTE_4_12"/>
      <sheetName val="NOTE_4_12_a"/>
      <sheetName val="NOTE_HORS_BILAN_ET_ANNEXES&gt;&gt;&gt;"/>
      <sheetName val="NOTE_5"/>
      <sheetName val="NOTE_6_1"/>
      <sheetName val="NOTE_6_2"/>
      <sheetName val="6_2_a"/>
      <sheetName val="NOTE_8_1"/>
      <sheetName val="NOTE_8_2"/>
      <sheetName val="NOTE_8_3"/>
      <sheetName val="11_Périmètre"/>
      <sheetName val="11_Périmètre_TNC"/>
    </sheetNames>
    <sheetDataSet>
      <sheetData sheetId="0" refreshError="1"/>
      <sheetData sheetId="1" refreshError="1"/>
      <sheetData sheetId="2" refreshError="1"/>
      <sheetData sheetId="3" refreshError="1"/>
      <sheetData sheetId="4" refreshError="1">
        <row r="4">
          <cell r="C4" t="str">
            <v>CA=C</v>
          </cell>
          <cell r="D4" t="str">
            <v>CA=C</v>
          </cell>
        </row>
        <row r="5">
          <cell r="D5" t="str">
            <v>DP=1997.12</v>
          </cell>
        </row>
        <row r="6">
          <cell r="D6" t="str">
            <v>SC=LBP</v>
          </cell>
        </row>
        <row r="7">
          <cell r="D7" t="str">
            <v>VA=LBP2</v>
          </cell>
        </row>
        <row r="8">
          <cell r="D8" t="str">
            <v>CC=EUR</v>
          </cell>
        </row>
        <row r="9">
          <cell r="D9" t="str">
            <v>AU sum [All values]</v>
          </cell>
        </row>
        <row r="25">
          <cell r="H25" t="str">
            <v>LIASSE</v>
          </cell>
        </row>
        <row r="26">
          <cell r="H26" t="str">
            <v>Pré-conso</v>
          </cell>
        </row>
        <row r="27">
          <cell r="H27" t="str">
            <v>CONSO-Devise</v>
          </cell>
        </row>
        <row r="28">
          <cell r="H28" t="str">
            <v>CONSO-Converti</v>
          </cell>
        </row>
        <row r="29">
          <cell r="H29" t="str">
            <v>CONSO-CONSO</v>
          </cell>
        </row>
      </sheetData>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sheetData sheetId="77"/>
      <sheetData sheetId="78"/>
      <sheetData sheetId="79"/>
      <sheetData sheetId="80"/>
      <sheetData sheetId="81"/>
      <sheetData sheetId="82"/>
      <sheetData sheetId="83"/>
      <sheetData sheetId="84"/>
      <sheetData sheetId="85"/>
      <sheetData sheetId="86"/>
      <sheetData sheetId="87"/>
      <sheetData sheetId="88"/>
      <sheetData sheetId="89"/>
      <sheetData sheetId="90"/>
      <sheetData sheetId="91"/>
      <sheetData sheetId="92"/>
      <sheetData sheetId="93"/>
      <sheetData sheetId="94"/>
      <sheetData sheetId="95"/>
      <sheetData sheetId="96"/>
      <sheetData sheetId="97"/>
      <sheetData sheetId="98"/>
      <sheetData sheetId="99"/>
      <sheetData sheetId="100"/>
      <sheetData sheetId="101"/>
      <sheetData sheetId="102"/>
      <sheetData sheetId="103"/>
      <sheetData sheetId="104"/>
      <sheetData sheetId="105"/>
      <sheetData sheetId="106"/>
      <sheetData sheetId="107"/>
      <sheetData sheetId="108"/>
      <sheetData sheetId="109"/>
      <sheetData sheetId="110"/>
      <sheetData sheetId="111"/>
      <sheetData sheetId="112"/>
      <sheetData sheetId="113"/>
      <sheetData sheetId="114"/>
      <sheetData sheetId="115"/>
      <sheetData sheetId="116"/>
      <sheetData sheetId="117"/>
      <sheetData sheetId="118"/>
      <sheetData sheetId="119"/>
      <sheetData sheetId="120"/>
      <sheetData sheetId="121"/>
      <sheetData sheetId="122"/>
      <sheetData sheetId="123"/>
      <sheetData sheetId="124"/>
      <sheetData sheetId="125"/>
      <sheetData sheetId="126"/>
      <sheetData sheetId="127"/>
      <sheetData sheetId="128"/>
      <sheetData sheetId="129"/>
      <sheetData sheetId="130"/>
      <sheetData sheetId="131"/>
      <sheetData sheetId="132"/>
      <sheetData sheetId="133"/>
      <sheetData sheetId="134"/>
      <sheetData sheetId="135"/>
      <sheetData sheetId="136"/>
      <sheetData sheetId="137"/>
      <sheetData sheetId="138"/>
    </sheetDataSet>
  </externalBook>
</externalLink>
</file>

<file path=xl/externalLinks/externalLink4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ommaire"/>
      <sheetName val="param"/>
      <sheetName val="CdR"/>
      <sheetName val="Bilan"/>
      <sheetName val="OCI"/>
      <sheetName val="Var Cap annuelle"/>
      <sheetName val="TFT"/>
      <sheetName val="3.1 Caisse, bques ctrales"/>
      <sheetName val="3.2 HFT"/>
      <sheetName val="3.2 HFT2"/>
      <sheetName val="3.3 Dérivés de couv."/>
      <sheetName val="3.4 AFS"/>
      <sheetName val="3.4 Titres non conso"/>
      <sheetName val="3.5 Prêts et créances ets"/>
      <sheetName val="3.6 Prêts et créances clts"/>
      <sheetName val="3.6 Location financement"/>
      <sheetName val="3.7 Dépréc. actifs"/>
      <sheetName val="3.8 HTM"/>
      <sheetName val="3.9 Impôts"/>
      <sheetName val="3.9 Impôts Diff"/>
      <sheetName val="3.10 regul et actifs divers"/>
      <sheetName val="3.11 Part MEE"/>
      <sheetName val="3.12 Immo corp et incorp"/>
      <sheetName val="3.13 Ecarts d'acq"/>
      <sheetName val="3.14 Dettes envers etbs"/>
      <sheetName val="3.15 Dettes envers clts"/>
      <sheetName val="3.16 Dettes titres"/>
      <sheetName val="3.17 regul et passifs divers"/>
      <sheetName val="3.18 Prov techn assu"/>
      <sheetName val="3.19 Provisions"/>
      <sheetName val="3.20 Dettes sub."/>
      <sheetName val="3.21 Bilan par DRAC"/>
      <sheetName val="4.1 Intérêts pdt ch assimil"/>
      <sheetName val="4.2 Commissions"/>
      <sheetName val="4.3 Gains et pertes IF à JV "/>
      <sheetName val="4.4 Gains ou pertes nets AFS"/>
      <sheetName val="4.5 Pdts et Ch autres activités"/>
      <sheetName val="4.6 Ch générales d'exploit"/>
      <sheetName val="4.6bis Ch générales d'exploit"/>
      <sheetName val="4.7 Coût du risque"/>
      <sheetName val="4.8 Gains et pertes autres act"/>
      <sheetName val="4.9 Ecarts d'acquisition"/>
      <sheetName val="4.10 Impôts"/>
      <sheetName val="4.10 Impôts2"/>
      <sheetName val="5 Engagements HB"/>
      <sheetName val="6.1 JV éléments du bilan"/>
      <sheetName val="6.2 Hiérarchie JV"/>
      <sheetName val="8. Compensation A&amp;P financiers"/>
      <sheetName val="Compensation A&amp;P fi N-1"/>
      <sheetName val="9.1 PNB par secteur"/>
      <sheetName val="9.1 RN par secteur"/>
      <sheetName val="9.2 Bilan par secteur"/>
      <sheetName val="10.1 Parties liées"/>
      <sheetName val="10.2 Rému dirigeants"/>
      <sheetName val="10.3 Honoraires"/>
      <sheetName val="12 Périmètre"/>
      <sheetName val="12bis Périmètre"/>
      <sheetName val="IFRS 12 LBPF"/>
      <sheetName val="IFRS 12 CNP"/>
      <sheetName val="IFRS12 Entités structurés"/>
      <sheetName val="Fiche ID TNC"/>
    </sheetNames>
    <sheetDataSet>
      <sheetData sheetId="0" refreshError="1"/>
      <sheetData sheetId="1" refreshError="1">
        <row r="5">
          <cell r="D5" t="str">
            <v>CA=C</v>
          </cell>
          <cell r="H5" t="str">
            <v>CA=C</v>
          </cell>
        </row>
        <row r="6">
          <cell r="D6" t="str">
            <v>PE=2018.05</v>
          </cell>
          <cell r="H6" t="str">
            <v>PE=2018.04</v>
          </cell>
        </row>
        <row r="7">
          <cell r="D7" t="str">
            <v>DP=2018.05</v>
          </cell>
          <cell r="H7" t="str">
            <v>DP=2018.04</v>
          </cell>
        </row>
        <row r="8">
          <cell r="D8" t="str">
            <v>SC=LBP</v>
          </cell>
          <cell r="H8" t="str">
            <v>SC=LBP</v>
          </cell>
        </row>
        <row r="9">
          <cell r="D9" t="str">
            <v>CC=EUR</v>
          </cell>
          <cell r="H9" t="str">
            <v>CC=EUR</v>
          </cell>
        </row>
        <row r="12">
          <cell r="D12" t="str">
            <v>VA=LBP2</v>
          </cell>
          <cell r="H12" t="str">
            <v>VA=LBP2</v>
          </cell>
        </row>
        <row r="29">
          <cell r="D29" t="str">
            <v>CA=C</v>
          </cell>
          <cell r="H29" t="str">
            <v>CA=C</v>
          </cell>
        </row>
        <row r="30">
          <cell r="D30" t="str">
            <v>PE=2018.05</v>
          </cell>
          <cell r="H30" t="str">
            <v>PE=2018.04</v>
          </cell>
        </row>
        <row r="31">
          <cell r="D31" t="str">
            <v>DP=2018.05</v>
          </cell>
          <cell r="H31" t="str">
            <v>DP=2018.04</v>
          </cell>
        </row>
        <row r="32">
          <cell r="D32" t="str">
            <v>SC=LBP</v>
          </cell>
          <cell r="H32" t="str">
            <v>SC=LBP</v>
          </cell>
        </row>
        <row r="33">
          <cell r="D33" t="str">
            <v>CC=EUR</v>
          </cell>
          <cell r="H33" t="str">
            <v>CC=EUR</v>
          </cell>
        </row>
        <row r="35">
          <cell r="D35" t="str">
            <v>FL=F99</v>
          </cell>
          <cell r="H35" t="str">
            <v>FL=F99</v>
          </cell>
        </row>
        <row r="36">
          <cell r="D36" t="str">
            <v>VA=LBP2</v>
          </cell>
          <cell r="H36" t="str">
            <v>VA=LBP2</v>
          </cell>
        </row>
      </sheetData>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Set>
  </externalBook>
</externalLink>
</file>

<file path=xl/externalLinks/externalLink4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ommaire"/>
      <sheetName val="param"/>
      <sheetName val="CdR"/>
      <sheetName val="Bilan"/>
      <sheetName val="OCI"/>
      <sheetName val="Var Cap"/>
      <sheetName val="TFT"/>
      <sheetName val="HFT"/>
      <sheetName val="HFT2"/>
      <sheetName val="AFS"/>
      <sheetName val="Titres non conso"/>
      <sheetName val="Prêts et créances ets"/>
      <sheetName val="Prêts et créances clts"/>
      <sheetName val="HTM"/>
      <sheetName val="Regul et actifs divers"/>
      <sheetName val="Expo souv"/>
      <sheetName val="Part MEE"/>
      <sheetName val="Ecarts d'acq"/>
      <sheetName val="Dettes envers etbs"/>
      <sheetName val="Dettes envers clts"/>
      <sheetName val="Regul et passifs divers"/>
      <sheetName val="Prov techn assu"/>
      <sheetName val="Provisions"/>
      <sheetName val="Dettes sub."/>
      <sheetName val="Intérêts pdt ch assimil"/>
      <sheetName val="Commissions"/>
      <sheetName val="Gains et pertes IF à JV "/>
      <sheetName val="Gains ou pertes nets AFS"/>
      <sheetName val="Pdts et Ch autres activités"/>
      <sheetName val="Ch générales d'exploit"/>
      <sheetName val="Coût du risque"/>
      <sheetName val="Impôts"/>
      <sheetName val="Impôts2"/>
      <sheetName val="Engagements HB"/>
      <sheetName val="JV éléments du bilan"/>
      <sheetName val="Hiérarchie JV"/>
      <sheetName val="RN par secteur"/>
      <sheetName val="Périmètre"/>
      <sheetName val="Fiche ID TNC"/>
    </sheetNames>
    <sheetDataSet>
      <sheetData sheetId="0"/>
      <sheetData sheetId="1">
        <row r="3">
          <cell r="B3" t="str">
            <v>2017.06</v>
          </cell>
        </row>
        <row r="5">
          <cell r="P5" t="str">
            <v>CA=C</v>
          </cell>
        </row>
        <row r="6">
          <cell r="P6" t="str">
            <v>PE=2016.06</v>
          </cell>
        </row>
        <row r="7">
          <cell r="P7" t="str">
            <v>DP=2016.06</v>
          </cell>
        </row>
        <row r="8">
          <cell r="P8" t="str">
            <v>SC=LBP</v>
          </cell>
        </row>
        <row r="9">
          <cell r="P9" t="str">
            <v>CC=EUR</v>
          </cell>
        </row>
        <row r="12">
          <cell r="P12" t="str">
            <v>VA=2</v>
          </cell>
        </row>
      </sheetData>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Set>
  </externalBook>
</externalLink>
</file>

<file path=xl/externalLinks/externalLink4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Récap"/>
      <sheetName val="40000"/>
      <sheetName val="40001"/>
      <sheetName val="40002"/>
      <sheetName val="40010"/>
      <sheetName val="40011"/>
      <sheetName val="40012"/>
      <sheetName val="40013"/>
      <sheetName val="40014"/>
      <sheetName val="40015"/>
      <sheetName val="40016"/>
      <sheetName val="40017"/>
      <sheetName val="40018"/>
      <sheetName val="40023"/>
      <sheetName val="40024"/>
      <sheetName val="40025"/>
      <sheetName val="40026"/>
      <sheetName val="40062"/>
      <sheetName val="40101"/>
      <sheetName val="40102"/>
      <sheetName val="40103"/>
      <sheetName val="40104"/>
      <sheetName val="40105"/>
      <sheetName val="40106"/>
      <sheetName val="40107"/>
      <sheetName val="40108"/>
      <sheetName val="Param"/>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row r="7">
          <cell r="D7" t="str">
            <v>CA=C</v>
          </cell>
          <cell r="H7" t="str">
            <v>CA=C</v>
          </cell>
        </row>
        <row r="8">
          <cell r="D8" t="str">
            <v>PE=2015.06</v>
          </cell>
          <cell r="H8" t="str">
            <v>PE=2014.12</v>
          </cell>
        </row>
        <row r="9">
          <cell r="D9" t="str">
            <v>DP=2015.06</v>
          </cell>
          <cell r="H9" t="str">
            <v>DP=2014.12</v>
          </cell>
        </row>
        <row r="10">
          <cell r="D10" t="str">
            <v>SC=LBP</v>
          </cell>
          <cell r="H10" t="str">
            <v>SC=LBP</v>
          </cell>
        </row>
        <row r="11">
          <cell r="D11" t="str">
            <v>CC=EUR</v>
          </cell>
          <cell r="H11" t="str">
            <v>CC=EUR</v>
          </cell>
        </row>
        <row r="12">
          <cell r="D12">
            <v>0</v>
          </cell>
          <cell r="H12">
            <v>0</v>
          </cell>
        </row>
        <row r="13">
          <cell r="D13">
            <v>0</v>
          </cell>
          <cell r="H13">
            <v>0</v>
          </cell>
        </row>
        <row r="14">
          <cell r="D14" t="str">
            <v>VA=2</v>
          </cell>
          <cell r="H14" t="str">
            <v>VA=2</v>
          </cell>
        </row>
      </sheetData>
    </sheetDataSet>
  </externalBook>
</externalLink>
</file>

<file path=xl/externalLinks/externalLink4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mprim 99"/>
      <sheetName val="Imprim_99"/>
    </sheetNames>
    <sheetDataSet>
      <sheetData sheetId="0">
        <row r="96">
          <cell r="D96">
            <v>91285</v>
          </cell>
          <cell r="E96">
            <v>456425000</v>
          </cell>
          <cell r="F96">
            <v>27875</v>
          </cell>
          <cell r="G96">
            <v>139375000</v>
          </cell>
          <cell r="H96">
            <v>16990</v>
          </cell>
          <cell r="I96">
            <v>84950000</v>
          </cell>
          <cell r="J96">
            <v>28686</v>
          </cell>
          <cell r="K96">
            <v>143430000</v>
          </cell>
          <cell r="L96">
            <v>1722</v>
          </cell>
          <cell r="M96">
            <v>8610000</v>
          </cell>
          <cell r="N96">
            <v>1245</v>
          </cell>
          <cell r="O96">
            <v>6224900</v>
          </cell>
        </row>
        <row r="97">
          <cell r="D97">
            <v>87688</v>
          </cell>
          <cell r="E97">
            <v>428041900</v>
          </cell>
          <cell r="F97">
            <v>10270</v>
          </cell>
          <cell r="G97">
            <v>51350000</v>
          </cell>
          <cell r="H97">
            <v>3927</v>
          </cell>
          <cell r="I97">
            <v>19635000</v>
          </cell>
          <cell r="J97">
            <v>30409</v>
          </cell>
          <cell r="K97">
            <v>148332500</v>
          </cell>
          <cell r="L97">
            <v>6931</v>
          </cell>
          <cell r="M97">
            <v>33892100</v>
          </cell>
          <cell r="N97">
            <v>998</v>
          </cell>
          <cell r="O97">
            <v>4990100</v>
          </cell>
        </row>
        <row r="98">
          <cell r="D98">
            <v>57858</v>
          </cell>
          <cell r="E98">
            <v>290410300</v>
          </cell>
          <cell r="F98">
            <v>2994</v>
          </cell>
          <cell r="G98">
            <v>14970000</v>
          </cell>
          <cell r="H98">
            <v>325</v>
          </cell>
          <cell r="I98">
            <v>1625000</v>
          </cell>
          <cell r="J98">
            <v>10902</v>
          </cell>
          <cell r="K98">
            <v>54910100</v>
          </cell>
          <cell r="L98">
            <v>3493</v>
          </cell>
          <cell r="M98">
            <v>17545200</v>
          </cell>
          <cell r="N98">
            <v>0</v>
          </cell>
          <cell r="O98">
            <v>0</v>
          </cell>
        </row>
        <row r="99">
          <cell r="D99">
            <v>1393368</v>
          </cell>
          <cell r="E99">
            <v>138378576</v>
          </cell>
          <cell r="F99">
            <v>99085</v>
          </cell>
          <cell r="G99">
            <v>9908500</v>
          </cell>
          <cell r="H99">
            <v>59837</v>
          </cell>
          <cell r="I99">
            <v>5983700</v>
          </cell>
          <cell r="J99">
            <v>439013</v>
          </cell>
          <cell r="K99">
            <v>43559078</v>
          </cell>
          <cell r="L99">
            <v>69325</v>
          </cell>
          <cell r="M99">
            <v>6864052</v>
          </cell>
          <cell r="N99">
            <v>0</v>
          </cell>
          <cell r="O99">
            <v>0</v>
          </cell>
        </row>
        <row r="100">
          <cell r="D100">
            <v>62116</v>
          </cell>
          <cell r="E100">
            <v>62116000</v>
          </cell>
          <cell r="F100">
            <v>1187</v>
          </cell>
          <cell r="G100">
            <v>1187000</v>
          </cell>
          <cell r="H100">
            <v>0</v>
          </cell>
          <cell r="I100">
            <v>0</v>
          </cell>
          <cell r="J100">
            <v>21970</v>
          </cell>
          <cell r="K100">
            <v>21970000</v>
          </cell>
          <cell r="L100">
            <v>5591</v>
          </cell>
          <cell r="M100">
            <v>5591000</v>
          </cell>
          <cell r="N100">
            <v>0</v>
          </cell>
          <cell r="O100">
            <v>0</v>
          </cell>
        </row>
        <row r="101">
          <cell r="D101">
            <v>131334</v>
          </cell>
          <cell r="E101">
            <v>131334000</v>
          </cell>
          <cell r="F101">
            <v>0</v>
          </cell>
          <cell r="G101">
            <v>0</v>
          </cell>
          <cell r="H101">
            <v>0</v>
          </cell>
          <cell r="I101">
            <v>0</v>
          </cell>
          <cell r="J101">
            <v>0</v>
          </cell>
          <cell r="K101">
            <v>0</v>
          </cell>
          <cell r="L101">
            <v>0</v>
          </cell>
          <cell r="M101">
            <v>0</v>
          </cell>
          <cell r="N101">
            <v>0</v>
          </cell>
          <cell r="O101">
            <v>0</v>
          </cell>
        </row>
        <row r="102">
          <cell r="D102">
            <v>52427.199999999997</v>
          </cell>
          <cell r="E102">
            <v>52427200</v>
          </cell>
          <cell r="F102">
            <v>0</v>
          </cell>
          <cell r="G102">
            <v>0</v>
          </cell>
          <cell r="H102">
            <v>0</v>
          </cell>
          <cell r="I102">
            <v>0</v>
          </cell>
          <cell r="J102">
            <v>18720.599999999999</v>
          </cell>
          <cell r="K102">
            <v>18720600</v>
          </cell>
          <cell r="L102">
            <v>3751.2</v>
          </cell>
          <cell r="M102">
            <v>3751200</v>
          </cell>
          <cell r="N102">
            <v>0</v>
          </cell>
          <cell r="O102">
            <v>0</v>
          </cell>
        </row>
        <row r="103">
          <cell r="D103">
            <v>153051</v>
          </cell>
          <cell r="E103">
            <v>153051000</v>
          </cell>
          <cell r="F103">
            <v>0</v>
          </cell>
          <cell r="G103">
            <v>0</v>
          </cell>
          <cell r="H103">
            <v>0</v>
          </cell>
          <cell r="I103">
            <v>0</v>
          </cell>
          <cell r="J103">
            <v>54660</v>
          </cell>
          <cell r="K103">
            <v>54660000</v>
          </cell>
          <cell r="L103">
            <v>10935</v>
          </cell>
          <cell r="M103">
            <v>10935000</v>
          </cell>
          <cell r="N103">
            <v>0</v>
          </cell>
          <cell r="O103">
            <v>0</v>
          </cell>
        </row>
        <row r="104">
          <cell r="D104">
            <v>9245</v>
          </cell>
          <cell r="E104">
            <v>8644075</v>
          </cell>
          <cell r="F104">
            <v>0</v>
          </cell>
          <cell r="G104">
            <v>0</v>
          </cell>
          <cell r="H104">
            <v>0</v>
          </cell>
          <cell r="I104">
            <v>0</v>
          </cell>
          <cell r="J104">
            <v>0</v>
          </cell>
          <cell r="K104">
            <v>0</v>
          </cell>
          <cell r="L104">
            <v>0</v>
          </cell>
          <cell r="M104">
            <v>0</v>
          </cell>
          <cell r="N104">
            <v>0</v>
          </cell>
          <cell r="O104">
            <v>0</v>
          </cell>
        </row>
        <row r="105">
          <cell r="D105">
            <v>0</v>
          </cell>
          <cell r="E105">
            <v>0</v>
          </cell>
          <cell r="F105">
            <v>0</v>
          </cell>
          <cell r="G105">
            <v>0</v>
          </cell>
          <cell r="H105">
            <v>0</v>
          </cell>
          <cell r="I105">
            <v>0</v>
          </cell>
          <cell r="J105">
            <v>0</v>
          </cell>
          <cell r="K105">
            <v>0</v>
          </cell>
          <cell r="L105">
            <v>0</v>
          </cell>
          <cell r="M105">
            <v>0</v>
          </cell>
          <cell r="N105">
            <v>21201</v>
          </cell>
          <cell r="O105">
            <v>4112994</v>
          </cell>
        </row>
        <row r="106">
          <cell r="D106">
            <v>70</v>
          </cell>
          <cell r="E106">
            <v>70000</v>
          </cell>
          <cell r="F106">
            <v>0</v>
          </cell>
          <cell r="G106">
            <v>0</v>
          </cell>
          <cell r="H106">
            <v>0</v>
          </cell>
          <cell r="I106">
            <v>0</v>
          </cell>
          <cell r="J106">
            <v>25</v>
          </cell>
          <cell r="K106">
            <v>25000</v>
          </cell>
          <cell r="L106">
            <v>5</v>
          </cell>
          <cell r="M106">
            <v>5000</v>
          </cell>
          <cell r="N106">
            <v>0</v>
          </cell>
          <cell r="O106">
            <v>0</v>
          </cell>
        </row>
        <row r="107">
          <cell r="D107">
            <v>0</v>
          </cell>
          <cell r="E107">
            <v>0</v>
          </cell>
          <cell r="F107">
            <v>0</v>
          </cell>
          <cell r="G107">
            <v>0</v>
          </cell>
          <cell r="H107">
            <v>0</v>
          </cell>
          <cell r="I107">
            <v>0</v>
          </cell>
          <cell r="J107">
            <v>0</v>
          </cell>
          <cell r="K107">
            <v>0</v>
          </cell>
          <cell r="L107">
            <v>0</v>
          </cell>
          <cell r="M107">
            <v>0</v>
          </cell>
          <cell r="N107">
            <v>0</v>
          </cell>
          <cell r="O107">
            <v>0</v>
          </cell>
        </row>
        <row r="108">
          <cell r="D108">
            <v>0</v>
          </cell>
          <cell r="E108">
            <v>0</v>
          </cell>
          <cell r="F108">
            <v>0</v>
          </cell>
          <cell r="G108">
            <v>0</v>
          </cell>
          <cell r="H108">
            <v>1152</v>
          </cell>
          <cell r="I108">
            <v>6530929.9199999999</v>
          </cell>
          <cell r="J108">
            <v>1900</v>
          </cell>
          <cell r="K108">
            <v>10771499</v>
          </cell>
          <cell r="L108">
            <v>0</v>
          </cell>
          <cell r="M108">
            <v>0</v>
          </cell>
          <cell r="N108">
            <v>0</v>
          </cell>
          <cell r="O108">
            <v>0</v>
          </cell>
        </row>
        <row r="109">
          <cell r="D109">
            <v>5838</v>
          </cell>
          <cell r="E109">
            <v>29997541</v>
          </cell>
          <cell r="F109">
            <v>1916</v>
          </cell>
          <cell r="G109">
            <v>9845031.3200000003</v>
          </cell>
          <cell r="H109">
            <v>0</v>
          </cell>
          <cell r="I109">
            <v>0</v>
          </cell>
          <cell r="J109">
            <v>0</v>
          </cell>
          <cell r="K109">
            <v>0</v>
          </cell>
          <cell r="L109">
            <v>0</v>
          </cell>
          <cell r="M109">
            <v>0</v>
          </cell>
          <cell r="N109">
            <v>0</v>
          </cell>
          <cell r="O109">
            <v>0</v>
          </cell>
        </row>
        <row r="110">
          <cell r="D110">
            <v>336</v>
          </cell>
          <cell r="E110">
            <v>2513280</v>
          </cell>
          <cell r="F110">
            <v>0</v>
          </cell>
          <cell r="G110">
            <v>0</v>
          </cell>
          <cell r="H110">
            <v>0</v>
          </cell>
          <cell r="I110">
            <v>0</v>
          </cell>
          <cell r="J110">
            <v>0</v>
          </cell>
          <cell r="K110">
            <v>0</v>
          </cell>
          <cell r="L110">
            <v>0</v>
          </cell>
          <cell r="M110">
            <v>0</v>
          </cell>
          <cell r="N110">
            <v>0</v>
          </cell>
          <cell r="O110">
            <v>0</v>
          </cell>
        </row>
        <row r="111">
          <cell r="D111">
            <v>464400</v>
          </cell>
          <cell r="E111">
            <v>14581250</v>
          </cell>
          <cell r="F111">
            <v>0</v>
          </cell>
          <cell r="G111">
            <v>0</v>
          </cell>
          <cell r="H111">
            <v>0</v>
          </cell>
          <cell r="I111">
            <v>0</v>
          </cell>
          <cell r="J111">
            <v>165500</v>
          </cell>
          <cell r="K111">
            <v>5171875</v>
          </cell>
          <cell r="L111">
            <v>33100</v>
          </cell>
          <cell r="M111">
            <v>1034375</v>
          </cell>
          <cell r="N111">
            <v>0</v>
          </cell>
          <cell r="O111">
            <v>0</v>
          </cell>
        </row>
        <row r="112">
          <cell r="D112">
            <v>207375</v>
          </cell>
          <cell r="E112">
            <v>41387500</v>
          </cell>
          <cell r="F112">
            <v>0</v>
          </cell>
          <cell r="G112">
            <v>0</v>
          </cell>
          <cell r="H112">
            <v>0</v>
          </cell>
          <cell r="I112">
            <v>0</v>
          </cell>
          <cell r="J112">
            <v>74062</v>
          </cell>
          <cell r="K112">
            <v>14781200</v>
          </cell>
          <cell r="L112">
            <v>14813</v>
          </cell>
          <cell r="M112">
            <v>2956300</v>
          </cell>
          <cell r="N112">
            <v>0</v>
          </cell>
          <cell r="O112">
            <v>0</v>
          </cell>
        </row>
        <row r="113">
          <cell r="D113">
            <v>106106</v>
          </cell>
          <cell r="E113">
            <v>10610600</v>
          </cell>
          <cell r="F113">
            <v>0</v>
          </cell>
          <cell r="G113">
            <v>0</v>
          </cell>
          <cell r="H113">
            <v>0</v>
          </cell>
          <cell r="I113">
            <v>0</v>
          </cell>
          <cell r="J113">
            <v>37895</v>
          </cell>
          <cell r="K113">
            <v>3789500</v>
          </cell>
          <cell r="L113">
            <v>7581</v>
          </cell>
          <cell r="M113">
            <v>758100</v>
          </cell>
          <cell r="N113">
            <v>100</v>
          </cell>
          <cell r="O113">
            <v>10000</v>
          </cell>
        </row>
        <row r="114">
          <cell r="D114">
            <v>63</v>
          </cell>
          <cell r="E114">
            <v>2835000</v>
          </cell>
          <cell r="F114">
            <v>0</v>
          </cell>
          <cell r="G114">
            <v>0</v>
          </cell>
          <cell r="H114">
            <v>0</v>
          </cell>
          <cell r="I114">
            <v>0</v>
          </cell>
          <cell r="J114">
            <v>22</v>
          </cell>
          <cell r="K114">
            <v>990000</v>
          </cell>
          <cell r="L114">
            <v>5</v>
          </cell>
          <cell r="M114">
            <v>225000</v>
          </cell>
          <cell r="N114">
            <v>0</v>
          </cell>
          <cell r="O114">
            <v>0</v>
          </cell>
        </row>
      </sheetData>
      <sheetData sheetId="1"/>
    </sheetDataSet>
  </externalBook>
</externalLink>
</file>

<file path=xl/externalLinks/externalLink4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Feuil1"/>
      <sheetName val="Classification"/>
      <sheetName val="Complément ERC"/>
      <sheetName val="Produits"/>
      <sheetName val="Table produit"/>
    </sheetNames>
    <sheetDataSet>
      <sheetData sheetId="0" refreshError="1"/>
      <sheetData sheetId="1" refreshError="1"/>
      <sheetData sheetId="2" refreshError="1"/>
      <sheetData sheetId="3" refreshError="1"/>
      <sheetData sheetId="4" refreshError="1"/>
    </sheetDataSet>
  </externalBook>
</externalLink>
</file>

<file path=xl/externalLinks/externalLink4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Annexe UC"/>
      <sheetName val="Annexe VIE"/>
      <sheetName val="Balance"/>
      <sheetName val="Table produit"/>
      <sheetName val="RECAP aff directe"/>
      <sheetName val="Détail Aff directe"/>
      <sheetName val="RECAP UC"/>
      <sheetName val="Détail  UC"/>
      <sheetName val="RECAP réass"/>
      <sheetName val="Détail  réass"/>
      <sheetName val="RECAP IAS39"/>
      <sheetName val="Détail  IAS39"/>
      <sheetName val="Feuil1"/>
      <sheetName val="Produits"/>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Set>
  </externalBook>
</externalLink>
</file>

<file path=xl/externalLinks/externalLink4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ommaire"/>
      <sheetName val="Suivi annexes"/>
      <sheetName val="Inventaire"/>
      <sheetName val="Date"/>
      <sheetName val="Actif"/>
      <sheetName val="Passif"/>
      <sheetName val="Compte résultat"/>
      <sheetName val="TVCP  "/>
      <sheetName val="TFT "/>
      <sheetName val="TSS"/>
      <sheetName val="Capital"/>
      <sheetName val="Capitaux"/>
      <sheetName val="Résultat par action"/>
      <sheetName val="Parties liées"/>
      <sheetName val="Périmètre"/>
      <sheetName val="MEE"/>
      <sheetName val="Entrée"/>
      <sheetName val="Actif sect 2008"/>
      <sheetName val="Passif sect 2008"/>
      <sheetName val="Actif sect 2007"/>
      <sheetName val="Passif sect 2007"/>
      <sheetName val="Actif sect 2006"/>
      <sheetName val="Passif sect 2006"/>
      <sheetName val="CR sectoriel sem 2008"/>
      <sheetName val="Actif géo 2008"/>
      <sheetName val="Passif géo 2008"/>
      <sheetName val="Actif géo 2007"/>
      <sheetName val="Passif géo 2007"/>
      <sheetName val="Actif géo 2006"/>
      <sheetName val="Passif géo 2006"/>
      <sheetName val="CR sectoriel 2008"/>
      <sheetName val="CR sectoriel 2007"/>
      <sheetName val="CR sectoriel sem 2007"/>
      <sheetName val="CR sectoriel 2006"/>
      <sheetName val="CR géo sem 2008"/>
      <sheetName val="CR géo 2008"/>
      <sheetName val="CR géo 2007"/>
      <sheetName val="CR géo sem 2007"/>
      <sheetName val="CR géo 2006"/>
      <sheetName val="Synthèse incorporels"/>
      <sheetName val="Ecart acquisition"/>
      <sheetName val="Valeurs de portefeuille"/>
      <sheetName val="Autres incorporels"/>
      <sheetName val="Immeubles"/>
      <sheetName val="Placements"/>
      <sheetName val="Placements semestriels"/>
      <sheetName val="Reconciliation"/>
      <sheetName val="Méthodo actifs JV"/>
      <sheetName val="Pensions et prêts"/>
      <sheetName val="ES placements"/>
      <sheetName val="IFT"/>
      <sheetName val="Notation émetteurs"/>
      <sheetName val="Risq crédit zone géo"/>
      <sheetName val="Ope en devise"/>
      <sheetName val="Engagements"/>
      <sheetName val="Ventil prov"/>
      <sheetName val="Récurrence Vie"/>
      <sheetName val="Récurrence NV"/>
      <sheetName val="Récurrence IAS39"/>
      <sheetName val="Shadow"/>
      <sheetName val="Récurrence UC"/>
      <sheetName val="Reconciliation UC"/>
      <sheetName val="Risq Ct Réass"/>
      <sheetName val="Passifs subordonnés"/>
      <sheetName val="Créances ass"/>
      <sheetName val="Autres créances"/>
      <sheetName val="ID"/>
      <sheetName val="PRC"/>
      <sheetName val="Dettes ass"/>
      <sheetName val="Autres dettes"/>
      <sheetName val="Avantages au personnel"/>
      <sheetName val="Avantages personnel"/>
      <sheetName val="CA"/>
      <sheetName val="Prestations"/>
      <sheetName val="Charges"/>
      <sheetName val="Rés réass"/>
      <sheetName val="Charges et produits fi"/>
      <sheetName val="Reconciliatio"/>
      <sheetName val="Var JV"/>
      <sheetName val="Dépréciation"/>
      <sheetName val="Charge impôt"/>
      <sheetName val="Cap et floor"/>
      <sheetName val="Tx actuariel"/>
      <sheetName val="Val. échéance"/>
      <sheetName val="HTM"/>
      <sheetName val="Durée moyenne"/>
      <sheetName val="Risque taux passif fin."/>
      <sheetName val="Risque liquidité"/>
      <sheetName val="Echéancier des passifs"/>
      <sheetName val="Passifs rachetables"/>
      <sheetName val="Actif passif UC"/>
      <sheetName val="Risque de Marché"/>
      <sheetName val="Risque de Marché com fi"/>
      <sheetName val="Table produit"/>
    </sheetNames>
    <sheetDataSet>
      <sheetData sheetId="0" refreshError="1"/>
      <sheetData sheetId="1" refreshError="1"/>
      <sheetData sheetId="2" refreshError="1"/>
      <sheetData sheetId="3"/>
      <sheetData sheetId="4" refreshError="1"/>
      <sheetData sheetId="5" refreshError="1"/>
      <sheetData sheetId="6" refreshError="1"/>
      <sheetData sheetId="7" refreshError="1"/>
      <sheetData sheetId="8">
        <row r="5">
          <cell r="A5" t="str">
            <v>(En Millions d'€)</v>
          </cell>
        </row>
      </sheetData>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ow r="4">
          <cell r="A4" t="str">
            <v>En millions d'€</v>
          </cell>
        </row>
      </sheetData>
      <sheetData sheetId="22">
        <row r="4">
          <cell r="A4" t="str">
            <v>En millions d'€</v>
          </cell>
        </row>
      </sheetData>
      <sheetData sheetId="23" refreshError="1"/>
      <sheetData sheetId="24" refreshError="1"/>
      <sheetData sheetId="25" refreshError="1"/>
      <sheetData sheetId="26" refreshError="1"/>
      <sheetData sheetId="27" refreshError="1"/>
      <sheetData sheetId="28">
        <row r="4">
          <cell r="A4" t="str">
            <v>En millions d'€</v>
          </cell>
        </row>
      </sheetData>
      <sheetData sheetId="29">
        <row r="4">
          <cell r="A4" t="str">
            <v>En millions d'€</v>
          </cell>
        </row>
      </sheetData>
      <sheetData sheetId="30" refreshError="1"/>
      <sheetData sheetId="31" refreshError="1"/>
      <sheetData sheetId="32" refreshError="1"/>
      <sheetData sheetId="33" refreshError="1"/>
      <sheetData sheetId="34" refreshError="1"/>
      <sheetData sheetId="35" refreshError="1"/>
      <sheetData sheetId="36" refreshError="1"/>
      <sheetData sheetId="37">
        <row r="4">
          <cell r="A4" t="str">
            <v>En millions d'€</v>
          </cell>
        </row>
      </sheetData>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 sheetId="93" refreshError="1"/>
    </sheetDataSet>
  </externalBook>
</externalLink>
</file>

<file path=xl/externalLinks/externalLink4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Paramétrage"/>
      <sheetName val="FF - Annuel"/>
      <sheetName val="FF - Trimestriel"/>
      <sheetName val="DPP - QRT"/>
      <sheetName val="DRG - Annuel"/>
      <sheetName val="DRG - Trimestriel"/>
      <sheetName val="FCG - QRT Annuel"/>
      <sheetName val="FCG - QRT Trimestriel"/>
      <sheetName val="FCG - Méthode Directe"/>
      <sheetName val="FCG - Méthode Indirecte"/>
      <sheetName val="OF-B1Q-S.23.01.g"/>
      <sheetName val="Own funds details-S.23.02.b"/>
      <sheetName val="OF-B1Q-S.23.01.f"/>
      <sheetName val="Annual movements-S.23.03.b"/>
      <sheetName val="SOLOannual open lists-S.23.04.b"/>
      <sheetName val="Input Grpe - Méthode Directe"/>
      <sheetName val="Input Grpe - Méthode Indirecte"/>
      <sheetName val="Input Grpe - Données communes"/>
      <sheetName val="Input RTSCR - Méthode Directe"/>
      <sheetName val="Input RTSCR - Méthode Indirecte"/>
      <sheetName val="Input RTSCR - Données communes"/>
      <sheetName val="TFT "/>
    </sheetNames>
    <sheetDataSet>
      <sheetData sheetId="0">
        <row r="6">
          <cell r="F6" t="str">
            <v>O</v>
          </cell>
        </row>
      </sheetData>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refreshError="1"/>
      <sheetData sheetId="16" refreshError="1"/>
      <sheetData sheetId="17" refreshError="1"/>
      <sheetData sheetId="18"/>
      <sheetData sheetId="19"/>
      <sheetData sheetId="20"/>
      <sheetData sheetId="21" refreshError="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DETCONSO"/>
      <sheetName val="RECAP GROUPE"/>
      <sheetName val="DETAIL SITUATION NETTE"/>
    </sheetNames>
    <sheetDataSet>
      <sheetData sheetId="0" refreshError="1">
        <row r="56">
          <cell r="BJ56">
            <v>1159732902.8219233</v>
          </cell>
        </row>
        <row r="286">
          <cell r="BJ286">
            <v>0</v>
          </cell>
        </row>
        <row r="387">
          <cell r="BI387">
            <v>-1451501.94</v>
          </cell>
        </row>
        <row r="394">
          <cell r="BI394">
            <v>0</v>
          </cell>
        </row>
        <row r="575">
          <cell r="BI575">
            <v>0</v>
          </cell>
        </row>
        <row r="640">
          <cell r="BJ640">
            <v>79890191.090000004</v>
          </cell>
        </row>
        <row r="650">
          <cell r="BJ650">
            <v>-43986378.139999993</v>
          </cell>
        </row>
        <row r="652">
          <cell r="BJ652">
            <v>-300000</v>
          </cell>
        </row>
        <row r="659">
          <cell r="BI659">
            <v>0</v>
          </cell>
          <cell r="BJ659">
            <v>3708762.93</v>
          </cell>
        </row>
        <row r="667">
          <cell r="BJ667">
            <v>0</v>
          </cell>
        </row>
        <row r="669">
          <cell r="BJ669">
            <v>7042897.5199999996</v>
          </cell>
        </row>
        <row r="681">
          <cell r="BJ681">
            <v>1013811565.189733</v>
          </cell>
        </row>
        <row r="719">
          <cell r="BJ719">
            <v>-4715158.8899999997</v>
          </cell>
        </row>
        <row r="781">
          <cell r="BJ781">
            <v>2580772388.3599997</v>
          </cell>
        </row>
        <row r="798">
          <cell r="BJ798">
            <v>106372515.75</v>
          </cell>
        </row>
      </sheetData>
      <sheetData sheetId="1" refreshError="1"/>
      <sheetData sheetId="2" refreshError="1"/>
    </sheetDataSet>
  </externalBook>
</externalLink>
</file>

<file path=xl/externalLinks/externalLink5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ommaire"/>
      <sheetName val="FA_AvecPR"/>
      <sheetName val="FA_SansPR"/>
      <sheetName val="FA_ResB_AvecPR"/>
      <sheetName val="FA_ResB_SansPR"/>
      <sheetName val="Referentiel"/>
      <sheetName val="Feuil2"/>
      <sheetName val="SCR Overview"/>
      <sheetName val="Tables"/>
      <sheetName val="Importation"/>
      <sheetName val="v"/>
      <sheetName val="Paramétrage"/>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Set>
  </externalBook>
</externalLink>
</file>

<file path=xl/externalLinks/externalLink5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Feuil1"/>
      <sheetName val="liste"/>
      <sheetName val="Feuil3"/>
      <sheetName val="10.3 Honoraires"/>
    </sheetNames>
    <sheetDataSet>
      <sheetData sheetId="0"/>
      <sheetData sheetId="1"/>
      <sheetData sheetId="2"/>
      <sheetData sheetId="3">
        <row r="6">
          <cell r="C6" t="str">
            <v>Honoraires des commissaires aux comptes au titre de l'exercice 2017.12</v>
          </cell>
        </row>
        <row r="9">
          <cell r="E9" t="str">
            <v>Commissaires aux comptes de La Banque Postale</v>
          </cell>
          <cell r="I9" t="str">
            <v>Autre auditeur intervenant  pour l'audit du Groupe La Banque Postale</v>
          </cell>
        </row>
        <row r="10">
          <cell r="E10" t="str">
            <v>PriceWaterhouseCoopers Audit</v>
          </cell>
          <cell r="G10" t="str">
            <v>KPMG</v>
          </cell>
          <cell r="I10" t="str">
            <v>Autres cabinets</v>
          </cell>
        </row>
        <row r="11">
          <cell r="C11" t="str">
            <v>(montant hors taxes, en milliers d'euros)</v>
          </cell>
          <cell r="E11" t="str">
            <v>Montant</v>
          </cell>
          <cell r="F11" t="str">
            <v>%</v>
          </cell>
          <cell r="G11" t="str">
            <v>Montant</v>
          </cell>
          <cell r="H11" t="str">
            <v>%</v>
          </cell>
          <cell r="I11" t="str">
            <v>Montant</v>
          </cell>
          <cell r="J11" t="str">
            <v>%</v>
          </cell>
        </row>
        <row r="12">
          <cell r="C12" t="str">
            <v>Commissariat aux comptes, examen des comptes individuels et consolidés</v>
          </cell>
          <cell r="E12">
            <v>1062</v>
          </cell>
          <cell r="F12">
            <v>0.62951985773562535</v>
          </cell>
          <cell r="G12">
            <v>1112</v>
          </cell>
          <cell r="H12">
            <v>0.65759905381431105</v>
          </cell>
          <cell r="I12">
            <v>21</v>
          </cell>
          <cell r="J12">
            <v>1</v>
          </cell>
        </row>
        <row r="14">
          <cell r="C14" t="str">
            <v>Société mère</v>
          </cell>
          <cell r="E14">
            <v>527</v>
          </cell>
          <cell r="F14">
            <v>0.31238885595732069</v>
          </cell>
          <cell r="G14">
            <v>527</v>
          </cell>
          <cell r="H14">
            <v>0.31164991129509168</v>
          </cell>
          <cell r="I14">
            <v>0</v>
          </cell>
          <cell r="J14">
            <v>0</v>
          </cell>
        </row>
        <row r="15">
          <cell r="C15" t="str">
            <v>Filiales intégrées globalement</v>
          </cell>
          <cell r="E15">
            <v>535</v>
          </cell>
          <cell r="F15">
            <v>0.31713100177830467</v>
          </cell>
          <cell r="G15">
            <v>585</v>
          </cell>
          <cell r="H15">
            <v>0.34594914251921938</v>
          </cell>
          <cell r="I15">
            <v>21</v>
          </cell>
          <cell r="J15">
            <v>1</v>
          </cell>
        </row>
        <row r="17">
          <cell r="C17" t="str">
            <v>Autres prestations directement liées à la mission de commissaire aux comptes</v>
          </cell>
          <cell r="E17">
            <v>617</v>
          </cell>
          <cell r="F17">
            <v>0.36573799644339067</v>
          </cell>
          <cell r="G17">
            <v>569</v>
          </cell>
          <cell r="H17">
            <v>0.33648728562980484</v>
          </cell>
          <cell r="I17">
            <v>0</v>
          </cell>
          <cell r="J17">
            <v>0</v>
          </cell>
        </row>
        <row r="19">
          <cell r="C19" t="str">
            <v>Société mère</v>
          </cell>
          <cell r="E19">
            <v>290</v>
          </cell>
          <cell r="F19">
            <v>0.17190278601066983</v>
          </cell>
          <cell r="G19">
            <v>418</v>
          </cell>
          <cell r="H19">
            <v>0.24719101123595505</v>
          </cell>
          <cell r="I19">
            <v>0</v>
          </cell>
          <cell r="J19">
            <v>0</v>
          </cell>
        </row>
        <row r="20">
          <cell r="C20" t="str">
            <v>Filiales intégrées globalement</v>
          </cell>
          <cell r="E20">
            <v>327</v>
          </cell>
          <cell r="F20">
            <v>0.19383521043272081</v>
          </cell>
          <cell r="G20">
            <v>151</v>
          </cell>
          <cell r="H20">
            <v>8.9296274393849795E-2</v>
          </cell>
          <cell r="I20">
            <v>0</v>
          </cell>
          <cell r="J20">
            <v>0</v>
          </cell>
        </row>
        <row r="22">
          <cell r="C22" t="str">
            <v>Autres prestations</v>
          </cell>
          <cell r="E22">
            <v>8</v>
          </cell>
          <cell r="F22">
            <v>0</v>
          </cell>
          <cell r="G22">
            <v>10</v>
          </cell>
          <cell r="H22">
            <v>5.9136605558840925E-3</v>
          </cell>
          <cell r="I22">
            <v>0</v>
          </cell>
          <cell r="J22">
            <v>0</v>
          </cell>
        </row>
        <row r="23">
          <cell r="C23" t="str">
            <v>Société mère</v>
          </cell>
          <cell r="E23">
            <v>0</v>
          </cell>
          <cell r="F23">
            <v>0</v>
          </cell>
          <cell r="G23">
            <v>0</v>
          </cell>
          <cell r="H23">
            <v>0</v>
          </cell>
          <cell r="I23">
            <v>0</v>
          </cell>
          <cell r="J23">
            <v>0</v>
          </cell>
        </row>
        <row r="24">
          <cell r="C24" t="str">
            <v>Filiales intégrées globalement</v>
          </cell>
          <cell r="E24">
            <v>8</v>
          </cell>
          <cell r="F24">
            <v>4.7421458209839949E-3</v>
          </cell>
          <cell r="G24">
            <v>10</v>
          </cell>
          <cell r="H24">
            <v>5.9136605558840925E-3</v>
          </cell>
          <cell r="I24">
            <v>0</v>
          </cell>
          <cell r="J24">
            <v>0</v>
          </cell>
        </row>
        <row r="26">
          <cell r="C26" t="str">
            <v>Total</v>
          </cell>
          <cell r="E26">
            <v>1687</v>
          </cell>
          <cell r="F26">
            <v>1</v>
          </cell>
          <cell r="G26">
            <v>1691</v>
          </cell>
          <cell r="H26">
            <v>1</v>
          </cell>
          <cell r="I26">
            <v>21</v>
          </cell>
          <cell r="J26">
            <v>1</v>
          </cell>
        </row>
        <row r="27">
          <cell r="E27">
            <v>0</v>
          </cell>
          <cell r="F27">
            <v>-4.7421458209839784E-3</v>
          </cell>
          <cell r="G27">
            <v>0</v>
          </cell>
          <cell r="H27">
            <v>0</v>
          </cell>
          <cell r="I27">
            <v>0</v>
          </cell>
          <cell r="J27">
            <v>0</v>
          </cell>
        </row>
        <row r="28">
          <cell r="E28">
            <v>0</v>
          </cell>
          <cell r="G28">
            <v>0</v>
          </cell>
        </row>
        <row r="29">
          <cell r="C29" t="str">
            <v>Honoraires des commissaires aux comptes au titre de l'exercice 2016.12</v>
          </cell>
        </row>
        <row r="32">
          <cell r="E32" t="str">
            <v>Commissaires aux comptes de La Banque Postale</v>
          </cell>
          <cell r="I32" t="str">
            <v>Autre auditeur intervenant de manière significative pour l'audit du Groupe La Banque Postale</v>
          </cell>
        </row>
        <row r="33">
          <cell r="E33" t="str">
            <v>PricewaterhouseCoopers Audit</v>
          </cell>
          <cell r="G33" t="str">
            <v>KPMG</v>
          </cell>
          <cell r="I33" t="str">
            <v>Autres cabinets</v>
          </cell>
        </row>
        <row r="34">
          <cell r="C34" t="str">
            <v>(montant retraités hors taxes, en milliers d'euros)</v>
          </cell>
          <cell r="E34" t="str">
            <v>Montant</v>
          </cell>
          <cell r="F34" t="str">
            <v>%</v>
          </cell>
          <cell r="G34" t="str">
            <v>Montant</v>
          </cell>
          <cell r="H34" t="str">
            <v>%</v>
          </cell>
          <cell r="I34" t="str">
            <v>Montant</v>
          </cell>
          <cell r="J34" t="str">
            <v>%</v>
          </cell>
        </row>
        <row r="35">
          <cell r="C35" t="str">
            <v>Commissariat aux comptes, examen des comptes individuels et consolidés</v>
          </cell>
          <cell r="E35">
            <v>880</v>
          </cell>
          <cell r="F35">
            <v>0.88620342396777452</v>
          </cell>
          <cell r="G35">
            <v>686</v>
          </cell>
          <cell r="H35">
            <v>0.83252427184466016</v>
          </cell>
          <cell r="I35">
            <v>341</v>
          </cell>
          <cell r="J35">
            <v>0.95251396648044695</v>
          </cell>
        </row>
        <row r="37">
          <cell r="C37" t="str">
            <v>Société mère</v>
          </cell>
          <cell r="E37">
            <v>404</v>
          </cell>
          <cell r="F37">
            <v>0.40684793554884191</v>
          </cell>
          <cell r="G37">
            <v>404</v>
          </cell>
          <cell r="H37">
            <v>0.49029126213592233</v>
          </cell>
          <cell r="I37">
            <v>0</v>
          </cell>
          <cell r="J37">
            <v>0</v>
          </cell>
        </row>
        <row r="38">
          <cell r="C38" t="str">
            <v>Filiales intégrées globalement</v>
          </cell>
          <cell r="E38">
            <v>476</v>
          </cell>
          <cell r="F38">
            <v>0.47935548841893255</v>
          </cell>
          <cell r="G38">
            <v>282</v>
          </cell>
          <cell r="H38">
            <v>0.34223300970873788</v>
          </cell>
          <cell r="I38">
            <v>341</v>
          </cell>
          <cell r="J38">
            <v>0.95251396648044695</v>
          </cell>
        </row>
        <row r="40">
          <cell r="C40" t="str">
            <v>Autres prestations directement liées à la mission de commissaire aux comptes</v>
          </cell>
          <cell r="E40">
            <v>113</v>
          </cell>
          <cell r="F40">
            <v>0.11379657603222558</v>
          </cell>
          <cell r="G40">
            <v>128</v>
          </cell>
          <cell r="H40">
            <v>0.1553398058252427</v>
          </cell>
          <cell r="I40">
            <v>17</v>
          </cell>
          <cell r="J40">
            <v>4.7486033519553071E-2</v>
          </cell>
          <cell r="L40" t="str">
            <v>Attention : présentation différente dans DDR pour la partie "Autres"</v>
          </cell>
        </row>
        <row r="42">
          <cell r="C42" t="str">
            <v>Société mère</v>
          </cell>
          <cell r="E42">
            <v>61</v>
          </cell>
          <cell r="F42">
            <v>6.1430010070493452E-2</v>
          </cell>
          <cell r="G42">
            <v>128</v>
          </cell>
          <cell r="H42">
            <v>0.1553398058252427</v>
          </cell>
          <cell r="I42">
            <v>0</v>
          </cell>
          <cell r="J42">
            <v>0</v>
          </cell>
        </row>
        <row r="43">
          <cell r="C43" t="str">
            <v>Filiales intégrées globalement</v>
          </cell>
          <cell r="E43">
            <v>52</v>
          </cell>
          <cell r="F43">
            <v>5.2366565961732128E-2</v>
          </cell>
          <cell r="G43">
            <v>0</v>
          </cell>
          <cell r="H43">
            <v>0</v>
          </cell>
          <cell r="I43">
            <v>17</v>
          </cell>
          <cell r="J43">
            <v>4.7486033519553071E-2</v>
          </cell>
        </row>
        <row r="45">
          <cell r="C45" t="str">
            <v>Autres prestations</v>
          </cell>
          <cell r="E45">
            <v>0</v>
          </cell>
          <cell r="F45">
            <v>0</v>
          </cell>
          <cell r="G45">
            <v>10</v>
          </cell>
          <cell r="H45">
            <v>0</v>
          </cell>
          <cell r="I45">
            <v>0</v>
          </cell>
          <cell r="J45">
            <v>0</v>
          </cell>
        </row>
        <row r="46">
          <cell r="C46" t="str">
            <v>Société mère</v>
          </cell>
          <cell r="E46">
            <v>0</v>
          </cell>
          <cell r="F46">
            <v>0</v>
          </cell>
          <cell r="G46">
            <v>0</v>
          </cell>
          <cell r="H46">
            <v>0</v>
          </cell>
          <cell r="I46">
            <v>0</v>
          </cell>
          <cell r="J46">
            <v>0</v>
          </cell>
        </row>
        <row r="47">
          <cell r="C47" t="str">
            <v>Filiales Intégres globalement</v>
          </cell>
          <cell r="E47">
            <v>0</v>
          </cell>
          <cell r="F47">
            <v>0</v>
          </cell>
          <cell r="G47">
            <v>10</v>
          </cell>
          <cell r="H47">
            <v>1.2135922330097087E-2</v>
          </cell>
          <cell r="I47">
            <v>0</v>
          </cell>
          <cell r="J47">
            <v>0</v>
          </cell>
        </row>
        <row r="48">
          <cell r="C48" t="str">
            <v>Total</v>
          </cell>
          <cell r="E48">
            <v>993</v>
          </cell>
          <cell r="F48">
            <v>1</v>
          </cell>
          <cell r="G48">
            <v>824</v>
          </cell>
          <cell r="H48">
            <v>1</v>
          </cell>
          <cell r="I48">
            <v>358</v>
          </cell>
          <cell r="J48">
            <v>1</v>
          </cell>
        </row>
        <row r="49">
          <cell r="E49">
            <v>0</v>
          </cell>
          <cell r="F49">
            <v>0</v>
          </cell>
          <cell r="G49">
            <v>0</v>
          </cell>
          <cell r="H49">
            <v>-1.2135922330097193E-2</v>
          </cell>
          <cell r="I49">
            <v>0</v>
          </cell>
          <cell r="J49">
            <v>0</v>
          </cell>
        </row>
      </sheetData>
    </sheetDataSet>
  </externalBook>
</externalLink>
</file>

<file path=xl/externalLinks/externalLink5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Feuil3"/>
      <sheetName val="A5"/>
      <sheetName val="EXPERTISE"/>
      <sheetName val="BALANCE"/>
      <sheetName val="BALANCES"/>
    </sheetNames>
    <sheetDataSet>
      <sheetData sheetId="0" refreshError="1"/>
      <sheetData sheetId="1" refreshError="1"/>
      <sheetData sheetId="2" refreshError="1"/>
      <sheetData sheetId="3" refreshError="1">
        <row r="2">
          <cell r="B2">
            <v>21021000</v>
          </cell>
          <cell r="D2" t="str">
            <v>F0085</v>
          </cell>
        </row>
        <row r="3">
          <cell r="D3" t="str">
            <v>F0086</v>
          </cell>
        </row>
        <row r="4">
          <cell r="D4" t="str">
            <v>F0097</v>
          </cell>
        </row>
        <row r="5">
          <cell r="D5" t="str">
            <v>F0098</v>
          </cell>
        </row>
        <row r="6">
          <cell r="D6" t="str">
            <v>F0101</v>
          </cell>
        </row>
        <row r="7">
          <cell r="D7" t="str">
            <v>F0102</v>
          </cell>
        </row>
        <row r="8">
          <cell r="D8" t="str">
            <v>F0103</v>
          </cell>
        </row>
        <row r="9">
          <cell r="D9" t="str">
            <v>F0106</v>
          </cell>
        </row>
        <row r="10">
          <cell r="D10" t="str">
            <v>F0109</v>
          </cell>
        </row>
        <row r="11">
          <cell r="D11" t="str">
            <v>F0111</v>
          </cell>
        </row>
        <row r="12">
          <cell r="D12" t="str">
            <v>F0114</v>
          </cell>
        </row>
        <row r="13">
          <cell r="D13" t="str">
            <v>F0115</v>
          </cell>
        </row>
        <row r="14">
          <cell r="D14" t="str">
            <v>F0118</v>
          </cell>
        </row>
        <row r="15">
          <cell r="D15" t="str">
            <v>F0120</v>
          </cell>
        </row>
        <row r="16">
          <cell r="D16" t="str">
            <v>F0125</v>
          </cell>
        </row>
        <row r="17">
          <cell r="D17" t="str">
            <v>F0127</v>
          </cell>
        </row>
        <row r="18">
          <cell r="D18" t="str">
            <v>F0128</v>
          </cell>
        </row>
        <row r="19">
          <cell r="D19" t="str">
            <v>F0129</v>
          </cell>
        </row>
        <row r="20">
          <cell r="D20" t="str">
            <v>F0134</v>
          </cell>
        </row>
        <row r="21">
          <cell r="D21" t="str">
            <v>F0136</v>
          </cell>
        </row>
        <row r="22">
          <cell r="D22" t="str">
            <v>F0137</v>
          </cell>
        </row>
        <row r="23">
          <cell r="D23" t="str">
            <v>F0138</v>
          </cell>
        </row>
        <row r="24">
          <cell r="D24" t="str">
            <v>F0141</v>
          </cell>
        </row>
        <row r="25">
          <cell r="D25" t="str">
            <v>F0143</v>
          </cell>
        </row>
        <row r="26">
          <cell r="D26" t="str">
            <v>F0148</v>
          </cell>
        </row>
        <row r="27">
          <cell r="D27" t="str">
            <v>F0153</v>
          </cell>
        </row>
        <row r="28">
          <cell r="D28" t="str">
            <v>F0156</v>
          </cell>
        </row>
        <row r="29">
          <cell r="D29" t="str">
            <v>F0161</v>
          </cell>
        </row>
        <row r="30">
          <cell r="D30" t="str">
            <v>F0164</v>
          </cell>
        </row>
        <row r="31">
          <cell r="D31" t="str">
            <v>F0167</v>
          </cell>
        </row>
        <row r="32">
          <cell r="D32" t="str">
            <v>F0168</v>
          </cell>
        </row>
        <row r="33">
          <cell r="D33" t="str">
            <v>F0171</v>
          </cell>
        </row>
        <row r="34">
          <cell r="D34" t="str">
            <v>F0172</v>
          </cell>
        </row>
        <row r="35">
          <cell r="D35" t="str">
            <v>F0173</v>
          </cell>
        </row>
        <row r="36">
          <cell r="D36" t="str">
            <v>F0174</v>
          </cell>
        </row>
        <row r="37">
          <cell r="D37" t="str">
            <v>F0176</v>
          </cell>
        </row>
        <row r="38">
          <cell r="D38" t="str">
            <v>F0179</v>
          </cell>
        </row>
        <row r="39">
          <cell r="D39" t="str">
            <v>F0182</v>
          </cell>
        </row>
        <row r="40">
          <cell r="D40" t="str">
            <v>F0184</v>
          </cell>
        </row>
        <row r="41">
          <cell r="D41" t="str">
            <v>F0185</v>
          </cell>
        </row>
        <row r="42">
          <cell r="D42" t="str">
            <v>F0189</v>
          </cell>
        </row>
        <row r="43">
          <cell r="D43" t="str">
            <v>F0191</v>
          </cell>
        </row>
        <row r="44">
          <cell r="D44" t="str">
            <v>F0194</v>
          </cell>
        </row>
        <row r="45">
          <cell r="D45" t="str">
            <v>F0195</v>
          </cell>
        </row>
        <row r="46">
          <cell r="D46" t="str">
            <v>F0196</v>
          </cell>
        </row>
        <row r="47">
          <cell r="D47" t="str">
            <v>F0197</v>
          </cell>
        </row>
        <row r="48">
          <cell r="D48" t="str">
            <v>F0201</v>
          </cell>
        </row>
        <row r="49">
          <cell r="D49" t="str">
            <v>F0202</v>
          </cell>
        </row>
        <row r="50">
          <cell r="D50" t="str">
            <v>F0203</v>
          </cell>
        </row>
        <row r="51">
          <cell r="D51" t="str">
            <v>F0204</v>
          </cell>
        </row>
        <row r="52">
          <cell r="D52" t="str">
            <v>F0207</v>
          </cell>
        </row>
        <row r="53">
          <cell r="D53" t="str">
            <v>F0208</v>
          </cell>
        </row>
        <row r="54">
          <cell r="D54" t="str">
            <v>F0209</v>
          </cell>
        </row>
        <row r="55">
          <cell r="D55" t="str">
            <v>F0211</v>
          </cell>
        </row>
        <row r="56">
          <cell r="D56" t="str">
            <v>F0212</v>
          </cell>
        </row>
        <row r="57">
          <cell r="D57" t="str">
            <v>F0216</v>
          </cell>
        </row>
        <row r="58">
          <cell r="D58" t="str">
            <v>F0217</v>
          </cell>
        </row>
        <row r="59">
          <cell r="D59" t="str">
            <v>F0218</v>
          </cell>
        </row>
        <row r="60">
          <cell r="D60" t="str">
            <v>F0219</v>
          </cell>
        </row>
        <row r="61">
          <cell r="D61" t="str">
            <v>F0220</v>
          </cell>
        </row>
        <row r="62">
          <cell r="D62" t="str">
            <v>F0223</v>
          </cell>
        </row>
        <row r="63">
          <cell r="D63" t="str">
            <v>F0362</v>
          </cell>
        </row>
        <row r="64">
          <cell r="D64" t="str">
            <v>F0086</v>
          </cell>
        </row>
        <row r="65">
          <cell r="D65" t="str">
            <v>F0102</v>
          </cell>
        </row>
        <row r="66">
          <cell r="D66" t="str">
            <v>F0109</v>
          </cell>
        </row>
        <row r="67">
          <cell r="D67" t="str">
            <v>F0127</v>
          </cell>
        </row>
        <row r="68">
          <cell r="D68" t="str">
            <v>F0136</v>
          </cell>
        </row>
        <row r="69">
          <cell r="D69" t="str">
            <v>F0168</v>
          </cell>
        </row>
        <row r="70">
          <cell r="D70" t="str">
            <v>F0171</v>
          </cell>
        </row>
        <row r="71">
          <cell r="D71" t="str">
            <v>F0174</v>
          </cell>
        </row>
        <row r="72">
          <cell r="D72" t="str">
            <v>F0179</v>
          </cell>
        </row>
        <row r="73">
          <cell r="D73" t="str">
            <v>F0182</v>
          </cell>
        </row>
        <row r="74">
          <cell r="D74" t="str">
            <v>F0194</v>
          </cell>
        </row>
        <row r="75">
          <cell r="D75" t="str">
            <v>F0195</v>
          </cell>
        </row>
        <row r="76">
          <cell r="D76" t="str">
            <v>F0196</v>
          </cell>
        </row>
        <row r="77">
          <cell r="D77" t="str">
            <v>F0203</v>
          </cell>
        </row>
        <row r="78">
          <cell r="D78" t="str">
            <v>F0204</v>
          </cell>
        </row>
        <row r="79">
          <cell r="D79" t="str">
            <v>F0212</v>
          </cell>
        </row>
        <row r="80">
          <cell r="D80" t="str">
            <v>F0218</v>
          </cell>
        </row>
        <row r="81">
          <cell r="D81" t="str">
            <v>F0362</v>
          </cell>
        </row>
        <row r="82">
          <cell r="D82" t="str">
            <v>I0200</v>
          </cell>
        </row>
        <row r="83">
          <cell r="D83" t="str">
            <v>I0340</v>
          </cell>
        </row>
        <row r="84">
          <cell r="D84" t="str">
            <v>I0214</v>
          </cell>
        </row>
        <row r="85">
          <cell r="D85" t="str">
            <v>I0221</v>
          </cell>
        </row>
        <row r="86">
          <cell r="D86" t="str">
            <v>I0227</v>
          </cell>
        </row>
        <row r="87">
          <cell r="D87" t="str">
            <v>I0259</v>
          </cell>
        </row>
        <row r="88">
          <cell r="D88" t="str">
            <v>I0294</v>
          </cell>
        </row>
        <row r="89">
          <cell r="D89" t="str">
            <v>I0513</v>
          </cell>
        </row>
        <row r="90">
          <cell r="D90" t="str">
            <v>I0805</v>
          </cell>
        </row>
        <row r="91">
          <cell r="D91" t="str">
            <v>I0812</v>
          </cell>
        </row>
        <row r="92">
          <cell r="D92" t="str">
            <v>I0802</v>
          </cell>
        </row>
        <row r="93">
          <cell r="D93" t="str">
            <v>I0806</v>
          </cell>
        </row>
        <row r="94">
          <cell r="D94" t="str">
            <v>I0807</v>
          </cell>
        </row>
        <row r="95">
          <cell r="D95" t="str">
            <v>I0809</v>
          </cell>
        </row>
        <row r="96">
          <cell r="D96" t="str">
            <v>I0811</v>
          </cell>
        </row>
        <row r="97">
          <cell r="D97" t="str">
            <v>I0813</v>
          </cell>
        </row>
        <row r="98">
          <cell r="D98" t="str">
            <v>I0815</v>
          </cell>
        </row>
        <row r="99">
          <cell r="D99" t="str">
            <v>I0816</v>
          </cell>
        </row>
        <row r="100">
          <cell r="D100" t="str">
            <v>I0829</v>
          </cell>
        </row>
        <row r="101">
          <cell r="D101" t="str">
            <v>I0430</v>
          </cell>
        </row>
        <row r="102">
          <cell r="D102" t="str">
            <v>I0511</v>
          </cell>
        </row>
        <row r="103">
          <cell r="D103" t="str">
            <v>I0804</v>
          </cell>
        </row>
        <row r="104">
          <cell r="D104" t="str">
            <v>I0810</v>
          </cell>
        </row>
        <row r="105">
          <cell r="D105" t="str">
            <v>I0402</v>
          </cell>
        </row>
        <row r="106">
          <cell r="D106" t="str">
            <v>I0409</v>
          </cell>
        </row>
        <row r="107">
          <cell r="D107" t="str">
            <v>I0428</v>
          </cell>
        </row>
        <row r="108">
          <cell r="D108" t="str">
            <v>I0447</v>
          </cell>
        </row>
        <row r="109">
          <cell r="D109" t="str">
            <v>I0461</v>
          </cell>
        </row>
        <row r="110">
          <cell r="D110" t="str">
            <v>I0466</v>
          </cell>
        </row>
        <row r="111">
          <cell r="D111" t="str">
            <v>I0400</v>
          </cell>
        </row>
        <row r="112">
          <cell r="D112" t="str">
            <v>I0427</v>
          </cell>
        </row>
        <row r="113">
          <cell r="D113" t="str">
            <v>I0519</v>
          </cell>
        </row>
        <row r="114">
          <cell r="D114" t="str">
            <v>I0814</v>
          </cell>
        </row>
        <row r="115">
          <cell r="D115" t="str">
            <v>I0200</v>
          </cell>
        </row>
        <row r="116">
          <cell r="D116" t="str">
            <v>I0340</v>
          </cell>
        </row>
        <row r="117">
          <cell r="D117" t="str">
            <v>I0214</v>
          </cell>
        </row>
        <row r="118">
          <cell r="D118" t="str">
            <v>I0221</v>
          </cell>
        </row>
        <row r="119">
          <cell r="D119" t="str">
            <v>I0227</v>
          </cell>
        </row>
        <row r="120">
          <cell r="D120" t="str">
            <v>I0259</v>
          </cell>
        </row>
        <row r="121">
          <cell r="D121" t="str">
            <v>I0294</v>
          </cell>
        </row>
        <row r="122">
          <cell r="D122" t="str">
            <v>I0513</v>
          </cell>
        </row>
        <row r="123">
          <cell r="D123" t="str">
            <v>I0805</v>
          </cell>
        </row>
        <row r="124">
          <cell r="D124" t="str">
            <v>I0812</v>
          </cell>
        </row>
        <row r="125">
          <cell r="D125" t="str">
            <v>I0802</v>
          </cell>
        </row>
        <row r="126">
          <cell r="D126" t="str">
            <v>I0806</v>
          </cell>
        </row>
        <row r="127">
          <cell r="D127" t="str">
            <v>I0807</v>
          </cell>
        </row>
        <row r="128">
          <cell r="D128" t="str">
            <v>I0809</v>
          </cell>
        </row>
        <row r="129">
          <cell r="D129" t="str">
            <v>I0811</v>
          </cell>
        </row>
        <row r="130">
          <cell r="D130" t="str">
            <v>I0813</v>
          </cell>
        </row>
        <row r="131">
          <cell r="D131" t="str">
            <v>I0815</v>
          </cell>
        </row>
        <row r="132">
          <cell r="D132" t="str">
            <v>I0816</v>
          </cell>
        </row>
        <row r="133">
          <cell r="D133" t="str">
            <v>I0829</v>
          </cell>
        </row>
        <row r="134">
          <cell r="D134" t="str">
            <v>I0430</v>
          </cell>
        </row>
        <row r="135">
          <cell r="D135" t="str">
            <v>I0511</v>
          </cell>
        </row>
        <row r="136">
          <cell r="D136" t="str">
            <v>I0804</v>
          </cell>
        </row>
        <row r="137">
          <cell r="D137" t="str">
            <v>I0810</v>
          </cell>
        </row>
        <row r="138">
          <cell r="D138" t="str">
            <v>I0244</v>
          </cell>
        </row>
        <row r="139">
          <cell r="D139" t="str">
            <v>I0246</v>
          </cell>
        </row>
        <row r="140">
          <cell r="D140" t="str">
            <v>I0402</v>
          </cell>
        </row>
        <row r="141">
          <cell r="D141" t="str">
            <v>I0409</v>
          </cell>
        </row>
        <row r="142">
          <cell r="D142" t="str">
            <v>I0428</v>
          </cell>
        </row>
        <row r="143">
          <cell r="D143" t="str">
            <v>I0447</v>
          </cell>
        </row>
        <row r="144">
          <cell r="D144" t="str">
            <v>I0461</v>
          </cell>
        </row>
        <row r="145">
          <cell r="D145" t="str">
            <v>I0466</v>
          </cell>
        </row>
        <row r="146">
          <cell r="D146" t="str">
            <v>I0400</v>
          </cell>
        </row>
        <row r="147">
          <cell r="D147" t="str">
            <v>I0427</v>
          </cell>
        </row>
        <row r="148">
          <cell r="D148" t="str">
            <v>I0519</v>
          </cell>
        </row>
        <row r="149">
          <cell r="D149" t="str">
            <v>I0814</v>
          </cell>
        </row>
        <row r="150">
          <cell r="D150" t="str">
            <v>I0151</v>
          </cell>
        </row>
        <row r="151">
          <cell r="D151" t="str">
            <v>I0200</v>
          </cell>
        </row>
        <row r="152">
          <cell r="D152" t="str">
            <v>I0340</v>
          </cell>
        </row>
        <row r="153">
          <cell r="D153" t="str">
            <v>I0132</v>
          </cell>
        </row>
        <row r="154">
          <cell r="D154" t="str">
            <v>I0134</v>
          </cell>
        </row>
        <row r="155">
          <cell r="D155" t="str">
            <v>I0136</v>
          </cell>
        </row>
        <row r="156">
          <cell r="D156" t="str">
            <v>I0138</v>
          </cell>
        </row>
        <row r="157">
          <cell r="D157" t="str">
            <v>I0142</v>
          </cell>
        </row>
        <row r="158">
          <cell r="D158" t="str">
            <v>I0150</v>
          </cell>
        </row>
        <row r="159">
          <cell r="D159" t="str">
            <v>I0153</v>
          </cell>
        </row>
        <row r="160">
          <cell r="D160" t="str">
            <v>I0157</v>
          </cell>
        </row>
        <row r="161">
          <cell r="D161" t="str">
            <v>I0161</v>
          </cell>
        </row>
        <row r="162">
          <cell r="D162" t="str">
            <v>I0166</v>
          </cell>
        </row>
        <row r="163">
          <cell r="D163" t="str">
            <v>I0187</v>
          </cell>
        </row>
        <row r="164">
          <cell r="D164" t="str">
            <v>I0203</v>
          </cell>
        </row>
        <row r="165">
          <cell r="D165" t="str">
            <v>I0206</v>
          </cell>
        </row>
        <row r="166">
          <cell r="D166" t="str">
            <v>I0209</v>
          </cell>
        </row>
        <row r="167">
          <cell r="D167" t="str">
            <v>I0214</v>
          </cell>
        </row>
        <row r="168">
          <cell r="D168" t="str">
            <v>I0221</v>
          </cell>
        </row>
        <row r="169">
          <cell r="D169" t="str">
            <v>I0227</v>
          </cell>
        </row>
        <row r="170">
          <cell r="D170" t="str">
            <v>I0240</v>
          </cell>
        </row>
        <row r="171">
          <cell r="D171" t="str">
            <v>I0241</v>
          </cell>
        </row>
        <row r="172">
          <cell r="D172" t="str">
            <v>I0245</v>
          </cell>
        </row>
        <row r="173">
          <cell r="D173" t="str">
            <v>I0259</v>
          </cell>
        </row>
        <row r="174">
          <cell r="D174" t="str">
            <v>I0294</v>
          </cell>
        </row>
        <row r="175">
          <cell r="D175" t="str">
            <v>I0428</v>
          </cell>
        </row>
        <row r="176">
          <cell r="D176" t="str">
            <v>I0447</v>
          </cell>
        </row>
        <row r="177">
          <cell r="D177" t="str">
            <v>I0461</v>
          </cell>
        </row>
        <row r="178">
          <cell r="D178" t="str">
            <v>I0805</v>
          </cell>
        </row>
        <row r="179">
          <cell r="D179" t="str">
            <v>I0812</v>
          </cell>
        </row>
        <row r="180">
          <cell r="D180" t="str">
            <v>I0802</v>
          </cell>
        </row>
        <row r="181">
          <cell r="D181" t="str">
            <v>I0811</v>
          </cell>
        </row>
        <row r="182">
          <cell r="D182" t="str">
            <v>I0813</v>
          </cell>
        </row>
        <row r="183">
          <cell r="D183" t="str">
            <v>I0815</v>
          </cell>
        </row>
        <row r="184">
          <cell r="D184" t="str">
            <v>I0137</v>
          </cell>
        </row>
        <row r="185">
          <cell r="D185" t="str">
            <v>I0430</v>
          </cell>
        </row>
        <row r="186">
          <cell r="D186" t="str">
            <v>I0511</v>
          </cell>
        </row>
        <row r="187">
          <cell r="D187" t="str">
            <v>I0138</v>
          </cell>
        </row>
        <row r="188">
          <cell r="D188" t="str">
            <v>I0144</v>
          </cell>
        </row>
        <row r="189">
          <cell r="D189" t="str">
            <v>I0206</v>
          </cell>
        </row>
        <row r="190">
          <cell r="D190" t="str">
            <v>I0244</v>
          </cell>
        </row>
        <row r="191">
          <cell r="D191" t="str">
            <v>I0245</v>
          </cell>
        </row>
        <row r="192">
          <cell r="D192" t="str">
            <v>I0246</v>
          </cell>
        </row>
        <row r="193">
          <cell r="D193" t="str">
            <v>I0402</v>
          </cell>
        </row>
        <row r="194">
          <cell r="D194" t="str">
            <v>I0428</v>
          </cell>
        </row>
        <row r="195">
          <cell r="D195" t="str">
            <v>I0447</v>
          </cell>
        </row>
        <row r="196">
          <cell r="D196" t="str">
            <v>I0461</v>
          </cell>
        </row>
        <row r="197">
          <cell r="D197" t="str">
            <v>I0466</v>
          </cell>
        </row>
        <row r="198">
          <cell r="D198" t="str">
            <v>F0204</v>
          </cell>
        </row>
        <row r="199">
          <cell r="D199" t="str">
            <v>I0151</v>
          </cell>
        </row>
        <row r="200">
          <cell r="D200" t="str">
            <v>I0132</v>
          </cell>
        </row>
        <row r="201">
          <cell r="D201" t="str">
            <v>I0134</v>
          </cell>
        </row>
        <row r="202">
          <cell r="D202" t="str">
            <v>I0136</v>
          </cell>
        </row>
        <row r="203">
          <cell r="D203" t="str">
            <v>I0142</v>
          </cell>
        </row>
        <row r="204">
          <cell r="D204" t="str">
            <v>I0145</v>
          </cell>
        </row>
        <row r="205">
          <cell r="D205" t="str">
            <v>I0150</v>
          </cell>
        </row>
        <row r="206">
          <cell r="D206" t="str">
            <v>I0153</v>
          </cell>
        </row>
        <row r="207">
          <cell r="D207" t="str">
            <v>I0157</v>
          </cell>
        </row>
        <row r="208">
          <cell r="D208" t="str">
            <v>I0161</v>
          </cell>
        </row>
        <row r="209">
          <cell r="D209" t="str">
            <v>I0166</v>
          </cell>
        </row>
        <row r="210">
          <cell r="D210" t="str">
            <v>I0187</v>
          </cell>
        </row>
        <row r="211">
          <cell r="D211" t="str">
            <v>I0203</v>
          </cell>
        </row>
        <row r="212">
          <cell r="D212" t="str">
            <v>I0209</v>
          </cell>
        </row>
        <row r="213">
          <cell r="D213" t="str">
            <v>I0210</v>
          </cell>
        </row>
        <row r="214">
          <cell r="D214" t="str">
            <v>I0240</v>
          </cell>
        </row>
        <row r="215">
          <cell r="D215" t="str">
            <v>I0241</v>
          </cell>
        </row>
        <row r="216">
          <cell r="D216" t="str">
            <v>I0138</v>
          </cell>
        </row>
        <row r="217">
          <cell r="D217" t="str">
            <v>I0144</v>
          </cell>
        </row>
        <row r="218">
          <cell r="D218" t="str">
            <v>I0244</v>
          </cell>
        </row>
        <row r="219">
          <cell r="D219" t="str">
            <v>I0246</v>
          </cell>
        </row>
        <row r="220">
          <cell r="D220" t="str">
            <v>I0271</v>
          </cell>
        </row>
        <row r="221">
          <cell r="D221" t="str">
            <v>I0148</v>
          </cell>
        </row>
        <row r="222">
          <cell r="D222" t="str">
            <v>I0163</v>
          </cell>
        </row>
        <row r="223">
          <cell r="D223" t="str">
            <v>I0151</v>
          </cell>
        </row>
        <row r="224">
          <cell r="D224" t="str">
            <v>I0132</v>
          </cell>
        </row>
        <row r="225">
          <cell r="D225" t="str">
            <v>I0134</v>
          </cell>
        </row>
        <row r="226">
          <cell r="D226" t="str">
            <v>I0136</v>
          </cell>
        </row>
        <row r="227">
          <cell r="D227" t="str">
            <v>I0142</v>
          </cell>
        </row>
        <row r="228">
          <cell r="D228" t="str">
            <v>I0145</v>
          </cell>
        </row>
        <row r="229">
          <cell r="D229" t="str">
            <v>I0150</v>
          </cell>
        </row>
        <row r="230">
          <cell r="D230" t="str">
            <v>I0153</v>
          </cell>
        </row>
        <row r="231">
          <cell r="D231" t="str">
            <v>I0157</v>
          </cell>
        </row>
        <row r="232">
          <cell r="D232" t="str">
            <v>I0161</v>
          </cell>
        </row>
        <row r="233">
          <cell r="D233" t="str">
            <v>I0166</v>
          </cell>
        </row>
        <row r="234">
          <cell r="D234" t="str">
            <v>I0187</v>
          </cell>
        </row>
        <row r="235">
          <cell r="D235" t="str">
            <v>I0203</v>
          </cell>
        </row>
        <row r="236">
          <cell r="D236" t="str">
            <v>I0209</v>
          </cell>
        </row>
        <row r="237">
          <cell r="D237" t="str">
            <v>I0210</v>
          </cell>
        </row>
        <row r="238">
          <cell r="D238" t="str">
            <v>I0240</v>
          </cell>
        </row>
        <row r="239">
          <cell r="D239" t="str">
            <v>I0241</v>
          </cell>
        </row>
        <row r="240">
          <cell r="D240" t="str">
            <v>I0137</v>
          </cell>
        </row>
        <row r="241">
          <cell r="D241" t="str">
            <v>I0138</v>
          </cell>
        </row>
        <row r="242">
          <cell r="D242" t="str">
            <v>I0144</v>
          </cell>
        </row>
        <row r="243">
          <cell r="D243" t="str">
            <v>I0206</v>
          </cell>
        </row>
        <row r="244">
          <cell r="D244" t="str">
            <v>I0244</v>
          </cell>
        </row>
        <row r="245">
          <cell r="D245" t="str">
            <v>I0245</v>
          </cell>
        </row>
        <row r="246">
          <cell r="D246" t="str">
            <v>I0246</v>
          </cell>
        </row>
        <row r="247">
          <cell r="D247" t="str">
            <v>I0271</v>
          </cell>
        </row>
        <row r="248">
          <cell r="D248" t="str">
            <v>I0148</v>
          </cell>
        </row>
        <row r="249">
          <cell r="D249" t="str">
            <v>I0163</v>
          </cell>
        </row>
        <row r="250">
          <cell r="D250" t="str">
            <v>F0085</v>
          </cell>
        </row>
        <row r="251">
          <cell r="D251" t="str">
            <v>F0101</v>
          </cell>
        </row>
        <row r="252">
          <cell r="D252" t="str">
            <v>F0118</v>
          </cell>
        </row>
        <row r="253">
          <cell r="D253" t="str">
            <v>F0127</v>
          </cell>
        </row>
        <row r="254">
          <cell r="D254" t="str">
            <v>F0153</v>
          </cell>
        </row>
        <row r="255">
          <cell r="D255" t="str">
            <v>F0164</v>
          </cell>
        </row>
        <row r="256">
          <cell r="D256" t="str">
            <v>F0168</v>
          </cell>
        </row>
        <row r="257">
          <cell r="D257" t="str">
            <v>F0172</v>
          </cell>
        </row>
        <row r="258">
          <cell r="D258" t="str">
            <v>F0174</v>
          </cell>
        </row>
        <row r="259">
          <cell r="D259" t="str">
            <v>F0179</v>
          </cell>
        </row>
        <row r="260">
          <cell r="D260" t="str">
            <v>F0189</v>
          </cell>
        </row>
        <row r="261">
          <cell r="D261" t="str">
            <v>F0195</v>
          </cell>
        </row>
        <row r="262">
          <cell r="D262" t="str">
            <v>F0203</v>
          </cell>
        </row>
        <row r="263">
          <cell r="D263" t="str">
            <v>F0204</v>
          </cell>
        </row>
        <row r="264">
          <cell r="D264" t="str">
            <v>F0207</v>
          </cell>
        </row>
        <row r="265">
          <cell r="D265" t="str">
            <v>F0216</v>
          </cell>
        </row>
        <row r="266">
          <cell r="D266" t="str">
            <v>F0219</v>
          </cell>
        </row>
        <row r="267">
          <cell r="D267" t="str">
            <v>F0302</v>
          </cell>
        </row>
        <row r="268">
          <cell r="D268" t="str">
            <v>F0303</v>
          </cell>
        </row>
        <row r="269">
          <cell r="D269" t="str">
            <v>F0305</v>
          </cell>
        </row>
        <row r="270">
          <cell r="D270" t="str">
            <v>F0306</v>
          </cell>
        </row>
        <row r="271">
          <cell r="D271" t="str">
            <v>F0127</v>
          </cell>
        </row>
        <row r="272">
          <cell r="D272" t="str">
            <v>F0153</v>
          </cell>
        </row>
        <row r="273">
          <cell r="D273" t="str">
            <v>F0174</v>
          </cell>
        </row>
        <row r="274">
          <cell r="D274" t="str">
            <v>F0189</v>
          </cell>
        </row>
        <row r="275">
          <cell r="D275" t="str">
            <v>F0195</v>
          </cell>
        </row>
        <row r="276">
          <cell r="D276" t="str">
            <v>F0203</v>
          </cell>
        </row>
        <row r="277">
          <cell r="D277" t="str">
            <v>F0204</v>
          </cell>
        </row>
        <row r="278">
          <cell r="D278" t="str">
            <v>I0805</v>
          </cell>
        </row>
        <row r="279">
          <cell r="D279" t="str">
            <v>I0806</v>
          </cell>
        </row>
        <row r="280">
          <cell r="D280" t="str">
            <v>I0807</v>
          </cell>
        </row>
        <row r="281">
          <cell r="D281" t="str">
            <v>I0809</v>
          </cell>
        </row>
        <row r="282">
          <cell r="D282" t="str">
            <v>I0811</v>
          </cell>
        </row>
        <row r="283">
          <cell r="D283" t="str">
            <v>I0813</v>
          </cell>
        </row>
        <row r="284">
          <cell r="D284" t="str">
            <v>I0818</v>
          </cell>
        </row>
        <row r="285">
          <cell r="D285" t="str">
            <v>I0829</v>
          </cell>
        </row>
        <row r="286">
          <cell r="D286" t="str">
            <v>I0340</v>
          </cell>
        </row>
        <row r="287">
          <cell r="D287" t="str">
            <v>I0132</v>
          </cell>
        </row>
        <row r="288">
          <cell r="D288" t="str">
            <v>I0136</v>
          </cell>
        </row>
        <row r="289">
          <cell r="D289" t="str">
            <v>I0161</v>
          </cell>
        </row>
        <row r="290">
          <cell r="D290" t="str">
            <v>I0240</v>
          </cell>
        </row>
        <row r="291">
          <cell r="D291" t="str">
            <v>I0513</v>
          </cell>
        </row>
        <row r="292">
          <cell r="D292" t="str">
            <v>I0805</v>
          </cell>
        </row>
        <row r="293">
          <cell r="D293" t="str">
            <v>I0812</v>
          </cell>
        </row>
        <row r="294">
          <cell r="D294" t="str">
            <v>I0806</v>
          </cell>
        </row>
        <row r="295">
          <cell r="D295" t="str">
            <v>I0807</v>
          </cell>
        </row>
        <row r="296">
          <cell r="D296" t="str">
            <v>I0809</v>
          </cell>
        </row>
        <row r="297">
          <cell r="D297" t="str">
            <v>I0811</v>
          </cell>
        </row>
        <row r="298">
          <cell r="D298" t="str">
            <v>I0813</v>
          </cell>
        </row>
        <row r="299">
          <cell r="D299" t="str">
            <v>I0818</v>
          </cell>
        </row>
        <row r="300">
          <cell r="D300" t="str">
            <v>I0829</v>
          </cell>
        </row>
        <row r="301">
          <cell r="D301" t="str">
            <v>I0244</v>
          </cell>
        </row>
        <row r="302">
          <cell r="D302" t="str">
            <v>I0246</v>
          </cell>
        </row>
        <row r="303">
          <cell r="D303" t="str">
            <v>I0461</v>
          </cell>
        </row>
        <row r="304">
          <cell r="D304" t="str">
            <v>I0519</v>
          </cell>
        </row>
        <row r="305">
          <cell r="D305" t="str">
            <v>F0086</v>
          </cell>
        </row>
        <row r="306">
          <cell r="D306" t="str">
            <v>F0102</v>
          </cell>
        </row>
        <row r="307">
          <cell r="D307" t="str">
            <v>F0109</v>
          </cell>
        </row>
        <row r="308">
          <cell r="D308" t="str">
            <v>F0127</v>
          </cell>
        </row>
        <row r="309">
          <cell r="D309" t="str">
            <v>F0136</v>
          </cell>
        </row>
        <row r="310">
          <cell r="D310" t="str">
            <v>F0168</v>
          </cell>
        </row>
        <row r="311">
          <cell r="D311" t="str">
            <v>F0171</v>
          </cell>
        </row>
        <row r="312">
          <cell r="D312" t="str">
            <v>F0174</v>
          </cell>
        </row>
        <row r="313">
          <cell r="D313" t="str">
            <v>F0179</v>
          </cell>
        </row>
        <row r="314">
          <cell r="D314" t="str">
            <v>F0182</v>
          </cell>
        </row>
        <row r="315">
          <cell r="D315" t="str">
            <v>F0194</v>
          </cell>
        </row>
        <row r="316">
          <cell r="D316" t="str">
            <v>F0195</v>
          </cell>
        </row>
        <row r="317">
          <cell r="D317" t="str">
            <v>F0196</v>
          </cell>
        </row>
        <row r="318">
          <cell r="D318" t="str">
            <v>F0203</v>
          </cell>
        </row>
        <row r="319">
          <cell r="D319" t="str">
            <v>F0204</v>
          </cell>
        </row>
        <row r="320">
          <cell r="D320" t="str">
            <v>F0212</v>
          </cell>
        </row>
        <row r="321">
          <cell r="D321" t="str">
            <v>F0218</v>
          </cell>
        </row>
        <row r="322">
          <cell r="D322" t="str">
            <v>F0362</v>
          </cell>
        </row>
        <row r="323">
          <cell r="D323" t="str">
            <v>I0151</v>
          </cell>
        </row>
        <row r="324">
          <cell r="D324" t="str">
            <v>I0132</v>
          </cell>
        </row>
        <row r="325">
          <cell r="D325" t="str">
            <v>I0134</v>
          </cell>
        </row>
        <row r="326">
          <cell r="D326" t="str">
            <v>I0136</v>
          </cell>
        </row>
        <row r="327">
          <cell r="D327" t="str">
            <v>I0142</v>
          </cell>
        </row>
        <row r="328">
          <cell r="D328" t="str">
            <v>I0145</v>
          </cell>
        </row>
        <row r="329">
          <cell r="D329" t="str">
            <v>I0150</v>
          </cell>
        </row>
        <row r="330">
          <cell r="D330" t="str">
            <v>I0153</v>
          </cell>
        </row>
        <row r="331">
          <cell r="D331" t="str">
            <v>I0157</v>
          </cell>
        </row>
        <row r="332">
          <cell r="D332" t="str">
            <v>I0161</v>
          </cell>
        </row>
        <row r="333">
          <cell r="D333" t="str">
            <v>I0166</v>
          </cell>
        </row>
        <row r="334">
          <cell r="D334" t="str">
            <v>I0187</v>
          </cell>
        </row>
        <row r="335">
          <cell r="D335" t="str">
            <v>I0203</v>
          </cell>
        </row>
        <row r="336">
          <cell r="D336" t="str">
            <v>I0209</v>
          </cell>
        </row>
        <row r="337">
          <cell r="D337" t="str">
            <v>I0210</v>
          </cell>
        </row>
        <row r="338">
          <cell r="D338" t="str">
            <v>I0240</v>
          </cell>
        </row>
        <row r="339">
          <cell r="D339" t="str">
            <v>I0241</v>
          </cell>
        </row>
        <row r="340">
          <cell r="D340" t="str">
            <v>I0137</v>
          </cell>
        </row>
        <row r="341">
          <cell r="D341" t="str">
            <v>I0138</v>
          </cell>
        </row>
        <row r="342">
          <cell r="D342" t="str">
            <v>I0144</v>
          </cell>
        </row>
        <row r="343">
          <cell r="D343" t="str">
            <v>I0206</v>
          </cell>
        </row>
        <row r="344">
          <cell r="D344" t="str">
            <v>I0244</v>
          </cell>
        </row>
        <row r="345">
          <cell r="D345" t="str">
            <v>I0245</v>
          </cell>
        </row>
        <row r="346">
          <cell r="D346" t="str">
            <v>I0246</v>
          </cell>
        </row>
        <row r="347">
          <cell r="D347" t="str">
            <v>I0271</v>
          </cell>
        </row>
        <row r="348">
          <cell r="D348" t="str">
            <v>I0148</v>
          </cell>
        </row>
        <row r="349">
          <cell r="D349" t="str">
            <v>I0163</v>
          </cell>
        </row>
        <row r="350">
          <cell r="D350" t="str">
            <v>F0085</v>
          </cell>
        </row>
        <row r="351">
          <cell r="D351" t="str">
            <v>F0101</v>
          </cell>
        </row>
        <row r="352">
          <cell r="D352" t="str">
            <v>F0109</v>
          </cell>
        </row>
        <row r="353">
          <cell r="D353" t="str">
            <v>F0118</v>
          </cell>
        </row>
        <row r="354">
          <cell r="D354" t="str">
            <v>F0127</v>
          </cell>
        </row>
        <row r="355">
          <cell r="D355" t="str">
            <v>F0136</v>
          </cell>
        </row>
        <row r="356">
          <cell r="D356" t="str">
            <v>F0153</v>
          </cell>
        </row>
        <row r="357">
          <cell r="D357" t="str">
            <v>F0164</v>
          </cell>
        </row>
        <row r="358">
          <cell r="D358" t="str">
            <v>F0168</v>
          </cell>
        </row>
        <row r="359">
          <cell r="D359" t="str">
            <v>F0171</v>
          </cell>
        </row>
        <row r="360">
          <cell r="D360" t="str">
            <v>F0172</v>
          </cell>
        </row>
        <row r="361">
          <cell r="D361" t="str">
            <v>F0174</v>
          </cell>
        </row>
        <row r="362">
          <cell r="D362" t="str">
            <v>F0179</v>
          </cell>
        </row>
        <row r="363">
          <cell r="D363" t="str">
            <v>F0182</v>
          </cell>
        </row>
        <row r="364">
          <cell r="D364" t="str">
            <v>F0189</v>
          </cell>
        </row>
        <row r="365">
          <cell r="D365" t="str">
            <v>F0194</v>
          </cell>
        </row>
        <row r="366">
          <cell r="D366" t="str">
            <v>F0195</v>
          </cell>
        </row>
        <row r="367">
          <cell r="D367" t="str">
            <v>F0196</v>
          </cell>
        </row>
        <row r="368">
          <cell r="D368" t="str">
            <v>F0203</v>
          </cell>
        </row>
        <row r="369">
          <cell r="D369" t="str">
            <v>F0204</v>
          </cell>
        </row>
        <row r="370">
          <cell r="D370" t="str">
            <v>F0207</v>
          </cell>
        </row>
        <row r="371">
          <cell r="D371" t="str">
            <v>F0212</v>
          </cell>
        </row>
        <row r="372">
          <cell r="D372" t="str">
            <v>F0216</v>
          </cell>
        </row>
        <row r="373">
          <cell r="D373" t="str">
            <v>F0218</v>
          </cell>
        </row>
        <row r="374">
          <cell r="D374" t="str">
            <v>F0219</v>
          </cell>
        </row>
        <row r="375">
          <cell r="D375" t="str">
            <v>F0302</v>
          </cell>
        </row>
        <row r="376">
          <cell r="D376" t="str">
            <v>F0303</v>
          </cell>
        </row>
        <row r="377">
          <cell r="D377" t="str">
            <v>F0305</v>
          </cell>
        </row>
        <row r="378">
          <cell r="D378" t="str">
            <v>F0306</v>
          </cell>
        </row>
        <row r="379">
          <cell r="D379" t="str">
            <v>F0127</v>
          </cell>
        </row>
        <row r="380">
          <cell r="D380" t="str">
            <v>F0153</v>
          </cell>
        </row>
        <row r="381">
          <cell r="D381" t="str">
            <v>F0174</v>
          </cell>
        </row>
        <row r="382">
          <cell r="D382" t="str">
            <v>F0189</v>
          </cell>
        </row>
        <row r="383">
          <cell r="D383" t="str">
            <v>F0195</v>
          </cell>
        </row>
        <row r="384">
          <cell r="D384" t="str">
            <v>F0203</v>
          </cell>
        </row>
        <row r="385">
          <cell r="D385" t="str">
            <v>F0204</v>
          </cell>
        </row>
        <row r="386">
          <cell r="D386" t="str">
            <v>I0200</v>
          </cell>
        </row>
        <row r="387">
          <cell r="D387" t="str">
            <v>I0340</v>
          </cell>
        </row>
        <row r="388">
          <cell r="D388" t="str">
            <v>I0214</v>
          </cell>
        </row>
        <row r="389">
          <cell r="D389" t="str">
            <v>I0221</v>
          </cell>
        </row>
        <row r="390">
          <cell r="D390" t="str">
            <v>I0227</v>
          </cell>
        </row>
        <row r="391">
          <cell r="D391" t="str">
            <v>I0259</v>
          </cell>
        </row>
        <row r="392">
          <cell r="D392" t="str">
            <v>I0294</v>
          </cell>
        </row>
        <row r="393">
          <cell r="D393" t="str">
            <v>I0513</v>
          </cell>
        </row>
        <row r="394">
          <cell r="D394" t="str">
            <v>I0805</v>
          </cell>
        </row>
        <row r="395">
          <cell r="D395" t="str">
            <v>I0812</v>
          </cell>
        </row>
        <row r="396">
          <cell r="D396" t="str">
            <v>I0802</v>
          </cell>
        </row>
        <row r="397">
          <cell r="D397" t="str">
            <v>I0806</v>
          </cell>
        </row>
        <row r="398">
          <cell r="D398" t="str">
            <v>I0807</v>
          </cell>
        </row>
        <row r="399">
          <cell r="D399" t="str">
            <v>I0809</v>
          </cell>
        </row>
        <row r="400">
          <cell r="D400" t="str">
            <v>I0811</v>
          </cell>
        </row>
        <row r="401">
          <cell r="D401" t="str">
            <v>I0813</v>
          </cell>
        </row>
        <row r="402">
          <cell r="D402" t="str">
            <v>I0815</v>
          </cell>
        </row>
        <row r="403">
          <cell r="D403" t="str">
            <v>I0816</v>
          </cell>
        </row>
        <row r="404">
          <cell r="D404" t="str">
            <v>I0829</v>
          </cell>
        </row>
        <row r="405">
          <cell r="D405" t="str">
            <v>I0430</v>
          </cell>
        </row>
        <row r="406">
          <cell r="D406" t="str">
            <v>I0511</v>
          </cell>
        </row>
        <row r="407">
          <cell r="D407" t="str">
            <v>I0804</v>
          </cell>
        </row>
        <row r="408">
          <cell r="D408" t="str">
            <v>I0810</v>
          </cell>
        </row>
        <row r="409">
          <cell r="D409" t="str">
            <v>I0244</v>
          </cell>
        </row>
        <row r="410">
          <cell r="D410" t="str">
            <v>I0246</v>
          </cell>
        </row>
        <row r="411">
          <cell r="D411" t="str">
            <v>I0402</v>
          </cell>
        </row>
        <row r="412">
          <cell r="D412" t="str">
            <v>I0409</v>
          </cell>
        </row>
        <row r="413">
          <cell r="D413" t="str">
            <v>I0428</v>
          </cell>
        </row>
        <row r="414">
          <cell r="D414" t="str">
            <v>I0447</v>
          </cell>
        </row>
        <row r="415">
          <cell r="D415" t="str">
            <v>I0461</v>
          </cell>
        </row>
        <row r="416">
          <cell r="D416" t="str">
            <v>I0466</v>
          </cell>
        </row>
        <row r="417">
          <cell r="D417" t="str">
            <v>I0400</v>
          </cell>
        </row>
        <row r="418">
          <cell r="D418" t="str">
            <v>I0427</v>
          </cell>
        </row>
        <row r="419">
          <cell r="D419" t="str">
            <v>I0519</v>
          </cell>
        </row>
        <row r="420">
          <cell r="D420" t="str">
            <v>I0814</v>
          </cell>
        </row>
        <row r="421">
          <cell r="D421" t="str">
            <v>I0151</v>
          </cell>
        </row>
        <row r="422">
          <cell r="D422" t="str">
            <v>I0200</v>
          </cell>
        </row>
        <row r="423">
          <cell r="D423" t="str">
            <v>I0340</v>
          </cell>
        </row>
        <row r="424">
          <cell r="D424" t="str">
            <v>I0132</v>
          </cell>
        </row>
        <row r="425">
          <cell r="D425" t="str">
            <v>I0134</v>
          </cell>
        </row>
        <row r="426">
          <cell r="D426" t="str">
            <v>I0136</v>
          </cell>
        </row>
        <row r="427">
          <cell r="D427" t="str">
            <v>I0142</v>
          </cell>
        </row>
        <row r="428">
          <cell r="D428" t="str">
            <v>I0150</v>
          </cell>
        </row>
        <row r="429">
          <cell r="D429" t="str">
            <v>I0153</v>
          </cell>
        </row>
        <row r="430">
          <cell r="D430" t="str">
            <v>I0157</v>
          </cell>
        </row>
        <row r="431">
          <cell r="D431" t="str">
            <v>I0161</v>
          </cell>
        </row>
        <row r="432">
          <cell r="D432" t="str">
            <v>I0166</v>
          </cell>
        </row>
        <row r="433">
          <cell r="D433" t="str">
            <v>I0187</v>
          </cell>
        </row>
        <row r="434">
          <cell r="D434" t="str">
            <v>I0203</v>
          </cell>
        </row>
        <row r="435">
          <cell r="D435" t="str">
            <v>I0209</v>
          </cell>
        </row>
        <row r="436">
          <cell r="D436" t="str">
            <v>I0214</v>
          </cell>
        </row>
        <row r="437">
          <cell r="D437" t="str">
            <v>I0221</v>
          </cell>
        </row>
        <row r="438">
          <cell r="D438" t="str">
            <v>I0227</v>
          </cell>
        </row>
        <row r="439">
          <cell r="D439" t="str">
            <v>I0240</v>
          </cell>
        </row>
        <row r="440">
          <cell r="D440" t="str">
            <v>I0241</v>
          </cell>
        </row>
        <row r="441">
          <cell r="D441" t="str">
            <v>I0259</v>
          </cell>
        </row>
        <row r="442">
          <cell r="D442" t="str">
            <v>I0294</v>
          </cell>
        </row>
        <row r="443">
          <cell r="D443" t="str">
            <v>I0428</v>
          </cell>
        </row>
        <row r="444">
          <cell r="D444" t="str">
            <v>I0805</v>
          </cell>
        </row>
        <row r="445">
          <cell r="D445" t="str">
            <v>I0812</v>
          </cell>
        </row>
        <row r="446">
          <cell r="D446" t="str">
            <v>I0802</v>
          </cell>
        </row>
        <row r="447">
          <cell r="D447" t="str">
            <v>I0811</v>
          </cell>
        </row>
        <row r="448">
          <cell r="D448" t="str">
            <v>I0813</v>
          </cell>
        </row>
        <row r="449">
          <cell r="D449" t="str">
            <v>I0815</v>
          </cell>
        </row>
        <row r="450">
          <cell r="D450" t="str">
            <v>I0137</v>
          </cell>
        </row>
        <row r="451">
          <cell r="D451" t="str">
            <v>I0430</v>
          </cell>
        </row>
        <row r="452">
          <cell r="D452" t="str">
            <v>I0511</v>
          </cell>
        </row>
        <row r="453">
          <cell r="D453" t="str">
            <v>I0138</v>
          </cell>
        </row>
        <row r="454">
          <cell r="D454" t="str">
            <v>I0144</v>
          </cell>
        </row>
        <row r="455">
          <cell r="D455" t="str">
            <v>I0206</v>
          </cell>
        </row>
        <row r="456">
          <cell r="D456" t="str">
            <v>I0244</v>
          </cell>
        </row>
        <row r="457">
          <cell r="D457" t="str">
            <v>I0245</v>
          </cell>
        </row>
        <row r="458">
          <cell r="D458" t="str">
            <v>I0246</v>
          </cell>
        </row>
        <row r="459">
          <cell r="D459" t="str">
            <v>I0402</v>
          </cell>
        </row>
        <row r="460">
          <cell r="D460" t="str">
            <v>I0428</v>
          </cell>
        </row>
        <row r="461">
          <cell r="D461" t="str">
            <v>I0447</v>
          </cell>
        </row>
        <row r="462">
          <cell r="D462" t="str">
            <v>I0461</v>
          </cell>
        </row>
        <row r="463">
          <cell r="D463" t="str">
            <v>I0466</v>
          </cell>
        </row>
        <row r="464">
          <cell r="D464" t="str">
            <v>I0151</v>
          </cell>
        </row>
        <row r="465">
          <cell r="D465" t="str">
            <v>I0132</v>
          </cell>
        </row>
        <row r="466">
          <cell r="D466" t="str">
            <v>I0134</v>
          </cell>
        </row>
        <row r="467">
          <cell r="D467" t="str">
            <v>I0136</v>
          </cell>
        </row>
        <row r="468">
          <cell r="D468" t="str">
            <v>I0142</v>
          </cell>
        </row>
        <row r="469">
          <cell r="D469" t="str">
            <v>I0145</v>
          </cell>
        </row>
        <row r="470">
          <cell r="D470" t="str">
            <v>I0150</v>
          </cell>
        </row>
        <row r="471">
          <cell r="D471" t="str">
            <v>I0153</v>
          </cell>
        </row>
        <row r="472">
          <cell r="D472" t="str">
            <v>I0157</v>
          </cell>
        </row>
        <row r="473">
          <cell r="D473" t="str">
            <v>I0161</v>
          </cell>
        </row>
        <row r="474">
          <cell r="D474" t="str">
            <v>I0166</v>
          </cell>
        </row>
        <row r="475">
          <cell r="D475" t="str">
            <v>I0187</v>
          </cell>
        </row>
        <row r="476">
          <cell r="D476" t="str">
            <v>I0203</v>
          </cell>
        </row>
        <row r="477">
          <cell r="D477" t="str">
            <v>I0209</v>
          </cell>
        </row>
        <row r="478">
          <cell r="D478" t="str">
            <v>I0210</v>
          </cell>
        </row>
        <row r="479">
          <cell r="D479" t="str">
            <v>I0240</v>
          </cell>
        </row>
        <row r="480">
          <cell r="D480" t="str">
            <v>I0241</v>
          </cell>
        </row>
        <row r="481">
          <cell r="D481" t="str">
            <v>I0138</v>
          </cell>
        </row>
        <row r="482">
          <cell r="D482" t="str">
            <v>I0144</v>
          </cell>
        </row>
        <row r="483">
          <cell r="D483" t="str">
            <v>I0244</v>
          </cell>
        </row>
        <row r="484">
          <cell r="D484" t="str">
            <v>I0246</v>
          </cell>
        </row>
        <row r="485">
          <cell r="D485" t="str">
            <v>I0271</v>
          </cell>
        </row>
        <row r="486">
          <cell r="D486" t="str">
            <v>I0148</v>
          </cell>
        </row>
        <row r="487">
          <cell r="D487" t="str">
            <v>I0163</v>
          </cell>
        </row>
        <row r="488">
          <cell r="D488" t="str">
            <v>I0430</v>
          </cell>
        </row>
        <row r="489">
          <cell r="D489" t="str">
            <v>I0511</v>
          </cell>
        </row>
        <row r="490">
          <cell r="D490" t="str">
            <v>I0810</v>
          </cell>
        </row>
        <row r="491">
          <cell r="D491" t="str">
            <v>I0409</v>
          </cell>
        </row>
        <row r="492">
          <cell r="D492" t="str">
            <v>I0428</v>
          </cell>
        </row>
        <row r="493">
          <cell r="D493" t="str">
            <v>I0447</v>
          </cell>
        </row>
        <row r="494">
          <cell r="D494" t="str">
            <v>I0461</v>
          </cell>
        </row>
        <row r="495">
          <cell r="D495" t="str">
            <v>I0466</v>
          </cell>
        </row>
        <row r="496">
          <cell r="D496" t="str">
            <v>I0511</v>
          </cell>
        </row>
        <row r="497">
          <cell r="D497" t="str">
            <v>I0513</v>
          </cell>
        </row>
        <row r="498">
          <cell r="D498" t="str">
            <v>I0812</v>
          </cell>
        </row>
        <row r="499">
          <cell r="D499" t="str">
            <v>I0400</v>
          </cell>
        </row>
        <row r="500">
          <cell r="D500" t="str">
            <v>I0427</v>
          </cell>
        </row>
        <row r="501">
          <cell r="D501" t="str">
            <v>I0519</v>
          </cell>
        </row>
        <row r="502">
          <cell r="D502" t="str">
            <v>I0806</v>
          </cell>
        </row>
        <row r="503">
          <cell r="D503" t="str">
            <v>F0085</v>
          </cell>
        </row>
        <row r="504">
          <cell r="D504" t="str">
            <v>F0086</v>
          </cell>
        </row>
        <row r="505">
          <cell r="D505" t="str">
            <v>F0097</v>
          </cell>
        </row>
        <row r="506">
          <cell r="D506" t="str">
            <v>F0098</v>
          </cell>
        </row>
        <row r="507">
          <cell r="D507" t="str">
            <v>F0101</v>
          </cell>
        </row>
        <row r="508">
          <cell r="D508" t="str">
            <v>F0102</v>
          </cell>
        </row>
        <row r="509">
          <cell r="D509" t="str">
            <v>F0103</v>
          </cell>
        </row>
        <row r="510">
          <cell r="D510" t="str">
            <v>F0106</v>
          </cell>
        </row>
        <row r="511">
          <cell r="D511" t="str">
            <v>F0109</v>
          </cell>
        </row>
        <row r="512">
          <cell r="D512" t="str">
            <v>F0111</v>
          </cell>
        </row>
        <row r="513">
          <cell r="D513" t="str">
            <v>F0114</v>
          </cell>
        </row>
        <row r="514">
          <cell r="D514" t="str">
            <v>F0115</v>
          </cell>
        </row>
        <row r="515">
          <cell r="D515" t="str">
            <v>F0118</v>
          </cell>
        </row>
        <row r="516">
          <cell r="D516" t="str">
            <v>F0120</v>
          </cell>
        </row>
        <row r="517">
          <cell r="D517" t="str">
            <v>F0125</v>
          </cell>
        </row>
        <row r="518">
          <cell r="D518" t="str">
            <v>F0127</v>
          </cell>
        </row>
        <row r="519">
          <cell r="D519" t="str">
            <v>F0128</v>
          </cell>
        </row>
        <row r="520">
          <cell r="D520" t="str">
            <v>F0129</v>
          </cell>
        </row>
        <row r="521">
          <cell r="D521" t="str">
            <v>F0134</v>
          </cell>
        </row>
        <row r="522">
          <cell r="D522" t="str">
            <v>F0136</v>
          </cell>
        </row>
        <row r="523">
          <cell r="D523" t="str">
            <v>F0137</v>
          </cell>
        </row>
        <row r="524">
          <cell r="D524" t="str">
            <v>F0138</v>
          </cell>
        </row>
        <row r="525">
          <cell r="D525" t="str">
            <v>F0141</v>
          </cell>
        </row>
        <row r="526">
          <cell r="D526" t="str">
            <v>F0143</v>
          </cell>
        </row>
        <row r="527">
          <cell r="D527" t="str">
            <v>F0148</v>
          </cell>
        </row>
        <row r="528">
          <cell r="D528" t="str">
            <v>F0153</v>
          </cell>
        </row>
        <row r="529">
          <cell r="D529" t="str">
            <v>F0156</v>
          </cell>
        </row>
        <row r="530">
          <cell r="D530" t="str">
            <v>F0157</v>
          </cell>
        </row>
        <row r="531">
          <cell r="D531" t="str">
            <v>F0158</v>
          </cell>
        </row>
        <row r="532">
          <cell r="D532" t="str">
            <v>F0161</v>
          </cell>
        </row>
        <row r="533">
          <cell r="D533" t="str">
            <v>F0164</v>
          </cell>
        </row>
        <row r="534">
          <cell r="D534" t="str">
            <v>F0167</v>
          </cell>
        </row>
        <row r="535">
          <cell r="D535" t="str">
            <v>F0168</v>
          </cell>
        </row>
        <row r="536">
          <cell r="D536" t="str">
            <v>F0171</v>
          </cell>
        </row>
        <row r="537">
          <cell r="D537" t="str">
            <v>F0172</v>
          </cell>
        </row>
        <row r="538">
          <cell r="D538" t="str">
            <v>F0173</v>
          </cell>
        </row>
        <row r="539">
          <cell r="D539" t="str">
            <v>F0174</v>
          </cell>
        </row>
        <row r="540">
          <cell r="D540" t="str">
            <v>F0176</v>
          </cell>
        </row>
        <row r="541">
          <cell r="D541" t="str">
            <v>F0179</v>
          </cell>
        </row>
        <row r="542">
          <cell r="D542" t="str">
            <v>F0182</v>
          </cell>
        </row>
        <row r="543">
          <cell r="D543" t="str">
            <v>F0183</v>
          </cell>
        </row>
        <row r="544">
          <cell r="D544" t="str">
            <v>F0184</v>
          </cell>
        </row>
        <row r="545">
          <cell r="D545" t="str">
            <v>F0185</v>
          </cell>
        </row>
        <row r="546">
          <cell r="D546" t="str">
            <v>F0189</v>
          </cell>
        </row>
        <row r="547">
          <cell r="D547" t="str">
            <v>F0191</v>
          </cell>
        </row>
        <row r="548">
          <cell r="D548" t="str">
            <v>F0194</v>
          </cell>
        </row>
        <row r="549">
          <cell r="D549" t="str">
            <v>F0195</v>
          </cell>
        </row>
        <row r="550">
          <cell r="D550" t="str">
            <v>F0196</v>
          </cell>
        </row>
        <row r="551">
          <cell r="D551" t="str">
            <v>F0197</v>
          </cell>
        </row>
        <row r="552">
          <cell r="D552" t="str">
            <v>F0201</v>
          </cell>
        </row>
        <row r="553">
          <cell r="D553" t="str">
            <v>F0202</v>
          </cell>
        </row>
        <row r="554">
          <cell r="D554" t="str">
            <v>F0203</v>
          </cell>
        </row>
        <row r="555">
          <cell r="D555" t="str">
            <v>F0204</v>
          </cell>
        </row>
        <row r="556">
          <cell r="D556" t="str">
            <v>F0207</v>
          </cell>
        </row>
        <row r="557">
          <cell r="D557" t="str">
            <v>F0208</v>
          </cell>
        </row>
        <row r="558">
          <cell r="D558" t="str">
            <v>F0209</v>
          </cell>
        </row>
        <row r="559">
          <cell r="D559" t="str">
            <v>F0211</v>
          </cell>
        </row>
        <row r="560">
          <cell r="D560" t="str">
            <v>F0212</v>
          </cell>
        </row>
        <row r="561">
          <cell r="D561" t="str">
            <v>F0216</v>
          </cell>
        </row>
        <row r="562">
          <cell r="D562" t="str">
            <v>F0217</v>
          </cell>
        </row>
        <row r="563">
          <cell r="D563" t="str">
            <v>F0218</v>
          </cell>
        </row>
        <row r="564">
          <cell r="D564" t="str">
            <v>F0219</v>
          </cell>
        </row>
        <row r="565">
          <cell r="D565" t="str">
            <v>F0220</v>
          </cell>
        </row>
        <row r="566">
          <cell r="D566" t="str">
            <v>F0223</v>
          </cell>
        </row>
        <row r="567">
          <cell r="D567" t="str">
            <v>F0305</v>
          </cell>
        </row>
        <row r="568">
          <cell r="D568" t="str">
            <v>F0362</v>
          </cell>
        </row>
        <row r="569">
          <cell r="D569" t="str">
            <v>F9201</v>
          </cell>
        </row>
        <row r="570">
          <cell r="D570" t="str">
            <v>F9201</v>
          </cell>
        </row>
      </sheetData>
      <sheetData sheetId="4" refreshError="1"/>
    </sheetDataSet>
  </externalBook>
</externalLink>
</file>

<file path=xl/externalLinks/externalLink5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A-CNP"/>
      <sheetName val="L-CNP"/>
      <sheetName val="P&amp;L CNP"/>
    </sheetNames>
    <sheetDataSet>
      <sheetData sheetId="0" refreshError="1"/>
      <sheetData sheetId="1" refreshError="1">
        <row r="499">
          <cell r="AJ499">
            <v>438554689.55179799</v>
          </cell>
        </row>
      </sheetData>
      <sheetData sheetId="2" refreshError="1"/>
    </sheetDataSet>
  </externalBook>
</externalLink>
</file>

<file path=xl/externalLinks/externalLink5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A-LBP"/>
      <sheetName val="L-LBP"/>
      <sheetName val="P&amp;L LBP"/>
    </sheetNames>
    <sheetDataSet>
      <sheetData sheetId="0" refreshError="1"/>
      <sheetData sheetId="1" refreshError="1"/>
      <sheetData sheetId="2" refreshError="1">
        <row r="13">
          <cell r="AM13">
            <v>368047.55448854202</v>
          </cell>
        </row>
        <row r="646">
          <cell r="AM646">
            <v>-81157.600629874301</v>
          </cell>
        </row>
      </sheetData>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Feuil3"/>
      <sheetName val="A5"/>
      <sheetName val="EXPERTISE"/>
      <sheetName val="BALANCE"/>
      <sheetName val="BALANCES"/>
      <sheetName val="Feuil1"/>
    </sheetNames>
    <sheetDataSet>
      <sheetData sheetId="0" refreshError="1"/>
      <sheetData sheetId="1" refreshError="1"/>
      <sheetData sheetId="2" refreshError="1">
        <row r="2">
          <cell r="F2">
            <v>1400000</v>
          </cell>
        </row>
        <row r="3">
          <cell r="F3">
            <v>6200000</v>
          </cell>
        </row>
        <row r="4">
          <cell r="F4">
            <v>3900000</v>
          </cell>
        </row>
        <row r="5">
          <cell r="F5">
            <v>3300000</v>
          </cell>
        </row>
        <row r="6">
          <cell r="F6">
            <v>1500000</v>
          </cell>
        </row>
        <row r="7">
          <cell r="F7">
            <v>4000000</v>
          </cell>
        </row>
        <row r="8">
          <cell r="F8">
            <v>32000000</v>
          </cell>
        </row>
        <row r="9">
          <cell r="F9">
            <v>15400000</v>
          </cell>
        </row>
        <row r="10">
          <cell r="F10">
            <v>18700000</v>
          </cell>
        </row>
        <row r="11">
          <cell r="F11">
            <v>22000000</v>
          </cell>
        </row>
        <row r="12">
          <cell r="F12">
            <v>1357000</v>
          </cell>
        </row>
        <row r="13">
          <cell r="F13">
            <v>249000</v>
          </cell>
        </row>
        <row r="14">
          <cell r="F14">
            <v>1541000</v>
          </cell>
        </row>
        <row r="15">
          <cell r="F15">
            <v>365000</v>
          </cell>
        </row>
        <row r="16">
          <cell r="F16">
            <v>425000</v>
          </cell>
        </row>
        <row r="17">
          <cell r="F17">
            <v>1827000</v>
          </cell>
        </row>
        <row r="18">
          <cell r="F18">
            <v>1297000</v>
          </cell>
        </row>
        <row r="19">
          <cell r="F19">
            <v>1228000</v>
          </cell>
        </row>
        <row r="20">
          <cell r="F20">
            <v>1249000</v>
          </cell>
        </row>
        <row r="21">
          <cell r="F21">
            <v>993000</v>
          </cell>
        </row>
        <row r="22">
          <cell r="F22">
            <v>362000</v>
          </cell>
        </row>
        <row r="23">
          <cell r="F23">
            <v>475000</v>
          </cell>
        </row>
        <row r="24">
          <cell r="F24">
            <v>374000</v>
          </cell>
        </row>
        <row r="25">
          <cell r="F25">
            <v>1761000</v>
          </cell>
        </row>
        <row r="26">
          <cell r="F26">
            <v>361000</v>
          </cell>
        </row>
        <row r="27">
          <cell r="F27">
            <v>362000</v>
          </cell>
        </row>
        <row r="28">
          <cell r="F28">
            <v>87000</v>
          </cell>
        </row>
        <row r="29">
          <cell r="F29">
            <v>4558000</v>
          </cell>
        </row>
        <row r="30">
          <cell r="F30">
            <v>298000</v>
          </cell>
        </row>
        <row r="31">
          <cell r="F31">
            <v>105000</v>
          </cell>
        </row>
        <row r="32">
          <cell r="F32">
            <v>143000</v>
          </cell>
        </row>
        <row r="33">
          <cell r="F33">
            <v>871000</v>
          </cell>
        </row>
        <row r="34">
          <cell r="F34">
            <v>678000</v>
          </cell>
        </row>
        <row r="35">
          <cell r="F35">
            <v>352000</v>
          </cell>
        </row>
        <row r="36">
          <cell r="F36">
            <v>145000</v>
          </cell>
        </row>
        <row r="37">
          <cell r="F37">
            <v>69000</v>
          </cell>
        </row>
        <row r="38">
          <cell r="F38">
            <v>3534000</v>
          </cell>
        </row>
        <row r="39">
          <cell r="F39">
            <v>1730000</v>
          </cell>
        </row>
        <row r="40">
          <cell r="F40">
            <v>568000</v>
          </cell>
        </row>
        <row r="41">
          <cell r="F41">
            <v>10873000</v>
          </cell>
        </row>
        <row r="42">
          <cell r="F42">
            <v>0</v>
          </cell>
        </row>
        <row r="43">
          <cell r="F43">
            <v>529000</v>
          </cell>
        </row>
        <row r="44">
          <cell r="F44">
            <v>1478000</v>
          </cell>
        </row>
        <row r="45">
          <cell r="F45">
            <v>332000</v>
          </cell>
        </row>
        <row r="46">
          <cell r="F46">
            <v>274000</v>
          </cell>
        </row>
        <row r="47">
          <cell r="F47">
            <v>3058000</v>
          </cell>
        </row>
        <row r="48">
          <cell r="F48">
            <v>1113000</v>
          </cell>
        </row>
        <row r="49">
          <cell r="F49">
            <v>473000</v>
          </cell>
        </row>
        <row r="50">
          <cell r="F50">
            <v>703000</v>
          </cell>
        </row>
        <row r="51">
          <cell r="F51">
            <v>295000</v>
          </cell>
        </row>
        <row r="52">
          <cell r="F52">
            <v>691000</v>
          </cell>
        </row>
        <row r="53">
          <cell r="F53">
            <v>357000</v>
          </cell>
        </row>
        <row r="54">
          <cell r="F54">
            <v>1074000</v>
          </cell>
        </row>
        <row r="55">
          <cell r="F55">
            <v>2725000</v>
          </cell>
        </row>
        <row r="56">
          <cell r="F56">
            <v>383000</v>
          </cell>
        </row>
        <row r="57">
          <cell r="F57">
            <v>1714000</v>
          </cell>
        </row>
        <row r="58">
          <cell r="F58">
            <v>62000</v>
          </cell>
        </row>
        <row r="59">
          <cell r="F59">
            <v>5235000</v>
          </cell>
        </row>
        <row r="60">
          <cell r="F60">
            <v>1907000</v>
          </cell>
        </row>
        <row r="61">
          <cell r="F61">
            <v>1838000</v>
          </cell>
        </row>
        <row r="62">
          <cell r="F62">
            <v>962000</v>
          </cell>
        </row>
        <row r="63">
          <cell r="F63">
            <v>909000</v>
          </cell>
        </row>
        <row r="64">
          <cell r="F64">
            <v>40000</v>
          </cell>
        </row>
        <row r="65">
          <cell r="F65">
            <v>1101000</v>
          </cell>
        </row>
        <row r="66">
          <cell r="F66">
            <v>247000</v>
          </cell>
        </row>
        <row r="67">
          <cell r="F67">
            <v>0</v>
          </cell>
        </row>
        <row r="68">
          <cell r="F68">
            <v>0</v>
          </cell>
        </row>
        <row r="69">
          <cell r="F69">
            <v>0</v>
          </cell>
        </row>
        <row r="70">
          <cell r="F70">
            <v>0</v>
          </cell>
        </row>
        <row r="71">
          <cell r="F71">
            <v>1669000</v>
          </cell>
        </row>
        <row r="72">
          <cell r="F72">
            <v>37000000</v>
          </cell>
        </row>
        <row r="73">
          <cell r="F73">
            <v>7400000</v>
          </cell>
        </row>
        <row r="74">
          <cell r="F74">
            <v>0</v>
          </cell>
        </row>
        <row r="75">
          <cell r="F75">
            <v>0</v>
          </cell>
        </row>
        <row r="76">
          <cell r="F76">
            <v>41000000</v>
          </cell>
        </row>
        <row r="77">
          <cell r="F77">
            <v>1100000</v>
          </cell>
        </row>
        <row r="78">
          <cell r="F78">
            <v>0</v>
          </cell>
        </row>
        <row r="79">
          <cell r="F79">
            <v>15000000</v>
          </cell>
        </row>
        <row r="80">
          <cell r="F80">
            <v>7400000</v>
          </cell>
        </row>
        <row r="81">
          <cell r="F81">
            <v>7780000</v>
          </cell>
        </row>
        <row r="82">
          <cell r="F82">
            <v>8000000</v>
          </cell>
        </row>
        <row r="83">
          <cell r="F83">
            <v>7000000</v>
          </cell>
        </row>
        <row r="84">
          <cell r="F84">
            <v>5260000</v>
          </cell>
        </row>
        <row r="85">
          <cell r="F85">
            <v>5500000</v>
          </cell>
        </row>
        <row r="86">
          <cell r="F86">
            <v>0</v>
          </cell>
        </row>
        <row r="87">
          <cell r="F87">
            <v>10400000</v>
          </cell>
        </row>
        <row r="88">
          <cell r="F88">
            <v>0</v>
          </cell>
        </row>
        <row r="89">
          <cell r="F89">
            <v>8700000</v>
          </cell>
        </row>
        <row r="90">
          <cell r="F90">
            <v>6300000</v>
          </cell>
        </row>
        <row r="91">
          <cell r="F91">
            <v>2650000</v>
          </cell>
        </row>
        <row r="92">
          <cell r="F92">
            <v>24300000</v>
          </cell>
        </row>
        <row r="93">
          <cell r="F93">
            <v>7200000</v>
          </cell>
        </row>
        <row r="94">
          <cell r="F94">
            <v>94670000</v>
          </cell>
        </row>
        <row r="95">
          <cell r="F95">
            <v>0</v>
          </cell>
        </row>
        <row r="96">
          <cell r="F96">
            <v>43770000</v>
          </cell>
        </row>
        <row r="97">
          <cell r="F97">
            <v>13800000</v>
          </cell>
        </row>
        <row r="98">
          <cell r="F98">
            <v>11961000</v>
          </cell>
        </row>
        <row r="99">
          <cell r="F99">
            <v>13750000</v>
          </cell>
        </row>
        <row r="100">
          <cell r="F100">
            <v>10400000</v>
          </cell>
        </row>
        <row r="101">
          <cell r="F101">
            <v>25000000</v>
          </cell>
        </row>
        <row r="102">
          <cell r="F102">
            <v>18080000</v>
          </cell>
        </row>
        <row r="103">
          <cell r="F103">
            <v>34120000</v>
          </cell>
        </row>
        <row r="104">
          <cell r="F104">
            <v>38780000</v>
          </cell>
        </row>
        <row r="105">
          <cell r="F105">
            <v>877000</v>
          </cell>
        </row>
        <row r="106">
          <cell r="F106">
            <v>7200000</v>
          </cell>
        </row>
        <row r="107">
          <cell r="F107">
            <v>1900000</v>
          </cell>
        </row>
        <row r="108">
          <cell r="F108">
            <v>830000</v>
          </cell>
        </row>
        <row r="109">
          <cell r="F109">
            <v>0</v>
          </cell>
        </row>
        <row r="110">
          <cell r="F110">
            <v>23300000</v>
          </cell>
        </row>
        <row r="111">
          <cell r="F111">
            <v>12600000</v>
          </cell>
        </row>
        <row r="112">
          <cell r="F112">
            <v>7500000</v>
          </cell>
        </row>
        <row r="113">
          <cell r="F113">
            <v>22000000</v>
          </cell>
        </row>
        <row r="114">
          <cell r="F114">
            <v>10000000</v>
          </cell>
        </row>
        <row r="115">
          <cell r="F115">
            <v>14500000</v>
          </cell>
        </row>
        <row r="116">
          <cell r="F116">
            <v>11250000</v>
          </cell>
        </row>
        <row r="117">
          <cell r="F117">
            <v>5400000</v>
          </cell>
        </row>
        <row r="118">
          <cell r="F118">
            <v>9200000</v>
          </cell>
        </row>
        <row r="119">
          <cell r="F119">
            <v>23800000</v>
          </cell>
        </row>
        <row r="120">
          <cell r="F120">
            <v>23800000</v>
          </cell>
        </row>
        <row r="121">
          <cell r="F121">
            <v>25650000</v>
          </cell>
        </row>
        <row r="122">
          <cell r="F122">
            <v>25100000</v>
          </cell>
        </row>
        <row r="123">
          <cell r="F123">
            <v>10230000</v>
          </cell>
        </row>
        <row r="124">
          <cell r="F124">
            <v>46850000</v>
          </cell>
        </row>
        <row r="125">
          <cell r="F125">
            <v>12150000</v>
          </cell>
        </row>
        <row r="126">
          <cell r="F126">
            <v>22400000</v>
          </cell>
        </row>
        <row r="127">
          <cell r="F127">
            <v>5700000</v>
          </cell>
        </row>
        <row r="128">
          <cell r="F128">
            <v>6800000</v>
          </cell>
        </row>
        <row r="129">
          <cell r="F129">
            <v>7800000</v>
          </cell>
        </row>
        <row r="130">
          <cell r="F130">
            <v>4500000</v>
          </cell>
        </row>
        <row r="131">
          <cell r="F131">
            <v>9400000</v>
          </cell>
        </row>
      </sheetData>
      <sheetData sheetId="3" refreshError="1">
        <row r="2">
          <cell r="D2" t="str">
            <v>F0085</v>
          </cell>
        </row>
        <row r="3">
          <cell r="D3" t="str">
            <v>F0086</v>
          </cell>
        </row>
        <row r="4">
          <cell r="D4" t="str">
            <v>F0097</v>
          </cell>
        </row>
        <row r="5">
          <cell r="D5" t="str">
            <v>F0098</v>
          </cell>
        </row>
        <row r="6">
          <cell r="D6" t="str">
            <v>F0102</v>
          </cell>
        </row>
        <row r="7">
          <cell r="D7" t="str">
            <v>F0103</v>
          </cell>
        </row>
        <row r="8">
          <cell r="D8" t="str">
            <v>F0106</v>
          </cell>
        </row>
        <row r="9">
          <cell r="D9" t="str">
            <v>F0109</v>
          </cell>
        </row>
        <row r="10">
          <cell r="D10" t="str">
            <v>F0111</v>
          </cell>
        </row>
        <row r="11">
          <cell r="D11" t="str">
            <v>F0114</v>
          </cell>
        </row>
        <row r="12">
          <cell r="D12" t="str">
            <v>F0118</v>
          </cell>
        </row>
        <row r="13">
          <cell r="D13" t="str">
            <v>F0120</v>
          </cell>
        </row>
        <row r="14">
          <cell r="D14" t="str">
            <v>F0125</v>
          </cell>
        </row>
        <row r="15">
          <cell r="D15" t="str">
            <v>F0127</v>
          </cell>
        </row>
        <row r="16">
          <cell r="D16" t="str">
            <v>F0128</v>
          </cell>
        </row>
        <row r="17">
          <cell r="D17" t="str">
            <v>F0129</v>
          </cell>
        </row>
        <row r="18">
          <cell r="D18" t="str">
            <v>F0134</v>
          </cell>
        </row>
        <row r="19">
          <cell r="D19" t="str">
            <v>F0136</v>
          </cell>
        </row>
        <row r="20">
          <cell r="D20" t="str">
            <v>F0137</v>
          </cell>
        </row>
        <row r="21">
          <cell r="D21" t="str">
            <v>F0138</v>
          </cell>
        </row>
        <row r="22">
          <cell r="D22" t="str">
            <v>F0141</v>
          </cell>
        </row>
        <row r="23">
          <cell r="D23" t="str">
            <v>F0143</v>
          </cell>
        </row>
        <row r="24">
          <cell r="D24" t="str">
            <v>F0156</v>
          </cell>
        </row>
        <row r="25">
          <cell r="D25" t="str">
            <v>F0161</v>
          </cell>
        </row>
        <row r="26">
          <cell r="D26" t="str">
            <v>F0164</v>
          </cell>
        </row>
        <row r="27">
          <cell r="D27" t="str">
            <v>F0167</v>
          </cell>
        </row>
        <row r="28">
          <cell r="D28" t="str">
            <v>F0168</v>
          </cell>
        </row>
        <row r="29">
          <cell r="D29" t="str">
            <v>F0171</v>
          </cell>
        </row>
        <row r="30">
          <cell r="D30" t="str">
            <v>F0172</v>
          </cell>
        </row>
        <row r="31">
          <cell r="D31" t="str">
            <v>F0174</v>
          </cell>
        </row>
        <row r="32">
          <cell r="D32" t="str">
            <v>F0176</v>
          </cell>
        </row>
        <row r="33">
          <cell r="D33" t="str">
            <v>F0179</v>
          </cell>
        </row>
        <row r="34">
          <cell r="D34" t="str">
            <v>F0182</v>
          </cell>
        </row>
        <row r="35">
          <cell r="D35" t="str">
            <v>F0184</v>
          </cell>
        </row>
        <row r="36">
          <cell r="D36" t="str">
            <v>F0185</v>
          </cell>
        </row>
        <row r="37">
          <cell r="D37" t="str">
            <v>F0189</v>
          </cell>
        </row>
        <row r="38">
          <cell r="D38" t="str">
            <v>F0191</v>
          </cell>
        </row>
        <row r="39">
          <cell r="D39" t="str">
            <v>F0194</v>
          </cell>
        </row>
        <row r="40">
          <cell r="D40" t="str">
            <v>F0195</v>
          </cell>
        </row>
        <row r="41">
          <cell r="D41" t="str">
            <v>F0196</v>
          </cell>
        </row>
        <row r="42">
          <cell r="D42" t="str">
            <v>F0197</v>
          </cell>
        </row>
        <row r="43">
          <cell r="D43" t="str">
            <v>F0201</v>
          </cell>
        </row>
        <row r="44">
          <cell r="D44" t="str">
            <v>F0203</v>
          </cell>
        </row>
        <row r="45">
          <cell r="D45" t="str">
            <v>F0204</v>
          </cell>
        </row>
        <row r="46">
          <cell r="D46" t="str">
            <v>F0207</v>
          </cell>
        </row>
        <row r="47">
          <cell r="D47" t="str">
            <v>F0208</v>
          </cell>
        </row>
        <row r="48">
          <cell r="D48" t="str">
            <v>F0209</v>
          </cell>
        </row>
        <row r="49">
          <cell r="D49" t="str">
            <v>F0211</v>
          </cell>
        </row>
        <row r="50">
          <cell r="D50" t="str">
            <v>F0212</v>
          </cell>
        </row>
        <row r="51">
          <cell r="D51" t="str">
            <v>F0216</v>
          </cell>
        </row>
        <row r="52">
          <cell r="D52" t="str">
            <v>F0217</v>
          </cell>
        </row>
        <row r="53">
          <cell r="D53" t="str">
            <v>F0218</v>
          </cell>
        </row>
        <row r="54">
          <cell r="D54" t="str">
            <v>F0219</v>
          </cell>
        </row>
        <row r="55">
          <cell r="D55" t="str">
            <v>F0220</v>
          </cell>
        </row>
        <row r="56">
          <cell r="D56" t="str">
            <v>F0223</v>
          </cell>
        </row>
        <row r="57">
          <cell r="D57" t="str">
            <v>F0362</v>
          </cell>
        </row>
        <row r="58">
          <cell r="D58" t="str">
            <v>I0513</v>
          </cell>
        </row>
        <row r="59">
          <cell r="D59" t="str">
            <v>F0086</v>
          </cell>
        </row>
        <row r="60">
          <cell r="D60" t="str">
            <v>F0102</v>
          </cell>
        </row>
        <row r="61">
          <cell r="D61" t="str">
            <v>F0109</v>
          </cell>
        </row>
        <row r="62">
          <cell r="D62" t="str">
            <v>F0111</v>
          </cell>
        </row>
        <row r="63">
          <cell r="D63" t="str">
            <v>F0127</v>
          </cell>
        </row>
        <row r="64">
          <cell r="D64" t="str">
            <v>F0136</v>
          </cell>
        </row>
        <row r="65">
          <cell r="D65" t="str">
            <v>F0164</v>
          </cell>
        </row>
        <row r="66">
          <cell r="D66" t="str">
            <v>F0167</v>
          </cell>
        </row>
        <row r="67">
          <cell r="D67" t="str">
            <v>F0168</v>
          </cell>
        </row>
        <row r="68">
          <cell r="D68" t="str">
            <v>F0171</v>
          </cell>
        </row>
        <row r="69">
          <cell r="D69" t="str">
            <v>F0172</v>
          </cell>
        </row>
        <row r="70">
          <cell r="D70" t="str">
            <v>F0174</v>
          </cell>
        </row>
        <row r="71">
          <cell r="D71" t="str">
            <v>F0179</v>
          </cell>
        </row>
        <row r="72">
          <cell r="D72" t="str">
            <v>F0182</v>
          </cell>
        </row>
        <row r="73">
          <cell r="D73" t="str">
            <v>F0194</v>
          </cell>
        </row>
        <row r="74">
          <cell r="D74" t="str">
            <v>F0195</v>
          </cell>
        </row>
        <row r="75">
          <cell r="D75" t="str">
            <v>F0196</v>
          </cell>
        </row>
        <row r="76">
          <cell r="D76" t="str">
            <v>F0203</v>
          </cell>
        </row>
        <row r="77">
          <cell r="D77" t="str">
            <v>F0204</v>
          </cell>
        </row>
        <row r="78">
          <cell r="D78" t="str">
            <v>F0211</v>
          </cell>
        </row>
        <row r="79">
          <cell r="D79" t="str">
            <v>F0212</v>
          </cell>
        </row>
        <row r="80">
          <cell r="D80" t="str">
            <v>F0218</v>
          </cell>
        </row>
        <row r="81">
          <cell r="D81" t="str">
            <v>F0362</v>
          </cell>
        </row>
        <row r="82">
          <cell r="D82" t="str">
            <v>I0513</v>
          </cell>
        </row>
        <row r="83">
          <cell r="D83" t="str">
            <v>I0214</v>
          </cell>
        </row>
        <row r="84">
          <cell r="D84" t="str">
            <v>I0221</v>
          </cell>
        </row>
        <row r="85">
          <cell r="D85" t="str">
            <v>I0227</v>
          </cell>
        </row>
        <row r="86">
          <cell r="D86" t="str">
            <v>I0259</v>
          </cell>
        </row>
        <row r="87">
          <cell r="D87" t="str">
            <v>I0294</v>
          </cell>
        </row>
        <row r="88">
          <cell r="D88" t="str">
            <v>I0513</v>
          </cell>
        </row>
        <row r="89">
          <cell r="D89" t="str">
            <v>I0805</v>
          </cell>
        </row>
        <row r="90">
          <cell r="D90" t="str">
            <v>I0812</v>
          </cell>
        </row>
        <row r="91">
          <cell r="D91" t="str">
            <v>I0802</v>
          </cell>
        </row>
        <row r="92">
          <cell r="D92" t="str">
            <v>I0806</v>
          </cell>
        </row>
        <row r="93">
          <cell r="D93" t="str">
            <v>I0807</v>
          </cell>
        </row>
        <row r="94">
          <cell r="D94" t="str">
            <v>I0809</v>
          </cell>
        </row>
        <row r="95">
          <cell r="D95" t="str">
            <v>I0811</v>
          </cell>
        </row>
        <row r="96">
          <cell r="D96" t="str">
            <v>I0813</v>
          </cell>
        </row>
        <row r="97">
          <cell r="D97" t="str">
            <v>I0815</v>
          </cell>
        </row>
        <row r="98">
          <cell r="D98" t="str">
            <v>I0816</v>
          </cell>
        </row>
        <row r="99">
          <cell r="D99" t="str">
            <v>I0818</v>
          </cell>
        </row>
        <row r="100">
          <cell r="D100" t="str">
            <v>I0829</v>
          </cell>
        </row>
        <row r="101">
          <cell r="D101" t="str">
            <v>I0831</v>
          </cell>
        </row>
        <row r="102">
          <cell r="D102" t="str">
            <v>I0832</v>
          </cell>
        </row>
        <row r="103">
          <cell r="D103" t="str">
            <v>I0833</v>
          </cell>
        </row>
        <row r="104">
          <cell r="D104" t="str">
            <v>I0834</v>
          </cell>
        </row>
        <row r="105">
          <cell r="D105" t="str">
            <v>I0836</v>
          </cell>
        </row>
        <row r="106">
          <cell r="D106" t="str">
            <v>I0837</v>
          </cell>
        </row>
        <row r="107">
          <cell r="D107" t="str">
            <v>I0838</v>
          </cell>
        </row>
        <row r="108">
          <cell r="D108" t="str">
            <v>I0839</v>
          </cell>
        </row>
        <row r="109">
          <cell r="D109" t="str">
            <v>I0840</v>
          </cell>
        </row>
        <row r="110">
          <cell r="D110" t="str">
            <v>I0402</v>
          </cell>
        </row>
        <row r="111">
          <cell r="D111" t="str">
            <v>I0428</v>
          </cell>
        </row>
        <row r="112">
          <cell r="D112" t="str">
            <v>I0447</v>
          </cell>
        </row>
        <row r="113">
          <cell r="D113" t="str">
            <v>I0461</v>
          </cell>
        </row>
        <row r="114">
          <cell r="D114" t="str">
            <v>I0466</v>
          </cell>
        </row>
        <row r="115">
          <cell r="D115" t="str">
            <v>I0400</v>
          </cell>
        </row>
        <row r="116">
          <cell r="D116" t="str">
            <v>I0427</v>
          </cell>
        </row>
        <row r="117">
          <cell r="D117" t="str">
            <v>I0519</v>
          </cell>
        </row>
        <row r="118">
          <cell r="D118" t="str">
            <v>I0814</v>
          </cell>
        </row>
        <row r="119">
          <cell r="D119" t="str">
            <v>I0835</v>
          </cell>
        </row>
        <row r="120">
          <cell r="D120" t="str">
            <v>I0214</v>
          </cell>
        </row>
        <row r="121">
          <cell r="D121" t="str">
            <v>I0221</v>
          </cell>
        </row>
        <row r="122">
          <cell r="D122" t="str">
            <v>I0227</v>
          </cell>
        </row>
        <row r="123">
          <cell r="D123" t="str">
            <v>I0259</v>
          </cell>
        </row>
        <row r="124">
          <cell r="D124" t="str">
            <v>I0294</v>
          </cell>
        </row>
        <row r="125">
          <cell r="D125" t="str">
            <v>I0513</v>
          </cell>
        </row>
        <row r="126">
          <cell r="D126" t="str">
            <v>I0805</v>
          </cell>
        </row>
        <row r="127">
          <cell r="D127" t="str">
            <v>I0812</v>
          </cell>
        </row>
        <row r="128">
          <cell r="D128" t="str">
            <v>I0802</v>
          </cell>
        </row>
        <row r="129">
          <cell r="D129" t="str">
            <v>I0806</v>
          </cell>
        </row>
        <row r="130">
          <cell r="D130" t="str">
            <v>I0807</v>
          </cell>
        </row>
        <row r="131">
          <cell r="D131" t="str">
            <v>I0809</v>
          </cell>
        </row>
        <row r="132">
          <cell r="D132" t="str">
            <v>I0811</v>
          </cell>
        </row>
        <row r="133">
          <cell r="D133" t="str">
            <v>I0813</v>
          </cell>
        </row>
        <row r="134">
          <cell r="D134" t="str">
            <v>I0815</v>
          </cell>
        </row>
        <row r="135">
          <cell r="D135" t="str">
            <v>I0816</v>
          </cell>
        </row>
        <row r="136">
          <cell r="D136" t="str">
            <v>I0818</v>
          </cell>
        </row>
        <row r="137">
          <cell r="D137" t="str">
            <v>I0829</v>
          </cell>
        </row>
        <row r="138">
          <cell r="D138" t="str">
            <v>I0831</v>
          </cell>
        </row>
        <row r="139">
          <cell r="D139" t="str">
            <v>I0832</v>
          </cell>
        </row>
        <row r="140">
          <cell r="D140" t="str">
            <v>I0833</v>
          </cell>
        </row>
        <row r="141">
          <cell r="D141" t="str">
            <v>I0834</v>
          </cell>
        </row>
        <row r="142">
          <cell r="D142" t="str">
            <v>I0836</v>
          </cell>
        </row>
        <row r="143">
          <cell r="D143" t="str">
            <v>I0837</v>
          </cell>
        </row>
        <row r="144">
          <cell r="D144" t="str">
            <v>I0838</v>
          </cell>
        </row>
        <row r="145">
          <cell r="D145" t="str">
            <v>I0839</v>
          </cell>
        </row>
        <row r="146">
          <cell r="D146" t="str">
            <v>I0840</v>
          </cell>
        </row>
        <row r="147">
          <cell r="D147" t="str">
            <v>I0244</v>
          </cell>
        </row>
        <row r="148">
          <cell r="D148" t="str">
            <v>I0246</v>
          </cell>
        </row>
        <row r="149">
          <cell r="D149" t="str">
            <v>I0402</v>
          </cell>
        </row>
        <row r="150">
          <cell r="D150" t="str">
            <v>I0428</v>
          </cell>
        </row>
        <row r="151">
          <cell r="D151" t="str">
            <v>I0447</v>
          </cell>
        </row>
        <row r="152">
          <cell r="D152" t="str">
            <v>I0461</v>
          </cell>
        </row>
        <row r="153">
          <cell r="D153" t="str">
            <v>I0466</v>
          </cell>
        </row>
        <row r="154">
          <cell r="D154" t="str">
            <v>I0400</v>
          </cell>
        </row>
        <row r="155">
          <cell r="D155" t="str">
            <v>I0427</v>
          </cell>
        </row>
        <row r="156">
          <cell r="D156" t="str">
            <v>I0519</v>
          </cell>
        </row>
        <row r="157">
          <cell r="D157" t="str">
            <v>I0814</v>
          </cell>
        </row>
        <row r="158">
          <cell r="D158" t="str">
            <v>I0835</v>
          </cell>
        </row>
        <row r="159">
          <cell r="D159" t="str">
            <v>I0132</v>
          </cell>
        </row>
        <row r="160">
          <cell r="D160" t="str">
            <v>I0134</v>
          </cell>
        </row>
        <row r="161">
          <cell r="D161" t="str">
            <v>I0136</v>
          </cell>
        </row>
        <row r="162">
          <cell r="D162" t="str">
            <v>I0142</v>
          </cell>
        </row>
        <row r="163">
          <cell r="D163" t="str">
            <v>I0150</v>
          </cell>
        </row>
        <row r="164">
          <cell r="D164" t="str">
            <v>I0153</v>
          </cell>
        </row>
        <row r="165">
          <cell r="D165" t="str">
            <v>I0157</v>
          </cell>
        </row>
        <row r="166">
          <cell r="D166" t="str">
            <v>I0161</v>
          </cell>
        </row>
        <row r="167">
          <cell r="D167" t="str">
            <v>I0166</v>
          </cell>
        </row>
        <row r="168">
          <cell r="D168" t="str">
            <v>I0187</v>
          </cell>
        </row>
        <row r="169">
          <cell r="D169" t="str">
            <v>I0203</v>
          </cell>
        </row>
        <row r="170">
          <cell r="D170" t="str">
            <v>I0209</v>
          </cell>
        </row>
        <row r="171">
          <cell r="D171" t="str">
            <v>I0214</v>
          </cell>
        </row>
        <row r="172">
          <cell r="D172" t="str">
            <v>I0221</v>
          </cell>
        </row>
        <row r="173">
          <cell r="D173" t="str">
            <v>I0227</v>
          </cell>
        </row>
        <row r="174">
          <cell r="D174" t="str">
            <v>I0240</v>
          </cell>
        </row>
        <row r="175">
          <cell r="D175" t="str">
            <v>I0241</v>
          </cell>
        </row>
        <row r="176">
          <cell r="D176" t="str">
            <v>I0259</v>
          </cell>
        </row>
        <row r="177">
          <cell r="D177" t="str">
            <v>I0294</v>
          </cell>
        </row>
        <row r="178">
          <cell r="D178" t="str">
            <v>I0428</v>
          </cell>
        </row>
        <row r="179">
          <cell r="D179" t="str">
            <v>I0447</v>
          </cell>
        </row>
        <row r="180">
          <cell r="D180" t="str">
            <v>I0805</v>
          </cell>
        </row>
        <row r="181">
          <cell r="D181" t="str">
            <v>I0812</v>
          </cell>
        </row>
        <row r="182">
          <cell r="D182" t="str">
            <v>I0802</v>
          </cell>
        </row>
        <row r="183">
          <cell r="D183" t="str">
            <v>I0807</v>
          </cell>
        </row>
        <row r="184">
          <cell r="D184" t="str">
            <v>I0809</v>
          </cell>
        </row>
        <row r="185">
          <cell r="D185" t="str">
            <v>I0811</v>
          </cell>
        </row>
        <row r="186">
          <cell r="D186" t="str">
            <v>I0813</v>
          </cell>
        </row>
        <row r="187">
          <cell r="D187" t="str">
            <v>I0815</v>
          </cell>
        </row>
        <row r="188">
          <cell r="D188" t="str">
            <v>I0816</v>
          </cell>
        </row>
        <row r="189">
          <cell r="D189" t="str">
            <v>I0818</v>
          </cell>
        </row>
        <row r="190">
          <cell r="D190" t="str">
            <v>I0831</v>
          </cell>
        </row>
        <row r="191">
          <cell r="D191" t="str">
            <v>I0832</v>
          </cell>
        </row>
        <row r="192">
          <cell r="D192" t="str">
            <v>I0836</v>
          </cell>
        </row>
        <row r="193">
          <cell r="D193" t="str">
            <v>I0138</v>
          </cell>
        </row>
        <row r="194">
          <cell r="D194" t="str">
            <v>I0144</v>
          </cell>
        </row>
        <row r="195">
          <cell r="D195" t="str">
            <v>I0206</v>
          </cell>
        </row>
        <row r="196">
          <cell r="D196" t="str">
            <v>I0244</v>
          </cell>
        </row>
        <row r="197">
          <cell r="D197" t="str">
            <v>I0245</v>
          </cell>
        </row>
        <row r="198">
          <cell r="D198" t="str">
            <v>I0246</v>
          </cell>
        </row>
        <row r="199">
          <cell r="D199" t="str">
            <v>I0402</v>
          </cell>
        </row>
        <row r="200">
          <cell r="D200" t="str">
            <v>I0428</v>
          </cell>
        </row>
        <row r="201">
          <cell r="D201" t="str">
            <v>I0447</v>
          </cell>
        </row>
        <row r="202">
          <cell r="D202" t="str">
            <v>I0461</v>
          </cell>
        </row>
        <row r="203">
          <cell r="D203" t="str">
            <v>I0466</v>
          </cell>
        </row>
        <row r="204">
          <cell r="D204" t="str">
            <v>F0174</v>
          </cell>
        </row>
        <row r="205">
          <cell r="D205" t="str">
            <v>F0204</v>
          </cell>
        </row>
        <row r="206">
          <cell r="D206" t="str">
            <v>F0305</v>
          </cell>
        </row>
        <row r="207">
          <cell r="D207" t="str">
            <v>I0132</v>
          </cell>
        </row>
        <row r="208">
          <cell r="D208" t="str">
            <v>I0134</v>
          </cell>
        </row>
        <row r="209">
          <cell r="D209" t="str">
            <v>I0136</v>
          </cell>
        </row>
        <row r="210">
          <cell r="D210" t="str">
            <v>I0142</v>
          </cell>
        </row>
        <row r="211">
          <cell r="D211" t="str">
            <v>I0145</v>
          </cell>
        </row>
        <row r="212">
          <cell r="D212" t="str">
            <v>I0150</v>
          </cell>
        </row>
        <row r="213">
          <cell r="D213" t="str">
            <v>I0153</v>
          </cell>
        </row>
        <row r="214">
          <cell r="D214" t="str">
            <v>I0157</v>
          </cell>
        </row>
        <row r="215">
          <cell r="D215" t="str">
            <v>I0161</v>
          </cell>
        </row>
        <row r="216">
          <cell r="D216" t="str">
            <v>I0166</v>
          </cell>
        </row>
        <row r="217">
          <cell r="D217" t="str">
            <v>I0187</v>
          </cell>
        </row>
        <row r="218">
          <cell r="D218" t="str">
            <v>I0203</v>
          </cell>
        </row>
        <row r="219">
          <cell r="D219" t="str">
            <v>I0209</v>
          </cell>
        </row>
        <row r="220">
          <cell r="D220" t="str">
            <v>I0210</v>
          </cell>
        </row>
        <row r="221">
          <cell r="D221" t="str">
            <v>I0240</v>
          </cell>
        </row>
        <row r="222">
          <cell r="D222" t="str">
            <v>I0241</v>
          </cell>
        </row>
        <row r="223">
          <cell r="D223" t="str">
            <v>I0138</v>
          </cell>
        </row>
        <row r="224">
          <cell r="D224" t="str">
            <v>I0144</v>
          </cell>
        </row>
        <row r="225">
          <cell r="D225" t="str">
            <v>I0244</v>
          </cell>
        </row>
        <row r="226">
          <cell r="D226" t="str">
            <v>I0246</v>
          </cell>
        </row>
        <row r="227">
          <cell r="D227" t="str">
            <v>I0271</v>
          </cell>
        </row>
        <row r="228">
          <cell r="D228" t="str">
            <v>I0132</v>
          </cell>
        </row>
        <row r="229">
          <cell r="D229" t="str">
            <v>I0134</v>
          </cell>
        </row>
        <row r="230">
          <cell r="D230" t="str">
            <v>I0136</v>
          </cell>
        </row>
        <row r="231">
          <cell r="D231" t="str">
            <v>I0142</v>
          </cell>
        </row>
        <row r="232">
          <cell r="D232" t="str">
            <v>I0145</v>
          </cell>
        </row>
        <row r="233">
          <cell r="D233" t="str">
            <v>I0150</v>
          </cell>
        </row>
        <row r="234">
          <cell r="D234" t="str">
            <v>I0153</v>
          </cell>
        </row>
        <row r="235">
          <cell r="D235" t="str">
            <v>I0157</v>
          </cell>
        </row>
        <row r="236">
          <cell r="D236" t="str">
            <v>I0161</v>
          </cell>
        </row>
        <row r="237">
          <cell r="D237" t="str">
            <v>I0166</v>
          </cell>
        </row>
        <row r="238">
          <cell r="D238" t="str">
            <v>I0187</v>
          </cell>
        </row>
        <row r="239">
          <cell r="D239" t="str">
            <v>I0203</v>
          </cell>
        </row>
        <row r="240">
          <cell r="D240" t="str">
            <v>I0209</v>
          </cell>
        </row>
        <row r="241">
          <cell r="D241" t="str">
            <v>I0210</v>
          </cell>
        </row>
        <row r="242">
          <cell r="D242" t="str">
            <v>I0240</v>
          </cell>
        </row>
        <row r="243">
          <cell r="D243" t="str">
            <v>I0241</v>
          </cell>
        </row>
        <row r="244">
          <cell r="D244" t="str">
            <v>I0138</v>
          </cell>
        </row>
        <row r="245">
          <cell r="D245" t="str">
            <v>I0144</v>
          </cell>
        </row>
        <row r="246">
          <cell r="D246" t="str">
            <v>I0206</v>
          </cell>
        </row>
        <row r="247">
          <cell r="D247" t="str">
            <v>I0244</v>
          </cell>
        </row>
        <row r="248">
          <cell r="D248" t="str">
            <v>I0245</v>
          </cell>
        </row>
        <row r="249">
          <cell r="D249" t="str">
            <v>I0246</v>
          </cell>
        </row>
        <row r="250">
          <cell r="D250" t="str">
            <v>I0271</v>
          </cell>
        </row>
        <row r="251">
          <cell r="D251" t="str">
            <v>F0085</v>
          </cell>
        </row>
        <row r="252">
          <cell r="D252" t="str">
            <v>F0118</v>
          </cell>
        </row>
        <row r="253">
          <cell r="D253" t="str">
            <v>F0127</v>
          </cell>
        </row>
        <row r="254">
          <cell r="D254" t="str">
            <v>F0164</v>
          </cell>
        </row>
        <row r="255">
          <cell r="D255" t="str">
            <v>F0168</v>
          </cell>
        </row>
        <row r="256">
          <cell r="D256" t="str">
            <v>F0174</v>
          </cell>
        </row>
        <row r="257">
          <cell r="D257" t="str">
            <v>F0179</v>
          </cell>
        </row>
        <row r="258">
          <cell r="D258" t="str">
            <v>F0189</v>
          </cell>
        </row>
        <row r="259">
          <cell r="D259" t="str">
            <v>F0195</v>
          </cell>
        </row>
        <row r="260">
          <cell r="D260" t="str">
            <v>F0203</v>
          </cell>
        </row>
        <row r="261">
          <cell r="D261" t="str">
            <v>F0207</v>
          </cell>
        </row>
        <row r="262">
          <cell r="D262" t="str">
            <v>F0216</v>
          </cell>
        </row>
        <row r="263">
          <cell r="D263" t="str">
            <v>F0219</v>
          </cell>
        </row>
        <row r="264">
          <cell r="D264" t="str">
            <v>F0302</v>
          </cell>
        </row>
        <row r="265">
          <cell r="D265" t="str">
            <v>F0303</v>
          </cell>
        </row>
        <row r="266">
          <cell r="D266" t="str">
            <v>F0305</v>
          </cell>
        </row>
        <row r="267">
          <cell r="D267" t="str">
            <v>F0306</v>
          </cell>
        </row>
        <row r="268">
          <cell r="D268" t="str">
            <v>F0127</v>
          </cell>
        </row>
        <row r="269">
          <cell r="D269" t="str">
            <v>F0174</v>
          </cell>
        </row>
        <row r="270">
          <cell r="D270" t="str">
            <v>F0189</v>
          </cell>
        </row>
        <row r="271">
          <cell r="D271" t="str">
            <v>F0195</v>
          </cell>
        </row>
        <row r="272">
          <cell r="D272" t="str">
            <v>F0203</v>
          </cell>
        </row>
        <row r="273">
          <cell r="D273" t="str">
            <v>F0204</v>
          </cell>
        </row>
        <row r="274">
          <cell r="D274" t="str">
            <v>F0305</v>
          </cell>
        </row>
        <row r="275">
          <cell r="D275" t="str">
            <v>I0818</v>
          </cell>
        </row>
        <row r="276">
          <cell r="D276" t="str">
            <v>I0835</v>
          </cell>
        </row>
        <row r="277">
          <cell r="D277" t="str">
            <v>I0132</v>
          </cell>
        </row>
        <row r="278">
          <cell r="D278" t="str">
            <v>I0240</v>
          </cell>
        </row>
        <row r="279">
          <cell r="D279" t="str">
            <v>I0816</v>
          </cell>
        </row>
        <row r="280">
          <cell r="D280" t="str">
            <v>I0818</v>
          </cell>
        </row>
        <row r="281">
          <cell r="D281" t="str">
            <v>I0244</v>
          </cell>
        </row>
        <row r="282">
          <cell r="D282" t="str">
            <v>I0428</v>
          </cell>
        </row>
        <row r="283">
          <cell r="D283" t="str">
            <v>I0816</v>
          </cell>
        </row>
        <row r="284">
          <cell r="D284" t="str">
            <v>I0835</v>
          </cell>
        </row>
        <row r="285">
          <cell r="D285" t="str">
            <v>F0086</v>
          </cell>
        </row>
        <row r="286">
          <cell r="D286" t="str">
            <v>F0102</v>
          </cell>
        </row>
        <row r="287">
          <cell r="D287" t="str">
            <v>F0109</v>
          </cell>
        </row>
        <row r="288">
          <cell r="D288" t="str">
            <v>F0111</v>
          </cell>
        </row>
        <row r="289">
          <cell r="D289" t="str">
            <v>F0127</v>
          </cell>
        </row>
        <row r="290">
          <cell r="D290" t="str">
            <v>F0136</v>
          </cell>
        </row>
        <row r="291">
          <cell r="D291" t="str">
            <v>F0164</v>
          </cell>
        </row>
        <row r="292">
          <cell r="D292" t="str">
            <v>F0167</v>
          </cell>
        </row>
        <row r="293">
          <cell r="D293" t="str">
            <v>F0168</v>
          </cell>
        </row>
        <row r="294">
          <cell r="D294" t="str">
            <v>F0171</v>
          </cell>
        </row>
        <row r="295">
          <cell r="D295" t="str">
            <v>F0172</v>
          </cell>
        </row>
        <row r="296">
          <cell r="D296" t="str">
            <v>F0174</v>
          </cell>
        </row>
        <row r="297">
          <cell r="D297" t="str">
            <v>F0179</v>
          </cell>
        </row>
        <row r="298">
          <cell r="D298" t="str">
            <v>F0182</v>
          </cell>
        </row>
        <row r="299">
          <cell r="D299" t="str">
            <v>F0194</v>
          </cell>
        </row>
        <row r="300">
          <cell r="D300" t="str">
            <v>F0195</v>
          </cell>
        </row>
        <row r="301">
          <cell r="D301" t="str">
            <v>F0196</v>
          </cell>
        </row>
        <row r="302">
          <cell r="D302" t="str">
            <v>F0203</v>
          </cell>
        </row>
        <row r="303">
          <cell r="D303" t="str">
            <v>F0204</v>
          </cell>
        </row>
        <row r="304">
          <cell r="D304" t="str">
            <v>F0211</v>
          </cell>
        </row>
        <row r="305">
          <cell r="D305" t="str">
            <v>F0212</v>
          </cell>
        </row>
        <row r="306">
          <cell r="D306" t="str">
            <v>F0218</v>
          </cell>
        </row>
        <row r="307">
          <cell r="D307" t="str">
            <v>F0362</v>
          </cell>
        </row>
        <row r="308">
          <cell r="D308" t="str">
            <v>I0132</v>
          </cell>
        </row>
        <row r="309">
          <cell r="D309" t="str">
            <v>I0134</v>
          </cell>
        </row>
        <row r="310">
          <cell r="D310" t="str">
            <v>I0136</v>
          </cell>
        </row>
        <row r="311">
          <cell r="D311" t="str">
            <v>I0142</v>
          </cell>
        </row>
        <row r="312">
          <cell r="D312" t="str">
            <v>I0145</v>
          </cell>
        </row>
        <row r="313">
          <cell r="D313" t="str">
            <v>I0150</v>
          </cell>
        </row>
        <row r="314">
          <cell r="D314" t="str">
            <v>I0153</v>
          </cell>
        </row>
        <row r="315">
          <cell r="D315" t="str">
            <v>I0157</v>
          </cell>
        </row>
        <row r="316">
          <cell r="D316" t="str">
            <v>I0161</v>
          </cell>
        </row>
        <row r="317">
          <cell r="D317" t="str">
            <v>I0166</v>
          </cell>
        </row>
        <row r="318">
          <cell r="D318" t="str">
            <v>I0187</v>
          </cell>
        </row>
        <row r="319">
          <cell r="D319" t="str">
            <v>I0203</v>
          </cell>
        </row>
        <row r="320">
          <cell r="D320" t="str">
            <v>I0209</v>
          </cell>
        </row>
        <row r="321">
          <cell r="D321" t="str">
            <v>I0210</v>
          </cell>
        </row>
        <row r="322">
          <cell r="D322" t="str">
            <v>I0240</v>
          </cell>
        </row>
        <row r="323">
          <cell r="D323" t="str">
            <v>I0241</v>
          </cell>
        </row>
        <row r="324">
          <cell r="D324" t="str">
            <v>I9201</v>
          </cell>
        </row>
        <row r="325">
          <cell r="D325" t="str">
            <v>I0138</v>
          </cell>
        </row>
        <row r="326">
          <cell r="D326" t="str">
            <v>I0144</v>
          </cell>
        </row>
        <row r="327">
          <cell r="D327" t="str">
            <v>I0206</v>
          </cell>
        </row>
        <row r="328">
          <cell r="D328" t="str">
            <v>I0244</v>
          </cell>
        </row>
        <row r="329">
          <cell r="D329" t="str">
            <v>I0245</v>
          </cell>
        </row>
        <row r="330">
          <cell r="D330" t="str">
            <v>I0246</v>
          </cell>
        </row>
        <row r="331">
          <cell r="D331" t="str">
            <v>I0271</v>
          </cell>
        </row>
        <row r="332">
          <cell r="D332" t="str">
            <v>I9201</v>
          </cell>
        </row>
        <row r="333">
          <cell r="D333" t="str">
            <v>F0085</v>
          </cell>
        </row>
        <row r="334">
          <cell r="D334" t="str">
            <v>F0118</v>
          </cell>
        </row>
        <row r="335">
          <cell r="D335" t="str">
            <v>F0127</v>
          </cell>
        </row>
        <row r="336">
          <cell r="D336" t="str">
            <v>F0164</v>
          </cell>
        </row>
        <row r="337">
          <cell r="D337" t="str">
            <v>F0168</v>
          </cell>
        </row>
        <row r="338">
          <cell r="D338" t="str">
            <v>F0174</v>
          </cell>
        </row>
        <row r="339">
          <cell r="D339" t="str">
            <v>F0179</v>
          </cell>
        </row>
        <row r="340">
          <cell r="D340" t="str">
            <v>F0189</v>
          </cell>
        </row>
        <row r="341">
          <cell r="D341" t="str">
            <v>F0195</v>
          </cell>
        </row>
        <row r="342">
          <cell r="D342" t="str">
            <v>F0203</v>
          </cell>
        </row>
        <row r="343">
          <cell r="D343" t="str">
            <v>F0207</v>
          </cell>
        </row>
        <row r="344">
          <cell r="D344" t="str">
            <v>F0216</v>
          </cell>
        </row>
        <row r="345">
          <cell r="D345" t="str">
            <v>F0219</v>
          </cell>
        </row>
        <row r="346">
          <cell r="D346" t="str">
            <v>F0302</v>
          </cell>
        </row>
        <row r="347">
          <cell r="D347" t="str">
            <v>F0303</v>
          </cell>
        </row>
        <row r="348">
          <cell r="D348" t="str">
            <v>F0305</v>
          </cell>
        </row>
        <row r="349">
          <cell r="D349" t="str">
            <v>F0306</v>
          </cell>
        </row>
        <row r="350">
          <cell r="D350" t="str">
            <v>F0127</v>
          </cell>
        </row>
        <row r="351">
          <cell r="D351" t="str">
            <v>F0174</v>
          </cell>
        </row>
        <row r="352">
          <cell r="D352" t="str">
            <v>F0189</v>
          </cell>
        </row>
        <row r="353">
          <cell r="D353" t="str">
            <v>F0195</v>
          </cell>
        </row>
        <row r="354">
          <cell r="D354" t="str">
            <v>F0203</v>
          </cell>
        </row>
        <row r="355">
          <cell r="D355" t="str">
            <v>F0204</v>
          </cell>
        </row>
        <row r="356">
          <cell r="D356" t="str">
            <v>F0305</v>
          </cell>
        </row>
        <row r="357">
          <cell r="D357" t="str">
            <v>I9201</v>
          </cell>
        </row>
        <row r="358">
          <cell r="D358" t="str">
            <v>I0214</v>
          </cell>
        </row>
        <row r="359">
          <cell r="D359" t="str">
            <v>I0221</v>
          </cell>
        </row>
        <row r="360">
          <cell r="D360" t="str">
            <v>I0227</v>
          </cell>
        </row>
        <row r="361">
          <cell r="D361" t="str">
            <v>I0259</v>
          </cell>
        </row>
        <row r="362">
          <cell r="D362" t="str">
            <v>I0294</v>
          </cell>
        </row>
        <row r="363">
          <cell r="D363" t="str">
            <v>I0513</v>
          </cell>
        </row>
        <row r="364">
          <cell r="D364" t="str">
            <v>I0805</v>
          </cell>
        </row>
        <row r="365">
          <cell r="D365" t="str">
            <v>I0812</v>
          </cell>
        </row>
        <row r="366">
          <cell r="D366" t="str">
            <v>I0802</v>
          </cell>
        </row>
        <row r="367">
          <cell r="D367" t="str">
            <v>I0806</v>
          </cell>
        </row>
        <row r="368">
          <cell r="D368" t="str">
            <v>I0807</v>
          </cell>
        </row>
        <row r="369">
          <cell r="D369" t="str">
            <v>I0809</v>
          </cell>
        </row>
        <row r="370">
          <cell r="D370" t="str">
            <v>I0811</v>
          </cell>
        </row>
        <row r="371">
          <cell r="D371" t="str">
            <v>I0813</v>
          </cell>
        </row>
        <row r="372">
          <cell r="D372" t="str">
            <v>I0815</v>
          </cell>
        </row>
        <row r="373">
          <cell r="D373" t="str">
            <v>I0816</v>
          </cell>
        </row>
        <row r="374">
          <cell r="D374" t="str">
            <v>I0818</v>
          </cell>
        </row>
        <row r="375">
          <cell r="D375" t="str">
            <v>I0829</v>
          </cell>
        </row>
        <row r="376">
          <cell r="D376" t="str">
            <v>I0831</v>
          </cell>
        </row>
        <row r="377">
          <cell r="D377" t="str">
            <v>I0832</v>
          </cell>
        </row>
        <row r="378">
          <cell r="D378" t="str">
            <v>I0833</v>
          </cell>
        </row>
        <row r="379">
          <cell r="D379" t="str">
            <v>I0834</v>
          </cell>
        </row>
        <row r="380">
          <cell r="D380" t="str">
            <v>I0836</v>
          </cell>
        </row>
        <row r="381">
          <cell r="D381" t="str">
            <v>I0837</v>
          </cell>
        </row>
        <row r="382">
          <cell r="D382" t="str">
            <v>I0838</v>
          </cell>
        </row>
        <row r="383">
          <cell r="D383" t="str">
            <v>I0839</v>
          </cell>
        </row>
        <row r="384">
          <cell r="D384" t="str">
            <v>I0840</v>
          </cell>
        </row>
        <row r="385">
          <cell r="D385" t="str">
            <v>I0214</v>
          </cell>
        </row>
        <row r="386">
          <cell r="D386" t="str">
            <v>I0244</v>
          </cell>
        </row>
        <row r="387">
          <cell r="D387" t="str">
            <v>I0246</v>
          </cell>
        </row>
        <row r="388">
          <cell r="D388" t="str">
            <v>I0402</v>
          </cell>
        </row>
        <row r="389">
          <cell r="D389" t="str">
            <v>I0428</v>
          </cell>
        </row>
        <row r="390">
          <cell r="D390" t="str">
            <v>I0447</v>
          </cell>
        </row>
        <row r="391">
          <cell r="D391" t="str">
            <v>I0461</v>
          </cell>
        </row>
        <row r="392">
          <cell r="D392" t="str">
            <v>I0466</v>
          </cell>
        </row>
        <row r="393">
          <cell r="D393" t="str">
            <v>I9201</v>
          </cell>
        </row>
        <row r="394">
          <cell r="D394" t="str">
            <v>I0400</v>
          </cell>
        </row>
        <row r="395">
          <cell r="D395" t="str">
            <v>I0427</v>
          </cell>
        </row>
        <row r="396">
          <cell r="D396" t="str">
            <v>I0519</v>
          </cell>
        </row>
        <row r="397">
          <cell r="D397" t="str">
            <v>I0814</v>
          </cell>
        </row>
        <row r="398">
          <cell r="D398" t="str">
            <v>I0835</v>
          </cell>
        </row>
        <row r="399">
          <cell r="D399" t="str">
            <v>I0132</v>
          </cell>
        </row>
        <row r="400">
          <cell r="D400" t="str">
            <v>I0134</v>
          </cell>
        </row>
        <row r="401">
          <cell r="D401" t="str">
            <v>I0136</v>
          </cell>
        </row>
        <row r="402">
          <cell r="D402" t="str">
            <v>I0142</v>
          </cell>
        </row>
        <row r="403">
          <cell r="D403" t="str">
            <v>I0150</v>
          </cell>
        </row>
        <row r="404">
          <cell r="D404" t="str">
            <v>I0153</v>
          </cell>
        </row>
        <row r="405">
          <cell r="D405" t="str">
            <v>I0157</v>
          </cell>
        </row>
        <row r="406">
          <cell r="D406" t="str">
            <v>I0161</v>
          </cell>
        </row>
        <row r="407">
          <cell r="D407" t="str">
            <v>I0166</v>
          </cell>
        </row>
        <row r="408">
          <cell r="D408" t="str">
            <v>I0187</v>
          </cell>
        </row>
        <row r="409">
          <cell r="D409" t="str">
            <v>I0203</v>
          </cell>
        </row>
        <row r="410">
          <cell r="D410" t="str">
            <v>I0209</v>
          </cell>
        </row>
        <row r="411">
          <cell r="D411" t="str">
            <v>I0214</v>
          </cell>
        </row>
        <row r="412">
          <cell r="D412" t="str">
            <v>I0221</v>
          </cell>
        </row>
        <row r="413">
          <cell r="D413" t="str">
            <v>I0227</v>
          </cell>
        </row>
        <row r="414">
          <cell r="D414" t="str">
            <v>I0240</v>
          </cell>
        </row>
        <row r="415">
          <cell r="D415" t="str">
            <v>I0241</v>
          </cell>
        </row>
        <row r="416">
          <cell r="D416" t="str">
            <v>I0259</v>
          </cell>
        </row>
        <row r="417">
          <cell r="D417" t="str">
            <v>I0294</v>
          </cell>
        </row>
        <row r="418">
          <cell r="D418" t="str">
            <v>I0428</v>
          </cell>
        </row>
        <row r="419">
          <cell r="D419" t="str">
            <v>I0447</v>
          </cell>
        </row>
        <row r="420">
          <cell r="D420" t="str">
            <v>I0805</v>
          </cell>
        </row>
        <row r="421">
          <cell r="D421" t="str">
            <v>I0812</v>
          </cell>
        </row>
        <row r="422">
          <cell r="D422" t="str">
            <v>I9201</v>
          </cell>
        </row>
        <row r="423">
          <cell r="D423" t="str">
            <v>I0802</v>
          </cell>
        </row>
        <row r="424">
          <cell r="D424" t="str">
            <v>I0807</v>
          </cell>
        </row>
        <row r="425">
          <cell r="D425" t="str">
            <v>I0809</v>
          </cell>
        </row>
        <row r="426">
          <cell r="D426" t="str">
            <v>I0811</v>
          </cell>
        </row>
        <row r="427">
          <cell r="D427" t="str">
            <v>I0813</v>
          </cell>
        </row>
        <row r="428">
          <cell r="D428" t="str">
            <v>I0815</v>
          </cell>
        </row>
        <row r="429">
          <cell r="D429" t="str">
            <v>I0816</v>
          </cell>
        </row>
        <row r="430">
          <cell r="D430" t="str">
            <v>I0818</v>
          </cell>
        </row>
        <row r="431">
          <cell r="D431" t="str">
            <v>I0831</v>
          </cell>
        </row>
        <row r="432">
          <cell r="D432" t="str">
            <v>I0832</v>
          </cell>
        </row>
        <row r="433">
          <cell r="D433" t="str">
            <v>I0836</v>
          </cell>
        </row>
        <row r="434">
          <cell r="D434" t="str">
            <v>I0138</v>
          </cell>
        </row>
        <row r="435">
          <cell r="D435" t="str">
            <v>I0144</v>
          </cell>
        </row>
        <row r="436">
          <cell r="D436" t="str">
            <v>I0206</v>
          </cell>
        </row>
        <row r="437">
          <cell r="D437" t="str">
            <v>I0244</v>
          </cell>
        </row>
        <row r="438">
          <cell r="D438" t="str">
            <v>I0245</v>
          </cell>
        </row>
        <row r="439">
          <cell r="D439" t="str">
            <v>I0246</v>
          </cell>
        </row>
        <row r="440">
          <cell r="D440" t="str">
            <v>I0402</v>
          </cell>
        </row>
        <row r="441">
          <cell r="D441" t="str">
            <v>I0428</v>
          </cell>
        </row>
        <row r="442">
          <cell r="D442" t="str">
            <v>I0447</v>
          </cell>
        </row>
        <row r="443">
          <cell r="D443" t="str">
            <v>I0461</v>
          </cell>
        </row>
        <row r="444">
          <cell r="D444" t="str">
            <v>I0466</v>
          </cell>
        </row>
        <row r="445">
          <cell r="D445" t="str">
            <v>I9201</v>
          </cell>
        </row>
        <row r="446">
          <cell r="D446" t="str">
            <v>I0132</v>
          </cell>
        </row>
        <row r="447">
          <cell r="D447" t="str">
            <v>I0134</v>
          </cell>
        </row>
        <row r="448">
          <cell r="D448" t="str">
            <v>I0136</v>
          </cell>
        </row>
        <row r="449">
          <cell r="D449" t="str">
            <v>I0142</v>
          </cell>
        </row>
        <row r="450">
          <cell r="D450" t="str">
            <v>I0145</v>
          </cell>
        </row>
        <row r="451">
          <cell r="D451" t="str">
            <v>I0150</v>
          </cell>
        </row>
        <row r="452">
          <cell r="D452" t="str">
            <v>I0153</v>
          </cell>
        </row>
        <row r="453">
          <cell r="D453" t="str">
            <v>I0157</v>
          </cell>
        </row>
        <row r="454">
          <cell r="D454" t="str">
            <v>I0161</v>
          </cell>
        </row>
        <row r="455">
          <cell r="D455" t="str">
            <v>I0166</v>
          </cell>
        </row>
        <row r="456">
          <cell r="D456" t="str">
            <v>I0187</v>
          </cell>
        </row>
        <row r="457">
          <cell r="D457" t="str">
            <v>I0203</v>
          </cell>
        </row>
        <row r="458">
          <cell r="D458" t="str">
            <v>I0209</v>
          </cell>
        </row>
        <row r="459">
          <cell r="D459" t="str">
            <v>I0210</v>
          </cell>
        </row>
        <row r="460">
          <cell r="D460" t="str">
            <v>I0240</v>
          </cell>
        </row>
        <row r="461">
          <cell r="D461" t="str">
            <v>I0241</v>
          </cell>
        </row>
        <row r="462">
          <cell r="D462" t="str">
            <v>I9201</v>
          </cell>
        </row>
        <row r="463">
          <cell r="D463" t="str">
            <v>I0138</v>
          </cell>
        </row>
        <row r="464">
          <cell r="D464" t="str">
            <v>I0144</v>
          </cell>
        </row>
        <row r="465">
          <cell r="D465" t="str">
            <v>I0244</v>
          </cell>
        </row>
        <row r="466">
          <cell r="D466" t="str">
            <v>I0246</v>
          </cell>
        </row>
        <row r="467">
          <cell r="D467" t="str">
            <v>I0271</v>
          </cell>
        </row>
        <row r="468">
          <cell r="D468" t="str">
            <v>I9201</v>
          </cell>
        </row>
        <row r="469">
          <cell r="D469" t="str">
            <v>I0447</v>
          </cell>
        </row>
        <row r="470">
          <cell r="D470" t="str">
            <v>I0461</v>
          </cell>
        </row>
        <row r="471">
          <cell r="D471" t="str">
            <v>I0466</v>
          </cell>
        </row>
        <row r="472">
          <cell r="D472" t="str">
            <v>I0812</v>
          </cell>
        </row>
        <row r="473">
          <cell r="D473" t="str">
            <v>I0400</v>
          </cell>
        </row>
        <row r="474">
          <cell r="D474" t="str">
            <v>I0430</v>
          </cell>
        </row>
        <row r="475">
          <cell r="D475" t="str">
            <v>F0085</v>
          </cell>
        </row>
        <row r="476">
          <cell r="D476" t="str">
            <v>F0086</v>
          </cell>
        </row>
        <row r="477">
          <cell r="D477" t="str">
            <v>F0097</v>
          </cell>
        </row>
        <row r="478">
          <cell r="D478" t="str">
            <v>F0098</v>
          </cell>
        </row>
        <row r="479">
          <cell r="D479" t="str">
            <v>F0102</v>
          </cell>
        </row>
        <row r="480">
          <cell r="D480" t="str">
            <v>F0103</v>
          </cell>
        </row>
        <row r="481">
          <cell r="D481" t="str">
            <v>F0106</v>
          </cell>
        </row>
        <row r="482">
          <cell r="D482" t="str">
            <v>F0109</v>
          </cell>
        </row>
        <row r="483">
          <cell r="D483" t="str">
            <v>F0111</v>
          </cell>
        </row>
        <row r="484">
          <cell r="D484" t="str">
            <v>F0114</v>
          </cell>
        </row>
        <row r="485">
          <cell r="D485" t="str">
            <v>F0118</v>
          </cell>
        </row>
        <row r="486">
          <cell r="D486" t="str">
            <v>F0120</v>
          </cell>
        </row>
        <row r="487">
          <cell r="D487" t="str">
            <v>F0125</v>
          </cell>
        </row>
        <row r="488">
          <cell r="D488" t="str">
            <v>F0127</v>
          </cell>
        </row>
        <row r="489">
          <cell r="D489" t="str">
            <v>F0128</v>
          </cell>
        </row>
        <row r="490">
          <cell r="D490" t="str">
            <v>F0129</v>
          </cell>
        </row>
        <row r="491">
          <cell r="D491" t="str">
            <v>F0134</v>
          </cell>
        </row>
        <row r="492">
          <cell r="D492" t="str">
            <v>F0136</v>
          </cell>
        </row>
        <row r="493">
          <cell r="D493" t="str">
            <v>F0137</v>
          </cell>
        </row>
        <row r="494">
          <cell r="D494" t="str">
            <v>F0138</v>
          </cell>
        </row>
        <row r="495">
          <cell r="D495" t="str">
            <v>F0141</v>
          </cell>
        </row>
        <row r="496">
          <cell r="D496" t="str">
            <v>F0143</v>
          </cell>
        </row>
        <row r="497">
          <cell r="D497" t="str">
            <v>F0156</v>
          </cell>
        </row>
        <row r="498">
          <cell r="D498" t="str">
            <v>F0161</v>
          </cell>
        </row>
        <row r="499">
          <cell r="D499" t="str">
            <v>F0164</v>
          </cell>
        </row>
        <row r="500">
          <cell r="D500" t="str">
            <v>F0167</v>
          </cell>
        </row>
        <row r="501">
          <cell r="D501" t="str">
            <v>F0168</v>
          </cell>
        </row>
        <row r="502">
          <cell r="D502" t="str">
            <v>F0171</v>
          </cell>
        </row>
        <row r="503">
          <cell r="D503" t="str">
            <v>F0172</v>
          </cell>
        </row>
        <row r="504">
          <cell r="D504" t="str">
            <v>F0174</v>
          </cell>
        </row>
        <row r="505">
          <cell r="D505" t="str">
            <v>F0176</v>
          </cell>
        </row>
        <row r="506">
          <cell r="D506" t="str">
            <v>F0179</v>
          </cell>
        </row>
        <row r="507">
          <cell r="D507" t="str">
            <v>F0182</v>
          </cell>
        </row>
        <row r="508">
          <cell r="D508" t="str">
            <v>F0184</v>
          </cell>
        </row>
        <row r="509">
          <cell r="D509" t="str">
            <v>F0185</v>
          </cell>
        </row>
        <row r="510">
          <cell r="D510" t="str">
            <v>F0189</v>
          </cell>
        </row>
        <row r="511">
          <cell r="D511" t="str">
            <v>F0191</v>
          </cell>
        </row>
        <row r="512">
          <cell r="D512" t="str">
            <v>F0194</v>
          </cell>
        </row>
        <row r="513">
          <cell r="D513" t="str">
            <v>F0195</v>
          </cell>
        </row>
        <row r="514">
          <cell r="D514" t="str">
            <v>F0196</v>
          </cell>
        </row>
        <row r="515">
          <cell r="D515" t="str">
            <v>F0197</v>
          </cell>
        </row>
        <row r="516">
          <cell r="D516" t="str">
            <v>F0201</v>
          </cell>
        </row>
        <row r="517">
          <cell r="D517" t="str">
            <v>F0203</v>
          </cell>
        </row>
        <row r="518">
          <cell r="D518" t="str">
            <v>F0204</v>
          </cell>
        </row>
        <row r="519">
          <cell r="D519" t="str">
            <v>F0207</v>
          </cell>
        </row>
        <row r="520">
          <cell r="D520" t="str">
            <v>F0208</v>
          </cell>
        </row>
        <row r="521">
          <cell r="D521" t="str">
            <v>F0209</v>
          </cell>
        </row>
        <row r="522">
          <cell r="D522" t="str">
            <v>F0211</v>
          </cell>
        </row>
        <row r="523">
          <cell r="D523" t="str">
            <v>F0212</v>
          </cell>
        </row>
        <row r="524">
          <cell r="D524" t="str">
            <v>F0216</v>
          </cell>
        </row>
        <row r="525">
          <cell r="D525" t="str">
            <v>F0217</v>
          </cell>
        </row>
        <row r="526">
          <cell r="D526" t="str">
            <v>F0218</v>
          </cell>
        </row>
        <row r="527">
          <cell r="D527" t="str">
            <v>F0219</v>
          </cell>
        </row>
        <row r="528">
          <cell r="D528" t="str">
            <v>F0220</v>
          </cell>
        </row>
        <row r="529">
          <cell r="D529" t="str">
            <v>F0223</v>
          </cell>
        </row>
        <row r="530">
          <cell r="D530" t="str">
            <v>F0362</v>
          </cell>
        </row>
        <row r="531">
          <cell r="D531" t="str">
            <v>F9201</v>
          </cell>
        </row>
        <row r="532">
          <cell r="D532" t="str">
            <v>F9201</v>
          </cell>
        </row>
        <row r="533">
          <cell r="D533" t="str">
            <v>I0200</v>
          </cell>
        </row>
        <row r="534">
          <cell r="D534" t="str">
            <v>I0340</v>
          </cell>
        </row>
        <row r="535">
          <cell r="D535" t="str">
            <v>I0845</v>
          </cell>
        </row>
        <row r="536">
          <cell r="D536" t="str">
            <v>I0846</v>
          </cell>
        </row>
        <row r="537">
          <cell r="D537" t="str">
            <v>I0430</v>
          </cell>
        </row>
        <row r="538">
          <cell r="D538" t="str">
            <v>I0511</v>
          </cell>
        </row>
        <row r="539">
          <cell r="D539" t="str">
            <v>I0804</v>
          </cell>
        </row>
        <row r="540">
          <cell r="D540" t="str">
            <v>I0810</v>
          </cell>
        </row>
        <row r="541">
          <cell r="D541" t="str">
            <v>I0200</v>
          </cell>
        </row>
        <row r="542">
          <cell r="D542" t="str">
            <v>I0340</v>
          </cell>
        </row>
        <row r="543">
          <cell r="D543" t="str">
            <v>I0845</v>
          </cell>
        </row>
        <row r="544">
          <cell r="D544" t="str">
            <v>I0846</v>
          </cell>
        </row>
        <row r="545">
          <cell r="D545" t="str">
            <v>I0430</v>
          </cell>
        </row>
        <row r="546">
          <cell r="D546" t="str">
            <v>I0511</v>
          </cell>
        </row>
        <row r="547">
          <cell r="D547" t="str">
            <v>I0804</v>
          </cell>
        </row>
        <row r="548">
          <cell r="D548" t="str">
            <v>I0810</v>
          </cell>
        </row>
        <row r="549">
          <cell r="D549" t="str">
            <v>I0151</v>
          </cell>
        </row>
        <row r="550">
          <cell r="D550" t="str">
            <v>I0200</v>
          </cell>
        </row>
        <row r="551">
          <cell r="D551" t="str">
            <v>I0340</v>
          </cell>
        </row>
        <row r="552">
          <cell r="D552" t="str">
            <v>I0137</v>
          </cell>
        </row>
        <row r="553">
          <cell r="D553" t="str">
            <v>I0430</v>
          </cell>
        </row>
        <row r="554">
          <cell r="D554" t="str">
            <v>I0511</v>
          </cell>
        </row>
        <row r="555">
          <cell r="D555" t="str">
            <v>I0151</v>
          </cell>
        </row>
        <row r="556">
          <cell r="D556" t="str">
            <v>I0151</v>
          </cell>
        </row>
        <row r="557">
          <cell r="D557" t="str">
            <v>I0137</v>
          </cell>
        </row>
        <row r="558">
          <cell r="D558" t="str">
            <v>I0151</v>
          </cell>
        </row>
        <row r="559">
          <cell r="D559" t="str">
            <v>I0137</v>
          </cell>
        </row>
        <row r="560">
          <cell r="D560" t="str">
            <v>I0200</v>
          </cell>
        </row>
        <row r="561">
          <cell r="D561" t="str">
            <v>I0340</v>
          </cell>
        </row>
        <row r="562">
          <cell r="D562" t="str">
            <v>I0845</v>
          </cell>
        </row>
        <row r="563">
          <cell r="D563" t="str">
            <v>I0846</v>
          </cell>
        </row>
        <row r="564">
          <cell r="D564" t="str">
            <v>I0430</v>
          </cell>
        </row>
        <row r="565">
          <cell r="D565" t="str">
            <v>I0511</v>
          </cell>
        </row>
        <row r="566">
          <cell r="D566" t="str">
            <v>I0804</v>
          </cell>
        </row>
        <row r="567">
          <cell r="D567" t="str">
            <v>I0810</v>
          </cell>
        </row>
        <row r="568">
          <cell r="D568" t="str">
            <v>I0151</v>
          </cell>
        </row>
        <row r="569">
          <cell r="D569" t="str">
            <v>I0200</v>
          </cell>
        </row>
        <row r="570">
          <cell r="D570" t="str">
            <v>I0340</v>
          </cell>
        </row>
        <row r="571">
          <cell r="D571" t="str">
            <v>I0137</v>
          </cell>
        </row>
        <row r="572">
          <cell r="D572" t="str">
            <v>I0430</v>
          </cell>
        </row>
        <row r="573">
          <cell r="D573" t="str">
            <v>I0511</v>
          </cell>
        </row>
        <row r="574">
          <cell r="D574" t="str">
            <v>I0151</v>
          </cell>
        </row>
        <row r="575">
          <cell r="D575" t="str">
            <v>I0340</v>
          </cell>
        </row>
        <row r="576">
          <cell r="D576" t="str">
            <v>I0430</v>
          </cell>
        </row>
        <row r="577">
          <cell r="D577" t="str">
            <v>I0511</v>
          </cell>
        </row>
      </sheetData>
      <sheetData sheetId="4" refreshError="1"/>
      <sheetData sheetId="5" refreshError="1"/>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000000"/>
      <sheetName val="0000000"/>
      <sheetName val="Transco"/>
      <sheetName val="Sommaire"/>
      <sheetName val="A"/>
      <sheetName val="balance 3112"/>
      <sheetName val="Bilan"/>
      <sheetName val="actifs incorporels"/>
      <sheetName val="Participations"/>
      <sheetName val="prov tit part."/>
      <sheetName val="act circul "/>
      <sheetName val="actif"/>
      <sheetName val="Kaux propres"/>
      <sheetName val="VMP"/>
      <sheetName val="passif"/>
      <sheetName val="Prov reglementée"/>
      <sheetName val="ecart conv"/>
      <sheetName val="resultat"/>
      <sheetName val="charges"/>
      <sheetName val="produits"/>
      <sheetName val="Rt 5 exo"/>
      <sheetName val="hors bilan"/>
      <sheetName val="Annexe Bilan - Actif"/>
      <sheetName val="Annexe Bilan - Passif "/>
      <sheetName val="Annexe CDR - Charges"/>
      <sheetName val="Annexe CDR - Produits"/>
      <sheetName val="B.4.b"/>
      <sheetName val="B.4.b TP"/>
      <sheetName val="B.4.c"/>
      <sheetName val="B.4.d"/>
      <sheetName val="B.4.f"/>
      <sheetName val="B.4.g"/>
      <sheetName val="B.4.h"/>
      <sheetName val="B.4.i"/>
      <sheetName val="Feuil1"/>
      <sheetName val="Feuil2"/>
      <sheetName val="B.4.j"/>
      <sheetName val="B.4.o"/>
      <sheetName val="B.4.p"/>
      <sheetName val="B.5.b"/>
      <sheetName val="B.5.c"/>
      <sheetName val="B.6.b"/>
      <sheetName val="B.6.c"/>
      <sheetName val="Contrôles"/>
      <sheetName val="Feuil3"/>
    </sheetNames>
    <sheetDataSet>
      <sheetData sheetId="0" refreshError="1"/>
      <sheetData sheetId="1" refreshError="1"/>
      <sheetData sheetId="2" refreshError="1"/>
      <sheetData sheetId="3" refreshError="1"/>
      <sheetData sheetId="4"/>
      <sheetData sheetId="5" refreshError="1"/>
      <sheetData sheetId="6" refreshError="1"/>
      <sheetData sheetId="7" refreshError="1"/>
      <sheetData sheetId="8" refreshError="1"/>
      <sheetData sheetId="9"/>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PART"/>
      <sheetName val="PORT_HORS_CONSO"/>
      <sheetName val="BALANCE"/>
      <sheetName val="A5DETAIL"/>
      <sheetName val="Feuil9"/>
      <sheetName val="Feuil10"/>
    </sheetNames>
    <sheetDataSet>
      <sheetData sheetId="0" refreshError="1">
        <row r="2">
          <cell r="A2" t="str">
            <v>PA301</v>
          </cell>
          <cell r="C2" t="str">
            <v>A3C</v>
          </cell>
          <cell r="K2">
            <v>0</v>
          </cell>
        </row>
        <row r="3">
          <cell r="A3" t="str">
            <v>PAG02</v>
          </cell>
          <cell r="C3" t="str">
            <v>AGE D'OR EXPANSION</v>
          </cell>
          <cell r="K3">
            <v>4424942.3999999994</v>
          </cell>
        </row>
        <row r="4">
          <cell r="A4" t="str">
            <v>PAN01</v>
          </cell>
          <cell r="C4" t="str">
            <v>ANTICIPA</v>
          </cell>
          <cell r="K4">
            <v>990.6</v>
          </cell>
        </row>
        <row r="5">
          <cell r="A5" t="str">
            <v>PAS01</v>
          </cell>
          <cell r="C5" t="str">
            <v>ASSOCIART</v>
          </cell>
          <cell r="K5">
            <v>158353.13</v>
          </cell>
        </row>
        <row r="6">
          <cell r="A6" t="str">
            <v>PAS02</v>
          </cell>
          <cell r="C6" t="str">
            <v>ASSURBAIL</v>
          </cell>
          <cell r="K6">
            <v>13183739.19034091</v>
          </cell>
        </row>
        <row r="7">
          <cell r="A7" t="str">
            <v>PAS02</v>
          </cell>
          <cell r="C7" t="str">
            <v>ASSURBAIL</v>
          </cell>
          <cell r="K7">
            <v>285013195.62521106</v>
          </cell>
        </row>
        <row r="8">
          <cell r="A8" t="str">
            <v>PAS02</v>
          </cell>
          <cell r="C8" t="str">
            <v>ASSURBAIL</v>
          </cell>
          <cell r="K8">
            <v>11715744.052759741</v>
          </cell>
        </row>
        <row r="9">
          <cell r="A9" t="str">
            <v>PAS02</v>
          </cell>
          <cell r="C9" t="str">
            <v>ASSURBAIL</v>
          </cell>
          <cell r="K9">
            <v>3906643.8380681821</v>
          </cell>
        </row>
        <row r="10">
          <cell r="A10" t="str">
            <v>PAS12</v>
          </cell>
          <cell r="C10" t="str">
            <v>ASSURPOSTE</v>
          </cell>
          <cell r="K10">
            <v>99983000</v>
          </cell>
        </row>
        <row r="11">
          <cell r="A11" t="str">
            <v>PAS13</v>
          </cell>
          <cell r="C11" t="str">
            <v>ASTORG 3-A</v>
          </cell>
          <cell r="K11">
            <v>4999119.18</v>
          </cell>
        </row>
        <row r="12">
          <cell r="A12" t="str">
            <v>PAS14</v>
          </cell>
          <cell r="C12" t="str">
            <v>ASTORG 3-B</v>
          </cell>
          <cell r="K12">
            <v>5000</v>
          </cell>
        </row>
        <row r="13">
          <cell r="A13" t="str">
            <v>PAT01</v>
          </cell>
          <cell r="C13" t="str">
            <v>ATOUT PIERRE DIVERSIFICATION</v>
          </cell>
          <cell r="K13">
            <v>2242080.11</v>
          </cell>
        </row>
        <row r="14">
          <cell r="A14" t="str">
            <v>PAT01</v>
          </cell>
          <cell r="C14" t="str">
            <v>ATOUT PIERRE DIVERSIFICATION</v>
          </cell>
          <cell r="K14">
            <v>2876900</v>
          </cell>
        </row>
        <row r="15">
          <cell r="A15" t="str">
            <v>PAU01</v>
          </cell>
          <cell r="C15" t="str">
            <v>AURIGA VENTURE 2-A</v>
          </cell>
          <cell r="K15">
            <v>241663.48760903883</v>
          </cell>
        </row>
        <row r="16">
          <cell r="A16" t="str">
            <v>PAU02</v>
          </cell>
          <cell r="C16" t="str">
            <v>AURIGA VENTURE 2-B</v>
          </cell>
          <cell r="K16">
            <v>110520.51239096119</v>
          </cell>
        </row>
        <row r="17">
          <cell r="A17" t="str">
            <v>PAV02</v>
          </cell>
          <cell r="C17" t="str">
            <v>AVENUE BOSQUET</v>
          </cell>
          <cell r="K17">
            <v>519.5</v>
          </cell>
        </row>
        <row r="18">
          <cell r="A18" t="str">
            <v>PAX01</v>
          </cell>
          <cell r="C18" t="str">
            <v>AXA FUND 2-A</v>
          </cell>
          <cell r="K18">
            <v>2749493</v>
          </cell>
        </row>
        <row r="19">
          <cell r="A19" t="str">
            <v>PBA02</v>
          </cell>
          <cell r="C19" t="str">
            <v>BARCLAYS EUROPEAN FUND D</v>
          </cell>
          <cell r="K19">
            <v>1112625</v>
          </cell>
        </row>
        <row r="20">
          <cell r="A20" t="str">
            <v>PBA02</v>
          </cell>
          <cell r="C20" t="str">
            <v>BARCLAYS EUROPEAN FUND D</v>
          </cell>
          <cell r="K20">
            <v>2225248</v>
          </cell>
        </row>
        <row r="21">
          <cell r="A21" t="str">
            <v>PBE02</v>
          </cell>
          <cell r="C21" t="str">
            <v>SCI PARVIS BELVEDERE</v>
          </cell>
          <cell r="K21">
            <v>360.96</v>
          </cell>
        </row>
        <row r="22">
          <cell r="A22" t="str">
            <v>PCA05</v>
          </cell>
          <cell r="C22" t="str">
            <v>CAIXA SEGUROS</v>
          </cell>
          <cell r="K22">
            <v>455636957.69</v>
          </cell>
        </row>
        <row r="23">
          <cell r="A23" t="str">
            <v>PCA06</v>
          </cell>
          <cell r="C23" t="str">
            <v>CANDOVER 2001</v>
          </cell>
          <cell r="K23">
            <v>914108</v>
          </cell>
        </row>
        <row r="24">
          <cell r="A24" t="str">
            <v>PCA06</v>
          </cell>
          <cell r="C24" t="str">
            <v>CANDOVER 2001</v>
          </cell>
          <cell r="K24">
            <v>1371162</v>
          </cell>
        </row>
        <row r="25">
          <cell r="A25" t="str">
            <v>PCA07</v>
          </cell>
          <cell r="C25" t="str">
            <v>CANTIS</v>
          </cell>
          <cell r="K25">
            <v>2290000</v>
          </cell>
        </row>
        <row r="26">
          <cell r="A26" t="str">
            <v>PCA01</v>
          </cell>
          <cell r="C26" t="str">
            <v>CAPA CONSEIL</v>
          </cell>
          <cell r="K26">
            <v>9711.52</v>
          </cell>
        </row>
        <row r="27">
          <cell r="A27" t="str">
            <v>PCA02</v>
          </cell>
          <cell r="C27" t="str">
            <v>CARRES BLEUS</v>
          </cell>
          <cell r="K27">
            <v>0</v>
          </cell>
        </row>
        <row r="28">
          <cell r="A28" t="str">
            <v>PCD02</v>
          </cell>
          <cell r="C28" t="str">
            <v>CDC COURTAGE</v>
          </cell>
          <cell r="K28">
            <v>373029.3</v>
          </cell>
        </row>
        <row r="29">
          <cell r="A29" t="str">
            <v>PCD09</v>
          </cell>
          <cell r="C29" t="str">
            <v>CDC ENTREPRISES 2-A</v>
          </cell>
          <cell r="K29">
            <v>1947184.7575000001</v>
          </cell>
        </row>
        <row r="30">
          <cell r="A30" t="str">
            <v>PCD10</v>
          </cell>
          <cell r="C30" t="str">
            <v>CDC ENTREPRISES 2-B</v>
          </cell>
          <cell r="K30">
            <v>14714.242499999998</v>
          </cell>
        </row>
        <row r="31">
          <cell r="A31" t="str">
            <v>PCD03</v>
          </cell>
          <cell r="C31" t="str">
            <v>CDC INTERNATIONAL</v>
          </cell>
          <cell r="K31">
            <v>243.84</v>
          </cell>
        </row>
        <row r="32">
          <cell r="A32" t="str">
            <v>PCD04</v>
          </cell>
          <cell r="C32" t="str">
            <v>CDC IXIS AM</v>
          </cell>
          <cell r="K32">
            <v>120022010.16</v>
          </cell>
        </row>
        <row r="33">
          <cell r="A33" t="str">
            <v>PCD11</v>
          </cell>
          <cell r="C33" t="str">
            <v>CDC IXIS ITALIA HOLDING</v>
          </cell>
          <cell r="K33">
            <v>29188934.18</v>
          </cell>
        </row>
        <row r="34">
          <cell r="A34" t="str">
            <v>PCD07</v>
          </cell>
          <cell r="C34" t="str">
            <v>CDC SERVICE IND 1-A</v>
          </cell>
          <cell r="K34">
            <v>2197998.4412510563</v>
          </cell>
        </row>
        <row r="35">
          <cell r="A35" t="str">
            <v>PCD08</v>
          </cell>
          <cell r="C35" t="str">
            <v>CDC SERVICE IND 1-B</v>
          </cell>
          <cell r="K35">
            <v>1859.5587489433644</v>
          </cell>
        </row>
        <row r="36">
          <cell r="A36" t="str">
            <v>PCE01</v>
          </cell>
          <cell r="C36" t="str">
            <v>CEGAPE</v>
          </cell>
          <cell r="K36">
            <v>399162.24</v>
          </cell>
        </row>
        <row r="37">
          <cell r="A37" t="str">
            <v>PCE02</v>
          </cell>
          <cell r="C37" t="str">
            <v>CENTRE CAPITAL 3</v>
          </cell>
          <cell r="K37">
            <v>2435861.44101346</v>
          </cell>
        </row>
        <row r="38">
          <cell r="A38" t="str">
            <v>PCH05</v>
          </cell>
          <cell r="C38" t="str">
            <v>CHARTERHOUSE 7</v>
          </cell>
          <cell r="K38">
            <v>2008270.05</v>
          </cell>
        </row>
        <row r="39">
          <cell r="A39" t="str">
            <v>PCH05</v>
          </cell>
          <cell r="C39" t="str">
            <v>CHARTERHOUSE 7</v>
          </cell>
          <cell r="K39">
            <v>5020675.12</v>
          </cell>
        </row>
        <row r="40">
          <cell r="A40" t="str">
            <v>PCH02</v>
          </cell>
          <cell r="C40" t="str">
            <v>CHEQUERS CAPITAL A</v>
          </cell>
          <cell r="K40">
            <v>841870.70621772041</v>
          </cell>
        </row>
        <row r="41">
          <cell r="A41" t="str">
            <v>PCH03</v>
          </cell>
          <cell r="C41" t="str">
            <v>CHEQUERS CAPITAL B</v>
          </cell>
          <cell r="K41">
            <v>33239.293782279608</v>
          </cell>
        </row>
        <row r="42">
          <cell r="A42" t="str">
            <v>PCH04</v>
          </cell>
          <cell r="C42" t="str">
            <v>CHINA EQUITY</v>
          </cell>
          <cell r="K42">
            <v>857148.85193982592</v>
          </cell>
        </row>
        <row r="43">
          <cell r="A43" t="str">
            <v>PCI02</v>
          </cell>
          <cell r="C43" t="str">
            <v>CICOGE</v>
          </cell>
          <cell r="K43">
            <v>96776015.950000003</v>
          </cell>
        </row>
        <row r="44">
          <cell r="A44" t="str">
            <v>PCI02</v>
          </cell>
          <cell r="C44" t="str">
            <v>CICOGE</v>
          </cell>
          <cell r="K44">
            <v>13150800</v>
          </cell>
        </row>
        <row r="45">
          <cell r="A45" t="str">
            <v>PCI02</v>
          </cell>
          <cell r="C45" t="str">
            <v>CICOGE</v>
          </cell>
          <cell r="K45">
            <v>71848687.189999998</v>
          </cell>
        </row>
        <row r="46">
          <cell r="A46" t="str">
            <v>PCI05</v>
          </cell>
          <cell r="C46" t="str">
            <v>CIF CENTRE LOIRE</v>
          </cell>
          <cell r="K46">
            <v>297168.87</v>
          </cell>
        </row>
        <row r="47">
          <cell r="A47" t="str">
            <v>PCI03</v>
          </cell>
          <cell r="C47" t="str">
            <v>CILOGER</v>
          </cell>
          <cell r="K47">
            <v>397827.75</v>
          </cell>
        </row>
        <row r="48">
          <cell r="A48" t="str">
            <v>PCI04</v>
          </cell>
          <cell r="C48" t="str">
            <v>CIMO</v>
          </cell>
          <cell r="K48">
            <v>42712167.139999993</v>
          </cell>
        </row>
        <row r="49">
          <cell r="A49" t="str">
            <v>PCI04</v>
          </cell>
          <cell r="C49" t="str">
            <v>CIMO</v>
          </cell>
          <cell r="K49">
            <v>371802274.02999997</v>
          </cell>
        </row>
        <row r="50">
          <cell r="A50" t="str">
            <v>PCN01</v>
          </cell>
          <cell r="C50" t="str">
            <v>CNP ASSURANCES</v>
          </cell>
          <cell r="K50">
            <v>571683.80999999994</v>
          </cell>
        </row>
        <row r="51">
          <cell r="A51" t="str">
            <v>PCN02</v>
          </cell>
          <cell r="C51" t="str">
            <v>CNP IAM</v>
          </cell>
          <cell r="K51">
            <v>616995091.47000003</v>
          </cell>
        </row>
        <row r="52">
          <cell r="A52" t="str">
            <v>PCN03</v>
          </cell>
          <cell r="C52" t="str">
            <v>CNP IMMOBILIER</v>
          </cell>
          <cell r="K52">
            <v>24688830.080000002</v>
          </cell>
        </row>
        <row r="53">
          <cell r="A53" t="str">
            <v>PCN04</v>
          </cell>
          <cell r="C53" t="str">
            <v>CNP INTERNATIONAL</v>
          </cell>
          <cell r="K53">
            <v>103191091.47</v>
          </cell>
        </row>
        <row r="54">
          <cell r="A54" t="str">
            <v>PCN05</v>
          </cell>
          <cell r="C54" t="str">
            <v>CNP SEGUROS DE VIDA</v>
          </cell>
          <cell r="K54">
            <v>3083059.0599999996</v>
          </cell>
        </row>
        <row r="55">
          <cell r="A55" t="str">
            <v>PCN06</v>
          </cell>
          <cell r="C55" t="str">
            <v>CNP CAUTION</v>
          </cell>
          <cell r="K55">
            <v>7683430.4699999997</v>
          </cell>
        </row>
        <row r="56">
          <cell r="A56" t="str">
            <v>PCN08</v>
          </cell>
          <cell r="C56" t="str">
            <v>CNP ITALIA</v>
          </cell>
          <cell r="K56">
            <v>1000</v>
          </cell>
        </row>
        <row r="57">
          <cell r="A57" t="str">
            <v>PCO02</v>
          </cell>
          <cell r="C57" t="str">
            <v>COLLER 4</v>
          </cell>
          <cell r="K57">
            <v>658159.14489311166</v>
          </cell>
        </row>
        <row r="58">
          <cell r="A58" t="str">
            <v>PCO03</v>
          </cell>
          <cell r="C58" t="str">
            <v>COLLINE DEFENSE</v>
          </cell>
          <cell r="K58">
            <v>5467276.6600000001</v>
          </cell>
        </row>
        <row r="59">
          <cell r="A59" t="str">
            <v>PCR02</v>
          </cell>
          <cell r="C59" t="str">
            <v>CROWN GLOBAL EUROPE BUYOUT</v>
          </cell>
          <cell r="K59">
            <v>5000000</v>
          </cell>
        </row>
        <row r="60">
          <cell r="A60" t="str">
            <v>PCU01</v>
          </cell>
          <cell r="C60" t="str">
            <v>CURZON CAPITAL PARTNERS</v>
          </cell>
          <cell r="K60">
            <v>5000000</v>
          </cell>
        </row>
        <row r="61">
          <cell r="A61" t="str">
            <v>PDE01</v>
          </cell>
          <cell r="C61" t="str">
            <v>DEFENSE CTRE COM.4TEMPS</v>
          </cell>
          <cell r="K61">
            <v>115779260.12</v>
          </cell>
        </row>
        <row r="62">
          <cell r="A62" t="str">
            <v>PDU01</v>
          </cell>
          <cell r="C62" t="str">
            <v>DUKE STEET 5</v>
          </cell>
          <cell r="K62">
            <v>912853</v>
          </cell>
        </row>
        <row r="63">
          <cell r="A63" t="str">
            <v>PDU01</v>
          </cell>
          <cell r="C63" t="str">
            <v>DUKE STEET 5</v>
          </cell>
          <cell r="K63">
            <v>1369279</v>
          </cell>
        </row>
        <row r="64">
          <cell r="A64" t="str">
            <v>PEC01</v>
          </cell>
          <cell r="C64" t="str">
            <v>ECUREUIL VIE</v>
          </cell>
          <cell r="K64">
            <v>881364089.38</v>
          </cell>
        </row>
        <row r="65">
          <cell r="A65" t="str">
            <v>PEN01</v>
          </cell>
          <cell r="C65" t="str">
            <v>ENTREPRENEUR VENTURE A</v>
          </cell>
          <cell r="K65">
            <v>888633.72666603816</v>
          </cell>
        </row>
        <row r="66">
          <cell r="A66" t="str">
            <v>PEN02</v>
          </cell>
          <cell r="C66" t="str">
            <v>ENTREPRENEUR VENTURE B</v>
          </cell>
          <cell r="K66">
            <v>10387.27333396187</v>
          </cell>
        </row>
        <row r="67">
          <cell r="A67" t="str">
            <v>PEU05</v>
          </cell>
          <cell r="C67" t="str">
            <v>EURO CHOICE 2</v>
          </cell>
          <cell r="K67">
            <v>5000000</v>
          </cell>
        </row>
        <row r="68">
          <cell r="A68" t="str">
            <v>PEU01</v>
          </cell>
          <cell r="C68" t="str">
            <v>EUROPREVOYANCE</v>
          </cell>
          <cell r="K68">
            <v>30489.8</v>
          </cell>
        </row>
        <row r="69">
          <cell r="A69" t="str">
            <v>PEU04</v>
          </cell>
          <cell r="C69" t="str">
            <v>EUROPE PARTNERS</v>
          </cell>
          <cell r="K69">
            <v>2762784</v>
          </cell>
        </row>
        <row r="70">
          <cell r="A70" t="str">
            <v>PFI05</v>
          </cell>
          <cell r="C70" t="str">
            <v>FINAMA DEVELOPPEMENT A</v>
          </cell>
          <cell r="K70">
            <v>543750.22043762612</v>
          </cell>
        </row>
        <row r="71">
          <cell r="A71" t="str">
            <v>PFI06</v>
          </cell>
          <cell r="C71" t="str">
            <v>FINAMA DEVELOPPEMENT B</v>
          </cell>
          <cell r="K71">
            <v>9971.7795623738639</v>
          </cell>
        </row>
        <row r="72">
          <cell r="A72" t="str">
            <v>PFI02</v>
          </cell>
          <cell r="C72" t="str">
            <v>FINANCIERE REG.BOURGO</v>
          </cell>
          <cell r="K72">
            <v>4339440</v>
          </cell>
        </row>
        <row r="73">
          <cell r="A73" t="str">
            <v>PFI07</v>
          </cell>
          <cell r="C73" t="str">
            <v>FINANCIERE PATRIMONIALE D'INVESTISSEMENT (LA)</v>
          </cell>
          <cell r="K73">
            <v>5025000</v>
          </cell>
        </row>
        <row r="74">
          <cell r="A74" t="str">
            <v>PFI04</v>
          </cell>
          <cell r="C74" t="str">
            <v>FILASSIATANCE INTERNATIONAL</v>
          </cell>
          <cell r="K74">
            <v>1320173.2</v>
          </cell>
        </row>
        <row r="75">
          <cell r="A75" t="str">
            <v>PFO01</v>
          </cell>
          <cell r="C75" t="str">
            <v>FONCIERE DE LA CNP</v>
          </cell>
          <cell r="K75">
            <v>58959267.520000003</v>
          </cell>
        </row>
        <row r="76">
          <cell r="A76" t="str">
            <v>PFO11</v>
          </cell>
          <cell r="C76" t="str">
            <v>FONCIERE IMAGE</v>
          </cell>
          <cell r="K76">
            <v>60656515.359999999</v>
          </cell>
        </row>
        <row r="77">
          <cell r="A77" t="str">
            <v>PFO07</v>
          </cell>
          <cell r="C77" t="str">
            <v>FONDINVEST III A</v>
          </cell>
          <cell r="K77">
            <v>3287580.9236192005</v>
          </cell>
        </row>
        <row r="78">
          <cell r="A78" t="str">
            <v>PFO08</v>
          </cell>
          <cell r="C78" t="str">
            <v>FONDINVEST III B</v>
          </cell>
          <cell r="K78">
            <v>3922.0763807993008</v>
          </cell>
        </row>
        <row r="79">
          <cell r="A79" t="str">
            <v>PFO09</v>
          </cell>
          <cell r="C79" t="str">
            <v>FONDINVEST V</v>
          </cell>
          <cell r="K79">
            <v>518100</v>
          </cell>
        </row>
        <row r="80">
          <cell r="A80" t="str">
            <v>PFO10</v>
          </cell>
          <cell r="C80" t="str">
            <v>FONDINVEST VI</v>
          </cell>
          <cell r="K80">
            <v>1414636</v>
          </cell>
        </row>
        <row r="81">
          <cell r="A81" t="str">
            <v>PFR08</v>
          </cell>
          <cell r="C81" t="str">
            <v>France ACTIVE</v>
          </cell>
          <cell r="K81">
            <v>141950.54999999999</v>
          </cell>
        </row>
        <row r="82">
          <cell r="A82" t="str">
            <v>PGE01</v>
          </cell>
          <cell r="C82" t="str">
            <v>GESPRE EUROPE</v>
          </cell>
          <cell r="K82">
            <v>2436030</v>
          </cell>
        </row>
        <row r="83">
          <cell r="A83" t="str">
            <v>PGI03</v>
          </cell>
          <cell r="C83" t="str">
            <v>GILDE BOF 2</v>
          </cell>
          <cell r="K83">
            <v>764791</v>
          </cell>
        </row>
        <row r="84">
          <cell r="A84" t="str">
            <v>PGI03</v>
          </cell>
          <cell r="C84" t="str">
            <v>GILDE BOF 2</v>
          </cell>
          <cell r="K84">
            <v>1624123</v>
          </cell>
        </row>
        <row r="85">
          <cell r="A85" t="str">
            <v>PGI01</v>
          </cell>
          <cell r="C85" t="str">
            <v xml:space="preserve">GIP </v>
          </cell>
          <cell r="K85">
            <v>0</v>
          </cell>
        </row>
        <row r="86">
          <cell r="A86" t="str">
            <v>PGI02</v>
          </cell>
          <cell r="C86" t="str">
            <v>GIMAR</v>
          </cell>
          <cell r="K86">
            <v>1115840</v>
          </cell>
        </row>
        <row r="87">
          <cell r="A87" t="str">
            <v>PGL01</v>
          </cell>
          <cell r="C87" t="str">
            <v>GLOBAL</v>
          </cell>
          <cell r="K87">
            <v>60864000</v>
          </cell>
        </row>
        <row r="88">
          <cell r="A88" t="str">
            <v>PGL03</v>
          </cell>
          <cell r="C88" t="str">
            <v>GLOBAL LIFE SCIENCE 2</v>
          </cell>
          <cell r="K88">
            <v>171679</v>
          </cell>
        </row>
        <row r="89">
          <cell r="A89" t="str">
            <v>PGL03</v>
          </cell>
          <cell r="C89" t="str">
            <v>GLOBAL LIFE SCIENCE 2</v>
          </cell>
          <cell r="K89">
            <v>343359</v>
          </cell>
        </row>
        <row r="90">
          <cell r="A90" t="str">
            <v>PGL02</v>
          </cell>
          <cell r="C90" t="str">
            <v>GLOBAL VIDA</v>
          </cell>
          <cell r="K90">
            <v>29473000</v>
          </cell>
        </row>
        <row r="91">
          <cell r="A91" t="str">
            <v>PGL04</v>
          </cell>
          <cell r="C91" t="str">
            <v>GLOBESPAN 4</v>
          </cell>
          <cell r="K91">
            <v>146674.58000000007</v>
          </cell>
        </row>
        <row r="92">
          <cell r="A92" t="str">
            <v>PGP01</v>
          </cell>
          <cell r="C92" t="str">
            <v>GPM ASSURANCES</v>
          </cell>
          <cell r="K92">
            <v>5693050.3799999999</v>
          </cell>
        </row>
        <row r="93">
          <cell r="A93" t="str">
            <v>PGR01</v>
          </cell>
          <cell r="C93" t="str">
            <v>GRAND FEU (LE)</v>
          </cell>
          <cell r="K93">
            <v>3835.23</v>
          </cell>
        </row>
        <row r="94">
          <cell r="A94" t="str">
            <v>PGR03</v>
          </cell>
          <cell r="C94" t="str">
            <v>GREEN WAY EUROPE A</v>
          </cell>
          <cell r="K94">
            <v>628908.49248297943</v>
          </cell>
        </row>
        <row r="95">
          <cell r="A95" t="str">
            <v>PGR04</v>
          </cell>
          <cell r="C95" t="str">
            <v>GREEN WAY EUROPE B</v>
          </cell>
          <cell r="K95">
            <v>9055.5075170205546</v>
          </cell>
        </row>
        <row r="96">
          <cell r="A96" t="str">
            <v>PGR05</v>
          </cell>
          <cell r="C96" t="str">
            <v>GREENPARK 1</v>
          </cell>
          <cell r="K96">
            <v>1381830.5621536027</v>
          </cell>
        </row>
        <row r="97">
          <cell r="A97" t="str">
            <v>PGR02</v>
          </cell>
          <cell r="C97" t="str">
            <v>GROUP PROPRIETES CDC CNP</v>
          </cell>
          <cell r="K97">
            <v>5869.29</v>
          </cell>
        </row>
        <row r="98">
          <cell r="A98" t="str">
            <v>PHE01</v>
          </cell>
          <cell r="C98" t="str">
            <v>HERMES UOB</v>
          </cell>
          <cell r="K98">
            <v>665397</v>
          </cell>
        </row>
        <row r="99">
          <cell r="A99" t="str">
            <v>PHE01</v>
          </cell>
          <cell r="C99" t="str">
            <v>HERMES UOB</v>
          </cell>
          <cell r="K99">
            <v>1413968</v>
          </cell>
        </row>
        <row r="100">
          <cell r="A100" t="str">
            <v>PHO01</v>
          </cell>
          <cell r="C100" t="str">
            <v>HOLDCO</v>
          </cell>
          <cell r="K100">
            <v>23646550.829999998</v>
          </cell>
        </row>
        <row r="101">
          <cell r="A101" t="str">
            <v>PIC01</v>
          </cell>
          <cell r="C101" t="str">
            <v>ICDC</v>
          </cell>
          <cell r="K101">
            <v>914403.92</v>
          </cell>
        </row>
        <row r="102">
          <cell r="A102" t="str">
            <v>PIC02</v>
          </cell>
          <cell r="C102" t="str">
            <v>ICG FUND 2000</v>
          </cell>
          <cell r="K102">
            <v>2617959</v>
          </cell>
        </row>
        <row r="103">
          <cell r="A103" t="str">
            <v>PIC03</v>
          </cell>
          <cell r="C103" t="str">
            <v>ICSO'1-A</v>
          </cell>
          <cell r="K103">
            <v>4000000</v>
          </cell>
        </row>
        <row r="104">
          <cell r="A104" t="str">
            <v>PIL01</v>
          </cell>
          <cell r="C104" t="str">
            <v>ILOT A5B</v>
          </cell>
          <cell r="K104">
            <v>47756352.340000004</v>
          </cell>
        </row>
        <row r="105">
          <cell r="A105" t="str">
            <v>PIM01</v>
          </cell>
          <cell r="C105" t="str">
            <v>IMMOPOSTE</v>
          </cell>
          <cell r="K105">
            <v>603395.86</v>
          </cell>
        </row>
        <row r="106">
          <cell r="A106" t="str">
            <v>PIN01</v>
          </cell>
          <cell r="C106" t="str">
            <v>ING IBERICA</v>
          </cell>
          <cell r="K106">
            <v>34882000</v>
          </cell>
        </row>
        <row r="107">
          <cell r="A107" t="str">
            <v>PIN02</v>
          </cell>
          <cell r="C107" t="str">
            <v>INPARSA</v>
          </cell>
          <cell r="K107">
            <v>15073250</v>
          </cell>
        </row>
        <row r="108">
          <cell r="A108" t="str">
            <v>PIN03</v>
          </cell>
          <cell r="C108" t="str">
            <v>INDIGO CAPITAL 4</v>
          </cell>
          <cell r="K108">
            <v>1496080</v>
          </cell>
        </row>
        <row r="109">
          <cell r="A109" t="str">
            <v>PIS02</v>
          </cell>
          <cell r="C109" t="str">
            <v>ISSY DESMOULINS (SCI)</v>
          </cell>
          <cell r="K109">
            <v>234.35</v>
          </cell>
        </row>
        <row r="110">
          <cell r="A110" t="str">
            <v>PIT01</v>
          </cell>
          <cell r="C110" t="str">
            <v>ITV</v>
          </cell>
          <cell r="K110">
            <v>51271152.450000003</v>
          </cell>
        </row>
        <row r="111">
          <cell r="A111" t="str">
            <v>PJE01</v>
          </cell>
          <cell r="C111" t="str">
            <v>JERUSALEM VENTURE 4</v>
          </cell>
          <cell r="K111">
            <v>376753.76088677754</v>
          </cell>
        </row>
        <row r="112">
          <cell r="A112" t="str">
            <v>PJE01</v>
          </cell>
          <cell r="C112" t="str">
            <v>JERUSALEM VENTURE 4</v>
          </cell>
          <cell r="K112">
            <v>800601.74188440223</v>
          </cell>
        </row>
        <row r="113">
          <cell r="A113" t="str">
            <v>PJV01</v>
          </cell>
          <cell r="C113" t="str">
            <v>JV SINO FRENCH POSTAL</v>
          </cell>
          <cell r="K113">
            <v>13000000</v>
          </cell>
        </row>
        <row r="114">
          <cell r="A114" t="str">
            <v>PKN01</v>
          </cell>
          <cell r="C114" t="str">
            <v>KNIGHTSBRIDGE PV III</v>
          </cell>
          <cell r="K114">
            <v>1882130.6413301665</v>
          </cell>
        </row>
        <row r="115">
          <cell r="A115" t="str">
            <v>PKN02</v>
          </cell>
          <cell r="C115" t="str">
            <v>KNIGHTSBRIDGE PV IV</v>
          </cell>
          <cell r="K115">
            <v>3773764.8456057012</v>
          </cell>
        </row>
        <row r="116">
          <cell r="A116" t="str">
            <v>PKN03</v>
          </cell>
          <cell r="C116" t="str">
            <v>KNIGHTSBRIDGE IH V</v>
          </cell>
          <cell r="K116">
            <v>838701.50435471104</v>
          </cell>
        </row>
        <row r="117">
          <cell r="A117" t="str">
            <v>PAM01</v>
          </cell>
          <cell r="C117" t="str">
            <v>L'AMIRAL</v>
          </cell>
          <cell r="K117">
            <v>42873217.730000004</v>
          </cell>
        </row>
        <row r="118">
          <cell r="A118" t="str">
            <v>PLI01</v>
          </cell>
          <cell r="C118" t="str">
            <v>LILLE HELLEMES</v>
          </cell>
          <cell r="K118">
            <v>25701.09</v>
          </cell>
        </row>
        <row r="119">
          <cell r="A119" t="str">
            <v>PLL01</v>
          </cell>
          <cell r="C119" t="str">
            <v>LL PORTO RETAIL</v>
          </cell>
          <cell r="K119">
            <v>18387090.190000001</v>
          </cell>
        </row>
        <row r="120">
          <cell r="A120" t="str">
            <v>PLO01</v>
          </cell>
          <cell r="C120" t="str">
            <v>LOGISTIS 2</v>
          </cell>
          <cell r="K120">
            <v>15001400</v>
          </cell>
        </row>
        <row r="121">
          <cell r="A121" t="str">
            <v>PMB01</v>
          </cell>
          <cell r="C121" t="str">
            <v>MBO CAPITAL A</v>
          </cell>
          <cell r="K121">
            <v>256992</v>
          </cell>
        </row>
        <row r="122">
          <cell r="A122" t="str">
            <v>PMB01</v>
          </cell>
          <cell r="C122" t="str">
            <v>MBO CAPITAL A</v>
          </cell>
          <cell r="K122">
            <v>385489</v>
          </cell>
        </row>
        <row r="123">
          <cell r="A123" t="str">
            <v>PMB02</v>
          </cell>
          <cell r="C123" t="str">
            <v>MBO CAPITAL B</v>
          </cell>
          <cell r="K123">
            <v>40000</v>
          </cell>
        </row>
        <row r="124">
          <cell r="A124" t="str">
            <v>PMB02</v>
          </cell>
          <cell r="C124" t="str">
            <v>MBO CAPITAL B</v>
          </cell>
          <cell r="K124">
            <v>60000</v>
          </cell>
        </row>
        <row r="125">
          <cell r="A125" t="str">
            <v>PME01</v>
          </cell>
          <cell r="C125" t="str">
            <v>MENUCOURT</v>
          </cell>
          <cell r="K125">
            <v>6459.52</v>
          </cell>
        </row>
        <row r="126">
          <cell r="A126" t="str">
            <v>PMO01</v>
          </cell>
          <cell r="C126" t="str">
            <v>MONTAGNE DE LA FAGE</v>
          </cell>
          <cell r="K126">
            <v>29292969.329999998</v>
          </cell>
        </row>
        <row r="127">
          <cell r="A127" t="str">
            <v>POF01</v>
          </cell>
          <cell r="C127" t="str">
            <v>OFELIA</v>
          </cell>
          <cell r="K127">
            <v>45241434.340000004</v>
          </cell>
        </row>
        <row r="128">
          <cell r="A128" t="str">
            <v>PPA01</v>
          </cell>
          <cell r="C128" t="str">
            <v>PARC DE MONFORT</v>
          </cell>
          <cell r="K128">
            <v>1277783</v>
          </cell>
        </row>
        <row r="129">
          <cell r="A129" t="str">
            <v>PPA02</v>
          </cell>
          <cell r="C129" t="str">
            <v>PARTENAIRES MIDCAP A</v>
          </cell>
          <cell r="K129">
            <v>856312.46469329961</v>
          </cell>
        </row>
        <row r="130">
          <cell r="A130" t="str">
            <v>PPA03</v>
          </cell>
          <cell r="C130" t="str">
            <v>PARTENAIRES MIDCAP B</v>
          </cell>
          <cell r="K130">
            <v>15663.535306700453</v>
          </cell>
        </row>
        <row r="131">
          <cell r="A131" t="str">
            <v>PPA02</v>
          </cell>
          <cell r="C131" t="str">
            <v>PARTENAIRES MIDCAP A</v>
          </cell>
          <cell r="K131">
            <v>1819663.058390792</v>
          </cell>
        </row>
        <row r="132">
          <cell r="A132" t="str">
            <v>PPA03</v>
          </cell>
          <cell r="C132" t="str">
            <v>PARTENAIRES MIDCAP B</v>
          </cell>
          <cell r="K132">
            <v>33284.941609208043</v>
          </cell>
        </row>
        <row r="133">
          <cell r="A133" t="str">
            <v>PPA04</v>
          </cell>
          <cell r="C133" t="str">
            <v>PAI EUROPE 3-CA</v>
          </cell>
          <cell r="K133">
            <v>2295361.142960249</v>
          </cell>
        </row>
        <row r="134">
          <cell r="A134" t="str">
            <v>PPA05</v>
          </cell>
          <cell r="C134" t="str">
            <v>PAI EUROPE 3-CB</v>
          </cell>
          <cell r="K134">
            <v>6647.8570397505791</v>
          </cell>
        </row>
        <row r="135">
          <cell r="A135" t="str">
            <v>PPA04</v>
          </cell>
          <cell r="C135" t="str">
            <v>PAI EUROPE 3-CA</v>
          </cell>
          <cell r="K135">
            <v>656820.03445609973</v>
          </cell>
        </row>
        <row r="136">
          <cell r="A136" t="str">
            <v>PPA05</v>
          </cell>
          <cell r="C136" t="str">
            <v>PAI EUROPE 3-CB</v>
          </cell>
          <cell r="K136">
            <v>1661.9655439002215</v>
          </cell>
        </row>
        <row r="137">
          <cell r="A137" t="str">
            <v>PPB01</v>
          </cell>
          <cell r="C137" t="str">
            <v>PB 6</v>
          </cell>
          <cell r="K137">
            <v>60531647.140000001</v>
          </cell>
        </row>
        <row r="138">
          <cell r="A138" t="str">
            <v>PPE04</v>
          </cell>
          <cell r="C138" t="str">
            <v>PEGASE</v>
          </cell>
          <cell r="K138">
            <v>6098425.5800000001</v>
          </cell>
        </row>
        <row r="139">
          <cell r="A139" t="str">
            <v>PPE02</v>
          </cell>
          <cell r="C139" t="str">
            <v>PERFECTIS 1-A</v>
          </cell>
          <cell r="K139">
            <v>1525189.3637955417</v>
          </cell>
        </row>
        <row r="140">
          <cell r="A140" t="str">
            <v>PPE03</v>
          </cell>
          <cell r="C140" t="str">
            <v>PERFECTIS 1-B</v>
          </cell>
          <cell r="K140">
            <v>3087.6362044582129</v>
          </cell>
        </row>
        <row r="141">
          <cell r="A141" t="str">
            <v>PPO01</v>
          </cell>
          <cell r="C141" t="str">
            <v>POLISA VIE</v>
          </cell>
          <cell r="K141">
            <v>216496.70479187038</v>
          </cell>
        </row>
        <row r="142">
          <cell r="A142" t="str">
            <v>PPR01</v>
          </cell>
          <cell r="C142" t="str">
            <v>PREVIMUT</v>
          </cell>
          <cell r="K142">
            <v>30667170.73</v>
          </cell>
        </row>
        <row r="143">
          <cell r="A143" t="str">
            <v>PPR02</v>
          </cell>
          <cell r="C143" t="str">
            <v>PREVIPOSTE</v>
          </cell>
          <cell r="K143">
            <v>306969167.69</v>
          </cell>
        </row>
        <row r="144">
          <cell r="A144" t="str">
            <v>PPR03</v>
          </cell>
          <cell r="C144" t="str">
            <v>PREVISOL</v>
          </cell>
          <cell r="K144">
            <v>1365755.92</v>
          </cell>
        </row>
        <row r="145">
          <cell r="A145" t="str">
            <v>PPR07</v>
          </cell>
          <cell r="C145" t="str">
            <v>PREVISOL RETIRO</v>
          </cell>
          <cell r="K145">
            <v>0</v>
          </cell>
        </row>
        <row r="146">
          <cell r="A146" t="str">
            <v>PPR06</v>
          </cell>
          <cell r="C146" t="str">
            <v>PREVISOL VIDA</v>
          </cell>
          <cell r="K146">
            <v>4.0000000037252903E-2</v>
          </cell>
        </row>
        <row r="147">
          <cell r="A147" t="str">
            <v>PPR04</v>
          </cell>
          <cell r="C147" t="str">
            <v>PROVINCIA ART</v>
          </cell>
          <cell r="K147">
            <v>5861398.54</v>
          </cell>
        </row>
        <row r="148">
          <cell r="A148" t="str">
            <v>PPR05</v>
          </cell>
          <cell r="C148" t="str">
            <v>PROVINCIA VIDA</v>
          </cell>
          <cell r="K148">
            <v>3489099.66</v>
          </cell>
        </row>
        <row r="149">
          <cell r="A149" t="str">
            <v>PPY01</v>
          </cell>
          <cell r="C149" t="str">
            <v>PYRAMIDES1</v>
          </cell>
          <cell r="K149">
            <v>47507000</v>
          </cell>
        </row>
        <row r="150">
          <cell r="A150" t="str">
            <v>PRE01</v>
          </cell>
          <cell r="C150" t="str">
            <v>RENNES (RUE DE)</v>
          </cell>
          <cell r="K150">
            <v>71366595.230000004</v>
          </cell>
        </row>
        <row r="151">
          <cell r="A151" t="str">
            <v>PRE02</v>
          </cell>
          <cell r="C151" t="str">
            <v>RUEIL NEWTON (SCI)</v>
          </cell>
          <cell r="K151">
            <v>29063404.960000001</v>
          </cell>
        </row>
        <row r="152">
          <cell r="A152" t="str">
            <v>PSA02</v>
          </cell>
          <cell r="C152" t="str">
            <v>SAGE</v>
          </cell>
          <cell r="K152">
            <v>11029.52</v>
          </cell>
        </row>
        <row r="153">
          <cell r="A153" t="str">
            <v>PSA02</v>
          </cell>
          <cell r="C153" t="str">
            <v>SAGE</v>
          </cell>
          <cell r="K153">
            <v>231619.96</v>
          </cell>
        </row>
        <row r="154">
          <cell r="A154" t="str">
            <v>PSC01</v>
          </cell>
          <cell r="C154" t="str">
            <v>SCDC</v>
          </cell>
          <cell r="K154">
            <v>15.24</v>
          </cell>
        </row>
        <row r="155">
          <cell r="A155" t="str">
            <v>PSC02</v>
          </cell>
          <cell r="C155" t="str">
            <v>SCI DE LA CNP</v>
          </cell>
          <cell r="K155">
            <v>67561133.239999995</v>
          </cell>
        </row>
        <row r="156">
          <cell r="A156" t="str">
            <v>PSC02</v>
          </cell>
          <cell r="C156" t="str">
            <v>SCI DE LA CNP</v>
          </cell>
          <cell r="K156">
            <v>60026461.689999998</v>
          </cell>
        </row>
        <row r="157">
          <cell r="A157" t="str">
            <v>PSC08</v>
          </cell>
          <cell r="C157" t="str">
            <v>SCIENCE ET INNOVATION 2001 A</v>
          </cell>
          <cell r="K157">
            <v>868915.54947896919</v>
          </cell>
        </row>
        <row r="158">
          <cell r="A158" t="str">
            <v>PSC09</v>
          </cell>
          <cell r="C158" t="str">
            <v>SCIENCE ET INNOVATION 2001 B</v>
          </cell>
          <cell r="K158">
            <v>2577.4505210307066</v>
          </cell>
        </row>
        <row r="159">
          <cell r="A159" t="str">
            <v>PSI01</v>
          </cell>
          <cell r="C159" t="str">
            <v>SICAC</v>
          </cell>
          <cell r="K159">
            <v>46509257.590000004</v>
          </cell>
        </row>
        <row r="160">
          <cell r="A160" t="str">
            <v>PSI03</v>
          </cell>
          <cell r="C160" t="str">
            <v>SIPAREX 2 SPF</v>
          </cell>
          <cell r="K160">
            <v>6507986</v>
          </cell>
        </row>
        <row r="161">
          <cell r="A161" t="str">
            <v>PSI04</v>
          </cell>
          <cell r="C161" t="str">
            <v>SIRCE 2</v>
          </cell>
          <cell r="K161">
            <v>152.44999999999999</v>
          </cell>
        </row>
        <row r="162">
          <cell r="A162" t="str">
            <v>PSI05</v>
          </cell>
          <cell r="C162" t="str">
            <v>SIPAREX VENTURES I</v>
          </cell>
          <cell r="K162">
            <v>1390255</v>
          </cell>
        </row>
        <row r="163">
          <cell r="A163" t="str">
            <v>PSM01</v>
          </cell>
          <cell r="C163" t="str">
            <v>SMAF</v>
          </cell>
          <cell r="K163">
            <v>137204.12</v>
          </cell>
        </row>
        <row r="164">
          <cell r="A164" t="str">
            <v>PSO10</v>
          </cell>
          <cell r="C164" t="str">
            <v>SOFARIS</v>
          </cell>
          <cell r="K164">
            <v>152421.60999999999</v>
          </cell>
        </row>
        <row r="165">
          <cell r="A165" t="str">
            <v>PSO02</v>
          </cell>
          <cell r="C165" t="str">
            <v>SOGESTOP C</v>
          </cell>
          <cell r="K165">
            <v>31441.469999999998</v>
          </cell>
        </row>
        <row r="166">
          <cell r="A166" t="str">
            <v>PSO04</v>
          </cell>
          <cell r="C166" t="str">
            <v>SOGESTOP G</v>
          </cell>
          <cell r="K166">
            <v>91.47</v>
          </cell>
        </row>
        <row r="167">
          <cell r="A167" t="str">
            <v>PSO05</v>
          </cell>
          <cell r="C167" t="str">
            <v>SOGESTOP H</v>
          </cell>
          <cell r="K167">
            <v>341708.11999999732</v>
          </cell>
        </row>
        <row r="168">
          <cell r="A168" t="str">
            <v>PSO06</v>
          </cell>
          <cell r="C168" t="str">
            <v>SOGESTOP I</v>
          </cell>
          <cell r="K168">
            <v>10197.169999999998</v>
          </cell>
        </row>
        <row r="169">
          <cell r="A169" t="str">
            <v>PSO11</v>
          </cell>
          <cell r="C169" t="str">
            <v>SOFINNOVA CAPITAL 4</v>
          </cell>
          <cell r="K169">
            <v>1360000</v>
          </cell>
        </row>
        <row r="170">
          <cell r="A170" t="str">
            <v>PSO09</v>
          </cell>
          <cell r="C170" t="str">
            <v>SOFINNOVA VENTURE 5</v>
          </cell>
          <cell r="K170">
            <v>576658.74901029305</v>
          </cell>
        </row>
        <row r="171">
          <cell r="A171" t="str">
            <v>PSO09</v>
          </cell>
          <cell r="C171" t="str">
            <v>SOFINNOVA VENTURE 5</v>
          </cell>
          <cell r="K171">
            <v>1225399.8416468727</v>
          </cell>
        </row>
        <row r="172">
          <cell r="A172" t="str">
            <v>PSO12</v>
          </cell>
          <cell r="C172" t="str">
            <v>SONAE</v>
          </cell>
          <cell r="K172">
            <v>80000000</v>
          </cell>
        </row>
        <row r="173">
          <cell r="A173" t="str">
            <v>PSP01</v>
          </cell>
          <cell r="C173" t="str">
            <v>SPIFIC</v>
          </cell>
          <cell r="K173">
            <v>135765.62</v>
          </cell>
        </row>
        <row r="174">
          <cell r="A174" t="str">
            <v>PTR01</v>
          </cell>
          <cell r="C174" t="str">
            <v>TRUFFLE VENTURE</v>
          </cell>
          <cell r="K174">
            <v>1500000</v>
          </cell>
        </row>
        <row r="175">
          <cell r="A175" t="str">
            <v>PVE01</v>
          </cell>
          <cell r="C175" t="str">
            <v>VENDOME EUROPE</v>
          </cell>
          <cell r="K175">
            <v>12129562.5</v>
          </cell>
        </row>
        <row r="176">
          <cell r="A176" t="str">
            <v>PVI01</v>
          </cell>
          <cell r="C176" t="str">
            <v>VICTOR HUGO</v>
          </cell>
          <cell r="K176">
            <v>2034204.3599999999</v>
          </cell>
        </row>
        <row r="177">
          <cell r="A177" t="str">
            <v>PXA01</v>
          </cell>
          <cell r="C177" t="str">
            <v>XANGE CAPITAL</v>
          </cell>
          <cell r="K177">
            <v>1231600</v>
          </cell>
        </row>
      </sheetData>
      <sheetData sheetId="1" refreshError="1"/>
      <sheetData sheetId="2" refreshError="1">
        <row r="2">
          <cell r="G2">
            <v>16903.55</v>
          </cell>
        </row>
        <row r="3">
          <cell r="G3">
            <v>334.74</v>
          </cell>
        </row>
        <row r="4">
          <cell r="G4">
            <v>101512763.06999999</v>
          </cell>
        </row>
        <row r="5">
          <cell r="G5">
            <v>36617943.049999997</v>
          </cell>
        </row>
        <row r="6">
          <cell r="G6">
            <v>762092.64</v>
          </cell>
        </row>
        <row r="7">
          <cell r="G7">
            <v>5000000</v>
          </cell>
        </row>
        <row r="8">
          <cell r="G8">
            <v>1939516.95</v>
          </cell>
        </row>
        <row r="9">
          <cell r="G9">
            <v>762.25</v>
          </cell>
        </row>
        <row r="10">
          <cell r="G10">
            <v>187</v>
          </cell>
        </row>
        <row r="11">
          <cell r="G11">
            <v>1905.61</v>
          </cell>
        </row>
        <row r="12">
          <cell r="G12">
            <v>1524.49</v>
          </cell>
        </row>
        <row r="13">
          <cell r="G13">
            <v>7622450.8600000003</v>
          </cell>
        </row>
        <row r="14">
          <cell r="G14">
            <v>6402.86</v>
          </cell>
        </row>
        <row r="15">
          <cell r="G15">
            <v>0</v>
          </cell>
        </row>
        <row r="16">
          <cell r="G16">
            <v>914694.1</v>
          </cell>
        </row>
        <row r="17">
          <cell r="G17">
            <v>11166799.039999999</v>
          </cell>
        </row>
        <row r="18">
          <cell r="G18">
            <v>22295577.300000001</v>
          </cell>
        </row>
        <row r="19">
          <cell r="G19">
            <v>267112.94</v>
          </cell>
        </row>
        <row r="20">
          <cell r="G20">
            <v>1441490.13</v>
          </cell>
        </row>
        <row r="21">
          <cell r="G21">
            <v>15243651.640000001</v>
          </cell>
        </row>
        <row r="22">
          <cell r="G22">
            <v>15245000</v>
          </cell>
        </row>
        <row r="23">
          <cell r="G23">
            <v>2342546.84</v>
          </cell>
        </row>
        <row r="24">
          <cell r="G24">
            <v>2281831.2000000002</v>
          </cell>
        </row>
        <row r="25">
          <cell r="G25">
            <v>27567062.449999999</v>
          </cell>
        </row>
        <row r="26">
          <cell r="G26">
            <v>32226110</v>
          </cell>
        </row>
        <row r="27">
          <cell r="G27">
            <v>5863324.7199999997</v>
          </cell>
        </row>
        <row r="28">
          <cell r="G28">
            <v>26365430.859999999</v>
          </cell>
        </row>
        <row r="29">
          <cell r="G29">
            <v>511487.8</v>
          </cell>
        </row>
        <row r="30">
          <cell r="G30">
            <v>30784000</v>
          </cell>
        </row>
        <row r="31">
          <cell r="G31">
            <v>11957280</v>
          </cell>
        </row>
        <row r="32">
          <cell r="G32">
            <v>11589409.75</v>
          </cell>
        </row>
        <row r="33">
          <cell r="G33">
            <v>15001400</v>
          </cell>
        </row>
        <row r="34">
          <cell r="G34">
            <v>762.25</v>
          </cell>
        </row>
        <row r="35">
          <cell r="G35">
            <v>11915719.189999999</v>
          </cell>
        </row>
        <row r="36">
          <cell r="G36">
            <v>796961</v>
          </cell>
        </row>
        <row r="37">
          <cell r="G37">
            <v>0</v>
          </cell>
        </row>
        <row r="38">
          <cell r="G38">
            <v>23881151.25</v>
          </cell>
        </row>
        <row r="39">
          <cell r="G39">
            <v>10451887.24</v>
          </cell>
        </row>
        <row r="40">
          <cell r="G40">
            <v>7620</v>
          </cell>
        </row>
        <row r="41">
          <cell r="G41">
            <v>1187978.8400000001</v>
          </cell>
        </row>
        <row r="42">
          <cell r="G42">
            <v>80000000</v>
          </cell>
        </row>
        <row r="43">
          <cell r="G43">
            <v>762.25</v>
          </cell>
        </row>
        <row r="45">
          <cell r="G45">
            <v>0</v>
          </cell>
        </row>
        <row r="46">
          <cell r="G46">
            <v>38684330.420000002</v>
          </cell>
        </row>
        <row r="47">
          <cell r="G47">
            <v>33829456.990000002</v>
          </cell>
        </row>
        <row r="48">
          <cell r="G48">
            <v>1400.73</v>
          </cell>
        </row>
        <row r="49">
          <cell r="G49">
            <v>19529.84</v>
          </cell>
        </row>
        <row r="50">
          <cell r="G50">
            <v>408.52</v>
          </cell>
        </row>
        <row r="51">
          <cell r="G51">
            <v>34531647.140000001</v>
          </cell>
        </row>
        <row r="52">
          <cell r="G52">
            <v>10879.52</v>
          </cell>
        </row>
        <row r="53">
          <cell r="G53">
            <v>22867352.59</v>
          </cell>
        </row>
        <row r="54">
          <cell r="G54">
            <v>-15755.1</v>
          </cell>
        </row>
        <row r="55">
          <cell r="G55">
            <v>0</v>
          </cell>
        </row>
        <row r="56">
          <cell r="G56">
            <v>27295724.280000001</v>
          </cell>
        </row>
        <row r="57">
          <cell r="G57">
            <v>3185445.46</v>
          </cell>
        </row>
        <row r="58">
          <cell r="G58">
            <v>13919260.119999999</v>
          </cell>
        </row>
        <row r="59">
          <cell r="G59">
            <v>25756365.600000001</v>
          </cell>
        </row>
        <row r="60">
          <cell r="G60">
            <v>17783226.109999999</v>
          </cell>
        </row>
        <row r="61">
          <cell r="G61">
            <v>18421421.440000001</v>
          </cell>
        </row>
        <row r="62">
          <cell r="G62">
            <v>3077250</v>
          </cell>
        </row>
        <row r="63">
          <cell r="G63">
            <v>2754590.19</v>
          </cell>
        </row>
        <row r="64">
          <cell r="G64">
            <v>23630919.329999998</v>
          </cell>
        </row>
        <row r="65">
          <cell r="G65">
            <v>33202170</v>
          </cell>
        </row>
        <row r="66">
          <cell r="G66">
            <v>5301464.58</v>
          </cell>
        </row>
        <row r="67">
          <cell r="G67">
            <v>22656082.219999999</v>
          </cell>
        </row>
        <row r="68">
          <cell r="G68">
            <v>40398989.560000002</v>
          </cell>
        </row>
        <row r="69">
          <cell r="G69">
            <v>29351380</v>
          </cell>
        </row>
        <row r="70">
          <cell r="G70">
            <v>228469.96</v>
          </cell>
        </row>
        <row r="71">
          <cell r="G71">
            <v>13270912.5</v>
          </cell>
        </row>
        <row r="72">
          <cell r="G72">
            <v>63795919.670000002</v>
          </cell>
        </row>
        <row r="73">
          <cell r="G73">
            <v>16903.55</v>
          </cell>
        </row>
        <row r="74">
          <cell r="G74">
            <v>19516.37</v>
          </cell>
        </row>
        <row r="75">
          <cell r="G75">
            <v>59.22</v>
          </cell>
        </row>
        <row r="76">
          <cell r="G76">
            <v>91.47</v>
          </cell>
        </row>
        <row r="77">
          <cell r="G77">
            <v>91.47</v>
          </cell>
        </row>
        <row r="78">
          <cell r="G78">
            <v>76.22</v>
          </cell>
        </row>
        <row r="79">
          <cell r="G79">
            <v>0</v>
          </cell>
        </row>
        <row r="80">
          <cell r="G80">
            <v>-3079779</v>
          </cell>
        </row>
        <row r="81">
          <cell r="G81">
            <v>-4781880</v>
          </cell>
        </row>
        <row r="82">
          <cell r="G82">
            <v>-12989993.439999999</v>
          </cell>
        </row>
        <row r="83">
          <cell r="G83">
            <v>-25423471.379999999</v>
          </cell>
        </row>
        <row r="84">
          <cell r="G84">
            <v>158353.13</v>
          </cell>
        </row>
        <row r="85">
          <cell r="G85">
            <v>2505007.62</v>
          </cell>
        </row>
        <row r="86">
          <cell r="G86">
            <v>0</v>
          </cell>
        </row>
        <row r="87">
          <cell r="G87">
            <v>9438.27</v>
          </cell>
        </row>
        <row r="88">
          <cell r="G88">
            <v>1994873</v>
          </cell>
        </row>
        <row r="89">
          <cell r="G89">
            <v>0</v>
          </cell>
        </row>
        <row r="90">
          <cell r="G90">
            <v>1091843.8799999999</v>
          </cell>
        </row>
        <row r="91">
          <cell r="G91">
            <v>2008270.05</v>
          </cell>
        </row>
        <row r="92">
          <cell r="G92">
            <v>7607.21</v>
          </cell>
        </row>
        <row r="93">
          <cell r="G93">
            <v>297168.87</v>
          </cell>
        </row>
        <row r="94">
          <cell r="G94">
            <v>1000</v>
          </cell>
        </row>
        <row r="95">
          <cell r="G95">
            <v>2002647.67</v>
          </cell>
        </row>
        <row r="96">
          <cell r="G96">
            <v>0</v>
          </cell>
        </row>
        <row r="97">
          <cell r="G97">
            <v>0</v>
          </cell>
        </row>
        <row r="98">
          <cell r="G98">
            <v>0</v>
          </cell>
        </row>
        <row r="99">
          <cell r="G99">
            <v>3921750.97</v>
          </cell>
        </row>
        <row r="100">
          <cell r="G100">
            <v>5025000</v>
          </cell>
        </row>
        <row r="101">
          <cell r="G101">
            <v>136170</v>
          </cell>
        </row>
        <row r="102">
          <cell r="G102">
            <v>1395800</v>
          </cell>
        </row>
        <row r="103">
          <cell r="G103">
            <v>1001346.89</v>
          </cell>
        </row>
        <row r="104">
          <cell r="G104">
            <v>1979414.09</v>
          </cell>
        </row>
        <row r="105">
          <cell r="G105">
            <v>1568116.51</v>
          </cell>
        </row>
        <row r="106">
          <cell r="G106">
            <v>0</v>
          </cell>
        </row>
        <row r="107">
          <cell r="G107">
            <v>2364810.4700000002</v>
          </cell>
        </row>
        <row r="108">
          <cell r="G108">
            <v>4000000</v>
          </cell>
        </row>
        <row r="109">
          <cell r="G109">
            <v>1266825.02</v>
          </cell>
        </row>
        <row r="110">
          <cell r="G110">
            <v>759101.67</v>
          </cell>
        </row>
        <row r="111">
          <cell r="G111">
            <v>7917656.3700000001</v>
          </cell>
        </row>
        <row r="112">
          <cell r="G112">
            <v>1959952.43</v>
          </cell>
        </row>
        <row r="113">
          <cell r="G113">
            <v>40000</v>
          </cell>
        </row>
        <row r="114">
          <cell r="G114">
            <v>1562706.71</v>
          </cell>
        </row>
        <row r="115">
          <cell r="G115">
            <v>16000</v>
          </cell>
        </row>
        <row r="116">
          <cell r="G116">
            <v>1998644.54</v>
          </cell>
        </row>
        <row r="117">
          <cell r="G117">
            <v>2000</v>
          </cell>
        </row>
        <row r="118">
          <cell r="G118">
            <v>0</v>
          </cell>
        </row>
        <row r="119">
          <cell r="G119">
            <v>0</v>
          </cell>
        </row>
        <row r="120">
          <cell r="G120">
            <v>15.24</v>
          </cell>
        </row>
        <row r="121">
          <cell r="G121">
            <v>0</v>
          </cell>
        </row>
        <row r="122">
          <cell r="G122">
            <v>0</v>
          </cell>
        </row>
        <row r="123">
          <cell r="G123">
            <v>152.44999999999999</v>
          </cell>
        </row>
        <row r="124">
          <cell r="G124">
            <v>2919238.77</v>
          </cell>
        </row>
        <row r="125">
          <cell r="G125">
            <v>137204.12</v>
          </cell>
        </row>
        <row r="126">
          <cell r="G126">
            <v>1266825.02</v>
          </cell>
        </row>
        <row r="127">
          <cell r="G127">
            <v>85959.9</v>
          </cell>
        </row>
        <row r="128">
          <cell r="G128">
            <v>1500000</v>
          </cell>
        </row>
        <row r="129">
          <cell r="G129">
            <v>4999119.18</v>
          </cell>
        </row>
        <row r="130">
          <cell r="G130">
            <v>5000</v>
          </cell>
        </row>
        <row r="131">
          <cell r="G131">
            <v>1862000</v>
          </cell>
        </row>
        <row r="132">
          <cell r="G132">
            <v>133000</v>
          </cell>
        </row>
        <row r="133">
          <cell r="G133">
            <v>4925843.84</v>
          </cell>
        </row>
        <row r="134">
          <cell r="G134">
            <v>5010015.25</v>
          </cell>
        </row>
        <row r="135">
          <cell r="G135">
            <v>2992309</v>
          </cell>
        </row>
        <row r="136">
          <cell r="G136">
            <v>2871126</v>
          </cell>
        </row>
        <row r="137">
          <cell r="G137">
            <v>1998</v>
          </cell>
        </row>
        <row r="138">
          <cell r="G138">
            <v>4962500</v>
          </cell>
        </row>
        <row r="139">
          <cell r="G139">
            <v>37500</v>
          </cell>
        </row>
        <row r="140">
          <cell r="G140">
            <v>3960000</v>
          </cell>
        </row>
        <row r="141">
          <cell r="G141">
            <v>40000</v>
          </cell>
        </row>
        <row r="142">
          <cell r="G142">
            <v>5020675.12</v>
          </cell>
        </row>
        <row r="143">
          <cell r="G143">
            <v>6292397.4699999997</v>
          </cell>
        </row>
        <row r="144">
          <cell r="G144">
            <v>5000000</v>
          </cell>
        </row>
        <row r="145">
          <cell r="G145">
            <v>3003971.51</v>
          </cell>
        </row>
        <row r="146">
          <cell r="G146">
            <v>5000000</v>
          </cell>
        </row>
        <row r="147">
          <cell r="G147">
            <v>2028179.86</v>
          </cell>
        </row>
        <row r="148">
          <cell r="G148">
            <v>12000</v>
          </cell>
        </row>
        <row r="149">
          <cell r="G149">
            <v>5428955.6600000001</v>
          </cell>
        </row>
        <row r="150">
          <cell r="G150">
            <v>6100</v>
          </cell>
        </row>
        <row r="151">
          <cell r="G151">
            <v>5000000</v>
          </cell>
        </row>
        <row r="152">
          <cell r="G152">
            <v>4873586</v>
          </cell>
        </row>
        <row r="153">
          <cell r="G153">
            <v>2965623</v>
          </cell>
        </row>
        <row r="154">
          <cell r="G154">
            <v>2002693.77</v>
          </cell>
        </row>
        <row r="155">
          <cell r="G155">
            <v>4994503.8600000003</v>
          </cell>
        </row>
        <row r="156">
          <cell r="G156">
            <v>10000</v>
          </cell>
        </row>
        <row r="157">
          <cell r="G157">
            <v>3075517.75</v>
          </cell>
        </row>
        <row r="158">
          <cell r="G158">
            <v>3332247.58</v>
          </cell>
        </row>
        <row r="160">
          <cell r="G160">
            <v>5000000</v>
          </cell>
        </row>
        <row r="161">
          <cell r="G161">
            <v>2692003.17</v>
          </cell>
        </row>
        <row r="162">
          <cell r="G162">
            <v>3167062.55</v>
          </cell>
        </row>
        <row r="163">
          <cell r="G163">
            <v>2939928.65</v>
          </cell>
        </row>
        <row r="164">
          <cell r="G164">
            <v>60000</v>
          </cell>
        </row>
        <row r="165">
          <cell r="G165">
            <v>3320754.77</v>
          </cell>
        </row>
        <row r="166">
          <cell r="G166">
            <v>34000</v>
          </cell>
        </row>
        <row r="167">
          <cell r="G167">
            <v>7459944.8399999999</v>
          </cell>
        </row>
        <row r="168">
          <cell r="G168">
            <v>8000</v>
          </cell>
        </row>
        <row r="169">
          <cell r="G169">
            <v>3053900</v>
          </cell>
        </row>
        <row r="170">
          <cell r="G170">
            <v>3000</v>
          </cell>
        </row>
        <row r="171">
          <cell r="G171">
            <v>3111366.32</v>
          </cell>
        </row>
        <row r="172">
          <cell r="G172">
            <v>3000</v>
          </cell>
        </row>
        <row r="173">
          <cell r="G173">
            <v>2692003.17</v>
          </cell>
        </row>
        <row r="174">
          <cell r="G174">
            <v>5000000</v>
          </cell>
        </row>
        <row r="175">
          <cell r="G175">
            <v>1231600</v>
          </cell>
        </row>
        <row r="176">
          <cell r="G176">
            <v>0</v>
          </cell>
        </row>
        <row r="177">
          <cell r="G177">
            <v>-1392383.39</v>
          </cell>
        </row>
        <row r="178">
          <cell r="G178">
            <v>-1006413</v>
          </cell>
        </row>
        <row r="179">
          <cell r="G179">
            <v>0</v>
          </cell>
        </row>
        <row r="180">
          <cell r="G180">
            <v>-296912.11</v>
          </cell>
        </row>
        <row r="181">
          <cell r="G181">
            <v>-1820736.03</v>
          </cell>
        </row>
        <row r="182">
          <cell r="G182">
            <v>-866628.27</v>
          </cell>
        </row>
        <row r="183">
          <cell r="G183">
            <v>0</v>
          </cell>
        </row>
        <row r="184">
          <cell r="G184">
            <v>0</v>
          </cell>
        </row>
        <row r="185">
          <cell r="G185">
            <v>-799181</v>
          </cell>
        </row>
        <row r="186">
          <cell r="G186">
            <v>-775000</v>
          </cell>
        </row>
        <row r="187">
          <cell r="G187">
            <v>-1832739.51</v>
          </cell>
        </row>
        <row r="188">
          <cell r="G188">
            <v>-823200</v>
          </cell>
        </row>
        <row r="189">
          <cell r="G189">
            <v>-323860.78000000003</v>
          </cell>
        </row>
        <row r="190">
          <cell r="G190">
            <v>-3600000</v>
          </cell>
        </row>
        <row r="191">
          <cell r="G191">
            <v>-722090.26</v>
          </cell>
        </row>
        <row r="192">
          <cell r="G192">
            <v>-1731156.77</v>
          </cell>
        </row>
        <row r="193">
          <cell r="G193">
            <v>-1657417.91</v>
          </cell>
        </row>
        <row r="194">
          <cell r="G194">
            <v>-688000</v>
          </cell>
        </row>
        <row r="195">
          <cell r="G195">
            <v>-1104380</v>
          </cell>
        </row>
        <row r="196">
          <cell r="G196">
            <v>0</v>
          </cell>
        </row>
        <row r="197">
          <cell r="G197">
            <v>0</v>
          </cell>
        </row>
        <row r="198">
          <cell r="G198">
            <v>-0.02</v>
          </cell>
        </row>
        <row r="199">
          <cell r="G199">
            <v>-316706.26</v>
          </cell>
        </row>
        <row r="200">
          <cell r="G200">
            <v>-975000</v>
          </cell>
        </row>
        <row r="201">
          <cell r="G201">
            <v>-3600000</v>
          </cell>
        </row>
        <row r="202">
          <cell r="G202">
            <v>0</v>
          </cell>
        </row>
        <row r="203">
          <cell r="G203">
            <v>-1489600</v>
          </cell>
        </row>
        <row r="204">
          <cell r="G204">
            <v>-1990000</v>
          </cell>
        </row>
        <row r="205">
          <cell r="G205">
            <v>-2784766.79</v>
          </cell>
        </row>
        <row r="206">
          <cell r="G206">
            <v>-1509624</v>
          </cell>
        </row>
        <row r="207">
          <cell r="G207">
            <v>-509490</v>
          </cell>
        </row>
        <row r="208">
          <cell r="G208">
            <v>-2980596.6</v>
          </cell>
        </row>
        <row r="209">
          <cell r="G209">
            <v>-22523.4</v>
          </cell>
        </row>
        <row r="210">
          <cell r="G210">
            <v>-2861279</v>
          </cell>
        </row>
        <row r="211">
          <cell r="G211">
            <v>-4551840.07</v>
          </cell>
        </row>
        <row r="212">
          <cell r="G212">
            <v>-5663098.2999999998</v>
          </cell>
        </row>
        <row r="213">
          <cell r="G213">
            <v>-4500000</v>
          </cell>
        </row>
        <row r="214">
          <cell r="G214">
            <v>-1299941.8999999999</v>
          </cell>
        </row>
        <row r="215">
          <cell r="G215">
            <v>-4902114.33</v>
          </cell>
        </row>
        <row r="216">
          <cell r="G216">
            <v>-1320000</v>
          </cell>
        </row>
        <row r="217">
          <cell r="G217">
            <v>-1952000</v>
          </cell>
        </row>
        <row r="218">
          <cell r="G218">
            <v>-1952</v>
          </cell>
        </row>
        <row r="219">
          <cell r="G219">
            <v>-4215000</v>
          </cell>
        </row>
        <row r="220">
          <cell r="G220">
            <v>-3300000</v>
          </cell>
        </row>
        <row r="221">
          <cell r="G221">
            <v>-1698760</v>
          </cell>
        </row>
        <row r="222">
          <cell r="G222">
            <v>-1550000</v>
          </cell>
        </row>
        <row r="223">
          <cell r="G223">
            <v>-4300000</v>
          </cell>
        </row>
        <row r="224">
          <cell r="G224">
            <v>-1591947.84</v>
          </cell>
        </row>
        <row r="225">
          <cell r="G225">
            <v>-1749300</v>
          </cell>
        </row>
        <row r="226">
          <cell r="G226">
            <v>-3532581.59</v>
          </cell>
        </row>
        <row r="227">
          <cell r="G227">
            <v>-1534441.81</v>
          </cell>
        </row>
        <row r="228">
          <cell r="G228">
            <v>-2023752.97</v>
          </cell>
        </row>
        <row r="229">
          <cell r="G229">
            <v>-2486126.87</v>
          </cell>
        </row>
        <row r="230">
          <cell r="G230">
            <v>-1462000</v>
          </cell>
        </row>
        <row r="231">
          <cell r="G231">
            <v>-4000520</v>
          </cell>
        </row>
        <row r="232">
          <cell r="G232">
            <v>-1572000</v>
          </cell>
        </row>
        <row r="233">
          <cell r="G233">
            <v>-2100000</v>
          </cell>
        </row>
        <row r="234">
          <cell r="G234">
            <v>-673000.79</v>
          </cell>
        </row>
        <row r="235">
          <cell r="G235">
            <v>-3250000</v>
          </cell>
        </row>
        <row r="236">
          <cell r="G236">
            <v>-615800</v>
          </cell>
        </row>
        <row r="238">
          <cell r="G238">
            <v>2876920</v>
          </cell>
        </row>
        <row r="239">
          <cell r="G239">
            <v>0</v>
          </cell>
        </row>
        <row r="240">
          <cell r="G240">
            <v>0</v>
          </cell>
        </row>
        <row r="241">
          <cell r="G241">
            <v>71848687.189999998</v>
          </cell>
        </row>
        <row r="242">
          <cell r="G242">
            <v>60026461.689999998</v>
          </cell>
        </row>
        <row r="243">
          <cell r="G243">
            <v>371802274.02999997</v>
          </cell>
        </row>
        <row r="244">
          <cell r="G244">
            <v>94061043.640000001</v>
          </cell>
        </row>
        <row r="245">
          <cell r="G245">
            <v>455636957.69</v>
          </cell>
        </row>
        <row r="246">
          <cell r="G246">
            <v>245595275.30000001</v>
          </cell>
        </row>
        <row r="247">
          <cell r="G247">
            <v>23324608.170000002</v>
          </cell>
        </row>
        <row r="249">
          <cell r="G249">
            <v>508701152.80000001</v>
          </cell>
        </row>
        <row r="250">
          <cell r="G250">
            <v>50511085.68</v>
          </cell>
        </row>
        <row r="251">
          <cell r="G251">
            <v>26273556.82</v>
          </cell>
        </row>
        <row r="252">
          <cell r="G252">
            <v>22409853.079999998</v>
          </cell>
        </row>
        <row r="254">
          <cell r="G254">
            <v>125770256.28</v>
          </cell>
        </row>
        <row r="255">
          <cell r="G255">
            <v>10295316.609999999</v>
          </cell>
        </row>
        <row r="256">
          <cell r="G256">
            <v>6348195.0599999996</v>
          </cell>
        </row>
        <row r="257">
          <cell r="G257">
            <v>990.92</v>
          </cell>
        </row>
        <row r="258">
          <cell r="G258">
            <v>134412468.34999999</v>
          </cell>
        </row>
        <row r="259">
          <cell r="G259">
            <v>49560.21</v>
          </cell>
        </row>
        <row r="260">
          <cell r="G260">
            <v>1000</v>
          </cell>
        </row>
        <row r="261">
          <cell r="G261">
            <v>7683339</v>
          </cell>
        </row>
        <row r="262">
          <cell r="G262">
            <v>7622.45</v>
          </cell>
        </row>
        <row r="263">
          <cell r="G263">
            <v>37705996.280000001</v>
          </cell>
        </row>
        <row r="264">
          <cell r="G264">
            <v>76133.039999999994</v>
          </cell>
        </row>
        <row r="265">
          <cell r="G265">
            <v>38020.78</v>
          </cell>
        </row>
        <row r="266">
          <cell r="G266">
            <v>9148944.2100000009</v>
          </cell>
        </row>
        <row r="267">
          <cell r="G267">
            <v>3050738.08</v>
          </cell>
        </row>
        <row r="268">
          <cell r="G268">
            <v>0</v>
          </cell>
        </row>
        <row r="270">
          <cell r="G270">
            <v>60133195.090000004</v>
          </cell>
        </row>
        <row r="271">
          <cell r="G271">
            <v>2289000</v>
          </cell>
        </row>
        <row r="272">
          <cell r="G272">
            <v>22867.35</v>
          </cell>
        </row>
        <row r="273">
          <cell r="G273">
            <v>13000000</v>
          </cell>
        </row>
        <row r="274">
          <cell r="G274">
            <v>0</v>
          </cell>
        </row>
        <row r="275">
          <cell r="G275">
            <v>92</v>
          </cell>
        </row>
        <row r="276">
          <cell r="G276">
            <v>114.34</v>
          </cell>
        </row>
        <row r="277">
          <cell r="G277">
            <v>91.47</v>
          </cell>
        </row>
        <row r="278">
          <cell r="G278">
            <v>91.47</v>
          </cell>
        </row>
        <row r="279">
          <cell r="G279">
            <v>91.47</v>
          </cell>
        </row>
        <row r="280">
          <cell r="G280">
            <v>60.98</v>
          </cell>
        </row>
        <row r="281">
          <cell r="G281">
            <v>152.44999999999999</v>
          </cell>
        </row>
        <row r="282">
          <cell r="G282">
            <v>45.73</v>
          </cell>
        </row>
        <row r="283">
          <cell r="G283">
            <v>167.69</v>
          </cell>
        </row>
        <row r="284">
          <cell r="G284">
            <v>91.47</v>
          </cell>
        </row>
        <row r="285">
          <cell r="G285">
            <v>76.22</v>
          </cell>
        </row>
        <row r="286">
          <cell r="G286">
            <v>6060127.2199999997</v>
          </cell>
        </row>
        <row r="287">
          <cell r="G287">
            <v>0</v>
          </cell>
        </row>
        <row r="288">
          <cell r="G288">
            <v>0</v>
          </cell>
        </row>
        <row r="289">
          <cell r="G289">
            <v>5189364.55</v>
          </cell>
        </row>
        <row r="290">
          <cell r="G290">
            <v>2401250.0499999998</v>
          </cell>
        </row>
        <row r="291">
          <cell r="G291">
            <v>7226540.9199999999</v>
          </cell>
        </row>
        <row r="292">
          <cell r="G292">
            <v>5861398.54</v>
          </cell>
        </row>
        <row r="293">
          <cell r="G293">
            <v>4967142.66</v>
          </cell>
        </row>
        <row r="294">
          <cell r="G294">
            <v>827022.04</v>
          </cell>
        </row>
        <row r="295">
          <cell r="G295">
            <v>819732.72</v>
          </cell>
        </row>
        <row r="296">
          <cell r="G296">
            <v>7125.89</v>
          </cell>
        </row>
        <row r="297">
          <cell r="G297">
            <v>0</v>
          </cell>
        </row>
        <row r="298">
          <cell r="G298">
            <v>0</v>
          </cell>
        </row>
        <row r="299">
          <cell r="G299">
            <v>0</v>
          </cell>
        </row>
        <row r="300">
          <cell r="G300">
            <v>0</v>
          </cell>
        </row>
        <row r="301">
          <cell r="G301">
            <v>0</v>
          </cell>
        </row>
        <row r="302">
          <cell r="G302">
            <v>10005.27</v>
          </cell>
        </row>
        <row r="303">
          <cell r="G303">
            <v>243.92</v>
          </cell>
        </row>
        <row r="304">
          <cell r="G304">
            <v>145021994.91999999</v>
          </cell>
        </row>
        <row r="305">
          <cell r="G305">
            <v>32467501.18</v>
          </cell>
        </row>
        <row r="306">
          <cell r="G306">
            <v>381107.3</v>
          </cell>
        </row>
        <row r="307">
          <cell r="G307">
            <v>3019123.89</v>
          </cell>
        </row>
        <row r="308">
          <cell r="G308">
            <v>2501596</v>
          </cell>
        </row>
        <row r="309">
          <cell r="G309">
            <v>12500</v>
          </cell>
        </row>
        <row r="310">
          <cell r="G310">
            <v>0</v>
          </cell>
        </row>
        <row r="311">
          <cell r="G311">
            <v>7310783.9000000004</v>
          </cell>
        </row>
        <row r="312">
          <cell r="G312">
            <v>1749500</v>
          </cell>
        </row>
        <row r="313">
          <cell r="G313">
            <v>3999970</v>
          </cell>
        </row>
        <row r="314">
          <cell r="G314">
            <v>0</v>
          </cell>
        </row>
        <row r="315">
          <cell r="G315">
            <v>440000.03</v>
          </cell>
        </row>
        <row r="316">
          <cell r="G316">
            <v>5869.29</v>
          </cell>
        </row>
        <row r="317">
          <cell r="G317">
            <v>914403.92</v>
          </cell>
        </row>
        <row r="318">
          <cell r="G318">
            <v>0</v>
          </cell>
        </row>
        <row r="319">
          <cell r="G319">
            <v>5920192.1100000003</v>
          </cell>
        </row>
        <row r="320">
          <cell r="G320">
            <v>0</v>
          </cell>
        </row>
        <row r="321">
          <cell r="G321">
            <v>0</v>
          </cell>
        </row>
        <row r="322">
          <cell r="G322">
            <v>0</v>
          </cell>
        </row>
        <row r="323">
          <cell r="G323">
            <v>0</v>
          </cell>
        </row>
        <row r="324">
          <cell r="G324">
            <v>0</v>
          </cell>
        </row>
        <row r="325">
          <cell r="G325">
            <v>1363214.09</v>
          </cell>
        </row>
        <row r="326">
          <cell r="G326">
            <v>0</v>
          </cell>
        </row>
        <row r="327">
          <cell r="G327">
            <v>0</v>
          </cell>
        </row>
        <row r="328">
          <cell r="G328">
            <v>0</v>
          </cell>
        </row>
        <row r="329">
          <cell r="G329">
            <v>15.24</v>
          </cell>
        </row>
        <row r="330">
          <cell r="G330">
            <v>10</v>
          </cell>
        </row>
        <row r="331">
          <cell r="G331">
            <v>15.24</v>
          </cell>
        </row>
        <row r="332">
          <cell r="G332">
            <v>100</v>
          </cell>
        </row>
        <row r="333">
          <cell r="G333">
            <v>30</v>
          </cell>
        </row>
        <row r="334">
          <cell r="G334">
            <v>7622.45</v>
          </cell>
        </row>
        <row r="335">
          <cell r="G335">
            <v>0</v>
          </cell>
        </row>
        <row r="336">
          <cell r="G336">
            <v>0</v>
          </cell>
        </row>
        <row r="337">
          <cell r="G337">
            <v>0</v>
          </cell>
        </row>
        <row r="338">
          <cell r="G338">
            <v>-1054204.6399999999</v>
          </cell>
        </row>
        <row r="339">
          <cell r="G339">
            <v>-1250000</v>
          </cell>
        </row>
        <row r="340">
          <cell r="G340">
            <v>-3000000</v>
          </cell>
        </row>
        <row r="341">
          <cell r="G341">
            <v>-1200000</v>
          </cell>
        </row>
        <row r="342">
          <cell r="G342">
            <v>-220000.09</v>
          </cell>
        </row>
        <row r="343">
          <cell r="G343">
            <v>0</v>
          </cell>
        </row>
        <row r="344">
          <cell r="G344">
            <v>0</v>
          </cell>
        </row>
        <row r="345">
          <cell r="G345">
            <v>0</v>
          </cell>
        </row>
        <row r="346">
          <cell r="G346">
            <v>0</v>
          </cell>
        </row>
        <row r="347">
          <cell r="G347">
            <v>0</v>
          </cell>
        </row>
        <row r="348">
          <cell r="G348">
            <v>0</v>
          </cell>
        </row>
        <row r="349">
          <cell r="G349">
            <v>0</v>
          </cell>
        </row>
        <row r="350">
          <cell r="G350">
            <v>-33287.599999999999</v>
          </cell>
        </row>
        <row r="352">
          <cell r="G352">
            <v>-4754391.37</v>
          </cell>
        </row>
        <row r="353">
          <cell r="G353">
            <v>-9622225.1699999999</v>
          </cell>
        </row>
        <row r="354">
          <cell r="G354">
            <v>-6252.86</v>
          </cell>
        </row>
        <row r="356">
          <cell r="G356">
            <v>-11166799.24</v>
          </cell>
        </row>
        <row r="357">
          <cell r="G357">
            <v>-21938205.550000001</v>
          </cell>
        </row>
        <row r="358">
          <cell r="G358">
            <v>-131428.07999999999</v>
          </cell>
        </row>
        <row r="359">
          <cell r="G359">
            <v>0</v>
          </cell>
        </row>
        <row r="360">
          <cell r="G360">
            <v>-2093400</v>
          </cell>
        </row>
        <row r="361">
          <cell r="G361">
            <v>0</v>
          </cell>
        </row>
        <row r="362">
          <cell r="G362">
            <v>0</v>
          </cell>
        </row>
        <row r="363">
          <cell r="G363">
            <v>-100466.73</v>
          </cell>
        </row>
        <row r="364">
          <cell r="G364">
            <v>0</v>
          </cell>
        </row>
        <row r="365">
          <cell r="G365">
            <v>0</v>
          </cell>
        </row>
        <row r="366">
          <cell r="G366">
            <v>0</v>
          </cell>
        </row>
        <row r="367">
          <cell r="G367">
            <v>0</v>
          </cell>
        </row>
        <row r="368">
          <cell r="G368">
            <v>-303215.03999999998</v>
          </cell>
        </row>
        <row r="369">
          <cell r="G369">
            <v>-1184828.8400000001</v>
          </cell>
        </row>
        <row r="370">
          <cell r="G370">
            <v>-1142112.25</v>
          </cell>
        </row>
        <row r="371">
          <cell r="G371">
            <v>0</v>
          </cell>
        </row>
        <row r="372">
          <cell r="G372">
            <v>-1923344.66</v>
          </cell>
        </row>
        <row r="373">
          <cell r="G373">
            <v>0</v>
          </cell>
        </row>
        <row r="374">
          <cell r="G374">
            <v>-49560.21</v>
          </cell>
        </row>
        <row r="375">
          <cell r="G375">
            <v>-25000000</v>
          </cell>
        </row>
        <row r="376">
          <cell r="G376">
            <v>-3278577</v>
          </cell>
        </row>
        <row r="377">
          <cell r="G377">
            <v>0</v>
          </cell>
        </row>
        <row r="378">
          <cell r="G378">
            <v>0</v>
          </cell>
        </row>
        <row r="379">
          <cell r="G379">
            <v>-2984194.05</v>
          </cell>
        </row>
        <row r="380">
          <cell r="G380">
            <v>-37497</v>
          </cell>
        </row>
        <row r="381">
          <cell r="G381">
            <v>-182218</v>
          </cell>
        </row>
        <row r="382">
          <cell r="G382">
            <v>0</v>
          </cell>
        </row>
        <row r="383">
          <cell r="G383">
            <v>-335252</v>
          </cell>
        </row>
        <row r="384">
          <cell r="G384">
            <v>-429426.8</v>
          </cell>
        </row>
        <row r="385">
          <cell r="G385">
            <v>-1563970</v>
          </cell>
        </row>
        <row r="386">
          <cell r="G386">
            <v>-10779</v>
          </cell>
        </row>
        <row r="387">
          <cell r="G387">
            <v>-32390</v>
          </cell>
        </row>
        <row r="388">
          <cell r="G388">
            <v>-91350.75</v>
          </cell>
        </row>
        <row r="389">
          <cell r="G389">
            <v>-1742771.18</v>
          </cell>
        </row>
        <row r="390">
          <cell r="G390">
            <v>0</v>
          </cell>
        </row>
        <row r="391">
          <cell r="G391">
            <v>0</v>
          </cell>
        </row>
        <row r="392">
          <cell r="G392">
            <v>-103851</v>
          </cell>
        </row>
        <row r="393">
          <cell r="G393">
            <v>0</v>
          </cell>
        </row>
        <row r="394">
          <cell r="G394">
            <v>-2184753.35</v>
          </cell>
        </row>
        <row r="395">
          <cell r="G395">
            <v>-7038871.2800000003</v>
          </cell>
        </row>
        <row r="396">
          <cell r="G396">
            <v>-5860785</v>
          </cell>
        </row>
        <row r="397">
          <cell r="G397">
            <v>-1478043</v>
          </cell>
        </row>
        <row r="398">
          <cell r="G398">
            <v>-827022</v>
          </cell>
        </row>
        <row r="399">
          <cell r="G399">
            <v>-819732.72</v>
          </cell>
        </row>
        <row r="401">
          <cell r="G401">
            <v>0</v>
          </cell>
        </row>
        <row r="402">
          <cell r="G402">
            <v>-1346784</v>
          </cell>
        </row>
        <row r="403">
          <cell r="G403">
            <v>-44783.040000000001</v>
          </cell>
        </row>
        <row r="404">
          <cell r="G404">
            <v>0</v>
          </cell>
        </row>
        <row r="405">
          <cell r="G405">
            <v>-27899.83</v>
          </cell>
        </row>
        <row r="406">
          <cell r="G406">
            <v>-42649.25</v>
          </cell>
        </row>
        <row r="407">
          <cell r="G407">
            <v>0</v>
          </cell>
        </row>
        <row r="408">
          <cell r="G408">
            <v>0</v>
          </cell>
        </row>
        <row r="409">
          <cell r="G409">
            <v>-81583</v>
          </cell>
        </row>
        <row r="410">
          <cell r="G410">
            <v>0</v>
          </cell>
        </row>
        <row r="411">
          <cell r="G411">
            <v>0</v>
          </cell>
        </row>
        <row r="412">
          <cell r="G412">
            <v>-85618</v>
          </cell>
        </row>
        <row r="413">
          <cell r="G413">
            <v>0</v>
          </cell>
        </row>
        <row r="414">
          <cell r="G414">
            <v>0</v>
          </cell>
        </row>
        <row r="415">
          <cell r="G415">
            <v>-56246</v>
          </cell>
        </row>
        <row r="416">
          <cell r="G416">
            <v>-53833</v>
          </cell>
        </row>
        <row r="417">
          <cell r="G417">
            <v>0</v>
          </cell>
        </row>
        <row r="418">
          <cell r="G418">
            <v>0</v>
          </cell>
        </row>
        <row r="419">
          <cell r="G419">
            <v>0</v>
          </cell>
        </row>
        <row r="420">
          <cell r="G420">
            <v>-13763</v>
          </cell>
        </row>
        <row r="421">
          <cell r="G421">
            <v>0</v>
          </cell>
        </row>
        <row r="422">
          <cell r="G422">
            <v>-21557</v>
          </cell>
        </row>
        <row r="423">
          <cell r="G423">
            <v>0</v>
          </cell>
        </row>
        <row r="424">
          <cell r="G424">
            <v>0</v>
          </cell>
        </row>
        <row r="425">
          <cell r="G425">
            <v>-68830</v>
          </cell>
        </row>
        <row r="426">
          <cell r="G426">
            <v>-194121.14</v>
          </cell>
        </row>
        <row r="427">
          <cell r="G427">
            <v>-154219.32</v>
          </cell>
        </row>
        <row r="428">
          <cell r="G428">
            <v>0</v>
          </cell>
        </row>
        <row r="429">
          <cell r="G429">
            <v>0</v>
          </cell>
        </row>
        <row r="430">
          <cell r="G430">
            <v>-697198</v>
          </cell>
        </row>
        <row r="431">
          <cell r="G431">
            <v>0</v>
          </cell>
        </row>
        <row r="432">
          <cell r="G432">
            <v>0</v>
          </cell>
        </row>
        <row r="434">
          <cell r="G434">
            <v>-90629.45</v>
          </cell>
        </row>
        <row r="435">
          <cell r="G435">
            <v>-113382</v>
          </cell>
        </row>
        <row r="436">
          <cell r="G436">
            <v>-85431.09</v>
          </cell>
        </row>
        <row r="437">
          <cell r="G437">
            <v>0</v>
          </cell>
        </row>
        <row r="438">
          <cell r="G438">
            <v>0</v>
          </cell>
        </row>
        <row r="439">
          <cell r="G439">
            <v>-5135372.72</v>
          </cell>
        </row>
        <row r="445">
          <cell r="G445">
            <v>0</v>
          </cell>
        </row>
        <row r="447">
          <cell r="G447">
            <v>0</v>
          </cell>
        </row>
        <row r="448">
          <cell r="G448">
            <v>0</v>
          </cell>
        </row>
        <row r="449">
          <cell r="G449">
            <v>0</v>
          </cell>
        </row>
        <row r="450">
          <cell r="G450">
            <v>0</v>
          </cell>
        </row>
        <row r="451">
          <cell r="G451">
            <v>571607.59</v>
          </cell>
        </row>
        <row r="452">
          <cell r="G452">
            <v>76.22</v>
          </cell>
        </row>
      </sheetData>
      <sheetData sheetId="3" refreshError="1"/>
      <sheetData sheetId="4" refreshError="1">
        <row r="2">
          <cell r="E2">
            <v>1</v>
          </cell>
        </row>
        <row r="3">
          <cell r="E3">
            <v>2</v>
          </cell>
        </row>
        <row r="4">
          <cell r="E4">
            <v>0</v>
          </cell>
        </row>
        <row r="5">
          <cell r="E5">
            <v>0</v>
          </cell>
        </row>
        <row r="6">
          <cell r="E6">
            <v>0</v>
          </cell>
        </row>
        <row r="7">
          <cell r="E7">
            <v>3</v>
          </cell>
        </row>
        <row r="8">
          <cell r="E8">
            <v>0</v>
          </cell>
        </row>
        <row r="9">
          <cell r="E9">
            <v>0</v>
          </cell>
        </row>
        <row r="10">
          <cell r="E10">
            <v>0</v>
          </cell>
        </row>
        <row r="11">
          <cell r="E11">
            <v>0</v>
          </cell>
        </row>
        <row r="12">
          <cell r="E12">
            <v>0</v>
          </cell>
        </row>
        <row r="13">
          <cell r="E13">
            <v>0</v>
          </cell>
        </row>
        <row r="14">
          <cell r="E14">
            <v>0</v>
          </cell>
        </row>
        <row r="15">
          <cell r="E15">
            <v>0</v>
          </cell>
        </row>
        <row r="16">
          <cell r="E16">
            <v>0</v>
          </cell>
        </row>
        <row r="17">
          <cell r="E17">
            <v>5</v>
          </cell>
        </row>
        <row r="18">
          <cell r="E18">
            <v>0</v>
          </cell>
        </row>
        <row r="19">
          <cell r="E19">
            <v>0</v>
          </cell>
        </row>
        <row r="20">
          <cell r="E20">
            <v>0</v>
          </cell>
        </row>
        <row r="21">
          <cell r="E21">
            <v>0</v>
          </cell>
        </row>
        <row r="22">
          <cell r="E22">
            <v>0</v>
          </cell>
        </row>
        <row r="23">
          <cell r="E23">
            <v>0</v>
          </cell>
        </row>
        <row r="24">
          <cell r="E24">
            <v>0</v>
          </cell>
        </row>
        <row r="25">
          <cell r="E25">
            <v>0</v>
          </cell>
        </row>
        <row r="26">
          <cell r="E26">
            <v>0</v>
          </cell>
        </row>
        <row r="27">
          <cell r="E27">
            <v>40</v>
          </cell>
        </row>
        <row r="28">
          <cell r="E28">
            <v>0</v>
          </cell>
        </row>
        <row r="29">
          <cell r="E29">
            <v>0</v>
          </cell>
        </row>
        <row r="30">
          <cell r="E30">
            <v>0</v>
          </cell>
        </row>
        <row r="31">
          <cell r="E31">
            <v>0</v>
          </cell>
        </row>
        <row r="32">
          <cell r="E32">
            <v>1</v>
          </cell>
        </row>
        <row r="33">
          <cell r="E33">
            <v>0</v>
          </cell>
        </row>
        <row r="34">
          <cell r="E34">
            <v>0</v>
          </cell>
        </row>
        <row r="35">
          <cell r="E35">
            <v>1</v>
          </cell>
        </row>
        <row r="36">
          <cell r="E36">
            <v>0</v>
          </cell>
        </row>
        <row r="37">
          <cell r="E37">
            <v>0</v>
          </cell>
        </row>
        <row r="38">
          <cell r="E38">
            <v>0</v>
          </cell>
        </row>
        <row r="39">
          <cell r="E39">
            <v>0</v>
          </cell>
        </row>
        <row r="40">
          <cell r="E40">
            <v>0</v>
          </cell>
        </row>
        <row r="41">
          <cell r="E41">
            <v>0</v>
          </cell>
        </row>
        <row r="42">
          <cell r="E42">
            <v>300</v>
          </cell>
        </row>
        <row r="43">
          <cell r="E43">
            <v>0</v>
          </cell>
        </row>
        <row r="44">
          <cell r="E44">
            <v>0</v>
          </cell>
        </row>
        <row r="45">
          <cell r="E45">
            <v>0</v>
          </cell>
        </row>
        <row r="46">
          <cell r="E46">
            <v>0</v>
          </cell>
        </row>
        <row r="47">
          <cell r="E47">
            <v>0</v>
          </cell>
        </row>
        <row r="48">
          <cell r="E48">
            <v>0</v>
          </cell>
        </row>
        <row r="49">
          <cell r="E49">
            <v>0</v>
          </cell>
        </row>
        <row r="50">
          <cell r="E50">
            <v>6</v>
          </cell>
        </row>
        <row r="51">
          <cell r="E51">
            <v>6</v>
          </cell>
        </row>
        <row r="52">
          <cell r="E52">
            <v>0</v>
          </cell>
        </row>
        <row r="53">
          <cell r="E53">
            <v>6</v>
          </cell>
        </row>
        <row r="54">
          <cell r="E54">
            <v>0</v>
          </cell>
        </row>
        <row r="55">
          <cell r="E55">
            <v>0</v>
          </cell>
        </row>
        <row r="56">
          <cell r="E56">
            <v>0</v>
          </cell>
        </row>
        <row r="57">
          <cell r="E57">
            <v>0</v>
          </cell>
        </row>
        <row r="58">
          <cell r="E58">
            <v>0</v>
          </cell>
        </row>
        <row r="59">
          <cell r="E59">
            <v>0</v>
          </cell>
        </row>
        <row r="60">
          <cell r="E60">
            <v>0</v>
          </cell>
        </row>
        <row r="61">
          <cell r="E61">
            <v>3</v>
          </cell>
        </row>
        <row r="62">
          <cell r="E62">
            <v>0</v>
          </cell>
        </row>
        <row r="63">
          <cell r="E63">
            <v>0</v>
          </cell>
        </row>
        <row r="64">
          <cell r="E64">
            <v>0</v>
          </cell>
        </row>
        <row r="65">
          <cell r="E65">
            <v>0</v>
          </cell>
        </row>
        <row r="66">
          <cell r="E66">
            <v>0</v>
          </cell>
        </row>
        <row r="67">
          <cell r="E67">
            <v>1</v>
          </cell>
        </row>
        <row r="68">
          <cell r="E68">
            <v>0</v>
          </cell>
        </row>
        <row r="69">
          <cell r="E69">
            <v>0</v>
          </cell>
        </row>
        <row r="70">
          <cell r="E70">
            <v>0</v>
          </cell>
        </row>
        <row r="71">
          <cell r="E71">
            <v>0</v>
          </cell>
        </row>
        <row r="72">
          <cell r="E72">
            <v>0</v>
          </cell>
        </row>
        <row r="73">
          <cell r="E73">
            <v>0</v>
          </cell>
        </row>
        <row r="74">
          <cell r="E74">
            <v>0</v>
          </cell>
        </row>
        <row r="75">
          <cell r="E75">
            <v>0</v>
          </cell>
        </row>
        <row r="76">
          <cell r="E76">
            <v>0</v>
          </cell>
        </row>
        <row r="77">
          <cell r="E77">
            <v>0</v>
          </cell>
        </row>
        <row r="78">
          <cell r="E78">
            <v>0</v>
          </cell>
        </row>
        <row r="79">
          <cell r="E79">
            <v>3</v>
          </cell>
        </row>
        <row r="80">
          <cell r="E80">
            <v>0</v>
          </cell>
        </row>
        <row r="81">
          <cell r="E81">
            <v>0</v>
          </cell>
        </row>
        <row r="82">
          <cell r="E82">
            <v>0</v>
          </cell>
        </row>
        <row r="83">
          <cell r="E83">
            <v>0</v>
          </cell>
        </row>
        <row r="84">
          <cell r="E84">
            <v>0</v>
          </cell>
        </row>
        <row r="85">
          <cell r="E85">
            <v>0</v>
          </cell>
        </row>
        <row r="86">
          <cell r="E86">
            <v>0</v>
          </cell>
        </row>
        <row r="87">
          <cell r="E87">
            <v>0</v>
          </cell>
        </row>
        <row r="88">
          <cell r="E88">
            <v>0</v>
          </cell>
        </row>
        <row r="89">
          <cell r="E89">
            <v>5</v>
          </cell>
        </row>
        <row r="90">
          <cell r="E90">
            <v>0</v>
          </cell>
        </row>
        <row r="91">
          <cell r="E91">
            <v>0</v>
          </cell>
        </row>
        <row r="92">
          <cell r="E92">
            <v>0</v>
          </cell>
        </row>
        <row r="93">
          <cell r="E93">
            <v>0</v>
          </cell>
        </row>
        <row r="94">
          <cell r="E94">
            <v>0</v>
          </cell>
        </row>
        <row r="95">
          <cell r="E95">
            <v>0</v>
          </cell>
        </row>
        <row r="96">
          <cell r="E96">
            <v>0</v>
          </cell>
        </row>
        <row r="97">
          <cell r="E97">
            <v>10</v>
          </cell>
        </row>
        <row r="98">
          <cell r="E98">
            <v>0</v>
          </cell>
        </row>
        <row r="99">
          <cell r="E99">
            <v>0</v>
          </cell>
        </row>
        <row r="100">
          <cell r="E100">
            <v>0</v>
          </cell>
        </row>
        <row r="101">
          <cell r="E101">
            <v>0</v>
          </cell>
        </row>
        <row r="102">
          <cell r="E102">
            <v>0</v>
          </cell>
        </row>
        <row r="103">
          <cell r="E103">
            <v>0</v>
          </cell>
        </row>
        <row r="104">
          <cell r="E104">
            <v>0</v>
          </cell>
        </row>
        <row r="105">
          <cell r="E105">
            <v>0</v>
          </cell>
        </row>
        <row r="106">
          <cell r="E106">
            <v>0</v>
          </cell>
        </row>
        <row r="107">
          <cell r="E107">
            <v>0</v>
          </cell>
        </row>
        <row r="108">
          <cell r="E108">
            <v>0</v>
          </cell>
        </row>
        <row r="109">
          <cell r="E109">
            <v>0</v>
          </cell>
        </row>
        <row r="110">
          <cell r="E110">
            <v>0</v>
          </cell>
        </row>
        <row r="111">
          <cell r="E111">
            <v>0</v>
          </cell>
        </row>
        <row r="112">
          <cell r="E112">
            <v>0</v>
          </cell>
        </row>
        <row r="113">
          <cell r="E113">
            <v>0</v>
          </cell>
        </row>
        <row r="114">
          <cell r="E114">
            <v>0</v>
          </cell>
        </row>
        <row r="115">
          <cell r="E115">
            <v>0</v>
          </cell>
        </row>
        <row r="116">
          <cell r="E116">
            <v>0</v>
          </cell>
        </row>
        <row r="117">
          <cell r="E117">
            <v>0</v>
          </cell>
        </row>
        <row r="118">
          <cell r="E118">
            <v>0</v>
          </cell>
        </row>
        <row r="119">
          <cell r="E119">
            <v>0</v>
          </cell>
        </row>
        <row r="120">
          <cell r="E120">
            <v>0</v>
          </cell>
        </row>
        <row r="121">
          <cell r="E121">
            <v>0</v>
          </cell>
        </row>
        <row r="122">
          <cell r="E122">
            <v>0</v>
          </cell>
        </row>
        <row r="123">
          <cell r="E123">
            <v>0</v>
          </cell>
        </row>
        <row r="124">
          <cell r="E124">
            <v>0</v>
          </cell>
        </row>
        <row r="125">
          <cell r="E125">
            <v>0</v>
          </cell>
        </row>
        <row r="126">
          <cell r="E126">
            <v>0</v>
          </cell>
        </row>
        <row r="127">
          <cell r="E127">
            <v>0</v>
          </cell>
        </row>
        <row r="128">
          <cell r="E128">
            <v>0</v>
          </cell>
        </row>
        <row r="129">
          <cell r="E129">
            <v>0</v>
          </cell>
        </row>
        <row r="130">
          <cell r="E130">
            <v>0</v>
          </cell>
        </row>
        <row r="131">
          <cell r="E131">
            <v>0</v>
          </cell>
        </row>
        <row r="132">
          <cell r="E132">
            <v>0</v>
          </cell>
        </row>
        <row r="133">
          <cell r="E133">
            <v>0</v>
          </cell>
        </row>
        <row r="134">
          <cell r="E134">
            <v>0</v>
          </cell>
        </row>
        <row r="135">
          <cell r="E135">
            <v>0</v>
          </cell>
        </row>
        <row r="136">
          <cell r="E136">
            <v>0</v>
          </cell>
        </row>
        <row r="137">
          <cell r="E137">
            <v>0</v>
          </cell>
        </row>
        <row r="138">
          <cell r="E138">
            <v>3</v>
          </cell>
        </row>
        <row r="139">
          <cell r="E139">
            <v>8</v>
          </cell>
        </row>
        <row r="140">
          <cell r="E140">
            <v>0</v>
          </cell>
        </row>
        <row r="141">
          <cell r="E141">
            <v>0</v>
          </cell>
        </row>
        <row r="142">
          <cell r="E142">
            <v>0</v>
          </cell>
        </row>
        <row r="143">
          <cell r="E143">
            <v>0</v>
          </cell>
        </row>
        <row r="144">
          <cell r="E144">
            <v>0</v>
          </cell>
        </row>
        <row r="145">
          <cell r="E145">
            <v>0</v>
          </cell>
        </row>
        <row r="146">
          <cell r="E146">
            <v>0</v>
          </cell>
        </row>
        <row r="147">
          <cell r="E147">
            <v>0</v>
          </cell>
        </row>
        <row r="148">
          <cell r="E148">
            <v>0</v>
          </cell>
        </row>
        <row r="149">
          <cell r="E149">
            <v>0</v>
          </cell>
        </row>
        <row r="150">
          <cell r="E150">
            <v>0</v>
          </cell>
        </row>
        <row r="151">
          <cell r="E151">
            <v>1</v>
          </cell>
        </row>
        <row r="152">
          <cell r="E152">
            <v>0</v>
          </cell>
        </row>
        <row r="153">
          <cell r="E153">
            <v>0</v>
          </cell>
        </row>
        <row r="154">
          <cell r="E154">
            <v>0</v>
          </cell>
        </row>
        <row r="155">
          <cell r="E155">
            <v>0</v>
          </cell>
        </row>
        <row r="156">
          <cell r="E156">
            <v>0</v>
          </cell>
        </row>
        <row r="157">
          <cell r="E157">
            <v>0</v>
          </cell>
        </row>
        <row r="158">
          <cell r="E158">
            <v>0</v>
          </cell>
        </row>
        <row r="159">
          <cell r="E159">
            <v>0</v>
          </cell>
        </row>
        <row r="160">
          <cell r="E160">
            <v>0</v>
          </cell>
        </row>
        <row r="161">
          <cell r="E161">
            <v>0</v>
          </cell>
        </row>
        <row r="162">
          <cell r="E162">
            <v>0</v>
          </cell>
        </row>
        <row r="163">
          <cell r="E163">
            <v>0</v>
          </cell>
        </row>
        <row r="164">
          <cell r="E164">
            <v>0</v>
          </cell>
        </row>
        <row r="165">
          <cell r="E165">
            <v>6</v>
          </cell>
        </row>
        <row r="166">
          <cell r="E166">
            <v>6</v>
          </cell>
        </row>
        <row r="167">
          <cell r="E167">
            <v>6</v>
          </cell>
        </row>
        <row r="168">
          <cell r="E168">
            <v>5</v>
          </cell>
        </row>
        <row r="169">
          <cell r="E169">
            <v>0</v>
          </cell>
        </row>
        <row r="170">
          <cell r="E170">
            <v>5</v>
          </cell>
        </row>
        <row r="171">
          <cell r="E171">
            <v>0</v>
          </cell>
        </row>
        <row r="172">
          <cell r="E172">
            <v>0</v>
          </cell>
        </row>
        <row r="173">
          <cell r="E173">
            <v>0</v>
          </cell>
        </row>
        <row r="174">
          <cell r="E174">
            <v>0</v>
          </cell>
        </row>
      </sheetData>
      <sheetData sheetId="5" refreshError="1"/>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ReadMe"/>
      <sheetName val="Source"/>
      <sheetName val="TrackChange"/>
      <sheetName val="Restitution -&gt;"/>
      <sheetName val="0_RESULTAT"/>
      <sheetName val="14b-DetailledOctopus"/>
      <sheetName val="14-Octopus"/>
      <sheetName val="5b-InputsFolioVIF_RM"/>
      <sheetName val="6-InputsFolioNL"/>
      <sheetName val="7-InputsEnt"/>
      <sheetName val="SCR Computation -&gt;"/>
      <sheetName val="8-CalcIntraGrp"/>
      <sheetName val="8-CalcFolio"/>
      <sheetName val="8t-CalcFolioPTF"/>
      <sheetName val="8-CalcFolioUP"/>
      <sheetName val="8-CalcFolioDOWN"/>
      <sheetName val="10-CalcEnt"/>
      <sheetName val="MCR Computation -&gt;"/>
      <sheetName val="4t-GenTablesMCR"/>
      <sheetName val="8-CalcFolioMCR"/>
      <sheetName val="10-CalcEntMCR"/>
      <sheetName val="Coverage Ratio Computation -&gt;"/>
      <sheetName val="3_Calcul"/>
      <sheetName val="Misc -&gt;"/>
      <sheetName val="IM_Options"/>
      <sheetName val="BALANCE"/>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row r="5">
          <cell r="C5">
            <v>1</v>
          </cell>
          <cell r="D5">
            <v>0.5</v>
          </cell>
          <cell r="E5">
            <v>0.5</v>
          </cell>
          <cell r="F5">
            <v>0.5</v>
          </cell>
          <cell r="G5">
            <v>0</v>
          </cell>
          <cell r="H5">
            <v>0.25</v>
          </cell>
          <cell r="I5">
            <v>0</v>
          </cell>
        </row>
        <row r="6">
          <cell r="C6">
            <v>0.5</v>
          </cell>
          <cell r="D6">
            <v>1</v>
          </cell>
          <cell r="E6">
            <v>0.75</v>
          </cell>
          <cell r="F6">
            <v>0.75</v>
          </cell>
          <cell r="G6">
            <v>0</v>
          </cell>
          <cell r="H6">
            <v>0.25</v>
          </cell>
          <cell r="I6">
            <v>0</v>
          </cell>
        </row>
        <row r="7">
          <cell r="C7">
            <v>0.5</v>
          </cell>
          <cell r="D7">
            <v>0.75</v>
          </cell>
          <cell r="E7">
            <v>1</v>
          </cell>
          <cell r="F7">
            <v>0.5</v>
          </cell>
          <cell r="G7">
            <v>0</v>
          </cell>
          <cell r="H7">
            <v>0.25</v>
          </cell>
          <cell r="I7">
            <v>0</v>
          </cell>
        </row>
        <row r="8">
          <cell r="C8">
            <v>0.5</v>
          </cell>
          <cell r="D8">
            <v>0.75</v>
          </cell>
          <cell r="E8">
            <v>0.5</v>
          </cell>
          <cell r="F8">
            <v>1</v>
          </cell>
          <cell r="G8">
            <v>0</v>
          </cell>
          <cell r="H8">
            <v>0.25</v>
          </cell>
          <cell r="I8">
            <v>0</v>
          </cell>
        </row>
        <row r="9">
          <cell r="C9">
            <v>0</v>
          </cell>
          <cell r="D9">
            <v>0</v>
          </cell>
          <cell r="E9">
            <v>0</v>
          </cell>
          <cell r="F9">
            <v>0</v>
          </cell>
          <cell r="G9">
            <v>1</v>
          </cell>
          <cell r="H9">
            <v>0</v>
          </cell>
          <cell r="I9">
            <v>0</v>
          </cell>
        </row>
        <row r="10">
          <cell r="C10">
            <v>0.25</v>
          </cell>
          <cell r="D10">
            <v>0.25</v>
          </cell>
          <cell r="E10">
            <v>0.25</v>
          </cell>
          <cell r="F10">
            <v>0.25</v>
          </cell>
          <cell r="G10">
            <v>0</v>
          </cell>
          <cell r="H10">
            <v>1</v>
          </cell>
          <cell r="I10">
            <v>0</v>
          </cell>
        </row>
        <row r="11">
          <cell r="C11">
            <v>0</v>
          </cell>
          <cell r="D11">
            <v>0</v>
          </cell>
          <cell r="E11">
            <v>0</v>
          </cell>
          <cell r="F11">
            <v>0</v>
          </cell>
          <cell r="G11">
            <v>0</v>
          </cell>
          <cell r="H11">
            <v>0</v>
          </cell>
          <cell r="I11">
            <v>1</v>
          </cell>
        </row>
        <row r="14">
          <cell r="C14">
            <v>1</v>
          </cell>
          <cell r="D14">
            <v>0</v>
          </cell>
          <cell r="E14">
            <v>0</v>
          </cell>
          <cell r="F14">
            <v>0</v>
          </cell>
          <cell r="G14">
            <v>0</v>
          </cell>
          <cell r="H14">
            <v>0.25</v>
          </cell>
          <cell r="I14">
            <v>0</v>
          </cell>
        </row>
        <row r="15">
          <cell r="C15">
            <v>0</v>
          </cell>
          <cell r="D15">
            <v>1</v>
          </cell>
          <cell r="E15">
            <v>0.75</v>
          </cell>
          <cell r="F15">
            <v>0.75</v>
          </cell>
          <cell r="G15">
            <v>0</v>
          </cell>
          <cell r="H15">
            <v>0.25</v>
          </cell>
          <cell r="I15">
            <v>0</v>
          </cell>
        </row>
        <row r="16">
          <cell r="C16">
            <v>0</v>
          </cell>
          <cell r="D16">
            <v>0.75</v>
          </cell>
          <cell r="E16">
            <v>1</v>
          </cell>
          <cell r="F16">
            <v>0.5</v>
          </cell>
          <cell r="G16">
            <v>0</v>
          </cell>
          <cell r="H16">
            <v>0.25</v>
          </cell>
          <cell r="I16">
            <v>0</v>
          </cell>
        </row>
        <row r="17">
          <cell r="C17">
            <v>0</v>
          </cell>
          <cell r="D17">
            <v>0.75</v>
          </cell>
          <cell r="E17">
            <v>0.5</v>
          </cell>
          <cell r="F17">
            <v>1</v>
          </cell>
          <cell r="G17">
            <v>0</v>
          </cell>
          <cell r="H17">
            <v>0.25</v>
          </cell>
          <cell r="I17">
            <v>0</v>
          </cell>
        </row>
        <row r="18">
          <cell r="C18">
            <v>0</v>
          </cell>
          <cell r="D18">
            <v>0</v>
          </cell>
          <cell r="E18">
            <v>0</v>
          </cell>
          <cell r="F18">
            <v>0</v>
          </cell>
          <cell r="G18">
            <v>1</v>
          </cell>
          <cell r="H18">
            <v>0</v>
          </cell>
          <cell r="I18">
            <v>0</v>
          </cell>
        </row>
        <row r="19">
          <cell r="C19">
            <v>0.25</v>
          </cell>
          <cell r="D19">
            <v>0.25</v>
          </cell>
          <cell r="E19">
            <v>0.25</v>
          </cell>
          <cell r="F19">
            <v>0.25</v>
          </cell>
          <cell r="G19">
            <v>0</v>
          </cell>
          <cell r="H19">
            <v>1</v>
          </cell>
          <cell r="I19">
            <v>0</v>
          </cell>
        </row>
        <row r="20">
          <cell r="C20">
            <v>0</v>
          </cell>
          <cell r="D20">
            <v>0</v>
          </cell>
          <cell r="E20">
            <v>0</v>
          </cell>
          <cell r="F20">
            <v>0</v>
          </cell>
          <cell r="G20">
            <v>0</v>
          </cell>
          <cell r="H20">
            <v>0</v>
          </cell>
          <cell r="I20">
            <v>1</v>
          </cell>
        </row>
        <row r="23">
          <cell r="C23">
            <v>1</v>
          </cell>
          <cell r="D23">
            <v>-0.25</v>
          </cell>
          <cell r="E23">
            <v>0.25</v>
          </cell>
          <cell r="F23">
            <v>0</v>
          </cell>
          <cell r="G23">
            <v>0.25</v>
          </cell>
          <cell r="H23">
            <v>0</v>
          </cell>
          <cell r="I23">
            <v>0.25</v>
          </cell>
        </row>
        <row r="24">
          <cell r="C24">
            <v>-0.25</v>
          </cell>
          <cell r="D24">
            <v>1</v>
          </cell>
          <cell r="E24">
            <v>0</v>
          </cell>
          <cell r="F24">
            <v>0.25</v>
          </cell>
          <cell r="G24">
            <v>0.25</v>
          </cell>
          <cell r="H24">
            <v>0.25</v>
          </cell>
          <cell r="I24">
            <v>0</v>
          </cell>
        </row>
        <row r="25">
          <cell r="C25">
            <v>0.25</v>
          </cell>
          <cell r="D25">
            <v>0</v>
          </cell>
          <cell r="E25">
            <v>1</v>
          </cell>
          <cell r="F25">
            <v>0</v>
          </cell>
          <cell r="G25">
            <v>0.5</v>
          </cell>
          <cell r="H25">
            <v>0</v>
          </cell>
          <cell r="I25">
            <v>0.25</v>
          </cell>
        </row>
        <row r="26">
          <cell r="C26">
            <v>0</v>
          </cell>
          <cell r="D26">
            <v>0.25</v>
          </cell>
          <cell r="E26">
            <v>0</v>
          </cell>
          <cell r="F26">
            <v>1</v>
          </cell>
          <cell r="G26">
            <v>0.5</v>
          </cell>
          <cell r="H26">
            <v>0</v>
          </cell>
          <cell r="I26">
            <v>0.25</v>
          </cell>
        </row>
        <row r="27">
          <cell r="C27">
            <v>0.25</v>
          </cell>
          <cell r="D27">
            <v>0.25</v>
          </cell>
          <cell r="E27">
            <v>0.5</v>
          </cell>
          <cell r="F27">
            <v>0.5</v>
          </cell>
          <cell r="G27">
            <v>1</v>
          </cell>
          <cell r="H27">
            <v>0.5</v>
          </cell>
          <cell r="I27">
            <v>0.25</v>
          </cell>
        </row>
        <row r="28">
          <cell r="C28">
            <v>0</v>
          </cell>
          <cell r="D28">
            <v>0.25</v>
          </cell>
          <cell r="E28">
            <v>0</v>
          </cell>
          <cell r="F28">
            <v>0</v>
          </cell>
          <cell r="G28">
            <v>0.5</v>
          </cell>
          <cell r="H28">
            <v>1</v>
          </cell>
          <cell r="I28">
            <v>0</v>
          </cell>
        </row>
        <row r="29">
          <cell r="C29">
            <v>0.25</v>
          </cell>
          <cell r="D29">
            <v>0</v>
          </cell>
          <cell r="E29">
            <v>0.25</v>
          </cell>
          <cell r="F29">
            <v>0.25</v>
          </cell>
          <cell r="G29">
            <v>0.25</v>
          </cell>
          <cell r="H29">
            <v>0</v>
          </cell>
          <cell r="I29">
            <v>1</v>
          </cell>
        </row>
        <row r="32">
          <cell r="C32">
            <v>1</v>
          </cell>
          <cell r="D32">
            <v>0.25</v>
          </cell>
          <cell r="E32">
            <v>0.25</v>
          </cell>
          <cell r="F32">
            <v>0.25</v>
          </cell>
          <cell r="G32">
            <v>0.25</v>
          </cell>
        </row>
        <row r="33">
          <cell r="C33">
            <v>0.25</v>
          </cell>
          <cell r="D33">
            <v>1</v>
          </cell>
          <cell r="E33">
            <v>0.25</v>
          </cell>
          <cell r="F33">
            <v>0.25</v>
          </cell>
          <cell r="G33">
            <v>0.5</v>
          </cell>
        </row>
        <row r="34">
          <cell r="C34">
            <v>0.25</v>
          </cell>
          <cell r="D34">
            <v>0.25</v>
          </cell>
          <cell r="E34">
            <v>1</v>
          </cell>
          <cell r="F34">
            <v>0.25</v>
          </cell>
          <cell r="G34">
            <v>0</v>
          </cell>
        </row>
        <row r="35">
          <cell r="C35">
            <v>0.25</v>
          </cell>
          <cell r="D35">
            <v>0.25</v>
          </cell>
          <cell r="E35">
            <v>0.25</v>
          </cell>
          <cell r="F35">
            <v>1</v>
          </cell>
          <cell r="G35">
            <v>0</v>
          </cell>
        </row>
        <row r="36">
          <cell r="C36">
            <v>0.25</v>
          </cell>
          <cell r="D36">
            <v>0.5</v>
          </cell>
          <cell r="E36">
            <v>0</v>
          </cell>
          <cell r="F36">
            <v>0</v>
          </cell>
          <cell r="G36">
            <v>1</v>
          </cell>
        </row>
        <row r="39">
          <cell r="C39">
            <v>1</v>
          </cell>
          <cell r="D39">
            <v>0.5</v>
          </cell>
          <cell r="E39">
            <v>0.25</v>
          </cell>
        </row>
        <row r="40">
          <cell r="C40">
            <v>0.5</v>
          </cell>
          <cell r="D40">
            <v>1</v>
          </cell>
          <cell r="E40">
            <v>0.25</v>
          </cell>
        </row>
        <row r="41">
          <cell r="C41">
            <v>0.25</v>
          </cell>
          <cell r="D41">
            <v>0.25</v>
          </cell>
          <cell r="E41">
            <v>1</v>
          </cell>
        </row>
        <row r="44">
          <cell r="C44">
            <v>1</v>
          </cell>
          <cell r="D44">
            <v>-0.25</v>
          </cell>
          <cell r="E44">
            <v>0.25</v>
          </cell>
          <cell r="F44">
            <v>0</v>
          </cell>
          <cell r="G44">
            <v>0.25</v>
          </cell>
          <cell r="H44">
            <v>0</v>
          </cell>
        </row>
        <row r="45">
          <cell r="C45">
            <v>-0.25</v>
          </cell>
          <cell r="D45">
            <v>1</v>
          </cell>
          <cell r="E45">
            <v>0</v>
          </cell>
          <cell r="F45">
            <v>0.25</v>
          </cell>
          <cell r="G45">
            <v>0.25</v>
          </cell>
          <cell r="H45">
            <v>0.25</v>
          </cell>
        </row>
        <row r="46">
          <cell r="C46">
            <v>0.25</v>
          </cell>
          <cell r="D46">
            <v>0</v>
          </cell>
          <cell r="E46">
            <v>1</v>
          </cell>
          <cell r="F46">
            <v>0</v>
          </cell>
          <cell r="G46">
            <v>0.5</v>
          </cell>
          <cell r="H46">
            <v>0</v>
          </cell>
        </row>
        <row r="47">
          <cell r="C47">
            <v>0</v>
          </cell>
          <cell r="D47">
            <v>0.25</v>
          </cell>
          <cell r="E47">
            <v>0</v>
          </cell>
          <cell r="F47">
            <v>1</v>
          </cell>
          <cell r="G47">
            <v>0.5</v>
          </cell>
          <cell r="H47">
            <v>0</v>
          </cell>
        </row>
        <row r="48">
          <cell r="C48">
            <v>0.25</v>
          </cell>
          <cell r="D48">
            <v>0.25</v>
          </cell>
          <cell r="E48">
            <v>0.5</v>
          </cell>
          <cell r="F48">
            <v>0.5</v>
          </cell>
          <cell r="G48">
            <v>1</v>
          </cell>
          <cell r="H48">
            <v>0.5</v>
          </cell>
        </row>
        <row r="49">
          <cell r="C49">
            <v>0</v>
          </cell>
          <cell r="D49">
            <v>0.25</v>
          </cell>
          <cell r="E49">
            <v>0</v>
          </cell>
          <cell r="F49">
            <v>0</v>
          </cell>
          <cell r="G49">
            <v>0.5</v>
          </cell>
          <cell r="H49">
            <v>1</v>
          </cell>
        </row>
        <row r="52">
          <cell r="C52">
            <v>1</v>
          </cell>
          <cell r="D52">
            <v>0.5</v>
          </cell>
          <cell r="E52">
            <v>0.5</v>
          </cell>
          <cell r="F52">
            <v>0.5</v>
          </cell>
        </row>
        <row r="53">
          <cell r="C53">
            <v>0.5</v>
          </cell>
          <cell r="D53">
            <v>1</v>
          </cell>
          <cell r="E53">
            <v>0.5</v>
          </cell>
          <cell r="F53">
            <v>0.5</v>
          </cell>
        </row>
        <row r="54">
          <cell r="C54">
            <v>0.5</v>
          </cell>
          <cell r="D54">
            <v>0.5</v>
          </cell>
          <cell r="E54">
            <v>1</v>
          </cell>
          <cell r="F54">
            <v>0.5</v>
          </cell>
        </row>
        <row r="55">
          <cell r="C55">
            <v>0.5</v>
          </cell>
          <cell r="D55">
            <v>0.5</v>
          </cell>
          <cell r="E55">
            <v>0.5</v>
          </cell>
          <cell r="F55">
            <v>1</v>
          </cell>
        </row>
        <row r="58">
          <cell r="C58">
            <v>1</v>
          </cell>
          <cell r="D58">
            <v>0</v>
          </cell>
        </row>
        <row r="59">
          <cell r="C59">
            <v>0</v>
          </cell>
          <cell r="D59">
            <v>1</v>
          </cell>
        </row>
        <row r="62">
          <cell r="C62">
            <v>1</v>
          </cell>
          <cell r="D62">
            <v>0</v>
          </cell>
          <cell r="E62">
            <v>0</v>
          </cell>
        </row>
        <row r="63">
          <cell r="C63">
            <v>0</v>
          </cell>
          <cell r="D63">
            <v>1</v>
          </cell>
          <cell r="E63">
            <v>0</v>
          </cell>
        </row>
        <row r="64">
          <cell r="C64">
            <v>0</v>
          </cell>
          <cell r="D64">
            <v>0</v>
          </cell>
          <cell r="E64">
            <v>1</v>
          </cell>
        </row>
        <row r="67">
          <cell r="C67">
            <v>1</v>
          </cell>
          <cell r="D67">
            <v>0</v>
          </cell>
          <cell r="E67">
            <v>0.25</v>
          </cell>
        </row>
        <row r="68">
          <cell r="C68">
            <v>0</v>
          </cell>
          <cell r="D68">
            <v>1</v>
          </cell>
          <cell r="E68">
            <v>0</v>
          </cell>
        </row>
        <row r="69">
          <cell r="C69">
            <v>0.25</v>
          </cell>
          <cell r="D69">
            <v>0</v>
          </cell>
          <cell r="E69">
            <v>1</v>
          </cell>
        </row>
        <row r="72">
          <cell r="C72">
            <v>1</v>
          </cell>
          <cell r="D72">
            <v>0.5</v>
          </cell>
          <cell r="E72">
            <v>0.5</v>
          </cell>
          <cell r="F72">
            <v>0.25</v>
          </cell>
          <cell r="G72">
            <v>0.5</v>
          </cell>
          <cell r="H72">
            <v>0.25</v>
          </cell>
          <cell r="I72">
            <v>0.5</v>
          </cell>
          <cell r="J72">
            <v>0.25</v>
          </cell>
          <cell r="K72">
            <v>0.5</v>
          </cell>
          <cell r="L72">
            <v>0.25</v>
          </cell>
          <cell r="M72">
            <v>0.25</v>
          </cell>
          <cell r="N72">
            <v>0.25</v>
          </cell>
        </row>
        <row r="73">
          <cell r="C73">
            <v>0.5</v>
          </cell>
          <cell r="D73">
            <v>1</v>
          </cell>
          <cell r="E73">
            <v>0.25</v>
          </cell>
          <cell r="F73">
            <v>0.25</v>
          </cell>
          <cell r="G73">
            <v>0.25</v>
          </cell>
          <cell r="H73">
            <v>0.25</v>
          </cell>
          <cell r="I73">
            <v>0.5</v>
          </cell>
          <cell r="J73">
            <v>0.5</v>
          </cell>
          <cell r="K73">
            <v>0.5</v>
          </cell>
          <cell r="L73">
            <v>0.25</v>
          </cell>
          <cell r="M73">
            <v>0.25</v>
          </cell>
          <cell r="N73">
            <v>0.25</v>
          </cell>
        </row>
        <row r="74">
          <cell r="C74">
            <v>0.5</v>
          </cell>
          <cell r="D74">
            <v>0.25</v>
          </cell>
          <cell r="E74">
            <v>1</v>
          </cell>
          <cell r="F74">
            <v>0.25</v>
          </cell>
          <cell r="G74">
            <v>0.25</v>
          </cell>
          <cell r="H74">
            <v>0.25</v>
          </cell>
          <cell r="I74">
            <v>0.25</v>
          </cell>
          <cell r="J74">
            <v>0.5</v>
          </cell>
          <cell r="K74">
            <v>0.5</v>
          </cell>
          <cell r="L74">
            <v>0.25</v>
          </cell>
          <cell r="M74">
            <v>0.25</v>
          </cell>
          <cell r="N74">
            <v>0.5</v>
          </cell>
        </row>
        <row r="75">
          <cell r="C75">
            <v>0.25</v>
          </cell>
          <cell r="D75">
            <v>0.25</v>
          </cell>
          <cell r="E75">
            <v>0.25</v>
          </cell>
          <cell r="F75">
            <v>1</v>
          </cell>
          <cell r="G75">
            <v>0.25</v>
          </cell>
          <cell r="H75">
            <v>0.25</v>
          </cell>
          <cell r="I75">
            <v>0.25</v>
          </cell>
          <cell r="J75">
            <v>0.5</v>
          </cell>
          <cell r="K75">
            <v>0.5</v>
          </cell>
          <cell r="L75">
            <v>0.5</v>
          </cell>
          <cell r="M75">
            <v>0.25</v>
          </cell>
          <cell r="N75">
            <v>0.5</v>
          </cell>
        </row>
        <row r="76">
          <cell r="C76">
            <v>0.5</v>
          </cell>
          <cell r="D76">
            <v>0.25</v>
          </cell>
          <cell r="E76">
            <v>0.25</v>
          </cell>
          <cell r="F76">
            <v>0.25</v>
          </cell>
          <cell r="G76">
            <v>1</v>
          </cell>
          <cell r="H76">
            <v>0.5</v>
          </cell>
          <cell r="I76">
            <v>0.5</v>
          </cell>
          <cell r="J76">
            <v>0.25</v>
          </cell>
          <cell r="K76">
            <v>0.5</v>
          </cell>
          <cell r="L76">
            <v>0.25</v>
          </cell>
          <cell r="M76">
            <v>0.5</v>
          </cell>
          <cell r="N76">
            <v>0.25</v>
          </cell>
        </row>
        <row r="77">
          <cell r="C77">
            <v>0.25</v>
          </cell>
          <cell r="D77">
            <v>0.25</v>
          </cell>
          <cell r="E77">
            <v>0.25</v>
          </cell>
          <cell r="F77">
            <v>0.25</v>
          </cell>
          <cell r="G77">
            <v>0.5</v>
          </cell>
          <cell r="H77">
            <v>1</v>
          </cell>
          <cell r="I77">
            <v>0.5</v>
          </cell>
          <cell r="J77">
            <v>0.25</v>
          </cell>
          <cell r="K77">
            <v>0.5</v>
          </cell>
          <cell r="L77">
            <v>0.25</v>
          </cell>
          <cell r="M77">
            <v>0.5</v>
          </cell>
          <cell r="N77">
            <v>0.25</v>
          </cell>
        </row>
        <row r="78">
          <cell r="C78">
            <v>0.5</v>
          </cell>
          <cell r="D78">
            <v>0.5</v>
          </cell>
          <cell r="E78">
            <v>0.25</v>
          </cell>
          <cell r="F78">
            <v>0.25</v>
          </cell>
          <cell r="G78">
            <v>0.5</v>
          </cell>
          <cell r="H78">
            <v>0.5</v>
          </cell>
          <cell r="I78">
            <v>1</v>
          </cell>
          <cell r="J78">
            <v>0.25</v>
          </cell>
          <cell r="K78">
            <v>0.5</v>
          </cell>
          <cell r="L78">
            <v>0.25</v>
          </cell>
          <cell r="M78">
            <v>0.5</v>
          </cell>
          <cell r="N78">
            <v>0.25</v>
          </cell>
        </row>
        <row r="79">
          <cell r="C79">
            <v>0.25</v>
          </cell>
          <cell r="D79">
            <v>0.5</v>
          </cell>
          <cell r="E79">
            <v>0.5</v>
          </cell>
          <cell r="F79">
            <v>0.5</v>
          </cell>
          <cell r="G79">
            <v>0.25</v>
          </cell>
          <cell r="H79">
            <v>0.25</v>
          </cell>
          <cell r="I79">
            <v>0.25</v>
          </cell>
          <cell r="J79">
            <v>1</v>
          </cell>
          <cell r="K79">
            <v>0.5</v>
          </cell>
          <cell r="L79">
            <v>0.5</v>
          </cell>
          <cell r="M79">
            <v>0.25</v>
          </cell>
          <cell r="N79">
            <v>0.25</v>
          </cell>
        </row>
        <row r="80">
          <cell r="C80">
            <v>0.5</v>
          </cell>
          <cell r="D80">
            <v>0.5</v>
          </cell>
          <cell r="E80">
            <v>0.5</v>
          </cell>
          <cell r="F80">
            <v>0.5</v>
          </cell>
          <cell r="G80">
            <v>0.5</v>
          </cell>
          <cell r="H80">
            <v>0.5</v>
          </cell>
          <cell r="I80">
            <v>0.5</v>
          </cell>
          <cell r="J80">
            <v>0.5</v>
          </cell>
          <cell r="K80">
            <v>1</v>
          </cell>
          <cell r="L80">
            <v>0.25</v>
          </cell>
          <cell r="M80">
            <v>0.25</v>
          </cell>
          <cell r="N80">
            <v>0.5</v>
          </cell>
        </row>
        <row r="81">
          <cell r="C81">
            <v>0.25</v>
          </cell>
          <cell r="D81">
            <v>0.25</v>
          </cell>
          <cell r="E81">
            <v>0.25</v>
          </cell>
          <cell r="F81">
            <v>0.5</v>
          </cell>
          <cell r="G81">
            <v>0.25</v>
          </cell>
          <cell r="H81">
            <v>0.25</v>
          </cell>
          <cell r="I81">
            <v>0.25</v>
          </cell>
          <cell r="J81">
            <v>0.5</v>
          </cell>
          <cell r="K81">
            <v>0.25</v>
          </cell>
          <cell r="L81">
            <v>1</v>
          </cell>
          <cell r="M81">
            <v>0.25</v>
          </cell>
          <cell r="N81">
            <v>0.25</v>
          </cell>
        </row>
        <row r="82">
          <cell r="C82">
            <v>0.25</v>
          </cell>
          <cell r="D82">
            <v>0.25</v>
          </cell>
          <cell r="E82">
            <v>0.25</v>
          </cell>
          <cell r="F82">
            <v>0.25</v>
          </cell>
          <cell r="G82">
            <v>0.5</v>
          </cell>
          <cell r="H82">
            <v>0.5</v>
          </cell>
          <cell r="I82">
            <v>0.5</v>
          </cell>
          <cell r="J82">
            <v>0.25</v>
          </cell>
          <cell r="K82">
            <v>0.25</v>
          </cell>
          <cell r="L82">
            <v>0.25</v>
          </cell>
          <cell r="M82">
            <v>1</v>
          </cell>
          <cell r="N82">
            <v>0.25</v>
          </cell>
        </row>
        <row r="83">
          <cell r="C83">
            <v>0.25</v>
          </cell>
          <cell r="D83">
            <v>0.25</v>
          </cell>
          <cell r="E83">
            <v>0.5</v>
          </cell>
          <cell r="F83">
            <v>0.5</v>
          </cell>
          <cell r="G83">
            <v>0.25</v>
          </cell>
          <cell r="H83">
            <v>0.25</v>
          </cell>
          <cell r="I83">
            <v>0.25</v>
          </cell>
          <cell r="J83">
            <v>0.25</v>
          </cell>
          <cell r="K83">
            <v>0.5</v>
          </cell>
          <cell r="L83">
            <v>0.25</v>
          </cell>
          <cell r="M83">
            <v>0.25</v>
          </cell>
          <cell r="N83">
            <v>1</v>
          </cell>
        </row>
        <row r="90">
          <cell r="C90">
            <v>1</v>
          </cell>
          <cell r="D90">
            <v>0.75</v>
          </cell>
        </row>
        <row r="91">
          <cell r="C91">
            <v>0.75</v>
          </cell>
          <cell r="D91">
            <v>1</v>
          </cell>
        </row>
        <row r="94">
          <cell r="C94">
            <v>1</v>
          </cell>
          <cell r="D94">
            <v>0.75</v>
          </cell>
        </row>
        <row r="95">
          <cell r="C95">
            <v>0.75</v>
          </cell>
          <cell r="D95">
            <v>1</v>
          </cell>
        </row>
        <row r="130">
          <cell r="C130">
            <v>2.5758293035488999</v>
          </cell>
        </row>
      </sheetData>
      <sheetData sheetId="25" refreshError="1"/>
    </sheetDataSet>
  </externalBook>
</externalLink>
</file>

<file path=xl/theme/theme1.xml><?xml version="1.0" encoding="utf-8"?>
<a:theme xmlns:a="http://schemas.openxmlformats.org/drawingml/2006/main" name="Thèm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3.bin"/><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 Id="rId4" Type="http://schemas.openxmlformats.org/officeDocument/2006/relationships/customProperty" Target="../customProperty1.bin"/></Relationships>
</file>

<file path=xl/worksheets/_rels/sheet10.xml.rels><?xml version="1.0" encoding="UTF-8" standalone="yes"?>
<Relationships xmlns="http://schemas.openxmlformats.org/package/2006/relationships"><Relationship Id="rId8" Type="http://schemas.openxmlformats.org/officeDocument/2006/relationships/printerSettings" Target="../printerSettings/printerSettings62.bin"/><Relationship Id="rId13" Type="http://schemas.openxmlformats.org/officeDocument/2006/relationships/customProperty" Target="../customProperty10.bin"/><Relationship Id="rId3" Type="http://schemas.openxmlformats.org/officeDocument/2006/relationships/printerSettings" Target="../printerSettings/printerSettings57.bin"/><Relationship Id="rId7" Type="http://schemas.openxmlformats.org/officeDocument/2006/relationships/printerSettings" Target="../printerSettings/printerSettings61.bin"/><Relationship Id="rId12" Type="http://schemas.openxmlformats.org/officeDocument/2006/relationships/printerSettings" Target="../printerSettings/printerSettings66.bin"/><Relationship Id="rId2" Type="http://schemas.openxmlformats.org/officeDocument/2006/relationships/printerSettings" Target="../printerSettings/printerSettings56.bin"/><Relationship Id="rId1" Type="http://schemas.openxmlformats.org/officeDocument/2006/relationships/printerSettings" Target="../printerSettings/printerSettings55.bin"/><Relationship Id="rId6" Type="http://schemas.openxmlformats.org/officeDocument/2006/relationships/printerSettings" Target="../printerSettings/printerSettings60.bin"/><Relationship Id="rId11" Type="http://schemas.openxmlformats.org/officeDocument/2006/relationships/printerSettings" Target="../printerSettings/printerSettings65.bin"/><Relationship Id="rId5" Type="http://schemas.openxmlformats.org/officeDocument/2006/relationships/printerSettings" Target="../printerSettings/printerSettings59.bin"/><Relationship Id="rId10" Type="http://schemas.openxmlformats.org/officeDocument/2006/relationships/printerSettings" Target="../printerSettings/printerSettings64.bin"/><Relationship Id="rId4" Type="http://schemas.openxmlformats.org/officeDocument/2006/relationships/printerSettings" Target="../printerSettings/printerSettings58.bin"/><Relationship Id="rId9" Type="http://schemas.openxmlformats.org/officeDocument/2006/relationships/printerSettings" Target="../printerSettings/printerSettings63.bin"/></Relationships>
</file>

<file path=xl/worksheets/_rels/sheet11.xml.rels><?xml version="1.0" encoding="UTF-8" standalone="yes"?>
<Relationships xmlns="http://schemas.openxmlformats.org/package/2006/relationships"><Relationship Id="rId8" Type="http://schemas.openxmlformats.org/officeDocument/2006/relationships/printerSettings" Target="../printerSettings/printerSettings74.bin"/><Relationship Id="rId13" Type="http://schemas.openxmlformats.org/officeDocument/2006/relationships/customProperty" Target="../customProperty11.bin"/><Relationship Id="rId3" Type="http://schemas.openxmlformats.org/officeDocument/2006/relationships/printerSettings" Target="../printerSettings/printerSettings69.bin"/><Relationship Id="rId7" Type="http://schemas.openxmlformats.org/officeDocument/2006/relationships/printerSettings" Target="../printerSettings/printerSettings73.bin"/><Relationship Id="rId12" Type="http://schemas.openxmlformats.org/officeDocument/2006/relationships/printerSettings" Target="../printerSettings/printerSettings78.bin"/><Relationship Id="rId2" Type="http://schemas.openxmlformats.org/officeDocument/2006/relationships/printerSettings" Target="../printerSettings/printerSettings68.bin"/><Relationship Id="rId1" Type="http://schemas.openxmlformats.org/officeDocument/2006/relationships/printerSettings" Target="../printerSettings/printerSettings67.bin"/><Relationship Id="rId6" Type="http://schemas.openxmlformats.org/officeDocument/2006/relationships/printerSettings" Target="../printerSettings/printerSettings72.bin"/><Relationship Id="rId11" Type="http://schemas.openxmlformats.org/officeDocument/2006/relationships/printerSettings" Target="../printerSettings/printerSettings77.bin"/><Relationship Id="rId5" Type="http://schemas.openxmlformats.org/officeDocument/2006/relationships/printerSettings" Target="../printerSettings/printerSettings71.bin"/><Relationship Id="rId10" Type="http://schemas.openxmlformats.org/officeDocument/2006/relationships/printerSettings" Target="../printerSettings/printerSettings76.bin"/><Relationship Id="rId4" Type="http://schemas.openxmlformats.org/officeDocument/2006/relationships/printerSettings" Target="../printerSettings/printerSettings70.bin"/><Relationship Id="rId9" Type="http://schemas.openxmlformats.org/officeDocument/2006/relationships/printerSettings" Target="../printerSettings/printerSettings75.bin"/></Relationships>
</file>

<file path=xl/worksheets/_rels/sheet12.xml.rels><?xml version="1.0" encoding="UTF-8" standalone="yes"?>
<Relationships xmlns="http://schemas.openxmlformats.org/package/2006/relationships"><Relationship Id="rId8" Type="http://schemas.openxmlformats.org/officeDocument/2006/relationships/printerSettings" Target="../printerSettings/printerSettings86.bin"/><Relationship Id="rId13" Type="http://schemas.openxmlformats.org/officeDocument/2006/relationships/customProperty" Target="../customProperty12.bin"/><Relationship Id="rId3" Type="http://schemas.openxmlformats.org/officeDocument/2006/relationships/printerSettings" Target="../printerSettings/printerSettings81.bin"/><Relationship Id="rId7" Type="http://schemas.openxmlformats.org/officeDocument/2006/relationships/printerSettings" Target="../printerSettings/printerSettings85.bin"/><Relationship Id="rId12" Type="http://schemas.openxmlformats.org/officeDocument/2006/relationships/printerSettings" Target="../printerSettings/printerSettings90.bin"/><Relationship Id="rId2" Type="http://schemas.openxmlformats.org/officeDocument/2006/relationships/printerSettings" Target="../printerSettings/printerSettings80.bin"/><Relationship Id="rId16" Type="http://schemas.openxmlformats.org/officeDocument/2006/relationships/comments" Target="../comments1.xml"/><Relationship Id="rId1" Type="http://schemas.openxmlformats.org/officeDocument/2006/relationships/printerSettings" Target="../printerSettings/printerSettings79.bin"/><Relationship Id="rId6" Type="http://schemas.openxmlformats.org/officeDocument/2006/relationships/printerSettings" Target="../printerSettings/printerSettings84.bin"/><Relationship Id="rId11" Type="http://schemas.openxmlformats.org/officeDocument/2006/relationships/printerSettings" Target="../printerSettings/printerSettings89.bin"/><Relationship Id="rId5" Type="http://schemas.openxmlformats.org/officeDocument/2006/relationships/printerSettings" Target="../printerSettings/printerSettings83.bin"/><Relationship Id="rId15" Type="http://schemas.openxmlformats.org/officeDocument/2006/relationships/vmlDrawing" Target="../drawings/vmlDrawing1.vml"/><Relationship Id="rId10" Type="http://schemas.openxmlformats.org/officeDocument/2006/relationships/printerSettings" Target="../printerSettings/printerSettings88.bin"/><Relationship Id="rId4" Type="http://schemas.openxmlformats.org/officeDocument/2006/relationships/printerSettings" Target="../printerSettings/printerSettings82.bin"/><Relationship Id="rId9" Type="http://schemas.openxmlformats.org/officeDocument/2006/relationships/printerSettings" Target="../printerSettings/printerSettings87.bin"/><Relationship Id="rId14" Type="http://schemas.openxmlformats.org/officeDocument/2006/relationships/drawing" Target="../drawings/drawing1.xml"/></Relationships>
</file>

<file path=xl/worksheets/_rels/sheet13.xml.rels><?xml version="1.0" encoding="UTF-8" standalone="yes"?>
<Relationships xmlns="http://schemas.openxmlformats.org/package/2006/relationships"><Relationship Id="rId8" Type="http://schemas.openxmlformats.org/officeDocument/2006/relationships/printerSettings" Target="../printerSettings/printerSettings98.bin"/><Relationship Id="rId13" Type="http://schemas.openxmlformats.org/officeDocument/2006/relationships/customProperty" Target="../customProperty13.bin"/><Relationship Id="rId3" Type="http://schemas.openxmlformats.org/officeDocument/2006/relationships/printerSettings" Target="../printerSettings/printerSettings93.bin"/><Relationship Id="rId7" Type="http://schemas.openxmlformats.org/officeDocument/2006/relationships/printerSettings" Target="../printerSettings/printerSettings97.bin"/><Relationship Id="rId12" Type="http://schemas.openxmlformats.org/officeDocument/2006/relationships/printerSettings" Target="../printerSettings/printerSettings102.bin"/><Relationship Id="rId2" Type="http://schemas.openxmlformats.org/officeDocument/2006/relationships/printerSettings" Target="../printerSettings/printerSettings92.bin"/><Relationship Id="rId1" Type="http://schemas.openxmlformats.org/officeDocument/2006/relationships/printerSettings" Target="../printerSettings/printerSettings91.bin"/><Relationship Id="rId6" Type="http://schemas.openxmlformats.org/officeDocument/2006/relationships/printerSettings" Target="../printerSettings/printerSettings96.bin"/><Relationship Id="rId11" Type="http://schemas.openxmlformats.org/officeDocument/2006/relationships/printerSettings" Target="../printerSettings/printerSettings101.bin"/><Relationship Id="rId5" Type="http://schemas.openxmlformats.org/officeDocument/2006/relationships/printerSettings" Target="../printerSettings/printerSettings95.bin"/><Relationship Id="rId10" Type="http://schemas.openxmlformats.org/officeDocument/2006/relationships/printerSettings" Target="../printerSettings/printerSettings100.bin"/><Relationship Id="rId4" Type="http://schemas.openxmlformats.org/officeDocument/2006/relationships/printerSettings" Target="../printerSettings/printerSettings94.bin"/><Relationship Id="rId9" Type="http://schemas.openxmlformats.org/officeDocument/2006/relationships/printerSettings" Target="../printerSettings/printerSettings99.bin"/></Relationships>
</file>

<file path=xl/worksheets/_rels/sheet14.xml.rels><?xml version="1.0" encoding="UTF-8" standalone="yes"?>
<Relationships xmlns="http://schemas.openxmlformats.org/package/2006/relationships"><Relationship Id="rId3" Type="http://schemas.openxmlformats.org/officeDocument/2006/relationships/printerSettings" Target="../printerSettings/printerSettings105.bin"/><Relationship Id="rId2" Type="http://schemas.openxmlformats.org/officeDocument/2006/relationships/printerSettings" Target="../printerSettings/printerSettings104.bin"/><Relationship Id="rId1" Type="http://schemas.openxmlformats.org/officeDocument/2006/relationships/printerSettings" Target="../printerSettings/printerSettings103.bin"/><Relationship Id="rId4" Type="http://schemas.openxmlformats.org/officeDocument/2006/relationships/customProperty" Target="../customProperty14.bin"/></Relationships>
</file>

<file path=xl/worksheets/_rels/sheet15.xml.rels><?xml version="1.0" encoding="UTF-8" standalone="yes"?>
<Relationships xmlns="http://schemas.openxmlformats.org/package/2006/relationships"><Relationship Id="rId8" Type="http://schemas.openxmlformats.org/officeDocument/2006/relationships/printerSettings" Target="../printerSettings/printerSettings113.bin"/><Relationship Id="rId13" Type="http://schemas.openxmlformats.org/officeDocument/2006/relationships/customProperty" Target="../customProperty15.bin"/><Relationship Id="rId3" Type="http://schemas.openxmlformats.org/officeDocument/2006/relationships/printerSettings" Target="../printerSettings/printerSettings108.bin"/><Relationship Id="rId7" Type="http://schemas.openxmlformats.org/officeDocument/2006/relationships/printerSettings" Target="../printerSettings/printerSettings112.bin"/><Relationship Id="rId12" Type="http://schemas.openxmlformats.org/officeDocument/2006/relationships/printerSettings" Target="../printerSettings/printerSettings117.bin"/><Relationship Id="rId2" Type="http://schemas.openxmlformats.org/officeDocument/2006/relationships/printerSettings" Target="../printerSettings/printerSettings107.bin"/><Relationship Id="rId1" Type="http://schemas.openxmlformats.org/officeDocument/2006/relationships/printerSettings" Target="../printerSettings/printerSettings106.bin"/><Relationship Id="rId6" Type="http://schemas.openxmlformats.org/officeDocument/2006/relationships/printerSettings" Target="../printerSettings/printerSettings111.bin"/><Relationship Id="rId11" Type="http://schemas.openxmlformats.org/officeDocument/2006/relationships/printerSettings" Target="../printerSettings/printerSettings116.bin"/><Relationship Id="rId5" Type="http://schemas.openxmlformats.org/officeDocument/2006/relationships/printerSettings" Target="../printerSettings/printerSettings110.bin"/><Relationship Id="rId10" Type="http://schemas.openxmlformats.org/officeDocument/2006/relationships/printerSettings" Target="../printerSettings/printerSettings115.bin"/><Relationship Id="rId4" Type="http://schemas.openxmlformats.org/officeDocument/2006/relationships/printerSettings" Target="../printerSettings/printerSettings109.bin"/><Relationship Id="rId9" Type="http://schemas.openxmlformats.org/officeDocument/2006/relationships/printerSettings" Target="../printerSettings/printerSettings114.bin"/></Relationships>
</file>

<file path=xl/worksheets/_rels/sheet16.xml.rels><?xml version="1.0" encoding="UTF-8" standalone="yes"?>
<Relationships xmlns="http://schemas.openxmlformats.org/package/2006/relationships"><Relationship Id="rId8" Type="http://schemas.openxmlformats.org/officeDocument/2006/relationships/printerSettings" Target="../printerSettings/printerSettings125.bin"/><Relationship Id="rId13" Type="http://schemas.openxmlformats.org/officeDocument/2006/relationships/customProperty" Target="../customProperty16.bin"/><Relationship Id="rId3" Type="http://schemas.openxmlformats.org/officeDocument/2006/relationships/printerSettings" Target="../printerSettings/printerSettings120.bin"/><Relationship Id="rId7" Type="http://schemas.openxmlformats.org/officeDocument/2006/relationships/printerSettings" Target="../printerSettings/printerSettings124.bin"/><Relationship Id="rId12" Type="http://schemas.openxmlformats.org/officeDocument/2006/relationships/printerSettings" Target="../printerSettings/printerSettings129.bin"/><Relationship Id="rId2" Type="http://schemas.openxmlformats.org/officeDocument/2006/relationships/printerSettings" Target="../printerSettings/printerSettings119.bin"/><Relationship Id="rId1" Type="http://schemas.openxmlformats.org/officeDocument/2006/relationships/printerSettings" Target="../printerSettings/printerSettings118.bin"/><Relationship Id="rId6" Type="http://schemas.openxmlformats.org/officeDocument/2006/relationships/printerSettings" Target="../printerSettings/printerSettings123.bin"/><Relationship Id="rId11" Type="http://schemas.openxmlformats.org/officeDocument/2006/relationships/printerSettings" Target="../printerSettings/printerSettings128.bin"/><Relationship Id="rId5" Type="http://schemas.openxmlformats.org/officeDocument/2006/relationships/printerSettings" Target="../printerSettings/printerSettings122.bin"/><Relationship Id="rId10" Type="http://schemas.openxmlformats.org/officeDocument/2006/relationships/printerSettings" Target="../printerSettings/printerSettings127.bin"/><Relationship Id="rId4" Type="http://schemas.openxmlformats.org/officeDocument/2006/relationships/printerSettings" Target="../printerSettings/printerSettings121.bin"/><Relationship Id="rId9" Type="http://schemas.openxmlformats.org/officeDocument/2006/relationships/printerSettings" Target="../printerSettings/printerSettings126.bin"/><Relationship Id="rId14" Type="http://schemas.openxmlformats.org/officeDocument/2006/relationships/drawing" Target="../drawings/drawing2.xml"/></Relationships>
</file>

<file path=xl/worksheets/_rels/sheet17.xml.rels><?xml version="1.0" encoding="UTF-8" standalone="yes"?>
<Relationships xmlns="http://schemas.openxmlformats.org/package/2006/relationships"><Relationship Id="rId8" Type="http://schemas.openxmlformats.org/officeDocument/2006/relationships/printerSettings" Target="../printerSettings/printerSettings137.bin"/><Relationship Id="rId13" Type="http://schemas.openxmlformats.org/officeDocument/2006/relationships/customProperty" Target="../customProperty17.bin"/><Relationship Id="rId3" Type="http://schemas.openxmlformats.org/officeDocument/2006/relationships/printerSettings" Target="../printerSettings/printerSettings132.bin"/><Relationship Id="rId7" Type="http://schemas.openxmlformats.org/officeDocument/2006/relationships/printerSettings" Target="../printerSettings/printerSettings136.bin"/><Relationship Id="rId12" Type="http://schemas.openxmlformats.org/officeDocument/2006/relationships/printerSettings" Target="../printerSettings/printerSettings141.bin"/><Relationship Id="rId2" Type="http://schemas.openxmlformats.org/officeDocument/2006/relationships/printerSettings" Target="../printerSettings/printerSettings131.bin"/><Relationship Id="rId1" Type="http://schemas.openxmlformats.org/officeDocument/2006/relationships/printerSettings" Target="../printerSettings/printerSettings130.bin"/><Relationship Id="rId6" Type="http://schemas.openxmlformats.org/officeDocument/2006/relationships/printerSettings" Target="../printerSettings/printerSettings135.bin"/><Relationship Id="rId11" Type="http://schemas.openxmlformats.org/officeDocument/2006/relationships/printerSettings" Target="../printerSettings/printerSettings140.bin"/><Relationship Id="rId5" Type="http://schemas.openxmlformats.org/officeDocument/2006/relationships/printerSettings" Target="../printerSettings/printerSettings134.bin"/><Relationship Id="rId10" Type="http://schemas.openxmlformats.org/officeDocument/2006/relationships/printerSettings" Target="../printerSettings/printerSettings139.bin"/><Relationship Id="rId4" Type="http://schemas.openxmlformats.org/officeDocument/2006/relationships/printerSettings" Target="../printerSettings/printerSettings133.bin"/><Relationship Id="rId9" Type="http://schemas.openxmlformats.org/officeDocument/2006/relationships/printerSettings" Target="../printerSettings/printerSettings138.bin"/><Relationship Id="rId14" Type="http://schemas.openxmlformats.org/officeDocument/2006/relationships/drawing" Target="../drawings/drawing3.xml"/></Relationships>
</file>

<file path=xl/worksheets/_rels/sheet2.xml.rels><?xml version="1.0" encoding="UTF-8" standalone="yes"?>
<Relationships xmlns="http://schemas.openxmlformats.org/package/2006/relationships"><Relationship Id="rId3" Type="http://schemas.openxmlformats.org/officeDocument/2006/relationships/printerSettings" Target="../printerSettings/printerSettings6.bin"/><Relationship Id="rId2" Type="http://schemas.openxmlformats.org/officeDocument/2006/relationships/printerSettings" Target="../printerSettings/printerSettings5.bin"/><Relationship Id="rId1" Type="http://schemas.openxmlformats.org/officeDocument/2006/relationships/printerSettings" Target="../printerSettings/printerSettings4.bin"/><Relationship Id="rId4" Type="http://schemas.openxmlformats.org/officeDocument/2006/relationships/customProperty" Target="../customProperty2.bin"/></Relationships>
</file>

<file path=xl/worksheets/_rels/sheet3.xml.rels><?xml version="1.0" encoding="UTF-8" standalone="yes"?>
<Relationships xmlns="http://schemas.openxmlformats.org/package/2006/relationships"><Relationship Id="rId3" Type="http://schemas.openxmlformats.org/officeDocument/2006/relationships/printerSettings" Target="../printerSettings/printerSettings9.bin"/><Relationship Id="rId2" Type="http://schemas.openxmlformats.org/officeDocument/2006/relationships/printerSettings" Target="../printerSettings/printerSettings8.bin"/><Relationship Id="rId1" Type="http://schemas.openxmlformats.org/officeDocument/2006/relationships/printerSettings" Target="../printerSettings/printerSettings7.bin"/><Relationship Id="rId4" Type="http://schemas.openxmlformats.org/officeDocument/2006/relationships/customProperty" Target="../customProperty3.bin"/></Relationships>
</file>

<file path=xl/worksheets/_rels/sheet4.xml.rels><?xml version="1.0" encoding="UTF-8" standalone="yes"?>
<Relationships xmlns="http://schemas.openxmlformats.org/package/2006/relationships"><Relationship Id="rId3" Type="http://schemas.openxmlformats.org/officeDocument/2006/relationships/printerSettings" Target="../printerSettings/printerSettings12.bin"/><Relationship Id="rId2" Type="http://schemas.openxmlformats.org/officeDocument/2006/relationships/printerSettings" Target="../printerSettings/printerSettings11.bin"/><Relationship Id="rId1" Type="http://schemas.openxmlformats.org/officeDocument/2006/relationships/printerSettings" Target="../printerSettings/printerSettings10.bin"/><Relationship Id="rId4" Type="http://schemas.openxmlformats.org/officeDocument/2006/relationships/customProperty" Target="../customProperty4.bin"/></Relationships>
</file>

<file path=xl/worksheets/_rels/sheet5.xml.rels><?xml version="1.0" encoding="UTF-8" standalone="yes"?>
<Relationships xmlns="http://schemas.openxmlformats.org/package/2006/relationships"><Relationship Id="rId3" Type="http://schemas.openxmlformats.org/officeDocument/2006/relationships/printerSettings" Target="../printerSettings/printerSettings15.bin"/><Relationship Id="rId2" Type="http://schemas.openxmlformats.org/officeDocument/2006/relationships/printerSettings" Target="../printerSettings/printerSettings14.bin"/><Relationship Id="rId1" Type="http://schemas.openxmlformats.org/officeDocument/2006/relationships/printerSettings" Target="../printerSettings/printerSettings13.bin"/><Relationship Id="rId4" Type="http://schemas.openxmlformats.org/officeDocument/2006/relationships/customProperty" Target="../customProperty5.bin"/></Relationships>
</file>

<file path=xl/worksheets/_rels/sheet6.xml.rels><?xml version="1.0" encoding="UTF-8" standalone="yes"?>
<Relationships xmlns="http://schemas.openxmlformats.org/package/2006/relationships"><Relationship Id="rId3" Type="http://schemas.openxmlformats.org/officeDocument/2006/relationships/printerSettings" Target="../printerSettings/printerSettings18.bin"/><Relationship Id="rId2" Type="http://schemas.openxmlformats.org/officeDocument/2006/relationships/printerSettings" Target="../printerSettings/printerSettings17.bin"/><Relationship Id="rId1" Type="http://schemas.openxmlformats.org/officeDocument/2006/relationships/printerSettings" Target="../printerSettings/printerSettings16.bin"/><Relationship Id="rId4" Type="http://schemas.openxmlformats.org/officeDocument/2006/relationships/customProperty" Target="../customProperty6.bin"/></Relationships>
</file>

<file path=xl/worksheets/_rels/sheet7.xml.rels><?xml version="1.0" encoding="UTF-8" standalone="yes"?>
<Relationships xmlns="http://schemas.openxmlformats.org/package/2006/relationships"><Relationship Id="rId8" Type="http://schemas.openxmlformats.org/officeDocument/2006/relationships/printerSettings" Target="../printerSettings/printerSettings26.bin"/><Relationship Id="rId13" Type="http://schemas.openxmlformats.org/officeDocument/2006/relationships/customProperty" Target="../customProperty7.bin"/><Relationship Id="rId3" Type="http://schemas.openxmlformats.org/officeDocument/2006/relationships/printerSettings" Target="../printerSettings/printerSettings21.bin"/><Relationship Id="rId7" Type="http://schemas.openxmlformats.org/officeDocument/2006/relationships/printerSettings" Target="../printerSettings/printerSettings25.bin"/><Relationship Id="rId12" Type="http://schemas.openxmlformats.org/officeDocument/2006/relationships/printerSettings" Target="../printerSettings/printerSettings30.bin"/><Relationship Id="rId2" Type="http://schemas.openxmlformats.org/officeDocument/2006/relationships/printerSettings" Target="../printerSettings/printerSettings20.bin"/><Relationship Id="rId1" Type="http://schemas.openxmlformats.org/officeDocument/2006/relationships/printerSettings" Target="../printerSettings/printerSettings19.bin"/><Relationship Id="rId6" Type="http://schemas.openxmlformats.org/officeDocument/2006/relationships/printerSettings" Target="../printerSettings/printerSettings24.bin"/><Relationship Id="rId11" Type="http://schemas.openxmlformats.org/officeDocument/2006/relationships/printerSettings" Target="../printerSettings/printerSettings29.bin"/><Relationship Id="rId5" Type="http://schemas.openxmlformats.org/officeDocument/2006/relationships/printerSettings" Target="../printerSettings/printerSettings23.bin"/><Relationship Id="rId10" Type="http://schemas.openxmlformats.org/officeDocument/2006/relationships/printerSettings" Target="../printerSettings/printerSettings28.bin"/><Relationship Id="rId4" Type="http://schemas.openxmlformats.org/officeDocument/2006/relationships/printerSettings" Target="../printerSettings/printerSettings22.bin"/><Relationship Id="rId9" Type="http://schemas.openxmlformats.org/officeDocument/2006/relationships/printerSettings" Target="../printerSettings/printerSettings27.bin"/></Relationships>
</file>

<file path=xl/worksheets/_rels/sheet8.xml.rels><?xml version="1.0" encoding="UTF-8" standalone="yes"?>
<Relationships xmlns="http://schemas.openxmlformats.org/package/2006/relationships"><Relationship Id="rId8" Type="http://schemas.openxmlformats.org/officeDocument/2006/relationships/printerSettings" Target="../printerSettings/printerSettings38.bin"/><Relationship Id="rId13" Type="http://schemas.openxmlformats.org/officeDocument/2006/relationships/customProperty" Target="../customProperty8.bin"/><Relationship Id="rId3" Type="http://schemas.openxmlformats.org/officeDocument/2006/relationships/printerSettings" Target="../printerSettings/printerSettings33.bin"/><Relationship Id="rId7" Type="http://schemas.openxmlformats.org/officeDocument/2006/relationships/printerSettings" Target="../printerSettings/printerSettings37.bin"/><Relationship Id="rId12" Type="http://schemas.openxmlformats.org/officeDocument/2006/relationships/printerSettings" Target="../printerSettings/printerSettings42.bin"/><Relationship Id="rId2" Type="http://schemas.openxmlformats.org/officeDocument/2006/relationships/printerSettings" Target="../printerSettings/printerSettings32.bin"/><Relationship Id="rId1" Type="http://schemas.openxmlformats.org/officeDocument/2006/relationships/printerSettings" Target="../printerSettings/printerSettings31.bin"/><Relationship Id="rId6" Type="http://schemas.openxmlformats.org/officeDocument/2006/relationships/printerSettings" Target="../printerSettings/printerSettings36.bin"/><Relationship Id="rId11" Type="http://schemas.openxmlformats.org/officeDocument/2006/relationships/printerSettings" Target="../printerSettings/printerSettings41.bin"/><Relationship Id="rId5" Type="http://schemas.openxmlformats.org/officeDocument/2006/relationships/printerSettings" Target="../printerSettings/printerSettings35.bin"/><Relationship Id="rId10" Type="http://schemas.openxmlformats.org/officeDocument/2006/relationships/printerSettings" Target="../printerSettings/printerSettings40.bin"/><Relationship Id="rId4" Type="http://schemas.openxmlformats.org/officeDocument/2006/relationships/printerSettings" Target="../printerSettings/printerSettings34.bin"/><Relationship Id="rId9" Type="http://schemas.openxmlformats.org/officeDocument/2006/relationships/printerSettings" Target="../printerSettings/printerSettings39.bin"/></Relationships>
</file>

<file path=xl/worksheets/_rels/sheet9.xml.rels><?xml version="1.0" encoding="UTF-8" standalone="yes"?>
<Relationships xmlns="http://schemas.openxmlformats.org/package/2006/relationships"><Relationship Id="rId8" Type="http://schemas.openxmlformats.org/officeDocument/2006/relationships/printerSettings" Target="../printerSettings/printerSettings50.bin"/><Relationship Id="rId13" Type="http://schemas.openxmlformats.org/officeDocument/2006/relationships/customProperty" Target="../customProperty9.bin"/><Relationship Id="rId3" Type="http://schemas.openxmlformats.org/officeDocument/2006/relationships/printerSettings" Target="../printerSettings/printerSettings45.bin"/><Relationship Id="rId7" Type="http://schemas.openxmlformats.org/officeDocument/2006/relationships/printerSettings" Target="../printerSettings/printerSettings49.bin"/><Relationship Id="rId12" Type="http://schemas.openxmlformats.org/officeDocument/2006/relationships/printerSettings" Target="../printerSettings/printerSettings54.bin"/><Relationship Id="rId2" Type="http://schemas.openxmlformats.org/officeDocument/2006/relationships/printerSettings" Target="../printerSettings/printerSettings44.bin"/><Relationship Id="rId1" Type="http://schemas.openxmlformats.org/officeDocument/2006/relationships/printerSettings" Target="../printerSettings/printerSettings43.bin"/><Relationship Id="rId6" Type="http://schemas.openxmlformats.org/officeDocument/2006/relationships/printerSettings" Target="../printerSettings/printerSettings48.bin"/><Relationship Id="rId11" Type="http://schemas.openxmlformats.org/officeDocument/2006/relationships/printerSettings" Target="../printerSettings/printerSettings53.bin"/><Relationship Id="rId5" Type="http://schemas.openxmlformats.org/officeDocument/2006/relationships/printerSettings" Target="../printerSettings/printerSettings47.bin"/><Relationship Id="rId10" Type="http://schemas.openxmlformats.org/officeDocument/2006/relationships/printerSettings" Target="../printerSettings/printerSettings52.bin"/><Relationship Id="rId4" Type="http://schemas.openxmlformats.org/officeDocument/2006/relationships/printerSettings" Target="../printerSettings/printerSettings46.bin"/><Relationship Id="rId9" Type="http://schemas.openxmlformats.org/officeDocument/2006/relationships/printerSettings" Target="../printerSettings/printerSettings5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Q593"/>
  <sheetViews>
    <sheetView showGridLines="0" topLeftCell="D6" workbookViewId="0">
      <selection activeCell="Q54" sqref="Q54"/>
    </sheetView>
  </sheetViews>
  <sheetFormatPr baseColWidth="10" defaultColWidth="10.85546875" defaultRowHeight="15" outlineLevelRow="3" outlineLevelCol="1"/>
  <cols>
    <col min="1" max="2" width="14.85546875" style="87" hidden="1" customWidth="1" outlineLevel="1"/>
    <col min="3" max="3" width="13.85546875" style="87" hidden="1" customWidth="1" outlineLevel="1"/>
    <col min="4" max="4" width="13.85546875" style="87" customWidth="1" collapsed="1"/>
    <col min="5" max="5" width="63" style="87" customWidth="1"/>
    <col min="6" max="6" width="3.85546875" style="87" bestFit="1" customWidth="1"/>
    <col min="7" max="7" width="11" style="87" hidden="1" customWidth="1"/>
    <col min="8" max="8" width="4.140625" style="87" hidden="1" customWidth="1"/>
    <col min="9" max="12" width="10.85546875" style="87"/>
    <col min="13" max="13" width="1.140625" style="87" customWidth="1"/>
    <col min="14" max="14" width="10.85546875" style="87"/>
    <col min="15" max="15" width="1.140625" style="87" customWidth="1"/>
    <col min="16" max="16384" width="10.85546875" style="87"/>
  </cols>
  <sheetData>
    <row r="1" spans="1:17" ht="12" hidden="1" customHeight="1" outlineLevel="1">
      <c r="A1" s="114" t="s">
        <v>1110</v>
      </c>
    </row>
    <row r="2" spans="1:17" ht="12" hidden="1" customHeight="1" outlineLevel="1">
      <c r="A2" s="119" t="s">
        <v>71</v>
      </c>
    </row>
    <row r="3" spans="1:17" ht="12" hidden="1" customHeight="1" outlineLevel="1">
      <c r="A3" s="119" t="s">
        <v>1433</v>
      </c>
    </row>
    <row r="4" spans="1:17" ht="12" hidden="1" customHeight="1" outlineLevel="1">
      <c r="A4" s="119" t="s">
        <v>583</v>
      </c>
    </row>
    <row r="5" spans="1:17" ht="12" hidden="1" customHeight="1" outlineLevel="1">
      <c r="A5" s="119" t="s">
        <v>73</v>
      </c>
    </row>
    <row r="6" spans="1:17" ht="12" customHeight="1" collapsed="1">
      <c r="A6" s="119" t="s">
        <v>72</v>
      </c>
      <c r="F6" s="120"/>
      <c r="G6" s="120"/>
      <c r="H6" s="56" t="s">
        <v>1194</v>
      </c>
      <c r="I6" s="56" t="s">
        <v>1195</v>
      </c>
      <c r="J6" s="56" t="s">
        <v>1196</v>
      </c>
      <c r="K6" s="56" t="s">
        <v>1197</v>
      </c>
      <c r="L6" s="120"/>
      <c r="M6" s="120"/>
      <c r="N6" s="56" t="s">
        <v>1197</v>
      </c>
      <c r="P6" s="56" t="s">
        <v>1197</v>
      </c>
    </row>
    <row r="7" spans="1:17" ht="12" customHeight="1">
      <c r="E7" s="120"/>
    </row>
    <row r="8" spans="1:17" ht="12" customHeight="1">
      <c r="E8" s="120" t="s">
        <v>1688</v>
      </c>
    </row>
    <row r="9" spans="1:17" ht="12" customHeight="1" thickBot="1">
      <c r="I9" s="1155" t="s">
        <v>1780</v>
      </c>
      <c r="J9" s="1156"/>
      <c r="K9" s="1156"/>
      <c r="L9" s="1156"/>
      <c r="N9" s="1157" t="s">
        <v>1511</v>
      </c>
      <c r="P9" s="1157" t="s">
        <v>57</v>
      </c>
    </row>
    <row r="10" spans="1:17" ht="62.25" customHeight="1" thickTop="1" thickBot="1">
      <c r="E10" s="14" t="s">
        <v>1683</v>
      </c>
      <c r="F10" s="14"/>
      <c r="G10" s="14" t="s">
        <v>1513</v>
      </c>
      <c r="H10" s="14" t="s">
        <v>1514</v>
      </c>
      <c r="I10" s="122" t="s">
        <v>115</v>
      </c>
      <c r="J10" s="122" t="s">
        <v>116</v>
      </c>
      <c r="K10" s="122" t="s">
        <v>117</v>
      </c>
      <c r="L10" s="122" t="s">
        <v>57</v>
      </c>
      <c r="N10" s="1158"/>
      <c r="P10" s="1158"/>
    </row>
    <row r="11" spans="1:17" s="115" customFormat="1" ht="12" thickBot="1">
      <c r="A11" s="115" t="s">
        <v>1060</v>
      </c>
      <c r="C11" s="123" t="s">
        <v>1515</v>
      </c>
      <c r="D11" s="123"/>
      <c r="E11" s="125" t="s">
        <v>104</v>
      </c>
      <c r="F11" s="126"/>
      <c r="G11" s="126"/>
      <c r="H11" s="126"/>
      <c r="I11" s="126">
        <f>_xll.GetCtData("COAMOUNT","CONSAMOUNT",$A$1:$A$8,$A11,H$6,"#10180205,5489177")/10^3</f>
        <v>10180.2055489177</v>
      </c>
      <c r="J11" s="126">
        <f>_xll.GetCtData("COAMOUNT","CONSAMOUNT",$A$1:$A$8,$A11,I$6,"#74987")/10^3</f>
        <v>74.986999999999995</v>
      </c>
      <c r="K11" s="126">
        <f>_xll.GetCtData("COAMOUNT","CONSAMOUNT",$A$1:$A$8,$A11,J$6,"#785508")/10^3</f>
        <v>785.50800000000004</v>
      </c>
      <c r="L11" s="126">
        <f>_xll.GetCtData("COAMOUNT","CONSAMOUNT",$A$1:$A$8,$A11,K$6,"#11040700,5489177")/10^3</f>
        <v>11040.700548917699</v>
      </c>
      <c r="N11" s="126">
        <v>96799.621196117194</v>
      </c>
      <c r="P11" s="126">
        <f>L11+N11</f>
        <v>107840.32174503489</v>
      </c>
      <c r="Q11" s="172">
        <v>11137.500170113801</v>
      </c>
    </row>
    <row r="12" spans="1:17" s="115" customFormat="1" ht="12" hidden="1" outlineLevel="1" thickBot="1">
      <c r="A12" s="115" t="s">
        <v>1689</v>
      </c>
      <c r="B12" s="115" t="s">
        <v>75</v>
      </c>
      <c r="C12" s="135" t="s">
        <v>1690</v>
      </c>
      <c r="D12" s="135"/>
      <c r="E12" s="135" t="s">
        <v>1691</v>
      </c>
      <c r="F12" s="135" t="s">
        <v>304</v>
      </c>
      <c r="G12" s="131" t="s">
        <v>305</v>
      </c>
      <c r="H12" s="135">
        <v>1</v>
      </c>
      <c r="I12" s="173">
        <f>_xll.GetCtData("COAMOUNT","CONSAMOUNT",$A$1:$A$8,$A12:$B12,,"#21502767")/10^3*$H12</f>
        <v>21502.767</v>
      </c>
      <c r="J12" s="173"/>
      <c r="K12" s="173"/>
      <c r="L12" s="173">
        <f>_xll.GetCtData("COAMOUNT","CONSAMOUNT",$A$1:$A$8,$A12:$B12,,"#21502767")/10^3*$H12</f>
        <v>21502.767</v>
      </c>
      <c r="N12" s="173">
        <f>_xll.GetCtData("COAMOUNT","CONSAMOUNT",$A$1:$A$8,$A12:$B12,,"#21502767")/10^3*$H12</f>
        <v>21502.767</v>
      </c>
      <c r="P12" s="173">
        <f>_xll.GetCtData("COAMOUNT","CONSAMOUNT",$A$1:$A$8,$A12:$B12,,"#21502767")/10^3*$H12</f>
        <v>21502.767</v>
      </c>
    </row>
    <row r="13" spans="1:17" s="115" customFormat="1" ht="12" hidden="1" outlineLevel="1" thickBot="1">
      <c r="A13" s="115" t="s">
        <v>1692</v>
      </c>
      <c r="B13" s="115" t="s">
        <v>75</v>
      </c>
      <c r="C13" s="135" t="s">
        <v>1693</v>
      </c>
      <c r="D13" s="135"/>
      <c r="E13" s="135" t="s">
        <v>1694</v>
      </c>
      <c r="F13" s="135" t="s">
        <v>304</v>
      </c>
      <c r="G13" s="131" t="s">
        <v>305</v>
      </c>
      <c r="H13" s="135">
        <v>1</v>
      </c>
      <c r="I13" s="173">
        <f>_xll.GetCtData("COAMOUNT","CONSAMOUNT",$A$1:$A$8,$A13:$B13,,"#938474")/10^3*$H13</f>
        <v>938.47400000000005</v>
      </c>
      <c r="J13" s="173"/>
      <c r="K13" s="173"/>
      <c r="L13" s="173">
        <f>_xll.GetCtData("COAMOUNT","CONSAMOUNT",$A$1:$A$8,$A13:$B13,,"#938474")/10^3*$H13</f>
        <v>938.47400000000005</v>
      </c>
      <c r="N13" s="173">
        <f>_xll.GetCtData("COAMOUNT","CONSAMOUNT",$A$1:$A$8,$A13:$B13,,"#938474")/10^3*$H13</f>
        <v>938.47400000000005</v>
      </c>
      <c r="P13" s="173">
        <f>_xll.GetCtData("COAMOUNT","CONSAMOUNT",$A$1:$A$8,$A13:$B13,,"#938474")/10^3*$H13</f>
        <v>938.47400000000005</v>
      </c>
    </row>
    <row r="14" spans="1:17" s="115" customFormat="1" ht="12" hidden="1" outlineLevel="1" thickBot="1">
      <c r="A14" s="115" t="s">
        <v>1695</v>
      </c>
      <c r="B14" s="115" t="s">
        <v>75</v>
      </c>
      <c r="C14" s="135" t="s">
        <v>1696</v>
      </c>
      <c r="D14" s="135"/>
      <c r="E14" s="135" t="s">
        <v>1697</v>
      </c>
      <c r="F14" s="135" t="s">
        <v>304</v>
      </c>
      <c r="G14" s="131" t="s">
        <v>305</v>
      </c>
      <c r="H14" s="135">
        <v>1</v>
      </c>
      <c r="I14" s="132"/>
      <c r="J14" s="173">
        <f>_xll.GetCtData("COAMOUNT","CONSAMOUNT",$A$1:$A$8,$A14:$B14,,"#71741")/10^3*$H14</f>
        <v>71.741</v>
      </c>
      <c r="K14" s="173"/>
      <c r="L14" s="173">
        <f>_xll.GetCtData("COAMOUNT","CONSAMOUNT",$A$1:$A$8,$A14:$B14,,"#71741")/10^3*$H14</f>
        <v>71.741</v>
      </c>
      <c r="N14" s="173">
        <f>_xll.GetCtData("COAMOUNT","CONSAMOUNT",$A$1:$A$8,$A14:$B14,,"#71741")/10^3*$H14</f>
        <v>71.741</v>
      </c>
      <c r="P14" s="173">
        <f>_xll.GetCtData("COAMOUNT","CONSAMOUNT",$A$1:$A$8,$A14:$B14,,"#71741")/10^3*$H14</f>
        <v>71.741</v>
      </c>
    </row>
    <row r="15" spans="1:17" s="115" customFormat="1" ht="12" hidden="1" outlineLevel="1" thickBot="1">
      <c r="A15" s="115" t="s">
        <v>1698</v>
      </c>
      <c r="B15" s="115" t="s">
        <v>75</v>
      </c>
      <c r="C15" s="135" t="s">
        <v>1699</v>
      </c>
      <c r="D15" s="135"/>
      <c r="E15" s="135" t="s">
        <v>1700</v>
      </c>
      <c r="F15" s="135" t="s">
        <v>304</v>
      </c>
      <c r="G15" s="131" t="s">
        <v>305</v>
      </c>
      <c r="H15" s="135">
        <v>1</v>
      </c>
      <c r="I15" s="132"/>
      <c r="J15" s="173">
        <f>_xll.GetCtData("COAMOUNT","CONSAMOUNT",$A$1:$A$8,$A15:$B15,,"#950")/10^3*$H15</f>
        <v>0.95</v>
      </c>
      <c r="K15" s="173"/>
      <c r="L15" s="173">
        <f>_xll.GetCtData("COAMOUNT","CONSAMOUNT",$A$1:$A$8,$A15:$B15,,"#950")/10^3*$H15</f>
        <v>0.95</v>
      </c>
      <c r="N15" s="173">
        <f>_xll.GetCtData("COAMOUNT","CONSAMOUNT",$A$1:$A$8,$A15:$B15,,"#950")/10^3*$H15</f>
        <v>0.95</v>
      </c>
      <c r="P15" s="173">
        <f>_xll.GetCtData("COAMOUNT","CONSAMOUNT",$A$1:$A$8,$A15:$B15,,"#950")/10^3*$H15</f>
        <v>0.95</v>
      </c>
    </row>
    <row r="16" spans="1:17" s="115" customFormat="1" ht="12" hidden="1" outlineLevel="1" thickBot="1">
      <c r="A16" s="115" t="s">
        <v>1701</v>
      </c>
      <c r="B16" s="115" t="s">
        <v>75</v>
      </c>
      <c r="C16" s="135" t="s">
        <v>1702</v>
      </c>
      <c r="D16" s="135"/>
      <c r="E16" s="135" t="s">
        <v>1703</v>
      </c>
      <c r="F16" s="135" t="s">
        <v>304</v>
      </c>
      <c r="G16" s="131" t="s">
        <v>305</v>
      </c>
      <c r="H16" s="135">
        <v>1</v>
      </c>
      <c r="I16" s="132"/>
      <c r="J16" s="173"/>
      <c r="K16" s="173">
        <f>_xll.GetCtData("COAMOUNT","CONSAMOUNT",$A$1:$A$8,$A16:$B16,,"#775896")/10^3*$H16</f>
        <v>775.89599999999996</v>
      </c>
      <c r="L16" s="173">
        <f>_xll.GetCtData("COAMOUNT","CONSAMOUNT",$A$1:$A$8,$A16:$B16,,"#775896")/10^3*$H16</f>
        <v>775.89599999999996</v>
      </c>
      <c r="N16" s="173">
        <f>_xll.GetCtData("COAMOUNT","CONSAMOUNT",$A$1:$A$8,$A16:$B16,,"#775896")/10^3*$H16</f>
        <v>775.89599999999996</v>
      </c>
      <c r="P16" s="173">
        <f>_xll.GetCtData("COAMOUNT","CONSAMOUNT",$A$1:$A$8,$A16:$B16,,"#775896")/10^3*$H16</f>
        <v>775.89599999999996</v>
      </c>
    </row>
    <row r="17" spans="1:16" s="115" customFormat="1" ht="12" hidden="1" outlineLevel="1" thickBot="1">
      <c r="A17" s="115" t="s">
        <v>1704</v>
      </c>
      <c r="B17" s="115" t="s">
        <v>75</v>
      </c>
      <c r="C17" s="135" t="s">
        <v>1705</v>
      </c>
      <c r="D17" s="135"/>
      <c r="E17" s="135" t="s">
        <v>1706</v>
      </c>
      <c r="F17" s="135" t="s">
        <v>304</v>
      </c>
      <c r="G17" s="131" t="s">
        <v>305</v>
      </c>
      <c r="H17" s="135">
        <v>1</v>
      </c>
      <c r="I17" s="132"/>
      <c r="J17" s="173"/>
      <c r="K17" s="173">
        <f>_xll.GetCtData("COAMOUNT","CONSAMOUNT",$A$1:$A$8,$A17:$B17,,"#9612")/10^3*$H17</f>
        <v>9.6120000000000001</v>
      </c>
      <c r="L17" s="173">
        <f>_xll.GetCtData("COAMOUNT","CONSAMOUNT",$A$1:$A$8,$A17:$B17,,"#9612")/10^3*$H17</f>
        <v>9.6120000000000001</v>
      </c>
      <c r="N17" s="173">
        <f>_xll.GetCtData("COAMOUNT","CONSAMOUNT",$A$1:$A$8,$A17:$B17,,"#9612")/10^3*$H17</f>
        <v>9.6120000000000001</v>
      </c>
      <c r="P17" s="173">
        <f>_xll.GetCtData("COAMOUNT","CONSAMOUNT",$A$1:$A$8,$A17:$B17,,"#9612")/10^3*$H17</f>
        <v>9.6120000000000001</v>
      </c>
    </row>
    <row r="18" spans="1:16" s="115" customFormat="1" ht="12" hidden="1" outlineLevel="1" thickBot="1">
      <c r="A18" s="115" t="s">
        <v>1707</v>
      </c>
      <c r="B18" s="115" t="s">
        <v>75</v>
      </c>
      <c r="C18" s="135" t="s">
        <v>1708</v>
      </c>
      <c r="D18" s="135"/>
      <c r="E18" s="135" t="s">
        <v>1709</v>
      </c>
      <c r="F18" s="135" t="s">
        <v>304</v>
      </c>
      <c r="G18" s="131" t="s">
        <v>305</v>
      </c>
      <c r="H18" s="135">
        <v>1</v>
      </c>
      <c r="I18" s="173">
        <f>_xll.GetCtData("COAMOUNT","CONSAMOUNT",$A$1:$A$8,$A18:$B18,,"#-831096,451082305")/10^3*$H18</f>
        <v>-831.09645108230507</v>
      </c>
      <c r="J18" s="173"/>
      <c r="K18" s="173"/>
      <c r="L18" s="173">
        <f>_xll.GetCtData("COAMOUNT","CONSAMOUNT",$A$1:$A$8,$A18:$B18,,"#-831096,451082305")/10^3*$H18</f>
        <v>-831.09645108230507</v>
      </c>
      <c r="N18" s="173">
        <f>_xll.GetCtData("COAMOUNT","CONSAMOUNT",$A$1:$A$8,$A18:$B18,,"#-831096,451082305")/10^3*$H18</f>
        <v>-831.09645108230507</v>
      </c>
      <c r="P18" s="173">
        <f>_xll.GetCtData("COAMOUNT","CONSAMOUNT",$A$1:$A$8,$A18:$B18,,"#-831096,451082305")/10^3*$H18</f>
        <v>-831.09645108230507</v>
      </c>
    </row>
    <row r="19" spans="1:16" s="115" customFormat="1" ht="12" hidden="1" outlineLevel="1" thickBot="1">
      <c r="A19" s="115" t="s">
        <v>1710</v>
      </c>
      <c r="B19" s="115" t="s">
        <v>75</v>
      </c>
      <c r="C19" s="135" t="s">
        <v>1711</v>
      </c>
      <c r="D19" s="135"/>
      <c r="E19" s="135" t="s">
        <v>1712</v>
      </c>
      <c r="F19" s="135" t="s">
        <v>304</v>
      </c>
      <c r="G19" s="131" t="s">
        <v>305</v>
      </c>
      <c r="H19" s="135">
        <v>1</v>
      </c>
      <c r="I19" s="173">
        <f>_xll.GetCtData("COAMOUNT","CONSAMOUNT",$A$1:$A$8,$A19:$B19,,"#-11642652")/10^3*$H19</f>
        <v>-11642.652</v>
      </c>
      <c r="J19" s="173"/>
      <c r="K19" s="173"/>
      <c r="L19" s="173">
        <f>_xll.GetCtData("COAMOUNT","CONSAMOUNT",$A$1:$A$8,$A19:$B19,,"#-11642652")/10^3*$H19</f>
        <v>-11642.652</v>
      </c>
      <c r="N19" s="173">
        <f>_xll.GetCtData("COAMOUNT","CONSAMOUNT",$A$1:$A$8,$A19:$B19,,"#-11642652")/10^3*$H19</f>
        <v>-11642.652</v>
      </c>
      <c r="P19" s="173">
        <f>_xll.GetCtData("COAMOUNT","CONSAMOUNT",$A$1:$A$8,$A19:$B19,,"#-11642652")/10^3*$H19</f>
        <v>-11642.652</v>
      </c>
    </row>
    <row r="20" spans="1:16" s="115" customFormat="1" ht="12" hidden="1" outlineLevel="1" thickBot="1">
      <c r="A20" s="115" t="s">
        <v>1713</v>
      </c>
      <c r="B20" s="115" t="s">
        <v>75</v>
      </c>
      <c r="C20" s="135" t="s">
        <v>1714</v>
      </c>
      <c r="D20" s="135"/>
      <c r="E20" s="135" t="s">
        <v>1715</v>
      </c>
      <c r="F20" s="135" t="s">
        <v>304</v>
      </c>
      <c r="G20" s="131" t="s">
        <v>305</v>
      </c>
      <c r="H20" s="135">
        <v>1</v>
      </c>
      <c r="I20" s="173">
        <f>_xll.GetCtData("COAMOUNT","CONSAMOUNT",$A$1:$A$8,$A20:$B20,,"#32806")/10^3*$H20</f>
        <v>32.805999999999997</v>
      </c>
      <c r="J20" s="173"/>
      <c r="K20" s="173"/>
      <c r="L20" s="173">
        <f>_xll.GetCtData("COAMOUNT","CONSAMOUNT",$A$1:$A$8,$A20:$B20,,"#32806")/10^3*$H20</f>
        <v>32.805999999999997</v>
      </c>
      <c r="N20" s="173">
        <f>_xll.GetCtData("COAMOUNT","CONSAMOUNT",$A$1:$A$8,$A20:$B20,,"#32806")/10^3*$H20</f>
        <v>32.805999999999997</v>
      </c>
      <c r="P20" s="173">
        <f>_xll.GetCtData("COAMOUNT","CONSAMOUNT",$A$1:$A$8,$A20:$B20,,"#32806")/10^3*$H20</f>
        <v>32.805999999999997</v>
      </c>
    </row>
    <row r="21" spans="1:16" s="115" customFormat="1" ht="12" hidden="1" outlineLevel="1" thickBot="1">
      <c r="A21" s="115" t="s">
        <v>1716</v>
      </c>
      <c r="B21" s="115" t="s">
        <v>75</v>
      </c>
      <c r="C21" s="135" t="s">
        <v>1717</v>
      </c>
      <c r="D21" s="135"/>
      <c r="E21" s="135" t="s">
        <v>1718</v>
      </c>
      <c r="F21" s="135" t="s">
        <v>304</v>
      </c>
      <c r="G21" s="131" t="s">
        <v>305</v>
      </c>
      <c r="H21" s="135">
        <v>1</v>
      </c>
      <c r="I21" s="173">
        <f>_xll.GetCtData("COAMOUNT","CONSAMOUNT",$A$1:$A$8,$A21:$B21,,"#")/10^3*$H21</f>
        <v>0</v>
      </c>
      <c r="J21" s="173"/>
      <c r="K21" s="173"/>
      <c r="L21" s="173">
        <f>_xll.GetCtData("COAMOUNT","CONSAMOUNT",$A$1:$A$8,$A21:$B21,,"#")/10^3*$H21</f>
        <v>0</v>
      </c>
      <c r="N21" s="173">
        <f>_xll.GetCtData("COAMOUNT","CONSAMOUNT",$A$1:$A$8,$A21:$B21,,"#")/10^3*$H21</f>
        <v>0</v>
      </c>
      <c r="P21" s="173">
        <f>_xll.GetCtData("COAMOUNT","CONSAMOUNT",$A$1:$A$8,$A21:$B21,,"#")/10^3*$H21</f>
        <v>0</v>
      </c>
    </row>
    <row r="22" spans="1:16" s="115" customFormat="1" ht="12" hidden="1" outlineLevel="1" thickBot="1">
      <c r="A22" s="115" t="s">
        <v>1719</v>
      </c>
      <c r="B22" s="115" t="s">
        <v>75</v>
      </c>
      <c r="C22" s="135" t="s">
        <v>1720</v>
      </c>
      <c r="D22" s="135"/>
      <c r="E22" s="135" t="s">
        <v>1721</v>
      </c>
      <c r="F22" s="135" t="s">
        <v>304</v>
      </c>
      <c r="G22" s="131" t="s">
        <v>305</v>
      </c>
      <c r="H22" s="135">
        <v>1</v>
      </c>
      <c r="I22" s="132"/>
      <c r="J22" s="173">
        <f>_xll.GetCtData("COAMOUNT","CONSAMOUNT",$A$1:$A$8,$A22:$B22,,"#2296")/10^3*$H22</f>
        <v>2.2959999999999998</v>
      </c>
      <c r="K22" s="173"/>
      <c r="L22" s="173">
        <f>_xll.GetCtData("COAMOUNT","CONSAMOUNT",$A$1:$A$8,$A22:$B22,,"#2296")/10^3*$H22</f>
        <v>2.2959999999999998</v>
      </c>
      <c r="N22" s="173">
        <f>_xll.GetCtData("COAMOUNT","CONSAMOUNT",$A$1:$A$8,$A22:$B22,,"#2296")/10^3*$H22</f>
        <v>2.2959999999999998</v>
      </c>
      <c r="P22" s="173">
        <f>_xll.GetCtData("COAMOUNT","CONSAMOUNT",$A$1:$A$8,$A22:$B22,,"#2296")/10^3*$H22</f>
        <v>2.2959999999999998</v>
      </c>
    </row>
    <row r="23" spans="1:16" s="115" customFormat="1" ht="12" hidden="1" outlineLevel="1" thickBot="1">
      <c r="A23" s="115" t="s">
        <v>1722</v>
      </c>
      <c r="B23" s="115" t="s">
        <v>75</v>
      </c>
      <c r="C23" s="135" t="s">
        <v>1723</v>
      </c>
      <c r="D23" s="135"/>
      <c r="E23" s="135" t="s">
        <v>1724</v>
      </c>
      <c r="F23" s="135" t="s">
        <v>304</v>
      </c>
      <c r="G23" s="131" t="s">
        <v>305</v>
      </c>
      <c r="H23" s="135">
        <v>1</v>
      </c>
      <c r="I23" s="132"/>
      <c r="J23" s="173">
        <f>_xll.GetCtData("COAMOUNT","CONSAMOUNT",$A$1:$A$8,$A23:$B23,,"#")/10^3*$H23</f>
        <v>0</v>
      </c>
      <c r="K23" s="173"/>
      <c r="L23" s="173">
        <f>_xll.GetCtData("COAMOUNT","CONSAMOUNT",$A$1:$A$8,$A23:$B23,,"#")/10^3*$H23</f>
        <v>0</v>
      </c>
      <c r="N23" s="173">
        <f>_xll.GetCtData("COAMOUNT","CONSAMOUNT",$A$1:$A$8,$A23:$B23,,"#")/10^3*$H23</f>
        <v>0</v>
      </c>
      <c r="P23" s="173">
        <f>_xll.GetCtData("COAMOUNT","CONSAMOUNT",$A$1:$A$8,$A23:$B23,,"#")/10^3*$H23</f>
        <v>0</v>
      </c>
    </row>
    <row r="24" spans="1:16" s="115" customFormat="1" ht="12" hidden="1" outlineLevel="1" thickBot="1">
      <c r="A24" s="115" t="s">
        <v>1725</v>
      </c>
      <c r="B24" s="115" t="s">
        <v>75</v>
      </c>
      <c r="C24" s="135" t="s">
        <v>1726</v>
      </c>
      <c r="D24" s="135"/>
      <c r="E24" s="135" t="s">
        <v>1727</v>
      </c>
      <c r="F24" s="135" t="s">
        <v>304</v>
      </c>
      <c r="G24" s="131" t="s">
        <v>305</v>
      </c>
      <c r="H24" s="135">
        <v>1</v>
      </c>
      <c r="I24" s="173">
        <f>_xll.GetCtData("COAMOUNT","CONSAMOUNT",$A$1:$A$8,$A24:$B24,,"#410")/10^3*$H24</f>
        <v>0.41</v>
      </c>
      <c r="J24" s="173"/>
      <c r="K24" s="173"/>
      <c r="L24" s="173">
        <f>_xll.GetCtData("COAMOUNT","CONSAMOUNT",$A$1:$A$8,$A24:$B24,,"#410")/10^3*$H24</f>
        <v>0.41</v>
      </c>
      <c r="N24" s="173">
        <f>_xll.GetCtData("COAMOUNT","CONSAMOUNT",$A$1:$A$8,$A24:$B24,,"#410")/10^3*$H24</f>
        <v>0.41</v>
      </c>
      <c r="P24" s="173">
        <f>_xll.GetCtData("COAMOUNT","CONSAMOUNT",$A$1:$A$8,$A24:$B24,,"#410")/10^3*$H24</f>
        <v>0.41</v>
      </c>
    </row>
    <row r="25" spans="1:16" s="115" customFormat="1" ht="12" hidden="1" outlineLevel="1" thickBot="1">
      <c r="A25" s="115" t="s">
        <v>1728</v>
      </c>
      <c r="B25" s="115" t="s">
        <v>75</v>
      </c>
      <c r="C25" s="135" t="s">
        <v>1729</v>
      </c>
      <c r="D25" s="135"/>
      <c r="E25" s="135" t="s">
        <v>1730</v>
      </c>
      <c r="F25" s="135" t="s">
        <v>304</v>
      </c>
      <c r="G25" s="131" t="s">
        <v>305</v>
      </c>
      <c r="H25" s="135">
        <v>1</v>
      </c>
      <c r="I25" s="173">
        <f>_xll.GetCtData("COAMOUNT","CONSAMOUNT",$A$1:$A$8,$A25:$B25,,"#179497")/10^3*$H25</f>
        <v>179.49700000000001</v>
      </c>
      <c r="J25" s="173"/>
      <c r="K25" s="173"/>
      <c r="L25" s="173">
        <f>_xll.GetCtData("COAMOUNT","CONSAMOUNT",$A$1:$A$8,$A25:$B25,,"#179497")/10^3*$H25</f>
        <v>179.49700000000001</v>
      </c>
      <c r="N25" s="173">
        <f>_xll.GetCtData("COAMOUNT","CONSAMOUNT",$A$1:$A$8,$A25:$B25,,"#179497")/10^3*$H25</f>
        <v>179.49700000000001</v>
      </c>
      <c r="P25" s="173">
        <f>_xll.GetCtData("COAMOUNT","CONSAMOUNT",$A$1:$A$8,$A25:$B25,,"#179497")/10^3*$H25</f>
        <v>179.49700000000001</v>
      </c>
    </row>
    <row r="26" spans="1:16" s="115" customFormat="1" ht="12" hidden="1" outlineLevel="1" thickBot="1">
      <c r="C26" s="146"/>
      <c r="D26" s="146"/>
      <c r="E26" s="174" t="s">
        <v>1570</v>
      </c>
      <c r="F26" s="174"/>
      <c r="G26" s="174"/>
      <c r="H26" s="174"/>
      <c r="I26" s="175">
        <f>SUM(I12:I25)/10^3-I11</f>
        <v>-10170.025343368783</v>
      </c>
      <c r="J26" s="175">
        <f>SUM(J12:J25)/10^3-J11</f>
        <v>-74.912013000000002</v>
      </c>
      <c r="K26" s="175">
        <f>SUM(K12:K25)/10^3-K11</f>
        <v>-784.72249199999999</v>
      </c>
      <c r="L26" s="175">
        <f>SUM(L12:L25)/10^3-L11</f>
        <v>-11029.659848368781</v>
      </c>
      <c r="N26" s="175">
        <f>SUM(N12:N25)/10^3-N11</f>
        <v>-96788.580495568283</v>
      </c>
      <c r="P26" s="175">
        <f>SUM(P12:P25)/10^3-P11</f>
        <v>-107829.28104448598</v>
      </c>
    </row>
    <row r="27" spans="1:16" s="115" customFormat="1" ht="12" collapsed="1" thickBot="1">
      <c r="A27" s="123" t="s">
        <v>1061</v>
      </c>
      <c r="C27" s="123" t="s">
        <v>1571</v>
      </c>
      <c r="D27" s="123"/>
      <c r="E27" s="125" t="s">
        <v>105</v>
      </c>
      <c r="F27" s="126"/>
      <c r="G27" s="126"/>
      <c r="H27" s="126"/>
      <c r="I27" s="126">
        <f>_xll.GetCtData("COAMOUNT","CONSAMOUNT",$A$1:$A$8,$A27,H$6,"#-15308")/10^3</f>
        <v>-15.308</v>
      </c>
      <c r="J27" s="126">
        <f>_xll.GetCtData("COAMOUNT","CONSAMOUNT",$A$1:$A$8,$A27,I$6,"#3170")/10^3</f>
        <v>3.17</v>
      </c>
      <c r="K27" s="126">
        <f>_xll.GetCtData("COAMOUNT","CONSAMOUNT",$A$1:$A$8,$A27,J$6,"#725")/10^3</f>
        <v>0.72499999999999998</v>
      </c>
      <c r="L27" s="126">
        <f>_xll.GetCtData("COAMOUNT","CONSAMOUNT",$A$1:$A$8,$A27,K$6,"#-11413")/10^3</f>
        <v>-11.413</v>
      </c>
      <c r="N27" s="126">
        <v>-6110</v>
      </c>
      <c r="P27" s="126">
        <f t="shared" ref="P27:P90" si="0">L27+N27</f>
        <v>-6121.4129999999996</v>
      </c>
    </row>
    <row r="28" spans="1:16" s="115" customFormat="1" ht="11.25" hidden="1" outlineLevel="1">
      <c r="A28" s="115" t="s">
        <v>1731</v>
      </c>
      <c r="B28" s="115" t="s">
        <v>75</v>
      </c>
      <c r="C28" s="135" t="s">
        <v>1732</v>
      </c>
      <c r="D28" s="135"/>
      <c r="E28" s="135" t="s">
        <v>1733</v>
      </c>
      <c r="F28" s="135" t="s">
        <v>304</v>
      </c>
      <c r="G28" s="131" t="s">
        <v>305</v>
      </c>
      <c r="H28" s="135">
        <v>-1</v>
      </c>
      <c r="I28" s="132"/>
      <c r="J28" s="173">
        <f>_xll.GetCtData("COAMOUNT","CONSAMOUNT",$A$1:$A$8,$A28:$B28,,"#-3058")/10^3*$H28</f>
        <v>3.0579999999999998</v>
      </c>
      <c r="K28" s="173"/>
      <c r="L28" s="173">
        <f>_xll.GetCtData("COAMOUNT","CONSAMOUNT",$A$1:$A$8,$A28:$B28,,"#-3058")/10^3*$H28</f>
        <v>3.0579999999999998</v>
      </c>
      <c r="N28" s="173">
        <f>_xll.GetCtData("COAMOUNT","CONSAMOUNT",$A$1:$A$8,$A28:$B28,,"#-3058")/10^3*$H28</f>
        <v>3.0579999999999998</v>
      </c>
      <c r="P28" s="173">
        <f t="shared" si="0"/>
        <v>6.1159999999999997</v>
      </c>
    </row>
    <row r="29" spans="1:16" s="115" customFormat="1" ht="11.25" hidden="1" outlineLevel="1">
      <c r="A29" s="115" t="s">
        <v>1734</v>
      </c>
      <c r="B29" s="115" t="s">
        <v>75</v>
      </c>
      <c r="C29" s="135" t="s">
        <v>1735</v>
      </c>
      <c r="D29" s="135"/>
      <c r="E29" s="135" t="s">
        <v>1736</v>
      </c>
      <c r="F29" s="135" t="s">
        <v>304</v>
      </c>
      <c r="G29" s="131" t="s">
        <v>305</v>
      </c>
      <c r="H29" s="135">
        <v>-1</v>
      </c>
      <c r="I29" s="132"/>
      <c r="J29" s="173">
        <f>_xll.GetCtData("COAMOUNT","CONSAMOUNT",$A$1:$A$8,$A29:$B29,,"#")/10^3*$H29</f>
        <v>0</v>
      </c>
      <c r="K29" s="173"/>
      <c r="L29" s="173">
        <f>_xll.GetCtData("COAMOUNT","CONSAMOUNT",$A$1:$A$8,$A29:$B29,,"#")/10^3*$H29</f>
        <v>0</v>
      </c>
      <c r="N29" s="173">
        <f>_xll.GetCtData("COAMOUNT","CONSAMOUNT",$A$1:$A$8,$A29:$B29,,"#")/10^3*$H29</f>
        <v>0</v>
      </c>
      <c r="P29" s="173">
        <f t="shared" si="0"/>
        <v>0</v>
      </c>
    </row>
    <row r="30" spans="1:16" s="115" customFormat="1" ht="11.25" hidden="1" outlineLevel="1">
      <c r="A30" s="115" t="s">
        <v>1737</v>
      </c>
      <c r="B30" s="115" t="s">
        <v>75</v>
      </c>
      <c r="C30" s="135" t="s">
        <v>1738</v>
      </c>
      <c r="D30" s="135"/>
      <c r="E30" s="135" t="s">
        <v>1739</v>
      </c>
      <c r="F30" s="135" t="s">
        <v>304</v>
      </c>
      <c r="G30" s="131" t="s">
        <v>305</v>
      </c>
      <c r="H30" s="135">
        <v>-1</v>
      </c>
      <c r="I30" s="173">
        <f>_xll.GetCtData("COAMOUNT","CONSAMOUNT",$A$1:$A$8,$A30:$B30,,"#17396")/10^3*$H30</f>
        <v>-17.396000000000001</v>
      </c>
      <c r="J30" s="173"/>
      <c r="K30" s="173"/>
      <c r="L30" s="173">
        <f>_xll.GetCtData("COAMOUNT","CONSAMOUNT",$A$1:$A$8,$A30:$B30,,"#17396")/10^3*$H30</f>
        <v>-17.396000000000001</v>
      </c>
      <c r="N30" s="173">
        <f>_xll.GetCtData("COAMOUNT","CONSAMOUNT",$A$1:$A$8,$A30:$B30,,"#17396")/10^3*$H30</f>
        <v>-17.396000000000001</v>
      </c>
      <c r="P30" s="173">
        <f t="shared" si="0"/>
        <v>-34.792000000000002</v>
      </c>
    </row>
    <row r="31" spans="1:16" s="115" customFormat="1" ht="11.25" hidden="1" outlineLevel="1">
      <c r="A31" s="115" t="s">
        <v>1740</v>
      </c>
      <c r="B31" s="115" t="s">
        <v>75</v>
      </c>
      <c r="C31" s="135" t="s">
        <v>1741</v>
      </c>
      <c r="D31" s="135"/>
      <c r="E31" s="135" t="s">
        <v>1742</v>
      </c>
      <c r="F31" s="135" t="s">
        <v>304</v>
      </c>
      <c r="G31" s="131" t="s">
        <v>305</v>
      </c>
      <c r="H31" s="135">
        <v>-1</v>
      </c>
      <c r="I31" s="132"/>
      <c r="J31" s="173"/>
      <c r="K31" s="173">
        <f>_xll.GetCtData("COAMOUNT","CONSAMOUNT",$A$1:$A$8,$A31:$B31,,"#-725")/10^3*$H31</f>
        <v>0.72499999999999998</v>
      </c>
      <c r="L31" s="173">
        <f>_xll.GetCtData("COAMOUNT","CONSAMOUNT",$A$1:$A$8,$A31:$B31,,"#-725")/10^3*$H31</f>
        <v>0.72499999999999998</v>
      </c>
      <c r="N31" s="173">
        <f>_xll.GetCtData("COAMOUNT","CONSAMOUNT",$A$1:$A$8,$A31:$B31,,"#-725")/10^3*$H31</f>
        <v>0.72499999999999998</v>
      </c>
      <c r="P31" s="173">
        <f t="shared" si="0"/>
        <v>1.45</v>
      </c>
    </row>
    <row r="32" spans="1:16" s="115" customFormat="1" ht="11.25" hidden="1" outlineLevel="1">
      <c r="A32" s="115" t="s">
        <v>1743</v>
      </c>
      <c r="B32" s="115" t="s">
        <v>75</v>
      </c>
      <c r="C32" s="135" t="s">
        <v>1744</v>
      </c>
      <c r="D32" s="135"/>
      <c r="E32" s="135" t="s">
        <v>1745</v>
      </c>
      <c r="F32" s="135" t="s">
        <v>304</v>
      </c>
      <c r="G32" s="131" t="s">
        <v>305</v>
      </c>
      <c r="H32" s="135">
        <v>-1</v>
      </c>
      <c r="I32" s="173">
        <f>_xll.GetCtData("COAMOUNT","CONSAMOUNT",$A$1:$A$8,$A32:$B32,,"#6617")/10^3*$H32</f>
        <v>-6.617</v>
      </c>
      <c r="J32" s="173"/>
      <c r="K32" s="173"/>
      <c r="L32" s="173">
        <f>_xll.GetCtData("COAMOUNT","CONSAMOUNT",$A$1:$A$8,$A32:$B32,,"#6617")/10^3*$H32</f>
        <v>-6.617</v>
      </c>
      <c r="N32" s="173">
        <f>_xll.GetCtData("COAMOUNT","CONSAMOUNT",$A$1:$A$8,$A32:$B32,,"#6617")/10^3*$H32</f>
        <v>-6.617</v>
      </c>
      <c r="P32" s="173">
        <f t="shared" si="0"/>
        <v>-13.234</v>
      </c>
    </row>
    <row r="33" spans="1:16" s="115" customFormat="1" ht="11.25" hidden="1" outlineLevel="1">
      <c r="A33" s="115" t="s">
        <v>1746</v>
      </c>
      <c r="B33" s="115" t="s">
        <v>75</v>
      </c>
      <c r="C33" s="135" t="s">
        <v>1747</v>
      </c>
      <c r="D33" s="135"/>
      <c r="E33" s="135" t="s">
        <v>1748</v>
      </c>
      <c r="F33" s="135" t="s">
        <v>304</v>
      </c>
      <c r="G33" s="131" t="s">
        <v>305</v>
      </c>
      <c r="H33" s="135">
        <v>-1</v>
      </c>
      <c r="I33" s="173">
        <f>_xll.GetCtData("COAMOUNT","CONSAMOUNT",$A$1:$A$8,$A33:$B33,,"#")/10^3*$H33</f>
        <v>0</v>
      </c>
      <c r="J33" s="173"/>
      <c r="K33" s="173"/>
      <c r="L33" s="173">
        <f>_xll.GetCtData("COAMOUNT","CONSAMOUNT",$A$1:$A$8,$A33:$B33,,"#")/10^3*$H33</f>
        <v>0</v>
      </c>
      <c r="N33" s="173">
        <f>_xll.GetCtData("COAMOUNT","CONSAMOUNT",$A$1:$A$8,$A33:$B33,,"#")/10^3*$H33</f>
        <v>0</v>
      </c>
      <c r="P33" s="173">
        <f t="shared" si="0"/>
        <v>0</v>
      </c>
    </row>
    <row r="34" spans="1:16" s="115" customFormat="1" ht="11.25" hidden="1" outlineLevel="1">
      <c r="A34" s="115" t="s">
        <v>1749</v>
      </c>
      <c r="B34" s="115" t="s">
        <v>75</v>
      </c>
      <c r="C34" s="135" t="s">
        <v>1750</v>
      </c>
      <c r="D34" s="135"/>
      <c r="E34" s="135" t="s">
        <v>1751</v>
      </c>
      <c r="F34" s="135" t="s">
        <v>304</v>
      </c>
      <c r="G34" s="131" t="s">
        <v>305</v>
      </c>
      <c r="H34" s="135">
        <v>-1</v>
      </c>
      <c r="I34" s="132"/>
      <c r="J34" s="173"/>
      <c r="K34" s="173">
        <f>_xll.GetCtData("COAMOUNT","CONSAMOUNT",$A$1:$A$8,$A34:$B34,,"#")/10^3*$H34</f>
        <v>0</v>
      </c>
      <c r="L34" s="173">
        <f>_xll.GetCtData("COAMOUNT","CONSAMOUNT",$A$1:$A$8,$A34:$B34,,"#")/10^3*$H34</f>
        <v>0</v>
      </c>
      <c r="N34" s="173">
        <f>_xll.GetCtData("COAMOUNT","CONSAMOUNT",$A$1:$A$8,$A34:$B34,,"#")/10^3*$H34</f>
        <v>0</v>
      </c>
      <c r="P34" s="173">
        <f t="shared" si="0"/>
        <v>0</v>
      </c>
    </row>
    <row r="35" spans="1:16" s="115" customFormat="1" ht="11.25" hidden="1" outlineLevel="1">
      <c r="A35" s="115" t="s">
        <v>1752</v>
      </c>
      <c r="B35" s="115" t="s">
        <v>75</v>
      </c>
      <c r="C35" s="135" t="s">
        <v>1753</v>
      </c>
      <c r="D35" s="135"/>
      <c r="E35" s="135" t="s">
        <v>1754</v>
      </c>
      <c r="F35" s="135" t="s">
        <v>304</v>
      </c>
      <c r="G35" s="131" t="s">
        <v>305</v>
      </c>
      <c r="H35" s="135">
        <v>-1</v>
      </c>
      <c r="I35" s="173">
        <f>_xll.GetCtData("COAMOUNT","CONSAMOUNT",$A$1:$A$8,$A35:$B35,,"#")/10^3*$H35</f>
        <v>0</v>
      </c>
      <c r="J35" s="173"/>
      <c r="K35" s="173"/>
      <c r="L35" s="173">
        <f>_xll.GetCtData("COAMOUNT","CONSAMOUNT",$A$1:$A$8,$A35:$B35,,"#")/10^3*$H35</f>
        <v>0</v>
      </c>
      <c r="N35" s="173">
        <f>_xll.GetCtData("COAMOUNT","CONSAMOUNT",$A$1:$A$8,$A35:$B35,,"#")/10^3*$H35</f>
        <v>0</v>
      </c>
      <c r="P35" s="173">
        <f t="shared" si="0"/>
        <v>0</v>
      </c>
    </row>
    <row r="36" spans="1:16" s="115" customFormat="1" ht="11.25" hidden="1" outlineLevel="1">
      <c r="A36" s="115" t="s">
        <v>1755</v>
      </c>
      <c r="B36" s="115" t="s">
        <v>75</v>
      </c>
      <c r="C36" s="135" t="s">
        <v>1141</v>
      </c>
      <c r="D36" s="135"/>
      <c r="E36" s="135" t="s">
        <v>1142</v>
      </c>
      <c r="F36" s="135" t="s">
        <v>304</v>
      </c>
      <c r="G36" s="131" t="s">
        <v>305</v>
      </c>
      <c r="H36" s="135">
        <v>-1</v>
      </c>
      <c r="I36" s="173">
        <f>_xll.GetCtData("COAMOUNT","CONSAMOUNT",$A$1:$A$8,$A36:$B36,,"#-8706")/10^3*$H36</f>
        <v>8.7059999999999995</v>
      </c>
      <c r="J36" s="173"/>
      <c r="K36" s="173"/>
      <c r="L36" s="173">
        <f>_xll.GetCtData("COAMOUNT","CONSAMOUNT",$A$1:$A$8,$A36:$B36,,"#-8706")/10^3*$H36</f>
        <v>8.7059999999999995</v>
      </c>
      <c r="N36" s="173">
        <f>_xll.GetCtData("COAMOUNT","CONSAMOUNT",$A$1:$A$8,$A36:$B36,,"#-8706")/10^3*$H36</f>
        <v>8.7059999999999995</v>
      </c>
      <c r="P36" s="173">
        <f t="shared" si="0"/>
        <v>17.411999999999999</v>
      </c>
    </row>
    <row r="37" spans="1:16" s="115" customFormat="1" ht="11.25" hidden="1" outlineLevel="1">
      <c r="A37" s="115" t="s">
        <v>1756</v>
      </c>
      <c r="B37" s="115" t="s">
        <v>75</v>
      </c>
      <c r="C37" s="135" t="s">
        <v>1135</v>
      </c>
      <c r="D37" s="135"/>
      <c r="E37" s="135" t="s">
        <v>1136</v>
      </c>
      <c r="F37" s="135" t="s">
        <v>304</v>
      </c>
      <c r="G37" s="131" t="s">
        <v>305</v>
      </c>
      <c r="H37" s="135">
        <v>-1</v>
      </c>
      <c r="I37" s="173">
        <f>_xll.GetCtData("COAMOUNT","CONSAMOUNT",$A$1:$A$8,$A37:$B37,,"#")/10^3*$H37</f>
        <v>0</v>
      </c>
      <c r="J37" s="173"/>
      <c r="K37" s="173"/>
      <c r="L37" s="173">
        <f>_xll.GetCtData("COAMOUNT","CONSAMOUNT",$A$1:$A$8,$A37:$B37,,"#")/10^3*$H37</f>
        <v>0</v>
      </c>
      <c r="N37" s="173">
        <f>_xll.GetCtData("COAMOUNT","CONSAMOUNT",$A$1:$A$8,$A37:$B37,,"#")/10^3*$H37</f>
        <v>0</v>
      </c>
      <c r="P37" s="173">
        <f t="shared" si="0"/>
        <v>0</v>
      </c>
    </row>
    <row r="38" spans="1:16" s="115" customFormat="1" ht="11.25" hidden="1" outlineLevel="1">
      <c r="A38" s="115" t="s">
        <v>1757</v>
      </c>
      <c r="B38" s="115" t="s">
        <v>75</v>
      </c>
      <c r="C38" s="135" t="s">
        <v>1133</v>
      </c>
      <c r="D38" s="135"/>
      <c r="E38" s="135" t="s">
        <v>1134</v>
      </c>
      <c r="F38" s="135" t="s">
        <v>304</v>
      </c>
      <c r="G38" s="131" t="s">
        <v>305</v>
      </c>
      <c r="H38" s="135">
        <v>-1</v>
      </c>
      <c r="I38" s="132"/>
      <c r="J38" s="173">
        <f>_xll.GetCtData("COAMOUNT","CONSAMOUNT",$A$1:$A$8,$A38:$B38,,"#")/10^3*$H38</f>
        <v>0</v>
      </c>
      <c r="K38" s="173"/>
      <c r="L38" s="173">
        <f>_xll.GetCtData("COAMOUNT","CONSAMOUNT",$A$1:$A$8,$A38:$B38,,"#")/10^3*$H38</f>
        <v>0</v>
      </c>
      <c r="N38" s="173">
        <f>_xll.GetCtData("COAMOUNT","CONSAMOUNT",$A$1:$A$8,$A38:$B38,,"#")/10^3*$H38</f>
        <v>0</v>
      </c>
      <c r="P38" s="173">
        <f t="shared" si="0"/>
        <v>0</v>
      </c>
    </row>
    <row r="39" spans="1:16" s="115" customFormat="1" ht="11.25" hidden="1" outlineLevel="1">
      <c r="A39" s="115" t="s">
        <v>1758</v>
      </c>
      <c r="B39" s="115" t="s">
        <v>75</v>
      </c>
      <c r="C39" s="135" t="s">
        <v>1139</v>
      </c>
      <c r="D39" s="135"/>
      <c r="E39" s="135" t="s">
        <v>1140</v>
      </c>
      <c r="F39" s="135" t="s">
        <v>304</v>
      </c>
      <c r="G39" s="131" t="s">
        <v>305</v>
      </c>
      <c r="H39" s="135">
        <v>-1</v>
      </c>
      <c r="I39" s="132"/>
      <c r="J39" s="173">
        <f>_xll.GetCtData("COAMOUNT","CONSAMOUNT",$A$1:$A$8,$A39:$B39,,"#-112")/10^3*$H39</f>
        <v>0.112</v>
      </c>
      <c r="K39" s="173"/>
      <c r="L39" s="173">
        <f>_xll.GetCtData("COAMOUNT","CONSAMOUNT",$A$1:$A$8,$A39:$B39,,"#-112")/10^3*$H39</f>
        <v>0.112</v>
      </c>
      <c r="N39" s="173">
        <f>_xll.GetCtData("COAMOUNT","CONSAMOUNT",$A$1:$A$8,$A39:$B39,,"#-112")/10^3*$H39</f>
        <v>0.112</v>
      </c>
      <c r="P39" s="173">
        <f t="shared" si="0"/>
        <v>0.224</v>
      </c>
    </row>
    <row r="40" spans="1:16" s="115" customFormat="1" ht="11.25" hidden="1" outlineLevel="1">
      <c r="A40" s="115" t="s">
        <v>1759</v>
      </c>
      <c r="B40" s="115" t="s">
        <v>75</v>
      </c>
      <c r="C40" s="135" t="s">
        <v>1143</v>
      </c>
      <c r="D40" s="135"/>
      <c r="E40" s="135" t="s">
        <v>1144</v>
      </c>
      <c r="F40" s="135" t="s">
        <v>304</v>
      </c>
      <c r="G40" s="131" t="s">
        <v>305</v>
      </c>
      <c r="H40" s="135">
        <v>-1</v>
      </c>
      <c r="I40" s="173">
        <f>_xll.GetCtData("COAMOUNT","CONSAMOUNT",$A$1:$A$8,$A40:$B40,,"#")/10^3*$H40</f>
        <v>0</v>
      </c>
      <c r="J40" s="173"/>
      <c r="K40" s="173"/>
      <c r="L40" s="173">
        <f>_xll.GetCtData("COAMOUNT","CONSAMOUNT",$A$1:$A$8,$A40:$B40,,"#")/10^3*$H40</f>
        <v>0</v>
      </c>
      <c r="N40" s="173">
        <f>_xll.GetCtData("COAMOUNT","CONSAMOUNT",$A$1:$A$8,$A40:$B40,,"#")/10^3*$H40</f>
        <v>0</v>
      </c>
      <c r="P40" s="173">
        <f t="shared" si="0"/>
        <v>0</v>
      </c>
    </row>
    <row r="41" spans="1:16" s="115" customFormat="1" ht="11.25" hidden="1" outlineLevel="1">
      <c r="A41" s="115" t="s">
        <v>1760</v>
      </c>
      <c r="B41" s="115" t="s">
        <v>75</v>
      </c>
      <c r="C41" s="135" t="s">
        <v>1137</v>
      </c>
      <c r="D41" s="135"/>
      <c r="E41" s="135" t="s">
        <v>1138</v>
      </c>
      <c r="F41" s="135" t="s">
        <v>304</v>
      </c>
      <c r="G41" s="131" t="s">
        <v>305</v>
      </c>
      <c r="H41" s="135">
        <v>-1</v>
      </c>
      <c r="I41" s="173">
        <f>_xll.GetCtData("COAMOUNT","CONSAMOUNT",$A$1:$A$8,$A41:$B41,,"#")/10^3*$H41</f>
        <v>0</v>
      </c>
      <c r="J41" s="173"/>
      <c r="K41" s="173"/>
      <c r="L41" s="173">
        <f>_xll.GetCtData("COAMOUNT","CONSAMOUNT",$A$1:$A$8,$A41:$B41,,"#")/10^3*$H41</f>
        <v>0</v>
      </c>
      <c r="N41" s="173">
        <f>_xll.GetCtData("COAMOUNT","CONSAMOUNT",$A$1:$A$8,$A41:$B41,,"#")/10^3*$H41</f>
        <v>0</v>
      </c>
      <c r="P41" s="173">
        <f t="shared" si="0"/>
        <v>0</v>
      </c>
    </row>
    <row r="42" spans="1:16" ht="12" hidden="1" customHeight="1" outlineLevel="1">
      <c r="A42" s="115"/>
      <c r="E42" s="174" t="s">
        <v>1570</v>
      </c>
      <c r="F42" s="174"/>
      <c r="G42" s="174"/>
      <c r="H42" s="174"/>
      <c r="I42" s="175">
        <f>SUM(I28:I41)/10^3-I27</f>
        <v>15.292693</v>
      </c>
      <c r="J42" s="175">
        <f>SUM(J28:J41)/10^3-J27</f>
        <v>-3.16683</v>
      </c>
      <c r="K42" s="175">
        <f>SUM(K28:K41)/10^3-K27</f>
        <v>-0.724275</v>
      </c>
      <c r="L42" s="175">
        <f>SUM(L28:L41)/10^3-L27</f>
        <v>11.401588</v>
      </c>
      <c r="N42" s="175">
        <f>SUM(N28:N41)/10^3-N27</f>
        <v>6109.9885880000002</v>
      </c>
      <c r="P42" s="175">
        <f t="shared" si="0"/>
        <v>6121.3901759999999</v>
      </c>
    </row>
    <row r="43" spans="1:16" ht="12" customHeight="1" collapsed="1" thickBot="1">
      <c r="A43" s="115" t="s">
        <v>75</v>
      </c>
      <c r="C43" s="176" t="s">
        <v>304</v>
      </c>
      <c r="D43" s="176"/>
      <c r="E43" s="14" t="s">
        <v>118</v>
      </c>
      <c r="F43" s="14"/>
      <c r="G43" s="20"/>
      <c r="H43" s="20"/>
      <c r="I43" s="177">
        <f>_xll.GetCtData("COAMOUNT","CONSAMOUNT",$A$1:$A$8,$A43,H$6,"#10164897,5489177")/10^3</f>
        <v>10164.897548917699</v>
      </c>
      <c r="J43" s="177">
        <f>_xll.GetCtData("COAMOUNT","CONSAMOUNT",$A$1:$A$8,$A43,I$6,"#78157")/10^3</f>
        <v>78.156999999999996</v>
      </c>
      <c r="K43" s="177">
        <f>_xll.GetCtData("COAMOUNT","CONSAMOUNT",$A$1:$A$8,$A43,J$6,"#786233")/10^3</f>
        <v>786.23299999999995</v>
      </c>
      <c r="L43" s="177">
        <f>_xll.GetCtData("COAMOUNT","CONSAMOUNT",$A$1:$A$8,$A43,K$6,"#11029287,5489177")/10^3</f>
        <v>11029.2875489177</v>
      </c>
      <c r="N43" s="177">
        <v>90689.621196117194</v>
      </c>
      <c r="P43" s="177">
        <f t="shared" si="0"/>
        <v>101718.90874503489</v>
      </c>
    </row>
    <row r="44" spans="1:16" s="115" customFormat="1" ht="12" hidden="1" thickBot="1">
      <c r="A44" s="123" t="s">
        <v>1100</v>
      </c>
      <c r="C44" s="123" t="str">
        <f>A44</f>
        <v>FL=XRF1016T</v>
      </c>
      <c r="D44" s="123"/>
      <c r="E44" s="15" t="s">
        <v>119</v>
      </c>
      <c r="F44" s="15"/>
      <c r="G44" s="15"/>
      <c r="H44" s="15"/>
      <c r="I44" s="178">
        <f>_xll.GetCtData("COAMOUNT","CONSAMOUNT",$A$1:$A$8,$A44,H$6,"#-131250")/10^3</f>
        <v>-131.25</v>
      </c>
      <c r="J44" s="178">
        <f>_xll.GetCtData("COAMOUNT","CONSAMOUNT",$A$1:$A$8,$A44,I$6,"#-10295")/10^3</f>
        <v>-10.295</v>
      </c>
      <c r="K44" s="178">
        <f>_xll.GetCtData("COAMOUNT","CONSAMOUNT",$A$1:$A$8,$A44,J$6,"#141533")/10^3</f>
        <v>141.53299999999999</v>
      </c>
      <c r="L44" s="178">
        <f>_xll.GetCtData("COAMOUNT","CONSAMOUNT",$A$1:$A$8,$A44,K$6,"#-12")/10^3</f>
        <v>-1.2E-2</v>
      </c>
      <c r="N44" s="178">
        <f>_xll.GetCtData("COAMOUNT","CONSAMOUNT",$A$1:$A$8,$A44,N$6,"#-12")/10^3</f>
        <v>-1.2E-2</v>
      </c>
      <c r="P44" s="178">
        <f t="shared" si="0"/>
        <v>-2.4E-2</v>
      </c>
    </row>
    <row r="45" spans="1:16" s="115" customFormat="1" ht="12" hidden="1" thickBot="1">
      <c r="A45" s="123" t="s">
        <v>1101</v>
      </c>
      <c r="C45" s="123" t="str">
        <f>A45</f>
        <v>FL=XRF10161</v>
      </c>
      <c r="D45" s="123"/>
      <c r="E45" s="179" t="s">
        <v>120</v>
      </c>
      <c r="F45" s="180"/>
      <c r="G45" s="180"/>
      <c r="H45" s="180"/>
      <c r="I45" s="180">
        <f>_xll.GetCtData("COAMOUNT","CONSAMOUNT",$A$1:$A$8,$A45,H$6,"#-129268")/10^3</f>
        <v>-129.268</v>
      </c>
      <c r="J45" s="180">
        <f>_xll.GetCtData("COAMOUNT","CONSAMOUNT",$A$1:$A$8,$A45,I$6,"#-11173")/10^3</f>
        <v>-11.173</v>
      </c>
      <c r="K45" s="180">
        <f>_xll.GetCtData("COAMOUNT","CONSAMOUNT",$A$1:$A$8,$A45,J$6,"#139662")/10^3</f>
        <v>139.66200000000001</v>
      </c>
      <c r="L45" s="180">
        <f>_xll.GetCtData("COAMOUNT","CONSAMOUNT",$A$1:$A$8,$A45,K$6,"#-779")/10^3</f>
        <v>-0.77900000000000003</v>
      </c>
      <c r="N45" s="180">
        <f>_xll.GetCtData("COAMOUNT","CONSAMOUNT",$A$1:$A$8,$A45,N$6,"#-779")/10^3</f>
        <v>-0.77900000000000003</v>
      </c>
      <c r="P45" s="180">
        <f t="shared" si="0"/>
        <v>-1.5580000000000001</v>
      </c>
    </row>
    <row r="46" spans="1:16" s="115" customFormat="1" ht="12" hidden="1" customHeight="1">
      <c r="A46" s="123" t="s">
        <v>1198</v>
      </c>
      <c r="C46" s="123" t="str">
        <f>A46</f>
        <v>FL=XRF10162R</v>
      </c>
      <c r="D46" s="123"/>
      <c r="E46" s="181" t="s">
        <v>1199</v>
      </c>
      <c r="F46" s="182"/>
      <c r="G46" s="182"/>
      <c r="H46" s="182"/>
      <c r="I46" s="182">
        <f>_xll.GetCtData("COAMOUNT","CONSAMOUNT",$A$1:$A$8,$A46,H$6,"#")/10^3</f>
        <v>0</v>
      </c>
      <c r="J46" s="182">
        <f>_xll.GetCtData("COAMOUNT","CONSAMOUNT",$A$1:$A$8,$A46,I$6,"#")/10^3</f>
        <v>0</v>
      </c>
      <c r="K46" s="182">
        <f>_xll.GetCtData("COAMOUNT","CONSAMOUNT",$A$1:$A$8,$A46,J$6,"#")/10^3</f>
        <v>0</v>
      </c>
      <c r="L46" s="182">
        <f>_xll.GetCtData("COAMOUNT","CONSAMOUNT",$A$1:$A$8,$A46,K$6,"#")/10^3</f>
        <v>0</v>
      </c>
      <c r="N46" s="182">
        <f>_xll.GetCtData("COAMOUNT","CONSAMOUNT",$A$1:$A$8,$A46,N$6,"#")/10^3</f>
        <v>0</v>
      </c>
      <c r="P46" s="182">
        <f t="shared" si="0"/>
        <v>0</v>
      </c>
    </row>
    <row r="47" spans="1:16" s="115" customFormat="1" ht="12" hidden="1" outlineLevel="1" thickBot="1">
      <c r="A47" s="115" t="str">
        <f t="shared" ref="A47:A58" si="1">$C$1&amp;C47</f>
        <v>A39700000B</v>
      </c>
      <c r="B47" s="115" t="str">
        <f t="shared" ref="B47:B58" si="2">$C$2&amp;F47</f>
        <v>F17G</v>
      </c>
      <c r="C47" s="135" t="s">
        <v>1690</v>
      </c>
      <c r="D47" s="131"/>
      <c r="E47" s="131" t="s">
        <v>1691</v>
      </c>
      <c r="F47" s="131" t="s">
        <v>1630</v>
      </c>
      <c r="G47" s="131" t="e">
        <v>#VALUE!</v>
      </c>
      <c r="H47" s="183">
        <v>1</v>
      </c>
      <c r="I47" s="183" t="e">
        <f>_xll.GetCtData("COAMOUNT","CONSAMOUNT",$A$1:$A$8,$A47:$B47,,"#Erreur de syntaxe : Expression incomplète")/10^3*$H47</f>
        <v>#VALUE!</v>
      </c>
      <c r="J47" s="183"/>
      <c r="K47" s="183"/>
      <c r="L47" s="183" t="e">
        <f>_xll.GetCtData("COAMOUNT","CONSAMOUNT",$A$1:$A$8,$A47:$B47,,"#Erreur de syntaxe : Expression incomplète")/10^3*$H47</f>
        <v>#VALUE!</v>
      </c>
      <c r="N47" s="183" t="e">
        <f>_xll.GetCtData("COAMOUNT","CONSAMOUNT",$A$1:$A$8,$A47:$B47,,"#Erreur de syntaxe : Expression incomplète")/10^3*$H47</f>
        <v>#VALUE!</v>
      </c>
      <c r="P47" s="183" t="e">
        <f t="shared" si="0"/>
        <v>#VALUE!</v>
      </c>
    </row>
    <row r="48" spans="1:16" s="115" customFormat="1" ht="12" hidden="1" outlineLevel="1" thickBot="1">
      <c r="A48" s="115" t="str">
        <f t="shared" si="1"/>
        <v>A39700000V</v>
      </c>
      <c r="B48" s="115" t="str">
        <f t="shared" si="2"/>
        <v>F17G</v>
      </c>
      <c r="C48" s="135" t="s">
        <v>1693</v>
      </c>
      <c r="D48" s="135"/>
      <c r="E48" s="135" t="s">
        <v>1694</v>
      </c>
      <c r="F48" s="135" t="s">
        <v>1630</v>
      </c>
      <c r="G48" s="131" t="e">
        <v>#VALUE!</v>
      </c>
      <c r="H48" s="173">
        <v>1</v>
      </c>
      <c r="I48" s="173" t="e">
        <f>_xll.GetCtData("COAMOUNT","CONSAMOUNT",$A$1:$A$8,$A48:$B48,,"#Erreur de syntaxe : Expression incomplète")/10^3*$H48</f>
        <v>#VALUE!</v>
      </c>
      <c r="J48" s="173"/>
      <c r="K48" s="173"/>
      <c r="L48" s="173" t="e">
        <f>_xll.GetCtData("COAMOUNT","CONSAMOUNT",$A$1:$A$8,$A48:$B48,,"#Erreur de syntaxe : Expression incomplète")/10^3*$H48</f>
        <v>#VALUE!</v>
      </c>
      <c r="N48" s="173" t="e">
        <f>_xll.GetCtData("COAMOUNT","CONSAMOUNT",$A$1:$A$8,$A48:$B48,,"#Erreur de syntaxe : Expression incomplète")/10^3*$H48</f>
        <v>#VALUE!</v>
      </c>
      <c r="P48" s="173" t="e">
        <f t="shared" si="0"/>
        <v>#VALUE!</v>
      </c>
    </row>
    <row r="49" spans="1:16" s="115" customFormat="1" ht="12" hidden="1" outlineLevel="1" thickBot="1">
      <c r="A49" s="115" t="str">
        <f t="shared" si="1"/>
        <v>P39700000B</v>
      </c>
      <c r="B49" s="115" t="str">
        <f t="shared" si="2"/>
        <v>F17G</v>
      </c>
      <c r="C49" s="135" t="s">
        <v>1738</v>
      </c>
      <c r="D49" s="135"/>
      <c r="E49" s="135" t="s">
        <v>1739</v>
      </c>
      <c r="F49" s="135" t="s">
        <v>1630</v>
      </c>
      <c r="G49" s="131" t="e">
        <v>#VALUE!</v>
      </c>
      <c r="H49" s="173">
        <v>-1</v>
      </c>
      <c r="I49" s="173" t="e">
        <f>_xll.GetCtData("COAMOUNT","CONSAMOUNT",$A$1:$A$8,$A49:$B49,,"#Erreur de syntaxe : Expression incomplète")/10^3*$H49</f>
        <v>#VALUE!</v>
      </c>
      <c r="J49" s="173"/>
      <c r="K49" s="173"/>
      <c r="L49" s="173" t="e">
        <f>_xll.GetCtData("COAMOUNT","CONSAMOUNT",$A$1:$A$8,$A49:$B49,,"#Erreur de syntaxe : Expression incomplète")/10^3*$H49</f>
        <v>#VALUE!</v>
      </c>
      <c r="N49" s="173" t="e">
        <f>_xll.GetCtData("COAMOUNT","CONSAMOUNT",$A$1:$A$8,$A49:$B49,,"#Erreur de syntaxe : Expression incomplète")/10^3*$H49</f>
        <v>#VALUE!</v>
      </c>
      <c r="P49" s="173" t="e">
        <f t="shared" si="0"/>
        <v>#VALUE!</v>
      </c>
    </row>
    <row r="50" spans="1:16" s="115" customFormat="1" ht="12" hidden="1" outlineLevel="1" thickBot="1">
      <c r="A50" s="115" t="str">
        <f t="shared" si="1"/>
        <v>P39700000V</v>
      </c>
      <c r="B50" s="115" t="str">
        <f t="shared" si="2"/>
        <v>F17G</v>
      </c>
      <c r="C50" s="135" t="s">
        <v>1747</v>
      </c>
      <c r="D50" s="135"/>
      <c r="E50" s="135" t="s">
        <v>1748</v>
      </c>
      <c r="F50" s="135" t="s">
        <v>1630</v>
      </c>
      <c r="G50" s="131" t="e">
        <v>#VALUE!</v>
      </c>
      <c r="H50" s="173">
        <v>-1</v>
      </c>
      <c r="I50" s="173" t="e">
        <f>_xll.GetCtData("COAMOUNT","CONSAMOUNT",$A$1:$A$8,$A50:$B50,,"#Erreur de syntaxe : Expression incomplète")/10^3*$H50</f>
        <v>#VALUE!</v>
      </c>
      <c r="J50" s="173"/>
      <c r="K50" s="173"/>
      <c r="L50" s="173" t="e">
        <f>_xll.GetCtData("COAMOUNT","CONSAMOUNT",$A$1:$A$8,$A50:$B50,,"#Erreur de syntaxe : Expression incomplète")/10^3*$H50</f>
        <v>#VALUE!</v>
      </c>
      <c r="N50" s="173" t="e">
        <f>_xll.GetCtData("COAMOUNT","CONSAMOUNT",$A$1:$A$8,$A50:$B50,,"#Erreur de syntaxe : Expression incomplète")/10^3*$H50</f>
        <v>#VALUE!</v>
      </c>
      <c r="P50" s="173" t="e">
        <f t="shared" si="0"/>
        <v>#VALUE!</v>
      </c>
    </row>
    <row r="51" spans="1:16" s="115" customFormat="1" ht="12" hidden="1" outlineLevel="1" thickBot="1">
      <c r="A51" s="115" t="str">
        <f t="shared" si="1"/>
        <v>A39701000B</v>
      </c>
      <c r="B51" s="115" t="str">
        <f t="shared" si="2"/>
        <v>F17G</v>
      </c>
      <c r="C51" s="135" t="s">
        <v>1696</v>
      </c>
      <c r="D51" s="135"/>
      <c r="E51" s="135" t="s">
        <v>1697</v>
      </c>
      <c r="F51" s="135" t="s">
        <v>1630</v>
      </c>
      <c r="G51" s="131" t="e">
        <v>#VALUE!</v>
      </c>
      <c r="H51" s="173">
        <v>1</v>
      </c>
      <c r="I51" s="173"/>
      <c r="J51" s="173" t="e">
        <f>_xll.GetCtData("COAMOUNT","CONSAMOUNT",$A$1:$A$8,$A51:$B51,,"#Erreur de syntaxe : Expression incomplète")/10^3*$H51</f>
        <v>#VALUE!</v>
      </c>
      <c r="K51" s="173"/>
      <c r="L51" s="173" t="e">
        <f>_xll.GetCtData("COAMOUNT","CONSAMOUNT",$A$1:$A$8,$A51:$B51,,"#Erreur de syntaxe : Expression incomplète")/10^3*$H51</f>
        <v>#VALUE!</v>
      </c>
      <c r="N51" s="173" t="e">
        <f>_xll.GetCtData("COAMOUNT","CONSAMOUNT",$A$1:$A$8,$A51:$B51,,"#Erreur de syntaxe : Expression incomplète")/10^3*$H51</f>
        <v>#VALUE!</v>
      </c>
      <c r="P51" s="173" t="e">
        <f t="shared" si="0"/>
        <v>#VALUE!</v>
      </c>
    </row>
    <row r="52" spans="1:16" s="115" customFormat="1" ht="12" hidden="1" outlineLevel="1" thickBot="1">
      <c r="A52" s="115" t="str">
        <f t="shared" si="1"/>
        <v>A39701000V</v>
      </c>
      <c r="B52" s="115" t="str">
        <f t="shared" si="2"/>
        <v>F17G</v>
      </c>
      <c r="C52" s="135" t="s">
        <v>1699</v>
      </c>
      <c r="D52" s="135"/>
      <c r="E52" s="135" t="s">
        <v>1700</v>
      </c>
      <c r="F52" s="135" t="s">
        <v>1630</v>
      </c>
      <c r="G52" s="131" t="e">
        <v>#VALUE!</v>
      </c>
      <c r="H52" s="173">
        <v>1</v>
      </c>
      <c r="I52" s="173"/>
      <c r="J52" s="173" t="e">
        <f>_xll.GetCtData("COAMOUNT","CONSAMOUNT",$A$1:$A$8,$A52:$B52,,"#Erreur de syntaxe : Expression incomplète")/10^3*$H52</f>
        <v>#VALUE!</v>
      </c>
      <c r="K52" s="173"/>
      <c r="L52" s="173" t="e">
        <f>_xll.GetCtData("COAMOUNT","CONSAMOUNT",$A$1:$A$8,$A52:$B52,,"#Erreur de syntaxe : Expression incomplète")/10^3*$H52</f>
        <v>#VALUE!</v>
      </c>
      <c r="N52" s="173" t="e">
        <f>_xll.GetCtData("COAMOUNT","CONSAMOUNT",$A$1:$A$8,$A52:$B52,,"#Erreur de syntaxe : Expression incomplète")/10^3*$H52</f>
        <v>#VALUE!</v>
      </c>
      <c r="P52" s="173" t="e">
        <f t="shared" si="0"/>
        <v>#VALUE!</v>
      </c>
    </row>
    <row r="53" spans="1:16" s="115" customFormat="1" ht="12" hidden="1" outlineLevel="1" thickBot="1">
      <c r="A53" s="115" t="str">
        <f t="shared" si="1"/>
        <v>P39701000B</v>
      </c>
      <c r="B53" s="115" t="str">
        <f t="shared" si="2"/>
        <v>F17G</v>
      </c>
      <c r="C53" s="135" t="s">
        <v>1732</v>
      </c>
      <c r="D53" s="135"/>
      <c r="E53" s="135" t="s">
        <v>1733</v>
      </c>
      <c r="F53" s="135" t="s">
        <v>1630</v>
      </c>
      <c r="G53" s="131" t="e">
        <v>#VALUE!</v>
      </c>
      <c r="H53" s="173">
        <v>-1</v>
      </c>
      <c r="I53" s="173"/>
      <c r="J53" s="173" t="e">
        <f>_xll.GetCtData("COAMOUNT","CONSAMOUNT",$A$1:$A$8,$A53:$B53,,"#Erreur de syntaxe : Expression incomplète")/10^3*$H53</f>
        <v>#VALUE!</v>
      </c>
      <c r="K53" s="173"/>
      <c r="L53" s="173" t="e">
        <f>_xll.GetCtData("COAMOUNT","CONSAMOUNT",$A$1:$A$8,$A53:$B53,,"#Erreur de syntaxe : Expression incomplète")/10^3*$H53</f>
        <v>#VALUE!</v>
      </c>
      <c r="N53" s="173" t="e">
        <f>_xll.GetCtData("COAMOUNT","CONSAMOUNT",$A$1:$A$8,$A53:$B53,,"#Erreur de syntaxe : Expression incomplète")/10^3*$H53</f>
        <v>#VALUE!</v>
      </c>
      <c r="P53" s="173" t="e">
        <f t="shared" si="0"/>
        <v>#VALUE!</v>
      </c>
    </row>
    <row r="54" spans="1:16" s="115" customFormat="1" ht="12" hidden="1" outlineLevel="1" thickBot="1">
      <c r="A54" s="115" t="str">
        <f t="shared" si="1"/>
        <v>P39701000V</v>
      </c>
      <c r="B54" s="115" t="str">
        <f t="shared" si="2"/>
        <v>F17G</v>
      </c>
      <c r="C54" s="135" t="s">
        <v>1735</v>
      </c>
      <c r="D54" s="135"/>
      <c r="E54" s="135" t="s">
        <v>1736</v>
      </c>
      <c r="F54" s="135" t="s">
        <v>1630</v>
      </c>
      <c r="G54" s="131" t="e">
        <v>#VALUE!</v>
      </c>
      <c r="H54" s="173">
        <v>-1</v>
      </c>
      <c r="I54" s="173"/>
      <c r="J54" s="173" t="e">
        <f>_xll.GetCtData("COAMOUNT","CONSAMOUNT",$A$1:$A$8,$A54:$B54,,"#Erreur de syntaxe : Expression incomplète")/10^3*$H54</f>
        <v>#VALUE!</v>
      </c>
      <c r="K54" s="173"/>
      <c r="L54" s="173" t="e">
        <f>_xll.GetCtData("COAMOUNT","CONSAMOUNT",$A$1:$A$8,$A54:$B54,,"#Erreur de syntaxe : Expression incomplète")/10^3*$H54</f>
        <v>#VALUE!</v>
      </c>
      <c r="N54" s="173" t="e">
        <f>_xll.GetCtData("COAMOUNT","CONSAMOUNT",$A$1:$A$8,$A54:$B54,,"#Erreur de syntaxe : Expression incomplète")/10^3*$H54</f>
        <v>#VALUE!</v>
      </c>
      <c r="P54" s="173" t="e">
        <f t="shared" si="0"/>
        <v>#VALUE!</v>
      </c>
    </row>
    <row r="55" spans="1:16" s="115" customFormat="1" ht="12" hidden="1" outlineLevel="1" thickBot="1">
      <c r="A55" s="115" t="str">
        <f t="shared" si="1"/>
        <v>A39702000B</v>
      </c>
      <c r="B55" s="115" t="str">
        <f t="shared" si="2"/>
        <v>F17G</v>
      </c>
      <c r="C55" s="135" t="s">
        <v>1702</v>
      </c>
      <c r="D55" s="135"/>
      <c r="E55" s="135" t="s">
        <v>1703</v>
      </c>
      <c r="F55" s="135" t="s">
        <v>1630</v>
      </c>
      <c r="G55" s="131" t="e">
        <v>#VALUE!</v>
      </c>
      <c r="H55" s="173">
        <v>1</v>
      </c>
      <c r="I55" s="173"/>
      <c r="J55" s="173"/>
      <c r="K55" s="173" t="e">
        <f>_xll.GetCtData("COAMOUNT","CONSAMOUNT",$A$1:$A$8,$A55:$B55,,"#Erreur de syntaxe : Expression incomplète")/10^3*$H55</f>
        <v>#VALUE!</v>
      </c>
      <c r="L55" s="173" t="e">
        <f>_xll.GetCtData("COAMOUNT","CONSAMOUNT",$A$1:$A$8,$A55:$B55,,"#Erreur de syntaxe : Expression incomplète")/10^3*$H55</f>
        <v>#VALUE!</v>
      </c>
      <c r="N55" s="173" t="e">
        <f>_xll.GetCtData("COAMOUNT","CONSAMOUNT",$A$1:$A$8,$A55:$B55,,"#Erreur de syntaxe : Expression incomplète")/10^3*$H55</f>
        <v>#VALUE!</v>
      </c>
      <c r="P55" s="173" t="e">
        <f t="shared" si="0"/>
        <v>#VALUE!</v>
      </c>
    </row>
    <row r="56" spans="1:16" s="115" customFormat="1" ht="12" hidden="1" outlineLevel="1" thickBot="1">
      <c r="A56" s="115" t="str">
        <f t="shared" si="1"/>
        <v>A39702000V</v>
      </c>
      <c r="B56" s="115" t="str">
        <f t="shared" si="2"/>
        <v>F17G</v>
      </c>
      <c r="C56" s="135" t="s">
        <v>1705</v>
      </c>
      <c r="D56" s="135"/>
      <c r="E56" s="135" t="s">
        <v>1706</v>
      </c>
      <c r="F56" s="135" t="s">
        <v>1630</v>
      </c>
      <c r="G56" s="131" t="e">
        <v>#VALUE!</v>
      </c>
      <c r="H56" s="173">
        <v>1</v>
      </c>
      <c r="I56" s="173"/>
      <c r="J56" s="173"/>
      <c r="K56" s="173" t="e">
        <f>_xll.GetCtData("COAMOUNT","CONSAMOUNT",$A$1:$A$8,$A56:$B56,,"#Erreur de syntaxe : Expression incomplète")/10^3*$H56</f>
        <v>#VALUE!</v>
      </c>
      <c r="L56" s="173" t="e">
        <f>_xll.GetCtData("COAMOUNT","CONSAMOUNT",$A$1:$A$8,$A56:$B56,,"#Erreur de syntaxe : Expression incomplète")/10^3*$H56</f>
        <v>#VALUE!</v>
      </c>
      <c r="N56" s="173" t="e">
        <f>_xll.GetCtData("COAMOUNT","CONSAMOUNT",$A$1:$A$8,$A56:$B56,,"#Erreur de syntaxe : Expression incomplète")/10^3*$H56</f>
        <v>#VALUE!</v>
      </c>
      <c r="P56" s="173" t="e">
        <f t="shared" si="0"/>
        <v>#VALUE!</v>
      </c>
    </row>
    <row r="57" spans="1:16" s="115" customFormat="1" ht="12" hidden="1" outlineLevel="1" thickBot="1">
      <c r="A57" s="115" t="str">
        <f t="shared" si="1"/>
        <v>P39702000B</v>
      </c>
      <c r="B57" s="115" t="str">
        <f t="shared" si="2"/>
        <v>F17G</v>
      </c>
      <c r="C57" s="135" t="s">
        <v>1741</v>
      </c>
      <c r="D57" s="135"/>
      <c r="E57" s="135" t="s">
        <v>1742</v>
      </c>
      <c r="F57" s="135" t="s">
        <v>1630</v>
      </c>
      <c r="G57" s="131" t="e">
        <v>#VALUE!</v>
      </c>
      <c r="H57" s="173">
        <v>-1</v>
      </c>
      <c r="I57" s="173"/>
      <c r="J57" s="173"/>
      <c r="K57" s="173" t="e">
        <f>_xll.GetCtData("COAMOUNT","CONSAMOUNT",$A$1:$A$8,$A57:$B57,,"#Erreur de syntaxe : Expression incomplète")/10^3*$H57</f>
        <v>#VALUE!</v>
      </c>
      <c r="L57" s="173" t="e">
        <f>_xll.GetCtData("COAMOUNT","CONSAMOUNT",$A$1:$A$8,$A57:$B57,,"#Erreur de syntaxe : Expression incomplète")/10^3*$H57</f>
        <v>#VALUE!</v>
      </c>
      <c r="N57" s="173" t="e">
        <f>_xll.GetCtData("COAMOUNT","CONSAMOUNT",$A$1:$A$8,$A57:$B57,,"#Erreur de syntaxe : Expression incomplète")/10^3*$H57</f>
        <v>#VALUE!</v>
      </c>
      <c r="P57" s="173" t="e">
        <f t="shared" si="0"/>
        <v>#VALUE!</v>
      </c>
    </row>
    <row r="58" spans="1:16" s="115" customFormat="1" ht="12" hidden="1" outlineLevel="1" thickBot="1">
      <c r="A58" s="115" t="str">
        <f t="shared" si="1"/>
        <v>P39702000V</v>
      </c>
      <c r="B58" s="115" t="str">
        <f t="shared" si="2"/>
        <v>F17G</v>
      </c>
      <c r="C58" s="135" t="s">
        <v>1750</v>
      </c>
      <c r="D58" s="135"/>
      <c r="E58" s="135" t="s">
        <v>1751</v>
      </c>
      <c r="F58" s="135" t="s">
        <v>1630</v>
      </c>
      <c r="G58" s="131" t="e">
        <v>#VALUE!</v>
      </c>
      <c r="H58" s="173">
        <v>-1</v>
      </c>
      <c r="I58" s="173"/>
      <c r="J58" s="173"/>
      <c r="K58" s="173" t="e">
        <f>_xll.GetCtData("COAMOUNT","CONSAMOUNT",$A$1:$A$8,$A58:$B58,,"#Erreur de syntaxe : Expression incomplète")/10^3*$H58</f>
        <v>#VALUE!</v>
      </c>
      <c r="L58" s="173" t="e">
        <f>_xll.GetCtData("COAMOUNT","CONSAMOUNT",$A$1:$A$8,$A58:$B58,,"#Erreur de syntaxe : Expression incomplète")/10^3*$H58</f>
        <v>#VALUE!</v>
      </c>
      <c r="N58" s="173" t="e">
        <f>_xll.GetCtData("COAMOUNT","CONSAMOUNT",$A$1:$A$8,$A58:$B58,,"#Erreur de syntaxe : Expression incomplète")/10^3*$H58</f>
        <v>#VALUE!</v>
      </c>
      <c r="P58" s="173" t="e">
        <f t="shared" si="0"/>
        <v>#VALUE!</v>
      </c>
    </row>
    <row r="59" spans="1:16" ht="12" hidden="1" customHeight="1" outlineLevel="1">
      <c r="A59" s="115"/>
      <c r="E59" s="158" t="s">
        <v>1570</v>
      </c>
      <c r="F59" s="158"/>
      <c r="G59" s="158"/>
      <c r="H59" s="158"/>
      <c r="I59" s="184" t="e">
        <f>SUM(I47:I58)/10^3-I45-I46</f>
        <v>#VALUE!</v>
      </c>
      <c r="J59" s="184" t="e">
        <f>SUM(J47:J58)/10^3-J45-J46</f>
        <v>#VALUE!</v>
      </c>
      <c r="K59" s="184" t="e">
        <f>SUM(K47:K58)/10^3-K45-K46</f>
        <v>#VALUE!</v>
      </c>
      <c r="L59" s="184" t="e">
        <f>SUM(L47:L58)/10^3-L45-L46</f>
        <v>#VALUE!</v>
      </c>
      <c r="N59" s="184" t="e">
        <f>SUM(N47:N58)/10^3-N45-N46</f>
        <v>#VALUE!</v>
      </c>
      <c r="P59" s="184" t="e">
        <f t="shared" si="0"/>
        <v>#VALUE!</v>
      </c>
    </row>
    <row r="60" spans="1:16" s="115" customFormat="1" ht="12" hidden="1" collapsed="1" thickBot="1">
      <c r="A60" s="123" t="s">
        <v>1103</v>
      </c>
      <c r="C60" s="123" t="str">
        <f>A60</f>
        <v>FL=XRF10163</v>
      </c>
      <c r="D60" s="123"/>
      <c r="E60" s="181" t="s">
        <v>122</v>
      </c>
      <c r="F60" s="182"/>
      <c r="G60" s="182"/>
      <c r="H60" s="182"/>
      <c r="I60" s="182">
        <f>_xll.GetCtData("COAMOUNT","CONSAMOUNT",$A$1:$A$8,$A60,H$6,"#-1982")/10^3</f>
        <v>-1.982</v>
      </c>
      <c r="J60" s="182">
        <f>_xll.GetCtData("COAMOUNT","CONSAMOUNT",$A$1:$A$8,$A60,I$6,"#878")/10^3</f>
        <v>0.878</v>
      </c>
      <c r="K60" s="182">
        <f>_xll.GetCtData("COAMOUNT","CONSAMOUNT",$A$1:$A$8,$A60,J$6,"#1871")/10^3</f>
        <v>1.871</v>
      </c>
      <c r="L60" s="182">
        <f>_xll.GetCtData("COAMOUNT","CONSAMOUNT",$A$1:$A$8,$A60,K$6,"#767")/10^3</f>
        <v>0.76700000000000002</v>
      </c>
      <c r="N60" s="182">
        <f>_xll.GetCtData("COAMOUNT","CONSAMOUNT",$A$1:$A$8,$A60,N$6,"#767")/10^3</f>
        <v>0.76700000000000002</v>
      </c>
      <c r="P60" s="182">
        <f t="shared" si="0"/>
        <v>1.534</v>
      </c>
    </row>
    <row r="61" spans="1:16" s="115" customFormat="1" ht="12" hidden="1" outlineLevel="1" thickBot="1">
      <c r="A61" s="115" t="str">
        <f>$C$1&amp;C61</f>
        <v>A39700000B</v>
      </c>
      <c r="B61" s="115" t="str">
        <f>$C$2&amp;F61</f>
        <v>F17B</v>
      </c>
      <c r="C61" s="135" t="s">
        <v>1690</v>
      </c>
      <c r="D61" s="135"/>
      <c r="E61" s="135" t="s">
        <v>1691</v>
      </c>
      <c r="F61" s="135" t="s">
        <v>1634</v>
      </c>
      <c r="G61" s="131" t="e">
        <v>#VALUE!</v>
      </c>
      <c r="H61" s="173">
        <v>1</v>
      </c>
      <c r="I61" s="173" t="e">
        <f>_xll.GetCtData("COAMOUNT","CONSAMOUNT",$A$1:$A$8,$A61:$B61,,"#Erreur de syntaxe : Expression incomplète")/10^3*$H61</f>
        <v>#VALUE!</v>
      </c>
      <c r="J61" s="173"/>
      <c r="K61" s="173"/>
      <c r="L61" s="173" t="e">
        <f>_xll.GetCtData("COAMOUNT","CONSAMOUNT",$A$1:$A$8,$A61:$B61,,"#Erreur de syntaxe : Expression incomplète")/10^3*$H61</f>
        <v>#VALUE!</v>
      </c>
      <c r="N61" s="173" t="e">
        <f>_xll.GetCtData("COAMOUNT","CONSAMOUNT",$A$1:$A$8,$A61:$B61,,"#Erreur de syntaxe : Expression incomplète")/10^3*$H61</f>
        <v>#VALUE!</v>
      </c>
      <c r="P61" s="173" t="e">
        <f t="shared" si="0"/>
        <v>#VALUE!</v>
      </c>
    </row>
    <row r="62" spans="1:16" s="115" customFormat="1" ht="12" hidden="1" outlineLevel="1" thickBot="1">
      <c r="A62" s="115" t="str">
        <f t="shared" ref="A62:A76" si="3">$C$1&amp;C62</f>
        <v>A39700000V</v>
      </c>
      <c r="B62" s="115" t="str">
        <f t="shared" ref="B62:B76" si="4">$C$2&amp;F62</f>
        <v>F17B</v>
      </c>
      <c r="C62" s="135" t="s">
        <v>1693</v>
      </c>
      <c r="D62" s="135"/>
      <c r="E62" s="135" t="s">
        <v>1694</v>
      </c>
      <c r="F62" s="135" t="s">
        <v>1634</v>
      </c>
      <c r="G62" s="131" t="e">
        <v>#VALUE!</v>
      </c>
      <c r="H62" s="173">
        <v>1</v>
      </c>
      <c r="I62" s="173" t="e">
        <f>_xll.GetCtData("COAMOUNT","CONSAMOUNT",$A$1:$A$8,$A62:$B62,,"#Erreur de syntaxe : Expression incomplète")/10^3*$H62</f>
        <v>#VALUE!</v>
      </c>
      <c r="J62" s="173"/>
      <c r="K62" s="173"/>
      <c r="L62" s="173" t="e">
        <f>_xll.GetCtData("COAMOUNT","CONSAMOUNT",$A$1:$A$8,$A62:$B62,,"#Erreur de syntaxe : Expression incomplète")/10^3*$H62</f>
        <v>#VALUE!</v>
      </c>
      <c r="N62" s="173" t="e">
        <f>_xll.GetCtData("COAMOUNT","CONSAMOUNT",$A$1:$A$8,$A62:$B62,,"#Erreur de syntaxe : Expression incomplète")/10^3*$H62</f>
        <v>#VALUE!</v>
      </c>
      <c r="P62" s="173" t="e">
        <f t="shared" si="0"/>
        <v>#VALUE!</v>
      </c>
    </row>
    <row r="63" spans="1:16" s="115" customFormat="1" ht="12" hidden="1" outlineLevel="1" thickBot="1">
      <c r="A63" s="115" t="str">
        <f t="shared" si="3"/>
        <v>P39700000B</v>
      </c>
      <c r="B63" s="115" t="str">
        <f t="shared" si="4"/>
        <v>F17B</v>
      </c>
      <c r="C63" s="135" t="s">
        <v>1738</v>
      </c>
      <c r="D63" s="135"/>
      <c r="E63" s="135" t="s">
        <v>1739</v>
      </c>
      <c r="F63" s="135" t="s">
        <v>1634</v>
      </c>
      <c r="G63" s="131" t="e">
        <v>#VALUE!</v>
      </c>
      <c r="H63" s="173">
        <v>-1</v>
      </c>
      <c r="I63" s="173" t="e">
        <f>_xll.GetCtData("COAMOUNT","CONSAMOUNT",$A$1:$A$8,$A63:$B63,,"#Erreur de syntaxe : Expression incomplète")/10^3*$H63</f>
        <v>#VALUE!</v>
      </c>
      <c r="J63" s="173"/>
      <c r="K63" s="173"/>
      <c r="L63" s="173" t="e">
        <f>_xll.GetCtData("COAMOUNT","CONSAMOUNT",$A$1:$A$8,$A63:$B63,,"#Erreur de syntaxe : Expression incomplète")/10^3*$H63</f>
        <v>#VALUE!</v>
      </c>
      <c r="N63" s="173" t="e">
        <f>_xll.GetCtData("COAMOUNT","CONSAMOUNT",$A$1:$A$8,$A63:$B63,,"#Erreur de syntaxe : Expression incomplète")/10^3*$H63</f>
        <v>#VALUE!</v>
      </c>
      <c r="P63" s="173" t="e">
        <f t="shared" si="0"/>
        <v>#VALUE!</v>
      </c>
    </row>
    <row r="64" spans="1:16" s="115" customFormat="1" ht="12" hidden="1" outlineLevel="1" thickBot="1">
      <c r="A64" s="115" t="str">
        <f t="shared" si="3"/>
        <v>P39700000V</v>
      </c>
      <c r="B64" s="115" t="str">
        <f t="shared" si="4"/>
        <v>F17B</v>
      </c>
      <c r="C64" s="135" t="s">
        <v>1747</v>
      </c>
      <c r="D64" s="135"/>
      <c r="E64" s="135" t="s">
        <v>1748</v>
      </c>
      <c r="F64" s="135" t="s">
        <v>1634</v>
      </c>
      <c r="G64" s="131" t="e">
        <v>#VALUE!</v>
      </c>
      <c r="H64" s="173">
        <v>-1</v>
      </c>
      <c r="I64" s="173" t="e">
        <f>_xll.GetCtData("COAMOUNT","CONSAMOUNT",$A$1:$A$8,$A64:$B64,,"#Erreur de syntaxe : Expression incomplète")/10^3*$H64</f>
        <v>#VALUE!</v>
      </c>
      <c r="J64" s="173"/>
      <c r="K64" s="173"/>
      <c r="L64" s="173" t="e">
        <f>_xll.GetCtData("COAMOUNT","CONSAMOUNT",$A$1:$A$8,$A64:$B64,,"#Erreur de syntaxe : Expression incomplète")/10^3*$H64</f>
        <v>#VALUE!</v>
      </c>
      <c r="N64" s="173" t="e">
        <f>_xll.GetCtData("COAMOUNT","CONSAMOUNT",$A$1:$A$8,$A64:$B64,,"#Erreur de syntaxe : Expression incomplète")/10^3*$H64</f>
        <v>#VALUE!</v>
      </c>
      <c r="P64" s="173" t="e">
        <f t="shared" si="0"/>
        <v>#VALUE!</v>
      </c>
    </row>
    <row r="65" spans="1:16" s="115" customFormat="1" ht="12" hidden="1" outlineLevel="1" thickBot="1">
      <c r="A65" s="115" t="str">
        <f t="shared" si="3"/>
        <v>A39701000B</v>
      </c>
      <c r="B65" s="115" t="str">
        <f t="shared" si="4"/>
        <v>F17B</v>
      </c>
      <c r="C65" s="135" t="s">
        <v>1696</v>
      </c>
      <c r="D65" s="135"/>
      <c r="E65" s="135" t="s">
        <v>1697</v>
      </c>
      <c r="F65" s="135" t="s">
        <v>1634</v>
      </c>
      <c r="G65" s="131" t="e">
        <v>#VALUE!</v>
      </c>
      <c r="H65" s="173">
        <v>1</v>
      </c>
      <c r="I65" s="173"/>
      <c r="J65" s="173" t="e">
        <f>_xll.GetCtData("COAMOUNT","CONSAMOUNT",$A$1:$A$8,$A65:$B65,,"#Erreur de syntaxe : Expression incomplète")/10^3*$H65</f>
        <v>#VALUE!</v>
      </c>
      <c r="K65" s="173"/>
      <c r="L65" s="173" t="e">
        <f>_xll.GetCtData("COAMOUNT","CONSAMOUNT",$A$1:$A$8,$A65:$B65,,"#Erreur de syntaxe : Expression incomplète")/10^3*$H65</f>
        <v>#VALUE!</v>
      </c>
      <c r="N65" s="173" t="e">
        <f>_xll.GetCtData("COAMOUNT","CONSAMOUNT",$A$1:$A$8,$A65:$B65,,"#Erreur de syntaxe : Expression incomplète")/10^3*$H65</f>
        <v>#VALUE!</v>
      </c>
      <c r="P65" s="173" t="e">
        <f t="shared" si="0"/>
        <v>#VALUE!</v>
      </c>
    </row>
    <row r="66" spans="1:16" s="115" customFormat="1" ht="12" hidden="1" outlineLevel="1" thickBot="1">
      <c r="A66" s="115" t="str">
        <f t="shared" si="3"/>
        <v>A39701100B</v>
      </c>
      <c r="B66" s="115" t="str">
        <f t="shared" si="4"/>
        <v>F17B</v>
      </c>
      <c r="C66" s="135" t="s">
        <v>1720</v>
      </c>
      <c r="D66" s="135"/>
      <c r="E66" s="135" t="s">
        <v>1721</v>
      </c>
      <c r="F66" s="135" t="s">
        <v>1634</v>
      </c>
      <c r="G66" s="131" t="e">
        <v>#VALUE!</v>
      </c>
      <c r="H66" s="173">
        <v>1</v>
      </c>
      <c r="I66" s="173"/>
      <c r="J66" s="173" t="e">
        <f>_xll.GetCtData("COAMOUNT","CONSAMOUNT",$A$1:$A$8,$A66:$B66,,"#Erreur de syntaxe : Expression incomplète")/10^3*$H66</f>
        <v>#VALUE!</v>
      </c>
      <c r="K66" s="173"/>
      <c r="L66" s="173" t="e">
        <f>_xll.GetCtData("COAMOUNT","CONSAMOUNT",$A$1:$A$8,$A66:$B66,,"#Erreur de syntaxe : Expression incomplète")/10^3*$H66</f>
        <v>#VALUE!</v>
      </c>
      <c r="N66" s="173" t="e">
        <f>_xll.GetCtData("COAMOUNT","CONSAMOUNT",$A$1:$A$8,$A66:$B66,,"#Erreur de syntaxe : Expression incomplète")/10^3*$H66</f>
        <v>#VALUE!</v>
      </c>
      <c r="P66" s="173" t="e">
        <f t="shared" si="0"/>
        <v>#VALUE!</v>
      </c>
    </row>
    <row r="67" spans="1:16" s="115" customFormat="1" ht="12" hidden="1" outlineLevel="1" thickBot="1">
      <c r="A67" s="115" t="str">
        <f t="shared" si="3"/>
        <v>A39701000V</v>
      </c>
      <c r="B67" s="115" t="str">
        <f t="shared" si="4"/>
        <v>F17B</v>
      </c>
      <c r="C67" s="135" t="s">
        <v>1699</v>
      </c>
      <c r="D67" s="135"/>
      <c r="E67" s="135" t="s">
        <v>1700</v>
      </c>
      <c r="F67" s="135" t="s">
        <v>1634</v>
      </c>
      <c r="G67" s="131" t="e">
        <v>#VALUE!</v>
      </c>
      <c r="H67" s="173">
        <v>1</v>
      </c>
      <c r="I67" s="173"/>
      <c r="J67" s="173" t="e">
        <f>_xll.GetCtData("COAMOUNT","CONSAMOUNT",$A$1:$A$8,$A67:$B67,,"#Erreur de syntaxe : Expression incomplète")/10^3*$H67</f>
        <v>#VALUE!</v>
      </c>
      <c r="K67" s="173"/>
      <c r="L67" s="173" t="e">
        <f>_xll.GetCtData("COAMOUNT","CONSAMOUNT",$A$1:$A$8,$A67:$B67,,"#Erreur de syntaxe : Expression incomplète")/10^3*$H67</f>
        <v>#VALUE!</v>
      </c>
      <c r="N67" s="173" t="e">
        <f>_xll.GetCtData("COAMOUNT","CONSAMOUNT",$A$1:$A$8,$A67:$B67,,"#Erreur de syntaxe : Expression incomplète")/10^3*$H67</f>
        <v>#VALUE!</v>
      </c>
      <c r="P67" s="173" t="e">
        <f t="shared" si="0"/>
        <v>#VALUE!</v>
      </c>
    </row>
    <row r="68" spans="1:16" s="115" customFormat="1" ht="12" hidden="1" outlineLevel="1" thickBot="1">
      <c r="A68" s="115" t="str">
        <f t="shared" si="3"/>
        <v>A39701100V</v>
      </c>
      <c r="B68" s="115" t="str">
        <f t="shared" si="4"/>
        <v>F17B</v>
      </c>
      <c r="C68" s="135" t="s">
        <v>1723</v>
      </c>
      <c r="D68" s="135"/>
      <c r="E68" s="135" t="s">
        <v>1724</v>
      </c>
      <c r="F68" s="135" t="s">
        <v>1634</v>
      </c>
      <c r="G68" s="131" t="e">
        <v>#VALUE!</v>
      </c>
      <c r="H68" s="173">
        <v>1</v>
      </c>
      <c r="I68" s="173"/>
      <c r="J68" s="173" t="e">
        <f>_xll.GetCtData("COAMOUNT","CONSAMOUNT",$A$1:$A$8,$A68:$B68,,"#Erreur de syntaxe : Expression incomplète")/10^3*$H68</f>
        <v>#VALUE!</v>
      </c>
      <c r="K68" s="173"/>
      <c r="L68" s="173" t="e">
        <f>_xll.GetCtData("COAMOUNT","CONSAMOUNT",$A$1:$A$8,$A68:$B68,,"#Erreur de syntaxe : Expression incomplète")/10^3*$H68</f>
        <v>#VALUE!</v>
      </c>
      <c r="N68" s="173" t="e">
        <f>_xll.GetCtData("COAMOUNT","CONSAMOUNT",$A$1:$A$8,$A68:$B68,,"#Erreur de syntaxe : Expression incomplète")/10^3*$H68</f>
        <v>#VALUE!</v>
      </c>
      <c r="P68" s="173" t="e">
        <f t="shared" si="0"/>
        <v>#VALUE!</v>
      </c>
    </row>
    <row r="69" spans="1:16" s="115" customFormat="1" ht="12" hidden="1" outlineLevel="1" thickBot="1">
      <c r="A69" s="115" t="str">
        <f t="shared" si="3"/>
        <v>P39701000B</v>
      </c>
      <c r="B69" s="115" t="str">
        <f t="shared" si="4"/>
        <v>F17B</v>
      </c>
      <c r="C69" s="135" t="s">
        <v>1732</v>
      </c>
      <c r="D69" s="135"/>
      <c r="E69" s="135" t="s">
        <v>1733</v>
      </c>
      <c r="F69" s="135" t="s">
        <v>1634</v>
      </c>
      <c r="G69" s="131" t="e">
        <v>#VALUE!</v>
      </c>
      <c r="H69" s="173">
        <v>-1</v>
      </c>
      <c r="I69" s="173"/>
      <c r="J69" s="173" t="e">
        <f>_xll.GetCtData("COAMOUNT","CONSAMOUNT",$A$1:$A$8,$A69:$B69,,"#Erreur de syntaxe : Expression incomplète")/10^3*$H69</f>
        <v>#VALUE!</v>
      </c>
      <c r="K69" s="173"/>
      <c r="L69" s="173" t="e">
        <f>_xll.GetCtData("COAMOUNT","CONSAMOUNT",$A$1:$A$8,$A69:$B69,,"#Erreur de syntaxe : Expression incomplète")/10^3*$H69</f>
        <v>#VALUE!</v>
      </c>
      <c r="N69" s="173" t="e">
        <f>_xll.GetCtData("COAMOUNT","CONSAMOUNT",$A$1:$A$8,$A69:$B69,,"#Erreur de syntaxe : Expression incomplète")/10^3*$H69</f>
        <v>#VALUE!</v>
      </c>
      <c r="P69" s="173" t="e">
        <f t="shared" si="0"/>
        <v>#VALUE!</v>
      </c>
    </row>
    <row r="70" spans="1:16" s="115" customFormat="1" ht="12" hidden="1" outlineLevel="1" thickBot="1">
      <c r="A70" s="115" t="str">
        <f t="shared" si="3"/>
        <v>P39701100B</v>
      </c>
      <c r="B70" s="115" t="str">
        <f t="shared" si="4"/>
        <v>F17B</v>
      </c>
      <c r="C70" s="135" t="s">
        <v>1139</v>
      </c>
      <c r="D70" s="135"/>
      <c r="E70" s="135" t="s">
        <v>1140</v>
      </c>
      <c r="F70" s="135" t="s">
        <v>1634</v>
      </c>
      <c r="G70" s="131" t="e">
        <v>#VALUE!</v>
      </c>
      <c r="H70" s="173">
        <v>-1</v>
      </c>
      <c r="I70" s="173"/>
      <c r="J70" s="173" t="e">
        <f>_xll.GetCtData("COAMOUNT","CONSAMOUNT",$A$1:$A$8,$A70:$B70,,"#Erreur de syntaxe : Expression incomplète")/10^3*$H70</f>
        <v>#VALUE!</v>
      </c>
      <c r="K70" s="173"/>
      <c r="L70" s="173" t="e">
        <f>_xll.GetCtData("COAMOUNT","CONSAMOUNT",$A$1:$A$8,$A70:$B70,,"#Erreur de syntaxe : Expression incomplète")/10^3*$H70</f>
        <v>#VALUE!</v>
      </c>
      <c r="N70" s="173" t="e">
        <f>_xll.GetCtData("COAMOUNT","CONSAMOUNT",$A$1:$A$8,$A70:$B70,,"#Erreur de syntaxe : Expression incomplète")/10^3*$H70</f>
        <v>#VALUE!</v>
      </c>
      <c r="P70" s="173" t="e">
        <f t="shared" si="0"/>
        <v>#VALUE!</v>
      </c>
    </row>
    <row r="71" spans="1:16" s="115" customFormat="1" ht="12" hidden="1" outlineLevel="1" thickBot="1">
      <c r="A71" s="115" t="str">
        <f t="shared" si="3"/>
        <v>P39701000V</v>
      </c>
      <c r="B71" s="115" t="str">
        <f t="shared" si="4"/>
        <v>F17B</v>
      </c>
      <c r="C71" s="135" t="s">
        <v>1735</v>
      </c>
      <c r="D71" s="135"/>
      <c r="E71" s="135" t="s">
        <v>1736</v>
      </c>
      <c r="F71" s="135" t="s">
        <v>1634</v>
      </c>
      <c r="G71" s="131" t="e">
        <v>#VALUE!</v>
      </c>
      <c r="H71" s="173">
        <v>-1</v>
      </c>
      <c r="I71" s="173"/>
      <c r="J71" s="173" t="e">
        <f>_xll.GetCtData("COAMOUNT","CONSAMOUNT",$A$1:$A$8,$A71:$B71,,"#Erreur de syntaxe : Expression incomplète")/10^3*$H71</f>
        <v>#VALUE!</v>
      </c>
      <c r="K71" s="173"/>
      <c r="L71" s="173" t="e">
        <f>_xll.GetCtData("COAMOUNT","CONSAMOUNT",$A$1:$A$8,$A71:$B71,,"#Erreur de syntaxe : Expression incomplète")/10^3*$H71</f>
        <v>#VALUE!</v>
      </c>
      <c r="N71" s="173" t="e">
        <f>_xll.GetCtData("COAMOUNT","CONSAMOUNT",$A$1:$A$8,$A71:$B71,,"#Erreur de syntaxe : Expression incomplète")/10^3*$H71</f>
        <v>#VALUE!</v>
      </c>
      <c r="P71" s="173" t="e">
        <f t="shared" si="0"/>
        <v>#VALUE!</v>
      </c>
    </row>
    <row r="72" spans="1:16" s="115" customFormat="1" ht="12" hidden="1" outlineLevel="1" thickBot="1">
      <c r="A72" s="115" t="str">
        <f t="shared" si="3"/>
        <v>P39701100V</v>
      </c>
      <c r="B72" s="115" t="str">
        <f t="shared" si="4"/>
        <v>F17B</v>
      </c>
      <c r="C72" s="135" t="s">
        <v>1133</v>
      </c>
      <c r="D72" s="135"/>
      <c r="E72" s="135" t="s">
        <v>1134</v>
      </c>
      <c r="F72" s="135" t="s">
        <v>1634</v>
      </c>
      <c r="G72" s="131" t="e">
        <v>#VALUE!</v>
      </c>
      <c r="H72" s="173">
        <v>-1</v>
      </c>
      <c r="I72" s="173"/>
      <c r="J72" s="173" t="e">
        <f>_xll.GetCtData("COAMOUNT","CONSAMOUNT",$A$1:$A$8,$A72:$B72,,"#Erreur de syntaxe : Expression incomplète")/10^3*$H72</f>
        <v>#VALUE!</v>
      </c>
      <c r="K72" s="173"/>
      <c r="L72" s="173" t="e">
        <f>_xll.GetCtData("COAMOUNT","CONSAMOUNT",$A$1:$A$8,$A72:$B72,,"#Erreur de syntaxe : Expression incomplète")/10^3*$H72</f>
        <v>#VALUE!</v>
      </c>
      <c r="N72" s="173" t="e">
        <f>_xll.GetCtData("COAMOUNT","CONSAMOUNT",$A$1:$A$8,$A72:$B72,,"#Erreur de syntaxe : Expression incomplète")/10^3*$H72</f>
        <v>#VALUE!</v>
      </c>
      <c r="P72" s="173" t="e">
        <f t="shared" si="0"/>
        <v>#VALUE!</v>
      </c>
    </row>
    <row r="73" spans="1:16" s="115" customFormat="1" ht="12" hidden="1" outlineLevel="1" thickBot="1">
      <c r="A73" s="115" t="str">
        <f t="shared" si="3"/>
        <v>A39702000B</v>
      </c>
      <c r="B73" s="115" t="str">
        <f t="shared" si="4"/>
        <v>F17B</v>
      </c>
      <c r="C73" s="135" t="s">
        <v>1702</v>
      </c>
      <c r="D73" s="135"/>
      <c r="E73" s="135" t="s">
        <v>1703</v>
      </c>
      <c r="F73" s="135" t="s">
        <v>1634</v>
      </c>
      <c r="G73" s="131" t="e">
        <v>#VALUE!</v>
      </c>
      <c r="H73" s="173">
        <v>1</v>
      </c>
      <c r="I73" s="173"/>
      <c r="J73" s="173"/>
      <c r="K73" s="173" t="e">
        <f>_xll.GetCtData("COAMOUNT","CONSAMOUNT",$A$1:$A$8,$A73:$B73,,"#Erreur de syntaxe : Expression incomplète")/10^3*$H73</f>
        <v>#VALUE!</v>
      </c>
      <c r="L73" s="173" t="e">
        <f>_xll.GetCtData("COAMOUNT","CONSAMOUNT",$A$1:$A$8,$A73:$B73,,"#Erreur de syntaxe : Expression incomplète")/10^3*$H73</f>
        <v>#VALUE!</v>
      </c>
      <c r="N73" s="173" t="e">
        <f>_xll.GetCtData("COAMOUNT","CONSAMOUNT",$A$1:$A$8,$A73:$B73,,"#Erreur de syntaxe : Expression incomplète")/10^3*$H73</f>
        <v>#VALUE!</v>
      </c>
      <c r="P73" s="173" t="e">
        <f t="shared" si="0"/>
        <v>#VALUE!</v>
      </c>
    </row>
    <row r="74" spans="1:16" s="115" customFormat="1" ht="12" hidden="1" outlineLevel="1" thickBot="1">
      <c r="A74" s="115" t="str">
        <f t="shared" si="3"/>
        <v>A39702000V</v>
      </c>
      <c r="B74" s="115" t="str">
        <f t="shared" si="4"/>
        <v>F17B</v>
      </c>
      <c r="C74" s="135" t="s">
        <v>1705</v>
      </c>
      <c r="D74" s="135"/>
      <c r="E74" s="135" t="s">
        <v>1706</v>
      </c>
      <c r="F74" s="135" t="s">
        <v>1634</v>
      </c>
      <c r="G74" s="131" t="e">
        <v>#VALUE!</v>
      </c>
      <c r="H74" s="173">
        <v>1</v>
      </c>
      <c r="I74" s="173"/>
      <c r="J74" s="173"/>
      <c r="K74" s="173" t="e">
        <f>_xll.GetCtData("COAMOUNT","CONSAMOUNT",$A$1:$A$8,$A74:$B74,,"#Erreur de syntaxe : Expression incomplète")/10^3*$H74</f>
        <v>#VALUE!</v>
      </c>
      <c r="L74" s="173" t="e">
        <f>_xll.GetCtData("COAMOUNT","CONSAMOUNT",$A$1:$A$8,$A74:$B74,,"#Erreur de syntaxe : Expression incomplète")/10^3*$H74</f>
        <v>#VALUE!</v>
      </c>
      <c r="N74" s="173" t="e">
        <f>_xll.GetCtData("COAMOUNT","CONSAMOUNT",$A$1:$A$8,$A74:$B74,,"#Erreur de syntaxe : Expression incomplète")/10^3*$H74</f>
        <v>#VALUE!</v>
      </c>
      <c r="P74" s="173" t="e">
        <f t="shared" si="0"/>
        <v>#VALUE!</v>
      </c>
    </row>
    <row r="75" spans="1:16" s="115" customFormat="1" ht="12" hidden="1" outlineLevel="1" thickBot="1">
      <c r="A75" s="115" t="str">
        <f t="shared" si="3"/>
        <v>P39702000B</v>
      </c>
      <c r="B75" s="115" t="str">
        <f t="shared" si="4"/>
        <v>F17B</v>
      </c>
      <c r="C75" s="135" t="s">
        <v>1741</v>
      </c>
      <c r="D75" s="135"/>
      <c r="E75" s="135" t="s">
        <v>1742</v>
      </c>
      <c r="F75" s="135" t="s">
        <v>1634</v>
      </c>
      <c r="G75" s="131" t="e">
        <v>#VALUE!</v>
      </c>
      <c r="H75" s="173">
        <v>-1</v>
      </c>
      <c r="I75" s="173"/>
      <c r="J75" s="173"/>
      <c r="K75" s="173" t="e">
        <f>_xll.GetCtData("COAMOUNT","CONSAMOUNT",$A$1:$A$8,$A75:$B75,,"#Erreur de syntaxe : Expression incomplète")/10^3*$H75</f>
        <v>#VALUE!</v>
      </c>
      <c r="L75" s="173" t="e">
        <f>_xll.GetCtData("COAMOUNT","CONSAMOUNT",$A$1:$A$8,$A75:$B75,,"#Erreur de syntaxe : Expression incomplète")/10^3*$H75</f>
        <v>#VALUE!</v>
      </c>
      <c r="N75" s="173" t="e">
        <f>_xll.GetCtData("COAMOUNT","CONSAMOUNT",$A$1:$A$8,$A75:$B75,,"#Erreur de syntaxe : Expression incomplète")/10^3*$H75</f>
        <v>#VALUE!</v>
      </c>
      <c r="P75" s="173" t="e">
        <f t="shared" si="0"/>
        <v>#VALUE!</v>
      </c>
    </row>
    <row r="76" spans="1:16" s="115" customFormat="1" ht="12" hidden="1" outlineLevel="1" thickBot="1">
      <c r="A76" s="115" t="str">
        <f t="shared" si="3"/>
        <v>P39702000V</v>
      </c>
      <c r="B76" s="115" t="str">
        <f t="shared" si="4"/>
        <v>F17B</v>
      </c>
      <c r="C76" s="135" t="s">
        <v>1750</v>
      </c>
      <c r="D76" s="135"/>
      <c r="E76" s="135" t="s">
        <v>1751</v>
      </c>
      <c r="F76" s="135" t="s">
        <v>1634</v>
      </c>
      <c r="G76" s="131" t="e">
        <v>#VALUE!</v>
      </c>
      <c r="H76" s="173">
        <v>-1</v>
      </c>
      <c r="I76" s="173"/>
      <c r="J76" s="173"/>
      <c r="K76" s="173" t="e">
        <f>_xll.GetCtData("COAMOUNT","CONSAMOUNT",$A$1:$A$8,$A76:$B76,,"#Erreur de syntaxe : Expression incomplète")/10^3*$H76</f>
        <v>#VALUE!</v>
      </c>
      <c r="L76" s="173" t="e">
        <f>_xll.GetCtData("COAMOUNT","CONSAMOUNT",$A$1:$A$8,$A76:$B76,,"#Erreur de syntaxe : Expression incomplète")/10^3*$H76</f>
        <v>#VALUE!</v>
      </c>
      <c r="N76" s="173" t="e">
        <f>_xll.GetCtData("COAMOUNT","CONSAMOUNT",$A$1:$A$8,$A76:$B76,,"#Erreur de syntaxe : Expression incomplète")/10^3*$H76</f>
        <v>#VALUE!</v>
      </c>
      <c r="P76" s="173" t="e">
        <f t="shared" si="0"/>
        <v>#VALUE!</v>
      </c>
    </row>
    <row r="77" spans="1:16" ht="12" hidden="1" customHeight="1" outlineLevel="1">
      <c r="A77" s="115"/>
      <c r="E77" s="174" t="s">
        <v>1570</v>
      </c>
      <c r="F77" s="174"/>
      <c r="G77" s="174"/>
      <c r="H77" s="174"/>
      <c r="I77" s="175" t="e">
        <f>SUM(I61:I76)/10^3-I60</f>
        <v>#VALUE!</v>
      </c>
      <c r="J77" s="175" t="e">
        <f>SUM(J61:J76)/10^3-J60</f>
        <v>#VALUE!</v>
      </c>
      <c r="K77" s="175" t="e">
        <f>SUM(K61:K76)/10^3-K60</f>
        <v>#VALUE!</v>
      </c>
      <c r="L77" s="175" t="e">
        <f>SUM(L61:L76)/10^3-L60</f>
        <v>#VALUE!</v>
      </c>
      <c r="N77" s="175" t="e">
        <f>SUM(N61:N76)/10^3-N60</f>
        <v>#VALUE!</v>
      </c>
      <c r="P77" s="175" t="e">
        <f t="shared" si="0"/>
        <v>#VALUE!</v>
      </c>
    </row>
    <row r="78" spans="1:16" s="115" customFormat="1" ht="12" hidden="1" collapsed="1" thickBot="1">
      <c r="A78" s="123" t="s">
        <v>1111</v>
      </c>
      <c r="C78" s="123" t="str">
        <f>A78</f>
        <v>FL=XRF1017RT</v>
      </c>
      <c r="D78" s="123"/>
      <c r="E78" s="125" t="s">
        <v>123</v>
      </c>
      <c r="F78" s="126"/>
      <c r="G78" s="126"/>
      <c r="H78" s="126"/>
      <c r="I78" s="178">
        <f>_xll.GetCtData("COAMOUNT","CONSAMOUNT",$A$1:$A$8,$A78,H$6,"#-92279")/10^3</f>
        <v>-92.278999999999996</v>
      </c>
      <c r="J78" s="178">
        <f>_xll.GetCtData("COAMOUNT","CONSAMOUNT",$A$1:$A$8,$A78,I$6,"#8233")/10^3</f>
        <v>8.2330000000000005</v>
      </c>
      <c r="K78" s="178">
        <f>_xll.GetCtData("COAMOUNT","CONSAMOUNT",$A$1:$A$8,$A78,J$6,"#-32877")/10^3</f>
        <v>-32.877000000000002</v>
      </c>
      <c r="L78" s="178">
        <f>_xll.GetCtData("COAMOUNT","CONSAMOUNT",$A$1:$A$8,$A78,K$6,"#-116923")/10^3</f>
        <v>-116.923</v>
      </c>
      <c r="N78" s="178">
        <f>_xll.GetCtData("COAMOUNT","CONSAMOUNT",$A$1:$A$8,$A78,N$6,"#-116923")/10^3</f>
        <v>-116.923</v>
      </c>
      <c r="P78" s="178">
        <f t="shared" si="0"/>
        <v>-233.846</v>
      </c>
    </row>
    <row r="79" spans="1:16" s="115" customFormat="1" ht="18.75" hidden="1" thickBot="1">
      <c r="A79" s="123" t="s">
        <v>1105</v>
      </c>
      <c r="C79" s="123" t="str">
        <f>A79</f>
        <v>FL=XRF10171</v>
      </c>
      <c r="D79" s="123"/>
      <c r="E79" s="179" t="s">
        <v>124</v>
      </c>
      <c r="F79" s="180"/>
      <c r="G79" s="180"/>
      <c r="H79" s="180"/>
      <c r="I79" s="180">
        <f>_xll.GetCtData("COAMOUNT","CONSAMOUNT",$A$1:$A$8,$A79,H$6,"#")/10^3</f>
        <v>0</v>
      </c>
      <c r="J79" s="180">
        <f>_xll.GetCtData("COAMOUNT","CONSAMOUNT",$A$1:$A$8,$A79,I$6,"#")/10^3</f>
        <v>0</v>
      </c>
      <c r="K79" s="180">
        <f>_xll.GetCtData("COAMOUNT","CONSAMOUNT",$A$1:$A$8,$A79,J$6,"#-32877")/10^3</f>
        <v>-32.877000000000002</v>
      </c>
      <c r="L79" s="180">
        <f>_xll.GetCtData("COAMOUNT","CONSAMOUNT",$A$1:$A$8,$A79,K$6,"#-32877")/10^3</f>
        <v>-32.877000000000002</v>
      </c>
      <c r="N79" s="180">
        <f>_xll.GetCtData("COAMOUNT","CONSAMOUNT",$A$1:$A$8,$A79,N$6,"#-32877")/10^3</f>
        <v>-32.877000000000002</v>
      </c>
      <c r="P79" s="180">
        <f t="shared" si="0"/>
        <v>-65.754000000000005</v>
      </c>
    </row>
    <row r="80" spans="1:16" s="115" customFormat="1" ht="12" hidden="1" outlineLevel="1" thickBot="1">
      <c r="A80" s="115" t="str">
        <f>$C$1&amp;C80</f>
        <v>R60782000B</v>
      </c>
      <c r="B80" s="115" t="str">
        <f>$C$2&amp;F80</f>
        <v>F99</v>
      </c>
      <c r="C80" s="135" t="s">
        <v>1469</v>
      </c>
      <c r="D80" s="131"/>
      <c r="E80" s="131" t="s">
        <v>1470</v>
      </c>
      <c r="F80" s="131" t="s">
        <v>66</v>
      </c>
      <c r="G80" s="131" t="e">
        <v>#VALUE!</v>
      </c>
      <c r="H80" s="183">
        <v>1</v>
      </c>
      <c r="I80" s="183"/>
      <c r="J80" s="183"/>
      <c r="K80" s="183" t="e">
        <f>_xll.GetCtData("COAMOUNT","CONSAMOUNT",$A$1:$A$8,$A80:$B80,,"#Erreur de syntaxe : Expression incomplète")/10^3*$H80</f>
        <v>#VALUE!</v>
      </c>
      <c r="L80" s="183" t="e">
        <f>_xll.GetCtData("COAMOUNT","CONSAMOUNT",$A$1:$A$8,$A80:$B80,,"#Erreur de syntaxe : Expression incomplète")/10^3*$H80</f>
        <v>#VALUE!</v>
      </c>
      <c r="N80" s="183" t="e">
        <f>_xll.GetCtData("COAMOUNT","CONSAMOUNT",$A$1:$A$8,$A80:$B80,,"#Erreur de syntaxe : Expression incomplète")/10^3*$H80</f>
        <v>#VALUE!</v>
      </c>
      <c r="P80" s="183" t="e">
        <f t="shared" si="0"/>
        <v>#VALUE!</v>
      </c>
    </row>
    <row r="81" spans="1:16" s="115" customFormat="1" ht="12" hidden="1" outlineLevel="1" thickBot="1">
      <c r="A81" s="115" t="str">
        <f>$C$1&amp;C81</f>
        <v>R60782000V</v>
      </c>
      <c r="B81" s="115" t="str">
        <f>$C$2&amp;F81</f>
        <v>F99</v>
      </c>
      <c r="C81" s="135" t="s">
        <v>1471</v>
      </c>
      <c r="D81" s="135"/>
      <c r="E81" s="135" t="s">
        <v>1472</v>
      </c>
      <c r="F81" s="135" t="s">
        <v>66</v>
      </c>
      <c r="G81" s="131" t="e">
        <v>#VALUE!</v>
      </c>
      <c r="H81" s="173">
        <v>1</v>
      </c>
      <c r="I81" s="173"/>
      <c r="J81" s="173"/>
      <c r="K81" s="173" t="e">
        <f>_xll.GetCtData("COAMOUNT","CONSAMOUNT",$A$1:$A$8,$A81:$B81,,"#Erreur de syntaxe : Expression incomplète")/10^3*$H81</f>
        <v>#VALUE!</v>
      </c>
      <c r="L81" s="173" t="e">
        <f>_xll.GetCtData("COAMOUNT","CONSAMOUNT",$A$1:$A$8,$A81:$B81,,"#Erreur de syntaxe : Expression incomplète")/10^3*$H81</f>
        <v>#VALUE!</v>
      </c>
      <c r="N81" s="173" t="e">
        <f>_xll.GetCtData("COAMOUNT","CONSAMOUNT",$A$1:$A$8,$A81:$B81,,"#Erreur de syntaxe : Expression incomplète")/10^3*$H81</f>
        <v>#VALUE!</v>
      </c>
      <c r="P81" s="173" t="e">
        <f t="shared" si="0"/>
        <v>#VALUE!</v>
      </c>
    </row>
    <row r="82" spans="1:16" ht="12" hidden="1" customHeight="1" outlineLevel="1">
      <c r="A82" s="115"/>
      <c r="E82" s="158" t="s">
        <v>1570</v>
      </c>
      <c r="F82" s="158"/>
      <c r="G82" s="158"/>
      <c r="H82" s="158"/>
      <c r="I82" s="184">
        <f>SUM(I80:I81)/10^3-I79</f>
        <v>0</v>
      </c>
      <c r="J82" s="184">
        <f>SUM(J80:J81)/10^3-J79</f>
        <v>0</v>
      </c>
      <c r="K82" s="184" t="e">
        <f>SUM(K80:K81)/10^3-K79</f>
        <v>#VALUE!</v>
      </c>
      <c r="L82" s="184" t="e">
        <f>SUM(L80:L81)/10^3-L79</f>
        <v>#VALUE!</v>
      </c>
      <c r="N82" s="184" t="e">
        <f>SUM(N80:N81)/10^3-N79</f>
        <v>#VALUE!</v>
      </c>
      <c r="P82" s="184" t="e">
        <f t="shared" si="0"/>
        <v>#VALUE!</v>
      </c>
    </row>
    <row r="83" spans="1:16" s="115" customFormat="1" ht="12" hidden="1" collapsed="1" thickBot="1">
      <c r="A83" s="123" t="s">
        <v>1106</v>
      </c>
      <c r="C83" s="123" t="str">
        <f>A83</f>
        <v>FL=XRF10172</v>
      </c>
      <c r="D83" s="123"/>
      <c r="E83" s="181" t="s">
        <v>125</v>
      </c>
      <c r="F83" s="182"/>
      <c r="G83" s="182"/>
      <c r="H83" s="182"/>
      <c r="I83" s="182">
        <f>_xll.GetCtData("COAMOUNT","CONSAMOUNT",$A$1:$A$8,$A83,H$6,"#")/10^3</f>
        <v>0</v>
      </c>
      <c r="J83" s="182">
        <f>_xll.GetCtData("COAMOUNT","CONSAMOUNT",$A$1:$A$8,$A83,I$6,"#8233")/10^3</f>
        <v>8.2330000000000005</v>
      </c>
      <c r="K83" s="182">
        <f>_xll.GetCtData("COAMOUNT","CONSAMOUNT",$A$1:$A$8,$A83,J$6,"#")/10^3</f>
        <v>0</v>
      </c>
      <c r="L83" s="182">
        <f>_xll.GetCtData("COAMOUNT","CONSAMOUNT",$A$1:$A$8,$A83,K$6,"#8233")/10^3</f>
        <v>8.2330000000000005</v>
      </c>
      <c r="N83" s="182">
        <f>_xll.GetCtData("COAMOUNT","CONSAMOUNT",$A$1:$A$8,$A83,N$6,"#8233")/10^3</f>
        <v>8.2330000000000005</v>
      </c>
      <c r="P83" s="182">
        <f t="shared" si="0"/>
        <v>16.466000000000001</v>
      </c>
    </row>
    <row r="84" spans="1:16" s="115" customFormat="1" ht="12" hidden="1" collapsed="1" thickBot="1">
      <c r="A84" s="123" t="s">
        <v>1107</v>
      </c>
      <c r="C84" s="123" t="str">
        <f>A84</f>
        <v>FL=XRF10173</v>
      </c>
      <c r="D84" s="123"/>
      <c r="E84" s="181" t="s">
        <v>126</v>
      </c>
      <c r="F84" s="182"/>
      <c r="G84" s="182"/>
      <c r="H84" s="182"/>
      <c r="I84" s="182">
        <f>_xll.GetCtData("COAMOUNT","CONSAMOUNT",$A$1:$A$8,$A84,H$6,"#-92279")/10^3</f>
        <v>-92.278999999999996</v>
      </c>
      <c r="J84" s="182">
        <f>_xll.GetCtData("COAMOUNT","CONSAMOUNT",$A$1:$A$8,$A84,I$6,"#")/10^3</f>
        <v>0</v>
      </c>
      <c r="K84" s="182">
        <f>_xll.GetCtData("COAMOUNT","CONSAMOUNT",$A$1:$A$8,$A84,J$6,"#")/10^3</f>
        <v>0</v>
      </c>
      <c r="L84" s="182">
        <f>_xll.GetCtData("COAMOUNT","CONSAMOUNT",$A$1:$A$8,$A84,K$6,"#-92279")/10^3</f>
        <v>-92.278999999999996</v>
      </c>
      <c r="N84" s="182">
        <f>_xll.GetCtData("COAMOUNT","CONSAMOUNT",$A$1:$A$8,$A84,N$6,"#-92279")/10^3</f>
        <v>-92.278999999999996</v>
      </c>
      <c r="P84" s="182">
        <f t="shared" si="0"/>
        <v>-184.55799999999999</v>
      </c>
    </row>
    <row r="85" spans="1:16" s="115" customFormat="1" ht="12" hidden="1" outlineLevel="1" thickBot="1">
      <c r="A85" s="115" t="str">
        <f t="shared" ref="A85:A106" si="5">$C$1&amp;C85</f>
        <v>R70900000B</v>
      </c>
      <c r="B85" s="115" t="str">
        <f t="shared" ref="B85:B106" si="6">$C$2&amp;F85</f>
        <v>F99</v>
      </c>
      <c r="C85" s="135" t="s">
        <v>1038</v>
      </c>
      <c r="D85" s="135"/>
      <c r="E85" s="135" t="s">
        <v>1039</v>
      </c>
      <c r="F85" s="135" t="s">
        <v>66</v>
      </c>
      <c r="G85" s="131" t="e">
        <v>#VALUE!</v>
      </c>
      <c r="H85" s="173">
        <v>1</v>
      </c>
      <c r="I85" s="173" t="e">
        <f>_xll.GetCtData("COAMOUNT","CONSAMOUNT",$A$1:$A$8,$A85:$B85,,"#Erreur de syntaxe : Expression incomplète")/10^3*$H85</f>
        <v>#VALUE!</v>
      </c>
      <c r="J85" s="173"/>
      <c r="K85" s="173"/>
      <c r="L85" s="173" t="e">
        <f>_xll.GetCtData("COAMOUNT","CONSAMOUNT",$A$1:$A$8,$A85:$B85,,"#Erreur de syntaxe : Expression incomplète")/10^3*$H85</f>
        <v>#VALUE!</v>
      </c>
      <c r="N85" s="173" t="e">
        <f>_xll.GetCtData("COAMOUNT","CONSAMOUNT",$A$1:$A$8,$A85:$B85,,"#Erreur de syntaxe : Expression incomplète")/10^3*$H85</f>
        <v>#VALUE!</v>
      </c>
      <c r="P85" s="173" t="e">
        <f t="shared" si="0"/>
        <v>#VALUE!</v>
      </c>
    </row>
    <row r="86" spans="1:16" s="115" customFormat="1" ht="12" hidden="1" outlineLevel="1" thickBot="1">
      <c r="A86" s="115" t="str">
        <f t="shared" si="5"/>
        <v>R74905000B</v>
      </c>
      <c r="B86" s="115" t="str">
        <f t="shared" si="6"/>
        <v>F99</v>
      </c>
      <c r="C86" s="135" t="s">
        <v>1040</v>
      </c>
      <c r="D86" s="135"/>
      <c r="E86" s="135" t="s">
        <v>1041</v>
      </c>
      <c r="F86" s="135" t="s">
        <v>66</v>
      </c>
      <c r="G86" s="131" t="e">
        <v>#VALUE!</v>
      </c>
      <c r="H86" s="173">
        <v>1</v>
      </c>
      <c r="I86" s="173" t="e">
        <f>_xll.GetCtData("COAMOUNT","CONSAMOUNT",$A$1:$A$8,$A86:$B86,,"#Erreur de syntaxe : Expression incomplète")/10^3*$H86</f>
        <v>#VALUE!</v>
      </c>
      <c r="J86" s="173"/>
      <c r="K86" s="173"/>
      <c r="L86" s="173" t="e">
        <f>_xll.GetCtData("COAMOUNT","CONSAMOUNT",$A$1:$A$8,$A86:$B86,,"#Erreur de syntaxe : Expression incomplète")/10^3*$H86</f>
        <v>#VALUE!</v>
      </c>
      <c r="N86" s="173" t="e">
        <f>_xll.GetCtData("COAMOUNT","CONSAMOUNT",$A$1:$A$8,$A86:$B86,,"#Erreur de syntaxe : Expression incomplète")/10^3*$H86</f>
        <v>#VALUE!</v>
      </c>
      <c r="P86" s="173" t="e">
        <f t="shared" si="0"/>
        <v>#VALUE!</v>
      </c>
    </row>
    <row r="87" spans="1:16" s="115" customFormat="1" ht="12" hidden="1" outlineLevel="1" thickBot="1">
      <c r="A87" s="115" t="str">
        <f t="shared" si="5"/>
        <v>R74920000B</v>
      </c>
      <c r="B87" s="115" t="str">
        <f t="shared" si="6"/>
        <v>F99</v>
      </c>
      <c r="C87" s="135" t="s">
        <v>1042</v>
      </c>
      <c r="D87" s="135"/>
      <c r="E87" s="135" t="s">
        <v>1043</v>
      </c>
      <c r="F87" s="135" t="s">
        <v>66</v>
      </c>
      <c r="G87" s="131" t="e">
        <v>#VALUE!</v>
      </c>
      <c r="H87" s="173">
        <v>1</v>
      </c>
      <c r="I87" s="173" t="e">
        <f>_xll.GetCtData("COAMOUNT","CONSAMOUNT",$A$1:$A$8,$A87:$B87,,"#Erreur de syntaxe : Expression incomplète")/10^3*$H87</f>
        <v>#VALUE!</v>
      </c>
      <c r="J87" s="173"/>
      <c r="K87" s="173"/>
      <c r="L87" s="173" t="e">
        <f>_xll.GetCtData("COAMOUNT","CONSAMOUNT",$A$1:$A$8,$A87:$B87,,"#Erreur de syntaxe : Expression incomplète")/10^3*$H87</f>
        <v>#VALUE!</v>
      </c>
      <c r="N87" s="173" t="e">
        <f>_xll.GetCtData("COAMOUNT","CONSAMOUNT",$A$1:$A$8,$A87:$B87,,"#Erreur de syntaxe : Expression incomplète")/10^3*$H87</f>
        <v>#VALUE!</v>
      </c>
      <c r="P87" s="173" t="e">
        <f t="shared" si="0"/>
        <v>#VALUE!</v>
      </c>
    </row>
    <row r="88" spans="1:16" s="115" customFormat="1" ht="12" hidden="1" outlineLevel="1" thickBot="1">
      <c r="A88" s="115" t="str">
        <f t="shared" si="5"/>
        <v>R70900000V</v>
      </c>
      <c r="B88" s="115" t="str">
        <f t="shared" si="6"/>
        <v>F99</v>
      </c>
      <c r="C88" s="135" t="s">
        <v>1507</v>
      </c>
      <c r="D88" s="135"/>
      <c r="E88" s="135" t="s">
        <v>1508</v>
      </c>
      <c r="F88" s="135" t="s">
        <v>66</v>
      </c>
      <c r="G88" s="131" t="e">
        <v>#VALUE!</v>
      </c>
      <c r="H88" s="173">
        <v>1</v>
      </c>
      <c r="I88" s="173" t="e">
        <f>_xll.GetCtData("COAMOUNT","CONSAMOUNT",$A$1:$A$8,$A88:$B88,,"#Erreur de syntaxe : Expression incomplète")/10^3*$H88</f>
        <v>#VALUE!</v>
      </c>
      <c r="J88" s="173"/>
      <c r="K88" s="173"/>
      <c r="L88" s="173" t="e">
        <f>_xll.GetCtData("COAMOUNT","CONSAMOUNT",$A$1:$A$8,$A88:$B88,,"#Erreur de syntaxe : Expression incomplète")/10^3*$H88</f>
        <v>#VALUE!</v>
      </c>
      <c r="N88" s="173" t="e">
        <f>_xll.GetCtData("COAMOUNT","CONSAMOUNT",$A$1:$A$8,$A88:$B88,,"#Erreur de syntaxe : Expression incomplète")/10^3*$H88</f>
        <v>#VALUE!</v>
      </c>
      <c r="P88" s="173" t="e">
        <f t="shared" si="0"/>
        <v>#VALUE!</v>
      </c>
    </row>
    <row r="89" spans="1:16" s="115" customFormat="1" ht="12" hidden="1" outlineLevel="1" thickBot="1">
      <c r="A89" s="115" t="str">
        <f t="shared" si="5"/>
        <v>R74905000V</v>
      </c>
      <c r="B89" s="115" t="str">
        <f t="shared" si="6"/>
        <v>F99</v>
      </c>
      <c r="C89" s="135" t="s">
        <v>1509</v>
      </c>
      <c r="D89" s="135"/>
      <c r="E89" s="135" t="s">
        <v>1510</v>
      </c>
      <c r="F89" s="135" t="s">
        <v>66</v>
      </c>
      <c r="G89" s="131" t="e">
        <v>#VALUE!</v>
      </c>
      <c r="H89" s="173">
        <v>1</v>
      </c>
      <c r="I89" s="173" t="e">
        <f>_xll.GetCtData("COAMOUNT","CONSAMOUNT",$A$1:$A$8,$A89:$B89,,"#Erreur de syntaxe : Expression incomplète")/10^3*$H89</f>
        <v>#VALUE!</v>
      </c>
      <c r="J89" s="173"/>
      <c r="K89" s="173"/>
      <c r="L89" s="173" t="e">
        <f>_xll.GetCtData("COAMOUNT","CONSAMOUNT",$A$1:$A$8,$A89:$B89,,"#Erreur de syntaxe : Expression incomplète")/10^3*$H89</f>
        <v>#VALUE!</v>
      </c>
      <c r="N89" s="173" t="e">
        <f>_xll.GetCtData("COAMOUNT","CONSAMOUNT",$A$1:$A$8,$A89:$B89,,"#Erreur de syntaxe : Expression incomplète")/10^3*$H89</f>
        <v>#VALUE!</v>
      </c>
      <c r="P89" s="173" t="e">
        <f t="shared" si="0"/>
        <v>#VALUE!</v>
      </c>
    </row>
    <row r="90" spans="1:16" s="115" customFormat="1" ht="12" hidden="1" outlineLevel="1" thickBot="1">
      <c r="A90" s="115" t="str">
        <f t="shared" si="5"/>
        <v>R74920000V</v>
      </c>
      <c r="B90" s="115" t="str">
        <f t="shared" si="6"/>
        <v>F99</v>
      </c>
      <c r="C90" s="135" t="s">
        <v>1761</v>
      </c>
      <c r="D90" s="135"/>
      <c r="E90" s="135" t="s">
        <v>1762</v>
      </c>
      <c r="F90" s="135" t="s">
        <v>66</v>
      </c>
      <c r="G90" s="131" t="e">
        <v>#VALUE!</v>
      </c>
      <c r="H90" s="173">
        <v>1</v>
      </c>
      <c r="I90" s="173" t="e">
        <f>_xll.GetCtData("COAMOUNT","CONSAMOUNT",$A$1:$A$8,$A90:$B90,,"#Erreur de syntaxe : Expression incomplète")/10^3*$H90</f>
        <v>#VALUE!</v>
      </c>
      <c r="J90" s="173"/>
      <c r="K90" s="173"/>
      <c r="L90" s="173" t="e">
        <f>_xll.GetCtData("COAMOUNT","CONSAMOUNT",$A$1:$A$8,$A90:$B90,,"#Erreur de syntaxe : Expression incomplète")/10^3*$H90</f>
        <v>#VALUE!</v>
      </c>
      <c r="N90" s="173" t="e">
        <f>_xll.GetCtData("COAMOUNT","CONSAMOUNT",$A$1:$A$8,$A90:$B90,,"#Erreur de syntaxe : Expression incomplète")/10^3*$H90</f>
        <v>#VALUE!</v>
      </c>
      <c r="P90" s="173" t="e">
        <f t="shared" si="0"/>
        <v>#VALUE!</v>
      </c>
    </row>
    <row r="91" spans="1:16" s="115" customFormat="1" ht="12" hidden="1" outlineLevel="1" thickBot="1">
      <c r="A91" s="115" t="str">
        <f t="shared" si="5"/>
        <v>R60780000B</v>
      </c>
      <c r="B91" s="115" t="str">
        <f t="shared" si="6"/>
        <v>F99</v>
      </c>
      <c r="C91" s="135" t="s">
        <v>1461</v>
      </c>
      <c r="D91" s="135"/>
      <c r="E91" s="135" t="s">
        <v>1462</v>
      </c>
      <c r="F91" s="135" t="s">
        <v>66</v>
      </c>
      <c r="G91" s="131" t="e">
        <v>#VALUE!</v>
      </c>
      <c r="H91" s="173">
        <v>1</v>
      </c>
      <c r="I91" s="173" t="e">
        <f>_xll.GetCtData("COAMOUNT","CONSAMOUNT",$A$1:$A$8,$A91:$B91,,"#Erreur de syntaxe : Expression incomplète")/10^3*$H91</f>
        <v>#VALUE!</v>
      </c>
      <c r="J91" s="173"/>
      <c r="K91" s="173"/>
      <c r="L91" s="173" t="e">
        <f>_xll.GetCtData("COAMOUNT","CONSAMOUNT",$A$1:$A$8,$A91:$B91,,"#Erreur de syntaxe : Expression incomplète")/10^3*$H91</f>
        <v>#VALUE!</v>
      </c>
      <c r="N91" s="173" t="e">
        <f>_xll.GetCtData("COAMOUNT","CONSAMOUNT",$A$1:$A$8,$A91:$B91,,"#Erreur de syntaxe : Expression incomplète")/10^3*$H91</f>
        <v>#VALUE!</v>
      </c>
      <c r="P91" s="173" t="e">
        <f t="shared" ref="P91:P154" si="7">L91+N91</f>
        <v>#VALUE!</v>
      </c>
    </row>
    <row r="92" spans="1:16" s="115" customFormat="1" ht="12" hidden="1" outlineLevel="1" thickBot="1">
      <c r="A92" s="115" t="str">
        <f t="shared" si="5"/>
        <v>R60784000B</v>
      </c>
      <c r="B92" s="115" t="str">
        <f t="shared" si="6"/>
        <v>F99</v>
      </c>
      <c r="C92" s="135" t="s">
        <v>1763</v>
      </c>
      <c r="D92" s="135"/>
      <c r="E92" s="135" t="s">
        <v>1764</v>
      </c>
      <c r="F92" s="135" t="s">
        <v>66</v>
      </c>
      <c r="G92" s="131" t="e">
        <v>#VALUE!</v>
      </c>
      <c r="H92" s="173">
        <v>1</v>
      </c>
      <c r="I92" s="173" t="e">
        <f>_xll.GetCtData("COAMOUNT","CONSAMOUNT",$A$1:$A$8,$A92:$B92,,"#Erreur de syntaxe : Expression incomplète")/10^3*$H92</f>
        <v>#VALUE!</v>
      </c>
      <c r="J92" s="173"/>
      <c r="K92" s="173"/>
      <c r="L92" s="173" t="e">
        <f>_xll.GetCtData("COAMOUNT","CONSAMOUNT",$A$1:$A$8,$A92:$B92,,"#Erreur de syntaxe : Expression incomplète")/10^3*$H92</f>
        <v>#VALUE!</v>
      </c>
      <c r="N92" s="173" t="e">
        <f>_xll.GetCtData("COAMOUNT","CONSAMOUNT",$A$1:$A$8,$A92:$B92,,"#Erreur de syntaxe : Expression incomplète")/10^3*$H92</f>
        <v>#VALUE!</v>
      </c>
      <c r="P92" s="173" t="e">
        <f t="shared" si="7"/>
        <v>#VALUE!</v>
      </c>
    </row>
    <row r="93" spans="1:16" s="115" customFormat="1" ht="12" hidden="1" outlineLevel="1" thickBot="1">
      <c r="A93" s="115" t="str">
        <f t="shared" si="5"/>
        <v>R60780000V</v>
      </c>
      <c r="B93" s="115" t="str">
        <f t="shared" si="6"/>
        <v>F99</v>
      </c>
      <c r="C93" s="135" t="s">
        <v>1463</v>
      </c>
      <c r="D93" s="135"/>
      <c r="E93" s="135" t="s">
        <v>1464</v>
      </c>
      <c r="F93" s="135" t="s">
        <v>66</v>
      </c>
      <c r="G93" s="131" t="e">
        <v>#VALUE!</v>
      </c>
      <c r="H93" s="173">
        <v>1</v>
      </c>
      <c r="I93" s="173" t="e">
        <f>_xll.GetCtData("COAMOUNT","CONSAMOUNT",$A$1:$A$8,$A93:$B93,,"#Erreur de syntaxe : Expression incomplète")/10^3*$H93</f>
        <v>#VALUE!</v>
      </c>
      <c r="J93" s="173"/>
      <c r="K93" s="173"/>
      <c r="L93" s="173" t="e">
        <f>_xll.GetCtData("COAMOUNT","CONSAMOUNT",$A$1:$A$8,$A93:$B93,,"#Erreur de syntaxe : Expression incomplète")/10^3*$H93</f>
        <v>#VALUE!</v>
      </c>
      <c r="N93" s="173" t="e">
        <f>_xll.GetCtData("COAMOUNT","CONSAMOUNT",$A$1:$A$8,$A93:$B93,,"#Erreur de syntaxe : Expression incomplète")/10^3*$H93</f>
        <v>#VALUE!</v>
      </c>
      <c r="P93" s="173" t="e">
        <f t="shared" si="7"/>
        <v>#VALUE!</v>
      </c>
    </row>
    <row r="94" spans="1:16" s="115" customFormat="1" ht="12" hidden="1" outlineLevel="1" thickBot="1">
      <c r="A94" s="115" t="str">
        <f t="shared" si="5"/>
        <v>R60784000V</v>
      </c>
      <c r="B94" s="115" t="str">
        <f t="shared" si="6"/>
        <v>F99</v>
      </c>
      <c r="C94" s="135" t="s">
        <v>1765</v>
      </c>
      <c r="D94" s="135"/>
      <c r="E94" s="135" t="s">
        <v>1766</v>
      </c>
      <c r="F94" s="135" t="s">
        <v>66</v>
      </c>
      <c r="G94" s="131" t="e">
        <v>#VALUE!</v>
      </c>
      <c r="H94" s="173">
        <v>1</v>
      </c>
      <c r="I94" s="173" t="e">
        <f>_xll.GetCtData("COAMOUNT","CONSAMOUNT",$A$1:$A$8,$A94:$B94,,"#Erreur de syntaxe : Expression incomplète")/10^3*$H94</f>
        <v>#VALUE!</v>
      </c>
      <c r="J94" s="173"/>
      <c r="K94" s="173"/>
      <c r="L94" s="173" t="e">
        <f>_xll.GetCtData("COAMOUNT","CONSAMOUNT",$A$1:$A$8,$A94:$B94,,"#Erreur de syntaxe : Expression incomplète")/10^3*$H94</f>
        <v>#VALUE!</v>
      </c>
      <c r="N94" s="173" t="e">
        <f>_xll.GetCtData("COAMOUNT","CONSAMOUNT",$A$1:$A$8,$A94:$B94,,"#Erreur de syntaxe : Expression incomplète")/10^3*$H94</f>
        <v>#VALUE!</v>
      </c>
      <c r="P94" s="173" t="e">
        <f t="shared" si="7"/>
        <v>#VALUE!</v>
      </c>
    </row>
    <row r="95" spans="1:16" s="115" customFormat="1" ht="12" hidden="1" outlineLevel="1" thickBot="1">
      <c r="A95" s="115" t="str">
        <f t="shared" si="5"/>
        <v>R60785000B</v>
      </c>
      <c r="B95" s="115" t="str">
        <f t="shared" si="6"/>
        <v>F99</v>
      </c>
      <c r="C95" s="135" t="s">
        <v>1475</v>
      </c>
      <c r="D95" s="135"/>
      <c r="E95" s="135" t="s">
        <v>1476</v>
      </c>
      <c r="F95" s="135" t="s">
        <v>66</v>
      </c>
      <c r="G95" s="131" t="e">
        <v>#VALUE!</v>
      </c>
      <c r="H95" s="173">
        <v>1</v>
      </c>
      <c r="I95" s="173" t="e">
        <f>_xll.GetCtData("COAMOUNT","CONSAMOUNT",$A$1:$A$8,$A95:$B95,,"#Erreur de syntaxe : Expression incomplète")/10^3*$H95</f>
        <v>#VALUE!</v>
      </c>
      <c r="J95" s="173"/>
      <c r="K95" s="173"/>
      <c r="L95" s="173" t="e">
        <f>_xll.GetCtData("COAMOUNT","CONSAMOUNT",$A$1:$A$8,$A95:$B95,,"#Erreur de syntaxe : Expression incomplète")/10^3*$H95</f>
        <v>#VALUE!</v>
      </c>
      <c r="N95" s="173" t="e">
        <f>_xll.GetCtData("COAMOUNT","CONSAMOUNT",$A$1:$A$8,$A95:$B95,,"#Erreur de syntaxe : Expression incomplète")/10^3*$H95</f>
        <v>#VALUE!</v>
      </c>
      <c r="P95" s="173" t="e">
        <f t="shared" si="7"/>
        <v>#VALUE!</v>
      </c>
    </row>
    <row r="96" spans="1:16" s="115" customFormat="1" ht="12" hidden="1" outlineLevel="1" thickBot="1">
      <c r="A96" s="115" t="str">
        <f t="shared" si="5"/>
        <v>R60783000B</v>
      </c>
      <c r="B96" s="115" t="str">
        <f t="shared" si="6"/>
        <v>F99</v>
      </c>
      <c r="C96" s="135" t="s">
        <v>1473</v>
      </c>
      <c r="D96" s="135"/>
      <c r="E96" s="135" t="s">
        <v>1474</v>
      </c>
      <c r="F96" s="135" t="s">
        <v>66</v>
      </c>
      <c r="G96" s="131" t="e">
        <v>#VALUE!</v>
      </c>
      <c r="H96" s="173">
        <v>1</v>
      </c>
      <c r="I96" s="173" t="e">
        <f>_xll.GetCtData("COAMOUNT","CONSAMOUNT",$A$1:$A$8,$A96:$B96,,"#Erreur de syntaxe : Expression incomplète")/10^3*$H96</f>
        <v>#VALUE!</v>
      </c>
      <c r="J96" s="173"/>
      <c r="K96" s="173"/>
      <c r="L96" s="173" t="e">
        <f>_xll.GetCtData("COAMOUNT","CONSAMOUNT",$A$1:$A$8,$A96:$B96,,"#Erreur de syntaxe : Expression incomplète")/10^3*$H96</f>
        <v>#VALUE!</v>
      </c>
      <c r="N96" s="173" t="e">
        <f>_xll.GetCtData("COAMOUNT","CONSAMOUNT",$A$1:$A$8,$A96:$B96,,"#Erreur de syntaxe : Expression incomplète")/10^3*$H96</f>
        <v>#VALUE!</v>
      </c>
      <c r="P96" s="173" t="e">
        <f t="shared" si="7"/>
        <v>#VALUE!</v>
      </c>
    </row>
    <row r="97" spans="1:16" s="115" customFormat="1" ht="12" hidden="1" outlineLevel="1" thickBot="1">
      <c r="A97" s="115" t="str">
        <f t="shared" si="5"/>
        <v>R60785000V</v>
      </c>
      <c r="B97" s="115" t="str">
        <f t="shared" si="6"/>
        <v>F99</v>
      </c>
      <c r="C97" s="135" t="s">
        <v>1767</v>
      </c>
      <c r="D97" s="135"/>
      <c r="E97" s="135" t="s">
        <v>1768</v>
      </c>
      <c r="F97" s="135" t="s">
        <v>66</v>
      </c>
      <c r="G97" s="131" t="e">
        <v>#VALUE!</v>
      </c>
      <c r="H97" s="173">
        <v>1</v>
      </c>
      <c r="I97" s="173" t="e">
        <f>_xll.GetCtData("COAMOUNT","CONSAMOUNT",$A$1:$A$8,$A97:$B97,,"#Erreur de syntaxe : Expression incomplète")/10^3*$H97</f>
        <v>#VALUE!</v>
      </c>
      <c r="J97" s="173"/>
      <c r="K97" s="173"/>
      <c r="L97" s="173" t="e">
        <f>_xll.GetCtData("COAMOUNT","CONSAMOUNT",$A$1:$A$8,$A97:$B97,,"#Erreur de syntaxe : Expression incomplète")/10^3*$H97</f>
        <v>#VALUE!</v>
      </c>
      <c r="N97" s="173" t="e">
        <f>_xll.GetCtData("COAMOUNT","CONSAMOUNT",$A$1:$A$8,$A97:$B97,,"#Erreur de syntaxe : Expression incomplète")/10^3*$H97</f>
        <v>#VALUE!</v>
      </c>
      <c r="P97" s="173" t="e">
        <f t="shared" si="7"/>
        <v>#VALUE!</v>
      </c>
    </row>
    <row r="98" spans="1:16" s="115" customFormat="1" ht="12" hidden="1" outlineLevel="1" thickBot="1">
      <c r="A98" s="115" t="str">
        <f t="shared" si="5"/>
        <v>R60783000V</v>
      </c>
      <c r="B98" s="115" t="str">
        <f t="shared" si="6"/>
        <v>F99</v>
      </c>
      <c r="C98" s="135" t="s">
        <v>1769</v>
      </c>
      <c r="D98" s="135"/>
      <c r="E98" s="135" t="s">
        <v>1770</v>
      </c>
      <c r="F98" s="135" t="s">
        <v>66</v>
      </c>
      <c r="G98" s="131" t="e">
        <v>#VALUE!</v>
      </c>
      <c r="H98" s="173">
        <v>1</v>
      </c>
      <c r="I98" s="173" t="e">
        <f>_xll.GetCtData("COAMOUNT","CONSAMOUNT",$A$1:$A$8,$A98:$B98,,"#Erreur de syntaxe : Expression incomplète")/10^3*$H98</f>
        <v>#VALUE!</v>
      </c>
      <c r="J98" s="173"/>
      <c r="K98" s="173"/>
      <c r="L98" s="173" t="e">
        <f>_xll.GetCtData("COAMOUNT","CONSAMOUNT",$A$1:$A$8,$A98:$B98,,"#Erreur de syntaxe : Expression incomplète")/10^3*$H98</f>
        <v>#VALUE!</v>
      </c>
      <c r="N98" s="173" t="e">
        <f>_xll.GetCtData("COAMOUNT","CONSAMOUNT",$A$1:$A$8,$A98:$B98,,"#Erreur de syntaxe : Expression incomplète")/10^3*$H98</f>
        <v>#VALUE!</v>
      </c>
      <c r="P98" s="173" t="e">
        <f t="shared" si="7"/>
        <v>#VALUE!</v>
      </c>
    </row>
    <row r="99" spans="1:16" s="115" customFormat="1" ht="12" hidden="1" outlineLevel="1" thickBot="1">
      <c r="A99" s="115" t="str">
        <f t="shared" si="5"/>
        <v>R60781000B</v>
      </c>
      <c r="B99" s="115" t="str">
        <f t="shared" si="6"/>
        <v>F99</v>
      </c>
      <c r="C99" s="135" t="s">
        <v>1465</v>
      </c>
      <c r="D99" s="135"/>
      <c r="E99" s="135" t="s">
        <v>1466</v>
      </c>
      <c r="F99" s="135" t="s">
        <v>66</v>
      </c>
      <c r="G99" s="131" t="e">
        <v>#VALUE!</v>
      </c>
      <c r="H99" s="173">
        <v>1</v>
      </c>
      <c r="I99" s="173"/>
      <c r="J99" s="173" t="e">
        <f>_xll.GetCtData("COAMOUNT","CONSAMOUNT",$A$1:$A$8,$A99:$B99,,"#Erreur de syntaxe : Expression incomplète")/10^3*$H99</f>
        <v>#VALUE!</v>
      </c>
      <c r="K99" s="173"/>
      <c r="L99" s="173" t="e">
        <f>_xll.GetCtData("COAMOUNT","CONSAMOUNT",$A$1:$A$8,$A99:$B99,,"#Erreur de syntaxe : Expression incomplète")/10^3*$H99</f>
        <v>#VALUE!</v>
      </c>
      <c r="N99" s="173" t="e">
        <f>_xll.GetCtData("COAMOUNT","CONSAMOUNT",$A$1:$A$8,$A99:$B99,,"#Erreur de syntaxe : Expression incomplète")/10^3*$H99</f>
        <v>#VALUE!</v>
      </c>
      <c r="P99" s="173" t="e">
        <f t="shared" si="7"/>
        <v>#VALUE!</v>
      </c>
    </row>
    <row r="100" spans="1:16" s="115" customFormat="1" ht="12" hidden="1" outlineLevel="1" thickBot="1">
      <c r="A100" s="115" t="str">
        <f t="shared" si="5"/>
        <v>R60781000V</v>
      </c>
      <c r="B100" s="115" t="str">
        <f t="shared" si="6"/>
        <v>F99</v>
      </c>
      <c r="C100" s="135" t="s">
        <v>1467</v>
      </c>
      <c r="D100" s="135"/>
      <c r="E100" s="135" t="s">
        <v>1468</v>
      </c>
      <c r="F100" s="135" t="s">
        <v>66</v>
      </c>
      <c r="G100" s="131" t="e">
        <v>#VALUE!</v>
      </c>
      <c r="H100" s="173">
        <v>1</v>
      </c>
      <c r="I100" s="173"/>
      <c r="J100" s="173" t="e">
        <f>_xll.GetCtData("COAMOUNT","CONSAMOUNT",$A$1:$A$8,$A100:$B100,,"#Erreur de syntaxe : Expression incomplète")/10^3*$H100</f>
        <v>#VALUE!</v>
      </c>
      <c r="K100" s="173"/>
      <c r="L100" s="173" t="e">
        <f>_xll.GetCtData("COAMOUNT","CONSAMOUNT",$A$1:$A$8,$A100:$B100,,"#Erreur de syntaxe : Expression incomplète")/10^3*$H100</f>
        <v>#VALUE!</v>
      </c>
      <c r="N100" s="173" t="e">
        <f>_xll.GetCtData("COAMOUNT","CONSAMOUNT",$A$1:$A$8,$A100:$B100,,"#Erreur de syntaxe : Expression incomplète")/10^3*$H100</f>
        <v>#VALUE!</v>
      </c>
      <c r="P100" s="173" t="e">
        <f t="shared" si="7"/>
        <v>#VALUE!</v>
      </c>
    </row>
    <row r="101" spans="1:16" s="115" customFormat="1" ht="12" hidden="1" outlineLevel="1" thickBot="1">
      <c r="A101" s="115" t="str">
        <f t="shared" si="5"/>
        <v>R72789000B</v>
      </c>
      <c r="B101" s="115" t="str">
        <f t="shared" si="6"/>
        <v>F99</v>
      </c>
      <c r="C101" s="135" t="s">
        <v>1044</v>
      </c>
      <c r="D101" s="135"/>
      <c r="E101" s="135" t="s">
        <v>1045</v>
      </c>
      <c r="F101" s="135" t="s">
        <v>66</v>
      </c>
      <c r="G101" s="131" t="e">
        <v>#VALUE!</v>
      </c>
      <c r="H101" s="173">
        <v>1</v>
      </c>
      <c r="I101" s="173" t="e">
        <f>_xll.GetCtData("COAMOUNT","CONSAMOUNT",$A$1:$A$8,$A101:$B101,,"#Erreur de syntaxe : Expression incomplète")/10^3*$H101</f>
        <v>#VALUE!</v>
      </c>
      <c r="J101" s="173"/>
      <c r="K101" s="173"/>
      <c r="L101" s="173" t="e">
        <f>_xll.GetCtData("COAMOUNT","CONSAMOUNT",$A$1:$A$8,$A101:$B101,,"#Erreur de syntaxe : Expression incomplète")/10^3*$H101</f>
        <v>#VALUE!</v>
      </c>
      <c r="N101" s="173" t="e">
        <f>_xll.GetCtData("COAMOUNT","CONSAMOUNT",$A$1:$A$8,$A101:$B101,,"#Erreur de syntaxe : Expression incomplète")/10^3*$H101</f>
        <v>#VALUE!</v>
      </c>
      <c r="P101" s="173" t="e">
        <f t="shared" si="7"/>
        <v>#VALUE!</v>
      </c>
    </row>
    <row r="102" spans="1:16" s="115" customFormat="1" ht="12" hidden="1" outlineLevel="1" thickBot="1">
      <c r="A102" s="115" t="str">
        <f t="shared" si="5"/>
        <v>R72789000V</v>
      </c>
      <c r="B102" s="115" t="str">
        <f t="shared" si="6"/>
        <v>F99</v>
      </c>
      <c r="C102" s="135" t="s">
        <v>1771</v>
      </c>
      <c r="D102" s="135"/>
      <c r="E102" s="135" t="s">
        <v>1772</v>
      </c>
      <c r="F102" s="135" t="s">
        <v>66</v>
      </c>
      <c r="G102" s="131" t="e">
        <v>#VALUE!</v>
      </c>
      <c r="H102" s="173">
        <v>1</v>
      </c>
      <c r="I102" s="173" t="e">
        <f>_xll.GetCtData("COAMOUNT","CONSAMOUNT",$A$1:$A$8,$A102:$B102,,"#Erreur de syntaxe : Expression incomplète")/10^3*$H102</f>
        <v>#VALUE!</v>
      </c>
      <c r="J102" s="173"/>
      <c r="K102" s="173"/>
      <c r="L102" s="173" t="e">
        <f>_xll.GetCtData("COAMOUNT","CONSAMOUNT",$A$1:$A$8,$A102:$B102,,"#Erreur de syntaxe : Expression incomplète")/10^3*$H102</f>
        <v>#VALUE!</v>
      </c>
      <c r="N102" s="173" t="e">
        <f>_xll.GetCtData("COAMOUNT","CONSAMOUNT",$A$1:$A$8,$A102:$B102,,"#Erreur de syntaxe : Expression incomplète")/10^3*$H102</f>
        <v>#VALUE!</v>
      </c>
      <c r="P102" s="173" t="e">
        <f t="shared" si="7"/>
        <v>#VALUE!</v>
      </c>
    </row>
    <row r="103" spans="1:16" s="115" customFormat="1" ht="12" hidden="1" outlineLevel="1" thickBot="1">
      <c r="A103" s="115" t="str">
        <f t="shared" si="5"/>
        <v>A39701100B</v>
      </c>
      <c r="B103" s="115" t="str">
        <f t="shared" si="6"/>
        <v>F17F</v>
      </c>
      <c r="C103" s="135" t="s">
        <v>1720</v>
      </c>
      <c r="D103" s="135"/>
      <c r="E103" s="135" t="s">
        <v>1721</v>
      </c>
      <c r="F103" s="135" t="s">
        <v>1653</v>
      </c>
      <c r="G103" s="131" t="e">
        <v>#VALUE!</v>
      </c>
      <c r="H103" s="173">
        <v>1</v>
      </c>
      <c r="I103" s="173"/>
      <c r="J103" s="173" t="e">
        <f>_xll.GetCtData("COAMOUNT","CONSAMOUNT",$A$1:$A$8,$A103:$B103,,"#Erreur de syntaxe : Expression incomplète")/10^3*$H103</f>
        <v>#VALUE!</v>
      </c>
      <c r="K103" s="173"/>
      <c r="L103" s="173" t="e">
        <f>_xll.GetCtData("COAMOUNT","CONSAMOUNT",$A$1:$A$8,$A103:$B103,,"#Erreur de syntaxe : Expression incomplète")/10^3*$H103</f>
        <v>#VALUE!</v>
      </c>
      <c r="N103" s="173" t="e">
        <f>_xll.GetCtData("COAMOUNT","CONSAMOUNT",$A$1:$A$8,$A103:$B103,,"#Erreur de syntaxe : Expression incomplète")/10^3*$H103</f>
        <v>#VALUE!</v>
      </c>
      <c r="P103" s="173" t="e">
        <f t="shared" si="7"/>
        <v>#VALUE!</v>
      </c>
    </row>
    <row r="104" spans="1:16" s="115" customFormat="1" ht="12" hidden="1" outlineLevel="1" thickBot="1">
      <c r="A104" s="115" t="str">
        <f t="shared" si="5"/>
        <v>A39701000V</v>
      </c>
      <c r="B104" s="115" t="str">
        <f t="shared" si="6"/>
        <v>F17F</v>
      </c>
      <c r="C104" s="135" t="s">
        <v>1699</v>
      </c>
      <c r="D104" s="135"/>
      <c r="E104" s="135" t="s">
        <v>1700</v>
      </c>
      <c r="F104" s="135" t="s">
        <v>1653</v>
      </c>
      <c r="G104" s="131" t="e">
        <v>#VALUE!</v>
      </c>
      <c r="H104" s="173">
        <v>1</v>
      </c>
      <c r="I104" s="173"/>
      <c r="J104" s="173" t="e">
        <f>_xll.GetCtData("COAMOUNT","CONSAMOUNT",$A$1:$A$8,$A104:$B104,,"#Erreur de syntaxe : Expression incomplète")/10^3*$H104</f>
        <v>#VALUE!</v>
      </c>
      <c r="K104" s="173"/>
      <c r="L104" s="173" t="e">
        <f>_xll.GetCtData("COAMOUNT","CONSAMOUNT",$A$1:$A$8,$A104:$B104,,"#Erreur de syntaxe : Expression incomplète")/10^3*$H104</f>
        <v>#VALUE!</v>
      </c>
      <c r="N104" s="173" t="e">
        <f>_xll.GetCtData("COAMOUNT","CONSAMOUNT",$A$1:$A$8,$A104:$B104,,"#Erreur de syntaxe : Expression incomplète")/10^3*$H104</f>
        <v>#VALUE!</v>
      </c>
      <c r="P104" s="173" t="e">
        <f t="shared" si="7"/>
        <v>#VALUE!</v>
      </c>
    </row>
    <row r="105" spans="1:16" s="115" customFormat="1" ht="12" hidden="1" outlineLevel="1" thickBot="1">
      <c r="A105" s="115" t="str">
        <f t="shared" si="5"/>
        <v>P39701100B</v>
      </c>
      <c r="B105" s="115" t="str">
        <f t="shared" si="6"/>
        <v>F17F</v>
      </c>
      <c r="C105" s="135" t="s">
        <v>1139</v>
      </c>
      <c r="D105" s="135"/>
      <c r="E105" s="135" t="s">
        <v>1140</v>
      </c>
      <c r="F105" s="135" t="s">
        <v>1653</v>
      </c>
      <c r="G105" s="131" t="e">
        <v>#VALUE!</v>
      </c>
      <c r="H105" s="173">
        <v>-1</v>
      </c>
      <c r="I105" s="173"/>
      <c r="J105" s="173" t="e">
        <f>_xll.GetCtData("COAMOUNT","CONSAMOUNT",$A$1:$A$8,$A105:$B105,,"#Erreur de syntaxe : Expression incomplète")/10^3*$H105</f>
        <v>#VALUE!</v>
      </c>
      <c r="K105" s="173"/>
      <c r="L105" s="173" t="e">
        <f>_xll.GetCtData("COAMOUNT","CONSAMOUNT",$A$1:$A$8,$A105:$B105,,"#Erreur de syntaxe : Expression incomplète")/10^3*$H105</f>
        <v>#VALUE!</v>
      </c>
      <c r="N105" s="173" t="e">
        <f>_xll.GetCtData("COAMOUNT","CONSAMOUNT",$A$1:$A$8,$A105:$B105,,"#Erreur de syntaxe : Expression incomplète")/10^3*$H105</f>
        <v>#VALUE!</v>
      </c>
      <c r="P105" s="173" t="e">
        <f t="shared" si="7"/>
        <v>#VALUE!</v>
      </c>
    </row>
    <row r="106" spans="1:16" s="115" customFormat="1" ht="12" hidden="1" outlineLevel="1" thickBot="1">
      <c r="A106" s="115" t="str">
        <f t="shared" si="5"/>
        <v>P39701000V</v>
      </c>
      <c r="B106" s="115" t="str">
        <f t="shared" si="6"/>
        <v>F17F</v>
      </c>
      <c r="C106" s="135" t="s">
        <v>1735</v>
      </c>
      <c r="D106" s="135"/>
      <c r="E106" s="135" t="s">
        <v>1736</v>
      </c>
      <c r="F106" s="135" t="s">
        <v>1653</v>
      </c>
      <c r="G106" s="131" t="e">
        <v>#VALUE!</v>
      </c>
      <c r="H106" s="173">
        <v>-1</v>
      </c>
      <c r="I106" s="173" t="e">
        <f>_xll.GetCtData("COAMOUNT","CONSAMOUNT",$A$1:$A$8,$A106:$B106,,"#Erreur de syntaxe : Expression incomplète")/10^3*$H106</f>
        <v>#VALUE!</v>
      </c>
      <c r="J106" s="173" t="e">
        <f>_xll.GetCtData("COAMOUNT","CONSAMOUNT",$A$1:$A$8,$A106:$B106,,"#Erreur de syntaxe : Expression incomplète")/10^3*$H106</f>
        <v>#VALUE!</v>
      </c>
      <c r="K106" s="173"/>
      <c r="L106" s="173" t="e">
        <f>_xll.GetCtData("COAMOUNT","CONSAMOUNT",$A$1:$A$8,$A106:$B106,,"#Erreur de syntaxe : Expression incomplète")/10^3*$H106</f>
        <v>#VALUE!</v>
      </c>
      <c r="N106" s="173" t="e">
        <f>_xll.GetCtData("COAMOUNT","CONSAMOUNT",$A$1:$A$8,$A106:$B106,,"#Erreur de syntaxe : Expression incomplète")/10^3*$H106</f>
        <v>#VALUE!</v>
      </c>
      <c r="P106" s="173" t="e">
        <f t="shared" si="7"/>
        <v>#VALUE!</v>
      </c>
    </row>
    <row r="107" spans="1:16" ht="12" hidden="1" customHeight="1" outlineLevel="1">
      <c r="A107" s="115"/>
      <c r="E107" s="174" t="s">
        <v>1570</v>
      </c>
      <c r="F107" s="174"/>
      <c r="G107" s="174"/>
      <c r="H107" s="174"/>
      <c r="I107" s="175" t="e">
        <f>SUM(I85:I106)/10^3-I84-I83</f>
        <v>#VALUE!</v>
      </c>
      <c r="J107" s="175" t="e">
        <f>SUM(J85:J106)/10^3-J84-J83</f>
        <v>#VALUE!</v>
      </c>
      <c r="K107" s="175">
        <f>SUM(K85:K106)/10^3-K84-K83</f>
        <v>0</v>
      </c>
      <c r="L107" s="175" t="e">
        <f>SUM(L85:L106)/10^3-L84-L83</f>
        <v>#VALUE!</v>
      </c>
      <c r="N107" s="175" t="e">
        <f>SUM(N85:N106)/10^3-N84-N83</f>
        <v>#VALUE!</v>
      </c>
      <c r="P107" s="175" t="e">
        <f t="shared" si="7"/>
        <v>#VALUE!</v>
      </c>
    </row>
    <row r="108" spans="1:16" s="115" customFormat="1" ht="12" hidden="1" collapsed="1" thickBot="1">
      <c r="A108" s="123" t="s">
        <v>1112</v>
      </c>
      <c r="C108" s="123" t="str">
        <f>A108</f>
        <v>FL=XRF1018RT</v>
      </c>
      <c r="D108" s="123"/>
      <c r="E108" s="125" t="s">
        <v>127</v>
      </c>
      <c r="F108" s="126"/>
      <c r="G108" s="126"/>
      <c r="H108" s="126"/>
      <c r="I108" s="178">
        <f>_xll.GetCtData("COAMOUNT","CONSAMOUNT",$A$1:$A$8,$A108,H$6,"#11389")/10^3</f>
        <v>11.388999999999999</v>
      </c>
      <c r="J108" s="178">
        <f>_xll.GetCtData("COAMOUNT","CONSAMOUNT",$A$1:$A$8,$A108,I$6,"#-351")/10^3</f>
        <v>-0.35099999999999998</v>
      </c>
      <c r="K108" s="178">
        <f>_xll.GetCtData("COAMOUNT","CONSAMOUNT",$A$1:$A$8,$A108,J$6,"#")/10^3</f>
        <v>0</v>
      </c>
      <c r="L108" s="178">
        <f>_xll.GetCtData("COAMOUNT","CONSAMOUNT",$A$1:$A$8,$A108,K$6,"#11038")/10^3</f>
        <v>11.038</v>
      </c>
      <c r="N108" s="178">
        <f>_xll.GetCtData("COAMOUNT","CONSAMOUNT",$A$1:$A$8,$A108,N$6,"#11038")/10^3</f>
        <v>11.038</v>
      </c>
      <c r="P108" s="178">
        <f t="shared" si="7"/>
        <v>22.076000000000001</v>
      </c>
    </row>
    <row r="109" spans="1:16" s="115" customFormat="1" ht="12" hidden="1" outlineLevel="1" thickBot="1">
      <c r="A109" s="115" t="str">
        <f t="shared" ref="A109:A116" si="8">$C$1&amp;C109</f>
        <v>A39700100B</v>
      </c>
      <c r="B109" s="115" t="str">
        <f t="shared" ref="B109:B116" si="9">$C$2&amp;F109</f>
        <v>F17I</v>
      </c>
      <c r="C109" s="135" t="s">
        <v>1714</v>
      </c>
      <c r="D109" s="135"/>
      <c r="E109" s="135" t="s">
        <v>1715</v>
      </c>
      <c r="F109" s="135" t="s">
        <v>1657</v>
      </c>
      <c r="G109" s="131" t="e">
        <v>#VALUE!</v>
      </c>
      <c r="H109" s="173">
        <v>1</v>
      </c>
      <c r="I109" s="173" t="e">
        <f>_xll.GetCtData("COAMOUNT","CONSAMOUNT",$A$1:$A$8,$A109:$B109,,"#Erreur de syntaxe : Expression incomplète")/10^3*$H109</f>
        <v>#VALUE!</v>
      </c>
      <c r="J109" s="173"/>
      <c r="K109" s="173"/>
      <c r="L109" s="173" t="e">
        <f>_xll.GetCtData("COAMOUNT","CONSAMOUNT",$A$1:$A$8,$A109:$B109,,"#Erreur de syntaxe : Expression incomplète")/10^3*$H109</f>
        <v>#VALUE!</v>
      </c>
      <c r="N109" s="173" t="e">
        <f>_xll.GetCtData("COAMOUNT","CONSAMOUNT",$A$1:$A$8,$A109:$B109,,"#Erreur de syntaxe : Expression incomplète")/10^3*$H109</f>
        <v>#VALUE!</v>
      </c>
      <c r="P109" s="173" t="e">
        <f t="shared" si="7"/>
        <v>#VALUE!</v>
      </c>
    </row>
    <row r="110" spans="1:16" s="115" customFormat="1" ht="12" hidden="1" outlineLevel="1" thickBot="1">
      <c r="A110" s="115" t="str">
        <f t="shared" si="8"/>
        <v>A39700100V</v>
      </c>
      <c r="B110" s="115" t="str">
        <f t="shared" si="9"/>
        <v>F17I</v>
      </c>
      <c r="C110" s="135" t="s">
        <v>1717</v>
      </c>
      <c r="D110" s="135"/>
      <c r="E110" s="135" t="s">
        <v>1718</v>
      </c>
      <c r="F110" s="135" t="s">
        <v>1657</v>
      </c>
      <c r="G110" s="131" t="e">
        <v>#VALUE!</v>
      </c>
      <c r="H110" s="173">
        <v>1</v>
      </c>
      <c r="I110" s="173" t="e">
        <f>_xll.GetCtData("COAMOUNT","CONSAMOUNT",$A$1:$A$8,$A110:$B110,,"#Erreur de syntaxe : Expression incomplète")/10^3*$H110</f>
        <v>#VALUE!</v>
      </c>
      <c r="J110" s="173"/>
      <c r="K110" s="173"/>
      <c r="L110" s="173" t="e">
        <f>_xll.GetCtData("COAMOUNT","CONSAMOUNT",$A$1:$A$8,$A110:$B110,,"#Erreur de syntaxe : Expression incomplète")/10^3*$H110</f>
        <v>#VALUE!</v>
      </c>
      <c r="N110" s="173" t="e">
        <f>_xll.GetCtData("COAMOUNT","CONSAMOUNT",$A$1:$A$8,$A110:$B110,,"#Erreur de syntaxe : Expression incomplète")/10^3*$H110</f>
        <v>#VALUE!</v>
      </c>
      <c r="P110" s="173" t="e">
        <f t="shared" si="7"/>
        <v>#VALUE!</v>
      </c>
    </row>
    <row r="111" spans="1:16" s="115" customFormat="1" ht="12" hidden="1" outlineLevel="1" thickBot="1">
      <c r="A111" s="115" t="str">
        <f t="shared" si="8"/>
        <v>P39700100B</v>
      </c>
      <c r="B111" s="115" t="str">
        <f t="shared" si="9"/>
        <v>F17I</v>
      </c>
      <c r="C111" s="135" t="s">
        <v>1141</v>
      </c>
      <c r="D111" s="135"/>
      <c r="E111" s="135" t="s">
        <v>1142</v>
      </c>
      <c r="F111" s="135" t="s">
        <v>1657</v>
      </c>
      <c r="G111" s="131" t="e">
        <v>#VALUE!</v>
      </c>
      <c r="H111" s="173">
        <v>-1</v>
      </c>
      <c r="I111" s="173" t="e">
        <f>_xll.GetCtData("COAMOUNT","CONSAMOUNT",$A$1:$A$8,$A111:$B111,,"#Erreur de syntaxe : Expression incomplète")/10^3*$H111</f>
        <v>#VALUE!</v>
      </c>
      <c r="J111" s="173"/>
      <c r="K111" s="173"/>
      <c r="L111" s="173" t="e">
        <f>_xll.GetCtData("COAMOUNT","CONSAMOUNT",$A$1:$A$8,$A111:$B111,,"#Erreur de syntaxe : Expression incomplète")/10^3*$H111</f>
        <v>#VALUE!</v>
      </c>
      <c r="N111" s="173" t="e">
        <f>_xll.GetCtData("COAMOUNT","CONSAMOUNT",$A$1:$A$8,$A111:$B111,,"#Erreur de syntaxe : Expression incomplète")/10^3*$H111</f>
        <v>#VALUE!</v>
      </c>
      <c r="P111" s="173" t="e">
        <f t="shared" si="7"/>
        <v>#VALUE!</v>
      </c>
    </row>
    <row r="112" spans="1:16" s="115" customFormat="1" ht="12" hidden="1" outlineLevel="1" thickBot="1">
      <c r="A112" s="115" t="str">
        <f t="shared" si="8"/>
        <v>P39700100V</v>
      </c>
      <c r="B112" s="115" t="str">
        <f t="shared" si="9"/>
        <v>F17I</v>
      </c>
      <c r="C112" s="135" t="s">
        <v>1135</v>
      </c>
      <c r="D112" s="135"/>
      <c r="E112" s="135" t="s">
        <v>1136</v>
      </c>
      <c r="F112" s="135" t="s">
        <v>1657</v>
      </c>
      <c r="G112" s="131" t="e">
        <v>#VALUE!</v>
      </c>
      <c r="H112" s="173">
        <v>-1</v>
      </c>
      <c r="I112" s="173" t="e">
        <f>_xll.GetCtData("COAMOUNT","CONSAMOUNT",$A$1:$A$8,$A112:$B112,,"#Erreur de syntaxe : Expression incomplète")/10^3*$H112</f>
        <v>#VALUE!</v>
      </c>
      <c r="J112" s="173"/>
      <c r="K112" s="173"/>
      <c r="L112" s="173" t="e">
        <f>_xll.GetCtData("COAMOUNT","CONSAMOUNT",$A$1:$A$8,$A112:$B112,,"#Erreur de syntaxe : Expression incomplète")/10^3*$H112</f>
        <v>#VALUE!</v>
      </c>
      <c r="N112" s="173" t="e">
        <f>_xll.GetCtData("COAMOUNT","CONSAMOUNT",$A$1:$A$8,$A112:$B112,,"#Erreur de syntaxe : Expression incomplète")/10^3*$H112</f>
        <v>#VALUE!</v>
      </c>
      <c r="P112" s="173" t="e">
        <f t="shared" si="7"/>
        <v>#VALUE!</v>
      </c>
    </row>
    <row r="113" spans="1:16" s="115" customFormat="1" ht="12" hidden="1" outlineLevel="1" thickBot="1">
      <c r="A113" s="115" t="str">
        <f t="shared" si="8"/>
        <v>A39701100B</v>
      </c>
      <c r="B113" s="115" t="str">
        <f t="shared" si="9"/>
        <v>F17I</v>
      </c>
      <c r="C113" s="135" t="s">
        <v>1720</v>
      </c>
      <c r="D113" s="135"/>
      <c r="E113" s="135" t="s">
        <v>1721</v>
      </c>
      <c r="F113" s="135" t="s">
        <v>1657</v>
      </c>
      <c r="G113" s="131" t="e">
        <v>#VALUE!</v>
      </c>
      <c r="H113" s="173">
        <v>1</v>
      </c>
      <c r="I113" s="173"/>
      <c r="J113" s="173" t="e">
        <f>_xll.GetCtData("COAMOUNT","CONSAMOUNT",$A$1:$A$8,$A113:$B113,,"#Erreur de syntaxe : Expression incomplète")/10^3*$H113</f>
        <v>#VALUE!</v>
      </c>
      <c r="K113" s="173"/>
      <c r="L113" s="173" t="e">
        <f>_xll.GetCtData("COAMOUNT","CONSAMOUNT",$A$1:$A$8,$A113:$B113,,"#Erreur de syntaxe : Expression incomplète")/10^3*$H113</f>
        <v>#VALUE!</v>
      </c>
      <c r="N113" s="173" t="e">
        <f>_xll.GetCtData("COAMOUNT","CONSAMOUNT",$A$1:$A$8,$A113:$B113,,"#Erreur de syntaxe : Expression incomplète")/10^3*$H113</f>
        <v>#VALUE!</v>
      </c>
      <c r="P113" s="173" t="e">
        <f t="shared" si="7"/>
        <v>#VALUE!</v>
      </c>
    </row>
    <row r="114" spans="1:16" s="115" customFormat="1" ht="12" hidden="1" outlineLevel="1" thickBot="1">
      <c r="A114" s="115" t="str">
        <f t="shared" si="8"/>
        <v>A39701100V</v>
      </c>
      <c r="B114" s="115" t="str">
        <f t="shared" si="9"/>
        <v>F17I</v>
      </c>
      <c r="C114" s="135" t="s">
        <v>1723</v>
      </c>
      <c r="D114" s="135"/>
      <c r="E114" s="135" t="s">
        <v>1724</v>
      </c>
      <c r="F114" s="135" t="s">
        <v>1657</v>
      </c>
      <c r="G114" s="131" t="e">
        <v>#VALUE!</v>
      </c>
      <c r="H114" s="173">
        <v>1</v>
      </c>
      <c r="I114" s="173"/>
      <c r="J114" s="173" t="e">
        <f>_xll.GetCtData("COAMOUNT","CONSAMOUNT",$A$1:$A$8,$A114:$B114,,"#Erreur de syntaxe : Expression incomplète")/10^3*$H114</f>
        <v>#VALUE!</v>
      </c>
      <c r="K114" s="173"/>
      <c r="L114" s="173" t="e">
        <f>_xll.GetCtData("COAMOUNT","CONSAMOUNT",$A$1:$A$8,$A114:$B114,,"#Erreur de syntaxe : Expression incomplète")/10^3*$H114</f>
        <v>#VALUE!</v>
      </c>
      <c r="N114" s="173" t="e">
        <f>_xll.GetCtData("COAMOUNT","CONSAMOUNT",$A$1:$A$8,$A114:$B114,,"#Erreur de syntaxe : Expression incomplète")/10^3*$H114</f>
        <v>#VALUE!</v>
      </c>
      <c r="P114" s="173" t="e">
        <f t="shared" si="7"/>
        <v>#VALUE!</v>
      </c>
    </row>
    <row r="115" spans="1:16" s="115" customFormat="1" ht="12" hidden="1" outlineLevel="1" thickBot="1">
      <c r="A115" s="115" t="str">
        <f t="shared" si="8"/>
        <v>P39701100B</v>
      </c>
      <c r="B115" s="115" t="str">
        <f t="shared" si="9"/>
        <v>F17I</v>
      </c>
      <c r="C115" s="135" t="s">
        <v>1139</v>
      </c>
      <c r="D115" s="135"/>
      <c r="E115" s="135" t="s">
        <v>1140</v>
      </c>
      <c r="F115" s="135" t="s">
        <v>1657</v>
      </c>
      <c r="G115" s="131" t="e">
        <v>#VALUE!</v>
      </c>
      <c r="H115" s="173">
        <v>-1</v>
      </c>
      <c r="I115" s="173"/>
      <c r="J115" s="173" t="e">
        <f>_xll.GetCtData("COAMOUNT","CONSAMOUNT",$A$1:$A$8,$A115:$B115,,"#Erreur de syntaxe : Expression incomplète")/10^3*$H115</f>
        <v>#VALUE!</v>
      </c>
      <c r="K115" s="173"/>
      <c r="L115" s="173" t="e">
        <f>_xll.GetCtData("COAMOUNT","CONSAMOUNT",$A$1:$A$8,$A115:$B115,,"#Erreur de syntaxe : Expression incomplète")/10^3*$H115</f>
        <v>#VALUE!</v>
      </c>
      <c r="N115" s="173" t="e">
        <f>_xll.GetCtData("COAMOUNT","CONSAMOUNT",$A$1:$A$8,$A115:$B115,,"#Erreur de syntaxe : Expression incomplète")/10^3*$H115</f>
        <v>#VALUE!</v>
      </c>
      <c r="P115" s="173" t="e">
        <f t="shared" si="7"/>
        <v>#VALUE!</v>
      </c>
    </row>
    <row r="116" spans="1:16" s="115" customFormat="1" ht="12" hidden="1" outlineLevel="1" thickBot="1">
      <c r="A116" s="115" t="str">
        <f t="shared" si="8"/>
        <v>P39701100V</v>
      </c>
      <c r="B116" s="115" t="str">
        <f t="shared" si="9"/>
        <v>F17I</v>
      </c>
      <c r="C116" s="135" t="s">
        <v>1133</v>
      </c>
      <c r="D116" s="135"/>
      <c r="E116" s="135" t="s">
        <v>1134</v>
      </c>
      <c r="F116" s="135" t="s">
        <v>1657</v>
      </c>
      <c r="G116" s="131" t="e">
        <v>#VALUE!</v>
      </c>
      <c r="H116" s="173">
        <v>-1</v>
      </c>
      <c r="I116" s="173"/>
      <c r="J116" s="173" t="e">
        <f>_xll.GetCtData("COAMOUNT","CONSAMOUNT",$A$1:$A$8,$A116:$B116,,"#Erreur de syntaxe : Expression incomplète")/10^3*$H116</f>
        <v>#VALUE!</v>
      </c>
      <c r="K116" s="173"/>
      <c r="L116" s="173" t="e">
        <f>_xll.GetCtData("COAMOUNT","CONSAMOUNT",$A$1:$A$8,$A116:$B116,,"#Erreur de syntaxe : Expression incomplète")/10^3*$H116</f>
        <v>#VALUE!</v>
      </c>
      <c r="N116" s="173" t="e">
        <f>_xll.GetCtData("COAMOUNT","CONSAMOUNT",$A$1:$A$8,$A116:$B116,,"#Erreur de syntaxe : Expression incomplète")/10^3*$H116</f>
        <v>#VALUE!</v>
      </c>
      <c r="P116" s="173" t="e">
        <f t="shared" si="7"/>
        <v>#VALUE!</v>
      </c>
    </row>
    <row r="117" spans="1:16" ht="12" hidden="1" customHeight="1" outlineLevel="1">
      <c r="A117" s="115"/>
      <c r="E117" s="174" t="s">
        <v>1570</v>
      </c>
      <c r="F117" s="174"/>
      <c r="G117" s="174"/>
      <c r="H117" s="174"/>
      <c r="I117" s="175" t="e">
        <f>SUM(I109:I116)/10^3-I108</f>
        <v>#VALUE!</v>
      </c>
      <c r="J117" s="175" t="e">
        <f>SUM(J109:J116)/10^3-J108</f>
        <v>#VALUE!</v>
      </c>
      <c r="K117" s="175">
        <f>SUM(K109:K116)/10^3-K108</f>
        <v>0</v>
      </c>
      <c r="L117" s="175" t="e">
        <f>SUM(L109:L116)/10^3-L108</f>
        <v>#VALUE!</v>
      </c>
      <c r="N117" s="175" t="e">
        <f>SUM(N109:N116)/10^3-N108</f>
        <v>#VALUE!</v>
      </c>
      <c r="P117" s="175" t="e">
        <f t="shared" si="7"/>
        <v>#VALUE!</v>
      </c>
    </row>
    <row r="118" spans="1:16" s="115" customFormat="1" ht="12" hidden="1" collapsed="1" thickBot="1">
      <c r="A118" s="123" t="s">
        <v>1200</v>
      </c>
      <c r="C118" s="123" t="str">
        <f>A118</f>
        <v>FL=XRF10181R</v>
      </c>
      <c r="D118" s="123"/>
      <c r="E118" s="179" t="s">
        <v>127</v>
      </c>
      <c r="F118" s="180"/>
      <c r="G118" s="180"/>
      <c r="H118" s="180"/>
      <c r="I118" s="180">
        <f>_xll.GetCtData("COAMOUNT","CONSAMOUNT",$A$1:$A$8,$A118,H$6,"#11389")/10^3</f>
        <v>11.388999999999999</v>
      </c>
      <c r="J118" s="180">
        <f>_xll.GetCtData("COAMOUNT","CONSAMOUNT",$A$1:$A$8,$A118,I$6,"#-351")/10^3</f>
        <v>-0.35099999999999998</v>
      </c>
      <c r="K118" s="180">
        <f>_xll.GetCtData("COAMOUNT","CONSAMOUNT",$A$1:$A$8,$A118,J$6,"#")/10^3</f>
        <v>0</v>
      </c>
      <c r="L118" s="180">
        <f>_xll.GetCtData("COAMOUNT","CONSAMOUNT",$A$1:$A$8,$A118,K$6,"#11038")/10^3</f>
        <v>11.038</v>
      </c>
      <c r="N118" s="180">
        <f>_xll.GetCtData("COAMOUNT","CONSAMOUNT",$A$1:$A$8,$A118,N$6,"#11038")/10^3</f>
        <v>11.038</v>
      </c>
      <c r="P118" s="180">
        <f t="shared" si="7"/>
        <v>22.076000000000001</v>
      </c>
    </row>
    <row r="119" spans="1:16" s="115" customFormat="1" ht="12" collapsed="1" thickBot="1">
      <c r="A119" s="123" t="s">
        <v>1092</v>
      </c>
      <c r="C119" s="123" t="str">
        <f>A119</f>
        <v>FL=XRF101RT</v>
      </c>
      <c r="D119" s="123"/>
      <c r="E119" s="125" t="s">
        <v>22</v>
      </c>
      <c r="F119" s="126"/>
      <c r="G119" s="126"/>
      <c r="H119" s="126"/>
      <c r="I119" s="178">
        <f>_xll.GetCtData("COAMOUNT","CONSAMOUNT",$A$1:$A$8,$A119,H$6,"#-212140")/10^3</f>
        <v>-212.14</v>
      </c>
      <c r="J119" s="178">
        <f>_xll.GetCtData("COAMOUNT","CONSAMOUNT",$A$1:$A$8,$A119,I$6,"#-2413")/10^3</f>
        <v>-2.4129999999999998</v>
      </c>
      <c r="K119" s="178">
        <f>_xll.GetCtData("COAMOUNT","CONSAMOUNT",$A$1:$A$8,$A119,J$6,"#108656")/10^3</f>
        <v>108.65600000000001</v>
      </c>
      <c r="L119" s="178">
        <f>_xll.GetCtData("COAMOUNT","CONSAMOUNT",$A$1:$A$8,$A119,K$6,"#-105897")/10^3</f>
        <v>-105.89700000000001</v>
      </c>
      <c r="N119" s="178">
        <v>-51600.725296005097</v>
      </c>
      <c r="P119" s="178">
        <f t="shared" si="7"/>
        <v>-51706.622296005095</v>
      </c>
    </row>
    <row r="120" spans="1:16" s="115" customFormat="1" ht="12" hidden="1" outlineLevel="1" collapsed="1" thickBot="1">
      <c r="A120" s="123" t="s">
        <v>1093</v>
      </c>
      <c r="C120" s="123" t="s">
        <v>1773</v>
      </c>
      <c r="D120" s="123"/>
      <c r="E120" s="179" t="s">
        <v>28</v>
      </c>
      <c r="F120" s="180"/>
      <c r="G120" s="180"/>
      <c r="H120" s="180"/>
      <c r="I120" s="180">
        <f>_xll.GetCtData("COAMOUNT","CONSAMOUNT",$A$1:$A$8,$A120,H$6,"#-2209226")/10^3</f>
        <v>-2209.2260000000001</v>
      </c>
      <c r="J120" s="180">
        <f>_xll.GetCtData("COAMOUNT","CONSAMOUNT",$A$1:$A$8,$A120,I$6,"#-10718")/10^3</f>
        <v>-10.718</v>
      </c>
      <c r="K120" s="180">
        <f>_xll.GetCtData("COAMOUNT","CONSAMOUNT",$A$1:$A$8,$A120,J$6,"#12074")/10^3</f>
        <v>12.074</v>
      </c>
      <c r="L120" s="180">
        <f>_xll.GetCtData("COAMOUNT","CONSAMOUNT",$A$1:$A$8,$A120,K$6,"#-2207870")/10^3</f>
        <v>-2207.87</v>
      </c>
      <c r="N120" s="180">
        <f>_xll.GetCtData("COAMOUNT","CONSAMOUNT",$A$1:$A$8,$A120,N$6,"#-2207870")/10^3</f>
        <v>-2207.87</v>
      </c>
      <c r="P120" s="180">
        <f t="shared" si="7"/>
        <v>-4415.74</v>
      </c>
    </row>
    <row r="121" spans="1:16" s="115" customFormat="1" ht="12" hidden="1" outlineLevel="2" thickBot="1">
      <c r="A121" s="115" t="str">
        <f t="shared" ref="A121:A140" si="10">$C$1&amp;C121</f>
        <v>A39700000B</v>
      </c>
      <c r="B121" s="115" t="str">
        <f t="shared" ref="B121:B140" si="11">$C$2&amp;F121</f>
        <v>F17H</v>
      </c>
      <c r="C121" s="135" t="s">
        <v>1690</v>
      </c>
      <c r="D121" s="131"/>
      <c r="E121" s="131" t="s">
        <v>1691</v>
      </c>
      <c r="F121" s="131" t="s">
        <v>1663</v>
      </c>
      <c r="G121" s="131" t="e">
        <v>#VALUE!</v>
      </c>
      <c r="H121" s="183">
        <v>1</v>
      </c>
      <c r="I121" s="183" t="e">
        <f>_xll.GetCtData("COAMOUNT","CONSAMOUNT",$A$1:$A$8,$A121:$B121,,"#Erreur de syntaxe : Expression incomplète")/10^3*$H121</f>
        <v>#VALUE!</v>
      </c>
      <c r="J121" s="183"/>
      <c r="K121" s="183"/>
      <c r="L121" s="183" t="e">
        <f>_xll.GetCtData("COAMOUNT","CONSAMOUNT",$A$1:$A$8,$A121:$B121,,"#Erreur de syntaxe : Expression incomplète")/10^3*$H121</f>
        <v>#VALUE!</v>
      </c>
      <c r="N121" s="183" t="e">
        <f>_xll.GetCtData("COAMOUNT","CONSAMOUNT",$A$1:$A$8,$A121:$B121,,"#Erreur de syntaxe : Expression incomplète")/10^3*$H121</f>
        <v>#VALUE!</v>
      </c>
      <c r="P121" s="183" t="e">
        <f t="shared" si="7"/>
        <v>#VALUE!</v>
      </c>
    </row>
    <row r="122" spans="1:16" s="115" customFormat="1" ht="12" hidden="1" outlineLevel="2" thickBot="1">
      <c r="A122" s="115" t="str">
        <f t="shared" si="10"/>
        <v>A39700100B</v>
      </c>
      <c r="B122" s="115" t="str">
        <f t="shared" si="11"/>
        <v>F17H</v>
      </c>
      <c r="C122" s="135" t="s">
        <v>1714</v>
      </c>
      <c r="D122" s="135"/>
      <c r="E122" s="135" t="s">
        <v>1715</v>
      </c>
      <c r="F122" s="131" t="s">
        <v>1663</v>
      </c>
      <c r="G122" s="131" t="e">
        <v>#VALUE!</v>
      </c>
      <c r="H122" s="173">
        <v>1</v>
      </c>
      <c r="I122" s="173" t="e">
        <f>_xll.GetCtData("COAMOUNT","CONSAMOUNT",$A$1:$A$8,$A122:$B122,,"#Erreur de syntaxe : Expression incomplète")/10^3*$H122</f>
        <v>#VALUE!</v>
      </c>
      <c r="J122" s="173"/>
      <c r="K122" s="173"/>
      <c r="L122" s="173" t="e">
        <f>_xll.GetCtData("COAMOUNT","CONSAMOUNT",$A$1:$A$8,$A122:$B122,,"#Erreur de syntaxe : Expression incomplète")/10^3*$H122</f>
        <v>#VALUE!</v>
      </c>
      <c r="N122" s="173" t="e">
        <f>_xll.GetCtData("COAMOUNT","CONSAMOUNT",$A$1:$A$8,$A122:$B122,,"#Erreur de syntaxe : Expression incomplète")/10^3*$H122</f>
        <v>#VALUE!</v>
      </c>
      <c r="P122" s="173" t="e">
        <f t="shared" si="7"/>
        <v>#VALUE!</v>
      </c>
    </row>
    <row r="123" spans="1:16" s="115" customFormat="1" ht="12" hidden="1" outlineLevel="2" thickBot="1">
      <c r="A123" s="115" t="str">
        <f t="shared" si="10"/>
        <v>A39700000V</v>
      </c>
      <c r="B123" s="115" t="str">
        <f t="shared" si="11"/>
        <v>F17H</v>
      </c>
      <c r="C123" s="135" t="s">
        <v>1693</v>
      </c>
      <c r="D123" s="135"/>
      <c r="E123" s="135" t="s">
        <v>1694</v>
      </c>
      <c r="F123" s="131" t="s">
        <v>1663</v>
      </c>
      <c r="G123" s="131" t="e">
        <v>#VALUE!</v>
      </c>
      <c r="H123" s="173">
        <v>1</v>
      </c>
      <c r="I123" s="173" t="e">
        <f>_xll.GetCtData("COAMOUNT","CONSAMOUNT",$A$1:$A$8,$A123:$B123,,"#Erreur de syntaxe : Expression incomplète")/10^3*$H123</f>
        <v>#VALUE!</v>
      </c>
      <c r="J123" s="173"/>
      <c r="K123" s="173"/>
      <c r="L123" s="173" t="e">
        <f>_xll.GetCtData("COAMOUNT","CONSAMOUNT",$A$1:$A$8,$A123:$B123,,"#Erreur de syntaxe : Expression incomplète")/10^3*$H123</f>
        <v>#VALUE!</v>
      </c>
      <c r="N123" s="173" t="e">
        <f>_xll.GetCtData("COAMOUNT","CONSAMOUNT",$A$1:$A$8,$A123:$B123,,"#Erreur de syntaxe : Expression incomplète")/10^3*$H123</f>
        <v>#VALUE!</v>
      </c>
      <c r="P123" s="173" t="e">
        <f t="shared" si="7"/>
        <v>#VALUE!</v>
      </c>
    </row>
    <row r="124" spans="1:16" s="115" customFormat="1" ht="12" hidden="1" outlineLevel="2" thickBot="1">
      <c r="A124" s="115" t="str">
        <f t="shared" si="10"/>
        <v>A39700100V</v>
      </c>
      <c r="B124" s="115" t="str">
        <f t="shared" si="11"/>
        <v>F17H</v>
      </c>
      <c r="C124" s="135" t="s">
        <v>1717</v>
      </c>
      <c r="D124" s="135"/>
      <c r="E124" s="135" t="s">
        <v>1718</v>
      </c>
      <c r="F124" s="131" t="s">
        <v>1663</v>
      </c>
      <c r="G124" s="131" t="e">
        <v>#VALUE!</v>
      </c>
      <c r="H124" s="173">
        <v>1</v>
      </c>
      <c r="I124" s="173" t="e">
        <f>_xll.GetCtData("COAMOUNT","CONSAMOUNT",$A$1:$A$8,$A124:$B124,,"#Erreur de syntaxe : Expression incomplète")/10^3*$H124</f>
        <v>#VALUE!</v>
      </c>
      <c r="J124" s="173"/>
      <c r="K124" s="173"/>
      <c r="L124" s="173" t="e">
        <f>_xll.GetCtData("COAMOUNT","CONSAMOUNT",$A$1:$A$8,$A124:$B124,,"#Erreur de syntaxe : Expression incomplète")/10^3*$H124</f>
        <v>#VALUE!</v>
      </c>
      <c r="N124" s="173" t="e">
        <f>_xll.GetCtData("COAMOUNT","CONSAMOUNT",$A$1:$A$8,$A124:$B124,,"#Erreur de syntaxe : Expression incomplète")/10^3*$H124</f>
        <v>#VALUE!</v>
      </c>
      <c r="P124" s="173" t="e">
        <f t="shared" si="7"/>
        <v>#VALUE!</v>
      </c>
    </row>
    <row r="125" spans="1:16" s="115" customFormat="1" ht="12" hidden="1" outlineLevel="2" thickBot="1">
      <c r="A125" s="115" t="str">
        <f t="shared" si="10"/>
        <v>P39700000B</v>
      </c>
      <c r="B125" s="115" t="str">
        <f t="shared" si="11"/>
        <v>F17H</v>
      </c>
      <c r="C125" s="135" t="s">
        <v>1738</v>
      </c>
      <c r="D125" s="135"/>
      <c r="E125" s="135" t="s">
        <v>1739</v>
      </c>
      <c r="F125" s="131" t="s">
        <v>1663</v>
      </c>
      <c r="G125" s="131" t="e">
        <v>#VALUE!</v>
      </c>
      <c r="H125" s="173">
        <v>-1</v>
      </c>
      <c r="I125" s="173" t="e">
        <f>_xll.GetCtData("COAMOUNT","CONSAMOUNT",$A$1:$A$8,$A125:$B125,,"#Erreur de syntaxe : Expression incomplète")/10^3*$H125</f>
        <v>#VALUE!</v>
      </c>
      <c r="J125" s="173"/>
      <c r="K125" s="173"/>
      <c r="L125" s="173" t="e">
        <f>_xll.GetCtData("COAMOUNT","CONSAMOUNT",$A$1:$A$8,$A125:$B125,,"#Erreur de syntaxe : Expression incomplète")/10^3*$H125</f>
        <v>#VALUE!</v>
      </c>
      <c r="N125" s="173" t="e">
        <f>_xll.GetCtData("COAMOUNT","CONSAMOUNT",$A$1:$A$8,$A125:$B125,,"#Erreur de syntaxe : Expression incomplète")/10^3*$H125</f>
        <v>#VALUE!</v>
      </c>
      <c r="P125" s="173" t="e">
        <f t="shared" si="7"/>
        <v>#VALUE!</v>
      </c>
    </row>
    <row r="126" spans="1:16" s="115" customFormat="1" ht="12" hidden="1" outlineLevel="2" thickBot="1">
      <c r="A126" s="115" t="str">
        <f t="shared" si="10"/>
        <v>P39700100B</v>
      </c>
      <c r="B126" s="115" t="str">
        <f t="shared" si="11"/>
        <v>F17H</v>
      </c>
      <c r="C126" s="135" t="s">
        <v>1141</v>
      </c>
      <c r="D126" s="135"/>
      <c r="E126" s="135" t="s">
        <v>1142</v>
      </c>
      <c r="F126" s="131" t="s">
        <v>1663</v>
      </c>
      <c r="G126" s="131" t="e">
        <v>#VALUE!</v>
      </c>
      <c r="H126" s="173">
        <v>-1</v>
      </c>
      <c r="I126" s="173" t="e">
        <f>_xll.GetCtData("COAMOUNT","CONSAMOUNT",$A$1:$A$8,$A126:$B126,,"#Erreur de syntaxe : Expression incomplète")/10^3*$H126</f>
        <v>#VALUE!</v>
      </c>
      <c r="J126" s="173"/>
      <c r="K126" s="173"/>
      <c r="L126" s="173" t="e">
        <f>_xll.GetCtData("COAMOUNT","CONSAMOUNT",$A$1:$A$8,$A126:$B126,,"#Erreur de syntaxe : Expression incomplète")/10^3*$H126</f>
        <v>#VALUE!</v>
      </c>
      <c r="N126" s="173" t="e">
        <f>_xll.GetCtData("COAMOUNT","CONSAMOUNT",$A$1:$A$8,$A126:$B126,,"#Erreur de syntaxe : Expression incomplète")/10^3*$H126</f>
        <v>#VALUE!</v>
      </c>
      <c r="P126" s="173" t="e">
        <f t="shared" si="7"/>
        <v>#VALUE!</v>
      </c>
    </row>
    <row r="127" spans="1:16" s="115" customFormat="1" ht="12" hidden="1" outlineLevel="2" thickBot="1">
      <c r="A127" s="115" t="str">
        <f t="shared" si="10"/>
        <v>P39700000V</v>
      </c>
      <c r="B127" s="115" t="str">
        <f t="shared" si="11"/>
        <v>F17H</v>
      </c>
      <c r="C127" s="135" t="s">
        <v>1747</v>
      </c>
      <c r="D127" s="135"/>
      <c r="E127" s="135" t="s">
        <v>1748</v>
      </c>
      <c r="F127" s="131" t="s">
        <v>1663</v>
      </c>
      <c r="G127" s="131" t="e">
        <v>#VALUE!</v>
      </c>
      <c r="H127" s="173">
        <v>-1</v>
      </c>
      <c r="I127" s="173" t="e">
        <f>_xll.GetCtData("COAMOUNT","CONSAMOUNT",$A$1:$A$8,$A127:$B127,,"#Erreur de syntaxe : Expression incomplète")/10^3*$H127</f>
        <v>#VALUE!</v>
      </c>
      <c r="J127" s="173"/>
      <c r="K127" s="173"/>
      <c r="L127" s="173" t="e">
        <f>_xll.GetCtData("COAMOUNT","CONSAMOUNT",$A$1:$A$8,$A127:$B127,,"#Erreur de syntaxe : Expression incomplète")/10^3*$H127</f>
        <v>#VALUE!</v>
      </c>
      <c r="N127" s="173" t="e">
        <f>_xll.GetCtData("COAMOUNT","CONSAMOUNT",$A$1:$A$8,$A127:$B127,,"#Erreur de syntaxe : Expression incomplète")/10^3*$H127</f>
        <v>#VALUE!</v>
      </c>
      <c r="P127" s="173" t="e">
        <f t="shared" si="7"/>
        <v>#VALUE!</v>
      </c>
    </row>
    <row r="128" spans="1:16" s="115" customFormat="1" ht="12" hidden="1" outlineLevel="2" thickBot="1">
      <c r="A128" s="115" t="str">
        <f t="shared" si="10"/>
        <v>P39700100V</v>
      </c>
      <c r="B128" s="115" t="str">
        <f t="shared" si="11"/>
        <v>F17H</v>
      </c>
      <c r="C128" s="135" t="s">
        <v>1135</v>
      </c>
      <c r="D128" s="135"/>
      <c r="E128" s="135" t="s">
        <v>1136</v>
      </c>
      <c r="F128" s="131" t="s">
        <v>1663</v>
      </c>
      <c r="G128" s="131" t="e">
        <v>#VALUE!</v>
      </c>
      <c r="H128" s="173">
        <v>-1</v>
      </c>
      <c r="I128" s="173" t="e">
        <f>_xll.GetCtData("COAMOUNT","CONSAMOUNT",$A$1:$A$8,$A128:$B128,,"#Erreur de syntaxe : Expression incomplète")/10^3*$H128</f>
        <v>#VALUE!</v>
      </c>
      <c r="J128" s="173"/>
      <c r="K128" s="173"/>
      <c r="L128" s="173" t="e">
        <f>_xll.GetCtData("COAMOUNT","CONSAMOUNT",$A$1:$A$8,$A128:$B128,,"#Erreur de syntaxe : Expression incomplète")/10^3*$H128</f>
        <v>#VALUE!</v>
      </c>
      <c r="N128" s="173" t="e">
        <f>_xll.GetCtData("COAMOUNT","CONSAMOUNT",$A$1:$A$8,$A128:$B128,,"#Erreur de syntaxe : Expression incomplète")/10^3*$H128</f>
        <v>#VALUE!</v>
      </c>
      <c r="P128" s="173" t="e">
        <f t="shared" si="7"/>
        <v>#VALUE!</v>
      </c>
    </row>
    <row r="129" spans="1:16" s="115" customFormat="1" ht="12" hidden="1" outlineLevel="2" thickBot="1">
      <c r="A129" s="115" t="str">
        <f t="shared" si="10"/>
        <v>A39701000B</v>
      </c>
      <c r="B129" s="115" t="str">
        <f t="shared" si="11"/>
        <v>F17H</v>
      </c>
      <c r="C129" s="135" t="s">
        <v>1696</v>
      </c>
      <c r="D129" s="135"/>
      <c r="E129" s="135" t="s">
        <v>1697</v>
      </c>
      <c r="F129" s="131" t="s">
        <v>1663</v>
      </c>
      <c r="G129" s="131" t="e">
        <v>#VALUE!</v>
      </c>
      <c r="H129" s="173">
        <v>1</v>
      </c>
      <c r="I129" s="173"/>
      <c r="J129" s="173" t="e">
        <f>_xll.GetCtData("COAMOUNT","CONSAMOUNT",$A$1:$A$8,$A129:$B129,,"#Erreur de syntaxe : Expression incomplète")/10^3*$H129</f>
        <v>#VALUE!</v>
      </c>
      <c r="K129" s="173"/>
      <c r="L129" s="173" t="e">
        <f>_xll.GetCtData("COAMOUNT","CONSAMOUNT",$A$1:$A$8,$A129:$B129,,"#Erreur de syntaxe : Expression incomplète")/10^3*$H129</f>
        <v>#VALUE!</v>
      </c>
      <c r="N129" s="173" t="e">
        <f>_xll.GetCtData("COAMOUNT","CONSAMOUNT",$A$1:$A$8,$A129:$B129,,"#Erreur de syntaxe : Expression incomplète")/10^3*$H129</f>
        <v>#VALUE!</v>
      </c>
      <c r="P129" s="173" t="e">
        <f t="shared" si="7"/>
        <v>#VALUE!</v>
      </c>
    </row>
    <row r="130" spans="1:16" s="115" customFormat="1" ht="12" hidden="1" outlineLevel="2" thickBot="1">
      <c r="A130" s="115" t="str">
        <f t="shared" si="10"/>
        <v>A39701100B</v>
      </c>
      <c r="B130" s="115" t="str">
        <f t="shared" si="11"/>
        <v>F17H</v>
      </c>
      <c r="C130" s="135" t="s">
        <v>1720</v>
      </c>
      <c r="D130" s="135"/>
      <c r="E130" s="135" t="s">
        <v>1721</v>
      </c>
      <c r="F130" s="131" t="s">
        <v>1663</v>
      </c>
      <c r="G130" s="131" t="e">
        <v>#VALUE!</v>
      </c>
      <c r="H130" s="173">
        <v>1</v>
      </c>
      <c r="I130" s="173"/>
      <c r="J130" s="173" t="e">
        <f>_xll.GetCtData("COAMOUNT","CONSAMOUNT",$A$1:$A$8,$A130:$B130,,"#Erreur de syntaxe : Expression incomplète")/10^3*$H130</f>
        <v>#VALUE!</v>
      </c>
      <c r="K130" s="173"/>
      <c r="L130" s="173" t="e">
        <f>_xll.GetCtData("COAMOUNT","CONSAMOUNT",$A$1:$A$8,$A130:$B130,,"#Erreur de syntaxe : Expression incomplète")/10^3*$H130</f>
        <v>#VALUE!</v>
      </c>
      <c r="N130" s="173" t="e">
        <f>_xll.GetCtData("COAMOUNT","CONSAMOUNT",$A$1:$A$8,$A130:$B130,,"#Erreur de syntaxe : Expression incomplète")/10^3*$H130</f>
        <v>#VALUE!</v>
      </c>
      <c r="P130" s="173" t="e">
        <f t="shared" si="7"/>
        <v>#VALUE!</v>
      </c>
    </row>
    <row r="131" spans="1:16" s="115" customFormat="1" ht="12" hidden="1" outlineLevel="2" thickBot="1">
      <c r="A131" s="115" t="str">
        <f t="shared" si="10"/>
        <v>A39701000V</v>
      </c>
      <c r="B131" s="115" t="str">
        <f t="shared" si="11"/>
        <v>F17H</v>
      </c>
      <c r="C131" s="135" t="s">
        <v>1699</v>
      </c>
      <c r="D131" s="135"/>
      <c r="E131" s="135" t="s">
        <v>1700</v>
      </c>
      <c r="F131" s="131" t="s">
        <v>1663</v>
      </c>
      <c r="G131" s="131" t="e">
        <v>#VALUE!</v>
      </c>
      <c r="H131" s="173">
        <v>1</v>
      </c>
      <c r="I131" s="173"/>
      <c r="J131" s="173" t="e">
        <f>_xll.GetCtData("COAMOUNT","CONSAMOUNT",$A$1:$A$8,$A131:$B131,,"#Erreur de syntaxe : Expression incomplète")/10^3*$H131</f>
        <v>#VALUE!</v>
      </c>
      <c r="K131" s="173"/>
      <c r="L131" s="173" t="e">
        <f>_xll.GetCtData("COAMOUNT","CONSAMOUNT",$A$1:$A$8,$A131:$B131,,"#Erreur de syntaxe : Expression incomplète")/10^3*$H131</f>
        <v>#VALUE!</v>
      </c>
      <c r="N131" s="173" t="e">
        <f>_xll.GetCtData("COAMOUNT","CONSAMOUNT",$A$1:$A$8,$A131:$B131,,"#Erreur de syntaxe : Expression incomplète")/10^3*$H131</f>
        <v>#VALUE!</v>
      </c>
      <c r="P131" s="173" t="e">
        <f t="shared" si="7"/>
        <v>#VALUE!</v>
      </c>
    </row>
    <row r="132" spans="1:16" s="115" customFormat="1" ht="12" hidden="1" outlineLevel="2" thickBot="1">
      <c r="A132" s="115" t="str">
        <f t="shared" si="10"/>
        <v>A39701100V</v>
      </c>
      <c r="B132" s="115" t="str">
        <f t="shared" si="11"/>
        <v>F17H</v>
      </c>
      <c r="C132" s="135" t="s">
        <v>1723</v>
      </c>
      <c r="D132" s="135"/>
      <c r="E132" s="135" t="s">
        <v>1724</v>
      </c>
      <c r="F132" s="131" t="s">
        <v>1663</v>
      </c>
      <c r="G132" s="131" t="e">
        <v>#VALUE!</v>
      </c>
      <c r="H132" s="173">
        <v>1</v>
      </c>
      <c r="I132" s="173"/>
      <c r="J132" s="173" t="e">
        <f>_xll.GetCtData("COAMOUNT","CONSAMOUNT",$A$1:$A$8,$A132:$B132,,"#Erreur de syntaxe : Expression incomplète")/10^3*$H132</f>
        <v>#VALUE!</v>
      </c>
      <c r="K132" s="173"/>
      <c r="L132" s="173" t="e">
        <f>_xll.GetCtData("COAMOUNT","CONSAMOUNT",$A$1:$A$8,$A132:$B132,,"#Erreur de syntaxe : Expression incomplète")/10^3*$H132</f>
        <v>#VALUE!</v>
      </c>
      <c r="N132" s="173" t="e">
        <f>_xll.GetCtData("COAMOUNT","CONSAMOUNT",$A$1:$A$8,$A132:$B132,,"#Erreur de syntaxe : Expression incomplète")/10^3*$H132</f>
        <v>#VALUE!</v>
      </c>
      <c r="P132" s="173" t="e">
        <f t="shared" si="7"/>
        <v>#VALUE!</v>
      </c>
    </row>
    <row r="133" spans="1:16" s="115" customFormat="1" ht="12" hidden="1" outlineLevel="2" thickBot="1">
      <c r="A133" s="115" t="str">
        <f t="shared" si="10"/>
        <v>P39701000B</v>
      </c>
      <c r="B133" s="115" t="str">
        <f t="shared" si="11"/>
        <v>F17H</v>
      </c>
      <c r="C133" s="135" t="s">
        <v>1732</v>
      </c>
      <c r="D133" s="135"/>
      <c r="E133" s="135" t="s">
        <v>1733</v>
      </c>
      <c r="F133" s="131" t="s">
        <v>1663</v>
      </c>
      <c r="G133" s="131" t="e">
        <v>#VALUE!</v>
      </c>
      <c r="H133" s="173">
        <v>-1</v>
      </c>
      <c r="I133" s="173"/>
      <c r="J133" s="173" t="e">
        <f>_xll.GetCtData("COAMOUNT","CONSAMOUNT",$A$1:$A$8,$A133:$B133,,"#Erreur de syntaxe : Expression incomplète")/10^3*$H133</f>
        <v>#VALUE!</v>
      </c>
      <c r="K133" s="173"/>
      <c r="L133" s="173" t="e">
        <f>_xll.GetCtData("COAMOUNT","CONSAMOUNT",$A$1:$A$8,$A133:$B133,,"#Erreur de syntaxe : Expression incomplète")/10^3*$H133</f>
        <v>#VALUE!</v>
      </c>
      <c r="N133" s="173" t="e">
        <f>_xll.GetCtData("COAMOUNT","CONSAMOUNT",$A$1:$A$8,$A133:$B133,,"#Erreur de syntaxe : Expression incomplète")/10^3*$H133</f>
        <v>#VALUE!</v>
      </c>
      <c r="P133" s="173" t="e">
        <f t="shared" si="7"/>
        <v>#VALUE!</v>
      </c>
    </row>
    <row r="134" spans="1:16" s="115" customFormat="1" ht="12" hidden="1" outlineLevel="2" thickBot="1">
      <c r="A134" s="115" t="str">
        <f t="shared" si="10"/>
        <v>P39701100B</v>
      </c>
      <c r="B134" s="115" t="str">
        <f t="shared" si="11"/>
        <v>F17H</v>
      </c>
      <c r="C134" s="135" t="s">
        <v>1139</v>
      </c>
      <c r="D134" s="135"/>
      <c r="E134" s="135" t="s">
        <v>1140</v>
      </c>
      <c r="F134" s="131" t="s">
        <v>1663</v>
      </c>
      <c r="G134" s="131" t="e">
        <v>#VALUE!</v>
      </c>
      <c r="H134" s="173">
        <v>-1</v>
      </c>
      <c r="I134" s="173"/>
      <c r="J134" s="173" t="e">
        <f>_xll.GetCtData("COAMOUNT","CONSAMOUNT",$A$1:$A$8,$A134:$B134,,"#Erreur de syntaxe : Expression incomplète")/10^3*$H134</f>
        <v>#VALUE!</v>
      </c>
      <c r="K134" s="173"/>
      <c r="L134" s="173" t="e">
        <f>_xll.GetCtData("COAMOUNT","CONSAMOUNT",$A$1:$A$8,$A134:$B134,,"#Erreur de syntaxe : Expression incomplète")/10^3*$H134</f>
        <v>#VALUE!</v>
      </c>
      <c r="N134" s="173" t="e">
        <f>_xll.GetCtData("COAMOUNT","CONSAMOUNT",$A$1:$A$8,$A134:$B134,,"#Erreur de syntaxe : Expression incomplète")/10^3*$H134</f>
        <v>#VALUE!</v>
      </c>
      <c r="P134" s="173" t="e">
        <f t="shared" si="7"/>
        <v>#VALUE!</v>
      </c>
    </row>
    <row r="135" spans="1:16" s="115" customFormat="1" ht="12" hidden="1" outlineLevel="2" thickBot="1">
      <c r="A135" s="115" t="str">
        <f t="shared" si="10"/>
        <v>P39701000V</v>
      </c>
      <c r="B135" s="115" t="str">
        <f t="shared" si="11"/>
        <v>F17H</v>
      </c>
      <c r="C135" s="135" t="s">
        <v>1735</v>
      </c>
      <c r="D135" s="135"/>
      <c r="E135" s="135" t="s">
        <v>1736</v>
      </c>
      <c r="F135" s="131" t="s">
        <v>1663</v>
      </c>
      <c r="G135" s="131" t="e">
        <v>#VALUE!</v>
      </c>
      <c r="H135" s="173">
        <v>-1</v>
      </c>
      <c r="I135" s="173"/>
      <c r="J135" s="173" t="e">
        <f>_xll.GetCtData("COAMOUNT","CONSAMOUNT",$A$1:$A$8,$A135:$B135,,"#Erreur de syntaxe : Expression incomplète")/10^3*$H135</f>
        <v>#VALUE!</v>
      </c>
      <c r="K135" s="173"/>
      <c r="L135" s="173" t="e">
        <f>_xll.GetCtData("COAMOUNT","CONSAMOUNT",$A$1:$A$8,$A135:$B135,,"#Erreur de syntaxe : Expression incomplète")/10^3*$H135</f>
        <v>#VALUE!</v>
      </c>
      <c r="N135" s="173" t="e">
        <f>_xll.GetCtData("COAMOUNT","CONSAMOUNT",$A$1:$A$8,$A135:$B135,,"#Erreur de syntaxe : Expression incomplète")/10^3*$H135</f>
        <v>#VALUE!</v>
      </c>
      <c r="P135" s="173" t="e">
        <f t="shared" si="7"/>
        <v>#VALUE!</v>
      </c>
    </row>
    <row r="136" spans="1:16" s="115" customFormat="1" ht="12" hidden="1" outlineLevel="2" thickBot="1">
      <c r="A136" s="115" t="str">
        <f t="shared" si="10"/>
        <v>P39701100V</v>
      </c>
      <c r="B136" s="115" t="str">
        <f t="shared" si="11"/>
        <v>F17H</v>
      </c>
      <c r="C136" s="135" t="s">
        <v>1133</v>
      </c>
      <c r="D136" s="135"/>
      <c r="E136" s="135" t="s">
        <v>1134</v>
      </c>
      <c r="F136" s="131" t="s">
        <v>1663</v>
      </c>
      <c r="G136" s="131" t="e">
        <v>#VALUE!</v>
      </c>
      <c r="H136" s="173">
        <v>-1</v>
      </c>
      <c r="I136" s="173"/>
      <c r="J136" s="173" t="e">
        <f>_xll.GetCtData("COAMOUNT","CONSAMOUNT",$A$1:$A$8,$A136:$B136,,"#Erreur de syntaxe : Expression incomplète")/10^3*$H136</f>
        <v>#VALUE!</v>
      </c>
      <c r="K136" s="173"/>
      <c r="L136" s="173" t="e">
        <f>_xll.GetCtData("COAMOUNT","CONSAMOUNT",$A$1:$A$8,$A136:$B136,,"#Erreur de syntaxe : Expression incomplète")/10^3*$H136</f>
        <v>#VALUE!</v>
      </c>
      <c r="N136" s="173" t="e">
        <f>_xll.GetCtData("COAMOUNT","CONSAMOUNT",$A$1:$A$8,$A136:$B136,,"#Erreur de syntaxe : Expression incomplète")/10^3*$H136</f>
        <v>#VALUE!</v>
      </c>
      <c r="P136" s="173" t="e">
        <f t="shared" si="7"/>
        <v>#VALUE!</v>
      </c>
    </row>
    <row r="137" spans="1:16" s="115" customFormat="1" ht="12" hidden="1" outlineLevel="2" thickBot="1">
      <c r="A137" s="115" t="str">
        <f t="shared" si="10"/>
        <v>A39702000B</v>
      </c>
      <c r="B137" s="115" t="str">
        <f t="shared" si="11"/>
        <v>F17H</v>
      </c>
      <c r="C137" s="135" t="s">
        <v>1702</v>
      </c>
      <c r="D137" s="135"/>
      <c r="E137" s="135" t="s">
        <v>1703</v>
      </c>
      <c r="F137" s="131" t="s">
        <v>1663</v>
      </c>
      <c r="G137" s="131" t="e">
        <v>#VALUE!</v>
      </c>
      <c r="H137" s="173">
        <v>1</v>
      </c>
      <c r="I137" s="173"/>
      <c r="J137" s="173"/>
      <c r="K137" s="173" t="e">
        <f>_xll.GetCtData("COAMOUNT","CONSAMOUNT",$A$1:$A$8,$A137:$B137,,"#Erreur de syntaxe : Expression incomplète")/10^3*$H137</f>
        <v>#VALUE!</v>
      </c>
      <c r="L137" s="173" t="e">
        <f>_xll.GetCtData("COAMOUNT","CONSAMOUNT",$A$1:$A$8,$A137:$B137,,"#Erreur de syntaxe : Expression incomplète")/10^3*$H137</f>
        <v>#VALUE!</v>
      </c>
      <c r="N137" s="173" t="e">
        <f>_xll.GetCtData("COAMOUNT","CONSAMOUNT",$A$1:$A$8,$A137:$B137,,"#Erreur de syntaxe : Expression incomplète")/10^3*$H137</f>
        <v>#VALUE!</v>
      </c>
      <c r="P137" s="173" t="e">
        <f t="shared" si="7"/>
        <v>#VALUE!</v>
      </c>
    </row>
    <row r="138" spans="1:16" s="115" customFormat="1" ht="12" hidden="1" outlineLevel="2" thickBot="1">
      <c r="A138" s="115" t="str">
        <f t="shared" si="10"/>
        <v>A39702000V</v>
      </c>
      <c r="B138" s="115" t="str">
        <f t="shared" si="11"/>
        <v>F17H</v>
      </c>
      <c r="C138" s="135" t="s">
        <v>1705</v>
      </c>
      <c r="D138" s="135"/>
      <c r="E138" s="135" t="s">
        <v>1706</v>
      </c>
      <c r="F138" s="131" t="s">
        <v>1663</v>
      </c>
      <c r="G138" s="131" t="e">
        <v>#VALUE!</v>
      </c>
      <c r="H138" s="173">
        <v>1</v>
      </c>
      <c r="I138" s="173"/>
      <c r="J138" s="173"/>
      <c r="K138" s="173" t="e">
        <f>_xll.GetCtData("COAMOUNT","CONSAMOUNT",$A$1:$A$8,$A138:$B138,,"#Erreur de syntaxe : Expression incomplète")/10^3*$H138</f>
        <v>#VALUE!</v>
      </c>
      <c r="L138" s="173" t="e">
        <f>_xll.GetCtData("COAMOUNT","CONSAMOUNT",$A$1:$A$8,$A138:$B138,,"#Erreur de syntaxe : Expression incomplète")/10^3*$H138</f>
        <v>#VALUE!</v>
      </c>
      <c r="N138" s="173" t="e">
        <f>_xll.GetCtData("COAMOUNT","CONSAMOUNT",$A$1:$A$8,$A138:$B138,,"#Erreur de syntaxe : Expression incomplète")/10^3*$H138</f>
        <v>#VALUE!</v>
      </c>
      <c r="P138" s="173" t="e">
        <f t="shared" si="7"/>
        <v>#VALUE!</v>
      </c>
    </row>
    <row r="139" spans="1:16" s="115" customFormat="1" ht="12" hidden="1" outlineLevel="2" thickBot="1">
      <c r="A139" s="115" t="str">
        <f t="shared" si="10"/>
        <v>P39702000B</v>
      </c>
      <c r="B139" s="115" t="str">
        <f t="shared" si="11"/>
        <v>F17H</v>
      </c>
      <c r="C139" s="135" t="s">
        <v>1741</v>
      </c>
      <c r="D139" s="135"/>
      <c r="E139" s="135" t="s">
        <v>1742</v>
      </c>
      <c r="F139" s="131" t="s">
        <v>1663</v>
      </c>
      <c r="G139" s="131" t="e">
        <v>#VALUE!</v>
      </c>
      <c r="H139" s="173">
        <v>-1</v>
      </c>
      <c r="I139" s="173"/>
      <c r="J139" s="173"/>
      <c r="K139" s="173" t="e">
        <f>_xll.GetCtData("COAMOUNT","CONSAMOUNT",$A$1:$A$8,$A139:$B139,,"#Erreur de syntaxe : Expression incomplète")/10^3*$H139</f>
        <v>#VALUE!</v>
      </c>
      <c r="L139" s="173" t="e">
        <f>_xll.GetCtData("COAMOUNT","CONSAMOUNT",$A$1:$A$8,$A139:$B139,,"#Erreur de syntaxe : Expression incomplète")/10^3*$H139</f>
        <v>#VALUE!</v>
      </c>
      <c r="N139" s="173" t="e">
        <f>_xll.GetCtData("COAMOUNT","CONSAMOUNT",$A$1:$A$8,$A139:$B139,,"#Erreur de syntaxe : Expression incomplète")/10^3*$H139</f>
        <v>#VALUE!</v>
      </c>
      <c r="P139" s="173" t="e">
        <f t="shared" si="7"/>
        <v>#VALUE!</v>
      </c>
    </row>
    <row r="140" spans="1:16" s="115" customFormat="1" ht="12" hidden="1" outlineLevel="2" thickBot="1">
      <c r="A140" s="115" t="str">
        <f t="shared" si="10"/>
        <v>P39702000V</v>
      </c>
      <c r="B140" s="115" t="str">
        <f t="shared" si="11"/>
        <v>F17H</v>
      </c>
      <c r="C140" s="135" t="s">
        <v>1750</v>
      </c>
      <c r="D140" s="135"/>
      <c r="E140" s="135" t="s">
        <v>1751</v>
      </c>
      <c r="F140" s="131" t="s">
        <v>1663</v>
      </c>
      <c r="G140" s="131" t="e">
        <v>#VALUE!</v>
      </c>
      <c r="H140" s="173">
        <v>-1</v>
      </c>
      <c r="I140" s="173"/>
      <c r="J140" s="173"/>
      <c r="K140" s="173" t="e">
        <f>_xll.GetCtData("COAMOUNT","CONSAMOUNT",$A$1:$A$8,$A140:$B140,,"#Erreur de syntaxe : Expression incomplète")/10^3*$H140</f>
        <v>#VALUE!</v>
      </c>
      <c r="L140" s="173" t="e">
        <f>_xll.GetCtData("COAMOUNT","CONSAMOUNT",$A$1:$A$8,$A140:$B140,,"#Erreur de syntaxe : Expression incomplète")/10^3*$H140</f>
        <v>#VALUE!</v>
      </c>
      <c r="N140" s="173" t="e">
        <f>_xll.GetCtData("COAMOUNT","CONSAMOUNT",$A$1:$A$8,$A140:$B140,,"#Erreur de syntaxe : Expression incomplète")/10^3*$H140</f>
        <v>#VALUE!</v>
      </c>
      <c r="P140" s="173" t="e">
        <f t="shared" si="7"/>
        <v>#VALUE!</v>
      </c>
    </row>
    <row r="141" spans="1:16" ht="12" hidden="1" customHeight="1" outlineLevel="2">
      <c r="A141" s="115"/>
      <c r="E141" s="158" t="s">
        <v>1570</v>
      </c>
      <c r="F141" s="158"/>
      <c r="G141" s="158"/>
      <c r="H141" s="158"/>
      <c r="I141" s="184" t="e">
        <f>SUM(I121:I140)/10^3-I120</f>
        <v>#VALUE!</v>
      </c>
      <c r="J141" s="184" t="e">
        <f>SUM(J121:J140)/10^3-J120</f>
        <v>#VALUE!</v>
      </c>
      <c r="K141" s="184" t="e">
        <f>SUM(K121:K140)/10^3-K120</f>
        <v>#VALUE!</v>
      </c>
      <c r="L141" s="184" t="e">
        <f>SUM(L121:L140)/10^3-L120</f>
        <v>#VALUE!</v>
      </c>
      <c r="N141" s="184" t="e">
        <f>SUM(N121:N140)/10^3-N120</f>
        <v>#VALUE!</v>
      </c>
      <c r="P141" s="184" t="e">
        <f t="shared" si="7"/>
        <v>#VALUE!</v>
      </c>
    </row>
    <row r="142" spans="1:16" s="115" customFormat="1" ht="12" hidden="1" outlineLevel="1" collapsed="1" thickBot="1">
      <c r="A142" s="123" t="s">
        <v>1113</v>
      </c>
      <c r="C142" s="123" t="str">
        <f>A142</f>
        <v>FL=XRF1022RT</v>
      </c>
      <c r="D142" s="123"/>
      <c r="E142" s="181" t="s">
        <v>132</v>
      </c>
      <c r="F142" s="182"/>
      <c r="G142" s="182"/>
      <c r="H142" s="182"/>
      <c r="I142" s="182">
        <f>_xll.GetCtData("COAMOUNT","CONSAMOUNT",$A$1:$A$8,$A142,H$6,"#")/10^3</f>
        <v>0</v>
      </c>
      <c r="J142" s="182">
        <f>_xll.GetCtData("COAMOUNT","CONSAMOUNT",$A$1:$A$8,$A142,I$6,"#")/10^3</f>
        <v>0</v>
      </c>
      <c r="K142" s="182">
        <f>_xll.GetCtData("COAMOUNT","CONSAMOUNT",$A$1:$A$8,$A142,J$6,"#")/10^3</f>
        <v>0</v>
      </c>
      <c r="L142" s="182">
        <f>_xll.GetCtData("COAMOUNT","CONSAMOUNT",$A$1:$A$8,$A142,K$6,"#")/10^3</f>
        <v>0</v>
      </c>
      <c r="N142" s="182">
        <f>_xll.GetCtData("COAMOUNT","CONSAMOUNT",$A$1:$A$8,$A142,N$6,"#")/10^3</f>
        <v>0</v>
      </c>
      <c r="P142" s="182">
        <f t="shared" si="7"/>
        <v>0</v>
      </c>
    </row>
    <row r="143" spans="1:16" s="115" customFormat="1" ht="12" hidden="1" outlineLevel="2" thickBot="1">
      <c r="A143" s="115" t="str">
        <f>$C$1&amp;C143</f>
        <v>R60786000B</v>
      </c>
      <c r="B143" s="115" t="str">
        <f>$C$2&amp;F143</f>
        <v>F99</v>
      </c>
      <c r="C143" s="135" t="s">
        <v>1774</v>
      </c>
      <c r="D143" s="135"/>
      <c r="E143" s="135" t="s">
        <v>1775</v>
      </c>
      <c r="F143" s="131" t="s">
        <v>66</v>
      </c>
      <c r="G143" s="131" t="e">
        <v>#VALUE!</v>
      </c>
      <c r="H143" s="173">
        <v>1</v>
      </c>
      <c r="I143" s="173" t="e">
        <f>_xll.GetCtData("COAMOUNT","CONSAMOUNT",$A$1:$A$8,$A143:$B143,,"#Erreur de syntaxe : Expression incomplète")/10^3*$H143</f>
        <v>#VALUE!</v>
      </c>
      <c r="J143" s="173"/>
      <c r="K143" s="173"/>
      <c r="L143" s="173" t="e">
        <f>_xll.GetCtData("COAMOUNT","CONSAMOUNT",$A$1:$A$8,$A143:$B143,,"#Erreur de syntaxe : Expression incomplète")/10^3*$H143</f>
        <v>#VALUE!</v>
      </c>
      <c r="N143" s="173" t="e">
        <f>_xll.GetCtData("COAMOUNT","CONSAMOUNT",$A$1:$A$8,$A143:$B143,,"#Erreur de syntaxe : Expression incomplète")/10^3*$H143</f>
        <v>#VALUE!</v>
      </c>
      <c r="P143" s="173" t="e">
        <f t="shared" si="7"/>
        <v>#VALUE!</v>
      </c>
    </row>
    <row r="144" spans="1:16" s="115" customFormat="1" ht="12" hidden="1" outlineLevel="2" thickBot="1">
      <c r="A144" s="115" t="str">
        <f>$C$1&amp;C144</f>
        <v>R60786000V</v>
      </c>
      <c r="B144" s="115" t="str">
        <f>$C$2&amp;F144</f>
        <v>F99</v>
      </c>
      <c r="C144" s="135" t="s">
        <v>1776</v>
      </c>
      <c r="D144" s="135"/>
      <c r="E144" s="135" t="s">
        <v>1777</v>
      </c>
      <c r="F144" s="131" t="s">
        <v>66</v>
      </c>
      <c r="G144" s="131" t="e">
        <v>#VALUE!</v>
      </c>
      <c r="H144" s="173">
        <v>1</v>
      </c>
      <c r="I144" s="173" t="e">
        <f>_xll.GetCtData("COAMOUNT","CONSAMOUNT",$A$1:$A$8,$A144:$B144,,"#Erreur de syntaxe : Expression incomplète")/10^3*$H144</f>
        <v>#VALUE!</v>
      </c>
      <c r="J144" s="173"/>
      <c r="K144" s="173"/>
      <c r="L144" s="173" t="e">
        <f>_xll.GetCtData("COAMOUNT","CONSAMOUNT",$A$1:$A$8,$A144:$B144,,"#Erreur de syntaxe : Expression incomplète")/10^3*$H144</f>
        <v>#VALUE!</v>
      </c>
      <c r="N144" s="173" t="e">
        <f>_xll.GetCtData("COAMOUNT","CONSAMOUNT",$A$1:$A$8,$A144:$B144,,"#Erreur de syntaxe : Expression incomplète")/10^3*$H144</f>
        <v>#VALUE!</v>
      </c>
      <c r="P144" s="173" t="e">
        <f t="shared" si="7"/>
        <v>#VALUE!</v>
      </c>
    </row>
    <row r="145" spans="1:16" ht="12" hidden="1" customHeight="1" outlineLevel="2">
      <c r="A145" s="115"/>
      <c r="E145" s="158" t="s">
        <v>1029</v>
      </c>
      <c r="F145" s="158"/>
      <c r="G145" s="158"/>
      <c r="H145" s="158"/>
      <c r="I145" s="184" t="e">
        <f>SUM(I143:I144)/10^3-I142</f>
        <v>#VALUE!</v>
      </c>
      <c r="J145" s="184">
        <f>SUM(J143:J144)/10^3-J142</f>
        <v>0</v>
      </c>
      <c r="K145" s="184">
        <f>SUM(K143:K144)/10^3-K142</f>
        <v>0</v>
      </c>
      <c r="L145" s="184" t="e">
        <f>SUM(L143:L144)/10^3-L142</f>
        <v>#VALUE!</v>
      </c>
      <c r="N145" s="184" t="e">
        <f>SUM(N143:N144)/10^3-N142</f>
        <v>#VALUE!</v>
      </c>
      <c r="P145" s="184" t="e">
        <f t="shared" si="7"/>
        <v>#VALUE!</v>
      </c>
    </row>
    <row r="146" spans="1:16" s="115" customFormat="1" ht="12" hidden="1" outlineLevel="1" collapsed="1" thickBot="1">
      <c r="A146" s="123" t="s">
        <v>1081</v>
      </c>
      <c r="C146" s="123" t="s">
        <v>1665</v>
      </c>
      <c r="D146" s="123"/>
      <c r="E146" s="181" t="s">
        <v>108</v>
      </c>
      <c r="F146" s="182"/>
      <c r="G146" s="182"/>
      <c r="H146" s="182"/>
      <c r="I146" s="182">
        <f>_xll.GetCtData("COAMOUNT","CONSAMOUNT",$A$1:$A$8,$A146,H$6,"#-421,61705493225")/10^3</f>
        <v>-0.42161705493225005</v>
      </c>
      <c r="J146" s="182">
        <f>_xll.GetCtData("COAMOUNT","CONSAMOUNT",$A$1:$A$8,$A146,I$6,"#")/10^3</f>
        <v>0</v>
      </c>
      <c r="K146" s="182">
        <f>_xll.GetCtData("COAMOUNT","CONSAMOUNT",$A$1:$A$8,$A146,J$6,"#")/10^3</f>
        <v>0</v>
      </c>
      <c r="L146" s="182">
        <f>_xll.GetCtData("COAMOUNT","CONSAMOUNT",$A$1:$A$8,$A146,K$6,"#-421,61705493225")/10^3</f>
        <v>-0.42161705493225005</v>
      </c>
      <c r="N146" s="182">
        <f>_xll.GetCtData("COAMOUNT","CONSAMOUNT",$A$1:$A$8,$A146,N$6,"#-421,61705493225")/10^3</f>
        <v>-0.42161705493225005</v>
      </c>
      <c r="P146" s="182">
        <f t="shared" si="7"/>
        <v>-0.84323410986450009</v>
      </c>
    </row>
    <row r="147" spans="1:16" s="115" customFormat="1" ht="12" hidden="1" outlineLevel="1" thickBot="1">
      <c r="A147" s="115" t="str">
        <f t="shared" ref="A147:A202" si="12">$C$1&amp;C147</f>
        <v>A39700000B</v>
      </c>
      <c r="B147" s="115" t="str">
        <f t="shared" ref="B147:B202" si="13">$C$2&amp;F147</f>
        <v>F81</v>
      </c>
      <c r="C147" s="135" t="s">
        <v>1690</v>
      </c>
      <c r="D147" s="135"/>
      <c r="E147" s="135" t="s">
        <v>1691</v>
      </c>
      <c r="F147" s="131" t="s">
        <v>161</v>
      </c>
      <c r="G147" s="131" t="e">
        <v>#VALUE!</v>
      </c>
      <c r="H147" s="173">
        <v>1</v>
      </c>
      <c r="I147" s="173" t="e">
        <f>_xll.GetCtData("COAMOUNT","CONSAMOUNT",$A$1:$A$8,$A147:$B147,,"#Erreur de syntaxe : Expression incomplète")/10^3*$H147</f>
        <v>#VALUE!</v>
      </c>
      <c r="J147" s="173"/>
      <c r="K147" s="173"/>
      <c r="L147" s="173" t="e">
        <f>_xll.GetCtData("COAMOUNT","CONSAMOUNT",$A$1:$A$8,$A147:$B147,,"#Erreur de syntaxe : Expression incomplète")/10^3*$H147</f>
        <v>#VALUE!</v>
      </c>
      <c r="N147" s="173" t="e">
        <f>_xll.GetCtData("COAMOUNT","CONSAMOUNT",$A$1:$A$8,$A147:$B147,,"#Erreur de syntaxe : Expression incomplète")/10^3*$H147</f>
        <v>#VALUE!</v>
      </c>
      <c r="P147" s="173" t="e">
        <f t="shared" si="7"/>
        <v>#VALUE!</v>
      </c>
    </row>
    <row r="148" spans="1:16" s="115" customFormat="1" ht="12" hidden="1" outlineLevel="1" thickBot="1">
      <c r="A148" s="115" t="str">
        <f t="shared" si="12"/>
        <v>A39700100B</v>
      </c>
      <c r="B148" s="115" t="str">
        <f t="shared" si="13"/>
        <v>F81</v>
      </c>
      <c r="C148" s="135" t="s">
        <v>1714</v>
      </c>
      <c r="D148" s="135"/>
      <c r="E148" s="135" t="s">
        <v>1715</v>
      </c>
      <c r="F148" s="131" t="s">
        <v>161</v>
      </c>
      <c r="G148" s="131" t="e">
        <v>#VALUE!</v>
      </c>
      <c r="H148" s="173">
        <v>1</v>
      </c>
      <c r="I148" s="173" t="e">
        <f>_xll.GetCtData("COAMOUNT","CONSAMOUNT",$A$1:$A$8,$A148:$B148,,"#Erreur de syntaxe : Expression incomplète")/10^3*$H148</f>
        <v>#VALUE!</v>
      </c>
      <c r="J148" s="173"/>
      <c r="K148" s="173"/>
      <c r="L148" s="173" t="e">
        <f>_xll.GetCtData("COAMOUNT","CONSAMOUNT",$A$1:$A$8,$A148:$B148,,"#Erreur de syntaxe : Expression incomplète")/10^3*$H148</f>
        <v>#VALUE!</v>
      </c>
      <c r="N148" s="173" t="e">
        <f>_xll.GetCtData("COAMOUNT","CONSAMOUNT",$A$1:$A$8,$A148:$B148,,"#Erreur de syntaxe : Expression incomplète")/10^3*$H148</f>
        <v>#VALUE!</v>
      </c>
      <c r="P148" s="173" t="e">
        <f t="shared" si="7"/>
        <v>#VALUE!</v>
      </c>
    </row>
    <row r="149" spans="1:16" s="115" customFormat="1" ht="12" hidden="1" outlineLevel="1" thickBot="1">
      <c r="A149" s="115" t="str">
        <f t="shared" si="12"/>
        <v>A39400000B</v>
      </c>
      <c r="B149" s="115" t="str">
        <f t="shared" si="13"/>
        <v>F81</v>
      </c>
      <c r="C149" s="135" t="s">
        <v>1708</v>
      </c>
      <c r="D149" s="135"/>
      <c r="E149" s="135" t="s">
        <v>1709</v>
      </c>
      <c r="F149" s="131" t="s">
        <v>161</v>
      </c>
      <c r="G149" s="131" t="e">
        <v>#VALUE!</v>
      </c>
      <c r="H149" s="173">
        <v>1</v>
      </c>
      <c r="I149" s="173" t="e">
        <f>_xll.GetCtData("COAMOUNT","CONSAMOUNT",$A$1:$A$8,$A149:$B149,,"#Erreur de syntaxe : Expression incomplète")/10^3*$H149</f>
        <v>#VALUE!</v>
      </c>
      <c r="J149" s="173"/>
      <c r="K149" s="173"/>
      <c r="L149" s="173" t="e">
        <f>_xll.GetCtData("COAMOUNT","CONSAMOUNT",$A$1:$A$8,$A149:$B149,,"#Erreur de syntaxe : Expression incomplète")/10^3*$H149</f>
        <v>#VALUE!</v>
      </c>
      <c r="N149" s="173" t="e">
        <f>_xll.GetCtData("COAMOUNT","CONSAMOUNT",$A$1:$A$8,$A149:$B149,,"#Erreur de syntaxe : Expression incomplète")/10^3*$H149</f>
        <v>#VALUE!</v>
      </c>
      <c r="P149" s="173" t="e">
        <f t="shared" si="7"/>
        <v>#VALUE!</v>
      </c>
    </row>
    <row r="150" spans="1:16" s="115" customFormat="1" ht="12" hidden="1" outlineLevel="1" thickBot="1">
      <c r="A150" s="115" t="str">
        <f t="shared" si="12"/>
        <v>A39410000B</v>
      </c>
      <c r="B150" s="115" t="str">
        <f t="shared" si="13"/>
        <v>F81</v>
      </c>
      <c r="C150" s="135" t="s">
        <v>1726</v>
      </c>
      <c r="D150" s="135"/>
      <c r="E150" s="135" t="s">
        <v>1778</v>
      </c>
      <c r="F150" s="131" t="s">
        <v>161</v>
      </c>
      <c r="G150" s="131" t="e">
        <v>#VALUE!</v>
      </c>
      <c r="H150" s="173">
        <v>1</v>
      </c>
      <c r="I150" s="173" t="e">
        <f>_xll.GetCtData("COAMOUNT","CONSAMOUNT",$A$1:$A$8,$A150:$B150,,"#Erreur de syntaxe : Expression incomplète")/10^3*$H150</f>
        <v>#VALUE!</v>
      </c>
      <c r="J150" s="173"/>
      <c r="K150" s="173"/>
      <c r="L150" s="173" t="e">
        <f>_xll.GetCtData("COAMOUNT","CONSAMOUNT",$A$1:$A$8,$A150:$B150,,"#Erreur de syntaxe : Expression incomplète")/10^3*$H150</f>
        <v>#VALUE!</v>
      </c>
      <c r="N150" s="173" t="e">
        <f>_xll.GetCtData("COAMOUNT","CONSAMOUNT",$A$1:$A$8,$A150:$B150,,"#Erreur de syntaxe : Expression incomplète")/10^3*$H150</f>
        <v>#VALUE!</v>
      </c>
      <c r="P150" s="173" t="e">
        <f t="shared" si="7"/>
        <v>#VALUE!</v>
      </c>
    </row>
    <row r="151" spans="1:16" s="115" customFormat="1" ht="12" hidden="1" outlineLevel="1" thickBot="1">
      <c r="A151" s="115" t="str">
        <f t="shared" si="12"/>
        <v>A39700000V</v>
      </c>
      <c r="B151" s="115" t="str">
        <f t="shared" si="13"/>
        <v>F81</v>
      </c>
      <c r="C151" s="135" t="s">
        <v>1693</v>
      </c>
      <c r="D151" s="135"/>
      <c r="E151" s="135" t="s">
        <v>1694</v>
      </c>
      <c r="F151" s="131" t="s">
        <v>161</v>
      </c>
      <c r="G151" s="131" t="e">
        <v>#VALUE!</v>
      </c>
      <c r="H151" s="173">
        <v>1</v>
      </c>
      <c r="I151" s="173" t="e">
        <f>_xll.GetCtData("COAMOUNT","CONSAMOUNT",$A$1:$A$8,$A151:$B151,,"#Erreur de syntaxe : Expression incomplète")/10^3*$H151</f>
        <v>#VALUE!</v>
      </c>
      <c r="J151" s="173"/>
      <c r="K151" s="173"/>
      <c r="L151" s="173" t="e">
        <f>_xll.GetCtData("COAMOUNT","CONSAMOUNT",$A$1:$A$8,$A151:$B151,,"#Erreur de syntaxe : Expression incomplète")/10^3*$H151</f>
        <v>#VALUE!</v>
      </c>
      <c r="N151" s="173" t="e">
        <f>_xll.GetCtData("COAMOUNT","CONSAMOUNT",$A$1:$A$8,$A151:$B151,,"#Erreur de syntaxe : Expression incomplète")/10^3*$H151</f>
        <v>#VALUE!</v>
      </c>
      <c r="P151" s="173" t="e">
        <f t="shared" si="7"/>
        <v>#VALUE!</v>
      </c>
    </row>
    <row r="152" spans="1:16" s="115" customFormat="1" ht="12" hidden="1" outlineLevel="1" thickBot="1">
      <c r="A152" s="115" t="str">
        <f t="shared" si="12"/>
        <v>A39700100V</v>
      </c>
      <c r="B152" s="115" t="str">
        <f t="shared" si="13"/>
        <v>F81</v>
      </c>
      <c r="C152" s="135" t="s">
        <v>1717</v>
      </c>
      <c r="D152" s="135"/>
      <c r="E152" s="135" t="s">
        <v>1718</v>
      </c>
      <c r="F152" s="131" t="s">
        <v>161</v>
      </c>
      <c r="G152" s="131" t="e">
        <v>#VALUE!</v>
      </c>
      <c r="H152" s="173">
        <v>1</v>
      </c>
      <c r="I152" s="173" t="e">
        <f>_xll.GetCtData("COAMOUNT","CONSAMOUNT",$A$1:$A$8,$A152:$B152,,"#Erreur de syntaxe : Expression incomplète")/10^3*$H152</f>
        <v>#VALUE!</v>
      </c>
      <c r="J152" s="173"/>
      <c r="K152" s="173"/>
      <c r="L152" s="173" t="e">
        <f>_xll.GetCtData("COAMOUNT","CONSAMOUNT",$A$1:$A$8,$A152:$B152,,"#Erreur de syntaxe : Expression incomplète")/10^3*$H152</f>
        <v>#VALUE!</v>
      </c>
      <c r="N152" s="173" t="e">
        <f>_xll.GetCtData("COAMOUNT","CONSAMOUNT",$A$1:$A$8,$A152:$B152,,"#Erreur de syntaxe : Expression incomplète")/10^3*$H152</f>
        <v>#VALUE!</v>
      </c>
      <c r="P152" s="173" t="e">
        <f t="shared" si="7"/>
        <v>#VALUE!</v>
      </c>
    </row>
    <row r="153" spans="1:16" s="115" customFormat="1" ht="12" hidden="1" outlineLevel="1" thickBot="1">
      <c r="A153" s="115" t="str">
        <f t="shared" si="12"/>
        <v>A39400000V</v>
      </c>
      <c r="B153" s="115" t="str">
        <f t="shared" si="13"/>
        <v>F81</v>
      </c>
      <c r="C153" s="135" t="s">
        <v>1711</v>
      </c>
      <c r="D153" s="135"/>
      <c r="E153" s="135" t="s">
        <v>1712</v>
      </c>
      <c r="F153" s="131" t="s">
        <v>161</v>
      </c>
      <c r="G153" s="131" t="e">
        <v>#VALUE!</v>
      </c>
      <c r="H153" s="173">
        <v>1</v>
      </c>
      <c r="I153" s="173" t="e">
        <f>_xll.GetCtData("COAMOUNT","CONSAMOUNT",$A$1:$A$8,$A153:$B153,,"#Erreur de syntaxe : Expression incomplète")/10^3*$H153</f>
        <v>#VALUE!</v>
      </c>
      <c r="J153" s="173"/>
      <c r="K153" s="173"/>
      <c r="L153" s="173" t="e">
        <f>_xll.GetCtData("COAMOUNT","CONSAMOUNT",$A$1:$A$8,$A153:$B153,,"#Erreur de syntaxe : Expression incomplète")/10^3*$H153</f>
        <v>#VALUE!</v>
      </c>
      <c r="N153" s="173" t="e">
        <f>_xll.GetCtData("COAMOUNT","CONSAMOUNT",$A$1:$A$8,$A153:$B153,,"#Erreur de syntaxe : Expression incomplète")/10^3*$H153</f>
        <v>#VALUE!</v>
      </c>
      <c r="P153" s="173" t="e">
        <f t="shared" si="7"/>
        <v>#VALUE!</v>
      </c>
    </row>
    <row r="154" spans="1:16" s="115" customFormat="1" ht="12" hidden="1" outlineLevel="1" thickBot="1">
      <c r="A154" s="115" t="str">
        <f t="shared" si="12"/>
        <v>A39410000V</v>
      </c>
      <c r="B154" s="115" t="str">
        <f t="shared" si="13"/>
        <v>F81</v>
      </c>
      <c r="C154" s="135" t="s">
        <v>1729</v>
      </c>
      <c r="D154" s="135"/>
      <c r="E154" s="135" t="s">
        <v>1779</v>
      </c>
      <c r="F154" s="131" t="s">
        <v>161</v>
      </c>
      <c r="G154" s="131" t="e">
        <v>#VALUE!</v>
      </c>
      <c r="H154" s="173">
        <v>1</v>
      </c>
      <c r="I154" s="173" t="e">
        <f>_xll.GetCtData("COAMOUNT","CONSAMOUNT",$A$1:$A$8,$A154:$B154,,"#Erreur de syntaxe : Expression incomplète")/10^3*$H154</f>
        <v>#VALUE!</v>
      </c>
      <c r="J154" s="173"/>
      <c r="K154" s="173"/>
      <c r="L154" s="173" t="e">
        <f>_xll.GetCtData("COAMOUNT","CONSAMOUNT",$A$1:$A$8,$A154:$B154,,"#Erreur de syntaxe : Expression incomplète")/10^3*$H154</f>
        <v>#VALUE!</v>
      </c>
      <c r="N154" s="173" t="e">
        <f>_xll.GetCtData("COAMOUNT","CONSAMOUNT",$A$1:$A$8,$A154:$B154,,"#Erreur de syntaxe : Expression incomplète")/10^3*$H154</f>
        <v>#VALUE!</v>
      </c>
      <c r="P154" s="173" t="e">
        <f t="shared" si="7"/>
        <v>#VALUE!</v>
      </c>
    </row>
    <row r="155" spans="1:16" s="115" customFormat="1" ht="12" hidden="1" outlineLevel="1" thickBot="1">
      <c r="A155" s="115" t="str">
        <f t="shared" si="12"/>
        <v>P39700000B</v>
      </c>
      <c r="B155" s="115" t="str">
        <f t="shared" si="13"/>
        <v>F81</v>
      </c>
      <c r="C155" s="135" t="s">
        <v>1738</v>
      </c>
      <c r="D155" s="135"/>
      <c r="E155" s="135" t="s">
        <v>1739</v>
      </c>
      <c r="F155" s="131" t="s">
        <v>161</v>
      </c>
      <c r="G155" s="131" t="e">
        <v>#VALUE!</v>
      </c>
      <c r="H155" s="173">
        <v>-1</v>
      </c>
      <c r="I155" s="173" t="e">
        <f>_xll.GetCtData("COAMOUNT","CONSAMOUNT",$A$1:$A$8,$A155:$B155,,"#Erreur de syntaxe : Expression incomplète")/10^3*$H155</f>
        <v>#VALUE!</v>
      </c>
      <c r="J155" s="173"/>
      <c r="K155" s="173"/>
      <c r="L155" s="173" t="e">
        <f>_xll.GetCtData("COAMOUNT","CONSAMOUNT",$A$1:$A$8,$A155:$B155,,"#Erreur de syntaxe : Expression incomplète")/10^3*$H155</f>
        <v>#VALUE!</v>
      </c>
      <c r="N155" s="173" t="e">
        <f>_xll.GetCtData("COAMOUNT","CONSAMOUNT",$A$1:$A$8,$A155:$B155,,"#Erreur de syntaxe : Expression incomplète")/10^3*$H155</f>
        <v>#VALUE!</v>
      </c>
      <c r="P155" s="173" t="e">
        <f t="shared" ref="P155:P218" si="14">L155+N155</f>
        <v>#VALUE!</v>
      </c>
    </row>
    <row r="156" spans="1:16" s="115" customFormat="1" ht="12" hidden="1" outlineLevel="1" thickBot="1">
      <c r="A156" s="115" t="str">
        <f t="shared" si="12"/>
        <v>P39700100B</v>
      </c>
      <c r="B156" s="115" t="str">
        <f t="shared" si="13"/>
        <v>F81</v>
      </c>
      <c r="C156" s="135" t="s">
        <v>1141</v>
      </c>
      <c r="D156" s="135"/>
      <c r="E156" s="135" t="s">
        <v>1142</v>
      </c>
      <c r="F156" s="131" t="s">
        <v>161</v>
      </c>
      <c r="G156" s="131" t="e">
        <v>#VALUE!</v>
      </c>
      <c r="H156" s="173">
        <v>-1</v>
      </c>
      <c r="I156" s="173" t="e">
        <f>_xll.GetCtData("COAMOUNT","CONSAMOUNT",$A$1:$A$8,$A156:$B156,,"#Erreur de syntaxe : Expression incomplète")/10^3*$H156</f>
        <v>#VALUE!</v>
      </c>
      <c r="J156" s="173"/>
      <c r="K156" s="173"/>
      <c r="L156" s="173" t="e">
        <f>_xll.GetCtData("COAMOUNT","CONSAMOUNT",$A$1:$A$8,$A156:$B156,,"#Erreur de syntaxe : Expression incomplète")/10^3*$H156</f>
        <v>#VALUE!</v>
      </c>
      <c r="N156" s="173" t="e">
        <f>_xll.GetCtData("COAMOUNT","CONSAMOUNT",$A$1:$A$8,$A156:$B156,,"#Erreur de syntaxe : Expression incomplète")/10^3*$H156</f>
        <v>#VALUE!</v>
      </c>
      <c r="P156" s="173" t="e">
        <f t="shared" si="14"/>
        <v>#VALUE!</v>
      </c>
    </row>
    <row r="157" spans="1:16" s="115" customFormat="1" ht="12" hidden="1" outlineLevel="1" thickBot="1">
      <c r="A157" s="115" t="str">
        <f t="shared" si="12"/>
        <v>P39400000B</v>
      </c>
      <c r="B157" s="115" t="str">
        <f t="shared" si="13"/>
        <v>F81</v>
      </c>
      <c r="C157" s="135" t="s">
        <v>1744</v>
      </c>
      <c r="D157" s="135"/>
      <c r="E157" s="135" t="s">
        <v>1745</v>
      </c>
      <c r="F157" s="131" t="s">
        <v>161</v>
      </c>
      <c r="G157" s="131" t="e">
        <v>#VALUE!</v>
      </c>
      <c r="H157" s="173">
        <v>-1</v>
      </c>
      <c r="I157" s="173" t="e">
        <f>_xll.GetCtData("COAMOUNT","CONSAMOUNT",$A$1:$A$8,$A157:$B157,,"#Erreur de syntaxe : Expression incomplète")/10^3*$H157</f>
        <v>#VALUE!</v>
      </c>
      <c r="J157" s="173"/>
      <c r="K157" s="173"/>
      <c r="L157" s="173" t="e">
        <f>_xll.GetCtData("COAMOUNT","CONSAMOUNT",$A$1:$A$8,$A157:$B157,,"#Erreur de syntaxe : Expression incomplète")/10^3*$H157</f>
        <v>#VALUE!</v>
      </c>
      <c r="N157" s="173" t="e">
        <f>_xll.GetCtData("COAMOUNT","CONSAMOUNT",$A$1:$A$8,$A157:$B157,,"#Erreur de syntaxe : Expression incomplète")/10^3*$H157</f>
        <v>#VALUE!</v>
      </c>
      <c r="P157" s="173" t="e">
        <f t="shared" si="14"/>
        <v>#VALUE!</v>
      </c>
    </row>
    <row r="158" spans="1:16" s="115" customFormat="1" ht="12" hidden="1" outlineLevel="1" thickBot="1">
      <c r="A158" s="115" t="str">
        <f t="shared" si="12"/>
        <v>P39410000B</v>
      </c>
      <c r="B158" s="115" t="str">
        <f t="shared" si="13"/>
        <v>F81</v>
      </c>
      <c r="C158" s="135" t="s">
        <v>1143</v>
      </c>
      <c r="D158" s="135"/>
      <c r="E158" s="135" t="s">
        <v>1144</v>
      </c>
      <c r="F158" s="131" t="s">
        <v>161</v>
      </c>
      <c r="G158" s="131" t="e">
        <v>#VALUE!</v>
      </c>
      <c r="H158" s="173">
        <v>-1</v>
      </c>
      <c r="I158" s="173" t="e">
        <f>_xll.GetCtData("COAMOUNT","CONSAMOUNT",$A$1:$A$8,$A158:$B158,,"#Erreur de syntaxe : Expression incomplète")/10^3*$H158</f>
        <v>#VALUE!</v>
      </c>
      <c r="J158" s="173"/>
      <c r="K158" s="173"/>
      <c r="L158" s="173" t="e">
        <f>_xll.GetCtData("COAMOUNT","CONSAMOUNT",$A$1:$A$8,$A158:$B158,,"#Erreur de syntaxe : Expression incomplète")/10^3*$H158</f>
        <v>#VALUE!</v>
      </c>
      <c r="N158" s="173" t="e">
        <f>_xll.GetCtData("COAMOUNT","CONSAMOUNT",$A$1:$A$8,$A158:$B158,,"#Erreur de syntaxe : Expression incomplète")/10^3*$H158</f>
        <v>#VALUE!</v>
      </c>
      <c r="P158" s="173" t="e">
        <f t="shared" si="14"/>
        <v>#VALUE!</v>
      </c>
    </row>
    <row r="159" spans="1:16" s="115" customFormat="1" ht="12" hidden="1" outlineLevel="1" thickBot="1">
      <c r="A159" s="115" t="str">
        <f t="shared" si="12"/>
        <v>P39700000V</v>
      </c>
      <c r="B159" s="115" t="str">
        <f t="shared" si="13"/>
        <v>F81</v>
      </c>
      <c r="C159" s="135" t="s">
        <v>1747</v>
      </c>
      <c r="D159" s="135"/>
      <c r="E159" s="135" t="s">
        <v>1748</v>
      </c>
      <c r="F159" s="131" t="s">
        <v>161</v>
      </c>
      <c r="G159" s="131" t="e">
        <v>#VALUE!</v>
      </c>
      <c r="H159" s="173">
        <v>-1</v>
      </c>
      <c r="I159" s="173" t="e">
        <f>_xll.GetCtData("COAMOUNT","CONSAMOUNT",$A$1:$A$8,$A159:$B159,,"#Erreur de syntaxe : Expression incomplète")/10^3*$H159</f>
        <v>#VALUE!</v>
      </c>
      <c r="J159" s="173"/>
      <c r="K159" s="173"/>
      <c r="L159" s="173" t="e">
        <f>_xll.GetCtData("COAMOUNT","CONSAMOUNT",$A$1:$A$8,$A159:$B159,,"#Erreur de syntaxe : Expression incomplète")/10^3*$H159</f>
        <v>#VALUE!</v>
      </c>
      <c r="N159" s="173" t="e">
        <f>_xll.GetCtData("COAMOUNT","CONSAMOUNT",$A$1:$A$8,$A159:$B159,,"#Erreur de syntaxe : Expression incomplète")/10^3*$H159</f>
        <v>#VALUE!</v>
      </c>
      <c r="P159" s="173" t="e">
        <f t="shared" si="14"/>
        <v>#VALUE!</v>
      </c>
    </row>
    <row r="160" spans="1:16" s="115" customFormat="1" ht="12" hidden="1" outlineLevel="1" thickBot="1">
      <c r="A160" s="115" t="str">
        <f t="shared" si="12"/>
        <v>P39700100V</v>
      </c>
      <c r="B160" s="115" t="str">
        <f t="shared" si="13"/>
        <v>F81</v>
      </c>
      <c r="C160" s="135" t="s">
        <v>1135</v>
      </c>
      <c r="D160" s="135"/>
      <c r="E160" s="135" t="s">
        <v>1136</v>
      </c>
      <c r="F160" s="131" t="s">
        <v>161</v>
      </c>
      <c r="G160" s="131" t="e">
        <v>#VALUE!</v>
      </c>
      <c r="H160" s="173">
        <v>-1</v>
      </c>
      <c r="I160" s="173" t="e">
        <f>_xll.GetCtData("COAMOUNT","CONSAMOUNT",$A$1:$A$8,$A160:$B160,,"#Erreur de syntaxe : Expression incomplète")/10^3*$H160</f>
        <v>#VALUE!</v>
      </c>
      <c r="J160" s="173"/>
      <c r="K160" s="173"/>
      <c r="L160" s="173" t="e">
        <f>_xll.GetCtData("COAMOUNT","CONSAMOUNT",$A$1:$A$8,$A160:$B160,,"#Erreur de syntaxe : Expression incomplète")/10^3*$H160</f>
        <v>#VALUE!</v>
      </c>
      <c r="N160" s="173" t="e">
        <f>_xll.GetCtData("COAMOUNT","CONSAMOUNT",$A$1:$A$8,$A160:$B160,,"#Erreur de syntaxe : Expression incomplète")/10^3*$H160</f>
        <v>#VALUE!</v>
      </c>
      <c r="P160" s="173" t="e">
        <f t="shared" si="14"/>
        <v>#VALUE!</v>
      </c>
    </row>
    <row r="161" spans="1:16" s="115" customFormat="1" ht="12" hidden="1" outlineLevel="1" thickBot="1">
      <c r="A161" s="115" t="str">
        <f t="shared" si="12"/>
        <v>P39400000V</v>
      </c>
      <c r="B161" s="115" t="str">
        <f t="shared" si="13"/>
        <v>F81</v>
      </c>
      <c r="C161" s="135" t="s">
        <v>1753</v>
      </c>
      <c r="D161" s="135"/>
      <c r="E161" s="135" t="s">
        <v>1754</v>
      </c>
      <c r="F161" s="131" t="s">
        <v>161</v>
      </c>
      <c r="G161" s="131" t="e">
        <v>#VALUE!</v>
      </c>
      <c r="H161" s="173">
        <v>-1</v>
      </c>
      <c r="I161" s="173" t="e">
        <f>_xll.GetCtData("COAMOUNT","CONSAMOUNT",$A$1:$A$8,$A161:$B161,,"#Erreur de syntaxe : Expression incomplète")/10^3*$H161</f>
        <v>#VALUE!</v>
      </c>
      <c r="J161" s="173"/>
      <c r="K161" s="173"/>
      <c r="L161" s="173" t="e">
        <f>_xll.GetCtData("COAMOUNT","CONSAMOUNT",$A$1:$A$8,$A161:$B161,,"#Erreur de syntaxe : Expression incomplète")/10^3*$H161</f>
        <v>#VALUE!</v>
      </c>
      <c r="N161" s="173" t="e">
        <f>_xll.GetCtData("COAMOUNT","CONSAMOUNT",$A$1:$A$8,$A161:$B161,,"#Erreur de syntaxe : Expression incomplète")/10^3*$H161</f>
        <v>#VALUE!</v>
      </c>
      <c r="P161" s="173" t="e">
        <f t="shared" si="14"/>
        <v>#VALUE!</v>
      </c>
    </row>
    <row r="162" spans="1:16" s="115" customFormat="1" ht="12" hidden="1" outlineLevel="1" thickBot="1">
      <c r="A162" s="115" t="str">
        <f t="shared" si="12"/>
        <v>P39410000V</v>
      </c>
      <c r="B162" s="115" t="str">
        <f t="shared" si="13"/>
        <v>F81</v>
      </c>
      <c r="C162" s="135" t="s">
        <v>1137</v>
      </c>
      <c r="D162" s="135"/>
      <c r="E162" s="135" t="s">
        <v>1138</v>
      </c>
      <c r="F162" s="131" t="s">
        <v>161</v>
      </c>
      <c r="G162" s="131" t="e">
        <v>#VALUE!</v>
      </c>
      <c r="H162" s="173">
        <v>-1</v>
      </c>
      <c r="I162" s="173" t="e">
        <f>_xll.GetCtData("COAMOUNT","CONSAMOUNT",$A$1:$A$8,$A162:$B162,,"#Erreur de syntaxe : Expression incomplète")/10^3*$H162</f>
        <v>#VALUE!</v>
      </c>
      <c r="J162" s="173"/>
      <c r="K162" s="173"/>
      <c r="L162" s="173" t="e">
        <f>_xll.GetCtData("COAMOUNT","CONSAMOUNT",$A$1:$A$8,$A162:$B162,,"#Erreur de syntaxe : Expression incomplète")/10^3*$H162</f>
        <v>#VALUE!</v>
      </c>
      <c r="N162" s="173" t="e">
        <f>_xll.GetCtData("COAMOUNT","CONSAMOUNT",$A$1:$A$8,$A162:$B162,,"#Erreur de syntaxe : Expression incomplète")/10^3*$H162</f>
        <v>#VALUE!</v>
      </c>
      <c r="P162" s="173" t="e">
        <f t="shared" si="14"/>
        <v>#VALUE!</v>
      </c>
    </row>
    <row r="163" spans="1:16" s="115" customFormat="1" ht="12" hidden="1" outlineLevel="1" thickBot="1">
      <c r="A163" s="115" t="str">
        <f t="shared" si="12"/>
        <v>A39700000B</v>
      </c>
      <c r="B163" s="115" t="str">
        <f t="shared" si="13"/>
        <v>F80</v>
      </c>
      <c r="C163" s="135" t="s">
        <v>1690</v>
      </c>
      <c r="D163" s="135"/>
      <c r="E163" s="135" t="s">
        <v>1691</v>
      </c>
      <c r="F163" s="131" t="s">
        <v>163</v>
      </c>
      <c r="G163" s="131" t="e">
        <v>#VALUE!</v>
      </c>
      <c r="H163" s="173">
        <v>1</v>
      </c>
      <c r="I163" s="173" t="e">
        <f>_xll.GetCtData("COAMOUNT","CONSAMOUNT",$A$1:$A$8,$A163:$B163,,"#Erreur de syntaxe : Expression incomplète")/10^3*$H163</f>
        <v>#VALUE!</v>
      </c>
      <c r="J163" s="173"/>
      <c r="K163" s="173"/>
      <c r="L163" s="173" t="e">
        <f>_xll.GetCtData("COAMOUNT","CONSAMOUNT",$A$1:$A$8,$A163:$B163,,"#Erreur de syntaxe : Expression incomplète")/10^3*$H163</f>
        <v>#VALUE!</v>
      </c>
      <c r="N163" s="173" t="e">
        <f>_xll.GetCtData("COAMOUNT","CONSAMOUNT",$A$1:$A$8,$A163:$B163,,"#Erreur de syntaxe : Expression incomplète")/10^3*$H163</f>
        <v>#VALUE!</v>
      </c>
      <c r="P163" s="173" t="e">
        <f t="shared" si="14"/>
        <v>#VALUE!</v>
      </c>
    </row>
    <row r="164" spans="1:16" s="115" customFormat="1" ht="12" hidden="1" outlineLevel="1" thickBot="1">
      <c r="A164" s="115" t="str">
        <f t="shared" si="12"/>
        <v>A39700100B</v>
      </c>
      <c r="B164" s="115" t="str">
        <f t="shared" si="13"/>
        <v>F80</v>
      </c>
      <c r="C164" s="135" t="s">
        <v>1714</v>
      </c>
      <c r="D164" s="135"/>
      <c r="E164" s="135" t="s">
        <v>1715</v>
      </c>
      <c r="F164" s="131" t="s">
        <v>163</v>
      </c>
      <c r="G164" s="131" t="e">
        <v>#VALUE!</v>
      </c>
      <c r="H164" s="173">
        <v>1</v>
      </c>
      <c r="I164" s="173" t="e">
        <f>_xll.GetCtData("COAMOUNT","CONSAMOUNT",$A$1:$A$8,$A164:$B164,,"#Erreur de syntaxe : Expression incomplète")/10^3*$H164</f>
        <v>#VALUE!</v>
      </c>
      <c r="J164" s="173"/>
      <c r="K164" s="173"/>
      <c r="L164" s="173" t="e">
        <f>_xll.GetCtData("COAMOUNT","CONSAMOUNT",$A$1:$A$8,$A164:$B164,,"#Erreur de syntaxe : Expression incomplète")/10^3*$H164</f>
        <v>#VALUE!</v>
      </c>
      <c r="N164" s="173" t="e">
        <f>_xll.GetCtData("COAMOUNT","CONSAMOUNT",$A$1:$A$8,$A164:$B164,,"#Erreur de syntaxe : Expression incomplète")/10^3*$H164</f>
        <v>#VALUE!</v>
      </c>
      <c r="P164" s="173" t="e">
        <f t="shared" si="14"/>
        <v>#VALUE!</v>
      </c>
    </row>
    <row r="165" spans="1:16" s="115" customFormat="1" ht="12" hidden="1" outlineLevel="1" thickBot="1">
      <c r="A165" s="115" t="str">
        <f t="shared" si="12"/>
        <v>A39400000B</v>
      </c>
      <c r="B165" s="115" t="str">
        <f t="shared" si="13"/>
        <v>F80</v>
      </c>
      <c r="C165" s="135" t="s">
        <v>1708</v>
      </c>
      <c r="D165" s="135"/>
      <c r="E165" s="135" t="s">
        <v>1709</v>
      </c>
      <c r="F165" s="131" t="s">
        <v>163</v>
      </c>
      <c r="G165" s="131" t="e">
        <v>#VALUE!</v>
      </c>
      <c r="H165" s="173">
        <v>1</v>
      </c>
      <c r="I165" s="173" t="e">
        <f>_xll.GetCtData("COAMOUNT","CONSAMOUNT",$A$1:$A$8,$A165:$B165,,"#Erreur de syntaxe : Expression incomplète")/10^3*$H165</f>
        <v>#VALUE!</v>
      </c>
      <c r="J165" s="173"/>
      <c r="K165" s="173"/>
      <c r="L165" s="173" t="e">
        <f>_xll.GetCtData("COAMOUNT","CONSAMOUNT",$A$1:$A$8,$A165:$B165,,"#Erreur de syntaxe : Expression incomplète")/10^3*$H165</f>
        <v>#VALUE!</v>
      </c>
      <c r="N165" s="173" t="e">
        <f>_xll.GetCtData("COAMOUNT","CONSAMOUNT",$A$1:$A$8,$A165:$B165,,"#Erreur de syntaxe : Expression incomplète")/10^3*$H165</f>
        <v>#VALUE!</v>
      </c>
      <c r="P165" s="173" t="e">
        <f t="shared" si="14"/>
        <v>#VALUE!</v>
      </c>
    </row>
    <row r="166" spans="1:16" s="115" customFormat="1" ht="12" hidden="1" outlineLevel="1" thickBot="1">
      <c r="A166" s="115" t="str">
        <f t="shared" si="12"/>
        <v>A39410000B</v>
      </c>
      <c r="B166" s="115" t="str">
        <f t="shared" si="13"/>
        <v>F80</v>
      </c>
      <c r="C166" s="135" t="s">
        <v>1726</v>
      </c>
      <c r="D166" s="135"/>
      <c r="E166" s="135" t="s">
        <v>1778</v>
      </c>
      <c r="F166" s="131" t="s">
        <v>163</v>
      </c>
      <c r="G166" s="131" t="e">
        <v>#VALUE!</v>
      </c>
      <c r="H166" s="173">
        <v>1</v>
      </c>
      <c r="I166" s="173" t="e">
        <f>_xll.GetCtData("COAMOUNT","CONSAMOUNT",$A$1:$A$8,$A166:$B166,,"#Erreur de syntaxe : Expression incomplète")/10^3*$H166</f>
        <v>#VALUE!</v>
      </c>
      <c r="J166" s="173"/>
      <c r="K166" s="173"/>
      <c r="L166" s="173" t="e">
        <f>_xll.GetCtData("COAMOUNT","CONSAMOUNT",$A$1:$A$8,$A166:$B166,,"#Erreur de syntaxe : Expression incomplète")/10^3*$H166</f>
        <v>#VALUE!</v>
      </c>
      <c r="N166" s="173" t="e">
        <f>_xll.GetCtData("COAMOUNT","CONSAMOUNT",$A$1:$A$8,$A166:$B166,,"#Erreur de syntaxe : Expression incomplète")/10^3*$H166</f>
        <v>#VALUE!</v>
      </c>
      <c r="P166" s="173" t="e">
        <f t="shared" si="14"/>
        <v>#VALUE!</v>
      </c>
    </row>
    <row r="167" spans="1:16" s="115" customFormat="1" ht="12" hidden="1" outlineLevel="1" thickBot="1">
      <c r="A167" s="115" t="str">
        <f t="shared" si="12"/>
        <v>A39700000V</v>
      </c>
      <c r="B167" s="115" t="str">
        <f t="shared" si="13"/>
        <v>F80</v>
      </c>
      <c r="C167" s="135" t="s">
        <v>1693</v>
      </c>
      <c r="D167" s="135"/>
      <c r="E167" s="135" t="s">
        <v>1694</v>
      </c>
      <c r="F167" s="131" t="s">
        <v>163</v>
      </c>
      <c r="G167" s="131" t="e">
        <v>#VALUE!</v>
      </c>
      <c r="H167" s="173">
        <v>1</v>
      </c>
      <c r="I167" s="173" t="e">
        <f>_xll.GetCtData("COAMOUNT","CONSAMOUNT",$A$1:$A$8,$A167:$B167,,"#Erreur de syntaxe : Expression incomplète")/10^3*$H167</f>
        <v>#VALUE!</v>
      </c>
      <c r="J167" s="173"/>
      <c r="K167" s="173"/>
      <c r="L167" s="173" t="e">
        <f>_xll.GetCtData("COAMOUNT","CONSAMOUNT",$A$1:$A$8,$A167:$B167,,"#Erreur de syntaxe : Expression incomplète")/10^3*$H167</f>
        <v>#VALUE!</v>
      </c>
      <c r="N167" s="173" t="e">
        <f>_xll.GetCtData("COAMOUNT","CONSAMOUNT",$A$1:$A$8,$A167:$B167,,"#Erreur de syntaxe : Expression incomplète")/10^3*$H167</f>
        <v>#VALUE!</v>
      </c>
      <c r="P167" s="173" t="e">
        <f t="shared" si="14"/>
        <v>#VALUE!</v>
      </c>
    </row>
    <row r="168" spans="1:16" s="115" customFormat="1" ht="12" hidden="1" outlineLevel="1" thickBot="1">
      <c r="A168" s="115" t="str">
        <f t="shared" si="12"/>
        <v>A39700100V</v>
      </c>
      <c r="B168" s="115" t="str">
        <f t="shared" si="13"/>
        <v>F80</v>
      </c>
      <c r="C168" s="135" t="s">
        <v>1717</v>
      </c>
      <c r="D168" s="135"/>
      <c r="E168" s="135" t="s">
        <v>1718</v>
      </c>
      <c r="F168" s="131" t="s">
        <v>163</v>
      </c>
      <c r="G168" s="131" t="e">
        <v>#VALUE!</v>
      </c>
      <c r="H168" s="173">
        <v>1</v>
      </c>
      <c r="I168" s="173" t="e">
        <f>_xll.GetCtData("COAMOUNT","CONSAMOUNT",$A$1:$A$8,$A168:$B168,,"#Erreur de syntaxe : Expression incomplète")/10^3*$H168</f>
        <v>#VALUE!</v>
      </c>
      <c r="J168" s="173"/>
      <c r="K168" s="173"/>
      <c r="L168" s="173" t="e">
        <f>_xll.GetCtData("COAMOUNT","CONSAMOUNT",$A$1:$A$8,$A168:$B168,,"#Erreur de syntaxe : Expression incomplète")/10^3*$H168</f>
        <v>#VALUE!</v>
      </c>
      <c r="N168" s="173" t="e">
        <f>_xll.GetCtData("COAMOUNT","CONSAMOUNT",$A$1:$A$8,$A168:$B168,,"#Erreur de syntaxe : Expression incomplète")/10^3*$H168</f>
        <v>#VALUE!</v>
      </c>
      <c r="P168" s="173" t="e">
        <f t="shared" si="14"/>
        <v>#VALUE!</v>
      </c>
    </row>
    <row r="169" spans="1:16" s="115" customFormat="1" ht="12" hidden="1" outlineLevel="1" thickBot="1">
      <c r="A169" s="115" t="str">
        <f t="shared" si="12"/>
        <v>A39400000V</v>
      </c>
      <c r="B169" s="115" t="str">
        <f t="shared" si="13"/>
        <v>F80</v>
      </c>
      <c r="C169" s="135" t="s">
        <v>1711</v>
      </c>
      <c r="D169" s="135"/>
      <c r="E169" s="135" t="s">
        <v>1712</v>
      </c>
      <c r="F169" s="131" t="s">
        <v>163</v>
      </c>
      <c r="G169" s="131" t="e">
        <v>#VALUE!</v>
      </c>
      <c r="H169" s="173">
        <v>1</v>
      </c>
      <c r="I169" s="173" t="e">
        <f>_xll.GetCtData("COAMOUNT","CONSAMOUNT",$A$1:$A$8,$A169:$B169,,"#Erreur de syntaxe : Expression incomplète")/10^3*$H169</f>
        <v>#VALUE!</v>
      </c>
      <c r="J169" s="173"/>
      <c r="K169" s="173"/>
      <c r="L169" s="173" t="e">
        <f>_xll.GetCtData("COAMOUNT","CONSAMOUNT",$A$1:$A$8,$A169:$B169,,"#Erreur de syntaxe : Expression incomplète")/10^3*$H169</f>
        <v>#VALUE!</v>
      </c>
      <c r="N169" s="173" t="e">
        <f>_xll.GetCtData("COAMOUNT","CONSAMOUNT",$A$1:$A$8,$A169:$B169,,"#Erreur de syntaxe : Expression incomplète")/10^3*$H169</f>
        <v>#VALUE!</v>
      </c>
      <c r="P169" s="173" t="e">
        <f t="shared" si="14"/>
        <v>#VALUE!</v>
      </c>
    </row>
    <row r="170" spans="1:16" s="115" customFormat="1" ht="12" hidden="1" outlineLevel="1" thickBot="1">
      <c r="A170" s="115" t="str">
        <f t="shared" si="12"/>
        <v>A39410000V</v>
      </c>
      <c r="B170" s="115" t="str">
        <f t="shared" si="13"/>
        <v>F80</v>
      </c>
      <c r="C170" s="135" t="s">
        <v>1729</v>
      </c>
      <c r="D170" s="135"/>
      <c r="E170" s="135" t="s">
        <v>1779</v>
      </c>
      <c r="F170" s="131" t="s">
        <v>163</v>
      </c>
      <c r="G170" s="131" t="e">
        <v>#VALUE!</v>
      </c>
      <c r="H170" s="173">
        <v>1</v>
      </c>
      <c r="I170" s="173" t="e">
        <f>_xll.GetCtData("COAMOUNT","CONSAMOUNT",$A$1:$A$8,$A170:$B170,,"#Erreur de syntaxe : Expression incomplète")/10^3*$H170</f>
        <v>#VALUE!</v>
      </c>
      <c r="J170" s="173"/>
      <c r="K170" s="173"/>
      <c r="L170" s="173" t="e">
        <f>_xll.GetCtData("COAMOUNT","CONSAMOUNT",$A$1:$A$8,$A170:$B170,,"#Erreur de syntaxe : Expression incomplète")/10^3*$H170</f>
        <v>#VALUE!</v>
      </c>
      <c r="N170" s="173" t="e">
        <f>_xll.GetCtData("COAMOUNT","CONSAMOUNT",$A$1:$A$8,$A170:$B170,,"#Erreur de syntaxe : Expression incomplète")/10^3*$H170</f>
        <v>#VALUE!</v>
      </c>
      <c r="P170" s="173" t="e">
        <f t="shared" si="14"/>
        <v>#VALUE!</v>
      </c>
    </row>
    <row r="171" spans="1:16" s="115" customFormat="1" ht="12" hidden="1" outlineLevel="1" thickBot="1">
      <c r="A171" s="115" t="str">
        <f t="shared" si="12"/>
        <v>P39700000B</v>
      </c>
      <c r="B171" s="115" t="str">
        <f t="shared" si="13"/>
        <v>F80</v>
      </c>
      <c r="C171" s="135" t="s">
        <v>1738</v>
      </c>
      <c r="D171" s="135"/>
      <c r="E171" s="135" t="s">
        <v>1739</v>
      </c>
      <c r="F171" s="131" t="s">
        <v>163</v>
      </c>
      <c r="G171" s="131" t="e">
        <v>#VALUE!</v>
      </c>
      <c r="H171" s="173">
        <v>-1</v>
      </c>
      <c r="I171" s="173" t="e">
        <f>_xll.GetCtData("COAMOUNT","CONSAMOUNT",$A$1:$A$8,$A171:$B171,,"#Erreur de syntaxe : Expression incomplète")/10^3*$H171</f>
        <v>#VALUE!</v>
      </c>
      <c r="J171" s="173"/>
      <c r="K171" s="173"/>
      <c r="L171" s="173" t="e">
        <f>_xll.GetCtData("COAMOUNT","CONSAMOUNT",$A$1:$A$8,$A171:$B171,,"#Erreur de syntaxe : Expression incomplète")/10^3*$H171</f>
        <v>#VALUE!</v>
      </c>
      <c r="N171" s="173" t="e">
        <f>_xll.GetCtData("COAMOUNT","CONSAMOUNT",$A$1:$A$8,$A171:$B171,,"#Erreur de syntaxe : Expression incomplète")/10^3*$H171</f>
        <v>#VALUE!</v>
      </c>
      <c r="P171" s="173" t="e">
        <f t="shared" si="14"/>
        <v>#VALUE!</v>
      </c>
    </row>
    <row r="172" spans="1:16" s="115" customFormat="1" ht="12" hidden="1" outlineLevel="1" thickBot="1">
      <c r="A172" s="115" t="str">
        <f t="shared" si="12"/>
        <v>P39700100B</v>
      </c>
      <c r="B172" s="115" t="str">
        <f t="shared" si="13"/>
        <v>F80</v>
      </c>
      <c r="C172" s="135" t="s">
        <v>1141</v>
      </c>
      <c r="D172" s="135"/>
      <c r="E172" s="135" t="s">
        <v>1142</v>
      </c>
      <c r="F172" s="131" t="s">
        <v>163</v>
      </c>
      <c r="G172" s="131" t="e">
        <v>#VALUE!</v>
      </c>
      <c r="H172" s="173">
        <v>-1</v>
      </c>
      <c r="I172" s="173" t="e">
        <f>_xll.GetCtData("COAMOUNT","CONSAMOUNT",$A$1:$A$8,$A172:$B172,,"#Erreur de syntaxe : Expression incomplète")/10^3*$H172</f>
        <v>#VALUE!</v>
      </c>
      <c r="J172" s="173"/>
      <c r="K172" s="173"/>
      <c r="L172" s="173" t="e">
        <f>_xll.GetCtData("COAMOUNT","CONSAMOUNT",$A$1:$A$8,$A172:$B172,,"#Erreur de syntaxe : Expression incomplète")/10^3*$H172</f>
        <v>#VALUE!</v>
      </c>
      <c r="N172" s="173" t="e">
        <f>_xll.GetCtData("COAMOUNT","CONSAMOUNT",$A$1:$A$8,$A172:$B172,,"#Erreur de syntaxe : Expression incomplète")/10^3*$H172</f>
        <v>#VALUE!</v>
      </c>
      <c r="P172" s="173" t="e">
        <f t="shared" si="14"/>
        <v>#VALUE!</v>
      </c>
    </row>
    <row r="173" spans="1:16" s="115" customFormat="1" ht="12" hidden="1" outlineLevel="1" thickBot="1">
      <c r="A173" s="115" t="str">
        <f t="shared" si="12"/>
        <v>P39400000B</v>
      </c>
      <c r="B173" s="115" t="str">
        <f t="shared" si="13"/>
        <v>F80</v>
      </c>
      <c r="C173" s="135" t="s">
        <v>1744</v>
      </c>
      <c r="D173" s="135"/>
      <c r="E173" s="135" t="s">
        <v>1745</v>
      </c>
      <c r="F173" s="131" t="s">
        <v>163</v>
      </c>
      <c r="G173" s="131" t="e">
        <v>#VALUE!</v>
      </c>
      <c r="H173" s="173">
        <v>-1</v>
      </c>
      <c r="I173" s="173" t="e">
        <f>_xll.GetCtData("COAMOUNT","CONSAMOUNT",$A$1:$A$8,$A173:$B173,,"#Erreur de syntaxe : Expression incomplète")/10^3*$H173</f>
        <v>#VALUE!</v>
      </c>
      <c r="J173" s="173"/>
      <c r="K173" s="173"/>
      <c r="L173" s="173" t="e">
        <f>_xll.GetCtData("COAMOUNT","CONSAMOUNT",$A$1:$A$8,$A173:$B173,,"#Erreur de syntaxe : Expression incomplète")/10^3*$H173</f>
        <v>#VALUE!</v>
      </c>
      <c r="N173" s="173" t="e">
        <f>_xll.GetCtData("COAMOUNT","CONSAMOUNT",$A$1:$A$8,$A173:$B173,,"#Erreur de syntaxe : Expression incomplète")/10^3*$H173</f>
        <v>#VALUE!</v>
      </c>
      <c r="P173" s="173" t="e">
        <f t="shared" si="14"/>
        <v>#VALUE!</v>
      </c>
    </row>
    <row r="174" spans="1:16" s="115" customFormat="1" ht="12" hidden="1" outlineLevel="1" thickBot="1">
      <c r="A174" s="115" t="str">
        <f t="shared" si="12"/>
        <v>P39410000B</v>
      </c>
      <c r="B174" s="115" t="str">
        <f t="shared" si="13"/>
        <v>F80</v>
      </c>
      <c r="C174" s="135" t="s">
        <v>1143</v>
      </c>
      <c r="D174" s="135"/>
      <c r="E174" s="135" t="s">
        <v>1144</v>
      </c>
      <c r="F174" s="131" t="s">
        <v>163</v>
      </c>
      <c r="G174" s="131" t="e">
        <v>#VALUE!</v>
      </c>
      <c r="H174" s="173">
        <v>-1</v>
      </c>
      <c r="I174" s="173" t="e">
        <f>_xll.GetCtData("COAMOUNT","CONSAMOUNT",$A$1:$A$8,$A174:$B174,,"#Erreur de syntaxe : Expression incomplète")/10^3*$H174</f>
        <v>#VALUE!</v>
      </c>
      <c r="J174" s="173"/>
      <c r="K174" s="173"/>
      <c r="L174" s="173" t="e">
        <f>_xll.GetCtData("COAMOUNT","CONSAMOUNT",$A$1:$A$8,$A174:$B174,,"#Erreur de syntaxe : Expression incomplète")/10^3*$H174</f>
        <v>#VALUE!</v>
      </c>
      <c r="N174" s="173" t="e">
        <f>_xll.GetCtData("COAMOUNT","CONSAMOUNT",$A$1:$A$8,$A174:$B174,,"#Erreur de syntaxe : Expression incomplète")/10^3*$H174</f>
        <v>#VALUE!</v>
      </c>
      <c r="P174" s="173" t="e">
        <f t="shared" si="14"/>
        <v>#VALUE!</v>
      </c>
    </row>
    <row r="175" spans="1:16" s="115" customFormat="1" ht="12" hidden="1" outlineLevel="1" thickBot="1">
      <c r="A175" s="115" t="str">
        <f t="shared" si="12"/>
        <v>P39700000V</v>
      </c>
      <c r="B175" s="115" t="str">
        <f t="shared" si="13"/>
        <v>F80</v>
      </c>
      <c r="C175" s="135" t="s">
        <v>1747</v>
      </c>
      <c r="D175" s="135"/>
      <c r="E175" s="135" t="s">
        <v>1748</v>
      </c>
      <c r="F175" s="131" t="s">
        <v>163</v>
      </c>
      <c r="G175" s="131" t="e">
        <v>#VALUE!</v>
      </c>
      <c r="H175" s="173">
        <v>-1</v>
      </c>
      <c r="I175" s="173" t="e">
        <f>_xll.GetCtData("COAMOUNT","CONSAMOUNT",$A$1:$A$8,$A175:$B175,,"#Erreur de syntaxe : Expression incomplète")/10^3*$H175</f>
        <v>#VALUE!</v>
      </c>
      <c r="J175" s="173"/>
      <c r="K175" s="173"/>
      <c r="L175" s="173" t="e">
        <f>_xll.GetCtData("COAMOUNT","CONSAMOUNT",$A$1:$A$8,$A175:$B175,,"#Erreur de syntaxe : Expression incomplète")/10^3*$H175</f>
        <v>#VALUE!</v>
      </c>
      <c r="N175" s="173" t="e">
        <f>_xll.GetCtData("COAMOUNT","CONSAMOUNT",$A$1:$A$8,$A175:$B175,,"#Erreur de syntaxe : Expression incomplète")/10^3*$H175</f>
        <v>#VALUE!</v>
      </c>
      <c r="P175" s="173" t="e">
        <f t="shared" si="14"/>
        <v>#VALUE!</v>
      </c>
    </row>
    <row r="176" spans="1:16" s="115" customFormat="1" ht="12" hidden="1" outlineLevel="1" thickBot="1">
      <c r="A176" s="115" t="str">
        <f t="shared" si="12"/>
        <v>P39700100V</v>
      </c>
      <c r="B176" s="115" t="str">
        <f t="shared" si="13"/>
        <v>F80</v>
      </c>
      <c r="C176" s="135" t="s">
        <v>1135</v>
      </c>
      <c r="D176" s="135"/>
      <c r="E176" s="135" t="s">
        <v>1136</v>
      </c>
      <c r="F176" s="131" t="s">
        <v>163</v>
      </c>
      <c r="G176" s="131" t="e">
        <v>#VALUE!</v>
      </c>
      <c r="H176" s="173">
        <v>-1</v>
      </c>
      <c r="I176" s="173" t="e">
        <f>_xll.GetCtData("COAMOUNT","CONSAMOUNT",$A$1:$A$8,$A176:$B176,,"#Erreur de syntaxe : Expression incomplète")/10^3*$H176</f>
        <v>#VALUE!</v>
      </c>
      <c r="J176" s="173"/>
      <c r="K176" s="173"/>
      <c r="L176" s="173" t="e">
        <f>_xll.GetCtData("COAMOUNT","CONSAMOUNT",$A$1:$A$8,$A176:$B176,,"#Erreur de syntaxe : Expression incomplète")/10^3*$H176</f>
        <v>#VALUE!</v>
      </c>
      <c r="N176" s="173" t="e">
        <f>_xll.GetCtData("COAMOUNT","CONSAMOUNT",$A$1:$A$8,$A176:$B176,,"#Erreur de syntaxe : Expression incomplète")/10^3*$H176</f>
        <v>#VALUE!</v>
      </c>
      <c r="P176" s="173" t="e">
        <f t="shared" si="14"/>
        <v>#VALUE!</v>
      </c>
    </row>
    <row r="177" spans="1:16" s="115" customFormat="1" ht="12" hidden="1" outlineLevel="1" thickBot="1">
      <c r="A177" s="115" t="str">
        <f t="shared" si="12"/>
        <v>P39400000V</v>
      </c>
      <c r="B177" s="115" t="str">
        <f t="shared" si="13"/>
        <v>F80</v>
      </c>
      <c r="C177" s="135" t="s">
        <v>1753</v>
      </c>
      <c r="D177" s="135"/>
      <c r="E177" s="135" t="s">
        <v>1754</v>
      </c>
      <c r="F177" s="131" t="s">
        <v>163</v>
      </c>
      <c r="G177" s="131" t="e">
        <v>#VALUE!</v>
      </c>
      <c r="H177" s="173">
        <v>-1</v>
      </c>
      <c r="I177" s="173" t="e">
        <f>_xll.GetCtData("COAMOUNT","CONSAMOUNT",$A$1:$A$8,$A177:$B177,,"#Erreur de syntaxe : Expression incomplète")/10^3*$H177</f>
        <v>#VALUE!</v>
      </c>
      <c r="J177" s="173"/>
      <c r="K177" s="173"/>
      <c r="L177" s="173" t="e">
        <f>_xll.GetCtData("COAMOUNT","CONSAMOUNT",$A$1:$A$8,$A177:$B177,,"#Erreur de syntaxe : Expression incomplète")/10^3*$H177</f>
        <v>#VALUE!</v>
      </c>
      <c r="N177" s="173" t="e">
        <f>_xll.GetCtData("COAMOUNT","CONSAMOUNT",$A$1:$A$8,$A177:$B177,,"#Erreur de syntaxe : Expression incomplète")/10^3*$H177</f>
        <v>#VALUE!</v>
      </c>
      <c r="P177" s="173" t="e">
        <f t="shared" si="14"/>
        <v>#VALUE!</v>
      </c>
    </row>
    <row r="178" spans="1:16" s="115" customFormat="1" ht="12" hidden="1" outlineLevel="1" thickBot="1">
      <c r="A178" s="115" t="str">
        <f t="shared" si="12"/>
        <v>P39410000V</v>
      </c>
      <c r="B178" s="115" t="str">
        <f t="shared" si="13"/>
        <v>F80</v>
      </c>
      <c r="C178" s="135" t="s">
        <v>1137</v>
      </c>
      <c r="D178" s="135"/>
      <c r="E178" s="135" t="s">
        <v>1138</v>
      </c>
      <c r="F178" s="131" t="s">
        <v>163</v>
      </c>
      <c r="G178" s="131" t="e">
        <v>#VALUE!</v>
      </c>
      <c r="H178" s="173">
        <v>-1</v>
      </c>
      <c r="I178" s="173" t="e">
        <f>_xll.GetCtData("COAMOUNT","CONSAMOUNT",$A$1:$A$8,$A178:$B178,,"#Erreur de syntaxe : Expression incomplète")/10^3*$H178</f>
        <v>#VALUE!</v>
      </c>
      <c r="J178" s="173"/>
      <c r="K178" s="173"/>
      <c r="L178" s="173" t="e">
        <f>_xll.GetCtData("COAMOUNT","CONSAMOUNT",$A$1:$A$8,$A178:$B178,,"#Erreur de syntaxe : Expression incomplète")/10^3*$H178</f>
        <v>#VALUE!</v>
      </c>
      <c r="N178" s="173" t="e">
        <f>_xll.GetCtData("COAMOUNT","CONSAMOUNT",$A$1:$A$8,$A178:$B178,,"#Erreur de syntaxe : Expression incomplète")/10^3*$H178</f>
        <v>#VALUE!</v>
      </c>
      <c r="P178" s="173" t="e">
        <f t="shared" si="14"/>
        <v>#VALUE!</v>
      </c>
    </row>
    <row r="179" spans="1:16" s="115" customFormat="1" ht="12" hidden="1" outlineLevel="1" thickBot="1">
      <c r="A179" s="115" t="str">
        <f t="shared" si="12"/>
        <v>A39701000B</v>
      </c>
      <c r="B179" s="115" t="str">
        <f t="shared" si="13"/>
        <v>F81</v>
      </c>
      <c r="C179" s="135" t="s">
        <v>1696</v>
      </c>
      <c r="D179" s="135"/>
      <c r="E179" s="135" t="s">
        <v>1697</v>
      </c>
      <c r="F179" s="131" t="s">
        <v>161</v>
      </c>
      <c r="G179" s="131" t="e">
        <v>#VALUE!</v>
      </c>
      <c r="H179" s="173">
        <v>1</v>
      </c>
      <c r="I179" s="173"/>
      <c r="J179" s="173" t="e">
        <f>_xll.GetCtData("COAMOUNT","CONSAMOUNT",$A$1:$A$8,$A179:$B179,,"#Erreur de syntaxe : Expression incomplète")/10^3*$H179</f>
        <v>#VALUE!</v>
      </c>
      <c r="K179" s="173"/>
      <c r="L179" s="173" t="e">
        <f>_xll.GetCtData("COAMOUNT","CONSAMOUNT",$A$1:$A$8,$A179:$B179,,"#Erreur de syntaxe : Expression incomplète")/10^3*$H179</f>
        <v>#VALUE!</v>
      </c>
      <c r="N179" s="173" t="e">
        <f>_xll.GetCtData("COAMOUNT","CONSAMOUNT",$A$1:$A$8,$A179:$B179,,"#Erreur de syntaxe : Expression incomplète")/10^3*$H179</f>
        <v>#VALUE!</v>
      </c>
      <c r="P179" s="173" t="e">
        <f t="shared" si="14"/>
        <v>#VALUE!</v>
      </c>
    </row>
    <row r="180" spans="1:16" s="115" customFormat="1" ht="12" hidden="1" outlineLevel="1" thickBot="1">
      <c r="A180" s="115" t="str">
        <f t="shared" si="12"/>
        <v>A39701100B</v>
      </c>
      <c r="B180" s="115" t="str">
        <f t="shared" si="13"/>
        <v>F81</v>
      </c>
      <c r="C180" s="135" t="s">
        <v>1720</v>
      </c>
      <c r="D180" s="135"/>
      <c r="E180" s="135" t="s">
        <v>1721</v>
      </c>
      <c r="F180" s="131" t="s">
        <v>161</v>
      </c>
      <c r="G180" s="131" t="e">
        <v>#VALUE!</v>
      </c>
      <c r="H180" s="173">
        <v>1</v>
      </c>
      <c r="I180" s="173"/>
      <c r="J180" s="173" t="e">
        <f>_xll.GetCtData("COAMOUNT","CONSAMOUNT",$A$1:$A$8,$A180:$B180,,"#Erreur de syntaxe : Expression incomplète")/10^3*$H180</f>
        <v>#VALUE!</v>
      </c>
      <c r="K180" s="173"/>
      <c r="L180" s="173" t="e">
        <f>_xll.GetCtData("COAMOUNT","CONSAMOUNT",$A$1:$A$8,$A180:$B180,,"#Erreur de syntaxe : Expression incomplète")/10^3*$H180</f>
        <v>#VALUE!</v>
      </c>
      <c r="N180" s="173" t="e">
        <f>_xll.GetCtData("COAMOUNT","CONSAMOUNT",$A$1:$A$8,$A180:$B180,,"#Erreur de syntaxe : Expression incomplète")/10^3*$H180</f>
        <v>#VALUE!</v>
      </c>
      <c r="P180" s="173" t="e">
        <f t="shared" si="14"/>
        <v>#VALUE!</v>
      </c>
    </row>
    <row r="181" spans="1:16" s="115" customFormat="1" ht="12" hidden="1" outlineLevel="1" thickBot="1">
      <c r="A181" s="115" t="str">
        <f t="shared" si="12"/>
        <v>A39701000V</v>
      </c>
      <c r="B181" s="115" t="str">
        <f t="shared" si="13"/>
        <v>F81</v>
      </c>
      <c r="C181" s="135" t="s">
        <v>1699</v>
      </c>
      <c r="D181" s="135"/>
      <c r="E181" s="135" t="s">
        <v>1700</v>
      </c>
      <c r="F181" s="131" t="s">
        <v>161</v>
      </c>
      <c r="G181" s="131" t="e">
        <v>#VALUE!</v>
      </c>
      <c r="H181" s="173">
        <v>1</v>
      </c>
      <c r="I181" s="173"/>
      <c r="J181" s="173" t="e">
        <f>_xll.GetCtData("COAMOUNT","CONSAMOUNT",$A$1:$A$8,$A181:$B181,,"#Erreur de syntaxe : Expression incomplète")/10^3*$H181</f>
        <v>#VALUE!</v>
      </c>
      <c r="K181" s="173"/>
      <c r="L181" s="173" t="e">
        <f>_xll.GetCtData("COAMOUNT","CONSAMOUNT",$A$1:$A$8,$A181:$B181,,"#Erreur de syntaxe : Expression incomplète")/10^3*$H181</f>
        <v>#VALUE!</v>
      </c>
      <c r="N181" s="173" t="e">
        <f>_xll.GetCtData("COAMOUNT","CONSAMOUNT",$A$1:$A$8,$A181:$B181,,"#Erreur de syntaxe : Expression incomplète")/10^3*$H181</f>
        <v>#VALUE!</v>
      </c>
      <c r="P181" s="173" t="e">
        <f t="shared" si="14"/>
        <v>#VALUE!</v>
      </c>
    </row>
    <row r="182" spans="1:16" s="115" customFormat="1" ht="12" hidden="1" outlineLevel="1" thickBot="1">
      <c r="A182" s="115" t="str">
        <f t="shared" si="12"/>
        <v>A39701100V</v>
      </c>
      <c r="B182" s="115" t="str">
        <f t="shared" si="13"/>
        <v>F81</v>
      </c>
      <c r="C182" s="135" t="s">
        <v>1723</v>
      </c>
      <c r="D182" s="135"/>
      <c r="E182" s="135" t="s">
        <v>1724</v>
      </c>
      <c r="F182" s="131" t="s">
        <v>161</v>
      </c>
      <c r="G182" s="131" t="e">
        <v>#VALUE!</v>
      </c>
      <c r="H182" s="173">
        <v>1</v>
      </c>
      <c r="I182" s="173"/>
      <c r="J182" s="173" t="e">
        <f>_xll.GetCtData("COAMOUNT","CONSAMOUNT",$A$1:$A$8,$A182:$B182,,"#Erreur de syntaxe : Expression incomplète")/10^3*$H182</f>
        <v>#VALUE!</v>
      </c>
      <c r="K182" s="173"/>
      <c r="L182" s="173" t="e">
        <f>_xll.GetCtData("COAMOUNT","CONSAMOUNT",$A$1:$A$8,$A182:$B182,,"#Erreur de syntaxe : Expression incomplète")/10^3*$H182</f>
        <v>#VALUE!</v>
      </c>
      <c r="N182" s="173" t="e">
        <f>_xll.GetCtData("COAMOUNT","CONSAMOUNT",$A$1:$A$8,$A182:$B182,,"#Erreur de syntaxe : Expression incomplète")/10^3*$H182</f>
        <v>#VALUE!</v>
      </c>
      <c r="P182" s="173" t="e">
        <f t="shared" si="14"/>
        <v>#VALUE!</v>
      </c>
    </row>
    <row r="183" spans="1:16" s="115" customFormat="1" ht="12" hidden="1" outlineLevel="1" thickBot="1">
      <c r="A183" s="115" t="str">
        <f t="shared" si="12"/>
        <v>P39701000B</v>
      </c>
      <c r="B183" s="115" t="str">
        <f t="shared" si="13"/>
        <v>F81</v>
      </c>
      <c r="C183" s="135" t="s">
        <v>1732</v>
      </c>
      <c r="D183" s="135"/>
      <c r="E183" s="135" t="s">
        <v>1733</v>
      </c>
      <c r="F183" s="131" t="s">
        <v>161</v>
      </c>
      <c r="G183" s="131" t="e">
        <v>#VALUE!</v>
      </c>
      <c r="H183" s="173">
        <v>-1</v>
      </c>
      <c r="I183" s="173"/>
      <c r="J183" s="173" t="e">
        <f>_xll.GetCtData("COAMOUNT","CONSAMOUNT",$A$1:$A$8,$A183:$B183,,"#Erreur de syntaxe : Expression incomplète")/10^3*$H183</f>
        <v>#VALUE!</v>
      </c>
      <c r="K183" s="173"/>
      <c r="L183" s="173" t="e">
        <f>_xll.GetCtData("COAMOUNT","CONSAMOUNT",$A$1:$A$8,$A183:$B183,,"#Erreur de syntaxe : Expression incomplète")/10^3*$H183</f>
        <v>#VALUE!</v>
      </c>
      <c r="N183" s="173" t="e">
        <f>_xll.GetCtData("COAMOUNT","CONSAMOUNT",$A$1:$A$8,$A183:$B183,,"#Erreur de syntaxe : Expression incomplète")/10^3*$H183</f>
        <v>#VALUE!</v>
      </c>
      <c r="P183" s="173" t="e">
        <f t="shared" si="14"/>
        <v>#VALUE!</v>
      </c>
    </row>
    <row r="184" spans="1:16" s="115" customFormat="1" ht="12" hidden="1" outlineLevel="1" thickBot="1">
      <c r="A184" s="115" t="str">
        <f t="shared" si="12"/>
        <v>P39701100B</v>
      </c>
      <c r="B184" s="115" t="str">
        <f t="shared" si="13"/>
        <v>F81</v>
      </c>
      <c r="C184" s="135" t="s">
        <v>1139</v>
      </c>
      <c r="D184" s="135"/>
      <c r="E184" s="135" t="s">
        <v>1140</v>
      </c>
      <c r="F184" s="131" t="s">
        <v>161</v>
      </c>
      <c r="G184" s="131" t="e">
        <v>#VALUE!</v>
      </c>
      <c r="H184" s="173">
        <v>-1</v>
      </c>
      <c r="I184" s="173"/>
      <c r="J184" s="173" t="e">
        <f>_xll.GetCtData("COAMOUNT","CONSAMOUNT",$A$1:$A$8,$A184:$B184,,"#Erreur de syntaxe : Expression incomplète")/10^3*$H184</f>
        <v>#VALUE!</v>
      </c>
      <c r="K184" s="173"/>
      <c r="L184" s="173" t="e">
        <f>_xll.GetCtData("COAMOUNT","CONSAMOUNT",$A$1:$A$8,$A184:$B184,,"#Erreur de syntaxe : Expression incomplète")/10^3*$H184</f>
        <v>#VALUE!</v>
      </c>
      <c r="N184" s="173" t="e">
        <f>_xll.GetCtData("COAMOUNT","CONSAMOUNT",$A$1:$A$8,$A184:$B184,,"#Erreur de syntaxe : Expression incomplète")/10^3*$H184</f>
        <v>#VALUE!</v>
      </c>
      <c r="P184" s="173" t="e">
        <f t="shared" si="14"/>
        <v>#VALUE!</v>
      </c>
    </row>
    <row r="185" spans="1:16" s="115" customFormat="1" ht="12" hidden="1" outlineLevel="1" thickBot="1">
      <c r="A185" s="115" t="str">
        <f t="shared" si="12"/>
        <v>P39701000V</v>
      </c>
      <c r="B185" s="115" t="str">
        <f t="shared" si="13"/>
        <v>F81</v>
      </c>
      <c r="C185" s="135" t="s">
        <v>1735</v>
      </c>
      <c r="D185" s="135"/>
      <c r="E185" s="135" t="s">
        <v>1736</v>
      </c>
      <c r="F185" s="131" t="s">
        <v>161</v>
      </c>
      <c r="G185" s="131" t="e">
        <v>#VALUE!</v>
      </c>
      <c r="H185" s="173">
        <v>-1</v>
      </c>
      <c r="I185" s="173"/>
      <c r="J185" s="173" t="e">
        <f>_xll.GetCtData("COAMOUNT","CONSAMOUNT",$A$1:$A$8,$A185:$B185,,"#Erreur de syntaxe : Expression incomplète")/10^3*$H185</f>
        <v>#VALUE!</v>
      </c>
      <c r="K185" s="173"/>
      <c r="L185" s="173" t="e">
        <f>_xll.GetCtData("COAMOUNT","CONSAMOUNT",$A$1:$A$8,$A185:$B185,,"#Erreur de syntaxe : Expression incomplète")/10^3*$H185</f>
        <v>#VALUE!</v>
      </c>
      <c r="N185" s="173" t="e">
        <f>_xll.GetCtData("COAMOUNT","CONSAMOUNT",$A$1:$A$8,$A185:$B185,,"#Erreur de syntaxe : Expression incomplète")/10^3*$H185</f>
        <v>#VALUE!</v>
      </c>
      <c r="P185" s="173" t="e">
        <f t="shared" si="14"/>
        <v>#VALUE!</v>
      </c>
    </row>
    <row r="186" spans="1:16" s="115" customFormat="1" ht="12" hidden="1" outlineLevel="1" thickBot="1">
      <c r="A186" s="115" t="str">
        <f t="shared" si="12"/>
        <v>P39701100V</v>
      </c>
      <c r="B186" s="115" t="str">
        <f t="shared" si="13"/>
        <v>F81</v>
      </c>
      <c r="C186" s="135" t="s">
        <v>1133</v>
      </c>
      <c r="D186" s="135"/>
      <c r="E186" s="135" t="s">
        <v>1134</v>
      </c>
      <c r="F186" s="131" t="s">
        <v>161</v>
      </c>
      <c r="G186" s="131" t="e">
        <v>#VALUE!</v>
      </c>
      <c r="H186" s="173">
        <v>-1</v>
      </c>
      <c r="I186" s="173"/>
      <c r="J186" s="173" t="e">
        <f>_xll.GetCtData("COAMOUNT","CONSAMOUNT",$A$1:$A$8,$A186:$B186,,"#Erreur de syntaxe : Expression incomplète")/10^3*$H186</f>
        <v>#VALUE!</v>
      </c>
      <c r="K186" s="173"/>
      <c r="L186" s="173" t="e">
        <f>_xll.GetCtData("COAMOUNT","CONSAMOUNT",$A$1:$A$8,$A186:$B186,,"#Erreur de syntaxe : Expression incomplète")/10^3*$H186</f>
        <v>#VALUE!</v>
      </c>
      <c r="N186" s="173" t="e">
        <f>_xll.GetCtData("COAMOUNT","CONSAMOUNT",$A$1:$A$8,$A186:$B186,,"#Erreur de syntaxe : Expression incomplète")/10^3*$H186</f>
        <v>#VALUE!</v>
      </c>
      <c r="P186" s="173" t="e">
        <f t="shared" si="14"/>
        <v>#VALUE!</v>
      </c>
    </row>
    <row r="187" spans="1:16" s="115" customFormat="1" ht="12" hidden="1" outlineLevel="1" thickBot="1">
      <c r="A187" s="115" t="str">
        <f t="shared" si="12"/>
        <v>A39701000B</v>
      </c>
      <c r="B187" s="115" t="str">
        <f t="shared" si="13"/>
        <v>F80</v>
      </c>
      <c r="C187" s="135" t="s">
        <v>1696</v>
      </c>
      <c r="D187" s="135"/>
      <c r="E187" s="135" t="s">
        <v>1697</v>
      </c>
      <c r="F187" s="131" t="s">
        <v>163</v>
      </c>
      <c r="G187" s="131" t="e">
        <v>#VALUE!</v>
      </c>
      <c r="H187" s="173">
        <v>1</v>
      </c>
      <c r="I187" s="173"/>
      <c r="J187" s="173" t="e">
        <f>_xll.GetCtData("COAMOUNT","CONSAMOUNT",$A$1:$A$8,$A187:$B187,,"#Erreur de syntaxe : Expression incomplète")/10^3*$H187</f>
        <v>#VALUE!</v>
      </c>
      <c r="K187" s="173"/>
      <c r="L187" s="173" t="e">
        <f>_xll.GetCtData("COAMOUNT","CONSAMOUNT",$A$1:$A$8,$A187:$B187,,"#Erreur de syntaxe : Expression incomplète")/10^3*$H187</f>
        <v>#VALUE!</v>
      </c>
      <c r="N187" s="173" t="e">
        <f>_xll.GetCtData("COAMOUNT","CONSAMOUNT",$A$1:$A$8,$A187:$B187,,"#Erreur de syntaxe : Expression incomplète")/10^3*$H187</f>
        <v>#VALUE!</v>
      </c>
      <c r="P187" s="173" t="e">
        <f t="shared" si="14"/>
        <v>#VALUE!</v>
      </c>
    </row>
    <row r="188" spans="1:16" s="115" customFormat="1" ht="12" hidden="1" outlineLevel="1" thickBot="1">
      <c r="A188" s="115" t="str">
        <f t="shared" si="12"/>
        <v>A39701100B</v>
      </c>
      <c r="B188" s="115" t="str">
        <f t="shared" si="13"/>
        <v>F80</v>
      </c>
      <c r="C188" s="135" t="s">
        <v>1720</v>
      </c>
      <c r="D188" s="135"/>
      <c r="E188" s="135" t="s">
        <v>1721</v>
      </c>
      <c r="F188" s="131" t="s">
        <v>163</v>
      </c>
      <c r="G188" s="131" t="e">
        <v>#VALUE!</v>
      </c>
      <c r="H188" s="173">
        <v>1</v>
      </c>
      <c r="I188" s="173"/>
      <c r="J188" s="173" t="e">
        <f>_xll.GetCtData("COAMOUNT","CONSAMOUNT",$A$1:$A$8,$A188:$B188,,"#Erreur de syntaxe : Expression incomplète")/10^3*$H188</f>
        <v>#VALUE!</v>
      </c>
      <c r="K188" s="173"/>
      <c r="L188" s="173" t="e">
        <f>_xll.GetCtData("COAMOUNT","CONSAMOUNT",$A$1:$A$8,$A188:$B188,,"#Erreur de syntaxe : Expression incomplète")/10^3*$H188</f>
        <v>#VALUE!</v>
      </c>
      <c r="N188" s="173" t="e">
        <f>_xll.GetCtData("COAMOUNT","CONSAMOUNT",$A$1:$A$8,$A188:$B188,,"#Erreur de syntaxe : Expression incomplète")/10^3*$H188</f>
        <v>#VALUE!</v>
      </c>
      <c r="P188" s="173" t="e">
        <f t="shared" si="14"/>
        <v>#VALUE!</v>
      </c>
    </row>
    <row r="189" spans="1:16" s="115" customFormat="1" ht="12" hidden="1" outlineLevel="1" thickBot="1">
      <c r="A189" s="115" t="str">
        <f t="shared" si="12"/>
        <v>A39701000V</v>
      </c>
      <c r="B189" s="115" t="str">
        <f t="shared" si="13"/>
        <v>F80</v>
      </c>
      <c r="C189" s="135" t="s">
        <v>1699</v>
      </c>
      <c r="D189" s="135"/>
      <c r="E189" s="135" t="s">
        <v>1700</v>
      </c>
      <c r="F189" s="131" t="s">
        <v>163</v>
      </c>
      <c r="G189" s="131" t="e">
        <v>#VALUE!</v>
      </c>
      <c r="H189" s="173">
        <v>1</v>
      </c>
      <c r="I189" s="173"/>
      <c r="J189" s="173" t="e">
        <f>_xll.GetCtData("COAMOUNT","CONSAMOUNT",$A$1:$A$8,$A189:$B189,,"#Erreur de syntaxe : Expression incomplète")/10^3*$H189</f>
        <v>#VALUE!</v>
      </c>
      <c r="K189" s="173"/>
      <c r="L189" s="173" t="e">
        <f>_xll.GetCtData("COAMOUNT","CONSAMOUNT",$A$1:$A$8,$A189:$B189,,"#Erreur de syntaxe : Expression incomplète")/10^3*$H189</f>
        <v>#VALUE!</v>
      </c>
      <c r="N189" s="173" t="e">
        <f>_xll.GetCtData("COAMOUNT","CONSAMOUNT",$A$1:$A$8,$A189:$B189,,"#Erreur de syntaxe : Expression incomplète")/10^3*$H189</f>
        <v>#VALUE!</v>
      </c>
      <c r="P189" s="173" t="e">
        <f t="shared" si="14"/>
        <v>#VALUE!</v>
      </c>
    </row>
    <row r="190" spans="1:16" s="115" customFormat="1" ht="12" hidden="1" outlineLevel="1" thickBot="1">
      <c r="A190" s="115" t="str">
        <f t="shared" si="12"/>
        <v>A39701100V</v>
      </c>
      <c r="B190" s="115" t="str">
        <f t="shared" si="13"/>
        <v>F80</v>
      </c>
      <c r="C190" s="135" t="s">
        <v>1723</v>
      </c>
      <c r="D190" s="135"/>
      <c r="E190" s="135" t="s">
        <v>1724</v>
      </c>
      <c r="F190" s="131" t="s">
        <v>163</v>
      </c>
      <c r="G190" s="131" t="e">
        <v>#VALUE!</v>
      </c>
      <c r="H190" s="173">
        <v>1</v>
      </c>
      <c r="I190" s="173"/>
      <c r="J190" s="173" t="e">
        <f>_xll.GetCtData("COAMOUNT","CONSAMOUNT",$A$1:$A$8,$A190:$B190,,"#Erreur de syntaxe : Expression incomplète")/10^3*$H190</f>
        <v>#VALUE!</v>
      </c>
      <c r="K190" s="173"/>
      <c r="L190" s="173" t="e">
        <f>_xll.GetCtData("COAMOUNT","CONSAMOUNT",$A$1:$A$8,$A190:$B190,,"#Erreur de syntaxe : Expression incomplète")/10^3*$H190</f>
        <v>#VALUE!</v>
      </c>
      <c r="N190" s="173" t="e">
        <f>_xll.GetCtData("COAMOUNT","CONSAMOUNT",$A$1:$A$8,$A190:$B190,,"#Erreur de syntaxe : Expression incomplète")/10^3*$H190</f>
        <v>#VALUE!</v>
      </c>
      <c r="P190" s="173" t="e">
        <f t="shared" si="14"/>
        <v>#VALUE!</v>
      </c>
    </row>
    <row r="191" spans="1:16" s="115" customFormat="1" ht="12" hidden="1" outlineLevel="1" thickBot="1">
      <c r="A191" s="115" t="str">
        <f t="shared" si="12"/>
        <v>P39701000B</v>
      </c>
      <c r="B191" s="115" t="str">
        <f t="shared" si="13"/>
        <v>F80</v>
      </c>
      <c r="C191" s="135" t="s">
        <v>1732</v>
      </c>
      <c r="D191" s="135"/>
      <c r="E191" s="135" t="s">
        <v>1733</v>
      </c>
      <c r="F191" s="131" t="s">
        <v>163</v>
      </c>
      <c r="G191" s="131" t="e">
        <v>#VALUE!</v>
      </c>
      <c r="H191" s="173">
        <v>-1</v>
      </c>
      <c r="I191" s="173"/>
      <c r="J191" s="173" t="e">
        <f>_xll.GetCtData("COAMOUNT","CONSAMOUNT",$A$1:$A$8,$A191:$B191,,"#Erreur de syntaxe : Expression incomplète")/10^3*$H191</f>
        <v>#VALUE!</v>
      </c>
      <c r="K191" s="173"/>
      <c r="L191" s="173" t="e">
        <f>_xll.GetCtData("COAMOUNT","CONSAMOUNT",$A$1:$A$8,$A191:$B191,,"#Erreur de syntaxe : Expression incomplète")/10^3*$H191</f>
        <v>#VALUE!</v>
      </c>
      <c r="N191" s="173" t="e">
        <f>_xll.GetCtData("COAMOUNT","CONSAMOUNT",$A$1:$A$8,$A191:$B191,,"#Erreur de syntaxe : Expression incomplète")/10^3*$H191</f>
        <v>#VALUE!</v>
      </c>
      <c r="P191" s="173" t="e">
        <f t="shared" si="14"/>
        <v>#VALUE!</v>
      </c>
    </row>
    <row r="192" spans="1:16" s="115" customFormat="1" ht="12" hidden="1" outlineLevel="1" thickBot="1">
      <c r="A192" s="115" t="str">
        <f t="shared" si="12"/>
        <v>P39701100B</v>
      </c>
      <c r="B192" s="115" t="str">
        <f t="shared" si="13"/>
        <v>F80</v>
      </c>
      <c r="C192" s="135" t="s">
        <v>1139</v>
      </c>
      <c r="D192" s="135"/>
      <c r="E192" s="135" t="s">
        <v>1140</v>
      </c>
      <c r="F192" s="131" t="s">
        <v>163</v>
      </c>
      <c r="G192" s="131" t="e">
        <v>#VALUE!</v>
      </c>
      <c r="H192" s="173">
        <v>-1</v>
      </c>
      <c r="I192" s="173"/>
      <c r="J192" s="173" t="e">
        <f>_xll.GetCtData("COAMOUNT","CONSAMOUNT",$A$1:$A$8,$A192:$B192,,"#Erreur de syntaxe : Expression incomplète")/10^3*$H192</f>
        <v>#VALUE!</v>
      </c>
      <c r="K192" s="173"/>
      <c r="L192" s="173" t="e">
        <f>_xll.GetCtData("COAMOUNT","CONSAMOUNT",$A$1:$A$8,$A192:$B192,,"#Erreur de syntaxe : Expression incomplète")/10^3*$H192</f>
        <v>#VALUE!</v>
      </c>
      <c r="N192" s="173" t="e">
        <f>_xll.GetCtData("COAMOUNT","CONSAMOUNT",$A$1:$A$8,$A192:$B192,,"#Erreur de syntaxe : Expression incomplète")/10^3*$H192</f>
        <v>#VALUE!</v>
      </c>
      <c r="P192" s="173" t="e">
        <f t="shared" si="14"/>
        <v>#VALUE!</v>
      </c>
    </row>
    <row r="193" spans="1:16" s="115" customFormat="1" ht="12" hidden="1" outlineLevel="1" thickBot="1">
      <c r="A193" s="115" t="str">
        <f t="shared" si="12"/>
        <v>P39701000V</v>
      </c>
      <c r="B193" s="115" t="str">
        <f t="shared" si="13"/>
        <v>F80</v>
      </c>
      <c r="C193" s="135" t="s">
        <v>1735</v>
      </c>
      <c r="D193" s="135"/>
      <c r="E193" s="135" t="s">
        <v>1736</v>
      </c>
      <c r="F193" s="131" t="s">
        <v>163</v>
      </c>
      <c r="G193" s="131" t="e">
        <v>#VALUE!</v>
      </c>
      <c r="H193" s="173">
        <v>-1</v>
      </c>
      <c r="I193" s="173"/>
      <c r="J193" s="173" t="e">
        <f>_xll.GetCtData("COAMOUNT","CONSAMOUNT",$A$1:$A$8,$A193:$B193,,"#Erreur de syntaxe : Expression incomplète")/10^3*$H193</f>
        <v>#VALUE!</v>
      </c>
      <c r="K193" s="173"/>
      <c r="L193" s="173" t="e">
        <f>_xll.GetCtData("COAMOUNT","CONSAMOUNT",$A$1:$A$8,$A193:$B193,,"#Erreur de syntaxe : Expression incomplète")/10^3*$H193</f>
        <v>#VALUE!</v>
      </c>
      <c r="N193" s="173" t="e">
        <f>_xll.GetCtData("COAMOUNT","CONSAMOUNT",$A$1:$A$8,$A193:$B193,,"#Erreur de syntaxe : Expression incomplète")/10^3*$H193</f>
        <v>#VALUE!</v>
      </c>
      <c r="P193" s="173" t="e">
        <f t="shared" si="14"/>
        <v>#VALUE!</v>
      </c>
    </row>
    <row r="194" spans="1:16" s="115" customFormat="1" ht="12" hidden="1" outlineLevel="1" thickBot="1">
      <c r="A194" s="115" t="str">
        <f t="shared" si="12"/>
        <v>P39701100V</v>
      </c>
      <c r="B194" s="115" t="str">
        <f t="shared" si="13"/>
        <v>F80</v>
      </c>
      <c r="C194" s="135" t="s">
        <v>1133</v>
      </c>
      <c r="D194" s="135"/>
      <c r="E194" s="135" t="s">
        <v>1134</v>
      </c>
      <c r="F194" s="131" t="s">
        <v>163</v>
      </c>
      <c r="G194" s="131" t="e">
        <v>#VALUE!</v>
      </c>
      <c r="H194" s="173">
        <v>-1</v>
      </c>
      <c r="I194" s="173"/>
      <c r="J194" s="173" t="e">
        <f>_xll.GetCtData("COAMOUNT","CONSAMOUNT",$A$1:$A$8,$A194:$B194,,"#Erreur de syntaxe : Expression incomplète")/10^3*$H194</f>
        <v>#VALUE!</v>
      </c>
      <c r="K194" s="173"/>
      <c r="L194" s="173" t="e">
        <f>_xll.GetCtData("COAMOUNT","CONSAMOUNT",$A$1:$A$8,$A194:$B194,,"#Erreur de syntaxe : Expression incomplète")/10^3*$H194</f>
        <v>#VALUE!</v>
      </c>
      <c r="N194" s="173" t="e">
        <f>_xll.GetCtData("COAMOUNT","CONSAMOUNT",$A$1:$A$8,$A194:$B194,,"#Erreur de syntaxe : Expression incomplète")/10^3*$H194</f>
        <v>#VALUE!</v>
      </c>
      <c r="P194" s="173" t="e">
        <f t="shared" si="14"/>
        <v>#VALUE!</v>
      </c>
    </row>
    <row r="195" spans="1:16" s="115" customFormat="1" ht="12" hidden="1" outlineLevel="1" thickBot="1">
      <c r="A195" s="115" t="str">
        <f t="shared" si="12"/>
        <v>A39702000B</v>
      </c>
      <c r="B195" s="115" t="str">
        <f t="shared" si="13"/>
        <v>F81</v>
      </c>
      <c r="C195" s="135" t="s">
        <v>1702</v>
      </c>
      <c r="D195" s="135"/>
      <c r="E195" s="135" t="s">
        <v>1703</v>
      </c>
      <c r="F195" s="131" t="s">
        <v>161</v>
      </c>
      <c r="G195" s="131" t="e">
        <v>#VALUE!</v>
      </c>
      <c r="H195" s="173">
        <v>1</v>
      </c>
      <c r="I195" s="173"/>
      <c r="J195" s="173"/>
      <c r="K195" s="173" t="e">
        <f>_xll.GetCtData("COAMOUNT","CONSAMOUNT",$A$1:$A$8,$A195:$B195,,"#Erreur de syntaxe : Expression incomplète")/10^3*$H195</f>
        <v>#VALUE!</v>
      </c>
      <c r="L195" s="173" t="e">
        <f>_xll.GetCtData("COAMOUNT","CONSAMOUNT",$A$1:$A$8,$A195:$B195,,"#Erreur de syntaxe : Expression incomplète")/10^3*$H195</f>
        <v>#VALUE!</v>
      </c>
      <c r="N195" s="173" t="e">
        <f>_xll.GetCtData("COAMOUNT","CONSAMOUNT",$A$1:$A$8,$A195:$B195,,"#Erreur de syntaxe : Expression incomplète")/10^3*$H195</f>
        <v>#VALUE!</v>
      </c>
      <c r="P195" s="173" t="e">
        <f t="shared" si="14"/>
        <v>#VALUE!</v>
      </c>
    </row>
    <row r="196" spans="1:16" s="115" customFormat="1" ht="12" hidden="1" outlineLevel="1" thickBot="1">
      <c r="A196" s="115" t="str">
        <f t="shared" si="12"/>
        <v>A39702000V</v>
      </c>
      <c r="B196" s="115" t="str">
        <f t="shared" si="13"/>
        <v>F81</v>
      </c>
      <c r="C196" s="135" t="s">
        <v>1705</v>
      </c>
      <c r="D196" s="135"/>
      <c r="E196" s="135" t="s">
        <v>1706</v>
      </c>
      <c r="F196" s="131" t="s">
        <v>161</v>
      </c>
      <c r="G196" s="131" t="e">
        <v>#VALUE!</v>
      </c>
      <c r="H196" s="173">
        <v>1</v>
      </c>
      <c r="I196" s="173"/>
      <c r="J196" s="173"/>
      <c r="K196" s="173" t="e">
        <f>_xll.GetCtData("COAMOUNT","CONSAMOUNT",$A$1:$A$8,$A196:$B196,,"#Erreur de syntaxe : Expression incomplète")/10^3*$H196</f>
        <v>#VALUE!</v>
      </c>
      <c r="L196" s="173" t="e">
        <f>_xll.GetCtData("COAMOUNT","CONSAMOUNT",$A$1:$A$8,$A196:$B196,,"#Erreur de syntaxe : Expression incomplète")/10^3*$H196</f>
        <v>#VALUE!</v>
      </c>
      <c r="N196" s="173" t="e">
        <f>_xll.GetCtData("COAMOUNT","CONSAMOUNT",$A$1:$A$8,$A196:$B196,,"#Erreur de syntaxe : Expression incomplète")/10^3*$H196</f>
        <v>#VALUE!</v>
      </c>
      <c r="P196" s="173" t="e">
        <f t="shared" si="14"/>
        <v>#VALUE!</v>
      </c>
    </row>
    <row r="197" spans="1:16" s="115" customFormat="1" ht="12" hidden="1" outlineLevel="1" thickBot="1">
      <c r="A197" s="115" t="str">
        <f t="shared" si="12"/>
        <v>P39702000B</v>
      </c>
      <c r="B197" s="115" t="str">
        <f t="shared" si="13"/>
        <v>F81</v>
      </c>
      <c r="C197" s="135" t="s">
        <v>1741</v>
      </c>
      <c r="D197" s="135"/>
      <c r="E197" s="135" t="s">
        <v>1742</v>
      </c>
      <c r="F197" s="131" t="s">
        <v>161</v>
      </c>
      <c r="G197" s="131" t="e">
        <v>#VALUE!</v>
      </c>
      <c r="H197" s="173">
        <v>-1</v>
      </c>
      <c r="I197" s="173"/>
      <c r="J197" s="173"/>
      <c r="K197" s="173" t="e">
        <f>_xll.GetCtData("COAMOUNT","CONSAMOUNT",$A$1:$A$8,$A197:$B197,,"#Erreur de syntaxe : Expression incomplète")/10^3*$H197</f>
        <v>#VALUE!</v>
      </c>
      <c r="L197" s="173" t="e">
        <f>_xll.GetCtData("COAMOUNT","CONSAMOUNT",$A$1:$A$8,$A197:$B197,,"#Erreur de syntaxe : Expression incomplète")/10^3*$H197</f>
        <v>#VALUE!</v>
      </c>
      <c r="N197" s="173" t="e">
        <f>_xll.GetCtData("COAMOUNT","CONSAMOUNT",$A$1:$A$8,$A197:$B197,,"#Erreur de syntaxe : Expression incomplète")/10^3*$H197</f>
        <v>#VALUE!</v>
      </c>
      <c r="P197" s="173" t="e">
        <f t="shared" si="14"/>
        <v>#VALUE!</v>
      </c>
    </row>
    <row r="198" spans="1:16" s="115" customFormat="1" ht="12" hidden="1" outlineLevel="1" thickBot="1">
      <c r="A198" s="115" t="str">
        <f t="shared" si="12"/>
        <v>P39702000V</v>
      </c>
      <c r="B198" s="115" t="str">
        <f t="shared" si="13"/>
        <v>F81</v>
      </c>
      <c r="C198" s="135" t="s">
        <v>1750</v>
      </c>
      <c r="D198" s="135"/>
      <c r="E198" s="135" t="s">
        <v>1751</v>
      </c>
      <c r="F198" s="131" t="s">
        <v>161</v>
      </c>
      <c r="G198" s="131" t="e">
        <v>#VALUE!</v>
      </c>
      <c r="H198" s="173">
        <v>-1</v>
      </c>
      <c r="I198" s="173"/>
      <c r="J198" s="173"/>
      <c r="K198" s="173" t="e">
        <f>_xll.GetCtData("COAMOUNT","CONSAMOUNT",$A$1:$A$8,$A198:$B198,,"#Erreur de syntaxe : Expression incomplète")/10^3*$H198</f>
        <v>#VALUE!</v>
      </c>
      <c r="L198" s="173" t="e">
        <f>_xll.GetCtData("COAMOUNT","CONSAMOUNT",$A$1:$A$8,$A198:$B198,,"#Erreur de syntaxe : Expression incomplète")/10^3*$H198</f>
        <v>#VALUE!</v>
      </c>
      <c r="N198" s="173" t="e">
        <f>_xll.GetCtData("COAMOUNT","CONSAMOUNT",$A$1:$A$8,$A198:$B198,,"#Erreur de syntaxe : Expression incomplète")/10^3*$H198</f>
        <v>#VALUE!</v>
      </c>
      <c r="P198" s="173" t="e">
        <f t="shared" si="14"/>
        <v>#VALUE!</v>
      </c>
    </row>
    <row r="199" spans="1:16" s="115" customFormat="1" ht="12" hidden="1" outlineLevel="1" thickBot="1">
      <c r="A199" s="115" t="str">
        <f t="shared" si="12"/>
        <v>A39702000B</v>
      </c>
      <c r="B199" s="115" t="str">
        <f t="shared" si="13"/>
        <v>F80</v>
      </c>
      <c r="C199" s="135" t="s">
        <v>1702</v>
      </c>
      <c r="D199" s="135"/>
      <c r="E199" s="135" t="s">
        <v>1703</v>
      </c>
      <c r="F199" s="131" t="s">
        <v>163</v>
      </c>
      <c r="G199" s="131" t="e">
        <v>#VALUE!</v>
      </c>
      <c r="H199" s="173">
        <v>1</v>
      </c>
      <c r="I199" s="173"/>
      <c r="J199" s="173"/>
      <c r="K199" s="173" t="e">
        <f>_xll.GetCtData("COAMOUNT","CONSAMOUNT",$A$1:$A$8,$A199:$B199,,"#Erreur de syntaxe : Expression incomplète")/10^3*$H199</f>
        <v>#VALUE!</v>
      </c>
      <c r="L199" s="173" t="e">
        <f>_xll.GetCtData("COAMOUNT","CONSAMOUNT",$A$1:$A$8,$A199:$B199,,"#Erreur de syntaxe : Expression incomplète")/10^3*$H199</f>
        <v>#VALUE!</v>
      </c>
      <c r="N199" s="173" t="e">
        <f>_xll.GetCtData("COAMOUNT","CONSAMOUNT",$A$1:$A$8,$A199:$B199,,"#Erreur de syntaxe : Expression incomplète")/10^3*$H199</f>
        <v>#VALUE!</v>
      </c>
      <c r="P199" s="173" t="e">
        <f t="shared" si="14"/>
        <v>#VALUE!</v>
      </c>
    </row>
    <row r="200" spans="1:16" s="115" customFormat="1" ht="12" hidden="1" outlineLevel="1" thickBot="1">
      <c r="A200" s="115" t="str">
        <f t="shared" si="12"/>
        <v>A39702000V</v>
      </c>
      <c r="B200" s="115" t="str">
        <f t="shared" si="13"/>
        <v>F80</v>
      </c>
      <c r="C200" s="135" t="s">
        <v>1705</v>
      </c>
      <c r="D200" s="135"/>
      <c r="E200" s="135" t="s">
        <v>1706</v>
      </c>
      <c r="F200" s="131" t="s">
        <v>163</v>
      </c>
      <c r="G200" s="131" t="e">
        <v>#VALUE!</v>
      </c>
      <c r="H200" s="173">
        <v>1</v>
      </c>
      <c r="I200" s="173"/>
      <c r="J200" s="173"/>
      <c r="K200" s="173" t="e">
        <f>_xll.GetCtData("COAMOUNT","CONSAMOUNT",$A$1:$A$8,$A200:$B200,,"#Erreur de syntaxe : Expression incomplète")/10^3*$H200</f>
        <v>#VALUE!</v>
      </c>
      <c r="L200" s="173" t="e">
        <f>_xll.GetCtData("COAMOUNT","CONSAMOUNT",$A$1:$A$8,$A200:$B200,,"#Erreur de syntaxe : Expression incomplète")/10^3*$H200</f>
        <v>#VALUE!</v>
      </c>
      <c r="N200" s="173" t="e">
        <f>_xll.GetCtData("COAMOUNT","CONSAMOUNT",$A$1:$A$8,$A200:$B200,,"#Erreur de syntaxe : Expression incomplète")/10^3*$H200</f>
        <v>#VALUE!</v>
      </c>
      <c r="P200" s="173" t="e">
        <f t="shared" si="14"/>
        <v>#VALUE!</v>
      </c>
    </row>
    <row r="201" spans="1:16" s="115" customFormat="1" ht="12" hidden="1" outlineLevel="1" thickBot="1">
      <c r="A201" s="115" t="str">
        <f t="shared" si="12"/>
        <v>P39702000B</v>
      </c>
      <c r="B201" s="115" t="str">
        <f t="shared" si="13"/>
        <v>F80</v>
      </c>
      <c r="C201" s="135" t="s">
        <v>1741</v>
      </c>
      <c r="D201" s="135"/>
      <c r="E201" s="135" t="s">
        <v>1742</v>
      </c>
      <c r="F201" s="131" t="s">
        <v>163</v>
      </c>
      <c r="G201" s="131" t="e">
        <v>#VALUE!</v>
      </c>
      <c r="H201" s="173">
        <v>-1</v>
      </c>
      <c r="I201" s="173"/>
      <c r="J201" s="173"/>
      <c r="K201" s="173" t="e">
        <f>_xll.GetCtData("COAMOUNT","CONSAMOUNT",$A$1:$A$8,$A201:$B201,,"#Erreur de syntaxe : Expression incomplète")/10^3*$H201</f>
        <v>#VALUE!</v>
      </c>
      <c r="L201" s="173" t="e">
        <f>_xll.GetCtData("COAMOUNT","CONSAMOUNT",$A$1:$A$8,$A201:$B201,,"#Erreur de syntaxe : Expression incomplète")/10^3*$H201</f>
        <v>#VALUE!</v>
      </c>
      <c r="N201" s="173" t="e">
        <f>_xll.GetCtData("COAMOUNT","CONSAMOUNT",$A$1:$A$8,$A201:$B201,,"#Erreur de syntaxe : Expression incomplète")/10^3*$H201</f>
        <v>#VALUE!</v>
      </c>
      <c r="P201" s="173" t="e">
        <f t="shared" si="14"/>
        <v>#VALUE!</v>
      </c>
    </row>
    <row r="202" spans="1:16" s="115" customFormat="1" ht="12" hidden="1" outlineLevel="1" thickBot="1">
      <c r="A202" s="115" t="str">
        <f t="shared" si="12"/>
        <v>P39702000V</v>
      </c>
      <c r="B202" s="115" t="str">
        <f t="shared" si="13"/>
        <v>F80</v>
      </c>
      <c r="C202" s="135" t="s">
        <v>1750</v>
      </c>
      <c r="D202" s="135"/>
      <c r="E202" s="135" t="s">
        <v>1751</v>
      </c>
      <c r="F202" s="131" t="s">
        <v>163</v>
      </c>
      <c r="G202" s="131" t="e">
        <v>#VALUE!</v>
      </c>
      <c r="H202" s="173">
        <v>-1</v>
      </c>
      <c r="I202" s="173"/>
      <c r="J202" s="173"/>
      <c r="K202" s="173" t="e">
        <f>_xll.GetCtData("COAMOUNT","CONSAMOUNT",$A$1:$A$8,$A202:$B202,,"#Erreur de syntaxe : Expression incomplète")/10^3*$H202</f>
        <v>#VALUE!</v>
      </c>
      <c r="L202" s="173" t="e">
        <f>_xll.GetCtData("COAMOUNT","CONSAMOUNT",$A$1:$A$8,$A202:$B202,,"#Erreur de syntaxe : Expression incomplète")/10^3*$H202</f>
        <v>#VALUE!</v>
      </c>
      <c r="N202" s="173" t="e">
        <f>_xll.GetCtData("COAMOUNT","CONSAMOUNT",$A$1:$A$8,$A202:$B202,,"#Erreur de syntaxe : Expression incomplète")/10^3*$H202</f>
        <v>#VALUE!</v>
      </c>
      <c r="P202" s="173" t="e">
        <f t="shared" si="14"/>
        <v>#VALUE!</v>
      </c>
    </row>
    <row r="203" spans="1:16" ht="12" hidden="1" customHeight="1" outlineLevel="1">
      <c r="A203" s="115"/>
      <c r="E203" s="174" t="s">
        <v>1570</v>
      </c>
      <c r="F203" s="174"/>
      <c r="G203" s="174"/>
      <c r="H203" s="174"/>
      <c r="I203" s="175" t="e">
        <f>SUM(I147:I202)/10^3-I146</f>
        <v>#VALUE!</v>
      </c>
      <c r="J203" s="175" t="e">
        <f>SUM(J147:J202)/10^3-J146</f>
        <v>#VALUE!</v>
      </c>
      <c r="K203" s="175" t="e">
        <f>SUM(K147:K202)/10^3-K146</f>
        <v>#VALUE!</v>
      </c>
      <c r="L203" s="175" t="e">
        <f>SUM(L147:L202)/10^3-L146</f>
        <v>#VALUE!</v>
      </c>
      <c r="N203" s="175" t="e">
        <f>SUM(N147:N202)/10^3-N146</f>
        <v>#VALUE!</v>
      </c>
      <c r="P203" s="175" t="e">
        <f t="shared" si="14"/>
        <v>#VALUE!</v>
      </c>
    </row>
    <row r="204" spans="1:16" s="115" customFormat="1" ht="12" collapsed="1" thickBot="1">
      <c r="A204" s="115" t="s">
        <v>1094</v>
      </c>
      <c r="C204" s="115" t="str">
        <f>A204</f>
        <v>FL=XRF102RT</v>
      </c>
      <c r="E204" s="125" t="s">
        <v>131</v>
      </c>
      <c r="F204" s="126"/>
      <c r="G204" s="126"/>
      <c r="H204" s="126"/>
      <c r="I204" s="126">
        <f>_xll.GetCtData("COAMOUNT","CONSAMOUNT",$A$1:$A$8,$A204,H$6,"#-2209647,61705493")/10^3</f>
        <v>-2209.6476170549299</v>
      </c>
      <c r="J204" s="126">
        <f>_xll.GetCtData("COAMOUNT","CONSAMOUNT",$A$1:$A$8,$A204,I$6,"#-10718")/10^3</f>
        <v>-10.718</v>
      </c>
      <c r="K204" s="126">
        <f>_xll.GetCtData("COAMOUNT","CONSAMOUNT",$A$1:$A$8,$A204,J$6,"#12074")/10^3</f>
        <v>12.074</v>
      </c>
      <c r="L204" s="126">
        <f>_xll.GetCtData("COAMOUNT","CONSAMOUNT",$A$1:$A$8,$A204,K$6,"#-2208291,61705493")/10^3</f>
        <v>-2208.2910000000002</v>
      </c>
      <c r="N204" s="126">
        <v>1028.0865585494</v>
      </c>
      <c r="P204" s="126">
        <f t="shared" si="14"/>
        <v>-1180.2044414506001</v>
      </c>
    </row>
    <row r="205" spans="1:16" ht="12" hidden="1" customHeight="1" outlineLevel="1">
      <c r="A205" s="115"/>
      <c r="E205" s="174" t="s">
        <v>1570</v>
      </c>
      <c r="F205" s="174"/>
      <c r="G205" s="174"/>
      <c r="H205" s="174"/>
      <c r="I205" s="175" t="e">
        <f>I141+I145+I203</f>
        <v>#VALUE!</v>
      </c>
      <c r="J205" s="175" t="e">
        <f>J141+J145+J203</f>
        <v>#VALUE!</v>
      </c>
      <c r="K205" s="175" t="e">
        <f>K141+K145+K203</f>
        <v>#VALUE!</v>
      </c>
      <c r="L205" s="175" t="e">
        <f>L141+L145+L203</f>
        <v>#VALUE!</v>
      </c>
      <c r="N205" s="175" t="e">
        <f>N141+N145+N203</f>
        <v>#VALUE!</v>
      </c>
      <c r="P205" s="175" t="e">
        <f t="shared" si="14"/>
        <v>#VALUE!</v>
      </c>
    </row>
    <row r="206" spans="1:16" ht="12" customHeight="1" collapsed="1" thickBot="1">
      <c r="A206" s="87" t="s">
        <v>1082</v>
      </c>
      <c r="C206" s="176" t="str">
        <f>A206</f>
        <v>FL=XRF10T</v>
      </c>
      <c r="D206" s="176"/>
      <c r="E206" s="14" t="s">
        <v>109</v>
      </c>
      <c r="F206" s="14"/>
      <c r="G206" s="20"/>
      <c r="H206" s="20"/>
      <c r="I206" s="177">
        <f>_xll.GetCtData("COAMOUNT","CONSAMOUNT",$A$1:$A$8,$A206,H$6,"#-2421787,61705493")/10^3</f>
        <v>-2421.7876170549298</v>
      </c>
      <c r="J206" s="177">
        <f>_xll.GetCtData("COAMOUNT","CONSAMOUNT",$A$1:$A$8,$A206,I$6,"#-13131")/10^3</f>
        <v>-13.131</v>
      </c>
      <c r="K206" s="177">
        <f>_xll.GetCtData("COAMOUNT","CONSAMOUNT",$A$1:$A$8,$A206,J$6,"#120730")/10^3</f>
        <v>120.73</v>
      </c>
      <c r="L206" s="177">
        <f>_xll.GetCtData("COAMOUNT","CONSAMOUNT",$A$1:$A$8,$A206,K$6,"#-2314188,61705493")/10^3</f>
        <v>-2314.1886170549301</v>
      </c>
      <c r="N206" s="177">
        <v>-50572.638737455702</v>
      </c>
      <c r="P206" s="177">
        <f t="shared" si="14"/>
        <v>-52886.827354510635</v>
      </c>
    </row>
    <row r="207" spans="1:16" s="115" customFormat="1" ht="12" thickBot="1">
      <c r="A207" s="115" t="s">
        <v>1109</v>
      </c>
      <c r="C207" s="115" t="str">
        <f>A207</f>
        <v>FL=XRF301</v>
      </c>
      <c r="E207" s="185" t="s">
        <v>1203</v>
      </c>
      <c r="F207" s="180"/>
      <c r="G207" s="180"/>
      <c r="H207" s="180"/>
      <c r="I207" s="126">
        <f>_xll.GetCtData("COAMOUNT","CONSAMOUNT",$A$1:$A$8,$A207,H$6,"#-45005")/10^3</f>
        <v>-45.005000000000003</v>
      </c>
      <c r="J207" s="126">
        <f>_xll.GetCtData("COAMOUNT","CONSAMOUNT",$A$1:$A$8,$A207,I$6,"#")/10^3</f>
        <v>0</v>
      </c>
      <c r="K207" s="126">
        <f>_xll.GetCtData("COAMOUNT","CONSAMOUNT",$A$1:$A$8,$A207,J$6,"#")/10^3</f>
        <v>0</v>
      </c>
      <c r="L207" s="126">
        <f>_xll.GetCtData("COAMOUNT","CONSAMOUNT",$A$1:$A$8,$A207,K$6,"#-45005")/10^3</f>
        <v>-45.005000000000003</v>
      </c>
      <c r="N207" s="126">
        <v>30354.805000228302</v>
      </c>
      <c r="P207" s="126">
        <f t="shared" si="14"/>
        <v>30309.800000228301</v>
      </c>
    </row>
    <row r="208" spans="1:16" ht="12.75" customHeight="1" collapsed="1" thickBot="1">
      <c r="A208" s="87" t="s">
        <v>1083</v>
      </c>
      <c r="C208" s="176" t="str">
        <f>A208</f>
        <v>FL=XRF30T</v>
      </c>
      <c r="D208" s="176"/>
      <c r="E208" s="186" t="s">
        <v>128</v>
      </c>
      <c r="F208" s="186"/>
      <c r="G208" s="186"/>
      <c r="H208" s="186"/>
      <c r="I208" s="177">
        <f>_xll.GetCtData("COAMOUNT","CONSAMOUNT",$A$1:$A$8,$A208,H$6,"#-45005")/10^3</f>
        <v>-45.005000000000003</v>
      </c>
      <c r="J208" s="177">
        <f>_xll.GetCtData("COAMOUNT","CONSAMOUNT",$A$1:$A$8,$A208,I$6,"#")/10^3</f>
        <v>0</v>
      </c>
      <c r="K208" s="177">
        <f>_xll.GetCtData("COAMOUNT","CONSAMOUNT",$A$1:$A$8,$A208,J$6,"#")/10^3</f>
        <v>0</v>
      </c>
      <c r="L208" s="177">
        <f>_xll.GetCtData("COAMOUNT","CONSAMOUNT",$A$1:$A$8,$A208,K$6,"#-45005")/10^3</f>
        <v>-45.005000000000003</v>
      </c>
      <c r="N208" s="177">
        <v>30354.805000228302</v>
      </c>
      <c r="P208" s="177">
        <f t="shared" si="14"/>
        <v>30309.800000228301</v>
      </c>
    </row>
    <row r="209" spans="1:16" ht="12.75" customHeight="1" collapsed="1" thickBot="1">
      <c r="A209" s="87" t="s">
        <v>1085</v>
      </c>
      <c r="C209" s="176" t="str">
        <f>A209</f>
        <v>FL=XRF70T</v>
      </c>
      <c r="D209" s="176"/>
      <c r="E209" s="187" t="s">
        <v>112</v>
      </c>
      <c r="F209" s="186"/>
      <c r="G209" s="186"/>
      <c r="H209" s="186"/>
      <c r="I209" s="177">
        <f>_xll.GetCtData("COAMOUNT","CONSAMOUNT",$A$1:$A$8,$A209,H$6,"#5692,47819457026")/10^3</f>
        <v>5.6924781945702598</v>
      </c>
      <c r="J209" s="177">
        <f>_xll.GetCtData("COAMOUNT","CONSAMOUNT",$A$1:$A$8,$A209,I$6,"#-860")/10^3</f>
        <v>-0.86</v>
      </c>
      <c r="K209" s="177">
        <f>_xll.GetCtData("COAMOUNT","CONSAMOUNT",$A$1:$A$8,$A209,J$6,"#465")/10^3</f>
        <v>0.46500000000000002</v>
      </c>
      <c r="L209" s="177">
        <f>_xll.GetCtData("COAMOUNT","CONSAMOUNT",$A$1:$A$8,$A209,K$6,"#5297,47819457026")/10^3</f>
        <v>5.2974781945702594</v>
      </c>
      <c r="N209" s="177">
        <v>-176</v>
      </c>
      <c r="P209" s="177">
        <f t="shared" si="14"/>
        <v>-170.70252180542974</v>
      </c>
    </row>
    <row r="210" spans="1:16" s="115" customFormat="1" ht="12" hidden="1" outlineLevel="2" thickBot="1">
      <c r="A210" s="115" t="s">
        <v>1086</v>
      </c>
      <c r="C210" s="115" t="str">
        <f>A210</f>
        <v>FL=XRF701A</v>
      </c>
      <c r="E210" s="16" t="s">
        <v>1684</v>
      </c>
      <c r="F210" s="182"/>
      <c r="G210" s="182"/>
      <c r="H210" s="182"/>
      <c r="I210" s="182">
        <f>_xll.GetCtData("COAMOUNT","CONSAMOUNT",$A$1:$A$8,$A210,H$6,"#")/10^3</f>
        <v>0</v>
      </c>
      <c r="J210" s="182">
        <f>_xll.GetCtData("COAMOUNT","CONSAMOUNT",$A$1:$A$8,$A210,I$6,"#")/10^3</f>
        <v>0</v>
      </c>
      <c r="K210" s="182">
        <f>_xll.GetCtData("COAMOUNT","CONSAMOUNT",$A$1:$A$8,$A210,J$6,"#")/10^3</f>
        <v>0</v>
      </c>
      <c r="L210" s="182">
        <f>_xll.GetCtData("COAMOUNT","CONSAMOUNT",$A$1:$A$8,$A210,K$6,"#")/10^3</f>
        <v>0</v>
      </c>
      <c r="N210" s="182">
        <v>0</v>
      </c>
      <c r="P210" s="182">
        <f t="shared" si="14"/>
        <v>0</v>
      </c>
    </row>
    <row r="211" spans="1:16" s="115" customFormat="1" ht="12" hidden="1" outlineLevel="3" thickBot="1">
      <c r="A211" s="115" t="str">
        <f t="shared" ref="A211:A274" si="15">$C$1&amp;C211</f>
        <v>A39700000B</v>
      </c>
      <c r="B211" s="115" t="str">
        <f t="shared" ref="B211:B274" si="16">$C$2&amp;F211</f>
        <v>F70</v>
      </c>
      <c r="C211" s="135" t="s">
        <v>1690</v>
      </c>
      <c r="D211" s="135"/>
      <c r="E211" s="135" t="s">
        <v>1691</v>
      </c>
      <c r="F211" s="131" t="s">
        <v>145</v>
      </c>
      <c r="G211" s="131" t="e">
        <v>#VALUE!</v>
      </c>
      <c r="H211" s="183">
        <v>1</v>
      </c>
      <c r="I211" s="183" t="e">
        <f>_xll.GetCtData("COAMOUNT","CONSAMOUNT",$A$1:$A$8,$A211:$B211,,"#Erreur de syntaxe : Expression incomplète")/10^3*$H211</f>
        <v>#VALUE!</v>
      </c>
      <c r="J211" s="183"/>
      <c r="K211" s="183"/>
      <c r="L211" s="183" t="e">
        <f>_xll.GetCtData("COAMOUNT","CONSAMOUNT",$A$1:$A$8,$A211:$B211,,"#Erreur de syntaxe : Expression incomplète")/10^3*$H211</f>
        <v>#VALUE!</v>
      </c>
      <c r="N211" s="183" t="e">
        <f>_xll.GetCtData("COAMOUNT","CONSAMOUNT",$A$1:$A$8,$A211:$B211,,"#Erreur de syntaxe : Expression incomplète")/10^3*$H211</f>
        <v>#VALUE!</v>
      </c>
      <c r="P211" s="183" t="e">
        <f t="shared" si="14"/>
        <v>#VALUE!</v>
      </c>
    </row>
    <row r="212" spans="1:16" s="115" customFormat="1" ht="12" hidden="1" outlineLevel="3" thickBot="1">
      <c r="A212" s="115" t="str">
        <f t="shared" si="15"/>
        <v>A39700100B</v>
      </c>
      <c r="B212" s="115" t="str">
        <f t="shared" si="16"/>
        <v>F70</v>
      </c>
      <c r="C212" s="135" t="s">
        <v>1714</v>
      </c>
      <c r="D212" s="135"/>
      <c r="E212" s="135" t="s">
        <v>1715</v>
      </c>
      <c r="F212" s="131" t="s">
        <v>145</v>
      </c>
      <c r="G212" s="131" t="e">
        <v>#VALUE!</v>
      </c>
      <c r="H212" s="173">
        <v>1</v>
      </c>
      <c r="I212" s="173" t="e">
        <f>_xll.GetCtData("COAMOUNT","CONSAMOUNT",$A$1:$A$8,$A212:$B212,,"#Erreur de syntaxe : Expression incomplète")/10^3*$H212</f>
        <v>#VALUE!</v>
      </c>
      <c r="J212" s="173"/>
      <c r="K212" s="173"/>
      <c r="L212" s="173" t="e">
        <f>_xll.GetCtData("COAMOUNT","CONSAMOUNT",$A$1:$A$8,$A212:$B212,,"#Erreur de syntaxe : Expression incomplète")/10^3*$H212</f>
        <v>#VALUE!</v>
      </c>
      <c r="N212" s="173" t="e">
        <f>_xll.GetCtData("COAMOUNT","CONSAMOUNT",$A$1:$A$8,$A212:$B212,,"#Erreur de syntaxe : Expression incomplète")/10^3*$H212</f>
        <v>#VALUE!</v>
      </c>
      <c r="P212" s="173" t="e">
        <f t="shared" si="14"/>
        <v>#VALUE!</v>
      </c>
    </row>
    <row r="213" spans="1:16" s="115" customFormat="1" ht="12" hidden="1" outlineLevel="3" thickBot="1">
      <c r="A213" s="115" t="str">
        <f t="shared" si="15"/>
        <v>A39400000B</v>
      </c>
      <c r="B213" s="115" t="str">
        <f t="shared" si="16"/>
        <v>F70</v>
      </c>
      <c r="C213" s="135" t="s">
        <v>1708</v>
      </c>
      <c r="D213" s="135"/>
      <c r="E213" s="135" t="s">
        <v>1709</v>
      </c>
      <c r="F213" s="131" t="s">
        <v>145</v>
      </c>
      <c r="G213" s="131" t="e">
        <v>#VALUE!</v>
      </c>
      <c r="H213" s="173">
        <v>1</v>
      </c>
      <c r="I213" s="173" t="e">
        <f>_xll.GetCtData("COAMOUNT","CONSAMOUNT",$A$1:$A$8,$A213:$B213,,"#Erreur de syntaxe : Expression incomplète")/10^3*$H213</f>
        <v>#VALUE!</v>
      </c>
      <c r="J213" s="173"/>
      <c r="K213" s="173"/>
      <c r="L213" s="173" t="e">
        <f>_xll.GetCtData("COAMOUNT","CONSAMOUNT",$A$1:$A$8,$A213:$B213,,"#Erreur de syntaxe : Expression incomplète")/10^3*$H213</f>
        <v>#VALUE!</v>
      </c>
      <c r="N213" s="173" t="e">
        <f>_xll.GetCtData("COAMOUNT","CONSAMOUNT",$A$1:$A$8,$A213:$B213,,"#Erreur de syntaxe : Expression incomplète")/10^3*$H213</f>
        <v>#VALUE!</v>
      </c>
      <c r="P213" s="173" t="e">
        <f t="shared" si="14"/>
        <v>#VALUE!</v>
      </c>
    </row>
    <row r="214" spans="1:16" s="115" customFormat="1" ht="12" hidden="1" outlineLevel="3" thickBot="1">
      <c r="A214" s="115" t="str">
        <f t="shared" si="15"/>
        <v>A39410000B</v>
      </c>
      <c r="B214" s="115" t="str">
        <f t="shared" si="16"/>
        <v>F70</v>
      </c>
      <c r="C214" s="135" t="s">
        <v>1726</v>
      </c>
      <c r="D214" s="135"/>
      <c r="E214" s="135" t="s">
        <v>1778</v>
      </c>
      <c r="F214" s="131" t="s">
        <v>145</v>
      </c>
      <c r="G214" s="131" t="e">
        <v>#VALUE!</v>
      </c>
      <c r="H214" s="173">
        <v>1</v>
      </c>
      <c r="I214" s="173" t="e">
        <f>_xll.GetCtData("COAMOUNT","CONSAMOUNT",$A$1:$A$8,$A214:$B214,,"#Erreur de syntaxe : Expression incomplète")/10^3*$H214</f>
        <v>#VALUE!</v>
      </c>
      <c r="J214" s="173"/>
      <c r="K214" s="173"/>
      <c r="L214" s="173" t="e">
        <f>_xll.GetCtData("COAMOUNT","CONSAMOUNT",$A$1:$A$8,$A214:$B214,,"#Erreur de syntaxe : Expression incomplète")/10^3*$H214</f>
        <v>#VALUE!</v>
      </c>
      <c r="N214" s="173" t="e">
        <f>_xll.GetCtData("COAMOUNT","CONSAMOUNT",$A$1:$A$8,$A214:$B214,,"#Erreur de syntaxe : Expression incomplète")/10^3*$H214</f>
        <v>#VALUE!</v>
      </c>
      <c r="P214" s="173" t="e">
        <f t="shared" si="14"/>
        <v>#VALUE!</v>
      </c>
    </row>
    <row r="215" spans="1:16" s="115" customFormat="1" ht="12" hidden="1" outlineLevel="3" thickBot="1">
      <c r="A215" s="115" t="str">
        <f t="shared" si="15"/>
        <v>A39700000V</v>
      </c>
      <c r="B215" s="115" t="str">
        <f t="shared" si="16"/>
        <v>F70</v>
      </c>
      <c r="C215" s="135" t="s">
        <v>1693</v>
      </c>
      <c r="D215" s="135"/>
      <c r="E215" s="135" t="s">
        <v>1694</v>
      </c>
      <c r="F215" s="131" t="s">
        <v>145</v>
      </c>
      <c r="G215" s="131" t="e">
        <v>#VALUE!</v>
      </c>
      <c r="H215" s="173">
        <v>1</v>
      </c>
      <c r="I215" s="173" t="e">
        <f>_xll.GetCtData("COAMOUNT","CONSAMOUNT",$A$1:$A$8,$A215:$B215,,"#Erreur de syntaxe : Expression incomplète")/10^3*$H215</f>
        <v>#VALUE!</v>
      </c>
      <c r="J215" s="173"/>
      <c r="K215" s="173"/>
      <c r="L215" s="173" t="e">
        <f>_xll.GetCtData("COAMOUNT","CONSAMOUNT",$A$1:$A$8,$A215:$B215,,"#Erreur de syntaxe : Expression incomplète")/10^3*$H215</f>
        <v>#VALUE!</v>
      </c>
      <c r="N215" s="173" t="e">
        <f>_xll.GetCtData("COAMOUNT","CONSAMOUNT",$A$1:$A$8,$A215:$B215,,"#Erreur de syntaxe : Expression incomplète")/10^3*$H215</f>
        <v>#VALUE!</v>
      </c>
      <c r="P215" s="173" t="e">
        <f t="shared" si="14"/>
        <v>#VALUE!</v>
      </c>
    </row>
    <row r="216" spans="1:16" s="115" customFormat="1" ht="12" hidden="1" outlineLevel="3" thickBot="1">
      <c r="A216" s="115" t="str">
        <f t="shared" si="15"/>
        <v>A39700100V</v>
      </c>
      <c r="B216" s="115" t="str">
        <f t="shared" si="16"/>
        <v>F70</v>
      </c>
      <c r="C216" s="135" t="s">
        <v>1717</v>
      </c>
      <c r="D216" s="135"/>
      <c r="E216" s="135" t="s">
        <v>1718</v>
      </c>
      <c r="F216" s="131" t="s">
        <v>145</v>
      </c>
      <c r="G216" s="131" t="e">
        <v>#VALUE!</v>
      </c>
      <c r="H216" s="173">
        <v>1</v>
      </c>
      <c r="I216" s="173" t="e">
        <f>_xll.GetCtData("COAMOUNT","CONSAMOUNT",$A$1:$A$8,$A216:$B216,,"#Erreur de syntaxe : Expression incomplète")/10^3*$H216</f>
        <v>#VALUE!</v>
      </c>
      <c r="J216" s="173"/>
      <c r="K216" s="173"/>
      <c r="L216" s="173" t="e">
        <f>_xll.GetCtData("COAMOUNT","CONSAMOUNT",$A$1:$A$8,$A216:$B216,,"#Erreur de syntaxe : Expression incomplète")/10^3*$H216</f>
        <v>#VALUE!</v>
      </c>
      <c r="N216" s="173" t="e">
        <f>_xll.GetCtData("COAMOUNT","CONSAMOUNT",$A$1:$A$8,$A216:$B216,,"#Erreur de syntaxe : Expression incomplète")/10^3*$H216</f>
        <v>#VALUE!</v>
      </c>
      <c r="P216" s="173" t="e">
        <f t="shared" si="14"/>
        <v>#VALUE!</v>
      </c>
    </row>
    <row r="217" spans="1:16" s="115" customFormat="1" ht="12" hidden="1" outlineLevel="3" thickBot="1">
      <c r="A217" s="115" t="str">
        <f t="shared" si="15"/>
        <v>A39400000V</v>
      </c>
      <c r="B217" s="115" t="str">
        <f t="shared" si="16"/>
        <v>F70</v>
      </c>
      <c r="C217" s="135" t="s">
        <v>1711</v>
      </c>
      <c r="D217" s="135"/>
      <c r="E217" s="135" t="s">
        <v>1712</v>
      </c>
      <c r="F217" s="131" t="s">
        <v>145</v>
      </c>
      <c r="G217" s="131" t="e">
        <v>#VALUE!</v>
      </c>
      <c r="H217" s="173">
        <v>1</v>
      </c>
      <c r="I217" s="173" t="e">
        <f>_xll.GetCtData("COAMOUNT","CONSAMOUNT",$A$1:$A$8,$A217:$B217,,"#Erreur de syntaxe : Expression incomplète")/10^3*$H217</f>
        <v>#VALUE!</v>
      </c>
      <c r="J217" s="173"/>
      <c r="K217" s="173"/>
      <c r="L217" s="173" t="e">
        <f>_xll.GetCtData("COAMOUNT","CONSAMOUNT",$A$1:$A$8,$A217:$B217,,"#Erreur de syntaxe : Expression incomplète")/10^3*$H217</f>
        <v>#VALUE!</v>
      </c>
      <c r="N217" s="173" t="e">
        <f>_xll.GetCtData("COAMOUNT","CONSAMOUNT",$A$1:$A$8,$A217:$B217,,"#Erreur de syntaxe : Expression incomplète")/10^3*$H217</f>
        <v>#VALUE!</v>
      </c>
      <c r="P217" s="173" t="e">
        <f t="shared" si="14"/>
        <v>#VALUE!</v>
      </c>
    </row>
    <row r="218" spans="1:16" s="115" customFormat="1" ht="12" hidden="1" outlineLevel="3" thickBot="1">
      <c r="A218" s="115" t="str">
        <f t="shared" si="15"/>
        <v>A39410000V</v>
      </c>
      <c r="B218" s="115" t="str">
        <f t="shared" si="16"/>
        <v>F70</v>
      </c>
      <c r="C218" s="135" t="s">
        <v>1729</v>
      </c>
      <c r="D218" s="135"/>
      <c r="E218" s="135" t="s">
        <v>1779</v>
      </c>
      <c r="F218" s="131" t="s">
        <v>145</v>
      </c>
      <c r="G218" s="131" t="e">
        <v>#VALUE!</v>
      </c>
      <c r="H218" s="173">
        <v>1</v>
      </c>
      <c r="I218" s="173" t="e">
        <f>_xll.GetCtData("COAMOUNT","CONSAMOUNT",$A$1:$A$8,$A218:$B218,,"#Erreur de syntaxe : Expression incomplète")/10^3*$H218</f>
        <v>#VALUE!</v>
      </c>
      <c r="J218" s="173"/>
      <c r="K218" s="173"/>
      <c r="L218" s="173" t="e">
        <f>_xll.GetCtData("COAMOUNT","CONSAMOUNT",$A$1:$A$8,$A218:$B218,,"#Erreur de syntaxe : Expression incomplète")/10^3*$H218</f>
        <v>#VALUE!</v>
      </c>
      <c r="N218" s="173" t="e">
        <f>_xll.GetCtData("COAMOUNT","CONSAMOUNT",$A$1:$A$8,$A218:$B218,,"#Erreur de syntaxe : Expression incomplète")/10^3*$H218</f>
        <v>#VALUE!</v>
      </c>
      <c r="P218" s="173" t="e">
        <f t="shared" si="14"/>
        <v>#VALUE!</v>
      </c>
    </row>
    <row r="219" spans="1:16" s="115" customFormat="1" ht="12" hidden="1" outlineLevel="3" thickBot="1">
      <c r="A219" s="115" t="str">
        <f t="shared" si="15"/>
        <v>P39700000B</v>
      </c>
      <c r="B219" s="115" t="str">
        <f t="shared" si="16"/>
        <v>F70</v>
      </c>
      <c r="C219" s="135" t="s">
        <v>1738</v>
      </c>
      <c r="D219" s="135"/>
      <c r="E219" s="135" t="s">
        <v>1739</v>
      </c>
      <c r="F219" s="131" t="s">
        <v>145</v>
      </c>
      <c r="G219" s="131" t="e">
        <v>#VALUE!</v>
      </c>
      <c r="H219" s="173">
        <v>-1</v>
      </c>
      <c r="I219" s="173" t="e">
        <f>_xll.GetCtData("COAMOUNT","CONSAMOUNT",$A$1:$A$8,$A219:$B219,,"#Erreur de syntaxe : Expression incomplète")/10^3*$H219</f>
        <v>#VALUE!</v>
      </c>
      <c r="J219" s="173"/>
      <c r="K219" s="173"/>
      <c r="L219" s="173" t="e">
        <f>_xll.GetCtData("COAMOUNT","CONSAMOUNT",$A$1:$A$8,$A219:$B219,,"#Erreur de syntaxe : Expression incomplète")/10^3*$H219</f>
        <v>#VALUE!</v>
      </c>
      <c r="N219" s="173" t="e">
        <f>_xll.GetCtData("COAMOUNT","CONSAMOUNT",$A$1:$A$8,$A219:$B219,,"#Erreur de syntaxe : Expression incomplète")/10^3*$H219</f>
        <v>#VALUE!</v>
      </c>
      <c r="P219" s="173" t="e">
        <f t="shared" ref="P219:P282" si="17">L219+N219</f>
        <v>#VALUE!</v>
      </c>
    </row>
    <row r="220" spans="1:16" s="115" customFormat="1" ht="12" hidden="1" outlineLevel="3" thickBot="1">
      <c r="A220" s="115" t="str">
        <f t="shared" si="15"/>
        <v>P39700100B</v>
      </c>
      <c r="B220" s="115" t="str">
        <f t="shared" si="16"/>
        <v>F70</v>
      </c>
      <c r="C220" s="135" t="s">
        <v>1141</v>
      </c>
      <c r="D220" s="135"/>
      <c r="E220" s="135" t="s">
        <v>1142</v>
      </c>
      <c r="F220" s="131" t="s">
        <v>145</v>
      </c>
      <c r="G220" s="131" t="e">
        <v>#VALUE!</v>
      </c>
      <c r="H220" s="173">
        <v>-1</v>
      </c>
      <c r="I220" s="173" t="e">
        <f>_xll.GetCtData("COAMOUNT","CONSAMOUNT",$A$1:$A$8,$A220:$B220,,"#Erreur de syntaxe : Expression incomplète")/10^3*$H220</f>
        <v>#VALUE!</v>
      </c>
      <c r="J220" s="173"/>
      <c r="K220" s="173"/>
      <c r="L220" s="173" t="e">
        <f>_xll.GetCtData("COAMOUNT","CONSAMOUNT",$A$1:$A$8,$A220:$B220,,"#Erreur de syntaxe : Expression incomplète")/10^3*$H220</f>
        <v>#VALUE!</v>
      </c>
      <c r="N220" s="173" t="e">
        <f>_xll.GetCtData("COAMOUNT","CONSAMOUNT",$A$1:$A$8,$A220:$B220,,"#Erreur de syntaxe : Expression incomplète")/10^3*$H220</f>
        <v>#VALUE!</v>
      </c>
      <c r="P220" s="173" t="e">
        <f t="shared" si="17"/>
        <v>#VALUE!</v>
      </c>
    </row>
    <row r="221" spans="1:16" s="115" customFormat="1" ht="12" hidden="1" outlineLevel="3" thickBot="1">
      <c r="A221" s="115" t="str">
        <f t="shared" si="15"/>
        <v>P39400000B</v>
      </c>
      <c r="B221" s="115" t="str">
        <f t="shared" si="16"/>
        <v>F70</v>
      </c>
      <c r="C221" s="135" t="s">
        <v>1744</v>
      </c>
      <c r="D221" s="135"/>
      <c r="E221" s="135" t="s">
        <v>1745</v>
      </c>
      <c r="F221" s="131" t="s">
        <v>145</v>
      </c>
      <c r="G221" s="131" t="e">
        <v>#VALUE!</v>
      </c>
      <c r="H221" s="173">
        <v>-1</v>
      </c>
      <c r="I221" s="173" t="e">
        <f>_xll.GetCtData("COAMOUNT","CONSAMOUNT",$A$1:$A$8,$A221:$B221,,"#Erreur de syntaxe : Expression incomplète")/10^3*$H221</f>
        <v>#VALUE!</v>
      </c>
      <c r="J221" s="173"/>
      <c r="K221" s="173"/>
      <c r="L221" s="173" t="e">
        <f>_xll.GetCtData("COAMOUNT","CONSAMOUNT",$A$1:$A$8,$A221:$B221,,"#Erreur de syntaxe : Expression incomplète")/10^3*$H221</f>
        <v>#VALUE!</v>
      </c>
      <c r="N221" s="173" t="e">
        <f>_xll.GetCtData("COAMOUNT","CONSAMOUNT",$A$1:$A$8,$A221:$B221,,"#Erreur de syntaxe : Expression incomplète")/10^3*$H221</f>
        <v>#VALUE!</v>
      </c>
      <c r="P221" s="173" t="e">
        <f t="shared" si="17"/>
        <v>#VALUE!</v>
      </c>
    </row>
    <row r="222" spans="1:16" s="115" customFormat="1" ht="12" hidden="1" outlineLevel="3" thickBot="1">
      <c r="A222" s="115" t="str">
        <f t="shared" si="15"/>
        <v>P39410000B</v>
      </c>
      <c r="B222" s="115" t="str">
        <f t="shared" si="16"/>
        <v>F70</v>
      </c>
      <c r="C222" s="135" t="s">
        <v>1143</v>
      </c>
      <c r="D222" s="135"/>
      <c r="E222" s="135" t="s">
        <v>1144</v>
      </c>
      <c r="F222" s="131" t="s">
        <v>145</v>
      </c>
      <c r="G222" s="131" t="e">
        <v>#VALUE!</v>
      </c>
      <c r="H222" s="173">
        <v>-1</v>
      </c>
      <c r="I222" s="173" t="e">
        <f>_xll.GetCtData("COAMOUNT","CONSAMOUNT",$A$1:$A$8,$A222:$B222,,"#Erreur de syntaxe : Expression incomplète")/10^3*$H222</f>
        <v>#VALUE!</v>
      </c>
      <c r="J222" s="173"/>
      <c r="K222" s="173"/>
      <c r="L222" s="173" t="e">
        <f>_xll.GetCtData("COAMOUNT","CONSAMOUNT",$A$1:$A$8,$A222:$B222,,"#Erreur de syntaxe : Expression incomplète")/10^3*$H222</f>
        <v>#VALUE!</v>
      </c>
      <c r="N222" s="173" t="e">
        <f>_xll.GetCtData("COAMOUNT","CONSAMOUNT",$A$1:$A$8,$A222:$B222,,"#Erreur de syntaxe : Expression incomplète")/10^3*$H222</f>
        <v>#VALUE!</v>
      </c>
      <c r="P222" s="173" t="e">
        <f t="shared" si="17"/>
        <v>#VALUE!</v>
      </c>
    </row>
    <row r="223" spans="1:16" s="115" customFormat="1" ht="12" hidden="1" outlineLevel="3" thickBot="1">
      <c r="A223" s="115" t="str">
        <f t="shared" si="15"/>
        <v>P39700000V</v>
      </c>
      <c r="B223" s="115" t="str">
        <f t="shared" si="16"/>
        <v>F70</v>
      </c>
      <c r="C223" s="135" t="s">
        <v>1747</v>
      </c>
      <c r="D223" s="135"/>
      <c r="E223" s="135" t="s">
        <v>1748</v>
      </c>
      <c r="F223" s="131" t="s">
        <v>145</v>
      </c>
      <c r="G223" s="131" t="e">
        <v>#VALUE!</v>
      </c>
      <c r="H223" s="173">
        <v>-1</v>
      </c>
      <c r="I223" s="173" t="e">
        <f>_xll.GetCtData("COAMOUNT","CONSAMOUNT",$A$1:$A$8,$A223:$B223,,"#Erreur de syntaxe : Expression incomplète")/10^3*$H223</f>
        <v>#VALUE!</v>
      </c>
      <c r="J223" s="173"/>
      <c r="K223" s="173"/>
      <c r="L223" s="173" t="e">
        <f>_xll.GetCtData("COAMOUNT","CONSAMOUNT",$A$1:$A$8,$A223:$B223,,"#Erreur de syntaxe : Expression incomplète")/10^3*$H223</f>
        <v>#VALUE!</v>
      </c>
      <c r="N223" s="173" t="e">
        <f>_xll.GetCtData("COAMOUNT","CONSAMOUNT",$A$1:$A$8,$A223:$B223,,"#Erreur de syntaxe : Expression incomplète")/10^3*$H223</f>
        <v>#VALUE!</v>
      </c>
      <c r="P223" s="173" t="e">
        <f t="shared" si="17"/>
        <v>#VALUE!</v>
      </c>
    </row>
    <row r="224" spans="1:16" s="115" customFormat="1" ht="12" hidden="1" outlineLevel="3" thickBot="1">
      <c r="A224" s="115" t="str">
        <f t="shared" si="15"/>
        <v>P39700100V</v>
      </c>
      <c r="B224" s="115" t="str">
        <f t="shared" si="16"/>
        <v>F70</v>
      </c>
      <c r="C224" s="135" t="s">
        <v>1135</v>
      </c>
      <c r="D224" s="135"/>
      <c r="E224" s="135" t="s">
        <v>1136</v>
      </c>
      <c r="F224" s="131" t="s">
        <v>145</v>
      </c>
      <c r="G224" s="131" t="e">
        <v>#VALUE!</v>
      </c>
      <c r="H224" s="173">
        <v>-1</v>
      </c>
      <c r="I224" s="173" t="e">
        <f>_xll.GetCtData("COAMOUNT","CONSAMOUNT",$A$1:$A$8,$A224:$B224,,"#Erreur de syntaxe : Expression incomplète")/10^3*$H224</f>
        <v>#VALUE!</v>
      </c>
      <c r="J224" s="173"/>
      <c r="K224" s="173"/>
      <c r="L224" s="173" t="e">
        <f>_xll.GetCtData("COAMOUNT","CONSAMOUNT",$A$1:$A$8,$A224:$B224,,"#Erreur de syntaxe : Expression incomplète")/10^3*$H224</f>
        <v>#VALUE!</v>
      </c>
      <c r="N224" s="173" t="e">
        <f>_xll.GetCtData("COAMOUNT","CONSAMOUNT",$A$1:$A$8,$A224:$B224,,"#Erreur de syntaxe : Expression incomplète")/10^3*$H224</f>
        <v>#VALUE!</v>
      </c>
      <c r="P224" s="173" t="e">
        <f t="shared" si="17"/>
        <v>#VALUE!</v>
      </c>
    </row>
    <row r="225" spans="1:16" s="115" customFormat="1" ht="12" hidden="1" outlineLevel="3" thickBot="1">
      <c r="A225" s="115" t="str">
        <f t="shared" si="15"/>
        <v>P39400000V</v>
      </c>
      <c r="B225" s="115" t="str">
        <f t="shared" si="16"/>
        <v>F70</v>
      </c>
      <c r="C225" s="135" t="s">
        <v>1753</v>
      </c>
      <c r="D225" s="135"/>
      <c r="E225" s="135" t="s">
        <v>1754</v>
      </c>
      <c r="F225" s="131" t="s">
        <v>145</v>
      </c>
      <c r="G225" s="131" t="e">
        <v>#VALUE!</v>
      </c>
      <c r="H225" s="173">
        <v>-1</v>
      </c>
      <c r="I225" s="173" t="e">
        <f>_xll.GetCtData("COAMOUNT","CONSAMOUNT",$A$1:$A$8,$A225:$B225,,"#Erreur de syntaxe : Expression incomplète")/10^3*$H225</f>
        <v>#VALUE!</v>
      </c>
      <c r="J225" s="173"/>
      <c r="K225" s="173"/>
      <c r="L225" s="173" t="e">
        <f>_xll.GetCtData("COAMOUNT","CONSAMOUNT",$A$1:$A$8,$A225:$B225,,"#Erreur de syntaxe : Expression incomplète")/10^3*$H225</f>
        <v>#VALUE!</v>
      </c>
      <c r="N225" s="173" t="e">
        <f>_xll.GetCtData("COAMOUNT","CONSAMOUNT",$A$1:$A$8,$A225:$B225,,"#Erreur de syntaxe : Expression incomplète")/10^3*$H225</f>
        <v>#VALUE!</v>
      </c>
      <c r="P225" s="173" t="e">
        <f t="shared" si="17"/>
        <v>#VALUE!</v>
      </c>
    </row>
    <row r="226" spans="1:16" s="115" customFormat="1" ht="12" hidden="1" outlineLevel="3" thickBot="1">
      <c r="A226" s="115" t="str">
        <f t="shared" si="15"/>
        <v>P39410000V</v>
      </c>
      <c r="B226" s="115" t="str">
        <f t="shared" si="16"/>
        <v>F70</v>
      </c>
      <c r="C226" s="135" t="s">
        <v>1137</v>
      </c>
      <c r="D226" s="135"/>
      <c r="E226" s="135" t="s">
        <v>1138</v>
      </c>
      <c r="F226" s="131" t="s">
        <v>145</v>
      </c>
      <c r="G226" s="131" t="e">
        <v>#VALUE!</v>
      </c>
      <c r="H226" s="173">
        <v>-1</v>
      </c>
      <c r="I226" s="173" t="e">
        <f>_xll.GetCtData("COAMOUNT","CONSAMOUNT",$A$1:$A$8,$A226:$B226,,"#Erreur de syntaxe : Expression incomplète")/10^3*$H226</f>
        <v>#VALUE!</v>
      </c>
      <c r="J226" s="173"/>
      <c r="K226" s="173"/>
      <c r="L226" s="173" t="e">
        <f>_xll.GetCtData("COAMOUNT","CONSAMOUNT",$A$1:$A$8,$A226:$B226,,"#Erreur de syntaxe : Expression incomplète")/10^3*$H226</f>
        <v>#VALUE!</v>
      </c>
      <c r="N226" s="173" t="e">
        <f>_xll.GetCtData("COAMOUNT","CONSAMOUNT",$A$1:$A$8,$A226:$B226,,"#Erreur de syntaxe : Expression incomplète")/10^3*$H226</f>
        <v>#VALUE!</v>
      </c>
      <c r="P226" s="173" t="e">
        <f t="shared" si="17"/>
        <v>#VALUE!</v>
      </c>
    </row>
    <row r="227" spans="1:16" s="115" customFormat="1" ht="12" hidden="1" outlineLevel="3" thickBot="1">
      <c r="A227" s="115" t="str">
        <f t="shared" si="15"/>
        <v>A39700000B</v>
      </c>
      <c r="B227" s="115" t="str">
        <f t="shared" si="16"/>
        <v>F52</v>
      </c>
      <c r="C227" s="135" t="s">
        <v>1690</v>
      </c>
      <c r="D227" s="135"/>
      <c r="E227" s="135" t="s">
        <v>1691</v>
      </c>
      <c r="F227" s="131" t="s">
        <v>1670</v>
      </c>
      <c r="G227" s="131" t="e">
        <v>#VALUE!</v>
      </c>
      <c r="H227" s="173">
        <v>1</v>
      </c>
      <c r="I227" s="173" t="e">
        <f>_xll.GetCtData("COAMOUNT","CONSAMOUNT",$A$1:$A$8,$A227:$B227,,"#Erreur de syntaxe : Expression incomplète")/10^3*$H227</f>
        <v>#VALUE!</v>
      </c>
      <c r="J227" s="173"/>
      <c r="K227" s="173"/>
      <c r="L227" s="173" t="e">
        <f>_xll.GetCtData("COAMOUNT","CONSAMOUNT",$A$1:$A$8,$A227:$B227,,"#Erreur de syntaxe : Expression incomplète")/10^3*$H227</f>
        <v>#VALUE!</v>
      </c>
      <c r="N227" s="173" t="e">
        <f>_xll.GetCtData("COAMOUNT","CONSAMOUNT",$A$1:$A$8,$A227:$B227,,"#Erreur de syntaxe : Expression incomplète")/10^3*$H227</f>
        <v>#VALUE!</v>
      </c>
      <c r="P227" s="173" t="e">
        <f t="shared" si="17"/>
        <v>#VALUE!</v>
      </c>
    </row>
    <row r="228" spans="1:16" s="115" customFormat="1" ht="12" hidden="1" outlineLevel="3" thickBot="1">
      <c r="A228" s="115" t="str">
        <f t="shared" si="15"/>
        <v>A39700100B</v>
      </c>
      <c r="B228" s="115" t="str">
        <f t="shared" si="16"/>
        <v>F52</v>
      </c>
      <c r="C228" s="135" t="s">
        <v>1714</v>
      </c>
      <c r="D228" s="135"/>
      <c r="E228" s="135" t="s">
        <v>1715</v>
      </c>
      <c r="F228" s="131" t="s">
        <v>1670</v>
      </c>
      <c r="G228" s="131" t="e">
        <v>#VALUE!</v>
      </c>
      <c r="H228" s="173">
        <v>1</v>
      </c>
      <c r="I228" s="173" t="e">
        <f>_xll.GetCtData("COAMOUNT","CONSAMOUNT",$A$1:$A$8,$A228:$B228,,"#Erreur de syntaxe : Expression incomplète")/10^3*$H228</f>
        <v>#VALUE!</v>
      </c>
      <c r="J228" s="173"/>
      <c r="K228" s="173"/>
      <c r="L228" s="173" t="e">
        <f>_xll.GetCtData("COAMOUNT","CONSAMOUNT",$A$1:$A$8,$A228:$B228,,"#Erreur de syntaxe : Expression incomplète")/10^3*$H228</f>
        <v>#VALUE!</v>
      </c>
      <c r="N228" s="173" t="e">
        <f>_xll.GetCtData("COAMOUNT","CONSAMOUNT",$A$1:$A$8,$A228:$B228,,"#Erreur de syntaxe : Expression incomplète")/10^3*$H228</f>
        <v>#VALUE!</v>
      </c>
      <c r="P228" s="173" t="e">
        <f t="shared" si="17"/>
        <v>#VALUE!</v>
      </c>
    </row>
    <row r="229" spans="1:16" s="115" customFormat="1" ht="12" hidden="1" outlineLevel="3" thickBot="1">
      <c r="A229" s="115" t="str">
        <f t="shared" si="15"/>
        <v>A39400000B</v>
      </c>
      <c r="B229" s="115" t="str">
        <f t="shared" si="16"/>
        <v>F52</v>
      </c>
      <c r="C229" s="135" t="s">
        <v>1708</v>
      </c>
      <c r="D229" s="135"/>
      <c r="E229" s="135" t="s">
        <v>1709</v>
      </c>
      <c r="F229" s="131" t="s">
        <v>1670</v>
      </c>
      <c r="G229" s="131" t="e">
        <v>#VALUE!</v>
      </c>
      <c r="H229" s="173">
        <v>1</v>
      </c>
      <c r="I229" s="173" t="e">
        <f>_xll.GetCtData("COAMOUNT","CONSAMOUNT",$A$1:$A$8,$A229:$B229,,"#Erreur de syntaxe : Expression incomplète")/10^3*$H229</f>
        <v>#VALUE!</v>
      </c>
      <c r="J229" s="173"/>
      <c r="K229" s="173"/>
      <c r="L229" s="173" t="e">
        <f>_xll.GetCtData("COAMOUNT","CONSAMOUNT",$A$1:$A$8,$A229:$B229,,"#Erreur de syntaxe : Expression incomplète")/10^3*$H229</f>
        <v>#VALUE!</v>
      </c>
      <c r="N229" s="173" t="e">
        <f>_xll.GetCtData("COAMOUNT","CONSAMOUNT",$A$1:$A$8,$A229:$B229,,"#Erreur de syntaxe : Expression incomplète")/10^3*$H229</f>
        <v>#VALUE!</v>
      </c>
      <c r="P229" s="173" t="e">
        <f t="shared" si="17"/>
        <v>#VALUE!</v>
      </c>
    </row>
    <row r="230" spans="1:16" s="115" customFormat="1" ht="12" hidden="1" outlineLevel="3" thickBot="1">
      <c r="A230" s="115" t="str">
        <f t="shared" si="15"/>
        <v>A39410000B</v>
      </c>
      <c r="B230" s="115" t="str">
        <f t="shared" si="16"/>
        <v>F52</v>
      </c>
      <c r="C230" s="135" t="s">
        <v>1726</v>
      </c>
      <c r="D230" s="135"/>
      <c r="E230" s="135" t="s">
        <v>1778</v>
      </c>
      <c r="F230" s="131" t="s">
        <v>1670</v>
      </c>
      <c r="G230" s="131" t="e">
        <v>#VALUE!</v>
      </c>
      <c r="H230" s="173">
        <v>1</v>
      </c>
      <c r="I230" s="173" t="e">
        <f>_xll.GetCtData("COAMOUNT","CONSAMOUNT",$A$1:$A$8,$A230:$B230,,"#Erreur de syntaxe : Expression incomplète")/10^3*$H230</f>
        <v>#VALUE!</v>
      </c>
      <c r="J230" s="173"/>
      <c r="K230" s="173"/>
      <c r="L230" s="173" t="e">
        <f>_xll.GetCtData("COAMOUNT","CONSAMOUNT",$A$1:$A$8,$A230:$B230,,"#Erreur de syntaxe : Expression incomplète")/10^3*$H230</f>
        <v>#VALUE!</v>
      </c>
      <c r="N230" s="173" t="e">
        <f>_xll.GetCtData("COAMOUNT","CONSAMOUNT",$A$1:$A$8,$A230:$B230,,"#Erreur de syntaxe : Expression incomplète")/10^3*$H230</f>
        <v>#VALUE!</v>
      </c>
      <c r="P230" s="173" t="e">
        <f t="shared" si="17"/>
        <v>#VALUE!</v>
      </c>
    </row>
    <row r="231" spans="1:16" s="115" customFormat="1" ht="12" hidden="1" outlineLevel="3" thickBot="1">
      <c r="A231" s="115" t="str">
        <f t="shared" si="15"/>
        <v>A39700000V</v>
      </c>
      <c r="B231" s="115" t="str">
        <f t="shared" si="16"/>
        <v>F52</v>
      </c>
      <c r="C231" s="135" t="s">
        <v>1693</v>
      </c>
      <c r="D231" s="135"/>
      <c r="E231" s="135" t="s">
        <v>1694</v>
      </c>
      <c r="F231" s="131" t="s">
        <v>1670</v>
      </c>
      <c r="G231" s="131" t="e">
        <v>#VALUE!</v>
      </c>
      <c r="H231" s="173">
        <v>1</v>
      </c>
      <c r="I231" s="173" t="e">
        <f>_xll.GetCtData("COAMOUNT","CONSAMOUNT",$A$1:$A$8,$A231:$B231,,"#Erreur de syntaxe : Expression incomplète")/10^3*$H231</f>
        <v>#VALUE!</v>
      </c>
      <c r="J231" s="173"/>
      <c r="K231" s="173"/>
      <c r="L231" s="173" t="e">
        <f>_xll.GetCtData("COAMOUNT","CONSAMOUNT",$A$1:$A$8,$A231:$B231,,"#Erreur de syntaxe : Expression incomplète")/10^3*$H231</f>
        <v>#VALUE!</v>
      </c>
      <c r="N231" s="173" t="e">
        <f>_xll.GetCtData("COAMOUNT","CONSAMOUNT",$A$1:$A$8,$A231:$B231,,"#Erreur de syntaxe : Expression incomplète")/10^3*$H231</f>
        <v>#VALUE!</v>
      </c>
      <c r="P231" s="173" t="e">
        <f t="shared" si="17"/>
        <v>#VALUE!</v>
      </c>
    </row>
    <row r="232" spans="1:16" s="115" customFormat="1" ht="12" hidden="1" outlineLevel="3" thickBot="1">
      <c r="A232" s="115" t="str">
        <f t="shared" si="15"/>
        <v>A39700100V</v>
      </c>
      <c r="B232" s="115" t="str">
        <f t="shared" si="16"/>
        <v>F52</v>
      </c>
      <c r="C232" s="135" t="s">
        <v>1717</v>
      </c>
      <c r="D232" s="135"/>
      <c r="E232" s="135" t="s">
        <v>1718</v>
      </c>
      <c r="F232" s="131" t="s">
        <v>1670</v>
      </c>
      <c r="G232" s="131" t="e">
        <v>#VALUE!</v>
      </c>
      <c r="H232" s="173">
        <v>1</v>
      </c>
      <c r="I232" s="173" t="e">
        <f>_xll.GetCtData("COAMOUNT","CONSAMOUNT",$A$1:$A$8,$A232:$B232,,"#Erreur de syntaxe : Expression incomplète")/10^3*$H232</f>
        <v>#VALUE!</v>
      </c>
      <c r="J232" s="173"/>
      <c r="K232" s="173"/>
      <c r="L232" s="173" t="e">
        <f>_xll.GetCtData("COAMOUNT","CONSAMOUNT",$A$1:$A$8,$A232:$B232,,"#Erreur de syntaxe : Expression incomplète")/10^3*$H232</f>
        <v>#VALUE!</v>
      </c>
      <c r="N232" s="173" t="e">
        <f>_xll.GetCtData("COAMOUNT","CONSAMOUNT",$A$1:$A$8,$A232:$B232,,"#Erreur de syntaxe : Expression incomplète")/10^3*$H232</f>
        <v>#VALUE!</v>
      </c>
      <c r="P232" s="173" t="e">
        <f t="shared" si="17"/>
        <v>#VALUE!</v>
      </c>
    </row>
    <row r="233" spans="1:16" s="115" customFormat="1" ht="12" hidden="1" outlineLevel="3" thickBot="1">
      <c r="A233" s="115" t="str">
        <f t="shared" si="15"/>
        <v>A39400000V</v>
      </c>
      <c r="B233" s="115" t="str">
        <f t="shared" si="16"/>
        <v>F52</v>
      </c>
      <c r="C233" s="135" t="s">
        <v>1711</v>
      </c>
      <c r="D233" s="135"/>
      <c r="E233" s="135" t="s">
        <v>1712</v>
      </c>
      <c r="F233" s="131" t="s">
        <v>1670</v>
      </c>
      <c r="G233" s="131" t="e">
        <v>#VALUE!</v>
      </c>
      <c r="H233" s="173">
        <v>1</v>
      </c>
      <c r="I233" s="173" t="e">
        <f>_xll.GetCtData("COAMOUNT","CONSAMOUNT",$A$1:$A$8,$A233:$B233,,"#Erreur de syntaxe : Expression incomplète")/10^3*$H233</f>
        <v>#VALUE!</v>
      </c>
      <c r="J233" s="173"/>
      <c r="K233" s="173"/>
      <c r="L233" s="173" t="e">
        <f>_xll.GetCtData("COAMOUNT","CONSAMOUNT",$A$1:$A$8,$A233:$B233,,"#Erreur de syntaxe : Expression incomplète")/10^3*$H233</f>
        <v>#VALUE!</v>
      </c>
      <c r="N233" s="173" t="e">
        <f>_xll.GetCtData("COAMOUNT","CONSAMOUNT",$A$1:$A$8,$A233:$B233,,"#Erreur de syntaxe : Expression incomplète")/10^3*$H233</f>
        <v>#VALUE!</v>
      </c>
      <c r="P233" s="173" t="e">
        <f t="shared" si="17"/>
        <v>#VALUE!</v>
      </c>
    </row>
    <row r="234" spans="1:16" s="115" customFormat="1" ht="12" hidden="1" outlineLevel="3" thickBot="1">
      <c r="A234" s="115" t="str">
        <f t="shared" si="15"/>
        <v>A39410000V</v>
      </c>
      <c r="B234" s="115" t="str">
        <f t="shared" si="16"/>
        <v>F52</v>
      </c>
      <c r="C234" s="135" t="s">
        <v>1729</v>
      </c>
      <c r="D234" s="135"/>
      <c r="E234" s="135" t="s">
        <v>1779</v>
      </c>
      <c r="F234" s="131" t="s">
        <v>1670</v>
      </c>
      <c r="G234" s="131" t="e">
        <v>#VALUE!</v>
      </c>
      <c r="H234" s="173">
        <v>1</v>
      </c>
      <c r="I234" s="173" t="e">
        <f>_xll.GetCtData("COAMOUNT","CONSAMOUNT",$A$1:$A$8,$A234:$B234,,"#Erreur de syntaxe : Expression incomplète")/10^3*$H234</f>
        <v>#VALUE!</v>
      </c>
      <c r="J234" s="173"/>
      <c r="K234" s="173"/>
      <c r="L234" s="173" t="e">
        <f>_xll.GetCtData("COAMOUNT","CONSAMOUNT",$A$1:$A$8,$A234:$B234,,"#Erreur de syntaxe : Expression incomplète")/10^3*$H234</f>
        <v>#VALUE!</v>
      </c>
      <c r="N234" s="173" t="e">
        <f>_xll.GetCtData("COAMOUNT","CONSAMOUNT",$A$1:$A$8,$A234:$B234,,"#Erreur de syntaxe : Expression incomplète")/10^3*$H234</f>
        <v>#VALUE!</v>
      </c>
      <c r="P234" s="173" t="e">
        <f t="shared" si="17"/>
        <v>#VALUE!</v>
      </c>
    </row>
    <row r="235" spans="1:16" s="115" customFormat="1" ht="12" hidden="1" outlineLevel="3" thickBot="1">
      <c r="A235" s="115" t="str">
        <f t="shared" si="15"/>
        <v>P39700000B</v>
      </c>
      <c r="B235" s="115" t="str">
        <f t="shared" si="16"/>
        <v>F52</v>
      </c>
      <c r="C235" s="135" t="s">
        <v>1738</v>
      </c>
      <c r="D235" s="135"/>
      <c r="E235" s="135" t="s">
        <v>1739</v>
      </c>
      <c r="F235" s="131" t="s">
        <v>1670</v>
      </c>
      <c r="G235" s="131" t="e">
        <v>#VALUE!</v>
      </c>
      <c r="H235" s="173">
        <v>-1</v>
      </c>
      <c r="I235" s="173" t="e">
        <f>_xll.GetCtData("COAMOUNT","CONSAMOUNT",$A$1:$A$8,$A235:$B235,,"#Erreur de syntaxe : Expression incomplète")/10^3*$H235</f>
        <v>#VALUE!</v>
      </c>
      <c r="J235" s="173"/>
      <c r="K235" s="173"/>
      <c r="L235" s="173" t="e">
        <f>_xll.GetCtData("COAMOUNT","CONSAMOUNT",$A$1:$A$8,$A235:$B235,,"#Erreur de syntaxe : Expression incomplète")/10^3*$H235</f>
        <v>#VALUE!</v>
      </c>
      <c r="N235" s="173" t="e">
        <f>_xll.GetCtData("COAMOUNT","CONSAMOUNT",$A$1:$A$8,$A235:$B235,,"#Erreur de syntaxe : Expression incomplète")/10^3*$H235</f>
        <v>#VALUE!</v>
      </c>
      <c r="P235" s="173" t="e">
        <f t="shared" si="17"/>
        <v>#VALUE!</v>
      </c>
    </row>
    <row r="236" spans="1:16" s="115" customFormat="1" ht="12" hidden="1" outlineLevel="3" thickBot="1">
      <c r="A236" s="115" t="str">
        <f t="shared" si="15"/>
        <v>P39700100B</v>
      </c>
      <c r="B236" s="115" t="str">
        <f t="shared" si="16"/>
        <v>F52</v>
      </c>
      <c r="C236" s="135" t="s">
        <v>1141</v>
      </c>
      <c r="D236" s="135"/>
      <c r="E236" s="135" t="s">
        <v>1142</v>
      </c>
      <c r="F236" s="131" t="s">
        <v>1670</v>
      </c>
      <c r="G236" s="131" t="e">
        <v>#VALUE!</v>
      </c>
      <c r="H236" s="173">
        <v>-1</v>
      </c>
      <c r="I236" s="173" t="e">
        <f>_xll.GetCtData("COAMOUNT","CONSAMOUNT",$A$1:$A$8,$A236:$B236,,"#Erreur de syntaxe : Expression incomplète")/10^3*$H236</f>
        <v>#VALUE!</v>
      </c>
      <c r="J236" s="173"/>
      <c r="K236" s="173"/>
      <c r="L236" s="173" t="e">
        <f>_xll.GetCtData("COAMOUNT","CONSAMOUNT",$A$1:$A$8,$A236:$B236,,"#Erreur de syntaxe : Expression incomplète")/10^3*$H236</f>
        <v>#VALUE!</v>
      </c>
      <c r="N236" s="173" t="e">
        <f>_xll.GetCtData("COAMOUNT","CONSAMOUNT",$A$1:$A$8,$A236:$B236,,"#Erreur de syntaxe : Expression incomplète")/10^3*$H236</f>
        <v>#VALUE!</v>
      </c>
      <c r="P236" s="173" t="e">
        <f t="shared" si="17"/>
        <v>#VALUE!</v>
      </c>
    </row>
    <row r="237" spans="1:16" s="115" customFormat="1" ht="12" hidden="1" outlineLevel="3" thickBot="1">
      <c r="A237" s="115" t="str">
        <f t="shared" si="15"/>
        <v>P39400000B</v>
      </c>
      <c r="B237" s="115" t="str">
        <f t="shared" si="16"/>
        <v>F52</v>
      </c>
      <c r="C237" s="135" t="s">
        <v>1744</v>
      </c>
      <c r="D237" s="135"/>
      <c r="E237" s="135" t="s">
        <v>1745</v>
      </c>
      <c r="F237" s="131" t="s">
        <v>1670</v>
      </c>
      <c r="G237" s="131" t="e">
        <v>#VALUE!</v>
      </c>
      <c r="H237" s="173">
        <v>-1</v>
      </c>
      <c r="I237" s="173" t="e">
        <f>_xll.GetCtData("COAMOUNT","CONSAMOUNT",$A$1:$A$8,$A237:$B237,,"#Erreur de syntaxe : Expression incomplète")/10^3*$H237</f>
        <v>#VALUE!</v>
      </c>
      <c r="J237" s="173"/>
      <c r="K237" s="173"/>
      <c r="L237" s="173" t="e">
        <f>_xll.GetCtData("COAMOUNT","CONSAMOUNT",$A$1:$A$8,$A237:$B237,,"#Erreur de syntaxe : Expression incomplète")/10^3*$H237</f>
        <v>#VALUE!</v>
      </c>
      <c r="N237" s="173" t="e">
        <f>_xll.GetCtData("COAMOUNT","CONSAMOUNT",$A$1:$A$8,$A237:$B237,,"#Erreur de syntaxe : Expression incomplète")/10^3*$H237</f>
        <v>#VALUE!</v>
      </c>
      <c r="P237" s="173" t="e">
        <f t="shared" si="17"/>
        <v>#VALUE!</v>
      </c>
    </row>
    <row r="238" spans="1:16" s="115" customFormat="1" ht="12" hidden="1" outlineLevel="3" thickBot="1">
      <c r="A238" s="115" t="str">
        <f t="shared" si="15"/>
        <v>P39410000B</v>
      </c>
      <c r="B238" s="115" t="str">
        <f t="shared" si="16"/>
        <v>F52</v>
      </c>
      <c r="C238" s="135" t="s">
        <v>1143</v>
      </c>
      <c r="D238" s="135"/>
      <c r="E238" s="135" t="s">
        <v>1144</v>
      </c>
      <c r="F238" s="131" t="s">
        <v>1670</v>
      </c>
      <c r="G238" s="131" t="e">
        <v>#VALUE!</v>
      </c>
      <c r="H238" s="173">
        <v>-1</v>
      </c>
      <c r="I238" s="173" t="e">
        <f>_xll.GetCtData("COAMOUNT","CONSAMOUNT",$A$1:$A$8,$A238:$B238,,"#Erreur de syntaxe : Expression incomplète")/10^3*$H238</f>
        <v>#VALUE!</v>
      </c>
      <c r="J238" s="173"/>
      <c r="K238" s="173"/>
      <c r="L238" s="173" t="e">
        <f>_xll.GetCtData("COAMOUNT","CONSAMOUNT",$A$1:$A$8,$A238:$B238,,"#Erreur de syntaxe : Expression incomplète")/10^3*$H238</f>
        <v>#VALUE!</v>
      </c>
      <c r="N238" s="173" t="e">
        <f>_xll.GetCtData("COAMOUNT","CONSAMOUNT",$A$1:$A$8,$A238:$B238,,"#Erreur de syntaxe : Expression incomplète")/10^3*$H238</f>
        <v>#VALUE!</v>
      </c>
      <c r="P238" s="173" t="e">
        <f t="shared" si="17"/>
        <v>#VALUE!</v>
      </c>
    </row>
    <row r="239" spans="1:16" s="115" customFormat="1" ht="12" hidden="1" outlineLevel="3" thickBot="1">
      <c r="A239" s="115" t="str">
        <f t="shared" si="15"/>
        <v>P39700000V</v>
      </c>
      <c r="B239" s="115" t="str">
        <f t="shared" si="16"/>
        <v>F52</v>
      </c>
      <c r="C239" s="135" t="s">
        <v>1747</v>
      </c>
      <c r="D239" s="135"/>
      <c r="E239" s="135" t="s">
        <v>1748</v>
      </c>
      <c r="F239" s="131" t="s">
        <v>1670</v>
      </c>
      <c r="G239" s="131" t="e">
        <v>#VALUE!</v>
      </c>
      <c r="H239" s="173">
        <v>-1</v>
      </c>
      <c r="I239" s="173" t="e">
        <f>_xll.GetCtData("COAMOUNT","CONSAMOUNT",$A$1:$A$8,$A239:$B239,,"#Erreur de syntaxe : Expression incomplète")/10^3*$H239</f>
        <v>#VALUE!</v>
      </c>
      <c r="J239" s="173"/>
      <c r="K239" s="173"/>
      <c r="L239" s="173" t="e">
        <f>_xll.GetCtData("COAMOUNT","CONSAMOUNT",$A$1:$A$8,$A239:$B239,,"#Erreur de syntaxe : Expression incomplète")/10^3*$H239</f>
        <v>#VALUE!</v>
      </c>
      <c r="N239" s="173" t="e">
        <f>_xll.GetCtData("COAMOUNT","CONSAMOUNT",$A$1:$A$8,$A239:$B239,,"#Erreur de syntaxe : Expression incomplète")/10^3*$H239</f>
        <v>#VALUE!</v>
      </c>
      <c r="P239" s="173" t="e">
        <f t="shared" si="17"/>
        <v>#VALUE!</v>
      </c>
    </row>
    <row r="240" spans="1:16" s="115" customFormat="1" ht="12" hidden="1" outlineLevel="3" thickBot="1">
      <c r="A240" s="115" t="str">
        <f t="shared" si="15"/>
        <v>P39700100V</v>
      </c>
      <c r="B240" s="115" t="str">
        <f t="shared" si="16"/>
        <v>F52</v>
      </c>
      <c r="C240" s="135" t="s">
        <v>1135</v>
      </c>
      <c r="D240" s="135"/>
      <c r="E240" s="135" t="s">
        <v>1136</v>
      </c>
      <c r="F240" s="131" t="s">
        <v>1670</v>
      </c>
      <c r="G240" s="131" t="e">
        <v>#VALUE!</v>
      </c>
      <c r="H240" s="173">
        <v>-1</v>
      </c>
      <c r="I240" s="173" t="e">
        <f>_xll.GetCtData("COAMOUNT","CONSAMOUNT",$A$1:$A$8,$A240:$B240,,"#Erreur de syntaxe : Expression incomplète")/10^3*$H240</f>
        <v>#VALUE!</v>
      </c>
      <c r="J240" s="173"/>
      <c r="K240" s="173"/>
      <c r="L240" s="173" t="e">
        <f>_xll.GetCtData("COAMOUNT","CONSAMOUNT",$A$1:$A$8,$A240:$B240,,"#Erreur de syntaxe : Expression incomplète")/10^3*$H240</f>
        <v>#VALUE!</v>
      </c>
      <c r="N240" s="173" t="e">
        <f>_xll.GetCtData("COAMOUNT","CONSAMOUNT",$A$1:$A$8,$A240:$B240,,"#Erreur de syntaxe : Expression incomplète")/10^3*$H240</f>
        <v>#VALUE!</v>
      </c>
      <c r="P240" s="173" t="e">
        <f t="shared" si="17"/>
        <v>#VALUE!</v>
      </c>
    </row>
    <row r="241" spans="1:16" s="115" customFormat="1" ht="12" hidden="1" outlineLevel="3" thickBot="1">
      <c r="A241" s="115" t="str">
        <f t="shared" si="15"/>
        <v>P39400000V</v>
      </c>
      <c r="B241" s="115" t="str">
        <f t="shared" si="16"/>
        <v>F52</v>
      </c>
      <c r="C241" s="135" t="s">
        <v>1753</v>
      </c>
      <c r="D241" s="135"/>
      <c r="E241" s="135" t="s">
        <v>1754</v>
      </c>
      <c r="F241" s="131" t="s">
        <v>1670</v>
      </c>
      <c r="G241" s="131" t="e">
        <v>#VALUE!</v>
      </c>
      <c r="H241" s="173">
        <v>-1</v>
      </c>
      <c r="I241" s="173" t="e">
        <f>_xll.GetCtData("COAMOUNT","CONSAMOUNT",$A$1:$A$8,$A241:$B241,,"#Erreur de syntaxe : Expression incomplète")/10^3*$H241</f>
        <v>#VALUE!</v>
      </c>
      <c r="J241" s="173"/>
      <c r="K241" s="173"/>
      <c r="L241" s="173" t="e">
        <f>_xll.GetCtData("COAMOUNT","CONSAMOUNT",$A$1:$A$8,$A241:$B241,,"#Erreur de syntaxe : Expression incomplète")/10^3*$H241</f>
        <v>#VALUE!</v>
      </c>
      <c r="N241" s="173" t="e">
        <f>_xll.GetCtData("COAMOUNT","CONSAMOUNT",$A$1:$A$8,$A241:$B241,,"#Erreur de syntaxe : Expression incomplète")/10^3*$H241</f>
        <v>#VALUE!</v>
      </c>
      <c r="P241" s="173" t="e">
        <f t="shared" si="17"/>
        <v>#VALUE!</v>
      </c>
    </row>
    <row r="242" spans="1:16" s="115" customFormat="1" ht="12" hidden="1" outlineLevel="3" thickBot="1">
      <c r="A242" s="115" t="str">
        <f t="shared" si="15"/>
        <v>P39410000V</v>
      </c>
      <c r="B242" s="115" t="str">
        <f t="shared" si="16"/>
        <v>F52</v>
      </c>
      <c r="C242" s="135" t="s">
        <v>1137</v>
      </c>
      <c r="D242" s="135"/>
      <c r="E242" s="135" t="s">
        <v>1138</v>
      </c>
      <c r="F242" s="131" t="s">
        <v>1670</v>
      </c>
      <c r="G242" s="131" t="e">
        <v>#VALUE!</v>
      </c>
      <c r="H242" s="173">
        <v>-1</v>
      </c>
      <c r="I242" s="173" t="e">
        <f>_xll.GetCtData("COAMOUNT","CONSAMOUNT",$A$1:$A$8,$A242:$B242,,"#Erreur de syntaxe : Expression incomplète")/10^3*$H242</f>
        <v>#VALUE!</v>
      </c>
      <c r="J242" s="173"/>
      <c r="K242" s="173"/>
      <c r="L242" s="173" t="e">
        <f>_xll.GetCtData("COAMOUNT","CONSAMOUNT",$A$1:$A$8,$A242:$B242,,"#Erreur de syntaxe : Expression incomplète")/10^3*$H242</f>
        <v>#VALUE!</v>
      </c>
      <c r="N242" s="173" t="e">
        <f>_xll.GetCtData("COAMOUNT","CONSAMOUNT",$A$1:$A$8,$A242:$B242,,"#Erreur de syntaxe : Expression incomplète")/10^3*$H242</f>
        <v>#VALUE!</v>
      </c>
      <c r="P242" s="173" t="e">
        <f t="shared" si="17"/>
        <v>#VALUE!</v>
      </c>
    </row>
    <row r="243" spans="1:16" s="115" customFormat="1" ht="12" hidden="1" outlineLevel="3" thickBot="1">
      <c r="A243" s="115" t="str">
        <f t="shared" si="15"/>
        <v>A39700000B</v>
      </c>
      <c r="B243" s="115" t="str">
        <f t="shared" si="16"/>
        <v>F53</v>
      </c>
      <c r="C243" s="135" t="s">
        <v>1690</v>
      </c>
      <c r="D243" s="135"/>
      <c r="E243" s="135" t="s">
        <v>1691</v>
      </c>
      <c r="F243" s="131" t="s">
        <v>1673</v>
      </c>
      <c r="G243" s="131" t="e">
        <v>#VALUE!</v>
      </c>
      <c r="H243" s="173">
        <v>1</v>
      </c>
      <c r="I243" s="173" t="e">
        <f>_xll.GetCtData("COAMOUNT","CONSAMOUNT",$A$1:$A$8,$A243:$B243,,"#Erreur de syntaxe : Expression incomplète")/10^3*$H243</f>
        <v>#VALUE!</v>
      </c>
      <c r="J243" s="173"/>
      <c r="K243" s="173"/>
      <c r="L243" s="173" t="e">
        <f>_xll.GetCtData("COAMOUNT","CONSAMOUNT",$A$1:$A$8,$A243:$B243,,"#Erreur de syntaxe : Expression incomplète")/10^3*$H243</f>
        <v>#VALUE!</v>
      </c>
      <c r="N243" s="173" t="e">
        <f>_xll.GetCtData("COAMOUNT","CONSAMOUNT",$A$1:$A$8,$A243:$B243,,"#Erreur de syntaxe : Expression incomplète")/10^3*$H243</f>
        <v>#VALUE!</v>
      </c>
      <c r="P243" s="173" t="e">
        <f t="shared" si="17"/>
        <v>#VALUE!</v>
      </c>
    </row>
    <row r="244" spans="1:16" s="115" customFormat="1" ht="12" hidden="1" outlineLevel="3" thickBot="1">
      <c r="A244" s="115" t="str">
        <f t="shared" si="15"/>
        <v>A39700100B</v>
      </c>
      <c r="B244" s="115" t="str">
        <f t="shared" si="16"/>
        <v>F53</v>
      </c>
      <c r="C244" s="135" t="s">
        <v>1714</v>
      </c>
      <c r="D244" s="135"/>
      <c r="E244" s="135" t="s">
        <v>1715</v>
      </c>
      <c r="F244" s="131" t="s">
        <v>1673</v>
      </c>
      <c r="G244" s="131" t="e">
        <v>#VALUE!</v>
      </c>
      <c r="H244" s="173">
        <v>1</v>
      </c>
      <c r="I244" s="173" t="e">
        <f>_xll.GetCtData("COAMOUNT","CONSAMOUNT",$A$1:$A$8,$A244:$B244,,"#Erreur de syntaxe : Expression incomplète")/10^3*$H244</f>
        <v>#VALUE!</v>
      </c>
      <c r="J244" s="173"/>
      <c r="K244" s="173"/>
      <c r="L244" s="173" t="e">
        <f>_xll.GetCtData("COAMOUNT","CONSAMOUNT",$A$1:$A$8,$A244:$B244,,"#Erreur de syntaxe : Expression incomplète")/10^3*$H244</f>
        <v>#VALUE!</v>
      </c>
      <c r="N244" s="173" t="e">
        <f>_xll.GetCtData("COAMOUNT","CONSAMOUNT",$A$1:$A$8,$A244:$B244,,"#Erreur de syntaxe : Expression incomplète")/10^3*$H244</f>
        <v>#VALUE!</v>
      </c>
      <c r="P244" s="173" t="e">
        <f t="shared" si="17"/>
        <v>#VALUE!</v>
      </c>
    </row>
    <row r="245" spans="1:16" s="115" customFormat="1" ht="12" hidden="1" outlineLevel="3" thickBot="1">
      <c r="A245" s="115" t="str">
        <f t="shared" si="15"/>
        <v>A39400000B</v>
      </c>
      <c r="B245" s="115" t="str">
        <f t="shared" si="16"/>
        <v>F53</v>
      </c>
      <c r="C245" s="135" t="s">
        <v>1708</v>
      </c>
      <c r="D245" s="135"/>
      <c r="E245" s="135" t="s">
        <v>1709</v>
      </c>
      <c r="F245" s="131" t="s">
        <v>1673</v>
      </c>
      <c r="G245" s="131" t="e">
        <v>#VALUE!</v>
      </c>
      <c r="H245" s="173">
        <v>1</v>
      </c>
      <c r="I245" s="173" t="e">
        <f>_xll.GetCtData("COAMOUNT","CONSAMOUNT",$A$1:$A$8,$A245:$B245,,"#Erreur de syntaxe : Expression incomplète")/10^3*$H245</f>
        <v>#VALUE!</v>
      </c>
      <c r="J245" s="173"/>
      <c r="K245" s="173"/>
      <c r="L245" s="173" t="e">
        <f>_xll.GetCtData("COAMOUNT","CONSAMOUNT",$A$1:$A$8,$A245:$B245,,"#Erreur de syntaxe : Expression incomplète")/10^3*$H245</f>
        <v>#VALUE!</v>
      </c>
      <c r="N245" s="173" t="e">
        <f>_xll.GetCtData("COAMOUNT","CONSAMOUNT",$A$1:$A$8,$A245:$B245,,"#Erreur de syntaxe : Expression incomplète")/10^3*$H245</f>
        <v>#VALUE!</v>
      </c>
      <c r="P245" s="173" t="e">
        <f t="shared" si="17"/>
        <v>#VALUE!</v>
      </c>
    </row>
    <row r="246" spans="1:16" s="115" customFormat="1" ht="12" hidden="1" outlineLevel="3" thickBot="1">
      <c r="A246" s="115" t="str">
        <f t="shared" si="15"/>
        <v>A39410000B</v>
      </c>
      <c r="B246" s="115" t="str">
        <f t="shared" si="16"/>
        <v>F53</v>
      </c>
      <c r="C246" s="135" t="s">
        <v>1726</v>
      </c>
      <c r="D246" s="135"/>
      <c r="E246" s="135" t="s">
        <v>1778</v>
      </c>
      <c r="F246" s="131" t="s">
        <v>1673</v>
      </c>
      <c r="G246" s="131" t="e">
        <v>#VALUE!</v>
      </c>
      <c r="H246" s="173">
        <v>1</v>
      </c>
      <c r="I246" s="173" t="e">
        <f>_xll.GetCtData("COAMOUNT","CONSAMOUNT",$A$1:$A$8,$A246:$B246,,"#Erreur de syntaxe : Expression incomplète")/10^3*$H246</f>
        <v>#VALUE!</v>
      </c>
      <c r="J246" s="173"/>
      <c r="K246" s="173"/>
      <c r="L246" s="173" t="e">
        <f>_xll.GetCtData("COAMOUNT","CONSAMOUNT",$A$1:$A$8,$A246:$B246,,"#Erreur de syntaxe : Expression incomplète")/10^3*$H246</f>
        <v>#VALUE!</v>
      </c>
      <c r="N246" s="173" t="e">
        <f>_xll.GetCtData("COAMOUNT","CONSAMOUNT",$A$1:$A$8,$A246:$B246,,"#Erreur de syntaxe : Expression incomplète")/10^3*$H246</f>
        <v>#VALUE!</v>
      </c>
      <c r="P246" s="173" t="e">
        <f t="shared" si="17"/>
        <v>#VALUE!</v>
      </c>
    </row>
    <row r="247" spans="1:16" s="115" customFormat="1" ht="12" hidden="1" outlineLevel="3" thickBot="1">
      <c r="A247" s="115" t="str">
        <f t="shared" si="15"/>
        <v>A39700000V</v>
      </c>
      <c r="B247" s="115" t="str">
        <f t="shared" si="16"/>
        <v>F53</v>
      </c>
      <c r="C247" s="135" t="s">
        <v>1693</v>
      </c>
      <c r="D247" s="135"/>
      <c r="E247" s="135" t="s">
        <v>1694</v>
      </c>
      <c r="F247" s="131" t="s">
        <v>1673</v>
      </c>
      <c r="G247" s="131" t="e">
        <v>#VALUE!</v>
      </c>
      <c r="H247" s="173">
        <v>1</v>
      </c>
      <c r="I247" s="173" t="e">
        <f>_xll.GetCtData("COAMOUNT","CONSAMOUNT",$A$1:$A$8,$A247:$B247,,"#Erreur de syntaxe : Expression incomplète")/10^3*$H247</f>
        <v>#VALUE!</v>
      </c>
      <c r="J247" s="173"/>
      <c r="K247" s="173"/>
      <c r="L247" s="173" t="e">
        <f>_xll.GetCtData("COAMOUNT","CONSAMOUNT",$A$1:$A$8,$A247:$B247,,"#Erreur de syntaxe : Expression incomplète")/10^3*$H247</f>
        <v>#VALUE!</v>
      </c>
      <c r="N247" s="173" t="e">
        <f>_xll.GetCtData("COAMOUNT","CONSAMOUNT",$A$1:$A$8,$A247:$B247,,"#Erreur de syntaxe : Expression incomplète")/10^3*$H247</f>
        <v>#VALUE!</v>
      </c>
      <c r="P247" s="173" t="e">
        <f t="shared" si="17"/>
        <v>#VALUE!</v>
      </c>
    </row>
    <row r="248" spans="1:16" s="115" customFormat="1" ht="12" hidden="1" outlineLevel="3" thickBot="1">
      <c r="A248" s="115" t="str">
        <f t="shared" si="15"/>
        <v>A39700100V</v>
      </c>
      <c r="B248" s="115" t="str">
        <f t="shared" si="16"/>
        <v>F53</v>
      </c>
      <c r="C248" s="135" t="s">
        <v>1717</v>
      </c>
      <c r="D248" s="135"/>
      <c r="E248" s="135" t="s">
        <v>1718</v>
      </c>
      <c r="F248" s="131" t="s">
        <v>1673</v>
      </c>
      <c r="G248" s="131" t="e">
        <v>#VALUE!</v>
      </c>
      <c r="H248" s="173">
        <v>1</v>
      </c>
      <c r="I248" s="173" t="e">
        <f>_xll.GetCtData("COAMOUNT","CONSAMOUNT",$A$1:$A$8,$A248:$B248,,"#Erreur de syntaxe : Expression incomplète")/10^3*$H248</f>
        <v>#VALUE!</v>
      </c>
      <c r="J248" s="173"/>
      <c r="K248" s="173"/>
      <c r="L248" s="173" t="e">
        <f>_xll.GetCtData("COAMOUNT","CONSAMOUNT",$A$1:$A$8,$A248:$B248,,"#Erreur de syntaxe : Expression incomplète")/10^3*$H248</f>
        <v>#VALUE!</v>
      </c>
      <c r="N248" s="173" t="e">
        <f>_xll.GetCtData("COAMOUNT","CONSAMOUNT",$A$1:$A$8,$A248:$B248,,"#Erreur de syntaxe : Expression incomplète")/10^3*$H248</f>
        <v>#VALUE!</v>
      </c>
      <c r="P248" s="173" t="e">
        <f t="shared" si="17"/>
        <v>#VALUE!</v>
      </c>
    </row>
    <row r="249" spans="1:16" s="115" customFormat="1" ht="12" hidden="1" outlineLevel="3" thickBot="1">
      <c r="A249" s="115" t="str">
        <f t="shared" si="15"/>
        <v>A39400000V</v>
      </c>
      <c r="B249" s="115" t="str">
        <f t="shared" si="16"/>
        <v>F53</v>
      </c>
      <c r="C249" s="135" t="s">
        <v>1711</v>
      </c>
      <c r="D249" s="135"/>
      <c r="E249" s="135" t="s">
        <v>1712</v>
      </c>
      <c r="F249" s="131" t="s">
        <v>1673</v>
      </c>
      <c r="G249" s="131" t="e">
        <v>#VALUE!</v>
      </c>
      <c r="H249" s="173">
        <v>1</v>
      </c>
      <c r="I249" s="173" t="e">
        <f>_xll.GetCtData("COAMOUNT","CONSAMOUNT",$A$1:$A$8,$A249:$B249,,"#Erreur de syntaxe : Expression incomplète")/10^3*$H249</f>
        <v>#VALUE!</v>
      </c>
      <c r="J249" s="173"/>
      <c r="K249" s="173"/>
      <c r="L249" s="173" t="e">
        <f>_xll.GetCtData("COAMOUNT","CONSAMOUNT",$A$1:$A$8,$A249:$B249,,"#Erreur de syntaxe : Expression incomplète")/10^3*$H249</f>
        <v>#VALUE!</v>
      </c>
      <c r="N249" s="173" t="e">
        <f>_xll.GetCtData("COAMOUNT","CONSAMOUNT",$A$1:$A$8,$A249:$B249,,"#Erreur de syntaxe : Expression incomplète")/10^3*$H249</f>
        <v>#VALUE!</v>
      </c>
      <c r="P249" s="173" t="e">
        <f t="shared" si="17"/>
        <v>#VALUE!</v>
      </c>
    </row>
    <row r="250" spans="1:16" s="115" customFormat="1" ht="12" hidden="1" outlineLevel="3" thickBot="1">
      <c r="A250" s="115" t="str">
        <f t="shared" si="15"/>
        <v>A39410000V</v>
      </c>
      <c r="B250" s="115" t="str">
        <f t="shared" si="16"/>
        <v>F53</v>
      </c>
      <c r="C250" s="135" t="s">
        <v>1729</v>
      </c>
      <c r="D250" s="135"/>
      <c r="E250" s="135" t="s">
        <v>1779</v>
      </c>
      <c r="F250" s="131" t="s">
        <v>1673</v>
      </c>
      <c r="G250" s="131" t="e">
        <v>#VALUE!</v>
      </c>
      <c r="H250" s="173">
        <v>1</v>
      </c>
      <c r="I250" s="173" t="e">
        <f>_xll.GetCtData("COAMOUNT","CONSAMOUNT",$A$1:$A$8,$A250:$B250,,"#Erreur de syntaxe : Expression incomplète")/10^3*$H250</f>
        <v>#VALUE!</v>
      </c>
      <c r="J250" s="173"/>
      <c r="K250" s="173"/>
      <c r="L250" s="173" t="e">
        <f>_xll.GetCtData("COAMOUNT","CONSAMOUNT",$A$1:$A$8,$A250:$B250,,"#Erreur de syntaxe : Expression incomplète")/10^3*$H250</f>
        <v>#VALUE!</v>
      </c>
      <c r="N250" s="173" t="e">
        <f>_xll.GetCtData("COAMOUNT","CONSAMOUNT",$A$1:$A$8,$A250:$B250,,"#Erreur de syntaxe : Expression incomplète")/10^3*$H250</f>
        <v>#VALUE!</v>
      </c>
      <c r="P250" s="173" t="e">
        <f t="shared" si="17"/>
        <v>#VALUE!</v>
      </c>
    </row>
    <row r="251" spans="1:16" s="115" customFormat="1" ht="12" hidden="1" outlineLevel="3" thickBot="1">
      <c r="A251" s="115" t="str">
        <f t="shared" si="15"/>
        <v>P39700000B</v>
      </c>
      <c r="B251" s="115" t="str">
        <f t="shared" si="16"/>
        <v>F53</v>
      </c>
      <c r="C251" s="135" t="s">
        <v>1738</v>
      </c>
      <c r="D251" s="135"/>
      <c r="E251" s="135" t="s">
        <v>1739</v>
      </c>
      <c r="F251" s="131" t="s">
        <v>1673</v>
      </c>
      <c r="G251" s="131" t="e">
        <v>#VALUE!</v>
      </c>
      <c r="H251" s="173">
        <v>-1</v>
      </c>
      <c r="I251" s="173" t="e">
        <f>_xll.GetCtData("COAMOUNT","CONSAMOUNT",$A$1:$A$8,$A251:$B251,,"#Erreur de syntaxe : Expression incomplète")/10^3*$H251</f>
        <v>#VALUE!</v>
      </c>
      <c r="J251" s="173"/>
      <c r="K251" s="173"/>
      <c r="L251" s="173" t="e">
        <f>_xll.GetCtData("COAMOUNT","CONSAMOUNT",$A$1:$A$8,$A251:$B251,,"#Erreur de syntaxe : Expression incomplète")/10^3*$H251</f>
        <v>#VALUE!</v>
      </c>
      <c r="N251" s="173" t="e">
        <f>_xll.GetCtData("COAMOUNT","CONSAMOUNT",$A$1:$A$8,$A251:$B251,,"#Erreur de syntaxe : Expression incomplète")/10^3*$H251</f>
        <v>#VALUE!</v>
      </c>
      <c r="P251" s="173" t="e">
        <f t="shared" si="17"/>
        <v>#VALUE!</v>
      </c>
    </row>
    <row r="252" spans="1:16" s="115" customFormat="1" ht="12" hidden="1" outlineLevel="3" thickBot="1">
      <c r="A252" s="115" t="str">
        <f t="shared" si="15"/>
        <v>P39700100B</v>
      </c>
      <c r="B252" s="115" t="str">
        <f t="shared" si="16"/>
        <v>F53</v>
      </c>
      <c r="C252" s="135" t="s">
        <v>1141</v>
      </c>
      <c r="D252" s="135"/>
      <c r="E252" s="135" t="s">
        <v>1142</v>
      </c>
      <c r="F252" s="131" t="s">
        <v>1673</v>
      </c>
      <c r="G252" s="131" t="e">
        <v>#VALUE!</v>
      </c>
      <c r="H252" s="173">
        <v>-1</v>
      </c>
      <c r="I252" s="173" t="e">
        <f>_xll.GetCtData("COAMOUNT","CONSAMOUNT",$A$1:$A$8,$A252:$B252,,"#Erreur de syntaxe : Expression incomplète")/10^3*$H252</f>
        <v>#VALUE!</v>
      </c>
      <c r="J252" s="173"/>
      <c r="K252" s="173"/>
      <c r="L252" s="173" t="e">
        <f>_xll.GetCtData("COAMOUNT","CONSAMOUNT",$A$1:$A$8,$A252:$B252,,"#Erreur de syntaxe : Expression incomplète")/10^3*$H252</f>
        <v>#VALUE!</v>
      </c>
      <c r="N252" s="173" t="e">
        <f>_xll.GetCtData("COAMOUNT","CONSAMOUNT",$A$1:$A$8,$A252:$B252,,"#Erreur de syntaxe : Expression incomplète")/10^3*$H252</f>
        <v>#VALUE!</v>
      </c>
      <c r="P252" s="173" t="e">
        <f t="shared" si="17"/>
        <v>#VALUE!</v>
      </c>
    </row>
    <row r="253" spans="1:16" s="115" customFormat="1" ht="12" hidden="1" outlineLevel="3" thickBot="1">
      <c r="A253" s="115" t="str">
        <f t="shared" si="15"/>
        <v>P39400000B</v>
      </c>
      <c r="B253" s="115" t="str">
        <f t="shared" si="16"/>
        <v>F53</v>
      </c>
      <c r="C253" s="135" t="s">
        <v>1744</v>
      </c>
      <c r="D253" s="135"/>
      <c r="E253" s="135" t="s">
        <v>1745</v>
      </c>
      <c r="F253" s="131" t="s">
        <v>1673</v>
      </c>
      <c r="G253" s="131" t="e">
        <v>#VALUE!</v>
      </c>
      <c r="H253" s="173">
        <v>-1</v>
      </c>
      <c r="I253" s="173" t="e">
        <f>_xll.GetCtData("COAMOUNT","CONSAMOUNT",$A$1:$A$8,$A253:$B253,,"#Erreur de syntaxe : Expression incomplète")/10^3*$H253</f>
        <v>#VALUE!</v>
      </c>
      <c r="J253" s="173"/>
      <c r="K253" s="173"/>
      <c r="L253" s="173" t="e">
        <f>_xll.GetCtData("COAMOUNT","CONSAMOUNT",$A$1:$A$8,$A253:$B253,,"#Erreur de syntaxe : Expression incomplète")/10^3*$H253</f>
        <v>#VALUE!</v>
      </c>
      <c r="N253" s="173" t="e">
        <f>_xll.GetCtData("COAMOUNT","CONSAMOUNT",$A$1:$A$8,$A253:$B253,,"#Erreur de syntaxe : Expression incomplète")/10^3*$H253</f>
        <v>#VALUE!</v>
      </c>
      <c r="P253" s="173" t="e">
        <f t="shared" si="17"/>
        <v>#VALUE!</v>
      </c>
    </row>
    <row r="254" spans="1:16" s="115" customFormat="1" ht="12" hidden="1" outlineLevel="3" thickBot="1">
      <c r="A254" s="115" t="str">
        <f t="shared" si="15"/>
        <v>P39410000B</v>
      </c>
      <c r="B254" s="115" t="str">
        <f t="shared" si="16"/>
        <v>F53</v>
      </c>
      <c r="C254" s="135" t="s">
        <v>1143</v>
      </c>
      <c r="D254" s="135"/>
      <c r="E254" s="135" t="s">
        <v>1144</v>
      </c>
      <c r="F254" s="131" t="s">
        <v>1673</v>
      </c>
      <c r="G254" s="131" t="e">
        <v>#VALUE!</v>
      </c>
      <c r="H254" s="173">
        <v>-1</v>
      </c>
      <c r="I254" s="173" t="e">
        <f>_xll.GetCtData("COAMOUNT","CONSAMOUNT",$A$1:$A$8,$A254:$B254,,"#Erreur de syntaxe : Expression incomplète")/10^3*$H254</f>
        <v>#VALUE!</v>
      </c>
      <c r="J254" s="173"/>
      <c r="K254" s="173"/>
      <c r="L254" s="173" t="e">
        <f>_xll.GetCtData("COAMOUNT","CONSAMOUNT",$A$1:$A$8,$A254:$B254,,"#Erreur de syntaxe : Expression incomplète")/10^3*$H254</f>
        <v>#VALUE!</v>
      </c>
      <c r="N254" s="173" t="e">
        <f>_xll.GetCtData("COAMOUNT","CONSAMOUNT",$A$1:$A$8,$A254:$B254,,"#Erreur de syntaxe : Expression incomplète")/10^3*$H254</f>
        <v>#VALUE!</v>
      </c>
      <c r="P254" s="173" t="e">
        <f t="shared" si="17"/>
        <v>#VALUE!</v>
      </c>
    </row>
    <row r="255" spans="1:16" s="115" customFormat="1" ht="12" hidden="1" outlineLevel="3" thickBot="1">
      <c r="A255" s="115" t="str">
        <f t="shared" si="15"/>
        <v>P39700000V</v>
      </c>
      <c r="B255" s="115" t="str">
        <f t="shared" si="16"/>
        <v>F53</v>
      </c>
      <c r="C255" s="135" t="s">
        <v>1747</v>
      </c>
      <c r="D255" s="135"/>
      <c r="E255" s="135" t="s">
        <v>1748</v>
      </c>
      <c r="F255" s="131" t="s">
        <v>1673</v>
      </c>
      <c r="G255" s="131" t="e">
        <v>#VALUE!</v>
      </c>
      <c r="H255" s="173">
        <v>-1</v>
      </c>
      <c r="I255" s="173" t="e">
        <f>_xll.GetCtData("COAMOUNT","CONSAMOUNT",$A$1:$A$8,$A255:$B255,,"#Erreur de syntaxe : Expression incomplète")/10^3*$H255</f>
        <v>#VALUE!</v>
      </c>
      <c r="J255" s="173"/>
      <c r="K255" s="173"/>
      <c r="L255" s="173" t="e">
        <f>_xll.GetCtData("COAMOUNT","CONSAMOUNT",$A$1:$A$8,$A255:$B255,,"#Erreur de syntaxe : Expression incomplète")/10^3*$H255</f>
        <v>#VALUE!</v>
      </c>
      <c r="N255" s="173" t="e">
        <f>_xll.GetCtData("COAMOUNT","CONSAMOUNT",$A$1:$A$8,$A255:$B255,,"#Erreur de syntaxe : Expression incomplète")/10^3*$H255</f>
        <v>#VALUE!</v>
      </c>
      <c r="P255" s="173" t="e">
        <f t="shared" si="17"/>
        <v>#VALUE!</v>
      </c>
    </row>
    <row r="256" spans="1:16" s="115" customFormat="1" ht="12" hidden="1" outlineLevel="3" thickBot="1">
      <c r="A256" s="115" t="str">
        <f t="shared" si="15"/>
        <v>P39700100V</v>
      </c>
      <c r="B256" s="115" t="str">
        <f t="shared" si="16"/>
        <v>F53</v>
      </c>
      <c r="C256" s="135" t="s">
        <v>1135</v>
      </c>
      <c r="D256" s="135"/>
      <c r="E256" s="135" t="s">
        <v>1136</v>
      </c>
      <c r="F256" s="131" t="s">
        <v>1673</v>
      </c>
      <c r="G256" s="131" t="e">
        <v>#VALUE!</v>
      </c>
      <c r="H256" s="173">
        <v>-1</v>
      </c>
      <c r="I256" s="173" t="e">
        <f>_xll.GetCtData("COAMOUNT","CONSAMOUNT",$A$1:$A$8,$A256:$B256,,"#Erreur de syntaxe : Expression incomplète")/10^3*$H256</f>
        <v>#VALUE!</v>
      </c>
      <c r="J256" s="173"/>
      <c r="K256" s="173"/>
      <c r="L256" s="173" t="e">
        <f>_xll.GetCtData("COAMOUNT","CONSAMOUNT",$A$1:$A$8,$A256:$B256,,"#Erreur de syntaxe : Expression incomplète")/10^3*$H256</f>
        <v>#VALUE!</v>
      </c>
      <c r="N256" s="173" t="e">
        <f>_xll.GetCtData("COAMOUNT","CONSAMOUNT",$A$1:$A$8,$A256:$B256,,"#Erreur de syntaxe : Expression incomplète")/10^3*$H256</f>
        <v>#VALUE!</v>
      </c>
      <c r="P256" s="173" t="e">
        <f t="shared" si="17"/>
        <v>#VALUE!</v>
      </c>
    </row>
    <row r="257" spans="1:16" s="115" customFormat="1" ht="12" hidden="1" outlineLevel="3" thickBot="1">
      <c r="A257" s="115" t="str">
        <f t="shared" si="15"/>
        <v>P39400000V</v>
      </c>
      <c r="B257" s="115" t="str">
        <f t="shared" si="16"/>
        <v>F53</v>
      </c>
      <c r="C257" s="135" t="s">
        <v>1753</v>
      </c>
      <c r="D257" s="135"/>
      <c r="E257" s="135" t="s">
        <v>1754</v>
      </c>
      <c r="F257" s="131" t="s">
        <v>1673</v>
      </c>
      <c r="G257" s="131" t="e">
        <v>#VALUE!</v>
      </c>
      <c r="H257" s="173">
        <v>-1</v>
      </c>
      <c r="I257" s="173" t="e">
        <f>_xll.GetCtData("COAMOUNT","CONSAMOUNT",$A$1:$A$8,$A257:$B257,,"#Erreur de syntaxe : Expression incomplète")/10^3*$H257</f>
        <v>#VALUE!</v>
      </c>
      <c r="J257" s="173"/>
      <c r="K257" s="173"/>
      <c r="L257" s="173" t="e">
        <f>_xll.GetCtData("COAMOUNT","CONSAMOUNT",$A$1:$A$8,$A257:$B257,,"#Erreur de syntaxe : Expression incomplète")/10^3*$H257</f>
        <v>#VALUE!</v>
      </c>
      <c r="N257" s="173" t="e">
        <f>_xll.GetCtData("COAMOUNT","CONSAMOUNT",$A$1:$A$8,$A257:$B257,,"#Erreur de syntaxe : Expression incomplète")/10^3*$H257</f>
        <v>#VALUE!</v>
      </c>
      <c r="P257" s="173" t="e">
        <f t="shared" si="17"/>
        <v>#VALUE!</v>
      </c>
    </row>
    <row r="258" spans="1:16" s="115" customFormat="1" ht="12" hidden="1" outlineLevel="3" thickBot="1">
      <c r="A258" s="115" t="str">
        <f t="shared" si="15"/>
        <v>P39410000V</v>
      </c>
      <c r="B258" s="115" t="str">
        <f t="shared" si="16"/>
        <v>F53</v>
      </c>
      <c r="C258" s="135" t="s">
        <v>1137</v>
      </c>
      <c r="D258" s="135"/>
      <c r="E258" s="135" t="s">
        <v>1138</v>
      </c>
      <c r="F258" s="131" t="s">
        <v>1673</v>
      </c>
      <c r="G258" s="131" t="e">
        <v>#VALUE!</v>
      </c>
      <c r="H258" s="173">
        <v>-1</v>
      </c>
      <c r="I258" s="173" t="e">
        <f>_xll.GetCtData("COAMOUNT","CONSAMOUNT",$A$1:$A$8,$A258:$B258,,"#Erreur de syntaxe : Expression incomplète")/10^3*$H258</f>
        <v>#VALUE!</v>
      </c>
      <c r="J258" s="173"/>
      <c r="K258" s="173"/>
      <c r="L258" s="173" t="e">
        <f>_xll.GetCtData("COAMOUNT","CONSAMOUNT",$A$1:$A$8,$A258:$B258,,"#Erreur de syntaxe : Expression incomplète")/10^3*$H258</f>
        <v>#VALUE!</v>
      </c>
      <c r="N258" s="173" t="e">
        <f>_xll.GetCtData("COAMOUNT","CONSAMOUNT",$A$1:$A$8,$A258:$B258,,"#Erreur de syntaxe : Expression incomplète")/10^3*$H258</f>
        <v>#VALUE!</v>
      </c>
      <c r="P258" s="173" t="e">
        <f t="shared" si="17"/>
        <v>#VALUE!</v>
      </c>
    </row>
    <row r="259" spans="1:16" s="115" customFormat="1" ht="12" hidden="1" outlineLevel="3" thickBot="1">
      <c r="A259" s="115" t="str">
        <f t="shared" si="15"/>
        <v>A39701000B</v>
      </c>
      <c r="B259" s="115" t="str">
        <f t="shared" si="16"/>
        <v>F70</v>
      </c>
      <c r="C259" s="135" t="s">
        <v>1696</v>
      </c>
      <c r="D259" s="135"/>
      <c r="E259" s="135" t="s">
        <v>1697</v>
      </c>
      <c r="F259" s="131" t="s">
        <v>145</v>
      </c>
      <c r="G259" s="131" t="e">
        <v>#VALUE!</v>
      </c>
      <c r="H259" s="173">
        <v>1</v>
      </c>
      <c r="I259" s="173"/>
      <c r="J259" s="173" t="e">
        <f>_xll.GetCtData("COAMOUNT","CONSAMOUNT",$A$1:$A$8,$A259:$B259,,"#Erreur de syntaxe : Expression incomplète")/10^3*$H259</f>
        <v>#VALUE!</v>
      </c>
      <c r="K259" s="173"/>
      <c r="L259" s="173" t="e">
        <f>_xll.GetCtData("COAMOUNT","CONSAMOUNT",$A$1:$A$8,$A259:$B259,,"#Erreur de syntaxe : Expression incomplète")/10^3*$H259</f>
        <v>#VALUE!</v>
      </c>
      <c r="N259" s="173" t="e">
        <f>_xll.GetCtData("COAMOUNT","CONSAMOUNT",$A$1:$A$8,$A259:$B259,,"#Erreur de syntaxe : Expression incomplète")/10^3*$H259</f>
        <v>#VALUE!</v>
      </c>
      <c r="P259" s="173" t="e">
        <f t="shared" si="17"/>
        <v>#VALUE!</v>
      </c>
    </row>
    <row r="260" spans="1:16" s="115" customFormat="1" ht="12" hidden="1" outlineLevel="3" thickBot="1">
      <c r="A260" s="115" t="str">
        <f t="shared" si="15"/>
        <v>A39701100B</v>
      </c>
      <c r="B260" s="115" t="str">
        <f t="shared" si="16"/>
        <v>F70</v>
      </c>
      <c r="C260" s="135" t="s">
        <v>1720</v>
      </c>
      <c r="D260" s="135"/>
      <c r="E260" s="135" t="s">
        <v>1721</v>
      </c>
      <c r="F260" s="131" t="s">
        <v>145</v>
      </c>
      <c r="G260" s="131" t="e">
        <v>#VALUE!</v>
      </c>
      <c r="H260" s="173">
        <v>1</v>
      </c>
      <c r="I260" s="173"/>
      <c r="J260" s="173" t="e">
        <f>_xll.GetCtData("COAMOUNT","CONSAMOUNT",$A$1:$A$8,$A260:$B260,,"#Erreur de syntaxe : Expression incomplète")/10^3*$H260</f>
        <v>#VALUE!</v>
      </c>
      <c r="K260" s="173"/>
      <c r="L260" s="173" t="e">
        <f>_xll.GetCtData("COAMOUNT","CONSAMOUNT",$A$1:$A$8,$A260:$B260,,"#Erreur de syntaxe : Expression incomplète")/10^3*$H260</f>
        <v>#VALUE!</v>
      </c>
      <c r="N260" s="173" t="e">
        <f>_xll.GetCtData("COAMOUNT","CONSAMOUNT",$A$1:$A$8,$A260:$B260,,"#Erreur de syntaxe : Expression incomplète")/10^3*$H260</f>
        <v>#VALUE!</v>
      </c>
      <c r="P260" s="173" t="e">
        <f t="shared" si="17"/>
        <v>#VALUE!</v>
      </c>
    </row>
    <row r="261" spans="1:16" s="115" customFormat="1" ht="12" hidden="1" outlineLevel="3" thickBot="1">
      <c r="A261" s="115" t="str">
        <f t="shared" si="15"/>
        <v>A39701000V</v>
      </c>
      <c r="B261" s="115" t="str">
        <f t="shared" si="16"/>
        <v>F70</v>
      </c>
      <c r="C261" s="135" t="s">
        <v>1699</v>
      </c>
      <c r="D261" s="135"/>
      <c r="E261" s="135" t="s">
        <v>1700</v>
      </c>
      <c r="F261" s="131" t="s">
        <v>145</v>
      </c>
      <c r="G261" s="131" t="e">
        <v>#VALUE!</v>
      </c>
      <c r="H261" s="173">
        <v>1</v>
      </c>
      <c r="I261" s="173"/>
      <c r="J261" s="173" t="e">
        <f>_xll.GetCtData("COAMOUNT","CONSAMOUNT",$A$1:$A$8,$A261:$B261,,"#Erreur de syntaxe : Expression incomplète")/10^3*$H261</f>
        <v>#VALUE!</v>
      </c>
      <c r="K261" s="173"/>
      <c r="L261" s="173" t="e">
        <f>_xll.GetCtData("COAMOUNT","CONSAMOUNT",$A$1:$A$8,$A261:$B261,,"#Erreur de syntaxe : Expression incomplète")/10^3*$H261</f>
        <v>#VALUE!</v>
      </c>
      <c r="N261" s="173" t="e">
        <f>_xll.GetCtData("COAMOUNT","CONSAMOUNT",$A$1:$A$8,$A261:$B261,,"#Erreur de syntaxe : Expression incomplète")/10^3*$H261</f>
        <v>#VALUE!</v>
      </c>
      <c r="P261" s="173" t="e">
        <f t="shared" si="17"/>
        <v>#VALUE!</v>
      </c>
    </row>
    <row r="262" spans="1:16" s="115" customFormat="1" ht="12" hidden="1" outlineLevel="3" thickBot="1">
      <c r="A262" s="115" t="str">
        <f t="shared" si="15"/>
        <v>A39701100V</v>
      </c>
      <c r="B262" s="115" t="str">
        <f t="shared" si="16"/>
        <v>F70</v>
      </c>
      <c r="C262" s="135" t="s">
        <v>1723</v>
      </c>
      <c r="D262" s="135"/>
      <c r="E262" s="135" t="s">
        <v>1724</v>
      </c>
      <c r="F262" s="131" t="s">
        <v>145</v>
      </c>
      <c r="G262" s="131" t="e">
        <v>#VALUE!</v>
      </c>
      <c r="H262" s="173">
        <v>1</v>
      </c>
      <c r="I262" s="173"/>
      <c r="J262" s="173" t="e">
        <f>_xll.GetCtData("COAMOUNT","CONSAMOUNT",$A$1:$A$8,$A262:$B262,,"#Erreur de syntaxe : Expression incomplète")/10^3*$H262</f>
        <v>#VALUE!</v>
      </c>
      <c r="K262" s="173"/>
      <c r="L262" s="173" t="e">
        <f>_xll.GetCtData("COAMOUNT","CONSAMOUNT",$A$1:$A$8,$A262:$B262,,"#Erreur de syntaxe : Expression incomplète")/10^3*$H262</f>
        <v>#VALUE!</v>
      </c>
      <c r="N262" s="173" t="e">
        <f>_xll.GetCtData("COAMOUNT","CONSAMOUNT",$A$1:$A$8,$A262:$B262,,"#Erreur de syntaxe : Expression incomplète")/10^3*$H262</f>
        <v>#VALUE!</v>
      </c>
      <c r="P262" s="173" t="e">
        <f t="shared" si="17"/>
        <v>#VALUE!</v>
      </c>
    </row>
    <row r="263" spans="1:16" s="115" customFormat="1" ht="12" hidden="1" outlineLevel="3" thickBot="1">
      <c r="A263" s="115" t="str">
        <f t="shared" si="15"/>
        <v>P39701000B</v>
      </c>
      <c r="B263" s="115" t="str">
        <f t="shared" si="16"/>
        <v>F70</v>
      </c>
      <c r="C263" s="135" t="s">
        <v>1732</v>
      </c>
      <c r="D263" s="135"/>
      <c r="E263" s="135" t="s">
        <v>1733</v>
      </c>
      <c r="F263" s="131" t="s">
        <v>145</v>
      </c>
      <c r="G263" s="131" t="e">
        <v>#VALUE!</v>
      </c>
      <c r="H263" s="173">
        <v>-1</v>
      </c>
      <c r="I263" s="173"/>
      <c r="J263" s="173" t="e">
        <f>_xll.GetCtData("COAMOUNT","CONSAMOUNT",$A$1:$A$8,$A263:$B263,,"#Erreur de syntaxe : Expression incomplète")/10^3*$H263</f>
        <v>#VALUE!</v>
      </c>
      <c r="K263" s="173"/>
      <c r="L263" s="173" t="e">
        <f>_xll.GetCtData("COAMOUNT","CONSAMOUNT",$A$1:$A$8,$A263:$B263,,"#Erreur de syntaxe : Expression incomplète")/10^3*$H263</f>
        <v>#VALUE!</v>
      </c>
      <c r="N263" s="173" t="e">
        <f>_xll.GetCtData("COAMOUNT","CONSAMOUNT",$A$1:$A$8,$A263:$B263,,"#Erreur de syntaxe : Expression incomplète")/10^3*$H263</f>
        <v>#VALUE!</v>
      </c>
      <c r="P263" s="173" t="e">
        <f t="shared" si="17"/>
        <v>#VALUE!</v>
      </c>
    </row>
    <row r="264" spans="1:16" s="115" customFormat="1" ht="12" hidden="1" outlineLevel="3" thickBot="1">
      <c r="A264" s="115" t="str">
        <f t="shared" si="15"/>
        <v>P39701100B</v>
      </c>
      <c r="B264" s="115" t="str">
        <f t="shared" si="16"/>
        <v>F70</v>
      </c>
      <c r="C264" s="135" t="s">
        <v>1139</v>
      </c>
      <c r="D264" s="135"/>
      <c r="E264" s="135" t="s">
        <v>1140</v>
      </c>
      <c r="F264" s="131" t="s">
        <v>145</v>
      </c>
      <c r="G264" s="131" t="e">
        <v>#VALUE!</v>
      </c>
      <c r="H264" s="173">
        <v>-1</v>
      </c>
      <c r="I264" s="173"/>
      <c r="J264" s="173" t="e">
        <f>_xll.GetCtData("COAMOUNT","CONSAMOUNT",$A$1:$A$8,$A264:$B264,,"#Erreur de syntaxe : Expression incomplète")/10^3*$H264</f>
        <v>#VALUE!</v>
      </c>
      <c r="K264" s="173"/>
      <c r="L264" s="173" t="e">
        <f>_xll.GetCtData("COAMOUNT","CONSAMOUNT",$A$1:$A$8,$A264:$B264,,"#Erreur de syntaxe : Expression incomplète")/10^3*$H264</f>
        <v>#VALUE!</v>
      </c>
      <c r="N264" s="173" t="e">
        <f>_xll.GetCtData("COAMOUNT","CONSAMOUNT",$A$1:$A$8,$A264:$B264,,"#Erreur de syntaxe : Expression incomplète")/10^3*$H264</f>
        <v>#VALUE!</v>
      </c>
      <c r="P264" s="173" t="e">
        <f t="shared" si="17"/>
        <v>#VALUE!</v>
      </c>
    </row>
    <row r="265" spans="1:16" s="115" customFormat="1" ht="12" hidden="1" outlineLevel="3" thickBot="1">
      <c r="A265" s="115" t="str">
        <f t="shared" si="15"/>
        <v>P39701000V</v>
      </c>
      <c r="B265" s="115" t="str">
        <f t="shared" si="16"/>
        <v>F70</v>
      </c>
      <c r="C265" s="135" t="s">
        <v>1735</v>
      </c>
      <c r="D265" s="135"/>
      <c r="E265" s="135" t="s">
        <v>1736</v>
      </c>
      <c r="F265" s="131" t="s">
        <v>145</v>
      </c>
      <c r="G265" s="131" t="e">
        <v>#VALUE!</v>
      </c>
      <c r="H265" s="173">
        <v>-1</v>
      </c>
      <c r="I265" s="173"/>
      <c r="J265" s="173" t="e">
        <f>_xll.GetCtData("COAMOUNT","CONSAMOUNT",$A$1:$A$8,$A265:$B265,,"#Erreur de syntaxe : Expression incomplète")/10^3*$H265</f>
        <v>#VALUE!</v>
      </c>
      <c r="K265" s="173"/>
      <c r="L265" s="173" t="e">
        <f>_xll.GetCtData("COAMOUNT","CONSAMOUNT",$A$1:$A$8,$A265:$B265,,"#Erreur de syntaxe : Expression incomplète")/10^3*$H265</f>
        <v>#VALUE!</v>
      </c>
      <c r="N265" s="173" t="e">
        <f>_xll.GetCtData("COAMOUNT","CONSAMOUNT",$A$1:$A$8,$A265:$B265,,"#Erreur de syntaxe : Expression incomplète")/10^3*$H265</f>
        <v>#VALUE!</v>
      </c>
      <c r="P265" s="173" t="e">
        <f t="shared" si="17"/>
        <v>#VALUE!</v>
      </c>
    </row>
    <row r="266" spans="1:16" s="115" customFormat="1" ht="12" hidden="1" outlineLevel="3" thickBot="1">
      <c r="A266" s="115" t="str">
        <f t="shared" si="15"/>
        <v>P39701100V</v>
      </c>
      <c r="B266" s="115" t="str">
        <f t="shared" si="16"/>
        <v>F70</v>
      </c>
      <c r="C266" s="135" t="s">
        <v>1133</v>
      </c>
      <c r="D266" s="135"/>
      <c r="E266" s="135" t="s">
        <v>1134</v>
      </c>
      <c r="F266" s="131" t="s">
        <v>145</v>
      </c>
      <c r="G266" s="131" t="e">
        <v>#VALUE!</v>
      </c>
      <c r="H266" s="173">
        <v>-1</v>
      </c>
      <c r="I266" s="173"/>
      <c r="J266" s="173" t="e">
        <f>_xll.GetCtData("COAMOUNT","CONSAMOUNT",$A$1:$A$8,$A266:$B266,,"#Erreur de syntaxe : Expression incomplète")/10^3*$H266</f>
        <v>#VALUE!</v>
      </c>
      <c r="K266" s="173"/>
      <c r="L266" s="173" t="e">
        <f>_xll.GetCtData("COAMOUNT","CONSAMOUNT",$A$1:$A$8,$A266:$B266,,"#Erreur de syntaxe : Expression incomplète")/10^3*$H266</f>
        <v>#VALUE!</v>
      </c>
      <c r="N266" s="173" t="e">
        <f>_xll.GetCtData("COAMOUNT","CONSAMOUNT",$A$1:$A$8,$A266:$B266,,"#Erreur de syntaxe : Expression incomplète")/10^3*$H266</f>
        <v>#VALUE!</v>
      </c>
      <c r="P266" s="173" t="e">
        <f t="shared" si="17"/>
        <v>#VALUE!</v>
      </c>
    </row>
    <row r="267" spans="1:16" s="115" customFormat="1" ht="12" hidden="1" outlineLevel="3" thickBot="1">
      <c r="A267" s="115" t="str">
        <f t="shared" si="15"/>
        <v>A39701000B</v>
      </c>
      <c r="B267" s="115" t="str">
        <f t="shared" si="16"/>
        <v>F52</v>
      </c>
      <c r="C267" s="135" t="s">
        <v>1696</v>
      </c>
      <c r="D267" s="135"/>
      <c r="E267" s="135" t="s">
        <v>1697</v>
      </c>
      <c r="F267" s="131" t="s">
        <v>1670</v>
      </c>
      <c r="G267" s="131" t="e">
        <v>#VALUE!</v>
      </c>
      <c r="H267" s="173">
        <v>1</v>
      </c>
      <c r="I267" s="173"/>
      <c r="J267" s="173" t="e">
        <f>_xll.GetCtData("COAMOUNT","CONSAMOUNT",$A$1:$A$8,$A267:$B267,,"#Erreur de syntaxe : Expression incomplète")/10^3*$H267</f>
        <v>#VALUE!</v>
      </c>
      <c r="K267" s="173"/>
      <c r="L267" s="173" t="e">
        <f>_xll.GetCtData("COAMOUNT","CONSAMOUNT",$A$1:$A$8,$A267:$B267,,"#Erreur de syntaxe : Expression incomplète")/10^3*$H267</f>
        <v>#VALUE!</v>
      </c>
      <c r="N267" s="173" t="e">
        <f>_xll.GetCtData("COAMOUNT","CONSAMOUNT",$A$1:$A$8,$A267:$B267,,"#Erreur de syntaxe : Expression incomplète")/10^3*$H267</f>
        <v>#VALUE!</v>
      </c>
      <c r="P267" s="173" t="e">
        <f t="shared" si="17"/>
        <v>#VALUE!</v>
      </c>
    </row>
    <row r="268" spans="1:16" s="115" customFormat="1" ht="12" hidden="1" outlineLevel="3" thickBot="1">
      <c r="A268" s="115" t="str">
        <f t="shared" si="15"/>
        <v>A39701100B</v>
      </c>
      <c r="B268" s="115" t="str">
        <f t="shared" si="16"/>
        <v>F52</v>
      </c>
      <c r="C268" s="135" t="s">
        <v>1720</v>
      </c>
      <c r="D268" s="135"/>
      <c r="E268" s="135" t="s">
        <v>1721</v>
      </c>
      <c r="F268" s="131" t="s">
        <v>1670</v>
      </c>
      <c r="G268" s="131" t="e">
        <v>#VALUE!</v>
      </c>
      <c r="H268" s="173">
        <v>1</v>
      </c>
      <c r="I268" s="173"/>
      <c r="J268" s="173" t="e">
        <f>_xll.GetCtData("COAMOUNT","CONSAMOUNT",$A$1:$A$8,$A268:$B268,,"#Erreur de syntaxe : Expression incomplète")/10^3*$H268</f>
        <v>#VALUE!</v>
      </c>
      <c r="K268" s="173"/>
      <c r="L268" s="173" t="e">
        <f>_xll.GetCtData("COAMOUNT","CONSAMOUNT",$A$1:$A$8,$A268:$B268,,"#Erreur de syntaxe : Expression incomplète")/10^3*$H268</f>
        <v>#VALUE!</v>
      </c>
      <c r="N268" s="173" t="e">
        <f>_xll.GetCtData("COAMOUNT","CONSAMOUNT",$A$1:$A$8,$A268:$B268,,"#Erreur de syntaxe : Expression incomplète")/10^3*$H268</f>
        <v>#VALUE!</v>
      </c>
      <c r="P268" s="173" t="e">
        <f t="shared" si="17"/>
        <v>#VALUE!</v>
      </c>
    </row>
    <row r="269" spans="1:16" s="115" customFormat="1" ht="12" hidden="1" outlineLevel="3" thickBot="1">
      <c r="A269" s="115" t="str">
        <f t="shared" si="15"/>
        <v>A39701000V</v>
      </c>
      <c r="B269" s="115" t="str">
        <f t="shared" si="16"/>
        <v>F52</v>
      </c>
      <c r="C269" s="135" t="s">
        <v>1699</v>
      </c>
      <c r="D269" s="135"/>
      <c r="E269" s="135" t="s">
        <v>1700</v>
      </c>
      <c r="F269" s="131" t="s">
        <v>1670</v>
      </c>
      <c r="G269" s="131" t="e">
        <v>#VALUE!</v>
      </c>
      <c r="H269" s="173">
        <v>1</v>
      </c>
      <c r="I269" s="173"/>
      <c r="J269" s="173" t="e">
        <f>_xll.GetCtData("COAMOUNT","CONSAMOUNT",$A$1:$A$8,$A269:$B269,,"#Erreur de syntaxe : Expression incomplète")/10^3*$H269</f>
        <v>#VALUE!</v>
      </c>
      <c r="K269" s="173"/>
      <c r="L269" s="173" t="e">
        <f>_xll.GetCtData("COAMOUNT","CONSAMOUNT",$A$1:$A$8,$A269:$B269,,"#Erreur de syntaxe : Expression incomplète")/10^3*$H269</f>
        <v>#VALUE!</v>
      </c>
      <c r="N269" s="173" t="e">
        <f>_xll.GetCtData("COAMOUNT","CONSAMOUNT",$A$1:$A$8,$A269:$B269,,"#Erreur de syntaxe : Expression incomplète")/10^3*$H269</f>
        <v>#VALUE!</v>
      </c>
      <c r="P269" s="173" t="e">
        <f t="shared" si="17"/>
        <v>#VALUE!</v>
      </c>
    </row>
    <row r="270" spans="1:16" s="115" customFormat="1" ht="12" hidden="1" outlineLevel="3" thickBot="1">
      <c r="A270" s="115" t="str">
        <f t="shared" si="15"/>
        <v>A39701100V</v>
      </c>
      <c r="B270" s="115" t="str">
        <f t="shared" si="16"/>
        <v>F52</v>
      </c>
      <c r="C270" s="135" t="s">
        <v>1723</v>
      </c>
      <c r="D270" s="135"/>
      <c r="E270" s="135" t="s">
        <v>1724</v>
      </c>
      <c r="F270" s="131" t="s">
        <v>1670</v>
      </c>
      <c r="G270" s="131" t="e">
        <v>#VALUE!</v>
      </c>
      <c r="H270" s="173">
        <v>1</v>
      </c>
      <c r="I270" s="173"/>
      <c r="J270" s="173" t="e">
        <f>_xll.GetCtData("COAMOUNT","CONSAMOUNT",$A$1:$A$8,$A270:$B270,,"#Erreur de syntaxe : Expression incomplète")/10^3*$H270</f>
        <v>#VALUE!</v>
      </c>
      <c r="K270" s="173"/>
      <c r="L270" s="173" t="e">
        <f>_xll.GetCtData("COAMOUNT","CONSAMOUNT",$A$1:$A$8,$A270:$B270,,"#Erreur de syntaxe : Expression incomplète")/10^3*$H270</f>
        <v>#VALUE!</v>
      </c>
      <c r="N270" s="173" t="e">
        <f>_xll.GetCtData("COAMOUNT","CONSAMOUNT",$A$1:$A$8,$A270:$B270,,"#Erreur de syntaxe : Expression incomplète")/10^3*$H270</f>
        <v>#VALUE!</v>
      </c>
      <c r="P270" s="173" t="e">
        <f t="shared" si="17"/>
        <v>#VALUE!</v>
      </c>
    </row>
    <row r="271" spans="1:16" s="115" customFormat="1" ht="12" hidden="1" outlineLevel="3" thickBot="1">
      <c r="A271" s="115" t="str">
        <f t="shared" si="15"/>
        <v>P39701000B</v>
      </c>
      <c r="B271" s="115" t="str">
        <f t="shared" si="16"/>
        <v>F52</v>
      </c>
      <c r="C271" s="135" t="s">
        <v>1732</v>
      </c>
      <c r="D271" s="135"/>
      <c r="E271" s="135" t="s">
        <v>1733</v>
      </c>
      <c r="F271" s="131" t="s">
        <v>1670</v>
      </c>
      <c r="G271" s="131" t="e">
        <v>#VALUE!</v>
      </c>
      <c r="H271" s="173">
        <v>-1</v>
      </c>
      <c r="I271" s="173"/>
      <c r="J271" s="173" t="e">
        <f>_xll.GetCtData("COAMOUNT","CONSAMOUNT",$A$1:$A$8,$A271:$B271,,"#Erreur de syntaxe : Expression incomplète")/10^3*$H271</f>
        <v>#VALUE!</v>
      </c>
      <c r="K271" s="173"/>
      <c r="L271" s="173" t="e">
        <f>_xll.GetCtData("COAMOUNT","CONSAMOUNT",$A$1:$A$8,$A271:$B271,,"#Erreur de syntaxe : Expression incomplète")/10^3*$H271</f>
        <v>#VALUE!</v>
      </c>
      <c r="N271" s="173" t="e">
        <f>_xll.GetCtData("COAMOUNT","CONSAMOUNT",$A$1:$A$8,$A271:$B271,,"#Erreur de syntaxe : Expression incomplète")/10^3*$H271</f>
        <v>#VALUE!</v>
      </c>
      <c r="P271" s="173" t="e">
        <f t="shared" si="17"/>
        <v>#VALUE!</v>
      </c>
    </row>
    <row r="272" spans="1:16" s="115" customFormat="1" ht="12" hidden="1" outlineLevel="3" thickBot="1">
      <c r="A272" s="115" t="str">
        <f t="shared" si="15"/>
        <v>P39701100B</v>
      </c>
      <c r="B272" s="115" t="str">
        <f t="shared" si="16"/>
        <v>F52</v>
      </c>
      <c r="C272" s="135" t="s">
        <v>1139</v>
      </c>
      <c r="D272" s="135"/>
      <c r="E272" s="135" t="s">
        <v>1140</v>
      </c>
      <c r="F272" s="131" t="s">
        <v>1670</v>
      </c>
      <c r="G272" s="131" t="e">
        <v>#VALUE!</v>
      </c>
      <c r="H272" s="173">
        <v>-1</v>
      </c>
      <c r="I272" s="173"/>
      <c r="J272" s="173" t="e">
        <f>_xll.GetCtData("COAMOUNT","CONSAMOUNT",$A$1:$A$8,$A272:$B272,,"#Erreur de syntaxe : Expression incomplète")/10^3*$H272</f>
        <v>#VALUE!</v>
      </c>
      <c r="K272" s="173"/>
      <c r="L272" s="173" t="e">
        <f>_xll.GetCtData("COAMOUNT","CONSAMOUNT",$A$1:$A$8,$A272:$B272,,"#Erreur de syntaxe : Expression incomplète")/10^3*$H272</f>
        <v>#VALUE!</v>
      </c>
      <c r="N272" s="173" t="e">
        <f>_xll.GetCtData("COAMOUNT","CONSAMOUNT",$A$1:$A$8,$A272:$B272,,"#Erreur de syntaxe : Expression incomplète")/10^3*$H272</f>
        <v>#VALUE!</v>
      </c>
      <c r="P272" s="173" t="e">
        <f t="shared" si="17"/>
        <v>#VALUE!</v>
      </c>
    </row>
    <row r="273" spans="1:16" s="115" customFormat="1" ht="12" hidden="1" outlineLevel="3" thickBot="1">
      <c r="A273" s="115" t="str">
        <f t="shared" si="15"/>
        <v>P39701000V</v>
      </c>
      <c r="B273" s="115" t="str">
        <f t="shared" si="16"/>
        <v>F52</v>
      </c>
      <c r="C273" s="135" t="s">
        <v>1735</v>
      </c>
      <c r="D273" s="135"/>
      <c r="E273" s="135" t="s">
        <v>1736</v>
      </c>
      <c r="F273" s="131" t="s">
        <v>1670</v>
      </c>
      <c r="G273" s="131" t="e">
        <v>#VALUE!</v>
      </c>
      <c r="H273" s="173">
        <v>-1</v>
      </c>
      <c r="I273" s="173"/>
      <c r="J273" s="173" t="e">
        <f>_xll.GetCtData("COAMOUNT","CONSAMOUNT",$A$1:$A$8,$A273:$B273,,"#Erreur de syntaxe : Expression incomplète")/10^3*$H273</f>
        <v>#VALUE!</v>
      </c>
      <c r="K273" s="173"/>
      <c r="L273" s="173" t="e">
        <f>_xll.GetCtData("COAMOUNT","CONSAMOUNT",$A$1:$A$8,$A273:$B273,,"#Erreur de syntaxe : Expression incomplète")/10^3*$H273</f>
        <v>#VALUE!</v>
      </c>
      <c r="N273" s="173" t="e">
        <f>_xll.GetCtData("COAMOUNT","CONSAMOUNT",$A$1:$A$8,$A273:$B273,,"#Erreur de syntaxe : Expression incomplète")/10^3*$H273</f>
        <v>#VALUE!</v>
      </c>
      <c r="P273" s="173" t="e">
        <f t="shared" si="17"/>
        <v>#VALUE!</v>
      </c>
    </row>
    <row r="274" spans="1:16" s="115" customFormat="1" ht="12" hidden="1" outlineLevel="3" thickBot="1">
      <c r="A274" s="115" t="str">
        <f t="shared" si="15"/>
        <v>P39701100V</v>
      </c>
      <c r="B274" s="115" t="str">
        <f t="shared" si="16"/>
        <v>F52</v>
      </c>
      <c r="C274" s="135" t="s">
        <v>1133</v>
      </c>
      <c r="D274" s="135"/>
      <c r="E274" s="135" t="s">
        <v>1134</v>
      </c>
      <c r="F274" s="131" t="s">
        <v>1670</v>
      </c>
      <c r="G274" s="131" t="e">
        <v>#VALUE!</v>
      </c>
      <c r="H274" s="173">
        <v>-1</v>
      </c>
      <c r="I274" s="173"/>
      <c r="J274" s="173" t="e">
        <f>_xll.GetCtData("COAMOUNT","CONSAMOUNT",$A$1:$A$8,$A274:$B274,,"#Erreur de syntaxe : Expression incomplète")/10^3*$H274</f>
        <v>#VALUE!</v>
      </c>
      <c r="K274" s="173"/>
      <c r="L274" s="173" t="e">
        <f>_xll.GetCtData("COAMOUNT","CONSAMOUNT",$A$1:$A$8,$A274:$B274,,"#Erreur de syntaxe : Expression incomplète")/10^3*$H274</f>
        <v>#VALUE!</v>
      </c>
      <c r="N274" s="173" t="e">
        <f>_xll.GetCtData("COAMOUNT","CONSAMOUNT",$A$1:$A$8,$A274:$B274,,"#Erreur de syntaxe : Expression incomplète")/10^3*$H274</f>
        <v>#VALUE!</v>
      </c>
      <c r="P274" s="173" t="e">
        <f t="shared" si="17"/>
        <v>#VALUE!</v>
      </c>
    </row>
    <row r="275" spans="1:16" s="115" customFormat="1" ht="12" hidden="1" outlineLevel="3" thickBot="1">
      <c r="A275" s="115" t="str">
        <f t="shared" ref="A275:A294" si="18">$C$1&amp;C275</f>
        <v>A39701000B</v>
      </c>
      <c r="B275" s="115" t="str">
        <f t="shared" ref="B275:B294" si="19">$C$2&amp;F275</f>
        <v>F53</v>
      </c>
      <c r="C275" s="135" t="s">
        <v>1696</v>
      </c>
      <c r="D275" s="135"/>
      <c r="E275" s="135" t="s">
        <v>1697</v>
      </c>
      <c r="F275" s="131" t="s">
        <v>1673</v>
      </c>
      <c r="G275" s="131" t="e">
        <v>#VALUE!</v>
      </c>
      <c r="H275" s="173">
        <v>1</v>
      </c>
      <c r="I275" s="173"/>
      <c r="J275" s="173" t="e">
        <f>_xll.GetCtData("COAMOUNT","CONSAMOUNT",$A$1:$A$8,$A275:$B275,,"#Erreur de syntaxe : Expression incomplète")/10^3*$H275</f>
        <v>#VALUE!</v>
      </c>
      <c r="K275" s="173"/>
      <c r="L275" s="173" t="e">
        <f>_xll.GetCtData("COAMOUNT","CONSAMOUNT",$A$1:$A$8,$A275:$B275,,"#Erreur de syntaxe : Expression incomplète")/10^3*$H275</f>
        <v>#VALUE!</v>
      </c>
      <c r="N275" s="173" t="e">
        <f>_xll.GetCtData("COAMOUNT","CONSAMOUNT",$A$1:$A$8,$A275:$B275,,"#Erreur de syntaxe : Expression incomplète")/10^3*$H275</f>
        <v>#VALUE!</v>
      </c>
      <c r="P275" s="173" t="e">
        <f t="shared" si="17"/>
        <v>#VALUE!</v>
      </c>
    </row>
    <row r="276" spans="1:16" s="115" customFormat="1" ht="12" hidden="1" outlineLevel="3" thickBot="1">
      <c r="A276" s="115" t="str">
        <f t="shared" si="18"/>
        <v>A39701100B</v>
      </c>
      <c r="B276" s="115" t="str">
        <f t="shared" si="19"/>
        <v>F53</v>
      </c>
      <c r="C276" s="135" t="s">
        <v>1720</v>
      </c>
      <c r="D276" s="135"/>
      <c r="E276" s="135" t="s">
        <v>1721</v>
      </c>
      <c r="F276" s="131" t="s">
        <v>1673</v>
      </c>
      <c r="G276" s="131" t="e">
        <v>#VALUE!</v>
      </c>
      <c r="H276" s="173">
        <v>1</v>
      </c>
      <c r="I276" s="173"/>
      <c r="J276" s="173" t="e">
        <f>_xll.GetCtData("COAMOUNT","CONSAMOUNT",$A$1:$A$8,$A276:$B276,,"#Erreur de syntaxe : Expression incomplète")/10^3*$H276</f>
        <v>#VALUE!</v>
      </c>
      <c r="K276" s="173"/>
      <c r="L276" s="173" t="e">
        <f>_xll.GetCtData("COAMOUNT","CONSAMOUNT",$A$1:$A$8,$A276:$B276,,"#Erreur de syntaxe : Expression incomplète")/10^3*$H276</f>
        <v>#VALUE!</v>
      </c>
      <c r="N276" s="173" t="e">
        <f>_xll.GetCtData("COAMOUNT","CONSAMOUNT",$A$1:$A$8,$A276:$B276,,"#Erreur de syntaxe : Expression incomplète")/10^3*$H276</f>
        <v>#VALUE!</v>
      </c>
      <c r="P276" s="173" t="e">
        <f t="shared" si="17"/>
        <v>#VALUE!</v>
      </c>
    </row>
    <row r="277" spans="1:16" s="115" customFormat="1" ht="12" hidden="1" outlineLevel="3" thickBot="1">
      <c r="A277" s="115" t="str">
        <f t="shared" si="18"/>
        <v>A39701000V</v>
      </c>
      <c r="B277" s="115" t="str">
        <f t="shared" si="19"/>
        <v>F53</v>
      </c>
      <c r="C277" s="135" t="s">
        <v>1699</v>
      </c>
      <c r="D277" s="135"/>
      <c r="E277" s="135" t="s">
        <v>1700</v>
      </c>
      <c r="F277" s="131" t="s">
        <v>1673</v>
      </c>
      <c r="G277" s="131" t="e">
        <v>#VALUE!</v>
      </c>
      <c r="H277" s="173">
        <v>1</v>
      </c>
      <c r="I277" s="173"/>
      <c r="J277" s="173" t="e">
        <f>_xll.GetCtData("COAMOUNT","CONSAMOUNT",$A$1:$A$8,$A277:$B277,,"#Erreur de syntaxe : Expression incomplète")/10^3*$H277</f>
        <v>#VALUE!</v>
      </c>
      <c r="K277" s="173"/>
      <c r="L277" s="173" t="e">
        <f>_xll.GetCtData("COAMOUNT","CONSAMOUNT",$A$1:$A$8,$A277:$B277,,"#Erreur de syntaxe : Expression incomplète")/10^3*$H277</f>
        <v>#VALUE!</v>
      </c>
      <c r="N277" s="173" t="e">
        <f>_xll.GetCtData("COAMOUNT","CONSAMOUNT",$A$1:$A$8,$A277:$B277,,"#Erreur de syntaxe : Expression incomplète")/10^3*$H277</f>
        <v>#VALUE!</v>
      </c>
      <c r="P277" s="173" t="e">
        <f t="shared" si="17"/>
        <v>#VALUE!</v>
      </c>
    </row>
    <row r="278" spans="1:16" s="115" customFormat="1" ht="12" hidden="1" outlineLevel="3" thickBot="1">
      <c r="A278" s="115" t="str">
        <f t="shared" si="18"/>
        <v>A39701100V</v>
      </c>
      <c r="B278" s="115" t="str">
        <f t="shared" si="19"/>
        <v>F53</v>
      </c>
      <c r="C278" s="135" t="s">
        <v>1723</v>
      </c>
      <c r="D278" s="135"/>
      <c r="E278" s="135" t="s">
        <v>1724</v>
      </c>
      <c r="F278" s="131" t="s">
        <v>1673</v>
      </c>
      <c r="G278" s="131" t="e">
        <v>#VALUE!</v>
      </c>
      <c r="H278" s="173">
        <v>1</v>
      </c>
      <c r="I278" s="173"/>
      <c r="J278" s="173" t="e">
        <f>_xll.GetCtData("COAMOUNT","CONSAMOUNT",$A$1:$A$8,$A278:$B278,,"#Erreur de syntaxe : Expression incomplète")/10^3*$H278</f>
        <v>#VALUE!</v>
      </c>
      <c r="K278" s="173"/>
      <c r="L278" s="173" t="e">
        <f>_xll.GetCtData("COAMOUNT","CONSAMOUNT",$A$1:$A$8,$A278:$B278,,"#Erreur de syntaxe : Expression incomplète")/10^3*$H278</f>
        <v>#VALUE!</v>
      </c>
      <c r="N278" s="173" t="e">
        <f>_xll.GetCtData("COAMOUNT","CONSAMOUNT",$A$1:$A$8,$A278:$B278,,"#Erreur de syntaxe : Expression incomplète")/10^3*$H278</f>
        <v>#VALUE!</v>
      </c>
      <c r="P278" s="173" t="e">
        <f t="shared" si="17"/>
        <v>#VALUE!</v>
      </c>
    </row>
    <row r="279" spans="1:16" s="115" customFormat="1" ht="12" hidden="1" outlineLevel="3" thickBot="1">
      <c r="A279" s="115" t="str">
        <f t="shared" si="18"/>
        <v>P39701000B</v>
      </c>
      <c r="B279" s="115" t="str">
        <f t="shared" si="19"/>
        <v>F53</v>
      </c>
      <c r="C279" s="135" t="s">
        <v>1732</v>
      </c>
      <c r="D279" s="135"/>
      <c r="E279" s="135" t="s">
        <v>1733</v>
      </c>
      <c r="F279" s="131" t="s">
        <v>1673</v>
      </c>
      <c r="G279" s="131" t="e">
        <v>#VALUE!</v>
      </c>
      <c r="H279" s="173">
        <v>-1</v>
      </c>
      <c r="I279" s="173"/>
      <c r="J279" s="173" t="e">
        <f>_xll.GetCtData("COAMOUNT","CONSAMOUNT",$A$1:$A$8,$A279:$B279,,"#Erreur de syntaxe : Expression incomplète")/10^3*$H279</f>
        <v>#VALUE!</v>
      </c>
      <c r="K279" s="173"/>
      <c r="L279" s="173" t="e">
        <f>_xll.GetCtData("COAMOUNT","CONSAMOUNT",$A$1:$A$8,$A279:$B279,,"#Erreur de syntaxe : Expression incomplète")/10^3*$H279</f>
        <v>#VALUE!</v>
      </c>
      <c r="N279" s="173" t="e">
        <f>_xll.GetCtData("COAMOUNT","CONSAMOUNT",$A$1:$A$8,$A279:$B279,,"#Erreur de syntaxe : Expression incomplète")/10^3*$H279</f>
        <v>#VALUE!</v>
      </c>
      <c r="P279" s="173" t="e">
        <f t="shared" si="17"/>
        <v>#VALUE!</v>
      </c>
    </row>
    <row r="280" spans="1:16" s="115" customFormat="1" ht="12" hidden="1" outlineLevel="3" thickBot="1">
      <c r="A280" s="115" t="str">
        <f t="shared" si="18"/>
        <v>P39701100B</v>
      </c>
      <c r="B280" s="115" t="str">
        <f t="shared" si="19"/>
        <v>F53</v>
      </c>
      <c r="C280" s="135" t="s">
        <v>1139</v>
      </c>
      <c r="D280" s="135"/>
      <c r="E280" s="135" t="s">
        <v>1140</v>
      </c>
      <c r="F280" s="131" t="s">
        <v>1673</v>
      </c>
      <c r="G280" s="131" t="e">
        <v>#VALUE!</v>
      </c>
      <c r="H280" s="173">
        <v>-1</v>
      </c>
      <c r="I280" s="173"/>
      <c r="J280" s="173" t="e">
        <f>_xll.GetCtData("COAMOUNT","CONSAMOUNT",$A$1:$A$8,$A280:$B280,,"#Erreur de syntaxe : Expression incomplète")/10^3*$H280</f>
        <v>#VALUE!</v>
      </c>
      <c r="K280" s="173"/>
      <c r="L280" s="173" t="e">
        <f>_xll.GetCtData("COAMOUNT","CONSAMOUNT",$A$1:$A$8,$A280:$B280,,"#Erreur de syntaxe : Expression incomplète")/10^3*$H280</f>
        <v>#VALUE!</v>
      </c>
      <c r="N280" s="173" t="e">
        <f>_xll.GetCtData("COAMOUNT","CONSAMOUNT",$A$1:$A$8,$A280:$B280,,"#Erreur de syntaxe : Expression incomplète")/10^3*$H280</f>
        <v>#VALUE!</v>
      </c>
      <c r="P280" s="173" t="e">
        <f t="shared" si="17"/>
        <v>#VALUE!</v>
      </c>
    </row>
    <row r="281" spans="1:16" s="115" customFormat="1" ht="12" hidden="1" outlineLevel="3" thickBot="1">
      <c r="A281" s="115" t="str">
        <f t="shared" si="18"/>
        <v>P39701000V</v>
      </c>
      <c r="B281" s="115" t="str">
        <f t="shared" si="19"/>
        <v>F53</v>
      </c>
      <c r="C281" s="135" t="s">
        <v>1735</v>
      </c>
      <c r="D281" s="135"/>
      <c r="E281" s="135" t="s">
        <v>1736</v>
      </c>
      <c r="F281" s="131" t="s">
        <v>1673</v>
      </c>
      <c r="G281" s="131" t="e">
        <v>#VALUE!</v>
      </c>
      <c r="H281" s="173">
        <v>-1</v>
      </c>
      <c r="I281" s="173"/>
      <c r="J281" s="173" t="e">
        <f>_xll.GetCtData("COAMOUNT","CONSAMOUNT",$A$1:$A$8,$A281:$B281,,"#Erreur de syntaxe : Expression incomplète")/10^3*$H281</f>
        <v>#VALUE!</v>
      </c>
      <c r="K281" s="173"/>
      <c r="L281" s="173" t="e">
        <f>_xll.GetCtData("COAMOUNT","CONSAMOUNT",$A$1:$A$8,$A281:$B281,,"#Erreur de syntaxe : Expression incomplète")/10^3*$H281</f>
        <v>#VALUE!</v>
      </c>
      <c r="N281" s="173" t="e">
        <f>_xll.GetCtData("COAMOUNT","CONSAMOUNT",$A$1:$A$8,$A281:$B281,,"#Erreur de syntaxe : Expression incomplète")/10^3*$H281</f>
        <v>#VALUE!</v>
      </c>
      <c r="P281" s="173" t="e">
        <f t="shared" si="17"/>
        <v>#VALUE!</v>
      </c>
    </row>
    <row r="282" spans="1:16" s="115" customFormat="1" ht="12" hidden="1" outlineLevel="3" thickBot="1">
      <c r="A282" s="115" t="str">
        <f t="shared" si="18"/>
        <v>P39701100V</v>
      </c>
      <c r="B282" s="115" t="str">
        <f t="shared" si="19"/>
        <v>F53</v>
      </c>
      <c r="C282" s="135" t="s">
        <v>1133</v>
      </c>
      <c r="D282" s="135"/>
      <c r="E282" s="135" t="s">
        <v>1134</v>
      </c>
      <c r="F282" s="131" t="s">
        <v>1673</v>
      </c>
      <c r="G282" s="131" t="e">
        <v>#VALUE!</v>
      </c>
      <c r="H282" s="173">
        <v>-1</v>
      </c>
      <c r="I282" s="173"/>
      <c r="J282" s="173" t="e">
        <f>_xll.GetCtData("COAMOUNT","CONSAMOUNT",$A$1:$A$8,$A282:$B282,,"#Erreur de syntaxe : Expression incomplète")/10^3*$H282</f>
        <v>#VALUE!</v>
      </c>
      <c r="K282" s="173"/>
      <c r="L282" s="173" t="e">
        <f>_xll.GetCtData("COAMOUNT","CONSAMOUNT",$A$1:$A$8,$A282:$B282,,"#Erreur de syntaxe : Expression incomplète")/10^3*$H282</f>
        <v>#VALUE!</v>
      </c>
      <c r="N282" s="173" t="e">
        <f>_xll.GetCtData("COAMOUNT","CONSAMOUNT",$A$1:$A$8,$A282:$B282,,"#Erreur de syntaxe : Expression incomplète")/10^3*$H282</f>
        <v>#VALUE!</v>
      </c>
      <c r="P282" s="173" t="e">
        <f t="shared" si="17"/>
        <v>#VALUE!</v>
      </c>
    </row>
    <row r="283" spans="1:16" s="115" customFormat="1" ht="12" hidden="1" outlineLevel="3" thickBot="1">
      <c r="A283" s="115" t="str">
        <f t="shared" si="18"/>
        <v>A39702000B</v>
      </c>
      <c r="B283" s="115" t="str">
        <f t="shared" si="19"/>
        <v>F70</v>
      </c>
      <c r="C283" s="135" t="s">
        <v>1702</v>
      </c>
      <c r="D283" s="135"/>
      <c r="E283" s="135" t="s">
        <v>1703</v>
      </c>
      <c r="F283" s="131" t="s">
        <v>145</v>
      </c>
      <c r="G283" s="131" t="e">
        <v>#VALUE!</v>
      </c>
      <c r="H283" s="173">
        <v>1</v>
      </c>
      <c r="I283" s="173"/>
      <c r="J283" s="173"/>
      <c r="K283" s="173" t="e">
        <f>_xll.GetCtData("COAMOUNT","CONSAMOUNT",$A$1:$A$8,$A283:$B283,,"#Erreur de syntaxe : Expression incomplète")/10^3*$H283</f>
        <v>#VALUE!</v>
      </c>
      <c r="L283" s="173" t="e">
        <f>_xll.GetCtData("COAMOUNT","CONSAMOUNT",$A$1:$A$8,$A283:$B283,,"#Erreur de syntaxe : Expression incomplète")/10^3*$H283</f>
        <v>#VALUE!</v>
      </c>
      <c r="N283" s="173" t="e">
        <f>_xll.GetCtData("COAMOUNT","CONSAMOUNT",$A$1:$A$8,$A283:$B283,,"#Erreur de syntaxe : Expression incomplète")/10^3*$H283</f>
        <v>#VALUE!</v>
      </c>
      <c r="P283" s="173" t="e">
        <f t="shared" ref="P283:P346" si="20">L283+N283</f>
        <v>#VALUE!</v>
      </c>
    </row>
    <row r="284" spans="1:16" s="115" customFormat="1" ht="12" hidden="1" outlineLevel="3" thickBot="1">
      <c r="A284" s="115" t="str">
        <f t="shared" si="18"/>
        <v>A39702000V</v>
      </c>
      <c r="B284" s="115" t="str">
        <f t="shared" si="19"/>
        <v>F70</v>
      </c>
      <c r="C284" s="135" t="s">
        <v>1705</v>
      </c>
      <c r="D284" s="135"/>
      <c r="E284" s="135" t="s">
        <v>1706</v>
      </c>
      <c r="F284" s="131" t="s">
        <v>145</v>
      </c>
      <c r="G284" s="131" t="e">
        <v>#VALUE!</v>
      </c>
      <c r="H284" s="173">
        <v>1</v>
      </c>
      <c r="I284" s="173"/>
      <c r="J284" s="173"/>
      <c r="K284" s="173" t="e">
        <f>_xll.GetCtData("COAMOUNT","CONSAMOUNT",$A$1:$A$8,$A284:$B284,,"#Erreur de syntaxe : Expression incomplète")/10^3*$H284</f>
        <v>#VALUE!</v>
      </c>
      <c r="L284" s="173" t="e">
        <f>_xll.GetCtData("COAMOUNT","CONSAMOUNT",$A$1:$A$8,$A284:$B284,,"#Erreur de syntaxe : Expression incomplète")/10^3*$H284</f>
        <v>#VALUE!</v>
      </c>
      <c r="N284" s="173" t="e">
        <f>_xll.GetCtData("COAMOUNT","CONSAMOUNT",$A$1:$A$8,$A284:$B284,,"#Erreur de syntaxe : Expression incomplète")/10^3*$H284</f>
        <v>#VALUE!</v>
      </c>
      <c r="P284" s="173" t="e">
        <f t="shared" si="20"/>
        <v>#VALUE!</v>
      </c>
    </row>
    <row r="285" spans="1:16" s="115" customFormat="1" ht="12" hidden="1" outlineLevel="3" thickBot="1">
      <c r="A285" s="115" t="str">
        <f t="shared" si="18"/>
        <v>P39702000B</v>
      </c>
      <c r="B285" s="115" t="str">
        <f t="shared" si="19"/>
        <v>F70</v>
      </c>
      <c r="C285" s="135" t="s">
        <v>1741</v>
      </c>
      <c r="D285" s="135"/>
      <c r="E285" s="135" t="s">
        <v>1742</v>
      </c>
      <c r="F285" s="131" t="s">
        <v>145</v>
      </c>
      <c r="G285" s="131" t="e">
        <v>#VALUE!</v>
      </c>
      <c r="H285" s="173">
        <v>-1</v>
      </c>
      <c r="I285" s="173"/>
      <c r="J285" s="173"/>
      <c r="K285" s="173" t="e">
        <f>_xll.GetCtData("COAMOUNT","CONSAMOUNT",$A$1:$A$8,$A285:$B285,,"#Erreur de syntaxe : Expression incomplète")/10^3*$H285</f>
        <v>#VALUE!</v>
      </c>
      <c r="L285" s="173" t="e">
        <f>_xll.GetCtData("COAMOUNT","CONSAMOUNT",$A$1:$A$8,$A285:$B285,,"#Erreur de syntaxe : Expression incomplète")/10^3*$H285</f>
        <v>#VALUE!</v>
      </c>
      <c r="N285" s="173" t="e">
        <f>_xll.GetCtData("COAMOUNT","CONSAMOUNT",$A$1:$A$8,$A285:$B285,,"#Erreur de syntaxe : Expression incomplète")/10^3*$H285</f>
        <v>#VALUE!</v>
      </c>
      <c r="P285" s="173" t="e">
        <f t="shared" si="20"/>
        <v>#VALUE!</v>
      </c>
    </row>
    <row r="286" spans="1:16" s="115" customFormat="1" ht="12" hidden="1" outlineLevel="3" thickBot="1">
      <c r="A286" s="115" t="str">
        <f t="shared" si="18"/>
        <v>P39702000V</v>
      </c>
      <c r="B286" s="115" t="str">
        <f t="shared" si="19"/>
        <v>F70</v>
      </c>
      <c r="C286" s="135" t="s">
        <v>1750</v>
      </c>
      <c r="D286" s="135"/>
      <c r="E286" s="135" t="s">
        <v>1751</v>
      </c>
      <c r="F286" s="131" t="s">
        <v>145</v>
      </c>
      <c r="G286" s="131" t="e">
        <v>#VALUE!</v>
      </c>
      <c r="H286" s="173">
        <v>-1</v>
      </c>
      <c r="I286" s="173"/>
      <c r="J286" s="173"/>
      <c r="K286" s="173" t="e">
        <f>_xll.GetCtData("COAMOUNT","CONSAMOUNT",$A$1:$A$8,$A286:$B286,,"#Erreur de syntaxe : Expression incomplète")/10^3*$H286</f>
        <v>#VALUE!</v>
      </c>
      <c r="L286" s="173" t="e">
        <f>_xll.GetCtData("COAMOUNT","CONSAMOUNT",$A$1:$A$8,$A286:$B286,,"#Erreur de syntaxe : Expression incomplète")/10^3*$H286</f>
        <v>#VALUE!</v>
      </c>
      <c r="N286" s="173" t="e">
        <f>_xll.GetCtData("COAMOUNT","CONSAMOUNT",$A$1:$A$8,$A286:$B286,,"#Erreur de syntaxe : Expression incomplète")/10^3*$H286</f>
        <v>#VALUE!</v>
      </c>
      <c r="P286" s="173" t="e">
        <f t="shared" si="20"/>
        <v>#VALUE!</v>
      </c>
    </row>
    <row r="287" spans="1:16" s="115" customFormat="1" ht="12" hidden="1" outlineLevel="3" thickBot="1">
      <c r="A287" s="115" t="str">
        <f t="shared" si="18"/>
        <v>A39702000B</v>
      </c>
      <c r="B287" s="115" t="str">
        <f t="shared" si="19"/>
        <v>F52</v>
      </c>
      <c r="C287" s="135" t="s">
        <v>1702</v>
      </c>
      <c r="D287" s="135"/>
      <c r="E287" s="135" t="s">
        <v>1703</v>
      </c>
      <c r="F287" s="131" t="s">
        <v>1670</v>
      </c>
      <c r="G287" s="131" t="e">
        <v>#VALUE!</v>
      </c>
      <c r="H287" s="173">
        <v>1</v>
      </c>
      <c r="I287" s="173"/>
      <c r="J287" s="173"/>
      <c r="K287" s="173" t="e">
        <f>_xll.GetCtData("COAMOUNT","CONSAMOUNT",$A$1:$A$8,$A287:$B287,,"#Erreur de syntaxe : Expression incomplète")/10^3*$H287</f>
        <v>#VALUE!</v>
      </c>
      <c r="L287" s="173" t="e">
        <f>_xll.GetCtData("COAMOUNT","CONSAMOUNT",$A$1:$A$8,$A287:$B287,,"#Erreur de syntaxe : Expression incomplète")/10^3*$H287</f>
        <v>#VALUE!</v>
      </c>
      <c r="N287" s="173" t="e">
        <f>_xll.GetCtData("COAMOUNT","CONSAMOUNT",$A$1:$A$8,$A287:$B287,,"#Erreur de syntaxe : Expression incomplète")/10^3*$H287</f>
        <v>#VALUE!</v>
      </c>
      <c r="P287" s="173" t="e">
        <f t="shared" si="20"/>
        <v>#VALUE!</v>
      </c>
    </row>
    <row r="288" spans="1:16" s="115" customFormat="1" ht="12" hidden="1" outlineLevel="3" thickBot="1">
      <c r="A288" s="115" t="str">
        <f t="shared" si="18"/>
        <v>A39702000V</v>
      </c>
      <c r="B288" s="115" t="str">
        <f t="shared" si="19"/>
        <v>F52</v>
      </c>
      <c r="C288" s="135" t="s">
        <v>1705</v>
      </c>
      <c r="D288" s="135"/>
      <c r="E288" s="135" t="s">
        <v>1706</v>
      </c>
      <c r="F288" s="131" t="s">
        <v>1670</v>
      </c>
      <c r="G288" s="131" t="e">
        <v>#VALUE!</v>
      </c>
      <c r="H288" s="173">
        <v>1</v>
      </c>
      <c r="I288" s="173"/>
      <c r="J288" s="173"/>
      <c r="K288" s="173" t="e">
        <f>_xll.GetCtData("COAMOUNT","CONSAMOUNT",$A$1:$A$8,$A288:$B288,,"#Erreur de syntaxe : Expression incomplète")/10^3*$H288</f>
        <v>#VALUE!</v>
      </c>
      <c r="L288" s="173" t="e">
        <f>_xll.GetCtData("COAMOUNT","CONSAMOUNT",$A$1:$A$8,$A288:$B288,,"#Erreur de syntaxe : Expression incomplète")/10^3*$H288</f>
        <v>#VALUE!</v>
      </c>
      <c r="N288" s="173" t="e">
        <f>_xll.GetCtData("COAMOUNT","CONSAMOUNT",$A$1:$A$8,$A288:$B288,,"#Erreur de syntaxe : Expression incomplète")/10^3*$H288</f>
        <v>#VALUE!</v>
      </c>
      <c r="P288" s="173" t="e">
        <f t="shared" si="20"/>
        <v>#VALUE!</v>
      </c>
    </row>
    <row r="289" spans="1:16" s="115" customFormat="1" ht="12" hidden="1" outlineLevel="3" thickBot="1">
      <c r="A289" s="115" t="str">
        <f t="shared" si="18"/>
        <v>P39702000B</v>
      </c>
      <c r="B289" s="115" t="str">
        <f t="shared" si="19"/>
        <v>F52</v>
      </c>
      <c r="C289" s="135" t="s">
        <v>1741</v>
      </c>
      <c r="D289" s="135"/>
      <c r="E289" s="135" t="s">
        <v>1742</v>
      </c>
      <c r="F289" s="131" t="s">
        <v>1670</v>
      </c>
      <c r="G289" s="131" t="e">
        <v>#VALUE!</v>
      </c>
      <c r="H289" s="173">
        <v>-1</v>
      </c>
      <c r="I289" s="173"/>
      <c r="J289" s="173"/>
      <c r="K289" s="173" t="e">
        <f>_xll.GetCtData("COAMOUNT","CONSAMOUNT",$A$1:$A$8,$A289:$B289,,"#Erreur de syntaxe : Expression incomplète")/10^3*$H289</f>
        <v>#VALUE!</v>
      </c>
      <c r="L289" s="173" t="e">
        <f>_xll.GetCtData("COAMOUNT","CONSAMOUNT",$A$1:$A$8,$A289:$B289,,"#Erreur de syntaxe : Expression incomplète")/10^3*$H289</f>
        <v>#VALUE!</v>
      </c>
      <c r="N289" s="173" t="e">
        <f>_xll.GetCtData("COAMOUNT","CONSAMOUNT",$A$1:$A$8,$A289:$B289,,"#Erreur de syntaxe : Expression incomplète")/10^3*$H289</f>
        <v>#VALUE!</v>
      </c>
      <c r="P289" s="173" t="e">
        <f t="shared" si="20"/>
        <v>#VALUE!</v>
      </c>
    </row>
    <row r="290" spans="1:16" s="115" customFormat="1" ht="12" hidden="1" outlineLevel="3" thickBot="1">
      <c r="A290" s="115" t="str">
        <f t="shared" si="18"/>
        <v>P39702000V</v>
      </c>
      <c r="B290" s="115" t="str">
        <f t="shared" si="19"/>
        <v>F52</v>
      </c>
      <c r="C290" s="135" t="s">
        <v>1750</v>
      </c>
      <c r="D290" s="135"/>
      <c r="E290" s="135" t="s">
        <v>1751</v>
      </c>
      <c r="F290" s="131" t="s">
        <v>1670</v>
      </c>
      <c r="G290" s="131" t="e">
        <v>#VALUE!</v>
      </c>
      <c r="H290" s="173">
        <v>-1</v>
      </c>
      <c r="I290" s="173"/>
      <c r="J290" s="173"/>
      <c r="K290" s="173" t="e">
        <f>_xll.GetCtData("COAMOUNT","CONSAMOUNT",$A$1:$A$8,$A290:$B290,,"#Erreur de syntaxe : Expression incomplète")/10^3*$H290</f>
        <v>#VALUE!</v>
      </c>
      <c r="L290" s="173" t="e">
        <f>_xll.GetCtData("COAMOUNT","CONSAMOUNT",$A$1:$A$8,$A290:$B290,,"#Erreur de syntaxe : Expression incomplète")/10^3*$H290</f>
        <v>#VALUE!</v>
      </c>
      <c r="N290" s="173" t="e">
        <f>_xll.GetCtData("COAMOUNT","CONSAMOUNT",$A$1:$A$8,$A290:$B290,,"#Erreur de syntaxe : Expression incomplète")/10^3*$H290</f>
        <v>#VALUE!</v>
      </c>
      <c r="P290" s="173" t="e">
        <f t="shared" si="20"/>
        <v>#VALUE!</v>
      </c>
    </row>
    <row r="291" spans="1:16" s="115" customFormat="1" ht="12" hidden="1" outlineLevel="3" thickBot="1">
      <c r="A291" s="115" t="str">
        <f t="shared" si="18"/>
        <v>A39702000B</v>
      </c>
      <c r="B291" s="115" t="str">
        <f t="shared" si="19"/>
        <v>F53</v>
      </c>
      <c r="C291" s="135" t="s">
        <v>1702</v>
      </c>
      <c r="D291" s="135"/>
      <c r="E291" s="135" t="s">
        <v>1703</v>
      </c>
      <c r="F291" s="131" t="s">
        <v>1673</v>
      </c>
      <c r="G291" s="131" t="e">
        <v>#VALUE!</v>
      </c>
      <c r="H291" s="173">
        <v>1</v>
      </c>
      <c r="I291" s="173"/>
      <c r="J291" s="173"/>
      <c r="K291" s="173" t="e">
        <f>_xll.GetCtData("COAMOUNT","CONSAMOUNT",$A$1:$A$8,$A291:$B291,,"#Erreur de syntaxe : Expression incomplète")/10^3*$H291</f>
        <v>#VALUE!</v>
      </c>
      <c r="L291" s="173" t="e">
        <f>_xll.GetCtData("COAMOUNT","CONSAMOUNT",$A$1:$A$8,$A291:$B291,,"#Erreur de syntaxe : Expression incomplète")/10^3*$H291</f>
        <v>#VALUE!</v>
      </c>
      <c r="N291" s="173" t="e">
        <f>_xll.GetCtData("COAMOUNT","CONSAMOUNT",$A$1:$A$8,$A291:$B291,,"#Erreur de syntaxe : Expression incomplète")/10^3*$H291</f>
        <v>#VALUE!</v>
      </c>
      <c r="P291" s="173" t="e">
        <f t="shared" si="20"/>
        <v>#VALUE!</v>
      </c>
    </row>
    <row r="292" spans="1:16" s="115" customFormat="1" ht="12" hidden="1" outlineLevel="3" thickBot="1">
      <c r="A292" s="115" t="str">
        <f t="shared" si="18"/>
        <v>A39702000V</v>
      </c>
      <c r="B292" s="115" t="str">
        <f t="shared" si="19"/>
        <v>F53</v>
      </c>
      <c r="C292" s="135" t="s">
        <v>1705</v>
      </c>
      <c r="D292" s="135"/>
      <c r="E292" s="135" t="s">
        <v>1706</v>
      </c>
      <c r="F292" s="131" t="s">
        <v>1673</v>
      </c>
      <c r="G292" s="131" t="e">
        <v>#VALUE!</v>
      </c>
      <c r="H292" s="173">
        <v>1</v>
      </c>
      <c r="I292" s="173"/>
      <c r="J292" s="173"/>
      <c r="K292" s="173" t="e">
        <f>_xll.GetCtData("COAMOUNT","CONSAMOUNT",$A$1:$A$8,$A292:$B292,,"#Erreur de syntaxe : Expression incomplète")/10^3*$H292</f>
        <v>#VALUE!</v>
      </c>
      <c r="L292" s="173" t="e">
        <f>_xll.GetCtData("COAMOUNT","CONSAMOUNT",$A$1:$A$8,$A292:$B292,,"#Erreur de syntaxe : Expression incomplète")/10^3*$H292</f>
        <v>#VALUE!</v>
      </c>
      <c r="N292" s="173" t="e">
        <f>_xll.GetCtData("COAMOUNT","CONSAMOUNT",$A$1:$A$8,$A292:$B292,,"#Erreur de syntaxe : Expression incomplète")/10^3*$H292</f>
        <v>#VALUE!</v>
      </c>
      <c r="P292" s="173" t="e">
        <f t="shared" si="20"/>
        <v>#VALUE!</v>
      </c>
    </row>
    <row r="293" spans="1:16" s="115" customFormat="1" ht="12" hidden="1" outlineLevel="3" thickBot="1">
      <c r="A293" s="115" t="str">
        <f t="shared" si="18"/>
        <v>P39702000B</v>
      </c>
      <c r="B293" s="115" t="str">
        <f t="shared" si="19"/>
        <v>F53</v>
      </c>
      <c r="C293" s="135" t="s">
        <v>1741</v>
      </c>
      <c r="D293" s="135"/>
      <c r="E293" s="135" t="s">
        <v>1742</v>
      </c>
      <c r="F293" s="131" t="s">
        <v>1673</v>
      </c>
      <c r="G293" s="131" t="e">
        <v>#VALUE!</v>
      </c>
      <c r="H293" s="173">
        <v>-1</v>
      </c>
      <c r="I293" s="173"/>
      <c r="J293" s="173"/>
      <c r="K293" s="173" t="e">
        <f>_xll.GetCtData("COAMOUNT","CONSAMOUNT",$A$1:$A$8,$A293:$B293,,"#Erreur de syntaxe : Expression incomplète")/10^3*$H293</f>
        <v>#VALUE!</v>
      </c>
      <c r="L293" s="173" t="e">
        <f>_xll.GetCtData("COAMOUNT","CONSAMOUNT",$A$1:$A$8,$A293:$B293,,"#Erreur de syntaxe : Expression incomplète")/10^3*$H293</f>
        <v>#VALUE!</v>
      </c>
      <c r="N293" s="173" t="e">
        <f>_xll.GetCtData("COAMOUNT","CONSAMOUNT",$A$1:$A$8,$A293:$B293,,"#Erreur de syntaxe : Expression incomplète")/10^3*$H293</f>
        <v>#VALUE!</v>
      </c>
      <c r="P293" s="173" t="e">
        <f t="shared" si="20"/>
        <v>#VALUE!</v>
      </c>
    </row>
    <row r="294" spans="1:16" s="115" customFormat="1" ht="12" hidden="1" outlineLevel="3" thickBot="1">
      <c r="A294" s="115" t="str">
        <f t="shared" si="18"/>
        <v>P39702000V</v>
      </c>
      <c r="B294" s="115" t="str">
        <f t="shared" si="19"/>
        <v>F53</v>
      </c>
      <c r="C294" s="135" t="s">
        <v>1750</v>
      </c>
      <c r="D294" s="135"/>
      <c r="E294" s="135" t="s">
        <v>1751</v>
      </c>
      <c r="F294" s="131" t="s">
        <v>1673</v>
      </c>
      <c r="G294" s="131" t="e">
        <v>#VALUE!</v>
      </c>
      <c r="H294" s="173">
        <v>-1</v>
      </c>
      <c r="I294" s="173"/>
      <c r="J294" s="173"/>
      <c r="K294" s="173" t="e">
        <f>_xll.GetCtData("COAMOUNT","CONSAMOUNT",$A$1:$A$8,$A294:$B294,,"#Erreur de syntaxe : Expression incomplète")/10^3*$H294</f>
        <v>#VALUE!</v>
      </c>
      <c r="L294" s="173" t="e">
        <f>_xll.GetCtData("COAMOUNT","CONSAMOUNT",$A$1:$A$8,$A294:$B294,,"#Erreur de syntaxe : Expression incomplète")/10^3*$H294</f>
        <v>#VALUE!</v>
      </c>
      <c r="N294" s="173" t="e">
        <f>_xll.GetCtData("COAMOUNT","CONSAMOUNT",$A$1:$A$8,$A294:$B294,,"#Erreur de syntaxe : Expression incomplète")/10^3*$H294</f>
        <v>#VALUE!</v>
      </c>
      <c r="P294" s="173" t="e">
        <f t="shared" si="20"/>
        <v>#VALUE!</v>
      </c>
    </row>
    <row r="295" spans="1:16" ht="12" hidden="1" customHeight="1" outlineLevel="3">
      <c r="A295" s="115"/>
      <c r="E295" s="174" t="s">
        <v>1570</v>
      </c>
      <c r="F295" s="158"/>
      <c r="G295" s="158"/>
      <c r="H295" s="158"/>
      <c r="I295" s="184" t="e">
        <f>SUM(I211:I294)/10^3-I210</f>
        <v>#VALUE!</v>
      </c>
      <c r="J295" s="184">
        <f>J229+J234+J293</f>
        <v>0</v>
      </c>
      <c r="K295" s="184" t="e">
        <f>K229+K234+K293</f>
        <v>#VALUE!</v>
      </c>
      <c r="L295" s="184" t="e">
        <f>L229+L234+L293</f>
        <v>#VALUE!</v>
      </c>
      <c r="N295" s="184" t="e">
        <f>N229+N234+N293</f>
        <v>#VALUE!</v>
      </c>
      <c r="P295" s="184" t="e">
        <f t="shared" si="20"/>
        <v>#VALUE!</v>
      </c>
    </row>
    <row r="296" spans="1:16" s="115" customFormat="1" ht="12" hidden="1" outlineLevel="2" collapsed="1" thickBot="1">
      <c r="A296" s="123" t="s">
        <v>1087</v>
      </c>
      <c r="C296" s="123" t="str">
        <f>A296</f>
        <v>FL=XRF702A</v>
      </c>
      <c r="D296" s="123"/>
      <c r="E296" s="181" t="s">
        <v>113</v>
      </c>
      <c r="F296" s="182"/>
      <c r="G296" s="182"/>
      <c r="H296" s="182"/>
      <c r="I296" s="182">
        <f>_xll.GetCtData("COAMOUNT","CONSAMOUNT",$A$1:$A$8,$A296,H$6,"#-14")/10^3</f>
        <v>-1.4E-2</v>
      </c>
      <c r="J296" s="182">
        <f>_xll.GetCtData("COAMOUNT","CONSAMOUNT",$A$1:$A$8,$A296,I$6,"#")/10^3</f>
        <v>0</v>
      </c>
      <c r="K296" s="182">
        <f>_xll.GetCtData("COAMOUNT","CONSAMOUNT",$A$1:$A$8,$A296,J$6,"#")/10^3</f>
        <v>0</v>
      </c>
      <c r="L296" s="182">
        <f>_xll.GetCtData("COAMOUNT","CONSAMOUNT",$A$1:$A$8,$A296,K$6,"#-14")/10^3</f>
        <v>-1.4E-2</v>
      </c>
      <c r="N296" s="182">
        <v>-132</v>
      </c>
      <c r="P296" s="182">
        <f t="shared" si="20"/>
        <v>-132.01400000000001</v>
      </c>
    </row>
    <row r="297" spans="1:16" s="115" customFormat="1" ht="12" hidden="1" outlineLevel="3" thickBot="1">
      <c r="A297" s="115" t="str">
        <f t="shared" ref="A297:A360" si="21">$C$1&amp;C297</f>
        <v>A39700000B</v>
      </c>
      <c r="B297" s="115" t="str">
        <f t="shared" ref="B297:B360" si="22">$C$2&amp;F297</f>
        <v>F01</v>
      </c>
      <c r="C297" s="135" t="s">
        <v>1690</v>
      </c>
      <c r="D297" s="135"/>
      <c r="E297" s="135" t="s">
        <v>1691</v>
      </c>
      <c r="F297" s="131" t="s">
        <v>1676</v>
      </c>
      <c r="G297" s="131" t="e">
        <v>#VALUE!</v>
      </c>
      <c r="H297" s="173">
        <v>1</v>
      </c>
      <c r="I297" s="173" t="e">
        <f>_xll.GetCtData("COAMOUNT","CONSAMOUNT",$A$1:$A$8,$A297:$B297,,"#Erreur de syntaxe : Expression incomplète")/10^3*$H297</f>
        <v>#VALUE!</v>
      </c>
      <c r="J297" s="173"/>
      <c r="K297" s="173"/>
      <c r="L297" s="173" t="e">
        <f>_xll.GetCtData("COAMOUNT","CONSAMOUNT",$A$1:$A$8,$A297:$B297,,"#Erreur de syntaxe : Expression incomplète")/10^3*$H297</f>
        <v>#VALUE!</v>
      </c>
      <c r="N297" s="173" t="e">
        <f>_xll.GetCtData("COAMOUNT","CONSAMOUNT",$A$1:$A$8,$A297:$B297,,"#Erreur de syntaxe : Expression incomplète")/10^3*$H297</f>
        <v>#VALUE!</v>
      </c>
      <c r="P297" s="173" t="e">
        <f t="shared" si="20"/>
        <v>#VALUE!</v>
      </c>
    </row>
    <row r="298" spans="1:16" s="115" customFormat="1" ht="12" hidden="1" outlineLevel="3" thickBot="1">
      <c r="A298" s="115" t="str">
        <f t="shared" si="21"/>
        <v>A39700100B</v>
      </c>
      <c r="B298" s="115" t="str">
        <f t="shared" si="22"/>
        <v>F01</v>
      </c>
      <c r="C298" s="135" t="s">
        <v>1714</v>
      </c>
      <c r="D298" s="135"/>
      <c r="E298" s="135" t="s">
        <v>1715</v>
      </c>
      <c r="F298" s="131" t="s">
        <v>1676</v>
      </c>
      <c r="G298" s="131" t="e">
        <v>#VALUE!</v>
      </c>
      <c r="H298" s="173">
        <v>1</v>
      </c>
      <c r="I298" s="173" t="e">
        <f>_xll.GetCtData("COAMOUNT","CONSAMOUNT",$A$1:$A$8,$A298:$B298,,"#Erreur de syntaxe : Expression incomplète")/10^3*$H298</f>
        <v>#VALUE!</v>
      </c>
      <c r="J298" s="173"/>
      <c r="K298" s="173"/>
      <c r="L298" s="173" t="e">
        <f>_xll.GetCtData("COAMOUNT","CONSAMOUNT",$A$1:$A$8,$A298:$B298,,"#Erreur de syntaxe : Expression incomplète")/10^3*$H298</f>
        <v>#VALUE!</v>
      </c>
      <c r="N298" s="173" t="e">
        <f>_xll.GetCtData("COAMOUNT","CONSAMOUNT",$A$1:$A$8,$A298:$B298,,"#Erreur de syntaxe : Expression incomplète")/10^3*$H298</f>
        <v>#VALUE!</v>
      </c>
      <c r="P298" s="173" t="e">
        <f t="shared" si="20"/>
        <v>#VALUE!</v>
      </c>
    </row>
    <row r="299" spans="1:16" s="115" customFormat="1" ht="12" hidden="1" outlineLevel="3" thickBot="1">
      <c r="A299" s="115" t="str">
        <f t="shared" si="21"/>
        <v>A39400000B</v>
      </c>
      <c r="B299" s="115" t="str">
        <f t="shared" si="22"/>
        <v>F01</v>
      </c>
      <c r="C299" s="135" t="s">
        <v>1708</v>
      </c>
      <c r="D299" s="135"/>
      <c r="E299" s="135" t="s">
        <v>1709</v>
      </c>
      <c r="F299" s="131" t="s">
        <v>1676</v>
      </c>
      <c r="G299" s="131" t="e">
        <v>#VALUE!</v>
      </c>
      <c r="H299" s="173">
        <v>1</v>
      </c>
      <c r="I299" s="173" t="e">
        <f>_xll.GetCtData("COAMOUNT","CONSAMOUNT",$A$1:$A$8,$A299:$B299,,"#Erreur de syntaxe : Expression incomplète")/10^3*$H299</f>
        <v>#VALUE!</v>
      </c>
      <c r="J299" s="173"/>
      <c r="K299" s="173"/>
      <c r="L299" s="173" t="e">
        <f>_xll.GetCtData("COAMOUNT","CONSAMOUNT",$A$1:$A$8,$A299:$B299,,"#Erreur de syntaxe : Expression incomplète")/10^3*$H299</f>
        <v>#VALUE!</v>
      </c>
      <c r="N299" s="173" t="e">
        <f>_xll.GetCtData("COAMOUNT","CONSAMOUNT",$A$1:$A$8,$A299:$B299,,"#Erreur de syntaxe : Expression incomplète")/10^3*$H299</f>
        <v>#VALUE!</v>
      </c>
      <c r="P299" s="173" t="e">
        <f t="shared" si="20"/>
        <v>#VALUE!</v>
      </c>
    </row>
    <row r="300" spans="1:16" s="115" customFormat="1" ht="12" hidden="1" outlineLevel="3" thickBot="1">
      <c r="A300" s="115" t="str">
        <f t="shared" si="21"/>
        <v>A39410000B</v>
      </c>
      <c r="B300" s="115" t="str">
        <f t="shared" si="22"/>
        <v>F01</v>
      </c>
      <c r="C300" s="135" t="s">
        <v>1726</v>
      </c>
      <c r="D300" s="135"/>
      <c r="E300" s="135" t="s">
        <v>1727</v>
      </c>
      <c r="F300" s="131" t="s">
        <v>1676</v>
      </c>
      <c r="G300" s="131" t="e">
        <v>#VALUE!</v>
      </c>
      <c r="H300" s="173">
        <v>1</v>
      </c>
      <c r="I300" s="173" t="e">
        <f>_xll.GetCtData("COAMOUNT","CONSAMOUNT",$A$1:$A$8,$A300:$B300,,"#Erreur de syntaxe : Expression incomplète")/10^3*$H300</f>
        <v>#VALUE!</v>
      </c>
      <c r="J300" s="173"/>
      <c r="K300" s="173"/>
      <c r="L300" s="173" t="e">
        <f>_xll.GetCtData("COAMOUNT","CONSAMOUNT",$A$1:$A$8,$A300:$B300,,"#Erreur de syntaxe : Expression incomplète")/10^3*$H300</f>
        <v>#VALUE!</v>
      </c>
      <c r="N300" s="173" t="e">
        <f>_xll.GetCtData("COAMOUNT","CONSAMOUNT",$A$1:$A$8,$A300:$B300,,"#Erreur de syntaxe : Expression incomplète")/10^3*$H300</f>
        <v>#VALUE!</v>
      </c>
      <c r="P300" s="173" t="e">
        <f t="shared" si="20"/>
        <v>#VALUE!</v>
      </c>
    </row>
    <row r="301" spans="1:16" s="115" customFormat="1" ht="12" hidden="1" outlineLevel="3" thickBot="1">
      <c r="A301" s="115" t="str">
        <f t="shared" si="21"/>
        <v>A39700000V</v>
      </c>
      <c r="B301" s="115" t="str">
        <f t="shared" si="22"/>
        <v>F01</v>
      </c>
      <c r="C301" s="135" t="s">
        <v>1693</v>
      </c>
      <c r="D301" s="135"/>
      <c r="E301" s="135" t="s">
        <v>1694</v>
      </c>
      <c r="F301" s="131" t="s">
        <v>1676</v>
      </c>
      <c r="G301" s="131" t="e">
        <v>#VALUE!</v>
      </c>
      <c r="H301" s="173">
        <v>1</v>
      </c>
      <c r="I301" s="173" t="e">
        <f>_xll.GetCtData("COAMOUNT","CONSAMOUNT",$A$1:$A$8,$A301:$B301,,"#Erreur de syntaxe : Expression incomplète")/10^3*$H301</f>
        <v>#VALUE!</v>
      </c>
      <c r="J301" s="173"/>
      <c r="K301" s="173"/>
      <c r="L301" s="173" t="e">
        <f>_xll.GetCtData("COAMOUNT","CONSAMOUNT",$A$1:$A$8,$A301:$B301,,"#Erreur de syntaxe : Expression incomplète")/10^3*$H301</f>
        <v>#VALUE!</v>
      </c>
      <c r="N301" s="173" t="e">
        <f>_xll.GetCtData("COAMOUNT","CONSAMOUNT",$A$1:$A$8,$A301:$B301,,"#Erreur de syntaxe : Expression incomplète")/10^3*$H301</f>
        <v>#VALUE!</v>
      </c>
      <c r="P301" s="173" t="e">
        <f t="shared" si="20"/>
        <v>#VALUE!</v>
      </c>
    </row>
    <row r="302" spans="1:16" s="115" customFormat="1" ht="12" hidden="1" outlineLevel="3" thickBot="1">
      <c r="A302" s="115" t="str">
        <f t="shared" si="21"/>
        <v>A39700100V</v>
      </c>
      <c r="B302" s="115" t="str">
        <f t="shared" si="22"/>
        <v>F01</v>
      </c>
      <c r="C302" s="135" t="s">
        <v>1717</v>
      </c>
      <c r="D302" s="135"/>
      <c r="E302" s="135" t="s">
        <v>1718</v>
      </c>
      <c r="F302" s="131" t="s">
        <v>1676</v>
      </c>
      <c r="G302" s="131" t="e">
        <v>#VALUE!</v>
      </c>
      <c r="H302" s="173">
        <v>1</v>
      </c>
      <c r="I302" s="173" t="e">
        <f>_xll.GetCtData("COAMOUNT","CONSAMOUNT",$A$1:$A$8,$A302:$B302,,"#Erreur de syntaxe : Expression incomplète")/10^3*$H302</f>
        <v>#VALUE!</v>
      </c>
      <c r="J302" s="173"/>
      <c r="K302" s="173"/>
      <c r="L302" s="173" t="e">
        <f>_xll.GetCtData("COAMOUNT","CONSAMOUNT",$A$1:$A$8,$A302:$B302,,"#Erreur de syntaxe : Expression incomplète")/10^3*$H302</f>
        <v>#VALUE!</v>
      </c>
      <c r="N302" s="173" t="e">
        <f>_xll.GetCtData("COAMOUNT","CONSAMOUNT",$A$1:$A$8,$A302:$B302,,"#Erreur de syntaxe : Expression incomplète")/10^3*$H302</f>
        <v>#VALUE!</v>
      </c>
      <c r="P302" s="173" t="e">
        <f t="shared" si="20"/>
        <v>#VALUE!</v>
      </c>
    </row>
    <row r="303" spans="1:16" s="115" customFormat="1" ht="12" hidden="1" outlineLevel="3" thickBot="1">
      <c r="A303" s="115" t="str">
        <f t="shared" si="21"/>
        <v>A39400000V</v>
      </c>
      <c r="B303" s="115" t="str">
        <f t="shared" si="22"/>
        <v>F01</v>
      </c>
      <c r="C303" s="135" t="s">
        <v>1711</v>
      </c>
      <c r="D303" s="135"/>
      <c r="E303" s="135" t="s">
        <v>1712</v>
      </c>
      <c r="F303" s="131" t="s">
        <v>1676</v>
      </c>
      <c r="G303" s="131" t="e">
        <v>#VALUE!</v>
      </c>
      <c r="H303" s="173">
        <v>1</v>
      </c>
      <c r="I303" s="173" t="e">
        <f>_xll.GetCtData("COAMOUNT","CONSAMOUNT",$A$1:$A$8,$A303:$B303,,"#Erreur de syntaxe : Expression incomplète")/10^3*$H303</f>
        <v>#VALUE!</v>
      </c>
      <c r="J303" s="173"/>
      <c r="K303" s="173"/>
      <c r="L303" s="173" t="e">
        <f>_xll.GetCtData("COAMOUNT","CONSAMOUNT",$A$1:$A$8,$A303:$B303,,"#Erreur de syntaxe : Expression incomplète")/10^3*$H303</f>
        <v>#VALUE!</v>
      </c>
      <c r="N303" s="173" t="e">
        <f>_xll.GetCtData("COAMOUNT","CONSAMOUNT",$A$1:$A$8,$A303:$B303,,"#Erreur de syntaxe : Expression incomplète")/10^3*$H303</f>
        <v>#VALUE!</v>
      </c>
      <c r="P303" s="173" t="e">
        <f t="shared" si="20"/>
        <v>#VALUE!</v>
      </c>
    </row>
    <row r="304" spans="1:16" s="115" customFormat="1" ht="12" hidden="1" outlineLevel="3" thickBot="1">
      <c r="A304" s="115" t="str">
        <f t="shared" si="21"/>
        <v>A39410000V</v>
      </c>
      <c r="B304" s="115" t="str">
        <f t="shared" si="22"/>
        <v>F01</v>
      </c>
      <c r="C304" s="135" t="s">
        <v>1729</v>
      </c>
      <c r="D304" s="135"/>
      <c r="E304" s="135" t="s">
        <v>1730</v>
      </c>
      <c r="F304" s="131" t="s">
        <v>1676</v>
      </c>
      <c r="G304" s="131" t="e">
        <v>#VALUE!</v>
      </c>
      <c r="H304" s="173">
        <v>1</v>
      </c>
      <c r="I304" s="173" t="e">
        <f>_xll.GetCtData("COAMOUNT","CONSAMOUNT",$A$1:$A$8,$A304:$B304,,"#Erreur de syntaxe : Expression incomplète")/10^3*$H304</f>
        <v>#VALUE!</v>
      </c>
      <c r="J304" s="173"/>
      <c r="K304" s="173"/>
      <c r="L304" s="173" t="e">
        <f>_xll.GetCtData("COAMOUNT","CONSAMOUNT",$A$1:$A$8,$A304:$B304,,"#Erreur de syntaxe : Expression incomplète")/10^3*$H304</f>
        <v>#VALUE!</v>
      </c>
      <c r="N304" s="173" t="e">
        <f>_xll.GetCtData("COAMOUNT","CONSAMOUNT",$A$1:$A$8,$A304:$B304,,"#Erreur de syntaxe : Expression incomplète")/10^3*$H304</f>
        <v>#VALUE!</v>
      </c>
      <c r="P304" s="173" t="e">
        <f t="shared" si="20"/>
        <v>#VALUE!</v>
      </c>
    </row>
    <row r="305" spans="1:16" s="115" customFormat="1" ht="12" hidden="1" outlineLevel="3" thickBot="1">
      <c r="A305" s="115" t="str">
        <f t="shared" si="21"/>
        <v>P39700000B</v>
      </c>
      <c r="B305" s="115" t="str">
        <f t="shared" si="22"/>
        <v>F01</v>
      </c>
      <c r="C305" s="135" t="s">
        <v>1738</v>
      </c>
      <c r="D305" s="135"/>
      <c r="E305" s="135" t="s">
        <v>1739</v>
      </c>
      <c r="F305" s="131" t="s">
        <v>1676</v>
      </c>
      <c r="G305" s="131" t="e">
        <v>#VALUE!</v>
      </c>
      <c r="H305" s="173">
        <v>-1</v>
      </c>
      <c r="I305" s="173" t="e">
        <f>_xll.GetCtData("COAMOUNT","CONSAMOUNT",$A$1:$A$8,$A305:$B305,,"#Erreur de syntaxe : Expression incomplète")/10^3*$H305</f>
        <v>#VALUE!</v>
      </c>
      <c r="J305" s="173"/>
      <c r="K305" s="173"/>
      <c r="L305" s="173" t="e">
        <f>_xll.GetCtData("COAMOUNT","CONSAMOUNT",$A$1:$A$8,$A305:$B305,,"#Erreur de syntaxe : Expression incomplète")/10^3*$H305</f>
        <v>#VALUE!</v>
      </c>
      <c r="N305" s="173" t="e">
        <f>_xll.GetCtData("COAMOUNT","CONSAMOUNT",$A$1:$A$8,$A305:$B305,,"#Erreur de syntaxe : Expression incomplète")/10^3*$H305</f>
        <v>#VALUE!</v>
      </c>
      <c r="P305" s="173" t="e">
        <f t="shared" si="20"/>
        <v>#VALUE!</v>
      </c>
    </row>
    <row r="306" spans="1:16" s="115" customFormat="1" ht="12" hidden="1" outlineLevel="3" thickBot="1">
      <c r="A306" s="115" t="str">
        <f t="shared" si="21"/>
        <v>P39700100B</v>
      </c>
      <c r="B306" s="115" t="str">
        <f t="shared" si="22"/>
        <v>F01</v>
      </c>
      <c r="C306" s="135" t="s">
        <v>1141</v>
      </c>
      <c r="D306" s="135"/>
      <c r="E306" s="135" t="s">
        <v>1142</v>
      </c>
      <c r="F306" s="131" t="s">
        <v>1676</v>
      </c>
      <c r="G306" s="131" t="e">
        <v>#VALUE!</v>
      </c>
      <c r="H306" s="173">
        <v>-1</v>
      </c>
      <c r="I306" s="173" t="e">
        <f>_xll.GetCtData("COAMOUNT","CONSAMOUNT",$A$1:$A$8,$A306:$B306,,"#Erreur de syntaxe : Expression incomplète")/10^3*$H306</f>
        <v>#VALUE!</v>
      </c>
      <c r="J306" s="173"/>
      <c r="K306" s="173"/>
      <c r="L306" s="173" t="e">
        <f>_xll.GetCtData("COAMOUNT","CONSAMOUNT",$A$1:$A$8,$A306:$B306,,"#Erreur de syntaxe : Expression incomplète")/10^3*$H306</f>
        <v>#VALUE!</v>
      </c>
      <c r="N306" s="173" t="e">
        <f>_xll.GetCtData("COAMOUNT","CONSAMOUNT",$A$1:$A$8,$A306:$B306,,"#Erreur de syntaxe : Expression incomplète")/10^3*$H306</f>
        <v>#VALUE!</v>
      </c>
      <c r="P306" s="173" t="e">
        <f t="shared" si="20"/>
        <v>#VALUE!</v>
      </c>
    </row>
    <row r="307" spans="1:16" s="115" customFormat="1" ht="12" hidden="1" outlineLevel="3" thickBot="1">
      <c r="A307" s="115" t="str">
        <f t="shared" si="21"/>
        <v>P39400000B</v>
      </c>
      <c r="B307" s="115" t="str">
        <f t="shared" si="22"/>
        <v>F01</v>
      </c>
      <c r="C307" s="135" t="s">
        <v>1744</v>
      </c>
      <c r="D307" s="135"/>
      <c r="E307" s="135" t="s">
        <v>1745</v>
      </c>
      <c r="F307" s="131" t="s">
        <v>1676</v>
      </c>
      <c r="G307" s="131" t="e">
        <v>#VALUE!</v>
      </c>
      <c r="H307" s="173">
        <v>-1</v>
      </c>
      <c r="I307" s="173" t="e">
        <f>_xll.GetCtData("COAMOUNT","CONSAMOUNT",$A$1:$A$8,$A307:$B307,,"#Erreur de syntaxe : Expression incomplète")/10^3*$H307</f>
        <v>#VALUE!</v>
      </c>
      <c r="J307" s="173"/>
      <c r="K307" s="173"/>
      <c r="L307" s="173" t="e">
        <f>_xll.GetCtData("COAMOUNT","CONSAMOUNT",$A$1:$A$8,$A307:$B307,,"#Erreur de syntaxe : Expression incomplète")/10^3*$H307</f>
        <v>#VALUE!</v>
      </c>
      <c r="N307" s="173" t="e">
        <f>_xll.GetCtData("COAMOUNT","CONSAMOUNT",$A$1:$A$8,$A307:$B307,,"#Erreur de syntaxe : Expression incomplète")/10^3*$H307</f>
        <v>#VALUE!</v>
      </c>
      <c r="P307" s="173" t="e">
        <f t="shared" si="20"/>
        <v>#VALUE!</v>
      </c>
    </row>
    <row r="308" spans="1:16" s="115" customFormat="1" ht="12" hidden="1" outlineLevel="3" thickBot="1">
      <c r="A308" s="115" t="str">
        <f t="shared" si="21"/>
        <v>P39410000B</v>
      </c>
      <c r="B308" s="115" t="str">
        <f t="shared" si="22"/>
        <v>F01</v>
      </c>
      <c r="C308" s="135" t="s">
        <v>1143</v>
      </c>
      <c r="D308" s="135"/>
      <c r="E308" s="135" t="s">
        <v>1144</v>
      </c>
      <c r="F308" s="131" t="s">
        <v>1676</v>
      </c>
      <c r="G308" s="131" t="e">
        <v>#VALUE!</v>
      </c>
      <c r="H308" s="173">
        <v>-1</v>
      </c>
      <c r="I308" s="173" t="e">
        <f>_xll.GetCtData("COAMOUNT","CONSAMOUNT",$A$1:$A$8,$A308:$B308,,"#Erreur de syntaxe : Expression incomplète")/10^3*$H308</f>
        <v>#VALUE!</v>
      </c>
      <c r="J308" s="173"/>
      <c r="K308" s="173"/>
      <c r="L308" s="173" t="e">
        <f>_xll.GetCtData("COAMOUNT","CONSAMOUNT",$A$1:$A$8,$A308:$B308,,"#Erreur de syntaxe : Expression incomplète")/10^3*$H308</f>
        <v>#VALUE!</v>
      </c>
      <c r="N308" s="173" t="e">
        <f>_xll.GetCtData("COAMOUNT","CONSAMOUNT",$A$1:$A$8,$A308:$B308,,"#Erreur de syntaxe : Expression incomplète")/10^3*$H308</f>
        <v>#VALUE!</v>
      </c>
      <c r="P308" s="173" t="e">
        <f t="shared" si="20"/>
        <v>#VALUE!</v>
      </c>
    </row>
    <row r="309" spans="1:16" s="115" customFormat="1" ht="12" hidden="1" outlineLevel="3" thickBot="1">
      <c r="A309" s="115" t="str">
        <f t="shared" si="21"/>
        <v>P39700000V</v>
      </c>
      <c r="B309" s="115" t="str">
        <f t="shared" si="22"/>
        <v>F01</v>
      </c>
      <c r="C309" s="135" t="s">
        <v>1747</v>
      </c>
      <c r="D309" s="135"/>
      <c r="E309" s="135" t="s">
        <v>1748</v>
      </c>
      <c r="F309" s="131" t="s">
        <v>1676</v>
      </c>
      <c r="G309" s="131" t="e">
        <v>#VALUE!</v>
      </c>
      <c r="H309" s="173">
        <v>-1</v>
      </c>
      <c r="I309" s="173" t="e">
        <f>_xll.GetCtData("COAMOUNT","CONSAMOUNT",$A$1:$A$8,$A309:$B309,,"#Erreur de syntaxe : Expression incomplète")/10^3*$H309</f>
        <v>#VALUE!</v>
      </c>
      <c r="J309" s="173"/>
      <c r="K309" s="173"/>
      <c r="L309" s="173" t="e">
        <f>_xll.GetCtData("COAMOUNT","CONSAMOUNT",$A$1:$A$8,$A309:$B309,,"#Erreur de syntaxe : Expression incomplète")/10^3*$H309</f>
        <v>#VALUE!</v>
      </c>
      <c r="N309" s="173" t="e">
        <f>_xll.GetCtData("COAMOUNT","CONSAMOUNT",$A$1:$A$8,$A309:$B309,,"#Erreur de syntaxe : Expression incomplète")/10^3*$H309</f>
        <v>#VALUE!</v>
      </c>
      <c r="P309" s="173" t="e">
        <f t="shared" si="20"/>
        <v>#VALUE!</v>
      </c>
    </row>
    <row r="310" spans="1:16" s="115" customFormat="1" ht="12" hidden="1" outlineLevel="3" thickBot="1">
      <c r="A310" s="115" t="str">
        <f t="shared" si="21"/>
        <v>P39700100V</v>
      </c>
      <c r="B310" s="115" t="str">
        <f t="shared" si="22"/>
        <v>F01</v>
      </c>
      <c r="C310" s="135" t="s">
        <v>1135</v>
      </c>
      <c r="D310" s="135"/>
      <c r="E310" s="135" t="s">
        <v>1136</v>
      </c>
      <c r="F310" s="131" t="s">
        <v>1676</v>
      </c>
      <c r="G310" s="131" t="e">
        <v>#VALUE!</v>
      </c>
      <c r="H310" s="173">
        <v>-1</v>
      </c>
      <c r="I310" s="173" t="e">
        <f>_xll.GetCtData("COAMOUNT","CONSAMOUNT",$A$1:$A$8,$A310:$B310,,"#Erreur de syntaxe : Expression incomplète")/10^3*$H310</f>
        <v>#VALUE!</v>
      </c>
      <c r="J310" s="173"/>
      <c r="K310" s="173"/>
      <c r="L310" s="173" t="e">
        <f>_xll.GetCtData("COAMOUNT","CONSAMOUNT",$A$1:$A$8,$A310:$B310,,"#Erreur de syntaxe : Expression incomplète")/10^3*$H310</f>
        <v>#VALUE!</v>
      </c>
      <c r="N310" s="173" t="e">
        <f>_xll.GetCtData("COAMOUNT","CONSAMOUNT",$A$1:$A$8,$A310:$B310,,"#Erreur de syntaxe : Expression incomplète")/10^3*$H310</f>
        <v>#VALUE!</v>
      </c>
      <c r="P310" s="173" t="e">
        <f t="shared" si="20"/>
        <v>#VALUE!</v>
      </c>
    </row>
    <row r="311" spans="1:16" s="115" customFormat="1" ht="12" hidden="1" outlineLevel="3" thickBot="1">
      <c r="A311" s="115" t="str">
        <f t="shared" si="21"/>
        <v>P39400000V</v>
      </c>
      <c r="B311" s="115" t="str">
        <f t="shared" si="22"/>
        <v>F01</v>
      </c>
      <c r="C311" s="135" t="s">
        <v>1753</v>
      </c>
      <c r="D311" s="135"/>
      <c r="E311" s="135" t="s">
        <v>1754</v>
      </c>
      <c r="F311" s="131" t="s">
        <v>1676</v>
      </c>
      <c r="G311" s="131" t="e">
        <v>#VALUE!</v>
      </c>
      <c r="H311" s="173">
        <v>-1</v>
      </c>
      <c r="I311" s="173" t="e">
        <f>_xll.GetCtData("COAMOUNT","CONSAMOUNT",$A$1:$A$8,$A311:$B311,,"#Erreur de syntaxe : Expression incomplète")/10^3*$H311</f>
        <v>#VALUE!</v>
      </c>
      <c r="J311" s="173"/>
      <c r="K311" s="173"/>
      <c r="L311" s="173" t="e">
        <f>_xll.GetCtData("COAMOUNT","CONSAMOUNT",$A$1:$A$8,$A311:$B311,,"#Erreur de syntaxe : Expression incomplète")/10^3*$H311</f>
        <v>#VALUE!</v>
      </c>
      <c r="N311" s="173" t="e">
        <f>_xll.GetCtData("COAMOUNT","CONSAMOUNT",$A$1:$A$8,$A311:$B311,,"#Erreur de syntaxe : Expression incomplète")/10^3*$H311</f>
        <v>#VALUE!</v>
      </c>
      <c r="P311" s="173" t="e">
        <f t="shared" si="20"/>
        <v>#VALUE!</v>
      </c>
    </row>
    <row r="312" spans="1:16" s="115" customFormat="1" ht="12" hidden="1" outlineLevel="3" thickBot="1">
      <c r="A312" s="115" t="str">
        <f t="shared" si="21"/>
        <v>P39410000V</v>
      </c>
      <c r="B312" s="115" t="str">
        <f t="shared" si="22"/>
        <v>F01</v>
      </c>
      <c r="C312" s="135" t="s">
        <v>1137</v>
      </c>
      <c r="D312" s="135"/>
      <c r="E312" s="135" t="s">
        <v>1138</v>
      </c>
      <c r="F312" s="131" t="s">
        <v>1676</v>
      </c>
      <c r="G312" s="131" t="e">
        <v>#VALUE!</v>
      </c>
      <c r="H312" s="173">
        <v>-1</v>
      </c>
      <c r="I312" s="173" t="e">
        <f>_xll.GetCtData("COAMOUNT","CONSAMOUNT",$A$1:$A$8,$A312:$B312,,"#Erreur de syntaxe : Expression incomplète")/10^3*$H312</f>
        <v>#VALUE!</v>
      </c>
      <c r="J312" s="173"/>
      <c r="K312" s="173"/>
      <c r="L312" s="173" t="e">
        <f>_xll.GetCtData("COAMOUNT","CONSAMOUNT",$A$1:$A$8,$A312:$B312,,"#Erreur de syntaxe : Expression incomplète")/10^3*$H312</f>
        <v>#VALUE!</v>
      </c>
      <c r="N312" s="173" t="e">
        <f>_xll.GetCtData("COAMOUNT","CONSAMOUNT",$A$1:$A$8,$A312:$B312,,"#Erreur de syntaxe : Expression incomplète")/10^3*$H312</f>
        <v>#VALUE!</v>
      </c>
      <c r="P312" s="173" t="e">
        <f t="shared" si="20"/>
        <v>#VALUE!</v>
      </c>
    </row>
    <row r="313" spans="1:16" s="115" customFormat="1" ht="12" hidden="1" outlineLevel="3" thickBot="1">
      <c r="A313" s="115" t="str">
        <f t="shared" si="21"/>
        <v>A39700000B</v>
      </c>
      <c r="B313" s="115" t="str">
        <f t="shared" si="22"/>
        <v>F89</v>
      </c>
      <c r="C313" s="135" t="s">
        <v>1690</v>
      </c>
      <c r="D313" s="135"/>
      <c r="E313" s="135" t="s">
        <v>1691</v>
      </c>
      <c r="F313" s="131" t="s">
        <v>148</v>
      </c>
      <c r="G313" s="131" t="e">
        <v>#VALUE!</v>
      </c>
      <c r="H313" s="173">
        <v>1</v>
      </c>
      <c r="I313" s="173" t="e">
        <f>_xll.GetCtData("COAMOUNT","CONSAMOUNT",$A$1:$A$8,$A313:$B313,,"#Erreur de syntaxe : Expression incomplète")/10^3*$H313</f>
        <v>#VALUE!</v>
      </c>
      <c r="J313" s="173"/>
      <c r="K313" s="173"/>
      <c r="L313" s="173" t="e">
        <f>_xll.GetCtData("COAMOUNT","CONSAMOUNT",$A$1:$A$8,$A313:$B313,,"#Erreur de syntaxe : Expression incomplète")/10^3*$H313</f>
        <v>#VALUE!</v>
      </c>
      <c r="N313" s="173" t="e">
        <f>_xll.GetCtData("COAMOUNT","CONSAMOUNT",$A$1:$A$8,$A313:$B313,,"#Erreur de syntaxe : Expression incomplète")/10^3*$H313</f>
        <v>#VALUE!</v>
      </c>
      <c r="P313" s="173" t="e">
        <f t="shared" si="20"/>
        <v>#VALUE!</v>
      </c>
    </row>
    <row r="314" spans="1:16" s="115" customFormat="1" ht="12" hidden="1" outlineLevel="3" thickBot="1">
      <c r="A314" s="115" t="str">
        <f t="shared" si="21"/>
        <v>A39700100B</v>
      </c>
      <c r="B314" s="115" t="str">
        <f t="shared" si="22"/>
        <v>F89</v>
      </c>
      <c r="C314" s="135" t="s">
        <v>1714</v>
      </c>
      <c r="D314" s="135"/>
      <c r="E314" s="135" t="s">
        <v>1715</v>
      </c>
      <c r="F314" s="131" t="s">
        <v>148</v>
      </c>
      <c r="G314" s="131" t="e">
        <v>#VALUE!</v>
      </c>
      <c r="H314" s="173">
        <v>1</v>
      </c>
      <c r="I314" s="173" t="e">
        <f>_xll.GetCtData("COAMOUNT","CONSAMOUNT",$A$1:$A$8,$A314:$B314,,"#Erreur de syntaxe : Expression incomplète")/10^3*$H314</f>
        <v>#VALUE!</v>
      </c>
      <c r="J314" s="173"/>
      <c r="K314" s="173"/>
      <c r="L314" s="173" t="e">
        <f>_xll.GetCtData("COAMOUNT","CONSAMOUNT",$A$1:$A$8,$A314:$B314,,"#Erreur de syntaxe : Expression incomplète")/10^3*$H314</f>
        <v>#VALUE!</v>
      </c>
      <c r="N314" s="173" t="e">
        <f>_xll.GetCtData("COAMOUNT","CONSAMOUNT",$A$1:$A$8,$A314:$B314,,"#Erreur de syntaxe : Expression incomplète")/10^3*$H314</f>
        <v>#VALUE!</v>
      </c>
      <c r="P314" s="173" t="e">
        <f t="shared" si="20"/>
        <v>#VALUE!</v>
      </c>
    </row>
    <row r="315" spans="1:16" s="115" customFormat="1" ht="12" hidden="1" outlineLevel="3" thickBot="1">
      <c r="A315" s="115" t="str">
        <f t="shared" si="21"/>
        <v>A39400000B</v>
      </c>
      <c r="B315" s="115" t="str">
        <f t="shared" si="22"/>
        <v>F89</v>
      </c>
      <c r="C315" s="135" t="s">
        <v>1708</v>
      </c>
      <c r="D315" s="135"/>
      <c r="E315" s="135" t="s">
        <v>1709</v>
      </c>
      <c r="F315" s="131" t="s">
        <v>148</v>
      </c>
      <c r="G315" s="131" t="e">
        <v>#VALUE!</v>
      </c>
      <c r="H315" s="173">
        <v>1</v>
      </c>
      <c r="I315" s="173" t="e">
        <f>_xll.GetCtData("COAMOUNT","CONSAMOUNT",$A$1:$A$8,$A315:$B315,,"#Erreur de syntaxe : Expression incomplète")/10^3*$H315</f>
        <v>#VALUE!</v>
      </c>
      <c r="J315" s="173"/>
      <c r="K315" s="173"/>
      <c r="L315" s="173" t="e">
        <f>_xll.GetCtData("COAMOUNT","CONSAMOUNT",$A$1:$A$8,$A315:$B315,,"#Erreur de syntaxe : Expression incomplète")/10^3*$H315</f>
        <v>#VALUE!</v>
      </c>
      <c r="N315" s="173" t="e">
        <f>_xll.GetCtData("COAMOUNT","CONSAMOUNT",$A$1:$A$8,$A315:$B315,,"#Erreur de syntaxe : Expression incomplète")/10^3*$H315</f>
        <v>#VALUE!</v>
      </c>
      <c r="P315" s="173" t="e">
        <f t="shared" si="20"/>
        <v>#VALUE!</v>
      </c>
    </row>
    <row r="316" spans="1:16" s="115" customFormat="1" ht="12" hidden="1" outlineLevel="3" thickBot="1">
      <c r="A316" s="115" t="str">
        <f t="shared" si="21"/>
        <v>A39410000B</v>
      </c>
      <c r="B316" s="115" t="str">
        <f t="shared" si="22"/>
        <v>F89</v>
      </c>
      <c r="C316" s="135" t="s">
        <v>1726</v>
      </c>
      <c r="D316" s="135"/>
      <c r="E316" s="135" t="s">
        <v>1727</v>
      </c>
      <c r="F316" s="131" t="s">
        <v>148</v>
      </c>
      <c r="G316" s="131" t="e">
        <v>#VALUE!</v>
      </c>
      <c r="H316" s="173">
        <v>1</v>
      </c>
      <c r="I316" s="173" t="e">
        <f>_xll.GetCtData("COAMOUNT","CONSAMOUNT",$A$1:$A$8,$A316:$B316,,"#Erreur de syntaxe : Expression incomplète")/10^3*$H316</f>
        <v>#VALUE!</v>
      </c>
      <c r="J316" s="173"/>
      <c r="K316" s="173"/>
      <c r="L316" s="173" t="e">
        <f>_xll.GetCtData("COAMOUNT","CONSAMOUNT",$A$1:$A$8,$A316:$B316,,"#Erreur de syntaxe : Expression incomplète")/10^3*$H316</f>
        <v>#VALUE!</v>
      </c>
      <c r="N316" s="173" t="e">
        <f>_xll.GetCtData("COAMOUNT","CONSAMOUNT",$A$1:$A$8,$A316:$B316,,"#Erreur de syntaxe : Expression incomplète")/10^3*$H316</f>
        <v>#VALUE!</v>
      </c>
      <c r="P316" s="173" t="e">
        <f t="shared" si="20"/>
        <v>#VALUE!</v>
      </c>
    </row>
    <row r="317" spans="1:16" s="115" customFormat="1" ht="12" hidden="1" outlineLevel="3" thickBot="1">
      <c r="A317" s="115" t="str">
        <f t="shared" si="21"/>
        <v>A39700000V</v>
      </c>
      <c r="B317" s="115" t="str">
        <f t="shared" si="22"/>
        <v>F89</v>
      </c>
      <c r="C317" s="135" t="s">
        <v>1693</v>
      </c>
      <c r="D317" s="135"/>
      <c r="E317" s="135" t="s">
        <v>1694</v>
      </c>
      <c r="F317" s="131" t="s">
        <v>148</v>
      </c>
      <c r="G317" s="131" t="e">
        <v>#VALUE!</v>
      </c>
      <c r="H317" s="173">
        <v>1</v>
      </c>
      <c r="I317" s="173" t="e">
        <f>_xll.GetCtData("COAMOUNT","CONSAMOUNT",$A$1:$A$8,$A317:$B317,,"#Erreur de syntaxe : Expression incomplète")/10^3*$H317</f>
        <v>#VALUE!</v>
      </c>
      <c r="J317" s="173"/>
      <c r="K317" s="173"/>
      <c r="L317" s="173" t="e">
        <f>_xll.GetCtData("COAMOUNT","CONSAMOUNT",$A$1:$A$8,$A317:$B317,,"#Erreur de syntaxe : Expression incomplète")/10^3*$H317</f>
        <v>#VALUE!</v>
      </c>
      <c r="N317" s="173" t="e">
        <f>_xll.GetCtData("COAMOUNT","CONSAMOUNT",$A$1:$A$8,$A317:$B317,,"#Erreur de syntaxe : Expression incomplète")/10^3*$H317</f>
        <v>#VALUE!</v>
      </c>
      <c r="P317" s="173" t="e">
        <f t="shared" si="20"/>
        <v>#VALUE!</v>
      </c>
    </row>
    <row r="318" spans="1:16" s="115" customFormat="1" ht="12" hidden="1" outlineLevel="3" thickBot="1">
      <c r="A318" s="115" t="str">
        <f t="shared" si="21"/>
        <v>A39700100V</v>
      </c>
      <c r="B318" s="115" t="str">
        <f t="shared" si="22"/>
        <v>F89</v>
      </c>
      <c r="C318" s="135" t="s">
        <v>1717</v>
      </c>
      <c r="D318" s="135"/>
      <c r="E318" s="135" t="s">
        <v>1718</v>
      </c>
      <c r="F318" s="131" t="s">
        <v>148</v>
      </c>
      <c r="G318" s="131" t="e">
        <v>#VALUE!</v>
      </c>
      <c r="H318" s="173">
        <v>1</v>
      </c>
      <c r="I318" s="173" t="e">
        <f>_xll.GetCtData("COAMOUNT","CONSAMOUNT",$A$1:$A$8,$A318:$B318,,"#Erreur de syntaxe : Expression incomplète")/10^3*$H318</f>
        <v>#VALUE!</v>
      </c>
      <c r="J318" s="173"/>
      <c r="K318" s="173"/>
      <c r="L318" s="173" t="e">
        <f>_xll.GetCtData("COAMOUNT","CONSAMOUNT",$A$1:$A$8,$A318:$B318,,"#Erreur de syntaxe : Expression incomplète")/10^3*$H318</f>
        <v>#VALUE!</v>
      </c>
      <c r="N318" s="173" t="e">
        <f>_xll.GetCtData("COAMOUNT","CONSAMOUNT",$A$1:$A$8,$A318:$B318,,"#Erreur de syntaxe : Expression incomplète")/10^3*$H318</f>
        <v>#VALUE!</v>
      </c>
      <c r="P318" s="173" t="e">
        <f t="shared" si="20"/>
        <v>#VALUE!</v>
      </c>
    </row>
    <row r="319" spans="1:16" s="115" customFormat="1" ht="12" hidden="1" outlineLevel="3" thickBot="1">
      <c r="A319" s="115" t="str">
        <f t="shared" si="21"/>
        <v>A39400000V</v>
      </c>
      <c r="B319" s="115" t="str">
        <f t="shared" si="22"/>
        <v>F89</v>
      </c>
      <c r="C319" s="135" t="s">
        <v>1711</v>
      </c>
      <c r="D319" s="135"/>
      <c r="E319" s="135" t="s">
        <v>1712</v>
      </c>
      <c r="F319" s="131" t="s">
        <v>148</v>
      </c>
      <c r="G319" s="131" t="e">
        <v>#VALUE!</v>
      </c>
      <c r="H319" s="173">
        <v>1</v>
      </c>
      <c r="I319" s="173" t="e">
        <f>_xll.GetCtData("COAMOUNT","CONSAMOUNT",$A$1:$A$8,$A319:$B319,,"#Erreur de syntaxe : Expression incomplète")/10^3*$H319</f>
        <v>#VALUE!</v>
      </c>
      <c r="J319" s="173"/>
      <c r="K319" s="173"/>
      <c r="L319" s="173" t="e">
        <f>_xll.GetCtData("COAMOUNT","CONSAMOUNT",$A$1:$A$8,$A319:$B319,,"#Erreur de syntaxe : Expression incomplète")/10^3*$H319</f>
        <v>#VALUE!</v>
      </c>
      <c r="N319" s="173" t="e">
        <f>_xll.GetCtData("COAMOUNT","CONSAMOUNT",$A$1:$A$8,$A319:$B319,,"#Erreur de syntaxe : Expression incomplète")/10^3*$H319</f>
        <v>#VALUE!</v>
      </c>
      <c r="P319" s="173" t="e">
        <f t="shared" si="20"/>
        <v>#VALUE!</v>
      </c>
    </row>
    <row r="320" spans="1:16" s="115" customFormat="1" ht="12" hidden="1" outlineLevel="3" thickBot="1">
      <c r="A320" s="115" t="str">
        <f t="shared" si="21"/>
        <v>A39410000V</v>
      </c>
      <c r="B320" s="115" t="str">
        <f t="shared" si="22"/>
        <v>F89</v>
      </c>
      <c r="C320" s="135" t="s">
        <v>1729</v>
      </c>
      <c r="D320" s="135"/>
      <c r="E320" s="135" t="s">
        <v>1730</v>
      </c>
      <c r="F320" s="131" t="s">
        <v>148</v>
      </c>
      <c r="G320" s="131" t="e">
        <v>#VALUE!</v>
      </c>
      <c r="H320" s="173">
        <v>1</v>
      </c>
      <c r="I320" s="173" t="e">
        <f>_xll.GetCtData("COAMOUNT","CONSAMOUNT",$A$1:$A$8,$A320:$B320,,"#Erreur de syntaxe : Expression incomplète")/10^3*$H320</f>
        <v>#VALUE!</v>
      </c>
      <c r="J320" s="173"/>
      <c r="K320" s="173"/>
      <c r="L320" s="173" t="e">
        <f>_xll.GetCtData("COAMOUNT","CONSAMOUNT",$A$1:$A$8,$A320:$B320,,"#Erreur de syntaxe : Expression incomplète")/10^3*$H320</f>
        <v>#VALUE!</v>
      </c>
      <c r="N320" s="173" t="e">
        <f>_xll.GetCtData("COAMOUNT","CONSAMOUNT",$A$1:$A$8,$A320:$B320,,"#Erreur de syntaxe : Expression incomplète")/10^3*$H320</f>
        <v>#VALUE!</v>
      </c>
      <c r="P320" s="173" t="e">
        <f t="shared" si="20"/>
        <v>#VALUE!</v>
      </c>
    </row>
    <row r="321" spans="1:16" s="115" customFormat="1" ht="12" hidden="1" outlineLevel="3" thickBot="1">
      <c r="A321" s="115" t="str">
        <f t="shared" si="21"/>
        <v>P39700000B</v>
      </c>
      <c r="B321" s="115" t="str">
        <f t="shared" si="22"/>
        <v>F89</v>
      </c>
      <c r="C321" s="135" t="s">
        <v>1738</v>
      </c>
      <c r="D321" s="135"/>
      <c r="E321" s="135" t="s">
        <v>1739</v>
      </c>
      <c r="F321" s="131" t="s">
        <v>148</v>
      </c>
      <c r="G321" s="131" t="e">
        <v>#VALUE!</v>
      </c>
      <c r="H321" s="173">
        <v>-1</v>
      </c>
      <c r="I321" s="173" t="e">
        <f>_xll.GetCtData("COAMOUNT","CONSAMOUNT",$A$1:$A$8,$A321:$B321,,"#Erreur de syntaxe : Expression incomplète")/10^3*$H321</f>
        <v>#VALUE!</v>
      </c>
      <c r="J321" s="173"/>
      <c r="K321" s="173"/>
      <c r="L321" s="173" t="e">
        <f>_xll.GetCtData("COAMOUNT","CONSAMOUNT",$A$1:$A$8,$A321:$B321,,"#Erreur de syntaxe : Expression incomplète")/10^3*$H321</f>
        <v>#VALUE!</v>
      </c>
      <c r="N321" s="173" t="e">
        <f>_xll.GetCtData("COAMOUNT","CONSAMOUNT",$A$1:$A$8,$A321:$B321,,"#Erreur de syntaxe : Expression incomplète")/10^3*$H321</f>
        <v>#VALUE!</v>
      </c>
      <c r="P321" s="173" t="e">
        <f t="shared" si="20"/>
        <v>#VALUE!</v>
      </c>
    </row>
    <row r="322" spans="1:16" s="115" customFormat="1" ht="12" hidden="1" outlineLevel="3" thickBot="1">
      <c r="A322" s="115" t="str">
        <f t="shared" si="21"/>
        <v>P39700100B</v>
      </c>
      <c r="B322" s="115" t="str">
        <f t="shared" si="22"/>
        <v>F89</v>
      </c>
      <c r="C322" s="135" t="s">
        <v>1141</v>
      </c>
      <c r="D322" s="135"/>
      <c r="E322" s="135" t="s">
        <v>1142</v>
      </c>
      <c r="F322" s="131" t="s">
        <v>148</v>
      </c>
      <c r="G322" s="131" t="e">
        <v>#VALUE!</v>
      </c>
      <c r="H322" s="173">
        <v>-1</v>
      </c>
      <c r="I322" s="173" t="e">
        <f>_xll.GetCtData("COAMOUNT","CONSAMOUNT",$A$1:$A$8,$A322:$B322,,"#Erreur de syntaxe : Expression incomplète")/10^3*$H322</f>
        <v>#VALUE!</v>
      </c>
      <c r="J322" s="173"/>
      <c r="K322" s="173"/>
      <c r="L322" s="173" t="e">
        <f>_xll.GetCtData("COAMOUNT","CONSAMOUNT",$A$1:$A$8,$A322:$B322,,"#Erreur de syntaxe : Expression incomplète")/10^3*$H322</f>
        <v>#VALUE!</v>
      </c>
      <c r="N322" s="173" t="e">
        <f>_xll.GetCtData("COAMOUNT","CONSAMOUNT",$A$1:$A$8,$A322:$B322,,"#Erreur de syntaxe : Expression incomplète")/10^3*$H322</f>
        <v>#VALUE!</v>
      </c>
      <c r="P322" s="173" t="e">
        <f t="shared" si="20"/>
        <v>#VALUE!</v>
      </c>
    </row>
    <row r="323" spans="1:16" s="115" customFormat="1" ht="12" hidden="1" outlineLevel="3" thickBot="1">
      <c r="A323" s="115" t="str">
        <f t="shared" si="21"/>
        <v>P39400000B</v>
      </c>
      <c r="B323" s="115" t="str">
        <f t="shared" si="22"/>
        <v>F89</v>
      </c>
      <c r="C323" s="135" t="s">
        <v>1744</v>
      </c>
      <c r="D323" s="135"/>
      <c r="E323" s="135" t="s">
        <v>1745</v>
      </c>
      <c r="F323" s="131" t="s">
        <v>148</v>
      </c>
      <c r="G323" s="131" t="e">
        <v>#VALUE!</v>
      </c>
      <c r="H323" s="173">
        <v>-1</v>
      </c>
      <c r="I323" s="173" t="e">
        <f>_xll.GetCtData("COAMOUNT","CONSAMOUNT",$A$1:$A$8,$A323:$B323,,"#Erreur de syntaxe : Expression incomplète")/10^3*$H323</f>
        <v>#VALUE!</v>
      </c>
      <c r="J323" s="173"/>
      <c r="K323" s="173"/>
      <c r="L323" s="173" t="e">
        <f>_xll.GetCtData("COAMOUNT","CONSAMOUNT",$A$1:$A$8,$A323:$B323,,"#Erreur de syntaxe : Expression incomplète")/10^3*$H323</f>
        <v>#VALUE!</v>
      </c>
      <c r="N323" s="173" t="e">
        <f>_xll.GetCtData("COAMOUNT","CONSAMOUNT",$A$1:$A$8,$A323:$B323,,"#Erreur de syntaxe : Expression incomplète")/10^3*$H323</f>
        <v>#VALUE!</v>
      </c>
      <c r="P323" s="173" t="e">
        <f t="shared" si="20"/>
        <v>#VALUE!</v>
      </c>
    </row>
    <row r="324" spans="1:16" s="115" customFormat="1" ht="12" hidden="1" outlineLevel="3" thickBot="1">
      <c r="A324" s="115" t="str">
        <f t="shared" si="21"/>
        <v>P39410000B</v>
      </c>
      <c r="B324" s="115" t="str">
        <f t="shared" si="22"/>
        <v>F89</v>
      </c>
      <c r="C324" s="135" t="s">
        <v>1143</v>
      </c>
      <c r="D324" s="135"/>
      <c r="E324" s="135" t="s">
        <v>1144</v>
      </c>
      <c r="F324" s="131" t="s">
        <v>148</v>
      </c>
      <c r="G324" s="131" t="e">
        <v>#VALUE!</v>
      </c>
      <c r="H324" s="173">
        <v>-1</v>
      </c>
      <c r="I324" s="173" t="e">
        <f>_xll.GetCtData("COAMOUNT","CONSAMOUNT",$A$1:$A$8,$A324:$B324,,"#Erreur de syntaxe : Expression incomplète")/10^3*$H324</f>
        <v>#VALUE!</v>
      </c>
      <c r="J324" s="173"/>
      <c r="K324" s="173"/>
      <c r="L324" s="173" t="e">
        <f>_xll.GetCtData("COAMOUNT","CONSAMOUNT",$A$1:$A$8,$A324:$B324,,"#Erreur de syntaxe : Expression incomplète")/10^3*$H324</f>
        <v>#VALUE!</v>
      </c>
      <c r="N324" s="173" t="e">
        <f>_xll.GetCtData("COAMOUNT","CONSAMOUNT",$A$1:$A$8,$A324:$B324,,"#Erreur de syntaxe : Expression incomplète")/10^3*$H324</f>
        <v>#VALUE!</v>
      </c>
      <c r="P324" s="173" t="e">
        <f t="shared" si="20"/>
        <v>#VALUE!</v>
      </c>
    </row>
    <row r="325" spans="1:16" s="115" customFormat="1" ht="12" hidden="1" outlineLevel="3" thickBot="1">
      <c r="A325" s="115" t="str">
        <f t="shared" si="21"/>
        <v>P39700000V</v>
      </c>
      <c r="B325" s="115" t="str">
        <f t="shared" si="22"/>
        <v>F89</v>
      </c>
      <c r="C325" s="135" t="s">
        <v>1747</v>
      </c>
      <c r="D325" s="135"/>
      <c r="E325" s="135" t="s">
        <v>1748</v>
      </c>
      <c r="F325" s="131" t="s">
        <v>148</v>
      </c>
      <c r="G325" s="131" t="e">
        <v>#VALUE!</v>
      </c>
      <c r="H325" s="173">
        <v>-1</v>
      </c>
      <c r="I325" s="173" t="e">
        <f>_xll.GetCtData("COAMOUNT","CONSAMOUNT",$A$1:$A$8,$A325:$B325,,"#Erreur de syntaxe : Expression incomplète")/10^3*$H325</f>
        <v>#VALUE!</v>
      </c>
      <c r="J325" s="173"/>
      <c r="K325" s="173"/>
      <c r="L325" s="173" t="e">
        <f>_xll.GetCtData("COAMOUNT","CONSAMOUNT",$A$1:$A$8,$A325:$B325,,"#Erreur de syntaxe : Expression incomplète")/10^3*$H325</f>
        <v>#VALUE!</v>
      </c>
      <c r="N325" s="173" t="e">
        <f>_xll.GetCtData("COAMOUNT","CONSAMOUNT",$A$1:$A$8,$A325:$B325,,"#Erreur de syntaxe : Expression incomplète")/10^3*$H325</f>
        <v>#VALUE!</v>
      </c>
      <c r="P325" s="173" t="e">
        <f t="shared" si="20"/>
        <v>#VALUE!</v>
      </c>
    </row>
    <row r="326" spans="1:16" s="115" customFormat="1" ht="12" hidden="1" outlineLevel="3" thickBot="1">
      <c r="A326" s="115" t="str">
        <f t="shared" si="21"/>
        <v>P39700100V</v>
      </c>
      <c r="B326" s="115" t="str">
        <f t="shared" si="22"/>
        <v>F89</v>
      </c>
      <c r="C326" s="135" t="s">
        <v>1135</v>
      </c>
      <c r="D326" s="135"/>
      <c r="E326" s="135" t="s">
        <v>1136</v>
      </c>
      <c r="F326" s="131" t="s">
        <v>148</v>
      </c>
      <c r="G326" s="131" t="e">
        <v>#VALUE!</v>
      </c>
      <c r="H326" s="173">
        <v>-1</v>
      </c>
      <c r="I326" s="173" t="e">
        <f>_xll.GetCtData("COAMOUNT","CONSAMOUNT",$A$1:$A$8,$A326:$B326,,"#Erreur de syntaxe : Expression incomplète")/10^3*$H326</f>
        <v>#VALUE!</v>
      </c>
      <c r="J326" s="173"/>
      <c r="K326" s="173"/>
      <c r="L326" s="173" t="e">
        <f>_xll.GetCtData("COAMOUNT","CONSAMOUNT",$A$1:$A$8,$A326:$B326,,"#Erreur de syntaxe : Expression incomplète")/10^3*$H326</f>
        <v>#VALUE!</v>
      </c>
      <c r="N326" s="173" t="e">
        <f>_xll.GetCtData("COAMOUNT","CONSAMOUNT",$A$1:$A$8,$A326:$B326,,"#Erreur de syntaxe : Expression incomplète")/10^3*$H326</f>
        <v>#VALUE!</v>
      </c>
      <c r="P326" s="173" t="e">
        <f t="shared" si="20"/>
        <v>#VALUE!</v>
      </c>
    </row>
    <row r="327" spans="1:16" s="115" customFormat="1" ht="12" hidden="1" outlineLevel="3" thickBot="1">
      <c r="A327" s="115" t="str">
        <f t="shared" si="21"/>
        <v>P39400000V</v>
      </c>
      <c r="B327" s="115" t="str">
        <f t="shared" si="22"/>
        <v>F89</v>
      </c>
      <c r="C327" s="135" t="s">
        <v>1753</v>
      </c>
      <c r="D327" s="135"/>
      <c r="E327" s="135" t="s">
        <v>1754</v>
      </c>
      <c r="F327" s="131" t="s">
        <v>148</v>
      </c>
      <c r="G327" s="131" t="e">
        <v>#VALUE!</v>
      </c>
      <c r="H327" s="173">
        <v>-1</v>
      </c>
      <c r="I327" s="173" t="e">
        <f>_xll.GetCtData("COAMOUNT","CONSAMOUNT",$A$1:$A$8,$A327:$B327,,"#Erreur de syntaxe : Expression incomplète")/10^3*$H327</f>
        <v>#VALUE!</v>
      </c>
      <c r="J327" s="173"/>
      <c r="K327" s="173"/>
      <c r="L327" s="173" t="e">
        <f>_xll.GetCtData("COAMOUNT","CONSAMOUNT",$A$1:$A$8,$A327:$B327,,"#Erreur de syntaxe : Expression incomplète")/10^3*$H327</f>
        <v>#VALUE!</v>
      </c>
      <c r="N327" s="173" t="e">
        <f>_xll.GetCtData("COAMOUNT","CONSAMOUNT",$A$1:$A$8,$A327:$B327,,"#Erreur de syntaxe : Expression incomplète")/10^3*$H327</f>
        <v>#VALUE!</v>
      </c>
      <c r="P327" s="173" t="e">
        <f t="shared" si="20"/>
        <v>#VALUE!</v>
      </c>
    </row>
    <row r="328" spans="1:16" s="115" customFormat="1" ht="12" hidden="1" outlineLevel="3" thickBot="1">
      <c r="A328" s="115" t="str">
        <f t="shared" si="21"/>
        <v>P39410000V</v>
      </c>
      <c r="B328" s="115" t="str">
        <f t="shared" si="22"/>
        <v>F89</v>
      </c>
      <c r="C328" s="135" t="s">
        <v>1137</v>
      </c>
      <c r="D328" s="135"/>
      <c r="E328" s="135" t="s">
        <v>1138</v>
      </c>
      <c r="F328" s="131" t="s">
        <v>148</v>
      </c>
      <c r="G328" s="131" t="e">
        <v>#VALUE!</v>
      </c>
      <c r="H328" s="173">
        <v>-1</v>
      </c>
      <c r="I328" s="173" t="e">
        <f>_xll.GetCtData("COAMOUNT","CONSAMOUNT",$A$1:$A$8,$A328:$B328,,"#Erreur de syntaxe : Expression incomplète")/10^3*$H328</f>
        <v>#VALUE!</v>
      </c>
      <c r="J328" s="173"/>
      <c r="K328" s="173"/>
      <c r="L328" s="173" t="e">
        <f>_xll.GetCtData("COAMOUNT","CONSAMOUNT",$A$1:$A$8,$A328:$B328,,"#Erreur de syntaxe : Expression incomplète")/10^3*$H328</f>
        <v>#VALUE!</v>
      </c>
      <c r="N328" s="173" t="e">
        <f>_xll.GetCtData("COAMOUNT","CONSAMOUNT",$A$1:$A$8,$A328:$B328,,"#Erreur de syntaxe : Expression incomplète")/10^3*$H328</f>
        <v>#VALUE!</v>
      </c>
      <c r="P328" s="173" t="e">
        <f t="shared" si="20"/>
        <v>#VALUE!</v>
      </c>
    </row>
    <row r="329" spans="1:16" s="115" customFormat="1" ht="12" hidden="1" outlineLevel="3" thickBot="1">
      <c r="A329" s="115" t="str">
        <f t="shared" si="21"/>
        <v>A39700000B</v>
      </c>
      <c r="B329" s="115" t="str">
        <f t="shared" si="22"/>
        <v>F90</v>
      </c>
      <c r="C329" s="135" t="s">
        <v>1690</v>
      </c>
      <c r="D329" s="135"/>
      <c r="E329" s="135" t="s">
        <v>1691</v>
      </c>
      <c r="F329" s="131" t="s">
        <v>150</v>
      </c>
      <c r="G329" s="131" t="e">
        <v>#VALUE!</v>
      </c>
      <c r="H329" s="173">
        <v>1</v>
      </c>
      <c r="I329" s="173" t="e">
        <f>_xll.GetCtData("COAMOUNT","CONSAMOUNT",$A$1:$A$8,$A329:$B329,,"#Erreur de syntaxe : Expression incomplète")/10^3*$H329</f>
        <v>#VALUE!</v>
      </c>
      <c r="J329" s="173"/>
      <c r="K329" s="173"/>
      <c r="L329" s="173" t="e">
        <f>_xll.GetCtData("COAMOUNT","CONSAMOUNT",$A$1:$A$8,$A329:$B329,,"#Erreur de syntaxe : Expression incomplète")/10^3*$H329</f>
        <v>#VALUE!</v>
      </c>
      <c r="N329" s="173" t="e">
        <f>_xll.GetCtData("COAMOUNT","CONSAMOUNT",$A$1:$A$8,$A329:$B329,,"#Erreur de syntaxe : Expression incomplète")/10^3*$H329</f>
        <v>#VALUE!</v>
      </c>
      <c r="P329" s="173" t="e">
        <f t="shared" si="20"/>
        <v>#VALUE!</v>
      </c>
    </row>
    <row r="330" spans="1:16" s="115" customFormat="1" ht="12" hidden="1" outlineLevel="3" thickBot="1">
      <c r="A330" s="115" t="str">
        <f t="shared" si="21"/>
        <v>A39700100B</v>
      </c>
      <c r="B330" s="115" t="str">
        <f t="shared" si="22"/>
        <v>F90</v>
      </c>
      <c r="C330" s="135" t="s">
        <v>1714</v>
      </c>
      <c r="D330" s="135"/>
      <c r="E330" s="135" t="s">
        <v>1715</v>
      </c>
      <c r="F330" s="131" t="s">
        <v>150</v>
      </c>
      <c r="G330" s="131" t="e">
        <v>#VALUE!</v>
      </c>
      <c r="H330" s="173">
        <v>1</v>
      </c>
      <c r="I330" s="173" t="e">
        <f>_xll.GetCtData("COAMOUNT","CONSAMOUNT",$A$1:$A$8,$A330:$B330,,"#Erreur de syntaxe : Expression incomplète")/10^3*$H330</f>
        <v>#VALUE!</v>
      </c>
      <c r="J330" s="173"/>
      <c r="K330" s="173"/>
      <c r="L330" s="173" t="e">
        <f>_xll.GetCtData("COAMOUNT","CONSAMOUNT",$A$1:$A$8,$A330:$B330,,"#Erreur de syntaxe : Expression incomplète")/10^3*$H330</f>
        <v>#VALUE!</v>
      </c>
      <c r="N330" s="173" t="e">
        <f>_xll.GetCtData("COAMOUNT","CONSAMOUNT",$A$1:$A$8,$A330:$B330,,"#Erreur de syntaxe : Expression incomplète")/10^3*$H330</f>
        <v>#VALUE!</v>
      </c>
      <c r="P330" s="173" t="e">
        <f t="shared" si="20"/>
        <v>#VALUE!</v>
      </c>
    </row>
    <row r="331" spans="1:16" s="115" customFormat="1" ht="12" hidden="1" outlineLevel="3" thickBot="1">
      <c r="A331" s="115" t="str">
        <f t="shared" si="21"/>
        <v>A39400000B</v>
      </c>
      <c r="B331" s="115" t="str">
        <f t="shared" si="22"/>
        <v>F90</v>
      </c>
      <c r="C331" s="135" t="s">
        <v>1708</v>
      </c>
      <c r="D331" s="135"/>
      <c r="E331" s="135" t="s">
        <v>1709</v>
      </c>
      <c r="F331" s="131" t="s">
        <v>150</v>
      </c>
      <c r="G331" s="131" t="e">
        <v>#VALUE!</v>
      </c>
      <c r="H331" s="173">
        <v>1</v>
      </c>
      <c r="I331" s="173" t="e">
        <f>_xll.GetCtData("COAMOUNT","CONSAMOUNT",$A$1:$A$8,$A331:$B331,,"#Erreur de syntaxe : Expression incomplète")/10^3*$H331</f>
        <v>#VALUE!</v>
      </c>
      <c r="J331" s="173"/>
      <c r="K331" s="173"/>
      <c r="L331" s="173" t="e">
        <f>_xll.GetCtData("COAMOUNT","CONSAMOUNT",$A$1:$A$8,$A331:$B331,,"#Erreur de syntaxe : Expression incomplète")/10^3*$H331</f>
        <v>#VALUE!</v>
      </c>
      <c r="N331" s="173" t="e">
        <f>_xll.GetCtData("COAMOUNT","CONSAMOUNT",$A$1:$A$8,$A331:$B331,,"#Erreur de syntaxe : Expression incomplète")/10^3*$H331</f>
        <v>#VALUE!</v>
      </c>
      <c r="P331" s="173" t="e">
        <f t="shared" si="20"/>
        <v>#VALUE!</v>
      </c>
    </row>
    <row r="332" spans="1:16" s="115" customFormat="1" ht="12" hidden="1" outlineLevel="3" thickBot="1">
      <c r="A332" s="115" t="str">
        <f t="shared" si="21"/>
        <v>A39410000B</v>
      </c>
      <c r="B332" s="115" t="str">
        <f t="shared" si="22"/>
        <v>F90</v>
      </c>
      <c r="C332" s="135" t="s">
        <v>1726</v>
      </c>
      <c r="D332" s="135"/>
      <c r="E332" s="135" t="s">
        <v>1727</v>
      </c>
      <c r="F332" s="131" t="s">
        <v>150</v>
      </c>
      <c r="G332" s="131" t="e">
        <v>#VALUE!</v>
      </c>
      <c r="H332" s="173">
        <v>1</v>
      </c>
      <c r="I332" s="173" t="e">
        <f>_xll.GetCtData("COAMOUNT","CONSAMOUNT",$A$1:$A$8,$A332:$B332,,"#Erreur de syntaxe : Expression incomplète")/10^3*$H332</f>
        <v>#VALUE!</v>
      </c>
      <c r="J332" s="173"/>
      <c r="K332" s="173"/>
      <c r="L332" s="173" t="e">
        <f>_xll.GetCtData("COAMOUNT","CONSAMOUNT",$A$1:$A$8,$A332:$B332,,"#Erreur de syntaxe : Expression incomplète")/10^3*$H332</f>
        <v>#VALUE!</v>
      </c>
      <c r="N332" s="173" t="e">
        <f>_xll.GetCtData("COAMOUNT","CONSAMOUNT",$A$1:$A$8,$A332:$B332,,"#Erreur de syntaxe : Expression incomplète")/10^3*$H332</f>
        <v>#VALUE!</v>
      </c>
      <c r="P332" s="173" t="e">
        <f t="shared" si="20"/>
        <v>#VALUE!</v>
      </c>
    </row>
    <row r="333" spans="1:16" s="115" customFormat="1" ht="12" hidden="1" outlineLevel="3" thickBot="1">
      <c r="A333" s="115" t="str">
        <f t="shared" si="21"/>
        <v>A39700000V</v>
      </c>
      <c r="B333" s="115" t="str">
        <f t="shared" si="22"/>
        <v>F90</v>
      </c>
      <c r="C333" s="135" t="s">
        <v>1693</v>
      </c>
      <c r="D333" s="135"/>
      <c r="E333" s="135" t="s">
        <v>1694</v>
      </c>
      <c r="F333" s="131" t="s">
        <v>150</v>
      </c>
      <c r="G333" s="131" t="e">
        <v>#VALUE!</v>
      </c>
      <c r="H333" s="173">
        <v>1</v>
      </c>
      <c r="I333" s="173" t="e">
        <f>_xll.GetCtData("COAMOUNT","CONSAMOUNT",$A$1:$A$8,$A333:$B333,,"#Erreur de syntaxe : Expression incomplète")/10^3*$H333</f>
        <v>#VALUE!</v>
      </c>
      <c r="J333" s="173"/>
      <c r="K333" s="173"/>
      <c r="L333" s="173" t="e">
        <f>_xll.GetCtData("COAMOUNT","CONSAMOUNT",$A$1:$A$8,$A333:$B333,,"#Erreur de syntaxe : Expression incomplète")/10^3*$H333</f>
        <v>#VALUE!</v>
      </c>
      <c r="N333" s="173" t="e">
        <f>_xll.GetCtData("COAMOUNT","CONSAMOUNT",$A$1:$A$8,$A333:$B333,,"#Erreur de syntaxe : Expression incomplète")/10^3*$H333</f>
        <v>#VALUE!</v>
      </c>
      <c r="P333" s="173" t="e">
        <f t="shared" si="20"/>
        <v>#VALUE!</v>
      </c>
    </row>
    <row r="334" spans="1:16" s="115" customFormat="1" ht="12" hidden="1" outlineLevel="3" thickBot="1">
      <c r="A334" s="115" t="str">
        <f t="shared" si="21"/>
        <v>A39700100V</v>
      </c>
      <c r="B334" s="115" t="str">
        <f t="shared" si="22"/>
        <v>F90</v>
      </c>
      <c r="C334" s="135" t="s">
        <v>1717</v>
      </c>
      <c r="D334" s="135"/>
      <c r="E334" s="135" t="s">
        <v>1718</v>
      </c>
      <c r="F334" s="131" t="s">
        <v>150</v>
      </c>
      <c r="G334" s="131" t="e">
        <v>#VALUE!</v>
      </c>
      <c r="H334" s="173">
        <v>1</v>
      </c>
      <c r="I334" s="173" t="e">
        <f>_xll.GetCtData("COAMOUNT","CONSAMOUNT",$A$1:$A$8,$A334:$B334,,"#Erreur de syntaxe : Expression incomplète")/10^3*$H334</f>
        <v>#VALUE!</v>
      </c>
      <c r="J334" s="173"/>
      <c r="K334" s="173"/>
      <c r="L334" s="173" t="e">
        <f>_xll.GetCtData("COAMOUNT","CONSAMOUNT",$A$1:$A$8,$A334:$B334,,"#Erreur de syntaxe : Expression incomplète")/10^3*$H334</f>
        <v>#VALUE!</v>
      </c>
      <c r="N334" s="173" t="e">
        <f>_xll.GetCtData("COAMOUNT","CONSAMOUNT",$A$1:$A$8,$A334:$B334,,"#Erreur de syntaxe : Expression incomplète")/10^3*$H334</f>
        <v>#VALUE!</v>
      </c>
      <c r="P334" s="173" t="e">
        <f t="shared" si="20"/>
        <v>#VALUE!</v>
      </c>
    </row>
    <row r="335" spans="1:16" s="115" customFormat="1" ht="12" hidden="1" outlineLevel="3" thickBot="1">
      <c r="A335" s="115" t="str">
        <f t="shared" si="21"/>
        <v>A39400000V</v>
      </c>
      <c r="B335" s="115" t="str">
        <f t="shared" si="22"/>
        <v>F90</v>
      </c>
      <c r="C335" s="135" t="s">
        <v>1711</v>
      </c>
      <c r="D335" s="135"/>
      <c r="E335" s="135" t="s">
        <v>1712</v>
      </c>
      <c r="F335" s="131" t="s">
        <v>150</v>
      </c>
      <c r="G335" s="131" t="e">
        <v>#VALUE!</v>
      </c>
      <c r="H335" s="173">
        <v>1</v>
      </c>
      <c r="I335" s="173" t="e">
        <f>_xll.GetCtData("COAMOUNT","CONSAMOUNT",$A$1:$A$8,$A335:$B335,,"#Erreur de syntaxe : Expression incomplète")/10^3*$H335</f>
        <v>#VALUE!</v>
      </c>
      <c r="J335" s="173"/>
      <c r="K335" s="173"/>
      <c r="L335" s="173" t="e">
        <f>_xll.GetCtData("COAMOUNT","CONSAMOUNT",$A$1:$A$8,$A335:$B335,,"#Erreur de syntaxe : Expression incomplète")/10^3*$H335</f>
        <v>#VALUE!</v>
      </c>
      <c r="N335" s="173" t="e">
        <f>_xll.GetCtData("COAMOUNT","CONSAMOUNT",$A$1:$A$8,$A335:$B335,,"#Erreur de syntaxe : Expression incomplète")/10^3*$H335</f>
        <v>#VALUE!</v>
      </c>
      <c r="P335" s="173" t="e">
        <f t="shared" si="20"/>
        <v>#VALUE!</v>
      </c>
    </row>
    <row r="336" spans="1:16" s="115" customFormat="1" ht="12" hidden="1" outlineLevel="3" thickBot="1">
      <c r="A336" s="115" t="str">
        <f t="shared" si="21"/>
        <v>A39410000V</v>
      </c>
      <c r="B336" s="115" t="str">
        <f t="shared" si="22"/>
        <v>F90</v>
      </c>
      <c r="C336" s="135" t="s">
        <v>1729</v>
      </c>
      <c r="D336" s="135"/>
      <c r="E336" s="135" t="s">
        <v>1730</v>
      </c>
      <c r="F336" s="131" t="s">
        <v>150</v>
      </c>
      <c r="G336" s="131" t="e">
        <v>#VALUE!</v>
      </c>
      <c r="H336" s="173">
        <v>1</v>
      </c>
      <c r="I336" s="173" t="e">
        <f>_xll.GetCtData("COAMOUNT","CONSAMOUNT",$A$1:$A$8,$A336:$B336,,"#Erreur de syntaxe : Expression incomplète")/10^3*$H336</f>
        <v>#VALUE!</v>
      </c>
      <c r="J336" s="173"/>
      <c r="K336" s="173"/>
      <c r="L336" s="173" t="e">
        <f>_xll.GetCtData("COAMOUNT","CONSAMOUNT",$A$1:$A$8,$A336:$B336,,"#Erreur de syntaxe : Expression incomplète")/10^3*$H336</f>
        <v>#VALUE!</v>
      </c>
      <c r="N336" s="173" t="e">
        <f>_xll.GetCtData("COAMOUNT","CONSAMOUNT",$A$1:$A$8,$A336:$B336,,"#Erreur de syntaxe : Expression incomplète")/10^3*$H336</f>
        <v>#VALUE!</v>
      </c>
      <c r="P336" s="173" t="e">
        <f t="shared" si="20"/>
        <v>#VALUE!</v>
      </c>
    </row>
    <row r="337" spans="1:16" s="115" customFormat="1" ht="12" hidden="1" outlineLevel="3" thickBot="1">
      <c r="A337" s="115" t="str">
        <f t="shared" si="21"/>
        <v>P39700000B</v>
      </c>
      <c r="B337" s="115" t="str">
        <f t="shared" si="22"/>
        <v>F90</v>
      </c>
      <c r="C337" s="135" t="s">
        <v>1738</v>
      </c>
      <c r="D337" s="135"/>
      <c r="E337" s="135" t="s">
        <v>1739</v>
      </c>
      <c r="F337" s="131" t="s">
        <v>150</v>
      </c>
      <c r="G337" s="131" t="e">
        <v>#VALUE!</v>
      </c>
      <c r="H337" s="173">
        <v>-1</v>
      </c>
      <c r="I337" s="173" t="e">
        <f>_xll.GetCtData("COAMOUNT","CONSAMOUNT",$A$1:$A$8,$A337:$B337,,"#Erreur de syntaxe : Expression incomplète")/10^3*$H337</f>
        <v>#VALUE!</v>
      </c>
      <c r="J337" s="173"/>
      <c r="K337" s="173"/>
      <c r="L337" s="173" t="e">
        <f>_xll.GetCtData("COAMOUNT","CONSAMOUNT",$A$1:$A$8,$A337:$B337,,"#Erreur de syntaxe : Expression incomplète")/10^3*$H337</f>
        <v>#VALUE!</v>
      </c>
      <c r="N337" s="173" t="e">
        <f>_xll.GetCtData("COAMOUNT","CONSAMOUNT",$A$1:$A$8,$A337:$B337,,"#Erreur de syntaxe : Expression incomplète")/10^3*$H337</f>
        <v>#VALUE!</v>
      </c>
      <c r="P337" s="173" t="e">
        <f t="shared" si="20"/>
        <v>#VALUE!</v>
      </c>
    </row>
    <row r="338" spans="1:16" s="115" customFormat="1" ht="12" hidden="1" outlineLevel="3" thickBot="1">
      <c r="A338" s="115" t="str">
        <f t="shared" si="21"/>
        <v>P39700100B</v>
      </c>
      <c r="B338" s="115" t="str">
        <f t="shared" si="22"/>
        <v>F90</v>
      </c>
      <c r="C338" s="135" t="s">
        <v>1141</v>
      </c>
      <c r="D338" s="135"/>
      <c r="E338" s="135" t="s">
        <v>1142</v>
      </c>
      <c r="F338" s="131" t="s">
        <v>150</v>
      </c>
      <c r="G338" s="131" t="e">
        <v>#VALUE!</v>
      </c>
      <c r="H338" s="173">
        <v>-1</v>
      </c>
      <c r="I338" s="173" t="e">
        <f>_xll.GetCtData("COAMOUNT","CONSAMOUNT",$A$1:$A$8,$A338:$B338,,"#Erreur de syntaxe : Expression incomplète")/10^3*$H338</f>
        <v>#VALUE!</v>
      </c>
      <c r="J338" s="173"/>
      <c r="K338" s="173"/>
      <c r="L338" s="173" t="e">
        <f>_xll.GetCtData("COAMOUNT","CONSAMOUNT",$A$1:$A$8,$A338:$B338,,"#Erreur de syntaxe : Expression incomplète")/10^3*$H338</f>
        <v>#VALUE!</v>
      </c>
      <c r="N338" s="173" t="e">
        <f>_xll.GetCtData("COAMOUNT","CONSAMOUNT",$A$1:$A$8,$A338:$B338,,"#Erreur de syntaxe : Expression incomplète")/10^3*$H338</f>
        <v>#VALUE!</v>
      </c>
      <c r="P338" s="173" t="e">
        <f t="shared" si="20"/>
        <v>#VALUE!</v>
      </c>
    </row>
    <row r="339" spans="1:16" s="115" customFormat="1" ht="12" hidden="1" outlineLevel="3" thickBot="1">
      <c r="A339" s="115" t="str">
        <f t="shared" si="21"/>
        <v>P39400000B</v>
      </c>
      <c r="B339" s="115" t="str">
        <f t="shared" si="22"/>
        <v>F90</v>
      </c>
      <c r="C339" s="135" t="s">
        <v>1744</v>
      </c>
      <c r="D339" s="135"/>
      <c r="E339" s="135" t="s">
        <v>1745</v>
      </c>
      <c r="F339" s="131" t="s">
        <v>150</v>
      </c>
      <c r="G339" s="131" t="e">
        <v>#VALUE!</v>
      </c>
      <c r="H339" s="173">
        <v>-1</v>
      </c>
      <c r="I339" s="173" t="e">
        <f>_xll.GetCtData("COAMOUNT","CONSAMOUNT",$A$1:$A$8,$A339:$B339,,"#Erreur de syntaxe : Expression incomplète")/10^3*$H339</f>
        <v>#VALUE!</v>
      </c>
      <c r="J339" s="173"/>
      <c r="K339" s="173"/>
      <c r="L339" s="173" t="e">
        <f>_xll.GetCtData("COAMOUNT","CONSAMOUNT",$A$1:$A$8,$A339:$B339,,"#Erreur de syntaxe : Expression incomplète")/10^3*$H339</f>
        <v>#VALUE!</v>
      </c>
      <c r="N339" s="173" t="e">
        <f>_xll.GetCtData("COAMOUNT","CONSAMOUNT",$A$1:$A$8,$A339:$B339,,"#Erreur de syntaxe : Expression incomplète")/10^3*$H339</f>
        <v>#VALUE!</v>
      </c>
      <c r="P339" s="173" t="e">
        <f t="shared" si="20"/>
        <v>#VALUE!</v>
      </c>
    </row>
    <row r="340" spans="1:16" s="115" customFormat="1" ht="12" hidden="1" outlineLevel="3" thickBot="1">
      <c r="A340" s="115" t="str">
        <f t="shared" si="21"/>
        <v>P39410000B</v>
      </c>
      <c r="B340" s="115" t="str">
        <f t="shared" si="22"/>
        <v>F90</v>
      </c>
      <c r="C340" s="135" t="s">
        <v>1143</v>
      </c>
      <c r="D340" s="135"/>
      <c r="E340" s="135" t="s">
        <v>1144</v>
      </c>
      <c r="F340" s="131" t="s">
        <v>150</v>
      </c>
      <c r="G340" s="131" t="e">
        <v>#VALUE!</v>
      </c>
      <c r="H340" s="173">
        <v>-1</v>
      </c>
      <c r="I340" s="173" t="e">
        <f>_xll.GetCtData("COAMOUNT","CONSAMOUNT",$A$1:$A$8,$A340:$B340,,"#Erreur de syntaxe : Expression incomplète")/10^3*$H340</f>
        <v>#VALUE!</v>
      </c>
      <c r="J340" s="173"/>
      <c r="K340" s="173"/>
      <c r="L340" s="173" t="e">
        <f>_xll.GetCtData("COAMOUNT","CONSAMOUNT",$A$1:$A$8,$A340:$B340,,"#Erreur de syntaxe : Expression incomplète")/10^3*$H340</f>
        <v>#VALUE!</v>
      </c>
      <c r="N340" s="173" t="e">
        <f>_xll.GetCtData("COAMOUNT","CONSAMOUNT",$A$1:$A$8,$A340:$B340,,"#Erreur de syntaxe : Expression incomplète")/10^3*$H340</f>
        <v>#VALUE!</v>
      </c>
      <c r="P340" s="173" t="e">
        <f t="shared" si="20"/>
        <v>#VALUE!</v>
      </c>
    </row>
    <row r="341" spans="1:16" s="115" customFormat="1" ht="12" hidden="1" outlineLevel="3" thickBot="1">
      <c r="A341" s="115" t="str">
        <f t="shared" si="21"/>
        <v>P39700000V</v>
      </c>
      <c r="B341" s="115" t="str">
        <f t="shared" si="22"/>
        <v>F90</v>
      </c>
      <c r="C341" s="135" t="s">
        <v>1747</v>
      </c>
      <c r="D341" s="135"/>
      <c r="E341" s="135" t="s">
        <v>1748</v>
      </c>
      <c r="F341" s="131" t="s">
        <v>150</v>
      </c>
      <c r="G341" s="131" t="e">
        <v>#VALUE!</v>
      </c>
      <c r="H341" s="173">
        <v>-1</v>
      </c>
      <c r="I341" s="173" t="e">
        <f>_xll.GetCtData("COAMOUNT","CONSAMOUNT",$A$1:$A$8,$A341:$B341,,"#Erreur de syntaxe : Expression incomplète")/10^3*$H341</f>
        <v>#VALUE!</v>
      </c>
      <c r="J341" s="173"/>
      <c r="K341" s="173"/>
      <c r="L341" s="173" t="e">
        <f>_xll.GetCtData("COAMOUNT","CONSAMOUNT",$A$1:$A$8,$A341:$B341,,"#Erreur de syntaxe : Expression incomplète")/10^3*$H341</f>
        <v>#VALUE!</v>
      </c>
      <c r="N341" s="173" t="e">
        <f>_xll.GetCtData("COAMOUNT","CONSAMOUNT",$A$1:$A$8,$A341:$B341,,"#Erreur de syntaxe : Expression incomplète")/10^3*$H341</f>
        <v>#VALUE!</v>
      </c>
      <c r="P341" s="173" t="e">
        <f t="shared" si="20"/>
        <v>#VALUE!</v>
      </c>
    </row>
    <row r="342" spans="1:16" s="115" customFormat="1" ht="12" hidden="1" outlineLevel="3" thickBot="1">
      <c r="A342" s="115" t="str">
        <f t="shared" si="21"/>
        <v>P39700100V</v>
      </c>
      <c r="B342" s="115" t="str">
        <f t="shared" si="22"/>
        <v>F90</v>
      </c>
      <c r="C342" s="135" t="s">
        <v>1135</v>
      </c>
      <c r="D342" s="135"/>
      <c r="E342" s="135" t="s">
        <v>1136</v>
      </c>
      <c r="F342" s="131" t="s">
        <v>150</v>
      </c>
      <c r="G342" s="131" t="e">
        <v>#VALUE!</v>
      </c>
      <c r="H342" s="173">
        <v>-1</v>
      </c>
      <c r="I342" s="173" t="e">
        <f>_xll.GetCtData("COAMOUNT","CONSAMOUNT",$A$1:$A$8,$A342:$B342,,"#Erreur de syntaxe : Expression incomplète")/10^3*$H342</f>
        <v>#VALUE!</v>
      </c>
      <c r="J342" s="173"/>
      <c r="K342" s="173"/>
      <c r="L342" s="173" t="e">
        <f>_xll.GetCtData("COAMOUNT","CONSAMOUNT",$A$1:$A$8,$A342:$B342,,"#Erreur de syntaxe : Expression incomplète")/10^3*$H342</f>
        <v>#VALUE!</v>
      </c>
      <c r="N342" s="173" t="e">
        <f>_xll.GetCtData("COAMOUNT","CONSAMOUNT",$A$1:$A$8,$A342:$B342,,"#Erreur de syntaxe : Expression incomplète")/10^3*$H342</f>
        <v>#VALUE!</v>
      </c>
      <c r="P342" s="173" t="e">
        <f t="shared" si="20"/>
        <v>#VALUE!</v>
      </c>
    </row>
    <row r="343" spans="1:16" s="115" customFormat="1" ht="12" hidden="1" outlineLevel="3" thickBot="1">
      <c r="A343" s="115" t="str">
        <f t="shared" si="21"/>
        <v>P39400000V</v>
      </c>
      <c r="B343" s="115" t="str">
        <f t="shared" si="22"/>
        <v>F90</v>
      </c>
      <c r="C343" s="135" t="s">
        <v>1753</v>
      </c>
      <c r="D343" s="135"/>
      <c r="E343" s="135" t="s">
        <v>1754</v>
      </c>
      <c r="F343" s="131" t="s">
        <v>150</v>
      </c>
      <c r="G343" s="131" t="e">
        <v>#VALUE!</v>
      </c>
      <c r="H343" s="173">
        <v>-1</v>
      </c>
      <c r="I343" s="173" t="e">
        <f>_xll.GetCtData("COAMOUNT","CONSAMOUNT",$A$1:$A$8,$A343:$B343,,"#Erreur de syntaxe : Expression incomplète")/10^3*$H343</f>
        <v>#VALUE!</v>
      </c>
      <c r="J343" s="173"/>
      <c r="K343" s="173"/>
      <c r="L343" s="173" t="e">
        <f>_xll.GetCtData("COAMOUNT","CONSAMOUNT",$A$1:$A$8,$A343:$B343,,"#Erreur de syntaxe : Expression incomplète")/10^3*$H343</f>
        <v>#VALUE!</v>
      </c>
      <c r="N343" s="173" t="e">
        <f>_xll.GetCtData("COAMOUNT","CONSAMOUNT",$A$1:$A$8,$A343:$B343,,"#Erreur de syntaxe : Expression incomplète")/10^3*$H343</f>
        <v>#VALUE!</v>
      </c>
      <c r="P343" s="173" t="e">
        <f t="shared" si="20"/>
        <v>#VALUE!</v>
      </c>
    </row>
    <row r="344" spans="1:16" s="115" customFormat="1" ht="12" hidden="1" outlineLevel="3" thickBot="1">
      <c r="A344" s="115" t="str">
        <f t="shared" si="21"/>
        <v>P39410000V</v>
      </c>
      <c r="B344" s="115" t="str">
        <f t="shared" si="22"/>
        <v>F90</v>
      </c>
      <c r="C344" s="135" t="s">
        <v>1137</v>
      </c>
      <c r="D344" s="135"/>
      <c r="E344" s="135" t="s">
        <v>1138</v>
      </c>
      <c r="F344" s="131" t="s">
        <v>150</v>
      </c>
      <c r="G344" s="131" t="e">
        <v>#VALUE!</v>
      </c>
      <c r="H344" s="173">
        <v>-1</v>
      </c>
      <c r="I344" s="173" t="e">
        <f>_xll.GetCtData("COAMOUNT","CONSAMOUNT",$A$1:$A$8,$A344:$B344,,"#Erreur de syntaxe : Expression incomplète")/10^3*$H344</f>
        <v>#VALUE!</v>
      </c>
      <c r="J344" s="173"/>
      <c r="K344" s="173"/>
      <c r="L344" s="173" t="e">
        <f>_xll.GetCtData("COAMOUNT","CONSAMOUNT",$A$1:$A$8,$A344:$B344,,"#Erreur de syntaxe : Expression incomplète")/10^3*$H344</f>
        <v>#VALUE!</v>
      </c>
      <c r="N344" s="173" t="e">
        <f>_xll.GetCtData("COAMOUNT","CONSAMOUNT",$A$1:$A$8,$A344:$B344,,"#Erreur de syntaxe : Expression incomplète")/10^3*$H344</f>
        <v>#VALUE!</v>
      </c>
      <c r="P344" s="173" t="e">
        <f t="shared" si="20"/>
        <v>#VALUE!</v>
      </c>
    </row>
    <row r="345" spans="1:16" s="115" customFormat="1" ht="12" hidden="1" outlineLevel="3" thickBot="1">
      <c r="A345" s="115" t="str">
        <f t="shared" si="21"/>
        <v>A39700000B</v>
      </c>
      <c r="B345" s="115" t="str">
        <f t="shared" si="22"/>
        <v>F98</v>
      </c>
      <c r="C345" s="135" t="s">
        <v>1690</v>
      </c>
      <c r="D345" s="135"/>
      <c r="E345" s="135" t="s">
        <v>1691</v>
      </c>
      <c r="F345" s="131" t="s">
        <v>158</v>
      </c>
      <c r="G345" s="131" t="e">
        <v>#VALUE!</v>
      </c>
      <c r="H345" s="173">
        <v>1</v>
      </c>
      <c r="I345" s="173" t="e">
        <f>_xll.GetCtData("COAMOUNT","CONSAMOUNT",$A$1:$A$8,$A345:$B345,,"#Erreur de syntaxe : Expression incomplète")/10^3*$H345</f>
        <v>#VALUE!</v>
      </c>
      <c r="J345" s="173"/>
      <c r="K345" s="173"/>
      <c r="L345" s="173" t="e">
        <f>_xll.GetCtData("COAMOUNT","CONSAMOUNT",$A$1:$A$8,$A345:$B345,,"#Erreur de syntaxe : Expression incomplète")/10^3*$H345</f>
        <v>#VALUE!</v>
      </c>
      <c r="N345" s="173" t="e">
        <f>_xll.GetCtData("COAMOUNT","CONSAMOUNT",$A$1:$A$8,$A345:$B345,,"#Erreur de syntaxe : Expression incomplète")/10^3*$H345</f>
        <v>#VALUE!</v>
      </c>
      <c r="P345" s="173" t="e">
        <f t="shared" si="20"/>
        <v>#VALUE!</v>
      </c>
    </row>
    <row r="346" spans="1:16" s="115" customFormat="1" ht="12" hidden="1" outlineLevel="3" thickBot="1">
      <c r="A346" s="115" t="str">
        <f t="shared" si="21"/>
        <v>A39700100B</v>
      </c>
      <c r="B346" s="115" t="str">
        <f t="shared" si="22"/>
        <v>F98</v>
      </c>
      <c r="C346" s="135" t="s">
        <v>1714</v>
      </c>
      <c r="D346" s="135"/>
      <c r="E346" s="135" t="s">
        <v>1715</v>
      </c>
      <c r="F346" s="131" t="s">
        <v>158</v>
      </c>
      <c r="G346" s="131" t="e">
        <v>#VALUE!</v>
      </c>
      <c r="H346" s="173">
        <v>1</v>
      </c>
      <c r="I346" s="173" t="e">
        <f>_xll.GetCtData("COAMOUNT","CONSAMOUNT",$A$1:$A$8,$A346:$B346,,"#Erreur de syntaxe : Expression incomplète")/10^3*$H346</f>
        <v>#VALUE!</v>
      </c>
      <c r="J346" s="173"/>
      <c r="K346" s="173"/>
      <c r="L346" s="173" t="e">
        <f>_xll.GetCtData("COAMOUNT","CONSAMOUNT",$A$1:$A$8,$A346:$B346,,"#Erreur de syntaxe : Expression incomplète")/10^3*$H346</f>
        <v>#VALUE!</v>
      </c>
      <c r="N346" s="173" t="e">
        <f>_xll.GetCtData("COAMOUNT","CONSAMOUNT",$A$1:$A$8,$A346:$B346,,"#Erreur de syntaxe : Expression incomplète")/10^3*$H346</f>
        <v>#VALUE!</v>
      </c>
      <c r="P346" s="173" t="e">
        <f t="shared" si="20"/>
        <v>#VALUE!</v>
      </c>
    </row>
    <row r="347" spans="1:16" s="115" customFormat="1" ht="12" hidden="1" outlineLevel="3" thickBot="1">
      <c r="A347" s="115" t="str">
        <f t="shared" si="21"/>
        <v>A39400000B</v>
      </c>
      <c r="B347" s="115" t="str">
        <f t="shared" si="22"/>
        <v>F98</v>
      </c>
      <c r="C347" s="135" t="s">
        <v>1708</v>
      </c>
      <c r="D347" s="135"/>
      <c r="E347" s="135" t="s">
        <v>1709</v>
      </c>
      <c r="F347" s="131" t="s">
        <v>158</v>
      </c>
      <c r="G347" s="131" t="e">
        <v>#VALUE!</v>
      </c>
      <c r="H347" s="173">
        <v>1</v>
      </c>
      <c r="I347" s="173" t="e">
        <f>_xll.GetCtData("COAMOUNT","CONSAMOUNT",$A$1:$A$8,$A347:$B347,,"#Erreur de syntaxe : Expression incomplète")/10^3*$H347</f>
        <v>#VALUE!</v>
      </c>
      <c r="J347" s="173"/>
      <c r="K347" s="173"/>
      <c r="L347" s="173" t="e">
        <f>_xll.GetCtData("COAMOUNT","CONSAMOUNT",$A$1:$A$8,$A347:$B347,,"#Erreur de syntaxe : Expression incomplète")/10^3*$H347</f>
        <v>#VALUE!</v>
      </c>
      <c r="N347" s="173" t="e">
        <f>_xll.GetCtData("COAMOUNT","CONSAMOUNT",$A$1:$A$8,$A347:$B347,,"#Erreur de syntaxe : Expression incomplète")/10^3*$H347</f>
        <v>#VALUE!</v>
      </c>
      <c r="P347" s="173" t="e">
        <f t="shared" ref="P347:P410" si="23">L347+N347</f>
        <v>#VALUE!</v>
      </c>
    </row>
    <row r="348" spans="1:16" s="115" customFormat="1" ht="12" hidden="1" outlineLevel="3" thickBot="1">
      <c r="A348" s="115" t="str">
        <f t="shared" si="21"/>
        <v>A39410000B</v>
      </c>
      <c r="B348" s="115" t="str">
        <f t="shared" si="22"/>
        <v>F98</v>
      </c>
      <c r="C348" s="135" t="s">
        <v>1726</v>
      </c>
      <c r="D348" s="135"/>
      <c r="E348" s="135" t="s">
        <v>1727</v>
      </c>
      <c r="F348" s="131" t="s">
        <v>158</v>
      </c>
      <c r="G348" s="131" t="e">
        <v>#VALUE!</v>
      </c>
      <c r="H348" s="173">
        <v>1</v>
      </c>
      <c r="I348" s="173" t="e">
        <f>_xll.GetCtData("COAMOUNT","CONSAMOUNT",$A$1:$A$8,$A348:$B348,,"#Erreur de syntaxe : Expression incomplète")/10^3*$H348</f>
        <v>#VALUE!</v>
      </c>
      <c r="J348" s="173"/>
      <c r="K348" s="173"/>
      <c r="L348" s="173" t="e">
        <f>_xll.GetCtData("COAMOUNT","CONSAMOUNT",$A$1:$A$8,$A348:$B348,,"#Erreur de syntaxe : Expression incomplète")/10^3*$H348</f>
        <v>#VALUE!</v>
      </c>
      <c r="N348" s="173" t="e">
        <f>_xll.GetCtData("COAMOUNT","CONSAMOUNT",$A$1:$A$8,$A348:$B348,,"#Erreur de syntaxe : Expression incomplète")/10^3*$H348</f>
        <v>#VALUE!</v>
      </c>
      <c r="P348" s="173" t="e">
        <f t="shared" si="23"/>
        <v>#VALUE!</v>
      </c>
    </row>
    <row r="349" spans="1:16" s="115" customFormat="1" ht="12" hidden="1" outlineLevel="3" thickBot="1">
      <c r="A349" s="115" t="str">
        <f t="shared" si="21"/>
        <v>A39700000V</v>
      </c>
      <c r="B349" s="115" t="str">
        <f t="shared" si="22"/>
        <v>F98</v>
      </c>
      <c r="C349" s="135" t="s">
        <v>1693</v>
      </c>
      <c r="D349" s="135"/>
      <c r="E349" s="135" t="s">
        <v>1694</v>
      </c>
      <c r="F349" s="131" t="s">
        <v>158</v>
      </c>
      <c r="G349" s="131" t="e">
        <v>#VALUE!</v>
      </c>
      <c r="H349" s="173">
        <v>1</v>
      </c>
      <c r="I349" s="173" t="e">
        <f>_xll.GetCtData("COAMOUNT","CONSAMOUNT",$A$1:$A$8,$A349:$B349,,"#Erreur de syntaxe : Expression incomplète")/10^3*$H349</f>
        <v>#VALUE!</v>
      </c>
      <c r="J349" s="173"/>
      <c r="K349" s="173"/>
      <c r="L349" s="173" t="e">
        <f>_xll.GetCtData("COAMOUNT","CONSAMOUNT",$A$1:$A$8,$A349:$B349,,"#Erreur de syntaxe : Expression incomplète")/10^3*$H349</f>
        <v>#VALUE!</v>
      </c>
      <c r="N349" s="173" t="e">
        <f>_xll.GetCtData("COAMOUNT","CONSAMOUNT",$A$1:$A$8,$A349:$B349,,"#Erreur de syntaxe : Expression incomplète")/10^3*$H349</f>
        <v>#VALUE!</v>
      </c>
      <c r="P349" s="173" t="e">
        <f t="shared" si="23"/>
        <v>#VALUE!</v>
      </c>
    </row>
    <row r="350" spans="1:16" s="115" customFormat="1" ht="12" hidden="1" outlineLevel="3" thickBot="1">
      <c r="A350" s="115" t="str">
        <f t="shared" si="21"/>
        <v>A39700100V</v>
      </c>
      <c r="B350" s="115" t="str">
        <f t="shared" si="22"/>
        <v>F98</v>
      </c>
      <c r="C350" s="135" t="s">
        <v>1717</v>
      </c>
      <c r="D350" s="135"/>
      <c r="E350" s="135" t="s">
        <v>1718</v>
      </c>
      <c r="F350" s="131" t="s">
        <v>158</v>
      </c>
      <c r="G350" s="131" t="e">
        <v>#VALUE!</v>
      </c>
      <c r="H350" s="173">
        <v>1</v>
      </c>
      <c r="I350" s="173" t="e">
        <f>_xll.GetCtData("COAMOUNT","CONSAMOUNT",$A$1:$A$8,$A350:$B350,,"#Erreur de syntaxe : Expression incomplète")/10^3*$H350</f>
        <v>#VALUE!</v>
      </c>
      <c r="J350" s="173"/>
      <c r="K350" s="173"/>
      <c r="L350" s="173" t="e">
        <f>_xll.GetCtData("COAMOUNT","CONSAMOUNT",$A$1:$A$8,$A350:$B350,,"#Erreur de syntaxe : Expression incomplète")/10^3*$H350</f>
        <v>#VALUE!</v>
      </c>
      <c r="N350" s="173" t="e">
        <f>_xll.GetCtData("COAMOUNT","CONSAMOUNT",$A$1:$A$8,$A350:$B350,,"#Erreur de syntaxe : Expression incomplète")/10^3*$H350</f>
        <v>#VALUE!</v>
      </c>
      <c r="P350" s="173" t="e">
        <f t="shared" si="23"/>
        <v>#VALUE!</v>
      </c>
    </row>
    <row r="351" spans="1:16" s="115" customFormat="1" ht="12" hidden="1" outlineLevel="3" thickBot="1">
      <c r="A351" s="115" t="str">
        <f t="shared" si="21"/>
        <v>A39400000V</v>
      </c>
      <c r="B351" s="115" t="str">
        <f t="shared" si="22"/>
        <v>F98</v>
      </c>
      <c r="C351" s="135" t="s">
        <v>1711</v>
      </c>
      <c r="D351" s="135"/>
      <c r="E351" s="135" t="s">
        <v>1712</v>
      </c>
      <c r="F351" s="131" t="s">
        <v>158</v>
      </c>
      <c r="G351" s="131" t="e">
        <v>#VALUE!</v>
      </c>
      <c r="H351" s="173">
        <v>1</v>
      </c>
      <c r="I351" s="173" t="e">
        <f>_xll.GetCtData("COAMOUNT","CONSAMOUNT",$A$1:$A$8,$A351:$B351,,"#Erreur de syntaxe : Expression incomplète")/10^3*$H351</f>
        <v>#VALUE!</v>
      </c>
      <c r="J351" s="173"/>
      <c r="K351" s="173"/>
      <c r="L351" s="173" t="e">
        <f>_xll.GetCtData("COAMOUNT","CONSAMOUNT",$A$1:$A$8,$A351:$B351,,"#Erreur de syntaxe : Expression incomplète")/10^3*$H351</f>
        <v>#VALUE!</v>
      </c>
      <c r="N351" s="173" t="e">
        <f>_xll.GetCtData("COAMOUNT","CONSAMOUNT",$A$1:$A$8,$A351:$B351,,"#Erreur de syntaxe : Expression incomplète")/10^3*$H351</f>
        <v>#VALUE!</v>
      </c>
      <c r="P351" s="173" t="e">
        <f t="shared" si="23"/>
        <v>#VALUE!</v>
      </c>
    </row>
    <row r="352" spans="1:16" s="115" customFormat="1" ht="12" hidden="1" outlineLevel="3" thickBot="1">
      <c r="A352" s="115" t="str">
        <f t="shared" si="21"/>
        <v>A39410000V</v>
      </c>
      <c r="B352" s="115" t="str">
        <f t="shared" si="22"/>
        <v>F98</v>
      </c>
      <c r="C352" s="135" t="s">
        <v>1729</v>
      </c>
      <c r="D352" s="135"/>
      <c r="E352" s="135" t="s">
        <v>1730</v>
      </c>
      <c r="F352" s="131" t="s">
        <v>158</v>
      </c>
      <c r="G352" s="131" t="e">
        <v>#VALUE!</v>
      </c>
      <c r="H352" s="173">
        <v>1</v>
      </c>
      <c r="I352" s="173" t="e">
        <f>_xll.GetCtData("COAMOUNT","CONSAMOUNT",$A$1:$A$8,$A352:$B352,,"#Erreur de syntaxe : Expression incomplète")/10^3*$H352</f>
        <v>#VALUE!</v>
      </c>
      <c r="J352" s="173"/>
      <c r="K352" s="173"/>
      <c r="L352" s="173" t="e">
        <f>_xll.GetCtData("COAMOUNT","CONSAMOUNT",$A$1:$A$8,$A352:$B352,,"#Erreur de syntaxe : Expression incomplète")/10^3*$H352</f>
        <v>#VALUE!</v>
      </c>
      <c r="N352" s="173" t="e">
        <f>_xll.GetCtData("COAMOUNT","CONSAMOUNT",$A$1:$A$8,$A352:$B352,,"#Erreur de syntaxe : Expression incomplète")/10^3*$H352</f>
        <v>#VALUE!</v>
      </c>
      <c r="P352" s="173" t="e">
        <f t="shared" si="23"/>
        <v>#VALUE!</v>
      </c>
    </row>
    <row r="353" spans="1:16" s="115" customFormat="1" ht="12" hidden="1" outlineLevel="3" thickBot="1">
      <c r="A353" s="115" t="str">
        <f t="shared" si="21"/>
        <v>P39700000B</v>
      </c>
      <c r="B353" s="115" t="str">
        <f t="shared" si="22"/>
        <v>F98</v>
      </c>
      <c r="C353" s="135" t="s">
        <v>1738</v>
      </c>
      <c r="D353" s="135"/>
      <c r="E353" s="135" t="s">
        <v>1739</v>
      </c>
      <c r="F353" s="131" t="s">
        <v>158</v>
      </c>
      <c r="G353" s="131" t="e">
        <v>#VALUE!</v>
      </c>
      <c r="H353" s="173">
        <v>-1</v>
      </c>
      <c r="I353" s="173" t="e">
        <f>_xll.GetCtData("COAMOUNT","CONSAMOUNT",$A$1:$A$8,$A353:$B353,,"#Erreur de syntaxe : Expression incomplète")/10^3*$H353</f>
        <v>#VALUE!</v>
      </c>
      <c r="J353" s="173"/>
      <c r="K353" s="173"/>
      <c r="L353" s="173" t="e">
        <f>_xll.GetCtData("COAMOUNT","CONSAMOUNT",$A$1:$A$8,$A353:$B353,,"#Erreur de syntaxe : Expression incomplète")/10^3*$H353</f>
        <v>#VALUE!</v>
      </c>
      <c r="N353" s="173" t="e">
        <f>_xll.GetCtData("COAMOUNT","CONSAMOUNT",$A$1:$A$8,$A353:$B353,,"#Erreur de syntaxe : Expression incomplète")/10^3*$H353</f>
        <v>#VALUE!</v>
      </c>
      <c r="P353" s="173" t="e">
        <f t="shared" si="23"/>
        <v>#VALUE!</v>
      </c>
    </row>
    <row r="354" spans="1:16" s="115" customFormat="1" ht="12" hidden="1" outlineLevel="3" thickBot="1">
      <c r="A354" s="115" t="str">
        <f t="shared" si="21"/>
        <v>P39700100B</v>
      </c>
      <c r="B354" s="115" t="str">
        <f t="shared" si="22"/>
        <v>F98</v>
      </c>
      <c r="C354" s="135" t="s">
        <v>1141</v>
      </c>
      <c r="D354" s="135"/>
      <c r="E354" s="135" t="s">
        <v>1142</v>
      </c>
      <c r="F354" s="131" t="s">
        <v>158</v>
      </c>
      <c r="G354" s="131" t="e">
        <v>#VALUE!</v>
      </c>
      <c r="H354" s="173">
        <v>-1</v>
      </c>
      <c r="I354" s="173" t="e">
        <f>_xll.GetCtData("COAMOUNT","CONSAMOUNT",$A$1:$A$8,$A354:$B354,,"#Erreur de syntaxe : Expression incomplète")/10^3*$H354</f>
        <v>#VALUE!</v>
      </c>
      <c r="J354" s="173"/>
      <c r="K354" s="173"/>
      <c r="L354" s="173" t="e">
        <f>_xll.GetCtData("COAMOUNT","CONSAMOUNT",$A$1:$A$8,$A354:$B354,,"#Erreur de syntaxe : Expression incomplète")/10^3*$H354</f>
        <v>#VALUE!</v>
      </c>
      <c r="N354" s="173" t="e">
        <f>_xll.GetCtData("COAMOUNT","CONSAMOUNT",$A$1:$A$8,$A354:$B354,,"#Erreur de syntaxe : Expression incomplète")/10^3*$H354</f>
        <v>#VALUE!</v>
      </c>
      <c r="P354" s="173" t="e">
        <f t="shared" si="23"/>
        <v>#VALUE!</v>
      </c>
    </row>
    <row r="355" spans="1:16" s="115" customFormat="1" ht="12" hidden="1" outlineLevel="3" thickBot="1">
      <c r="A355" s="115" t="str">
        <f t="shared" si="21"/>
        <v>P39400000B</v>
      </c>
      <c r="B355" s="115" t="str">
        <f t="shared" si="22"/>
        <v>F98</v>
      </c>
      <c r="C355" s="135" t="s">
        <v>1744</v>
      </c>
      <c r="D355" s="135"/>
      <c r="E355" s="135" t="s">
        <v>1745</v>
      </c>
      <c r="F355" s="131" t="s">
        <v>158</v>
      </c>
      <c r="G355" s="131" t="e">
        <v>#VALUE!</v>
      </c>
      <c r="H355" s="173">
        <v>-1</v>
      </c>
      <c r="I355" s="173" t="e">
        <f>_xll.GetCtData("COAMOUNT","CONSAMOUNT",$A$1:$A$8,$A355:$B355,,"#Erreur de syntaxe : Expression incomplète")/10^3*$H355</f>
        <v>#VALUE!</v>
      </c>
      <c r="J355" s="173"/>
      <c r="K355" s="173"/>
      <c r="L355" s="173" t="e">
        <f>_xll.GetCtData("COAMOUNT","CONSAMOUNT",$A$1:$A$8,$A355:$B355,,"#Erreur de syntaxe : Expression incomplète")/10^3*$H355</f>
        <v>#VALUE!</v>
      </c>
      <c r="N355" s="173" t="e">
        <f>_xll.GetCtData("COAMOUNT","CONSAMOUNT",$A$1:$A$8,$A355:$B355,,"#Erreur de syntaxe : Expression incomplète")/10^3*$H355</f>
        <v>#VALUE!</v>
      </c>
      <c r="P355" s="173" t="e">
        <f t="shared" si="23"/>
        <v>#VALUE!</v>
      </c>
    </row>
    <row r="356" spans="1:16" s="115" customFormat="1" ht="12" hidden="1" outlineLevel="3" thickBot="1">
      <c r="A356" s="115" t="str">
        <f t="shared" si="21"/>
        <v>P39410000B</v>
      </c>
      <c r="B356" s="115" t="str">
        <f t="shared" si="22"/>
        <v>F98</v>
      </c>
      <c r="C356" s="135" t="s">
        <v>1143</v>
      </c>
      <c r="D356" s="135"/>
      <c r="E356" s="135" t="s">
        <v>1144</v>
      </c>
      <c r="F356" s="131" t="s">
        <v>158</v>
      </c>
      <c r="G356" s="131" t="e">
        <v>#VALUE!</v>
      </c>
      <c r="H356" s="173">
        <v>-1</v>
      </c>
      <c r="I356" s="173" t="e">
        <f>_xll.GetCtData("COAMOUNT","CONSAMOUNT",$A$1:$A$8,$A356:$B356,,"#Erreur de syntaxe : Expression incomplète")/10^3*$H356</f>
        <v>#VALUE!</v>
      </c>
      <c r="J356" s="173"/>
      <c r="K356" s="173"/>
      <c r="L356" s="173" t="e">
        <f>_xll.GetCtData("COAMOUNT","CONSAMOUNT",$A$1:$A$8,$A356:$B356,,"#Erreur de syntaxe : Expression incomplète")/10^3*$H356</f>
        <v>#VALUE!</v>
      </c>
      <c r="N356" s="173" t="e">
        <f>_xll.GetCtData("COAMOUNT","CONSAMOUNT",$A$1:$A$8,$A356:$B356,,"#Erreur de syntaxe : Expression incomplète")/10^3*$H356</f>
        <v>#VALUE!</v>
      </c>
      <c r="P356" s="173" t="e">
        <f t="shared" si="23"/>
        <v>#VALUE!</v>
      </c>
    </row>
    <row r="357" spans="1:16" s="115" customFormat="1" ht="12" hidden="1" outlineLevel="3" thickBot="1">
      <c r="A357" s="115" t="str">
        <f t="shared" si="21"/>
        <v>P39700000V</v>
      </c>
      <c r="B357" s="115" t="str">
        <f t="shared" si="22"/>
        <v>F98</v>
      </c>
      <c r="C357" s="135" t="s">
        <v>1747</v>
      </c>
      <c r="D357" s="135"/>
      <c r="E357" s="135" t="s">
        <v>1748</v>
      </c>
      <c r="F357" s="131" t="s">
        <v>158</v>
      </c>
      <c r="G357" s="131" t="e">
        <v>#VALUE!</v>
      </c>
      <c r="H357" s="173">
        <v>-1</v>
      </c>
      <c r="I357" s="173" t="e">
        <f>_xll.GetCtData("COAMOUNT","CONSAMOUNT",$A$1:$A$8,$A357:$B357,,"#Erreur de syntaxe : Expression incomplète")/10^3*$H357</f>
        <v>#VALUE!</v>
      </c>
      <c r="J357" s="173"/>
      <c r="K357" s="173"/>
      <c r="L357" s="173" t="e">
        <f>_xll.GetCtData("COAMOUNT","CONSAMOUNT",$A$1:$A$8,$A357:$B357,,"#Erreur de syntaxe : Expression incomplète")/10^3*$H357</f>
        <v>#VALUE!</v>
      </c>
      <c r="N357" s="173" t="e">
        <f>_xll.GetCtData("COAMOUNT","CONSAMOUNT",$A$1:$A$8,$A357:$B357,,"#Erreur de syntaxe : Expression incomplète")/10^3*$H357</f>
        <v>#VALUE!</v>
      </c>
      <c r="P357" s="173" t="e">
        <f t="shared" si="23"/>
        <v>#VALUE!</v>
      </c>
    </row>
    <row r="358" spans="1:16" s="115" customFormat="1" ht="12" hidden="1" outlineLevel="3" thickBot="1">
      <c r="A358" s="115" t="str">
        <f t="shared" si="21"/>
        <v>P39700100V</v>
      </c>
      <c r="B358" s="115" t="str">
        <f t="shared" si="22"/>
        <v>F98</v>
      </c>
      <c r="C358" s="135" t="s">
        <v>1135</v>
      </c>
      <c r="D358" s="135"/>
      <c r="E358" s="135" t="s">
        <v>1136</v>
      </c>
      <c r="F358" s="131" t="s">
        <v>158</v>
      </c>
      <c r="G358" s="131" t="e">
        <v>#VALUE!</v>
      </c>
      <c r="H358" s="173">
        <v>-1</v>
      </c>
      <c r="I358" s="173" t="e">
        <f>_xll.GetCtData("COAMOUNT","CONSAMOUNT",$A$1:$A$8,$A358:$B358,,"#Erreur de syntaxe : Expression incomplète")/10^3*$H358</f>
        <v>#VALUE!</v>
      </c>
      <c r="J358" s="173"/>
      <c r="K358" s="173"/>
      <c r="L358" s="173" t="e">
        <f>_xll.GetCtData("COAMOUNT","CONSAMOUNT",$A$1:$A$8,$A358:$B358,,"#Erreur de syntaxe : Expression incomplète")/10^3*$H358</f>
        <v>#VALUE!</v>
      </c>
      <c r="N358" s="173" t="e">
        <f>_xll.GetCtData("COAMOUNT","CONSAMOUNT",$A$1:$A$8,$A358:$B358,,"#Erreur de syntaxe : Expression incomplète")/10^3*$H358</f>
        <v>#VALUE!</v>
      </c>
      <c r="P358" s="173" t="e">
        <f t="shared" si="23"/>
        <v>#VALUE!</v>
      </c>
    </row>
    <row r="359" spans="1:16" s="115" customFormat="1" ht="12" hidden="1" outlineLevel="3" thickBot="1">
      <c r="A359" s="115" t="str">
        <f t="shared" si="21"/>
        <v>P39400000V</v>
      </c>
      <c r="B359" s="115" t="str">
        <f t="shared" si="22"/>
        <v>F98</v>
      </c>
      <c r="C359" s="135" t="s">
        <v>1753</v>
      </c>
      <c r="D359" s="135"/>
      <c r="E359" s="135" t="s">
        <v>1754</v>
      </c>
      <c r="F359" s="131" t="s">
        <v>158</v>
      </c>
      <c r="G359" s="131" t="e">
        <v>#VALUE!</v>
      </c>
      <c r="H359" s="173">
        <v>-1</v>
      </c>
      <c r="I359" s="173" t="e">
        <f>_xll.GetCtData("COAMOUNT","CONSAMOUNT",$A$1:$A$8,$A359:$B359,,"#Erreur de syntaxe : Expression incomplète")/10^3*$H359</f>
        <v>#VALUE!</v>
      </c>
      <c r="J359" s="173"/>
      <c r="K359" s="173"/>
      <c r="L359" s="173" t="e">
        <f>_xll.GetCtData("COAMOUNT","CONSAMOUNT",$A$1:$A$8,$A359:$B359,,"#Erreur de syntaxe : Expression incomplète")/10^3*$H359</f>
        <v>#VALUE!</v>
      </c>
      <c r="N359" s="173" t="e">
        <f>_xll.GetCtData("COAMOUNT","CONSAMOUNT",$A$1:$A$8,$A359:$B359,,"#Erreur de syntaxe : Expression incomplète")/10^3*$H359</f>
        <v>#VALUE!</v>
      </c>
      <c r="P359" s="173" t="e">
        <f t="shared" si="23"/>
        <v>#VALUE!</v>
      </c>
    </row>
    <row r="360" spans="1:16" s="115" customFormat="1" ht="12" hidden="1" outlineLevel="3" thickBot="1">
      <c r="A360" s="115" t="str">
        <f t="shared" si="21"/>
        <v>P39410000V</v>
      </c>
      <c r="B360" s="115" t="str">
        <f t="shared" si="22"/>
        <v>F98</v>
      </c>
      <c r="C360" s="135" t="s">
        <v>1137</v>
      </c>
      <c r="D360" s="135"/>
      <c r="E360" s="135" t="s">
        <v>1138</v>
      </c>
      <c r="F360" s="131" t="s">
        <v>158</v>
      </c>
      <c r="G360" s="131" t="e">
        <v>#VALUE!</v>
      </c>
      <c r="H360" s="173">
        <v>-1</v>
      </c>
      <c r="I360" s="173" t="e">
        <f>_xll.GetCtData("COAMOUNT","CONSAMOUNT",$A$1:$A$8,$A360:$B360,,"#Erreur de syntaxe : Expression incomplète")/10^3*$H360</f>
        <v>#VALUE!</v>
      </c>
      <c r="J360" s="173"/>
      <c r="K360" s="173"/>
      <c r="L360" s="173" t="e">
        <f>_xll.GetCtData("COAMOUNT","CONSAMOUNT",$A$1:$A$8,$A360:$B360,,"#Erreur de syntaxe : Expression incomplète")/10^3*$H360</f>
        <v>#VALUE!</v>
      </c>
      <c r="N360" s="173" t="e">
        <f>_xll.GetCtData("COAMOUNT","CONSAMOUNT",$A$1:$A$8,$A360:$B360,,"#Erreur de syntaxe : Expression incomplète")/10^3*$H360</f>
        <v>#VALUE!</v>
      </c>
      <c r="P360" s="173" t="e">
        <f t="shared" si="23"/>
        <v>#VALUE!</v>
      </c>
    </row>
    <row r="361" spans="1:16" s="115" customFormat="1" ht="12" hidden="1" outlineLevel="3" thickBot="1">
      <c r="A361" s="115" t="str">
        <f t="shared" ref="A361:A424" si="24">$C$1&amp;C361</f>
        <v>A39700000B</v>
      </c>
      <c r="B361" s="115" t="str">
        <f t="shared" ref="B361:B424" si="25">$C$2&amp;F361</f>
        <v>F91</v>
      </c>
      <c r="C361" s="135" t="s">
        <v>1690</v>
      </c>
      <c r="D361" s="135"/>
      <c r="E361" s="135" t="s">
        <v>1691</v>
      </c>
      <c r="F361" s="131" t="s">
        <v>152</v>
      </c>
      <c r="G361" s="131" t="e">
        <v>#VALUE!</v>
      </c>
      <c r="H361" s="173">
        <v>1</v>
      </c>
      <c r="I361" s="173" t="e">
        <f>_xll.GetCtData("COAMOUNT","CONSAMOUNT",$A$1:$A$8,$A361:$B361,,"#Erreur de syntaxe : Expression incomplète")/10^3*$H361</f>
        <v>#VALUE!</v>
      </c>
      <c r="J361" s="173"/>
      <c r="K361" s="173"/>
      <c r="L361" s="173" t="e">
        <f>_xll.GetCtData("COAMOUNT","CONSAMOUNT",$A$1:$A$8,$A361:$B361,,"#Erreur de syntaxe : Expression incomplète")/10^3*$H361</f>
        <v>#VALUE!</v>
      </c>
      <c r="N361" s="173" t="e">
        <f>_xll.GetCtData("COAMOUNT","CONSAMOUNT",$A$1:$A$8,$A361:$B361,,"#Erreur de syntaxe : Expression incomplète")/10^3*$H361</f>
        <v>#VALUE!</v>
      </c>
      <c r="P361" s="173" t="e">
        <f t="shared" si="23"/>
        <v>#VALUE!</v>
      </c>
    </row>
    <row r="362" spans="1:16" s="115" customFormat="1" ht="12" hidden="1" outlineLevel="3" thickBot="1">
      <c r="A362" s="115" t="str">
        <f t="shared" si="24"/>
        <v>A39700100B</v>
      </c>
      <c r="B362" s="115" t="str">
        <f t="shared" si="25"/>
        <v>F91</v>
      </c>
      <c r="C362" s="135" t="s">
        <v>1714</v>
      </c>
      <c r="D362" s="135"/>
      <c r="E362" s="135" t="s">
        <v>1715</v>
      </c>
      <c r="F362" s="131" t="s">
        <v>152</v>
      </c>
      <c r="G362" s="131" t="e">
        <v>#VALUE!</v>
      </c>
      <c r="H362" s="173">
        <v>1</v>
      </c>
      <c r="I362" s="173" t="e">
        <f>_xll.GetCtData("COAMOUNT","CONSAMOUNT",$A$1:$A$8,$A362:$B362,,"#Erreur de syntaxe : Expression incomplète")/10^3*$H362</f>
        <v>#VALUE!</v>
      </c>
      <c r="J362" s="173"/>
      <c r="K362" s="173"/>
      <c r="L362" s="173" t="e">
        <f>_xll.GetCtData("COAMOUNT","CONSAMOUNT",$A$1:$A$8,$A362:$B362,,"#Erreur de syntaxe : Expression incomplète")/10^3*$H362</f>
        <v>#VALUE!</v>
      </c>
      <c r="N362" s="173" t="e">
        <f>_xll.GetCtData("COAMOUNT","CONSAMOUNT",$A$1:$A$8,$A362:$B362,,"#Erreur de syntaxe : Expression incomplète")/10^3*$H362</f>
        <v>#VALUE!</v>
      </c>
      <c r="P362" s="173" t="e">
        <f t="shared" si="23"/>
        <v>#VALUE!</v>
      </c>
    </row>
    <row r="363" spans="1:16" s="115" customFormat="1" ht="12" hidden="1" outlineLevel="3" thickBot="1">
      <c r="A363" s="115" t="str">
        <f t="shared" si="24"/>
        <v>A39400000B</v>
      </c>
      <c r="B363" s="115" t="str">
        <f t="shared" si="25"/>
        <v>F91</v>
      </c>
      <c r="C363" s="135" t="s">
        <v>1708</v>
      </c>
      <c r="D363" s="135"/>
      <c r="E363" s="135" t="s">
        <v>1709</v>
      </c>
      <c r="F363" s="131" t="s">
        <v>152</v>
      </c>
      <c r="G363" s="131" t="e">
        <v>#VALUE!</v>
      </c>
      <c r="H363" s="173">
        <v>1</v>
      </c>
      <c r="I363" s="173" t="e">
        <f>_xll.GetCtData("COAMOUNT","CONSAMOUNT",$A$1:$A$8,$A363:$B363,,"#Erreur de syntaxe : Expression incomplète")/10^3*$H363</f>
        <v>#VALUE!</v>
      </c>
      <c r="J363" s="173"/>
      <c r="K363" s="173"/>
      <c r="L363" s="173" t="e">
        <f>_xll.GetCtData("COAMOUNT","CONSAMOUNT",$A$1:$A$8,$A363:$B363,,"#Erreur de syntaxe : Expression incomplète")/10^3*$H363</f>
        <v>#VALUE!</v>
      </c>
      <c r="N363" s="173" t="e">
        <f>_xll.GetCtData("COAMOUNT","CONSAMOUNT",$A$1:$A$8,$A363:$B363,,"#Erreur de syntaxe : Expression incomplète")/10^3*$H363</f>
        <v>#VALUE!</v>
      </c>
      <c r="P363" s="173" t="e">
        <f t="shared" si="23"/>
        <v>#VALUE!</v>
      </c>
    </row>
    <row r="364" spans="1:16" s="115" customFormat="1" ht="12" hidden="1" outlineLevel="3" thickBot="1">
      <c r="A364" s="115" t="str">
        <f t="shared" si="24"/>
        <v>A39410000B</v>
      </c>
      <c r="B364" s="115" t="str">
        <f t="shared" si="25"/>
        <v>F91</v>
      </c>
      <c r="C364" s="135" t="s">
        <v>1726</v>
      </c>
      <c r="D364" s="135"/>
      <c r="E364" s="135" t="s">
        <v>1727</v>
      </c>
      <c r="F364" s="131" t="s">
        <v>152</v>
      </c>
      <c r="G364" s="131" t="e">
        <v>#VALUE!</v>
      </c>
      <c r="H364" s="173">
        <v>1</v>
      </c>
      <c r="I364" s="173" t="e">
        <f>_xll.GetCtData("COAMOUNT","CONSAMOUNT",$A$1:$A$8,$A364:$B364,,"#Erreur de syntaxe : Expression incomplète")/10^3*$H364</f>
        <v>#VALUE!</v>
      </c>
      <c r="J364" s="173"/>
      <c r="K364" s="173"/>
      <c r="L364" s="173" t="e">
        <f>_xll.GetCtData("COAMOUNT","CONSAMOUNT",$A$1:$A$8,$A364:$B364,,"#Erreur de syntaxe : Expression incomplète")/10^3*$H364</f>
        <v>#VALUE!</v>
      </c>
      <c r="N364" s="173" t="e">
        <f>_xll.GetCtData("COAMOUNT","CONSAMOUNT",$A$1:$A$8,$A364:$B364,,"#Erreur de syntaxe : Expression incomplète")/10^3*$H364</f>
        <v>#VALUE!</v>
      </c>
      <c r="P364" s="173" t="e">
        <f t="shared" si="23"/>
        <v>#VALUE!</v>
      </c>
    </row>
    <row r="365" spans="1:16" s="115" customFormat="1" ht="12" hidden="1" outlineLevel="3" thickBot="1">
      <c r="A365" s="115" t="str">
        <f t="shared" si="24"/>
        <v>A39700000V</v>
      </c>
      <c r="B365" s="115" t="str">
        <f t="shared" si="25"/>
        <v>F91</v>
      </c>
      <c r="C365" s="135" t="s">
        <v>1693</v>
      </c>
      <c r="D365" s="135"/>
      <c r="E365" s="135" t="s">
        <v>1694</v>
      </c>
      <c r="F365" s="131" t="s">
        <v>152</v>
      </c>
      <c r="G365" s="131" t="e">
        <v>#VALUE!</v>
      </c>
      <c r="H365" s="173">
        <v>1</v>
      </c>
      <c r="I365" s="173" t="e">
        <f>_xll.GetCtData("COAMOUNT","CONSAMOUNT",$A$1:$A$8,$A365:$B365,,"#Erreur de syntaxe : Expression incomplète")/10^3*$H365</f>
        <v>#VALUE!</v>
      </c>
      <c r="J365" s="173"/>
      <c r="K365" s="173"/>
      <c r="L365" s="173" t="e">
        <f>_xll.GetCtData("COAMOUNT","CONSAMOUNT",$A$1:$A$8,$A365:$B365,,"#Erreur de syntaxe : Expression incomplète")/10^3*$H365</f>
        <v>#VALUE!</v>
      </c>
      <c r="N365" s="173" t="e">
        <f>_xll.GetCtData("COAMOUNT","CONSAMOUNT",$A$1:$A$8,$A365:$B365,,"#Erreur de syntaxe : Expression incomplète")/10^3*$H365</f>
        <v>#VALUE!</v>
      </c>
      <c r="P365" s="173" t="e">
        <f t="shared" si="23"/>
        <v>#VALUE!</v>
      </c>
    </row>
    <row r="366" spans="1:16" s="115" customFormat="1" ht="12" hidden="1" outlineLevel="3" thickBot="1">
      <c r="A366" s="115" t="str">
        <f t="shared" si="24"/>
        <v>A39700100V</v>
      </c>
      <c r="B366" s="115" t="str">
        <f t="shared" si="25"/>
        <v>F91</v>
      </c>
      <c r="C366" s="135" t="s">
        <v>1717</v>
      </c>
      <c r="D366" s="135"/>
      <c r="E366" s="135" t="s">
        <v>1718</v>
      </c>
      <c r="F366" s="131" t="s">
        <v>152</v>
      </c>
      <c r="G366" s="131" t="e">
        <v>#VALUE!</v>
      </c>
      <c r="H366" s="173">
        <v>1</v>
      </c>
      <c r="I366" s="173" t="e">
        <f>_xll.GetCtData("COAMOUNT","CONSAMOUNT",$A$1:$A$8,$A366:$B366,,"#Erreur de syntaxe : Expression incomplète")/10^3*$H366</f>
        <v>#VALUE!</v>
      </c>
      <c r="J366" s="173"/>
      <c r="K366" s="173"/>
      <c r="L366" s="173" t="e">
        <f>_xll.GetCtData("COAMOUNT","CONSAMOUNT",$A$1:$A$8,$A366:$B366,,"#Erreur de syntaxe : Expression incomplète")/10^3*$H366</f>
        <v>#VALUE!</v>
      </c>
      <c r="N366" s="173" t="e">
        <f>_xll.GetCtData("COAMOUNT","CONSAMOUNT",$A$1:$A$8,$A366:$B366,,"#Erreur de syntaxe : Expression incomplète")/10^3*$H366</f>
        <v>#VALUE!</v>
      </c>
      <c r="P366" s="173" t="e">
        <f t="shared" si="23"/>
        <v>#VALUE!</v>
      </c>
    </row>
    <row r="367" spans="1:16" s="115" customFormat="1" ht="12" hidden="1" outlineLevel="3" thickBot="1">
      <c r="A367" s="115" t="str">
        <f t="shared" si="24"/>
        <v>A39400000V</v>
      </c>
      <c r="B367" s="115" t="str">
        <f t="shared" si="25"/>
        <v>F91</v>
      </c>
      <c r="C367" s="135" t="s">
        <v>1711</v>
      </c>
      <c r="D367" s="135"/>
      <c r="E367" s="135" t="s">
        <v>1712</v>
      </c>
      <c r="F367" s="131" t="s">
        <v>152</v>
      </c>
      <c r="G367" s="131" t="e">
        <v>#VALUE!</v>
      </c>
      <c r="H367" s="173">
        <v>1</v>
      </c>
      <c r="I367" s="173" t="e">
        <f>_xll.GetCtData("COAMOUNT","CONSAMOUNT",$A$1:$A$8,$A367:$B367,,"#Erreur de syntaxe : Expression incomplète")/10^3*$H367</f>
        <v>#VALUE!</v>
      </c>
      <c r="J367" s="173"/>
      <c r="K367" s="173"/>
      <c r="L367" s="173" t="e">
        <f>_xll.GetCtData("COAMOUNT","CONSAMOUNT",$A$1:$A$8,$A367:$B367,,"#Erreur de syntaxe : Expression incomplète")/10^3*$H367</f>
        <v>#VALUE!</v>
      </c>
      <c r="N367" s="173" t="e">
        <f>_xll.GetCtData("COAMOUNT","CONSAMOUNT",$A$1:$A$8,$A367:$B367,,"#Erreur de syntaxe : Expression incomplète")/10^3*$H367</f>
        <v>#VALUE!</v>
      </c>
      <c r="P367" s="173" t="e">
        <f t="shared" si="23"/>
        <v>#VALUE!</v>
      </c>
    </row>
    <row r="368" spans="1:16" s="115" customFormat="1" ht="12" hidden="1" outlineLevel="3" thickBot="1">
      <c r="A368" s="115" t="str">
        <f t="shared" si="24"/>
        <v>A39410000V</v>
      </c>
      <c r="B368" s="115" t="str">
        <f t="shared" si="25"/>
        <v>F91</v>
      </c>
      <c r="C368" s="135" t="s">
        <v>1729</v>
      </c>
      <c r="D368" s="135"/>
      <c r="E368" s="135" t="s">
        <v>1730</v>
      </c>
      <c r="F368" s="131" t="s">
        <v>152</v>
      </c>
      <c r="G368" s="131" t="e">
        <v>#VALUE!</v>
      </c>
      <c r="H368" s="173">
        <v>1</v>
      </c>
      <c r="I368" s="173" t="e">
        <f>_xll.GetCtData("COAMOUNT","CONSAMOUNT",$A$1:$A$8,$A368:$B368,,"#Erreur de syntaxe : Expression incomplète")/10^3*$H368</f>
        <v>#VALUE!</v>
      </c>
      <c r="J368" s="173"/>
      <c r="K368" s="173"/>
      <c r="L368" s="173" t="e">
        <f>_xll.GetCtData("COAMOUNT","CONSAMOUNT",$A$1:$A$8,$A368:$B368,,"#Erreur de syntaxe : Expression incomplète")/10^3*$H368</f>
        <v>#VALUE!</v>
      </c>
      <c r="N368" s="173" t="e">
        <f>_xll.GetCtData("COAMOUNT","CONSAMOUNT",$A$1:$A$8,$A368:$B368,,"#Erreur de syntaxe : Expression incomplète")/10^3*$H368</f>
        <v>#VALUE!</v>
      </c>
      <c r="P368" s="173" t="e">
        <f t="shared" si="23"/>
        <v>#VALUE!</v>
      </c>
    </row>
    <row r="369" spans="1:16" s="115" customFormat="1" ht="12" hidden="1" outlineLevel="3" thickBot="1">
      <c r="A369" s="115" t="str">
        <f t="shared" si="24"/>
        <v>P39700000B</v>
      </c>
      <c r="B369" s="115" t="str">
        <f t="shared" si="25"/>
        <v>F91</v>
      </c>
      <c r="C369" s="135" t="s">
        <v>1738</v>
      </c>
      <c r="D369" s="135"/>
      <c r="E369" s="135" t="s">
        <v>1739</v>
      </c>
      <c r="F369" s="131" t="s">
        <v>152</v>
      </c>
      <c r="G369" s="131" t="e">
        <v>#VALUE!</v>
      </c>
      <c r="H369" s="173">
        <v>-1</v>
      </c>
      <c r="I369" s="173" t="e">
        <f>_xll.GetCtData("COAMOUNT","CONSAMOUNT",$A$1:$A$8,$A369:$B369,,"#Erreur de syntaxe : Expression incomplète")/10^3*$H369</f>
        <v>#VALUE!</v>
      </c>
      <c r="J369" s="173"/>
      <c r="K369" s="173"/>
      <c r="L369" s="173" t="e">
        <f>_xll.GetCtData("COAMOUNT","CONSAMOUNT",$A$1:$A$8,$A369:$B369,,"#Erreur de syntaxe : Expression incomplète")/10^3*$H369</f>
        <v>#VALUE!</v>
      </c>
      <c r="N369" s="173" t="e">
        <f>_xll.GetCtData("COAMOUNT","CONSAMOUNT",$A$1:$A$8,$A369:$B369,,"#Erreur de syntaxe : Expression incomplète")/10^3*$H369</f>
        <v>#VALUE!</v>
      </c>
      <c r="P369" s="173" t="e">
        <f t="shared" si="23"/>
        <v>#VALUE!</v>
      </c>
    </row>
    <row r="370" spans="1:16" s="115" customFormat="1" ht="12" hidden="1" outlineLevel="3" thickBot="1">
      <c r="A370" s="115" t="str">
        <f t="shared" si="24"/>
        <v>P39700100B</v>
      </c>
      <c r="B370" s="115" t="str">
        <f t="shared" si="25"/>
        <v>F91</v>
      </c>
      <c r="C370" s="135" t="s">
        <v>1141</v>
      </c>
      <c r="D370" s="135"/>
      <c r="E370" s="135" t="s">
        <v>1142</v>
      </c>
      <c r="F370" s="131" t="s">
        <v>152</v>
      </c>
      <c r="G370" s="131" t="e">
        <v>#VALUE!</v>
      </c>
      <c r="H370" s="173">
        <v>-1</v>
      </c>
      <c r="I370" s="173" t="e">
        <f>_xll.GetCtData("COAMOUNT","CONSAMOUNT",$A$1:$A$8,$A370:$B370,,"#Erreur de syntaxe : Expression incomplète")/10^3*$H370</f>
        <v>#VALUE!</v>
      </c>
      <c r="J370" s="173"/>
      <c r="K370" s="173"/>
      <c r="L370" s="173" t="e">
        <f>_xll.GetCtData("COAMOUNT","CONSAMOUNT",$A$1:$A$8,$A370:$B370,,"#Erreur de syntaxe : Expression incomplète")/10^3*$H370</f>
        <v>#VALUE!</v>
      </c>
      <c r="N370" s="173" t="e">
        <f>_xll.GetCtData("COAMOUNT","CONSAMOUNT",$A$1:$A$8,$A370:$B370,,"#Erreur de syntaxe : Expression incomplète")/10^3*$H370</f>
        <v>#VALUE!</v>
      </c>
      <c r="P370" s="173" t="e">
        <f t="shared" si="23"/>
        <v>#VALUE!</v>
      </c>
    </row>
    <row r="371" spans="1:16" s="115" customFormat="1" ht="12" hidden="1" outlineLevel="3" thickBot="1">
      <c r="A371" s="115" t="str">
        <f t="shared" si="24"/>
        <v>P39400000B</v>
      </c>
      <c r="B371" s="115" t="str">
        <f t="shared" si="25"/>
        <v>F91</v>
      </c>
      <c r="C371" s="135" t="s">
        <v>1744</v>
      </c>
      <c r="D371" s="135"/>
      <c r="E371" s="135" t="s">
        <v>1745</v>
      </c>
      <c r="F371" s="131" t="s">
        <v>152</v>
      </c>
      <c r="G371" s="131" t="e">
        <v>#VALUE!</v>
      </c>
      <c r="H371" s="173">
        <v>-1</v>
      </c>
      <c r="I371" s="173" t="e">
        <f>_xll.GetCtData("COAMOUNT","CONSAMOUNT",$A$1:$A$8,$A371:$B371,,"#Erreur de syntaxe : Expression incomplète")/10^3*$H371</f>
        <v>#VALUE!</v>
      </c>
      <c r="J371" s="173"/>
      <c r="K371" s="173"/>
      <c r="L371" s="173" t="e">
        <f>_xll.GetCtData("COAMOUNT","CONSAMOUNT",$A$1:$A$8,$A371:$B371,,"#Erreur de syntaxe : Expression incomplète")/10^3*$H371</f>
        <v>#VALUE!</v>
      </c>
      <c r="N371" s="173" t="e">
        <f>_xll.GetCtData("COAMOUNT","CONSAMOUNT",$A$1:$A$8,$A371:$B371,,"#Erreur de syntaxe : Expression incomplète")/10^3*$H371</f>
        <v>#VALUE!</v>
      </c>
      <c r="P371" s="173" t="e">
        <f t="shared" si="23"/>
        <v>#VALUE!</v>
      </c>
    </row>
    <row r="372" spans="1:16" s="115" customFormat="1" ht="12" hidden="1" outlineLevel="3" thickBot="1">
      <c r="A372" s="115" t="str">
        <f t="shared" si="24"/>
        <v>P39410000B</v>
      </c>
      <c r="B372" s="115" t="str">
        <f t="shared" si="25"/>
        <v>F91</v>
      </c>
      <c r="C372" s="135" t="s">
        <v>1143</v>
      </c>
      <c r="D372" s="135"/>
      <c r="E372" s="135" t="s">
        <v>1144</v>
      </c>
      <c r="F372" s="131" t="s">
        <v>152</v>
      </c>
      <c r="G372" s="131" t="e">
        <v>#VALUE!</v>
      </c>
      <c r="H372" s="173">
        <v>-1</v>
      </c>
      <c r="I372" s="173" t="e">
        <f>_xll.GetCtData("COAMOUNT","CONSAMOUNT",$A$1:$A$8,$A372:$B372,,"#Erreur de syntaxe : Expression incomplète")/10^3*$H372</f>
        <v>#VALUE!</v>
      </c>
      <c r="J372" s="173"/>
      <c r="K372" s="173"/>
      <c r="L372" s="173" t="e">
        <f>_xll.GetCtData("COAMOUNT","CONSAMOUNT",$A$1:$A$8,$A372:$B372,,"#Erreur de syntaxe : Expression incomplète")/10^3*$H372</f>
        <v>#VALUE!</v>
      </c>
      <c r="N372" s="173" t="e">
        <f>_xll.GetCtData("COAMOUNT","CONSAMOUNT",$A$1:$A$8,$A372:$B372,,"#Erreur de syntaxe : Expression incomplète")/10^3*$H372</f>
        <v>#VALUE!</v>
      </c>
      <c r="P372" s="173" t="e">
        <f t="shared" si="23"/>
        <v>#VALUE!</v>
      </c>
    </row>
    <row r="373" spans="1:16" s="115" customFormat="1" ht="12" hidden="1" outlineLevel="3" thickBot="1">
      <c r="A373" s="115" t="str">
        <f t="shared" si="24"/>
        <v>P39700000V</v>
      </c>
      <c r="B373" s="115" t="str">
        <f t="shared" si="25"/>
        <v>F91</v>
      </c>
      <c r="C373" s="135" t="s">
        <v>1747</v>
      </c>
      <c r="D373" s="135"/>
      <c r="E373" s="135" t="s">
        <v>1748</v>
      </c>
      <c r="F373" s="131" t="s">
        <v>152</v>
      </c>
      <c r="G373" s="131" t="e">
        <v>#VALUE!</v>
      </c>
      <c r="H373" s="173">
        <v>-1</v>
      </c>
      <c r="I373" s="173" t="e">
        <f>_xll.GetCtData("COAMOUNT","CONSAMOUNT",$A$1:$A$8,$A373:$B373,,"#Erreur de syntaxe : Expression incomplète")/10^3*$H373</f>
        <v>#VALUE!</v>
      </c>
      <c r="J373" s="173"/>
      <c r="K373" s="173"/>
      <c r="L373" s="173" t="e">
        <f>_xll.GetCtData("COAMOUNT","CONSAMOUNT",$A$1:$A$8,$A373:$B373,,"#Erreur de syntaxe : Expression incomplète")/10^3*$H373</f>
        <v>#VALUE!</v>
      </c>
      <c r="N373" s="173" t="e">
        <f>_xll.GetCtData("COAMOUNT","CONSAMOUNT",$A$1:$A$8,$A373:$B373,,"#Erreur de syntaxe : Expression incomplète")/10^3*$H373</f>
        <v>#VALUE!</v>
      </c>
      <c r="P373" s="173" t="e">
        <f t="shared" si="23"/>
        <v>#VALUE!</v>
      </c>
    </row>
    <row r="374" spans="1:16" s="115" customFormat="1" ht="12" hidden="1" outlineLevel="3" thickBot="1">
      <c r="A374" s="115" t="str">
        <f t="shared" si="24"/>
        <v>P39700100V</v>
      </c>
      <c r="B374" s="115" t="str">
        <f t="shared" si="25"/>
        <v>F91</v>
      </c>
      <c r="C374" s="135" t="s">
        <v>1135</v>
      </c>
      <c r="D374" s="135"/>
      <c r="E374" s="135" t="s">
        <v>1136</v>
      </c>
      <c r="F374" s="131" t="s">
        <v>152</v>
      </c>
      <c r="G374" s="131" t="e">
        <v>#VALUE!</v>
      </c>
      <c r="H374" s="173">
        <v>-1</v>
      </c>
      <c r="I374" s="173" t="e">
        <f>_xll.GetCtData("COAMOUNT","CONSAMOUNT",$A$1:$A$8,$A374:$B374,,"#Erreur de syntaxe : Expression incomplète")/10^3*$H374</f>
        <v>#VALUE!</v>
      </c>
      <c r="J374" s="173"/>
      <c r="K374" s="173"/>
      <c r="L374" s="173" t="e">
        <f>_xll.GetCtData("COAMOUNT","CONSAMOUNT",$A$1:$A$8,$A374:$B374,,"#Erreur de syntaxe : Expression incomplète")/10^3*$H374</f>
        <v>#VALUE!</v>
      </c>
      <c r="N374" s="173" t="e">
        <f>_xll.GetCtData("COAMOUNT","CONSAMOUNT",$A$1:$A$8,$A374:$B374,,"#Erreur de syntaxe : Expression incomplète")/10^3*$H374</f>
        <v>#VALUE!</v>
      </c>
      <c r="P374" s="173" t="e">
        <f t="shared" si="23"/>
        <v>#VALUE!</v>
      </c>
    </row>
    <row r="375" spans="1:16" s="115" customFormat="1" ht="12" hidden="1" outlineLevel="3" thickBot="1">
      <c r="A375" s="115" t="str">
        <f t="shared" si="24"/>
        <v>P39400000V</v>
      </c>
      <c r="B375" s="115" t="str">
        <f t="shared" si="25"/>
        <v>F91</v>
      </c>
      <c r="C375" s="135" t="s">
        <v>1753</v>
      </c>
      <c r="D375" s="135"/>
      <c r="E375" s="135" t="s">
        <v>1754</v>
      </c>
      <c r="F375" s="131" t="s">
        <v>152</v>
      </c>
      <c r="G375" s="131" t="e">
        <v>#VALUE!</v>
      </c>
      <c r="H375" s="173">
        <v>-1</v>
      </c>
      <c r="I375" s="173" t="e">
        <f>_xll.GetCtData("COAMOUNT","CONSAMOUNT",$A$1:$A$8,$A375:$B375,,"#Erreur de syntaxe : Expression incomplète")/10^3*$H375</f>
        <v>#VALUE!</v>
      </c>
      <c r="J375" s="173"/>
      <c r="K375" s="173"/>
      <c r="L375" s="173" t="e">
        <f>_xll.GetCtData("COAMOUNT","CONSAMOUNT",$A$1:$A$8,$A375:$B375,,"#Erreur de syntaxe : Expression incomplète")/10^3*$H375</f>
        <v>#VALUE!</v>
      </c>
      <c r="N375" s="173" t="e">
        <f>_xll.GetCtData("COAMOUNT","CONSAMOUNT",$A$1:$A$8,$A375:$B375,,"#Erreur de syntaxe : Expression incomplète")/10^3*$H375</f>
        <v>#VALUE!</v>
      </c>
      <c r="P375" s="173" t="e">
        <f t="shared" si="23"/>
        <v>#VALUE!</v>
      </c>
    </row>
    <row r="376" spans="1:16" s="115" customFormat="1" ht="12" hidden="1" outlineLevel="3" thickBot="1">
      <c r="A376" s="115" t="str">
        <f t="shared" si="24"/>
        <v>P39410000V</v>
      </c>
      <c r="B376" s="115" t="str">
        <f t="shared" si="25"/>
        <v>F91</v>
      </c>
      <c r="C376" s="135" t="s">
        <v>1137</v>
      </c>
      <c r="D376" s="135"/>
      <c r="E376" s="135" t="s">
        <v>1138</v>
      </c>
      <c r="F376" s="131" t="s">
        <v>152</v>
      </c>
      <c r="G376" s="131" t="e">
        <v>#VALUE!</v>
      </c>
      <c r="H376" s="173">
        <v>-1</v>
      </c>
      <c r="I376" s="173" t="e">
        <f>_xll.GetCtData("COAMOUNT","CONSAMOUNT",$A$1:$A$8,$A376:$B376,,"#Erreur de syntaxe : Expression incomplète")/10^3*$H376</f>
        <v>#VALUE!</v>
      </c>
      <c r="J376" s="173"/>
      <c r="K376" s="173"/>
      <c r="L376" s="173" t="e">
        <f>_xll.GetCtData("COAMOUNT","CONSAMOUNT",$A$1:$A$8,$A376:$B376,,"#Erreur de syntaxe : Expression incomplète")/10^3*$H376</f>
        <v>#VALUE!</v>
      </c>
      <c r="N376" s="173" t="e">
        <f>_xll.GetCtData("COAMOUNT","CONSAMOUNT",$A$1:$A$8,$A376:$B376,,"#Erreur de syntaxe : Expression incomplète")/10^3*$H376</f>
        <v>#VALUE!</v>
      </c>
      <c r="P376" s="173" t="e">
        <f t="shared" si="23"/>
        <v>#VALUE!</v>
      </c>
    </row>
    <row r="377" spans="1:16" s="115" customFormat="1" ht="12" hidden="1" outlineLevel="3" thickBot="1">
      <c r="A377" s="115" t="str">
        <f t="shared" si="24"/>
        <v>A39700000B</v>
      </c>
      <c r="B377" s="115" t="str">
        <f t="shared" si="25"/>
        <v>F97</v>
      </c>
      <c r="C377" s="135" t="s">
        <v>1690</v>
      </c>
      <c r="D377" s="135"/>
      <c r="E377" s="135" t="s">
        <v>1691</v>
      </c>
      <c r="F377" s="131" t="s">
        <v>155</v>
      </c>
      <c r="G377" s="131" t="e">
        <v>#VALUE!</v>
      </c>
      <c r="H377" s="173">
        <v>1</v>
      </c>
      <c r="I377" s="173" t="e">
        <f>_xll.GetCtData("COAMOUNT","CONSAMOUNT",$A$1:$A$8,$A377:$B377,,"#Erreur de syntaxe : Expression incomplète")/10^3*$H377</f>
        <v>#VALUE!</v>
      </c>
      <c r="J377" s="173"/>
      <c r="K377" s="173"/>
      <c r="L377" s="173" t="e">
        <f>_xll.GetCtData("COAMOUNT","CONSAMOUNT",$A$1:$A$8,$A377:$B377,,"#Erreur de syntaxe : Expression incomplète")/10^3*$H377</f>
        <v>#VALUE!</v>
      </c>
      <c r="N377" s="173" t="e">
        <f>_xll.GetCtData("COAMOUNT","CONSAMOUNT",$A$1:$A$8,$A377:$B377,,"#Erreur de syntaxe : Expression incomplète")/10^3*$H377</f>
        <v>#VALUE!</v>
      </c>
      <c r="P377" s="173" t="e">
        <f t="shared" si="23"/>
        <v>#VALUE!</v>
      </c>
    </row>
    <row r="378" spans="1:16" s="115" customFormat="1" ht="12" hidden="1" outlineLevel="3" thickBot="1">
      <c r="A378" s="115" t="str">
        <f t="shared" si="24"/>
        <v>A39700100B</v>
      </c>
      <c r="B378" s="115" t="str">
        <f t="shared" si="25"/>
        <v>F97</v>
      </c>
      <c r="C378" s="135" t="s">
        <v>1714</v>
      </c>
      <c r="D378" s="135"/>
      <c r="E378" s="135" t="s">
        <v>1715</v>
      </c>
      <c r="F378" s="131" t="s">
        <v>155</v>
      </c>
      <c r="G378" s="131" t="e">
        <v>#VALUE!</v>
      </c>
      <c r="H378" s="173">
        <v>1</v>
      </c>
      <c r="I378" s="173" t="e">
        <f>_xll.GetCtData("COAMOUNT","CONSAMOUNT",$A$1:$A$8,$A378:$B378,,"#Erreur de syntaxe : Expression incomplète")/10^3*$H378</f>
        <v>#VALUE!</v>
      </c>
      <c r="J378" s="173"/>
      <c r="K378" s="173"/>
      <c r="L378" s="173" t="e">
        <f>_xll.GetCtData("COAMOUNT","CONSAMOUNT",$A$1:$A$8,$A378:$B378,,"#Erreur de syntaxe : Expression incomplète")/10^3*$H378</f>
        <v>#VALUE!</v>
      </c>
      <c r="N378" s="173" t="e">
        <f>_xll.GetCtData("COAMOUNT","CONSAMOUNT",$A$1:$A$8,$A378:$B378,,"#Erreur de syntaxe : Expression incomplète")/10^3*$H378</f>
        <v>#VALUE!</v>
      </c>
      <c r="P378" s="173" t="e">
        <f t="shared" si="23"/>
        <v>#VALUE!</v>
      </c>
    </row>
    <row r="379" spans="1:16" s="115" customFormat="1" ht="12" hidden="1" outlineLevel="3" thickBot="1">
      <c r="A379" s="115" t="str">
        <f t="shared" si="24"/>
        <v>A39400000B</v>
      </c>
      <c r="B379" s="115" t="str">
        <f t="shared" si="25"/>
        <v>F97</v>
      </c>
      <c r="C379" s="135" t="s">
        <v>1708</v>
      </c>
      <c r="D379" s="135"/>
      <c r="E379" s="135" t="s">
        <v>1709</v>
      </c>
      <c r="F379" s="131" t="s">
        <v>155</v>
      </c>
      <c r="G379" s="131" t="e">
        <v>#VALUE!</v>
      </c>
      <c r="H379" s="173">
        <v>1</v>
      </c>
      <c r="I379" s="173" t="e">
        <f>_xll.GetCtData("COAMOUNT","CONSAMOUNT",$A$1:$A$8,$A379:$B379,,"#Erreur de syntaxe : Expression incomplète")/10^3*$H379</f>
        <v>#VALUE!</v>
      </c>
      <c r="J379" s="173"/>
      <c r="K379" s="173"/>
      <c r="L379" s="173" t="e">
        <f>_xll.GetCtData("COAMOUNT","CONSAMOUNT",$A$1:$A$8,$A379:$B379,,"#Erreur de syntaxe : Expression incomplète")/10^3*$H379</f>
        <v>#VALUE!</v>
      </c>
      <c r="N379" s="173" t="e">
        <f>_xll.GetCtData("COAMOUNT","CONSAMOUNT",$A$1:$A$8,$A379:$B379,,"#Erreur de syntaxe : Expression incomplète")/10^3*$H379</f>
        <v>#VALUE!</v>
      </c>
      <c r="P379" s="173" t="e">
        <f t="shared" si="23"/>
        <v>#VALUE!</v>
      </c>
    </row>
    <row r="380" spans="1:16" s="115" customFormat="1" ht="12" hidden="1" outlineLevel="3" thickBot="1">
      <c r="A380" s="115" t="str">
        <f t="shared" si="24"/>
        <v>A39410000B</v>
      </c>
      <c r="B380" s="115" t="str">
        <f t="shared" si="25"/>
        <v>F97</v>
      </c>
      <c r="C380" s="135" t="s">
        <v>1726</v>
      </c>
      <c r="D380" s="135"/>
      <c r="E380" s="135" t="s">
        <v>1727</v>
      </c>
      <c r="F380" s="131" t="s">
        <v>155</v>
      </c>
      <c r="G380" s="131" t="e">
        <v>#VALUE!</v>
      </c>
      <c r="H380" s="173">
        <v>1</v>
      </c>
      <c r="I380" s="173" t="e">
        <f>_xll.GetCtData("COAMOUNT","CONSAMOUNT",$A$1:$A$8,$A380:$B380,,"#Erreur de syntaxe : Expression incomplète")/10^3*$H380</f>
        <v>#VALUE!</v>
      </c>
      <c r="J380" s="173"/>
      <c r="K380" s="173"/>
      <c r="L380" s="173" t="e">
        <f>_xll.GetCtData("COAMOUNT","CONSAMOUNT",$A$1:$A$8,$A380:$B380,,"#Erreur de syntaxe : Expression incomplète")/10^3*$H380</f>
        <v>#VALUE!</v>
      </c>
      <c r="N380" s="173" t="e">
        <f>_xll.GetCtData("COAMOUNT","CONSAMOUNT",$A$1:$A$8,$A380:$B380,,"#Erreur de syntaxe : Expression incomplète")/10^3*$H380</f>
        <v>#VALUE!</v>
      </c>
      <c r="P380" s="173" t="e">
        <f t="shared" si="23"/>
        <v>#VALUE!</v>
      </c>
    </row>
    <row r="381" spans="1:16" s="115" customFormat="1" ht="12" hidden="1" outlineLevel="3" thickBot="1">
      <c r="A381" s="115" t="str">
        <f t="shared" si="24"/>
        <v>A39700000V</v>
      </c>
      <c r="B381" s="115" t="str">
        <f t="shared" si="25"/>
        <v>F97</v>
      </c>
      <c r="C381" s="135" t="s">
        <v>1693</v>
      </c>
      <c r="D381" s="135"/>
      <c r="E381" s="135" t="s">
        <v>1694</v>
      </c>
      <c r="F381" s="131" t="s">
        <v>155</v>
      </c>
      <c r="G381" s="131" t="e">
        <v>#VALUE!</v>
      </c>
      <c r="H381" s="173">
        <v>1</v>
      </c>
      <c r="I381" s="173" t="e">
        <f>_xll.GetCtData("COAMOUNT","CONSAMOUNT",$A$1:$A$8,$A381:$B381,,"#Erreur de syntaxe : Expression incomplète")/10^3*$H381</f>
        <v>#VALUE!</v>
      </c>
      <c r="J381" s="173"/>
      <c r="K381" s="173"/>
      <c r="L381" s="173" t="e">
        <f>_xll.GetCtData("COAMOUNT","CONSAMOUNT",$A$1:$A$8,$A381:$B381,,"#Erreur de syntaxe : Expression incomplète")/10^3*$H381</f>
        <v>#VALUE!</v>
      </c>
      <c r="N381" s="173" t="e">
        <f>_xll.GetCtData("COAMOUNT","CONSAMOUNT",$A$1:$A$8,$A381:$B381,,"#Erreur de syntaxe : Expression incomplète")/10^3*$H381</f>
        <v>#VALUE!</v>
      </c>
      <c r="P381" s="173" t="e">
        <f t="shared" si="23"/>
        <v>#VALUE!</v>
      </c>
    </row>
    <row r="382" spans="1:16" s="115" customFormat="1" ht="12" hidden="1" outlineLevel="3" thickBot="1">
      <c r="A382" s="115" t="str">
        <f t="shared" si="24"/>
        <v>A39700100V</v>
      </c>
      <c r="B382" s="115" t="str">
        <f t="shared" si="25"/>
        <v>F97</v>
      </c>
      <c r="C382" s="135" t="s">
        <v>1717</v>
      </c>
      <c r="D382" s="135"/>
      <c r="E382" s="135" t="s">
        <v>1718</v>
      </c>
      <c r="F382" s="131" t="s">
        <v>155</v>
      </c>
      <c r="G382" s="131" t="e">
        <v>#VALUE!</v>
      </c>
      <c r="H382" s="173">
        <v>1</v>
      </c>
      <c r="I382" s="173" t="e">
        <f>_xll.GetCtData("COAMOUNT","CONSAMOUNT",$A$1:$A$8,$A382:$B382,,"#Erreur de syntaxe : Expression incomplète")/10^3*$H382</f>
        <v>#VALUE!</v>
      </c>
      <c r="J382" s="173"/>
      <c r="K382" s="173"/>
      <c r="L382" s="173" t="e">
        <f>_xll.GetCtData("COAMOUNT","CONSAMOUNT",$A$1:$A$8,$A382:$B382,,"#Erreur de syntaxe : Expression incomplète")/10^3*$H382</f>
        <v>#VALUE!</v>
      </c>
      <c r="N382" s="173" t="e">
        <f>_xll.GetCtData("COAMOUNT","CONSAMOUNT",$A$1:$A$8,$A382:$B382,,"#Erreur de syntaxe : Expression incomplète")/10^3*$H382</f>
        <v>#VALUE!</v>
      </c>
      <c r="P382" s="173" t="e">
        <f t="shared" si="23"/>
        <v>#VALUE!</v>
      </c>
    </row>
    <row r="383" spans="1:16" s="115" customFormat="1" ht="12" hidden="1" outlineLevel="3" thickBot="1">
      <c r="A383" s="115" t="str">
        <f t="shared" si="24"/>
        <v>A39400000V</v>
      </c>
      <c r="B383" s="115" t="str">
        <f t="shared" si="25"/>
        <v>F97</v>
      </c>
      <c r="C383" s="135" t="s">
        <v>1711</v>
      </c>
      <c r="D383" s="135"/>
      <c r="E383" s="135" t="s">
        <v>1712</v>
      </c>
      <c r="F383" s="131" t="s">
        <v>155</v>
      </c>
      <c r="G383" s="131" t="e">
        <v>#VALUE!</v>
      </c>
      <c r="H383" s="173">
        <v>1</v>
      </c>
      <c r="I383" s="173" t="e">
        <f>_xll.GetCtData("COAMOUNT","CONSAMOUNT",$A$1:$A$8,$A383:$B383,,"#Erreur de syntaxe : Expression incomplète")/10^3*$H383</f>
        <v>#VALUE!</v>
      </c>
      <c r="J383" s="173"/>
      <c r="K383" s="173"/>
      <c r="L383" s="173" t="e">
        <f>_xll.GetCtData("COAMOUNT","CONSAMOUNT",$A$1:$A$8,$A383:$B383,,"#Erreur de syntaxe : Expression incomplète")/10^3*$H383</f>
        <v>#VALUE!</v>
      </c>
      <c r="N383" s="173" t="e">
        <f>_xll.GetCtData("COAMOUNT","CONSAMOUNT",$A$1:$A$8,$A383:$B383,,"#Erreur de syntaxe : Expression incomplète")/10^3*$H383</f>
        <v>#VALUE!</v>
      </c>
      <c r="P383" s="173" t="e">
        <f t="shared" si="23"/>
        <v>#VALUE!</v>
      </c>
    </row>
    <row r="384" spans="1:16" s="115" customFormat="1" ht="12" hidden="1" outlineLevel="3" thickBot="1">
      <c r="A384" s="115" t="str">
        <f t="shared" si="24"/>
        <v>A39410000V</v>
      </c>
      <c r="B384" s="115" t="str">
        <f t="shared" si="25"/>
        <v>F97</v>
      </c>
      <c r="C384" s="135" t="s">
        <v>1729</v>
      </c>
      <c r="D384" s="135"/>
      <c r="E384" s="135" t="s">
        <v>1730</v>
      </c>
      <c r="F384" s="131" t="s">
        <v>155</v>
      </c>
      <c r="G384" s="131" t="e">
        <v>#VALUE!</v>
      </c>
      <c r="H384" s="173">
        <v>1</v>
      </c>
      <c r="I384" s="173" t="e">
        <f>_xll.GetCtData("COAMOUNT","CONSAMOUNT",$A$1:$A$8,$A384:$B384,,"#Erreur de syntaxe : Expression incomplète")/10^3*$H384</f>
        <v>#VALUE!</v>
      </c>
      <c r="J384" s="173"/>
      <c r="K384" s="173"/>
      <c r="L384" s="173" t="e">
        <f>_xll.GetCtData("COAMOUNT","CONSAMOUNT",$A$1:$A$8,$A384:$B384,,"#Erreur de syntaxe : Expression incomplète")/10^3*$H384</f>
        <v>#VALUE!</v>
      </c>
      <c r="N384" s="173" t="e">
        <f>_xll.GetCtData("COAMOUNT","CONSAMOUNT",$A$1:$A$8,$A384:$B384,,"#Erreur de syntaxe : Expression incomplète")/10^3*$H384</f>
        <v>#VALUE!</v>
      </c>
      <c r="P384" s="173" t="e">
        <f t="shared" si="23"/>
        <v>#VALUE!</v>
      </c>
    </row>
    <row r="385" spans="1:16" s="115" customFormat="1" ht="12" hidden="1" outlineLevel="3" thickBot="1">
      <c r="A385" s="115" t="str">
        <f t="shared" si="24"/>
        <v>P39700000B</v>
      </c>
      <c r="B385" s="115" t="str">
        <f t="shared" si="25"/>
        <v>F97</v>
      </c>
      <c r="C385" s="135" t="s">
        <v>1738</v>
      </c>
      <c r="D385" s="135"/>
      <c r="E385" s="135" t="s">
        <v>1739</v>
      </c>
      <c r="F385" s="131" t="s">
        <v>155</v>
      </c>
      <c r="G385" s="131" t="e">
        <v>#VALUE!</v>
      </c>
      <c r="H385" s="173">
        <v>-1</v>
      </c>
      <c r="I385" s="173" t="e">
        <f>_xll.GetCtData("COAMOUNT","CONSAMOUNT",$A$1:$A$8,$A385:$B385,,"#Erreur de syntaxe : Expression incomplète")/10^3*$H385</f>
        <v>#VALUE!</v>
      </c>
      <c r="J385" s="173"/>
      <c r="K385" s="173"/>
      <c r="L385" s="173" t="e">
        <f>_xll.GetCtData("COAMOUNT","CONSAMOUNT",$A$1:$A$8,$A385:$B385,,"#Erreur de syntaxe : Expression incomplète")/10^3*$H385</f>
        <v>#VALUE!</v>
      </c>
      <c r="N385" s="173" t="e">
        <f>_xll.GetCtData("COAMOUNT","CONSAMOUNT",$A$1:$A$8,$A385:$B385,,"#Erreur de syntaxe : Expression incomplète")/10^3*$H385</f>
        <v>#VALUE!</v>
      </c>
      <c r="P385" s="173" t="e">
        <f t="shared" si="23"/>
        <v>#VALUE!</v>
      </c>
    </row>
    <row r="386" spans="1:16" s="115" customFormat="1" ht="12" hidden="1" outlineLevel="3" thickBot="1">
      <c r="A386" s="115" t="str">
        <f t="shared" si="24"/>
        <v>P39700100B</v>
      </c>
      <c r="B386" s="115" t="str">
        <f t="shared" si="25"/>
        <v>F97</v>
      </c>
      <c r="C386" s="135" t="s">
        <v>1141</v>
      </c>
      <c r="D386" s="135"/>
      <c r="E386" s="135" t="s">
        <v>1142</v>
      </c>
      <c r="F386" s="131" t="s">
        <v>155</v>
      </c>
      <c r="G386" s="131" t="e">
        <v>#VALUE!</v>
      </c>
      <c r="H386" s="173">
        <v>-1</v>
      </c>
      <c r="I386" s="173" t="e">
        <f>_xll.GetCtData("COAMOUNT","CONSAMOUNT",$A$1:$A$8,$A386:$B386,,"#Erreur de syntaxe : Expression incomplète")/10^3*$H386</f>
        <v>#VALUE!</v>
      </c>
      <c r="J386" s="173"/>
      <c r="K386" s="173"/>
      <c r="L386" s="173" t="e">
        <f>_xll.GetCtData("COAMOUNT","CONSAMOUNT",$A$1:$A$8,$A386:$B386,,"#Erreur de syntaxe : Expression incomplète")/10^3*$H386</f>
        <v>#VALUE!</v>
      </c>
      <c r="N386" s="173" t="e">
        <f>_xll.GetCtData("COAMOUNT","CONSAMOUNT",$A$1:$A$8,$A386:$B386,,"#Erreur de syntaxe : Expression incomplète")/10^3*$H386</f>
        <v>#VALUE!</v>
      </c>
      <c r="P386" s="173" t="e">
        <f t="shared" si="23"/>
        <v>#VALUE!</v>
      </c>
    </row>
    <row r="387" spans="1:16" s="115" customFormat="1" ht="12" hidden="1" outlineLevel="3" thickBot="1">
      <c r="A387" s="115" t="str">
        <f t="shared" si="24"/>
        <v>P39400000B</v>
      </c>
      <c r="B387" s="115" t="str">
        <f t="shared" si="25"/>
        <v>F97</v>
      </c>
      <c r="C387" s="135" t="s">
        <v>1744</v>
      </c>
      <c r="D387" s="135"/>
      <c r="E387" s="135" t="s">
        <v>1745</v>
      </c>
      <c r="F387" s="131" t="s">
        <v>155</v>
      </c>
      <c r="G387" s="131" t="e">
        <v>#VALUE!</v>
      </c>
      <c r="H387" s="173">
        <v>-1</v>
      </c>
      <c r="I387" s="173" t="e">
        <f>_xll.GetCtData("COAMOUNT","CONSAMOUNT",$A$1:$A$8,$A387:$B387,,"#Erreur de syntaxe : Expression incomplète")/10^3*$H387</f>
        <v>#VALUE!</v>
      </c>
      <c r="J387" s="173"/>
      <c r="K387" s="173"/>
      <c r="L387" s="173" t="e">
        <f>_xll.GetCtData("COAMOUNT","CONSAMOUNT",$A$1:$A$8,$A387:$B387,,"#Erreur de syntaxe : Expression incomplète")/10^3*$H387</f>
        <v>#VALUE!</v>
      </c>
      <c r="N387" s="173" t="e">
        <f>_xll.GetCtData("COAMOUNT","CONSAMOUNT",$A$1:$A$8,$A387:$B387,,"#Erreur de syntaxe : Expression incomplète")/10^3*$H387</f>
        <v>#VALUE!</v>
      </c>
      <c r="P387" s="173" t="e">
        <f t="shared" si="23"/>
        <v>#VALUE!</v>
      </c>
    </row>
    <row r="388" spans="1:16" s="115" customFormat="1" ht="12" hidden="1" outlineLevel="3" thickBot="1">
      <c r="A388" s="115" t="str">
        <f t="shared" si="24"/>
        <v>P39410000B</v>
      </c>
      <c r="B388" s="115" t="str">
        <f t="shared" si="25"/>
        <v>F97</v>
      </c>
      <c r="C388" s="135" t="s">
        <v>1143</v>
      </c>
      <c r="D388" s="135"/>
      <c r="E388" s="135" t="s">
        <v>1144</v>
      </c>
      <c r="F388" s="131" t="s">
        <v>155</v>
      </c>
      <c r="G388" s="131" t="e">
        <v>#VALUE!</v>
      </c>
      <c r="H388" s="173">
        <v>-1</v>
      </c>
      <c r="I388" s="173" t="e">
        <f>_xll.GetCtData("COAMOUNT","CONSAMOUNT",$A$1:$A$8,$A388:$B388,,"#Erreur de syntaxe : Expression incomplète")/10^3*$H388</f>
        <v>#VALUE!</v>
      </c>
      <c r="J388" s="173"/>
      <c r="K388" s="173"/>
      <c r="L388" s="173" t="e">
        <f>_xll.GetCtData("COAMOUNT","CONSAMOUNT",$A$1:$A$8,$A388:$B388,,"#Erreur de syntaxe : Expression incomplète")/10^3*$H388</f>
        <v>#VALUE!</v>
      </c>
      <c r="N388" s="173" t="e">
        <f>_xll.GetCtData("COAMOUNT","CONSAMOUNT",$A$1:$A$8,$A388:$B388,,"#Erreur de syntaxe : Expression incomplète")/10^3*$H388</f>
        <v>#VALUE!</v>
      </c>
      <c r="P388" s="173" t="e">
        <f t="shared" si="23"/>
        <v>#VALUE!</v>
      </c>
    </row>
    <row r="389" spans="1:16" s="115" customFormat="1" ht="12" hidden="1" outlineLevel="3" thickBot="1">
      <c r="A389" s="115" t="str">
        <f t="shared" si="24"/>
        <v>P39700000V</v>
      </c>
      <c r="B389" s="115" t="str">
        <f t="shared" si="25"/>
        <v>F97</v>
      </c>
      <c r="C389" s="135" t="s">
        <v>1747</v>
      </c>
      <c r="D389" s="135"/>
      <c r="E389" s="135" t="s">
        <v>1748</v>
      </c>
      <c r="F389" s="131" t="s">
        <v>155</v>
      </c>
      <c r="G389" s="131" t="e">
        <v>#VALUE!</v>
      </c>
      <c r="H389" s="173">
        <v>-1</v>
      </c>
      <c r="I389" s="173" t="e">
        <f>_xll.GetCtData("COAMOUNT","CONSAMOUNT",$A$1:$A$8,$A389:$B389,,"#Erreur de syntaxe : Expression incomplète")/10^3*$H389</f>
        <v>#VALUE!</v>
      </c>
      <c r="J389" s="173"/>
      <c r="K389" s="173"/>
      <c r="L389" s="173" t="e">
        <f>_xll.GetCtData("COAMOUNT","CONSAMOUNT",$A$1:$A$8,$A389:$B389,,"#Erreur de syntaxe : Expression incomplète")/10^3*$H389</f>
        <v>#VALUE!</v>
      </c>
      <c r="N389" s="173" t="e">
        <f>_xll.GetCtData("COAMOUNT","CONSAMOUNT",$A$1:$A$8,$A389:$B389,,"#Erreur de syntaxe : Expression incomplète")/10^3*$H389</f>
        <v>#VALUE!</v>
      </c>
      <c r="P389" s="173" t="e">
        <f t="shared" si="23"/>
        <v>#VALUE!</v>
      </c>
    </row>
    <row r="390" spans="1:16" s="115" customFormat="1" ht="12" hidden="1" outlineLevel="3" thickBot="1">
      <c r="A390" s="115" t="str">
        <f t="shared" si="24"/>
        <v>P39700100V</v>
      </c>
      <c r="B390" s="115" t="str">
        <f t="shared" si="25"/>
        <v>F97</v>
      </c>
      <c r="C390" s="135" t="s">
        <v>1135</v>
      </c>
      <c r="D390" s="135"/>
      <c r="E390" s="135" t="s">
        <v>1136</v>
      </c>
      <c r="F390" s="131" t="s">
        <v>155</v>
      </c>
      <c r="G390" s="131" t="e">
        <v>#VALUE!</v>
      </c>
      <c r="H390" s="173">
        <v>-1</v>
      </c>
      <c r="I390" s="173" t="e">
        <f>_xll.GetCtData("COAMOUNT","CONSAMOUNT",$A$1:$A$8,$A390:$B390,,"#Erreur de syntaxe : Expression incomplète")/10^3*$H390</f>
        <v>#VALUE!</v>
      </c>
      <c r="J390" s="173"/>
      <c r="K390" s="173"/>
      <c r="L390" s="173" t="e">
        <f>_xll.GetCtData("COAMOUNT","CONSAMOUNT",$A$1:$A$8,$A390:$B390,,"#Erreur de syntaxe : Expression incomplète")/10^3*$H390</f>
        <v>#VALUE!</v>
      </c>
      <c r="N390" s="173" t="e">
        <f>_xll.GetCtData("COAMOUNT","CONSAMOUNT",$A$1:$A$8,$A390:$B390,,"#Erreur de syntaxe : Expression incomplète")/10^3*$H390</f>
        <v>#VALUE!</v>
      </c>
      <c r="P390" s="173" t="e">
        <f t="shared" si="23"/>
        <v>#VALUE!</v>
      </c>
    </row>
    <row r="391" spans="1:16" s="115" customFormat="1" ht="12" hidden="1" outlineLevel="3" thickBot="1">
      <c r="A391" s="115" t="str">
        <f t="shared" si="24"/>
        <v>P39400000V</v>
      </c>
      <c r="B391" s="115" t="str">
        <f t="shared" si="25"/>
        <v>F97</v>
      </c>
      <c r="C391" s="135" t="s">
        <v>1753</v>
      </c>
      <c r="D391" s="135"/>
      <c r="E391" s="135" t="s">
        <v>1754</v>
      </c>
      <c r="F391" s="131" t="s">
        <v>155</v>
      </c>
      <c r="G391" s="131" t="e">
        <v>#VALUE!</v>
      </c>
      <c r="H391" s="173">
        <v>-1</v>
      </c>
      <c r="I391" s="173" t="e">
        <f>_xll.GetCtData("COAMOUNT","CONSAMOUNT",$A$1:$A$8,$A391:$B391,,"#Erreur de syntaxe : Expression incomplète")/10^3*$H391</f>
        <v>#VALUE!</v>
      </c>
      <c r="J391" s="173"/>
      <c r="K391" s="173"/>
      <c r="L391" s="173" t="e">
        <f>_xll.GetCtData("COAMOUNT","CONSAMOUNT",$A$1:$A$8,$A391:$B391,,"#Erreur de syntaxe : Expression incomplète")/10^3*$H391</f>
        <v>#VALUE!</v>
      </c>
      <c r="N391" s="173" t="e">
        <f>_xll.GetCtData("COAMOUNT","CONSAMOUNT",$A$1:$A$8,$A391:$B391,,"#Erreur de syntaxe : Expression incomplète")/10^3*$H391</f>
        <v>#VALUE!</v>
      </c>
      <c r="P391" s="173" t="e">
        <f t="shared" si="23"/>
        <v>#VALUE!</v>
      </c>
    </row>
    <row r="392" spans="1:16" s="115" customFormat="1" ht="12" hidden="1" outlineLevel="3" thickBot="1">
      <c r="A392" s="115" t="str">
        <f t="shared" si="24"/>
        <v>P39410000V</v>
      </c>
      <c r="B392" s="115" t="str">
        <f t="shared" si="25"/>
        <v>F97</v>
      </c>
      <c r="C392" s="135" t="s">
        <v>1137</v>
      </c>
      <c r="D392" s="135"/>
      <c r="E392" s="135" t="s">
        <v>1138</v>
      </c>
      <c r="F392" s="131" t="s">
        <v>155</v>
      </c>
      <c r="G392" s="131" t="e">
        <v>#VALUE!</v>
      </c>
      <c r="H392" s="173">
        <v>-1</v>
      </c>
      <c r="I392" s="173" t="e">
        <f>_xll.GetCtData("COAMOUNT","CONSAMOUNT",$A$1:$A$8,$A392:$B392,,"#Erreur de syntaxe : Expression incomplète")/10^3*$H392</f>
        <v>#VALUE!</v>
      </c>
      <c r="J392" s="173"/>
      <c r="K392" s="173"/>
      <c r="L392" s="173" t="e">
        <f>_xll.GetCtData("COAMOUNT","CONSAMOUNT",$A$1:$A$8,$A392:$B392,,"#Erreur de syntaxe : Expression incomplète")/10^3*$H392</f>
        <v>#VALUE!</v>
      </c>
      <c r="N392" s="173" t="e">
        <f>_xll.GetCtData("COAMOUNT","CONSAMOUNT",$A$1:$A$8,$A392:$B392,,"#Erreur de syntaxe : Expression incomplète")/10^3*$H392</f>
        <v>#VALUE!</v>
      </c>
      <c r="P392" s="173" t="e">
        <f t="shared" si="23"/>
        <v>#VALUE!</v>
      </c>
    </row>
    <row r="393" spans="1:16" s="115" customFormat="1" ht="12" hidden="1" outlineLevel="3" thickBot="1">
      <c r="A393" s="115" t="str">
        <f t="shared" si="24"/>
        <v>A39701000B</v>
      </c>
      <c r="B393" s="115" t="str">
        <f t="shared" si="25"/>
        <v>F01</v>
      </c>
      <c r="C393" s="135" t="s">
        <v>1696</v>
      </c>
      <c r="D393" s="135"/>
      <c r="E393" s="135" t="s">
        <v>1697</v>
      </c>
      <c r="F393" s="131" t="s">
        <v>1676</v>
      </c>
      <c r="G393" s="131" t="e">
        <v>#VALUE!</v>
      </c>
      <c r="H393" s="173">
        <v>1</v>
      </c>
      <c r="I393" s="173"/>
      <c r="J393" s="173" t="e">
        <f>_xll.GetCtData("COAMOUNT","CONSAMOUNT",$A$1:$A$8,$A393:$B393,,"#Erreur de syntaxe : Expression incomplète")/10^3*$H393</f>
        <v>#VALUE!</v>
      </c>
      <c r="K393" s="173"/>
      <c r="L393" s="173" t="e">
        <f>_xll.GetCtData("COAMOUNT","CONSAMOUNT",$A$1:$A$8,$A393:$B393,,"#Erreur de syntaxe : Expression incomplète")/10^3*$H393</f>
        <v>#VALUE!</v>
      </c>
      <c r="N393" s="173" t="e">
        <f>_xll.GetCtData("COAMOUNT","CONSAMOUNT",$A$1:$A$8,$A393:$B393,,"#Erreur de syntaxe : Expression incomplète")/10^3*$H393</f>
        <v>#VALUE!</v>
      </c>
      <c r="P393" s="173" t="e">
        <f t="shared" si="23"/>
        <v>#VALUE!</v>
      </c>
    </row>
    <row r="394" spans="1:16" s="115" customFormat="1" ht="12" hidden="1" outlineLevel="3" thickBot="1">
      <c r="A394" s="115" t="str">
        <f t="shared" si="24"/>
        <v>A39701100B</v>
      </c>
      <c r="B394" s="115" t="str">
        <f t="shared" si="25"/>
        <v>F01</v>
      </c>
      <c r="C394" s="135" t="s">
        <v>1720</v>
      </c>
      <c r="D394" s="135"/>
      <c r="E394" s="135" t="s">
        <v>1721</v>
      </c>
      <c r="F394" s="131" t="s">
        <v>1676</v>
      </c>
      <c r="G394" s="131" t="e">
        <v>#VALUE!</v>
      </c>
      <c r="H394" s="173">
        <v>1</v>
      </c>
      <c r="I394" s="173"/>
      <c r="J394" s="173" t="e">
        <f>_xll.GetCtData("COAMOUNT","CONSAMOUNT",$A$1:$A$8,$A394:$B394,,"#Erreur de syntaxe : Expression incomplète")/10^3*$H394</f>
        <v>#VALUE!</v>
      </c>
      <c r="K394" s="173"/>
      <c r="L394" s="173" t="e">
        <f>_xll.GetCtData("COAMOUNT","CONSAMOUNT",$A$1:$A$8,$A394:$B394,,"#Erreur de syntaxe : Expression incomplète")/10^3*$H394</f>
        <v>#VALUE!</v>
      </c>
      <c r="N394" s="173" t="e">
        <f>_xll.GetCtData("COAMOUNT","CONSAMOUNT",$A$1:$A$8,$A394:$B394,,"#Erreur de syntaxe : Expression incomplète")/10^3*$H394</f>
        <v>#VALUE!</v>
      </c>
      <c r="P394" s="173" t="e">
        <f t="shared" si="23"/>
        <v>#VALUE!</v>
      </c>
    </row>
    <row r="395" spans="1:16" s="115" customFormat="1" ht="12" hidden="1" outlineLevel="3" thickBot="1">
      <c r="A395" s="115" t="str">
        <f t="shared" si="24"/>
        <v>A39701000V</v>
      </c>
      <c r="B395" s="115" t="str">
        <f t="shared" si="25"/>
        <v>F01</v>
      </c>
      <c r="C395" s="135" t="s">
        <v>1699</v>
      </c>
      <c r="D395" s="135"/>
      <c r="E395" s="135" t="s">
        <v>1700</v>
      </c>
      <c r="F395" s="131" t="s">
        <v>1676</v>
      </c>
      <c r="G395" s="131" t="e">
        <v>#VALUE!</v>
      </c>
      <c r="H395" s="173">
        <v>1</v>
      </c>
      <c r="I395" s="173"/>
      <c r="J395" s="173" t="e">
        <f>_xll.GetCtData("COAMOUNT","CONSAMOUNT",$A$1:$A$8,$A395:$B395,,"#Erreur de syntaxe : Expression incomplète")/10^3*$H395</f>
        <v>#VALUE!</v>
      </c>
      <c r="K395" s="173"/>
      <c r="L395" s="173" t="e">
        <f>_xll.GetCtData("COAMOUNT","CONSAMOUNT",$A$1:$A$8,$A395:$B395,,"#Erreur de syntaxe : Expression incomplète")/10^3*$H395</f>
        <v>#VALUE!</v>
      </c>
      <c r="N395" s="173" t="e">
        <f>_xll.GetCtData("COAMOUNT","CONSAMOUNT",$A$1:$A$8,$A395:$B395,,"#Erreur de syntaxe : Expression incomplète")/10^3*$H395</f>
        <v>#VALUE!</v>
      </c>
      <c r="P395" s="173" t="e">
        <f t="shared" si="23"/>
        <v>#VALUE!</v>
      </c>
    </row>
    <row r="396" spans="1:16" s="115" customFormat="1" ht="12" hidden="1" outlineLevel="3" thickBot="1">
      <c r="A396" s="115" t="str">
        <f t="shared" si="24"/>
        <v>A39701100V</v>
      </c>
      <c r="B396" s="115" t="str">
        <f t="shared" si="25"/>
        <v>F01</v>
      </c>
      <c r="C396" s="135" t="s">
        <v>1723</v>
      </c>
      <c r="D396" s="135"/>
      <c r="E396" s="135" t="s">
        <v>1724</v>
      </c>
      <c r="F396" s="131" t="s">
        <v>1676</v>
      </c>
      <c r="G396" s="131" t="e">
        <v>#VALUE!</v>
      </c>
      <c r="H396" s="173">
        <v>1</v>
      </c>
      <c r="I396" s="173"/>
      <c r="J396" s="173" t="e">
        <f>_xll.GetCtData("COAMOUNT","CONSAMOUNT",$A$1:$A$8,$A396:$B396,,"#Erreur de syntaxe : Expression incomplète")/10^3*$H396</f>
        <v>#VALUE!</v>
      </c>
      <c r="K396" s="173"/>
      <c r="L396" s="173" t="e">
        <f>_xll.GetCtData("COAMOUNT","CONSAMOUNT",$A$1:$A$8,$A396:$B396,,"#Erreur de syntaxe : Expression incomplète")/10^3*$H396</f>
        <v>#VALUE!</v>
      </c>
      <c r="N396" s="173" t="e">
        <f>_xll.GetCtData("COAMOUNT","CONSAMOUNT",$A$1:$A$8,$A396:$B396,,"#Erreur de syntaxe : Expression incomplète")/10^3*$H396</f>
        <v>#VALUE!</v>
      </c>
      <c r="P396" s="173" t="e">
        <f t="shared" si="23"/>
        <v>#VALUE!</v>
      </c>
    </row>
    <row r="397" spans="1:16" s="115" customFormat="1" ht="12" hidden="1" outlineLevel="3" thickBot="1">
      <c r="A397" s="115" t="str">
        <f t="shared" si="24"/>
        <v>P39701000B</v>
      </c>
      <c r="B397" s="115" t="str">
        <f t="shared" si="25"/>
        <v>F01</v>
      </c>
      <c r="C397" s="135" t="s">
        <v>1732</v>
      </c>
      <c r="D397" s="135"/>
      <c r="E397" s="135" t="s">
        <v>1733</v>
      </c>
      <c r="F397" s="131" t="s">
        <v>1676</v>
      </c>
      <c r="G397" s="131" t="e">
        <v>#VALUE!</v>
      </c>
      <c r="H397" s="173">
        <v>-1</v>
      </c>
      <c r="I397" s="173"/>
      <c r="J397" s="173" t="e">
        <f>_xll.GetCtData("COAMOUNT","CONSAMOUNT",$A$1:$A$8,$A397:$B397,,"#Erreur de syntaxe : Expression incomplète")/10^3*$H397</f>
        <v>#VALUE!</v>
      </c>
      <c r="K397" s="173"/>
      <c r="L397" s="173" t="e">
        <f>_xll.GetCtData("COAMOUNT","CONSAMOUNT",$A$1:$A$8,$A397:$B397,,"#Erreur de syntaxe : Expression incomplète")/10^3*$H397</f>
        <v>#VALUE!</v>
      </c>
      <c r="N397" s="173" t="e">
        <f>_xll.GetCtData("COAMOUNT","CONSAMOUNT",$A$1:$A$8,$A397:$B397,,"#Erreur de syntaxe : Expression incomplète")/10^3*$H397</f>
        <v>#VALUE!</v>
      </c>
      <c r="P397" s="173" t="e">
        <f t="shared" si="23"/>
        <v>#VALUE!</v>
      </c>
    </row>
    <row r="398" spans="1:16" s="115" customFormat="1" ht="12" hidden="1" outlineLevel="3" thickBot="1">
      <c r="A398" s="115" t="str">
        <f t="shared" si="24"/>
        <v>P39701100B</v>
      </c>
      <c r="B398" s="115" t="str">
        <f t="shared" si="25"/>
        <v>F01</v>
      </c>
      <c r="C398" s="135" t="s">
        <v>1139</v>
      </c>
      <c r="D398" s="135"/>
      <c r="E398" s="135" t="s">
        <v>1140</v>
      </c>
      <c r="F398" s="131" t="s">
        <v>1676</v>
      </c>
      <c r="G398" s="131" t="e">
        <v>#VALUE!</v>
      </c>
      <c r="H398" s="173">
        <v>-1</v>
      </c>
      <c r="I398" s="173"/>
      <c r="J398" s="173" t="e">
        <f>_xll.GetCtData("COAMOUNT","CONSAMOUNT",$A$1:$A$8,$A398:$B398,,"#Erreur de syntaxe : Expression incomplète")/10^3*$H398</f>
        <v>#VALUE!</v>
      </c>
      <c r="K398" s="173"/>
      <c r="L398" s="173" t="e">
        <f>_xll.GetCtData("COAMOUNT","CONSAMOUNT",$A$1:$A$8,$A398:$B398,,"#Erreur de syntaxe : Expression incomplète")/10^3*$H398</f>
        <v>#VALUE!</v>
      </c>
      <c r="N398" s="173" t="e">
        <f>_xll.GetCtData("COAMOUNT","CONSAMOUNT",$A$1:$A$8,$A398:$B398,,"#Erreur de syntaxe : Expression incomplète")/10^3*$H398</f>
        <v>#VALUE!</v>
      </c>
      <c r="P398" s="173" t="e">
        <f t="shared" si="23"/>
        <v>#VALUE!</v>
      </c>
    </row>
    <row r="399" spans="1:16" s="115" customFormat="1" ht="12" hidden="1" outlineLevel="3" thickBot="1">
      <c r="A399" s="115" t="str">
        <f t="shared" si="24"/>
        <v>P39701000V</v>
      </c>
      <c r="B399" s="115" t="str">
        <f t="shared" si="25"/>
        <v>F01</v>
      </c>
      <c r="C399" s="135" t="s">
        <v>1735</v>
      </c>
      <c r="D399" s="135"/>
      <c r="E399" s="135" t="s">
        <v>1736</v>
      </c>
      <c r="F399" s="131" t="s">
        <v>1676</v>
      </c>
      <c r="G399" s="131" t="e">
        <v>#VALUE!</v>
      </c>
      <c r="H399" s="173">
        <v>-1</v>
      </c>
      <c r="I399" s="173"/>
      <c r="J399" s="173" t="e">
        <f>_xll.GetCtData("COAMOUNT","CONSAMOUNT",$A$1:$A$8,$A399:$B399,,"#Erreur de syntaxe : Expression incomplète")/10^3*$H399</f>
        <v>#VALUE!</v>
      </c>
      <c r="K399" s="173"/>
      <c r="L399" s="173" t="e">
        <f>_xll.GetCtData("COAMOUNT","CONSAMOUNT",$A$1:$A$8,$A399:$B399,,"#Erreur de syntaxe : Expression incomplète")/10^3*$H399</f>
        <v>#VALUE!</v>
      </c>
      <c r="N399" s="173" t="e">
        <f>_xll.GetCtData("COAMOUNT","CONSAMOUNT",$A$1:$A$8,$A399:$B399,,"#Erreur de syntaxe : Expression incomplète")/10^3*$H399</f>
        <v>#VALUE!</v>
      </c>
      <c r="P399" s="173" t="e">
        <f t="shared" si="23"/>
        <v>#VALUE!</v>
      </c>
    </row>
    <row r="400" spans="1:16" s="115" customFormat="1" ht="12" hidden="1" outlineLevel="3" thickBot="1">
      <c r="A400" s="115" t="str">
        <f t="shared" si="24"/>
        <v>P39701100V</v>
      </c>
      <c r="B400" s="115" t="str">
        <f t="shared" si="25"/>
        <v>F01</v>
      </c>
      <c r="C400" s="135" t="s">
        <v>1133</v>
      </c>
      <c r="D400" s="135"/>
      <c r="E400" s="135" t="s">
        <v>1134</v>
      </c>
      <c r="F400" s="131" t="s">
        <v>1676</v>
      </c>
      <c r="G400" s="131" t="e">
        <v>#VALUE!</v>
      </c>
      <c r="H400" s="173">
        <v>-1</v>
      </c>
      <c r="I400" s="173"/>
      <c r="J400" s="173" t="e">
        <f>_xll.GetCtData("COAMOUNT","CONSAMOUNT",$A$1:$A$8,$A400:$B400,,"#Erreur de syntaxe : Expression incomplète")/10^3*$H400</f>
        <v>#VALUE!</v>
      </c>
      <c r="K400" s="173"/>
      <c r="L400" s="173" t="e">
        <f>_xll.GetCtData("COAMOUNT","CONSAMOUNT",$A$1:$A$8,$A400:$B400,,"#Erreur de syntaxe : Expression incomplète")/10^3*$H400</f>
        <v>#VALUE!</v>
      </c>
      <c r="N400" s="173" t="e">
        <f>_xll.GetCtData("COAMOUNT","CONSAMOUNT",$A$1:$A$8,$A400:$B400,,"#Erreur de syntaxe : Expression incomplète")/10^3*$H400</f>
        <v>#VALUE!</v>
      </c>
      <c r="P400" s="173" t="e">
        <f t="shared" si="23"/>
        <v>#VALUE!</v>
      </c>
    </row>
    <row r="401" spans="1:16" s="115" customFormat="1" ht="12" hidden="1" outlineLevel="3" thickBot="1">
      <c r="A401" s="115" t="str">
        <f t="shared" si="24"/>
        <v>A39701000B</v>
      </c>
      <c r="B401" s="115" t="str">
        <f t="shared" si="25"/>
        <v>F89</v>
      </c>
      <c r="C401" s="135" t="s">
        <v>1696</v>
      </c>
      <c r="D401" s="135"/>
      <c r="E401" s="135" t="s">
        <v>1697</v>
      </c>
      <c r="F401" s="131" t="s">
        <v>148</v>
      </c>
      <c r="G401" s="131" t="e">
        <v>#VALUE!</v>
      </c>
      <c r="H401" s="173">
        <v>1</v>
      </c>
      <c r="I401" s="173"/>
      <c r="J401" s="173" t="e">
        <f>_xll.GetCtData("COAMOUNT","CONSAMOUNT",$A$1:$A$8,$A401:$B401,,"#Erreur de syntaxe : Expression incomplète")/10^3*$H401</f>
        <v>#VALUE!</v>
      </c>
      <c r="K401" s="173"/>
      <c r="L401" s="173" t="e">
        <f>_xll.GetCtData("COAMOUNT","CONSAMOUNT",$A$1:$A$8,$A401:$B401,,"#Erreur de syntaxe : Expression incomplète")/10^3*$H401</f>
        <v>#VALUE!</v>
      </c>
      <c r="N401" s="173" t="e">
        <f>_xll.GetCtData("COAMOUNT","CONSAMOUNT",$A$1:$A$8,$A401:$B401,,"#Erreur de syntaxe : Expression incomplète")/10^3*$H401</f>
        <v>#VALUE!</v>
      </c>
      <c r="P401" s="173" t="e">
        <f t="shared" si="23"/>
        <v>#VALUE!</v>
      </c>
    </row>
    <row r="402" spans="1:16" s="115" customFormat="1" ht="12" hidden="1" outlineLevel="3" thickBot="1">
      <c r="A402" s="115" t="str">
        <f t="shared" si="24"/>
        <v>A39701100B</v>
      </c>
      <c r="B402" s="115" t="str">
        <f t="shared" si="25"/>
        <v>F89</v>
      </c>
      <c r="C402" s="135" t="s">
        <v>1720</v>
      </c>
      <c r="D402" s="135"/>
      <c r="E402" s="135" t="s">
        <v>1721</v>
      </c>
      <c r="F402" s="131" t="s">
        <v>148</v>
      </c>
      <c r="G402" s="131" t="e">
        <v>#VALUE!</v>
      </c>
      <c r="H402" s="173">
        <v>1</v>
      </c>
      <c r="I402" s="173"/>
      <c r="J402" s="173" t="e">
        <f>_xll.GetCtData("COAMOUNT","CONSAMOUNT",$A$1:$A$8,$A402:$B402,,"#Erreur de syntaxe : Expression incomplète")/10^3*$H402</f>
        <v>#VALUE!</v>
      </c>
      <c r="K402" s="173"/>
      <c r="L402" s="173" t="e">
        <f>_xll.GetCtData("COAMOUNT","CONSAMOUNT",$A$1:$A$8,$A402:$B402,,"#Erreur de syntaxe : Expression incomplète")/10^3*$H402</f>
        <v>#VALUE!</v>
      </c>
      <c r="N402" s="173" t="e">
        <f>_xll.GetCtData("COAMOUNT","CONSAMOUNT",$A$1:$A$8,$A402:$B402,,"#Erreur de syntaxe : Expression incomplète")/10^3*$H402</f>
        <v>#VALUE!</v>
      </c>
      <c r="P402" s="173" t="e">
        <f t="shared" si="23"/>
        <v>#VALUE!</v>
      </c>
    </row>
    <row r="403" spans="1:16" s="115" customFormat="1" ht="12" hidden="1" outlineLevel="3" thickBot="1">
      <c r="A403" s="115" t="str">
        <f t="shared" si="24"/>
        <v>A39701000V</v>
      </c>
      <c r="B403" s="115" t="str">
        <f t="shared" si="25"/>
        <v>F89</v>
      </c>
      <c r="C403" s="135" t="s">
        <v>1699</v>
      </c>
      <c r="D403" s="135"/>
      <c r="E403" s="135" t="s">
        <v>1700</v>
      </c>
      <c r="F403" s="131" t="s">
        <v>148</v>
      </c>
      <c r="G403" s="131" t="e">
        <v>#VALUE!</v>
      </c>
      <c r="H403" s="173">
        <v>1</v>
      </c>
      <c r="I403" s="173"/>
      <c r="J403" s="173" t="e">
        <f>_xll.GetCtData("COAMOUNT","CONSAMOUNT",$A$1:$A$8,$A403:$B403,,"#Erreur de syntaxe : Expression incomplète")/10^3*$H403</f>
        <v>#VALUE!</v>
      </c>
      <c r="K403" s="173"/>
      <c r="L403" s="173" t="e">
        <f>_xll.GetCtData("COAMOUNT","CONSAMOUNT",$A$1:$A$8,$A403:$B403,,"#Erreur de syntaxe : Expression incomplète")/10^3*$H403</f>
        <v>#VALUE!</v>
      </c>
      <c r="N403" s="173" t="e">
        <f>_xll.GetCtData("COAMOUNT","CONSAMOUNT",$A$1:$A$8,$A403:$B403,,"#Erreur de syntaxe : Expression incomplète")/10^3*$H403</f>
        <v>#VALUE!</v>
      </c>
      <c r="P403" s="173" t="e">
        <f t="shared" si="23"/>
        <v>#VALUE!</v>
      </c>
    </row>
    <row r="404" spans="1:16" s="115" customFormat="1" ht="12" hidden="1" outlineLevel="3" thickBot="1">
      <c r="A404" s="115" t="str">
        <f t="shared" si="24"/>
        <v>A39701100V</v>
      </c>
      <c r="B404" s="115" t="str">
        <f t="shared" si="25"/>
        <v>F89</v>
      </c>
      <c r="C404" s="135" t="s">
        <v>1723</v>
      </c>
      <c r="D404" s="135"/>
      <c r="E404" s="135" t="s">
        <v>1724</v>
      </c>
      <c r="F404" s="131" t="s">
        <v>148</v>
      </c>
      <c r="G404" s="131" t="e">
        <v>#VALUE!</v>
      </c>
      <c r="H404" s="173">
        <v>1</v>
      </c>
      <c r="I404" s="173"/>
      <c r="J404" s="173" t="e">
        <f>_xll.GetCtData("COAMOUNT","CONSAMOUNT",$A$1:$A$8,$A404:$B404,,"#Erreur de syntaxe : Expression incomplète")/10^3*$H404</f>
        <v>#VALUE!</v>
      </c>
      <c r="K404" s="173"/>
      <c r="L404" s="173" t="e">
        <f>_xll.GetCtData("COAMOUNT","CONSAMOUNT",$A$1:$A$8,$A404:$B404,,"#Erreur de syntaxe : Expression incomplète")/10^3*$H404</f>
        <v>#VALUE!</v>
      </c>
      <c r="N404" s="173" t="e">
        <f>_xll.GetCtData("COAMOUNT","CONSAMOUNT",$A$1:$A$8,$A404:$B404,,"#Erreur de syntaxe : Expression incomplète")/10^3*$H404</f>
        <v>#VALUE!</v>
      </c>
      <c r="P404" s="173" t="e">
        <f t="shared" si="23"/>
        <v>#VALUE!</v>
      </c>
    </row>
    <row r="405" spans="1:16" s="115" customFormat="1" ht="12" hidden="1" outlineLevel="3" thickBot="1">
      <c r="A405" s="115" t="str">
        <f t="shared" si="24"/>
        <v>P39701000B</v>
      </c>
      <c r="B405" s="115" t="str">
        <f t="shared" si="25"/>
        <v>F89</v>
      </c>
      <c r="C405" s="135" t="s">
        <v>1732</v>
      </c>
      <c r="D405" s="135"/>
      <c r="E405" s="135" t="s">
        <v>1733</v>
      </c>
      <c r="F405" s="131" t="s">
        <v>148</v>
      </c>
      <c r="G405" s="131" t="e">
        <v>#VALUE!</v>
      </c>
      <c r="H405" s="173">
        <v>-1</v>
      </c>
      <c r="I405" s="173"/>
      <c r="J405" s="173" t="e">
        <f>_xll.GetCtData("COAMOUNT","CONSAMOUNT",$A$1:$A$8,$A405:$B405,,"#Erreur de syntaxe : Expression incomplète")/10^3*$H405</f>
        <v>#VALUE!</v>
      </c>
      <c r="K405" s="173"/>
      <c r="L405" s="173" t="e">
        <f>_xll.GetCtData("COAMOUNT","CONSAMOUNT",$A$1:$A$8,$A405:$B405,,"#Erreur de syntaxe : Expression incomplète")/10^3*$H405</f>
        <v>#VALUE!</v>
      </c>
      <c r="N405" s="173" t="e">
        <f>_xll.GetCtData("COAMOUNT","CONSAMOUNT",$A$1:$A$8,$A405:$B405,,"#Erreur de syntaxe : Expression incomplète")/10^3*$H405</f>
        <v>#VALUE!</v>
      </c>
      <c r="P405" s="173" t="e">
        <f t="shared" si="23"/>
        <v>#VALUE!</v>
      </c>
    </row>
    <row r="406" spans="1:16" s="115" customFormat="1" ht="12" hidden="1" outlineLevel="3" thickBot="1">
      <c r="A406" s="115" t="str">
        <f t="shared" si="24"/>
        <v>P39701100B</v>
      </c>
      <c r="B406" s="115" t="str">
        <f t="shared" si="25"/>
        <v>F89</v>
      </c>
      <c r="C406" s="135" t="s">
        <v>1139</v>
      </c>
      <c r="D406" s="135"/>
      <c r="E406" s="135" t="s">
        <v>1140</v>
      </c>
      <c r="F406" s="131" t="s">
        <v>148</v>
      </c>
      <c r="G406" s="131" t="e">
        <v>#VALUE!</v>
      </c>
      <c r="H406" s="173">
        <v>-1</v>
      </c>
      <c r="I406" s="173"/>
      <c r="J406" s="173" t="e">
        <f>_xll.GetCtData("COAMOUNT","CONSAMOUNT",$A$1:$A$8,$A406:$B406,,"#Erreur de syntaxe : Expression incomplète")/10^3*$H406</f>
        <v>#VALUE!</v>
      </c>
      <c r="K406" s="173"/>
      <c r="L406" s="173" t="e">
        <f>_xll.GetCtData("COAMOUNT","CONSAMOUNT",$A$1:$A$8,$A406:$B406,,"#Erreur de syntaxe : Expression incomplète")/10^3*$H406</f>
        <v>#VALUE!</v>
      </c>
      <c r="N406" s="173" t="e">
        <f>_xll.GetCtData("COAMOUNT","CONSAMOUNT",$A$1:$A$8,$A406:$B406,,"#Erreur de syntaxe : Expression incomplète")/10^3*$H406</f>
        <v>#VALUE!</v>
      </c>
      <c r="P406" s="173" t="e">
        <f t="shared" si="23"/>
        <v>#VALUE!</v>
      </c>
    </row>
    <row r="407" spans="1:16" s="115" customFormat="1" ht="12" hidden="1" outlineLevel="3" thickBot="1">
      <c r="A407" s="115" t="str">
        <f t="shared" si="24"/>
        <v>P39701000V</v>
      </c>
      <c r="B407" s="115" t="str">
        <f t="shared" si="25"/>
        <v>F89</v>
      </c>
      <c r="C407" s="135" t="s">
        <v>1735</v>
      </c>
      <c r="D407" s="135"/>
      <c r="E407" s="135" t="s">
        <v>1736</v>
      </c>
      <c r="F407" s="131" t="s">
        <v>148</v>
      </c>
      <c r="G407" s="131" t="e">
        <v>#VALUE!</v>
      </c>
      <c r="H407" s="173">
        <v>-1</v>
      </c>
      <c r="I407" s="173"/>
      <c r="J407" s="173" t="e">
        <f>_xll.GetCtData("COAMOUNT","CONSAMOUNT",$A$1:$A$8,$A407:$B407,,"#Erreur de syntaxe : Expression incomplète")/10^3*$H407</f>
        <v>#VALUE!</v>
      </c>
      <c r="K407" s="173"/>
      <c r="L407" s="173" t="e">
        <f>_xll.GetCtData("COAMOUNT","CONSAMOUNT",$A$1:$A$8,$A407:$B407,,"#Erreur de syntaxe : Expression incomplète")/10^3*$H407</f>
        <v>#VALUE!</v>
      </c>
      <c r="N407" s="173" t="e">
        <f>_xll.GetCtData("COAMOUNT","CONSAMOUNT",$A$1:$A$8,$A407:$B407,,"#Erreur de syntaxe : Expression incomplète")/10^3*$H407</f>
        <v>#VALUE!</v>
      </c>
      <c r="P407" s="173" t="e">
        <f t="shared" si="23"/>
        <v>#VALUE!</v>
      </c>
    </row>
    <row r="408" spans="1:16" s="115" customFormat="1" ht="12" hidden="1" outlineLevel="3" thickBot="1">
      <c r="A408" s="115" t="str">
        <f t="shared" si="24"/>
        <v>P39701100V</v>
      </c>
      <c r="B408" s="115" t="str">
        <f t="shared" si="25"/>
        <v>F89</v>
      </c>
      <c r="C408" s="135" t="s">
        <v>1133</v>
      </c>
      <c r="D408" s="135"/>
      <c r="E408" s="135" t="s">
        <v>1134</v>
      </c>
      <c r="F408" s="131" t="s">
        <v>148</v>
      </c>
      <c r="G408" s="131" t="e">
        <v>#VALUE!</v>
      </c>
      <c r="H408" s="173">
        <v>-1</v>
      </c>
      <c r="I408" s="173"/>
      <c r="J408" s="173" t="e">
        <f>_xll.GetCtData("COAMOUNT","CONSAMOUNT",$A$1:$A$8,$A408:$B408,,"#Erreur de syntaxe : Expression incomplète")/10^3*$H408</f>
        <v>#VALUE!</v>
      </c>
      <c r="K408" s="173"/>
      <c r="L408" s="173" t="e">
        <f>_xll.GetCtData("COAMOUNT","CONSAMOUNT",$A$1:$A$8,$A408:$B408,,"#Erreur de syntaxe : Expression incomplète")/10^3*$H408</f>
        <v>#VALUE!</v>
      </c>
      <c r="N408" s="173" t="e">
        <f>_xll.GetCtData("COAMOUNT","CONSAMOUNT",$A$1:$A$8,$A408:$B408,,"#Erreur de syntaxe : Expression incomplète")/10^3*$H408</f>
        <v>#VALUE!</v>
      </c>
      <c r="P408" s="173" t="e">
        <f t="shared" si="23"/>
        <v>#VALUE!</v>
      </c>
    </row>
    <row r="409" spans="1:16" s="115" customFormat="1" ht="12" hidden="1" outlineLevel="3" thickBot="1">
      <c r="A409" s="115" t="str">
        <f t="shared" si="24"/>
        <v>A39701000B</v>
      </c>
      <c r="B409" s="115" t="str">
        <f t="shared" si="25"/>
        <v>F90</v>
      </c>
      <c r="C409" s="135" t="s">
        <v>1696</v>
      </c>
      <c r="D409" s="135"/>
      <c r="E409" s="135" t="s">
        <v>1697</v>
      </c>
      <c r="F409" s="131" t="s">
        <v>150</v>
      </c>
      <c r="G409" s="131" t="e">
        <v>#VALUE!</v>
      </c>
      <c r="H409" s="173">
        <v>1</v>
      </c>
      <c r="I409" s="173"/>
      <c r="J409" s="173" t="e">
        <f>_xll.GetCtData("COAMOUNT","CONSAMOUNT",$A$1:$A$8,$A409:$B409,,"#Erreur de syntaxe : Expression incomplète")/10^3*$H409</f>
        <v>#VALUE!</v>
      </c>
      <c r="K409" s="173"/>
      <c r="L409" s="173" t="e">
        <f>_xll.GetCtData("COAMOUNT","CONSAMOUNT",$A$1:$A$8,$A409:$B409,,"#Erreur de syntaxe : Expression incomplète")/10^3*$H409</f>
        <v>#VALUE!</v>
      </c>
      <c r="N409" s="173" t="e">
        <f>_xll.GetCtData("COAMOUNT","CONSAMOUNT",$A$1:$A$8,$A409:$B409,,"#Erreur de syntaxe : Expression incomplète")/10^3*$H409</f>
        <v>#VALUE!</v>
      </c>
      <c r="P409" s="173" t="e">
        <f t="shared" si="23"/>
        <v>#VALUE!</v>
      </c>
    </row>
    <row r="410" spans="1:16" s="115" customFormat="1" ht="12" hidden="1" outlineLevel="3" thickBot="1">
      <c r="A410" s="115" t="str">
        <f t="shared" si="24"/>
        <v>A39701100B</v>
      </c>
      <c r="B410" s="115" t="str">
        <f t="shared" si="25"/>
        <v>F90</v>
      </c>
      <c r="C410" s="135" t="s">
        <v>1720</v>
      </c>
      <c r="D410" s="135"/>
      <c r="E410" s="135" t="s">
        <v>1721</v>
      </c>
      <c r="F410" s="131" t="s">
        <v>150</v>
      </c>
      <c r="G410" s="131" t="e">
        <v>#VALUE!</v>
      </c>
      <c r="H410" s="173">
        <v>1</v>
      </c>
      <c r="I410" s="173"/>
      <c r="J410" s="173" t="e">
        <f>_xll.GetCtData("COAMOUNT","CONSAMOUNT",$A$1:$A$8,$A410:$B410,,"#Erreur de syntaxe : Expression incomplète")/10^3*$H410</f>
        <v>#VALUE!</v>
      </c>
      <c r="K410" s="173"/>
      <c r="L410" s="173" t="e">
        <f>_xll.GetCtData("COAMOUNT","CONSAMOUNT",$A$1:$A$8,$A410:$B410,,"#Erreur de syntaxe : Expression incomplète")/10^3*$H410</f>
        <v>#VALUE!</v>
      </c>
      <c r="N410" s="173" t="e">
        <f>_xll.GetCtData("COAMOUNT","CONSAMOUNT",$A$1:$A$8,$A410:$B410,,"#Erreur de syntaxe : Expression incomplète")/10^3*$H410</f>
        <v>#VALUE!</v>
      </c>
      <c r="P410" s="173" t="e">
        <f t="shared" si="23"/>
        <v>#VALUE!</v>
      </c>
    </row>
    <row r="411" spans="1:16" s="115" customFormat="1" ht="12" hidden="1" outlineLevel="3" thickBot="1">
      <c r="A411" s="115" t="str">
        <f t="shared" si="24"/>
        <v>A39701000V</v>
      </c>
      <c r="B411" s="115" t="str">
        <f t="shared" si="25"/>
        <v>F90</v>
      </c>
      <c r="C411" s="135" t="s">
        <v>1699</v>
      </c>
      <c r="D411" s="135"/>
      <c r="E411" s="135" t="s">
        <v>1700</v>
      </c>
      <c r="F411" s="131" t="s">
        <v>150</v>
      </c>
      <c r="G411" s="131" t="e">
        <v>#VALUE!</v>
      </c>
      <c r="H411" s="173">
        <v>1</v>
      </c>
      <c r="I411" s="173"/>
      <c r="J411" s="173" t="e">
        <f>_xll.GetCtData("COAMOUNT","CONSAMOUNT",$A$1:$A$8,$A411:$B411,,"#Erreur de syntaxe : Expression incomplète")/10^3*$H411</f>
        <v>#VALUE!</v>
      </c>
      <c r="K411" s="173"/>
      <c r="L411" s="173" t="e">
        <f>_xll.GetCtData("COAMOUNT","CONSAMOUNT",$A$1:$A$8,$A411:$B411,,"#Erreur de syntaxe : Expression incomplète")/10^3*$H411</f>
        <v>#VALUE!</v>
      </c>
      <c r="N411" s="173" t="e">
        <f>_xll.GetCtData("COAMOUNT","CONSAMOUNT",$A$1:$A$8,$A411:$B411,,"#Erreur de syntaxe : Expression incomplète")/10^3*$H411</f>
        <v>#VALUE!</v>
      </c>
      <c r="P411" s="173" t="e">
        <f t="shared" ref="P411:P474" si="26">L411+N411</f>
        <v>#VALUE!</v>
      </c>
    </row>
    <row r="412" spans="1:16" s="115" customFormat="1" ht="12" hidden="1" outlineLevel="3" thickBot="1">
      <c r="A412" s="115" t="str">
        <f t="shared" si="24"/>
        <v>A39701100V</v>
      </c>
      <c r="B412" s="115" t="str">
        <f t="shared" si="25"/>
        <v>F90</v>
      </c>
      <c r="C412" s="135" t="s">
        <v>1723</v>
      </c>
      <c r="D412" s="135"/>
      <c r="E412" s="135" t="s">
        <v>1724</v>
      </c>
      <c r="F412" s="131" t="s">
        <v>150</v>
      </c>
      <c r="G412" s="131" t="e">
        <v>#VALUE!</v>
      </c>
      <c r="H412" s="173">
        <v>1</v>
      </c>
      <c r="I412" s="173"/>
      <c r="J412" s="173" t="e">
        <f>_xll.GetCtData("COAMOUNT","CONSAMOUNT",$A$1:$A$8,$A412:$B412,,"#Erreur de syntaxe : Expression incomplète")/10^3*$H412</f>
        <v>#VALUE!</v>
      </c>
      <c r="K412" s="173"/>
      <c r="L412" s="173" t="e">
        <f>_xll.GetCtData("COAMOUNT","CONSAMOUNT",$A$1:$A$8,$A412:$B412,,"#Erreur de syntaxe : Expression incomplète")/10^3*$H412</f>
        <v>#VALUE!</v>
      </c>
      <c r="N412" s="173" t="e">
        <f>_xll.GetCtData("COAMOUNT","CONSAMOUNT",$A$1:$A$8,$A412:$B412,,"#Erreur de syntaxe : Expression incomplète")/10^3*$H412</f>
        <v>#VALUE!</v>
      </c>
      <c r="P412" s="173" t="e">
        <f t="shared" si="26"/>
        <v>#VALUE!</v>
      </c>
    </row>
    <row r="413" spans="1:16" s="115" customFormat="1" ht="12" hidden="1" outlineLevel="3" thickBot="1">
      <c r="A413" s="115" t="str">
        <f t="shared" si="24"/>
        <v>P39701000B</v>
      </c>
      <c r="B413" s="115" t="str">
        <f t="shared" si="25"/>
        <v>F90</v>
      </c>
      <c r="C413" s="135" t="s">
        <v>1732</v>
      </c>
      <c r="D413" s="135"/>
      <c r="E413" s="135" t="s">
        <v>1733</v>
      </c>
      <c r="F413" s="131" t="s">
        <v>150</v>
      </c>
      <c r="G413" s="131" t="e">
        <v>#VALUE!</v>
      </c>
      <c r="H413" s="173">
        <v>-1</v>
      </c>
      <c r="I413" s="173"/>
      <c r="J413" s="173" t="e">
        <f>_xll.GetCtData("COAMOUNT","CONSAMOUNT",$A$1:$A$8,$A413:$B413,,"#Erreur de syntaxe : Expression incomplète")/10^3*$H413</f>
        <v>#VALUE!</v>
      </c>
      <c r="K413" s="173"/>
      <c r="L413" s="173" t="e">
        <f>_xll.GetCtData("COAMOUNT","CONSAMOUNT",$A$1:$A$8,$A413:$B413,,"#Erreur de syntaxe : Expression incomplète")/10^3*$H413</f>
        <v>#VALUE!</v>
      </c>
      <c r="N413" s="173" t="e">
        <f>_xll.GetCtData("COAMOUNT","CONSAMOUNT",$A$1:$A$8,$A413:$B413,,"#Erreur de syntaxe : Expression incomplète")/10^3*$H413</f>
        <v>#VALUE!</v>
      </c>
      <c r="P413" s="173" t="e">
        <f t="shared" si="26"/>
        <v>#VALUE!</v>
      </c>
    </row>
    <row r="414" spans="1:16" s="115" customFormat="1" ht="12" hidden="1" outlineLevel="3" thickBot="1">
      <c r="A414" s="115" t="str">
        <f t="shared" si="24"/>
        <v>P39701100B</v>
      </c>
      <c r="B414" s="115" t="str">
        <f t="shared" si="25"/>
        <v>F90</v>
      </c>
      <c r="C414" s="135" t="s">
        <v>1139</v>
      </c>
      <c r="D414" s="135"/>
      <c r="E414" s="135" t="s">
        <v>1140</v>
      </c>
      <c r="F414" s="131" t="s">
        <v>150</v>
      </c>
      <c r="G414" s="131" t="e">
        <v>#VALUE!</v>
      </c>
      <c r="H414" s="173">
        <v>-1</v>
      </c>
      <c r="I414" s="173"/>
      <c r="J414" s="173" t="e">
        <f>_xll.GetCtData("COAMOUNT","CONSAMOUNT",$A$1:$A$8,$A414:$B414,,"#Erreur de syntaxe : Expression incomplète")/10^3*$H414</f>
        <v>#VALUE!</v>
      </c>
      <c r="K414" s="173"/>
      <c r="L414" s="173" t="e">
        <f>_xll.GetCtData("COAMOUNT","CONSAMOUNT",$A$1:$A$8,$A414:$B414,,"#Erreur de syntaxe : Expression incomplète")/10^3*$H414</f>
        <v>#VALUE!</v>
      </c>
      <c r="N414" s="173" t="e">
        <f>_xll.GetCtData("COAMOUNT","CONSAMOUNT",$A$1:$A$8,$A414:$B414,,"#Erreur de syntaxe : Expression incomplète")/10^3*$H414</f>
        <v>#VALUE!</v>
      </c>
      <c r="P414" s="173" t="e">
        <f t="shared" si="26"/>
        <v>#VALUE!</v>
      </c>
    </row>
    <row r="415" spans="1:16" s="115" customFormat="1" ht="12" hidden="1" outlineLevel="3" thickBot="1">
      <c r="A415" s="115" t="str">
        <f t="shared" si="24"/>
        <v>P39701000V</v>
      </c>
      <c r="B415" s="115" t="str">
        <f t="shared" si="25"/>
        <v>F90</v>
      </c>
      <c r="C415" s="135" t="s">
        <v>1735</v>
      </c>
      <c r="D415" s="135"/>
      <c r="E415" s="135" t="s">
        <v>1736</v>
      </c>
      <c r="F415" s="131" t="s">
        <v>150</v>
      </c>
      <c r="G415" s="131" t="e">
        <v>#VALUE!</v>
      </c>
      <c r="H415" s="173">
        <v>-1</v>
      </c>
      <c r="I415" s="173"/>
      <c r="J415" s="173" t="e">
        <f>_xll.GetCtData("COAMOUNT","CONSAMOUNT",$A$1:$A$8,$A415:$B415,,"#Erreur de syntaxe : Expression incomplète")/10^3*$H415</f>
        <v>#VALUE!</v>
      </c>
      <c r="K415" s="173"/>
      <c r="L415" s="173" t="e">
        <f>_xll.GetCtData("COAMOUNT","CONSAMOUNT",$A$1:$A$8,$A415:$B415,,"#Erreur de syntaxe : Expression incomplète")/10^3*$H415</f>
        <v>#VALUE!</v>
      </c>
      <c r="N415" s="173" t="e">
        <f>_xll.GetCtData("COAMOUNT","CONSAMOUNT",$A$1:$A$8,$A415:$B415,,"#Erreur de syntaxe : Expression incomplète")/10^3*$H415</f>
        <v>#VALUE!</v>
      </c>
      <c r="P415" s="173" t="e">
        <f t="shared" si="26"/>
        <v>#VALUE!</v>
      </c>
    </row>
    <row r="416" spans="1:16" s="115" customFormat="1" ht="12" hidden="1" outlineLevel="3" thickBot="1">
      <c r="A416" s="115" t="str">
        <f t="shared" si="24"/>
        <v>P39701100V</v>
      </c>
      <c r="B416" s="115" t="str">
        <f t="shared" si="25"/>
        <v>F90</v>
      </c>
      <c r="C416" s="135" t="s">
        <v>1133</v>
      </c>
      <c r="D416" s="135"/>
      <c r="E416" s="135" t="s">
        <v>1134</v>
      </c>
      <c r="F416" s="131" t="s">
        <v>150</v>
      </c>
      <c r="G416" s="131" t="e">
        <v>#VALUE!</v>
      </c>
      <c r="H416" s="173">
        <v>-1</v>
      </c>
      <c r="I416" s="173"/>
      <c r="J416" s="173" t="e">
        <f>_xll.GetCtData("COAMOUNT","CONSAMOUNT",$A$1:$A$8,$A416:$B416,,"#Erreur de syntaxe : Expression incomplète")/10^3*$H416</f>
        <v>#VALUE!</v>
      </c>
      <c r="K416" s="173"/>
      <c r="L416" s="173" t="e">
        <f>_xll.GetCtData("COAMOUNT","CONSAMOUNT",$A$1:$A$8,$A416:$B416,,"#Erreur de syntaxe : Expression incomplète")/10^3*$H416</f>
        <v>#VALUE!</v>
      </c>
      <c r="N416" s="173" t="e">
        <f>_xll.GetCtData("COAMOUNT","CONSAMOUNT",$A$1:$A$8,$A416:$B416,,"#Erreur de syntaxe : Expression incomplète")/10^3*$H416</f>
        <v>#VALUE!</v>
      </c>
      <c r="P416" s="173" t="e">
        <f t="shared" si="26"/>
        <v>#VALUE!</v>
      </c>
    </row>
    <row r="417" spans="1:16" s="115" customFormat="1" ht="12" hidden="1" outlineLevel="3" thickBot="1">
      <c r="A417" s="115" t="str">
        <f t="shared" si="24"/>
        <v>A39701000B</v>
      </c>
      <c r="B417" s="115" t="str">
        <f t="shared" si="25"/>
        <v>F98</v>
      </c>
      <c r="C417" s="135" t="s">
        <v>1696</v>
      </c>
      <c r="D417" s="135"/>
      <c r="E417" s="135" t="s">
        <v>1697</v>
      </c>
      <c r="F417" s="131" t="s">
        <v>158</v>
      </c>
      <c r="G417" s="131" t="e">
        <v>#VALUE!</v>
      </c>
      <c r="H417" s="173">
        <v>1</v>
      </c>
      <c r="I417" s="173"/>
      <c r="J417" s="173" t="e">
        <f>_xll.GetCtData("COAMOUNT","CONSAMOUNT",$A$1:$A$8,$A417:$B417,,"#Erreur de syntaxe : Expression incomplète")/10^3*$H417</f>
        <v>#VALUE!</v>
      </c>
      <c r="K417" s="173"/>
      <c r="L417" s="173" t="e">
        <f>_xll.GetCtData("COAMOUNT","CONSAMOUNT",$A$1:$A$8,$A417:$B417,,"#Erreur de syntaxe : Expression incomplète")/10^3*$H417</f>
        <v>#VALUE!</v>
      </c>
      <c r="N417" s="173" t="e">
        <f>_xll.GetCtData("COAMOUNT","CONSAMOUNT",$A$1:$A$8,$A417:$B417,,"#Erreur de syntaxe : Expression incomplète")/10^3*$H417</f>
        <v>#VALUE!</v>
      </c>
      <c r="P417" s="173" t="e">
        <f t="shared" si="26"/>
        <v>#VALUE!</v>
      </c>
    </row>
    <row r="418" spans="1:16" s="115" customFormat="1" ht="12" hidden="1" outlineLevel="3" thickBot="1">
      <c r="A418" s="115" t="str">
        <f t="shared" si="24"/>
        <v>A39701100B</v>
      </c>
      <c r="B418" s="115" t="str">
        <f t="shared" si="25"/>
        <v>F98</v>
      </c>
      <c r="C418" s="135" t="s">
        <v>1720</v>
      </c>
      <c r="D418" s="135"/>
      <c r="E418" s="135" t="s">
        <v>1721</v>
      </c>
      <c r="F418" s="131" t="s">
        <v>158</v>
      </c>
      <c r="G418" s="131" t="e">
        <v>#VALUE!</v>
      </c>
      <c r="H418" s="173">
        <v>1</v>
      </c>
      <c r="I418" s="173"/>
      <c r="J418" s="173" t="e">
        <f>_xll.GetCtData("COAMOUNT","CONSAMOUNT",$A$1:$A$8,$A418:$B418,,"#Erreur de syntaxe : Expression incomplète")/10^3*$H418</f>
        <v>#VALUE!</v>
      </c>
      <c r="K418" s="173"/>
      <c r="L418" s="173" t="e">
        <f>_xll.GetCtData("COAMOUNT","CONSAMOUNT",$A$1:$A$8,$A418:$B418,,"#Erreur de syntaxe : Expression incomplète")/10^3*$H418</f>
        <v>#VALUE!</v>
      </c>
      <c r="N418" s="173" t="e">
        <f>_xll.GetCtData("COAMOUNT","CONSAMOUNT",$A$1:$A$8,$A418:$B418,,"#Erreur de syntaxe : Expression incomplète")/10^3*$H418</f>
        <v>#VALUE!</v>
      </c>
      <c r="P418" s="173" t="e">
        <f t="shared" si="26"/>
        <v>#VALUE!</v>
      </c>
    </row>
    <row r="419" spans="1:16" s="115" customFormat="1" ht="12" hidden="1" outlineLevel="3" thickBot="1">
      <c r="A419" s="115" t="str">
        <f t="shared" si="24"/>
        <v>A39701000V</v>
      </c>
      <c r="B419" s="115" t="str">
        <f t="shared" si="25"/>
        <v>F98</v>
      </c>
      <c r="C419" s="135" t="s">
        <v>1699</v>
      </c>
      <c r="D419" s="135"/>
      <c r="E419" s="135" t="s">
        <v>1700</v>
      </c>
      <c r="F419" s="131" t="s">
        <v>158</v>
      </c>
      <c r="G419" s="131" t="e">
        <v>#VALUE!</v>
      </c>
      <c r="H419" s="173">
        <v>1</v>
      </c>
      <c r="I419" s="173"/>
      <c r="J419" s="173" t="e">
        <f>_xll.GetCtData("COAMOUNT","CONSAMOUNT",$A$1:$A$8,$A419:$B419,,"#Erreur de syntaxe : Expression incomplète")/10^3*$H419</f>
        <v>#VALUE!</v>
      </c>
      <c r="K419" s="173"/>
      <c r="L419" s="173" t="e">
        <f>_xll.GetCtData("COAMOUNT","CONSAMOUNT",$A$1:$A$8,$A419:$B419,,"#Erreur de syntaxe : Expression incomplète")/10^3*$H419</f>
        <v>#VALUE!</v>
      </c>
      <c r="N419" s="173" t="e">
        <f>_xll.GetCtData("COAMOUNT","CONSAMOUNT",$A$1:$A$8,$A419:$B419,,"#Erreur de syntaxe : Expression incomplète")/10^3*$H419</f>
        <v>#VALUE!</v>
      </c>
      <c r="P419" s="173" t="e">
        <f t="shared" si="26"/>
        <v>#VALUE!</v>
      </c>
    </row>
    <row r="420" spans="1:16" s="115" customFormat="1" ht="12" hidden="1" outlineLevel="3" thickBot="1">
      <c r="A420" s="115" t="str">
        <f t="shared" si="24"/>
        <v>A39701100V</v>
      </c>
      <c r="B420" s="115" t="str">
        <f t="shared" si="25"/>
        <v>F98</v>
      </c>
      <c r="C420" s="135" t="s">
        <v>1723</v>
      </c>
      <c r="D420" s="135"/>
      <c r="E420" s="135" t="s">
        <v>1724</v>
      </c>
      <c r="F420" s="131" t="s">
        <v>158</v>
      </c>
      <c r="G420" s="131" t="e">
        <v>#VALUE!</v>
      </c>
      <c r="H420" s="173">
        <v>1</v>
      </c>
      <c r="I420" s="173"/>
      <c r="J420" s="173" t="e">
        <f>_xll.GetCtData("COAMOUNT","CONSAMOUNT",$A$1:$A$8,$A420:$B420,,"#Erreur de syntaxe : Expression incomplète")/10^3*$H420</f>
        <v>#VALUE!</v>
      </c>
      <c r="K420" s="173"/>
      <c r="L420" s="173" t="e">
        <f>_xll.GetCtData("COAMOUNT","CONSAMOUNT",$A$1:$A$8,$A420:$B420,,"#Erreur de syntaxe : Expression incomplète")/10^3*$H420</f>
        <v>#VALUE!</v>
      </c>
      <c r="N420" s="173" t="e">
        <f>_xll.GetCtData("COAMOUNT","CONSAMOUNT",$A$1:$A$8,$A420:$B420,,"#Erreur de syntaxe : Expression incomplète")/10^3*$H420</f>
        <v>#VALUE!</v>
      </c>
      <c r="P420" s="173" t="e">
        <f t="shared" si="26"/>
        <v>#VALUE!</v>
      </c>
    </row>
    <row r="421" spans="1:16" s="115" customFormat="1" ht="12" hidden="1" outlineLevel="3" thickBot="1">
      <c r="A421" s="115" t="str">
        <f t="shared" si="24"/>
        <v>P39701000B</v>
      </c>
      <c r="B421" s="115" t="str">
        <f t="shared" si="25"/>
        <v>F98</v>
      </c>
      <c r="C421" s="135" t="s">
        <v>1732</v>
      </c>
      <c r="D421" s="135"/>
      <c r="E421" s="135" t="s">
        <v>1733</v>
      </c>
      <c r="F421" s="131" t="s">
        <v>158</v>
      </c>
      <c r="G421" s="131" t="e">
        <v>#VALUE!</v>
      </c>
      <c r="H421" s="173">
        <v>-1</v>
      </c>
      <c r="I421" s="173"/>
      <c r="J421" s="173" t="e">
        <f>_xll.GetCtData("COAMOUNT","CONSAMOUNT",$A$1:$A$8,$A421:$B421,,"#Erreur de syntaxe : Expression incomplète")/10^3*$H421</f>
        <v>#VALUE!</v>
      </c>
      <c r="K421" s="173"/>
      <c r="L421" s="173" t="e">
        <f>_xll.GetCtData("COAMOUNT","CONSAMOUNT",$A$1:$A$8,$A421:$B421,,"#Erreur de syntaxe : Expression incomplète")/10^3*$H421</f>
        <v>#VALUE!</v>
      </c>
      <c r="N421" s="173" t="e">
        <f>_xll.GetCtData("COAMOUNT","CONSAMOUNT",$A$1:$A$8,$A421:$B421,,"#Erreur de syntaxe : Expression incomplète")/10^3*$H421</f>
        <v>#VALUE!</v>
      </c>
      <c r="P421" s="173" t="e">
        <f t="shared" si="26"/>
        <v>#VALUE!</v>
      </c>
    </row>
    <row r="422" spans="1:16" s="115" customFormat="1" ht="12" hidden="1" outlineLevel="3" thickBot="1">
      <c r="A422" s="115" t="str">
        <f t="shared" si="24"/>
        <v>P39701100B</v>
      </c>
      <c r="B422" s="115" t="str">
        <f t="shared" si="25"/>
        <v>F98</v>
      </c>
      <c r="C422" s="135" t="s">
        <v>1139</v>
      </c>
      <c r="D422" s="135"/>
      <c r="E422" s="135" t="s">
        <v>1140</v>
      </c>
      <c r="F422" s="131" t="s">
        <v>158</v>
      </c>
      <c r="G422" s="131" t="e">
        <v>#VALUE!</v>
      </c>
      <c r="H422" s="173">
        <v>-1</v>
      </c>
      <c r="I422" s="173"/>
      <c r="J422" s="173" t="e">
        <f>_xll.GetCtData("COAMOUNT","CONSAMOUNT",$A$1:$A$8,$A422:$B422,,"#Erreur de syntaxe : Expression incomplète")/10^3*$H422</f>
        <v>#VALUE!</v>
      </c>
      <c r="K422" s="173"/>
      <c r="L422" s="173" t="e">
        <f>_xll.GetCtData("COAMOUNT","CONSAMOUNT",$A$1:$A$8,$A422:$B422,,"#Erreur de syntaxe : Expression incomplète")/10^3*$H422</f>
        <v>#VALUE!</v>
      </c>
      <c r="N422" s="173" t="e">
        <f>_xll.GetCtData("COAMOUNT","CONSAMOUNT",$A$1:$A$8,$A422:$B422,,"#Erreur de syntaxe : Expression incomplète")/10^3*$H422</f>
        <v>#VALUE!</v>
      </c>
      <c r="P422" s="173" t="e">
        <f t="shared" si="26"/>
        <v>#VALUE!</v>
      </c>
    </row>
    <row r="423" spans="1:16" s="115" customFormat="1" ht="12" hidden="1" outlineLevel="3" thickBot="1">
      <c r="A423" s="115" t="str">
        <f t="shared" si="24"/>
        <v>P39701000V</v>
      </c>
      <c r="B423" s="115" t="str">
        <f t="shared" si="25"/>
        <v>F98</v>
      </c>
      <c r="C423" s="135" t="s">
        <v>1735</v>
      </c>
      <c r="D423" s="135"/>
      <c r="E423" s="135" t="s">
        <v>1736</v>
      </c>
      <c r="F423" s="131" t="s">
        <v>158</v>
      </c>
      <c r="G423" s="131" t="e">
        <v>#VALUE!</v>
      </c>
      <c r="H423" s="173">
        <v>-1</v>
      </c>
      <c r="I423" s="173"/>
      <c r="J423" s="173" t="e">
        <f>_xll.GetCtData("COAMOUNT","CONSAMOUNT",$A$1:$A$8,$A423:$B423,,"#Erreur de syntaxe : Expression incomplète")/10^3*$H423</f>
        <v>#VALUE!</v>
      </c>
      <c r="K423" s="173"/>
      <c r="L423" s="173" t="e">
        <f>_xll.GetCtData("COAMOUNT","CONSAMOUNT",$A$1:$A$8,$A423:$B423,,"#Erreur de syntaxe : Expression incomplète")/10^3*$H423</f>
        <v>#VALUE!</v>
      </c>
      <c r="N423" s="173" t="e">
        <f>_xll.GetCtData("COAMOUNT","CONSAMOUNT",$A$1:$A$8,$A423:$B423,,"#Erreur de syntaxe : Expression incomplète")/10^3*$H423</f>
        <v>#VALUE!</v>
      </c>
      <c r="P423" s="173" t="e">
        <f t="shared" si="26"/>
        <v>#VALUE!</v>
      </c>
    </row>
    <row r="424" spans="1:16" s="115" customFormat="1" ht="12" hidden="1" outlineLevel="3" thickBot="1">
      <c r="A424" s="115" t="str">
        <f t="shared" si="24"/>
        <v>P39701100V</v>
      </c>
      <c r="B424" s="115" t="str">
        <f t="shared" si="25"/>
        <v>F98</v>
      </c>
      <c r="C424" s="135" t="s">
        <v>1133</v>
      </c>
      <c r="D424" s="135"/>
      <c r="E424" s="135" t="s">
        <v>1134</v>
      </c>
      <c r="F424" s="131" t="s">
        <v>158</v>
      </c>
      <c r="G424" s="131" t="e">
        <v>#VALUE!</v>
      </c>
      <c r="H424" s="173">
        <v>-1</v>
      </c>
      <c r="I424" s="173"/>
      <c r="J424" s="173" t="e">
        <f>_xll.GetCtData("COAMOUNT","CONSAMOUNT",$A$1:$A$8,$A424:$B424,,"#Erreur de syntaxe : Expression incomplète")/10^3*$H424</f>
        <v>#VALUE!</v>
      </c>
      <c r="K424" s="173"/>
      <c r="L424" s="173" t="e">
        <f>_xll.GetCtData("COAMOUNT","CONSAMOUNT",$A$1:$A$8,$A424:$B424,,"#Erreur de syntaxe : Expression incomplète")/10^3*$H424</f>
        <v>#VALUE!</v>
      </c>
      <c r="N424" s="173" t="e">
        <f>_xll.GetCtData("COAMOUNT","CONSAMOUNT",$A$1:$A$8,$A424:$B424,,"#Erreur de syntaxe : Expression incomplète")/10^3*$H424</f>
        <v>#VALUE!</v>
      </c>
      <c r="P424" s="173" t="e">
        <f t="shared" si="26"/>
        <v>#VALUE!</v>
      </c>
    </row>
    <row r="425" spans="1:16" s="115" customFormat="1" ht="12" hidden="1" outlineLevel="3" thickBot="1">
      <c r="A425" s="115" t="str">
        <f t="shared" ref="A425:A464" si="27">$C$1&amp;C425</f>
        <v>A39701000B</v>
      </c>
      <c r="B425" s="115" t="str">
        <f t="shared" ref="B425:B464" si="28">$C$2&amp;F425</f>
        <v>F91</v>
      </c>
      <c r="C425" s="135" t="s">
        <v>1696</v>
      </c>
      <c r="D425" s="135"/>
      <c r="E425" s="135" t="s">
        <v>1697</v>
      </c>
      <c r="F425" s="131" t="s">
        <v>152</v>
      </c>
      <c r="G425" s="131" t="e">
        <v>#VALUE!</v>
      </c>
      <c r="H425" s="173">
        <v>1</v>
      </c>
      <c r="I425" s="173"/>
      <c r="J425" s="173" t="e">
        <f>_xll.GetCtData("COAMOUNT","CONSAMOUNT",$A$1:$A$8,$A425:$B425,,"#Erreur de syntaxe : Expression incomplète")/10^3*$H425</f>
        <v>#VALUE!</v>
      </c>
      <c r="K425" s="173"/>
      <c r="L425" s="173" t="e">
        <f>_xll.GetCtData("COAMOUNT","CONSAMOUNT",$A$1:$A$8,$A425:$B425,,"#Erreur de syntaxe : Expression incomplète")/10^3*$H425</f>
        <v>#VALUE!</v>
      </c>
      <c r="N425" s="173" t="e">
        <f>_xll.GetCtData("COAMOUNT","CONSAMOUNT",$A$1:$A$8,$A425:$B425,,"#Erreur de syntaxe : Expression incomplète")/10^3*$H425</f>
        <v>#VALUE!</v>
      </c>
      <c r="P425" s="173" t="e">
        <f t="shared" si="26"/>
        <v>#VALUE!</v>
      </c>
    </row>
    <row r="426" spans="1:16" s="115" customFormat="1" ht="12" hidden="1" outlineLevel="3" thickBot="1">
      <c r="A426" s="115" t="str">
        <f t="shared" si="27"/>
        <v>A39701100B</v>
      </c>
      <c r="B426" s="115" t="str">
        <f t="shared" si="28"/>
        <v>F91</v>
      </c>
      <c r="C426" s="135" t="s">
        <v>1720</v>
      </c>
      <c r="D426" s="135"/>
      <c r="E426" s="135" t="s">
        <v>1721</v>
      </c>
      <c r="F426" s="131" t="s">
        <v>152</v>
      </c>
      <c r="G426" s="131" t="e">
        <v>#VALUE!</v>
      </c>
      <c r="H426" s="173">
        <v>1</v>
      </c>
      <c r="I426" s="173"/>
      <c r="J426" s="173" t="e">
        <f>_xll.GetCtData("COAMOUNT","CONSAMOUNT",$A$1:$A$8,$A426:$B426,,"#Erreur de syntaxe : Expression incomplète")/10^3*$H426</f>
        <v>#VALUE!</v>
      </c>
      <c r="K426" s="173"/>
      <c r="L426" s="173" t="e">
        <f>_xll.GetCtData("COAMOUNT","CONSAMOUNT",$A$1:$A$8,$A426:$B426,,"#Erreur de syntaxe : Expression incomplète")/10^3*$H426</f>
        <v>#VALUE!</v>
      </c>
      <c r="N426" s="173" t="e">
        <f>_xll.GetCtData("COAMOUNT","CONSAMOUNT",$A$1:$A$8,$A426:$B426,,"#Erreur de syntaxe : Expression incomplète")/10^3*$H426</f>
        <v>#VALUE!</v>
      </c>
      <c r="P426" s="173" t="e">
        <f t="shared" si="26"/>
        <v>#VALUE!</v>
      </c>
    </row>
    <row r="427" spans="1:16" s="115" customFormat="1" ht="12" hidden="1" outlineLevel="3" thickBot="1">
      <c r="A427" s="115" t="str">
        <f t="shared" si="27"/>
        <v>A39701000V</v>
      </c>
      <c r="B427" s="115" t="str">
        <f t="shared" si="28"/>
        <v>F91</v>
      </c>
      <c r="C427" s="135" t="s">
        <v>1699</v>
      </c>
      <c r="D427" s="135"/>
      <c r="E427" s="135" t="s">
        <v>1700</v>
      </c>
      <c r="F427" s="131" t="s">
        <v>152</v>
      </c>
      <c r="G427" s="131" t="e">
        <v>#VALUE!</v>
      </c>
      <c r="H427" s="173">
        <v>1</v>
      </c>
      <c r="I427" s="173"/>
      <c r="J427" s="173" t="e">
        <f>_xll.GetCtData("COAMOUNT","CONSAMOUNT",$A$1:$A$8,$A427:$B427,,"#Erreur de syntaxe : Expression incomplète")/10^3*$H427</f>
        <v>#VALUE!</v>
      </c>
      <c r="K427" s="173"/>
      <c r="L427" s="173" t="e">
        <f>_xll.GetCtData("COAMOUNT","CONSAMOUNT",$A$1:$A$8,$A427:$B427,,"#Erreur de syntaxe : Expression incomplète")/10^3*$H427</f>
        <v>#VALUE!</v>
      </c>
      <c r="N427" s="173" t="e">
        <f>_xll.GetCtData("COAMOUNT","CONSAMOUNT",$A$1:$A$8,$A427:$B427,,"#Erreur de syntaxe : Expression incomplète")/10^3*$H427</f>
        <v>#VALUE!</v>
      </c>
      <c r="P427" s="173" t="e">
        <f t="shared" si="26"/>
        <v>#VALUE!</v>
      </c>
    </row>
    <row r="428" spans="1:16" s="115" customFormat="1" ht="12" hidden="1" outlineLevel="3" thickBot="1">
      <c r="A428" s="115" t="str">
        <f t="shared" si="27"/>
        <v>A39701100V</v>
      </c>
      <c r="B428" s="115" t="str">
        <f t="shared" si="28"/>
        <v>F91</v>
      </c>
      <c r="C428" s="135" t="s">
        <v>1723</v>
      </c>
      <c r="D428" s="135"/>
      <c r="E428" s="135" t="s">
        <v>1724</v>
      </c>
      <c r="F428" s="131" t="s">
        <v>152</v>
      </c>
      <c r="G428" s="131" t="e">
        <v>#VALUE!</v>
      </c>
      <c r="H428" s="173">
        <v>1</v>
      </c>
      <c r="I428" s="173"/>
      <c r="J428" s="173" t="e">
        <f>_xll.GetCtData("COAMOUNT","CONSAMOUNT",$A$1:$A$8,$A428:$B428,,"#Erreur de syntaxe : Expression incomplète")/10^3*$H428</f>
        <v>#VALUE!</v>
      </c>
      <c r="K428" s="173"/>
      <c r="L428" s="173" t="e">
        <f>_xll.GetCtData("COAMOUNT","CONSAMOUNT",$A$1:$A$8,$A428:$B428,,"#Erreur de syntaxe : Expression incomplète")/10^3*$H428</f>
        <v>#VALUE!</v>
      </c>
      <c r="N428" s="173" t="e">
        <f>_xll.GetCtData("COAMOUNT","CONSAMOUNT",$A$1:$A$8,$A428:$B428,,"#Erreur de syntaxe : Expression incomplète")/10^3*$H428</f>
        <v>#VALUE!</v>
      </c>
      <c r="P428" s="173" t="e">
        <f t="shared" si="26"/>
        <v>#VALUE!</v>
      </c>
    </row>
    <row r="429" spans="1:16" s="115" customFormat="1" ht="12" hidden="1" outlineLevel="3" thickBot="1">
      <c r="A429" s="115" t="str">
        <f t="shared" si="27"/>
        <v>P39701000B</v>
      </c>
      <c r="B429" s="115" t="str">
        <f t="shared" si="28"/>
        <v>F91</v>
      </c>
      <c r="C429" s="135" t="s">
        <v>1732</v>
      </c>
      <c r="D429" s="135"/>
      <c r="E429" s="135" t="s">
        <v>1733</v>
      </c>
      <c r="F429" s="131" t="s">
        <v>152</v>
      </c>
      <c r="G429" s="131" t="e">
        <v>#VALUE!</v>
      </c>
      <c r="H429" s="173">
        <v>-1</v>
      </c>
      <c r="I429" s="173"/>
      <c r="J429" s="173" t="e">
        <f>_xll.GetCtData("COAMOUNT","CONSAMOUNT",$A$1:$A$8,$A429:$B429,,"#Erreur de syntaxe : Expression incomplète")/10^3*$H429</f>
        <v>#VALUE!</v>
      </c>
      <c r="K429" s="173"/>
      <c r="L429" s="173" t="e">
        <f>_xll.GetCtData("COAMOUNT","CONSAMOUNT",$A$1:$A$8,$A429:$B429,,"#Erreur de syntaxe : Expression incomplète")/10^3*$H429</f>
        <v>#VALUE!</v>
      </c>
      <c r="N429" s="173" t="e">
        <f>_xll.GetCtData("COAMOUNT","CONSAMOUNT",$A$1:$A$8,$A429:$B429,,"#Erreur de syntaxe : Expression incomplète")/10^3*$H429</f>
        <v>#VALUE!</v>
      </c>
      <c r="P429" s="173" t="e">
        <f t="shared" si="26"/>
        <v>#VALUE!</v>
      </c>
    </row>
    <row r="430" spans="1:16" s="115" customFormat="1" ht="12" hidden="1" outlineLevel="3" thickBot="1">
      <c r="A430" s="115" t="str">
        <f t="shared" si="27"/>
        <v>P39701100B</v>
      </c>
      <c r="B430" s="115" t="str">
        <f t="shared" si="28"/>
        <v>F91</v>
      </c>
      <c r="C430" s="135" t="s">
        <v>1139</v>
      </c>
      <c r="D430" s="135"/>
      <c r="E430" s="135" t="s">
        <v>1140</v>
      </c>
      <c r="F430" s="131" t="s">
        <v>152</v>
      </c>
      <c r="G430" s="131" t="e">
        <v>#VALUE!</v>
      </c>
      <c r="H430" s="173">
        <v>-1</v>
      </c>
      <c r="I430" s="173"/>
      <c r="J430" s="173" t="e">
        <f>_xll.GetCtData("COAMOUNT","CONSAMOUNT",$A$1:$A$8,$A430:$B430,,"#Erreur de syntaxe : Expression incomplète")/10^3*$H430</f>
        <v>#VALUE!</v>
      </c>
      <c r="K430" s="173"/>
      <c r="L430" s="173" t="e">
        <f>_xll.GetCtData("COAMOUNT","CONSAMOUNT",$A$1:$A$8,$A430:$B430,,"#Erreur de syntaxe : Expression incomplète")/10^3*$H430</f>
        <v>#VALUE!</v>
      </c>
      <c r="N430" s="173" t="e">
        <f>_xll.GetCtData("COAMOUNT","CONSAMOUNT",$A$1:$A$8,$A430:$B430,,"#Erreur de syntaxe : Expression incomplète")/10^3*$H430</f>
        <v>#VALUE!</v>
      </c>
      <c r="P430" s="173" t="e">
        <f t="shared" si="26"/>
        <v>#VALUE!</v>
      </c>
    </row>
    <row r="431" spans="1:16" s="115" customFormat="1" ht="12" hidden="1" outlineLevel="3" thickBot="1">
      <c r="A431" s="115" t="str">
        <f t="shared" si="27"/>
        <v>P39701000V</v>
      </c>
      <c r="B431" s="115" t="str">
        <f t="shared" si="28"/>
        <v>F91</v>
      </c>
      <c r="C431" s="135" t="s">
        <v>1735</v>
      </c>
      <c r="D431" s="135"/>
      <c r="E431" s="135" t="s">
        <v>1736</v>
      </c>
      <c r="F431" s="131" t="s">
        <v>152</v>
      </c>
      <c r="G431" s="131" t="e">
        <v>#VALUE!</v>
      </c>
      <c r="H431" s="173">
        <v>-1</v>
      </c>
      <c r="I431" s="173"/>
      <c r="J431" s="173" t="e">
        <f>_xll.GetCtData("COAMOUNT","CONSAMOUNT",$A$1:$A$8,$A431:$B431,,"#Erreur de syntaxe : Expression incomplète")/10^3*$H431</f>
        <v>#VALUE!</v>
      </c>
      <c r="K431" s="173"/>
      <c r="L431" s="173" t="e">
        <f>_xll.GetCtData("COAMOUNT","CONSAMOUNT",$A$1:$A$8,$A431:$B431,,"#Erreur de syntaxe : Expression incomplète")/10^3*$H431</f>
        <v>#VALUE!</v>
      </c>
      <c r="N431" s="173" t="e">
        <f>_xll.GetCtData("COAMOUNT","CONSAMOUNT",$A$1:$A$8,$A431:$B431,,"#Erreur de syntaxe : Expression incomplète")/10^3*$H431</f>
        <v>#VALUE!</v>
      </c>
      <c r="P431" s="173" t="e">
        <f t="shared" si="26"/>
        <v>#VALUE!</v>
      </c>
    </row>
    <row r="432" spans="1:16" s="115" customFormat="1" ht="12" hidden="1" outlineLevel="3" thickBot="1">
      <c r="A432" s="115" t="str">
        <f t="shared" si="27"/>
        <v>P39701100V</v>
      </c>
      <c r="B432" s="115" t="str">
        <f t="shared" si="28"/>
        <v>F91</v>
      </c>
      <c r="C432" s="135" t="s">
        <v>1133</v>
      </c>
      <c r="D432" s="135"/>
      <c r="E432" s="135" t="s">
        <v>1134</v>
      </c>
      <c r="F432" s="131" t="s">
        <v>152</v>
      </c>
      <c r="G432" s="131" t="e">
        <v>#VALUE!</v>
      </c>
      <c r="H432" s="173">
        <v>-1</v>
      </c>
      <c r="I432" s="173"/>
      <c r="J432" s="173" t="e">
        <f>_xll.GetCtData("COAMOUNT","CONSAMOUNT",$A$1:$A$8,$A432:$B432,,"#Erreur de syntaxe : Expression incomplète")/10^3*$H432</f>
        <v>#VALUE!</v>
      </c>
      <c r="K432" s="173"/>
      <c r="L432" s="173" t="e">
        <f>_xll.GetCtData("COAMOUNT","CONSAMOUNT",$A$1:$A$8,$A432:$B432,,"#Erreur de syntaxe : Expression incomplète")/10^3*$H432</f>
        <v>#VALUE!</v>
      </c>
      <c r="N432" s="173" t="e">
        <f>_xll.GetCtData("COAMOUNT","CONSAMOUNT",$A$1:$A$8,$A432:$B432,,"#Erreur de syntaxe : Expression incomplète")/10^3*$H432</f>
        <v>#VALUE!</v>
      </c>
      <c r="P432" s="173" t="e">
        <f t="shared" si="26"/>
        <v>#VALUE!</v>
      </c>
    </row>
    <row r="433" spans="1:16" s="115" customFormat="1" ht="12" hidden="1" outlineLevel="3" thickBot="1">
      <c r="A433" s="115" t="str">
        <f t="shared" si="27"/>
        <v>A39701000B</v>
      </c>
      <c r="B433" s="115" t="str">
        <f t="shared" si="28"/>
        <v>F97</v>
      </c>
      <c r="C433" s="135" t="s">
        <v>1696</v>
      </c>
      <c r="D433" s="135"/>
      <c r="E433" s="135" t="s">
        <v>1697</v>
      </c>
      <c r="F433" s="131" t="s">
        <v>155</v>
      </c>
      <c r="G433" s="131" t="e">
        <v>#VALUE!</v>
      </c>
      <c r="H433" s="173">
        <v>1</v>
      </c>
      <c r="I433" s="173"/>
      <c r="J433" s="173" t="e">
        <f>_xll.GetCtData("COAMOUNT","CONSAMOUNT",$A$1:$A$8,$A433:$B433,,"#Erreur de syntaxe : Expression incomplète")/10^3*$H433</f>
        <v>#VALUE!</v>
      </c>
      <c r="K433" s="173"/>
      <c r="L433" s="173" t="e">
        <f>_xll.GetCtData("COAMOUNT","CONSAMOUNT",$A$1:$A$8,$A433:$B433,,"#Erreur de syntaxe : Expression incomplète")/10^3*$H433</f>
        <v>#VALUE!</v>
      </c>
      <c r="N433" s="173" t="e">
        <f>_xll.GetCtData("COAMOUNT","CONSAMOUNT",$A$1:$A$8,$A433:$B433,,"#Erreur de syntaxe : Expression incomplète")/10^3*$H433</f>
        <v>#VALUE!</v>
      </c>
      <c r="P433" s="173" t="e">
        <f t="shared" si="26"/>
        <v>#VALUE!</v>
      </c>
    </row>
    <row r="434" spans="1:16" s="115" customFormat="1" ht="12" hidden="1" outlineLevel="3" thickBot="1">
      <c r="A434" s="115" t="str">
        <f t="shared" si="27"/>
        <v>A39701100B</v>
      </c>
      <c r="B434" s="115" t="str">
        <f t="shared" si="28"/>
        <v>F97</v>
      </c>
      <c r="C434" s="135" t="s">
        <v>1720</v>
      </c>
      <c r="D434" s="135"/>
      <c r="E434" s="135" t="s">
        <v>1721</v>
      </c>
      <c r="F434" s="131" t="s">
        <v>155</v>
      </c>
      <c r="G434" s="131" t="e">
        <v>#VALUE!</v>
      </c>
      <c r="H434" s="173">
        <v>1</v>
      </c>
      <c r="I434" s="173"/>
      <c r="J434" s="173" t="e">
        <f>_xll.GetCtData("COAMOUNT","CONSAMOUNT",$A$1:$A$8,$A434:$B434,,"#Erreur de syntaxe : Expression incomplète")/10^3*$H434</f>
        <v>#VALUE!</v>
      </c>
      <c r="K434" s="173"/>
      <c r="L434" s="173" t="e">
        <f>_xll.GetCtData("COAMOUNT","CONSAMOUNT",$A$1:$A$8,$A434:$B434,,"#Erreur de syntaxe : Expression incomplète")/10^3*$H434</f>
        <v>#VALUE!</v>
      </c>
      <c r="N434" s="173" t="e">
        <f>_xll.GetCtData("COAMOUNT","CONSAMOUNT",$A$1:$A$8,$A434:$B434,,"#Erreur de syntaxe : Expression incomplète")/10^3*$H434</f>
        <v>#VALUE!</v>
      </c>
      <c r="P434" s="173" t="e">
        <f t="shared" si="26"/>
        <v>#VALUE!</v>
      </c>
    </row>
    <row r="435" spans="1:16" s="115" customFormat="1" ht="12" hidden="1" outlineLevel="3" thickBot="1">
      <c r="A435" s="115" t="str">
        <f t="shared" si="27"/>
        <v>A39701000V</v>
      </c>
      <c r="B435" s="115" t="str">
        <f t="shared" si="28"/>
        <v>F97</v>
      </c>
      <c r="C435" s="135" t="s">
        <v>1699</v>
      </c>
      <c r="D435" s="135"/>
      <c r="E435" s="135" t="s">
        <v>1700</v>
      </c>
      <c r="F435" s="131" t="s">
        <v>155</v>
      </c>
      <c r="G435" s="131" t="e">
        <v>#VALUE!</v>
      </c>
      <c r="H435" s="173">
        <v>1</v>
      </c>
      <c r="I435" s="173"/>
      <c r="J435" s="173" t="e">
        <f>_xll.GetCtData("COAMOUNT","CONSAMOUNT",$A$1:$A$8,$A435:$B435,,"#Erreur de syntaxe : Expression incomplète")/10^3*$H435</f>
        <v>#VALUE!</v>
      </c>
      <c r="K435" s="173"/>
      <c r="L435" s="173" t="e">
        <f>_xll.GetCtData("COAMOUNT","CONSAMOUNT",$A$1:$A$8,$A435:$B435,,"#Erreur de syntaxe : Expression incomplète")/10^3*$H435</f>
        <v>#VALUE!</v>
      </c>
      <c r="N435" s="173" t="e">
        <f>_xll.GetCtData("COAMOUNT","CONSAMOUNT",$A$1:$A$8,$A435:$B435,,"#Erreur de syntaxe : Expression incomplète")/10^3*$H435</f>
        <v>#VALUE!</v>
      </c>
      <c r="P435" s="173" t="e">
        <f t="shared" si="26"/>
        <v>#VALUE!</v>
      </c>
    </row>
    <row r="436" spans="1:16" s="115" customFormat="1" ht="12" hidden="1" outlineLevel="3" thickBot="1">
      <c r="A436" s="115" t="str">
        <f t="shared" si="27"/>
        <v>A39701100V</v>
      </c>
      <c r="B436" s="115" t="str">
        <f t="shared" si="28"/>
        <v>F97</v>
      </c>
      <c r="C436" s="135" t="s">
        <v>1723</v>
      </c>
      <c r="D436" s="135"/>
      <c r="E436" s="135" t="s">
        <v>1724</v>
      </c>
      <c r="F436" s="131" t="s">
        <v>155</v>
      </c>
      <c r="G436" s="131" t="e">
        <v>#VALUE!</v>
      </c>
      <c r="H436" s="173">
        <v>1</v>
      </c>
      <c r="I436" s="173"/>
      <c r="J436" s="173" t="e">
        <f>_xll.GetCtData("COAMOUNT","CONSAMOUNT",$A$1:$A$8,$A436:$B436,,"#Erreur de syntaxe : Expression incomplète")/10^3*$H436</f>
        <v>#VALUE!</v>
      </c>
      <c r="K436" s="173"/>
      <c r="L436" s="173" t="e">
        <f>_xll.GetCtData("COAMOUNT","CONSAMOUNT",$A$1:$A$8,$A436:$B436,,"#Erreur de syntaxe : Expression incomplète")/10^3*$H436</f>
        <v>#VALUE!</v>
      </c>
      <c r="N436" s="173" t="e">
        <f>_xll.GetCtData("COAMOUNT","CONSAMOUNT",$A$1:$A$8,$A436:$B436,,"#Erreur de syntaxe : Expression incomplète")/10^3*$H436</f>
        <v>#VALUE!</v>
      </c>
      <c r="P436" s="173" t="e">
        <f t="shared" si="26"/>
        <v>#VALUE!</v>
      </c>
    </row>
    <row r="437" spans="1:16" s="115" customFormat="1" ht="12" hidden="1" outlineLevel="3" thickBot="1">
      <c r="A437" s="115" t="str">
        <f t="shared" si="27"/>
        <v>P39701000B</v>
      </c>
      <c r="B437" s="115" t="str">
        <f t="shared" si="28"/>
        <v>F97</v>
      </c>
      <c r="C437" s="135" t="s">
        <v>1732</v>
      </c>
      <c r="D437" s="135"/>
      <c r="E437" s="135" t="s">
        <v>1733</v>
      </c>
      <c r="F437" s="131" t="s">
        <v>155</v>
      </c>
      <c r="G437" s="131" t="e">
        <v>#VALUE!</v>
      </c>
      <c r="H437" s="173">
        <v>-1</v>
      </c>
      <c r="I437" s="173"/>
      <c r="J437" s="173" t="e">
        <f>_xll.GetCtData("COAMOUNT","CONSAMOUNT",$A$1:$A$8,$A437:$B437,,"#Erreur de syntaxe : Expression incomplète")/10^3*$H437</f>
        <v>#VALUE!</v>
      </c>
      <c r="K437" s="173"/>
      <c r="L437" s="173" t="e">
        <f>_xll.GetCtData("COAMOUNT","CONSAMOUNT",$A$1:$A$8,$A437:$B437,,"#Erreur de syntaxe : Expression incomplète")/10^3*$H437</f>
        <v>#VALUE!</v>
      </c>
      <c r="N437" s="173" t="e">
        <f>_xll.GetCtData("COAMOUNT","CONSAMOUNT",$A$1:$A$8,$A437:$B437,,"#Erreur de syntaxe : Expression incomplète")/10^3*$H437</f>
        <v>#VALUE!</v>
      </c>
      <c r="P437" s="173" t="e">
        <f t="shared" si="26"/>
        <v>#VALUE!</v>
      </c>
    </row>
    <row r="438" spans="1:16" s="115" customFormat="1" ht="12" hidden="1" outlineLevel="3" thickBot="1">
      <c r="A438" s="115" t="str">
        <f t="shared" si="27"/>
        <v>P39701100B</v>
      </c>
      <c r="B438" s="115" t="str">
        <f t="shared" si="28"/>
        <v>F97</v>
      </c>
      <c r="C438" s="135" t="s">
        <v>1139</v>
      </c>
      <c r="D438" s="135"/>
      <c r="E438" s="135" t="s">
        <v>1140</v>
      </c>
      <c r="F438" s="131" t="s">
        <v>155</v>
      </c>
      <c r="G438" s="131" t="e">
        <v>#VALUE!</v>
      </c>
      <c r="H438" s="173">
        <v>-1</v>
      </c>
      <c r="I438" s="173"/>
      <c r="J438" s="173" t="e">
        <f>_xll.GetCtData("COAMOUNT","CONSAMOUNT",$A$1:$A$8,$A438:$B438,,"#Erreur de syntaxe : Expression incomplète")/10^3*$H438</f>
        <v>#VALUE!</v>
      </c>
      <c r="K438" s="173"/>
      <c r="L438" s="173" t="e">
        <f>_xll.GetCtData("COAMOUNT","CONSAMOUNT",$A$1:$A$8,$A438:$B438,,"#Erreur de syntaxe : Expression incomplète")/10^3*$H438</f>
        <v>#VALUE!</v>
      </c>
      <c r="N438" s="173" t="e">
        <f>_xll.GetCtData("COAMOUNT","CONSAMOUNT",$A$1:$A$8,$A438:$B438,,"#Erreur de syntaxe : Expression incomplète")/10^3*$H438</f>
        <v>#VALUE!</v>
      </c>
      <c r="P438" s="173" t="e">
        <f t="shared" si="26"/>
        <v>#VALUE!</v>
      </c>
    </row>
    <row r="439" spans="1:16" s="115" customFormat="1" ht="12" hidden="1" outlineLevel="3" thickBot="1">
      <c r="A439" s="115" t="str">
        <f t="shared" si="27"/>
        <v>P39701000V</v>
      </c>
      <c r="B439" s="115" t="str">
        <f t="shared" si="28"/>
        <v>F97</v>
      </c>
      <c r="C439" s="135" t="s">
        <v>1735</v>
      </c>
      <c r="D439" s="135"/>
      <c r="E439" s="135" t="s">
        <v>1736</v>
      </c>
      <c r="F439" s="131" t="s">
        <v>155</v>
      </c>
      <c r="G439" s="131" t="e">
        <v>#VALUE!</v>
      </c>
      <c r="H439" s="173">
        <v>-1</v>
      </c>
      <c r="I439" s="173"/>
      <c r="J439" s="173" t="e">
        <f>_xll.GetCtData("COAMOUNT","CONSAMOUNT",$A$1:$A$8,$A439:$B439,,"#Erreur de syntaxe : Expression incomplète")/10^3*$H439</f>
        <v>#VALUE!</v>
      </c>
      <c r="K439" s="173"/>
      <c r="L439" s="173" t="e">
        <f>_xll.GetCtData("COAMOUNT","CONSAMOUNT",$A$1:$A$8,$A439:$B439,,"#Erreur de syntaxe : Expression incomplète")/10^3*$H439</f>
        <v>#VALUE!</v>
      </c>
      <c r="N439" s="173" t="e">
        <f>_xll.GetCtData("COAMOUNT","CONSAMOUNT",$A$1:$A$8,$A439:$B439,,"#Erreur de syntaxe : Expression incomplète")/10^3*$H439</f>
        <v>#VALUE!</v>
      </c>
      <c r="P439" s="173" t="e">
        <f t="shared" si="26"/>
        <v>#VALUE!</v>
      </c>
    </row>
    <row r="440" spans="1:16" s="115" customFormat="1" ht="12" hidden="1" outlineLevel="3" thickBot="1">
      <c r="A440" s="115" t="str">
        <f t="shared" si="27"/>
        <v>P39701100V</v>
      </c>
      <c r="B440" s="115" t="str">
        <f t="shared" si="28"/>
        <v>F97</v>
      </c>
      <c r="C440" s="135" t="s">
        <v>1133</v>
      </c>
      <c r="D440" s="135"/>
      <c r="E440" s="135" t="s">
        <v>1134</v>
      </c>
      <c r="F440" s="131" t="s">
        <v>155</v>
      </c>
      <c r="G440" s="131" t="e">
        <v>#VALUE!</v>
      </c>
      <c r="H440" s="173">
        <v>-1</v>
      </c>
      <c r="I440" s="173"/>
      <c r="J440" s="173" t="e">
        <f>_xll.GetCtData("COAMOUNT","CONSAMOUNT",$A$1:$A$8,$A440:$B440,,"#Erreur de syntaxe : Expression incomplète")/10^3*$H440</f>
        <v>#VALUE!</v>
      </c>
      <c r="K440" s="173"/>
      <c r="L440" s="173" t="e">
        <f>_xll.GetCtData("COAMOUNT","CONSAMOUNT",$A$1:$A$8,$A440:$B440,,"#Erreur de syntaxe : Expression incomplète")/10^3*$H440</f>
        <v>#VALUE!</v>
      </c>
      <c r="N440" s="173" t="e">
        <f>_xll.GetCtData("COAMOUNT","CONSAMOUNT",$A$1:$A$8,$A440:$B440,,"#Erreur de syntaxe : Expression incomplète")/10^3*$H440</f>
        <v>#VALUE!</v>
      </c>
      <c r="P440" s="173" t="e">
        <f t="shared" si="26"/>
        <v>#VALUE!</v>
      </c>
    </row>
    <row r="441" spans="1:16" s="115" customFormat="1" ht="12" hidden="1" outlineLevel="3" thickBot="1">
      <c r="A441" s="115" t="str">
        <f t="shared" si="27"/>
        <v>A39702000B</v>
      </c>
      <c r="B441" s="115" t="str">
        <f t="shared" si="28"/>
        <v>F01</v>
      </c>
      <c r="C441" s="135" t="s">
        <v>1702</v>
      </c>
      <c r="D441" s="135"/>
      <c r="E441" s="135" t="s">
        <v>1703</v>
      </c>
      <c r="F441" s="131" t="s">
        <v>1676</v>
      </c>
      <c r="G441" s="131" t="e">
        <v>#VALUE!</v>
      </c>
      <c r="H441" s="173">
        <v>1</v>
      </c>
      <c r="I441" s="173"/>
      <c r="J441" s="173"/>
      <c r="K441" s="173" t="e">
        <f>_xll.GetCtData("COAMOUNT","CONSAMOUNT",$A$1:$A$8,$A441:$B441,,"#Erreur de syntaxe : Expression incomplète")/10^3*$H441</f>
        <v>#VALUE!</v>
      </c>
      <c r="L441" s="173" t="e">
        <f>_xll.GetCtData("COAMOUNT","CONSAMOUNT",$A$1:$A$8,$A441:$B441,,"#Erreur de syntaxe : Expression incomplète")/10^3*$H441</f>
        <v>#VALUE!</v>
      </c>
      <c r="N441" s="173" t="e">
        <f>_xll.GetCtData("COAMOUNT","CONSAMOUNT",$A$1:$A$8,$A441:$B441,,"#Erreur de syntaxe : Expression incomplète")/10^3*$H441</f>
        <v>#VALUE!</v>
      </c>
      <c r="P441" s="173" t="e">
        <f t="shared" si="26"/>
        <v>#VALUE!</v>
      </c>
    </row>
    <row r="442" spans="1:16" s="115" customFormat="1" ht="12" hidden="1" outlineLevel="3" thickBot="1">
      <c r="A442" s="115" t="str">
        <f t="shared" si="27"/>
        <v>A39702000V</v>
      </c>
      <c r="B442" s="115" t="str">
        <f t="shared" si="28"/>
        <v>F01</v>
      </c>
      <c r="C442" s="135" t="s">
        <v>1705</v>
      </c>
      <c r="D442" s="135"/>
      <c r="E442" s="135" t="s">
        <v>1706</v>
      </c>
      <c r="F442" s="131" t="s">
        <v>1676</v>
      </c>
      <c r="G442" s="131" t="e">
        <v>#VALUE!</v>
      </c>
      <c r="H442" s="173">
        <v>1</v>
      </c>
      <c r="I442" s="173"/>
      <c r="J442" s="173"/>
      <c r="K442" s="173" t="e">
        <f>_xll.GetCtData("COAMOUNT","CONSAMOUNT",$A$1:$A$8,$A442:$B442,,"#Erreur de syntaxe : Expression incomplète")/10^3*$H442</f>
        <v>#VALUE!</v>
      </c>
      <c r="L442" s="173" t="e">
        <f>_xll.GetCtData("COAMOUNT","CONSAMOUNT",$A$1:$A$8,$A442:$B442,,"#Erreur de syntaxe : Expression incomplète")/10^3*$H442</f>
        <v>#VALUE!</v>
      </c>
      <c r="N442" s="173" t="e">
        <f>_xll.GetCtData("COAMOUNT","CONSAMOUNT",$A$1:$A$8,$A442:$B442,,"#Erreur de syntaxe : Expression incomplète")/10^3*$H442</f>
        <v>#VALUE!</v>
      </c>
      <c r="P442" s="173" t="e">
        <f t="shared" si="26"/>
        <v>#VALUE!</v>
      </c>
    </row>
    <row r="443" spans="1:16" s="115" customFormat="1" ht="12" hidden="1" outlineLevel="3" thickBot="1">
      <c r="A443" s="115" t="str">
        <f t="shared" si="27"/>
        <v>P39702000B</v>
      </c>
      <c r="B443" s="115" t="str">
        <f t="shared" si="28"/>
        <v>F01</v>
      </c>
      <c r="C443" s="135" t="s">
        <v>1741</v>
      </c>
      <c r="D443" s="135"/>
      <c r="E443" s="135" t="s">
        <v>1742</v>
      </c>
      <c r="F443" s="131" t="s">
        <v>1676</v>
      </c>
      <c r="G443" s="131" t="e">
        <v>#VALUE!</v>
      </c>
      <c r="H443" s="173">
        <v>-1</v>
      </c>
      <c r="I443" s="173"/>
      <c r="J443" s="173"/>
      <c r="K443" s="173" t="e">
        <f>_xll.GetCtData("COAMOUNT","CONSAMOUNT",$A$1:$A$8,$A443:$B443,,"#Erreur de syntaxe : Expression incomplète")/10^3*$H443</f>
        <v>#VALUE!</v>
      </c>
      <c r="L443" s="173" t="e">
        <f>_xll.GetCtData("COAMOUNT","CONSAMOUNT",$A$1:$A$8,$A443:$B443,,"#Erreur de syntaxe : Expression incomplète")/10^3*$H443</f>
        <v>#VALUE!</v>
      </c>
      <c r="N443" s="173" t="e">
        <f>_xll.GetCtData("COAMOUNT","CONSAMOUNT",$A$1:$A$8,$A443:$B443,,"#Erreur de syntaxe : Expression incomplète")/10^3*$H443</f>
        <v>#VALUE!</v>
      </c>
      <c r="P443" s="173" t="e">
        <f t="shared" si="26"/>
        <v>#VALUE!</v>
      </c>
    </row>
    <row r="444" spans="1:16" s="115" customFormat="1" ht="12" hidden="1" outlineLevel="3" thickBot="1">
      <c r="A444" s="115" t="str">
        <f t="shared" si="27"/>
        <v>P39702000V</v>
      </c>
      <c r="B444" s="115" t="str">
        <f t="shared" si="28"/>
        <v>F01</v>
      </c>
      <c r="C444" s="135" t="s">
        <v>1750</v>
      </c>
      <c r="D444" s="135"/>
      <c r="E444" s="135" t="s">
        <v>1751</v>
      </c>
      <c r="F444" s="131" t="s">
        <v>1676</v>
      </c>
      <c r="G444" s="131" t="e">
        <v>#VALUE!</v>
      </c>
      <c r="H444" s="173">
        <v>-1</v>
      </c>
      <c r="I444" s="173"/>
      <c r="J444" s="173"/>
      <c r="K444" s="173" t="e">
        <f>_xll.GetCtData("COAMOUNT","CONSAMOUNT",$A$1:$A$8,$A444:$B444,,"#Erreur de syntaxe : Expression incomplète")/10^3*$H444</f>
        <v>#VALUE!</v>
      </c>
      <c r="L444" s="173" t="e">
        <f>_xll.GetCtData("COAMOUNT","CONSAMOUNT",$A$1:$A$8,$A444:$B444,,"#Erreur de syntaxe : Expression incomplète")/10^3*$H444</f>
        <v>#VALUE!</v>
      </c>
      <c r="N444" s="173" t="e">
        <f>_xll.GetCtData("COAMOUNT","CONSAMOUNT",$A$1:$A$8,$A444:$B444,,"#Erreur de syntaxe : Expression incomplète")/10^3*$H444</f>
        <v>#VALUE!</v>
      </c>
      <c r="P444" s="173" t="e">
        <f t="shared" si="26"/>
        <v>#VALUE!</v>
      </c>
    </row>
    <row r="445" spans="1:16" s="115" customFormat="1" ht="12" hidden="1" outlineLevel="3" thickBot="1">
      <c r="A445" s="115" t="str">
        <f t="shared" si="27"/>
        <v>A39702000B</v>
      </c>
      <c r="B445" s="115" t="str">
        <f t="shared" si="28"/>
        <v>F89</v>
      </c>
      <c r="C445" s="135" t="s">
        <v>1702</v>
      </c>
      <c r="D445" s="135"/>
      <c r="E445" s="135" t="s">
        <v>1703</v>
      </c>
      <c r="F445" s="131" t="s">
        <v>148</v>
      </c>
      <c r="G445" s="131" t="e">
        <v>#VALUE!</v>
      </c>
      <c r="H445" s="173">
        <v>1</v>
      </c>
      <c r="I445" s="173"/>
      <c r="J445" s="173"/>
      <c r="K445" s="173" t="e">
        <f>_xll.GetCtData("COAMOUNT","CONSAMOUNT",$A$1:$A$8,$A445:$B445,,"#Erreur de syntaxe : Expression incomplète")/10^3*$H445</f>
        <v>#VALUE!</v>
      </c>
      <c r="L445" s="173" t="e">
        <f>_xll.GetCtData("COAMOUNT","CONSAMOUNT",$A$1:$A$8,$A445:$B445,,"#Erreur de syntaxe : Expression incomplète")/10^3*$H445</f>
        <v>#VALUE!</v>
      </c>
      <c r="N445" s="173" t="e">
        <f>_xll.GetCtData("COAMOUNT","CONSAMOUNT",$A$1:$A$8,$A445:$B445,,"#Erreur de syntaxe : Expression incomplète")/10^3*$H445</f>
        <v>#VALUE!</v>
      </c>
      <c r="P445" s="173" t="e">
        <f t="shared" si="26"/>
        <v>#VALUE!</v>
      </c>
    </row>
    <row r="446" spans="1:16" s="115" customFormat="1" ht="12" hidden="1" outlineLevel="3" thickBot="1">
      <c r="A446" s="115" t="str">
        <f t="shared" si="27"/>
        <v>A39702000V</v>
      </c>
      <c r="B446" s="115" t="str">
        <f t="shared" si="28"/>
        <v>F89</v>
      </c>
      <c r="C446" s="135" t="s">
        <v>1705</v>
      </c>
      <c r="D446" s="135"/>
      <c r="E446" s="135" t="s">
        <v>1706</v>
      </c>
      <c r="F446" s="131" t="s">
        <v>148</v>
      </c>
      <c r="G446" s="131" t="e">
        <v>#VALUE!</v>
      </c>
      <c r="H446" s="173">
        <v>1</v>
      </c>
      <c r="I446" s="173"/>
      <c r="J446" s="173"/>
      <c r="K446" s="173" t="e">
        <f>_xll.GetCtData("COAMOUNT","CONSAMOUNT",$A$1:$A$8,$A446:$B446,,"#Erreur de syntaxe : Expression incomplète")/10^3*$H446</f>
        <v>#VALUE!</v>
      </c>
      <c r="L446" s="173" t="e">
        <f>_xll.GetCtData("COAMOUNT","CONSAMOUNT",$A$1:$A$8,$A446:$B446,,"#Erreur de syntaxe : Expression incomplète")/10^3*$H446</f>
        <v>#VALUE!</v>
      </c>
      <c r="N446" s="173" t="e">
        <f>_xll.GetCtData("COAMOUNT","CONSAMOUNT",$A$1:$A$8,$A446:$B446,,"#Erreur de syntaxe : Expression incomplète")/10^3*$H446</f>
        <v>#VALUE!</v>
      </c>
      <c r="P446" s="173" t="e">
        <f t="shared" si="26"/>
        <v>#VALUE!</v>
      </c>
    </row>
    <row r="447" spans="1:16" s="115" customFormat="1" ht="12" hidden="1" outlineLevel="3" thickBot="1">
      <c r="A447" s="115" t="str">
        <f t="shared" si="27"/>
        <v>P39702000B</v>
      </c>
      <c r="B447" s="115" t="str">
        <f t="shared" si="28"/>
        <v>F89</v>
      </c>
      <c r="C447" s="135" t="s">
        <v>1741</v>
      </c>
      <c r="D447" s="135"/>
      <c r="E447" s="135" t="s">
        <v>1742</v>
      </c>
      <c r="F447" s="131" t="s">
        <v>148</v>
      </c>
      <c r="G447" s="131" t="e">
        <v>#VALUE!</v>
      </c>
      <c r="H447" s="173">
        <v>-1</v>
      </c>
      <c r="I447" s="173"/>
      <c r="J447" s="173"/>
      <c r="K447" s="173" t="e">
        <f>_xll.GetCtData("COAMOUNT","CONSAMOUNT",$A$1:$A$8,$A447:$B447,,"#Erreur de syntaxe : Expression incomplète")/10^3*$H447</f>
        <v>#VALUE!</v>
      </c>
      <c r="L447" s="173" t="e">
        <f>_xll.GetCtData("COAMOUNT","CONSAMOUNT",$A$1:$A$8,$A447:$B447,,"#Erreur de syntaxe : Expression incomplète")/10^3*$H447</f>
        <v>#VALUE!</v>
      </c>
      <c r="N447" s="173" t="e">
        <f>_xll.GetCtData("COAMOUNT","CONSAMOUNT",$A$1:$A$8,$A447:$B447,,"#Erreur de syntaxe : Expression incomplète")/10^3*$H447</f>
        <v>#VALUE!</v>
      </c>
      <c r="P447" s="173" t="e">
        <f t="shared" si="26"/>
        <v>#VALUE!</v>
      </c>
    </row>
    <row r="448" spans="1:16" s="115" customFormat="1" ht="12" hidden="1" outlineLevel="3" thickBot="1">
      <c r="A448" s="115" t="str">
        <f t="shared" si="27"/>
        <v>P39702000V</v>
      </c>
      <c r="B448" s="115" t="str">
        <f t="shared" si="28"/>
        <v>F89</v>
      </c>
      <c r="C448" s="135" t="s">
        <v>1750</v>
      </c>
      <c r="D448" s="135"/>
      <c r="E448" s="135" t="s">
        <v>1751</v>
      </c>
      <c r="F448" s="131" t="s">
        <v>148</v>
      </c>
      <c r="G448" s="131" t="e">
        <v>#VALUE!</v>
      </c>
      <c r="H448" s="173">
        <v>-1</v>
      </c>
      <c r="I448" s="173"/>
      <c r="J448" s="173"/>
      <c r="K448" s="173" t="e">
        <f>_xll.GetCtData("COAMOUNT","CONSAMOUNT",$A$1:$A$8,$A448:$B448,,"#Erreur de syntaxe : Expression incomplète")/10^3*$H448</f>
        <v>#VALUE!</v>
      </c>
      <c r="L448" s="173" t="e">
        <f>_xll.GetCtData("COAMOUNT","CONSAMOUNT",$A$1:$A$8,$A448:$B448,,"#Erreur de syntaxe : Expression incomplète")/10^3*$H448</f>
        <v>#VALUE!</v>
      </c>
      <c r="N448" s="173" t="e">
        <f>_xll.GetCtData("COAMOUNT","CONSAMOUNT",$A$1:$A$8,$A448:$B448,,"#Erreur de syntaxe : Expression incomplète")/10^3*$H448</f>
        <v>#VALUE!</v>
      </c>
      <c r="P448" s="173" t="e">
        <f t="shared" si="26"/>
        <v>#VALUE!</v>
      </c>
    </row>
    <row r="449" spans="1:16" s="115" customFormat="1" ht="12" hidden="1" outlineLevel="3" thickBot="1">
      <c r="A449" s="115" t="str">
        <f t="shared" si="27"/>
        <v>A39702000B</v>
      </c>
      <c r="B449" s="115" t="str">
        <f t="shared" si="28"/>
        <v>F90</v>
      </c>
      <c r="C449" s="135" t="s">
        <v>1702</v>
      </c>
      <c r="D449" s="135"/>
      <c r="E449" s="135" t="s">
        <v>1703</v>
      </c>
      <c r="F449" s="131" t="s">
        <v>150</v>
      </c>
      <c r="G449" s="131" t="e">
        <v>#VALUE!</v>
      </c>
      <c r="H449" s="173">
        <v>1</v>
      </c>
      <c r="I449" s="173"/>
      <c r="J449" s="173"/>
      <c r="K449" s="173" t="e">
        <f>_xll.GetCtData("COAMOUNT","CONSAMOUNT",$A$1:$A$8,$A449:$B449,,"#Erreur de syntaxe : Expression incomplète")/10^3*$H449</f>
        <v>#VALUE!</v>
      </c>
      <c r="L449" s="173" t="e">
        <f>_xll.GetCtData("COAMOUNT","CONSAMOUNT",$A$1:$A$8,$A449:$B449,,"#Erreur de syntaxe : Expression incomplète")/10^3*$H449</f>
        <v>#VALUE!</v>
      </c>
      <c r="N449" s="173" t="e">
        <f>_xll.GetCtData("COAMOUNT","CONSAMOUNT",$A$1:$A$8,$A449:$B449,,"#Erreur de syntaxe : Expression incomplète")/10^3*$H449</f>
        <v>#VALUE!</v>
      </c>
      <c r="P449" s="173" t="e">
        <f t="shared" si="26"/>
        <v>#VALUE!</v>
      </c>
    </row>
    <row r="450" spans="1:16" s="115" customFormat="1" ht="12" hidden="1" outlineLevel="3" thickBot="1">
      <c r="A450" s="115" t="str">
        <f t="shared" si="27"/>
        <v>A39702000V</v>
      </c>
      <c r="B450" s="115" t="str">
        <f t="shared" si="28"/>
        <v>F90</v>
      </c>
      <c r="C450" s="135" t="s">
        <v>1705</v>
      </c>
      <c r="D450" s="135"/>
      <c r="E450" s="135" t="s">
        <v>1706</v>
      </c>
      <c r="F450" s="131" t="s">
        <v>150</v>
      </c>
      <c r="G450" s="131" t="e">
        <v>#VALUE!</v>
      </c>
      <c r="H450" s="173">
        <v>1</v>
      </c>
      <c r="I450" s="173"/>
      <c r="J450" s="173"/>
      <c r="K450" s="173" t="e">
        <f>_xll.GetCtData("COAMOUNT","CONSAMOUNT",$A$1:$A$8,$A450:$B450,,"#Erreur de syntaxe : Expression incomplète")/10^3*$H450</f>
        <v>#VALUE!</v>
      </c>
      <c r="L450" s="173" t="e">
        <f>_xll.GetCtData("COAMOUNT","CONSAMOUNT",$A$1:$A$8,$A450:$B450,,"#Erreur de syntaxe : Expression incomplète")/10^3*$H450</f>
        <v>#VALUE!</v>
      </c>
      <c r="N450" s="173" t="e">
        <f>_xll.GetCtData("COAMOUNT","CONSAMOUNT",$A$1:$A$8,$A450:$B450,,"#Erreur de syntaxe : Expression incomplète")/10^3*$H450</f>
        <v>#VALUE!</v>
      </c>
      <c r="P450" s="173" t="e">
        <f t="shared" si="26"/>
        <v>#VALUE!</v>
      </c>
    </row>
    <row r="451" spans="1:16" s="115" customFormat="1" ht="12" hidden="1" outlineLevel="3" thickBot="1">
      <c r="A451" s="115" t="str">
        <f t="shared" si="27"/>
        <v>P39702000B</v>
      </c>
      <c r="B451" s="115" t="str">
        <f t="shared" si="28"/>
        <v>F90</v>
      </c>
      <c r="C451" s="135" t="s">
        <v>1741</v>
      </c>
      <c r="D451" s="135"/>
      <c r="E451" s="135" t="s">
        <v>1742</v>
      </c>
      <c r="F451" s="131" t="s">
        <v>150</v>
      </c>
      <c r="G451" s="131" t="e">
        <v>#VALUE!</v>
      </c>
      <c r="H451" s="173">
        <v>-1</v>
      </c>
      <c r="I451" s="173"/>
      <c r="J451" s="173"/>
      <c r="K451" s="173" t="e">
        <f>_xll.GetCtData("COAMOUNT","CONSAMOUNT",$A$1:$A$8,$A451:$B451,,"#Erreur de syntaxe : Expression incomplète")/10^3*$H451</f>
        <v>#VALUE!</v>
      </c>
      <c r="L451" s="173" t="e">
        <f>_xll.GetCtData("COAMOUNT","CONSAMOUNT",$A$1:$A$8,$A451:$B451,,"#Erreur de syntaxe : Expression incomplète")/10^3*$H451</f>
        <v>#VALUE!</v>
      </c>
      <c r="N451" s="173" t="e">
        <f>_xll.GetCtData("COAMOUNT","CONSAMOUNT",$A$1:$A$8,$A451:$B451,,"#Erreur de syntaxe : Expression incomplète")/10^3*$H451</f>
        <v>#VALUE!</v>
      </c>
      <c r="P451" s="173" t="e">
        <f t="shared" si="26"/>
        <v>#VALUE!</v>
      </c>
    </row>
    <row r="452" spans="1:16" s="115" customFormat="1" ht="12" hidden="1" outlineLevel="3" thickBot="1">
      <c r="A452" s="115" t="str">
        <f t="shared" si="27"/>
        <v>P39702000V</v>
      </c>
      <c r="B452" s="115" t="str">
        <f t="shared" si="28"/>
        <v>F90</v>
      </c>
      <c r="C452" s="135" t="s">
        <v>1750</v>
      </c>
      <c r="D452" s="135"/>
      <c r="E452" s="135" t="s">
        <v>1751</v>
      </c>
      <c r="F452" s="131" t="s">
        <v>150</v>
      </c>
      <c r="G452" s="131" t="e">
        <v>#VALUE!</v>
      </c>
      <c r="H452" s="173">
        <v>-1</v>
      </c>
      <c r="I452" s="173"/>
      <c r="J452" s="173"/>
      <c r="K452" s="173" t="e">
        <f>_xll.GetCtData("COAMOUNT","CONSAMOUNT",$A$1:$A$8,$A452:$B452,,"#Erreur de syntaxe : Expression incomplète")/10^3*$H452</f>
        <v>#VALUE!</v>
      </c>
      <c r="L452" s="173" t="e">
        <f>_xll.GetCtData("COAMOUNT","CONSAMOUNT",$A$1:$A$8,$A452:$B452,,"#Erreur de syntaxe : Expression incomplète")/10^3*$H452</f>
        <v>#VALUE!</v>
      </c>
      <c r="N452" s="173" t="e">
        <f>_xll.GetCtData("COAMOUNT","CONSAMOUNT",$A$1:$A$8,$A452:$B452,,"#Erreur de syntaxe : Expression incomplète")/10^3*$H452</f>
        <v>#VALUE!</v>
      </c>
      <c r="P452" s="173" t="e">
        <f t="shared" si="26"/>
        <v>#VALUE!</v>
      </c>
    </row>
    <row r="453" spans="1:16" s="115" customFormat="1" ht="12" hidden="1" outlineLevel="3" thickBot="1">
      <c r="A453" s="115" t="str">
        <f t="shared" si="27"/>
        <v>A39702000B</v>
      </c>
      <c r="B453" s="115" t="str">
        <f t="shared" si="28"/>
        <v>F98</v>
      </c>
      <c r="C453" s="135" t="s">
        <v>1702</v>
      </c>
      <c r="D453" s="135"/>
      <c r="E453" s="135" t="s">
        <v>1703</v>
      </c>
      <c r="F453" s="131" t="s">
        <v>158</v>
      </c>
      <c r="G453" s="131" t="e">
        <v>#VALUE!</v>
      </c>
      <c r="H453" s="173">
        <v>1</v>
      </c>
      <c r="I453" s="173"/>
      <c r="J453" s="173"/>
      <c r="K453" s="173" t="e">
        <f>_xll.GetCtData("COAMOUNT","CONSAMOUNT",$A$1:$A$8,$A453:$B453,,"#Erreur de syntaxe : Expression incomplète")/10^3*$H453</f>
        <v>#VALUE!</v>
      </c>
      <c r="L453" s="173" t="e">
        <f>_xll.GetCtData("COAMOUNT","CONSAMOUNT",$A$1:$A$8,$A453:$B453,,"#Erreur de syntaxe : Expression incomplète")/10^3*$H453</f>
        <v>#VALUE!</v>
      </c>
      <c r="N453" s="173" t="e">
        <f>_xll.GetCtData("COAMOUNT","CONSAMOUNT",$A$1:$A$8,$A453:$B453,,"#Erreur de syntaxe : Expression incomplète")/10^3*$H453</f>
        <v>#VALUE!</v>
      </c>
      <c r="P453" s="173" t="e">
        <f t="shared" si="26"/>
        <v>#VALUE!</v>
      </c>
    </row>
    <row r="454" spans="1:16" s="115" customFormat="1" ht="12" hidden="1" outlineLevel="3" thickBot="1">
      <c r="A454" s="115" t="str">
        <f t="shared" si="27"/>
        <v>A39702000V</v>
      </c>
      <c r="B454" s="115" t="str">
        <f t="shared" si="28"/>
        <v>F98</v>
      </c>
      <c r="C454" s="135" t="s">
        <v>1705</v>
      </c>
      <c r="D454" s="135"/>
      <c r="E454" s="135" t="s">
        <v>1706</v>
      </c>
      <c r="F454" s="131" t="s">
        <v>158</v>
      </c>
      <c r="G454" s="131" t="e">
        <v>#VALUE!</v>
      </c>
      <c r="H454" s="173">
        <v>1</v>
      </c>
      <c r="I454" s="173"/>
      <c r="J454" s="173"/>
      <c r="K454" s="173" t="e">
        <f>_xll.GetCtData("COAMOUNT","CONSAMOUNT",$A$1:$A$8,$A454:$B454,,"#Erreur de syntaxe : Expression incomplète")/10^3*$H454</f>
        <v>#VALUE!</v>
      </c>
      <c r="L454" s="173" t="e">
        <f>_xll.GetCtData("COAMOUNT","CONSAMOUNT",$A$1:$A$8,$A454:$B454,,"#Erreur de syntaxe : Expression incomplète")/10^3*$H454</f>
        <v>#VALUE!</v>
      </c>
      <c r="N454" s="173" t="e">
        <f>_xll.GetCtData("COAMOUNT","CONSAMOUNT",$A$1:$A$8,$A454:$B454,,"#Erreur de syntaxe : Expression incomplète")/10^3*$H454</f>
        <v>#VALUE!</v>
      </c>
      <c r="P454" s="173" t="e">
        <f t="shared" si="26"/>
        <v>#VALUE!</v>
      </c>
    </row>
    <row r="455" spans="1:16" s="115" customFormat="1" ht="12" hidden="1" outlineLevel="3" thickBot="1">
      <c r="A455" s="115" t="str">
        <f t="shared" si="27"/>
        <v>P39702000B</v>
      </c>
      <c r="B455" s="115" t="str">
        <f t="shared" si="28"/>
        <v>F98</v>
      </c>
      <c r="C455" s="135" t="s">
        <v>1741</v>
      </c>
      <c r="D455" s="135"/>
      <c r="E455" s="135" t="s">
        <v>1742</v>
      </c>
      <c r="F455" s="131" t="s">
        <v>158</v>
      </c>
      <c r="G455" s="131" t="e">
        <v>#VALUE!</v>
      </c>
      <c r="H455" s="173">
        <v>-1</v>
      </c>
      <c r="I455" s="173"/>
      <c r="J455" s="173"/>
      <c r="K455" s="173" t="e">
        <f>_xll.GetCtData("COAMOUNT","CONSAMOUNT",$A$1:$A$8,$A455:$B455,,"#Erreur de syntaxe : Expression incomplète")/10^3*$H455</f>
        <v>#VALUE!</v>
      </c>
      <c r="L455" s="173" t="e">
        <f>_xll.GetCtData("COAMOUNT","CONSAMOUNT",$A$1:$A$8,$A455:$B455,,"#Erreur de syntaxe : Expression incomplète")/10^3*$H455</f>
        <v>#VALUE!</v>
      </c>
      <c r="N455" s="173" t="e">
        <f>_xll.GetCtData("COAMOUNT","CONSAMOUNT",$A$1:$A$8,$A455:$B455,,"#Erreur de syntaxe : Expression incomplète")/10^3*$H455</f>
        <v>#VALUE!</v>
      </c>
      <c r="P455" s="173" t="e">
        <f t="shared" si="26"/>
        <v>#VALUE!</v>
      </c>
    </row>
    <row r="456" spans="1:16" s="115" customFormat="1" ht="12" hidden="1" outlineLevel="3" thickBot="1">
      <c r="A456" s="115" t="str">
        <f t="shared" si="27"/>
        <v>P39702000V</v>
      </c>
      <c r="B456" s="115" t="str">
        <f t="shared" si="28"/>
        <v>F98</v>
      </c>
      <c r="C456" s="135" t="s">
        <v>1750</v>
      </c>
      <c r="D456" s="135"/>
      <c r="E456" s="135" t="s">
        <v>1751</v>
      </c>
      <c r="F456" s="131" t="s">
        <v>158</v>
      </c>
      <c r="G456" s="131" t="e">
        <v>#VALUE!</v>
      </c>
      <c r="H456" s="173">
        <v>-1</v>
      </c>
      <c r="I456" s="173"/>
      <c r="J456" s="173"/>
      <c r="K456" s="173" t="e">
        <f>_xll.GetCtData("COAMOUNT","CONSAMOUNT",$A$1:$A$8,$A456:$B456,,"#Erreur de syntaxe : Expression incomplète")/10^3*$H456</f>
        <v>#VALUE!</v>
      </c>
      <c r="L456" s="173" t="e">
        <f>_xll.GetCtData("COAMOUNT","CONSAMOUNT",$A$1:$A$8,$A456:$B456,,"#Erreur de syntaxe : Expression incomplète")/10^3*$H456</f>
        <v>#VALUE!</v>
      </c>
      <c r="N456" s="173" t="e">
        <f>_xll.GetCtData("COAMOUNT","CONSAMOUNT",$A$1:$A$8,$A456:$B456,,"#Erreur de syntaxe : Expression incomplète")/10^3*$H456</f>
        <v>#VALUE!</v>
      </c>
      <c r="P456" s="173" t="e">
        <f t="shared" si="26"/>
        <v>#VALUE!</v>
      </c>
    </row>
    <row r="457" spans="1:16" s="115" customFormat="1" ht="12" hidden="1" outlineLevel="3" thickBot="1">
      <c r="A457" s="115" t="str">
        <f t="shared" si="27"/>
        <v>A39702000B</v>
      </c>
      <c r="B457" s="115" t="str">
        <f t="shared" si="28"/>
        <v>F91</v>
      </c>
      <c r="C457" s="135" t="s">
        <v>1702</v>
      </c>
      <c r="D457" s="135"/>
      <c r="E457" s="135" t="s">
        <v>1703</v>
      </c>
      <c r="F457" s="131" t="s">
        <v>152</v>
      </c>
      <c r="G457" s="131" t="e">
        <v>#VALUE!</v>
      </c>
      <c r="H457" s="173">
        <v>1</v>
      </c>
      <c r="I457" s="173"/>
      <c r="J457" s="173"/>
      <c r="K457" s="173" t="e">
        <f>_xll.GetCtData("COAMOUNT","CONSAMOUNT",$A$1:$A$8,$A457:$B457,,"#Erreur de syntaxe : Expression incomplète")/10^3*$H457</f>
        <v>#VALUE!</v>
      </c>
      <c r="L457" s="173" t="e">
        <f>_xll.GetCtData("COAMOUNT","CONSAMOUNT",$A$1:$A$8,$A457:$B457,,"#Erreur de syntaxe : Expression incomplète")/10^3*$H457</f>
        <v>#VALUE!</v>
      </c>
      <c r="N457" s="173" t="e">
        <f>_xll.GetCtData("COAMOUNT","CONSAMOUNT",$A$1:$A$8,$A457:$B457,,"#Erreur de syntaxe : Expression incomplète")/10^3*$H457</f>
        <v>#VALUE!</v>
      </c>
      <c r="P457" s="173" t="e">
        <f t="shared" si="26"/>
        <v>#VALUE!</v>
      </c>
    </row>
    <row r="458" spans="1:16" s="115" customFormat="1" ht="12" hidden="1" outlineLevel="3" thickBot="1">
      <c r="A458" s="115" t="str">
        <f t="shared" si="27"/>
        <v>A39702000V</v>
      </c>
      <c r="B458" s="115" t="str">
        <f t="shared" si="28"/>
        <v>F91</v>
      </c>
      <c r="C458" s="135" t="s">
        <v>1705</v>
      </c>
      <c r="D458" s="135"/>
      <c r="E458" s="135" t="s">
        <v>1706</v>
      </c>
      <c r="F458" s="131" t="s">
        <v>152</v>
      </c>
      <c r="G458" s="131" t="e">
        <v>#VALUE!</v>
      </c>
      <c r="H458" s="173">
        <v>1</v>
      </c>
      <c r="I458" s="173"/>
      <c r="J458" s="173"/>
      <c r="K458" s="173" t="e">
        <f>_xll.GetCtData("COAMOUNT","CONSAMOUNT",$A$1:$A$8,$A458:$B458,,"#Erreur de syntaxe : Expression incomplète")/10^3*$H458</f>
        <v>#VALUE!</v>
      </c>
      <c r="L458" s="173" t="e">
        <f>_xll.GetCtData("COAMOUNT","CONSAMOUNT",$A$1:$A$8,$A458:$B458,,"#Erreur de syntaxe : Expression incomplète")/10^3*$H458</f>
        <v>#VALUE!</v>
      </c>
      <c r="N458" s="173" t="e">
        <f>_xll.GetCtData("COAMOUNT","CONSAMOUNT",$A$1:$A$8,$A458:$B458,,"#Erreur de syntaxe : Expression incomplète")/10^3*$H458</f>
        <v>#VALUE!</v>
      </c>
      <c r="P458" s="173" t="e">
        <f t="shared" si="26"/>
        <v>#VALUE!</v>
      </c>
    </row>
    <row r="459" spans="1:16" s="115" customFormat="1" ht="12" hidden="1" outlineLevel="3" thickBot="1">
      <c r="A459" s="115" t="str">
        <f t="shared" si="27"/>
        <v>P39702000B</v>
      </c>
      <c r="B459" s="115" t="str">
        <f t="shared" si="28"/>
        <v>F91</v>
      </c>
      <c r="C459" s="135" t="s">
        <v>1741</v>
      </c>
      <c r="D459" s="135"/>
      <c r="E459" s="135" t="s">
        <v>1742</v>
      </c>
      <c r="F459" s="131" t="s">
        <v>152</v>
      </c>
      <c r="G459" s="131" t="e">
        <v>#VALUE!</v>
      </c>
      <c r="H459" s="173">
        <v>-1</v>
      </c>
      <c r="I459" s="173"/>
      <c r="J459" s="173"/>
      <c r="K459" s="173" t="e">
        <f>_xll.GetCtData("COAMOUNT","CONSAMOUNT",$A$1:$A$8,$A459:$B459,,"#Erreur de syntaxe : Expression incomplète")/10^3*$H459</f>
        <v>#VALUE!</v>
      </c>
      <c r="L459" s="173" t="e">
        <f>_xll.GetCtData("COAMOUNT","CONSAMOUNT",$A$1:$A$8,$A459:$B459,,"#Erreur de syntaxe : Expression incomplète")/10^3*$H459</f>
        <v>#VALUE!</v>
      </c>
      <c r="N459" s="173" t="e">
        <f>_xll.GetCtData("COAMOUNT","CONSAMOUNT",$A$1:$A$8,$A459:$B459,,"#Erreur de syntaxe : Expression incomplète")/10^3*$H459</f>
        <v>#VALUE!</v>
      </c>
      <c r="P459" s="173" t="e">
        <f t="shared" si="26"/>
        <v>#VALUE!</v>
      </c>
    </row>
    <row r="460" spans="1:16" s="115" customFormat="1" ht="12" hidden="1" outlineLevel="3" thickBot="1">
      <c r="A460" s="115" t="str">
        <f t="shared" si="27"/>
        <v>P39702000V</v>
      </c>
      <c r="B460" s="115" t="str">
        <f t="shared" si="28"/>
        <v>F91</v>
      </c>
      <c r="C460" s="135" t="s">
        <v>1750</v>
      </c>
      <c r="D460" s="135"/>
      <c r="E460" s="135" t="s">
        <v>1751</v>
      </c>
      <c r="F460" s="131" t="s">
        <v>152</v>
      </c>
      <c r="G460" s="131" t="e">
        <v>#VALUE!</v>
      </c>
      <c r="H460" s="173">
        <v>-1</v>
      </c>
      <c r="I460" s="173"/>
      <c r="J460" s="173"/>
      <c r="K460" s="173" t="e">
        <f>_xll.GetCtData("COAMOUNT","CONSAMOUNT",$A$1:$A$8,$A460:$B460,,"#Erreur de syntaxe : Expression incomplète")/10^3*$H460</f>
        <v>#VALUE!</v>
      </c>
      <c r="L460" s="173" t="e">
        <f>_xll.GetCtData("COAMOUNT","CONSAMOUNT",$A$1:$A$8,$A460:$B460,,"#Erreur de syntaxe : Expression incomplète")/10^3*$H460</f>
        <v>#VALUE!</v>
      </c>
      <c r="N460" s="173" t="e">
        <f>_xll.GetCtData("COAMOUNT","CONSAMOUNT",$A$1:$A$8,$A460:$B460,,"#Erreur de syntaxe : Expression incomplète")/10^3*$H460</f>
        <v>#VALUE!</v>
      </c>
      <c r="P460" s="173" t="e">
        <f t="shared" si="26"/>
        <v>#VALUE!</v>
      </c>
    </row>
    <row r="461" spans="1:16" s="115" customFormat="1" ht="12" hidden="1" outlineLevel="3" thickBot="1">
      <c r="A461" s="115" t="str">
        <f t="shared" si="27"/>
        <v>A39702000B</v>
      </c>
      <c r="B461" s="115" t="str">
        <f t="shared" si="28"/>
        <v>F97</v>
      </c>
      <c r="C461" s="135" t="s">
        <v>1702</v>
      </c>
      <c r="D461" s="135"/>
      <c r="E461" s="135" t="s">
        <v>1703</v>
      </c>
      <c r="F461" s="131" t="s">
        <v>155</v>
      </c>
      <c r="G461" s="131" t="e">
        <v>#VALUE!</v>
      </c>
      <c r="H461" s="173">
        <v>1</v>
      </c>
      <c r="I461" s="173"/>
      <c r="J461" s="173"/>
      <c r="K461" s="173" t="e">
        <f>_xll.GetCtData("COAMOUNT","CONSAMOUNT",$A$1:$A$8,$A461:$B461,,"#Erreur de syntaxe : Expression incomplète")/10^3*$H461</f>
        <v>#VALUE!</v>
      </c>
      <c r="L461" s="173" t="e">
        <f>_xll.GetCtData("COAMOUNT","CONSAMOUNT",$A$1:$A$8,$A461:$B461,,"#Erreur de syntaxe : Expression incomplète")/10^3*$H461</f>
        <v>#VALUE!</v>
      </c>
      <c r="N461" s="173" t="e">
        <f>_xll.GetCtData("COAMOUNT","CONSAMOUNT",$A$1:$A$8,$A461:$B461,,"#Erreur de syntaxe : Expression incomplète")/10^3*$H461</f>
        <v>#VALUE!</v>
      </c>
      <c r="P461" s="173" t="e">
        <f t="shared" si="26"/>
        <v>#VALUE!</v>
      </c>
    </row>
    <row r="462" spans="1:16" s="115" customFormat="1" ht="12" hidden="1" outlineLevel="3" thickBot="1">
      <c r="A462" s="115" t="str">
        <f t="shared" si="27"/>
        <v>A39702000V</v>
      </c>
      <c r="B462" s="115" t="str">
        <f t="shared" si="28"/>
        <v>F97</v>
      </c>
      <c r="C462" s="135" t="s">
        <v>1705</v>
      </c>
      <c r="D462" s="135"/>
      <c r="E462" s="135" t="s">
        <v>1706</v>
      </c>
      <c r="F462" s="131" t="s">
        <v>155</v>
      </c>
      <c r="G462" s="131" t="e">
        <v>#VALUE!</v>
      </c>
      <c r="H462" s="173">
        <v>1</v>
      </c>
      <c r="I462" s="173"/>
      <c r="J462" s="173"/>
      <c r="K462" s="173" t="e">
        <f>_xll.GetCtData("COAMOUNT","CONSAMOUNT",$A$1:$A$8,$A462:$B462,,"#Erreur de syntaxe : Expression incomplète")/10^3*$H462</f>
        <v>#VALUE!</v>
      </c>
      <c r="L462" s="173" t="e">
        <f>_xll.GetCtData("COAMOUNT","CONSAMOUNT",$A$1:$A$8,$A462:$B462,,"#Erreur de syntaxe : Expression incomplète")/10^3*$H462</f>
        <v>#VALUE!</v>
      </c>
      <c r="N462" s="173" t="e">
        <f>_xll.GetCtData("COAMOUNT","CONSAMOUNT",$A$1:$A$8,$A462:$B462,,"#Erreur de syntaxe : Expression incomplète")/10^3*$H462</f>
        <v>#VALUE!</v>
      </c>
      <c r="P462" s="173" t="e">
        <f t="shared" si="26"/>
        <v>#VALUE!</v>
      </c>
    </row>
    <row r="463" spans="1:16" s="115" customFormat="1" ht="12" hidden="1" outlineLevel="3" thickBot="1">
      <c r="A463" s="115" t="str">
        <f t="shared" si="27"/>
        <v>P39702000B</v>
      </c>
      <c r="B463" s="115" t="str">
        <f t="shared" si="28"/>
        <v>F97</v>
      </c>
      <c r="C463" s="135" t="s">
        <v>1741</v>
      </c>
      <c r="D463" s="135"/>
      <c r="E463" s="135" t="s">
        <v>1742</v>
      </c>
      <c r="F463" s="131" t="s">
        <v>155</v>
      </c>
      <c r="G463" s="131" t="e">
        <v>#VALUE!</v>
      </c>
      <c r="H463" s="173">
        <v>-1</v>
      </c>
      <c r="I463" s="173"/>
      <c r="J463" s="173"/>
      <c r="K463" s="173" t="e">
        <f>_xll.GetCtData("COAMOUNT","CONSAMOUNT",$A$1:$A$8,$A463:$B463,,"#Erreur de syntaxe : Expression incomplète")/10^3*$H463</f>
        <v>#VALUE!</v>
      </c>
      <c r="L463" s="173" t="e">
        <f>_xll.GetCtData("COAMOUNT","CONSAMOUNT",$A$1:$A$8,$A463:$B463,,"#Erreur de syntaxe : Expression incomplète")/10^3*$H463</f>
        <v>#VALUE!</v>
      </c>
      <c r="N463" s="173" t="e">
        <f>_xll.GetCtData("COAMOUNT","CONSAMOUNT",$A$1:$A$8,$A463:$B463,,"#Erreur de syntaxe : Expression incomplète")/10^3*$H463</f>
        <v>#VALUE!</v>
      </c>
      <c r="P463" s="173" t="e">
        <f t="shared" si="26"/>
        <v>#VALUE!</v>
      </c>
    </row>
    <row r="464" spans="1:16" s="115" customFormat="1" ht="12" hidden="1" outlineLevel="3" thickBot="1">
      <c r="A464" s="115" t="str">
        <f t="shared" si="27"/>
        <v>P39702000V</v>
      </c>
      <c r="B464" s="115" t="str">
        <f t="shared" si="28"/>
        <v>F97</v>
      </c>
      <c r="C464" s="135" t="s">
        <v>1750</v>
      </c>
      <c r="D464" s="135"/>
      <c r="E464" s="135" t="s">
        <v>1751</v>
      </c>
      <c r="F464" s="131" t="s">
        <v>155</v>
      </c>
      <c r="G464" s="131" t="e">
        <v>#VALUE!</v>
      </c>
      <c r="H464" s="173">
        <v>-1</v>
      </c>
      <c r="I464" s="173"/>
      <c r="J464" s="173"/>
      <c r="K464" s="173" t="e">
        <f>_xll.GetCtData("COAMOUNT","CONSAMOUNT",$A$1:$A$8,$A464:$B464,,"#Erreur de syntaxe : Expression incomplète")/10^3*$H464</f>
        <v>#VALUE!</v>
      </c>
      <c r="L464" s="173" t="e">
        <f>_xll.GetCtData("COAMOUNT","CONSAMOUNT",$A$1:$A$8,$A464:$B464,,"#Erreur de syntaxe : Expression incomplète")/10^3*$H464</f>
        <v>#VALUE!</v>
      </c>
      <c r="N464" s="173" t="e">
        <f>_xll.GetCtData("COAMOUNT","CONSAMOUNT",$A$1:$A$8,$A464:$B464,,"#Erreur de syntaxe : Expression incomplète")/10^3*$H464</f>
        <v>#VALUE!</v>
      </c>
      <c r="P464" s="173" t="e">
        <f t="shared" si="26"/>
        <v>#VALUE!</v>
      </c>
    </row>
    <row r="465" spans="1:16" ht="12" hidden="1" customHeight="1" outlineLevel="3">
      <c r="A465" s="115"/>
      <c r="E465" s="174" t="s">
        <v>1570</v>
      </c>
      <c r="F465" s="174"/>
      <c r="G465" s="174"/>
      <c r="H465" s="174"/>
      <c r="I465" s="175" t="e">
        <f>SUM(I297:I464)/10^3-I296</f>
        <v>#VALUE!</v>
      </c>
      <c r="J465" s="175" t="e">
        <f>SUM(J297:J464)/10^3-J296</f>
        <v>#VALUE!</v>
      </c>
      <c r="K465" s="175" t="e">
        <f>SUM(K297:K464)/10^3-K296</f>
        <v>#VALUE!</v>
      </c>
      <c r="L465" s="175" t="e">
        <f>SUM(L297:L464)/10^3-L296</f>
        <v>#VALUE!</v>
      </c>
      <c r="N465" s="175" t="e">
        <f>SUM(N297:N464)/10^3-N296</f>
        <v>#VALUE!</v>
      </c>
      <c r="P465" s="175" t="e">
        <f t="shared" si="26"/>
        <v>#VALUE!</v>
      </c>
    </row>
    <row r="466" spans="1:16" s="115" customFormat="1" ht="12" hidden="1" outlineLevel="2" collapsed="1" thickBot="1">
      <c r="A466" s="123" t="s">
        <v>1088</v>
      </c>
      <c r="C466" s="123" t="str">
        <f>A466</f>
        <v>FL=XRF703A</v>
      </c>
      <c r="D466" s="123"/>
      <c r="E466" s="181" t="s">
        <v>1687</v>
      </c>
      <c r="F466" s="182"/>
      <c r="G466" s="182"/>
      <c r="H466" s="182"/>
      <c r="I466" s="182">
        <f>_xll.GetCtData("COAMOUNT","CONSAMOUNT",$A$1:$A$8,$A466,H$6,"#5706,47819457026")/10^3</f>
        <v>5.7064781945702601</v>
      </c>
      <c r="J466" s="182">
        <f>_xll.GetCtData("COAMOUNT","CONSAMOUNT",$A$1:$A$8,$A466,I$6,"#-860")/10^3</f>
        <v>-0.86</v>
      </c>
      <c r="K466" s="182">
        <f>_xll.GetCtData("COAMOUNT","CONSAMOUNT",$A$1:$A$8,$A466,J$6,"#465")/10^3</f>
        <v>0.46500000000000002</v>
      </c>
      <c r="L466" s="182">
        <f>_xll.GetCtData("COAMOUNT","CONSAMOUNT",$A$1:$A$8,$A466,K$6,"#5311,47819457026")/10^3</f>
        <v>5.3114781945702596</v>
      </c>
      <c r="N466" s="182">
        <v>-44</v>
      </c>
      <c r="P466" s="182">
        <f t="shared" si="26"/>
        <v>-38.688521805429744</v>
      </c>
    </row>
    <row r="467" spans="1:16" s="115" customFormat="1" ht="12" hidden="1" outlineLevel="1" thickBot="1">
      <c r="A467" s="115" t="str">
        <f t="shared" ref="A467:A530" si="29">$C$1&amp;C467</f>
        <v>A39700000B</v>
      </c>
      <c r="B467" s="115" t="str">
        <f t="shared" ref="B467:B530" si="30">$C$2&amp;F467</f>
        <v>F50</v>
      </c>
      <c r="C467" s="135" t="s">
        <v>1690</v>
      </c>
      <c r="D467" s="135"/>
      <c r="E467" s="135" t="s">
        <v>1691</v>
      </c>
      <c r="F467" s="131" t="s">
        <v>1678</v>
      </c>
      <c r="G467" s="131" t="e">
        <v>#VALUE!</v>
      </c>
      <c r="H467" s="173">
        <v>1</v>
      </c>
      <c r="I467" s="173" t="e">
        <f>_xll.GetCtData("COAMOUNT","CONSAMOUNT",$A$1:$A$8,$A467:$B467,,"#Erreur de syntaxe : Expression incomplète")/10^3*$H467</f>
        <v>#VALUE!</v>
      </c>
      <c r="J467" s="173"/>
      <c r="K467" s="173"/>
      <c r="L467" s="173" t="e">
        <f>_xll.GetCtData("COAMOUNT","CONSAMOUNT",$A$1:$A$8,$A467:$B467,,"#Erreur de syntaxe : Expression incomplète")/10^3*$H467</f>
        <v>#VALUE!</v>
      </c>
      <c r="N467" s="173" t="e">
        <f>_xll.GetCtData("COAMOUNT","CONSAMOUNT",$A$1:$A$8,$A467:$B467,,"#Erreur de syntaxe : Expression incomplète")/10^3*$H467</f>
        <v>#VALUE!</v>
      </c>
      <c r="P467" s="173" t="e">
        <f t="shared" si="26"/>
        <v>#VALUE!</v>
      </c>
    </row>
    <row r="468" spans="1:16" s="115" customFormat="1" ht="12" hidden="1" outlineLevel="1" thickBot="1">
      <c r="A468" s="115" t="str">
        <f t="shared" si="29"/>
        <v>A39700100B</v>
      </c>
      <c r="B468" s="115" t="str">
        <f t="shared" si="30"/>
        <v>F50</v>
      </c>
      <c r="C468" s="135" t="s">
        <v>1714</v>
      </c>
      <c r="D468" s="135"/>
      <c r="E468" s="135" t="s">
        <v>1715</v>
      </c>
      <c r="F468" s="131" t="s">
        <v>1678</v>
      </c>
      <c r="G468" s="131" t="e">
        <v>#VALUE!</v>
      </c>
      <c r="H468" s="173">
        <v>1</v>
      </c>
      <c r="I468" s="173" t="e">
        <f>_xll.GetCtData("COAMOUNT","CONSAMOUNT",$A$1:$A$8,$A468:$B468,,"#Erreur de syntaxe : Expression incomplète")/10^3*$H468</f>
        <v>#VALUE!</v>
      </c>
      <c r="J468" s="173"/>
      <c r="K468" s="173"/>
      <c r="L468" s="173" t="e">
        <f>_xll.GetCtData("COAMOUNT","CONSAMOUNT",$A$1:$A$8,$A468:$B468,,"#Erreur de syntaxe : Expression incomplète")/10^3*$H468</f>
        <v>#VALUE!</v>
      </c>
      <c r="N468" s="173" t="e">
        <f>_xll.GetCtData("COAMOUNT","CONSAMOUNT",$A$1:$A$8,$A468:$B468,,"#Erreur de syntaxe : Expression incomplète")/10^3*$H468</f>
        <v>#VALUE!</v>
      </c>
      <c r="P468" s="173" t="e">
        <f t="shared" si="26"/>
        <v>#VALUE!</v>
      </c>
    </row>
    <row r="469" spans="1:16" s="115" customFormat="1" ht="12" hidden="1" outlineLevel="1" thickBot="1">
      <c r="A469" s="115" t="str">
        <f t="shared" si="29"/>
        <v>A39400000B</v>
      </c>
      <c r="B469" s="115" t="str">
        <f t="shared" si="30"/>
        <v>F50</v>
      </c>
      <c r="C469" s="135" t="s">
        <v>1708</v>
      </c>
      <c r="D469" s="135"/>
      <c r="E469" s="135" t="s">
        <v>1709</v>
      </c>
      <c r="F469" s="131" t="s">
        <v>1678</v>
      </c>
      <c r="G469" s="131" t="e">
        <v>#VALUE!</v>
      </c>
      <c r="H469" s="173">
        <v>1</v>
      </c>
      <c r="I469" s="173" t="e">
        <f>_xll.GetCtData("COAMOUNT","CONSAMOUNT",$A$1:$A$8,$A469:$B469,,"#Erreur de syntaxe : Expression incomplète")/10^3*$H469</f>
        <v>#VALUE!</v>
      </c>
      <c r="J469" s="173"/>
      <c r="K469" s="173"/>
      <c r="L469" s="173" t="e">
        <f>_xll.GetCtData("COAMOUNT","CONSAMOUNT",$A$1:$A$8,$A469:$B469,,"#Erreur de syntaxe : Expression incomplète")/10^3*$H469</f>
        <v>#VALUE!</v>
      </c>
      <c r="N469" s="173" t="e">
        <f>_xll.GetCtData("COAMOUNT","CONSAMOUNT",$A$1:$A$8,$A469:$B469,,"#Erreur de syntaxe : Expression incomplète")/10^3*$H469</f>
        <v>#VALUE!</v>
      </c>
      <c r="P469" s="173" t="e">
        <f t="shared" si="26"/>
        <v>#VALUE!</v>
      </c>
    </row>
    <row r="470" spans="1:16" s="115" customFormat="1" ht="12" hidden="1" outlineLevel="1" thickBot="1">
      <c r="A470" s="115" t="str">
        <f t="shared" si="29"/>
        <v>A39410000B</v>
      </c>
      <c r="B470" s="115" t="str">
        <f t="shared" si="30"/>
        <v>F50</v>
      </c>
      <c r="C470" s="135" t="s">
        <v>1726</v>
      </c>
      <c r="D470" s="135"/>
      <c r="E470" s="135" t="s">
        <v>1778</v>
      </c>
      <c r="F470" s="131" t="s">
        <v>1678</v>
      </c>
      <c r="G470" s="131" t="e">
        <v>#VALUE!</v>
      </c>
      <c r="H470" s="173">
        <v>1</v>
      </c>
      <c r="I470" s="173" t="e">
        <f>_xll.GetCtData("COAMOUNT","CONSAMOUNT",$A$1:$A$8,$A470:$B470,,"#Erreur de syntaxe : Expression incomplète")/10^3*$H470</f>
        <v>#VALUE!</v>
      </c>
      <c r="J470" s="173"/>
      <c r="K470" s="173"/>
      <c r="L470" s="173" t="e">
        <f>_xll.GetCtData("COAMOUNT","CONSAMOUNT",$A$1:$A$8,$A470:$B470,,"#Erreur de syntaxe : Expression incomplète")/10^3*$H470</f>
        <v>#VALUE!</v>
      </c>
      <c r="N470" s="173" t="e">
        <f>_xll.GetCtData("COAMOUNT","CONSAMOUNT",$A$1:$A$8,$A470:$B470,,"#Erreur de syntaxe : Expression incomplète")/10^3*$H470</f>
        <v>#VALUE!</v>
      </c>
      <c r="P470" s="173" t="e">
        <f t="shared" si="26"/>
        <v>#VALUE!</v>
      </c>
    </row>
    <row r="471" spans="1:16" s="115" customFormat="1" ht="12" hidden="1" outlineLevel="1" thickBot="1">
      <c r="A471" s="115" t="str">
        <f t="shared" si="29"/>
        <v>A39700000V</v>
      </c>
      <c r="B471" s="115" t="str">
        <f t="shared" si="30"/>
        <v>F50</v>
      </c>
      <c r="C471" s="135" t="s">
        <v>1693</v>
      </c>
      <c r="D471" s="135"/>
      <c r="E471" s="135" t="s">
        <v>1694</v>
      </c>
      <c r="F471" s="131" t="s">
        <v>1678</v>
      </c>
      <c r="G471" s="131" t="e">
        <v>#VALUE!</v>
      </c>
      <c r="H471" s="173">
        <v>1</v>
      </c>
      <c r="I471" s="173" t="e">
        <f>_xll.GetCtData("COAMOUNT","CONSAMOUNT",$A$1:$A$8,$A471:$B471,,"#Erreur de syntaxe : Expression incomplète")/10^3*$H471</f>
        <v>#VALUE!</v>
      </c>
      <c r="J471" s="173"/>
      <c r="K471" s="173"/>
      <c r="L471" s="173" t="e">
        <f>_xll.GetCtData("COAMOUNT","CONSAMOUNT",$A$1:$A$8,$A471:$B471,,"#Erreur de syntaxe : Expression incomplète")/10^3*$H471</f>
        <v>#VALUE!</v>
      </c>
      <c r="N471" s="173" t="e">
        <f>_xll.GetCtData("COAMOUNT","CONSAMOUNT",$A$1:$A$8,$A471:$B471,,"#Erreur de syntaxe : Expression incomplète")/10^3*$H471</f>
        <v>#VALUE!</v>
      </c>
      <c r="P471" s="173" t="e">
        <f t="shared" si="26"/>
        <v>#VALUE!</v>
      </c>
    </row>
    <row r="472" spans="1:16" s="115" customFormat="1" ht="12" hidden="1" outlineLevel="1" thickBot="1">
      <c r="A472" s="115" t="str">
        <f t="shared" si="29"/>
        <v>A39700100V</v>
      </c>
      <c r="B472" s="115" t="str">
        <f t="shared" si="30"/>
        <v>F50</v>
      </c>
      <c r="C472" s="135" t="s">
        <v>1717</v>
      </c>
      <c r="D472" s="135"/>
      <c r="E472" s="135" t="s">
        <v>1718</v>
      </c>
      <c r="F472" s="131" t="s">
        <v>1678</v>
      </c>
      <c r="G472" s="131" t="e">
        <v>#VALUE!</v>
      </c>
      <c r="H472" s="173">
        <v>1</v>
      </c>
      <c r="I472" s="173" t="e">
        <f>_xll.GetCtData("COAMOUNT","CONSAMOUNT",$A$1:$A$8,$A472:$B472,,"#Erreur de syntaxe : Expression incomplète")/10^3*$H472</f>
        <v>#VALUE!</v>
      </c>
      <c r="J472" s="173"/>
      <c r="K472" s="173"/>
      <c r="L472" s="173" t="e">
        <f>_xll.GetCtData("COAMOUNT","CONSAMOUNT",$A$1:$A$8,$A472:$B472,,"#Erreur de syntaxe : Expression incomplète")/10^3*$H472</f>
        <v>#VALUE!</v>
      </c>
      <c r="N472" s="173" t="e">
        <f>_xll.GetCtData("COAMOUNT","CONSAMOUNT",$A$1:$A$8,$A472:$B472,,"#Erreur de syntaxe : Expression incomplète")/10^3*$H472</f>
        <v>#VALUE!</v>
      </c>
      <c r="P472" s="173" t="e">
        <f t="shared" si="26"/>
        <v>#VALUE!</v>
      </c>
    </row>
    <row r="473" spans="1:16" s="115" customFormat="1" ht="12" hidden="1" outlineLevel="1" thickBot="1">
      <c r="A473" s="115" t="str">
        <f t="shared" si="29"/>
        <v>A39400000V</v>
      </c>
      <c r="B473" s="115" t="str">
        <f t="shared" si="30"/>
        <v>F50</v>
      </c>
      <c r="C473" s="135" t="s">
        <v>1711</v>
      </c>
      <c r="D473" s="135"/>
      <c r="E473" s="135" t="s">
        <v>1712</v>
      </c>
      <c r="F473" s="131" t="s">
        <v>1678</v>
      </c>
      <c r="G473" s="131" t="e">
        <v>#VALUE!</v>
      </c>
      <c r="H473" s="173">
        <v>1</v>
      </c>
      <c r="I473" s="173" t="e">
        <f>_xll.GetCtData("COAMOUNT","CONSAMOUNT",$A$1:$A$8,$A473:$B473,,"#Erreur de syntaxe : Expression incomplète")/10^3*$H473</f>
        <v>#VALUE!</v>
      </c>
      <c r="J473" s="173"/>
      <c r="K473" s="173"/>
      <c r="L473" s="173" t="e">
        <f>_xll.GetCtData("COAMOUNT","CONSAMOUNT",$A$1:$A$8,$A473:$B473,,"#Erreur de syntaxe : Expression incomplète")/10^3*$H473</f>
        <v>#VALUE!</v>
      </c>
      <c r="N473" s="173" t="e">
        <f>_xll.GetCtData("COAMOUNT","CONSAMOUNT",$A$1:$A$8,$A473:$B473,,"#Erreur de syntaxe : Expression incomplète")/10^3*$H473</f>
        <v>#VALUE!</v>
      </c>
      <c r="P473" s="173" t="e">
        <f t="shared" si="26"/>
        <v>#VALUE!</v>
      </c>
    </row>
    <row r="474" spans="1:16" s="115" customFormat="1" ht="12" hidden="1" outlineLevel="1" thickBot="1">
      <c r="A474" s="115" t="str">
        <f t="shared" si="29"/>
        <v>A39410000V</v>
      </c>
      <c r="B474" s="115" t="str">
        <f t="shared" si="30"/>
        <v>F50</v>
      </c>
      <c r="C474" s="135" t="s">
        <v>1729</v>
      </c>
      <c r="D474" s="135"/>
      <c r="E474" s="135" t="s">
        <v>1779</v>
      </c>
      <c r="F474" s="131" t="s">
        <v>1678</v>
      </c>
      <c r="G474" s="131" t="e">
        <v>#VALUE!</v>
      </c>
      <c r="H474" s="173">
        <v>1</v>
      </c>
      <c r="I474" s="173" t="e">
        <f>_xll.GetCtData("COAMOUNT","CONSAMOUNT",$A$1:$A$8,$A474:$B474,,"#Erreur de syntaxe : Expression incomplète")/10^3*$H474</f>
        <v>#VALUE!</v>
      </c>
      <c r="J474" s="173"/>
      <c r="K474" s="173"/>
      <c r="L474" s="173" t="e">
        <f>_xll.GetCtData("COAMOUNT","CONSAMOUNT",$A$1:$A$8,$A474:$B474,,"#Erreur de syntaxe : Expression incomplète")/10^3*$H474</f>
        <v>#VALUE!</v>
      </c>
      <c r="N474" s="173" t="e">
        <f>_xll.GetCtData("COAMOUNT","CONSAMOUNT",$A$1:$A$8,$A474:$B474,,"#Erreur de syntaxe : Expression incomplète")/10^3*$H474</f>
        <v>#VALUE!</v>
      </c>
      <c r="P474" s="173" t="e">
        <f t="shared" si="26"/>
        <v>#VALUE!</v>
      </c>
    </row>
    <row r="475" spans="1:16" s="115" customFormat="1" ht="12" hidden="1" outlineLevel="1" thickBot="1">
      <c r="A475" s="115" t="str">
        <f t="shared" si="29"/>
        <v>P39700000B</v>
      </c>
      <c r="B475" s="115" t="str">
        <f t="shared" si="30"/>
        <v>F50</v>
      </c>
      <c r="C475" s="135" t="s">
        <v>1738</v>
      </c>
      <c r="D475" s="135"/>
      <c r="E475" s="135" t="s">
        <v>1739</v>
      </c>
      <c r="F475" s="131" t="s">
        <v>1678</v>
      </c>
      <c r="G475" s="131" t="e">
        <v>#VALUE!</v>
      </c>
      <c r="H475" s="173">
        <v>-1</v>
      </c>
      <c r="I475" s="173" t="e">
        <f>_xll.GetCtData("COAMOUNT","CONSAMOUNT",$A$1:$A$8,$A475:$B475,,"#Erreur de syntaxe : Expression incomplète")/10^3*$H475</f>
        <v>#VALUE!</v>
      </c>
      <c r="J475" s="173"/>
      <c r="K475" s="173"/>
      <c r="L475" s="173" t="e">
        <f>_xll.GetCtData("COAMOUNT","CONSAMOUNT",$A$1:$A$8,$A475:$B475,,"#Erreur de syntaxe : Expression incomplète")/10^3*$H475</f>
        <v>#VALUE!</v>
      </c>
      <c r="N475" s="173" t="e">
        <f>_xll.GetCtData("COAMOUNT","CONSAMOUNT",$A$1:$A$8,$A475:$B475,,"#Erreur de syntaxe : Expression incomplète")/10^3*$H475</f>
        <v>#VALUE!</v>
      </c>
      <c r="P475" s="173" t="e">
        <f t="shared" ref="P475:P538" si="31">L475+N475</f>
        <v>#VALUE!</v>
      </c>
    </row>
    <row r="476" spans="1:16" s="115" customFormat="1" ht="12" hidden="1" outlineLevel="1" thickBot="1">
      <c r="A476" s="115" t="str">
        <f t="shared" si="29"/>
        <v>P39700100B</v>
      </c>
      <c r="B476" s="115" t="str">
        <f t="shared" si="30"/>
        <v>F50</v>
      </c>
      <c r="C476" s="135" t="s">
        <v>1141</v>
      </c>
      <c r="D476" s="135"/>
      <c r="E476" s="135" t="s">
        <v>1142</v>
      </c>
      <c r="F476" s="131" t="s">
        <v>1678</v>
      </c>
      <c r="G476" s="131" t="e">
        <v>#VALUE!</v>
      </c>
      <c r="H476" s="173">
        <v>-1</v>
      </c>
      <c r="I476" s="173" t="e">
        <f>_xll.GetCtData("COAMOUNT","CONSAMOUNT",$A$1:$A$8,$A476:$B476,,"#Erreur de syntaxe : Expression incomplète")/10^3*$H476</f>
        <v>#VALUE!</v>
      </c>
      <c r="J476" s="173"/>
      <c r="K476" s="173"/>
      <c r="L476" s="173" t="e">
        <f>_xll.GetCtData("COAMOUNT","CONSAMOUNT",$A$1:$A$8,$A476:$B476,,"#Erreur de syntaxe : Expression incomplète")/10^3*$H476</f>
        <v>#VALUE!</v>
      </c>
      <c r="N476" s="173" t="e">
        <f>_xll.GetCtData("COAMOUNT","CONSAMOUNT",$A$1:$A$8,$A476:$B476,,"#Erreur de syntaxe : Expression incomplète")/10^3*$H476</f>
        <v>#VALUE!</v>
      </c>
      <c r="P476" s="173" t="e">
        <f t="shared" si="31"/>
        <v>#VALUE!</v>
      </c>
    </row>
    <row r="477" spans="1:16" s="115" customFormat="1" ht="12" hidden="1" outlineLevel="1" thickBot="1">
      <c r="A477" s="115" t="str">
        <f t="shared" si="29"/>
        <v>P39400000B</v>
      </c>
      <c r="B477" s="115" t="str">
        <f t="shared" si="30"/>
        <v>F50</v>
      </c>
      <c r="C477" s="135" t="s">
        <v>1744</v>
      </c>
      <c r="D477" s="135"/>
      <c r="E477" s="135" t="s">
        <v>1745</v>
      </c>
      <c r="F477" s="131" t="s">
        <v>1678</v>
      </c>
      <c r="G477" s="131" t="e">
        <v>#VALUE!</v>
      </c>
      <c r="H477" s="173">
        <v>-1</v>
      </c>
      <c r="I477" s="173" t="e">
        <f>_xll.GetCtData("COAMOUNT","CONSAMOUNT",$A$1:$A$8,$A477:$B477,,"#Erreur de syntaxe : Expression incomplète")/10^3*$H477</f>
        <v>#VALUE!</v>
      </c>
      <c r="J477" s="173"/>
      <c r="K477" s="173"/>
      <c r="L477" s="173" t="e">
        <f>_xll.GetCtData("COAMOUNT","CONSAMOUNT",$A$1:$A$8,$A477:$B477,,"#Erreur de syntaxe : Expression incomplète")/10^3*$H477</f>
        <v>#VALUE!</v>
      </c>
      <c r="N477" s="173" t="e">
        <f>_xll.GetCtData("COAMOUNT","CONSAMOUNT",$A$1:$A$8,$A477:$B477,,"#Erreur de syntaxe : Expression incomplète")/10^3*$H477</f>
        <v>#VALUE!</v>
      </c>
      <c r="P477" s="173" t="e">
        <f t="shared" si="31"/>
        <v>#VALUE!</v>
      </c>
    </row>
    <row r="478" spans="1:16" s="115" customFormat="1" ht="12" hidden="1" outlineLevel="1" thickBot="1">
      <c r="A478" s="115" t="str">
        <f t="shared" si="29"/>
        <v>P39410000B</v>
      </c>
      <c r="B478" s="115" t="str">
        <f t="shared" si="30"/>
        <v>F50</v>
      </c>
      <c r="C478" s="135" t="s">
        <v>1143</v>
      </c>
      <c r="D478" s="135"/>
      <c r="E478" s="135" t="s">
        <v>1144</v>
      </c>
      <c r="F478" s="131" t="s">
        <v>1678</v>
      </c>
      <c r="G478" s="131" t="e">
        <v>#VALUE!</v>
      </c>
      <c r="H478" s="173">
        <v>-1</v>
      </c>
      <c r="I478" s="173" t="e">
        <f>_xll.GetCtData("COAMOUNT","CONSAMOUNT",$A$1:$A$8,$A478:$B478,,"#Erreur de syntaxe : Expression incomplète")/10^3*$H478</f>
        <v>#VALUE!</v>
      </c>
      <c r="J478" s="173"/>
      <c r="K478" s="173"/>
      <c r="L478" s="173" t="e">
        <f>_xll.GetCtData("COAMOUNT","CONSAMOUNT",$A$1:$A$8,$A478:$B478,,"#Erreur de syntaxe : Expression incomplète")/10^3*$H478</f>
        <v>#VALUE!</v>
      </c>
      <c r="N478" s="173" t="e">
        <f>_xll.GetCtData("COAMOUNT","CONSAMOUNT",$A$1:$A$8,$A478:$B478,,"#Erreur de syntaxe : Expression incomplète")/10^3*$H478</f>
        <v>#VALUE!</v>
      </c>
      <c r="P478" s="173" t="e">
        <f t="shared" si="31"/>
        <v>#VALUE!</v>
      </c>
    </row>
    <row r="479" spans="1:16" s="115" customFormat="1" ht="12" hidden="1" outlineLevel="1" thickBot="1">
      <c r="A479" s="115" t="str">
        <f t="shared" si="29"/>
        <v>P39700000V</v>
      </c>
      <c r="B479" s="115" t="str">
        <f t="shared" si="30"/>
        <v>F50</v>
      </c>
      <c r="C479" s="135" t="s">
        <v>1747</v>
      </c>
      <c r="D479" s="135"/>
      <c r="E479" s="135" t="s">
        <v>1748</v>
      </c>
      <c r="F479" s="131" t="s">
        <v>1678</v>
      </c>
      <c r="G479" s="131" t="e">
        <v>#VALUE!</v>
      </c>
      <c r="H479" s="173">
        <v>-1</v>
      </c>
      <c r="I479" s="173" t="e">
        <f>_xll.GetCtData("COAMOUNT","CONSAMOUNT",$A$1:$A$8,$A479:$B479,,"#Erreur de syntaxe : Expression incomplète")/10^3*$H479</f>
        <v>#VALUE!</v>
      </c>
      <c r="J479" s="173"/>
      <c r="K479" s="173"/>
      <c r="L479" s="173" t="e">
        <f>_xll.GetCtData("COAMOUNT","CONSAMOUNT",$A$1:$A$8,$A479:$B479,,"#Erreur de syntaxe : Expression incomplète")/10^3*$H479</f>
        <v>#VALUE!</v>
      </c>
      <c r="N479" s="173" t="e">
        <f>_xll.GetCtData("COAMOUNT","CONSAMOUNT",$A$1:$A$8,$A479:$B479,,"#Erreur de syntaxe : Expression incomplète")/10^3*$H479</f>
        <v>#VALUE!</v>
      </c>
      <c r="P479" s="173" t="e">
        <f t="shared" si="31"/>
        <v>#VALUE!</v>
      </c>
    </row>
    <row r="480" spans="1:16" s="115" customFormat="1" ht="12" hidden="1" outlineLevel="1" thickBot="1">
      <c r="A480" s="115" t="str">
        <f t="shared" si="29"/>
        <v>P39700100V</v>
      </c>
      <c r="B480" s="115" t="str">
        <f t="shared" si="30"/>
        <v>F50</v>
      </c>
      <c r="C480" s="135" t="s">
        <v>1135</v>
      </c>
      <c r="D480" s="135"/>
      <c r="E480" s="135" t="s">
        <v>1136</v>
      </c>
      <c r="F480" s="131" t="s">
        <v>1678</v>
      </c>
      <c r="G480" s="131" t="e">
        <v>#VALUE!</v>
      </c>
      <c r="H480" s="173">
        <v>-1</v>
      </c>
      <c r="I480" s="173" t="e">
        <f>_xll.GetCtData("COAMOUNT","CONSAMOUNT",$A$1:$A$8,$A480:$B480,,"#Erreur de syntaxe : Expression incomplète")/10^3*$H480</f>
        <v>#VALUE!</v>
      </c>
      <c r="J480" s="173"/>
      <c r="K480" s="173"/>
      <c r="L480" s="173" t="e">
        <f>_xll.GetCtData("COAMOUNT","CONSAMOUNT",$A$1:$A$8,$A480:$B480,,"#Erreur de syntaxe : Expression incomplète")/10^3*$H480</f>
        <v>#VALUE!</v>
      </c>
      <c r="N480" s="173" t="e">
        <f>_xll.GetCtData("COAMOUNT","CONSAMOUNT",$A$1:$A$8,$A480:$B480,,"#Erreur de syntaxe : Expression incomplète")/10^3*$H480</f>
        <v>#VALUE!</v>
      </c>
      <c r="P480" s="173" t="e">
        <f t="shared" si="31"/>
        <v>#VALUE!</v>
      </c>
    </row>
    <row r="481" spans="1:16" s="115" customFormat="1" ht="12" hidden="1" outlineLevel="1" thickBot="1">
      <c r="A481" s="115" t="str">
        <f t="shared" si="29"/>
        <v>P39400000V</v>
      </c>
      <c r="B481" s="115" t="str">
        <f t="shared" si="30"/>
        <v>F50</v>
      </c>
      <c r="C481" s="135" t="s">
        <v>1753</v>
      </c>
      <c r="D481" s="135"/>
      <c r="E481" s="135" t="s">
        <v>1754</v>
      </c>
      <c r="F481" s="131" t="s">
        <v>1678</v>
      </c>
      <c r="G481" s="131" t="e">
        <v>#VALUE!</v>
      </c>
      <c r="H481" s="173">
        <v>-1</v>
      </c>
      <c r="I481" s="173" t="e">
        <f>_xll.GetCtData("COAMOUNT","CONSAMOUNT",$A$1:$A$8,$A481:$B481,,"#Erreur de syntaxe : Expression incomplète")/10^3*$H481</f>
        <v>#VALUE!</v>
      </c>
      <c r="J481" s="173"/>
      <c r="K481" s="173"/>
      <c r="L481" s="173" t="e">
        <f>_xll.GetCtData("COAMOUNT","CONSAMOUNT",$A$1:$A$8,$A481:$B481,,"#Erreur de syntaxe : Expression incomplète")/10^3*$H481</f>
        <v>#VALUE!</v>
      </c>
      <c r="N481" s="173" t="e">
        <f>_xll.GetCtData("COAMOUNT","CONSAMOUNT",$A$1:$A$8,$A481:$B481,,"#Erreur de syntaxe : Expression incomplète")/10^3*$H481</f>
        <v>#VALUE!</v>
      </c>
      <c r="P481" s="173" t="e">
        <f t="shared" si="31"/>
        <v>#VALUE!</v>
      </c>
    </row>
    <row r="482" spans="1:16" s="115" customFormat="1" ht="12" hidden="1" outlineLevel="1" thickBot="1">
      <c r="A482" s="115" t="str">
        <f t="shared" si="29"/>
        <v>P39410000V</v>
      </c>
      <c r="B482" s="115" t="str">
        <f t="shared" si="30"/>
        <v>F50</v>
      </c>
      <c r="C482" s="135" t="s">
        <v>1137</v>
      </c>
      <c r="D482" s="135"/>
      <c r="E482" s="135" t="s">
        <v>1138</v>
      </c>
      <c r="F482" s="131" t="s">
        <v>1678</v>
      </c>
      <c r="G482" s="131" t="e">
        <v>#VALUE!</v>
      </c>
      <c r="H482" s="173">
        <v>-1</v>
      </c>
      <c r="I482" s="173" t="e">
        <f>_xll.GetCtData("COAMOUNT","CONSAMOUNT",$A$1:$A$8,$A482:$B482,,"#Erreur de syntaxe : Expression incomplète")/10^3*$H482</f>
        <v>#VALUE!</v>
      </c>
      <c r="J482" s="173"/>
      <c r="K482" s="173"/>
      <c r="L482" s="173" t="e">
        <f>_xll.GetCtData("COAMOUNT","CONSAMOUNT",$A$1:$A$8,$A482:$B482,,"#Erreur de syntaxe : Expression incomplète")/10^3*$H482</f>
        <v>#VALUE!</v>
      </c>
      <c r="N482" s="173" t="e">
        <f>_xll.GetCtData("COAMOUNT","CONSAMOUNT",$A$1:$A$8,$A482:$B482,,"#Erreur de syntaxe : Expression incomplète")/10^3*$H482</f>
        <v>#VALUE!</v>
      </c>
      <c r="P482" s="173" t="e">
        <f t="shared" si="31"/>
        <v>#VALUE!</v>
      </c>
    </row>
    <row r="483" spans="1:16" s="115" customFormat="1" ht="12" hidden="1" outlineLevel="1" thickBot="1">
      <c r="A483" s="115" t="str">
        <f t="shared" si="29"/>
        <v>A39700000B</v>
      </c>
      <c r="B483" s="115" t="str">
        <f t="shared" si="30"/>
        <v>F60</v>
      </c>
      <c r="C483" s="135" t="s">
        <v>1690</v>
      </c>
      <c r="D483" s="135"/>
      <c r="E483" s="135" t="s">
        <v>1691</v>
      </c>
      <c r="F483" s="131" t="s">
        <v>142</v>
      </c>
      <c r="G483" s="131" t="e">
        <v>#VALUE!</v>
      </c>
      <c r="H483" s="173">
        <v>1</v>
      </c>
      <c r="I483" s="173" t="e">
        <f>_xll.GetCtData("COAMOUNT","CONSAMOUNT",$A$1:$A$8,$A483:$B483,,"#Erreur de syntaxe : Expression incomplète")/10^3*$H483</f>
        <v>#VALUE!</v>
      </c>
      <c r="J483" s="173"/>
      <c r="K483" s="173"/>
      <c r="L483" s="173" t="e">
        <f>_xll.GetCtData("COAMOUNT","CONSAMOUNT",$A$1:$A$8,$A483:$B483,,"#Erreur de syntaxe : Expression incomplète")/10^3*$H483</f>
        <v>#VALUE!</v>
      </c>
      <c r="N483" s="173" t="e">
        <f>_xll.GetCtData("COAMOUNT","CONSAMOUNT",$A$1:$A$8,$A483:$B483,,"#Erreur de syntaxe : Expression incomplète")/10^3*$H483</f>
        <v>#VALUE!</v>
      </c>
      <c r="P483" s="173" t="e">
        <f t="shared" si="31"/>
        <v>#VALUE!</v>
      </c>
    </row>
    <row r="484" spans="1:16" s="115" customFormat="1" ht="12" hidden="1" outlineLevel="1" thickBot="1">
      <c r="A484" s="115" t="str">
        <f t="shared" si="29"/>
        <v>A39700100B</v>
      </c>
      <c r="B484" s="115" t="str">
        <f t="shared" si="30"/>
        <v>F60</v>
      </c>
      <c r="C484" s="135" t="s">
        <v>1714</v>
      </c>
      <c r="D484" s="135"/>
      <c r="E484" s="135" t="s">
        <v>1715</v>
      </c>
      <c r="F484" s="131" t="s">
        <v>142</v>
      </c>
      <c r="G484" s="131" t="e">
        <v>#VALUE!</v>
      </c>
      <c r="H484" s="173">
        <v>1</v>
      </c>
      <c r="I484" s="173" t="e">
        <f>_xll.GetCtData("COAMOUNT","CONSAMOUNT",$A$1:$A$8,$A484:$B484,,"#Erreur de syntaxe : Expression incomplète")/10^3*$H484</f>
        <v>#VALUE!</v>
      </c>
      <c r="J484" s="173"/>
      <c r="K484" s="173"/>
      <c r="L484" s="173" t="e">
        <f>_xll.GetCtData("COAMOUNT","CONSAMOUNT",$A$1:$A$8,$A484:$B484,,"#Erreur de syntaxe : Expression incomplète")/10^3*$H484</f>
        <v>#VALUE!</v>
      </c>
      <c r="N484" s="173" t="e">
        <f>_xll.GetCtData("COAMOUNT","CONSAMOUNT",$A$1:$A$8,$A484:$B484,,"#Erreur de syntaxe : Expression incomplète")/10^3*$H484</f>
        <v>#VALUE!</v>
      </c>
      <c r="P484" s="173" t="e">
        <f t="shared" si="31"/>
        <v>#VALUE!</v>
      </c>
    </row>
    <row r="485" spans="1:16" s="115" customFormat="1" ht="12" hidden="1" outlineLevel="1" thickBot="1">
      <c r="A485" s="115" t="str">
        <f t="shared" si="29"/>
        <v>A39400000B</v>
      </c>
      <c r="B485" s="115" t="str">
        <f t="shared" si="30"/>
        <v>F60</v>
      </c>
      <c r="C485" s="135" t="s">
        <v>1708</v>
      </c>
      <c r="D485" s="135"/>
      <c r="E485" s="135" t="s">
        <v>1709</v>
      </c>
      <c r="F485" s="131" t="s">
        <v>142</v>
      </c>
      <c r="G485" s="131" t="e">
        <v>#VALUE!</v>
      </c>
      <c r="H485" s="173">
        <v>1</v>
      </c>
      <c r="I485" s="173" t="e">
        <f>_xll.GetCtData("COAMOUNT","CONSAMOUNT",$A$1:$A$8,$A485:$B485,,"#Erreur de syntaxe : Expression incomplète")/10^3*$H485</f>
        <v>#VALUE!</v>
      </c>
      <c r="J485" s="173"/>
      <c r="K485" s="173"/>
      <c r="L485" s="173" t="e">
        <f>_xll.GetCtData("COAMOUNT","CONSAMOUNT",$A$1:$A$8,$A485:$B485,,"#Erreur de syntaxe : Expression incomplète")/10^3*$H485</f>
        <v>#VALUE!</v>
      </c>
      <c r="N485" s="173" t="e">
        <f>_xll.GetCtData("COAMOUNT","CONSAMOUNT",$A$1:$A$8,$A485:$B485,,"#Erreur de syntaxe : Expression incomplète")/10^3*$H485</f>
        <v>#VALUE!</v>
      </c>
      <c r="P485" s="173" t="e">
        <f t="shared" si="31"/>
        <v>#VALUE!</v>
      </c>
    </row>
    <row r="486" spans="1:16" s="115" customFormat="1" ht="12" hidden="1" outlineLevel="1" thickBot="1">
      <c r="A486" s="115" t="str">
        <f t="shared" si="29"/>
        <v>A39410000B</v>
      </c>
      <c r="B486" s="115" t="str">
        <f t="shared" si="30"/>
        <v>F60</v>
      </c>
      <c r="C486" s="135" t="s">
        <v>1726</v>
      </c>
      <c r="D486" s="135"/>
      <c r="E486" s="135" t="s">
        <v>1778</v>
      </c>
      <c r="F486" s="131" t="s">
        <v>142</v>
      </c>
      <c r="G486" s="131" t="e">
        <v>#VALUE!</v>
      </c>
      <c r="H486" s="173">
        <v>1</v>
      </c>
      <c r="I486" s="173" t="e">
        <f>_xll.GetCtData("COAMOUNT","CONSAMOUNT",$A$1:$A$8,$A486:$B486,,"#Erreur de syntaxe : Expression incomplète")/10^3*$H486</f>
        <v>#VALUE!</v>
      </c>
      <c r="J486" s="173"/>
      <c r="K486" s="173"/>
      <c r="L486" s="173" t="e">
        <f>_xll.GetCtData("COAMOUNT","CONSAMOUNT",$A$1:$A$8,$A486:$B486,,"#Erreur de syntaxe : Expression incomplète")/10^3*$H486</f>
        <v>#VALUE!</v>
      </c>
      <c r="N486" s="173" t="e">
        <f>_xll.GetCtData("COAMOUNT","CONSAMOUNT",$A$1:$A$8,$A486:$B486,,"#Erreur de syntaxe : Expression incomplète")/10^3*$H486</f>
        <v>#VALUE!</v>
      </c>
      <c r="P486" s="173" t="e">
        <f t="shared" si="31"/>
        <v>#VALUE!</v>
      </c>
    </row>
    <row r="487" spans="1:16" s="115" customFormat="1" ht="12" hidden="1" outlineLevel="1" thickBot="1">
      <c r="A487" s="115" t="str">
        <f t="shared" si="29"/>
        <v>A39700000V</v>
      </c>
      <c r="B487" s="115" t="str">
        <f t="shared" si="30"/>
        <v>F60</v>
      </c>
      <c r="C487" s="135" t="s">
        <v>1693</v>
      </c>
      <c r="D487" s="135"/>
      <c r="E487" s="135" t="s">
        <v>1694</v>
      </c>
      <c r="F487" s="131" t="s">
        <v>142</v>
      </c>
      <c r="G487" s="131" t="e">
        <v>#VALUE!</v>
      </c>
      <c r="H487" s="173">
        <v>1</v>
      </c>
      <c r="I487" s="173" t="e">
        <f>_xll.GetCtData("COAMOUNT","CONSAMOUNT",$A$1:$A$8,$A487:$B487,,"#Erreur de syntaxe : Expression incomplète")/10^3*$H487</f>
        <v>#VALUE!</v>
      </c>
      <c r="J487" s="173"/>
      <c r="K487" s="173"/>
      <c r="L487" s="173" t="e">
        <f>_xll.GetCtData("COAMOUNT","CONSAMOUNT",$A$1:$A$8,$A487:$B487,,"#Erreur de syntaxe : Expression incomplète")/10^3*$H487</f>
        <v>#VALUE!</v>
      </c>
      <c r="N487" s="173" t="e">
        <f>_xll.GetCtData("COAMOUNT","CONSAMOUNT",$A$1:$A$8,$A487:$B487,,"#Erreur de syntaxe : Expression incomplète")/10^3*$H487</f>
        <v>#VALUE!</v>
      </c>
      <c r="P487" s="173" t="e">
        <f t="shared" si="31"/>
        <v>#VALUE!</v>
      </c>
    </row>
    <row r="488" spans="1:16" s="115" customFormat="1" ht="12" hidden="1" outlineLevel="1" thickBot="1">
      <c r="A488" s="115" t="str">
        <f t="shared" si="29"/>
        <v>A39700100V</v>
      </c>
      <c r="B488" s="115" t="str">
        <f t="shared" si="30"/>
        <v>F60</v>
      </c>
      <c r="C488" s="135" t="s">
        <v>1717</v>
      </c>
      <c r="D488" s="135"/>
      <c r="E488" s="135" t="s">
        <v>1718</v>
      </c>
      <c r="F488" s="131" t="s">
        <v>142</v>
      </c>
      <c r="G488" s="131" t="e">
        <v>#VALUE!</v>
      </c>
      <c r="H488" s="173">
        <v>1</v>
      </c>
      <c r="I488" s="173" t="e">
        <f>_xll.GetCtData("COAMOUNT","CONSAMOUNT",$A$1:$A$8,$A488:$B488,,"#Erreur de syntaxe : Expression incomplète")/10^3*$H488</f>
        <v>#VALUE!</v>
      </c>
      <c r="J488" s="173"/>
      <c r="K488" s="173"/>
      <c r="L488" s="173" t="e">
        <f>_xll.GetCtData("COAMOUNT","CONSAMOUNT",$A$1:$A$8,$A488:$B488,,"#Erreur de syntaxe : Expression incomplète")/10^3*$H488</f>
        <v>#VALUE!</v>
      </c>
      <c r="N488" s="173" t="e">
        <f>_xll.GetCtData("COAMOUNT","CONSAMOUNT",$A$1:$A$8,$A488:$B488,,"#Erreur de syntaxe : Expression incomplète")/10^3*$H488</f>
        <v>#VALUE!</v>
      </c>
      <c r="P488" s="173" t="e">
        <f t="shared" si="31"/>
        <v>#VALUE!</v>
      </c>
    </row>
    <row r="489" spans="1:16" s="115" customFormat="1" ht="12" hidden="1" outlineLevel="1" thickBot="1">
      <c r="A489" s="115" t="str">
        <f t="shared" si="29"/>
        <v>A39400000V</v>
      </c>
      <c r="B489" s="115" t="str">
        <f t="shared" si="30"/>
        <v>F60</v>
      </c>
      <c r="C489" s="135" t="s">
        <v>1711</v>
      </c>
      <c r="D489" s="135"/>
      <c r="E489" s="135" t="s">
        <v>1712</v>
      </c>
      <c r="F489" s="131" t="s">
        <v>142</v>
      </c>
      <c r="G489" s="131" t="e">
        <v>#VALUE!</v>
      </c>
      <c r="H489" s="173">
        <v>1</v>
      </c>
      <c r="I489" s="173" t="e">
        <f>_xll.GetCtData("COAMOUNT","CONSAMOUNT",$A$1:$A$8,$A489:$B489,,"#Erreur de syntaxe : Expression incomplète")/10^3*$H489</f>
        <v>#VALUE!</v>
      </c>
      <c r="J489" s="173"/>
      <c r="K489" s="173"/>
      <c r="L489" s="173" t="e">
        <f>_xll.GetCtData("COAMOUNT","CONSAMOUNT",$A$1:$A$8,$A489:$B489,,"#Erreur de syntaxe : Expression incomplète")/10^3*$H489</f>
        <v>#VALUE!</v>
      </c>
      <c r="N489" s="173" t="e">
        <f>_xll.GetCtData("COAMOUNT","CONSAMOUNT",$A$1:$A$8,$A489:$B489,,"#Erreur de syntaxe : Expression incomplète")/10^3*$H489</f>
        <v>#VALUE!</v>
      </c>
      <c r="P489" s="173" t="e">
        <f t="shared" si="31"/>
        <v>#VALUE!</v>
      </c>
    </row>
    <row r="490" spans="1:16" s="115" customFormat="1" ht="12" hidden="1" outlineLevel="1" thickBot="1">
      <c r="A490" s="115" t="str">
        <f t="shared" si="29"/>
        <v>A39410000V</v>
      </c>
      <c r="B490" s="115" t="str">
        <f t="shared" si="30"/>
        <v>F60</v>
      </c>
      <c r="C490" s="135" t="s">
        <v>1729</v>
      </c>
      <c r="D490" s="135"/>
      <c r="E490" s="135" t="s">
        <v>1779</v>
      </c>
      <c r="F490" s="131" t="s">
        <v>142</v>
      </c>
      <c r="G490" s="131" t="e">
        <v>#VALUE!</v>
      </c>
      <c r="H490" s="173">
        <v>1</v>
      </c>
      <c r="I490" s="173" t="e">
        <f>_xll.GetCtData("COAMOUNT","CONSAMOUNT",$A$1:$A$8,$A490:$B490,,"#Erreur de syntaxe : Expression incomplète")/10^3*$H490</f>
        <v>#VALUE!</v>
      </c>
      <c r="J490" s="173"/>
      <c r="K490" s="173"/>
      <c r="L490" s="173" t="e">
        <f>_xll.GetCtData("COAMOUNT","CONSAMOUNT",$A$1:$A$8,$A490:$B490,,"#Erreur de syntaxe : Expression incomplète")/10^3*$H490</f>
        <v>#VALUE!</v>
      </c>
      <c r="N490" s="173" t="e">
        <f>_xll.GetCtData("COAMOUNT","CONSAMOUNT",$A$1:$A$8,$A490:$B490,,"#Erreur de syntaxe : Expression incomplète")/10^3*$H490</f>
        <v>#VALUE!</v>
      </c>
      <c r="P490" s="173" t="e">
        <f t="shared" si="31"/>
        <v>#VALUE!</v>
      </c>
    </row>
    <row r="491" spans="1:16" s="115" customFormat="1" ht="12" hidden="1" outlineLevel="1" thickBot="1">
      <c r="A491" s="115" t="str">
        <f t="shared" si="29"/>
        <v>P39700000B</v>
      </c>
      <c r="B491" s="115" t="str">
        <f t="shared" si="30"/>
        <v>F60</v>
      </c>
      <c r="C491" s="135" t="s">
        <v>1738</v>
      </c>
      <c r="D491" s="135"/>
      <c r="E491" s="135" t="s">
        <v>1739</v>
      </c>
      <c r="F491" s="131" t="s">
        <v>142</v>
      </c>
      <c r="G491" s="131" t="e">
        <v>#VALUE!</v>
      </c>
      <c r="H491" s="173">
        <v>-1</v>
      </c>
      <c r="I491" s="173" t="e">
        <f>_xll.GetCtData("COAMOUNT","CONSAMOUNT",$A$1:$A$8,$A491:$B491,,"#Erreur de syntaxe : Expression incomplète")/10^3*$H491</f>
        <v>#VALUE!</v>
      </c>
      <c r="J491" s="173"/>
      <c r="K491" s="173"/>
      <c r="L491" s="173" t="e">
        <f>_xll.GetCtData("COAMOUNT","CONSAMOUNT",$A$1:$A$8,$A491:$B491,,"#Erreur de syntaxe : Expression incomplète")/10^3*$H491</f>
        <v>#VALUE!</v>
      </c>
      <c r="N491" s="173" t="e">
        <f>_xll.GetCtData("COAMOUNT","CONSAMOUNT",$A$1:$A$8,$A491:$B491,,"#Erreur de syntaxe : Expression incomplète")/10^3*$H491</f>
        <v>#VALUE!</v>
      </c>
      <c r="P491" s="173" t="e">
        <f t="shared" si="31"/>
        <v>#VALUE!</v>
      </c>
    </row>
    <row r="492" spans="1:16" s="115" customFormat="1" ht="12" hidden="1" outlineLevel="1" thickBot="1">
      <c r="A492" s="115" t="str">
        <f t="shared" si="29"/>
        <v>P39700100B</v>
      </c>
      <c r="B492" s="115" t="str">
        <f t="shared" si="30"/>
        <v>F60</v>
      </c>
      <c r="C492" s="135" t="s">
        <v>1141</v>
      </c>
      <c r="D492" s="135"/>
      <c r="E492" s="135" t="s">
        <v>1142</v>
      </c>
      <c r="F492" s="131" t="s">
        <v>142</v>
      </c>
      <c r="G492" s="131" t="e">
        <v>#VALUE!</v>
      </c>
      <c r="H492" s="173">
        <v>-1</v>
      </c>
      <c r="I492" s="173" t="e">
        <f>_xll.GetCtData("COAMOUNT","CONSAMOUNT",$A$1:$A$8,$A492:$B492,,"#Erreur de syntaxe : Expression incomplète")/10^3*$H492</f>
        <v>#VALUE!</v>
      </c>
      <c r="J492" s="173"/>
      <c r="K492" s="173"/>
      <c r="L492" s="173" t="e">
        <f>_xll.GetCtData("COAMOUNT","CONSAMOUNT",$A$1:$A$8,$A492:$B492,,"#Erreur de syntaxe : Expression incomplète")/10^3*$H492</f>
        <v>#VALUE!</v>
      </c>
      <c r="N492" s="173" t="e">
        <f>_xll.GetCtData("COAMOUNT","CONSAMOUNT",$A$1:$A$8,$A492:$B492,,"#Erreur de syntaxe : Expression incomplète")/10^3*$H492</f>
        <v>#VALUE!</v>
      </c>
      <c r="P492" s="173" t="e">
        <f t="shared" si="31"/>
        <v>#VALUE!</v>
      </c>
    </row>
    <row r="493" spans="1:16" s="115" customFormat="1" ht="12" hidden="1" outlineLevel="1" thickBot="1">
      <c r="A493" s="115" t="str">
        <f t="shared" si="29"/>
        <v>P39400000B</v>
      </c>
      <c r="B493" s="115" t="str">
        <f t="shared" si="30"/>
        <v>F60</v>
      </c>
      <c r="C493" s="135" t="s">
        <v>1744</v>
      </c>
      <c r="D493" s="135"/>
      <c r="E493" s="135" t="s">
        <v>1745</v>
      </c>
      <c r="F493" s="131" t="s">
        <v>142</v>
      </c>
      <c r="G493" s="131" t="e">
        <v>#VALUE!</v>
      </c>
      <c r="H493" s="173">
        <v>-1</v>
      </c>
      <c r="I493" s="173" t="e">
        <f>_xll.GetCtData("COAMOUNT","CONSAMOUNT",$A$1:$A$8,$A493:$B493,,"#Erreur de syntaxe : Expression incomplète")/10^3*$H493</f>
        <v>#VALUE!</v>
      </c>
      <c r="J493" s="173"/>
      <c r="K493" s="173"/>
      <c r="L493" s="173" t="e">
        <f>_xll.GetCtData("COAMOUNT","CONSAMOUNT",$A$1:$A$8,$A493:$B493,,"#Erreur de syntaxe : Expression incomplète")/10^3*$H493</f>
        <v>#VALUE!</v>
      </c>
      <c r="N493" s="173" t="e">
        <f>_xll.GetCtData("COAMOUNT","CONSAMOUNT",$A$1:$A$8,$A493:$B493,,"#Erreur de syntaxe : Expression incomplète")/10^3*$H493</f>
        <v>#VALUE!</v>
      </c>
      <c r="P493" s="173" t="e">
        <f t="shared" si="31"/>
        <v>#VALUE!</v>
      </c>
    </row>
    <row r="494" spans="1:16" s="115" customFormat="1" ht="12" hidden="1" outlineLevel="1" thickBot="1">
      <c r="A494" s="115" t="str">
        <f t="shared" si="29"/>
        <v>P39410000B</v>
      </c>
      <c r="B494" s="115" t="str">
        <f t="shared" si="30"/>
        <v>F60</v>
      </c>
      <c r="C494" s="135" t="s">
        <v>1143</v>
      </c>
      <c r="D494" s="135"/>
      <c r="E494" s="135" t="s">
        <v>1144</v>
      </c>
      <c r="F494" s="131" t="s">
        <v>142</v>
      </c>
      <c r="G494" s="131" t="e">
        <v>#VALUE!</v>
      </c>
      <c r="H494" s="173">
        <v>-1</v>
      </c>
      <c r="I494" s="173" t="e">
        <f>_xll.GetCtData("COAMOUNT","CONSAMOUNT",$A$1:$A$8,$A494:$B494,,"#Erreur de syntaxe : Expression incomplète")/10^3*$H494</f>
        <v>#VALUE!</v>
      </c>
      <c r="J494" s="173"/>
      <c r="K494" s="173"/>
      <c r="L494" s="173" t="e">
        <f>_xll.GetCtData("COAMOUNT","CONSAMOUNT",$A$1:$A$8,$A494:$B494,,"#Erreur de syntaxe : Expression incomplète")/10^3*$H494</f>
        <v>#VALUE!</v>
      </c>
      <c r="N494" s="173" t="e">
        <f>_xll.GetCtData("COAMOUNT","CONSAMOUNT",$A$1:$A$8,$A494:$B494,,"#Erreur de syntaxe : Expression incomplète")/10^3*$H494</f>
        <v>#VALUE!</v>
      </c>
      <c r="P494" s="173" t="e">
        <f t="shared" si="31"/>
        <v>#VALUE!</v>
      </c>
    </row>
    <row r="495" spans="1:16" s="115" customFormat="1" ht="12" hidden="1" outlineLevel="1" thickBot="1">
      <c r="A495" s="115" t="str">
        <f t="shared" si="29"/>
        <v>P39700000V</v>
      </c>
      <c r="B495" s="115" t="str">
        <f t="shared" si="30"/>
        <v>F60</v>
      </c>
      <c r="C495" s="135" t="s">
        <v>1747</v>
      </c>
      <c r="D495" s="135"/>
      <c r="E495" s="135" t="s">
        <v>1748</v>
      </c>
      <c r="F495" s="131" t="s">
        <v>142</v>
      </c>
      <c r="G495" s="131" t="e">
        <v>#VALUE!</v>
      </c>
      <c r="H495" s="173">
        <v>-1</v>
      </c>
      <c r="I495" s="173" t="e">
        <f>_xll.GetCtData("COAMOUNT","CONSAMOUNT",$A$1:$A$8,$A495:$B495,,"#Erreur de syntaxe : Expression incomplète")/10^3*$H495</f>
        <v>#VALUE!</v>
      </c>
      <c r="J495" s="173"/>
      <c r="K495" s="173"/>
      <c r="L495" s="173" t="e">
        <f>_xll.GetCtData("COAMOUNT","CONSAMOUNT",$A$1:$A$8,$A495:$B495,,"#Erreur de syntaxe : Expression incomplète")/10^3*$H495</f>
        <v>#VALUE!</v>
      </c>
      <c r="N495" s="173" t="e">
        <f>_xll.GetCtData("COAMOUNT","CONSAMOUNT",$A$1:$A$8,$A495:$B495,,"#Erreur de syntaxe : Expression incomplète")/10^3*$H495</f>
        <v>#VALUE!</v>
      </c>
      <c r="P495" s="173" t="e">
        <f t="shared" si="31"/>
        <v>#VALUE!</v>
      </c>
    </row>
    <row r="496" spans="1:16" s="115" customFormat="1" ht="12" hidden="1" outlineLevel="1" thickBot="1">
      <c r="A496" s="115" t="str">
        <f t="shared" si="29"/>
        <v>P39700100V</v>
      </c>
      <c r="B496" s="115" t="str">
        <f t="shared" si="30"/>
        <v>F60</v>
      </c>
      <c r="C496" s="135" t="s">
        <v>1135</v>
      </c>
      <c r="D496" s="135"/>
      <c r="E496" s="135" t="s">
        <v>1136</v>
      </c>
      <c r="F496" s="131" t="s">
        <v>142</v>
      </c>
      <c r="G496" s="131" t="e">
        <v>#VALUE!</v>
      </c>
      <c r="H496" s="173">
        <v>-1</v>
      </c>
      <c r="I496" s="173" t="e">
        <f>_xll.GetCtData("COAMOUNT","CONSAMOUNT",$A$1:$A$8,$A496:$B496,,"#Erreur de syntaxe : Expression incomplète")/10^3*$H496</f>
        <v>#VALUE!</v>
      </c>
      <c r="J496" s="173"/>
      <c r="K496" s="173"/>
      <c r="L496" s="173" t="e">
        <f>_xll.GetCtData("COAMOUNT","CONSAMOUNT",$A$1:$A$8,$A496:$B496,,"#Erreur de syntaxe : Expression incomplète")/10^3*$H496</f>
        <v>#VALUE!</v>
      </c>
      <c r="N496" s="173" t="e">
        <f>_xll.GetCtData("COAMOUNT","CONSAMOUNT",$A$1:$A$8,$A496:$B496,,"#Erreur de syntaxe : Expression incomplète")/10^3*$H496</f>
        <v>#VALUE!</v>
      </c>
      <c r="P496" s="173" t="e">
        <f t="shared" si="31"/>
        <v>#VALUE!</v>
      </c>
    </row>
    <row r="497" spans="1:16" s="115" customFormat="1" ht="12" hidden="1" outlineLevel="1" thickBot="1">
      <c r="A497" s="115" t="str">
        <f t="shared" si="29"/>
        <v>P39400000V</v>
      </c>
      <c r="B497" s="115" t="str">
        <f t="shared" si="30"/>
        <v>F60</v>
      </c>
      <c r="C497" s="135" t="s">
        <v>1753</v>
      </c>
      <c r="D497" s="135"/>
      <c r="E497" s="135" t="s">
        <v>1754</v>
      </c>
      <c r="F497" s="131" t="s">
        <v>142</v>
      </c>
      <c r="G497" s="131" t="e">
        <v>#VALUE!</v>
      </c>
      <c r="H497" s="173">
        <v>-1</v>
      </c>
      <c r="I497" s="173" t="e">
        <f>_xll.GetCtData("COAMOUNT","CONSAMOUNT",$A$1:$A$8,$A497:$B497,,"#Erreur de syntaxe : Expression incomplète")/10^3*$H497</f>
        <v>#VALUE!</v>
      </c>
      <c r="J497" s="173"/>
      <c r="K497" s="173"/>
      <c r="L497" s="173" t="e">
        <f>_xll.GetCtData("COAMOUNT","CONSAMOUNT",$A$1:$A$8,$A497:$B497,,"#Erreur de syntaxe : Expression incomplète")/10^3*$H497</f>
        <v>#VALUE!</v>
      </c>
      <c r="N497" s="173" t="e">
        <f>_xll.GetCtData("COAMOUNT","CONSAMOUNT",$A$1:$A$8,$A497:$B497,,"#Erreur de syntaxe : Expression incomplète")/10^3*$H497</f>
        <v>#VALUE!</v>
      </c>
      <c r="P497" s="173" t="e">
        <f t="shared" si="31"/>
        <v>#VALUE!</v>
      </c>
    </row>
    <row r="498" spans="1:16" s="115" customFormat="1" ht="12" hidden="1" outlineLevel="1" thickBot="1">
      <c r="A498" s="115" t="str">
        <f t="shared" si="29"/>
        <v>P39410000V</v>
      </c>
      <c r="B498" s="115" t="str">
        <f t="shared" si="30"/>
        <v>F60</v>
      </c>
      <c r="C498" s="135" t="s">
        <v>1137</v>
      </c>
      <c r="D498" s="135"/>
      <c r="E498" s="135" t="s">
        <v>1138</v>
      </c>
      <c r="F498" s="131" t="s">
        <v>142</v>
      </c>
      <c r="G498" s="131" t="e">
        <v>#VALUE!</v>
      </c>
      <c r="H498" s="173">
        <v>-1</v>
      </c>
      <c r="I498" s="173" t="e">
        <f>_xll.GetCtData("COAMOUNT","CONSAMOUNT",$A$1:$A$8,$A498:$B498,,"#Erreur de syntaxe : Expression incomplète")/10^3*$H498</f>
        <v>#VALUE!</v>
      </c>
      <c r="J498" s="173"/>
      <c r="K498" s="173"/>
      <c r="L498" s="173" t="e">
        <f>_xll.GetCtData("COAMOUNT","CONSAMOUNT",$A$1:$A$8,$A498:$B498,,"#Erreur de syntaxe : Expression incomplète")/10^3*$H498</f>
        <v>#VALUE!</v>
      </c>
      <c r="N498" s="173" t="e">
        <f>_xll.GetCtData("COAMOUNT","CONSAMOUNT",$A$1:$A$8,$A498:$B498,,"#Erreur de syntaxe : Expression incomplète")/10^3*$H498</f>
        <v>#VALUE!</v>
      </c>
      <c r="P498" s="173" t="e">
        <f t="shared" si="31"/>
        <v>#VALUE!</v>
      </c>
    </row>
    <row r="499" spans="1:16" s="115" customFormat="1" ht="12" hidden="1" outlineLevel="1" thickBot="1">
      <c r="A499" s="115" t="str">
        <f t="shared" si="29"/>
        <v>A39700000B</v>
      </c>
      <c r="B499" s="115" t="str">
        <f t="shared" si="30"/>
        <v>F94</v>
      </c>
      <c r="C499" s="135" t="s">
        <v>1690</v>
      </c>
      <c r="D499" s="135"/>
      <c r="E499" s="135" t="s">
        <v>1691</v>
      </c>
      <c r="F499" s="131" t="s">
        <v>1680</v>
      </c>
      <c r="G499" s="131" t="e">
        <v>#VALUE!</v>
      </c>
      <c r="H499" s="173">
        <v>1</v>
      </c>
      <c r="I499" s="173" t="e">
        <f>_xll.GetCtData("COAMOUNT","CONSAMOUNT",$A$1:$A$8,$A499:$B499,,"#Erreur de syntaxe : Expression incomplète")/10^3*$H499</f>
        <v>#VALUE!</v>
      </c>
      <c r="J499" s="173"/>
      <c r="K499" s="173"/>
      <c r="L499" s="173" t="e">
        <f>_xll.GetCtData("COAMOUNT","CONSAMOUNT",$A$1:$A$8,$A499:$B499,,"#Erreur de syntaxe : Expression incomplète")/10^3*$H499</f>
        <v>#VALUE!</v>
      </c>
      <c r="N499" s="173" t="e">
        <f>_xll.GetCtData("COAMOUNT","CONSAMOUNT",$A$1:$A$8,$A499:$B499,,"#Erreur de syntaxe : Expression incomplète")/10^3*$H499</f>
        <v>#VALUE!</v>
      </c>
      <c r="P499" s="173" t="e">
        <f t="shared" si="31"/>
        <v>#VALUE!</v>
      </c>
    </row>
    <row r="500" spans="1:16" s="115" customFormat="1" ht="12" hidden="1" outlineLevel="1" thickBot="1">
      <c r="A500" s="115" t="str">
        <f t="shared" si="29"/>
        <v>A39700100B</v>
      </c>
      <c r="B500" s="115" t="str">
        <f t="shared" si="30"/>
        <v>F94</v>
      </c>
      <c r="C500" s="135" t="s">
        <v>1714</v>
      </c>
      <c r="D500" s="135"/>
      <c r="E500" s="135" t="s">
        <v>1715</v>
      </c>
      <c r="F500" s="131" t="s">
        <v>1680</v>
      </c>
      <c r="G500" s="131" t="e">
        <v>#VALUE!</v>
      </c>
      <c r="H500" s="173">
        <v>1</v>
      </c>
      <c r="I500" s="173" t="e">
        <f>_xll.GetCtData("COAMOUNT","CONSAMOUNT",$A$1:$A$8,$A500:$B500,,"#Erreur de syntaxe : Expression incomplète")/10^3*$H500</f>
        <v>#VALUE!</v>
      </c>
      <c r="J500" s="173"/>
      <c r="K500" s="173"/>
      <c r="L500" s="173" t="e">
        <f>_xll.GetCtData("COAMOUNT","CONSAMOUNT",$A$1:$A$8,$A500:$B500,,"#Erreur de syntaxe : Expression incomplète")/10^3*$H500</f>
        <v>#VALUE!</v>
      </c>
      <c r="N500" s="173" t="e">
        <f>_xll.GetCtData("COAMOUNT","CONSAMOUNT",$A$1:$A$8,$A500:$B500,,"#Erreur de syntaxe : Expression incomplète")/10^3*$H500</f>
        <v>#VALUE!</v>
      </c>
      <c r="P500" s="173" t="e">
        <f t="shared" si="31"/>
        <v>#VALUE!</v>
      </c>
    </row>
    <row r="501" spans="1:16" s="115" customFormat="1" ht="12" hidden="1" outlineLevel="1" thickBot="1">
      <c r="A501" s="115" t="str">
        <f t="shared" si="29"/>
        <v>A39400000B</v>
      </c>
      <c r="B501" s="115" t="str">
        <f t="shared" si="30"/>
        <v>F94</v>
      </c>
      <c r="C501" s="135" t="s">
        <v>1708</v>
      </c>
      <c r="D501" s="135"/>
      <c r="E501" s="135" t="s">
        <v>1709</v>
      </c>
      <c r="F501" s="131" t="s">
        <v>1680</v>
      </c>
      <c r="G501" s="131" t="e">
        <v>#VALUE!</v>
      </c>
      <c r="H501" s="173">
        <v>1</v>
      </c>
      <c r="I501" s="173" t="e">
        <f>_xll.GetCtData("COAMOUNT","CONSAMOUNT",$A$1:$A$8,$A501:$B501,,"#Erreur de syntaxe : Expression incomplète")/10^3*$H501</f>
        <v>#VALUE!</v>
      </c>
      <c r="J501" s="173"/>
      <c r="K501" s="173"/>
      <c r="L501" s="173" t="e">
        <f>_xll.GetCtData("COAMOUNT","CONSAMOUNT",$A$1:$A$8,$A501:$B501,,"#Erreur de syntaxe : Expression incomplète")/10^3*$H501</f>
        <v>#VALUE!</v>
      </c>
      <c r="N501" s="173" t="e">
        <f>_xll.GetCtData("COAMOUNT","CONSAMOUNT",$A$1:$A$8,$A501:$B501,,"#Erreur de syntaxe : Expression incomplète")/10^3*$H501</f>
        <v>#VALUE!</v>
      </c>
      <c r="P501" s="173" t="e">
        <f t="shared" si="31"/>
        <v>#VALUE!</v>
      </c>
    </row>
    <row r="502" spans="1:16" s="115" customFormat="1" ht="12" hidden="1" outlineLevel="1" thickBot="1">
      <c r="A502" s="115" t="str">
        <f t="shared" si="29"/>
        <v>A39410000B</v>
      </c>
      <c r="B502" s="115" t="str">
        <f t="shared" si="30"/>
        <v>F94</v>
      </c>
      <c r="C502" s="135" t="s">
        <v>1726</v>
      </c>
      <c r="D502" s="135"/>
      <c r="E502" s="135" t="s">
        <v>1778</v>
      </c>
      <c r="F502" s="131" t="s">
        <v>1680</v>
      </c>
      <c r="G502" s="131" t="e">
        <v>#VALUE!</v>
      </c>
      <c r="H502" s="173">
        <v>1</v>
      </c>
      <c r="I502" s="173" t="e">
        <f>_xll.GetCtData("COAMOUNT","CONSAMOUNT",$A$1:$A$8,$A502:$B502,,"#Erreur de syntaxe : Expression incomplète")/10^3*$H502</f>
        <v>#VALUE!</v>
      </c>
      <c r="J502" s="173"/>
      <c r="K502" s="173"/>
      <c r="L502" s="173" t="e">
        <f>_xll.GetCtData("COAMOUNT","CONSAMOUNT",$A$1:$A$8,$A502:$B502,,"#Erreur de syntaxe : Expression incomplète")/10^3*$H502</f>
        <v>#VALUE!</v>
      </c>
      <c r="N502" s="173" t="e">
        <f>_xll.GetCtData("COAMOUNT","CONSAMOUNT",$A$1:$A$8,$A502:$B502,,"#Erreur de syntaxe : Expression incomplète")/10^3*$H502</f>
        <v>#VALUE!</v>
      </c>
      <c r="P502" s="173" t="e">
        <f t="shared" si="31"/>
        <v>#VALUE!</v>
      </c>
    </row>
    <row r="503" spans="1:16" s="115" customFormat="1" ht="12" hidden="1" outlineLevel="1" thickBot="1">
      <c r="A503" s="115" t="str">
        <f t="shared" si="29"/>
        <v>A39700000V</v>
      </c>
      <c r="B503" s="115" t="str">
        <f t="shared" si="30"/>
        <v>F94</v>
      </c>
      <c r="C503" s="135" t="s">
        <v>1693</v>
      </c>
      <c r="D503" s="135"/>
      <c r="E503" s="135" t="s">
        <v>1694</v>
      </c>
      <c r="F503" s="131" t="s">
        <v>1680</v>
      </c>
      <c r="G503" s="131" t="e">
        <v>#VALUE!</v>
      </c>
      <c r="H503" s="173">
        <v>1</v>
      </c>
      <c r="I503" s="173" t="e">
        <f>_xll.GetCtData("COAMOUNT","CONSAMOUNT",$A$1:$A$8,$A503:$B503,,"#Erreur de syntaxe : Expression incomplète")/10^3*$H503</f>
        <v>#VALUE!</v>
      </c>
      <c r="J503" s="173"/>
      <c r="K503" s="173"/>
      <c r="L503" s="173" t="e">
        <f>_xll.GetCtData("COAMOUNT","CONSAMOUNT",$A$1:$A$8,$A503:$B503,,"#Erreur de syntaxe : Expression incomplète")/10^3*$H503</f>
        <v>#VALUE!</v>
      </c>
      <c r="N503" s="173" t="e">
        <f>_xll.GetCtData("COAMOUNT","CONSAMOUNT",$A$1:$A$8,$A503:$B503,,"#Erreur de syntaxe : Expression incomplète")/10^3*$H503</f>
        <v>#VALUE!</v>
      </c>
      <c r="P503" s="173" t="e">
        <f t="shared" si="31"/>
        <v>#VALUE!</v>
      </c>
    </row>
    <row r="504" spans="1:16" s="115" customFormat="1" ht="12" hidden="1" outlineLevel="1" thickBot="1">
      <c r="A504" s="115" t="str">
        <f t="shared" si="29"/>
        <v>A39700100V</v>
      </c>
      <c r="B504" s="115" t="str">
        <f t="shared" si="30"/>
        <v>F94</v>
      </c>
      <c r="C504" s="135" t="s">
        <v>1717</v>
      </c>
      <c r="D504" s="135"/>
      <c r="E504" s="135" t="s">
        <v>1718</v>
      </c>
      <c r="F504" s="131" t="s">
        <v>1680</v>
      </c>
      <c r="G504" s="131" t="e">
        <v>#VALUE!</v>
      </c>
      <c r="H504" s="173">
        <v>1</v>
      </c>
      <c r="I504" s="173" t="e">
        <f>_xll.GetCtData("COAMOUNT","CONSAMOUNT",$A$1:$A$8,$A504:$B504,,"#Erreur de syntaxe : Expression incomplète")/10^3*$H504</f>
        <v>#VALUE!</v>
      </c>
      <c r="J504" s="173"/>
      <c r="K504" s="173"/>
      <c r="L504" s="173" t="e">
        <f>_xll.GetCtData("COAMOUNT","CONSAMOUNT",$A$1:$A$8,$A504:$B504,,"#Erreur de syntaxe : Expression incomplète")/10^3*$H504</f>
        <v>#VALUE!</v>
      </c>
      <c r="N504" s="173" t="e">
        <f>_xll.GetCtData("COAMOUNT","CONSAMOUNT",$A$1:$A$8,$A504:$B504,,"#Erreur de syntaxe : Expression incomplète")/10^3*$H504</f>
        <v>#VALUE!</v>
      </c>
      <c r="P504" s="173" t="e">
        <f t="shared" si="31"/>
        <v>#VALUE!</v>
      </c>
    </row>
    <row r="505" spans="1:16" s="115" customFormat="1" ht="12" hidden="1" outlineLevel="1" thickBot="1">
      <c r="A505" s="115" t="str">
        <f t="shared" si="29"/>
        <v>A39400000V</v>
      </c>
      <c r="B505" s="115" t="str">
        <f t="shared" si="30"/>
        <v>F94</v>
      </c>
      <c r="C505" s="135" t="s">
        <v>1711</v>
      </c>
      <c r="D505" s="135"/>
      <c r="E505" s="135" t="s">
        <v>1712</v>
      </c>
      <c r="F505" s="131" t="s">
        <v>1680</v>
      </c>
      <c r="G505" s="131" t="e">
        <v>#VALUE!</v>
      </c>
      <c r="H505" s="173">
        <v>1</v>
      </c>
      <c r="I505" s="173" t="e">
        <f>_xll.GetCtData("COAMOUNT","CONSAMOUNT",$A$1:$A$8,$A505:$B505,,"#Erreur de syntaxe : Expression incomplète")/10^3*$H505</f>
        <v>#VALUE!</v>
      </c>
      <c r="J505" s="173"/>
      <c r="K505" s="173"/>
      <c r="L505" s="173" t="e">
        <f>_xll.GetCtData("COAMOUNT","CONSAMOUNT",$A$1:$A$8,$A505:$B505,,"#Erreur de syntaxe : Expression incomplète")/10^3*$H505</f>
        <v>#VALUE!</v>
      </c>
      <c r="N505" s="173" t="e">
        <f>_xll.GetCtData("COAMOUNT","CONSAMOUNT",$A$1:$A$8,$A505:$B505,,"#Erreur de syntaxe : Expression incomplète")/10^3*$H505</f>
        <v>#VALUE!</v>
      </c>
      <c r="P505" s="173" t="e">
        <f t="shared" si="31"/>
        <v>#VALUE!</v>
      </c>
    </row>
    <row r="506" spans="1:16" s="115" customFormat="1" ht="12" hidden="1" outlineLevel="1" thickBot="1">
      <c r="A506" s="115" t="str">
        <f t="shared" si="29"/>
        <v>A39410000V</v>
      </c>
      <c r="B506" s="115" t="str">
        <f t="shared" si="30"/>
        <v>F94</v>
      </c>
      <c r="C506" s="135" t="s">
        <v>1729</v>
      </c>
      <c r="D506" s="135"/>
      <c r="E506" s="135" t="s">
        <v>1779</v>
      </c>
      <c r="F506" s="131" t="s">
        <v>1680</v>
      </c>
      <c r="G506" s="131" t="e">
        <v>#VALUE!</v>
      </c>
      <c r="H506" s="173">
        <v>1</v>
      </c>
      <c r="I506" s="173" t="e">
        <f>_xll.GetCtData("COAMOUNT","CONSAMOUNT",$A$1:$A$8,$A506:$B506,,"#Erreur de syntaxe : Expression incomplète")/10^3*$H506</f>
        <v>#VALUE!</v>
      </c>
      <c r="J506" s="173"/>
      <c r="K506" s="173"/>
      <c r="L506" s="173" t="e">
        <f>_xll.GetCtData("COAMOUNT","CONSAMOUNT",$A$1:$A$8,$A506:$B506,,"#Erreur de syntaxe : Expression incomplète")/10^3*$H506</f>
        <v>#VALUE!</v>
      </c>
      <c r="N506" s="173" t="e">
        <f>_xll.GetCtData("COAMOUNT","CONSAMOUNT",$A$1:$A$8,$A506:$B506,,"#Erreur de syntaxe : Expression incomplète")/10^3*$H506</f>
        <v>#VALUE!</v>
      </c>
      <c r="P506" s="173" t="e">
        <f t="shared" si="31"/>
        <v>#VALUE!</v>
      </c>
    </row>
    <row r="507" spans="1:16" s="115" customFormat="1" ht="12" hidden="1" outlineLevel="1" thickBot="1">
      <c r="A507" s="115" t="str">
        <f t="shared" si="29"/>
        <v>P39700000B</v>
      </c>
      <c r="B507" s="115" t="str">
        <f t="shared" si="30"/>
        <v>F94</v>
      </c>
      <c r="C507" s="135" t="s">
        <v>1738</v>
      </c>
      <c r="D507" s="135"/>
      <c r="E507" s="135" t="s">
        <v>1739</v>
      </c>
      <c r="F507" s="131" t="s">
        <v>1680</v>
      </c>
      <c r="G507" s="131" t="e">
        <v>#VALUE!</v>
      </c>
      <c r="H507" s="173">
        <v>-1</v>
      </c>
      <c r="I507" s="173" t="e">
        <f>_xll.GetCtData("COAMOUNT","CONSAMOUNT",$A$1:$A$8,$A507:$B507,,"#Erreur de syntaxe : Expression incomplète")/10^3*$H507</f>
        <v>#VALUE!</v>
      </c>
      <c r="J507" s="173"/>
      <c r="K507" s="173"/>
      <c r="L507" s="173" t="e">
        <f>_xll.GetCtData("COAMOUNT","CONSAMOUNT",$A$1:$A$8,$A507:$B507,,"#Erreur de syntaxe : Expression incomplète")/10^3*$H507</f>
        <v>#VALUE!</v>
      </c>
      <c r="N507" s="173" t="e">
        <f>_xll.GetCtData("COAMOUNT","CONSAMOUNT",$A$1:$A$8,$A507:$B507,,"#Erreur de syntaxe : Expression incomplète")/10^3*$H507</f>
        <v>#VALUE!</v>
      </c>
      <c r="P507" s="173" t="e">
        <f t="shared" si="31"/>
        <v>#VALUE!</v>
      </c>
    </row>
    <row r="508" spans="1:16" s="115" customFormat="1" ht="12" hidden="1" outlineLevel="1" thickBot="1">
      <c r="A508" s="115" t="str">
        <f t="shared" si="29"/>
        <v>P39700100B</v>
      </c>
      <c r="B508" s="115" t="str">
        <f t="shared" si="30"/>
        <v>F94</v>
      </c>
      <c r="C508" s="135" t="s">
        <v>1141</v>
      </c>
      <c r="D508" s="135"/>
      <c r="E508" s="135" t="s">
        <v>1142</v>
      </c>
      <c r="F508" s="131" t="s">
        <v>1680</v>
      </c>
      <c r="G508" s="131" t="e">
        <v>#VALUE!</v>
      </c>
      <c r="H508" s="173">
        <v>-1</v>
      </c>
      <c r="I508" s="173" t="e">
        <f>_xll.GetCtData("COAMOUNT","CONSAMOUNT",$A$1:$A$8,$A508:$B508,,"#Erreur de syntaxe : Expression incomplète")/10^3*$H508</f>
        <v>#VALUE!</v>
      </c>
      <c r="J508" s="173"/>
      <c r="K508" s="173"/>
      <c r="L508" s="173" t="e">
        <f>_xll.GetCtData("COAMOUNT","CONSAMOUNT",$A$1:$A$8,$A508:$B508,,"#Erreur de syntaxe : Expression incomplète")/10^3*$H508</f>
        <v>#VALUE!</v>
      </c>
      <c r="N508" s="173" t="e">
        <f>_xll.GetCtData("COAMOUNT","CONSAMOUNT",$A$1:$A$8,$A508:$B508,,"#Erreur de syntaxe : Expression incomplète")/10^3*$H508</f>
        <v>#VALUE!</v>
      </c>
      <c r="P508" s="173" t="e">
        <f t="shared" si="31"/>
        <v>#VALUE!</v>
      </c>
    </row>
    <row r="509" spans="1:16" s="115" customFormat="1" ht="12" hidden="1" outlineLevel="1" thickBot="1">
      <c r="A509" s="115" t="str">
        <f t="shared" si="29"/>
        <v>P39400000B</v>
      </c>
      <c r="B509" s="115" t="str">
        <f t="shared" si="30"/>
        <v>F94</v>
      </c>
      <c r="C509" s="135" t="s">
        <v>1744</v>
      </c>
      <c r="D509" s="135"/>
      <c r="E509" s="135" t="s">
        <v>1745</v>
      </c>
      <c r="F509" s="131" t="s">
        <v>1680</v>
      </c>
      <c r="G509" s="131" t="e">
        <v>#VALUE!</v>
      </c>
      <c r="H509" s="173">
        <v>-1</v>
      </c>
      <c r="I509" s="173" t="e">
        <f>_xll.GetCtData("COAMOUNT","CONSAMOUNT",$A$1:$A$8,$A509:$B509,,"#Erreur de syntaxe : Expression incomplète")/10^3*$H509</f>
        <v>#VALUE!</v>
      </c>
      <c r="J509" s="173"/>
      <c r="K509" s="173"/>
      <c r="L509" s="173" t="e">
        <f>_xll.GetCtData("COAMOUNT","CONSAMOUNT",$A$1:$A$8,$A509:$B509,,"#Erreur de syntaxe : Expression incomplète")/10^3*$H509</f>
        <v>#VALUE!</v>
      </c>
      <c r="N509" s="173" t="e">
        <f>_xll.GetCtData("COAMOUNT","CONSAMOUNT",$A$1:$A$8,$A509:$B509,,"#Erreur de syntaxe : Expression incomplète")/10^3*$H509</f>
        <v>#VALUE!</v>
      </c>
      <c r="P509" s="173" t="e">
        <f t="shared" si="31"/>
        <v>#VALUE!</v>
      </c>
    </row>
    <row r="510" spans="1:16" s="115" customFormat="1" ht="12" hidden="1" outlineLevel="1" thickBot="1">
      <c r="A510" s="115" t="str">
        <f t="shared" si="29"/>
        <v>P39410000B</v>
      </c>
      <c r="B510" s="115" t="str">
        <f t="shared" si="30"/>
        <v>F94</v>
      </c>
      <c r="C510" s="135" t="s">
        <v>1143</v>
      </c>
      <c r="D510" s="135"/>
      <c r="E510" s="135" t="s">
        <v>1144</v>
      </c>
      <c r="F510" s="131" t="s">
        <v>1680</v>
      </c>
      <c r="G510" s="131" t="e">
        <v>#VALUE!</v>
      </c>
      <c r="H510" s="173">
        <v>-1</v>
      </c>
      <c r="I510" s="173" t="e">
        <f>_xll.GetCtData("COAMOUNT","CONSAMOUNT",$A$1:$A$8,$A510:$B510,,"#Erreur de syntaxe : Expression incomplète")/10^3*$H510</f>
        <v>#VALUE!</v>
      </c>
      <c r="J510" s="173"/>
      <c r="K510" s="173"/>
      <c r="L510" s="173" t="e">
        <f>_xll.GetCtData("COAMOUNT","CONSAMOUNT",$A$1:$A$8,$A510:$B510,,"#Erreur de syntaxe : Expression incomplète")/10^3*$H510</f>
        <v>#VALUE!</v>
      </c>
      <c r="N510" s="173" t="e">
        <f>_xll.GetCtData("COAMOUNT","CONSAMOUNT",$A$1:$A$8,$A510:$B510,,"#Erreur de syntaxe : Expression incomplète")/10^3*$H510</f>
        <v>#VALUE!</v>
      </c>
      <c r="P510" s="173" t="e">
        <f t="shared" si="31"/>
        <v>#VALUE!</v>
      </c>
    </row>
    <row r="511" spans="1:16" s="115" customFormat="1" ht="12" hidden="1" outlineLevel="1" thickBot="1">
      <c r="A511" s="115" t="str">
        <f t="shared" si="29"/>
        <v>P39700000V</v>
      </c>
      <c r="B511" s="115" t="str">
        <f t="shared" si="30"/>
        <v>F94</v>
      </c>
      <c r="C511" s="135" t="s">
        <v>1747</v>
      </c>
      <c r="D511" s="135"/>
      <c r="E511" s="135" t="s">
        <v>1748</v>
      </c>
      <c r="F511" s="131" t="s">
        <v>1680</v>
      </c>
      <c r="G511" s="131" t="e">
        <v>#VALUE!</v>
      </c>
      <c r="H511" s="173">
        <v>-1</v>
      </c>
      <c r="I511" s="173" t="e">
        <f>_xll.GetCtData("COAMOUNT","CONSAMOUNT",$A$1:$A$8,$A511:$B511,,"#Erreur de syntaxe : Expression incomplète")/10^3*$H511</f>
        <v>#VALUE!</v>
      </c>
      <c r="J511" s="173"/>
      <c r="K511" s="173"/>
      <c r="L511" s="173" t="e">
        <f>_xll.GetCtData("COAMOUNT","CONSAMOUNT",$A$1:$A$8,$A511:$B511,,"#Erreur de syntaxe : Expression incomplète")/10^3*$H511</f>
        <v>#VALUE!</v>
      </c>
      <c r="N511" s="173" t="e">
        <f>_xll.GetCtData("COAMOUNT","CONSAMOUNT",$A$1:$A$8,$A511:$B511,,"#Erreur de syntaxe : Expression incomplète")/10^3*$H511</f>
        <v>#VALUE!</v>
      </c>
      <c r="P511" s="173" t="e">
        <f t="shared" si="31"/>
        <v>#VALUE!</v>
      </c>
    </row>
    <row r="512" spans="1:16" s="115" customFormat="1" ht="12" hidden="1" outlineLevel="1" thickBot="1">
      <c r="A512" s="115" t="str">
        <f t="shared" si="29"/>
        <v>P39700100V</v>
      </c>
      <c r="B512" s="115" t="str">
        <f t="shared" si="30"/>
        <v>F94</v>
      </c>
      <c r="C512" s="135" t="s">
        <v>1135</v>
      </c>
      <c r="D512" s="135"/>
      <c r="E512" s="135" t="s">
        <v>1136</v>
      </c>
      <c r="F512" s="131" t="s">
        <v>1680</v>
      </c>
      <c r="G512" s="131" t="e">
        <v>#VALUE!</v>
      </c>
      <c r="H512" s="173">
        <v>-1</v>
      </c>
      <c r="I512" s="173" t="e">
        <f>_xll.GetCtData("COAMOUNT","CONSAMOUNT",$A$1:$A$8,$A512:$B512,,"#Erreur de syntaxe : Expression incomplète")/10^3*$H512</f>
        <v>#VALUE!</v>
      </c>
      <c r="J512" s="173"/>
      <c r="K512" s="173"/>
      <c r="L512" s="173" t="e">
        <f>_xll.GetCtData("COAMOUNT","CONSAMOUNT",$A$1:$A$8,$A512:$B512,,"#Erreur de syntaxe : Expression incomplète")/10^3*$H512</f>
        <v>#VALUE!</v>
      </c>
      <c r="N512" s="173" t="e">
        <f>_xll.GetCtData("COAMOUNT","CONSAMOUNT",$A$1:$A$8,$A512:$B512,,"#Erreur de syntaxe : Expression incomplète")/10^3*$H512</f>
        <v>#VALUE!</v>
      </c>
      <c r="P512" s="173" t="e">
        <f t="shared" si="31"/>
        <v>#VALUE!</v>
      </c>
    </row>
    <row r="513" spans="1:16" s="115" customFormat="1" ht="12" hidden="1" outlineLevel="1" thickBot="1">
      <c r="A513" s="115" t="str">
        <f t="shared" si="29"/>
        <v>P39400000V</v>
      </c>
      <c r="B513" s="115" t="str">
        <f t="shared" si="30"/>
        <v>F94</v>
      </c>
      <c r="C513" s="135" t="s">
        <v>1753</v>
      </c>
      <c r="D513" s="135"/>
      <c r="E513" s="135" t="s">
        <v>1754</v>
      </c>
      <c r="F513" s="131" t="s">
        <v>1680</v>
      </c>
      <c r="G513" s="131" t="e">
        <v>#VALUE!</v>
      </c>
      <c r="H513" s="173">
        <v>-1</v>
      </c>
      <c r="I513" s="173" t="e">
        <f>_xll.GetCtData("COAMOUNT","CONSAMOUNT",$A$1:$A$8,$A513:$B513,,"#Erreur de syntaxe : Expression incomplète")/10^3*$H513</f>
        <v>#VALUE!</v>
      </c>
      <c r="J513" s="173"/>
      <c r="K513" s="173"/>
      <c r="L513" s="173" t="e">
        <f>_xll.GetCtData("COAMOUNT","CONSAMOUNT",$A$1:$A$8,$A513:$B513,,"#Erreur de syntaxe : Expression incomplète")/10^3*$H513</f>
        <v>#VALUE!</v>
      </c>
      <c r="N513" s="173" t="e">
        <f>_xll.GetCtData("COAMOUNT","CONSAMOUNT",$A$1:$A$8,$A513:$B513,,"#Erreur de syntaxe : Expression incomplète")/10^3*$H513</f>
        <v>#VALUE!</v>
      </c>
      <c r="P513" s="173" t="e">
        <f t="shared" si="31"/>
        <v>#VALUE!</v>
      </c>
    </row>
    <row r="514" spans="1:16" s="115" customFormat="1" ht="12" hidden="1" outlineLevel="1" thickBot="1">
      <c r="A514" s="115" t="str">
        <f t="shared" si="29"/>
        <v>P39410000V</v>
      </c>
      <c r="B514" s="115" t="str">
        <f t="shared" si="30"/>
        <v>F94</v>
      </c>
      <c r="C514" s="135" t="s">
        <v>1137</v>
      </c>
      <c r="D514" s="135"/>
      <c r="E514" s="135" t="s">
        <v>1138</v>
      </c>
      <c r="F514" s="131" t="s">
        <v>1680</v>
      </c>
      <c r="G514" s="131" t="e">
        <v>#VALUE!</v>
      </c>
      <c r="H514" s="173">
        <v>-1</v>
      </c>
      <c r="I514" s="173" t="e">
        <f>_xll.GetCtData("COAMOUNT","CONSAMOUNT",$A$1:$A$8,$A514:$B514,,"#Erreur de syntaxe : Expression incomplète")/10^3*$H514</f>
        <v>#VALUE!</v>
      </c>
      <c r="J514" s="173"/>
      <c r="K514" s="173"/>
      <c r="L514" s="173" t="e">
        <f>_xll.GetCtData("COAMOUNT","CONSAMOUNT",$A$1:$A$8,$A514:$B514,,"#Erreur de syntaxe : Expression incomplète")/10^3*$H514</f>
        <v>#VALUE!</v>
      </c>
      <c r="N514" s="173" t="e">
        <f>_xll.GetCtData("COAMOUNT","CONSAMOUNT",$A$1:$A$8,$A514:$B514,,"#Erreur de syntaxe : Expression incomplète")/10^3*$H514</f>
        <v>#VALUE!</v>
      </c>
      <c r="P514" s="173" t="e">
        <f t="shared" si="31"/>
        <v>#VALUE!</v>
      </c>
    </row>
    <row r="515" spans="1:16" s="115" customFormat="1" ht="12" hidden="1" outlineLevel="1" thickBot="1">
      <c r="A515" s="115" t="str">
        <f t="shared" si="29"/>
        <v>A39701000B</v>
      </c>
      <c r="B515" s="115" t="str">
        <f t="shared" si="30"/>
        <v>F50</v>
      </c>
      <c r="C515" s="135" t="s">
        <v>1696</v>
      </c>
      <c r="D515" s="135"/>
      <c r="E515" s="135" t="s">
        <v>1697</v>
      </c>
      <c r="F515" s="131" t="s">
        <v>1678</v>
      </c>
      <c r="G515" s="131" t="e">
        <v>#VALUE!</v>
      </c>
      <c r="H515" s="173">
        <v>1</v>
      </c>
      <c r="I515" s="173"/>
      <c r="J515" s="173" t="e">
        <f>_xll.GetCtData("COAMOUNT","CONSAMOUNT",$A$1:$A$8,$A515:$B515,,"#Erreur de syntaxe : Expression incomplète")/10^3*$H515</f>
        <v>#VALUE!</v>
      </c>
      <c r="K515" s="173"/>
      <c r="L515" s="173" t="e">
        <f>_xll.GetCtData("COAMOUNT","CONSAMOUNT",$A$1:$A$8,$A515:$B515,,"#Erreur de syntaxe : Expression incomplète")/10^3*$H515</f>
        <v>#VALUE!</v>
      </c>
      <c r="N515" s="173" t="e">
        <f>_xll.GetCtData("COAMOUNT","CONSAMOUNT",$A$1:$A$8,$A515:$B515,,"#Erreur de syntaxe : Expression incomplète")/10^3*$H515</f>
        <v>#VALUE!</v>
      </c>
      <c r="P515" s="173" t="e">
        <f t="shared" si="31"/>
        <v>#VALUE!</v>
      </c>
    </row>
    <row r="516" spans="1:16" s="115" customFormat="1" ht="12" hidden="1" outlineLevel="1" thickBot="1">
      <c r="A516" s="115" t="str">
        <f t="shared" si="29"/>
        <v>A39701100B</v>
      </c>
      <c r="B516" s="115" t="str">
        <f t="shared" si="30"/>
        <v>F50</v>
      </c>
      <c r="C516" s="135" t="s">
        <v>1720</v>
      </c>
      <c r="D516" s="135"/>
      <c r="E516" s="135" t="s">
        <v>1721</v>
      </c>
      <c r="F516" s="131" t="s">
        <v>1678</v>
      </c>
      <c r="G516" s="131" t="e">
        <v>#VALUE!</v>
      </c>
      <c r="H516" s="173">
        <v>1</v>
      </c>
      <c r="I516" s="173"/>
      <c r="J516" s="173" t="e">
        <f>_xll.GetCtData("COAMOUNT","CONSAMOUNT",$A$1:$A$8,$A516:$B516,,"#Erreur de syntaxe : Expression incomplète")/10^3*$H516</f>
        <v>#VALUE!</v>
      </c>
      <c r="K516" s="173"/>
      <c r="L516" s="173" t="e">
        <f>_xll.GetCtData("COAMOUNT","CONSAMOUNT",$A$1:$A$8,$A516:$B516,,"#Erreur de syntaxe : Expression incomplète")/10^3*$H516</f>
        <v>#VALUE!</v>
      </c>
      <c r="N516" s="173" t="e">
        <f>_xll.GetCtData("COAMOUNT","CONSAMOUNT",$A$1:$A$8,$A516:$B516,,"#Erreur de syntaxe : Expression incomplète")/10^3*$H516</f>
        <v>#VALUE!</v>
      </c>
      <c r="P516" s="173" t="e">
        <f t="shared" si="31"/>
        <v>#VALUE!</v>
      </c>
    </row>
    <row r="517" spans="1:16" s="115" customFormat="1" ht="12" hidden="1" outlineLevel="1" thickBot="1">
      <c r="A517" s="115" t="str">
        <f t="shared" si="29"/>
        <v>A39701000V</v>
      </c>
      <c r="B517" s="115" t="str">
        <f t="shared" si="30"/>
        <v>F50</v>
      </c>
      <c r="C517" s="135" t="s">
        <v>1699</v>
      </c>
      <c r="D517" s="135"/>
      <c r="E517" s="135" t="s">
        <v>1700</v>
      </c>
      <c r="F517" s="131" t="s">
        <v>1678</v>
      </c>
      <c r="G517" s="131" t="e">
        <v>#VALUE!</v>
      </c>
      <c r="H517" s="173">
        <v>1</v>
      </c>
      <c r="I517" s="173"/>
      <c r="J517" s="173" t="e">
        <f>_xll.GetCtData("COAMOUNT","CONSAMOUNT",$A$1:$A$8,$A517:$B517,,"#Erreur de syntaxe : Expression incomplète")/10^3*$H517</f>
        <v>#VALUE!</v>
      </c>
      <c r="K517" s="173"/>
      <c r="L517" s="173" t="e">
        <f>_xll.GetCtData("COAMOUNT","CONSAMOUNT",$A$1:$A$8,$A517:$B517,,"#Erreur de syntaxe : Expression incomplète")/10^3*$H517</f>
        <v>#VALUE!</v>
      </c>
      <c r="N517" s="173" t="e">
        <f>_xll.GetCtData("COAMOUNT","CONSAMOUNT",$A$1:$A$8,$A517:$B517,,"#Erreur de syntaxe : Expression incomplète")/10^3*$H517</f>
        <v>#VALUE!</v>
      </c>
      <c r="P517" s="173" t="e">
        <f t="shared" si="31"/>
        <v>#VALUE!</v>
      </c>
    </row>
    <row r="518" spans="1:16" s="115" customFormat="1" ht="12" hidden="1" outlineLevel="1" thickBot="1">
      <c r="A518" s="115" t="str">
        <f t="shared" si="29"/>
        <v>A39701100V</v>
      </c>
      <c r="B518" s="115" t="str">
        <f t="shared" si="30"/>
        <v>F50</v>
      </c>
      <c r="C518" s="135" t="s">
        <v>1723</v>
      </c>
      <c r="D518" s="135"/>
      <c r="E518" s="135" t="s">
        <v>1724</v>
      </c>
      <c r="F518" s="131" t="s">
        <v>1678</v>
      </c>
      <c r="G518" s="131" t="e">
        <v>#VALUE!</v>
      </c>
      <c r="H518" s="173">
        <v>1</v>
      </c>
      <c r="I518" s="173"/>
      <c r="J518" s="173" t="e">
        <f>_xll.GetCtData("COAMOUNT","CONSAMOUNT",$A$1:$A$8,$A518:$B518,,"#Erreur de syntaxe : Expression incomplète")/10^3*$H518</f>
        <v>#VALUE!</v>
      </c>
      <c r="K518" s="173"/>
      <c r="L518" s="173" t="e">
        <f>_xll.GetCtData("COAMOUNT","CONSAMOUNT",$A$1:$A$8,$A518:$B518,,"#Erreur de syntaxe : Expression incomplète")/10^3*$H518</f>
        <v>#VALUE!</v>
      </c>
      <c r="N518" s="173" t="e">
        <f>_xll.GetCtData("COAMOUNT","CONSAMOUNT",$A$1:$A$8,$A518:$B518,,"#Erreur de syntaxe : Expression incomplète")/10^3*$H518</f>
        <v>#VALUE!</v>
      </c>
      <c r="P518" s="173" t="e">
        <f t="shared" si="31"/>
        <v>#VALUE!</v>
      </c>
    </row>
    <row r="519" spans="1:16" s="115" customFormat="1" ht="12" hidden="1" outlineLevel="1" thickBot="1">
      <c r="A519" s="115" t="str">
        <f t="shared" si="29"/>
        <v>P39701000B</v>
      </c>
      <c r="B519" s="115" t="str">
        <f t="shared" si="30"/>
        <v>F50</v>
      </c>
      <c r="C519" s="135" t="s">
        <v>1732</v>
      </c>
      <c r="D519" s="135"/>
      <c r="E519" s="135" t="s">
        <v>1733</v>
      </c>
      <c r="F519" s="131" t="s">
        <v>1678</v>
      </c>
      <c r="G519" s="131" t="e">
        <v>#VALUE!</v>
      </c>
      <c r="H519" s="173">
        <v>-1</v>
      </c>
      <c r="I519" s="173"/>
      <c r="J519" s="173" t="e">
        <f>_xll.GetCtData("COAMOUNT","CONSAMOUNT",$A$1:$A$8,$A519:$B519,,"#Erreur de syntaxe : Expression incomplète")/10^3*$H519</f>
        <v>#VALUE!</v>
      </c>
      <c r="K519" s="173"/>
      <c r="L519" s="173" t="e">
        <f>_xll.GetCtData("COAMOUNT","CONSAMOUNT",$A$1:$A$8,$A519:$B519,,"#Erreur de syntaxe : Expression incomplète")/10^3*$H519</f>
        <v>#VALUE!</v>
      </c>
      <c r="N519" s="173" t="e">
        <f>_xll.GetCtData("COAMOUNT","CONSAMOUNT",$A$1:$A$8,$A519:$B519,,"#Erreur de syntaxe : Expression incomplète")/10^3*$H519</f>
        <v>#VALUE!</v>
      </c>
      <c r="P519" s="173" t="e">
        <f t="shared" si="31"/>
        <v>#VALUE!</v>
      </c>
    </row>
    <row r="520" spans="1:16" s="115" customFormat="1" ht="12" hidden="1" outlineLevel="1" thickBot="1">
      <c r="A520" s="115" t="str">
        <f t="shared" si="29"/>
        <v>P39701100B</v>
      </c>
      <c r="B520" s="115" t="str">
        <f t="shared" si="30"/>
        <v>F50</v>
      </c>
      <c r="C520" s="135" t="s">
        <v>1139</v>
      </c>
      <c r="D520" s="135"/>
      <c r="E520" s="135" t="s">
        <v>1140</v>
      </c>
      <c r="F520" s="131" t="s">
        <v>1678</v>
      </c>
      <c r="G520" s="131" t="e">
        <v>#VALUE!</v>
      </c>
      <c r="H520" s="173">
        <v>-1</v>
      </c>
      <c r="I520" s="173"/>
      <c r="J520" s="173" t="e">
        <f>_xll.GetCtData("COAMOUNT","CONSAMOUNT",$A$1:$A$8,$A520:$B520,,"#Erreur de syntaxe : Expression incomplète")/10^3*$H520</f>
        <v>#VALUE!</v>
      </c>
      <c r="K520" s="173"/>
      <c r="L520" s="173" t="e">
        <f>_xll.GetCtData("COAMOUNT","CONSAMOUNT",$A$1:$A$8,$A520:$B520,,"#Erreur de syntaxe : Expression incomplète")/10^3*$H520</f>
        <v>#VALUE!</v>
      </c>
      <c r="N520" s="173" t="e">
        <f>_xll.GetCtData("COAMOUNT","CONSAMOUNT",$A$1:$A$8,$A520:$B520,,"#Erreur de syntaxe : Expression incomplète")/10^3*$H520</f>
        <v>#VALUE!</v>
      </c>
      <c r="P520" s="173" t="e">
        <f t="shared" si="31"/>
        <v>#VALUE!</v>
      </c>
    </row>
    <row r="521" spans="1:16" s="115" customFormat="1" ht="12" hidden="1" outlineLevel="1" thickBot="1">
      <c r="A521" s="115" t="str">
        <f t="shared" si="29"/>
        <v>P39701000V</v>
      </c>
      <c r="B521" s="115" t="str">
        <f t="shared" si="30"/>
        <v>F50</v>
      </c>
      <c r="C521" s="135" t="s">
        <v>1735</v>
      </c>
      <c r="D521" s="135"/>
      <c r="E521" s="135" t="s">
        <v>1736</v>
      </c>
      <c r="F521" s="131" t="s">
        <v>1678</v>
      </c>
      <c r="G521" s="131" t="e">
        <v>#VALUE!</v>
      </c>
      <c r="H521" s="173">
        <v>-1</v>
      </c>
      <c r="I521" s="173"/>
      <c r="J521" s="173" t="e">
        <f>_xll.GetCtData("COAMOUNT","CONSAMOUNT",$A$1:$A$8,$A521:$B521,,"#Erreur de syntaxe : Expression incomplète")/10^3*$H521</f>
        <v>#VALUE!</v>
      </c>
      <c r="K521" s="173"/>
      <c r="L521" s="173" t="e">
        <f>_xll.GetCtData("COAMOUNT","CONSAMOUNT",$A$1:$A$8,$A521:$B521,,"#Erreur de syntaxe : Expression incomplète")/10^3*$H521</f>
        <v>#VALUE!</v>
      </c>
      <c r="N521" s="173" t="e">
        <f>_xll.GetCtData("COAMOUNT","CONSAMOUNT",$A$1:$A$8,$A521:$B521,,"#Erreur de syntaxe : Expression incomplète")/10^3*$H521</f>
        <v>#VALUE!</v>
      </c>
      <c r="P521" s="173" t="e">
        <f t="shared" si="31"/>
        <v>#VALUE!</v>
      </c>
    </row>
    <row r="522" spans="1:16" s="115" customFormat="1" ht="12" hidden="1" outlineLevel="1" thickBot="1">
      <c r="A522" s="115" t="str">
        <f t="shared" si="29"/>
        <v>P39701100V</v>
      </c>
      <c r="B522" s="115" t="str">
        <f t="shared" si="30"/>
        <v>F50</v>
      </c>
      <c r="C522" s="135" t="s">
        <v>1133</v>
      </c>
      <c r="D522" s="135"/>
      <c r="E522" s="135" t="s">
        <v>1134</v>
      </c>
      <c r="F522" s="131" t="s">
        <v>1678</v>
      </c>
      <c r="G522" s="131" t="e">
        <v>#VALUE!</v>
      </c>
      <c r="H522" s="173">
        <v>-1</v>
      </c>
      <c r="I522" s="173"/>
      <c r="J522" s="173" t="e">
        <f>_xll.GetCtData("COAMOUNT","CONSAMOUNT",$A$1:$A$8,$A522:$B522,,"#Erreur de syntaxe : Expression incomplète")/10^3*$H522</f>
        <v>#VALUE!</v>
      </c>
      <c r="K522" s="173"/>
      <c r="L522" s="173" t="e">
        <f>_xll.GetCtData("COAMOUNT","CONSAMOUNT",$A$1:$A$8,$A522:$B522,,"#Erreur de syntaxe : Expression incomplète")/10^3*$H522</f>
        <v>#VALUE!</v>
      </c>
      <c r="N522" s="173" t="e">
        <f>_xll.GetCtData("COAMOUNT","CONSAMOUNT",$A$1:$A$8,$A522:$B522,,"#Erreur de syntaxe : Expression incomplète")/10^3*$H522</f>
        <v>#VALUE!</v>
      </c>
      <c r="P522" s="173" t="e">
        <f t="shared" si="31"/>
        <v>#VALUE!</v>
      </c>
    </row>
    <row r="523" spans="1:16" s="115" customFormat="1" ht="12" hidden="1" outlineLevel="1" thickBot="1">
      <c r="A523" s="115" t="str">
        <f t="shared" si="29"/>
        <v>A39701000B</v>
      </c>
      <c r="B523" s="115" t="str">
        <f t="shared" si="30"/>
        <v>F60</v>
      </c>
      <c r="C523" s="135" t="s">
        <v>1696</v>
      </c>
      <c r="D523" s="135"/>
      <c r="E523" s="135" t="s">
        <v>1697</v>
      </c>
      <c r="F523" s="131" t="s">
        <v>142</v>
      </c>
      <c r="G523" s="131" t="e">
        <v>#VALUE!</v>
      </c>
      <c r="H523" s="173">
        <v>1</v>
      </c>
      <c r="I523" s="173"/>
      <c r="J523" s="173" t="e">
        <f>_xll.GetCtData("COAMOUNT","CONSAMOUNT",$A$1:$A$8,$A523:$B523,,"#Erreur de syntaxe : Expression incomplète")/10^3*$H523</f>
        <v>#VALUE!</v>
      </c>
      <c r="K523" s="173"/>
      <c r="L523" s="173" t="e">
        <f>_xll.GetCtData("COAMOUNT","CONSAMOUNT",$A$1:$A$8,$A523:$B523,,"#Erreur de syntaxe : Expression incomplète")/10^3*$H523</f>
        <v>#VALUE!</v>
      </c>
      <c r="N523" s="173" t="e">
        <f>_xll.GetCtData("COAMOUNT","CONSAMOUNT",$A$1:$A$8,$A523:$B523,,"#Erreur de syntaxe : Expression incomplète")/10^3*$H523</f>
        <v>#VALUE!</v>
      </c>
      <c r="P523" s="173" t="e">
        <f t="shared" si="31"/>
        <v>#VALUE!</v>
      </c>
    </row>
    <row r="524" spans="1:16" s="115" customFormat="1" ht="12" hidden="1" outlineLevel="1" thickBot="1">
      <c r="A524" s="115" t="str">
        <f t="shared" si="29"/>
        <v>A39701100B</v>
      </c>
      <c r="B524" s="115" t="str">
        <f t="shared" si="30"/>
        <v>F60</v>
      </c>
      <c r="C524" s="135" t="s">
        <v>1720</v>
      </c>
      <c r="D524" s="135"/>
      <c r="E524" s="135" t="s">
        <v>1721</v>
      </c>
      <c r="F524" s="131" t="s">
        <v>142</v>
      </c>
      <c r="G524" s="131" t="e">
        <v>#VALUE!</v>
      </c>
      <c r="H524" s="173">
        <v>1</v>
      </c>
      <c r="I524" s="173"/>
      <c r="J524" s="173" t="e">
        <f>_xll.GetCtData("COAMOUNT","CONSAMOUNT",$A$1:$A$8,$A524:$B524,,"#Erreur de syntaxe : Expression incomplète")/10^3*$H524</f>
        <v>#VALUE!</v>
      </c>
      <c r="K524" s="173"/>
      <c r="L524" s="173" t="e">
        <f>_xll.GetCtData("COAMOUNT","CONSAMOUNT",$A$1:$A$8,$A524:$B524,,"#Erreur de syntaxe : Expression incomplète")/10^3*$H524</f>
        <v>#VALUE!</v>
      </c>
      <c r="N524" s="173" t="e">
        <f>_xll.GetCtData("COAMOUNT","CONSAMOUNT",$A$1:$A$8,$A524:$B524,,"#Erreur de syntaxe : Expression incomplète")/10^3*$H524</f>
        <v>#VALUE!</v>
      </c>
      <c r="P524" s="173" t="e">
        <f t="shared" si="31"/>
        <v>#VALUE!</v>
      </c>
    </row>
    <row r="525" spans="1:16" s="115" customFormat="1" ht="12" hidden="1" outlineLevel="1" thickBot="1">
      <c r="A525" s="115" t="str">
        <f t="shared" si="29"/>
        <v>A39701000V</v>
      </c>
      <c r="B525" s="115" t="str">
        <f t="shared" si="30"/>
        <v>F60</v>
      </c>
      <c r="C525" s="135" t="s">
        <v>1699</v>
      </c>
      <c r="D525" s="135"/>
      <c r="E525" s="135" t="s">
        <v>1700</v>
      </c>
      <c r="F525" s="131" t="s">
        <v>142</v>
      </c>
      <c r="G525" s="131" t="e">
        <v>#VALUE!</v>
      </c>
      <c r="H525" s="173">
        <v>1</v>
      </c>
      <c r="I525" s="173"/>
      <c r="J525" s="173" t="e">
        <f>_xll.GetCtData("COAMOUNT","CONSAMOUNT",$A$1:$A$8,$A525:$B525,,"#Erreur de syntaxe : Expression incomplète")/10^3*$H525</f>
        <v>#VALUE!</v>
      </c>
      <c r="K525" s="173"/>
      <c r="L525" s="173" t="e">
        <f>_xll.GetCtData("COAMOUNT","CONSAMOUNT",$A$1:$A$8,$A525:$B525,,"#Erreur de syntaxe : Expression incomplète")/10^3*$H525</f>
        <v>#VALUE!</v>
      </c>
      <c r="N525" s="173" t="e">
        <f>_xll.GetCtData("COAMOUNT","CONSAMOUNT",$A$1:$A$8,$A525:$B525,,"#Erreur de syntaxe : Expression incomplète")/10^3*$H525</f>
        <v>#VALUE!</v>
      </c>
      <c r="P525" s="173" t="e">
        <f t="shared" si="31"/>
        <v>#VALUE!</v>
      </c>
    </row>
    <row r="526" spans="1:16" s="115" customFormat="1" ht="12" hidden="1" outlineLevel="1" thickBot="1">
      <c r="A526" s="115" t="str">
        <f t="shared" si="29"/>
        <v>A39701100V</v>
      </c>
      <c r="B526" s="115" t="str">
        <f t="shared" si="30"/>
        <v>F60</v>
      </c>
      <c r="C526" s="135" t="s">
        <v>1723</v>
      </c>
      <c r="D526" s="135"/>
      <c r="E526" s="135" t="s">
        <v>1724</v>
      </c>
      <c r="F526" s="131" t="s">
        <v>142</v>
      </c>
      <c r="G526" s="131" t="e">
        <v>#VALUE!</v>
      </c>
      <c r="H526" s="173">
        <v>1</v>
      </c>
      <c r="I526" s="173"/>
      <c r="J526" s="173" t="e">
        <f>_xll.GetCtData("COAMOUNT","CONSAMOUNT",$A$1:$A$8,$A526:$B526,,"#Erreur de syntaxe : Expression incomplète")/10^3*$H526</f>
        <v>#VALUE!</v>
      </c>
      <c r="K526" s="173"/>
      <c r="L526" s="173" t="e">
        <f>_xll.GetCtData("COAMOUNT","CONSAMOUNT",$A$1:$A$8,$A526:$B526,,"#Erreur de syntaxe : Expression incomplète")/10^3*$H526</f>
        <v>#VALUE!</v>
      </c>
      <c r="N526" s="173" t="e">
        <f>_xll.GetCtData("COAMOUNT","CONSAMOUNT",$A$1:$A$8,$A526:$B526,,"#Erreur de syntaxe : Expression incomplète")/10^3*$H526</f>
        <v>#VALUE!</v>
      </c>
      <c r="P526" s="173" t="e">
        <f t="shared" si="31"/>
        <v>#VALUE!</v>
      </c>
    </row>
    <row r="527" spans="1:16" s="115" customFormat="1" ht="12" hidden="1" outlineLevel="1" thickBot="1">
      <c r="A527" s="115" t="str">
        <f t="shared" si="29"/>
        <v>P39701000B</v>
      </c>
      <c r="B527" s="115" t="str">
        <f t="shared" si="30"/>
        <v>F60</v>
      </c>
      <c r="C527" s="135" t="s">
        <v>1732</v>
      </c>
      <c r="D527" s="135"/>
      <c r="E527" s="135" t="s">
        <v>1733</v>
      </c>
      <c r="F527" s="131" t="s">
        <v>142</v>
      </c>
      <c r="G527" s="131" t="e">
        <v>#VALUE!</v>
      </c>
      <c r="H527" s="173">
        <v>-1</v>
      </c>
      <c r="I527" s="173"/>
      <c r="J527" s="173" t="e">
        <f>_xll.GetCtData("COAMOUNT","CONSAMOUNT",$A$1:$A$8,$A527:$B527,,"#Erreur de syntaxe : Expression incomplète")/10^3*$H527</f>
        <v>#VALUE!</v>
      </c>
      <c r="K527" s="173"/>
      <c r="L527" s="173" t="e">
        <f>_xll.GetCtData("COAMOUNT","CONSAMOUNT",$A$1:$A$8,$A527:$B527,,"#Erreur de syntaxe : Expression incomplète")/10^3*$H527</f>
        <v>#VALUE!</v>
      </c>
      <c r="N527" s="173" t="e">
        <f>_xll.GetCtData("COAMOUNT","CONSAMOUNT",$A$1:$A$8,$A527:$B527,,"#Erreur de syntaxe : Expression incomplète")/10^3*$H527</f>
        <v>#VALUE!</v>
      </c>
      <c r="P527" s="173" t="e">
        <f t="shared" si="31"/>
        <v>#VALUE!</v>
      </c>
    </row>
    <row r="528" spans="1:16" s="115" customFormat="1" ht="12" hidden="1" outlineLevel="1" thickBot="1">
      <c r="A528" s="115" t="str">
        <f t="shared" si="29"/>
        <v>P39701100B</v>
      </c>
      <c r="B528" s="115" t="str">
        <f t="shared" si="30"/>
        <v>F60</v>
      </c>
      <c r="C528" s="135" t="s">
        <v>1139</v>
      </c>
      <c r="D528" s="135"/>
      <c r="E528" s="135" t="s">
        <v>1140</v>
      </c>
      <c r="F528" s="131" t="s">
        <v>142</v>
      </c>
      <c r="G528" s="131" t="e">
        <v>#VALUE!</v>
      </c>
      <c r="H528" s="173">
        <v>-1</v>
      </c>
      <c r="I528" s="173"/>
      <c r="J528" s="173" t="e">
        <f>_xll.GetCtData("COAMOUNT","CONSAMOUNT",$A$1:$A$8,$A528:$B528,,"#Erreur de syntaxe : Expression incomplète")/10^3*$H528</f>
        <v>#VALUE!</v>
      </c>
      <c r="K528" s="173"/>
      <c r="L528" s="173" t="e">
        <f>_xll.GetCtData("COAMOUNT","CONSAMOUNT",$A$1:$A$8,$A528:$B528,,"#Erreur de syntaxe : Expression incomplète")/10^3*$H528</f>
        <v>#VALUE!</v>
      </c>
      <c r="N528" s="173" t="e">
        <f>_xll.GetCtData("COAMOUNT","CONSAMOUNT",$A$1:$A$8,$A528:$B528,,"#Erreur de syntaxe : Expression incomplète")/10^3*$H528</f>
        <v>#VALUE!</v>
      </c>
      <c r="P528" s="173" t="e">
        <f t="shared" si="31"/>
        <v>#VALUE!</v>
      </c>
    </row>
    <row r="529" spans="1:16" s="115" customFormat="1" ht="12" hidden="1" outlineLevel="1" thickBot="1">
      <c r="A529" s="115" t="str">
        <f t="shared" si="29"/>
        <v>P39701000V</v>
      </c>
      <c r="B529" s="115" t="str">
        <f t="shared" si="30"/>
        <v>F60</v>
      </c>
      <c r="C529" s="135" t="s">
        <v>1735</v>
      </c>
      <c r="D529" s="135"/>
      <c r="E529" s="135" t="s">
        <v>1736</v>
      </c>
      <c r="F529" s="131" t="s">
        <v>142</v>
      </c>
      <c r="G529" s="131" t="e">
        <v>#VALUE!</v>
      </c>
      <c r="H529" s="173">
        <v>-1</v>
      </c>
      <c r="I529" s="173"/>
      <c r="J529" s="173" t="e">
        <f>_xll.GetCtData("COAMOUNT","CONSAMOUNT",$A$1:$A$8,$A529:$B529,,"#Erreur de syntaxe : Expression incomplète")/10^3*$H529</f>
        <v>#VALUE!</v>
      </c>
      <c r="K529" s="173"/>
      <c r="L529" s="173" t="e">
        <f>_xll.GetCtData("COAMOUNT","CONSAMOUNT",$A$1:$A$8,$A529:$B529,,"#Erreur de syntaxe : Expression incomplète")/10^3*$H529</f>
        <v>#VALUE!</v>
      </c>
      <c r="N529" s="173" t="e">
        <f>_xll.GetCtData("COAMOUNT","CONSAMOUNT",$A$1:$A$8,$A529:$B529,,"#Erreur de syntaxe : Expression incomplète")/10^3*$H529</f>
        <v>#VALUE!</v>
      </c>
      <c r="P529" s="173" t="e">
        <f t="shared" si="31"/>
        <v>#VALUE!</v>
      </c>
    </row>
    <row r="530" spans="1:16" s="115" customFormat="1" ht="12" hidden="1" outlineLevel="1" thickBot="1">
      <c r="A530" s="115" t="str">
        <f t="shared" si="29"/>
        <v>P39701100V</v>
      </c>
      <c r="B530" s="115" t="str">
        <f t="shared" si="30"/>
        <v>F60</v>
      </c>
      <c r="C530" s="135" t="s">
        <v>1133</v>
      </c>
      <c r="D530" s="135"/>
      <c r="E530" s="135" t="s">
        <v>1134</v>
      </c>
      <c r="F530" s="131" t="s">
        <v>142</v>
      </c>
      <c r="G530" s="131" t="e">
        <v>#VALUE!</v>
      </c>
      <c r="H530" s="173">
        <v>-1</v>
      </c>
      <c r="I530" s="173"/>
      <c r="J530" s="173" t="e">
        <f>_xll.GetCtData("COAMOUNT","CONSAMOUNT",$A$1:$A$8,$A530:$B530,,"#Erreur de syntaxe : Expression incomplète")/10^3*$H530</f>
        <v>#VALUE!</v>
      </c>
      <c r="K530" s="173"/>
      <c r="L530" s="173" t="e">
        <f>_xll.GetCtData("COAMOUNT","CONSAMOUNT",$A$1:$A$8,$A530:$B530,,"#Erreur de syntaxe : Expression incomplète")/10^3*$H530</f>
        <v>#VALUE!</v>
      </c>
      <c r="N530" s="173" t="e">
        <f>_xll.GetCtData("COAMOUNT","CONSAMOUNT",$A$1:$A$8,$A530:$B530,,"#Erreur de syntaxe : Expression incomplète")/10^3*$H530</f>
        <v>#VALUE!</v>
      </c>
      <c r="P530" s="173" t="e">
        <f t="shared" si="31"/>
        <v>#VALUE!</v>
      </c>
    </row>
    <row r="531" spans="1:16" s="115" customFormat="1" ht="12" hidden="1" outlineLevel="1" thickBot="1">
      <c r="A531" s="115" t="str">
        <f t="shared" ref="A531:A550" si="32">$C$1&amp;C531</f>
        <v>A39701000B</v>
      </c>
      <c r="B531" s="115" t="str">
        <f t="shared" ref="B531:B550" si="33">$C$2&amp;F531</f>
        <v>F94</v>
      </c>
      <c r="C531" s="135" t="s">
        <v>1696</v>
      </c>
      <c r="D531" s="135"/>
      <c r="E531" s="135" t="s">
        <v>1697</v>
      </c>
      <c r="F531" s="131" t="s">
        <v>1680</v>
      </c>
      <c r="G531" s="131" t="e">
        <v>#VALUE!</v>
      </c>
      <c r="H531" s="173">
        <v>1</v>
      </c>
      <c r="I531" s="173"/>
      <c r="J531" s="173" t="e">
        <f>_xll.GetCtData("COAMOUNT","CONSAMOUNT",$A$1:$A$8,$A531:$B531,,"#Erreur de syntaxe : Expression incomplète")/10^3*$H531</f>
        <v>#VALUE!</v>
      </c>
      <c r="K531" s="173"/>
      <c r="L531" s="173" t="e">
        <f>_xll.GetCtData("COAMOUNT","CONSAMOUNT",$A$1:$A$8,$A531:$B531,,"#Erreur de syntaxe : Expression incomplète")/10^3*$H531</f>
        <v>#VALUE!</v>
      </c>
      <c r="N531" s="173" t="e">
        <f>_xll.GetCtData("COAMOUNT","CONSAMOUNT",$A$1:$A$8,$A531:$B531,,"#Erreur de syntaxe : Expression incomplète")/10^3*$H531</f>
        <v>#VALUE!</v>
      </c>
      <c r="P531" s="173" t="e">
        <f t="shared" si="31"/>
        <v>#VALUE!</v>
      </c>
    </row>
    <row r="532" spans="1:16" s="115" customFormat="1" ht="12" hidden="1" outlineLevel="1" thickBot="1">
      <c r="A532" s="115" t="str">
        <f t="shared" si="32"/>
        <v>A39701100B</v>
      </c>
      <c r="B532" s="115" t="str">
        <f t="shared" si="33"/>
        <v>F94</v>
      </c>
      <c r="C532" s="135" t="s">
        <v>1720</v>
      </c>
      <c r="D532" s="135"/>
      <c r="E532" s="135" t="s">
        <v>1721</v>
      </c>
      <c r="F532" s="131" t="s">
        <v>1680</v>
      </c>
      <c r="G532" s="131" t="e">
        <v>#VALUE!</v>
      </c>
      <c r="H532" s="173">
        <v>1</v>
      </c>
      <c r="I532" s="173"/>
      <c r="J532" s="173" t="e">
        <f>_xll.GetCtData("COAMOUNT","CONSAMOUNT",$A$1:$A$8,$A532:$B532,,"#Erreur de syntaxe : Expression incomplète")/10^3*$H532</f>
        <v>#VALUE!</v>
      </c>
      <c r="K532" s="173"/>
      <c r="L532" s="173" t="e">
        <f>_xll.GetCtData("COAMOUNT","CONSAMOUNT",$A$1:$A$8,$A532:$B532,,"#Erreur de syntaxe : Expression incomplète")/10^3*$H532</f>
        <v>#VALUE!</v>
      </c>
      <c r="N532" s="173" t="e">
        <f>_xll.GetCtData("COAMOUNT","CONSAMOUNT",$A$1:$A$8,$A532:$B532,,"#Erreur de syntaxe : Expression incomplète")/10^3*$H532</f>
        <v>#VALUE!</v>
      </c>
      <c r="P532" s="173" t="e">
        <f t="shared" si="31"/>
        <v>#VALUE!</v>
      </c>
    </row>
    <row r="533" spans="1:16" s="115" customFormat="1" ht="12" hidden="1" outlineLevel="1" thickBot="1">
      <c r="A533" s="115" t="str">
        <f t="shared" si="32"/>
        <v>A39701000V</v>
      </c>
      <c r="B533" s="115" t="str">
        <f t="shared" si="33"/>
        <v>F94</v>
      </c>
      <c r="C533" s="135" t="s">
        <v>1699</v>
      </c>
      <c r="D533" s="135"/>
      <c r="E533" s="135" t="s">
        <v>1700</v>
      </c>
      <c r="F533" s="131" t="s">
        <v>1680</v>
      </c>
      <c r="G533" s="131" t="e">
        <v>#VALUE!</v>
      </c>
      <c r="H533" s="173">
        <v>1</v>
      </c>
      <c r="I533" s="173"/>
      <c r="J533" s="173" t="e">
        <f>_xll.GetCtData("COAMOUNT","CONSAMOUNT",$A$1:$A$8,$A533:$B533,,"#Erreur de syntaxe : Expression incomplète")/10^3*$H533</f>
        <v>#VALUE!</v>
      </c>
      <c r="K533" s="173"/>
      <c r="L533" s="173" t="e">
        <f>_xll.GetCtData("COAMOUNT","CONSAMOUNT",$A$1:$A$8,$A533:$B533,,"#Erreur de syntaxe : Expression incomplète")/10^3*$H533</f>
        <v>#VALUE!</v>
      </c>
      <c r="N533" s="173" t="e">
        <f>_xll.GetCtData("COAMOUNT","CONSAMOUNT",$A$1:$A$8,$A533:$B533,,"#Erreur de syntaxe : Expression incomplète")/10^3*$H533</f>
        <v>#VALUE!</v>
      </c>
      <c r="P533" s="173" t="e">
        <f t="shared" si="31"/>
        <v>#VALUE!</v>
      </c>
    </row>
    <row r="534" spans="1:16" s="115" customFormat="1" ht="12" hidden="1" outlineLevel="1" thickBot="1">
      <c r="A534" s="115" t="str">
        <f t="shared" si="32"/>
        <v>A39701100V</v>
      </c>
      <c r="B534" s="115" t="str">
        <f t="shared" si="33"/>
        <v>F94</v>
      </c>
      <c r="C534" s="135" t="s">
        <v>1723</v>
      </c>
      <c r="D534" s="135"/>
      <c r="E534" s="135" t="s">
        <v>1724</v>
      </c>
      <c r="F534" s="131" t="s">
        <v>1680</v>
      </c>
      <c r="G534" s="131" t="e">
        <v>#VALUE!</v>
      </c>
      <c r="H534" s="173">
        <v>1</v>
      </c>
      <c r="I534" s="173"/>
      <c r="J534" s="173" t="e">
        <f>_xll.GetCtData("COAMOUNT","CONSAMOUNT",$A$1:$A$8,$A534:$B534,,"#Erreur de syntaxe : Expression incomplète")/10^3*$H534</f>
        <v>#VALUE!</v>
      </c>
      <c r="K534" s="173"/>
      <c r="L534" s="173" t="e">
        <f>_xll.GetCtData("COAMOUNT","CONSAMOUNT",$A$1:$A$8,$A534:$B534,,"#Erreur de syntaxe : Expression incomplète")/10^3*$H534</f>
        <v>#VALUE!</v>
      </c>
      <c r="N534" s="173" t="e">
        <f>_xll.GetCtData("COAMOUNT","CONSAMOUNT",$A$1:$A$8,$A534:$B534,,"#Erreur de syntaxe : Expression incomplète")/10^3*$H534</f>
        <v>#VALUE!</v>
      </c>
      <c r="P534" s="173" t="e">
        <f t="shared" si="31"/>
        <v>#VALUE!</v>
      </c>
    </row>
    <row r="535" spans="1:16" s="115" customFormat="1" ht="12" hidden="1" outlineLevel="1" thickBot="1">
      <c r="A535" s="115" t="str">
        <f t="shared" si="32"/>
        <v>P39701000B</v>
      </c>
      <c r="B535" s="115" t="str">
        <f t="shared" si="33"/>
        <v>F94</v>
      </c>
      <c r="C535" s="135" t="s">
        <v>1732</v>
      </c>
      <c r="D535" s="135"/>
      <c r="E535" s="135" t="s">
        <v>1733</v>
      </c>
      <c r="F535" s="131" t="s">
        <v>1680</v>
      </c>
      <c r="G535" s="131" t="e">
        <v>#VALUE!</v>
      </c>
      <c r="H535" s="173">
        <v>-1</v>
      </c>
      <c r="I535" s="173"/>
      <c r="J535" s="173" t="e">
        <f>_xll.GetCtData("COAMOUNT","CONSAMOUNT",$A$1:$A$8,$A535:$B535,,"#Erreur de syntaxe : Expression incomplète")/10^3*$H535</f>
        <v>#VALUE!</v>
      </c>
      <c r="K535" s="173"/>
      <c r="L535" s="173" t="e">
        <f>_xll.GetCtData("COAMOUNT","CONSAMOUNT",$A$1:$A$8,$A535:$B535,,"#Erreur de syntaxe : Expression incomplète")/10^3*$H535</f>
        <v>#VALUE!</v>
      </c>
      <c r="N535" s="173" t="e">
        <f>_xll.GetCtData("COAMOUNT","CONSAMOUNT",$A$1:$A$8,$A535:$B535,,"#Erreur de syntaxe : Expression incomplète")/10^3*$H535</f>
        <v>#VALUE!</v>
      </c>
      <c r="P535" s="173" t="e">
        <f t="shared" si="31"/>
        <v>#VALUE!</v>
      </c>
    </row>
    <row r="536" spans="1:16" s="115" customFormat="1" ht="12" hidden="1" outlineLevel="1" thickBot="1">
      <c r="A536" s="115" t="str">
        <f t="shared" si="32"/>
        <v>P39701100B</v>
      </c>
      <c r="B536" s="115" t="str">
        <f t="shared" si="33"/>
        <v>F94</v>
      </c>
      <c r="C536" s="135" t="s">
        <v>1139</v>
      </c>
      <c r="D536" s="135"/>
      <c r="E536" s="135" t="s">
        <v>1140</v>
      </c>
      <c r="F536" s="131" t="s">
        <v>1680</v>
      </c>
      <c r="G536" s="131" t="e">
        <v>#VALUE!</v>
      </c>
      <c r="H536" s="173">
        <v>-1</v>
      </c>
      <c r="I536" s="173"/>
      <c r="J536" s="173" t="e">
        <f>_xll.GetCtData("COAMOUNT","CONSAMOUNT",$A$1:$A$8,$A536:$B536,,"#Erreur de syntaxe : Expression incomplète")/10^3*$H536</f>
        <v>#VALUE!</v>
      </c>
      <c r="K536" s="173"/>
      <c r="L536" s="173" t="e">
        <f>_xll.GetCtData("COAMOUNT","CONSAMOUNT",$A$1:$A$8,$A536:$B536,,"#Erreur de syntaxe : Expression incomplète")/10^3*$H536</f>
        <v>#VALUE!</v>
      </c>
      <c r="N536" s="173" t="e">
        <f>_xll.GetCtData("COAMOUNT","CONSAMOUNT",$A$1:$A$8,$A536:$B536,,"#Erreur de syntaxe : Expression incomplète")/10^3*$H536</f>
        <v>#VALUE!</v>
      </c>
      <c r="P536" s="173" t="e">
        <f t="shared" si="31"/>
        <v>#VALUE!</v>
      </c>
    </row>
    <row r="537" spans="1:16" s="115" customFormat="1" ht="12" hidden="1" outlineLevel="1" thickBot="1">
      <c r="A537" s="115" t="str">
        <f t="shared" si="32"/>
        <v>P39701000V</v>
      </c>
      <c r="B537" s="115" t="str">
        <f t="shared" si="33"/>
        <v>F94</v>
      </c>
      <c r="C537" s="135" t="s">
        <v>1735</v>
      </c>
      <c r="D537" s="135"/>
      <c r="E537" s="135" t="s">
        <v>1736</v>
      </c>
      <c r="F537" s="131" t="s">
        <v>1680</v>
      </c>
      <c r="G537" s="131" t="e">
        <v>#VALUE!</v>
      </c>
      <c r="H537" s="173">
        <v>-1</v>
      </c>
      <c r="I537" s="173"/>
      <c r="J537" s="173" t="e">
        <f>_xll.GetCtData("COAMOUNT","CONSAMOUNT",$A$1:$A$8,$A537:$B537,,"#Erreur de syntaxe : Expression incomplète")/10^3*$H537</f>
        <v>#VALUE!</v>
      </c>
      <c r="K537" s="173"/>
      <c r="L537" s="173" t="e">
        <f>_xll.GetCtData("COAMOUNT","CONSAMOUNT",$A$1:$A$8,$A537:$B537,,"#Erreur de syntaxe : Expression incomplète")/10^3*$H537</f>
        <v>#VALUE!</v>
      </c>
      <c r="N537" s="173" t="e">
        <f>_xll.GetCtData("COAMOUNT","CONSAMOUNT",$A$1:$A$8,$A537:$B537,,"#Erreur de syntaxe : Expression incomplète")/10^3*$H537</f>
        <v>#VALUE!</v>
      </c>
      <c r="P537" s="173" t="e">
        <f t="shared" si="31"/>
        <v>#VALUE!</v>
      </c>
    </row>
    <row r="538" spans="1:16" s="115" customFormat="1" ht="12" hidden="1" outlineLevel="1" thickBot="1">
      <c r="A538" s="115" t="str">
        <f t="shared" si="32"/>
        <v>P39701100V</v>
      </c>
      <c r="B538" s="115" t="str">
        <f t="shared" si="33"/>
        <v>F94</v>
      </c>
      <c r="C538" s="135" t="s">
        <v>1133</v>
      </c>
      <c r="D538" s="135"/>
      <c r="E538" s="135" t="s">
        <v>1134</v>
      </c>
      <c r="F538" s="131" t="s">
        <v>1680</v>
      </c>
      <c r="G538" s="131" t="e">
        <v>#VALUE!</v>
      </c>
      <c r="H538" s="173">
        <v>-1</v>
      </c>
      <c r="I538" s="173"/>
      <c r="J538" s="173" t="e">
        <f>_xll.GetCtData("COAMOUNT","CONSAMOUNT",$A$1:$A$8,$A538:$B538,,"#Erreur de syntaxe : Expression incomplète")/10^3*$H538</f>
        <v>#VALUE!</v>
      </c>
      <c r="K538" s="173"/>
      <c r="L538" s="173" t="e">
        <f>_xll.GetCtData("COAMOUNT","CONSAMOUNT",$A$1:$A$8,$A538:$B538,,"#Erreur de syntaxe : Expression incomplète")/10^3*$H538</f>
        <v>#VALUE!</v>
      </c>
      <c r="N538" s="173" t="e">
        <f>_xll.GetCtData("COAMOUNT","CONSAMOUNT",$A$1:$A$8,$A538:$B538,,"#Erreur de syntaxe : Expression incomplète")/10^3*$H538</f>
        <v>#VALUE!</v>
      </c>
      <c r="P538" s="173" t="e">
        <f t="shared" si="31"/>
        <v>#VALUE!</v>
      </c>
    </row>
    <row r="539" spans="1:16" s="115" customFormat="1" ht="12" hidden="1" outlineLevel="1" thickBot="1">
      <c r="A539" s="115" t="str">
        <f t="shared" si="32"/>
        <v>A39702000B</v>
      </c>
      <c r="B539" s="115" t="str">
        <f t="shared" si="33"/>
        <v>F50</v>
      </c>
      <c r="C539" s="135" t="s">
        <v>1702</v>
      </c>
      <c r="D539" s="135"/>
      <c r="E539" s="135" t="s">
        <v>1703</v>
      </c>
      <c r="F539" s="131" t="s">
        <v>1678</v>
      </c>
      <c r="G539" s="131" t="e">
        <v>#VALUE!</v>
      </c>
      <c r="H539" s="173">
        <v>1</v>
      </c>
      <c r="I539" s="173"/>
      <c r="J539" s="173"/>
      <c r="K539" s="173" t="e">
        <f>_xll.GetCtData("COAMOUNT","CONSAMOUNT",$A$1:$A$8,$A539:$B539,,"#Erreur de syntaxe : Expression incomplète")/10^3*$H539</f>
        <v>#VALUE!</v>
      </c>
      <c r="L539" s="173" t="e">
        <f>_xll.GetCtData("COAMOUNT","CONSAMOUNT",$A$1:$A$8,$A539:$B539,,"#Erreur de syntaxe : Expression incomplète")/10^3*$H539</f>
        <v>#VALUE!</v>
      </c>
      <c r="N539" s="173" t="e">
        <f>_xll.GetCtData("COAMOUNT","CONSAMOUNT",$A$1:$A$8,$A539:$B539,,"#Erreur de syntaxe : Expression incomplète")/10^3*$H539</f>
        <v>#VALUE!</v>
      </c>
      <c r="P539" s="173" t="e">
        <f t="shared" ref="P539:P584" si="34">L539+N539</f>
        <v>#VALUE!</v>
      </c>
    </row>
    <row r="540" spans="1:16" s="115" customFormat="1" ht="12" hidden="1" outlineLevel="1" thickBot="1">
      <c r="A540" s="115" t="str">
        <f t="shared" si="32"/>
        <v>A39702000V</v>
      </c>
      <c r="B540" s="115" t="str">
        <f t="shared" si="33"/>
        <v>F50</v>
      </c>
      <c r="C540" s="135" t="s">
        <v>1705</v>
      </c>
      <c r="D540" s="135"/>
      <c r="E540" s="135" t="s">
        <v>1706</v>
      </c>
      <c r="F540" s="131" t="s">
        <v>1678</v>
      </c>
      <c r="G540" s="131" t="e">
        <v>#VALUE!</v>
      </c>
      <c r="H540" s="173">
        <v>1</v>
      </c>
      <c r="I540" s="173"/>
      <c r="J540" s="173"/>
      <c r="K540" s="173" t="e">
        <f>_xll.GetCtData("COAMOUNT","CONSAMOUNT",$A$1:$A$8,$A540:$B540,,"#Erreur de syntaxe : Expression incomplète")/10^3*$H540</f>
        <v>#VALUE!</v>
      </c>
      <c r="L540" s="173" t="e">
        <f>_xll.GetCtData("COAMOUNT","CONSAMOUNT",$A$1:$A$8,$A540:$B540,,"#Erreur de syntaxe : Expression incomplète")/10^3*$H540</f>
        <v>#VALUE!</v>
      </c>
      <c r="N540" s="173" t="e">
        <f>_xll.GetCtData("COAMOUNT","CONSAMOUNT",$A$1:$A$8,$A540:$B540,,"#Erreur de syntaxe : Expression incomplète")/10^3*$H540</f>
        <v>#VALUE!</v>
      </c>
      <c r="P540" s="173" t="e">
        <f t="shared" si="34"/>
        <v>#VALUE!</v>
      </c>
    </row>
    <row r="541" spans="1:16" s="115" customFormat="1" ht="12" hidden="1" outlineLevel="1" thickBot="1">
      <c r="A541" s="115" t="str">
        <f t="shared" si="32"/>
        <v>P39702000B</v>
      </c>
      <c r="B541" s="115" t="str">
        <f t="shared" si="33"/>
        <v>F50</v>
      </c>
      <c r="C541" s="135" t="s">
        <v>1741</v>
      </c>
      <c r="D541" s="135"/>
      <c r="E541" s="135" t="s">
        <v>1742</v>
      </c>
      <c r="F541" s="131" t="s">
        <v>1678</v>
      </c>
      <c r="G541" s="131" t="e">
        <v>#VALUE!</v>
      </c>
      <c r="H541" s="173">
        <v>-1</v>
      </c>
      <c r="I541" s="173"/>
      <c r="J541" s="173"/>
      <c r="K541" s="173" t="e">
        <f>_xll.GetCtData("COAMOUNT","CONSAMOUNT",$A$1:$A$8,$A541:$B541,,"#Erreur de syntaxe : Expression incomplète")/10^3*$H541</f>
        <v>#VALUE!</v>
      </c>
      <c r="L541" s="173" t="e">
        <f>_xll.GetCtData("COAMOUNT","CONSAMOUNT",$A$1:$A$8,$A541:$B541,,"#Erreur de syntaxe : Expression incomplète")/10^3*$H541</f>
        <v>#VALUE!</v>
      </c>
      <c r="N541" s="173" t="e">
        <f>_xll.GetCtData("COAMOUNT","CONSAMOUNT",$A$1:$A$8,$A541:$B541,,"#Erreur de syntaxe : Expression incomplète")/10^3*$H541</f>
        <v>#VALUE!</v>
      </c>
      <c r="P541" s="173" t="e">
        <f t="shared" si="34"/>
        <v>#VALUE!</v>
      </c>
    </row>
    <row r="542" spans="1:16" s="115" customFormat="1" ht="12" hidden="1" outlineLevel="1" thickBot="1">
      <c r="A542" s="115" t="str">
        <f t="shared" si="32"/>
        <v>P39702000V</v>
      </c>
      <c r="B542" s="115" t="str">
        <f t="shared" si="33"/>
        <v>F50</v>
      </c>
      <c r="C542" s="135" t="s">
        <v>1750</v>
      </c>
      <c r="D542" s="135"/>
      <c r="E542" s="135" t="s">
        <v>1751</v>
      </c>
      <c r="F542" s="131" t="s">
        <v>1678</v>
      </c>
      <c r="G542" s="131" t="e">
        <v>#VALUE!</v>
      </c>
      <c r="H542" s="173">
        <v>-1</v>
      </c>
      <c r="I542" s="173"/>
      <c r="J542" s="173"/>
      <c r="K542" s="173" t="e">
        <f>_xll.GetCtData("COAMOUNT","CONSAMOUNT",$A$1:$A$8,$A542:$B542,,"#Erreur de syntaxe : Expression incomplète")/10^3*$H542</f>
        <v>#VALUE!</v>
      </c>
      <c r="L542" s="173" t="e">
        <f>_xll.GetCtData("COAMOUNT","CONSAMOUNT",$A$1:$A$8,$A542:$B542,,"#Erreur de syntaxe : Expression incomplète")/10^3*$H542</f>
        <v>#VALUE!</v>
      </c>
      <c r="N542" s="173" t="e">
        <f>_xll.GetCtData("COAMOUNT","CONSAMOUNT",$A$1:$A$8,$A542:$B542,,"#Erreur de syntaxe : Expression incomplète")/10^3*$H542</f>
        <v>#VALUE!</v>
      </c>
      <c r="P542" s="173" t="e">
        <f t="shared" si="34"/>
        <v>#VALUE!</v>
      </c>
    </row>
    <row r="543" spans="1:16" s="115" customFormat="1" ht="12" hidden="1" outlineLevel="1" thickBot="1">
      <c r="A543" s="115" t="str">
        <f t="shared" si="32"/>
        <v>A39702000B</v>
      </c>
      <c r="B543" s="115" t="str">
        <f t="shared" si="33"/>
        <v>F60</v>
      </c>
      <c r="C543" s="135" t="s">
        <v>1702</v>
      </c>
      <c r="D543" s="135"/>
      <c r="E543" s="135" t="s">
        <v>1703</v>
      </c>
      <c r="F543" s="131" t="s">
        <v>142</v>
      </c>
      <c r="G543" s="131" t="e">
        <v>#VALUE!</v>
      </c>
      <c r="H543" s="173">
        <v>1</v>
      </c>
      <c r="I543" s="173"/>
      <c r="J543" s="173"/>
      <c r="K543" s="173" t="e">
        <f>_xll.GetCtData("COAMOUNT","CONSAMOUNT",$A$1:$A$8,$A543:$B543,,"#Erreur de syntaxe : Expression incomplète")/10^3*$H543</f>
        <v>#VALUE!</v>
      </c>
      <c r="L543" s="173" t="e">
        <f>_xll.GetCtData("COAMOUNT","CONSAMOUNT",$A$1:$A$8,$A543:$B543,,"#Erreur de syntaxe : Expression incomplète")/10^3*$H543</f>
        <v>#VALUE!</v>
      </c>
      <c r="N543" s="173" t="e">
        <f>_xll.GetCtData("COAMOUNT","CONSAMOUNT",$A$1:$A$8,$A543:$B543,,"#Erreur de syntaxe : Expression incomplète")/10^3*$H543</f>
        <v>#VALUE!</v>
      </c>
      <c r="P543" s="173" t="e">
        <f t="shared" si="34"/>
        <v>#VALUE!</v>
      </c>
    </row>
    <row r="544" spans="1:16" s="115" customFormat="1" ht="12" hidden="1" outlineLevel="1" thickBot="1">
      <c r="A544" s="115" t="str">
        <f t="shared" si="32"/>
        <v>A39702000V</v>
      </c>
      <c r="B544" s="115" t="str">
        <f t="shared" si="33"/>
        <v>F60</v>
      </c>
      <c r="C544" s="135" t="s">
        <v>1705</v>
      </c>
      <c r="D544" s="135"/>
      <c r="E544" s="135" t="s">
        <v>1706</v>
      </c>
      <c r="F544" s="131" t="s">
        <v>142</v>
      </c>
      <c r="G544" s="131" t="e">
        <v>#VALUE!</v>
      </c>
      <c r="H544" s="173">
        <v>1</v>
      </c>
      <c r="I544" s="173"/>
      <c r="J544" s="173"/>
      <c r="K544" s="173" t="e">
        <f>_xll.GetCtData("COAMOUNT","CONSAMOUNT",$A$1:$A$8,$A544:$B544,,"#Erreur de syntaxe : Expression incomplète")/10^3*$H544</f>
        <v>#VALUE!</v>
      </c>
      <c r="L544" s="173" t="e">
        <f>_xll.GetCtData("COAMOUNT","CONSAMOUNT",$A$1:$A$8,$A544:$B544,,"#Erreur de syntaxe : Expression incomplète")/10^3*$H544</f>
        <v>#VALUE!</v>
      </c>
      <c r="N544" s="173" t="e">
        <f>_xll.GetCtData("COAMOUNT","CONSAMOUNT",$A$1:$A$8,$A544:$B544,,"#Erreur de syntaxe : Expression incomplète")/10^3*$H544</f>
        <v>#VALUE!</v>
      </c>
      <c r="P544" s="173" t="e">
        <f t="shared" si="34"/>
        <v>#VALUE!</v>
      </c>
    </row>
    <row r="545" spans="1:16" s="115" customFormat="1" ht="12" hidden="1" outlineLevel="1" thickBot="1">
      <c r="A545" s="115" t="str">
        <f t="shared" si="32"/>
        <v>P39702000B</v>
      </c>
      <c r="B545" s="115" t="str">
        <f t="shared" si="33"/>
        <v>F60</v>
      </c>
      <c r="C545" s="135" t="s">
        <v>1741</v>
      </c>
      <c r="D545" s="135"/>
      <c r="E545" s="135" t="s">
        <v>1742</v>
      </c>
      <c r="F545" s="131" t="s">
        <v>142</v>
      </c>
      <c r="G545" s="131" t="e">
        <v>#VALUE!</v>
      </c>
      <c r="H545" s="173">
        <v>-1</v>
      </c>
      <c r="I545" s="173"/>
      <c r="J545" s="173"/>
      <c r="K545" s="173" t="e">
        <f>_xll.GetCtData("COAMOUNT","CONSAMOUNT",$A$1:$A$8,$A545:$B545,,"#Erreur de syntaxe : Expression incomplète")/10^3*$H545</f>
        <v>#VALUE!</v>
      </c>
      <c r="L545" s="173" t="e">
        <f>_xll.GetCtData("COAMOUNT","CONSAMOUNT",$A$1:$A$8,$A545:$B545,,"#Erreur de syntaxe : Expression incomplète")/10^3*$H545</f>
        <v>#VALUE!</v>
      </c>
      <c r="N545" s="173" t="e">
        <f>_xll.GetCtData("COAMOUNT","CONSAMOUNT",$A$1:$A$8,$A545:$B545,,"#Erreur de syntaxe : Expression incomplète")/10^3*$H545</f>
        <v>#VALUE!</v>
      </c>
      <c r="P545" s="173" t="e">
        <f t="shared" si="34"/>
        <v>#VALUE!</v>
      </c>
    </row>
    <row r="546" spans="1:16" s="115" customFormat="1" ht="12" hidden="1" outlineLevel="1" thickBot="1">
      <c r="A546" s="115" t="str">
        <f t="shared" si="32"/>
        <v>P39702000V</v>
      </c>
      <c r="B546" s="115" t="str">
        <f t="shared" si="33"/>
        <v>F60</v>
      </c>
      <c r="C546" s="135" t="s">
        <v>1750</v>
      </c>
      <c r="D546" s="135"/>
      <c r="E546" s="135" t="s">
        <v>1751</v>
      </c>
      <c r="F546" s="131" t="s">
        <v>142</v>
      </c>
      <c r="G546" s="131" t="e">
        <v>#VALUE!</v>
      </c>
      <c r="H546" s="173">
        <v>-1</v>
      </c>
      <c r="I546" s="173"/>
      <c r="J546" s="173"/>
      <c r="K546" s="173" t="e">
        <f>_xll.GetCtData("COAMOUNT","CONSAMOUNT",$A$1:$A$8,$A546:$B546,,"#Erreur de syntaxe : Expression incomplète")/10^3*$H546</f>
        <v>#VALUE!</v>
      </c>
      <c r="L546" s="173" t="e">
        <f>_xll.GetCtData("COAMOUNT","CONSAMOUNT",$A$1:$A$8,$A546:$B546,,"#Erreur de syntaxe : Expression incomplète")/10^3*$H546</f>
        <v>#VALUE!</v>
      </c>
      <c r="N546" s="173" t="e">
        <f>_xll.GetCtData("COAMOUNT","CONSAMOUNT",$A$1:$A$8,$A546:$B546,,"#Erreur de syntaxe : Expression incomplète")/10^3*$H546</f>
        <v>#VALUE!</v>
      </c>
      <c r="P546" s="173" t="e">
        <f t="shared" si="34"/>
        <v>#VALUE!</v>
      </c>
    </row>
    <row r="547" spans="1:16" s="115" customFormat="1" ht="12" hidden="1" outlineLevel="1" thickBot="1">
      <c r="A547" s="115" t="str">
        <f t="shared" si="32"/>
        <v>A39702000B</v>
      </c>
      <c r="B547" s="115" t="str">
        <f t="shared" si="33"/>
        <v>F94</v>
      </c>
      <c r="C547" s="135" t="s">
        <v>1702</v>
      </c>
      <c r="D547" s="135"/>
      <c r="E547" s="135" t="s">
        <v>1703</v>
      </c>
      <c r="F547" s="131" t="s">
        <v>1680</v>
      </c>
      <c r="G547" s="131" t="e">
        <v>#VALUE!</v>
      </c>
      <c r="H547" s="173">
        <v>1</v>
      </c>
      <c r="I547" s="173"/>
      <c r="J547" s="173"/>
      <c r="K547" s="173" t="e">
        <f>_xll.GetCtData("COAMOUNT","CONSAMOUNT",$A$1:$A$8,$A547:$B547,,"#Erreur de syntaxe : Expression incomplète")/10^3*$H547</f>
        <v>#VALUE!</v>
      </c>
      <c r="L547" s="173" t="e">
        <f>_xll.GetCtData("COAMOUNT","CONSAMOUNT",$A$1:$A$8,$A547:$B547,,"#Erreur de syntaxe : Expression incomplète")/10^3*$H547</f>
        <v>#VALUE!</v>
      </c>
      <c r="N547" s="173" t="e">
        <f>_xll.GetCtData("COAMOUNT","CONSAMOUNT",$A$1:$A$8,$A547:$B547,,"#Erreur de syntaxe : Expression incomplète")/10^3*$H547</f>
        <v>#VALUE!</v>
      </c>
      <c r="P547" s="173" t="e">
        <f t="shared" si="34"/>
        <v>#VALUE!</v>
      </c>
    </row>
    <row r="548" spans="1:16" s="115" customFormat="1" ht="12" hidden="1" outlineLevel="1" thickBot="1">
      <c r="A548" s="115" t="str">
        <f t="shared" si="32"/>
        <v>A39702000V</v>
      </c>
      <c r="B548" s="115" t="str">
        <f t="shared" si="33"/>
        <v>F94</v>
      </c>
      <c r="C548" s="135" t="s">
        <v>1705</v>
      </c>
      <c r="D548" s="135"/>
      <c r="E548" s="135" t="s">
        <v>1706</v>
      </c>
      <c r="F548" s="131" t="s">
        <v>1680</v>
      </c>
      <c r="G548" s="131" t="e">
        <v>#VALUE!</v>
      </c>
      <c r="H548" s="173">
        <v>1</v>
      </c>
      <c r="I548" s="173"/>
      <c r="J548" s="173"/>
      <c r="K548" s="173" t="e">
        <f>_xll.GetCtData("COAMOUNT","CONSAMOUNT",$A$1:$A$8,$A548:$B548,,"#Erreur de syntaxe : Expression incomplète")/10^3*$H548</f>
        <v>#VALUE!</v>
      </c>
      <c r="L548" s="173" t="e">
        <f>_xll.GetCtData("COAMOUNT","CONSAMOUNT",$A$1:$A$8,$A548:$B548,,"#Erreur de syntaxe : Expression incomplète")/10^3*$H548</f>
        <v>#VALUE!</v>
      </c>
      <c r="N548" s="173" t="e">
        <f>_xll.GetCtData("COAMOUNT","CONSAMOUNT",$A$1:$A$8,$A548:$B548,,"#Erreur de syntaxe : Expression incomplète")/10^3*$H548</f>
        <v>#VALUE!</v>
      </c>
      <c r="P548" s="173" t="e">
        <f t="shared" si="34"/>
        <v>#VALUE!</v>
      </c>
    </row>
    <row r="549" spans="1:16" s="115" customFormat="1" ht="12" hidden="1" outlineLevel="1" thickBot="1">
      <c r="A549" s="115" t="str">
        <f t="shared" si="32"/>
        <v>P39702000B</v>
      </c>
      <c r="B549" s="115" t="str">
        <f t="shared" si="33"/>
        <v>F94</v>
      </c>
      <c r="C549" s="135" t="s">
        <v>1741</v>
      </c>
      <c r="D549" s="135"/>
      <c r="E549" s="135" t="s">
        <v>1742</v>
      </c>
      <c r="F549" s="131" t="s">
        <v>1680</v>
      </c>
      <c r="G549" s="131" t="e">
        <v>#VALUE!</v>
      </c>
      <c r="H549" s="173">
        <v>-1</v>
      </c>
      <c r="I549" s="173"/>
      <c r="J549" s="173"/>
      <c r="K549" s="173" t="e">
        <f>_xll.GetCtData("COAMOUNT","CONSAMOUNT",$A$1:$A$8,$A549:$B549,,"#Erreur de syntaxe : Expression incomplète")/10^3*$H549</f>
        <v>#VALUE!</v>
      </c>
      <c r="L549" s="173" t="e">
        <f>_xll.GetCtData("COAMOUNT","CONSAMOUNT",$A$1:$A$8,$A549:$B549,,"#Erreur de syntaxe : Expression incomplète")/10^3*$H549</f>
        <v>#VALUE!</v>
      </c>
      <c r="N549" s="173" t="e">
        <f>_xll.GetCtData("COAMOUNT","CONSAMOUNT",$A$1:$A$8,$A549:$B549,,"#Erreur de syntaxe : Expression incomplète")/10^3*$H549</f>
        <v>#VALUE!</v>
      </c>
      <c r="P549" s="173" t="e">
        <f t="shared" si="34"/>
        <v>#VALUE!</v>
      </c>
    </row>
    <row r="550" spans="1:16" s="115" customFormat="1" ht="12" hidden="1" outlineLevel="1" thickBot="1">
      <c r="A550" s="115" t="str">
        <f t="shared" si="32"/>
        <v>P39702000V</v>
      </c>
      <c r="B550" s="115" t="str">
        <f t="shared" si="33"/>
        <v>F94</v>
      </c>
      <c r="C550" s="135" t="s">
        <v>1750</v>
      </c>
      <c r="D550" s="135"/>
      <c r="E550" s="135" t="s">
        <v>1751</v>
      </c>
      <c r="F550" s="131" t="s">
        <v>1680</v>
      </c>
      <c r="G550" s="131" t="e">
        <v>#VALUE!</v>
      </c>
      <c r="H550" s="173">
        <v>-1</v>
      </c>
      <c r="I550" s="173"/>
      <c r="J550" s="173"/>
      <c r="K550" s="173" t="e">
        <f>_xll.GetCtData("COAMOUNT","CONSAMOUNT",$A$1:$A$8,$A550:$B550,,"#Erreur de syntaxe : Expression incomplète")/10^3*$H550</f>
        <v>#VALUE!</v>
      </c>
      <c r="L550" s="173" t="e">
        <f>_xll.GetCtData("COAMOUNT","CONSAMOUNT",$A$1:$A$8,$A550:$B550,,"#Erreur de syntaxe : Expression incomplète")/10^3*$H550</f>
        <v>#VALUE!</v>
      </c>
      <c r="N550" s="173" t="e">
        <f>_xll.GetCtData("COAMOUNT","CONSAMOUNT",$A$1:$A$8,$A550:$B550,,"#Erreur de syntaxe : Expression incomplète")/10^3*$H550</f>
        <v>#VALUE!</v>
      </c>
      <c r="P550" s="173" t="e">
        <f t="shared" si="34"/>
        <v>#VALUE!</v>
      </c>
    </row>
    <row r="551" spans="1:16" ht="12" hidden="1" customHeight="1" outlineLevel="1">
      <c r="A551" s="115"/>
      <c r="E551" s="174" t="s">
        <v>1570</v>
      </c>
      <c r="F551" s="158"/>
      <c r="G551" s="158"/>
      <c r="H551" s="158"/>
      <c r="I551" s="184" t="e">
        <f>SUM(I467:I550)/10^3-I466</f>
        <v>#VALUE!</v>
      </c>
      <c r="J551" s="184" t="e">
        <f>SUM(J467:J550)/10^3-J466</f>
        <v>#VALUE!</v>
      </c>
      <c r="K551" s="184" t="e">
        <f>SUM(K467:K550)/10^3-K466</f>
        <v>#VALUE!</v>
      </c>
      <c r="L551" s="184" t="e">
        <f>SUM(L467:L550)/10^3-L466</f>
        <v>#VALUE!</v>
      </c>
      <c r="N551" s="184" t="e">
        <f>SUM(N467:N550)/10^3-N466</f>
        <v>#VALUE!</v>
      </c>
      <c r="P551" s="184" t="e">
        <f t="shared" si="34"/>
        <v>#VALUE!</v>
      </c>
    </row>
    <row r="552" spans="1:16" s="115" customFormat="1" ht="12" collapsed="1" thickBot="1">
      <c r="A552" s="123" t="s">
        <v>1089</v>
      </c>
      <c r="C552" s="123" t="str">
        <f>A552</f>
        <v>FL=XRF99A</v>
      </c>
      <c r="D552" s="123"/>
      <c r="E552" s="125" t="s">
        <v>129</v>
      </c>
      <c r="F552" s="126"/>
      <c r="G552" s="126"/>
      <c r="H552" s="126"/>
      <c r="I552" s="126">
        <f>_xll.GetCtData("COAMOUNT","CONSAMOUNT",$A$1:$A$8,$A552,H$6,"#7889061,41005733")/10^3</f>
        <v>7889.0614100573293</v>
      </c>
      <c r="J552" s="126">
        <f>_xll.GetCtData("COAMOUNT","CONSAMOUNT",$A$1:$A$8,$A552,I$6,"#47659")/10^3</f>
        <v>47.658999999999999</v>
      </c>
      <c r="K552" s="126">
        <f>_xll.GetCtData("COAMOUNT","CONSAMOUNT",$A$1:$A$8,$A552,J$6,"#877520")/10^3</f>
        <v>877.52</v>
      </c>
      <c r="L552" s="126">
        <f>_xll.GetCtData("COAMOUNT","CONSAMOUNT",$A$1:$A$8,$A552,K$6,"#8814240,41005733")/10^3</f>
        <v>8814.2404100573312</v>
      </c>
      <c r="N552" s="126">
        <v>77904.780986796803</v>
      </c>
      <c r="P552" s="126">
        <f t="shared" si="34"/>
        <v>86719.021396854136</v>
      </c>
    </row>
    <row r="553" spans="1:16" s="115" customFormat="1" ht="12" hidden="1" outlineLevel="1" thickBot="1">
      <c r="A553" s="115" t="s">
        <v>1689</v>
      </c>
      <c r="B553" s="115" t="str">
        <f t="shared" ref="B553:B566" si="35">$C$2&amp;F553</f>
        <v>F99</v>
      </c>
      <c r="C553" s="135" t="s">
        <v>1690</v>
      </c>
      <c r="D553" s="135"/>
      <c r="E553" s="135" t="s">
        <v>1691</v>
      </c>
      <c r="F553" s="131" t="s">
        <v>66</v>
      </c>
      <c r="G553" s="131" t="e">
        <v>#VALUE!</v>
      </c>
      <c r="H553" s="131">
        <v>1</v>
      </c>
      <c r="I553" s="183" t="e">
        <f>_xll.GetCtData("COAMOUNT","CONSAMOUNT",$A$1:$A$8,$A553:$B553,,"#Erreur de syntaxe : Expression incomplète")/10^3*$H553</f>
        <v>#VALUE!</v>
      </c>
      <c r="J553" s="183"/>
      <c r="K553" s="183"/>
      <c r="L553" s="183" t="e">
        <f>_xll.GetCtData("COAMOUNT","CONSAMOUNT",$A$1:$A$8,$A553:$B553,,"#Erreur de syntaxe : Expression incomplète")/10^3*$H553</f>
        <v>#VALUE!</v>
      </c>
      <c r="N553" s="183" t="e">
        <f>_xll.GetCtData("COAMOUNT","CONSAMOUNT",$A$1:$A$8,$A553:$B553,,"#Erreur de syntaxe : Expression incomplète")/10^3*$H553</f>
        <v>#VALUE!</v>
      </c>
      <c r="P553" s="183" t="e">
        <f t="shared" si="34"/>
        <v>#VALUE!</v>
      </c>
    </row>
    <row r="554" spans="1:16" s="115" customFormat="1" ht="12" hidden="1" outlineLevel="1" thickBot="1">
      <c r="A554" s="115" t="s">
        <v>1692</v>
      </c>
      <c r="B554" s="115" t="str">
        <f t="shared" si="35"/>
        <v>F99</v>
      </c>
      <c r="C554" s="135" t="s">
        <v>1693</v>
      </c>
      <c r="D554" s="135"/>
      <c r="E554" s="135" t="s">
        <v>1694</v>
      </c>
      <c r="F554" s="135" t="s">
        <v>66</v>
      </c>
      <c r="G554" s="131" t="e">
        <v>#VALUE!</v>
      </c>
      <c r="H554" s="135">
        <v>1</v>
      </c>
      <c r="I554" s="173" t="e">
        <f>_xll.GetCtData("COAMOUNT","CONSAMOUNT",$A$1:$A$8,$A554:$B554,,"#Erreur de syntaxe : Expression incomplète")/10^3*$H554</f>
        <v>#VALUE!</v>
      </c>
      <c r="J554" s="173"/>
      <c r="K554" s="173"/>
      <c r="L554" s="173" t="e">
        <f>_xll.GetCtData("COAMOUNT","CONSAMOUNT",$A$1:$A$8,$A554:$B554,,"#Erreur de syntaxe : Expression incomplète")/10^3*$H554</f>
        <v>#VALUE!</v>
      </c>
      <c r="N554" s="173" t="e">
        <f>_xll.GetCtData("COAMOUNT","CONSAMOUNT",$A$1:$A$8,$A554:$B554,,"#Erreur de syntaxe : Expression incomplète")/10^3*$H554</f>
        <v>#VALUE!</v>
      </c>
      <c r="P554" s="173" t="e">
        <f t="shared" si="34"/>
        <v>#VALUE!</v>
      </c>
    </row>
    <row r="555" spans="1:16" s="115" customFormat="1" ht="12" hidden="1" outlineLevel="1" thickBot="1">
      <c r="A555" s="115" t="s">
        <v>1695</v>
      </c>
      <c r="B555" s="115" t="str">
        <f t="shared" si="35"/>
        <v>F99</v>
      </c>
      <c r="C555" s="135" t="s">
        <v>1696</v>
      </c>
      <c r="D555" s="135"/>
      <c r="E555" s="135" t="s">
        <v>1697</v>
      </c>
      <c r="F555" s="135" t="s">
        <v>66</v>
      </c>
      <c r="G555" s="131" t="e">
        <v>#VALUE!</v>
      </c>
      <c r="H555" s="135">
        <v>1</v>
      </c>
      <c r="I555" s="132"/>
      <c r="J555" s="173" t="e">
        <f>_xll.GetCtData("COAMOUNT","CONSAMOUNT",$A$1:$A$8,$A555:$B555,,"#Erreur de syntaxe : Expression incomplète")/10^3*$H555</f>
        <v>#VALUE!</v>
      </c>
      <c r="K555" s="173"/>
      <c r="L555" s="173" t="e">
        <f>_xll.GetCtData("COAMOUNT","CONSAMOUNT",$A$1:$A$8,$A555:$B555,,"#Erreur de syntaxe : Expression incomplète")/10^3*$H555</f>
        <v>#VALUE!</v>
      </c>
      <c r="N555" s="173" t="e">
        <f>_xll.GetCtData("COAMOUNT","CONSAMOUNT",$A$1:$A$8,$A555:$B555,,"#Erreur de syntaxe : Expression incomplète")/10^3*$H555</f>
        <v>#VALUE!</v>
      </c>
      <c r="P555" s="173" t="e">
        <f t="shared" si="34"/>
        <v>#VALUE!</v>
      </c>
    </row>
    <row r="556" spans="1:16" s="115" customFormat="1" ht="12" hidden="1" outlineLevel="1" thickBot="1">
      <c r="A556" s="115" t="s">
        <v>1698</v>
      </c>
      <c r="B556" s="115" t="str">
        <f t="shared" si="35"/>
        <v>F99</v>
      </c>
      <c r="C556" s="135" t="s">
        <v>1699</v>
      </c>
      <c r="D556" s="135"/>
      <c r="E556" s="135" t="s">
        <v>1700</v>
      </c>
      <c r="F556" s="135" t="s">
        <v>66</v>
      </c>
      <c r="G556" s="131" t="e">
        <v>#VALUE!</v>
      </c>
      <c r="H556" s="135">
        <v>1</v>
      </c>
      <c r="I556" s="132"/>
      <c r="J556" s="173" t="e">
        <f>_xll.GetCtData("COAMOUNT","CONSAMOUNT",$A$1:$A$8,$A556:$B556,,"#Erreur de syntaxe : Expression incomplète")/10^3*$H556</f>
        <v>#VALUE!</v>
      </c>
      <c r="K556" s="173"/>
      <c r="L556" s="173" t="e">
        <f>_xll.GetCtData("COAMOUNT","CONSAMOUNT",$A$1:$A$8,$A556:$B556,,"#Erreur de syntaxe : Expression incomplète")/10^3*$H556</f>
        <v>#VALUE!</v>
      </c>
      <c r="N556" s="173" t="e">
        <f>_xll.GetCtData("COAMOUNT","CONSAMOUNT",$A$1:$A$8,$A556:$B556,,"#Erreur de syntaxe : Expression incomplète")/10^3*$H556</f>
        <v>#VALUE!</v>
      </c>
      <c r="P556" s="173" t="e">
        <f t="shared" si="34"/>
        <v>#VALUE!</v>
      </c>
    </row>
    <row r="557" spans="1:16" s="115" customFormat="1" ht="12" hidden="1" outlineLevel="1" thickBot="1">
      <c r="A557" s="115" t="s">
        <v>1701</v>
      </c>
      <c r="B557" s="115" t="str">
        <f t="shared" si="35"/>
        <v>F99</v>
      </c>
      <c r="C557" s="135" t="s">
        <v>1702</v>
      </c>
      <c r="D557" s="135"/>
      <c r="E557" s="135" t="s">
        <v>1703</v>
      </c>
      <c r="F557" s="135" t="s">
        <v>66</v>
      </c>
      <c r="G557" s="131" t="e">
        <v>#VALUE!</v>
      </c>
      <c r="H557" s="135">
        <v>1</v>
      </c>
      <c r="I557" s="132"/>
      <c r="J557" s="173"/>
      <c r="K557" s="173" t="e">
        <f>_xll.GetCtData("COAMOUNT","CONSAMOUNT",$A$1:$A$8,$A557:$B557,,"#Erreur de syntaxe : Expression incomplète")/10^3*$H557</f>
        <v>#VALUE!</v>
      </c>
      <c r="L557" s="173" t="e">
        <f>_xll.GetCtData("COAMOUNT","CONSAMOUNT",$A$1:$A$8,$A557:$B557,,"#Erreur de syntaxe : Expression incomplète")/10^3*$H557</f>
        <v>#VALUE!</v>
      </c>
      <c r="N557" s="173" t="e">
        <f>_xll.GetCtData("COAMOUNT","CONSAMOUNT",$A$1:$A$8,$A557:$B557,,"#Erreur de syntaxe : Expression incomplète")/10^3*$H557</f>
        <v>#VALUE!</v>
      </c>
      <c r="P557" s="173" t="e">
        <f t="shared" si="34"/>
        <v>#VALUE!</v>
      </c>
    </row>
    <row r="558" spans="1:16" s="115" customFormat="1" ht="12" hidden="1" outlineLevel="1" thickBot="1">
      <c r="A558" s="115" t="s">
        <v>1704</v>
      </c>
      <c r="B558" s="115" t="str">
        <f t="shared" si="35"/>
        <v>F99</v>
      </c>
      <c r="C558" s="135" t="s">
        <v>1705</v>
      </c>
      <c r="D558" s="135"/>
      <c r="E558" s="135" t="s">
        <v>1706</v>
      </c>
      <c r="F558" s="135" t="s">
        <v>66</v>
      </c>
      <c r="G558" s="131" t="e">
        <v>#VALUE!</v>
      </c>
      <c r="H558" s="135">
        <v>1</v>
      </c>
      <c r="I558" s="132"/>
      <c r="J558" s="173"/>
      <c r="K558" s="173" t="e">
        <f>_xll.GetCtData("COAMOUNT","CONSAMOUNT",$A$1:$A$8,$A558:$B558,,"#Erreur de syntaxe : Expression incomplète")/10^3*$H558</f>
        <v>#VALUE!</v>
      </c>
      <c r="L558" s="173" t="e">
        <f>_xll.GetCtData("COAMOUNT","CONSAMOUNT",$A$1:$A$8,$A558:$B558,,"#Erreur de syntaxe : Expression incomplète")/10^3*$H558</f>
        <v>#VALUE!</v>
      </c>
      <c r="N558" s="173" t="e">
        <f>_xll.GetCtData("COAMOUNT","CONSAMOUNT",$A$1:$A$8,$A558:$B558,,"#Erreur de syntaxe : Expression incomplète")/10^3*$H558</f>
        <v>#VALUE!</v>
      </c>
      <c r="P558" s="173" t="e">
        <f t="shared" si="34"/>
        <v>#VALUE!</v>
      </c>
    </row>
    <row r="559" spans="1:16" s="115" customFormat="1" ht="12" hidden="1" outlineLevel="1" thickBot="1">
      <c r="A559" s="115" t="s">
        <v>1707</v>
      </c>
      <c r="B559" s="115" t="str">
        <f t="shared" si="35"/>
        <v>F99</v>
      </c>
      <c r="C559" s="135" t="s">
        <v>1708</v>
      </c>
      <c r="D559" s="135"/>
      <c r="E559" s="135" t="s">
        <v>1709</v>
      </c>
      <c r="F559" s="135" t="s">
        <v>66</v>
      </c>
      <c r="G559" s="131" t="e">
        <v>#VALUE!</v>
      </c>
      <c r="H559" s="135">
        <v>1</v>
      </c>
      <c r="I559" s="173" t="e">
        <f>_xll.GetCtData("COAMOUNT","CONSAMOUNT",$A$1:$A$8,$A559:$B559,,"#Erreur de syntaxe : Expression incomplète")/10^3*$H559</f>
        <v>#VALUE!</v>
      </c>
      <c r="J559" s="173"/>
      <c r="K559" s="173"/>
      <c r="L559" s="173" t="e">
        <f>_xll.GetCtData("COAMOUNT","CONSAMOUNT",$A$1:$A$8,$A559:$B559,,"#Erreur de syntaxe : Expression incomplète")/10^3*$H559</f>
        <v>#VALUE!</v>
      </c>
      <c r="N559" s="173" t="e">
        <f>_xll.GetCtData("COAMOUNT","CONSAMOUNT",$A$1:$A$8,$A559:$B559,,"#Erreur de syntaxe : Expression incomplète")/10^3*$H559</f>
        <v>#VALUE!</v>
      </c>
      <c r="P559" s="173" t="e">
        <f t="shared" si="34"/>
        <v>#VALUE!</v>
      </c>
    </row>
    <row r="560" spans="1:16" s="115" customFormat="1" ht="12" hidden="1" outlineLevel="1" thickBot="1">
      <c r="A560" s="115" t="s">
        <v>1710</v>
      </c>
      <c r="B560" s="115" t="str">
        <f t="shared" si="35"/>
        <v>F99</v>
      </c>
      <c r="C560" s="135" t="s">
        <v>1711</v>
      </c>
      <c r="D560" s="135"/>
      <c r="E560" s="135" t="s">
        <v>1712</v>
      </c>
      <c r="F560" s="135" t="s">
        <v>66</v>
      </c>
      <c r="G560" s="131" t="e">
        <v>#VALUE!</v>
      </c>
      <c r="H560" s="135">
        <v>1</v>
      </c>
      <c r="I560" s="173" t="e">
        <f>_xll.GetCtData("COAMOUNT","CONSAMOUNT",$A$1:$A$8,$A560:$B560,,"#Erreur de syntaxe : Expression incomplète")/10^3*$H560</f>
        <v>#VALUE!</v>
      </c>
      <c r="J560" s="173"/>
      <c r="K560" s="173"/>
      <c r="L560" s="173" t="e">
        <f>_xll.GetCtData("COAMOUNT","CONSAMOUNT",$A$1:$A$8,$A560:$B560,,"#Erreur de syntaxe : Expression incomplète")/10^3*$H560</f>
        <v>#VALUE!</v>
      </c>
      <c r="N560" s="173" t="e">
        <f>_xll.GetCtData("COAMOUNT","CONSAMOUNT",$A$1:$A$8,$A560:$B560,,"#Erreur de syntaxe : Expression incomplète")/10^3*$H560</f>
        <v>#VALUE!</v>
      </c>
      <c r="P560" s="173" t="e">
        <f t="shared" si="34"/>
        <v>#VALUE!</v>
      </c>
    </row>
    <row r="561" spans="1:16" s="115" customFormat="1" ht="12" hidden="1" outlineLevel="1" thickBot="1">
      <c r="A561" s="115" t="s">
        <v>1713</v>
      </c>
      <c r="B561" s="115" t="str">
        <f t="shared" si="35"/>
        <v>F99</v>
      </c>
      <c r="C561" s="135" t="s">
        <v>1714</v>
      </c>
      <c r="D561" s="135"/>
      <c r="E561" s="135" t="s">
        <v>1715</v>
      </c>
      <c r="F561" s="135" t="s">
        <v>66</v>
      </c>
      <c r="G561" s="131" t="e">
        <v>#VALUE!</v>
      </c>
      <c r="H561" s="135">
        <v>1</v>
      </c>
      <c r="I561" s="173" t="e">
        <f>_xll.GetCtData("COAMOUNT","CONSAMOUNT",$A$1:$A$8,$A561:$B561,,"#Erreur de syntaxe : Expression incomplète")/10^3*$H561</f>
        <v>#VALUE!</v>
      </c>
      <c r="J561" s="173"/>
      <c r="K561" s="173"/>
      <c r="L561" s="173" t="e">
        <f>_xll.GetCtData("COAMOUNT","CONSAMOUNT",$A$1:$A$8,$A561:$B561,,"#Erreur de syntaxe : Expression incomplète")/10^3*$H561</f>
        <v>#VALUE!</v>
      </c>
      <c r="N561" s="173" t="e">
        <f>_xll.GetCtData("COAMOUNT","CONSAMOUNT",$A$1:$A$8,$A561:$B561,,"#Erreur de syntaxe : Expression incomplète")/10^3*$H561</f>
        <v>#VALUE!</v>
      </c>
      <c r="P561" s="173" t="e">
        <f t="shared" si="34"/>
        <v>#VALUE!</v>
      </c>
    </row>
    <row r="562" spans="1:16" s="115" customFormat="1" ht="12" hidden="1" outlineLevel="1" thickBot="1">
      <c r="A562" s="115" t="s">
        <v>1716</v>
      </c>
      <c r="B562" s="115" t="str">
        <f t="shared" si="35"/>
        <v>F99</v>
      </c>
      <c r="C562" s="135" t="s">
        <v>1717</v>
      </c>
      <c r="D562" s="135"/>
      <c r="E562" s="135" t="s">
        <v>1718</v>
      </c>
      <c r="F562" s="135" t="s">
        <v>66</v>
      </c>
      <c r="G562" s="131" t="e">
        <v>#VALUE!</v>
      </c>
      <c r="H562" s="135">
        <v>1</v>
      </c>
      <c r="I562" s="173" t="e">
        <f>_xll.GetCtData("COAMOUNT","CONSAMOUNT",$A$1:$A$8,$A562:$B562,,"#Erreur de syntaxe : Expression incomplète")/10^3*$H562</f>
        <v>#VALUE!</v>
      </c>
      <c r="J562" s="173"/>
      <c r="K562" s="173"/>
      <c r="L562" s="173" t="e">
        <f>_xll.GetCtData("COAMOUNT","CONSAMOUNT",$A$1:$A$8,$A562:$B562,,"#Erreur de syntaxe : Expression incomplète")/10^3*$H562</f>
        <v>#VALUE!</v>
      </c>
      <c r="N562" s="173" t="e">
        <f>_xll.GetCtData("COAMOUNT","CONSAMOUNT",$A$1:$A$8,$A562:$B562,,"#Erreur de syntaxe : Expression incomplète")/10^3*$H562</f>
        <v>#VALUE!</v>
      </c>
      <c r="P562" s="173" t="e">
        <f t="shared" si="34"/>
        <v>#VALUE!</v>
      </c>
    </row>
    <row r="563" spans="1:16" s="115" customFormat="1" ht="12" hidden="1" outlineLevel="1" thickBot="1">
      <c r="A563" s="115" t="s">
        <v>1719</v>
      </c>
      <c r="B563" s="115" t="str">
        <f t="shared" si="35"/>
        <v>F99</v>
      </c>
      <c r="C563" s="135" t="s">
        <v>1720</v>
      </c>
      <c r="D563" s="135"/>
      <c r="E563" s="135" t="s">
        <v>1721</v>
      </c>
      <c r="F563" s="135" t="s">
        <v>66</v>
      </c>
      <c r="G563" s="131" t="e">
        <v>#VALUE!</v>
      </c>
      <c r="H563" s="135">
        <v>1</v>
      </c>
      <c r="I563" s="132"/>
      <c r="J563" s="173" t="e">
        <f>_xll.GetCtData("COAMOUNT","CONSAMOUNT",$A$1:$A$8,$A563:$B563,,"#Erreur de syntaxe : Expression incomplète")/10^3*$H563</f>
        <v>#VALUE!</v>
      </c>
      <c r="K563" s="173"/>
      <c r="L563" s="173" t="e">
        <f>_xll.GetCtData("COAMOUNT","CONSAMOUNT",$A$1:$A$8,$A563:$B563,,"#Erreur de syntaxe : Expression incomplète")/10^3*$H563</f>
        <v>#VALUE!</v>
      </c>
      <c r="N563" s="173" t="e">
        <f>_xll.GetCtData("COAMOUNT","CONSAMOUNT",$A$1:$A$8,$A563:$B563,,"#Erreur de syntaxe : Expression incomplète")/10^3*$H563</f>
        <v>#VALUE!</v>
      </c>
      <c r="P563" s="173" t="e">
        <f t="shared" si="34"/>
        <v>#VALUE!</v>
      </c>
    </row>
    <row r="564" spans="1:16" s="115" customFormat="1" ht="12" hidden="1" outlineLevel="1" thickBot="1">
      <c r="A564" s="115" t="s">
        <v>1722</v>
      </c>
      <c r="B564" s="115" t="str">
        <f t="shared" si="35"/>
        <v>F99</v>
      </c>
      <c r="C564" s="135" t="s">
        <v>1723</v>
      </c>
      <c r="D564" s="135"/>
      <c r="E564" s="135" t="s">
        <v>1724</v>
      </c>
      <c r="F564" s="135" t="s">
        <v>66</v>
      </c>
      <c r="G564" s="131" t="e">
        <v>#VALUE!</v>
      </c>
      <c r="H564" s="135">
        <v>1</v>
      </c>
      <c r="I564" s="132"/>
      <c r="J564" s="173" t="e">
        <f>_xll.GetCtData("COAMOUNT","CONSAMOUNT",$A$1:$A$8,$A564:$B564,,"#Erreur de syntaxe : Expression incomplète")/10^3*$H564</f>
        <v>#VALUE!</v>
      </c>
      <c r="K564" s="173"/>
      <c r="L564" s="173" t="e">
        <f>_xll.GetCtData("COAMOUNT","CONSAMOUNT",$A$1:$A$8,$A564:$B564,,"#Erreur de syntaxe : Expression incomplète")/10^3*$H564</f>
        <v>#VALUE!</v>
      </c>
      <c r="N564" s="173" t="e">
        <f>_xll.GetCtData("COAMOUNT","CONSAMOUNT",$A$1:$A$8,$A564:$B564,,"#Erreur de syntaxe : Expression incomplète")/10^3*$H564</f>
        <v>#VALUE!</v>
      </c>
      <c r="P564" s="173" t="e">
        <f t="shared" si="34"/>
        <v>#VALUE!</v>
      </c>
    </row>
    <row r="565" spans="1:16" s="115" customFormat="1" ht="12" hidden="1" outlineLevel="1" thickBot="1">
      <c r="A565" s="115" t="s">
        <v>1725</v>
      </c>
      <c r="B565" s="115" t="str">
        <f t="shared" si="35"/>
        <v>F99</v>
      </c>
      <c r="C565" s="135" t="s">
        <v>1726</v>
      </c>
      <c r="D565" s="135"/>
      <c r="E565" s="135" t="s">
        <v>1727</v>
      </c>
      <c r="F565" s="135" t="s">
        <v>66</v>
      </c>
      <c r="G565" s="131" t="e">
        <v>#VALUE!</v>
      </c>
      <c r="H565" s="135">
        <v>1</v>
      </c>
      <c r="I565" s="173" t="e">
        <f>_xll.GetCtData("COAMOUNT","CONSAMOUNT",$A$1:$A$8,$A565:$B565,,"#Erreur de syntaxe : Expression incomplète")/10^3*$H565</f>
        <v>#VALUE!</v>
      </c>
      <c r="J565" s="173"/>
      <c r="K565" s="173"/>
      <c r="L565" s="173" t="e">
        <f>_xll.GetCtData("COAMOUNT","CONSAMOUNT",$A$1:$A$8,$A565:$B565,,"#Erreur de syntaxe : Expression incomplète")/10^3*$H565</f>
        <v>#VALUE!</v>
      </c>
      <c r="N565" s="173" t="e">
        <f>_xll.GetCtData("COAMOUNT","CONSAMOUNT",$A$1:$A$8,$A565:$B565,,"#Erreur de syntaxe : Expression incomplète")/10^3*$H565</f>
        <v>#VALUE!</v>
      </c>
      <c r="P565" s="173" t="e">
        <f t="shared" si="34"/>
        <v>#VALUE!</v>
      </c>
    </row>
    <row r="566" spans="1:16" s="115" customFormat="1" ht="12" hidden="1" outlineLevel="1" thickBot="1">
      <c r="A566" s="115" t="s">
        <v>1728</v>
      </c>
      <c r="B566" s="115" t="str">
        <f t="shared" si="35"/>
        <v>F99</v>
      </c>
      <c r="C566" s="135" t="s">
        <v>1729</v>
      </c>
      <c r="D566" s="135"/>
      <c r="E566" s="135" t="s">
        <v>1730</v>
      </c>
      <c r="F566" s="135" t="s">
        <v>66</v>
      </c>
      <c r="G566" s="131" t="e">
        <v>#VALUE!</v>
      </c>
      <c r="H566" s="135">
        <v>1</v>
      </c>
      <c r="I566" s="173" t="e">
        <f>_xll.GetCtData("COAMOUNT","CONSAMOUNT",$A$1:$A$8,$A566:$B566,,"#Erreur de syntaxe : Expression incomplète")/10^3*$H566</f>
        <v>#VALUE!</v>
      </c>
      <c r="J566" s="173"/>
      <c r="K566" s="173"/>
      <c r="L566" s="173" t="e">
        <f>_xll.GetCtData("COAMOUNT","CONSAMOUNT",$A$1:$A$8,$A566:$B566,,"#Erreur de syntaxe : Expression incomplète")/10^3*$H566</f>
        <v>#VALUE!</v>
      </c>
      <c r="N566" s="173" t="e">
        <f>_xll.GetCtData("COAMOUNT","CONSAMOUNT",$A$1:$A$8,$A566:$B566,,"#Erreur de syntaxe : Expression incomplète")/10^3*$H566</f>
        <v>#VALUE!</v>
      </c>
      <c r="P566" s="173" t="e">
        <f t="shared" si="34"/>
        <v>#VALUE!</v>
      </c>
    </row>
    <row r="567" spans="1:16" s="115" customFormat="1" ht="12" hidden="1" outlineLevel="1" thickBot="1">
      <c r="C567" s="146"/>
      <c r="D567" s="146"/>
      <c r="E567" s="174" t="s">
        <v>1570</v>
      </c>
      <c r="F567" s="174"/>
      <c r="G567" s="174"/>
      <c r="H567" s="174"/>
      <c r="I567" s="175" t="e">
        <f>SUM(I553:I566)/10^3-I552</f>
        <v>#VALUE!</v>
      </c>
      <c r="J567" s="175" t="e">
        <f>SUM(J553:J566)/10^3-J552</f>
        <v>#VALUE!</v>
      </c>
      <c r="K567" s="175" t="e">
        <f>SUM(K553:K566)/10^3-K552</f>
        <v>#VALUE!</v>
      </c>
      <c r="L567" s="175" t="e">
        <f>SUM(L553:L566)/10^3-L552</f>
        <v>#VALUE!</v>
      </c>
      <c r="N567" s="175" t="e">
        <f>SUM(N553:N566)/10^3-N552</f>
        <v>#VALUE!</v>
      </c>
      <c r="P567" s="175" t="e">
        <f t="shared" si="34"/>
        <v>#VALUE!</v>
      </c>
    </row>
    <row r="568" spans="1:16" s="115" customFormat="1" ht="12" collapsed="1" thickBot="1">
      <c r="A568" s="123" t="s">
        <v>1090</v>
      </c>
      <c r="C568" s="123" t="str">
        <f>A568</f>
        <v>FL=XRF99P</v>
      </c>
      <c r="D568" s="123"/>
      <c r="E568" s="125" t="s">
        <v>130</v>
      </c>
      <c r="F568" s="126"/>
      <c r="G568" s="126"/>
      <c r="H568" s="126"/>
      <c r="I568" s="126">
        <f>_xll.GetCtData("COAMOUNT","CONSAMOUNT",$A$1:$A$8,$A568,H$6,"#-185265")/10^3</f>
        <v>-185.26499999999999</v>
      </c>
      <c r="J568" s="126">
        <f>_xll.GetCtData("COAMOUNT","CONSAMOUNT",$A$1:$A$8,$A568,I$6,"#16507")/10^3</f>
        <v>16.507000000000001</v>
      </c>
      <c r="K568" s="126">
        <f>_xll.GetCtData("COAMOUNT","CONSAMOUNT",$A$1:$A$8,$A568,J$6,"#29906")/10^3</f>
        <v>29.905999999999999</v>
      </c>
      <c r="L568" s="126">
        <f>_xll.GetCtData("COAMOUNT","CONSAMOUNT",$A$1:$A$8,$A568,K$6,"#-138852")/10^3</f>
        <v>-138.852</v>
      </c>
      <c r="N568" s="126">
        <v>-7609</v>
      </c>
      <c r="P568" s="126">
        <f t="shared" si="34"/>
        <v>-7747.8519999999999</v>
      </c>
    </row>
    <row r="569" spans="1:16" s="115" customFormat="1" ht="11.25" hidden="1" outlineLevel="1">
      <c r="A569" s="115" t="s">
        <v>1731</v>
      </c>
      <c r="B569" s="115" t="str">
        <f t="shared" ref="B569:B582" si="36">$C$2&amp;F569</f>
        <v>F99</v>
      </c>
      <c r="C569" s="135" t="s">
        <v>1732</v>
      </c>
      <c r="D569" s="135"/>
      <c r="E569" s="135" t="s">
        <v>1733</v>
      </c>
      <c r="F569" s="135" t="s">
        <v>66</v>
      </c>
      <c r="G569" s="131" t="e">
        <v>#VALUE!</v>
      </c>
      <c r="H569" s="135">
        <v>-1</v>
      </c>
      <c r="I569" s="132"/>
      <c r="J569" s="173" t="e">
        <f>_xll.GetCtData("COAMOUNT","CONSAMOUNT",$A$1:$A$8,$A569:$B569,,"#Erreur de syntaxe : Expression incomplète")/10^3*$H569</f>
        <v>#VALUE!</v>
      </c>
      <c r="K569" s="173"/>
      <c r="L569" s="173" t="e">
        <f>_xll.GetCtData("COAMOUNT","CONSAMOUNT",$A$1:$A$8,$A569:$B569,,"#Erreur de syntaxe : Expression incomplète")/10^3*$H569</f>
        <v>#VALUE!</v>
      </c>
      <c r="N569" s="173" t="e">
        <f>_xll.GetCtData("COAMOUNT","CONSAMOUNT",$A$1:$A$8,$A569:$B569,,"#Erreur de syntaxe : Expression incomplète")/10^3*$H569</f>
        <v>#VALUE!</v>
      </c>
      <c r="P569" s="173" t="e">
        <f t="shared" si="34"/>
        <v>#VALUE!</v>
      </c>
    </row>
    <row r="570" spans="1:16" s="115" customFormat="1" ht="11.25" hidden="1" outlineLevel="1">
      <c r="A570" s="115" t="s">
        <v>1734</v>
      </c>
      <c r="B570" s="115" t="str">
        <f t="shared" si="36"/>
        <v>F99</v>
      </c>
      <c r="C570" s="135" t="s">
        <v>1735</v>
      </c>
      <c r="D570" s="135"/>
      <c r="E570" s="135" t="s">
        <v>1736</v>
      </c>
      <c r="F570" s="135" t="s">
        <v>66</v>
      </c>
      <c r="G570" s="131" t="e">
        <v>#VALUE!</v>
      </c>
      <c r="H570" s="135">
        <v>-1</v>
      </c>
      <c r="I570" s="132"/>
      <c r="J570" s="173" t="e">
        <f>_xll.GetCtData("COAMOUNT","CONSAMOUNT",$A$1:$A$8,$A570:$B570,,"#Erreur de syntaxe : Expression incomplète")/10^3*$H570</f>
        <v>#VALUE!</v>
      </c>
      <c r="K570" s="173"/>
      <c r="L570" s="173" t="e">
        <f>_xll.GetCtData("COAMOUNT","CONSAMOUNT",$A$1:$A$8,$A570:$B570,,"#Erreur de syntaxe : Expression incomplète")/10^3*$H570</f>
        <v>#VALUE!</v>
      </c>
      <c r="N570" s="173" t="e">
        <f>_xll.GetCtData("COAMOUNT","CONSAMOUNT",$A$1:$A$8,$A570:$B570,,"#Erreur de syntaxe : Expression incomplète")/10^3*$H570</f>
        <v>#VALUE!</v>
      </c>
      <c r="P570" s="173" t="e">
        <f t="shared" si="34"/>
        <v>#VALUE!</v>
      </c>
    </row>
    <row r="571" spans="1:16" s="115" customFormat="1" ht="11.25" hidden="1" outlineLevel="1">
      <c r="A571" s="115" t="s">
        <v>1737</v>
      </c>
      <c r="B571" s="115" t="str">
        <f t="shared" si="36"/>
        <v>F99</v>
      </c>
      <c r="C571" s="135" t="s">
        <v>1738</v>
      </c>
      <c r="D571" s="135"/>
      <c r="E571" s="135" t="s">
        <v>1739</v>
      </c>
      <c r="F571" s="135" t="s">
        <v>66</v>
      </c>
      <c r="G571" s="131" t="e">
        <v>#VALUE!</v>
      </c>
      <c r="H571" s="135">
        <v>-1</v>
      </c>
      <c r="I571" s="173" t="e">
        <f>_xll.GetCtData("COAMOUNT","CONSAMOUNT",$A$1:$A$8,$A571:$B571,,"#Erreur de syntaxe : Expression incomplète")/10^3*$H571</f>
        <v>#VALUE!</v>
      </c>
      <c r="J571" s="173"/>
      <c r="K571" s="173"/>
      <c r="L571" s="173" t="e">
        <f>_xll.GetCtData("COAMOUNT","CONSAMOUNT",$A$1:$A$8,$A571:$B571,,"#Erreur de syntaxe : Expression incomplète")/10^3*$H571</f>
        <v>#VALUE!</v>
      </c>
      <c r="N571" s="173" t="e">
        <f>_xll.GetCtData("COAMOUNT","CONSAMOUNT",$A$1:$A$8,$A571:$B571,,"#Erreur de syntaxe : Expression incomplète")/10^3*$H571</f>
        <v>#VALUE!</v>
      </c>
      <c r="P571" s="173" t="e">
        <f t="shared" si="34"/>
        <v>#VALUE!</v>
      </c>
    </row>
    <row r="572" spans="1:16" s="115" customFormat="1" ht="11.25" hidden="1" outlineLevel="1">
      <c r="A572" s="115" t="s">
        <v>1740</v>
      </c>
      <c r="B572" s="115" t="str">
        <f t="shared" si="36"/>
        <v>F99</v>
      </c>
      <c r="C572" s="135" t="s">
        <v>1741</v>
      </c>
      <c r="D572" s="135"/>
      <c r="E572" s="135" t="s">
        <v>1742</v>
      </c>
      <c r="F572" s="135" t="s">
        <v>66</v>
      </c>
      <c r="G572" s="131" t="e">
        <v>#VALUE!</v>
      </c>
      <c r="H572" s="135">
        <v>-1</v>
      </c>
      <c r="I572" s="132"/>
      <c r="J572" s="173"/>
      <c r="K572" s="173" t="e">
        <f>_xll.GetCtData("COAMOUNT","CONSAMOUNT",$A$1:$A$8,$A572:$B572,,"#Erreur de syntaxe : Expression incomplète")/10^3*$H572</f>
        <v>#VALUE!</v>
      </c>
      <c r="L572" s="173" t="e">
        <f>_xll.GetCtData("COAMOUNT","CONSAMOUNT",$A$1:$A$8,$A572:$B572,,"#Erreur de syntaxe : Expression incomplète")/10^3*$H572</f>
        <v>#VALUE!</v>
      </c>
      <c r="N572" s="173" t="e">
        <f>_xll.GetCtData("COAMOUNT","CONSAMOUNT",$A$1:$A$8,$A572:$B572,,"#Erreur de syntaxe : Expression incomplète")/10^3*$H572</f>
        <v>#VALUE!</v>
      </c>
      <c r="P572" s="173" t="e">
        <f t="shared" si="34"/>
        <v>#VALUE!</v>
      </c>
    </row>
    <row r="573" spans="1:16" s="115" customFormat="1" ht="11.25" hidden="1" outlineLevel="1">
      <c r="A573" s="115" t="s">
        <v>1743</v>
      </c>
      <c r="B573" s="115" t="str">
        <f t="shared" si="36"/>
        <v>F99</v>
      </c>
      <c r="C573" s="135" t="s">
        <v>1744</v>
      </c>
      <c r="D573" s="135"/>
      <c r="E573" s="135" t="s">
        <v>1745</v>
      </c>
      <c r="F573" s="135" t="s">
        <v>66</v>
      </c>
      <c r="G573" s="131" t="e">
        <v>#VALUE!</v>
      </c>
      <c r="H573" s="135">
        <v>-1</v>
      </c>
      <c r="I573" s="173" t="e">
        <f>_xll.GetCtData("COAMOUNT","CONSAMOUNT",$A$1:$A$8,$A573:$B573,,"#Erreur de syntaxe : Expression incomplète")/10^3*$H573</f>
        <v>#VALUE!</v>
      </c>
      <c r="J573" s="173"/>
      <c r="K573" s="173"/>
      <c r="L573" s="173" t="e">
        <f>_xll.GetCtData("COAMOUNT","CONSAMOUNT",$A$1:$A$8,$A573:$B573,,"#Erreur de syntaxe : Expression incomplète")/10^3*$H573</f>
        <v>#VALUE!</v>
      </c>
      <c r="N573" s="173" t="e">
        <f>_xll.GetCtData("COAMOUNT","CONSAMOUNT",$A$1:$A$8,$A573:$B573,,"#Erreur de syntaxe : Expression incomplète")/10^3*$H573</f>
        <v>#VALUE!</v>
      </c>
      <c r="P573" s="173" t="e">
        <f t="shared" si="34"/>
        <v>#VALUE!</v>
      </c>
    </row>
    <row r="574" spans="1:16" s="115" customFormat="1" ht="11.25" hidden="1" outlineLevel="1">
      <c r="A574" s="115" t="s">
        <v>1746</v>
      </c>
      <c r="B574" s="115" t="str">
        <f t="shared" si="36"/>
        <v>F99</v>
      </c>
      <c r="C574" s="135" t="s">
        <v>1747</v>
      </c>
      <c r="D574" s="135"/>
      <c r="E574" s="135" t="s">
        <v>1748</v>
      </c>
      <c r="F574" s="135" t="s">
        <v>66</v>
      </c>
      <c r="G574" s="131" t="e">
        <v>#VALUE!</v>
      </c>
      <c r="H574" s="135">
        <v>-1</v>
      </c>
      <c r="I574" s="173" t="e">
        <f>_xll.GetCtData("COAMOUNT","CONSAMOUNT",$A$1:$A$8,$A574:$B574,,"#Erreur de syntaxe : Expression incomplète")/10^3*$H574</f>
        <v>#VALUE!</v>
      </c>
      <c r="J574" s="173"/>
      <c r="K574" s="173"/>
      <c r="L574" s="173" t="e">
        <f>_xll.GetCtData("COAMOUNT","CONSAMOUNT",$A$1:$A$8,$A574:$B574,,"#Erreur de syntaxe : Expression incomplète")/10^3*$H574</f>
        <v>#VALUE!</v>
      </c>
      <c r="N574" s="173" t="e">
        <f>_xll.GetCtData("COAMOUNT","CONSAMOUNT",$A$1:$A$8,$A574:$B574,,"#Erreur de syntaxe : Expression incomplète")/10^3*$H574</f>
        <v>#VALUE!</v>
      </c>
      <c r="P574" s="173" t="e">
        <f t="shared" si="34"/>
        <v>#VALUE!</v>
      </c>
    </row>
    <row r="575" spans="1:16" s="115" customFormat="1" ht="11.25" hidden="1" outlineLevel="1">
      <c r="A575" s="115" t="s">
        <v>1749</v>
      </c>
      <c r="B575" s="115" t="str">
        <f t="shared" si="36"/>
        <v>F99</v>
      </c>
      <c r="C575" s="135" t="s">
        <v>1750</v>
      </c>
      <c r="D575" s="135"/>
      <c r="E575" s="135" t="s">
        <v>1751</v>
      </c>
      <c r="F575" s="135" t="s">
        <v>66</v>
      </c>
      <c r="G575" s="131" t="e">
        <v>#VALUE!</v>
      </c>
      <c r="H575" s="135">
        <v>-1</v>
      </c>
      <c r="I575" s="132"/>
      <c r="J575" s="173"/>
      <c r="K575" s="173" t="e">
        <f>_xll.GetCtData("COAMOUNT","CONSAMOUNT",$A$1:$A$8,$A575:$B575,,"#Erreur de syntaxe : Expression incomplète")/10^3*$H575</f>
        <v>#VALUE!</v>
      </c>
      <c r="L575" s="173" t="e">
        <f>_xll.GetCtData("COAMOUNT","CONSAMOUNT",$A$1:$A$8,$A575:$B575,,"#Erreur de syntaxe : Expression incomplète")/10^3*$H575</f>
        <v>#VALUE!</v>
      </c>
      <c r="N575" s="173" t="e">
        <f>_xll.GetCtData("COAMOUNT","CONSAMOUNT",$A$1:$A$8,$A575:$B575,,"#Erreur de syntaxe : Expression incomplète")/10^3*$H575</f>
        <v>#VALUE!</v>
      </c>
      <c r="P575" s="173" t="e">
        <f t="shared" si="34"/>
        <v>#VALUE!</v>
      </c>
    </row>
    <row r="576" spans="1:16" s="115" customFormat="1" ht="11.25" hidden="1" outlineLevel="1">
      <c r="A576" s="115" t="s">
        <v>1752</v>
      </c>
      <c r="B576" s="115" t="str">
        <f t="shared" si="36"/>
        <v>F99</v>
      </c>
      <c r="C576" s="135" t="s">
        <v>1753</v>
      </c>
      <c r="D576" s="135"/>
      <c r="E576" s="135" t="s">
        <v>1754</v>
      </c>
      <c r="F576" s="135" t="s">
        <v>66</v>
      </c>
      <c r="G576" s="131" t="e">
        <v>#VALUE!</v>
      </c>
      <c r="H576" s="135">
        <v>-1</v>
      </c>
      <c r="I576" s="173" t="e">
        <f>_xll.GetCtData("COAMOUNT","CONSAMOUNT",$A$1:$A$8,$A576:$B576,,"#Erreur de syntaxe : Expression incomplète")/10^3*$H576</f>
        <v>#VALUE!</v>
      </c>
      <c r="J576" s="173"/>
      <c r="K576" s="173"/>
      <c r="L576" s="173" t="e">
        <f>_xll.GetCtData("COAMOUNT","CONSAMOUNT",$A$1:$A$8,$A576:$B576,,"#Erreur de syntaxe : Expression incomplète")/10^3*$H576</f>
        <v>#VALUE!</v>
      </c>
      <c r="N576" s="173" t="e">
        <f>_xll.GetCtData("COAMOUNT","CONSAMOUNT",$A$1:$A$8,$A576:$B576,,"#Erreur de syntaxe : Expression incomplète")/10^3*$H576</f>
        <v>#VALUE!</v>
      </c>
      <c r="P576" s="173" t="e">
        <f t="shared" si="34"/>
        <v>#VALUE!</v>
      </c>
    </row>
    <row r="577" spans="1:16" s="115" customFormat="1" ht="11.25" hidden="1" outlineLevel="1">
      <c r="A577" s="115" t="s">
        <v>1755</v>
      </c>
      <c r="B577" s="115" t="str">
        <f t="shared" si="36"/>
        <v>F99</v>
      </c>
      <c r="C577" s="135" t="s">
        <v>1141</v>
      </c>
      <c r="D577" s="135"/>
      <c r="E577" s="135" t="s">
        <v>1142</v>
      </c>
      <c r="F577" s="135" t="s">
        <v>66</v>
      </c>
      <c r="G577" s="131" t="e">
        <v>#VALUE!</v>
      </c>
      <c r="H577" s="135">
        <v>-1</v>
      </c>
      <c r="I577" s="173" t="e">
        <f>_xll.GetCtData("COAMOUNT","CONSAMOUNT",$A$1:$A$8,$A577:$B577,,"#Erreur de syntaxe : Expression incomplète")/10^3*$H577</f>
        <v>#VALUE!</v>
      </c>
      <c r="J577" s="173"/>
      <c r="K577" s="173"/>
      <c r="L577" s="173" t="e">
        <f>_xll.GetCtData("COAMOUNT","CONSAMOUNT",$A$1:$A$8,$A577:$B577,,"#Erreur de syntaxe : Expression incomplète")/10^3*$H577</f>
        <v>#VALUE!</v>
      </c>
      <c r="N577" s="173" t="e">
        <f>_xll.GetCtData("COAMOUNT","CONSAMOUNT",$A$1:$A$8,$A577:$B577,,"#Erreur de syntaxe : Expression incomplète")/10^3*$H577</f>
        <v>#VALUE!</v>
      </c>
      <c r="P577" s="173" t="e">
        <f t="shared" si="34"/>
        <v>#VALUE!</v>
      </c>
    </row>
    <row r="578" spans="1:16" s="115" customFormat="1" ht="11.25" hidden="1" outlineLevel="1">
      <c r="A578" s="115" t="s">
        <v>1756</v>
      </c>
      <c r="B578" s="115" t="str">
        <f t="shared" si="36"/>
        <v>F99</v>
      </c>
      <c r="C578" s="135" t="s">
        <v>1135</v>
      </c>
      <c r="D578" s="135"/>
      <c r="E578" s="135" t="s">
        <v>1136</v>
      </c>
      <c r="F578" s="135" t="s">
        <v>66</v>
      </c>
      <c r="G578" s="131" t="e">
        <v>#VALUE!</v>
      </c>
      <c r="H578" s="135">
        <v>-1</v>
      </c>
      <c r="I578" s="173" t="e">
        <f>_xll.GetCtData("COAMOUNT","CONSAMOUNT",$A$1:$A$8,$A578:$B578,,"#Erreur de syntaxe : Expression incomplète")/10^3*$H578</f>
        <v>#VALUE!</v>
      </c>
      <c r="J578" s="173"/>
      <c r="K578" s="173"/>
      <c r="L578" s="173" t="e">
        <f>_xll.GetCtData("COAMOUNT","CONSAMOUNT",$A$1:$A$8,$A578:$B578,,"#Erreur de syntaxe : Expression incomplète")/10^3*$H578</f>
        <v>#VALUE!</v>
      </c>
      <c r="N578" s="173" t="e">
        <f>_xll.GetCtData("COAMOUNT","CONSAMOUNT",$A$1:$A$8,$A578:$B578,,"#Erreur de syntaxe : Expression incomplète")/10^3*$H578</f>
        <v>#VALUE!</v>
      </c>
      <c r="P578" s="173" t="e">
        <f t="shared" si="34"/>
        <v>#VALUE!</v>
      </c>
    </row>
    <row r="579" spans="1:16" s="115" customFormat="1" ht="11.25" hidden="1" outlineLevel="1">
      <c r="A579" s="115" t="s">
        <v>1757</v>
      </c>
      <c r="B579" s="115" t="str">
        <f t="shared" si="36"/>
        <v>F99</v>
      </c>
      <c r="C579" s="135" t="s">
        <v>1133</v>
      </c>
      <c r="D579" s="135"/>
      <c r="E579" s="135" t="s">
        <v>1134</v>
      </c>
      <c r="F579" s="135" t="s">
        <v>66</v>
      </c>
      <c r="G579" s="131" t="e">
        <v>#VALUE!</v>
      </c>
      <c r="H579" s="135">
        <v>-1</v>
      </c>
      <c r="I579" s="132"/>
      <c r="J579" s="173" t="e">
        <f>_xll.GetCtData("COAMOUNT","CONSAMOUNT",$A$1:$A$8,$A579:$B579,,"#Erreur de syntaxe : Expression incomplète")/10^3*$H579</f>
        <v>#VALUE!</v>
      </c>
      <c r="K579" s="173"/>
      <c r="L579" s="173" t="e">
        <f>_xll.GetCtData("COAMOUNT","CONSAMOUNT",$A$1:$A$8,$A579:$B579,,"#Erreur de syntaxe : Expression incomplète")/10^3*$H579</f>
        <v>#VALUE!</v>
      </c>
      <c r="N579" s="173" t="e">
        <f>_xll.GetCtData("COAMOUNT","CONSAMOUNT",$A$1:$A$8,$A579:$B579,,"#Erreur de syntaxe : Expression incomplète")/10^3*$H579</f>
        <v>#VALUE!</v>
      </c>
      <c r="P579" s="173" t="e">
        <f t="shared" si="34"/>
        <v>#VALUE!</v>
      </c>
    </row>
    <row r="580" spans="1:16" s="115" customFormat="1" ht="11.25" hidden="1" outlineLevel="1">
      <c r="A580" s="115" t="s">
        <v>1758</v>
      </c>
      <c r="B580" s="115" t="str">
        <f t="shared" si="36"/>
        <v>F99</v>
      </c>
      <c r="C580" s="135" t="s">
        <v>1139</v>
      </c>
      <c r="D580" s="135"/>
      <c r="E580" s="135" t="s">
        <v>1140</v>
      </c>
      <c r="F580" s="135" t="s">
        <v>66</v>
      </c>
      <c r="G580" s="131" t="e">
        <v>#VALUE!</v>
      </c>
      <c r="H580" s="135">
        <v>-1</v>
      </c>
      <c r="I580" s="132"/>
      <c r="J580" s="173" t="e">
        <f>_xll.GetCtData("COAMOUNT","CONSAMOUNT",$A$1:$A$8,$A580:$B580,,"#Erreur de syntaxe : Expression incomplète")/10^3*$H580</f>
        <v>#VALUE!</v>
      </c>
      <c r="K580" s="173"/>
      <c r="L580" s="173" t="e">
        <f>_xll.GetCtData("COAMOUNT","CONSAMOUNT",$A$1:$A$8,$A580:$B580,,"#Erreur de syntaxe : Expression incomplète")/10^3*$H580</f>
        <v>#VALUE!</v>
      </c>
      <c r="N580" s="173" t="e">
        <f>_xll.GetCtData("COAMOUNT","CONSAMOUNT",$A$1:$A$8,$A580:$B580,,"#Erreur de syntaxe : Expression incomplète")/10^3*$H580</f>
        <v>#VALUE!</v>
      </c>
      <c r="P580" s="173" t="e">
        <f t="shared" si="34"/>
        <v>#VALUE!</v>
      </c>
    </row>
    <row r="581" spans="1:16" s="115" customFormat="1" ht="11.25" hidden="1" outlineLevel="1">
      <c r="A581" s="115" t="s">
        <v>1759</v>
      </c>
      <c r="B581" s="115" t="str">
        <f t="shared" si="36"/>
        <v>F99</v>
      </c>
      <c r="C581" s="135" t="s">
        <v>1143</v>
      </c>
      <c r="D581" s="135"/>
      <c r="E581" s="135" t="s">
        <v>1144</v>
      </c>
      <c r="F581" s="135" t="s">
        <v>66</v>
      </c>
      <c r="G581" s="131" t="e">
        <v>#VALUE!</v>
      </c>
      <c r="H581" s="135">
        <v>-1</v>
      </c>
      <c r="I581" s="173" t="e">
        <f>_xll.GetCtData("COAMOUNT","CONSAMOUNT",$A$1:$A$8,$A581:$B581,,"#Erreur de syntaxe : Expression incomplète")/10^3*$H581</f>
        <v>#VALUE!</v>
      </c>
      <c r="J581" s="173"/>
      <c r="K581" s="173"/>
      <c r="L581" s="173" t="e">
        <f>_xll.GetCtData("COAMOUNT","CONSAMOUNT",$A$1:$A$8,$A581:$B581,,"#Erreur de syntaxe : Expression incomplète")/10^3*$H581</f>
        <v>#VALUE!</v>
      </c>
      <c r="N581" s="173" t="e">
        <f>_xll.GetCtData("COAMOUNT","CONSAMOUNT",$A$1:$A$8,$A581:$B581,,"#Erreur de syntaxe : Expression incomplète")/10^3*$H581</f>
        <v>#VALUE!</v>
      </c>
      <c r="P581" s="173" t="e">
        <f t="shared" si="34"/>
        <v>#VALUE!</v>
      </c>
    </row>
    <row r="582" spans="1:16" s="115" customFormat="1" ht="11.25" hidden="1" outlineLevel="1">
      <c r="A582" s="115" t="s">
        <v>1760</v>
      </c>
      <c r="B582" s="115" t="str">
        <f t="shared" si="36"/>
        <v>F99</v>
      </c>
      <c r="C582" s="135" t="s">
        <v>1137</v>
      </c>
      <c r="D582" s="135"/>
      <c r="E582" s="135" t="s">
        <v>1138</v>
      </c>
      <c r="F582" s="135" t="s">
        <v>66</v>
      </c>
      <c r="G582" s="131" t="e">
        <v>#VALUE!</v>
      </c>
      <c r="H582" s="135">
        <v>-1</v>
      </c>
      <c r="I582" s="173" t="e">
        <f>_xll.GetCtData("COAMOUNT","CONSAMOUNT",$A$1:$A$8,$A582:$B582,,"#Erreur de syntaxe : Expression incomplète")/10^3*$H582</f>
        <v>#VALUE!</v>
      </c>
      <c r="J582" s="173"/>
      <c r="K582" s="173"/>
      <c r="L582" s="173" t="e">
        <f>_xll.GetCtData("COAMOUNT","CONSAMOUNT",$A$1:$A$8,$A582:$B582,,"#Erreur de syntaxe : Expression incomplète")/10^3*$H582</f>
        <v>#VALUE!</v>
      </c>
      <c r="N582" s="173" t="e">
        <f>_xll.GetCtData("COAMOUNT","CONSAMOUNT",$A$1:$A$8,$A582:$B582,,"#Erreur de syntaxe : Expression incomplète")/10^3*$H582</f>
        <v>#VALUE!</v>
      </c>
      <c r="P582" s="173" t="e">
        <f t="shared" si="34"/>
        <v>#VALUE!</v>
      </c>
    </row>
    <row r="583" spans="1:16" s="115" customFormat="1" ht="11.25" hidden="1" outlineLevel="1">
      <c r="C583" s="146"/>
      <c r="D583" s="146"/>
      <c r="E583" s="174" t="s">
        <v>1570</v>
      </c>
      <c r="F583" s="174"/>
      <c r="G583" s="174"/>
      <c r="H583" s="174"/>
      <c r="I583" s="175" t="e">
        <f>SUM(I569:I582)/10^3-I568</f>
        <v>#VALUE!</v>
      </c>
      <c r="J583" s="175" t="e">
        <f>SUM(J569:J582)/10^3-J568</f>
        <v>#VALUE!</v>
      </c>
      <c r="K583" s="175" t="e">
        <f>SUM(K569:K582)/10^3-K568</f>
        <v>#VALUE!</v>
      </c>
      <c r="L583" s="175" t="e">
        <f>SUM(L569:L582)/10^3-L568</f>
        <v>#VALUE!</v>
      </c>
      <c r="N583" s="175" t="e">
        <f>SUM(N569:N582)/10^3-N568</f>
        <v>#VALUE!</v>
      </c>
      <c r="P583" s="175" t="e">
        <f t="shared" si="34"/>
        <v>#VALUE!</v>
      </c>
    </row>
    <row r="584" spans="1:16" ht="12" customHeight="1" collapsed="1" thickBot="1">
      <c r="A584" s="87" t="s">
        <v>74</v>
      </c>
      <c r="C584" s="176" t="str">
        <f>A584</f>
        <v>FL=F99</v>
      </c>
      <c r="D584" s="176"/>
      <c r="E584" s="14" t="s">
        <v>114</v>
      </c>
      <c r="F584" s="14"/>
      <c r="G584" s="20"/>
      <c r="H584" s="20"/>
      <c r="I584" s="177">
        <f>_xll.GetCtData("COAMOUNT","CONSAMOUNT",$A$1:$A$8,$A584,H$6,"#7703796,41005733")/10^3</f>
        <v>7703.7964100573299</v>
      </c>
      <c r="J584" s="177">
        <f>_xll.GetCtData("COAMOUNT","CONSAMOUNT",$A$1:$A$8,$A584,I$6,"#64166")/10^3</f>
        <v>64.165999999999997</v>
      </c>
      <c r="K584" s="177">
        <f>_xll.GetCtData("COAMOUNT","CONSAMOUNT",$A$1:$A$8,$A584,J$6,"#907426")/10^3</f>
        <v>907.42600000000004</v>
      </c>
      <c r="L584" s="177">
        <f>_xll.GetCtData("COAMOUNT","CONSAMOUNT",$A$1:$A$8,$A584,K$6,"#8675388,41005733")/10^3</f>
        <v>8675.3884100573305</v>
      </c>
      <c r="N584" s="177">
        <v>70295.780986796803</v>
      </c>
      <c r="P584" s="177">
        <f t="shared" si="34"/>
        <v>78971.169396854137</v>
      </c>
    </row>
    <row r="586" spans="1:16" s="47" customFormat="1" ht="11.25">
      <c r="D586" s="108" t="s">
        <v>1030</v>
      </c>
      <c r="E586" s="165" t="s">
        <v>114</v>
      </c>
      <c r="F586" s="188"/>
      <c r="G586" s="188"/>
      <c r="H586" s="188"/>
      <c r="I586" s="188">
        <f>I552+I568-I584</f>
        <v>0</v>
      </c>
      <c r="J586" s="188">
        <f>J552+J568-J584</f>
        <v>0</v>
      </c>
      <c r="K586" s="188">
        <f>K552+K568-K584</f>
        <v>0</v>
      </c>
      <c r="L586" s="188">
        <f>L552+L568-L584</f>
        <v>0</v>
      </c>
      <c r="N586" s="188">
        <f>N552+N568-N584</f>
        <v>0</v>
      </c>
      <c r="P586" s="188">
        <f>P552+P568-P584</f>
        <v>0</v>
      </c>
    </row>
    <row r="587" spans="1:16" s="47" customFormat="1" ht="11.25">
      <c r="D587" s="108" t="s">
        <v>1030</v>
      </c>
      <c r="E587" s="165" t="s">
        <v>106</v>
      </c>
      <c r="F587" s="188"/>
      <c r="G587" s="188"/>
      <c r="H587" s="188"/>
      <c r="I587" s="188">
        <f>I11+I27-I43</f>
        <v>0</v>
      </c>
      <c r="J587" s="188">
        <f>J11+J27-J43</f>
        <v>0</v>
      </c>
      <c r="K587" s="188">
        <f>K11+K27-K43</f>
        <v>0</v>
      </c>
      <c r="L587" s="188">
        <f>L11+L27-L43</f>
        <v>0</v>
      </c>
      <c r="N587" s="188">
        <f>N11+N27-N43</f>
        <v>0</v>
      </c>
      <c r="P587" s="188">
        <f>P11+P27-P43</f>
        <v>0</v>
      </c>
    </row>
    <row r="588" spans="1:16" s="47" customFormat="1" ht="11.25">
      <c r="D588" s="108" t="s">
        <v>1030</v>
      </c>
      <c r="E588" s="109" t="s">
        <v>1095</v>
      </c>
      <c r="F588" s="188"/>
      <c r="G588" s="188"/>
      <c r="H588" s="188"/>
      <c r="I588" s="188">
        <f>I43+I206+I208+I209-I584</f>
        <v>1.0000000092986738E-3</v>
      </c>
      <c r="J588" s="188">
        <f>J43+J206+J208+J209-J584</f>
        <v>0</v>
      </c>
      <c r="K588" s="188">
        <f>K43+K206+K208+K209-K584</f>
        <v>1.9999999999527063E-3</v>
      </c>
      <c r="L588" s="188">
        <f>L43+L206+L208+L209-L584</f>
        <v>3.0000000115251169E-3</v>
      </c>
      <c r="N588" s="188">
        <f>N43+N206+N208+N209-N584</f>
        <v>6.472092994954437E-3</v>
      </c>
      <c r="P588" s="188">
        <f>P43+P206+P208+P209-P584</f>
        <v>9.4720929919276386E-3</v>
      </c>
    </row>
    <row r="589" spans="1:16" s="47" customFormat="1" ht="11.25">
      <c r="D589" s="108" t="s">
        <v>1030</v>
      </c>
      <c r="E589" s="165" t="s">
        <v>112</v>
      </c>
      <c r="F589" s="188"/>
      <c r="G589" s="188"/>
      <c r="H589" s="188"/>
      <c r="I589" s="188">
        <f>I466+I296+I210-I209</f>
        <v>0</v>
      </c>
      <c r="J589" s="188">
        <f>J466+J296+J210-J209</f>
        <v>0</v>
      </c>
      <c r="K589" s="188">
        <f>K466+K296+K210-K209</f>
        <v>0</v>
      </c>
      <c r="L589" s="188">
        <f>L466+L296+L210-L209</f>
        <v>0</v>
      </c>
      <c r="N589" s="188">
        <f>N466+N296+N210-N209</f>
        <v>0</v>
      </c>
      <c r="P589" s="188">
        <f>P466+P296+P210-P209</f>
        <v>0</v>
      </c>
    </row>
    <row r="590" spans="1:16" s="47" customFormat="1" ht="11.25">
      <c r="D590" s="108" t="s">
        <v>1030</v>
      </c>
      <c r="E590" s="165" t="s">
        <v>110</v>
      </c>
      <c r="F590" s="188"/>
      <c r="G590" s="188"/>
      <c r="H590" s="188"/>
      <c r="I590" s="188">
        <f>I207-I208</f>
        <v>0</v>
      </c>
      <c r="J590" s="188">
        <f>J207-J208</f>
        <v>0</v>
      </c>
      <c r="K590" s="188">
        <f>K207-K208</f>
        <v>0</v>
      </c>
      <c r="L590" s="188">
        <f>L207-L208</f>
        <v>0</v>
      </c>
      <c r="N590" s="188">
        <f>N207-N208</f>
        <v>0</v>
      </c>
      <c r="P590" s="188">
        <f>P207-P208</f>
        <v>0</v>
      </c>
    </row>
    <row r="591" spans="1:16" s="47" customFormat="1" ht="11.25">
      <c r="D591" s="108" t="s">
        <v>1030</v>
      </c>
      <c r="E591" s="109" t="s">
        <v>109</v>
      </c>
      <c r="F591" s="188"/>
      <c r="G591" s="188"/>
      <c r="H591" s="188"/>
      <c r="I591" s="188">
        <f>I44+I78+I108+I204-I206</f>
        <v>0</v>
      </c>
      <c r="J591" s="188">
        <f>J44+J78+J108+J204-J206</f>
        <v>0</v>
      </c>
      <c r="K591" s="188">
        <f>K44+K78+K108+K204-K206</f>
        <v>0</v>
      </c>
      <c r="L591" s="188">
        <f>L44+L78+L108+L204-L206</f>
        <v>6.1705492998953559E-4</v>
      </c>
      <c r="N591" s="188">
        <f>N206-N119-N204</f>
        <v>-4.3200998334214091E-12</v>
      </c>
      <c r="O591" s="188">
        <f>O206-O119-O204</f>
        <v>0</v>
      </c>
      <c r="P591" s="188">
        <f>P206-P119-P204</f>
        <v>-6.1705494022135099E-4</v>
      </c>
    </row>
    <row r="592" spans="1:16">
      <c r="C592" s="108"/>
      <c r="D592" s="108"/>
    </row>
    <row r="593" spans="3:4">
      <c r="C593" s="108"/>
      <c r="D593" s="108"/>
    </row>
  </sheetData>
  <customSheetViews>
    <customSheetView guid="{6357C996-BE12-4F66-ACBB-1F9F08F8885C}" showGridLines="0" hiddenRows="1" hiddenColumns="1" state="hidden" topLeftCell="D6">
      <selection activeCell="Q54" sqref="Q54"/>
      <pageMargins left="0.7" right="0.7" top="0.75" bottom="0.75" header="0.3" footer="0.3"/>
      <pageSetup paperSize="9" orientation="portrait" r:id="rId1"/>
    </customSheetView>
    <customSheetView guid="{5874C782-5C34-4C4C-BCC6-3692259149CA}" showGridLines="0" hiddenRows="1" hiddenColumns="1" state="hidden" topLeftCell="D6">
      <selection activeCell="Q54" sqref="Q54"/>
      <pageMargins left="0.7" right="0.7" top="0.75" bottom="0.75" header="0.3" footer="0.3"/>
      <pageSetup paperSize="9" orientation="portrait" r:id="rId2"/>
    </customSheetView>
  </customSheetViews>
  <mergeCells count="3">
    <mergeCell ref="I9:L9"/>
    <mergeCell ref="N9:N10"/>
    <mergeCell ref="P9:P10"/>
  </mergeCells>
  <conditionalFormatting sqref="A1">
    <cfRule type="duplicateValues" dxfId="985" priority="1"/>
  </conditionalFormatting>
  <pageMargins left="0.7" right="0.7" top="0.75" bottom="0.75" header="0.3" footer="0.3"/>
  <pageSetup paperSize="9" orientation="portrait" r:id="rId3"/>
  <customProperties>
    <customPr name="EpmWorksheetKeyString_GUID" r:id="rId4"/>
  </customProperties>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Feuil10"/>
  <dimension ref="A1:C296"/>
  <sheetViews>
    <sheetView showGridLines="0" zoomScale="85" zoomScaleNormal="85" workbookViewId="0">
      <selection activeCell="A19" sqref="A19"/>
    </sheetView>
  </sheetViews>
  <sheetFormatPr baseColWidth="10" defaultColWidth="10.85546875" defaultRowHeight="12"/>
  <cols>
    <col min="1" max="1" width="83.140625" style="235" customWidth="1"/>
    <col min="2" max="2" width="10.85546875" style="424" customWidth="1"/>
    <col min="3" max="3" width="11.42578125" style="424" customWidth="1"/>
    <col min="4" max="16384" width="10.85546875" style="206"/>
  </cols>
  <sheetData>
    <row r="1" spans="1:3">
      <c r="A1" s="292"/>
    </row>
    <row r="2" spans="1:3" ht="15.75">
      <c r="A2" s="351" t="s">
        <v>39</v>
      </c>
    </row>
    <row r="3" spans="1:3" ht="15.75">
      <c r="A3" s="351" t="s">
        <v>2630</v>
      </c>
    </row>
    <row r="4" spans="1:3">
      <c r="A4" s="292"/>
    </row>
    <row r="5" spans="1:3">
      <c r="A5" s="292"/>
    </row>
    <row r="6" spans="1:3" ht="14.45" customHeight="1">
      <c r="A6" s="425" t="s">
        <v>1</v>
      </c>
      <c r="B6" s="1153">
        <v>45657</v>
      </c>
      <c r="C6" s="1154">
        <v>45291</v>
      </c>
    </row>
    <row r="7" spans="1:3" s="424" customFormat="1" ht="12" customHeight="1" thickBot="1">
      <c r="A7" s="293" t="s">
        <v>1447</v>
      </c>
      <c r="B7" s="441">
        <v>1956298</v>
      </c>
      <c r="C7" s="442">
        <v>2043856.4842701829</v>
      </c>
    </row>
    <row r="8" spans="1:3" s="424" customFormat="1" ht="12" customHeight="1" thickBot="1">
      <c r="A8" s="288" t="s">
        <v>40</v>
      </c>
      <c r="B8" s="443">
        <v>-984350</v>
      </c>
      <c r="C8" s="444">
        <v>-868826.13877247681</v>
      </c>
    </row>
    <row r="9" spans="1:3" s="424" customFormat="1" ht="12" customHeight="1">
      <c r="A9" s="294" t="s">
        <v>210</v>
      </c>
      <c r="B9" s="295">
        <v>-871583</v>
      </c>
      <c r="C9" s="296">
        <v>8875659.7766238209</v>
      </c>
    </row>
    <row r="10" spans="1:3" s="424" customFormat="1" ht="12" customHeight="1">
      <c r="A10" s="210" t="s">
        <v>42</v>
      </c>
      <c r="B10" s="297">
        <v>-163011</v>
      </c>
      <c r="C10" s="298">
        <v>9112633.5776180048</v>
      </c>
    </row>
    <row r="11" spans="1:3" s="424" customFormat="1" ht="12" customHeight="1">
      <c r="A11" s="210" t="s">
        <v>1857</v>
      </c>
      <c r="B11" s="297">
        <v>-708572</v>
      </c>
      <c r="C11" s="298">
        <v>-236974.40693059936</v>
      </c>
    </row>
    <row r="12" spans="1:3" s="424" customFormat="1" ht="12" customHeight="1">
      <c r="A12" s="294" t="s">
        <v>11</v>
      </c>
      <c r="B12" s="295">
        <v>-36882</v>
      </c>
      <c r="C12" s="296">
        <v>-46236.729500000001</v>
      </c>
    </row>
    <row r="13" spans="1:3" s="424" customFormat="1" ht="12" customHeight="1">
      <c r="A13" s="210" t="s">
        <v>43</v>
      </c>
      <c r="B13" s="297">
        <v>42964</v>
      </c>
      <c r="C13" s="298">
        <v>-74731.729500000001</v>
      </c>
    </row>
    <row r="14" spans="1:3" s="424" customFormat="1" ht="12" customHeight="1">
      <c r="A14" s="210" t="s">
        <v>44</v>
      </c>
      <c r="B14" s="297">
        <v>-79846</v>
      </c>
      <c r="C14" s="298">
        <v>28495.3</v>
      </c>
    </row>
    <row r="15" spans="1:3" s="424" customFormat="1" ht="12" customHeight="1">
      <c r="A15" s="299" t="s">
        <v>1858</v>
      </c>
      <c r="B15" s="295">
        <v>845473</v>
      </c>
      <c r="C15" s="296">
        <v>-10268363.113380957</v>
      </c>
    </row>
    <row r="16" spans="1:3" s="424" customFormat="1">
      <c r="A16" s="294" t="s">
        <v>1859</v>
      </c>
      <c r="B16" s="295">
        <v>6921</v>
      </c>
      <c r="C16" s="296">
        <v>6167</v>
      </c>
    </row>
    <row r="17" spans="1:3" s="424" customFormat="1" ht="12" customHeight="1">
      <c r="A17" s="299" t="s">
        <v>13</v>
      </c>
      <c r="B17" s="295">
        <v>-971006</v>
      </c>
      <c r="C17" s="296">
        <v>215481.46142853791</v>
      </c>
    </row>
    <row r="18" spans="1:3" s="424" customFormat="1" ht="12.75" customHeight="1">
      <c r="A18" s="299" t="s">
        <v>41</v>
      </c>
      <c r="B18" s="295">
        <v>42727</v>
      </c>
      <c r="C18" s="296">
        <v>348465.4660561225</v>
      </c>
    </row>
    <row r="19" spans="1:3" s="424" customFormat="1" ht="2.25" customHeight="1" thickBot="1">
      <c r="A19" s="299"/>
      <c r="B19" s="445"/>
      <c r="C19" s="446"/>
    </row>
    <row r="20" spans="1:3" s="424" customFormat="1" ht="12" customHeight="1" thickBot="1">
      <c r="A20" s="300" t="s">
        <v>45</v>
      </c>
      <c r="B20" s="301">
        <v>138030</v>
      </c>
      <c r="C20" s="302">
        <v>1722481.1229000047</v>
      </c>
    </row>
    <row r="21" spans="1:3" ht="12" customHeight="1">
      <c r="A21" s="294" t="s">
        <v>1222</v>
      </c>
      <c r="B21" s="303">
        <v>202957</v>
      </c>
      <c r="C21" s="304">
        <v>2309225.0000000047</v>
      </c>
    </row>
    <row r="22" spans="1:3" s="424" customFormat="1">
      <c r="A22" s="299" t="s">
        <v>1872</v>
      </c>
      <c r="B22" s="447">
        <v>0</v>
      </c>
      <c r="C22" s="448">
        <v>0</v>
      </c>
    </row>
    <row r="23" spans="1:3" s="424" customFormat="1">
      <c r="A23" s="299" t="s">
        <v>1873</v>
      </c>
      <c r="B23" s="447">
        <v>0</v>
      </c>
      <c r="C23" s="448">
        <v>0</v>
      </c>
    </row>
    <row r="24" spans="1:3" s="424" customFormat="1">
      <c r="A24" s="299" t="s">
        <v>1212</v>
      </c>
      <c r="B24" s="447">
        <v>-17590</v>
      </c>
      <c r="C24" s="448">
        <v>12846</v>
      </c>
    </row>
    <row r="25" spans="1:3" s="290" customFormat="1" ht="11.45" customHeight="1">
      <c r="A25" s="299" t="s">
        <v>41</v>
      </c>
      <c r="B25" s="447">
        <v>-47337</v>
      </c>
      <c r="C25" s="448">
        <v>-599589.87709999993</v>
      </c>
    </row>
    <row r="26" spans="1:3" s="424" customFormat="1" ht="12" customHeight="1">
      <c r="A26" s="305" t="s">
        <v>46</v>
      </c>
      <c r="B26" s="306">
        <v>-846320</v>
      </c>
      <c r="C26" s="307">
        <v>853654.9841275278</v>
      </c>
    </row>
    <row r="27" spans="1:3" s="424" customFormat="1" ht="12" customHeight="1">
      <c r="A27" s="308" t="s">
        <v>1988</v>
      </c>
      <c r="B27" s="309">
        <v>1109978</v>
      </c>
      <c r="C27" s="310">
        <v>2897511.4683977109</v>
      </c>
    </row>
    <row r="28" spans="1:3" ht="12" customHeight="1">
      <c r="A28" s="451" t="s">
        <v>1990</v>
      </c>
      <c r="B28" s="429">
        <v>1291554</v>
      </c>
      <c r="C28" s="430">
        <v>2350804.7011554735</v>
      </c>
    </row>
    <row r="29" spans="1:3" s="426" customFormat="1" ht="24">
      <c r="A29" s="451" t="s">
        <v>1989</v>
      </c>
      <c r="B29" s="431">
        <v>-181576</v>
      </c>
      <c r="C29" s="432">
        <v>546706.76724223758</v>
      </c>
    </row>
    <row r="30" spans="1:3" ht="12" customHeight="1"/>
    <row r="31" spans="1:3">
      <c r="C31" s="422"/>
    </row>
    <row r="32" spans="1:3">
      <c r="C32" s="422"/>
    </row>
    <row r="33" spans="3:3">
      <c r="C33" s="422"/>
    </row>
    <row r="34" spans="3:3">
      <c r="C34" s="422"/>
    </row>
    <row r="35" spans="3:3">
      <c r="C35" s="422"/>
    </row>
    <row r="36" spans="3:3">
      <c r="C36" s="422"/>
    </row>
    <row r="37" spans="3:3">
      <c r="C37" s="422"/>
    </row>
    <row r="38" spans="3:3">
      <c r="C38" s="422"/>
    </row>
    <row r="39" spans="3:3">
      <c r="C39" s="422"/>
    </row>
    <row r="40" spans="3:3">
      <c r="C40" s="422"/>
    </row>
    <row r="41" spans="3:3">
      <c r="C41" s="422"/>
    </row>
    <row r="42" spans="3:3">
      <c r="C42" s="422"/>
    </row>
    <row r="43" spans="3:3">
      <c r="C43" s="422"/>
    </row>
    <row r="44" spans="3:3">
      <c r="C44" s="422"/>
    </row>
    <row r="45" spans="3:3">
      <c r="C45" s="422"/>
    </row>
    <row r="46" spans="3:3">
      <c r="C46" s="422"/>
    </row>
    <row r="47" spans="3:3">
      <c r="C47" s="422"/>
    </row>
    <row r="48" spans="3:3">
      <c r="C48" s="422"/>
    </row>
    <row r="49" spans="3:3">
      <c r="C49" s="422"/>
    </row>
    <row r="50" spans="3:3">
      <c r="C50" s="422"/>
    </row>
    <row r="51" spans="3:3">
      <c r="C51" s="422"/>
    </row>
    <row r="52" spans="3:3">
      <c r="C52" s="422"/>
    </row>
    <row r="53" spans="3:3">
      <c r="C53" s="422"/>
    </row>
    <row r="295" spans="2:3">
      <c r="B295" s="424" t="s">
        <v>2086</v>
      </c>
      <c r="C295" s="424" t="s">
        <v>2411</v>
      </c>
    </row>
    <row r="296" spans="2:3">
      <c r="B296" s="424" t="s">
        <v>2086</v>
      </c>
    </row>
  </sheetData>
  <customSheetViews>
    <customSheetView guid="{9861AEDC-A168-4FA5-BC34-0FF06E2D98B0}" showGridLines="0" hiddenRows="1" topLeftCell="A10">
      <selection activeCell="H13" sqref="H13"/>
      <pageMargins left="0.7" right="0.7" top="0.75" bottom="0.75" header="0.3" footer="0.3"/>
      <pageSetup paperSize="9" orientation="portrait" r:id="rId1"/>
    </customSheetView>
    <customSheetView guid="{6026142C-022D-477E-A086-A3D1CB0201B2}" showGridLines="0" topLeftCell="A43">
      <selection activeCell="F36" sqref="F36"/>
      <pageMargins left="0.7" right="0.7" top="0.75" bottom="0.75" header="0.3" footer="0.3"/>
      <pageSetup paperSize="9" orientation="portrait" r:id="rId2"/>
    </customSheetView>
    <customSheetView guid="{0988812C-B87C-4041-945B-D3D481C0E3B2}" topLeftCell="A43">
      <selection activeCell="A5" sqref="A5:XFD5"/>
      <pageMargins left="0.7" right="0.7" top="0.75" bottom="0.75" header="0.3" footer="0.3"/>
      <pageSetup paperSize="9" orientation="portrait" r:id="rId3"/>
    </customSheetView>
    <customSheetView guid="{9B5412D3-CE8B-4D5C-87A1-6A92385B5055}">
      <pageMargins left="0.7" right="0.7" top="0.75" bottom="0.75" header="0.3" footer="0.3"/>
      <pageSetup paperSize="9" orientation="portrait" r:id="rId4"/>
    </customSheetView>
    <customSheetView guid="{1E6FDA0A-7324-47B7-8781-F649F81C62F2}">
      <pageMargins left="0.7" right="0.7" top="0.75" bottom="0.75" header="0.3" footer="0.3"/>
      <pageSetup paperSize="9" orientation="portrait" r:id="rId5"/>
    </customSheetView>
    <customSheetView guid="{10FE0AC7-DC28-4361-9D3E-E82A44C052DC}">
      <selection activeCell="C20" sqref="C20"/>
      <pageMargins left="0.7" right="0.7" top="0.75" bottom="0.75" header="0.3" footer="0.3"/>
      <pageSetup paperSize="9" orientation="portrait" r:id="rId6"/>
    </customSheetView>
    <customSheetView guid="{15FEF1C5-8ED8-40F7-B190-479F9E1DDCD0}" showGridLines="0" hiddenRows="1" topLeftCell="A13">
      <selection activeCell="C88" sqref="C88"/>
      <pageMargins left="0.7" right="0.7" top="0.75" bottom="0.75" header="0.3" footer="0.3"/>
      <pageSetup paperSize="9" orientation="portrait" r:id="rId7"/>
    </customSheetView>
    <customSheetView guid="{4561BCBD-DB5E-4D30-A9CE-7BB23B692C5E}" showGridLines="0" topLeftCell="A43">
      <selection activeCell="F36" sqref="F36"/>
      <pageMargins left="0.7" right="0.7" top="0.75" bottom="0.75" header="0.3" footer="0.3"/>
      <pageSetup paperSize="9" orientation="portrait" r:id="rId8"/>
    </customSheetView>
    <customSheetView guid="{B96AA43F-C6B6-4097-9127-C885199888B4}" showGridLines="0" hiddenRows="1" topLeftCell="A10">
      <selection activeCell="H13" sqref="H13"/>
      <pageMargins left="0.7" right="0.7" top="0.75" bottom="0.75" header="0.3" footer="0.3"/>
      <pageSetup paperSize="9" orientation="portrait" r:id="rId9"/>
    </customSheetView>
    <customSheetView guid="{6357C996-BE12-4F66-ACBB-1F9F08F8885C}" showGridLines="0" hiddenRows="1" hiddenColumns="1" topLeftCell="D1">
      <selection activeCell="J46" sqref="J46"/>
      <pageMargins left="0.7" right="0.7" top="0.75" bottom="0.75" header="0.3" footer="0.3"/>
      <pageSetup paperSize="9" orientation="portrait" r:id="rId10"/>
    </customSheetView>
    <customSheetView guid="{5874C782-5C34-4C4C-BCC6-3692259149CA}" showGridLines="0" hiddenRows="1" hiddenColumns="1" topLeftCell="D1">
      <selection activeCell="J46" sqref="J46"/>
      <pageMargins left="0.7" right="0.7" top="0.75" bottom="0.75" header="0.3" footer="0.3"/>
      <pageSetup paperSize="9" orientation="portrait" r:id="rId11"/>
    </customSheetView>
  </customSheetViews>
  <pageMargins left="0.7" right="0.7" top="0.75" bottom="0.75" header="0.3" footer="0.3"/>
  <pageSetup paperSize="9" orientation="portrait" r:id="rId12"/>
  <customProperties>
    <customPr name="EpmWorksheetKeyString_GUID" r:id="rId13"/>
  </customProperties>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Feuil11"/>
  <dimension ref="A1:M178"/>
  <sheetViews>
    <sheetView showGridLines="0" zoomScale="70" zoomScaleNormal="70" workbookViewId="0">
      <selection activeCell="A19" sqref="A19"/>
    </sheetView>
  </sheetViews>
  <sheetFormatPr baseColWidth="10" defaultColWidth="10.85546875" defaultRowHeight="12" outlineLevelRow="1"/>
  <cols>
    <col min="1" max="1" width="49.28515625" style="189" customWidth="1"/>
    <col min="2" max="2" width="11.42578125" style="189" customWidth="1"/>
    <col min="3" max="4" width="15" style="189" customWidth="1"/>
    <col min="5" max="5" width="12.140625" style="189" customWidth="1"/>
    <col min="6" max="6" width="10.5703125" style="189" customWidth="1"/>
    <col min="7" max="7" width="11.140625" style="189" customWidth="1"/>
    <col min="8" max="8" width="10.140625" style="189" customWidth="1"/>
    <col min="9" max="9" width="12.140625" style="189" customWidth="1"/>
    <col min="10" max="10" width="10.140625" style="189" customWidth="1"/>
    <col min="11" max="11" width="12.5703125" style="189" customWidth="1"/>
    <col min="12" max="12" width="11.85546875" style="189" customWidth="1"/>
    <col min="13" max="13" width="16" style="189" customWidth="1"/>
    <col min="14" max="16384" width="10.85546875" style="200"/>
  </cols>
  <sheetData>
    <row r="1" spans="1:13" ht="15.75">
      <c r="A1" s="352" t="s">
        <v>12602</v>
      </c>
      <c r="C1" s="236"/>
    </row>
    <row r="2" spans="1:13">
      <c r="A2" s="200"/>
      <c r="B2" s="1152" t="s">
        <v>12610</v>
      </c>
      <c r="C2" s="1152" t="s">
        <v>12611</v>
      </c>
      <c r="D2" s="1152" t="s">
        <v>12616</v>
      </c>
      <c r="E2" s="1152" t="s">
        <v>12613</v>
      </c>
      <c r="F2" s="1152" t="s">
        <v>12614</v>
      </c>
      <c r="G2" s="1152"/>
      <c r="H2" s="1152" t="s">
        <v>12612</v>
      </c>
      <c r="I2" s="1152" t="s">
        <v>12615</v>
      </c>
      <c r="J2" s="1152" t="s">
        <v>12617</v>
      </c>
      <c r="K2" s="1152" t="s">
        <v>12618</v>
      </c>
      <c r="L2" s="1152" t="s">
        <v>2444</v>
      </c>
      <c r="M2" s="1152" t="s">
        <v>12619</v>
      </c>
    </row>
    <row r="3" spans="1:13" ht="70.5" customHeight="1">
      <c r="A3" s="312" t="s">
        <v>48</v>
      </c>
      <c r="B3" s="313" t="s">
        <v>10</v>
      </c>
      <c r="C3" s="313" t="s">
        <v>49</v>
      </c>
      <c r="D3" s="313" t="s">
        <v>50</v>
      </c>
      <c r="E3" s="313" t="s">
        <v>1211</v>
      </c>
      <c r="F3" s="313" t="s">
        <v>11</v>
      </c>
      <c r="G3" s="313" t="s">
        <v>12</v>
      </c>
      <c r="H3" s="313" t="s">
        <v>1212</v>
      </c>
      <c r="I3" s="313" t="s">
        <v>12608</v>
      </c>
      <c r="J3" s="313" t="s">
        <v>13</v>
      </c>
      <c r="K3" s="314" t="s">
        <v>1450</v>
      </c>
      <c r="L3" s="313" t="s">
        <v>1434</v>
      </c>
      <c r="M3" s="314" t="s">
        <v>1071</v>
      </c>
    </row>
    <row r="4" spans="1:13" s="199" customFormat="1" ht="23.25" customHeight="1" thickBot="1">
      <c r="A4" s="315" t="s">
        <v>1986</v>
      </c>
      <c r="B4" s="316">
        <v>686618</v>
      </c>
      <c r="C4" s="316">
        <v>1736332</v>
      </c>
      <c r="D4" s="316">
        <v>-9959853.8855772018</v>
      </c>
      <c r="E4" s="316">
        <v>8754099.0545541905</v>
      </c>
      <c r="F4" s="316">
        <v>71296.589000000007</v>
      </c>
      <c r="G4" s="316">
        <v>1881315</v>
      </c>
      <c r="H4" s="316">
        <v>-70520.126700015127</v>
      </c>
      <c r="I4" s="316">
        <v>16921112.651945893</v>
      </c>
      <c r="J4" s="316">
        <v>-908048.82477553829</v>
      </c>
      <c r="K4" s="317">
        <v>19112250.583047263</v>
      </c>
      <c r="L4" s="316">
        <v>4147734.9834762653</v>
      </c>
      <c r="M4" s="317">
        <v>23259985.56652353</v>
      </c>
    </row>
    <row r="5" spans="1:13" ht="12" customHeight="1">
      <c r="A5" s="318" t="s">
        <v>1448</v>
      </c>
      <c r="B5" s="319"/>
      <c r="C5" s="319"/>
      <c r="D5" s="319"/>
      <c r="E5" s="319"/>
      <c r="F5" s="319"/>
      <c r="G5" s="319"/>
      <c r="H5" s="319"/>
      <c r="I5" s="319">
        <v>1606060.8761030801</v>
      </c>
      <c r="J5" s="319"/>
      <c r="K5" s="325">
        <v>1606060.8761030801</v>
      </c>
      <c r="L5" s="319">
        <v>350232</v>
      </c>
      <c r="M5" s="320">
        <v>1956292.8761030801</v>
      </c>
    </row>
    <row r="6" spans="1:13" ht="12" customHeight="1" thickBot="1">
      <c r="A6" s="318" t="s">
        <v>209</v>
      </c>
      <c r="B6" s="319"/>
      <c r="C6" s="319"/>
      <c r="D6" s="319">
        <v>-1280436.4511236709</v>
      </c>
      <c r="E6" s="319">
        <v>741217.63414739002</v>
      </c>
      <c r="F6" s="319">
        <v>-28521.200000000001</v>
      </c>
      <c r="G6" s="319"/>
      <c r="H6" s="319">
        <v>-13046.18650000452</v>
      </c>
      <c r="I6" s="319">
        <v>748566.57999611902</v>
      </c>
      <c r="J6" s="319">
        <v>-482287.13833263301</v>
      </c>
      <c r="K6" s="320">
        <v>-314506.76181279932</v>
      </c>
      <c r="L6" s="319">
        <v>-531814.13226585125</v>
      </c>
      <c r="M6" s="320">
        <v>-846320.89407865051</v>
      </c>
    </row>
    <row r="7" spans="1:13" s="199" customFormat="1" ht="12" customHeight="1" thickBot="1">
      <c r="A7" s="321" t="s">
        <v>1449</v>
      </c>
      <c r="B7" s="322">
        <v>0</v>
      </c>
      <c r="C7" s="322">
        <v>0</v>
      </c>
      <c r="D7" s="322">
        <v>-1280436.4511236709</v>
      </c>
      <c r="E7" s="322">
        <v>741217.63414739002</v>
      </c>
      <c r="F7" s="322">
        <v>-28521.200000000001</v>
      </c>
      <c r="G7" s="322"/>
      <c r="H7" s="322">
        <v>-13046.18650000452</v>
      </c>
      <c r="I7" s="322">
        <v>2354627.4560991991</v>
      </c>
      <c r="J7" s="322">
        <v>-482287.13833263301</v>
      </c>
      <c r="K7" s="323">
        <v>1291554.1142902807</v>
      </c>
      <c r="L7" s="322">
        <v>-181582.13226585125</v>
      </c>
      <c r="M7" s="323">
        <v>1109971.9820244294</v>
      </c>
    </row>
    <row r="8" spans="1:13" ht="12" customHeight="1">
      <c r="A8" s="324" t="s">
        <v>52</v>
      </c>
      <c r="B8" s="241"/>
      <c r="C8" s="241"/>
      <c r="D8" s="241"/>
      <c r="E8" s="241"/>
      <c r="F8" s="241"/>
      <c r="G8" s="241"/>
      <c r="H8" s="241"/>
      <c r="I8" s="241">
        <v>-2352191.87554865</v>
      </c>
      <c r="J8" s="241"/>
      <c r="K8" s="325">
        <v>-2352191.87554865</v>
      </c>
      <c r="L8" s="241">
        <v>-395255.42621293099</v>
      </c>
      <c r="M8" s="325">
        <v>-2747447.3017615811</v>
      </c>
    </row>
    <row r="9" spans="1:13" ht="12" customHeight="1">
      <c r="A9" s="326" t="s">
        <v>53</v>
      </c>
      <c r="B9" s="241"/>
      <c r="C9" s="241"/>
      <c r="D9" s="241"/>
      <c r="E9" s="241"/>
      <c r="F9" s="241"/>
      <c r="G9" s="241">
        <v>-493550</v>
      </c>
      <c r="H9" s="241"/>
      <c r="I9" s="241">
        <v>-62471.999999999978</v>
      </c>
      <c r="J9" s="241"/>
      <c r="K9" s="325">
        <v>-556022</v>
      </c>
      <c r="L9" s="241"/>
      <c r="M9" s="325">
        <v>-556022</v>
      </c>
    </row>
    <row r="10" spans="1:13" ht="12" customHeight="1">
      <c r="A10" s="327" t="s">
        <v>54</v>
      </c>
      <c r="B10" s="241"/>
      <c r="C10" s="241"/>
      <c r="D10" s="241"/>
      <c r="E10" s="241"/>
      <c r="F10" s="241"/>
      <c r="G10" s="241"/>
      <c r="H10" s="241"/>
      <c r="I10" s="241"/>
      <c r="J10" s="241"/>
      <c r="K10" s="325">
        <v>0</v>
      </c>
      <c r="L10" s="241"/>
      <c r="M10" s="325">
        <v>0</v>
      </c>
    </row>
    <row r="11" spans="1:13" ht="12" customHeight="1">
      <c r="A11" s="326" t="s">
        <v>55</v>
      </c>
      <c r="B11" s="241"/>
      <c r="C11" s="241"/>
      <c r="D11" s="241"/>
      <c r="E11" s="241"/>
      <c r="F11" s="241"/>
      <c r="G11" s="241"/>
      <c r="H11" s="241"/>
      <c r="I11" s="241"/>
      <c r="J11" s="241"/>
      <c r="K11" s="325">
        <v>0</v>
      </c>
      <c r="L11" s="241">
        <v>6836</v>
      </c>
      <c r="M11" s="325">
        <v>6836</v>
      </c>
    </row>
    <row r="12" spans="1:13" ht="12" customHeight="1">
      <c r="A12" s="326" t="s">
        <v>1987</v>
      </c>
      <c r="B12" s="241"/>
      <c r="C12" s="241"/>
      <c r="D12" s="241"/>
      <c r="E12" s="241"/>
      <c r="F12" s="241"/>
      <c r="G12" s="241"/>
      <c r="H12" s="241"/>
      <c r="I12" s="241">
        <v>24653</v>
      </c>
      <c r="J12" s="241">
        <v>100</v>
      </c>
      <c r="K12" s="325">
        <v>24753</v>
      </c>
      <c r="L12" s="241">
        <v>11150.000000000002</v>
      </c>
      <c r="M12" s="325">
        <v>35903</v>
      </c>
    </row>
    <row r="13" spans="1:13" ht="21" customHeight="1">
      <c r="A13" s="1147" t="s">
        <v>12603</v>
      </c>
      <c r="B13" s="330">
        <v>686618</v>
      </c>
      <c r="C13" s="330">
        <v>1736332</v>
      </c>
      <c r="D13" s="330">
        <v>-11240290.336700873</v>
      </c>
      <c r="E13" s="330">
        <v>9495316.6887015812</v>
      </c>
      <c r="F13" s="330">
        <v>42775.38900000001</v>
      </c>
      <c r="G13" s="330">
        <v>1387765</v>
      </c>
      <c r="H13" s="330">
        <v>-83566.313200019649</v>
      </c>
      <c r="I13" s="330">
        <v>16885729.23249644</v>
      </c>
      <c r="J13" s="330">
        <v>-1390235.9631081712</v>
      </c>
      <c r="K13" s="330">
        <v>17520343.821788892</v>
      </c>
      <c r="L13" s="330">
        <v>3588883.4249974834</v>
      </c>
      <c r="M13" s="330">
        <v>21109227.246786378</v>
      </c>
    </row>
    <row r="14" spans="1:13" outlineLevel="1"/>
    <row r="15" spans="1:13" outlineLevel="1">
      <c r="A15" s="311"/>
    </row>
    <row r="16" spans="1:13" outlineLevel="1"/>
    <row r="17" spans="1:13" ht="15.75" outlineLevel="1">
      <c r="A17" s="352" t="s">
        <v>2555</v>
      </c>
      <c r="C17" s="236"/>
    </row>
    <row r="18" spans="1:13" outlineLevel="1">
      <c r="A18" s="200"/>
    </row>
    <row r="19" spans="1:13" ht="70.5" customHeight="1" outlineLevel="1">
      <c r="A19" s="312" t="s">
        <v>48</v>
      </c>
      <c r="B19" s="313" t="s">
        <v>10</v>
      </c>
      <c r="C19" s="313" t="s">
        <v>49</v>
      </c>
      <c r="D19" s="313" t="s">
        <v>50</v>
      </c>
      <c r="E19" s="313" t="s">
        <v>1211</v>
      </c>
      <c r="F19" s="313" t="s">
        <v>11</v>
      </c>
      <c r="G19" s="313" t="s">
        <v>12</v>
      </c>
      <c r="H19" s="313" t="s">
        <v>1212</v>
      </c>
      <c r="I19" s="313" t="s">
        <v>12608</v>
      </c>
      <c r="J19" s="313" t="s">
        <v>13</v>
      </c>
      <c r="K19" s="314" t="s">
        <v>1450</v>
      </c>
      <c r="L19" s="313" t="s">
        <v>1434</v>
      </c>
      <c r="M19" s="314" t="s">
        <v>1071</v>
      </c>
    </row>
    <row r="20" spans="1:13" s="199" customFormat="1" ht="23.25" customHeight="1" outlineLevel="1" thickBot="1">
      <c r="A20" s="315" t="s">
        <v>1986</v>
      </c>
      <c r="B20" s="316">
        <v>686618</v>
      </c>
      <c r="C20" s="316">
        <v>1736332</v>
      </c>
      <c r="D20" s="316">
        <v>-17098861.6823068</v>
      </c>
      <c r="E20" s="316">
        <v>16234468.899723301</v>
      </c>
      <c r="F20" s="316">
        <v>106739.7357</v>
      </c>
      <c r="G20" s="316">
        <v>1881315</v>
      </c>
      <c r="H20" s="316">
        <v>-80054.274100010603</v>
      </c>
      <c r="I20" s="316">
        <v>16232190.376335876</v>
      </c>
      <c r="J20" s="316">
        <v>-935610.24917582504</v>
      </c>
      <c r="K20" s="317">
        <v>18763096.058869001</v>
      </c>
      <c r="L20" s="316">
        <v>3964869.6654911079</v>
      </c>
      <c r="M20" s="317">
        <v>22727922.895791791</v>
      </c>
    </row>
    <row r="21" spans="1:13" ht="12" customHeight="1" outlineLevel="1">
      <c r="A21" s="318" t="s">
        <v>1448</v>
      </c>
      <c r="B21" s="319">
        <v>0</v>
      </c>
      <c r="C21" s="319">
        <v>0</v>
      </c>
      <c r="D21" s="319">
        <v>0</v>
      </c>
      <c r="E21" s="319">
        <v>0</v>
      </c>
      <c r="F21" s="319">
        <v>0</v>
      </c>
      <c r="G21" s="319">
        <v>0</v>
      </c>
      <c r="H21" s="319">
        <v>0</v>
      </c>
      <c r="I21" s="319">
        <v>1717019.36707624</v>
      </c>
      <c r="J21" s="319">
        <v>0</v>
      </c>
      <c r="K21" s="320">
        <v>1717019.36707624</v>
      </c>
      <c r="L21" s="319">
        <v>326837.11719394301</v>
      </c>
      <c r="M21" s="320">
        <v>2043856.4842701829</v>
      </c>
    </row>
    <row r="22" spans="1:13" ht="12" customHeight="1" outlineLevel="1" thickBot="1">
      <c r="A22" s="318" t="s">
        <v>209</v>
      </c>
      <c r="B22" s="319">
        <v>0</v>
      </c>
      <c r="C22" s="319">
        <v>0</v>
      </c>
      <c r="D22" s="319">
        <v>7134930.7967295982</v>
      </c>
      <c r="E22" s="319">
        <v>-7475886.8451691102</v>
      </c>
      <c r="F22" s="319">
        <v>-35443.146699999998</v>
      </c>
      <c r="G22" s="319"/>
      <c r="H22" s="319">
        <v>9534.1473999954796</v>
      </c>
      <c r="I22" s="319">
        <v>923710.07999996399</v>
      </c>
      <c r="J22" s="319">
        <v>76940.326318803898</v>
      </c>
      <c r="K22" s="320">
        <v>633785.35857925145</v>
      </c>
      <c r="L22" s="319">
        <v>219870.14004829901</v>
      </c>
      <c r="M22" s="320">
        <v>853655.49862755043</v>
      </c>
    </row>
    <row r="23" spans="1:13" s="199" customFormat="1" ht="12" customHeight="1" outlineLevel="1" thickBot="1">
      <c r="A23" s="321" t="s">
        <v>1449</v>
      </c>
      <c r="B23" s="322">
        <v>0</v>
      </c>
      <c r="C23" s="322">
        <v>0</v>
      </c>
      <c r="D23" s="322">
        <v>7134930.7967295982</v>
      </c>
      <c r="E23" s="322">
        <v>-7475886.8451691102</v>
      </c>
      <c r="F23" s="322">
        <v>-35443.146699999998</v>
      </c>
      <c r="G23" s="322"/>
      <c r="H23" s="322">
        <v>9534.1473999954796</v>
      </c>
      <c r="I23" s="322">
        <v>2640729.4470762042</v>
      </c>
      <c r="J23" s="322">
        <v>76940.326318803898</v>
      </c>
      <c r="K23" s="323">
        <v>2350804.7256554915</v>
      </c>
      <c r="L23" s="322">
        <v>546707.25724224199</v>
      </c>
      <c r="M23" s="323">
        <v>2897511.9828977333</v>
      </c>
    </row>
    <row r="24" spans="1:13" ht="12" customHeight="1" outlineLevel="1">
      <c r="A24" s="324" t="s">
        <v>52</v>
      </c>
      <c r="B24" s="241">
        <v>0</v>
      </c>
      <c r="C24" s="241">
        <v>0</v>
      </c>
      <c r="D24" s="241">
        <v>0</v>
      </c>
      <c r="E24" s="241">
        <v>0</v>
      </c>
      <c r="F24" s="241">
        <v>0</v>
      </c>
      <c r="G24" s="241">
        <v>0</v>
      </c>
      <c r="H24" s="241">
        <v>0</v>
      </c>
      <c r="I24" s="241">
        <v>-1949276.2995587101</v>
      </c>
      <c r="J24" s="241"/>
      <c r="K24" s="325">
        <v>-1949276.2995587101</v>
      </c>
      <c r="L24" s="241">
        <v>-337864.13213355502</v>
      </c>
      <c r="M24" s="325">
        <v>-2287140.431692265</v>
      </c>
    </row>
    <row r="25" spans="1:13" ht="12.75" customHeight="1" outlineLevel="1">
      <c r="A25" s="326" t="s">
        <v>53</v>
      </c>
      <c r="B25" s="241">
        <v>0</v>
      </c>
      <c r="C25" s="241">
        <v>0</v>
      </c>
      <c r="D25" s="241">
        <v>0</v>
      </c>
      <c r="E25" s="241">
        <v>0</v>
      </c>
      <c r="F25" s="241">
        <v>0</v>
      </c>
      <c r="G25" s="241">
        <v>0</v>
      </c>
      <c r="H25" s="241">
        <v>0</v>
      </c>
      <c r="I25" s="241">
        <v>-56024</v>
      </c>
      <c r="J25" s="241"/>
      <c r="K25" s="325">
        <v>-56024</v>
      </c>
      <c r="L25" s="241">
        <v>0</v>
      </c>
      <c r="M25" s="325">
        <v>-56024</v>
      </c>
    </row>
    <row r="26" spans="1:13" ht="12" customHeight="1" outlineLevel="1">
      <c r="A26" s="327" t="s">
        <v>54</v>
      </c>
      <c r="B26" s="241">
        <v>0</v>
      </c>
      <c r="C26" s="241">
        <v>0</v>
      </c>
      <c r="D26" s="241">
        <v>0</v>
      </c>
      <c r="E26" s="241">
        <v>0</v>
      </c>
      <c r="F26" s="241">
        <v>0</v>
      </c>
      <c r="G26" s="241">
        <v>0</v>
      </c>
      <c r="H26" s="241">
        <v>0</v>
      </c>
      <c r="I26" s="241">
        <v>0</v>
      </c>
      <c r="J26" s="241">
        <v>0</v>
      </c>
      <c r="K26" s="325">
        <v>0</v>
      </c>
      <c r="L26" s="241">
        <v>0</v>
      </c>
      <c r="M26" s="325">
        <v>0</v>
      </c>
    </row>
    <row r="27" spans="1:13" ht="12" customHeight="1" outlineLevel="1">
      <c r="A27" s="326" t="s">
        <v>55</v>
      </c>
      <c r="B27" s="241">
        <v>0</v>
      </c>
      <c r="C27" s="241">
        <v>0</v>
      </c>
      <c r="D27" s="241">
        <v>4077</v>
      </c>
      <c r="E27" s="241">
        <v>117</v>
      </c>
      <c r="F27" s="241"/>
      <c r="G27" s="241"/>
      <c r="H27" s="241"/>
      <c r="I27" s="241">
        <v>32650</v>
      </c>
      <c r="J27" s="241">
        <v>-49378.9019185172</v>
      </c>
      <c r="K27" s="325">
        <v>-12534.9019185172</v>
      </c>
      <c r="L27" s="241">
        <v>-26034.978555211601</v>
      </c>
      <c r="M27" s="325">
        <v>-38569.880473728801</v>
      </c>
    </row>
    <row r="28" spans="1:13" ht="12" customHeight="1" outlineLevel="1">
      <c r="A28" s="326" t="s">
        <v>1987</v>
      </c>
      <c r="B28" s="241">
        <v>0</v>
      </c>
      <c r="C28" s="241"/>
      <c r="D28" s="241"/>
      <c r="E28" s="241">
        <v>-4600</v>
      </c>
      <c r="F28" s="241"/>
      <c r="G28" s="241"/>
      <c r="H28" s="241"/>
      <c r="I28" s="241">
        <v>20885</v>
      </c>
      <c r="J28" s="241">
        <v>0</v>
      </c>
      <c r="K28" s="325">
        <v>16285</v>
      </c>
      <c r="L28" s="241">
        <v>0</v>
      </c>
      <c r="M28" s="325">
        <v>16285</v>
      </c>
    </row>
    <row r="29" spans="1:13" ht="21" customHeight="1" outlineLevel="1">
      <c r="A29" s="328" t="s">
        <v>2429</v>
      </c>
      <c r="B29" s="329">
        <v>686618</v>
      </c>
      <c r="C29" s="329">
        <v>1736332</v>
      </c>
      <c r="D29" s="329">
        <v>-9959853.8855772018</v>
      </c>
      <c r="E29" s="329">
        <v>8754099.0545541905</v>
      </c>
      <c r="F29" s="329">
        <v>71296.589000000007</v>
      </c>
      <c r="G29" s="329">
        <v>1881315</v>
      </c>
      <c r="H29" s="329">
        <v>-70520.126700015127</v>
      </c>
      <c r="I29" s="329">
        <v>16921112.651945893</v>
      </c>
      <c r="J29" s="329">
        <v>-908048.82477553829</v>
      </c>
      <c r="K29" s="330">
        <v>19112250.583047263</v>
      </c>
      <c r="L29" s="329">
        <v>4147734.9834762653</v>
      </c>
      <c r="M29" s="330">
        <v>23259985.56652353</v>
      </c>
    </row>
    <row r="177" spans="1:9">
      <c r="A177" s="189" t="s">
        <v>192</v>
      </c>
      <c r="F177" s="189" t="s">
        <v>2086</v>
      </c>
      <c r="I177" s="189" t="s">
        <v>2411</v>
      </c>
    </row>
    <row r="178" spans="1:9">
      <c r="A178" s="189" t="s">
        <v>192</v>
      </c>
      <c r="F178" s="189" t="s">
        <v>2086</v>
      </c>
    </row>
  </sheetData>
  <customSheetViews>
    <customSheetView guid="{9861AEDC-A168-4FA5-BC34-0FF06E2D98B0}" scale="70" showGridLines="0" topLeftCell="A16">
      <selection activeCell="K42" sqref="K42"/>
      <pageMargins left="0.7" right="0.7" top="0.75" bottom="0.75" header="0.3" footer="0.3"/>
      <pageSetup paperSize="9" orientation="portrait" r:id="rId1"/>
    </customSheetView>
    <customSheetView guid="{6026142C-022D-477E-A086-A3D1CB0201B2}" scale="70" showGridLines="0" topLeftCell="A22">
      <selection activeCell="K36" sqref="J36:K37"/>
      <pageMargins left="0.7" right="0.7" top="0.75" bottom="0.75" header="0.3" footer="0.3"/>
      <pageSetup paperSize="9" orientation="portrait" r:id="rId2"/>
    </customSheetView>
    <customSheetView guid="{0988812C-B87C-4041-945B-D3D481C0E3B2}" showGridLines="0" topLeftCell="C19">
      <selection activeCell="D19" sqref="D19"/>
      <pageMargins left="0.7" right="0.7" top="0.75" bottom="0.75" header="0.3" footer="0.3"/>
      <pageSetup paperSize="9" orientation="portrait" r:id="rId3"/>
    </customSheetView>
    <customSheetView guid="{9B5412D3-CE8B-4D5C-87A1-6A92385B5055}">
      <pageMargins left="0.7" right="0.7" top="0.75" bottom="0.75" header="0.3" footer="0.3"/>
      <pageSetup paperSize="9" orientation="portrait" r:id="rId4"/>
    </customSheetView>
    <customSheetView guid="{1E6FDA0A-7324-47B7-8781-F649F81C62F2}">
      <pageMargins left="0.7" right="0.7" top="0.75" bottom="0.75" header="0.3" footer="0.3"/>
      <pageSetup paperSize="9" orientation="portrait" r:id="rId5"/>
    </customSheetView>
    <customSheetView guid="{10FE0AC7-DC28-4361-9D3E-E82A44C052DC}">
      <pageMargins left="0.7" right="0.7" top="0.75" bottom="0.75" header="0.3" footer="0.3"/>
      <pageSetup paperSize="9" orientation="portrait" r:id="rId6"/>
    </customSheetView>
    <customSheetView guid="{15FEF1C5-8ED8-40F7-B190-479F9E1DDCD0}" showGridLines="0" topLeftCell="B4">
      <selection activeCell="C17" sqref="C17:O29"/>
      <pageMargins left="0.7" right="0.7" top="0.75" bottom="0.75" header="0.3" footer="0.3"/>
      <pageSetup paperSize="9" orientation="portrait" r:id="rId7"/>
    </customSheetView>
    <customSheetView guid="{4561BCBD-DB5E-4D30-A9CE-7BB23B692C5E}" scale="70" showGridLines="0" topLeftCell="A22">
      <selection activeCell="K36" sqref="J36:K37"/>
      <pageMargins left="0.7" right="0.7" top="0.75" bottom="0.75" header="0.3" footer="0.3"/>
      <pageSetup paperSize="9" orientation="portrait" r:id="rId8"/>
    </customSheetView>
    <customSheetView guid="{B96AA43F-C6B6-4097-9127-C885199888B4}" scale="70" showGridLines="0" topLeftCell="A16">
      <selection activeCell="K42" sqref="K42"/>
      <pageMargins left="0.7" right="0.7" top="0.75" bottom="0.75" header="0.3" footer="0.3"/>
      <pageSetup paperSize="9" orientation="portrait" r:id="rId9"/>
    </customSheetView>
    <customSheetView guid="{6357C996-BE12-4F66-ACBB-1F9F08F8885C}" scale="110" showGridLines="0">
      <selection activeCell="J46" sqref="J46"/>
      <pageMargins left="0.7" right="0.7" top="0.75" bottom="0.75" header="0.3" footer="0.3"/>
      <pageSetup paperSize="9" orientation="portrait" r:id="rId10"/>
    </customSheetView>
    <customSheetView guid="{5874C782-5C34-4C4C-BCC6-3692259149CA}" scale="110" showGridLines="0">
      <selection activeCell="J46" sqref="J46"/>
      <pageMargins left="0.7" right="0.7" top="0.75" bottom="0.75" header="0.3" footer="0.3"/>
      <pageSetup paperSize="9" orientation="portrait" r:id="rId11"/>
    </customSheetView>
  </customSheetViews>
  <pageMargins left="0.7" right="0.7" top="0.75" bottom="0.75" header="0.3" footer="0.3"/>
  <pageSetup paperSize="9" orientation="portrait" r:id="rId12"/>
  <customProperties>
    <customPr name="EpmWorksheetKeyString_GUID" r:id="rId13"/>
  </customProperties>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codeName="Feuil45">
    <tabColor rgb="FF7030A0"/>
  </sheetPr>
  <dimension ref="A2:CT314"/>
  <sheetViews>
    <sheetView showGridLines="0" zoomScale="55" zoomScaleNormal="55" workbookViewId="0">
      <selection activeCell="H34" sqref="H34"/>
    </sheetView>
  </sheetViews>
  <sheetFormatPr baseColWidth="10" defaultColWidth="14.85546875" defaultRowHeight="12" outlineLevelRow="1" outlineLevelCol="1"/>
  <cols>
    <col min="1" max="1" width="4.140625" style="206" customWidth="1"/>
    <col min="2" max="2" width="18.140625" style="206" customWidth="1"/>
    <col min="3" max="3" width="46.140625" style="206" customWidth="1"/>
    <col min="4" max="6" width="12.85546875" style="206" customWidth="1"/>
    <col min="7" max="7" width="11.140625" style="206" customWidth="1"/>
    <col min="8" max="8" width="12.5703125" style="206" customWidth="1"/>
    <col min="9" max="9" width="9.140625" style="206" customWidth="1"/>
    <col min="10" max="10" width="19.85546875" style="206" customWidth="1" outlineLevel="1"/>
    <col min="11" max="88" width="14.85546875" style="206" customWidth="1" outlineLevel="1"/>
    <col min="89" max="16384" width="14.85546875" style="206"/>
  </cols>
  <sheetData>
    <row r="2" spans="2:15">
      <c r="C2" s="218" t="s">
        <v>1981</v>
      </c>
      <c r="D2" s="218" t="s">
        <v>1982</v>
      </c>
    </row>
    <row r="4" spans="2:15" ht="12" customHeight="1" outlineLevel="1">
      <c r="C4" s="1162" t="s">
        <v>1876</v>
      </c>
      <c r="D4" s="1162"/>
      <c r="E4" s="1162"/>
      <c r="F4" s="1162"/>
      <c r="G4" s="1162"/>
      <c r="H4" s="1162"/>
      <c r="J4" s="436" t="e">
        <f>+#REF!</f>
        <v>#REF!</v>
      </c>
      <c r="K4" s="436" t="e">
        <f>+#REF!</f>
        <v>#REF!</v>
      </c>
      <c r="L4" s="436" t="e">
        <f>+#REF!</f>
        <v>#REF!</v>
      </c>
    </row>
    <row r="5" spans="2:15" ht="12" customHeight="1" outlineLevel="1">
      <c r="C5" s="1162"/>
      <c r="D5" s="1162"/>
      <c r="E5" s="1162"/>
      <c r="F5" s="1162"/>
      <c r="G5" s="1162"/>
      <c r="H5" s="1162"/>
      <c r="J5" s="436" t="e">
        <f>+#REF!</f>
        <v>#REF!</v>
      </c>
      <c r="K5" s="436" t="e">
        <f>+#REF!</f>
        <v>#REF!</v>
      </c>
      <c r="L5" s="436" t="e">
        <f>+#REF!</f>
        <v>#REF!</v>
      </c>
    </row>
    <row r="6" spans="2:15" outlineLevel="1">
      <c r="D6" s="337"/>
      <c r="E6" s="337"/>
      <c r="F6" s="337"/>
      <c r="J6" s="436" t="e">
        <f>+#REF!</f>
        <v>#REF!</v>
      </c>
      <c r="K6" s="436" t="e">
        <f>+#REF!</f>
        <v>#REF!</v>
      </c>
      <c r="L6" s="436" t="e">
        <f>+#REF!</f>
        <v>#REF!</v>
      </c>
    </row>
    <row r="7" spans="2:15" outlineLevel="1">
      <c r="B7" s="333"/>
      <c r="C7" s="231"/>
      <c r="D7" s="436" t="s">
        <v>1452</v>
      </c>
      <c r="E7" s="436" t="s">
        <v>1452</v>
      </c>
      <c r="F7" s="436" t="s">
        <v>1452</v>
      </c>
      <c r="J7" s="436" t="e">
        <f>+#REF!</f>
        <v>#REF!</v>
      </c>
      <c r="K7" s="436" t="e">
        <f>+#REF!</f>
        <v>#REF!</v>
      </c>
      <c r="L7" s="436" t="e">
        <f>+#REF!</f>
        <v>#REF!</v>
      </c>
    </row>
    <row r="8" spans="2:15" ht="12" customHeight="1">
      <c r="B8" s="333"/>
      <c r="C8" s="383" t="s">
        <v>85</v>
      </c>
      <c r="D8" s="338">
        <v>45657</v>
      </c>
      <c r="E8" s="385">
        <v>45291</v>
      </c>
      <c r="F8" s="339">
        <v>44927</v>
      </c>
      <c r="J8" s="436" t="e">
        <f>+#REF!</f>
        <v>#REF!</v>
      </c>
      <c r="K8" s="436" t="e">
        <f>+#REF!</f>
        <v>#REF!</v>
      </c>
      <c r="L8" s="436" t="e">
        <f>+#REF!</f>
        <v>#REF!</v>
      </c>
      <c r="N8" s="206" t="s">
        <v>2486</v>
      </c>
      <c r="O8" s="206" t="s">
        <v>167</v>
      </c>
    </row>
    <row r="9" spans="2:15" ht="12" customHeight="1">
      <c r="B9" s="384" t="s">
        <v>218</v>
      </c>
      <c r="C9" s="332" t="s">
        <v>86</v>
      </c>
      <c r="D9" s="340">
        <f>+I22</f>
        <v>3066</v>
      </c>
      <c r="E9" s="336">
        <v>3044</v>
      </c>
      <c r="F9" s="341">
        <v>3055</v>
      </c>
      <c r="G9" s="342"/>
      <c r="H9" s="342"/>
      <c r="I9" s="342"/>
      <c r="J9" s="436" t="e">
        <f>+#REF!</f>
        <v>#REF!</v>
      </c>
      <c r="K9" s="436" t="e">
        <f>+#REF!</f>
        <v>#REF!</v>
      </c>
      <c r="L9" s="436" t="e">
        <f>+#REF!</f>
        <v>#REF!</v>
      </c>
      <c r="N9" s="335">
        <f>+D9-E9</f>
        <v>22</v>
      </c>
    </row>
    <row r="10" spans="2:15" ht="12" customHeight="1">
      <c r="B10" s="384" t="s">
        <v>219</v>
      </c>
      <c r="C10" s="332" t="s">
        <v>87</v>
      </c>
      <c r="D10" s="340">
        <f>+I23</f>
        <v>2545</v>
      </c>
      <c r="E10" s="336">
        <v>2482</v>
      </c>
      <c r="F10" s="341">
        <v>2258</v>
      </c>
      <c r="G10" s="342"/>
      <c r="H10" s="342"/>
      <c r="I10" s="342"/>
      <c r="J10" s="436" t="e">
        <f>+#REF!</f>
        <v>#REF!</v>
      </c>
      <c r="K10" s="436" t="e">
        <f>+#REF!</f>
        <v>#REF!</v>
      </c>
      <c r="L10" s="436" t="e">
        <f>+#REF!</f>
        <v>#REF!</v>
      </c>
      <c r="N10" s="335">
        <f>+D10-E10</f>
        <v>63</v>
      </c>
    </row>
    <row r="11" spans="2:15" ht="12" customHeight="1">
      <c r="B11" s="333"/>
      <c r="C11" s="334" t="s">
        <v>578</v>
      </c>
      <c r="D11" s="343">
        <f>SUM(D9:D10)</f>
        <v>5611</v>
      </c>
      <c r="E11" s="344">
        <f>SUM(E9:E10)</f>
        <v>5526</v>
      </c>
      <c r="F11" s="345">
        <v>5313</v>
      </c>
      <c r="G11" s="342"/>
      <c r="H11" s="342"/>
      <c r="I11" s="342"/>
      <c r="J11" s="436" t="e">
        <f>+#REF!</f>
        <v>#REF!</v>
      </c>
      <c r="K11" s="436" t="e">
        <f>+#REF!</f>
        <v>#REF!</v>
      </c>
      <c r="L11" s="436" t="e">
        <f>+#REF!</f>
        <v>#REF!</v>
      </c>
      <c r="N11" s="335">
        <f>+D11-E11</f>
        <v>85</v>
      </c>
    </row>
    <row r="12" spans="2:15">
      <c r="B12" s="384" t="s">
        <v>1078</v>
      </c>
      <c r="C12" s="346" t="s">
        <v>577</v>
      </c>
      <c r="D12" s="347">
        <f>_xll.GetCtData("COAMOUNT","CONSAMOUNT",$J$4:$J$9,D$6:D$7,$B12,"#")</f>
        <v>0</v>
      </c>
      <c r="E12" s="347">
        <f>_xll.GetCtData("COAMOUNT","CONSAMOUNT",$K$4:$K$9,E$6:E$7,$B12,"#")</f>
        <v>0</v>
      </c>
      <c r="F12" s="347">
        <f>_xll.GetCtData("COAMOUNT","CONSAMOUNT",$L$4:$L$9,F$6:F$7,$B12,"#")</f>
        <v>0</v>
      </c>
    </row>
    <row r="13" spans="2:15">
      <c r="B13" s="333"/>
    </row>
    <row r="14" spans="2:15" ht="24">
      <c r="B14" s="333"/>
      <c r="C14" s="348" t="s">
        <v>574</v>
      </c>
      <c r="E14" s="1151" t="s">
        <v>2383</v>
      </c>
    </row>
    <row r="15" spans="2:15">
      <c r="B15" s="333"/>
      <c r="C15" s="331"/>
    </row>
    <row r="16" spans="2:15">
      <c r="B16" s="384" t="s">
        <v>576</v>
      </c>
      <c r="C16" s="349" t="s">
        <v>575</v>
      </c>
      <c r="D16" s="350">
        <f>_xll.GetCtData("COAMOUNT","CONSAMOUNT",$J$4:$J$9,D$6:D$7,$B16,"#")</f>
        <v>0</v>
      </c>
      <c r="E16" s="350">
        <f>_xll.GetCtData("COAMOUNT","CONSAMOUNT",$K$4:$K$9,E$6:E$7,$B16,"#")</f>
        <v>0</v>
      </c>
    </row>
    <row r="17" spans="1:98">
      <c r="B17" s="333"/>
      <c r="C17" s="331"/>
      <c r="K17" s="436" t="str">
        <f>+$F$20</f>
        <v>DP=2024.06</v>
      </c>
      <c r="L17" s="436" t="str">
        <f t="shared" ref="L17:BW17" si="0">+$F$20</f>
        <v>DP=2024.06</v>
      </c>
      <c r="M17" s="436" t="str">
        <f t="shared" si="0"/>
        <v>DP=2024.06</v>
      </c>
      <c r="N17" s="436" t="str">
        <f t="shared" si="0"/>
        <v>DP=2024.06</v>
      </c>
      <c r="O17" s="436" t="str">
        <f t="shared" si="0"/>
        <v>DP=2024.06</v>
      </c>
      <c r="P17" s="436" t="str">
        <f t="shared" si="0"/>
        <v>DP=2024.06</v>
      </c>
      <c r="Q17" s="436" t="str">
        <f t="shared" si="0"/>
        <v>DP=2024.06</v>
      </c>
      <c r="R17" s="436" t="str">
        <f t="shared" si="0"/>
        <v>DP=2024.06</v>
      </c>
      <c r="S17" s="436" t="str">
        <f t="shared" si="0"/>
        <v>DP=2024.06</v>
      </c>
      <c r="T17" s="436" t="str">
        <f t="shared" si="0"/>
        <v>DP=2024.06</v>
      </c>
      <c r="U17" s="436" t="str">
        <f t="shared" si="0"/>
        <v>DP=2024.06</v>
      </c>
      <c r="V17" s="436" t="str">
        <f t="shared" si="0"/>
        <v>DP=2024.06</v>
      </c>
      <c r="W17" s="436" t="str">
        <f t="shared" si="0"/>
        <v>DP=2024.06</v>
      </c>
      <c r="X17" s="436" t="str">
        <f t="shared" si="0"/>
        <v>DP=2024.06</v>
      </c>
      <c r="Y17" s="436" t="str">
        <f t="shared" si="0"/>
        <v>DP=2024.06</v>
      </c>
      <c r="Z17" s="436" t="str">
        <f t="shared" si="0"/>
        <v>DP=2024.06</v>
      </c>
      <c r="AA17" s="436" t="str">
        <f t="shared" si="0"/>
        <v>DP=2024.06</v>
      </c>
      <c r="AB17" s="436" t="str">
        <f t="shared" si="0"/>
        <v>DP=2024.06</v>
      </c>
      <c r="AC17" s="436" t="str">
        <f t="shared" si="0"/>
        <v>DP=2024.06</v>
      </c>
      <c r="AD17" s="436" t="str">
        <f t="shared" si="0"/>
        <v>DP=2024.06</v>
      </c>
      <c r="AE17" s="436" t="str">
        <f t="shared" si="0"/>
        <v>DP=2024.06</v>
      </c>
      <c r="AF17" s="436" t="str">
        <f t="shared" si="0"/>
        <v>DP=2024.06</v>
      </c>
      <c r="AG17" s="436" t="str">
        <f t="shared" si="0"/>
        <v>DP=2024.06</v>
      </c>
      <c r="AH17" s="436" t="str">
        <f t="shared" si="0"/>
        <v>DP=2024.06</v>
      </c>
      <c r="AI17" s="436" t="str">
        <f t="shared" si="0"/>
        <v>DP=2024.06</v>
      </c>
      <c r="AJ17" s="436" t="str">
        <f t="shared" si="0"/>
        <v>DP=2024.06</v>
      </c>
      <c r="AK17" s="436" t="str">
        <f t="shared" si="0"/>
        <v>DP=2024.06</v>
      </c>
      <c r="AL17" s="436" t="str">
        <f t="shared" si="0"/>
        <v>DP=2024.06</v>
      </c>
      <c r="AM17" s="436" t="str">
        <f t="shared" si="0"/>
        <v>DP=2024.06</v>
      </c>
      <c r="AN17" s="436" t="str">
        <f t="shared" si="0"/>
        <v>DP=2024.06</v>
      </c>
      <c r="AO17" s="436" t="str">
        <f t="shared" si="0"/>
        <v>DP=2024.06</v>
      </c>
      <c r="AP17" s="436" t="str">
        <f t="shared" si="0"/>
        <v>DP=2024.06</v>
      </c>
      <c r="AQ17" s="436" t="str">
        <f t="shared" si="0"/>
        <v>DP=2024.06</v>
      </c>
      <c r="AR17" s="436" t="str">
        <f t="shared" si="0"/>
        <v>DP=2024.06</v>
      </c>
      <c r="AS17" s="436" t="str">
        <f t="shared" si="0"/>
        <v>DP=2024.06</v>
      </c>
      <c r="AT17" s="436" t="str">
        <f t="shared" si="0"/>
        <v>DP=2024.06</v>
      </c>
      <c r="AU17" s="436" t="str">
        <f t="shared" si="0"/>
        <v>DP=2024.06</v>
      </c>
      <c r="AV17" s="436" t="str">
        <f t="shared" si="0"/>
        <v>DP=2024.06</v>
      </c>
      <c r="AW17" s="436" t="str">
        <f t="shared" si="0"/>
        <v>DP=2024.06</v>
      </c>
      <c r="AX17" s="436" t="str">
        <f t="shared" si="0"/>
        <v>DP=2024.06</v>
      </c>
      <c r="AY17" s="436" t="str">
        <f t="shared" si="0"/>
        <v>DP=2024.06</v>
      </c>
      <c r="AZ17" s="436" t="str">
        <f t="shared" si="0"/>
        <v>DP=2024.06</v>
      </c>
      <c r="BA17" s="436" t="str">
        <f t="shared" si="0"/>
        <v>DP=2024.06</v>
      </c>
      <c r="BB17" s="436" t="str">
        <f t="shared" si="0"/>
        <v>DP=2024.06</v>
      </c>
      <c r="BC17" s="436" t="str">
        <f t="shared" si="0"/>
        <v>DP=2024.06</v>
      </c>
      <c r="BD17" s="436" t="str">
        <f t="shared" si="0"/>
        <v>DP=2024.06</v>
      </c>
      <c r="BE17" s="436" t="str">
        <f t="shared" si="0"/>
        <v>DP=2024.06</v>
      </c>
      <c r="BF17" s="436" t="str">
        <f t="shared" si="0"/>
        <v>DP=2024.06</v>
      </c>
      <c r="BG17" s="436" t="str">
        <f t="shared" si="0"/>
        <v>DP=2024.06</v>
      </c>
      <c r="BH17" s="436" t="str">
        <f t="shared" si="0"/>
        <v>DP=2024.06</v>
      </c>
      <c r="BI17" s="436" t="str">
        <f t="shared" si="0"/>
        <v>DP=2024.06</v>
      </c>
      <c r="BJ17" s="436" t="str">
        <f t="shared" si="0"/>
        <v>DP=2024.06</v>
      </c>
      <c r="BK17" s="436" t="str">
        <f t="shared" si="0"/>
        <v>DP=2024.06</v>
      </c>
      <c r="BL17" s="436" t="str">
        <f t="shared" si="0"/>
        <v>DP=2024.06</v>
      </c>
      <c r="BM17" s="436" t="str">
        <f t="shared" si="0"/>
        <v>DP=2024.06</v>
      </c>
      <c r="BN17" s="436" t="str">
        <f t="shared" si="0"/>
        <v>DP=2024.06</v>
      </c>
      <c r="BO17" s="436" t="str">
        <f t="shared" si="0"/>
        <v>DP=2024.06</v>
      </c>
      <c r="BP17" s="436" t="str">
        <f t="shared" si="0"/>
        <v>DP=2024.06</v>
      </c>
      <c r="BQ17" s="436" t="str">
        <f t="shared" si="0"/>
        <v>DP=2024.06</v>
      </c>
      <c r="BR17" s="436" t="str">
        <f t="shared" si="0"/>
        <v>DP=2024.06</v>
      </c>
      <c r="BS17" s="436" t="str">
        <f t="shared" si="0"/>
        <v>DP=2024.06</v>
      </c>
      <c r="BT17" s="436" t="str">
        <f t="shared" si="0"/>
        <v>DP=2024.06</v>
      </c>
      <c r="BU17" s="436" t="str">
        <f t="shared" si="0"/>
        <v>DP=2024.06</v>
      </c>
      <c r="BV17" s="436" t="str">
        <f t="shared" si="0"/>
        <v>DP=2024.06</v>
      </c>
      <c r="BW17" s="436" t="str">
        <f t="shared" si="0"/>
        <v>DP=2024.06</v>
      </c>
      <c r="BX17" s="436" t="str">
        <f t="shared" ref="BX17:CJ17" si="1">+$F$20</f>
        <v>DP=2024.06</v>
      </c>
      <c r="BY17" s="436" t="str">
        <f t="shared" si="1"/>
        <v>DP=2024.06</v>
      </c>
      <c r="BZ17" s="436" t="str">
        <f t="shared" si="1"/>
        <v>DP=2024.06</v>
      </c>
      <c r="CA17" s="436" t="str">
        <f t="shared" si="1"/>
        <v>DP=2024.06</v>
      </c>
      <c r="CB17" s="436" t="str">
        <f t="shared" si="1"/>
        <v>DP=2024.06</v>
      </c>
      <c r="CC17" s="436" t="str">
        <f t="shared" si="1"/>
        <v>DP=2024.06</v>
      </c>
      <c r="CD17" s="436" t="str">
        <f t="shared" si="1"/>
        <v>DP=2024.06</v>
      </c>
      <c r="CE17" s="436" t="str">
        <f t="shared" si="1"/>
        <v>DP=2024.06</v>
      </c>
      <c r="CF17" s="436" t="str">
        <f t="shared" si="1"/>
        <v>DP=2024.06</v>
      </c>
      <c r="CG17" s="436" t="str">
        <f t="shared" si="1"/>
        <v>DP=2024.06</v>
      </c>
      <c r="CH17" s="436" t="str">
        <f t="shared" si="1"/>
        <v>DP=2024.06</v>
      </c>
      <c r="CI17" s="436" t="str">
        <f t="shared" si="1"/>
        <v>DP=2024.06</v>
      </c>
      <c r="CJ17" s="436" t="str">
        <f t="shared" si="1"/>
        <v>DP=2024.06</v>
      </c>
      <c r="CK17" s="291"/>
      <c r="CL17" s="291"/>
      <c r="CM17" s="291"/>
      <c r="CN17" s="291"/>
      <c r="CO17" s="291"/>
      <c r="CP17" s="291"/>
      <c r="CQ17" s="291"/>
      <c r="CR17" s="291"/>
      <c r="CS17" s="291"/>
      <c r="CT17" s="291"/>
    </row>
    <row r="18" spans="1:98">
      <c r="E18" s="335"/>
      <c r="K18" s="436" t="s">
        <v>134</v>
      </c>
      <c r="L18" s="436" t="s">
        <v>1214</v>
      </c>
      <c r="M18" s="436" t="s">
        <v>222</v>
      </c>
      <c r="N18" s="436" t="s">
        <v>223</v>
      </c>
      <c r="O18" s="436" t="s">
        <v>224</v>
      </c>
      <c r="P18" s="436" t="s">
        <v>311</v>
      </c>
      <c r="Q18" s="436" t="s">
        <v>217</v>
      </c>
      <c r="R18" s="436" t="s">
        <v>1026</v>
      </c>
      <c r="S18" s="436" t="s">
        <v>249</v>
      </c>
      <c r="T18" s="436" t="s">
        <v>250</v>
      </c>
      <c r="U18" s="436" t="s">
        <v>1028</v>
      </c>
      <c r="V18" s="436" t="s">
        <v>307</v>
      </c>
      <c r="W18" s="436" t="s">
        <v>882</v>
      </c>
      <c r="X18" s="436" t="s">
        <v>1215</v>
      </c>
      <c r="Y18" s="436" t="s">
        <v>1437</v>
      </c>
      <c r="Z18" s="436" t="s">
        <v>248</v>
      </c>
      <c r="AA18" s="436" t="s">
        <v>579</v>
      </c>
      <c r="AB18" s="436" t="s">
        <v>1002</v>
      </c>
      <c r="AC18" s="436" t="s">
        <v>883</v>
      </c>
      <c r="AD18" s="436" t="s">
        <v>1003</v>
      </c>
      <c r="AE18" s="436" t="s">
        <v>1004</v>
      </c>
      <c r="AF18" s="436" t="s">
        <v>1005</v>
      </c>
      <c r="AG18" s="436" t="s">
        <v>1006</v>
      </c>
      <c r="AH18" s="436" t="s">
        <v>1007</v>
      </c>
      <c r="AI18" s="436" t="s">
        <v>220</v>
      </c>
      <c r="AJ18" s="436" t="s">
        <v>221</v>
      </c>
      <c r="AK18" s="436" t="s">
        <v>225</v>
      </c>
      <c r="AL18" s="436" t="s">
        <v>226</v>
      </c>
      <c r="AM18" s="436" t="s">
        <v>227</v>
      </c>
      <c r="AN18" s="436" t="s">
        <v>252</v>
      </c>
      <c r="AO18" s="436" t="s">
        <v>253</v>
      </c>
      <c r="AP18" s="436" t="s">
        <v>228</v>
      </c>
      <c r="AQ18" s="436" t="s">
        <v>229</v>
      </c>
      <c r="AR18" s="436" t="s">
        <v>230</v>
      </c>
      <c r="AS18" s="436" t="s">
        <v>231</v>
      </c>
      <c r="AT18" s="436" t="s">
        <v>310</v>
      </c>
      <c r="AU18" s="436" t="s">
        <v>580</v>
      </c>
      <c r="AV18" s="436" t="s">
        <v>232</v>
      </c>
      <c r="AW18" s="436" t="s">
        <v>254</v>
      </c>
      <c r="AX18" s="436" t="s">
        <v>255</v>
      </c>
      <c r="AY18" s="436" t="s">
        <v>256</v>
      </c>
      <c r="AZ18" s="436" t="s">
        <v>257</v>
      </c>
      <c r="BA18" s="436" t="s">
        <v>258</v>
      </c>
      <c r="BB18" s="436" t="s">
        <v>259</v>
      </c>
      <c r="BC18" s="436" t="s">
        <v>260</v>
      </c>
      <c r="BD18" s="436" t="s">
        <v>308</v>
      </c>
      <c r="BE18" s="436" t="s">
        <v>1176</v>
      </c>
      <c r="BF18" s="436" t="s">
        <v>1177</v>
      </c>
      <c r="BG18" s="436" t="s">
        <v>1027</v>
      </c>
      <c r="BH18" s="436" t="s">
        <v>251</v>
      </c>
      <c r="BI18" s="436" t="s">
        <v>309</v>
      </c>
      <c r="BJ18" s="436" t="s">
        <v>1008</v>
      </c>
      <c r="BK18" s="436" t="s">
        <v>1009</v>
      </c>
      <c r="BL18" s="436" t="s">
        <v>1010</v>
      </c>
      <c r="BM18" s="436" t="s">
        <v>1011</v>
      </c>
      <c r="BN18" s="436" t="s">
        <v>1012</v>
      </c>
      <c r="BO18" s="436" t="s">
        <v>1013</v>
      </c>
      <c r="BP18" s="436" t="s">
        <v>1014</v>
      </c>
      <c r="BQ18" s="436" t="s">
        <v>1015</v>
      </c>
      <c r="BR18" s="436" t="s">
        <v>1016</v>
      </c>
      <c r="BS18" s="436" t="s">
        <v>1017</v>
      </c>
      <c r="BT18" s="436" t="s">
        <v>1174</v>
      </c>
      <c r="BU18" s="436" t="s">
        <v>1175</v>
      </c>
      <c r="BV18" s="436" t="s">
        <v>1115</v>
      </c>
      <c r="BW18" s="436" t="s">
        <v>1018</v>
      </c>
      <c r="BX18" s="436" t="s">
        <v>1019</v>
      </c>
      <c r="BY18" s="436" t="s">
        <v>1020</v>
      </c>
      <c r="BZ18" s="436" t="s">
        <v>1438</v>
      </c>
      <c r="CA18" s="436" t="s">
        <v>1021</v>
      </c>
      <c r="CB18" s="436" t="s">
        <v>1022</v>
      </c>
      <c r="CC18" s="436" t="s">
        <v>1023</v>
      </c>
      <c r="CD18" s="436" t="s">
        <v>1024</v>
      </c>
      <c r="CE18" s="436" t="s">
        <v>1025</v>
      </c>
      <c r="CF18" s="436" t="s">
        <v>233</v>
      </c>
      <c r="CG18" s="436" t="s">
        <v>234</v>
      </c>
      <c r="CH18" s="436" t="s">
        <v>235</v>
      </c>
      <c r="CI18" s="436" t="s">
        <v>236</v>
      </c>
      <c r="CJ18" s="436" t="s">
        <v>237</v>
      </c>
      <c r="CK18" s="291"/>
      <c r="CL18" s="291"/>
      <c r="CM18" s="291"/>
      <c r="CN18" s="291"/>
      <c r="CO18" s="291"/>
      <c r="CP18" s="291"/>
      <c r="CQ18" s="291"/>
      <c r="CR18" s="291"/>
      <c r="CS18" s="291"/>
      <c r="CT18" s="291"/>
    </row>
    <row r="19" spans="1:98" ht="36" customHeight="1">
      <c r="E19" s="335"/>
      <c r="K19" s="437" t="str">
        <f>_xll.GetCtLabel(K18,"CURINIT(RU)!LDESC","#CNP ASSURANCES")</f>
        <v>CNP ASSURANCES</v>
      </c>
      <c r="L19" s="437" t="str">
        <f>_xll.GetCtLabel(L18,"CURINIT(RU)!LDESC","#CNP Retraite")</f>
        <v>CNP Retraite</v>
      </c>
      <c r="M19" s="437" t="str">
        <f>_xll.GetCtLabel(M18,"CURINIT(RU)!LDESC","#Caixa Seguradora S.A.")</f>
        <v>Caixa Seguradora S.A.</v>
      </c>
      <c r="N19" s="437" t="str">
        <f>_xll.GetCtLabel(N18,"CURINIT(RU)!LDESC","#CNP Capitalização S.A.")</f>
        <v>CNP Capitalização S.A.</v>
      </c>
      <c r="O19" s="437" t="str">
        <f>_xll.GetCtLabel(O18,"CURINIT(RU)!LDESC","#Caixa Vida e Previdência")</f>
        <v>Caixa Vida e Previdência</v>
      </c>
      <c r="P19" s="437" t="str">
        <f>_xll.GetCtLabel(P18,"CURINIT(RU)!LDESC","#XS2 Vida e Previdência S.A.")</f>
        <v>XS2 Vida e Previdência S.A.</v>
      </c>
      <c r="Q19" s="437" t="str">
        <f>_xll.GetCtLabel(Q18,"CURINIT(RU)!LDESC","#CNP UNICREDIT VITA")</f>
        <v>CNP UNICREDIT VITA</v>
      </c>
      <c r="R19" s="437" t="str">
        <f>_xll.GetCtLabel(R18,"CURINIT(RU)!LDESC","#CNP Vita Assicura")</f>
        <v>CNP Vita Assicura</v>
      </c>
      <c r="S19" s="437" t="str">
        <f>_xll.GetCtLabel(S18,"CURINIT(RU)!LDESC","#CNP Santander Insurance Life Dac")</f>
        <v>CNP Santander Insurance Life Dac</v>
      </c>
      <c r="T19" s="437" t="str">
        <f>_xll.GetCtLabel(T18,"CURINIT(RU)!LDESC","#CNP Santander Insurance Europe DAC")</f>
        <v>CNP Santander Insurance Europe DAC</v>
      </c>
      <c r="U19" s="437" t="str">
        <f>_xll.GetCtLabel(U18,"CURINIT(RU)!LDESC","#CNP Luxembourg")</f>
        <v>CNP Luxembourg</v>
      </c>
      <c r="V19" s="437" t="str">
        <f>_xll.GetCtLabel(V18,"CURINIT(RU)!LDESC","#CNP Caution")</f>
        <v>CNP Caution</v>
      </c>
      <c r="W19" s="437" t="str">
        <f>_xll.GetCtLabel(W18,"CURINIT(RU)!LDESC","#ARIAL CNP ASSURANCES")</f>
        <v>ARIAL CNP ASSURANCES</v>
      </c>
      <c r="X19" s="437" t="str">
        <f>_xll.GetCtLabel(X18,"CURINIT(RU)!LDESC","#Filassistance International")</f>
        <v>Filassistance International</v>
      </c>
      <c r="Y19" s="437" t="str">
        <f>_xll.GetCtLabel(Y18,"CURINIT(RU)!LDESC","#Assuristance")</f>
        <v>Assuristance</v>
      </c>
      <c r="Z19" s="437" t="str">
        <f>_xll.GetCtLabel(Z18,"CURINIT(RU)!LDESC","#MFPrévoyance")</f>
        <v>MFPrévoyance</v>
      </c>
      <c r="AA19" s="437" t="str">
        <f>_xll.GetCtLabel(AA18,"CURINIT(RU)!LDESC","#Ecureuil Vie Développement")</f>
        <v>Ecureuil Vie Développement</v>
      </c>
      <c r="AB19" s="437" t="str">
        <f>_xll.GetCtLabel(AB18,"CURINIT(RU)!LDESC","#Assurbail Patrimoine")</f>
        <v>Assurbail Patrimoine</v>
      </c>
      <c r="AC19" s="437" t="str">
        <f>_xll.GetCtLabel(AC18,"CURINIT(RU)!LDESC","#Holding d’Infrastructures Gazières")</f>
        <v>Holding d’Infrastructures Gazières</v>
      </c>
      <c r="AD19" s="437" t="str">
        <f>_xll.GetCtLabel(AD18,"CURINIT(RU)!LDESC","#MONTPARVIE V")</f>
        <v>MONTPARVIE V</v>
      </c>
      <c r="AE19" s="437" t="str">
        <f>_xll.GetCtLabel(AE18,"CURINIT(RU)!LDESC","#Sogestop K")</f>
        <v>Sogestop K</v>
      </c>
      <c r="AF19" s="437" t="str">
        <f>_xll.GetCtLabel(AF18,"CURINIT(RU)!LDESC","#Infra-Invest")</f>
        <v>Infra-Invest</v>
      </c>
      <c r="AG19" s="437" t="str">
        <f>_xll.GetCtLabel(AG18,"CURINIT(RU)!LDESC","#Infra-invest holding")</f>
        <v>Infra-invest holding</v>
      </c>
      <c r="AH19" s="437" t="str">
        <f>_xll.GetCtLabel(AH18,"CURINIT(RU)!LDESC","#Infra-invest France")</f>
        <v>Infra-invest France</v>
      </c>
      <c r="AI19" s="437" t="str">
        <f>_xll.GetCtLabel(AI18,"CURINIT(RU)!LDESC","#CNP Seguros Holding Brasil S.A")</f>
        <v>CNP Seguros Holding Brasil S.A</v>
      </c>
      <c r="AJ19" s="437" t="str">
        <f>_xll.GetCtLabel(AJ18,"CURINIT(RU)!LDESC","#CNP Participações Securitarias Brasil Ltda")</f>
        <v>CNP Participações Securitarias Brasil Ltda</v>
      </c>
      <c r="AK19" s="437" t="str">
        <f>_xll.GetCtLabel(AK18,"CURINIT(RU)!LDESC","#CNP Consórcio S.A. Administradora de Consórcios")</f>
        <v>CNP Consórcio S.A. Administradora de Consórcios</v>
      </c>
      <c r="AL19" s="437" t="str">
        <f>_xll.GetCtLabel(AL18,"CURINIT(RU)!LDESC","#Youse Tecnologia E Assitencia Em Seguros Ltda")</f>
        <v>Youse Tecnologia E Assitencia Em Seguros Ltda</v>
      </c>
      <c r="AM19" s="437" t="str">
        <f>_xll.GetCtLabel(AM18,"CURINIT(RU)!LDESC","#Caixa Seguradora Especializada Em Saúde S.A.")</f>
        <v>Caixa Seguradora Especializada Em Saúde S.A.</v>
      </c>
      <c r="AN19" s="437" t="str">
        <f>_xll.GetCtLabel(AN18,"CURINIT(RU)!LDESC","#CNP Assurances Compañia de Seguros")</f>
        <v>CNP Assurances Compañia de Seguros</v>
      </c>
      <c r="AO19" s="437" t="str">
        <f>_xll.GetCtLabel(AO18,"CURINIT(RU)!LDESC","#CNP SA de Capitalización y Ahorro p/ fines determinados")</f>
        <v>CNP SA de Capitalización y Ahorro p/ fines determinados</v>
      </c>
      <c r="AP19" s="437" t="str">
        <f>_xll.GetCtLabel(AP18,"CURINIT(RU)!LDESC","#Companhia de Seguros Previdencia Do Sul-Previsul")</f>
        <v>Companhia de Seguros Previdencia Do Sul-Previsul</v>
      </c>
      <c r="AQ19" s="437" t="str">
        <f>_xll.GetCtLabel(AQ18,"CURINIT(RU)!LDESC","#Wiz Soluçoes e Corretagem de Seguros S.A.")</f>
        <v>Wiz Soluçoes e Corretagem de Seguros S.A.</v>
      </c>
      <c r="AR19" s="437" t="str">
        <f>_xll.GetCtLabel(AR18,"CURINIT(RU)!LDESC","#Odonto Empresas Convenios Dentarios Ltda")</f>
        <v>Odonto Empresas Convenios Dentarios Ltda</v>
      </c>
      <c r="AS19" s="437" t="str">
        <f>_xll.GetCtLabel(AS18,"CURINIT(RU)!LDESC","#CNP Participações em Seguros Ltda.")</f>
        <v>CNP Participações em Seguros Ltda.</v>
      </c>
      <c r="AT19" s="437" t="str">
        <f>_xll.GetCtLabel(AT18,"CURINIT(RU)!LDESC","#HOLDING XS 1 S.A.")</f>
        <v>HOLDING XS 1 S.A.</v>
      </c>
      <c r="AU19" s="437" t="str">
        <f>_xll.GetCtLabel(AU18,"CURINIT(RU)!LDESC","#XS5 ADMINISTRADORA DE CONSORCIOS S.A.")</f>
        <v>XS5 ADMINISTRADORA DE CONSORCIOS S.A.</v>
      </c>
      <c r="AV19" s="437" t="str">
        <f>_xll.GetCtLabel(AV18,"CURINIT(RU)!LDESC","#Fundo De Investimento Imobiliario Renda Corporativa Angico - FII")</f>
        <v>Fundo De Investimento Imobiliario Renda Corporativa Angico - FII</v>
      </c>
      <c r="AW19" s="437" t="str">
        <f>_xll.GetCtLabel(AW18,"CURINIT(RU)!LDESC","#CNP Cyprus Insurance Holdings")</f>
        <v>CNP Cyprus Insurance Holdings</v>
      </c>
      <c r="AX19" s="437" t="str">
        <f>_xll.GetCtLabel(AX18,"CURINIT(RU)!LDESC","#CNP Zois")</f>
        <v>CNP Zois</v>
      </c>
      <c r="AY19" s="437" t="str">
        <f>_xll.GetCtLabel(AY18,"CURINIT(RU)!LDESC","#CNP Praktoriaki")</f>
        <v>CNP Praktoriaki</v>
      </c>
      <c r="AZ19" s="437" t="str">
        <f>_xll.GetCtLabel(AZ18,"CURINIT(RU)!LDESC","#CNP Cyprialife")</f>
        <v>CNP Cyprialife</v>
      </c>
      <c r="BA19" s="437" t="str">
        <f>_xll.GetCtLabel(BA18,"CURINIT(RU)!LDESC","#CNP Asfalistiki")</f>
        <v>CNP Asfalistiki</v>
      </c>
      <c r="BB19" s="437" t="str">
        <f>_xll.GetCtLabel(BB18,"CURINIT(RU)!LDESC","#CNP Cyprus Tower Ltd")</f>
        <v>CNP Cyprus Tower Ltd</v>
      </c>
      <c r="BC19" s="437" t="str">
        <f>_xll.GetCtLabel(BC18,"CURINIT(RU)!LDESC","# CNP Cyprus Properties")</f>
        <v xml:space="preserve"> CNP Cyprus Properties</v>
      </c>
      <c r="BD19" s="437" t="str">
        <f>_xll.GetCtLabel(BD18,"CURINIT(RU)!LDESC","#CNP Assurances Latam Holding Ltda")</f>
        <v>CNP Assurances Latam Holding Ltda</v>
      </c>
      <c r="BE19" s="437" t="str">
        <f>_xll.GetCtLabel(BE18,"CURINIT(RU)!LDESC","#Credicoop Compañia de Seguros de Retiro S.A.")</f>
        <v>Credicoop Compañia de Seguros de Retiro S.A.</v>
      </c>
      <c r="BF19" s="437" t="str">
        <f>_xll.GetCtLabel(BF18,"CURINIT(RU)!LDESC","#Provincia Seguros de Vida S.A.")</f>
        <v>Provincia Seguros de Vida S.A.</v>
      </c>
      <c r="BG19" s="437" t="str">
        <f>_xll.GetCtLabel(BG18,"CURINIT(RU)!LDESC","#CNP Europe Life DAC")</f>
        <v>CNP Europe Life DAC</v>
      </c>
      <c r="BH19" s="437" t="str">
        <f>_xll.GetCtLabel(BH18,"CURINIT(RU)!LDESC","#CNP Santander Insurance Services Ireland Limited")</f>
        <v>CNP Santander Insurance Services Ireland Limited</v>
      </c>
      <c r="BI19" s="437" t="str">
        <f>_xll.GetCtLabel(BI18,"CURINIT(RU)!LDESC","#CNP Assurances Participações Ltda")</f>
        <v>CNP Assurances Participações Ltda</v>
      </c>
      <c r="BJ19" s="437" t="str">
        <f>_xll.GetCtLabel(BJ18,"CURINIT(RU)!LDESC","#ASSURIMMEUBLE")</f>
        <v>ASSURIMMEUBLE</v>
      </c>
      <c r="BK19" s="437" t="str">
        <f>_xll.GetCtLabel(BK18,"CURINIT(RU)!LDESC","#AEP4 SCI")</f>
        <v>AEP4 SCI</v>
      </c>
      <c r="BL19" s="437" t="str">
        <f>_xll.GetCtLabel(BL18,"CURINIT(RU)!LDESC","#AEP3 SCI")</f>
        <v>AEP3 SCI</v>
      </c>
      <c r="BM19" s="437" t="str">
        <f>_xll.GetCtLabel(BM18,"CURINIT(RU)!LDESC","#OPCI MTP Invest")</f>
        <v>OPCI MTP Invest</v>
      </c>
      <c r="BN19" s="437" t="str">
        <f>_xll.GetCtLabel(BN18,"CURINIT(RU)!LDESC","#OPCI AEW IMCOM 1")</f>
        <v>OPCI AEW IMCOM 1</v>
      </c>
      <c r="BO19" s="437" t="str">
        <f>_xll.GetCtLabel(BO18,"CURINIT(RU)!LDESC","#OPCI AEP247")</f>
        <v>OPCI AEP247</v>
      </c>
      <c r="BP19" s="437" t="str">
        <f>_xll.GetCtLabel(BP18,"CURINIT(RU)!LDESC","#LBP Actifs Immo")</f>
        <v>LBP Actifs Immo</v>
      </c>
      <c r="BQ19" s="437" t="str">
        <f>_xll.GetCtLabel(BQ18,"CURINIT(RU)!LDESC","#Outlet Invest")</f>
        <v>Outlet Invest</v>
      </c>
      <c r="BR19" s="437" t="str">
        <f>_xll.GetCtLabel(BR18,"CURINIT(RU)!LDESC","#OPCI Raspail")</f>
        <v>OPCI Raspail</v>
      </c>
      <c r="BS19" s="437" t="str">
        <f>_xll.GetCtLabel(BS18,"CURINIT(RU)!LDESC","#SAS Alleray")</f>
        <v>SAS Alleray</v>
      </c>
      <c r="BT19" s="437" t="str">
        <f>_xll.GetCtLabel(BT18,"CURINIT(RU)!LDESC","#SCP Lamartine Euros")</f>
        <v>SCP Lamartine Euros</v>
      </c>
      <c r="BU19" s="437" t="str">
        <f>_xll.GetCtLabel(BU18,"CURINIT(RU)!LDESC","#SCP Lamartine monitoring Holding")</f>
        <v>SCP Lamartine monitoring Holding</v>
      </c>
      <c r="BV19" s="437" t="str">
        <f>_xll.GetCtLabel(BV18,"CURINIT(RU)!LDESC","#SCI Lamartine")</f>
        <v>SCI Lamartine</v>
      </c>
      <c r="BW19" s="437" t="str">
        <f>_xll.GetCtLabel(BW18,"CURINIT(RU)!LDESC","#CIMO")</f>
        <v>CIMO</v>
      </c>
      <c r="BX19" s="437" t="str">
        <f>_xll.GetCtLabel(BX18,"CURINIT(RU)!LDESC","#SICAC")</f>
        <v>SICAC</v>
      </c>
      <c r="BY19" s="437" t="str">
        <f>_xll.GetCtLabel(BY18,"CURINIT(RU)!LDESC","#CNP IMMOBILIER")</f>
        <v>CNP IMMOBILIER</v>
      </c>
      <c r="BZ19" s="437" t="str">
        <f>_xll.GetCtLabel(BZ18,"CURINIT(RU)!LDESC","#SCI ICV")</f>
        <v>SCI ICV</v>
      </c>
      <c r="CA19" s="437" t="str">
        <f>_xll.GetCtLabel(CA18,"CURINIT(RU)!LDESC","#UNIVERS CNP 1 FCP")</f>
        <v>UNIVERS CNP 1 FCP</v>
      </c>
      <c r="CB19" s="437" t="str">
        <f>_xll.GetCtLabel(CB18,"CURINIT(RU)!LDESC","#Ecureuil Profil 90")</f>
        <v>Ecureuil Profil 90</v>
      </c>
      <c r="CC19" s="437" t="str">
        <f>_xll.GetCtLabel(CC18,"CURINIT(RU)!LDESC","#Vivaccio ISR actions")</f>
        <v>Vivaccio ISR actions</v>
      </c>
      <c r="CD19" s="437" t="str">
        <f>_xll.GetCtLabel(CD18,"CURINIT(RU)!LDESC","#CNP OSTRUM ISR OBLI 12 MOIS")</f>
        <v>CNP OSTRUM ISR OBLI 12 MOIS</v>
      </c>
      <c r="CE19" s="437" t="str">
        <f>_xll.GetCtLabel(CE18,"CURINIT(RU)!LDESC","#CNP Assur Trésorerie Plus")</f>
        <v>CNP Assur Trésorerie Plus</v>
      </c>
      <c r="CF19" s="437" t="str">
        <f>_xll.GetCtLabel(CF18,"CURINIT(RU)!LDESC","#OPCVM Caixa Seguradora S.A.")</f>
        <v>OPCVM Caixa Seguradora S.A.</v>
      </c>
      <c r="CG19" s="437" t="str">
        <f>_xll.GetCtLabel(CG18,"CURINIT(RU)!LDESC","#OPCVM CNP Capitalização S.A.")</f>
        <v>OPCVM CNP Capitalização S.A.</v>
      </c>
      <c r="CH19" s="437" t="str">
        <f>_xll.GetCtLabel(CH18,"CURINIT(RU)!LDESC","#OPCVM Caixa Vida e Previdência")</f>
        <v>OPCVM Caixa Vida e Previdência</v>
      </c>
      <c r="CI19" s="437" t="str">
        <f>_xll.GetCtLabel(CI18,"CURINIT(RU)!LDESC","#OPCVM CNP Consórcio S.A.")</f>
        <v>OPCVM CNP Consórcio S.A.</v>
      </c>
      <c r="CJ19" s="437" t="str">
        <f>_xll.GetCtLabel(CJ18,"CURINIT(RU)!LDESC","#OPCVM Holding Caixa Seguros Holding S.A.")</f>
        <v>OPCVM Holding Caixa Seguros Holding S.A.</v>
      </c>
      <c r="CK19" s="291"/>
      <c r="CL19" s="291"/>
      <c r="CM19" s="291"/>
      <c r="CN19" s="291"/>
      <c r="CO19" s="291"/>
      <c r="CP19" s="291"/>
      <c r="CQ19" s="291"/>
      <c r="CR19" s="291"/>
      <c r="CS19" s="291"/>
      <c r="CT19" s="291"/>
    </row>
    <row r="20" spans="1:98" s="291" customFormat="1" outlineLevel="1">
      <c r="D20" s="384" t="s">
        <v>582</v>
      </c>
      <c r="E20" s="384" t="s">
        <v>12604</v>
      </c>
      <c r="F20" s="384" t="s">
        <v>12605</v>
      </c>
      <c r="G20" s="384" t="s">
        <v>12606</v>
      </c>
      <c r="H20" s="384" t="s">
        <v>582</v>
      </c>
      <c r="J20" s="386"/>
      <c r="K20" s="438" t="s">
        <v>1435</v>
      </c>
      <c r="L20" s="438" t="s">
        <v>1435</v>
      </c>
      <c r="M20" s="438" t="s">
        <v>1435</v>
      </c>
      <c r="N20" s="438" t="s">
        <v>1435</v>
      </c>
      <c r="O20" s="438" t="s">
        <v>1435</v>
      </c>
      <c r="P20" s="439" t="s">
        <v>1435</v>
      </c>
      <c r="Q20" s="438" t="s">
        <v>1435</v>
      </c>
      <c r="R20" s="439" t="s">
        <v>1435</v>
      </c>
      <c r="S20" s="438" t="s">
        <v>1435</v>
      </c>
      <c r="T20" s="438" t="s">
        <v>1435</v>
      </c>
      <c r="U20" s="438" t="s">
        <v>1435</v>
      </c>
      <c r="V20" s="438" t="s">
        <v>1435</v>
      </c>
      <c r="W20" s="440" t="s">
        <v>1436</v>
      </c>
      <c r="X20" s="438" t="s">
        <v>1435</v>
      </c>
      <c r="Y20" s="438" t="s">
        <v>1435</v>
      </c>
      <c r="Z20" s="438" t="s">
        <v>1435</v>
      </c>
      <c r="AA20" s="440" t="s">
        <v>1436</v>
      </c>
      <c r="AB20" s="438" t="s">
        <v>1435</v>
      </c>
      <c r="AC20" s="440" t="s">
        <v>1436</v>
      </c>
      <c r="AD20" s="438" t="s">
        <v>1435</v>
      </c>
      <c r="AE20" s="438" t="s">
        <v>1435</v>
      </c>
      <c r="AF20" s="438" t="s">
        <v>1435</v>
      </c>
      <c r="AG20" s="438" t="s">
        <v>1435</v>
      </c>
      <c r="AH20" s="438" t="s">
        <v>1435</v>
      </c>
      <c r="AI20" s="438" t="s">
        <v>1435</v>
      </c>
      <c r="AJ20" s="438" t="s">
        <v>1435</v>
      </c>
      <c r="AK20" s="438" t="s">
        <v>1435</v>
      </c>
      <c r="AL20" s="438" t="s">
        <v>1435</v>
      </c>
      <c r="AM20" s="438" t="s">
        <v>1435</v>
      </c>
      <c r="AN20" s="438" t="s">
        <v>1435</v>
      </c>
      <c r="AO20" s="438" t="s">
        <v>1435</v>
      </c>
      <c r="AP20" s="438" t="s">
        <v>1435</v>
      </c>
      <c r="AQ20" s="440" t="s">
        <v>1436</v>
      </c>
      <c r="AR20" s="438" t="s">
        <v>1435</v>
      </c>
      <c r="AS20" s="438" t="s">
        <v>1435</v>
      </c>
      <c r="AT20" s="438" t="s">
        <v>1435</v>
      </c>
      <c r="AU20" s="440" t="s">
        <v>1436</v>
      </c>
      <c r="AV20" s="438" t="s">
        <v>1435</v>
      </c>
      <c r="AW20" s="438" t="s">
        <v>1435</v>
      </c>
      <c r="AX20" s="438" t="s">
        <v>1435</v>
      </c>
      <c r="AY20" s="438" t="s">
        <v>1435</v>
      </c>
      <c r="AZ20" s="438" t="s">
        <v>1435</v>
      </c>
      <c r="BA20" s="438" t="s">
        <v>1435</v>
      </c>
      <c r="BB20" s="438" t="s">
        <v>1435</v>
      </c>
      <c r="BC20" s="438" t="s">
        <v>1435</v>
      </c>
      <c r="BD20" s="438" t="s">
        <v>1435</v>
      </c>
      <c r="BE20" s="440" t="s">
        <v>1436</v>
      </c>
      <c r="BF20" s="440" t="s">
        <v>1436</v>
      </c>
      <c r="BG20" s="438" t="s">
        <v>1435</v>
      </c>
      <c r="BH20" s="438" t="s">
        <v>1435</v>
      </c>
      <c r="BI20" s="438" t="s">
        <v>1435</v>
      </c>
      <c r="BJ20" s="438" t="s">
        <v>1435</v>
      </c>
      <c r="BK20" s="438" t="s">
        <v>1435</v>
      </c>
      <c r="BL20" s="438" t="s">
        <v>1435</v>
      </c>
      <c r="BM20" s="438" t="s">
        <v>1435</v>
      </c>
      <c r="BN20" s="438" t="s">
        <v>1435</v>
      </c>
      <c r="BO20" s="438" t="s">
        <v>1435</v>
      </c>
      <c r="BP20" s="438" t="s">
        <v>1435</v>
      </c>
      <c r="BQ20" s="438" t="s">
        <v>1435</v>
      </c>
      <c r="BR20" s="438" t="s">
        <v>1435</v>
      </c>
      <c r="BS20" s="438" t="s">
        <v>1435</v>
      </c>
      <c r="BT20" s="438" t="s">
        <v>1435</v>
      </c>
      <c r="BU20" s="438" t="s">
        <v>1435</v>
      </c>
      <c r="BV20" s="438" t="s">
        <v>1435</v>
      </c>
      <c r="BW20" s="438" t="s">
        <v>1435</v>
      </c>
      <c r="BX20" s="438" t="s">
        <v>1435</v>
      </c>
      <c r="BY20" s="438" t="s">
        <v>1435</v>
      </c>
      <c r="BZ20" s="438" t="s">
        <v>1435</v>
      </c>
      <c r="CA20" s="438" t="s">
        <v>1435</v>
      </c>
      <c r="CB20" s="438" t="s">
        <v>1435</v>
      </c>
      <c r="CC20" s="438" t="s">
        <v>1435</v>
      </c>
      <c r="CD20" s="438" t="s">
        <v>1435</v>
      </c>
      <c r="CE20" s="438" t="s">
        <v>1435</v>
      </c>
      <c r="CF20" s="438" t="s">
        <v>1435</v>
      </c>
      <c r="CG20" s="438" t="s">
        <v>1435</v>
      </c>
      <c r="CH20" s="438" t="s">
        <v>1435</v>
      </c>
      <c r="CI20" s="438" t="s">
        <v>1435</v>
      </c>
      <c r="CJ20" s="438" t="s">
        <v>1435</v>
      </c>
    </row>
    <row r="21" spans="1:98" s="291" customFormat="1" ht="34.5" customHeight="1" outlineLevel="1">
      <c r="C21" s="382" t="s">
        <v>85</v>
      </c>
      <c r="D21" s="387"/>
      <c r="E21" s="387"/>
      <c r="F21" s="387"/>
      <c r="G21" s="387"/>
      <c r="H21" s="387"/>
      <c r="I21" s="387"/>
      <c r="J21" s="386"/>
      <c r="W21" s="388"/>
      <c r="AA21" s="388"/>
      <c r="AC21" s="388"/>
      <c r="AQ21" s="388"/>
      <c r="AU21" s="388"/>
      <c r="BE21" s="388"/>
      <c r="BF21" s="388"/>
    </row>
    <row r="22" spans="1:98" s="291" customFormat="1" outlineLevel="1">
      <c r="A22" s="384" t="s">
        <v>218</v>
      </c>
      <c r="B22" s="384"/>
      <c r="C22" s="389" t="s">
        <v>86</v>
      </c>
      <c r="D22" s="340">
        <f>_xll.GetCtData("COAMOUNT","CONSAMOUNT",$J$4:$J$5,$J$7:$J$9,$D$7,D$20,$A22,"#3047")</f>
        <v>3047</v>
      </c>
      <c r="E22" s="340">
        <f>_xll.GetCtData("COAMOUNT","CONSAMOUNT",$J$4:$J$5,$J$7:$J$9,$D$7,E$20,$A22,"#")</f>
        <v>0</v>
      </c>
      <c r="F22" s="340">
        <f>_xll.GetCtData("COAMOUNT","CONSAMOUNT",$J$4:$J$5,$J$7:$J$9,$D$7,F$20,$A22,"#3104")</f>
        <v>3104</v>
      </c>
      <c r="G22" s="340">
        <f>_xll.GetCtData("COAMOUNT","CONSAMOUNT",$J$4:$J$5,$J$7:$J$9,$D$7,G$20,$A22,"#")</f>
        <v>0</v>
      </c>
      <c r="H22" s="340">
        <f>_xll.GetCtData("COAMOUNT","CONSAMOUNT",$J$4:$J$5,$J$7:$J$9,$D$7,H$20,$A22,"#3047")</f>
        <v>3047</v>
      </c>
      <c r="I22" s="391">
        <f>SUM(D22:H22)/3</f>
        <v>3066</v>
      </c>
      <c r="J22" s="392" t="s">
        <v>2487</v>
      </c>
      <c r="K22" s="340">
        <f>_xll.GetCtData("COAMOUNT","CONSAMOUNT",$J$4:$J$5,$J$7:$J$9,$D$7,K$17:K$18,$A22,"#2364")</f>
        <v>2364</v>
      </c>
      <c r="L22" s="340">
        <f>_xll.GetCtData("COAMOUNT","CONSAMOUNT",$J$4:$J$5,$J$7:$J$9,$D$7,L$17:L$18,$A22,"#")</f>
        <v>0</v>
      </c>
      <c r="M22" s="340">
        <f>_xll.GetCtData("COAMOUNT","CONSAMOUNT",$J$4:$J$5,$J$7:$J$9,$D$7,M$17:M$18,$A22,"#202")</f>
        <v>202</v>
      </c>
      <c r="N22" s="340">
        <f>_xll.GetCtData("COAMOUNT","CONSAMOUNT",$J$4:$J$5,$J$7:$J$9,$D$7,N$17:N$18,$A22,"#2")</f>
        <v>2</v>
      </c>
      <c r="O22" s="340">
        <f>_xll.GetCtData("COAMOUNT","CONSAMOUNT",$J$4:$J$5,$J$7:$J$9,$D$7,O$17:O$18,$A22,"#22")</f>
        <v>22</v>
      </c>
      <c r="P22" s="340">
        <f>_xll.GetCtData("COAMOUNT","CONSAMOUNT",$J$4:$J$5,$J$7:$J$9,$D$7,P$17:P$18,$A22,"#96")</f>
        <v>96</v>
      </c>
      <c r="Q22" s="340">
        <f>_xll.GetCtData("COAMOUNT","CONSAMOUNT",$J$4:$J$5,$J$7:$J$9,$D$7,Q$17:Q$18,$A22,"#")</f>
        <v>0</v>
      </c>
      <c r="R22" s="340">
        <f>_xll.GetCtData("COAMOUNT","CONSAMOUNT",$J$4:$J$5,$J$7:$J$9,$D$7,R$17:R$18,$A22,"#13")</f>
        <v>13</v>
      </c>
      <c r="S22" s="340">
        <f>_xll.GetCtData("COAMOUNT","CONSAMOUNT",$J$4:$J$5,$J$7:$J$9,$D$7,S$17:S$18,$A22,"#")</f>
        <v>0</v>
      </c>
      <c r="T22" s="340">
        <f>_xll.GetCtData("COAMOUNT","CONSAMOUNT",$J$4:$J$5,$J$7:$J$9,$D$7,T$17:T$18,$A22,"#")</f>
        <v>0</v>
      </c>
      <c r="U22" s="340">
        <f>_xll.GetCtData("COAMOUNT","CONSAMOUNT",$J$4:$J$5,$J$7:$J$9,$D$7,U$17:U$18,$A22,"#1")</f>
        <v>1</v>
      </c>
      <c r="V22" s="340">
        <f>_xll.GetCtData("COAMOUNT","CONSAMOUNT",$J$4:$J$5,$J$7:$J$9,$D$7,V$17:V$18,$A22,"#")</f>
        <v>0</v>
      </c>
      <c r="W22" s="393">
        <f>_xll.GetCtData("COAMOUNT","CONSAMOUNT",$J$4:$J$5,$J$7:$J$9,$D$7,W$17:W$18,$A22,"#")</f>
        <v>0</v>
      </c>
      <c r="X22" s="340">
        <f>_xll.GetCtData("COAMOUNT","CONSAMOUNT",$J$4:$J$5,$J$7:$J$9,$D$7,X$17:X$18,$A22,"#47")</f>
        <v>47</v>
      </c>
      <c r="Y22" s="340">
        <f>_xll.GetCtData("COAMOUNT","CONSAMOUNT",$J$4:$J$5,$J$7:$J$9,$D$7,Y$17:Y$18,$A22,"#")</f>
        <v>0</v>
      </c>
      <c r="Z22" s="340">
        <f>_xll.GetCtData("COAMOUNT","CONSAMOUNT",$J$4:$J$5,$J$7:$J$9,$D$7,Z$17:Z$18,$A22,"#")</f>
        <v>0</v>
      </c>
      <c r="AA22" s="393">
        <f>_xll.GetCtData("COAMOUNT","CONSAMOUNT",$J$4:$J$5,$J$7:$J$9,$D$7,AA$17:AA$18,$A22,"#")</f>
        <v>0</v>
      </c>
      <c r="AB22" s="340">
        <f>_xll.GetCtData("COAMOUNT","CONSAMOUNT",$J$4:$J$5,$J$7:$J$9,$D$7,AB$17:AB$18,$A22,"#")</f>
        <v>0</v>
      </c>
      <c r="AC22" s="393">
        <f>_xll.GetCtData("COAMOUNT","CONSAMOUNT",$J$4:$J$5,$J$7:$J$9,$D$7,AC$17:AC$18,$A22,"#")</f>
        <v>0</v>
      </c>
      <c r="AD22" s="340">
        <f>_xll.GetCtData("COAMOUNT","CONSAMOUNT",$J$4:$J$5,$J$7:$J$9,$D$7,AD$17:AD$18,$A22,"#")</f>
        <v>0</v>
      </c>
      <c r="AE22" s="340">
        <f>_xll.GetCtData("COAMOUNT","CONSAMOUNT",$J$4:$J$5,$J$7:$J$9,$D$7,AE$17:AE$18,$A22,"#")</f>
        <v>0</v>
      </c>
      <c r="AF22" s="340">
        <f>_xll.GetCtData("COAMOUNT","CONSAMOUNT",$J$4:$J$5,$J$7:$J$9,$D$7,AF$17:AF$18,$A22,"#1")</f>
        <v>1</v>
      </c>
      <c r="AG22" s="340">
        <f>_xll.GetCtData("COAMOUNT","CONSAMOUNT",$J$4:$J$5,$J$7:$J$9,$D$7,AG$17:AG$18,$A22,"#")</f>
        <v>0</v>
      </c>
      <c r="AH22" s="340">
        <f>_xll.GetCtData("COAMOUNT","CONSAMOUNT",$J$4:$J$5,$J$7:$J$9,$D$7,AH$17:AH$18,$A22,"#")</f>
        <v>0</v>
      </c>
      <c r="AI22" s="340">
        <f>_xll.GetCtData("COAMOUNT","CONSAMOUNT",$J$4:$J$5,$J$7:$J$9,$D$7,AI$17:AI$18,$A22,"#")</f>
        <v>0</v>
      </c>
      <c r="AJ22" s="340">
        <f>_xll.GetCtData("COAMOUNT","CONSAMOUNT",$J$4:$J$5,$J$7:$J$9,$D$7,AJ$17:AJ$18,$A22,"#")</f>
        <v>0</v>
      </c>
      <c r="AK22" s="340">
        <f>_xll.GetCtData("COAMOUNT","CONSAMOUNT",$J$4:$J$5,$J$7:$J$9,$D$7,AK$17:AK$18,$A22,"#39")</f>
        <v>39</v>
      </c>
      <c r="AL22" s="340">
        <f>_xll.GetCtData("COAMOUNT","CONSAMOUNT",$J$4:$J$5,$J$7:$J$9,$D$7,AL$17:AL$18,$A22,"#")</f>
        <v>0</v>
      </c>
      <c r="AM22" s="340">
        <f>_xll.GetCtData("COAMOUNT","CONSAMOUNT",$J$4:$J$5,$J$7:$J$9,$D$7,AM$17:AM$18,$A22,"#3")</f>
        <v>3</v>
      </c>
      <c r="AN22" s="340">
        <f>_xll.GetCtData("COAMOUNT","CONSAMOUNT",$J$4:$J$5,$J$7:$J$9,$D$7,AN$17:AN$18,$A22,"#15")</f>
        <v>15</v>
      </c>
      <c r="AO22" s="340">
        <f>_xll.GetCtData("COAMOUNT","CONSAMOUNT",$J$4:$J$5,$J$7:$J$9,$D$7,AO$17:AO$18,$A22,"#")</f>
        <v>0</v>
      </c>
      <c r="AP22" s="340">
        <f>_xll.GetCtData("COAMOUNT","CONSAMOUNT",$J$4:$J$5,$J$7:$J$9,$D$7,AP$17:AP$18,$A22,"#207")</f>
        <v>207</v>
      </c>
      <c r="AQ22" s="393">
        <f>_xll.GetCtData("COAMOUNT","CONSAMOUNT",$J$4:$J$5,$J$7:$J$9,$D$7,AQ$17:AQ$18,$A22,"#")</f>
        <v>0</v>
      </c>
      <c r="AR22" s="340">
        <f>_xll.GetCtData("COAMOUNT","CONSAMOUNT",$J$4:$J$5,$J$7:$J$9,$D$7,AR$17:AR$18,$A22,"#49")</f>
        <v>49</v>
      </c>
      <c r="AS22" s="340">
        <f>_xll.GetCtData("COAMOUNT","CONSAMOUNT",$J$4:$J$5,$J$7:$J$9,$D$7,AS$17:AS$18,$A22,"#")</f>
        <v>0</v>
      </c>
      <c r="AT22" s="340">
        <f>_xll.GetCtData("COAMOUNT","CONSAMOUNT",$J$4:$J$5,$J$7:$J$9,$D$7,AT$17:AT$18,$A22,"#1")</f>
        <v>1</v>
      </c>
      <c r="AU22" s="393">
        <f>_xll.GetCtData("COAMOUNT","CONSAMOUNT",$J$4:$J$5,$J$7:$J$9,$D$7,AU$17:AU$18,$A22,"#0")</f>
        <v>0</v>
      </c>
      <c r="AV22" s="340">
        <f>_xll.GetCtData("COAMOUNT","CONSAMOUNT",$J$4:$J$5,$J$7:$J$9,$D$7,AV$17:AV$18,$A22,"#")</f>
        <v>0</v>
      </c>
      <c r="AW22" s="340">
        <f>_xll.GetCtData("COAMOUNT","CONSAMOUNT",$J$4:$J$5,$J$7:$J$9,$D$7,AW$17:AW$18,$A22,"#1")</f>
        <v>1</v>
      </c>
      <c r="AX22" s="340">
        <f>_xll.GetCtData("COAMOUNT","CONSAMOUNT",$J$4:$J$5,$J$7:$J$9,$D$7,AX$17:AX$18,$A22,"#4")</f>
        <v>4</v>
      </c>
      <c r="AY22" s="340">
        <f>_xll.GetCtData("COAMOUNT","CONSAMOUNT",$J$4:$J$5,$J$7:$J$9,$D$7,AY$17:AY$18,$A22,"#")</f>
        <v>0</v>
      </c>
      <c r="AZ22" s="340">
        <f>_xll.GetCtData("COAMOUNT","CONSAMOUNT",$J$4:$J$5,$J$7:$J$9,$D$7,AZ$17:AZ$18,$A22,"#18")</f>
        <v>18</v>
      </c>
      <c r="BA22" s="340">
        <f>_xll.GetCtData("COAMOUNT","CONSAMOUNT",$J$4:$J$5,$J$7:$J$9,$D$7,BA$17:BA$18,$A22,"#9")</f>
        <v>9</v>
      </c>
      <c r="BB22" s="340">
        <f>_xll.GetCtData("COAMOUNT","CONSAMOUNT",$J$4:$J$5,$J$7:$J$9,$D$7,BB$17:BB$18,$A22,"#")</f>
        <v>0</v>
      </c>
      <c r="BC22" s="340">
        <f>_xll.GetCtData("COAMOUNT","CONSAMOUNT",$J$4:$J$5,$J$7:$J$9,$D$7,BC$17:BC$18,$A22,"#")</f>
        <v>0</v>
      </c>
      <c r="BD22" s="340">
        <f>_xll.GetCtData("COAMOUNT","CONSAMOUNT",$J$4:$J$5,$J$7:$J$9,$D$7,BD$17:BD$18,$A22,"#9")</f>
        <v>9</v>
      </c>
      <c r="BE22" s="393">
        <f>_xll.GetCtData("COAMOUNT","CONSAMOUNT",$J$4:$J$5,$J$7:$J$9,$D$7,BE$17:BE$18,$A22,"#")</f>
        <v>0</v>
      </c>
      <c r="BF22" s="393">
        <f>_xll.GetCtData("COAMOUNT","CONSAMOUNT",$J$4:$J$5,$J$7:$J$9,$D$7,BF$17:BF$18,$A22,"#")</f>
        <v>0</v>
      </c>
      <c r="BG22" s="340">
        <f>_xll.GetCtData("COAMOUNT","CONSAMOUNT",$J$4:$J$5,$J$7:$J$9,$D$7,BG$17:BG$18,$A22,"#1")</f>
        <v>1</v>
      </c>
      <c r="BH22" s="340">
        <f>_xll.GetCtData("COAMOUNT","CONSAMOUNT",$J$4:$J$5,$J$7:$J$9,$D$7,BH$17:BH$18,$A22,"#")</f>
        <v>0</v>
      </c>
      <c r="BI22" s="340">
        <f>_xll.GetCtData("COAMOUNT","CONSAMOUNT",$J$4:$J$5,$J$7:$J$9,$D$7,BI$17:BI$18,$A22,"#")</f>
        <v>0</v>
      </c>
      <c r="BJ22" s="340">
        <f>_xll.GetCtData("COAMOUNT","CONSAMOUNT",$J$4:$J$5,$J$7:$J$9,$D$7,BJ$17:BJ$18,$A22,"#")</f>
        <v>0</v>
      </c>
      <c r="BK22" s="340">
        <f>_xll.GetCtData("COAMOUNT","CONSAMOUNT",$J$4:$J$5,$J$7:$J$9,$D$7,BK$17:BK$18,$A22,"#")</f>
        <v>0</v>
      </c>
      <c r="BL22" s="340">
        <f>_xll.GetCtData("COAMOUNT","CONSAMOUNT",$J$4:$J$5,$J$7:$J$9,$D$7,BL$17:BL$18,$A22,"#")</f>
        <v>0</v>
      </c>
      <c r="BM22" s="340">
        <f>_xll.GetCtData("COAMOUNT","CONSAMOUNT",$J$4:$J$5,$J$7:$J$9,$D$7,BM$17:BM$18,$A22,"#")</f>
        <v>0</v>
      </c>
      <c r="BN22" s="340">
        <f>_xll.GetCtData("COAMOUNT","CONSAMOUNT",$J$4:$J$5,$J$7:$J$9,$D$7,BN$17:BN$18,$A22,"#")</f>
        <v>0</v>
      </c>
      <c r="BO22" s="340">
        <f>_xll.GetCtData("COAMOUNT","CONSAMOUNT",$J$4:$J$5,$J$7:$J$9,$D$7,BO$17:BO$18,$A22,"#")</f>
        <v>0</v>
      </c>
      <c r="BP22" s="340">
        <f>_xll.GetCtData("COAMOUNT","CONSAMOUNT",$J$4:$J$5,$J$7:$J$9,$D$7,BP$17:BP$18,$A22,"#")</f>
        <v>0</v>
      </c>
      <c r="BQ22" s="340">
        <f>_xll.GetCtData("COAMOUNT","CONSAMOUNT",$J$4:$J$5,$J$7:$J$9,$D$7,BQ$17:BQ$18,$A22,"#")</f>
        <v>0</v>
      </c>
      <c r="BR22" s="340">
        <f>_xll.GetCtData("COAMOUNT","CONSAMOUNT",$J$4:$J$5,$J$7:$J$9,$D$7,BR$17:BR$18,$A22,"#")</f>
        <v>0</v>
      </c>
      <c r="BS22" s="340">
        <f>_xll.GetCtData("COAMOUNT","CONSAMOUNT",$J$4:$J$5,$J$7:$J$9,$D$7,BS$17:BS$18,$A22,"#")</f>
        <v>0</v>
      </c>
      <c r="BT22" s="340">
        <f>_xll.GetCtData("COAMOUNT","CONSAMOUNT",$J$4:$J$5,$J$7:$J$9,$D$7,BT$17:BT$18,$A22,"#")</f>
        <v>0</v>
      </c>
      <c r="BU22" s="340">
        <f>_xll.GetCtData("COAMOUNT","CONSAMOUNT",$J$4:$J$5,$J$7:$J$9,$D$7,BU$17:BU$18,$A22,"#")</f>
        <v>0</v>
      </c>
      <c r="BV22" s="340">
        <f>_xll.GetCtData("COAMOUNT","CONSAMOUNT",$J$4:$J$5,$J$7:$J$9,$D$7,BV$17:BV$18,$A22,"#")</f>
        <v>0</v>
      </c>
      <c r="BW22" s="340">
        <f>_xll.GetCtData("COAMOUNT","CONSAMOUNT",$J$4:$J$5,$J$7:$J$9,$D$7,BW$17:BW$18,$A22,"#")</f>
        <v>0</v>
      </c>
      <c r="BX22" s="340">
        <f>_xll.GetCtData("COAMOUNT","CONSAMOUNT",$J$4:$J$5,$J$7:$J$9,$D$7,BX$17:BX$18,$A22,"#")</f>
        <v>0</v>
      </c>
      <c r="BY22" s="340">
        <f>_xll.GetCtData("COAMOUNT","CONSAMOUNT",$J$4:$J$5,$J$7:$J$9,$D$7,BY$17:BY$18,$A22,"#")</f>
        <v>0</v>
      </c>
      <c r="BZ22" s="340">
        <f>_xll.GetCtData("COAMOUNT","CONSAMOUNT",$J$4:$J$5,$J$7:$J$9,$D$7,BZ$17:BZ$18,$A22,"#")</f>
        <v>0</v>
      </c>
      <c r="CA22" s="340">
        <f>_xll.GetCtData("COAMOUNT","CONSAMOUNT",$J$4:$J$5,$J$7:$J$9,$D$7,CA$17:CA$18,$A22,"#")</f>
        <v>0</v>
      </c>
      <c r="CB22" s="340">
        <f>_xll.GetCtData("COAMOUNT","CONSAMOUNT",$J$4:$J$5,$J$7:$J$9,$D$7,CB$17:CB$18,$A22,"#")</f>
        <v>0</v>
      </c>
      <c r="CC22" s="340">
        <f>_xll.GetCtData("COAMOUNT","CONSAMOUNT",$J$4:$J$5,$J$7:$J$9,$D$7,CC$17:CC$18,$A22,"#")</f>
        <v>0</v>
      </c>
      <c r="CD22" s="340">
        <f>_xll.GetCtData("COAMOUNT","CONSAMOUNT",$J$4:$J$5,$J$7:$J$9,$D$7,CD$17:CD$18,$A22,"#")</f>
        <v>0</v>
      </c>
      <c r="CE22" s="340">
        <f>_xll.GetCtData("COAMOUNT","CONSAMOUNT",$J$4:$J$5,$J$7:$J$9,$D$7,CE$17:CE$18,$A22,"#")</f>
        <v>0</v>
      </c>
      <c r="CF22" s="340">
        <f>_xll.GetCtData("COAMOUNT","CONSAMOUNT",$J$4:$J$5,$J$7:$J$9,$D$7,CF$17:CF$18,$A22,"#")</f>
        <v>0</v>
      </c>
      <c r="CG22" s="340">
        <f>_xll.GetCtData("COAMOUNT","CONSAMOUNT",$J$4:$J$5,$J$7:$J$9,$D$7,CG$17:CG$18,$A22,"#")</f>
        <v>0</v>
      </c>
      <c r="CH22" s="340">
        <f>_xll.GetCtData("COAMOUNT","CONSAMOUNT",$J$4:$J$5,$J$7:$J$9,$D$7,CH$17:CH$18,$A22,"#")</f>
        <v>0</v>
      </c>
      <c r="CI22" s="340">
        <f>_xll.GetCtData("COAMOUNT","CONSAMOUNT",$J$4:$J$5,$J$7:$J$9,$D$7,CI$17:CI$18,$A22,"#")</f>
        <v>0</v>
      </c>
      <c r="CJ22" s="340">
        <f>_xll.GetCtData("COAMOUNT","CONSAMOUNT",$J$4:$J$5,$J$7:$J$9,$D$7,CJ$17:CJ$18,$A22,"#")</f>
        <v>0</v>
      </c>
    </row>
    <row r="23" spans="1:98" s="291" customFormat="1" outlineLevel="1">
      <c r="A23" s="384" t="s">
        <v>219</v>
      </c>
      <c r="B23" s="384"/>
      <c r="C23" s="389" t="s">
        <v>87</v>
      </c>
      <c r="D23" s="340">
        <f>_xll.GetCtData("COAMOUNT","CONSAMOUNT",$J$4:$J$5,$J$7:$J$9,$D$7,D$20,$A23,"#2497")</f>
        <v>2497</v>
      </c>
      <c r="E23" s="340">
        <f>_xll.GetCtData("COAMOUNT","CONSAMOUNT",$J$4:$J$5,$J$7:$J$9,$D$7,E$20,$A23,"#")</f>
        <v>0</v>
      </c>
      <c r="F23" s="340">
        <f>_xll.GetCtData("COAMOUNT","CONSAMOUNT",$J$4:$J$5,$J$7:$J$9,$D$7,F$20,$A23,"#2641")</f>
        <v>2641</v>
      </c>
      <c r="G23" s="340">
        <f>_xll.GetCtData("COAMOUNT","CONSAMOUNT",$J$4:$J$5,$J$7:$J$9,$D$7,G$20,$A23,"#")</f>
        <v>0</v>
      </c>
      <c r="H23" s="340">
        <f>_xll.GetCtData("COAMOUNT","CONSAMOUNT",$J$4:$J$5,$J$7:$J$9,$D$7,H$20,$A23,"#2497")</f>
        <v>2497</v>
      </c>
      <c r="I23" s="391">
        <f>SUM(D23:H23)/3</f>
        <v>2545</v>
      </c>
      <c r="J23" s="392" t="s">
        <v>2488</v>
      </c>
      <c r="K23" s="340">
        <f>_xll.GetCtData("COAMOUNT","CONSAMOUNT",$J$4:$J$5,$J$7:$J$9,$D$7,K$17:K$18,$A23,"#888")</f>
        <v>888</v>
      </c>
      <c r="L23" s="340">
        <f>_xll.GetCtData("COAMOUNT","CONSAMOUNT",$J$4:$J$5,$J$7:$J$9,$D$7,L$17:L$18,$A23,"#")</f>
        <v>0</v>
      </c>
      <c r="M23" s="340">
        <f>_xll.GetCtData("COAMOUNT","CONSAMOUNT",$J$4:$J$5,$J$7:$J$9,$D$7,M$17:M$18,$A23,"#296")</f>
        <v>296</v>
      </c>
      <c r="N23" s="340">
        <f>_xll.GetCtData("COAMOUNT","CONSAMOUNT",$J$4:$J$5,$J$7:$J$9,$D$7,N$17:N$18,$A23,"#")</f>
        <v>0</v>
      </c>
      <c r="O23" s="340">
        <f>_xll.GetCtData("COAMOUNT","CONSAMOUNT",$J$4:$J$5,$J$7:$J$9,$D$7,O$17:O$18,$A23,"#117")</f>
        <v>117</v>
      </c>
      <c r="P23" s="340">
        <f>_xll.GetCtData("COAMOUNT","CONSAMOUNT",$J$4:$J$5,$J$7:$J$9,$D$7,P$17:P$18,$A23,"#390")</f>
        <v>390</v>
      </c>
      <c r="Q23" s="340">
        <f>_xll.GetCtData("COAMOUNT","CONSAMOUNT",$J$4:$J$5,$J$7:$J$9,$D$7,Q$17:Q$18,$A23,"#")</f>
        <v>0</v>
      </c>
      <c r="R23" s="340">
        <f>_xll.GetCtData("COAMOUNT","CONSAMOUNT",$J$4:$J$5,$J$7:$J$9,$D$7,R$17:R$18,$A23,"#274")</f>
        <v>274</v>
      </c>
      <c r="S23" s="340">
        <f>_xll.GetCtData("COAMOUNT","CONSAMOUNT",$J$4:$J$5,$J$7:$J$9,$D$7,S$17:S$18,$A23,"#")</f>
        <v>0</v>
      </c>
      <c r="T23" s="340">
        <f>_xll.GetCtData("COAMOUNT","CONSAMOUNT",$J$4:$J$5,$J$7:$J$9,$D$7,T$17:T$18,$A23,"#")</f>
        <v>0</v>
      </c>
      <c r="U23" s="340">
        <f>_xll.GetCtData("COAMOUNT","CONSAMOUNT",$J$4:$J$5,$J$7:$J$9,$D$7,U$17:U$18,$A23,"#33")</f>
        <v>33</v>
      </c>
      <c r="V23" s="340">
        <f>_xll.GetCtData("COAMOUNT","CONSAMOUNT",$J$4:$J$5,$J$7:$J$9,$D$7,V$17:V$18,$A23,"#")</f>
        <v>0</v>
      </c>
      <c r="W23" s="393">
        <f>_xll.GetCtData("COAMOUNT","CONSAMOUNT",$J$4:$J$5,$J$7:$J$9,$D$7,W$17:W$18,$A23,"#")</f>
        <v>0</v>
      </c>
      <c r="X23" s="340">
        <f>_xll.GetCtData("COAMOUNT","CONSAMOUNT",$J$4:$J$5,$J$7:$J$9,$D$7,X$17:X$18,$A23,"#130")</f>
        <v>130</v>
      </c>
      <c r="Y23" s="340">
        <f>_xll.GetCtData("COAMOUNT","CONSAMOUNT",$J$4:$J$5,$J$7:$J$9,$D$7,Y$17:Y$18,$A23,"#")</f>
        <v>0</v>
      </c>
      <c r="Z23" s="340">
        <f>_xll.GetCtData("COAMOUNT","CONSAMOUNT",$J$4:$J$5,$J$7:$J$9,$D$7,Z$17:Z$18,$A23,"#")</f>
        <v>0</v>
      </c>
      <c r="AA23" s="393">
        <f>_xll.GetCtData("COAMOUNT","CONSAMOUNT",$J$4:$J$5,$J$7:$J$9,$D$7,AA$17:AA$18,$A23,"#")</f>
        <v>0</v>
      </c>
      <c r="AB23" s="340">
        <f>_xll.GetCtData("COAMOUNT","CONSAMOUNT",$J$4:$J$5,$J$7:$J$9,$D$7,AB$17:AB$18,$A23,"#")</f>
        <v>0</v>
      </c>
      <c r="AC23" s="393">
        <f>_xll.GetCtData("COAMOUNT","CONSAMOUNT",$J$4:$J$5,$J$7:$J$9,$D$7,AC$17:AC$18,$A23,"#")</f>
        <v>0</v>
      </c>
      <c r="AD23" s="340">
        <f>_xll.GetCtData("COAMOUNT","CONSAMOUNT",$J$4:$J$5,$J$7:$J$9,$D$7,AD$17:AD$18,$A23,"#")</f>
        <v>0</v>
      </c>
      <c r="AE23" s="340">
        <f>_xll.GetCtData("COAMOUNT","CONSAMOUNT",$J$4:$J$5,$J$7:$J$9,$D$7,AE$17:AE$18,$A23,"#")</f>
        <v>0</v>
      </c>
      <c r="AF23" s="340">
        <f>_xll.GetCtData("COAMOUNT","CONSAMOUNT",$J$4:$J$5,$J$7:$J$9,$D$7,AF$17:AF$18,$A23,"#")</f>
        <v>0</v>
      </c>
      <c r="AG23" s="340">
        <f>_xll.GetCtData("COAMOUNT","CONSAMOUNT",$J$4:$J$5,$J$7:$J$9,$D$7,AG$17:AG$18,$A23,"#")</f>
        <v>0</v>
      </c>
      <c r="AH23" s="340">
        <f>_xll.GetCtData("COAMOUNT","CONSAMOUNT",$J$4:$J$5,$J$7:$J$9,$D$7,AH$17:AH$18,$A23,"#")</f>
        <v>0</v>
      </c>
      <c r="AI23" s="340">
        <f>_xll.GetCtData("COAMOUNT","CONSAMOUNT",$J$4:$J$5,$J$7:$J$9,$D$7,AI$17:AI$18,$A23,"#")</f>
        <v>0</v>
      </c>
      <c r="AJ23" s="340">
        <f>_xll.GetCtData("COAMOUNT","CONSAMOUNT",$J$4:$J$5,$J$7:$J$9,$D$7,AJ$17:AJ$18,$A23,"#")</f>
        <v>0</v>
      </c>
      <c r="AK23" s="340">
        <f>_xll.GetCtData("COAMOUNT","CONSAMOUNT",$J$4:$J$5,$J$7:$J$9,$D$7,AK$17:AK$18,$A23,"#10")</f>
        <v>10</v>
      </c>
      <c r="AL23" s="340">
        <f>_xll.GetCtData("COAMOUNT","CONSAMOUNT",$J$4:$J$5,$J$7:$J$9,$D$7,AL$17:AL$18,$A23,"#")</f>
        <v>0</v>
      </c>
      <c r="AM23" s="340">
        <f>_xll.GetCtData("COAMOUNT","CONSAMOUNT",$J$4:$J$5,$J$7:$J$9,$D$7,AM$17:AM$18,$A23,"#1")</f>
        <v>1</v>
      </c>
      <c r="AN23" s="340">
        <f>_xll.GetCtData("COAMOUNT","CONSAMOUNT",$J$4:$J$5,$J$7:$J$9,$D$7,AN$17:AN$18,$A23,"#96")</f>
        <v>96</v>
      </c>
      <c r="AO23" s="340">
        <f>_xll.GetCtData("COAMOUNT","CONSAMOUNT",$J$4:$J$5,$J$7:$J$9,$D$7,AO$17:AO$18,$A23,"#")</f>
        <v>0</v>
      </c>
      <c r="AP23" s="340">
        <f>_xll.GetCtData("COAMOUNT","CONSAMOUNT",$J$4:$J$5,$J$7:$J$9,$D$7,AP$17:AP$18,$A23,"#79")</f>
        <v>79</v>
      </c>
      <c r="AQ23" s="393">
        <f>_xll.GetCtData("COAMOUNT","CONSAMOUNT",$J$4:$J$5,$J$7:$J$9,$D$7,AQ$17:AQ$18,$A23,"#")</f>
        <v>0</v>
      </c>
      <c r="AR23" s="340">
        <f>_xll.GetCtData("COAMOUNT","CONSAMOUNT",$J$4:$J$5,$J$7:$J$9,$D$7,AR$17:AR$18,$A23,"#8")</f>
        <v>8</v>
      </c>
      <c r="AS23" s="340">
        <f>_xll.GetCtData("COAMOUNT","CONSAMOUNT",$J$4:$J$5,$J$7:$J$9,$D$7,AS$17:AS$18,$A23,"#")</f>
        <v>0</v>
      </c>
      <c r="AT23" s="340">
        <f>_xll.GetCtData("COAMOUNT","CONSAMOUNT",$J$4:$J$5,$J$7:$J$9,$D$7,AT$17:AT$18,$A23,"#")</f>
        <v>0</v>
      </c>
      <c r="AU23" s="393">
        <f>_xll.GetCtData("COAMOUNT","CONSAMOUNT",$J$4:$J$5,$J$7:$J$9,$D$7,AU$17:AU$18,$A23,"#0")</f>
        <v>0</v>
      </c>
      <c r="AV23" s="340">
        <f>_xll.GetCtData("COAMOUNT","CONSAMOUNT",$J$4:$J$5,$J$7:$J$9,$D$7,AV$17:AV$18,$A23,"#")</f>
        <v>0</v>
      </c>
      <c r="AW23" s="340">
        <f>_xll.GetCtData("COAMOUNT","CONSAMOUNT",$J$4:$J$5,$J$7:$J$9,$D$7,AW$17:AW$18,$A23,"#")</f>
        <v>0</v>
      </c>
      <c r="AX23" s="340">
        <f>_xll.GetCtData("COAMOUNT","CONSAMOUNT",$J$4:$J$5,$J$7:$J$9,$D$7,AX$17:AX$18,$A23,"#10")</f>
        <v>10</v>
      </c>
      <c r="AY23" s="340">
        <f>_xll.GetCtData("COAMOUNT","CONSAMOUNT",$J$4:$J$5,$J$7:$J$9,$D$7,AY$17:AY$18,$A23,"#")</f>
        <v>0</v>
      </c>
      <c r="AZ23" s="340">
        <f>_xll.GetCtData("COAMOUNT","CONSAMOUNT",$J$4:$J$5,$J$7:$J$9,$D$7,AZ$17:AZ$18,$A23,"#155")</f>
        <v>155</v>
      </c>
      <c r="BA23" s="340">
        <f>_xll.GetCtData("COAMOUNT","CONSAMOUNT",$J$4:$J$5,$J$7:$J$9,$D$7,BA$17:BA$18,$A23,"#143")</f>
        <v>143</v>
      </c>
      <c r="BB23" s="340">
        <f>_xll.GetCtData("COAMOUNT","CONSAMOUNT",$J$4:$J$5,$J$7:$J$9,$D$7,BB$17:BB$18,$A23,"#")</f>
        <v>0</v>
      </c>
      <c r="BC23" s="340">
        <f>_xll.GetCtData("COAMOUNT","CONSAMOUNT",$J$4:$J$5,$J$7:$J$9,$D$7,BC$17:BC$18,$A23,"#")</f>
        <v>0</v>
      </c>
      <c r="BD23" s="340">
        <f>_xll.GetCtData("COAMOUNT","CONSAMOUNT",$J$4:$J$5,$J$7:$J$9,$D$7,BD$17:BD$18,$A23,"#11")</f>
        <v>11</v>
      </c>
      <c r="BE23" s="393">
        <f>_xll.GetCtData("COAMOUNT","CONSAMOUNT",$J$4:$J$5,$J$7:$J$9,$D$7,BE$17:BE$18,$A23,"#")</f>
        <v>0</v>
      </c>
      <c r="BF23" s="393">
        <f>_xll.GetCtData("COAMOUNT","CONSAMOUNT",$J$4:$J$5,$J$7:$J$9,$D$7,BF$17:BF$18,$A23,"#")</f>
        <v>0</v>
      </c>
      <c r="BG23" s="340">
        <f>_xll.GetCtData("COAMOUNT","CONSAMOUNT",$J$4:$J$5,$J$7:$J$9,$D$7,BG$17:BG$18,$A23,"#")</f>
        <v>0</v>
      </c>
      <c r="BH23" s="340">
        <f>_xll.GetCtData("COAMOUNT","CONSAMOUNT",$J$4:$J$5,$J$7:$J$9,$D$7,BH$17:BH$18,$A23,"#")</f>
        <v>0</v>
      </c>
      <c r="BI23" s="340">
        <f>_xll.GetCtData("COAMOUNT","CONSAMOUNT",$J$4:$J$5,$J$7:$J$9,$D$7,BI$17:BI$18,$A23,"#")</f>
        <v>0</v>
      </c>
      <c r="BJ23" s="340">
        <f>_xll.GetCtData("COAMOUNT","CONSAMOUNT",$J$4:$J$5,$J$7:$J$9,$D$7,BJ$17:BJ$18,$A23,"#")</f>
        <v>0</v>
      </c>
      <c r="BK23" s="340">
        <f>_xll.GetCtData("COAMOUNT","CONSAMOUNT",$J$4:$J$5,$J$7:$J$9,$D$7,BK$17:BK$18,$A23,"#")</f>
        <v>0</v>
      </c>
      <c r="BL23" s="340">
        <f>_xll.GetCtData("COAMOUNT","CONSAMOUNT",$J$4:$J$5,$J$7:$J$9,$D$7,BL$17:BL$18,$A23,"#")</f>
        <v>0</v>
      </c>
      <c r="BM23" s="340">
        <f>_xll.GetCtData("COAMOUNT","CONSAMOUNT",$J$4:$J$5,$J$7:$J$9,$D$7,BM$17:BM$18,$A23,"#")</f>
        <v>0</v>
      </c>
      <c r="BN23" s="340">
        <f>_xll.GetCtData("COAMOUNT","CONSAMOUNT",$J$4:$J$5,$J$7:$J$9,$D$7,BN$17:BN$18,$A23,"#")</f>
        <v>0</v>
      </c>
      <c r="BO23" s="340">
        <f>_xll.GetCtData("COAMOUNT","CONSAMOUNT",$J$4:$J$5,$J$7:$J$9,$D$7,BO$17:BO$18,$A23,"#")</f>
        <v>0</v>
      </c>
      <c r="BP23" s="340">
        <f>_xll.GetCtData("COAMOUNT","CONSAMOUNT",$J$4:$J$5,$J$7:$J$9,$D$7,BP$17:BP$18,$A23,"#")</f>
        <v>0</v>
      </c>
      <c r="BQ23" s="340">
        <f>_xll.GetCtData("COAMOUNT","CONSAMOUNT",$J$4:$J$5,$J$7:$J$9,$D$7,BQ$17:BQ$18,$A23,"#")</f>
        <v>0</v>
      </c>
      <c r="BR23" s="340">
        <f>_xll.GetCtData("COAMOUNT","CONSAMOUNT",$J$4:$J$5,$J$7:$J$9,$D$7,BR$17:BR$18,$A23,"#")</f>
        <v>0</v>
      </c>
      <c r="BS23" s="340">
        <f>_xll.GetCtData("COAMOUNT","CONSAMOUNT",$J$4:$J$5,$J$7:$J$9,$D$7,BS$17:BS$18,$A23,"#")</f>
        <v>0</v>
      </c>
      <c r="BT23" s="340">
        <f>_xll.GetCtData("COAMOUNT","CONSAMOUNT",$J$4:$J$5,$J$7:$J$9,$D$7,BT$17:BT$18,$A23,"#")</f>
        <v>0</v>
      </c>
      <c r="BU23" s="340">
        <f>_xll.GetCtData("COAMOUNT","CONSAMOUNT",$J$4:$J$5,$J$7:$J$9,$D$7,BU$17:BU$18,$A23,"#")</f>
        <v>0</v>
      </c>
      <c r="BV23" s="340">
        <f>_xll.GetCtData("COAMOUNT","CONSAMOUNT",$J$4:$J$5,$J$7:$J$9,$D$7,BV$17:BV$18,$A23,"#")</f>
        <v>0</v>
      </c>
      <c r="BW23" s="340">
        <f>_xll.GetCtData("COAMOUNT","CONSAMOUNT",$J$4:$J$5,$J$7:$J$9,$D$7,BW$17:BW$18,$A23,"#")</f>
        <v>0</v>
      </c>
      <c r="BX23" s="340">
        <f>_xll.GetCtData("COAMOUNT","CONSAMOUNT",$J$4:$J$5,$J$7:$J$9,$D$7,BX$17:BX$18,$A23,"#")</f>
        <v>0</v>
      </c>
      <c r="BY23" s="340">
        <f>_xll.GetCtData("COAMOUNT","CONSAMOUNT",$J$4:$J$5,$J$7:$J$9,$D$7,BY$17:BY$18,$A23,"#")</f>
        <v>0</v>
      </c>
      <c r="BZ23" s="340">
        <f>_xll.GetCtData("COAMOUNT","CONSAMOUNT",$J$4:$J$5,$J$7:$J$9,$D$7,BZ$17:BZ$18,$A23,"#")</f>
        <v>0</v>
      </c>
      <c r="CA23" s="340">
        <f>_xll.GetCtData("COAMOUNT","CONSAMOUNT",$J$4:$J$5,$J$7:$J$9,$D$7,CA$17:CA$18,$A23,"#")</f>
        <v>0</v>
      </c>
      <c r="CB23" s="340">
        <f>_xll.GetCtData("COAMOUNT","CONSAMOUNT",$J$4:$J$5,$J$7:$J$9,$D$7,CB$17:CB$18,$A23,"#")</f>
        <v>0</v>
      </c>
      <c r="CC23" s="340">
        <f>_xll.GetCtData("COAMOUNT","CONSAMOUNT",$J$4:$J$5,$J$7:$J$9,$D$7,CC$17:CC$18,$A23,"#")</f>
        <v>0</v>
      </c>
      <c r="CD23" s="340">
        <f>_xll.GetCtData("COAMOUNT","CONSAMOUNT",$J$4:$J$5,$J$7:$J$9,$D$7,CD$17:CD$18,$A23,"#")</f>
        <v>0</v>
      </c>
      <c r="CE23" s="340">
        <f>_xll.GetCtData("COAMOUNT","CONSAMOUNT",$J$4:$J$5,$J$7:$J$9,$D$7,CE$17:CE$18,$A23,"#")</f>
        <v>0</v>
      </c>
      <c r="CF23" s="340">
        <f>_xll.GetCtData("COAMOUNT","CONSAMOUNT",$J$4:$J$5,$J$7:$J$9,$D$7,CF$17:CF$18,$A23,"#")</f>
        <v>0</v>
      </c>
      <c r="CG23" s="340">
        <f>_xll.GetCtData("COAMOUNT","CONSAMOUNT",$J$4:$J$5,$J$7:$J$9,$D$7,CG$17:CG$18,$A23,"#")</f>
        <v>0</v>
      </c>
      <c r="CH23" s="340">
        <f>_xll.GetCtData("COAMOUNT","CONSAMOUNT",$J$4:$J$5,$J$7:$J$9,$D$7,CH$17:CH$18,$A23,"#")</f>
        <v>0</v>
      </c>
      <c r="CI23" s="340">
        <f>_xll.GetCtData("COAMOUNT","CONSAMOUNT",$J$4:$J$5,$J$7:$J$9,$D$7,CI$17:CI$18,$A23,"#")</f>
        <v>0</v>
      </c>
      <c r="CJ23" s="340">
        <f>_xll.GetCtData("COAMOUNT","CONSAMOUNT",$J$4:$J$5,$J$7:$J$9,$D$7,CJ$17:CJ$18,$A23,"#")</f>
        <v>0</v>
      </c>
    </row>
    <row r="24" spans="1:98" s="291" customFormat="1" ht="12.75" outlineLevel="1" thickBot="1">
      <c r="C24" s="394" t="s">
        <v>2489</v>
      </c>
      <c r="D24" s="395">
        <f>SUM(D22:D23)</f>
        <v>5544</v>
      </c>
      <c r="E24" s="395">
        <f>SUM(E22:E23)</f>
        <v>0</v>
      </c>
      <c r="F24" s="395">
        <f>SUM(F22:F23)</f>
        <v>5745</v>
      </c>
      <c r="G24" s="395">
        <f>SUM(G22:G23)</f>
        <v>0</v>
      </c>
      <c r="H24" s="395">
        <f>SUM(H22:H23)</f>
        <v>5544</v>
      </c>
      <c r="I24" s="395">
        <f>SUM(D24:H24)/3</f>
        <v>5611</v>
      </c>
      <c r="J24" s="386"/>
      <c r="K24" s="395">
        <f>SUM(K22:K23)</f>
        <v>3252</v>
      </c>
      <c r="L24" s="395">
        <f t="shared" ref="L24:BW24" si="2">SUM(L22:L23)</f>
        <v>0</v>
      </c>
      <c r="M24" s="395">
        <f t="shared" si="2"/>
        <v>498</v>
      </c>
      <c r="N24" s="395">
        <f t="shared" si="2"/>
        <v>2</v>
      </c>
      <c r="O24" s="395">
        <f t="shared" si="2"/>
        <v>139</v>
      </c>
      <c r="P24" s="395">
        <f t="shared" si="2"/>
        <v>486</v>
      </c>
      <c r="Q24" s="395">
        <f t="shared" si="2"/>
        <v>0</v>
      </c>
      <c r="R24" s="395">
        <f t="shared" si="2"/>
        <v>287</v>
      </c>
      <c r="S24" s="395">
        <f t="shared" si="2"/>
        <v>0</v>
      </c>
      <c r="T24" s="395">
        <f t="shared" si="2"/>
        <v>0</v>
      </c>
      <c r="U24" s="395">
        <f t="shared" si="2"/>
        <v>34</v>
      </c>
      <c r="V24" s="395">
        <f t="shared" si="2"/>
        <v>0</v>
      </c>
      <c r="W24" s="396">
        <f t="shared" si="2"/>
        <v>0</v>
      </c>
      <c r="X24" s="395">
        <f t="shared" si="2"/>
        <v>177</v>
      </c>
      <c r="Y24" s="395">
        <f t="shared" si="2"/>
        <v>0</v>
      </c>
      <c r="Z24" s="395">
        <f t="shared" si="2"/>
        <v>0</v>
      </c>
      <c r="AA24" s="396">
        <f t="shared" si="2"/>
        <v>0</v>
      </c>
      <c r="AB24" s="395">
        <f t="shared" si="2"/>
        <v>0</v>
      </c>
      <c r="AC24" s="396">
        <f t="shared" si="2"/>
        <v>0</v>
      </c>
      <c r="AD24" s="395">
        <f t="shared" si="2"/>
        <v>0</v>
      </c>
      <c r="AE24" s="395">
        <f t="shared" si="2"/>
        <v>0</v>
      </c>
      <c r="AF24" s="395">
        <f t="shared" si="2"/>
        <v>1</v>
      </c>
      <c r="AG24" s="395">
        <f t="shared" si="2"/>
        <v>0</v>
      </c>
      <c r="AH24" s="395">
        <f t="shared" si="2"/>
        <v>0</v>
      </c>
      <c r="AI24" s="395">
        <f t="shared" si="2"/>
        <v>0</v>
      </c>
      <c r="AJ24" s="395">
        <f t="shared" si="2"/>
        <v>0</v>
      </c>
      <c r="AK24" s="395">
        <f t="shared" si="2"/>
        <v>49</v>
      </c>
      <c r="AL24" s="395">
        <f t="shared" si="2"/>
        <v>0</v>
      </c>
      <c r="AM24" s="395">
        <f t="shared" si="2"/>
        <v>4</v>
      </c>
      <c r="AN24" s="395">
        <f t="shared" si="2"/>
        <v>111</v>
      </c>
      <c r="AO24" s="395">
        <f t="shared" si="2"/>
        <v>0</v>
      </c>
      <c r="AP24" s="395">
        <f t="shared" si="2"/>
        <v>286</v>
      </c>
      <c r="AQ24" s="396">
        <f t="shared" si="2"/>
        <v>0</v>
      </c>
      <c r="AR24" s="395">
        <f t="shared" si="2"/>
        <v>57</v>
      </c>
      <c r="AS24" s="395">
        <f t="shared" si="2"/>
        <v>0</v>
      </c>
      <c r="AT24" s="395">
        <f t="shared" si="2"/>
        <v>1</v>
      </c>
      <c r="AU24" s="396">
        <f t="shared" si="2"/>
        <v>0</v>
      </c>
      <c r="AV24" s="395">
        <f t="shared" si="2"/>
        <v>0</v>
      </c>
      <c r="AW24" s="395">
        <f t="shared" si="2"/>
        <v>1</v>
      </c>
      <c r="AX24" s="395">
        <f t="shared" si="2"/>
        <v>14</v>
      </c>
      <c r="AY24" s="395">
        <f t="shared" si="2"/>
        <v>0</v>
      </c>
      <c r="AZ24" s="395">
        <f t="shared" si="2"/>
        <v>173</v>
      </c>
      <c r="BA24" s="395">
        <f t="shared" si="2"/>
        <v>152</v>
      </c>
      <c r="BB24" s="395">
        <f t="shared" si="2"/>
        <v>0</v>
      </c>
      <c r="BC24" s="395">
        <f t="shared" si="2"/>
        <v>0</v>
      </c>
      <c r="BD24" s="395">
        <f t="shared" si="2"/>
        <v>20</v>
      </c>
      <c r="BE24" s="396">
        <f t="shared" si="2"/>
        <v>0</v>
      </c>
      <c r="BF24" s="396">
        <f t="shared" si="2"/>
        <v>0</v>
      </c>
      <c r="BG24" s="395">
        <f t="shared" si="2"/>
        <v>1</v>
      </c>
      <c r="BH24" s="395">
        <f t="shared" si="2"/>
        <v>0</v>
      </c>
      <c r="BI24" s="395">
        <f t="shared" si="2"/>
        <v>0</v>
      </c>
      <c r="BJ24" s="395">
        <f t="shared" si="2"/>
        <v>0</v>
      </c>
      <c r="BK24" s="395">
        <f t="shared" si="2"/>
        <v>0</v>
      </c>
      <c r="BL24" s="395">
        <f t="shared" si="2"/>
        <v>0</v>
      </c>
      <c r="BM24" s="395">
        <f t="shared" si="2"/>
        <v>0</v>
      </c>
      <c r="BN24" s="395">
        <f t="shared" si="2"/>
        <v>0</v>
      </c>
      <c r="BO24" s="395">
        <f t="shared" si="2"/>
        <v>0</v>
      </c>
      <c r="BP24" s="395">
        <f t="shared" si="2"/>
        <v>0</v>
      </c>
      <c r="BQ24" s="395">
        <f t="shared" si="2"/>
        <v>0</v>
      </c>
      <c r="BR24" s="395">
        <f t="shared" si="2"/>
        <v>0</v>
      </c>
      <c r="BS24" s="395">
        <f t="shared" si="2"/>
        <v>0</v>
      </c>
      <c r="BT24" s="395">
        <f t="shared" si="2"/>
        <v>0</v>
      </c>
      <c r="BU24" s="395">
        <f t="shared" si="2"/>
        <v>0</v>
      </c>
      <c r="BV24" s="395">
        <f t="shared" si="2"/>
        <v>0</v>
      </c>
      <c r="BW24" s="395">
        <f t="shared" si="2"/>
        <v>0</v>
      </c>
      <c r="BX24" s="395">
        <f t="shared" ref="BX24:CJ24" si="3">SUM(BX22:BX23)</f>
        <v>0</v>
      </c>
      <c r="BY24" s="395">
        <f t="shared" si="3"/>
        <v>0</v>
      </c>
      <c r="BZ24" s="395">
        <f t="shared" si="3"/>
        <v>0</v>
      </c>
      <c r="CA24" s="395">
        <f t="shared" si="3"/>
        <v>0</v>
      </c>
      <c r="CB24" s="395">
        <f t="shared" si="3"/>
        <v>0</v>
      </c>
      <c r="CC24" s="395">
        <f t="shared" si="3"/>
        <v>0</v>
      </c>
      <c r="CD24" s="395">
        <f t="shared" si="3"/>
        <v>0</v>
      </c>
      <c r="CE24" s="395">
        <f t="shared" si="3"/>
        <v>0</v>
      </c>
      <c r="CF24" s="395">
        <f t="shared" si="3"/>
        <v>0</v>
      </c>
      <c r="CG24" s="395">
        <f t="shared" si="3"/>
        <v>0</v>
      </c>
      <c r="CH24" s="395">
        <f t="shared" si="3"/>
        <v>0</v>
      </c>
      <c r="CI24" s="395">
        <f t="shared" si="3"/>
        <v>0</v>
      </c>
      <c r="CJ24" s="395">
        <f t="shared" si="3"/>
        <v>0</v>
      </c>
    </row>
    <row r="25" spans="1:98" outlineLevel="1">
      <c r="J25" s="291"/>
    </row>
    <row r="26" spans="1:98" outlineLevel="1"/>
    <row r="27" spans="1:98" outlineLevel="1">
      <c r="K27" s="436" t="str">
        <f>+$D$20</f>
        <v>DP=2023.12</v>
      </c>
      <c r="L27" s="436" t="str">
        <f t="shared" ref="L27:BW27" si="4">+$D$20</f>
        <v>DP=2023.12</v>
      </c>
      <c r="M27" s="436" t="str">
        <f t="shared" si="4"/>
        <v>DP=2023.12</v>
      </c>
      <c r="N27" s="436" t="str">
        <f t="shared" si="4"/>
        <v>DP=2023.12</v>
      </c>
      <c r="O27" s="436" t="str">
        <f t="shared" si="4"/>
        <v>DP=2023.12</v>
      </c>
      <c r="P27" s="436" t="str">
        <f t="shared" si="4"/>
        <v>DP=2023.12</v>
      </c>
      <c r="Q27" s="436" t="str">
        <f t="shared" si="4"/>
        <v>DP=2023.12</v>
      </c>
      <c r="R27" s="436" t="str">
        <f t="shared" si="4"/>
        <v>DP=2023.12</v>
      </c>
      <c r="S27" s="436" t="str">
        <f t="shared" si="4"/>
        <v>DP=2023.12</v>
      </c>
      <c r="T27" s="436" t="str">
        <f t="shared" si="4"/>
        <v>DP=2023.12</v>
      </c>
      <c r="U27" s="436" t="str">
        <f t="shared" si="4"/>
        <v>DP=2023.12</v>
      </c>
      <c r="V27" s="436" t="str">
        <f t="shared" si="4"/>
        <v>DP=2023.12</v>
      </c>
      <c r="W27" s="436" t="str">
        <f t="shared" si="4"/>
        <v>DP=2023.12</v>
      </c>
      <c r="X27" s="436" t="str">
        <f t="shared" si="4"/>
        <v>DP=2023.12</v>
      </c>
      <c r="Y27" s="436" t="str">
        <f t="shared" si="4"/>
        <v>DP=2023.12</v>
      </c>
      <c r="Z27" s="436" t="str">
        <f t="shared" si="4"/>
        <v>DP=2023.12</v>
      </c>
      <c r="AA27" s="436" t="str">
        <f t="shared" si="4"/>
        <v>DP=2023.12</v>
      </c>
      <c r="AB27" s="436" t="str">
        <f t="shared" si="4"/>
        <v>DP=2023.12</v>
      </c>
      <c r="AC27" s="436" t="str">
        <f t="shared" si="4"/>
        <v>DP=2023.12</v>
      </c>
      <c r="AD27" s="436" t="str">
        <f t="shared" si="4"/>
        <v>DP=2023.12</v>
      </c>
      <c r="AE27" s="436" t="str">
        <f t="shared" si="4"/>
        <v>DP=2023.12</v>
      </c>
      <c r="AF27" s="436" t="str">
        <f t="shared" si="4"/>
        <v>DP=2023.12</v>
      </c>
      <c r="AG27" s="436" t="str">
        <f t="shared" si="4"/>
        <v>DP=2023.12</v>
      </c>
      <c r="AH27" s="436" t="str">
        <f t="shared" si="4"/>
        <v>DP=2023.12</v>
      </c>
      <c r="AI27" s="436" t="str">
        <f t="shared" si="4"/>
        <v>DP=2023.12</v>
      </c>
      <c r="AJ27" s="436" t="str">
        <f t="shared" si="4"/>
        <v>DP=2023.12</v>
      </c>
      <c r="AK27" s="436" t="str">
        <f t="shared" si="4"/>
        <v>DP=2023.12</v>
      </c>
      <c r="AL27" s="436" t="str">
        <f t="shared" si="4"/>
        <v>DP=2023.12</v>
      </c>
      <c r="AM27" s="436" t="str">
        <f t="shared" si="4"/>
        <v>DP=2023.12</v>
      </c>
      <c r="AN27" s="436" t="str">
        <f t="shared" si="4"/>
        <v>DP=2023.12</v>
      </c>
      <c r="AO27" s="436" t="str">
        <f t="shared" si="4"/>
        <v>DP=2023.12</v>
      </c>
      <c r="AP27" s="436" t="str">
        <f t="shared" si="4"/>
        <v>DP=2023.12</v>
      </c>
      <c r="AQ27" s="436" t="str">
        <f t="shared" si="4"/>
        <v>DP=2023.12</v>
      </c>
      <c r="AR27" s="436" t="str">
        <f t="shared" si="4"/>
        <v>DP=2023.12</v>
      </c>
      <c r="AS27" s="436" t="str">
        <f t="shared" si="4"/>
        <v>DP=2023.12</v>
      </c>
      <c r="AT27" s="436" t="str">
        <f t="shared" si="4"/>
        <v>DP=2023.12</v>
      </c>
      <c r="AU27" s="436" t="str">
        <f t="shared" si="4"/>
        <v>DP=2023.12</v>
      </c>
      <c r="AV27" s="436" t="str">
        <f t="shared" si="4"/>
        <v>DP=2023.12</v>
      </c>
      <c r="AW27" s="436" t="str">
        <f t="shared" si="4"/>
        <v>DP=2023.12</v>
      </c>
      <c r="AX27" s="436" t="str">
        <f t="shared" si="4"/>
        <v>DP=2023.12</v>
      </c>
      <c r="AY27" s="436" t="str">
        <f t="shared" si="4"/>
        <v>DP=2023.12</v>
      </c>
      <c r="AZ27" s="436" t="str">
        <f t="shared" si="4"/>
        <v>DP=2023.12</v>
      </c>
      <c r="BA27" s="436" t="str">
        <f t="shared" si="4"/>
        <v>DP=2023.12</v>
      </c>
      <c r="BB27" s="436" t="str">
        <f t="shared" si="4"/>
        <v>DP=2023.12</v>
      </c>
      <c r="BC27" s="436" t="str">
        <f t="shared" si="4"/>
        <v>DP=2023.12</v>
      </c>
      <c r="BD27" s="436" t="str">
        <f t="shared" si="4"/>
        <v>DP=2023.12</v>
      </c>
      <c r="BE27" s="436" t="str">
        <f t="shared" si="4"/>
        <v>DP=2023.12</v>
      </c>
      <c r="BF27" s="436" t="str">
        <f t="shared" si="4"/>
        <v>DP=2023.12</v>
      </c>
      <c r="BG27" s="436" t="str">
        <f t="shared" si="4"/>
        <v>DP=2023.12</v>
      </c>
      <c r="BH27" s="436" t="str">
        <f t="shared" si="4"/>
        <v>DP=2023.12</v>
      </c>
      <c r="BI27" s="436" t="str">
        <f t="shared" si="4"/>
        <v>DP=2023.12</v>
      </c>
      <c r="BJ27" s="436" t="str">
        <f t="shared" si="4"/>
        <v>DP=2023.12</v>
      </c>
      <c r="BK27" s="436" t="str">
        <f t="shared" si="4"/>
        <v>DP=2023.12</v>
      </c>
      <c r="BL27" s="436" t="str">
        <f t="shared" si="4"/>
        <v>DP=2023.12</v>
      </c>
      <c r="BM27" s="436" t="str">
        <f t="shared" si="4"/>
        <v>DP=2023.12</v>
      </c>
      <c r="BN27" s="436" t="str">
        <f t="shared" si="4"/>
        <v>DP=2023.12</v>
      </c>
      <c r="BO27" s="436" t="str">
        <f t="shared" si="4"/>
        <v>DP=2023.12</v>
      </c>
      <c r="BP27" s="436" t="str">
        <f t="shared" si="4"/>
        <v>DP=2023.12</v>
      </c>
      <c r="BQ27" s="436" t="str">
        <f t="shared" si="4"/>
        <v>DP=2023.12</v>
      </c>
      <c r="BR27" s="436" t="str">
        <f t="shared" si="4"/>
        <v>DP=2023.12</v>
      </c>
      <c r="BS27" s="436" t="str">
        <f t="shared" si="4"/>
        <v>DP=2023.12</v>
      </c>
      <c r="BT27" s="436" t="str">
        <f t="shared" si="4"/>
        <v>DP=2023.12</v>
      </c>
      <c r="BU27" s="436" t="str">
        <f t="shared" si="4"/>
        <v>DP=2023.12</v>
      </c>
      <c r="BV27" s="436" t="str">
        <f t="shared" si="4"/>
        <v>DP=2023.12</v>
      </c>
      <c r="BW27" s="436" t="str">
        <f t="shared" si="4"/>
        <v>DP=2023.12</v>
      </c>
      <c r="BX27" s="436" t="str">
        <f t="shared" ref="BX27:CJ27" si="5">+$D$20</f>
        <v>DP=2023.12</v>
      </c>
      <c r="BY27" s="436" t="str">
        <f t="shared" si="5"/>
        <v>DP=2023.12</v>
      </c>
      <c r="BZ27" s="436" t="str">
        <f t="shared" si="5"/>
        <v>DP=2023.12</v>
      </c>
      <c r="CA27" s="436" t="str">
        <f t="shared" si="5"/>
        <v>DP=2023.12</v>
      </c>
      <c r="CB27" s="436" t="str">
        <f t="shared" si="5"/>
        <v>DP=2023.12</v>
      </c>
      <c r="CC27" s="436" t="str">
        <f t="shared" si="5"/>
        <v>DP=2023.12</v>
      </c>
      <c r="CD27" s="436" t="str">
        <f t="shared" si="5"/>
        <v>DP=2023.12</v>
      </c>
      <c r="CE27" s="436" t="str">
        <f t="shared" si="5"/>
        <v>DP=2023.12</v>
      </c>
      <c r="CF27" s="436" t="str">
        <f t="shared" si="5"/>
        <v>DP=2023.12</v>
      </c>
      <c r="CG27" s="436" t="str">
        <f t="shared" si="5"/>
        <v>DP=2023.12</v>
      </c>
      <c r="CH27" s="436" t="str">
        <f t="shared" si="5"/>
        <v>DP=2023.12</v>
      </c>
      <c r="CI27" s="436" t="str">
        <f t="shared" si="5"/>
        <v>DP=2023.12</v>
      </c>
      <c r="CJ27" s="436" t="str">
        <f t="shared" si="5"/>
        <v>DP=2023.12</v>
      </c>
    </row>
    <row r="28" spans="1:98" outlineLevel="1">
      <c r="K28" s="436" t="s">
        <v>134</v>
      </c>
      <c r="L28" s="436" t="s">
        <v>1214</v>
      </c>
      <c r="M28" s="436" t="s">
        <v>222</v>
      </c>
      <c r="N28" s="436" t="s">
        <v>223</v>
      </c>
      <c r="O28" s="436" t="s">
        <v>224</v>
      </c>
      <c r="P28" s="436" t="s">
        <v>311</v>
      </c>
      <c r="Q28" s="436" t="s">
        <v>217</v>
      </c>
      <c r="R28" s="436" t="s">
        <v>1026</v>
      </c>
      <c r="S28" s="436" t="s">
        <v>249</v>
      </c>
      <c r="T28" s="436" t="s">
        <v>250</v>
      </c>
      <c r="U28" s="436" t="s">
        <v>1028</v>
      </c>
      <c r="V28" s="436" t="s">
        <v>307</v>
      </c>
      <c r="W28" s="436" t="s">
        <v>882</v>
      </c>
      <c r="X28" s="436" t="s">
        <v>1215</v>
      </c>
      <c r="Y28" s="436" t="s">
        <v>1437</v>
      </c>
      <c r="Z28" s="436" t="s">
        <v>248</v>
      </c>
      <c r="AA28" s="436" t="s">
        <v>579</v>
      </c>
      <c r="AB28" s="436" t="s">
        <v>1002</v>
      </c>
      <c r="AC28" s="436" t="s">
        <v>883</v>
      </c>
      <c r="AD28" s="436" t="s">
        <v>1003</v>
      </c>
      <c r="AE28" s="436" t="s">
        <v>1004</v>
      </c>
      <c r="AF28" s="436" t="s">
        <v>1005</v>
      </c>
      <c r="AG28" s="436" t="s">
        <v>1006</v>
      </c>
      <c r="AH28" s="436" t="s">
        <v>1007</v>
      </c>
      <c r="AI28" s="436" t="s">
        <v>220</v>
      </c>
      <c r="AJ28" s="436" t="s">
        <v>221</v>
      </c>
      <c r="AK28" s="436" t="s">
        <v>225</v>
      </c>
      <c r="AL28" s="436" t="s">
        <v>226</v>
      </c>
      <c r="AM28" s="436" t="s">
        <v>227</v>
      </c>
      <c r="AN28" s="436" t="s">
        <v>252</v>
      </c>
      <c r="AO28" s="436" t="s">
        <v>253</v>
      </c>
      <c r="AP28" s="436" t="s">
        <v>228</v>
      </c>
      <c r="AQ28" s="436" t="s">
        <v>229</v>
      </c>
      <c r="AR28" s="436" t="s">
        <v>230</v>
      </c>
      <c r="AS28" s="436" t="s">
        <v>231</v>
      </c>
      <c r="AT28" s="436" t="s">
        <v>310</v>
      </c>
      <c r="AU28" s="436" t="s">
        <v>580</v>
      </c>
      <c r="AV28" s="436" t="s">
        <v>232</v>
      </c>
      <c r="AW28" s="436" t="s">
        <v>254</v>
      </c>
      <c r="AX28" s="436" t="s">
        <v>255</v>
      </c>
      <c r="AY28" s="436" t="s">
        <v>256</v>
      </c>
      <c r="AZ28" s="436" t="s">
        <v>257</v>
      </c>
      <c r="BA28" s="436" t="s">
        <v>258</v>
      </c>
      <c r="BB28" s="436" t="s">
        <v>259</v>
      </c>
      <c r="BC28" s="436" t="s">
        <v>260</v>
      </c>
      <c r="BD28" s="436" t="s">
        <v>308</v>
      </c>
      <c r="BE28" s="436" t="s">
        <v>1176</v>
      </c>
      <c r="BF28" s="436" t="s">
        <v>1177</v>
      </c>
      <c r="BG28" s="436" t="s">
        <v>1027</v>
      </c>
      <c r="BH28" s="436" t="s">
        <v>251</v>
      </c>
      <c r="BI28" s="436" t="s">
        <v>309</v>
      </c>
      <c r="BJ28" s="436" t="s">
        <v>1008</v>
      </c>
      <c r="BK28" s="436" t="s">
        <v>1009</v>
      </c>
      <c r="BL28" s="436" t="s">
        <v>1010</v>
      </c>
      <c r="BM28" s="436" t="s">
        <v>1011</v>
      </c>
      <c r="BN28" s="436" t="s">
        <v>1012</v>
      </c>
      <c r="BO28" s="436" t="s">
        <v>1013</v>
      </c>
      <c r="BP28" s="436" t="s">
        <v>1014</v>
      </c>
      <c r="BQ28" s="436" t="s">
        <v>1015</v>
      </c>
      <c r="BR28" s="436" t="s">
        <v>1016</v>
      </c>
      <c r="BS28" s="436" t="s">
        <v>1017</v>
      </c>
      <c r="BT28" s="436" t="s">
        <v>1174</v>
      </c>
      <c r="BU28" s="436" t="s">
        <v>1175</v>
      </c>
      <c r="BV28" s="436" t="s">
        <v>1115</v>
      </c>
      <c r="BW28" s="436" t="s">
        <v>1018</v>
      </c>
      <c r="BX28" s="436" t="s">
        <v>1019</v>
      </c>
      <c r="BY28" s="436" t="s">
        <v>1020</v>
      </c>
      <c r="BZ28" s="436" t="s">
        <v>1438</v>
      </c>
      <c r="CA28" s="436" t="s">
        <v>1021</v>
      </c>
      <c r="CB28" s="436" t="s">
        <v>1022</v>
      </c>
      <c r="CC28" s="436" t="s">
        <v>1023</v>
      </c>
      <c r="CD28" s="436" t="s">
        <v>1024</v>
      </c>
      <c r="CE28" s="436" t="s">
        <v>1025</v>
      </c>
      <c r="CF28" s="436" t="s">
        <v>233</v>
      </c>
      <c r="CG28" s="436" t="s">
        <v>234</v>
      </c>
      <c r="CH28" s="436" t="s">
        <v>235</v>
      </c>
      <c r="CI28" s="436" t="s">
        <v>236</v>
      </c>
      <c r="CJ28" s="436" t="s">
        <v>237</v>
      </c>
    </row>
    <row r="29" spans="1:98" ht="36" customHeight="1" outlineLevel="1">
      <c r="K29" s="437" t="str">
        <f>_xll.GetCtLabel(K28,"CURINIT(RU)!LDESC","#CNP ASSURANCES")</f>
        <v>CNP ASSURANCES</v>
      </c>
      <c r="L29" s="437" t="str">
        <f>_xll.GetCtLabel(L28,"CURINIT(RU)!LDESC","#CNP Retraite")</f>
        <v>CNP Retraite</v>
      </c>
      <c r="M29" s="437" t="str">
        <f>_xll.GetCtLabel(M28,"CURINIT(RU)!LDESC","#Caixa Seguradora S.A.")</f>
        <v>Caixa Seguradora S.A.</v>
      </c>
      <c r="N29" s="437" t="str">
        <f>_xll.GetCtLabel(N28,"CURINIT(RU)!LDESC","#CNP Capitalização S.A.")</f>
        <v>CNP Capitalização S.A.</v>
      </c>
      <c r="O29" s="437" t="str">
        <f>_xll.GetCtLabel(O28,"CURINIT(RU)!LDESC","#Caixa Vida e Previdência")</f>
        <v>Caixa Vida e Previdência</v>
      </c>
      <c r="P29" s="437" t="str">
        <f>_xll.GetCtLabel(P28,"CURINIT(RU)!LDESC","#XS2 Vida e Previdência S.A.")</f>
        <v>XS2 Vida e Previdência S.A.</v>
      </c>
      <c r="Q29" s="437" t="str">
        <f>_xll.GetCtLabel(Q28,"CURINIT(RU)!LDESC","#CNP UNICREDIT VITA")</f>
        <v>CNP UNICREDIT VITA</v>
      </c>
      <c r="R29" s="437" t="str">
        <f>_xll.GetCtLabel(R28,"CURINIT(RU)!LDESC","#CNP Vita Assicura")</f>
        <v>CNP Vita Assicura</v>
      </c>
      <c r="S29" s="437" t="str">
        <f>_xll.GetCtLabel(S28,"CURINIT(RU)!LDESC","#CNP Santander Insurance Life Dac")</f>
        <v>CNP Santander Insurance Life Dac</v>
      </c>
      <c r="T29" s="437" t="str">
        <f>_xll.GetCtLabel(T28,"CURINIT(RU)!LDESC","#CNP Santander Insurance Europe DAC")</f>
        <v>CNP Santander Insurance Europe DAC</v>
      </c>
      <c r="U29" s="437" t="str">
        <f>_xll.GetCtLabel(U28,"CURINIT(RU)!LDESC","#CNP Luxembourg")</f>
        <v>CNP Luxembourg</v>
      </c>
      <c r="V29" s="437" t="str">
        <f>_xll.GetCtLabel(V28,"CURINIT(RU)!LDESC","#CNP Caution")</f>
        <v>CNP Caution</v>
      </c>
      <c r="W29" s="437" t="str">
        <f>_xll.GetCtLabel(W28,"CURINIT(RU)!LDESC","#ARIAL CNP ASSURANCES")</f>
        <v>ARIAL CNP ASSURANCES</v>
      </c>
      <c r="X29" s="437" t="str">
        <f>_xll.GetCtLabel(X28,"CURINIT(RU)!LDESC","#Filassistance International")</f>
        <v>Filassistance International</v>
      </c>
      <c r="Y29" s="437" t="str">
        <f>_xll.GetCtLabel(Y28,"CURINIT(RU)!LDESC","#Assuristance")</f>
        <v>Assuristance</v>
      </c>
      <c r="Z29" s="437" t="str">
        <f>_xll.GetCtLabel(Z28,"CURINIT(RU)!LDESC","#MFPrévoyance")</f>
        <v>MFPrévoyance</v>
      </c>
      <c r="AA29" s="437" t="str">
        <f>_xll.GetCtLabel(AA28,"CURINIT(RU)!LDESC","#Ecureuil Vie Développement")</f>
        <v>Ecureuil Vie Développement</v>
      </c>
      <c r="AB29" s="437" t="str">
        <f>_xll.GetCtLabel(AB28,"CURINIT(RU)!LDESC","#Assurbail Patrimoine")</f>
        <v>Assurbail Patrimoine</v>
      </c>
      <c r="AC29" s="437" t="str">
        <f>_xll.GetCtLabel(AC28,"CURINIT(RU)!LDESC","#Holding d’Infrastructures Gazières")</f>
        <v>Holding d’Infrastructures Gazières</v>
      </c>
      <c r="AD29" s="437" t="str">
        <f>_xll.GetCtLabel(AD28,"CURINIT(RU)!LDESC","#MONTPARVIE V")</f>
        <v>MONTPARVIE V</v>
      </c>
      <c r="AE29" s="437" t="str">
        <f>_xll.GetCtLabel(AE28,"CURINIT(RU)!LDESC","#Sogestop K")</f>
        <v>Sogestop K</v>
      </c>
      <c r="AF29" s="437" t="str">
        <f>_xll.GetCtLabel(AF28,"CURINIT(RU)!LDESC","#Infra-Invest")</f>
        <v>Infra-Invest</v>
      </c>
      <c r="AG29" s="437" t="str">
        <f>_xll.GetCtLabel(AG28,"CURINIT(RU)!LDESC","#Infra-invest holding")</f>
        <v>Infra-invest holding</v>
      </c>
      <c r="AH29" s="437" t="str">
        <f>_xll.GetCtLabel(AH28,"CURINIT(RU)!LDESC","#Infra-invest France")</f>
        <v>Infra-invest France</v>
      </c>
      <c r="AI29" s="437" t="str">
        <f>_xll.GetCtLabel(AI28,"CURINIT(RU)!LDESC","#CNP Seguros Holding Brasil S.A")</f>
        <v>CNP Seguros Holding Brasil S.A</v>
      </c>
      <c r="AJ29" s="437" t="str">
        <f>_xll.GetCtLabel(AJ28,"CURINIT(RU)!LDESC","#CNP Participações Securitarias Brasil Ltda")</f>
        <v>CNP Participações Securitarias Brasil Ltda</v>
      </c>
      <c r="AK29" s="437" t="str">
        <f>_xll.GetCtLabel(AK28,"CURINIT(RU)!LDESC","#CNP Consórcio S.A. Administradora de Consórcios")</f>
        <v>CNP Consórcio S.A. Administradora de Consórcios</v>
      </c>
      <c r="AL29" s="437" t="str">
        <f>_xll.GetCtLabel(AL28,"CURINIT(RU)!LDESC","#Youse Tecnologia E Assitencia Em Seguros Ltda")</f>
        <v>Youse Tecnologia E Assitencia Em Seguros Ltda</v>
      </c>
      <c r="AM29" s="437" t="str">
        <f>_xll.GetCtLabel(AM28,"CURINIT(RU)!LDESC","#Caixa Seguradora Especializada Em Saúde S.A.")</f>
        <v>Caixa Seguradora Especializada Em Saúde S.A.</v>
      </c>
      <c r="AN29" s="437" t="str">
        <f>_xll.GetCtLabel(AN28,"CURINIT(RU)!LDESC","#CNP Assurances Compañia de Seguros")</f>
        <v>CNP Assurances Compañia de Seguros</v>
      </c>
      <c r="AO29" s="437" t="str">
        <f>_xll.GetCtLabel(AO28,"CURINIT(RU)!LDESC","#CNP SA de Capitalización y Ahorro p/ fines determinados")</f>
        <v>CNP SA de Capitalización y Ahorro p/ fines determinados</v>
      </c>
      <c r="AP29" s="437" t="str">
        <f>_xll.GetCtLabel(AP28,"CURINIT(RU)!LDESC","#Companhia de Seguros Previdencia Do Sul-Previsul")</f>
        <v>Companhia de Seguros Previdencia Do Sul-Previsul</v>
      </c>
      <c r="AQ29" s="437" t="str">
        <f>_xll.GetCtLabel(AQ28,"CURINIT(RU)!LDESC","#Wiz Soluçoes e Corretagem de Seguros S.A.")</f>
        <v>Wiz Soluçoes e Corretagem de Seguros S.A.</v>
      </c>
      <c r="AR29" s="437" t="str">
        <f>_xll.GetCtLabel(AR28,"CURINIT(RU)!LDESC","#Odonto Empresas Convenios Dentarios Ltda")</f>
        <v>Odonto Empresas Convenios Dentarios Ltda</v>
      </c>
      <c r="AS29" s="437" t="str">
        <f>_xll.GetCtLabel(AS28,"CURINIT(RU)!LDESC","#CNP Participações em Seguros Ltda.")</f>
        <v>CNP Participações em Seguros Ltda.</v>
      </c>
      <c r="AT29" s="437" t="str">
        <f>_xll.GetCtLabel(AT28,"CURINIT(RU)!LDESC","#HOLDING XS 1 S.A.")</f>
        <v>HOLDING XS 1 S.A.</v>
      </c>
      <c r="AU29" s="437" t="str">
        <f>_xll.GetCtLabel(AU28,"CURINIT(RU)!LDESC","#XS5 ADMINISTRADORA DE CONSORCIOS S.A.")</f>
        <v>XS5 ADMINISTRADORA DE CONSORCIOS S.A.</v>
      </c>
      <c r="AV29" s="437" t="str">
        <f>_xll.GetCtLabel(AV28,"CURINIT(RU)!LDESC","#Fundo De Investimento Imobiliario Renda Corporativa Angico - FII")</f>
        <v>Fundo De Investimento Imobiliario Renda Corporativa Angico - FII</v>
      </c>
      <c r="AW29" s="437" t="str">
        <f>_xll.GetCtLabel(AW28,"CURINIT(RU)!LDESC","#CNP Cyprus Insurance Holdings")</f>
        <v>CNP Cyprus Insurance Holdings</v>
      </c>
      <c r="AX29" s="437" t="str">
        <f>_xll.GetCtLabel(AX28,"CURINIT(RU)!LDESC","#CNP Zois")</f>
        <v>CNP Zois</v>
      </c>
      <c r="AY29" s="437" t="str">
        <f>_xll.GetCtLabel(AY28,"CURINIT(RU)!LDESC","#CNP Praktoriaki")</f>
        <v>CNP Praktoriaki</v>
      </c>
      <c r="AZ29" s="437" t="str">
        <f>_xll.GetCtLabel(AZ28,"CURINIT(RU)!LDESC","#CNP Cyprialife")</f>
        <v>CNP Cyprialife</v>
      </c>
      <c r="BA29" s="437" t="str">
        <f>_xll.GetCtLabel(BA28,"CURINIT(RU)!LDESC","#CNP Asfalistiki")</f>
        <v>CNP Asfalistiki</v>
      </c>
      <c r="BB29" s="437" t="str">
        <f>_xll.GetCtLabel(BB28,"CURINIT(RU)!LDESC","#CNP Cyprus Tower Ltd")</f>
        <v>CNP Cyprus Tower Ltd</v>
      </c>
      <c r="BC29" s="437" t="str">
        <f>_xll.GetCtLabel(BC28,"CURINIT(RU)!LDESC","# CNP Cyprus Properties")</f>
        <v xml:space="preserve"> CNP Cyprus Properties</v>
      </c>
      <c r="BD29" s="437" t="str">
        <f>_xll.GetCtLabel(BD28,"CURINIT(RU)!LDESC","#CNP Assurances Latam Holding Ltda")</f>
        <v>CNP Assurances Latam Holding Ltda</v>
      </c>
      <c r="BE29" s="437" t="str">
        <f>_xll.GetCtLabel(BE28,"CURINIT(RU)!LDESC","#Credicoop Compañia de Seguros de Retiro S.A.")</f>
        <v>Credicoop Compañia de Seguros de Retiro S.A.</v>
      </c>
      <c r="BF29" s="437" t="str">
        <f>_xll.GetCtLabel(BF28,"CURINIT(RU)!LDESC","#Provincia Seguros de Vida S.A.")</f>
        <v>Provincia Seguros de Vida S.A.</v>
      </c>
      <c r="BG29" s="437" t="str">
        <f>_xll.GetCtLabel(BG28,"CURINIT(RU)!LDESC","#CNP Europe Life DAC")</f>
        <v>CNP Europe Life DAC</v>
      </c>
      <c r="BH29" s="437" t="str">
        <f>_xll.GetCtLabel(BH28,"CURINIT(RU)!LDESC","#CNP Santander Insurance Services Ireland Limited")</f>
        <v>CNP Santander Insurance Services Ireland Limited</v>
      </c>
      <c r="BI29" s="437" t="str">
        <f>_xll.GetCtLabel(BI28,"CURINIT(RU)!LDESC","#CNP Assurances Participações Ltda")</f>
        <v>CNP Assurances Participações Ltda</v>
      </c>
      <c r="BJ29" s="437" t="str">
        <f>_xll.GetCtLabel(BJ28,"CURINIT(RU)!LDESC","#ASSURIMMEUBLE")</f>
        <v>ASSURIMMEUBLE</v>
      </c>
      <c r="BK29" s="437" t="str">
        <f>_xll.GetCtLabel(BK28,"CURINIT(RU)!LDESC","#AEP4 SCI")</f>
        <v>AEP4 SCI</v>
      </c>
      <c r="BL29" s="437" t="str">
        <f>_xll.GetCtLabel(BL28,"CURINIT(RU)!LDESC","#AEP3 SCI")</f>
        <v>AEP3 SCI</v>
      </c>
      <c r="BM29" s="437" t="str">
        <f>_xll.GetCtLabel(BM28,"CURINIT(RU)!LDESC","#OPCI MTP Invest")</f>
        <v>OPCI MTP Invest</v>
      </c>
      <c r="BN29" s="437" t="str">
        <f>_xll.GetCtLabel(BN28,"CURINIT(RU)!LDESC","#OPCI AEW IMCOM 1")</f>
        <v>OPCI AEW IMCOM 1</v>
      </c>
      <c r="BO29" s="437" t="str">
        <f>_xll.GetCtLabel(BO28,"CURINIT(RU)!LDESC","#OPCI AEP247")</f>
        <v>OPCI AEP247</v>
      </c>
      <c r="BP29" s="437" t="str">
        <f>_xll.GetCtLabel(BP28,"CURINIT(RU)!LDESC","#LBP Actifs Immo")</f>
        <v>LBP Actifs Immo</v>
      </c>
      <c r="BQ29" s="437" t="str">
        <f>_xll.GetCtLabel(BQ28,"CURINIT(RU)!LDESC","#Outlet Invest")</f>
        <v>Outlet Invest</v>
      </c>
      <c r="BR29" s="437" t="str">
        <f>_xll.GetCtLabel(BR28,"CURINIT(RU)!LDESC","#OPCI Raspail")</f>
        <v>OPCI Raspail</v>
      </c>
      <c r="BS29" s="437" t="str">
        <f>_xll.GetCtLabel(BS28,"CURINIT(RU)!LDESC","#SAS Alleray")</f>
        <v>SAS Alleray</v>
      </c>
      <c r="BT29" s="437" t="str">
        <f>_xll.GetCtLabel(BT28,"CURINIT(RU)!LDESC","#SCP Lamartine Euros")</f>
        <v>SCP Lamartine Euros</v>
      </c>
      <c r="BU29" s="437" t="str">
        <f>_xll.GetCtLabel(BU28,"CURINIT(RU)!LDESC","#SCP Lamartine monitoring Holding")</f>
        <v>SCP Lamartine monitoring Holding</v>
      </c>
      <c r="BV29" s="437" t="str">
        <f>_xll.GetCtLabel(BV28,"CURINIT(RU)!LDESC","#SCI Lamartine")</f>
        <v>SCI Lamartine</v>
      </c>
      <c r="BW29" s="437" t="str">
        <f>_xll.GetCtLabel(BW28,"CURINIT(RU)!LDESC","#CIMO")</f>
        <v>CIMO</v>
      </c>
      <c r="BX29" s="437" t="str">
        <f>_xll.GetCtLabel(BX28,"CURINIT(RU)!LDESC","#SICAC")</f>
        <v>SICAC</v>
      </c>
      <c r="BY29" s="437" t="str">
        <f>_xll.GetCtLabel(BY28,"CURINIT(RU)!LDESC","#CNP IMMOBILIER")</f>
        <v>CNP IMMOBILIER</v>
      </c>
      <c r="BZ29" s="437" t="str">
        <f>_xll.GetCtLabel(BZ28,"CURINIT(RU)!LDESC","#SCI ICV")</f>
        <v>SCI ICV</v>
      </c>
      <c r="CA29" s="437" t="str">
        <f>_xll.GetCtLabel(CA28,"CURINIT(RU)!LDESC","#UNIVERS CNP 1 FCP")</f>
        <v>UNIVERS CNP 1 FCP</v>
      </c>
      <c r="CB29" s="437" t="str">
        <f>_xll.GetCtLabel(CB28,"CURINIT(RU)!LDESC","#Ecureuil Profil 90")</f>
        <v>Ecureuil Profil 90</v>
      </c>
      <c r="CC29" s="437" t="str">
        <f>_xll.GetCtLabel(CC28,"CURINIT(RU)!LDESC","#Vivaccio ISR actions")</f>
        <v>Vivaccio ISR actions</v>
      </c>
      <c r="CD29" s="437" t="str">
        <f>_xll.GetCtLabel(CD28,"CURINIT(RU)!LDESC","#CNP OSTRUM ISR OBLI 12 MOIS")</f>
        <v>CNP OSTRUM ISR OBLI 12 MOIS</v>
      </c>
      <c r="CE29" s="437" t="str">
        <f>_xll.GetCtLabel(CE28,"CURINIT(RU)!LDESC","#CNP Assur Trésorerie Plus")</f>
        <v>CNP Assur Trésorerie Plus</v>
      </c>
      <c r="CF29" s="437" t="str">
        <f>_xll.GetCtLabel(CF28,"CURINIT(RU)!LDESC","#OPCVM Caixa Seguradora S.A.")</f>
        <v>OPCVM Caixa Seguradora S.A.</v>
      </c>
      <c r="CG29" s="437" t="str">
        <f>_xll.GetCtLabel(CG28,"CURINIT(RU)!LDESC","#OPCVM CNP Capitalização S.A.")</f>
        <v>OPCVM CNP Capitalização S.A.</v>
      </c>
      <c r="CH29" s="437" t="str">
        <f>_xll.GetCtLabel(CH28,"CURINIT(RU)!LDESC","#OPCVM Caixa Vida e Previdência")</f>
        <v>OPCVM Caixa Vida e Previdência</v>
      </c>
      <c r="CI29" s="437" t="str">
        <f>_xll.GetCtLabel(CI28,"CURINIT(RU)!LDESC","#OPCVM CNP Consórcio S.A.")</f>
        <v>OPCVM CNP Consórcio S.A.</v>
      </c>
      <c r="CJ29" s="437" t="str">
        <f>_xll.GetCtLabel(CJ28,"CURINIT(RU)!LDESC","#OPCVM Holding Caixa Seguros Holding S.A.")</f>
        <v>OPCVM Holding Caixa Seguros Holding S.A.</v>
      </c>
    </row>
    <row r="30" spans="1:98" outlineLevel="1">
      <c r="J30" s="386"/>
      <c r="K30" s="438" t="s">
        <v>1435</v>
      </c>
      <c r="L30" s="438" t="s">
        <v>1435</v>
      </c>
      <c r="M30" s="438" t="s">
        <v>1435</v>
      </c>
      <c r="N30" s="438" t="s">
        <v>1435</v>
      </c>
      <c r="O30" s="438" t="s">
        <v>1435</v>
      </c>
      <c r="P30" s="439" t="s">
        <v>1435</v>
      </c>
      <c r="Q30" s="438" t="s">
        <v>1435</v>
      </c>
      <c r="R30" s="439" t="s">
        <v>1435</v>
      </c>
      <c r="S30" s="438" t="s">
        <v>1435</v>
      </c>
      <c r="T30" s="438" t="s">
        <v>1435</v>
      </c>
      <c r="U30" s="438" t="s">
        <v>1435</v>
      </c>
      <c r="V30" s="438" t="s">
        <v>1435</v>
      </c>
      <c r="W30" s="440" t="s">
        <v>1436</v>
      </c>
      <c r="X30" s="438" t="s">
        <v>1435</v>
      </c>
      <c r="Y30" s="438" t="s">
        <v>1435</v>
      </c>
      <c r="Z30" s="438" t="s">
        <v>1435</v>
      </c>
      <c r="AA30" s="440" t="s">
        <v>1436</v>
      </c>
      <c r="AB30" s="438" t="s">
        <v>1435</v>
      </c>
      <c r="AC30" s="440" t="s">
        <v>1436</v>
      </c>
      <c r="AD30" s="438" t="s">
        <v>1435</v>
      </c>
      <c r="AE30" s="438" t="s">
        <v>1435</v>
      </c>
      <c r="AF30" s="438" t="s">
        <v>1435</v>
      </c>
      <c r="AG30" s="438" t="s">
        <v>1435</v>
      </c>
      <c r="AH30" s="438" t="s">
        <v>1435</v>
      </c>
      <c r="AI30" s="438" t="s">
        <v>1435</v>
      </c>
      <c r="AJ30" s="438" t="s">
        <v>1435</v>
      </c>
      <c r="AK30" s="438" t="s">
        <v>1435</v>
      </c>
      <c r="AL30" s="438" t="s">
        <v>1435</v>
      </c>
      <c r="AM30" s="438" t="s">
        <v>1435</v>
      </c>
      <c r="AN30" s="438" t="s">
        <v>1435</v>
      </c>
      <c r="AO30" s="438" t="s">
        <v>1435</v>
      </c>
      <c r="AP30" s="438" t="s">
        <v>1435</v>
      </c>
      <c r="AQ30" s="440" t="s">
        <v>1436</v>
      </c>
      <c r="AR30" s="438" t="s">
        <v>1435</v>
      </c>
      <c r="AS30" s="438" t="s">
        <v>1435</v>
      </c>
      <c r="AT30" s="438" t="s">
        <v>1435</v>
      </c>
      <c r="AU30" s="440" t="s">
        <v>1436</v>
      </c>
      <c r="AV30" s="438" t="s">
        <v>1435</v>
      </c>
      <c r="AW30" s="438" t="s">
        <v>1435</v>
      </c>
      <c r="AX30" s="438" t="s">
        <v>1435</v>
      </c>
      <c r="AY30" s="438" t="s">
        <v>1435</v>
      </c>
      <c r="AZ30" s="438" t="s">
        <v>1435</v>
      </c>
      <c r="BA30" s="438" t="s">
        <v>1435</v>
      </c>
      <c r="BB30" s="438" t="s">
        <v>1435</v>
      </c>
      <c r="BC30" s="438" t="s">
        <v>1435</v>
      </c>
      <c r="BD30" s="438" t="s">
        <v>1435</v>
      </c>
      <c r="BE30" s="440" t="s">
        <v>1436</v>
      </c>
      <c r="BF30" s="440" t="s">
        <v>1436</v>
      </c>
      <c r="BG30" s="438" t="s">
        <v>1435</v>
      </c>
      <c r="BH30" s="438" t="s">
        <v>1435</v>
      </c>
      <c r="BI30" s="438" t="s">
        <v>1435</v>
      </c>
      <c r="BJ30" s="438" t="s">
        <v>1435</v>
      </c>
      <c r="BK30" s="438" t="s">
        <v>1435</v>
      </c>
      <c r="BL30" s="438" t="s">
        <v>1435</v>
      </c>
      <c r="BM30" s="438" t="s">
        <v>1435</v>
      </c>
      <c r="BN30" s="438" t="s">
        <v>1435</v>
      </c>
      <c r="BO30" s="438" t="s">
        <v>1435</v>
      </c>
      <c r="BP30" s="438" t="s">
        <v>1435</v>
      </c>
      <c r="BQ30" s="438" t="s">
        <v>1435</v>
      </c>
      <c r="BR30" s="438" t="s">
        <v>1435</v>
      </c>
      <c r="BS30" s="438" t="s">
        <v>1435</v>
      </c>
      <c r="BT30" s="438" t="s">
        <v>1435</v>
      </c>
      <c r="BU30" s="438" t="s">
        <v>1435</v>
      </c>
      <c r="BV30" s="438" t="s">
        <v>1435</v>
      </c>
      <c r="BW30" s="438" t="s">
        <v>1435</v>
      </c>
      <c r="BX30" s="438" t="s">
        <v>1435</v>
      </c>
      <c r="BY30" s="438" t="s">
        <v>1435</v>
      </c>
      <c r="BZ30" s="438" t="s">
        <v>1435</v>
      </c>
      <c r="CA30" s="438" t="s">
        <v>1435</v>
      </c>
      <c r="CB30" s="438" t="s">
        <v>1435</v>
      </c>
      <c r="CC30" s="438" t="s">
        <v>1435</v>
      </c>
      <c r="CD30" s="438" t="s">
        <v>1435</v>
      </c>
      <c r="CE30" s="438" t="s">
        <v>1435</v>
      </c>
      <c r="CF30" s="438" t="s">
        <v>1435</v>
      </c>
      <c r="CG30" s="438" t="s">
        <v>1435</v>
      </c>
      <c r="CH30" s="438" t="s">
        <v>1435</v>
      </c>
      <c r="CI30" s="438" t="s">
        <v>1435</v>
      </c>
      <c r="CJ30" s="438" t="s">
        <v>1435</v>
      </c>
    </row>
    <row r="31" spans="1:98" outlineLevel="1">
      <c r="J31" s="386"/>
      <c r="K31" s="291"/>
      <c r="L31" s="291"/>
      <c r="M31" s="291"/>
      <c r="N31" s="291"/>
      <c r="O31" s="291"/>
      <c r="P31" s="291"/>
      <c r="Q31" s="291"/>
      <c r="R31" s="291"/>
      <c r="S31" s="291"/>
      <c r="T31" s="291"/>
      <c r="U31" s="291"/>
      <c r="V31" s="291"/>
      <c r="W31" s="388"/>
      <c r="X31" s="291"/>
      <c r="Y31" s="291"/>
      <c r="Z31" s="291"/>
      <c r="AA31" s="388"/>
      <c r="AB31" s="291"/>
      <c r="AC31" s="388"/>
      <c r="AD31" s="291"/>
      <c r="AE31" s="291"/>
      <c r="AF31" s="291"/>
      <c r="AG31" s="291"/>
      <c r="AH31" s="291"/>
      <c r="AI31" s="291"/>
      <c r="AJ31" s="291"/>
      <c r="AK31" s="291"/>
      <c r="AL31" s="291"/>
      <c r="AM31" s="291"/>
      <c r="AN31" s="291"/>
      <c r="AO31" s="291"/>
      <c r="AP31" s="291"/>
      <c r="AQ31" s="388"/>
      <c r="AR31" s="291"/>
      <c r="AS31" s="291"/>
      <c r="AT31" s="291"/>
      <c r="AU31" s="388"/>
      <c r="AV31" s="291"/>
      <c r="AW31" s="291"/>
      <c r="AX31" s="291"/>
      <c r="AY31" s="291"/>
      <c r="AZ31" s="291"/>
      <c r="BA31" s="291"/>
      <c r="BB31" s="291"/>
      <c r="BC31" s="291"/>
      <c r="BD31" s="291"/>
      <c r="BE31" s="388"/>
      <c r="BF31" s="388"/>
      <c r="BG31" s="291"/>
      <c r="BH31" s="291"/>
      <c r="BI31" s="291"/>
      <c r="BJ31" s="291"/>
      <c r="BK31" s="291"/>
      <c r="BL31" s="291"/>
      <c r="BM31" s="291"/>
      <c r="BN31" s="291"/>
      <c r="BO31" s="291"/>
      <c r="BP31" s="291"/>
      <c r="BQ31" s="291"/>
      <c r="BR31" s="291"/>
      <c r="BS31" s="291"/>
      <c r="BT31" s="291"/>
      <c r="BU31" s="291"/>
      <c r="BV31" s="291"/>
      <c r="BW31" s="291"/>
      <c r="BX31" s="291"/>
      <c r="BY31" s="291"/>
      <c r="BZ31" s="291"/>
      <c r="CA31" s="291"/>
      <c r="CB31" s="291"/>
      <c r="CC31" s="291"/>
      <c r="CD31" s="291"/>
      <c r="CE31" s="291"/>
      <c r="CF31" s="291"/>
      <c r="CG31" s="291"/>
      <c r="CH31" s="291"/>
      <c r="CI31" s="291"/>
      <c r="CJ31" s="291"/>
    </row>
    <row r="32" spans="1:98" ht="15" customHeight="1" outlineLevel="1">
      <c r="J32" s="392" t="s">
        <v>2487</v>
      </c>
      <c r="K32" s="340">
        <f>_xll.GetCtData("COAMOUNT","CONSAMOUNT",$J$4:$J$5,$J$7:$J$9,$D$7,K$27:K$28,$A22,"#2364")</f>
        <v>2364</v>
      </c>
      <c r="L32" s="340">
        <f>_xll.GetCtData("COAMOUNT","CONSAMOUNT",$J$4:$J$5,$J$7:$J$9,$D$7,L$27:L$28,$A22,"#")</f>
        <v>0</v>
      </c>
      <c r="M32" s="340">
        <f>_xll.GetCtData("COAMOUNT","CONSAMOUNT",$J$4:$J$5,$J$7:$J$9,$D$7,M$27:M$28,$A22,"#289")</f>
        <v>289</v>
      </c>
      <c r="N32" s="340">
        <f>_xll.GetCtData("COAMOUNT","CONSAMOUNT",$J$4:$J$5,$J$7:$J$9,$D$7,N$27:N$28,$A22,"#")</f>
        <v>0</v>
      </c>
      <c r="O32" s="340">
        <f>_xll.GetCtData("COAMOUNT","CONSAMOUNT",$J$4:$J$5,$J$7:$J$9,$D$7,O$27:O$28,$A22,"#13")</f>
        <v>13</v>
      </c>
      <c r="P32" s="340">
        <f>_xll.GetCtData("COAMOUNT","CONSAMOUNT",$J$4:$J$5,$J$7:$J$9,$D$7,P$27:P$28,$A22,"#99")</f>
        <v>99</v>
      </c>
      <c r="Q32" s="340">
        <f>_xll.GetCtData("COAMOUNT","CONSAMOUNT",$J$4:$J$5,$J$7:$J$9,$D$7,Q$27:Q$28,$A22,"#72")</f>
        <v>72</v>
      </c>
      <c r="R32" s="340">
        <f>_xll.GetCtData("COAMOUNT","CONSAMOUNT",$J$4:$J$5,$J$7:$J$9,$D$7,R$27:R$28,$A22,"#10")</f>
        <v>10</v>
      </c>
      <c r="S32" s="340">
        <f>_xll.GetCtData("COAMOUNT","CONSAMOUNT",$J$4:$J$5,$J$7:$J$9,$D$7,S$27:S$28,$A22,"#")</f>
        <v>0</v>
      </c>
      <c r="T32" s="340">
        <f>_xll.GetCtData("COAMOUNT","CONSAMOUNT",$J$4:$J$5,$J$7:$J$9,$D$7,T$27:T$28,$A22,"#")</f>
        <v>0</v>
      </c>
      <c r="U32" s="340">
        <f>_xll.GetCtData("COAMOUNT","CONSAMOUNT",$J$4:$J$5,$J$7:$J$9,$D$7,U$27:U$28,$A22,"#1")</f>
        <v>1</v>
      </c>
      <c r="V32" s="340">
        <f>_xll.GetCtData("COAMOUNT","CONSAMOUNT",$J$4:$J$5,$J$7:$J$9,$D$7,V$27:V$28,$A22,"#")</f>
        <v>0</v>
      </c>
      <c r="W32" s="393">
        <f>_xll.GetCtData("COAMOUNT","CONSAMOUNT",$J$4:$J$5,$J$7:$J$9,$D$7,W$27:W$28,$A22,"#")</f>
        <v>0</v>
      </c>
      <c r="X32" s="340">
        <f>_xll.GetCtData("COAMOUNT","CONSAMOUNT",$J$4:$J$5,$J$7:$J$9,$D$7,X$27:X$28,$A22,"#49")</f>
        <v>49</v>
      </c>
      <c r="Y32" s="340">
        <f>_xll.GetCtData("COAMOUNT","CONSAMOUNT",$J$4:$J$5,$J$7:$J$9,$D$7,Y$27:Y$28,$A22,"#")</f>
        <v>0</v>
      </c>
      <c r="Z32" s="340">
        <f>_xll.GetCtData("COAMOUNT","CONSAMOUNT",$J$4:$J$5,$J$7:$J$9,$D$7,Z$27:Z$28,$A22,"#")</f>
        <v>0</v>
      </c>
      <c r="AA32" s="393">
        <f>_xll.GetCtData("COAMOUNT","CONSAMOUNT",$J$4:$J$5,$J$7:$J$9,$D$7,AA$27:AA$28,$A22,"#")</f>
        <v>0</v>
      </c>
      <c r="AB32" s="340">
        <f>_xll.GetCtData("COAMOUNT","CONSAMOUNT",$J$4:$J$5,$J$7:$J$9,$D$7,AB$27:AB$28,$A22,"#")</f>
        <v>0</v>
      </c>
      <c r="AC32" s="393">
        <f>_xll.GetCtData("COAMOUNT","CONSAMOUNT",$J$4:$J$5,$J$7:$J$9,$D$7,AC$27:AC$28,$A22,"#")</f>
        <v>0</v>
      </c>
      <c r="AD32" s="340">
        <f>_xll.GetCtData("COAMOUNT","CONSAMOUNT",$J$4:$J$5,$J$7:$J$9,$D$7,AD$27:AD$28,$A22,"#")</f>
        <v>0</v>
      </c>
      <c r="AE32" s="340">
        <f>_xll.GetCtData("COAMOUNT","CONSAMOUNT",$J$4:$J$5,$J$7:$J$9,$D$7,AE$27:AE$28,$A22,"#")</f>
        <v>0</v>
      </c>
      <c r="AF32" s="340">
        <f>_xll.GetCtData("COAMOUNT","CONSAMOUNT",$J$4:$J$5,$J$7:$J$9,$D$7,AF$27:AF$28,$A22,"#1")</f>
        <v>1</v>
      </c>
      <c r="AG32" s="340">
        <f>_xll.GetCtData("COAMOUNT","CONSAMOUNT",$J$4:$J$5,$J$7:$J$9,$D$7,AG$27:AG$28,$A22,"#")</f>
        <v>0</v>
      </c>
      <c r="AH32" s="340">
        <f>_xll.GetCtData("COAMOUNT","CONSAMOUNT",$J$4:$J$5,$J$7:$J$9,$D$7,AH$27:AH$28,$A22,"#")</f>
        <v>0</v>
      </c>
      <c r="AI32" s="340">
        <f>_xll.GetCtData("COAMOUNT","CONSAMOUNT",$J$4:$J$5,$J$7:$J$9,$D$7,AI$27:AI$28,$A22,"#")</f>
        <v>0</v>
      </c>
      <c r="AJ32" s="340">
        <f>_xll.GetCtData("COAMOUNT","CONSAMOUNT",$J$4:$J$5,$J$7:$J$9,$D$7,AJ$27:AJ$28,$A22,"#")</f>
        <v>0</v>
      </c>
      <c r="AK32" s="340">
        <f>_xll.GetCtData("COAMOUNT","CONSAMOUNT",$J$4:$J$5,$J$7:$J$9,$D$7,AK$27:AK$28,$A22,"#21")</f>
        <v>21</v>
      </c>
      <c r="AL32" s="340">
        <f>_xll.GetCtData("COAMOUNT","CONSAMOUNT",$J$4:$J$5,$J$7:$J$9,$D$7,AL$27:AL$28,$A22,"#")</f>
        <v>0</v>
      </c>
      <c r="AM32" s="340">
        <f>_xll.GetCtData("COAMOUNT","CONSAMOUNT",$J$4:$J$5,$J$7:$J$9,$D$7,AM$27:AM$28,$A22,"#5")</f>
        <v>5</v>
      </c>
      <c r="AN32" s="340">
        <f>_xll.GetCtData("COAMOUNT","CONSAMOUNT",$J$4:$J$5,$J$7:$J$9,$D$7,AN$27:AN$28,$A22,"#15")</f>
        <v>15</v>
      </c>
      <c r="AO32" s="340">
        <f>_xll.GetCtData("COAMOUNT","CONSAMOUNT",$J$4:$J$5,$J$7:$J$9,$D$7,AO$27:AO$28,$A22,"#")</f>
        <v>0</v>
      </c>
      <c r="AP32" s="340">
        <f>_xll.GetCtData("COAMOUNT","CONSAMOUNT",$J$4:$J$5,$J$7:$J$9,$D$7,AP$27:AP$28,$A22,"#62")</f>
        <v>62</v>
      </c>
      <c r="AQ32" s="393">
        <f>_xll.GetCtData("COAMOUNT","CONSAMOUNT",$J$4:$J$5,$J$7:$J$9,$D$7,AQ$27:AQ$28,$A22,"#")</f>
        <v>0</v>
      </c>
      <c r="AR32" s="340">
        <f>_xll.GetCtData("COAMOUNT","CONSAMOUNT",$J$4:$J$5,$J$7:$J$9,$D$7,AR$27:AR$28,$A22,"#13")</f>
        <v>13</v>
      </c>
      <c r="AS32" s="340">
        <f>_xll.GetCtData("COAMOUNT","CONSAMOUNT",$J$4:$J$5,$J$7:$J$9,$D$7,AS$27:AS$28,$A22,"#")</f>
        <v>0</v>
      </c>
      <c r="AT32" s="340">
        <f>_xll.GetCtData("COAMOUNT","CONSAMOUNT",$J$4:$J$5,$J$7:$J$9,$D$7,AT$27:AT$28,$A22,"#1")</f>
        <v>1</v>
      </c>
      <c r="AU32" s="393">
        <f>_xll.GetCtData("COAMOUNT","CONSAMOUNT",$J$4:$J$5,$J$7:$J$9,$D$7,AU$27:AU$28,$A22,"#0")</f>
        <v>0</v>
      </c>
      <c r="AV32" s="340">
        <f>_xll.GetCtData("COAMOUNT","CONSAMOUNT",$J$4:$J$5,$J$7:$J$9,$D$7,AV$27:AV$28,$A22,"#")</f>
        <v>0</v>
      </c>
      <c r="AW32" s="340">
        <f>_xll.GetCtData("COAMOUNT","CONSAMOUNT",$J$4:$J$5,$J$7:$J$9,$D$7,AW$27:AW$28,$A22,"#1")</f>
        <v>1</v>
      </c>
      <c r="AX32" s="340">
        <f>_xll.GetCtData("COAMOUNT","CONSAMOUNT",$J$4:$J$5,$J$7:$J$9,$D$7,AX$27:AX$28,$A22,"#4")</f>
        <v>4</v>
      </c>
      <c r="AY32" s="340">
        <f>_xll.GetCtData("COAMOUNT","CONSAMOUNT",$J$4:$J$5,$J$7:$J$9,$D$7,AY$27:AY$28,$A22,"#")</f>
        <v>0</v>
      </c>
      <c r="AZ32" s="340">
        <f>_xll.GetCtData("COAMOUNT","CONSAMOUNT",$J$4:$J$5,$J$7:$J$9,$D$7,AZ$27:AZ$28,$A22,"#16")</f>
        <v>16</v>
      </c>
      <c r="BA32" s="390">
        <v>9</v>
      </c>
      <c r="BB32" s="340">
        <f>_xll.GetCtData("COAMOUNT","CONSAMOUNT",$J$4:$J$5,$J$7:$J$9,$D$7,BB$27:BB$28,$A22,"#")</f>
        <v>0</v>
      </c>
      <c r="BC32" s="340">
        <f>_xll.GetCtData("COAMOUNT","CONSAMOUNT",$J$4:$J$5,$J$7:$J$9,$D$7,BC$27:BC$28,$A22,"#")</f>
        <v>0</v>
      </c>
      <c r="BD32" s="340">
        <f>_xll.GetCtData("COAMOUNT","CONSAMOUNT",$J$4:$J$5,$J$7:$J$9,$D$7,BD$27:BD$28,$A22,"#2")</f>
        <v>2</v>
      </c>
      <c r="BE32" s="393">
        <f>_xll.GetCtData("COAMOUNT","CONSAMOUNT",$J$4:$J$5,$J$7:$J$9,$D$7,BE$27:BE$28,$A22,"#")</f>
        <v>0</v>
      </c>
      <c r="BF32" s="393">
        <f>_xll.GetCtData("COAMOUNT","CONSAMOUNT",$J$4:$J$5,$J$7:$J$9,$D$7,BF$27:BF$28,$A22,"#")</f>
        <v>0</v>
      </c>
      <c r="BG32" s="340">
        <f>_xll.GetCtData("COAMOUNT","CONSAMOUNT",$J$4:$J$5,$J$7:$J$9,$D$7,BG$27:BG$28,$A22,"#")</f>
        <v>0</v>
      </c>
      <c r="BH32" s="340">
        <f>_xll.GetCtData("COAMOUNT","CONSAMOUNT",$J$4:$J$5,$J$7:$J$9,$D$7,BH$27:BH$28,$A22,"#")</f>
        <v>0</v>
      </c>
      <c r="BI32" s="340">
        <f>_xll.GetCtData("COAMOUNT","CONSAMOUNT",$J$4:$J$5,$J$7:$J$9,$D$7,BI$27:BI$28,$A22,"#")</f>
        <v>0</v>
      </c>
      <c r="BJ32" s="340">
        <f>_xll.GetCtData("COAMOUNT","CONSAMOUNT",$J$4:$J$5,$J$7:$J$9,$D$7,BJ$27:BJ$28,$A22,"#")</f>
        <v>0</v>
      </c>
      <c r="BK32" s="340">
        <f>_xll.GetCtData("COAMOUNT","CONSAMOUNT",$J$4:$J$5,$J$7:$J$9,$D$7,BK$27:BK$28,$A22,"#")</f>
        <v>0</v>
      </c>
      <c r="BL32" s="340">
        <f>_xll.GetCtData("COAMOUNT","CONSAMOUNT",$J$4:$J$5,$J$7:$J$9,$D$7,BL$27:BL$28,$A22,"#")</f>
        <v>0</v>
      </c>
      <c r="BM32" s="340">
        <f>_xll.GetCtData("COAMOUNT","CONSAMOUNT",$J$4:$J$5,$J$7:$J$9,$D$7,BM$27:BM$28,$A22,"#")</f>
        <v>0</v>
      </c>
      <c r="BN32" s="340">
        <f>_xll.GetCtData("COAMOUNT","CONSAMOUNT",$J$4:$J$5,$J$7:$J$9,$D$7,BN$27:BN$28,$A22,"#")</f>
        <v>0</v>
      </c>
      <c r="BO32" s="340">
        <f>_xll.GetCtData("COAMOUNT","CONSAMOUNT",$J$4:$J$5,$J$7:$J$9,$D$7,BO$27:BO$28,$A22,"#")</f>
        <v>0</v>
      </c>
      <c r="BP32" s="340">
        <f>_xll.GetCtData("COAMOUNT","CONSAMOUNT",$J$4:$J$5,$J$7:$J$9,$D$7,BP$27:BP$28,$A22,"#")</f>
        <v>0</v>
      </c>
      <c r="BQ32" s="340">
        <f>_xll.GetCtData("COAMOUNT","CONSAMOUNT",$J$4:$J$5,$J$7:$J$9,$D$7,BQ$27:BQ$28,$A22,"#")</f>
        <v>0</v>
      </c>
      <c r="BR32" s="340">
        <f>_xll.GetCtData("COAMOUNT","CONSAMOUNT",$J$4:$J$5,$J$7:$J$9,$D$7,BR$27:BR$28,$A22,"#")</f>
        <v>0</v>
      </c>
      <c r="BS32" s="340">
        <f>_xll.GetCtData("COAMOUNT","CONSAMOUNT",$J$4:$J$5,$J$7:$J$9,$D$7,BS$27:BS$28,$A22,"#")</f>
        <v>0</v>
      </c>
      <c r="BT32" s="340">
        <f>_xll.GetCtData("COAMOUNT","CONSAMOUNT",$J$4:$J$5,$J$7:$J$9,$D$7,BT$27:BT$28,$A22,"#")</f>
        <v>0</v>
      </c>
      <c r="BU32" s="340">
        <f>_xll.GetCtData("COAMOUNT","CONSAMOUNT",$J$4:$J$5,$J$7:$J$9,$D$7,BU$27:BU$28,$A22,"#")</f>
        <v>0</v>
      </c>
      <c r="BV32" s="340">
        <f>_xll.GetCtData("COAMOUNT","CONSAMOUNT",$J$4:$J$5,$J$7:$J$9,$D$7,BV$27:BV$28,$A22,"#")</f>
        <v>0</v>
      </c>
      <c r="BW32" s="340">
        <f>_xll.GetCtData("COAMOUNT","CONSAMOUNT",$J$4:$J$5,$J$7:$J$9,$D$7,BW$27:BW$28,$A22,"#")</f>
        <v>0</v>
      </c>
      <c r="BX32" s="340">
        <f>_xll.GetCtData("COAMOUNT","CONSAMOUNT",$J$4:$J$5,$J$7:$J$9,$D$7,BX$27:BX$28,$A22,"#")</f>
        <v>0</v>
      </c>
      <c r="BY32" s="340">
        <f>_xll.GetCtData("COAMOUNT","CONSAMOUNT",$J$4:$J$5,$J$7:$J$9,$D$7,BY$27:BY$28,$A22,"#")</f>
        <v>0</v>
      </c>
      <c r="BZ32" s="340">
        <f>_xll.GetCtData("COAMOUNT","CONSAMOUNT",$J$4:$J$5,$J$7:$J$9,$D$7,BZ$27:BZ$28,$A22,"#")</f>
        <v>0</v>
      </c>
      <c r="CA32" s="340">
        <f>_xll.GetCtData("COAMOUNT","CONSAMOUNT",$J$4:$J$5,$J$7:$J$9,$D$7,CA$27:CA$28,$A22,"#")</f>
        <v>0</v>
      </c>
      <c r="CB32" s="340">
        <f>_xll.GetCtData("COAMOUNT","CONSAMOUNT",$J$4:$J$5,$J$7:$J$9,$D$7,CB$27:CB$28,$A22,"#")</f>
        <v>0</v>
      </c>
      <c r="CC32" s="340">
        <f>_xll.GetCtData("COAMOUNT","CONSAMOUNT",$J$4:$J$5,$J$7:$J$9,$D$7,CC$27:CC$28,$A22,"#")</f>
        <v>0</v>
      </c>
      <c r="CD32" s="340">
        <f>_xll.GetCtData("COAMOUNT","CONSAMOUNT",$J$4:$J$5,$J$7:$J$9,$D$7,CD$27:CD$28,$A22,"#")</f>
        <v>0</v>
      </c>
      <c r="CE32" s="340">
        <f>_xll.GetCtData("COAMOUNT","CONSAMOUNT",$J$4:$J$5,$J$7:$J$9,$D$7,CE$27:CE$28,$A22,"#")</f>
        <v>0</v>
      </c>
      <c r="CF32" s="340">
        <f>_xll.GetCtData("COAMOUNT","CONSAMOUNT",$J$4:$J$5,$J$7:$J$9,$D$7,CF$27:CF$28,$A22,"#")</f>
        <v>0</v>
      </c>
      <c r="CG32" s="340">
        <f>_xll.GetCtData("COAMOUNT","CONSAMOUNT",$J$4:$J$5,$J$7:$J$9,$D$7,CG$27:CG$28,$A22,"#")</f>
        <v>0</v>
      </c>
      <c r="CH32" s="340">
        <f>_xll.GetCtData("COAMOUNT","CONSAMOUNT",$J$4:$J$5,$J$7:$J$9,$D$7,CH$27:CH$28,$A22,"#")</f>
        <v>0</v>
      </c>
      <c r="CI32" s="340">
        <f>_xll.GetCtData("COAMOUNT","CONSAMOUNT",$J$4:$J$5,$J$7:$J$9,$D$7,CI$27:CI$28,$A22,"#")</f>
        <v>0</v>
      </c>
      <c r="CJ32" s="340">
        <f>_xll.GetCtData("COAMOUNT","CONSAMOUNT",$J$4:$J$5,$J$7:$J$9,$D$7,CJ$27:CJ$28,$A22,"#")</f>
        <v>0</v>
      </c>
    </row>
    <row r="33" spans="10:92" ht="15" customHeight="1" outlineLevel="1">
      <c r="J33" s="392" t="s">
        <v>2488</v>
      </c>
      <c r="K33" s="340">
        <f>_xll.GetCtData("COAMOUNT","CONSAMOUNT",$J$4:$J$5,$J$7:$J$9,$D$7,K$27:K$28,$A23,"#761")</f>
        <v>761</v>
      </c>
      <c r="L33" s="340">
        <f>_xll.GetCtData("COAMOUNT","CONSAMOUNT",$J$4:$J$5,$J$7:$J$9,$D$7,L$27:L$28,$A23,"#")</f>
        <v>0</v>
      </c>
      <c r="M33" s="340">
        <f>_xll.GetCtData("COAMOUNT","CONSAMOUNT",$J$4:$J$5,$J$7:$J$9,$D$7,M$27:M$28,$A23,"#357")</f>
        <v>357</v>
      </c>
      <c r="N33" s="340">
        <f>_xll.GetCtData("COAMOUNT","CONSAMOUNT",$J$4:$J$5,$J$7:$J$9,$D$7,N$27:N$28,$A23,"#5")</f>
        <v>5</v>
      </c>
      <c r="O33" s="340">
        <f>_xll.GetCtData("COAMOUNT","CONSAMOUNT",$J$4:$J$5,$J$7:$J$9,$D$7,O$27:O$28,$A23,"#16")</f>
        <v>16</v>
      </c>
      <c r="P33" s="340">
        <f>_xll.GetCtData("COAMOUNT","CONSAMOUNT",$J$4:$J$5,$J$7:$J$9,$D$7,P$27:P$28,$A23,"#423")</f>
        <v>423</v>
      </c>
      <c r="Q33" s="340">
        <f>_xll.GetCtData("COAMOUNT","CONSAMOUNT",$J$4:$J$5,$J$7:$J$9,$D$7,Q$27:Q$28,$A23,"#132")</f>
        <v>132</v>
      </c>
      <c r="R33" s="340">
        <f>_xll.GetCtData("COAMOUNT","CONSAMOUNT",$J$4:$J$5,$J$7:$J$9,$D$7,R$27:R$28,$A23,"#130")</f>
        <v>130</v>
      </c>
      <c r="S33" s="340">
        <f>_xll.GetCtData("COAMOUNT","CONSAMOUNT",$J$4:$J$5,$J$7:$J$9,$D$7,S$27:S$28,$A23,"#")</f>
        <v>0</v>
      </c>
      <c r="T33" s="340">
        <f>_xll.GetCtData("COAMOUNT","CONSAMOUNT",$J$4:$J$5,$J$7:$J$9,$D$7,T$27:T$28,$A23,"#")</f>
        <v>0</v>
      </c>
      <c r="U33" s="340">
        <f>_xll.GetCtData("COAMOUNT","CONSAMOUNT",$J$4:$J$5,$J$7:$J$9,$D$7,U$27:U$28,$A23,"#34")</f>
        <v>34</v>
      </c>
      <c r="V33" s="340">
        <f>_xll.GetCtData("COAMOUNT","CONSAMOUNT",$J$4:$J$5,$J$7:$J$9,$D$7,V$27:V$28,$A23,"#")</f>
        <v>0</v>
      </c>
      <c r="W33" s="393">
        <f>_xll.GetCtData("COAMOUNT","CONSAMOUNT",$J$4:$J$5,$J$7:$J$9,$D$7,W$27:W$28,$A23,"#")</f>
        <v>0</v>
      </c>
      <c r="X33" s="340">
        <f>_xll.GetCtData("COAMOUNT","CONSAMOUNT",$J$4:$J$5,$J$7:$J$9,$D$7,X$27:X$28,$A23,"#94")</f>
        <v>94</v>
      </c>
      <c r="Y33" s="340">
        <f>_xll.GetCtData("COAMOUNT","CONSAMOUNT",$J$4:$J$5,$J$7:$J$9,$D$7,Y$27:Y$28,$A23,"#")</f>
        <v>0</v>
      </c>
      <c r="Z33" s="340">
        <f>_xll.GetCtData("COAMOUNT","CONSAMOUNT",$J$4:$J$5,$J$7:$J$9,$D$7,Z$27:Z$28,$A23,"#")</f>
        <v>0</v>
      </c>
      <c r="AA33" s="393">
        <f>_xll.GetCtData("COAMOUNT","CONSAMOUNT",$J$4:$J$5,$J$7:$J$9,$D$7,AA$27:AA$28,$A23,"#")</f>
        <v>0</v>
      </c>
      <c r="AB33" s="340">
        <f>_xll.GetCtData("COAMOUNT","CONSAMOUNT",$J$4:$J$5,$J$7:$J$9,$D$7,AB$27:AB$28,$A23,"#")</f>
        <v>0</v>
      </c>
      <c r="AC33" s="393">
        <f>_xll.GetCtData("COAMOUNT","CONSAMOUNT",$J$4:$J$5,$J$7:$J$9,$D$7,AC$27:AC$28,$A23,"#")</f>
        <v>0</v>
      </c>
      <c r="AD33" s="340">
        <f>_xll.GetCtData("COAMOUNT","CONSAMOUNT",$J$4:$J$5,$J$7:$J$9,$D$7,AD$27:AD$28,$A23,"#")</f>
        <v>0</v>
      </c>
      <c r="AE33" s="340">
        <f>_xll.GetCtData("COAMOUNT","CONSAMOUNT",$J$4:$J$5,$J$7:$J$9,$D$7,AE$27:AE$28,$A23,"#")</f>
        <v>0</v>
      </c>
      <c r="AF33" s="340">
        <f>_xll.GetCtData("COAMOUNT","CONSAMOUNT",$J$4:$J$5,$J$7:$J$9,$D$7,AF$27:AF$28,$A23,"#")</f>
        <v>0</v>
      </c>
      <c r="AG33" s="340">
        <f>_xll.GetCtData("COAMOUNT","CONSAMOUNT",$J$4:$J$5,$J$7:$J$9,$D$7,AG$27:AG$28,$A23,"#")</f>
        <v>0</v>
      </c>
      <c r="AH33" s="340">
        <f>_xll.GetCtData("COAMOUNT","CONSAMOUNT",$J$4:$J$5,$J$7:$J$9,$D$7,AH$27:AH$28,$A23,"#")</f>
        <v>0</v>
      </c>
      <c r="AI33" s="340">
        <f>_xll.GetCtData("COAMOUNT","CONSAMOUNT",$J$4:$J$5,$J$7:$J$9,$D$7,AI$27:AI$28,$A23,"#")</f>
        <v>0</v>
      </c>
      <c r="AJ33" s="340">
        <f>_xll.GetCtData("COAMOUNT","CONSAMOUNT",$J$4:$J$5,$J$7:$J$9,$D$7,AJ$27:AJ$28,$A23,"#")</f>
        <v>0</v>
      </c>
      <c r="AK33" s="340">
        <f>_xll.GetCtData("COAMOUNT","CONSAMOUNT",$J$4:$J$5,$J$7:$J$9,$D$7,AK$27:AK$28,$A23,"#27")</f>
        <v>27</v>
      </c>
      <c r="AL33" s="340">
        <f>_xll.GetCtData("COAMOUNT","CONSAMOUNT",$J$4:$J$5,$J$7:$J$9,$D$7,AL$27:AL$28,$A23,"#")</f>
        <v>0</v>
      </c>
      <c r="AM33" s="340">
        <f>_xll.GetCtData("COAMOUNT","CONSAMOUNT",$J$4:$J$5,$J$7:$J$9,$D$7,AM$27:AM$28,$A23,"#2")</f>
        <v>2</v>
      </c>
      <c r="AN33" s="340">
        <f>_xll.GetCtData("COAMOUNT","CONSAMOUNT",$J$4:$J$5,$J$7:$J$9,$D$7,AN$27:AN$28,$A23,"#96")</f>
        <v>96</v>
      </c>
      <c r="AO33" s="340">
        <f>_xll.GetCtData("COAMOUNT","CONSAMOUNT",$J$4:$J$5,$J$7:$J$9,$D$7,AO$27:AO$28,$A23,"#")</f>
        <v>0</v>
      </c>
      <c r="AP33" s="340">
        <f>_xll.GetCtData("COAMOUNT","CONSAMOUNT",$J$4:$J$5,$J$7:$J$9,$D$7,AP$27:AP$28,$A23,"#69")</f>
        <v>69</v>
      </c>
      <c r="AQ33" s="393">
        <f>_xll.GetCtData("COAMOUNT","CONSAMOUNT",$J$4:$J$5,$J$7:$J$9,$D$7,AQ$27:AQ$28,$A23,"#")</f>
        <v>0</v>
      </c>
      <c r="AR33" s="340">
        <f>_xll.GetCtData("COAMOUNT","CONSAMOUNT",$J$4:$J$5,$J$7:$J$9,$D$7,AR$27:AR$28,$A23,"#50")</f>
        <v>50</v>
      </c>
      <c r="AS33" s="340">
        <f>_xll.GetCtData("COAMOUNT","CONSAMOUNT",$J$4:$J$5,$J$7:$J$9,$D$7,AS$27:AS$28,$A23,"#")</f>
        <v>0</v>
      </c>
      <c r="AT33" s="340">
        <f>_xll.GetCtData("COAMOUNT","CONSAMOUNT",$J$4:$J$5,$J$7:$J$9,$D$7,AT$27:AT$28,$A23,"#")</f>
        <v>0</v>
      </c>
      <c r="AU33" s="393">
        <f>_xll.GetCtData("COAMOUNT","CONSAMOUNT",$J$4:$J$5,$J$7:$J$9,$D$7,AU$27:AU$28,$A23,"#0")</f>
        <v>0</v>
      </c>
      <c r="AV33" s="340">
        <f>_xll.GetCtData("COAMOUNT","CONSAMOUNT",$J$4:$J$5,$J$7:$J$9,$D$7,AV$27:AV$28,$A23,"#")</f>
        <v>0</v>
      </c>
      <c r="AW33" s="340">
        <f>_xll.GetCtData("COAMOUNT","CONSAMOUNT",$J$4:$J$5,$J$7:$J$9,$D$7,AW$27:AW$28,$A23,"#")</f>
        <v>0</v>
      </c>
      <c r="AX33" s="340">
        <f>_xll.GetCtData("COAMOUNT","CONSAMOUNT",$J$4:$J$5,$J$7:$J$9,$D$7,AX$27:AX$28,$A23,"#10")</f>
        <v>10</v>
      </c>
      <c r="AY33" s="340">
        <f>_xll.GetCtData("COAMOUNT","CONSAMOUNT",$J$4:$J$5,$J$7:$J$9,$D$7,AY$27:AY$28,$A23,"#")</f>
        <v>0</v>
      </c>
      <c r="AZ33" s="340">
        <f>_xll.GetCtData("COAMOUNT","CONSAMOUNT",$J$4:$J$5,$J$7:$J$9,$D$7,AZ$27:AZ$28,$A23,"#148")</f>
        <v>148</v>
      </c>
      <c r="BA33" s="390">
        <v>130</v>
      </c>
      <c r="BB33" s="340">
        <f>_xll.GetCtData("COAMOUNT","CONSAMOUNT",$J$4:$J$5,$J$7:$J$9,$D$7,BB$27:BB$28,$A23,"#")</f>
        <v>0</v>
      </c>
      <c r="BC33" s="340">
        <f>_xll.GetCtData("COAMOUNT","CONSAMOUNT",$J$4:$J$5,$J$7:$J$9,$D$7,BC$27:BC$28,$A23,"#")</f>
        <v>0</v>
      </c>
      <c r="BD33" s="340">
        <f>_xll.GetCtData("COAMOUNT","CONSAMOUNT",$J$4:$J$5,$J$7:$J$9,$D$7,BD$27:BD$28,$A23,"#")</f>
        <v>0</v>
      </c>
      <c r="BE33" s="393">
        <f>_xll.GetCtData("COAMOUNT","CONSAMOUNT",$J$4:$J$5,$J$7:$J$9,$D$7,BE$27:BE$28,$A23,"#")</f>
        <v>0</v>
      </c>
      <c r="BF33" s="393">
        <f>_xll.GetCtData("COAMOUNT","CONSAMOUNT",$J$4:$J$5,$J$7:$J$9,$D$7,BF$27:BF$28,$A23,"#")</f>
        <v>0</v>
      </c>
      <c r="BG33" s="340">
        <f>_xll.GetCtData("COAMOUNT","CONSAMOUNT",$J$4:$J$5,$J$7:$J$9,$D$7,BG$27:BG$28,$A23,"#")</f>
        <v>0</v>
      </c>
      <c r="BH33" s="340">
        <f>_xll.GetCtData("COAMOUNT","CONSAMOUNT",$J$4:$J$5,$J$7:$J$9,$D$7,BH$27:BH$28,$A23,"#")</f>
        <v>0</v>
      </c>
      <c r="BI33" s="340">
        <f>_xll.GetCtData("COAMOUNT","CONSAMOUNT",$J$4:$J$5,$J$7:$J$9,$D$7,BI$27:BI$28,$A23,"#")</f>
        <v>0</v>
      </c>
      <c r="BJ33" s="340">
        <f>_xll.GetCtData("COAMOUNT","CONSAMOUNT",$J$4:$J$5,$J$7:$J$9,$D$7,BJ$27:BJ$28,$A23,"#")</f>
        <v>0</v>
      </c>
      <c r="BK33" s="340">
        <f>_xll.GetCtData("COAMOUNT","CONSAMOUNT",$J$4:$J$5,$J$7:$J$9,$D$7,BK$27:BK$28,$A23,"#")</f>
        <v>0</v>
      </c>
      <c r="BL33" s="340">
        <f>_xll.GetCtData("COAMOUNT","CONSAMOUNT",$J$4:$J$5,$J$7:$J$9,$D$7,BL$27:BL$28,$A23,"#")</f>
        <v>0</v>
      </c>
      <c r="BM33" s="340">
        <f>_xll.GetCtData("COAMOUNT","CONSAMOUNT",$J$4:$J$5,$J$7:$J$9,$D$7,BM$27:BM$28,$A23,"#")</f>
        <v>0</v>
      </c>
      <c r="BN33" s="340">
        <f>_xll.GetCtData("COAMOUNT","CONSAMOUNT",$J$4:$J$5,$J$7:$J$9,$D$7,BN$27:BN$28,$A23,"#")</f>
        <v>0</v>
      </c>
      <c r="BO33" s="340">
        <f>_xll.GetCtData("COAMOUNT","CONSAMOUNT",$J$4:$J$5,$J$7:$J$9,$D$7,BO$27:BO$28,$A23,"#")</f>
        <v>0</v>
      </c>
      <c r="BP33" s="340">
        <f>_xll.GetCtData("COAMOUNT","CONSAMOUNT",$J$4:$J$5,$J$7:$J$9,$D$7,BP$27:BP$28,$A23,"#")</f>
        <v>0</v>
      </c>
      <c r="BQ33" s="340">
        <f>_xll.GetCtData("COAMOUNT","CONSAMOUNT",$J$4:$J$5,$J$7:$J$9,$D$7,BQ$27:BQ$28,$A23,"#")</f>
        <v>0</v>
      </c>
      <c r="BR33" s="340">
        <f>_xll.GetCtData("COAMOUNT","CONSAMOUNT",$J$4:$J$5,$J$7:$J$9,$D$7,BR$27:BR$28,$A23,"#")</f>
        <v>0</v>
      </c>
      <c r="BS33" s="340">
        <f>_xll.GetCtData("COAMOUNT","CONSAMOUNT",$J$4:$J$5,$J$7:$J$9,$D$7,BS$27:BS$28,$A23,"#")</f>
        <v>0</v>
      </c>
      <c r="BT33" s="340">
        <f>_xll.GetCtData("COAMOUNT","CONSAMOUNT",$J$4:$J$5,$J$7:$J$9,$D$7,BT$27:BT$28,$A23,"#")</f>
        <v>0</v>
      </c>
      <c r="BU33" s="340">
        <f>_xll.GetCtData("COAMOUNT","CONSAMOUNT",$J$4:$J$5,$J$7:$J$9,$D$7,BU$27:BU$28,$A23,"#")</f>
        <v>0</v>
      </c>
      <c r="BV33" s="340">
        <f>_xll.GetCtData("COAMOUNT","CONSAMOUNT",$J$4:$J$5,$J$7:$J$9,$D$7,BV$27:BV$28,$A23,"#")</f>
        <v>0</v>
      </c>
      <c r="BW33" s="340">
        <f>_xll.GetCtData("COAMOUNT","CONSAMOUNT",$J$4:$J$5,$J$7:$J$9,$D$7,BW$27:BW$28,$A23,"#")</f>
        <v>0</v>
      </c>
      <c r="BX33" s="340">
        <f>_xll.GetCtData("COAMOUNT","CONSAMOUNT",$J$4:$J$5,$J$7:$J$9,$D$7,BX$27:BX$28,$A23,"#")</f>
        <v>0</v>
      </c>
      <c r="BY33" s="340">
        <f>_xll.GetCtData("COAMOUNT","CONSAMOUNT",$J$4:$J$5,$J$7:$J$9,$D$7,BY$27:BY$28,$A23,"#")</f>
        <v>0</v>
      </c>
      <c r="BZ33" s="340">
        <f>_xll.GetCtData("COAMOUNT","CONSAMOUNT",$J$4:$J$5,$J$7:$J$9,$D$7,BZ$27:BZ$28,$A23,"#")</f>
        <v>0</v>
      </c>
      <c r="CA33" s="340">
        <f>_xll.GetCtData("COAMOUNT","CONSAMOUNT",$J$4:$J$5,$J$7:$J$9,$D$7,CA$27:CA$28,$A23,"#")</f>
        <v>0</v>
      </c>
      <c r="CB33" s="340">
        <f>_xll.GetCtData("COAMOUNT","CONSAMOUNT",$J$4:$J$5,$J$7:$J$9,$D$7,CB$27:CB$28,$A23,"#")</f>
        <v>0</v>
      </c>
      <c r="CC33" s="340">
        <f>_xll.GetCtData("COAMOUNT","CONSAMOUNT",$J$4:$J$5,$J$7:$J$9,$D$7,CC$27:CC$28,$A23,"#")</f>
        <v>0</v>
      </c>
      <c r="CD33" s="340">
        <f>_xll.GetCtData("COAMOUNT","CONSAMOUNT",$J$4:$J$5,$J$7:$J$9,$D$7,CD$27:CD$28,$A23,"#")</f>
        <v>0</v>
      </c>
      <c r="CE33" s="340">
        <f>_xll.GetCtData("COAMOUNT","CONSAMOUNT",$J$4:$J$5,$J$7:$J$9,$D$7,CE$27:CE$28,$A23,"#")</f>
        <v>0</v>
      </c>
      <c r="CF33" s="340">
        <f>_xll.GetCtData("COAMOUNT","CONSAMOUNT",$J$4:$J$5,$J$7:$J$9,$D$7,CF$27:CF$28,$A23,"#")</f>
        <v>0</v>
      </c>
      <c r="CG33" s="340">
        <f>_xll.GetCtData("COAMOUNT","CONSAMOUNT",$J$4:$J$5,$J$7:$J$9,$D$7,CG$27:CG$28,$A23,"#")</f>
        <v>0</v>
      </c>
      <c r="CH33" s="340">
        <f>_xll.GetCtData("COAMOUNT","CONSAMOUNT",$J$4:$J$5,$J$7:$J$9,$D$7,CH$27:CH$28,$A23,"#")</f>
        <v>0</v>
      </c>
      <c r="CI33" s="340">
        <f>_xll.GetCtData("COAMOUNT","CONSAMOUNT",$J$4:$J$5,$J$7:$J$9,$D$7,CI$27:CI$28,$A23,"#")</f>
        <v>0</v>
      </c>
      <c r="CJ33" s="340">
        <f>_xll.GetCtData("COAMOUNT","CONSAMOUNT",$J$4:$J$5,$J$7:$J$9,$D$7,CJ$27:CJ$28,$A23,"#")</f>
        <v>0</v>
      </c>
    </row>
    <row r="34" spans="10:92" ht="12.75" outlineLevel="1" thickBot="1">
      <c r="J34" s="386"/>
      <c r="K34" s="395">
        <f>SUM(K32:K33)</f>
        <v>3125</v>
      </c>
      <c r="L34" s="395">
        <f t="shared" ref="L34:BW34" si="6">SUM(L32:L33)</f>
        <v>0</v>
      </c>
      <c r="M34" s="395">
        <f t="shared" si="6"/>
        <v>646</v>
      </c>
      <c r="N34" s="395">
        <f t="shared" si="6"/>
        <v>5</v>
      </c>
      <c r="O34" s="395">
        <f t="shared" si="6"/>
        <v>29</v>
      </c>
      <c r="P34" s="395">
        <f t="shared" si="6"/>
        <v>522</v>
      </c>
      <c r="Q34" s="395">
        <f t="shared" si="6"/>
        <v>204</v>
      </c>
      <c r="R34" s="395">
        <f t="shared" si="6"/>
        <v>140</v>
      </c>
      <c r="S34" s="395">
        <f t="shared" si="6"/>
        <v>0</v>
      </c>
      <c r="T34" s="395">
        <f t="shared" si="6"/>
        <v>0</v>
      </c>
      <c r="U34" s="395">
        <f t="shared" si="6"/>
        <v>35</v>
      </c>
      <c r="V34" s="395">
        <f t="shared" si="6"/>
        <v>0</v>
      </c>
      <c r="W34" s="396">
        <f t="shared" si="6"/>
        <v>0</v>
      </c>
      <c r="X34" s="395">
        <f t="shared" si="6"/>
        <v>143</v>
      </c>
      <c r="Y34" s="395">
        <f t="shared" si="6"/>
        <v>0</v>
      </c>
      <c r="Z34" s="395">
        <f t="shared" si="6"/>
        <v>0</v>
      </c>
      <c r="AA34" s="396">
        <f t="shared" si="6"/>
        <v>0</v>
      </c>
      <c r="AB34" s="395">
        <f t="shared" si="6"/>
        <v>0</v>
      </c>
      <c r="AC34" s="396">
        <f t="shared" si="6"/>
        <v>0</v>
      </c>
      <c r="AD34" s="395">
        <f t="shared" si="6"/>
        <v>0</v>
      </c>
      <c r="AE34" s="395">
        <f t="shared" si="6"/>
        <v>0</v>
      </c>
      <c r="AF34" s="395">
        <f t="shared" si="6"/>
        <v>1</v>
      </c>
      <c r="AG34" s="395">
        <f t="shared" si="6"/>
        <v>0</v>
      </c>
      <c r="AH34" s="395">
        <f t="shared" si="6"/>
        <v>0</v>
      </c>
      <c r="AI34" s="395">
        <f t="shared" si="6"/>
        <v>0</v>
      </c>
      <c r="AJ34" s="395">
        <f t="shared" si="6"/>
        <v>0</v>
      </c>
      <c r="AK34" s="395">
        <f t="shared" si="6"/>
        <v>48</v>
      </c>
      <c r="AL34" s="395">
        <f t="shared" si="6"/>
        <v>0</v>
      </c>
      <c r="AM34" s="395">
        <f t="shared" si="6"/>
        <v>7</v>
      </c>
      <c r="AN34" s="395">
        <f t="shared" si="6"/>
        <v>111</v>
      </c>
      <c r="AO34" s="395">
        <f t="shared" si="6"/>
        <v>0</v>
      </c>
      <c r="AP34" s="395">
        <f t="shared" si="6"/>
        <v>131</v>
      </c>
      <c r="AQ34" s="396">
        <f t="shared" si="6"/>
        <v>0</v>
      </c>
      <c r="AR34" s="395">
        <f t="shared" si="6"/>
        <v>63</v>
      </c>
      <c r="AS34" s="395">
        <f t="shared" si="6"/>
        <v>0</v>
      </c>
      <c r="AT34" s="395">
        <f t="shared" si="6"/>
        <v>1</v>
      </c>
      <c r="AU34" s="396">
        <f t="shared" si="6"/>
        <v>0</v>
      </c>
      <c r="AV34" s="395">
        <f t="shared" si="6"/>
        <v>0</v>
      </c>
      <c r="AW34" s="395">
        <f t="shared" si="6"/>
        <v>1</v>
      </c>
      <c r="AX34" s="395">
        <f t="shared" si="6"/>
        <v>14</v>
      </c>
      <c r="AY34" s="395">
        <f t="shared" si="6"/>
        <v>0</v>
      </c>
      <c r="AZ34" s="395">
        <f t="shared" si="6"/>
        <v>164</v>
      </c>
      <c r="BA34" s="395">
        <f t="shared" si="6"/>
        <v>139</v>
      </c>
      <c r="BB34" s="395">
        <f t="shared" si="6"/>
        <v>0</v>
      </c>
      <c r="BC34" s="395">
        <f t="shared" si="6"/>
        <v>0</v>
      </c>
      <c r="BD34" s="395">
        <f t="shared" si="6"/>
        <v>2</v>
      </c>
      <c r="BE34" s="396">
        <f t="shared" si="6"/>
        <v>0</v>
      </c>
      <c r="BF34" s="396">
        <f t="shared" si="6"/>
        <v>0</v>
      </c>
      <c r="BG34" s="395">
        <f t="shared" si="6"/>
        <v>0</v>
      </c>
      <c r="BH34" s="395">
        <f t="shared" si="6"/>
        <v>0</v>
      </c>
      <c r="BI34" s="395">
        <f t="shared" si="6"/>
        <v>0</v>
      </c>
      <c r="BJ34" s="395">
        <f t="shared" si="6"/>
        <v>0</v>
      </c>
      <c r="BK34" s="395">
        <f t="shared" si="6"/>
        <v>0</v>
      </c>
      <c r="BL34" s="395">
        <f t="shared" si="6"/>
        <v>0</v>
      </c>
      <c r="BM34" s="395">
        <f t="shared" si="6"/>
        <v>0</v>
      </c>
      <c r="BN34" s="395">
        <f t="shared" si="6"/>
        <v>0</v>
      </c>
      <c r="BO34" s="395">
        <f t="shared" si="6"/>
        <v>0</v>
      </c>
      <c r="BP34" s="395">
        <f t="shared" si="6"/>
        <v>0</v>
      </c>
      <c r="BQ34" s="395">
        <f t="shared" si="6"/>
        <v>0</v>
      </c>
      <c r="BR34" s="395">
        <f t="shared" si="6"/>
        <v>0</v>
      </c>
      <c r="BS34" s="395">
        <f t="shared" si="6"/>
        <v>0</v>
      </c>
      <c r="BT34" s="395">
        <f t="shared" si="6"/>
        <v>0</v>
      </c>
      <c r="BU34" s="395">
        <f t="shared" si="6"/>
        <v>0</v>
      </c>
      <c r="BV34" s="395">
        <f t="shared" si="6"/>
        <v>0</v>
      </c>
      <c r="BW34" s="395">
        <f t="shared" si="6"/>
        <v>0</v>
      </c>
      <c r="BX34" s="395">
        <f t="shared" ref="BX34:CJ34" si="7">SUM(BX32:BX33)</f>
        <v>0</v>
      </c>
      <c r="BY34" s="395">
        <f t="shared" si="7"/>
        <v>0</v>
      </c>
      <c r="BZ34" s="395">
        <f t="shared" si="7"/>
        <v>0</v>
      </c>
      <c r="CA34" s="395">
        <f t="shared" si="7"/>
        <v>0</v>
      </c>
      <c r="CB34" s="395">
        <f t="shared" si="7"/>
        <v>0</v>
      </c>
      <c r="CC34" s="395">
        <f t="shared" si="7"/>
        <v>0</v>
      </c>
      <c r="CD34" s="395">
        <f t="shared" si="7"/>
        <v>0</v>
      </c>
      <c r="CE34" s="395">
        <f t="shared" si="7"/>
        <v>0</v>
      </c>
      <c r="CF34" s="395">
        <f t="shared" si="7"/>
        <v>0</v>
      </c>
      <c r="CG34" s="395">
        <f t="shared" si="7"/>
        <v>0</v>
      </c>
      <c r="CH34" s="395">
        <f t="shared" si="7"/>
        <v>0</v>
      </c>
      <c r="CI34" s="395">
        <f t="shared" si="7"/>
        <v>0</v>
      </c>
      <c r="CJ34" s="395">
        <f t="shared" si="7"/>
        <v>0</v>
      </c>
    </row>
    <row r="35" spans="10:92" outlineLevel="1"/>
    <row r="36" spans="10:92" outlineLevel="1">
      <c r="J36" s="206" t="s">
        <v>2490</v>
      </c>
      <c r="K36" s="335">
        <f>K22-K32</f>
        <v>0</v>
      </c>
      <c r="L36" s="335">
        <f t="shared" ref="L36:BW38" si="8">L22-L32</f>
        <v>0</v>
      </c>
      <c r="M36" s="335">
        <f>M22-M32</f>
        <v>-87</v>
      </c>
      <c r="N36" s="335">
        <f t="shared" si="8"/>
        <v>2</v>
      </c>
      <c r="O36" s="335">
        <f t="shared" si="8"/>
        <v>9</v>
      </c>
      <c r="P36" s="335">
        <f>P22-P32</f>
        <v>-3</v>
      </c>
      <c r="Q36" s="335">
        <f t="shared" si="8"/>
        <v>-72</v>
      </c>
      <c r="R36" s="335">
        <f t="shared" si="8"/>
        <v>3</v>
      </c>
      <c r="S36" s="335">
        <f t="shared" si="8"/>
        <v>0</v>
      </c>
      <c r="T36" s="335">
        <f t="shared" si="8"/>
        <v>0</v>
      </c>
      <c r="U36" s="335">
        <f t="shared" si="8"/>
        <v>0</v>
      </c>
      <c r="V36" s="335">
        <f t="shared" si="8"/>
        <v>0</v>
      </c>
      <c r="W36" s="335">
        <f t="shared" si="8"/>
        <v>0</v>
      </c>
      <c r="X36" s="335">
        <f t="shared" si="8"/>
        <v>-2</v>
      </c>
      <c r="Y36" s="335">
        <f t="shared" si="8"/>
        <v>0</v>
      </c>
      <c r="Z36" s="335">
        <f t="shared" si="8"/>
        <v>0</v>
      </c>
      <c r="AA36" s="335">
        <f t="shared" si="8"/>
        <v>0</v>
      </c>
      <c r="AB36" s="335">
        <f t="shared" si="8"/>
        <v>0</v>
      </c>
      <c r="AC36" s="335">
        <f t="shared" si="8"/>
        <v>0</v>
      </c>
      <c r="AD36" s="335">
        <f t="shared" si="8"/>
        <v>0</v>
      </c>
      <c r="AE36" s="335">
        <f t="shared" si="8"/>
        <v>0</v>
      </c>
      <c r="AF36" s="335">
        <f t="shared" si="8"/>
        <v>0</v>
      </c>
      <c r="AG36" s="335">
        <f t="shared" si="8"/>
        <v>0</v>
      </c>
      <c r="AH36" s="335">
        <f t="shared" si="8"/>
        <v>0</v>
      </c>
      <c r="AI36" s="335">
        <f t="shared" si="8"/>
        <v>0</v>
      </c>
      <c r="AJ36" s="335">
        <f t="shared" si="8"/>
        <v>0</v>
      </c>
      <c r="AK36" s="335">
        <f t="shared" si="8"/>
        <v>18</v>
      </c>
      <c r="AL36" s="335">
        <f t="shared" si="8"/>
        <v>0</v>
      </c>
      <c r="AM36" s="335">
        <f t="shared" si="8"/>
        <v>-2</v>
      </c>
      <c r="AN36" s="335">
        <f t="shared" si="8"/>
        <v>0</v>
      </c>
      <c r="AO36" s="335">
        <f t="shared" si="8"/>
        <v>0</v>
      </c>
      <c r="AP36" s="335">
        <f t="shared" si="8"/>
        <v>145</v>
      </c>
      <c r="AQ36" s="335">
        <f t="shared" si="8"/>
        <v>0</v>
      </c>
      <c r="AR36" s="335">
        <f t="shared" si="8"/>
        <v>36</v>
      </c>
      <c r="AS36" s="335">
        <f t="shared" si="8"/>
        <v>0</v>
      </c>
      <c r="AT36" s="335">
        <f t="shared" si="8"/>
        <v>0</v>
      </c>
      <c r="AU36" s="335">
        <f t="shared" si="8"/>
        <v>0</v>
      </c>
      <c r="AV36" s="335">
        <f t="shared" si="8"/>
        <v>0</v>
      </c>
      <c r="AW36" s="335">
        <f t="shared" si="8"/>
        <v>0</v>
      </c>
      <c r="AX36" s="335">
        <f t="shared" si="8"/>
        <v>0</v>
      </c>
      <c r="AY36" s="335">
        <f t="shared" si="8"/>
        <v>0</v>
      </c>
      <c r="AZ36" s="335">
        <f t="shared" si="8"/>
        <v>2</v>
      </c>
      <c r="BA36" s="335">
        <f t="shared" si="8"/>
        <v>0</v>
      </c>
      <c r="BB36" s="335">
        <f t="shared" si="8"/>
        <v>0</v>
      </c>
      <c r="BC36" s="335">
        <f t="shared" si="8"/>
        <v>0</v>
      </c>
      <c r="BD36" s="335">
        <f t="shared" si="8"/>
        <v>7</v>
      </c>
      <c r="BE36" s="335">
        <f t="shared" si="8"/>
        <v>0</v>
      </c>
      <c r="BF36" s="335">
        <f t="shared" si="8"/>
        <v>0</v>
      </c>
      <c r="BG36" s="335">
        <f t="shared" si="8"/>
        <v>1</v>
      </c>
      <c r="BH36" s="335">
        <f t="shared" si="8"/>
        <v>0</v>
      </c>
      <c r="BI36" s="335">
        <f t="shared" si="8"/>
        <v>0</v>
      </c>
      <c r="BJ36" s="335">
        <f t="shared" si="8"/>
        <v>0</v>
      </c>
      <c r="BK36" s="335">
        <f t="shared" si="8"/>
        <v>0</v>
      </c>
      <c r="BL36" s="335">
        <f t="shared" si="8"/>
        <v>0</v>
      </c>
      <c r="BM36" s="335">
        <f t="shared" si="8"/>
        <v>0</v>
      </c>
      <c r="BN36" s="335">
        <f t="shared" si="8"/>
        <v>0</v>
      </c>
      <c r="BO36" s="335">
        <f t="shared" si="8"/>
        <v>0</v>
      </c>
      <c r="BP36" s="335">
        <f t="shared" si="8"/>
        <v>0</v>
      </c>
      <c r="BQ36" s="335">
        <f t="shared" si="8"/>
        <v>0</v>
      </c>
      <c r="BR36" s="335">
        <f t="shared" si="8"/>
        <v>0</v>
      </c>
      <c r="BS36" s="335">
        <f t="shared" si="8"/>
        <v>0</v>
      </c>
      <c r="BT36" s="335">
        <f t="shared" si="8"/>
        <v>0</v>
      </c>
      <c r="BU36" s="335">
        <f t="shared" si="8"/>
        <v>0</v>
      </c>
      <c r="BV36" s="335">
        <f t="shared" si="8"/>
        <v>0</v>
      </c>
      <c r="BW36" s="335">
        <f t="shared" si="8"/>
        <v>0</v>
      </c>
      <c r="BX36" s="335">
        <f t="shared" ref="BX36:CJ38" si="9">BX22-BX32</f>
        <v>0</v>
      </c>
      <c r="BY36" s="335">
        <f t="shared" si="9"/>
        <v>0</v>
      </c>
      <c r="BZ36" s="335">
        <f t="shared" si="9"/>
        <v>0</v>
      </c>
      <c r="CA36" s="335">
        <f t="shared" si="9"/>
        <v>0</v>
      </c>
      <c r="CB36" s="335">
        <f t="shared" si="9"/>
        <v>0</v>
      </c>
      <c r="CC36" s="335">
        <f t="shared" si="9"/>
        <v>0</v>
      </c>
      <c r="CD36" s="335">
        <f t="shared" si="9"/>
        <v>0</v>
      </c>
      <c r="CE36" s="335">
        <f t="shared" si="9"/>
        <v>0</v>
      </c>
      <c r="CF36" s="335">
        <f t="shared" si="9"/>
        <v>0</v>
      </c>
      <c r="CG36" s="335">
        <f t="shared" si="9"/>
        <v>0</v>
      </c>
      <c r="CH36" s="335">
        <f t="shared" si="9"/>
        <v>0</v>
      </c>
      <c r="CI36" s="335">
        <f t="shared" si="9"/>
        <v>0</v>
      </c>
      <c r="CJ36" s="335">
        <f t="shared" si="9"/>
        <v>0</v>
      </c>
      <c r="CK36" s="335"/>
      <c r="CL36" s="335"/>
    </row>
    <row r="37" spans="10:92">
      <c r="J37" s="206" t="s">
        <v>2491</v>
      </c>
      <c r="K37" s="335">
        <f t="shared" ref="K37:Z38" si="10">K23-K33</f>
        <v>127</v>
      </c>
      <c r="L37" s="335">
        <f t="shared" si="10"/>
        <v>0</v>
      </c>
      <c r="M37" s="335">
        <f t="shared" si="10"/>
        <v>-61</v>
      </c>
      <c r="N37" s="335">
        <f t="shared" si="10"/>
        <v>-5</v>
      </c>
      <c r="O37" s="335">
        <f t="shared" si="10"/>
        <v>101</v>
      </c>
      <c r="P37" s="397">
        <f>P23-P33</f>
        <v>-33</v>
      </c>
      <c r="Q37" s="335">
        <f t="shared" si="10"/>
        <v>-132</v>
      </c>
      <c r="R37" s="335">
        <f t="shared" si="10"/>
        <v>144</v>
      </c>
      <c r="S37" s="335">
        <f t="shared" si="10"/>
        <v>0</v>
      </c>
      <c r="T37" s="335">
        <f t="shared" si="10"/>
        <v>0</v>
      </c>
      <c r="U37" s="335">
        <f t="shared" si="10"/>
        <v>-1</v>
      </c>
      <c r="V37" s="335">
        <f t="shared" si="10"/>
        <v>0</v>
      </c>
      <c r="W37" s="335">
        <f t="shared" si="10"/>
        <v>0</v>
      </c>
      <c r="X37" s="335">
        <f t="shared" si="10"/>
        <v>36</v>
      </c>
      <c r="Y37" s="335">
        <f t="shared" si="10"/>
        <v>0</v>
      </c>
      <c r="Z37" s="335">
        <f t="shared" si="10"/>
        <v>0</v>
      </c>
      <c r="AA37" s="335">
        <f t="shared" si="8"/>
        <v>0</v>
      </c>
      <c r="AB37" s="335">
        <f t="shared" si="8"/>
        <v>0</v>
      </c>
      <c r="AC37" s="335">
        <f t="shared" si="8"/>
        <v>0</v>
      </c>
      <c r="AD37" s="335">
        <f t="shared" si="8"/>
        <v>0</v>
      </c>
      <c r="AE37" s="335">
        <f t="shared" si="8"/>
        <v>0</v>
      </c>
      <c r="AF37" s="335">
        <f t="shared" si="8"/>
        <v>0</v>
      </c>
      <c r="AG37" s="335">
        <f t="shared" si="8"/>
        <v>0</v>
      </c>
      <c r="AH37" s="335">
        <f t="shared" si="8"/>
        <v>0</v>
      </c>
      <c r="AI37" s="335">
        <f t="shared" si="8"/>
        <v>0</v>
      </c>
      <c r="AJ37" s="335">
        <f t="shared" si="8"/>
        <v>0</v>
      </c>
      <c r="AK37" s="335">
        <f t="shared" si="8"/>
        <v>-17</v>
      </c>
      <c r="AL37" s="335">
        <f t="shared" si="8"/>
        <v>0</v>
      </c>
      <c r="AM37" s="335">
        <f t="shared" si="8"/>
        <v>-1</v>
      </c>
      <c r="AN37" s="335">
        <f t="shared" si="8"/>
        <v>0</v>
      </c>
      <c r="AO37" s="335">
        <f t="shared" si="8"/>
        <v>0</v>
      </c>
      <c r="AP37" s="335">
        <f t="shared" si="8"/>
        <v>10</v>
      </c>
      <c r="AQ37" s="335">
        <f t="shared" si="8"/>
        <v>0</v>
      </c>
      <c r="AR37" s="335">
        <f t="shared" si="8"/>
        <v>-42</v>
      </c>
      <c r="AS37" s="335">
        <f t="shared" si="8"/>
        <v>0</v>
      </c>
      <c r="AT37" s="335">
        <f t="shared" si="8"/>
        <v>0</v>
      </c>
      <c r="AU37" s="335">
        <f t="shared" si="8"/>
        <v>0</v>
      </c>
      <c r="AV37" s="335">
        <f t="shared" si="8"/>
        <v>0</v>
      </c>
      <c r="AW37" s="335">
        <f t="shared" si="8"/>
        <v>0</v>
      </c>
      <c r="AX37" s="335">
        <f t="shared" si="8"/>
        <v>0</v>
      </c>
      <c r="AY37" s="335">
        <f t="shared" si="8"/>
        <v>0</v>
      </c>
      <c r="AZ37" s="335">
        <f t="shared" si="8"/>
        <v>7</v>
      </c>
      <c r="BA37" s="397">
        <f t="shared" si="8"/>
        <v>13</v>
      </c>
      <c r="BB37" s="335">
        <f t="shared" si="8"/>
        <v>0</v>
      </c>
      <c r="BC37" s="335">
        <f t="shared" si="8"/>
        <v>0</v>
      </c>
      <c r="BD37" s="335">
        <f t="shared" si="8"/>
        <v>11</v>
      </c>
      <c r="BE37" s="335">
        <f t="shared" si="8"/>
        <v>0</v>
      </c>
      <c r="BF37" s="335">
        <f t="shared" si="8"/>
        <v>0</v>
      </c>
      <c r="BG37" s="335">
        <f t="shared" si="8"/>
        <v>0</v>
      </c>
      <c r="BH37" s="335">
        <f t="shared" si="8"/>
        <v>0</v>
      </c>
      <c r="BI37" s="335">
        <f t="shared" si="8"/>
        <v>0</v>
      </c>
      <c r="BJ37" s="335">
        <f t="shared" si="8"/>
        <v>0</v>
      </c>
      <c r="BK37" s="335">
        <f t="shared" si="8"/>
        <v>0</v>
      </c>
      <c r="BL37" s="335">
        <f t="shared" si="8"/>
        <v>0</v>
      </c>
      <c r="BM37" s="335">
        <f t="shared" si="8"/>
        <v>0</v>
      </c>
      <c r="BN37" s="335">
        <f t="shared" si="8"/>
        <v>0</v>
      </c>
      <c r="BO37" s="335">
        <f t="shared" si="8"/>
        <v>0</v>
      </c>
      <c r="BP37" s="335">
        <f t="shared" si="8"/>
        <v>0</v>
      </c>
      <c r="BQ37" s="335">
        <f t="shared" si="8"/>
        <v>0</v>
      </c>
      <c r="BR37" s="335">
        <f t="shared" si="8"/>
        <v>0</v>
      </c>
      <c r="BS37" s="335">
        <f t="shared" si="8"/>
        <v>0</v>
      </c>
      <c r="BT37" s="335">
        <f t="shared" si="8"/>
        <v>0</v>
      </c>
      <c r="BU37" s="335">
        <f t="shared" si="8"/>
        <v>0</v>
      </c>
      <c r="BV37" s="335">
        <f t="shared" si="8"/>
        <v>0</v>
      </c>
      <c r="BW37" s="335">
        <f t="shared" si="8"/>
        <v>0</v>
      </c>
      <c r="BX37" s="335">
        <f t="shared" si="9"/>
        <v>0</v>
      </c>
      <c r="BY37" s="335">
        <f t="shared" si="9"/>
        <v>0</v>
      </c>
      <c r="BZ37" s="335">
        <f t="shared" si="9"/>
        <v>0</v>
      </c>
      <c r="CA37" s="335">
        <f t="shared" si="9"/>
        <v>0</v>
      </c>
      <c r="CB37" s="335">
        <f t="shared" si="9"/>
        <v>0</v>
      </c>
      <c r="CC37" s="335">
        <f t="shared" si="9"/>
        <v>0</v>
      </c>
      <c r="CD37" s="335">
        <f t="shared" si="9"/>
        <v>0</v>
      </c>
      <c r="CE37" s="335">
        <f t="shared" si="9"/>
        <v>0</v>
      </c>
      <c r="CF37" s="335">
        <f t="shared" si="9"/>
        <v>0</v>
      </c>
      <c r="CG37" s="335">
        <f t="shared" si="9"/>
        <v>0</v>
      </c>
      <c r="CH37" s="335">
        <f t="shared" si="9"/>
        <v>0</v>
      </c>
      <c r="CI37" s="335">
        <f t="shared" si="9"/>
        <v>0</v>
      </c>
      <c r="CJ37" s="335">
        <f t="shared" si="9"/>
        <v>0</v>
      </c>
      <c r="CK37" s="335"/>
      <c r="CL37" s="335"/>
    </row>
    <row r="38" spans="10:92">
      <c r="K38" s="335">
        <f t="shared" si="10"/>
        <v>127</v>
      </c>
      <c r="L38" s="335">
        <f t="shared" si="10"/>
        <v>0</v>
      </c>
      <c r="M38" s="335">
        <f t="shared" si="10"/>
        <v>-148</v>
      </c>
      <c r="N38" s="335">
        <f t="shared" si="10"/>
        <v>-3</v>
      </c>
      <c r="O38" s="335">
        <f t="shared" si="10"/>
        <v>110</v>
      </c>
      <c r="P38" s="335">
        <f t="shared" si="10"/>
        <v>-36</v>
      </c>
      <c r="Q38" s="335">
        <f t="shared" si="10"/>
        <v>-204</v>
      </c>
      <c r="R38" s="335">
        <f t="shared" si="10"/>
        <v>147</v>
      </c>
      <c r="S38" s="335">
        <f t="shared" si="10"/>
        <v>0</v>
      </c>
      <c r="T38" s="335">
        <f t="shared" si="10"/>
        <v>0</v>
      </c>
      <c r="U38" s="335">
        <f t="shared" si="10"/>
        <v>-1</v>
      </c>
      <c r="V38" s="335">
        <f t="shared" si="10"/>
        <v>0</v>
      </c>
      <c r="W38" s="335">
        <f t="shared" si="10"/>
        <v>0</v>
      </c>
      <c r="X38" s="335">
        <f t="shared" si="10"/>
        <v>34</v>
      </c>
      <c r="Y38" s="335">
        <f t="shared" si="10"/>
        <v>0</v>
      </c>
      <c r="Z38" s="335">
        <f t="shared" si="10"/>
        <v>0</v>
      </c>
      <c r="AA38" s="335">
        <f t="shared" si="8"/>
        <v>0</v>
      </c>
      <c r="AB38" s="335">
        <f t="shared" si="8"/>
        <v>0</v>
      </c>
      <c r="AC38" s="335">
        <f t="shared" si="8"/>
        <v>0</v>
      </c>
      <c r="AD38" s="335">
        <f t="shared" si="8"/>
        <v>0</v>
      </c>
      <c r="AE38" s="335">
        <f t="shared" si="8"/>
        <v>0</v>
      </c>
      <c r="AF38" s="335">
        <f t="shared" si="8"/>
        <v>0</v>
      </c>
      <c r="AG38" s="335">
        <f t="shared" si="8"/>
        <v>0</v>
      </c>
      <c r="AH38" s="335">
        <f t="shared" si="8"/>
        <v>0</v>
      </c>
      <c r="AI38" s="335">
        <f t="shared" si="8"/>
        <v>0</v>
      </c>
      <c r="AJ38" s="335">
        <f t="shared" si="8"/>
        <v>0</v>
      </c>
      <c r="AK38" s="335">
        <f t="shared" si="8"/>
        <v>1</v>
      </c>
      <c r="AL38" s="335">
        <f t="shared" si="8"/>
        <v>0</v>
      </c>
      <c r="AM38" s="335">
        <f t="shared" si="8"/>
        <v>-3</v>
      </c>
      <c r="AN38" s="335">
        <f t="shared" si="8"/>
        <v>0</v>
      </c>
      <c r="AO38" s="335">
        <f t="shared" si="8"/>
        <v>0</v>
      </c>
      <c r="AP38" s="335">
        <f t="shared" si="8"/>
        <v>155</v>
      </c>
      <c r="AQ38" s="335">
        <f t="shared" si="8"/>
        <v>0</v>
      </c>
      <c r="AR38" s="335">
        <f t="shared" si="8"/>
        <v>-6</v>
      </c>
      <c r="AS38" s="335">
        <f t="shared" si="8"/>
        <v>0</v>
      </c>
      <c r="AT38" s="335">
        <f t="shared" si="8"/>
        <v>0</v>
      </c>
      <c r="AU38" s="335">
        <f t="shared" si="8"/>
        <v>0</v>
      </c>
      <c r="AV38" s="335">
        <f t="shared" si="8"/>
        <v>0</v>
      </c>
      <c r="AW38" s="335">
        <f t="shared" si="8"/>
        <v>0</v>
      </c>
      <c r="AX38" s="335">
        <f t="shared" si="8"/>
        <v>0</v>
      </c>
      <c r="AY38" s="335">
        <f t="shared" si="8"/>
        <v>0</v>
      </c>
      <c r="AZ38" s="335">
        <f t="shared" si="8"/>
        <v>9</v>
      </c>
      <c r="BA38" s="335">
        <f t="shared" si="8"/>
        <v>13</v>
      </c>
      <c r="BB38" s="335">
        <f t="shared" si="8"/>
        <v>0</v>
      </c>
      <c r="BC38" s="335">
        <f t="shared" si="8"/>
        <v>0</v>
      </c>
      <c r="BD38" s="335">
        <f t="shared" si="8"/>
        <v>18</v>
      </c>
      <c r="BE38" s="335">
        <f t="shared" si="8"/>
        <v>0</v>
      </c>
      <c r="BF38" s="335">
        <f t="shared" si="8"/>
        <v>0</v>
      </c>
      <c r="BG38" s="335">
        <f t="shared" si="8"/>
        <v>1</v>
      </c>
      <c r="BH38" s="335">
        <f t="shared" si="8"/>
        <v>0</v>
      </c>
      <c r="BI38" s="335">
        <f t="shared" si="8"/>
        <v>0</v>
      </c>
      <c r="BJ38" s="335">
        <f t="shared" si="8"/>
        <v>0</v>
      </c>
      <c r="BK38" s="335">
        <f t="shared" si="8"/>
        <v>0</v>
      </c>
      <c r="BL38" s="335">
        <f t="shared" si="8"/>
        <v>0</v>
      </c>
      <c r="BM38" s="335">
        <f t="shared" si="8"/>
        <v>0</v>
      </c>
      <c r="BN38" s="335">
        <f t="shared" si="8"/>
        <v>0</v>
      </c>
      <c r="BO38" s="335">
        <f t="shared" si="8"/>
        <v>0</v>
      </c>
      <c r="BP38" s="335">
        <f t="shared" si="8"/>
        <v>0</v>
      </c>
      <c r="BQ38" s="335">
        <f t="shared" si="8"/>
        <v>0</v>
      </c>
      <c r="BR38" s="335">
        <f t="shared" si="8"/>
        <v>0</v>
      </c>
      <c r="BS38" s="335">
        <f t="shared" si="8"/>
        <v>0</v>
      </c>
      <c r="BT38" s="335">
        <f t="shared" si="8"/>
        <v>0</v>
      </c>
      <c r="BU38" s="335">
        <f t="shared" si="8"/>
        <v>0</v>
      </c>
      <c r="BV38" s="335">
        <f t="shared" si="8"/>
        <v>0</v>
      </c>
      <c r="BW38" s="335">
        <f t="shared" si="8"/>
        <v>0</v>
      </c>
      <c r="BX38" s="335">
        <f t="shared" si="9"/>
        <v>0</v>
      </c>
      <c r="BY38" s="335">
        <f t="shared" si="9"/>
        <v>0</v>
      </c>
      <c r="BZ38" s="335">
        <f t="shared" si="9"/>
        <v>0</v>
      </c>
      <c r="CA38" s="335">
        <f t="shared" si="9"/>
        <v>0</v>
      </c>
      <c r="CB38" s="335">
        <f t="shared" si="9"/>
        <v>0</v>
      </c>
      <c r="CC38" s="335">
        <f t="shared" si="9"/>
        <v>0</v>
      </c>
      <c r="CD38" s="335">
        <f t="shared" si="9"/>
        <v>0</v>
      </c>
      <c r="CE38" s="335">
        <f t="shared" si="9"/>
        <v>0</v>
      </c>
      <c r="CF38" s="335">
        <f t="shared" si="9"/>
        <v>0</v>
      </c>
      <c r="CG38" s="335">
        <f t="shared" si="9"/>
        <v>0</v>
      </c>
      <c r="CH38" s="335">
        <f t="shared" si="9"/>
        <v>0</v>
      </c>
      <c r="CI38" s="335">
        <f t="shared" si="9"/>
        <v>0</v>
      </c>
      <c r="CJ38" s="335">
        <f t="shared" si="9"/>
        <v>0</v>
      </c>
      <c r="CK38" s="335"/>
      <c r="CL38" s="335"/>
    </row>
    <row r="40" spans="10:92">
      <c r="K40" s="398">
        <f>K36/K34</f>
        <v>0</v>
      </c>
      <c r="L40" s="398" t="e">
        <f t="shared" ref="L40:BW40" si="11">L36/L34</f>
        <v>#DIV/0!</v>
      </c>
      <c r="M40" s="398">
        <f t="shared" si="11"/>
        <v>-0.1346749226006192</v>
      </c>
      <c r="N40" s="398">
        <f t="shared" si="11"/>
        <v>0.4</v>
      </c>
      <c r="O40" s="398">
        <f t="shared" si="11"/>
        <v>0.31034482758620691</v>
      </c>
      <c r="P40" s="398">
        <f>P36/P34</f>
        <v>-5.7471264367816091E-3</v>
      </c>
      <c r="Q40" s="398">
        <f t="shared" si="11"/>
        <v>-0.35294117647058826</v>
      </c>
      <c r="R40" s="398">
        <f t="shared" si="11"/>
        <v>2.1428571428571429E-2</v>
      </c>
      <c r="S40" s="398" t="e">
        <f t="shared" si="11"/>
        <v>#DIV/0!</v>
      </c>
      <c r="T40" s="398" t="e">
        <f t="shared" si="11"/>
        <v>#DIV/0!</v>
      </c>
      <c r="U40" s="398">
        <f t="shared" si="11"/>
        <v>0</v>
      </c>
      <c r="V40" s="398" t="e">
        <f t="shared" si="11"/>
        <v>#DIV/0!</v>
      </c>
      <c r="W40" s="398" t="e">
        <f t="shared" si="11"/>
        <v>#DIV/0!</v>
      </c>
      <c r="X40" s="398">
        <f t="shared" si="11"/>
        <v>-1.3986013986013986E-2</v>
      </c>
      <c r="Y40" s="398" t="e">
        <f t="shared" si="11"/>
        <v>#DIV/0!</v>
      </c>
      <c r="Z40" s="398" t="e">
        <f t="shared" si="11"/>
        <v>#DIV/0!</v>
      </c>
      <c r="AA40" s="398" t="e">
        <f t="shared" si="11"/>
        <v>#DIV/0!</v>
      </c>
      <c r="AB40" s="398" t="e">
        <f t="shared" si="11"/>
        <v>#DIV/0!</v>
      </c>
      <c r="AC40" s="398" t="e">
        <f t="shared" si="11"/>
        <v>#DIV/0!</v>
      </c>
      <c r="AD40" s="398" t="e">
        <f t="shared" si="11"/>
        <v>#DIV/0!</v>
      </c>
      <c r="AE40" s="398" t="e">
        <f t="shared" si="11"/>
        <v>#DIV/0!</v>
      </c>
      <c r="AF40" s="398">
        <f t="shared" si="11"/>
        <v>0</v>
      </c>
      <c r="AG40" s="398" t="e">
        <f t="shared" si="11"/>
        <v>#DIV/0!</v>
      </c>
      <c r="AH40" s="398" t="e">
        <f t="shared" si="11"/>
        <v>#DIV/0!</v>
      </c>
      <c r="AI40" s="398" t="e">
        <f>AI36/AI34</f>
        <v>#DIV/0!</v>
      </c>
      <c r="AJ40" s="398" t="e">
        <f t="shared" si="11"/>
        <v>#DIV/0!</v>
      </c>
      <c r="AK40" s="398">
        <f t="shared" si="11"/>
        <v>0.375</v>
      </c>
      <c r="AL40" s="398" t="e">
        <f t="shared" si="11"/>
        <v>#DIV/0!</v>
      </c>
      <c r="AM40" s="398">
        <f t="shared" si="11"/>
        <v>-0.2857142857142857</v>
      </c>
      <c r="AN40" s="398">
        <f t="shared" si="11"/>
        <v>0</v>
      </c>
      <c r="AO40" s="398" t="e">
        <f t="shared" si="11"/>
        <v>#DIV/0!</v>
      </c>
      <c r="AP40" s="398">
        <f t="shared" si="11"/>
        <v>1.1068702290076335</v>
      </c>
      <c r="AQ40" s="398" t="e">
        <f t="shared" si="11"/>
        <v>#DIV/0!</v>
      </c>
      <c r="AR40" s="398">
        <f t="shared" si="11"/>
        <v>0.5714285714285714</v>
      </c>
      <c r="AS40" s="398" t="e">
        <f t="shared" si="11"/>
        <v>#DIV/0!</v>
      </c>
      <c r="AT40" s="398">
        <f t="shared" si="11"/>
        <v>0</v>
      </c>
      <c r="AU40" s="398" t="e">
        <f t="shared" si="11"/>
        <v>#DIV/0!</v>
      </c>
      <c r="AV40" s="398" t="e">
        <f t="shared" si="11"/>
        <v>#DIV/0!</v>
      </c>
      <c r="AW40" s="398">
        <f t="shared" si="11"/>
        <v>0</v>
      </c>
      <c r="AX40" s="398">
        <f t="shared" si="11"/>
        <v>0</v>
      </c>
      <c r="AY40" s="398" t="e">
        <f t="shared" si="11"/>
        <v>#DIV/0!</v>
      </c>
      <c r="AZ40" s="398">
        <f t="shared" si="11"/>
        <v>1.2195121951219513E-2</v>
      </c>
      <c r="BA40" s="398">
        <f t="shared" si="11"/>
        <v>0</v>
      </c>
      <c r="BB40" s="398" t="e">
        <f t="shared" si="11"/>
        <v>#DIV/0!</v>
      </c>
      <c r="BC40" s="398" t="e">
        <f t="shared" si="11"/>
        <v>#DIV/0!</v>
      </c>
      <c r="BD40" s="398">
        <f t="shared" si="11"/>
        <v>3.5</v>
      </c>
      <c r="BE40" s="398" t="e">
        <f t="shared" si="11"/>
        <v>#DIV/0!</v>
      </c>
      <c r="BF40" s="398" t="e">
        <f t="shared" si="11"/>
        <v>#DIV/0!</v>
      </c>
      <c r="BG40" s="398" t="e">
        <f t="shared" si="11"/>
        <v>#DIV/0!</v>
      </c>
      <c r="BH40" s="398" t="e">
        <f t="shared" si="11"/>
        <v>#DIV/0!</v>
      </c>
      <c r="BI40" s="398" t="e">
        <f t="shared" si="11"/>
        <v>#DIV/0!</v>
      </c>
      <c r="BJ40" s="398" t="e">
        <f t="shared" si="11"/>
        <v>#DIV/0!</v>
      </c>
      <c r="BK40" s="398" t="e">
        <f t="shared" si="11"/>
        <v>#DIV/0!</v>
      </c>
      <c r="BL40" s="398" t="e">
        <f t="shared" si="11"/>
        <v>#DIV/0!</v>
      </c>
      <c r="BM40" s="398" t="e">
        <f t="shared" si="11"/>
        <v>#DIV/0!</v>
      </c>
      <c r="BN40" s="398" t="e">
        <f t="shared" si="11"/>
        <v>#DIV/0!</v>
      </c>
      <c r="BO40" s="398" t="e">
        <f t="shared" si="11"/>
        <v>#DIV/0!</v>
      </c>
      <c r="BP40" s="398" t="e">
        <f t="shared" si="11"/>
        <v>#DIV/0!</v>
      </c>
      <c r="BQ40" s="398" t="e">
        <f t="shared" si="11"/>
        <v>#DIV/0!</v>
      </c>
      <c r="BR40" s="398" t="e">
        <f t="shared" si="11"/>
        <v>#DIV/0!</v>
      </c>
      <c r="BS40" s="398" t="e">
        <f t="shared" si="11"/>
        <v>#DIV/0!</v>
      </c>
      <c r="BT40" s="398" t="e">
        <f t="shared" si="11"/>
        <v>#DIV/0!</v>
      </c>
      <c r="BU40" s="398" t="e">
        <f t="shared" si="11"/>
        <v>#DIV/0!</v>
      </c>
      <c r="BV40" s="398" t="e">
        <f t="shared" si="11"/>
        <v>#DIV/0!</v>
      </c>
      <c r="BW40" s="398" t="e">
        <f t="shared" si="11"/>
        <v>#DIV/0!</v>
      </c>
      <c r="BX40" s="398" t="e">
        <f>BX36/BX34</f>
        <v>#DIV/0!</v>
      </c>
      <c r="BY40" s="398" t="e">
        <f t="shared" ref="BY40:CJ40" si="12">BY36/BY34</f>
        <v>#DIV/0!</v>
      </c>
      <c r="BZ40" s="398" t="e">
        <f t="shared" si="12"/>
        <v>#DIV/0!</v>
      </c>
      <c r="CA40" s="398" t="e">
        <f t="shared" si="12"/>
        <v>#DIV/0!</v>
      </c>
      <c r="CB40" s="398" t="e">
        <f t="shared" si="12"/>
        <v>#DIV/0!</v>
      </c>
      <c r="CC40" s="398" t="e">
        <f t="shared" si="12"/>
        <v>#DIV/0!</v>
      </c>
      <c r="CD40" s="398" t="e">
        <f t="shared" si="12"/>
        <v>#DIV/0!</v>
      </c>
      <c r="CE40" s="398" t="e">
        <f t="shared" si="12"/>
        <v>#DIV/0!</v>
      </c>
      <c r="CF40" s="398" t="e">
        <f t="shared" si="12"/>
        <v>#DIV/0!</v>
      </c>
      <c r="CG40" s="398" t="e">
        <f t="shared" si="12"/>
        <v>#DIV/0!</v>
      </c>
      <c r="CH40" s="398" t="e">
        <f t="shared" si="12"/>
        <v>#DIV/0!</v>
      </c>
      <c r="CI40" s="398" t="e">
        <f t="shared" si="12"/>
        <v>#DIV/0!</v>
      </c>
      <c r="CJ40" s="398" t="e">
        <f t="shared" si="12"/>
        <v>#DIV/0!</v>
      </c>
    </row>
    <row r="42" spans="10:92">
      <c r="Z42" s="1150" t="s">
        <v>12600</v>
      </c>
      <c r="AA42" s="1150" t="s">
        <v>78</v>
      </c>
      <c r="AY42" s="1150" t="s">
        <v>78</v>
      </c>
      <c r="BB42" s="1150" t="s">
        <v>78</v>
      </c>
      <c r="BC42" s="1150" t="s">
        <v>78</v>
      </c>
      <c r="BH42" s="1150" t="s">
        <v>78</v>
      </c>
      <c r="BQ42" s="1150" t="s">
        <v>78</v>
      </c>
      <c r="BS42" s="1150" t="s">
        <v>12600</v>
      </c>
    </row>
    <row r="43" spans="10:92">
      <c r="K43" s="1148" t="e">
        <f>+$J$6</f>
        <v>#REF!</v>
      </c>
      <c r="L43" s="1148" t="e">
        <f t="shared" ref="L43:BW43" si="13">+$J$6</f>
        <v>#REF!</v>
      </c>
      <c r="M43" s="1148" t="e">
        <f t="shared" si="13"/>
        <v>#REF!</v>
      </c>
      <c r="N43" s="1148" t="e">
        <f t="shared" si="13"/>
        <v>#REF!</v>
      </c>
      <c r="O43" s="1148" t="e">
        <f t="shared" si="13"/>
        <v>#REF!</v>
      </c>
      <c r="P43" s="1148" t="e">
        <f t="shared" si="13"/>
        <v>#REF!</v>
      </c>
      <c r="Q43" s="1148" t="e">
        <f t="shared" si="13"/>
        <v>#REF!</v>
      </c>
      <c r="R43" s="1148" t="e">
        <f t="shared" si="13"/>
        <v>#REF!</v>
      </c>
      <c r="S43" s="1148" t="e">
        <f t="shared" si="13"/>
        <v>#REF!</v>
      </c>
      <c r="T43" s="1148" t="e">
        <f t="shared" si="13"/>
        <v>#REF!</v>
      </c>
      <c r="U43" s="1148" t="e">
        <f t="shared" si="13"/>
        <v>#REF!</v>
      </c>
      <c r="V43" s="1148" t="e">
        <f t="shared" si="13"/>
        <v>#REF!</v>
      </c>
      <c r="W43" s="1148" t="e">
        <f t="shared" si="13"/>
        <v>#REF!</v>
      </c>
      <c r="X43" s="1148" t="e">
        <f t="shared" si="13"/>
        <v>#REF!</v>
      </c>
      <c r="Y43" s="1148" t="e">
        <f t="shared" si="13"/>
        <v>#REF!</v>
      </c>
      <c r="Z43" s="1148" t="e">
        <f t="shared" si="13"/>
        <v>#REF!</v>
      </c>
      <c r="AA43" s="1148" t="e">
        <f t="shared" si="13"/>
        <v>#REF!</v>
      </c>
      <c r="AB43" s="1148" t="e">
        <f t="shared" si="13"/>
        <v>#REF!</v>
      </c>
      <c r="AC43" s="1148" t="e">
        <f t="shared" si="13"/>
        <v>#REF!</v>
      </c>
      <c r="AD43" s="1148" t="e">
        <f t="shared" si="13"/>
        <v>#REF!</v>
      </c>
      <c r="AE43" s="1148" t="e">
        <f t="shared" si="13"/>
        <v>#REF!</v>
      </c>
      <c r="AF43" s="1148" t="e">
        <f t="shared" si="13"/>
        <v>#REF!</v>
      </c>
      <c r="AG43" s="1148" t="e">
        <f t="shared" si="13"/>
        <v>#REF!</v>
      </c>
      <c r="AH43" s="1148" t="e">
        <f t="shared" si="13"/>
        <v>#REF!</v>
      </c>
      <c r="AI43" s="1148" t="e">
        <f t="shared" si="13"/>
        <v>#REF!</v>
      </c>
      <c r="AJ43" s="1148" t="e">
        <f t="shared" si="13"/>
        <v>#REF!</v>
      </c>
      <c r="AK43" s="1148" t="e">
        <f t="shared" si="13"/>
        <v>#REF!</v>
      </c>
      <c r="AL43" s="1148" t="e">
        <f t="shared" si="13"/>
        <v>#REF!</v>
      </c>
      <c r="AM43" s="1148" t="e">
        <f t="shared" si="13"/>
        <v>#REF!</v>
      </c>
      <c r="AN43" s="1148" t="e">
        <f t="shared" si="13"/>
        <v>#REF!</v>
      </c>
      <c r="AO43" s="1148" t="e">
        <f t="shared" si="13"/>
        <v>#REF!</v>
      </c>
      <c r="AP43" s="1148" t="e">
        <f t="shared" si="13"/>
        <v>#REF!</v>
      </c>
      <c r="AQ43" s="1148" t="e">
        <f t="shared" si="13"/>
        <v>#REF!</v>
      </c>
      <c r="AR43" s="1148" t="e">
        <f t="shared" si="13"/>
        <v>#REF!</v>
      </c>
      <c r="AS43" s="1148" t="e">
        <f t="shared" si="13"/>
        <v>#REF!</v>
      </c>
      <c r="AT43" s="1148" t="e">
        <f t="shared" si="13"/>
        <v>#REF!</v>
      </c>
      <c r="AU43" s="1148" t="e">
        <f t="shared" si="13"/>
        <v>#REF!</v>
      </c>
      <c r="AV43" s="1148" t="e">
        <f t="shared" si="13"/>
        <v>#REF!</v>
      </c>
      <c r="AW43" s="1148" t="e">
        <f t="shared" si="13"/>
        <v>#REF!</v>
      </c>
      <c r="AX43" s="1148" t="e">
        <f t="shared" si="13"/>
        <v>#REF!</v>
      </c>
      <c r="AY43" s="1148" t="e">
        <f t="shared" si="13"/>
        <v>#REF!</v>
      </c>
      <c r="AZ43" s="1148" t="e">
        <f t="shared" si="13"/>
        <v>#REF!</v>
      </c>
      <c r="BA43" s="1148" t="e">
        <f t="shared" si="13"/>
        <v>#REF!</v>
      </c>
      <c r="BB43" s="1148" t="e">
        <f t="shared" si="13"/>
        <v>#REF!</v>
      </c>
      <c r="BC43" s="1148" t="e">
        <f t="shared" si="13"/>
        <v>#REF!</v>
      </c>
      <c r="BD43" s="1148" t="e">
        <f t="shared" si="13"/>
        <v>#REF!</v>
      </c>
      <c r="BE43" s="1148" t="e">
        <f t="shared" si="13"/>
        <v>#REF!</v>
      </c>
      <c r="BF43" s="1148" t="e">
        <f t="shared" si="13"/>
        <v>#REF!</v>
      </c>
      <c r="BG43" s="1148" t="e">
        <f t="shared" si="13"/>
        <v>#REF!</v>
      </c>
      <c r="BH43" s="1148" t="e">
        <f t="shared" si="13"/>
        <v>#REF!</v>
      </c>
      <c r="BI43" s="1148" t="e">
        <f t="shared" si="13"/>
        <v>#REF!</v>
      </c>
      <c r="BJ43" s="1148" t="e">
        <f t="shared" si="13"/>
        <v>#REF!</v>
      </c>
      <c r="BK43" s="1148" t="e">
        <f t="shared" si="13"/>
        <v>#REF!</v>
      </c>
      <c r="BL43" s="1148" t="e">
        <f t="shared" si="13"/>
        <v>#REF!</v>
      </c>
      <c r="BM43" s="1148" t="e">
        <f t="shared" si="13"/>
        <v>#REF!</v>
      </c>
      <c r="BN43" s="1148" t="e">
        <f t="shared" si="13"/>
        <v>#REF!</v>
      </c>
      <c r="BO43" s="1148" t="e">
        <f t="shared" si="13"/>
        <v>#REF!</v>
      </c>
      <c r="BP43" s="1148" t="e">
        <f t="shared" si="13"/>
        <v>#REF!</v>
      </c>
      <c r="BQ43" s="1148" t="e">
        <f t="shared" si="13"/>
        <v>#REF!</v>
      </c>
      <c r="BR43" s="1148" t="e">
        <f t="shared" si="13"/>
        <v>#REF!</v>
      </c>
      <c r="BS43" s="1148" t="e">
        <f t="shared" si="13"/>
        <v>#REF!</v>
      </c>
      <c r="BT43" s="1148" t="e">
        <f t="shared" si="13"/>
        <v>#REF!</v>
      </c>
      <c r="BU43" s="1148" t="e">
        <f t="shared" si="13"/>
        <v>#REF!</v>
      </c>
      <c r="BV43" s="1148" t="e">
        <f t="shared" si="13"/>
        <v>#REF!</v>
      </c>
      <c r="BW43" s="1148" t="e">
        <f t="shared" si="13"/>
        <v>#REF!</v>
      </c>
      <c r="BX43" s="1148" t="e">
        <f t="shared" ref="BX43:CM43" si="14">+$J$6</f>
        <v>#REF!</v>
      </c>
      <c r="BY43" s="1148" t="e">
        <f t="shared" si="14"/>
        <v>#REF!</v>
      </c>
      <c r="BZ43" s="1148" t="e">
        <f t="shared" si="14"/>
        <v>#REF!</v>
      </c>
      <c r="CA43" s="1148" t="e">
        <f t="shared" si="14"/>
        <v>#REF!</v>
      </c>
      <c r="CB43" s="1148" t="e">
        <f t="shared" si="14"/>
        <v>#REF!</v>
      </c>
      <c r="CC43" s="1148" t="e">
        <f t="shared" si="14"/>
        <v>#REF!</v>
      </c>
      <c r="CD43" s="1148" t="e">
        <f t="shared" si="14"/>
        <v>#REF!</v>
      </c>
      <c r="CE43" s="1148" t="e">
        <f t="shared" si="14"/>
        <v>#REF!</v>
      </c>
      <c r="CF43" s="1148" t="e">
        <f t="shared" si="14"/>
        <v>#REF!</v>
      </c>
      <c r="CG43" s="1148" t="e">
        <f t="shared" si="14"/>
        <v>#REF!</v>
      </c>
      <c r="CH43" s="1148" t="e">
        <f t="shared" si="14"/>
        <v>#REF!</v>
      </c>
      <c r="CI43" s="1148" t="e">
        <f t="shared" si="14"/>
        <v>#REF!</v>
      </c>
      <c r="CJ43" s="1148" t="e">
        <f t="shared" si="14"/>
        <v>#REF!</v>
      </c>
      <c r="CK43" s="1148" t="e">
        <f t="shared" si="14"/>
        <v>#REF!</v>
      </c>
      <c r="CL43" s="1148" t="e">
        <f t="shared" si="14"/>
        <v>#REF!</v>
      </c>
      <c r="CM43" s="1148" t="e">
        <f t="shared" si="14"/>
        <v>#REF!</v>
      </c>
    </row>
    <row r="44" spans="10:92">
      <c r="K44" s="1148" t="s">
        <v>134</v>
      </c>
      <c r="L44" s="1148" t="s">
        <v>1214</v>
      </c>
      <c r="M44" s="1148" t="s">
        <v>222</v>
      </c>
      <c r="N44" s="1148" t="s">
        <v>223</v>
      </c>
      <c r="O44" s="1148" t="s">
        <v>224</v>
      </c>
      <c r="P44" s="1148" t="s">
        <v>311</v>
      </c>
      <c r="Q44" s="1148" t="s">
        <v>217</v>
      </c>
      <c r="R44" s="1148" t="s">
        <v>1026</v>
      </c>
      <c r="S44" s="1148" t="s">
        <v>249</v>
      </c>
      <c r="T44" s="1148" t="s">
        <v>250</v>
      </c>
      <c r="U44" s="1148" t="s">
        <v>1028</v>
      </c>
      <c r="V44" s="1148" t="s">
        <v>307</v>
      </c>
      <c r="W44" s="1148" t="s">
        <v>882</v>
      </c>
      <c r="X44" s="1148" t="s">
        <v>1215</v>
      </c>
      <c r="Y44" s="1148" t="s">
        <v>1437</v>
      </c>
      <c r="Z44" s="1148" t="s">
        <v>248</v>
      </c>
      <c r="AA44" s="1148" t="s">
        <v>579</v>
      </c>
      <c r="AB44" s="1148" t="s">
        <v>1002</v>
      </c>
      <c r="AC44" s="1148" t="s">
        <v>883</v>
      </c>
      <c r="AD44" s="1148" t="s">
        <v>1003</v>
      </c>
      <c r="AE44" s="1148" t="s">
        <v>1004</v>
      </c>
      <c r="AF44" s="1148" t="s">
        <v>1005</v>
      </c>
      <c r="AG44" s="1148" t="s">
        <v>1006</v>
      </c>
      <c r="AH44" s="1148" t="s">
        <v>1007</v>
      </c>
      <c r="AI44" s="1148" t="s">
        <v>220</v>
      </c>
      <c r="AJ44" s="1148" t="s">
        <v>221</v>
      </c>
      <c r="AK44" s="1148" t="s">
        <v>225</v>
      </c>
      <c r="AL44" s="1148" t="s">
        <v>226</v>
      </c>
      <c r="AM44" s="1148" t="s">
        <v>227</v>
      </c>
      <c r="AN44" s="1148" t="s">
        <v>252</v>
      </c>
      <c r="AO44" s="1148" t="s">
        <v>253</v>
      </c>
      <c r="AP44" s="1148" t="s">
        <v>228</v>
      </c>
      <c r="AQ44" s="1148" t="s">
        <v>229</v>
      </c>
      <c r="AR44" s="1148" t="s">
        <v>230</v>
      </c>
      <c r="AS44" s="1148" t="s">
        <v>231</v>
      </c>
      <c r="AT44" s="1148" t="s">
        <v>310</v>
      </c>
      <c r="AU44" s="1148" t="s">
        <v>580</v>
      </c>
      <c r="AV44" s="1148" t="s">
        <v>232</v>
      </c>
      <c r="AW44" s="1148" t="s">
        <v>254</v>
      </c>
      <c r="AX44" s="1148" t="s">
        <v>255</v>
      </c>
      <c r="AY44" s="1148" t="s">
        <v>256</v>
      </c>
      <c r="AZ44" s="1148" t="s">
        <v>257</v>
      </c>
      <c r="BA44" s="1148" t="s">
        <v>258</v>
      </c>
      <c r="BB44" s="1148" t="s">
        <v>259</v>
      </c>
      <c r="BC44" s="1148" t="s">
        <v>260</v>
      </c>
      <c r="BD44" s="1148" t="s">
        <v>308</v>
      </c>
      <c r="BE44" s="1148" t="s">
        <v>1176</v>
      </c>
      <c r="BF44" s="1148" t="s">
        <v>1177</v>
      </c>
      <c r="BG44" s="1148" t="s">
        <v>1027</v>
      </c>
      <c r="BH44" s="1148" t="s">
        <v>251</v>
      </c>
      <c r="BI44" s="1148" t="s">
        <v>309</v>
      </c>
      <c r="BJ44" s="1148" t="s">
        <v>1008</v>
      </c>
      <c r="BK44" s="1148" t="s">
        <v>1009</v>
      </c>
      <c r="BL44" s="1148" t="s">
        <v>1010</v>
      </c>
      <c r="BM44" s="1148" t="s">
        <v>1011</v>
      </c>
      <c r="BN44" s="1148" t="s">
        <v>1012</v>
      </c>
      <c r="BO44" s="1148" t="s">
        <v>1013</v>
      </c>
      <c r="BP44" s="1148" t="s">
        <v>1014</v>
      </c>
      <c r="BQ44" s="1148" t="s">
        <v>1015</v>
      </c>
      <c r="BR44" s="1148" t="s">
        <v>1016</v>
      </c>
      <c r="BS44" s="1148" t="s">
        <v>1017</v>
      </c>
      <c r="BT44" s="1148" t="s">
        <v>1174</v>
      </c>
      <c r="BU44" s="1148" t="s">
        <v>1175</v>
      </c>
      <c r="BV44" s="1148" t="s">
        <v>1115</v>
      </c>
      <c r="BW44" s="1148" t="s">
        <v>1018</v>
      </c>
      <c r="BX44" s="1148" t="s">
        <v>1019</v>
      </c>
      <c r="BY44" s="1148" t="s">
        <v>1020</v>
      </c>
      <c r="BZ44" s="1148" t="s">
        <v>1438</v>
      </c>
      <c r="CA44" s="1148" t="s">
        <v>1021</v>
      </c>
      <c r="CB44" s="1148" t="s">
        <v>1022</v>
      </c>
      <c r="CC44" s="1148" t="s">
        <v>1023</v>
      </c>
      <c r="CD44" s="1148" t="s">
        <v>1024</v>
      </c>
      <c r="CE44" s="1148" t="s">
        <v>1025</v>
      </c>
      <c r="CF44" s="1148" t="s">
        <v>233</v>
      </c>
      <c r="CG44" s="1148" t="s">
        <v>234</v>
      </c>
      <c r="CH44" s="1148" t="s">
        <v>235</v>
      </c>
      <c r="CI44" s="1148" t="s">
        <v>236</v>
      </c>
      <c r="CJ44" s="1148" t="s">
        <v>237</v>
      </c>
      <c r="CK44" s="1148" t="s">
        <v>12597</v>
      </c>
      <c r="CL44" s="1148" t="s">
        <v>12598</v>
      </c>
      <c r="CM44" s="1148" t="s">
        <v>12599</v>
      </c>
    </row>
    <row r="45" spans="10:92" ht="60">
      <c r="K45" s="437" t="str">
        <f>_xll.GetCtLabel(K44,"CURINIT(RU)!LDESC","#CNP ASSURANCES")</f>
        <v>CNP ASSURANCES</v>
      </c>
      <c r="L45" s="437" t="str">
        <f>_xll.GetCtLabel(L44,"CURINIT(RU)!LDESC","#CNP Retraite")</f>
        <v>CNP Retraite</v>
      </c>
      <c r="M45" s="437" t="str">
        <f>_xll.GetCtLabel(M44,"CURINIT(RU)!LDESC","#Caixa Seguradora S.A.")</f>
        <v>Caixa Seguradora S.A.</v>
      </c>
      <c r="N45" s="437" t="str">
        <f>_xll.GetCtLabel(N44,"CURINIT(RU)!LDESC","#CNP Capitalização S.A.")</f>
        <v>CNP Capitalização S.A.</v>
      </c>
      <c r="O45" s="437" t="str">
        <f>_xll.GetCtLabel(O44,"CURINIT(RU)!LDESC","#Caixa Vida e Previdência")</f>
        <v>Caixa Vida e Previdência</v>
      </c>
      <c r="P45" s="437" t="str">
        <f>_xll.GetCtLabel(P44,"CURINIT(RU)!LDESC","#XS2 Vida e Previdência S.A.")</f>
        <v>XS2 Vida e Previdência S.A.</v>
      </c>
      <c r="Q45" s="437" t="str">
        <f>_xll.GetCtLabel(Q44,"CURINIT(RU)!LDESC","#CNP UNICREDIT VITA")</f>
        <v>CNP UNICREDIT VITA</v>
      </c>
      <c r="R45" s="437" t="str">
        <f>_xll.GetCtLabel(R44,"CURINIT(RU)!LDESC","#CNP Vita Assicura")</f>
        <v>CNP Vita Assicura</v>
      </c>
      <c r="S45" s="437" t="str">
        <f>_xll.GetCtLabel(S44,"CURINIT(RU)!LDESC","#CNP Santander Insurance Life Dac")</f>
        <v>CNP Santander Insurance Life Dac</v>
      </c>
      <c r="T45" s="437" t="str">
        <f>_xll.GetCtLabel(T44,"CURINIT(RU)!LDESC","#CNP Santander Insurance Europe DAC")</f>
        <v>CNP Santander Insurance Europe DAC</v>
      </c>
      <c r="U45" s="437" t="str">
        <f>_xll.GetCtLabel(U44,"CURINIT(RU)!LDESC","#CNP Luxembourg")</f>
        <v>CNP Luxembourg</v>
      </c>
      <c r="V45" s="437" t="str">
        <f>_xll.GetCtLabel(V44,"CURINIT(RU)!LDESC","#CNP Caution")</f>
        <v>CNP Caution</v>
      </c>
      <c r="W45" s="437" t="str">
        <f>_xll.GetCtLabel(W44,"CURINIT(RU)!LDESC","#ARIAL CNP ASSURANCES")</f>
        <v>ARIAL CNP ASSURANCES</v>
      </c>
      <c r="X45" s="437" t="str">
        <f>_xll.GetCtLabel(X44,"CURINIT(RU)!LDESC","#Filassistance International")</f>
        <v>Filassistance International</v>
      </c>
      <c r="Y45" s="437" t="str">
        <f>_xll.GetCtLabel(Y44,"CURINIT(RU)!LDESC","#Assuristance")</f>
        <v>Assuristance</v>
      </c>
      <c r="Z45" s="437" t="str">
        <f>_xll.GetCtLabel(Z44,"CURINIT(RU)!LDESC","#MFPrévoyance")</f>
        <v>MFPrévoyance</v>
      </c>
      <c r="AA45" s="437" t="str">
        <f>_xll.GetCtLabel(AA44,"CURINIT(RU)!LDESC","#Ecureuil Vie Développement")</f>
        <v>Ecureuil Vie Développement</v>
      </c>
      <c r="AB45" s="437" t="str">
        <f>_xll.GetCtLabel(AB44,"CURINIT(RU)!LDESC","#Assurbail Patrimoine")</f>
        <v>Assurbail Patrimoine</v>
      </c>
      <c r="AC45" s="437" t="str">
        <f>_xll.GetCtLabel(AC44,"CURINIT(RU)!LDESC","#Holding d’Infrastructures Gazières")</f>
        <v>Holding d’Infrastructures Gazières</v>
      </c>
      <c r="AD45" s="437" t="str">
        <f>_xll.GetCtLabel(AD44,"CURINIT(RU)!LDESC","#MONTPARVIE V")</f>
        <v>MONTPARVIE V</v>
      </c>
      <c r="AE45" s="437" t="str">
        <f>_xll.GetCtLabel(AE44,"CURINIT(RU)!LDESC","#Sogestop K")</f>
        <v>Sogestop K</v>
      </c>
      <c r="AF45" s="437" t="str">
        <f>_xll.GetCtLabel(AF44,"CURINIT(RU)!LDESC","#Infra-Invest")</f>
        <v>Infra-Invest</v>
      </c>
      <c r="AG45" s="437" t="str">
        <f>_xll.GetCtLabel(AG44,"CURINIT(RU)!LDESC","#Infra-invest holding")</f>
        <v>Infra-invest holding</v>
      </c>
      <c r="AH45" s="437" t="str">
        <f>_xll.GetCtLabel(AH44,"CURINIT(RU)!LDESC","#Infra-invest France")</f>
        <v>Infra-invest France</v>
      </c>
      <c r="AI45" s="437" t="str">
        <f>_xll.GetCtLabel(AI44,"CURINIT(RU)!LDESC","#CNP Seguros Holding Brasil S.A")</f>
        <v>CNP Seguros Holding Brasil S.A</v>
      </c>
      <c r="AJ45" s="437" t="str">
        <f>_xll.GetCtLabel(AJ44,"CURINIT(RU)!LDESC","#CNP Participações Securitarias Brasil Ltda")</f>
        <v>CNP Participações Securitarias Brasil Ltda</v>
      </c>
      <c r="AK45" s="437" t="str">
        <f>_xll.GetCtLabel(AK44,"CURINIT(RU)!LDESC","#CNP Consórcio S.A. Administradora de Consórcios")</f>
        <v>CNP Consórcio S.A. Administradora de Consórcios</v>
      </c>
      <c r="AL45" s="437" t="str">
        <f>_xll.GetCtLabel(AL44,"CURINIT(RU)!LDESC","#Youse Tecnologia E Assitencia Em Seguros Ltda")</f>
        <v>Youse Tecnologia E Assitencia Em Seguros Ltda</v>
      </c>
      <c r="AM45" s="437" t="str">
        <f>_xll.GetCtLabel(AM44,"CURINIT(RU)!LDESC","#Caixa Seguradora Especializada Em Saúde S.A.")</f>
        <v>Caixa Seguradora Especializada Em Saúde S.A.</v>
      </c>
      <c r="AN45" s="437" t="str">
        <f>_xll.GetCtLabel(AN44,"CURINIT(RU)!LDESC","#CNP Assurances Compañia de Seguros")</f>
        <v>CNP Assurances Compañia de Seguros</v>
      </c>
      <c r="AO45" s="437" t="str">
        <f>_xll.GetCtLabel(AO44,"CURINIT(RU)!LDESC","#CNP SA de Capitalización y Ahorro p/ fines determinados")</f>
        <v>CNP SA de Capitalización y Ahorro p/ fines determinados</v>
      </c>
      <c r="AP45" s="437" t="str">
        <f>_xll.GetCtLabel(AP44,"CURINIT(RU)!LDESC","#Companhia de Seguros Previdencia Do Sul-Previsul")</f>
        <v>Companhia de Seguros Previdencia Do Sul-Previsul</v>
      </c>
      <c r="AQ45" s="437" t="str">
        <f>_xll.GetCtLabel(AQ44,"CURINIT(RU)!LDESC","#Wiz Soluçoes e Corretagem de Seguros S.A.")</f>
        <v>Wiz Soluçoes e Corretagem de Seguros S.A.</v>
      </c>
      <c r="AR45" s="437" t="str">
        <f>_xll.GetCtLabel(AR44,"CURINIT(RU)!LDESC","#Odonto Empresas Convenios Dentarios Ltda")</f>
        <v>Odonto Empresas Convenios Dentarios Ltda</v>
      </c>
      <c r="AS45" s="437" t="str">
        <f>_xll.GetCtLabel(AS44,"CURINIT(RU)!LDESC","#CNP Participações em Seguros Ltda.")</f>
        <v>CNP Participações em Seguros Ltda.</v>
      </c>
      <c r="AT45" s="437" t="str">
        <f>_xll.GetCtLabel(AT44,"CURINIT(RU)!LDESC","#HOLDING XS 1 S.A.")</f>
        <v>HOLDING XS 1 S.A.</v>
      </c>
      <c r="AU45" s="437" t="str">
        <f>_xll.GetCtLabel(AU44,"CURINIT(RU)!LDESC","#XS5 ADMINISTRADORA DE CONSORCIOS S.A.")</f>
        <v>XS5 ADMINISTRADORA DE CONSORCIOS S.A.</v>
      </c>
      <c r="AV45" s="437" t="str">
        <f>_xll.GetCtLabel(AV44,"CURINIT(RU)!LDESC","#Fundo De Investimento Imobiliario Renda Corporativa Angico - FII")</f>
        <v>Fundo De Investimento Imobiliario Renda Corporativa Angico - FII</v>
      </c>
      <c r="AW45" s="437" t="str">
        <f>_xll.GetCtLabel(AW44,"CURINIT(RU)!LDESC","#CNP Cyprus Insurance Holdings")</f>
        <v>CNP Cyprus Insurance Holdings</v>
      </c>
      <c r="AX45" s="437" t="str">
        <f>_xll.GetCtLabel(AX44,"CURINIT(RU)!LDESC","#CNP Zois")</f>
        <v>CNP Zois</v>
      </c>
      <c r="AY45" s="437" t="str">
        <f>_xll.GetCtLabel(AY44,"CURINIT(RU)!LDESC","#CNP Praktoriaki")</f>
        <v>CNP Praktoriaki</v>
      </c>
      <c r="AZ45" s="437" t="str">
        <f>_xll.GetCtLabel(AZ44,"CURINIT(RU)!LDESC","#CNP Cyprialife")</f>
        <v>CNP Cyprialife</v>
      </c>
      <c r="BA45" s="437" t="str">
        <f>_xll.GetCtLabel(BA44,"CURINIT(RU)!LDESC","#CNP Asfalistiki")</f>
        <v>CNP Asfalistiki</v>
      </c>
      <c r="BB45" s="437" t="str">
        <f>_xll.GetCtLabel(BB44,"CURINIT(RU)!LDESC","#CNP Cyprus Tower Ltd")</f>
        <v>CNP Cyprus Tower Ltd</v>
      </c>
      <c r="BC45" s="437" t="str">
        <f>_xll.GetCtLabel(BC44,"CURINIT(RU)!LDESC","# CNP Cyprus Properties")</f>
        <v xml:space="preserve"> CNP Cyprus Properties</v>
      </c>
      <c r="BD45" s="437" t="str">
        <f>_xll.GetCtLabel(BD44,"CURINIT(RU)!LDESC","#CNP Assurances Latam Holding Ltda")</f>
        <v>CNP Assurances Latam Holding Ltda</v>
      </c>
      <c r="BE45" s="437" t="str">
        <f>_xll.GetCtLabel(BE44,"CURINIT(RU)!LDESC","#Credicoop Compañia de Seguros de Retiro S.A.")</f>
        <v>Credicoop Compañia de Seguros de Retiro S.A.</v>
      </c>
      <c r="BF45" s="437" t="str">
        <f>_xll.GetCtLabel(BF44,"CURINIT(RU)!LDESC","#Provincia Seguros de Vida S.A.")</f>
        <v>Provincia Seguros de Vida S.A.</v>
      </c>
      <c r="BG45" s="437" t="str">
        <f>_xll.GetCtLabel(BG44,"CURINIT(RU)!LDESC","#CNP Europe Life DAC")</f>
        <v>CNP Europe Life DAC</v>
      </c>
      <c r="BH45" s="437" t="str">
        <f>_xll.GetCtLabel(BH44,"CURINIT(RU)!LDESC","#CNP Santander Insurance Services Ireland Limited")</f>
        <v>CNP Santander Insurance Services Ireland Limited</v>
      </c>
      <c r="BI45" s="437" t="str">
        <f>_xll.GetCtLabel(BI44,"CURINIT(RU)!LDESC","#CNP Assurances Participações Ltda")</f>
        <v>CNP Assurances Participações Ltda</v>
      </c>
      <c r="BJ45" s="437" t="str">
        <f>_xll.GetCtLabel(BJ44,"CURINIT(RU)!LDESC","#ASSURIMMEUBLE")</f>
        <v>ASSURIMMEUBLE</v>
      </c>
      <c r="BK45" s="437" t="str">
        <f>_xll.GetCtLabel(BK44,"CURINIT(RU)!LDESC","#AEP4 SCI")</f>
        <v>AEP4 SCI</v>
      </c>
      <c r="BL45" s="437" t="str">
        <f>_xll.GetCtLabel(BL44,"CURINIT(RU)!LDESC","#AEP3 SCI")</f>
        <v>AEP3 SCI</v>
      </c>
      <c r="BM45" s="437" t="str">
        <f>_xll.GetCtLabel(BM44,"CURINIT(RU)!LDESC","#OPCI MTP Invest")</f>
        <v>OPCI MTP Invest</v>
      </c>
      <c r="BN45" s="437" t="str">
        <f>_xll.GetCtLabel(BN44,"CURINIT(RU)!LDESC","#OPCI AEW IMCOM 1")</f>
        <v>OPCI AEW IMCOM 1</v>
      </c>
      <c r="BO45" s="437" t="str">
        <f>_xll.GetCtLabel(BO44,"CURINIT(RU)!LDESC","#OPCI AEP247")</f>
        <v>OPCI AEP247</v>
      </c>
      <c r="BP45" s="437" t="str">
        <f>_xll.GetCtLabel(BP44,"CURINIT(RU)!LDESC","#LBP Actifs Immo")</f>
        <v>LBP Actifs Immo</v>
      </c>
      <c r="BQ45" s="437" t="str">
        <f>_xll.GetCtLabel(BQ44,"CURINIT(RU)!LDESC","#Outlet Invest")</f>
        <v>Outlet Invest</v>
      </c>
      <c r="BR45" s="437" t="str">
        <f>_xll.GetCtLabel(BR44,"CURINIT(RU)!LDESC","#OPCI Raspail")</f>
        <v>OPCI Raspail</v>
      </c>
      <c r="BS45" s="437" t="str">
        <f>_xll.GetCtLabel(BS44,"CURINIT(RU)!LDESC","#SAS Alleray")</f>
        <v>SAS Alleray</v>
      </c>
      <c r="BT45" s="437" t="str">
        <f>_xll.GetCtLabel(BT44,"CURINIT(RU)!LDESC","#SCP Lamartine Euros")</f>
        <v>SCP Lamartine Euros</v>
      </c>
      <c r="BU45" s="437" t="str">
        <f>_xll.GetCtLabel(BU44,"CURINIT(RU)!LDESC","#SCP Lamartine monitoring Holding")</f>
        <v>SCP Lamartine monitoring Holding</v>
      </c>
      <c r="BV45" s="437" t="str">
        <f>_xll.GetCtLabel(BV44,"CURINIT(RU)!LDESC","#SCI Lamartine")</f>
        <v>SCI Lamartine</v>
      </c>
      <c r="BW45" s="437" t="str">
        <f>_xll.GetCtLabel(BW44,"CURINIT(RU)!LDESC","#CIMO")</f>
        <v>CIMO</v>
      </c>
      <c r="BX45" s="437" t="str">
        <f>_xll.GetCtLabel(BX44,"CURINIT(RU)!LDESC","#SICAC")</f>
        <v>SICAC</v>
      </c>
      <c r="BY45" s="437" t="str">
        <f>_xll.GetCtLabel(BY44,"CURINIT(RU)!LDESC","#CNP IMMOBILIER")</f>
        <v>CNP IMMOBILIER</v>
      </c>
      <c r="BZ45" s="437" t="str">
        <f>_xll.GetCtLabel(BZ44,"CURINIT(RU)!LDESC","#SCI ICV")</f>
        <v>SCI ICV</v>
      </c>
      <c r="CA45" s="437" t="str">
        <f>_xll.GetCtLabel(CA44,"CURINIT(RU)!LDESC","#UNIVERS CNP 1 FCP")</f>
        <v>UNIVERS CNP 1 FCP</v>
      </c>
      <c r="CB45" s="437" t="str">
        <f>_xll.GetCtLabel(CB44,"CURINIT(RU)!LDESC","#Ecureuil Profil 90")</f>
        <v>Ecureuil Profil 90</v>
      </c>
      <c r="CC45" s="437" t="str">
        <f>_xll.GetCtLabel(CC44,"CURINIT(RU)!LDESC","#Vivaccio ISR actions")</f>
        <v>Vivaccio ISR actions</v>
      </c>
      <c r="CD45" s="437" t="str">
        <f>_xll.GetCtLabel(CD44,"CURINIT(RU)!LDESC","#CNP OSTRUM ISR OBLI 12 MOIS")</f>
        <v>CNP OSTRUM ISR OBLI 12 MOIS</v>
      </c>
      <c r="CE45" s="437" t="str">
        <f>_xll.GetCtLabel(CE44,"CURINIT(RU)!LDESC","#CNP Assur Trésorerie Plus")</f>
        <v>CNP Assur Trésorerie Plus</v>
      </c>
      <c r="CF45" s="437" t="str">
        <f>_xll.GetCtLabel(CF44,"CURINIT(RU)!LDESC","#OPCVM Caixa Seguradora S.A.")</f>
        <v>OPCVM Caixa Seguradora S.A.</v>
      </c>
      <c r="CG45" s="437" t="str">
        <f>_xll.GetCtLabel(CG44,"CURINIT(RU)!LDESC","#OPCVM CNP Capitalização S.A.")</f>
        <v>OPCVM CNP Capitalização S.A.</v>
      </c>
      <c r="CH45" s="437" t="str">
        <f>_xll.GetCtLabel(CH44,"CURINIT(RU)!LDESC","#OPCVM Caixa Vida e Previdência")</f>
        <v>OPCVM Caixa Vida e Previdência</v>
      </c>
      <c r="CI45" s="437" t="str">
        <f>_xll.GetCtLabel(CI44,"CURINIT(RU)!LDESC","#OPCVM CNP Consórcio S.A.")</f>
        <v>OPCVM CNP Consórcio S.A.</v>
      </c>
      <c r="CJ45" s="437" t="str">
        <f>_xll.GetCtLabel(CJ44,"CURINIT(RU)!LDESC","#OPCVM Holding Caixa Seguros Holding S.A.")</f>
        <v>OPCVM Holding Caixa Seguros Holding S.A.</v>
      </c>
      <c r="CK45" s="437" t="str">
        <f>_xll.GetCtLabel(CK44,"CURINIT(RU)!LDESC","#Foncière ELBP")</f>
        <v>Foncière ELBP</v>
      </c>
      <c r="CL45" s="437" t="str">
        <f>_xll.GetCtLabel(CL44,"CURINIT(RU)!LDESC","#TERRE NEUVE 4 IMMO")</f>
        <v>TERRE NEUVE 4 IMMO</v>
      </c>
      <c r="CM45" s="437" t="str">
        <f>_xll.GetCtLabel(CM44,"CURINIT(RU)!LDESC","#GALAXIE 33")</f>
        <v>GALAXIE 33</v>
      </c>
    </row>
    <row r="46" spans="10:92">
      <c r="J46" s="386"/>
      <c r="K46" s="438" t="s">
        <v>1435</v>
      </c>
      <c r="L46" s="438" t="s">
        <v>1435</v>
      </c>
      <c r="M46" s="438" t="s">
        <v>1435</v>
      </c>
      <c r="N46" s="438" t="s">
        <v>1435</v>
      </c>
      <c r="O46" s="438" t="s">
        <v>1435</v>
      </c>
      <c r="P46" s="439" t="s">
        <v>1435</v>
      </c>
      <c r="Q46" s="438" t="s">
        <v>1435</v>
      </c>
      <c r="R46" s="439" t="s">
        <v>1435</v>
      </c>
      <c r="S46" s="438" t="s">
        <v>1435</v>
      </c>
      <c r="T46" s="438" t="s">
        <v>1435</v>
      </c>
      <c r="U46" s="438" t="s">
        <v>1435</v>
      </c>
      <c r="V46" s="438" t="s">
        <v>1435</v>
      </c>
      <c r="W46" s="440" t="s">
        <v>1436</v>
      </c>
      <c r="X46" s="438" t="s">
        <v>1435</v>
      </c>
      <c r="Y46" s="438" t="s">
        <v>1435</v>
      </c>
      <c r="Z46" s="438" t="s">
        <v>1435</v>
      </c>
      <c r="AA46" s="440" t="s">
        <v>1436</v>
      </c>
      <c r="AB46" s="438" t="s">
        <v>1435</v>
      </c>
      <c r="AC46" s="440" t="s">
        <v>1436</v>
      </c>
      <c r="AD46" s="438" t="s">
        <v>1435</v>
      </c>
      <c r="AE46" s="438" t="s">
        <v>1435</v>
      </c>
      <c r="AF46" s="438" t="s">
        <v>1435</v>
      </c>
      <c r="AG46" s="438" t="s">
        <v>1435</v>
      </c>
      <c r="AH46" s="438" t="s">
        <v>1435</v>
      </c>
      <c r="AI46" s="438" t="s">
        <v>1435</v>
      </c>
      <c r="AJ46" s="438" t="s">
        <v>1435</v>
      </c>
      <c r="AK46" s="438" t="s">
        <v>1435</v>
      </c>
      <c r="AL46" s="438" t="s">
        <v>1435</v>
      </c>
      <c r="AM46" s="438" t="s">
        <v>1435</v>
      </c>
      <c r="AN46" s="438" t="s">
        <v>1435</v>
      </c>
      <c r="AO46" s="438" t="s">
        <v>1435</v>
      </c>
      <c r="AP46" s="438" t="s">
        <v>1435</v>
      </c>
      <c r="AQ46" s="440" t="s">
        <v>1436</v>
      </c>
      <c r="AR46" s="438" t="s">
        <v>1435</v>
      </c>
      <c r="AS46" s="438" t="s">
        <v>1435</v>
      </c>
      <c r="AT46" s="438" t="s">
        <v>1435</v>
      </c>
      <c r="AU46" s="440" t="s">
        <v>1436</v>
      </c>
      <c r="AV46" s="438" t="s">
        <v>1435</v>
      </c>
      <c r="AW46" s="438" t="s">
        <v>1435</v>
      </c>
      <c r="AX46" s="438" t="s">
        <v>1435</v>
      </c>
      <c r="AY46" s="438" t="s">
        <v>1435</v>
      </c>
      <c r="AZ46" s="438" t="s">
        <v>1435</v>
      </c>
      <c r="BA46" s="438" t="s">
        <v>1435</v>
      </c>
      <c r="BB46" s="438" t="s">
        <v>1435</v>
      </c>
      <c r="BC46" s="438" t="s">
        <v>1435</v>
      </c>
      <c r="BD46" s="438" t="s">
        <v>1435</v>
      </c>
      <c r="BE46" s="440" t="s">
        <v>1436</v>
      </c>
      <c r="BF46" s="440" t="s">
        <v>1436</v>
      </c>
      <c r="BG46" s="438" t="s">
        <v>1435</v>
      </c>
      <c r="BH46" s="438" t="s">
        <v>1435</v>
      </c>
      <c r="BI46" s="438" t="s">
        <v>1435</v>
      </c>
      <c r="BJ46" s="438" t="s">
        <v>1435</v>
      </c>
      <c r="BK46" s="438" t="s">
        <v>1435</v>
      </c>
      <c r="BL46" s="438" t="s">
        <v>1435</v>
      </c>
      <c r="BM46" s="438" t="s">
        <v>1435</v>
      </c>
      <c r="BN46" s="438" t="s">
        <v>1435</v>
      </c>
      <c r="BO46" s="438" t="s">
        <v>1435</v>
      </c>
      <c r="BP46" s="438" t="s">
        <v>1435</v>
      </c>
      <c r="BQ46" s="438" t="s">
        <v>1435</v>
      </c>
      <c r="BR46" s="438" t="s">
        <v>1435</v>
      </c>
      <c r="BS46" s="438" t="s">
        <v>1435</v>
      </c>
      <c r="BT46" s="438" t="s">
        <v>1435</v>
      </c>
      <c r="BU46" s="438" t="s">
        <v>1435</v>
      </c>
      <c r="BV46" s="438" t="s">
        <v>1435</v>
      </c>
      <c r="BW46" s="438" t="s">
        <v>1435</v>
      </c>
      <c r="BX46" s="438" t="s">
        <v>1435</v>
      </c>
      <c r="BY46" s="438" t="s">
        <v>1435</v>
      </c>
      <c r="BZ46" s="438" t="s">
        <v>1435</v>
      </c>
      <c r="CA46" s="438" t="s">
        <v>1435</v>
      </c>
      <c r="CB46" s="438" t="s">
        <v>1435</v>
      </c>
      <c r="CC46" s="438" t="s">
        <v>1435</v>
      </c>
      <c r="CD46" s="438" t="s">
        <v>1435</v>
      </c>
      <c r="CE46" s="438" t="s">
        <v>1435</v>
      </c>
      <c r="CF46" s="438" t="s">
        <v>1435</v>
      </c>
      <c r="CG46" s="438" t="s">
        <v>1435</v>
      </c>
      <c r="CH46" s="438" t="s">
        <v>1435</v>
      </c>
      <c r="CI46" s="438" t="s">
        <v>1435</v>
      </c>
      <c r="CJ46" s="438" t="s">
        <v>1435</v>
      </c>
      <c r="CK46" s="438" t="s">
        <v>1435</v>
      </c>
      <c r="CL46" s="438" t="s">
        <v>1435</v>
      </c>
      <c r="CM46" s="438" t="s">
        <v>1435</v>
      </c>
    </row>
    <row r="47" spans="10:92">
      <c r="J47" s="386"/>
      <c r="K47" s="291"/>
      <c r="L47" s="291"/>
      <c r="M47" s="291"/>
      <c r="N47" s="291"/>
      <c r="O47" s="291"/>
      <c r="P47" s="291"/>
      <c r="Q47" s="291"/>
      <c r="R47" s="291"/>
      <c r="S47" s="291"/>
      <c r="T47" s="291"/>
      <c r="U47" s="291"/>
      <c r="V47" s="291"/>
      <c r="W47" s="388"/>
      <c r="X47" s="291"/>
      <c r="Y47" s="291"/>
      <c r="Z47" s="291"/>
      <c r="AA47" s="388"/>
      <c r="AB47" s="291"/>
      <c r="AC47" s="388"/>
      <c r="AD47" s="291"/>
      <c r="AE47" s="291"/>
      <c r="AF47" s="291"/>
      <c r="AG47" s="291"/>
      <c r="AH47" s="291"/>
      <c r="AI47" s="291"/>
      <c r="AJ47" s="291"/>
      <c r="AK47" s="291"/>
      <c r="AL47" s="291"/>
      <c r="AM47" s="291"/>
      <c r="AN47" s="291"/>
      <c r="AO47" s="291"/>
      <c r="AP47" s="291"/>
      <c r="AQ47" s="388"/>
      <c r="AR47" s="291"/>
      <c r="AS47" s="291"/>
      <c r="AT47" s="291"/>
      <c r="AU47" s="388"/>
      <c r="AV47" s="291"/>
      <c r="AW47" s="291"/>
      <c r="AX47" s="291"/>
      <c r="AY47" s="291"/>
      <c r="AZ47" s="291"/>
      <c r="BA47" s="291"/>
      <c r="BB47" s="291"/>
      <c r="BC47" s="291"/>
      <c r="BD47" s="291"/>
      <c r="BE47" s="388"/>
      <c r="BF47" s="388"/>
      <c r="BG47" s="291"/>
      <c r="BH47" s="291"/>
      <c r="BI47" s="291"/>
      <c r="BJ47" s="291"/>
      <c r="BK47" s="291"/>
      <c r="BL47" s="291"/>
      <c r="BM47" s="291"/>
      <c r="BN47" s="291"/>
      <c r="BO47" s="291"/>
      <c r="BP47" s="291"/>
      <c r="BQ47" s="291"/>
      <c r="BR47" s="291"/>
      <c r="BS47" s="291"/>
      <c r="BT47" s="291"/>
      <c r="BU47" s="291"/>
      <c r="BV47" s="291"/>
      <c r="BW47" s="291"/>
      <c r="BX47" s="291"/>
      <c r="BY47" s="291"/>
      <c r="BZ47" s="291"/>
      <c r="CA47" s="291"/>
      <c r="CB47" s="291"/>
      <c r="CC47" s="291"/>
      <c r="CD47" s="291"/>
      <c r="CE47" s="291"/>
      <c r="CF47" s="291"/>
      <c r="CG47" s="291"/>
      <c r="CH47" s="291"/>
      <c r="CI47" s="291"/>
      <c r="CJ47" s="291"/>
      <c r="CK47" s="291"/>
      <c r="CL47" s="291"/>
      <c r="CM47" s="291"/>
    </row>
    <row r="48" spans="10:92">
      <c r="J48" s="392" t="s">
        <v>2487</v>
      </c>
      <c r="K48" s="340">
        <f>_xll.GetCtData("COAMOUNT","CONSAMOUNT",$J$4:$J$5,$J$7:$J$9,$D$7,K$43:K$44,$A22,"#2460")</f>
        <v>2460</v>
      </c>
      <c r="L48" s="340">
        <f>_xll.GetCtData("COAMOUNT","CONSAMOUNT",$J$4:$J$5,$J$7:$J$9,$D$7,L$43:L$44,$A22,"#")</f>
        <v>0</v>
      </c>
      <c r="M48" s="340">
        <f>_xll.GetCtData("COAMOUNT","CONSAMOUNT",$J$4:$J$5,$J$7:$J$9,$D$7,M$43:M$44,$A22,"#")</f>
        <v>0</v>
      </c>
      <c r="N48" s="340">
        <f>_xll.GetCtData("COAMOUNT","CONSAMOUNT",$J$4:$J$5,$J$7:$J$9,$D$7,N$43:N$44,$A22,"#")</f>
        <v>0</v>
      </c>
      <c r="O48" s="340">
        <f>_xll.GetCtData("COAMOUNT","CONSAMOUNT",$J$4:$J$5,$J$7:$J$9,$D$7,O$43:O$44,$A22,"#133")</f>
        <v>133</v>
      </c>
      <c r="P48" s="340">
        <f>_xll.GetCtData("COAMOUNT","CONSAMOUNT",$J$4:$J$5,$J$7:$J$9,$D$7,P$43:P$44,$A22,"#")</f>
        <v>0</v>
      </c>
      <c r="Q48" s="340">
        <f>_xll.GetCtData("COAMOUNT","CONSAMOUNT",$J$4:$J$5,$J$7:$J$9,$D$7,Q$43:Q$44,$A22,"#74")</f>
        <v>74</v>
      </c>
      <c r="R48" s="340">
        <f>_xll.GetCtData("COAMOUNT","CONSAMOUNT",$J$4:$J$5,$J$7:$J$9,$D$7,R$43:R$44,$A22,"#15")</f>
        <v>15</v>
      </c>
      <c r="S48" s="340">
        <f>_xll.GetCtData("COAMOUNT","CONSAMOUNT",$J$4:$J$5,$J$7:$J$9,$D$7,S$43:S$44,$A22,"#")</f>
        <v>0</v>
      </c>
      <c r="T48" s="340">
        <f>_xll.GetCtData("COAMOUNT","CONSAMOUNT",$J$4:$J$5,$J$7:$J$9,$D$7,T$43:T$44,$A22,"#")</f>
        <v>0</v>
      </c>
      <c r="U48" s="340">
        <f>_xll.GetCtData("COAMOUNT","CONSAMOUNT",$J$4:$J$5,$J$7:$J$9,$D$7,U$43:U$44,$A22,"#1")</f>
        <v>1</v>
      </c>
      <c r="V48" s="340">
        <f>_xll.GetCtData("COAMOUNT","CONSAMOUNT",$J$4:$J$5,$J$7:$J$9,$D$7,V$43:V$44,$A22,"#")</f>
        <v>0</v>
      </c>
      <c r="W48" s="1149">
        <f>_xll.GetCtData("COAMOUNT","CONSAMOUNT",$J$4:$J$5,$J$7:$J$9,$D$7,W$43:W$44,$A22,"#")</f>
        <v>0</v>
      </c>
      <c r="X48" s="340">
        <f>_xll.GetCtData("COAMOUNT","CONSAMOUNT",$J$4:$J$5,$J$7:$J$9,$D$7,X$43:X$44,$A22,"#52")</f>
        <v>52</v>
      </c>
      <c r="Y48" s="340">
        <f>_xll.GetCtData("COAMOUNT","CONSAMOUNT",$J$4:$J$5,$J$7:$J$9,$D$7,Y$43:Y$44,$A22,"#")</f>
        <v>0</v>
      </c>
      <c r="Z48" s="340">
        <f>_xll.GetCtData("COAMOUNT","CONSAMOUNT",$J$4:$J$5,$J$7:$J$9,$D$7,Z$43:Z$44,$A22,"#")</f>
        <v>0</v>
      </c>
      <c r="AA48" s="1149">
        <f>_xll.GetCtData("COAMOUNT","CONSAMOUNT",$J$4:$J$5,$J$7:$J$9,$D$7,AA$43:AA$44,$A22,"#")</f>
        <v>0</v>
      </c>
      <c r="AB48" s="340">
        <f>_xll.GetCtData("COAMOUNT","CONSAMOUNT",$J$4:$J$5,$J$7:$J$9,$D$7,AB$43:AB$44,$A22,"#")</f>
        <v>0</v>
      </c>
      <c r="AC48" s="1149">
        <f>_xll.GetCtData("COAMOUNT","CONSAMOUNT",$J$4:$J$5,$J$7:$J$9,$D$7,AC$43:AC$44,$A22,"#")</f>
        <v>0</v>
      </c>
      <c r="AD48" s="340">
        <f>_xll.GetCtData("COAMOUNT","CONSAMOUNT",$J$4:$J$5,$J$7:$J$9,$D$7,AD$43:AD$44,$A22,"#")</f>
        <v>0</v>
      </c>
      <c r="AE48" s="340">
        <f>_xll.GetCtData("COAMOUNT","CONSAMOUNT",$J$4:$J$5,$J$7:$J$9,$D$7,AE$43:AE$44,$A22,"#")</f>
        <v>0</v>
      </c>
      <c r="AF48" s="340">
        <f>_xll.GetCtData("COAMOUNT","CONSAMOUNT",$J$4:$J$5,$J$7:$J$9,$D$7,AF$43:AF$44,$A22,"#1")</f>
        <v>1</v>
      </c>
      <c r="AG48" s="340">
        <f>_xll.GetCtData("COAMOUNT","CONSAMOUNT",$J$4:$J$5,$J$7:$J$9,$D$7,AG$43:AG$44,$A22,"#")</f>
        <v>0</v>
      </c>
      <c r="AH48" s="340">
        <f>_xll.GetCtData("COAMOUNT","CONSAMOUNT",$J$4:$J$5,$J$7:$J$9,$D$7,AH$43:AH$44,$A22,"#")</f>
        <v>0</v>
      </c>
      <c r="AI48" s="340">
        <f>_xll.GetCtData("COAMOUNT","CONSAMOUNT",$J$4:$J$5,$J$7:$J$9,$D$7,AI$43:AI$44,$A22,"#")</f>
        <v>0</v>
      </c>
      <c r="AJ48" s="340">
        <f>_xll.GetCtData("COAMOUNT","CONSAMOUNT",$J$4:$J$5,$J$7:$J$9,$D$7,AJ$43:AJ$44,$A22,"#")</f>
        <v>0</v>
      </c>
      <c r="AK48" s="340">
        <f>_xll.GetCtData("COAMOUNT","CONSAMOUNT",$J$4:$J$5,$J$7:$J$9,$D$7,AK$43:AK$44,$A22,"#12")</f>
        <v>12</v>
      </c>
      <c r="AL48" s="340">
        <f>_xll.GetCtData("COAMOUNT","CONSAMOUNT",$J$4:$J$5,$J$7:$J$9,$D$7,AL$43:AL$44,$A22,"#")</f>
        <v>0</v>
      </c>
      <c r="AM48" s="340">
        <f>_xll.GetCtData("COAMOUNT","CONSAMOUNT",$J$4:$J$5,$J$7:$J$9,$D$7,AM$43:AM$44,$A22,"#4")</f>
        <v>4</v>
      </c>
      <c r="AN48" s="340">
        <f>_xll.GetCtData("COAMOUNT","CONSAMOUNT",$J$4:$J$5,$J$7:$J$9,$D$7,AN$43:AN$44,$A22,"#16")</f>
        <v>16</v>
      </c>
      <c r="AO48" s="340">
        <f>_xll.GetCtData("COAMOUNT","CONSAMOUNT",$J$4:$J$5,$J$7:$J$9,$D$7,AO$43:AO$44,$A22,"#")</f>
        <v>0</v>
      </c>
      <c r="AP48" s="340">
        <f>_xll.GetCtData("COAMOUNT","CONSAMOUNT",$J$4:$J$5,$J$7:$J$9,$D$7,AP$43:AP$44,$A22,"#75")</f>
        <v>75</v>
      </c>
      <c r="AQ48" s="1149">
        <f>_xll.GetCtData("COAMOUNT","CONSAMOUNT",$J$4:$J$5,$J$7:$J$9,$D$7,AQ$43:AQ$44,$A22,"#")</f>
        <v>0</v>
      </c>
      <c r="AR48" s="340">
        <f>_xll.GetCtData("COAMOUNT","CONSAMOUNT",$J$4:$J$5,$J$7:$J$9,$D$7,AR$43:AR$44,$A22,"#6")</f>
        <v>6</v>
      </c>
      <c r="AS48" s="340">
        <f>_xll.GetCtData("COAMOUNT","CONSAMOUNT",$J$4:$J$5,$J$7:$J$9,$D$7,AS$43:AS$44,$A22,"#")</f>
        <v>0</v>
      </c>
      <c r="AT48" s="340">
        <f>_xll.GetCtData("COAMOUNT","CONSAMOUNT",$J$4:$J$5,$J$7:$J$9,$D$7,AT$43:AT$44,$A22,"#1")</f>
        <v>1</v>
      </c>
      <c r="AU48" s="1149">
        <f>_xll.GetCtData("COAMOUNT","CONSAMOUNT",$J$4:$J$5,$J$7:$J$9,$D$7,AU$43:AU$44,$A22,"#0")</f>
        <v>0</v>
      </c>
      <c r="AV48" s="340">
        <f>_xll.GetCtData("COAMOUNT","CONSAMOUNT",$J$4:$J$5,$J$7:$J$9,$D$7,AV$43:AV$44,$A22,"#")</f>
        <v>0</v>
      </c>
      <c r="AW48" s="340">
        <f>_xll.GetCtData("COAMOUNT","CONSAMOUNT",$J$4:$J$5,$J$7:$J$9,$D$7,AW$43:AW$44,$A22,"#1")</f>
        <v>1</v>
      </c>
      <c r="AX48" s="340">
        <f>_xll.GetCtData("COAMOUNT","CONSAMOUNT",$J$4:$J$5,$J$7:$J$9,$D$7,AX$43:AX$44,$A22,"#4")</f>
        <v>4</v>
      </c>
      <c r="AY48" s="340">
        <f>_xll.GetCtData("COAMOUNT","CONSAMOUNT",$J$4:$J$5,$J$7:$J$9,$D$7,AY$43:AY$44,$A22,"#")</f>
        <v>0</v>
      </c>
      <c r="AZ48" s="340">
        <f>_xll.GetCtData("COAMOUNT","CONSAMOUNT",$J$4:$J$5,$J$7:$J$9,$D$7,AZ$43:AZ$44,$A22,"#18")</f>
        <v>18</v>
      </c>
      <c r="BA48" s="340">
        <f>_xll.GetCtData("COAMOUNT","CONSAMOUNT",$J$4:$J$5,$J$7:$J$9,$D$7,BA$43:BA$44,$A22,"#9")</f>
        <v>9</v>
      </c>
      <c r="BB48" s="340">
        <f>_xll.GetCtData("COAMOUNT","CONSAMOUNT",$J$4:$J$5,$J$7:$J$9,$D$7,BB$43:BB$44,$A22,"#")</f>
        <v>0</v>
      </c>
      <c r="BC48" s="340">
        <f>_xll.GetCtData("COAMOUNT","CONSAMOUNT",$J$4:$J$5,$J$7:$J$9,$D$7,BC$43:BC$44,$A22,"#")</f>
        <v>0</v>
      </c>
      <c r="BD48" s="340">
        <f>_xll.GetCtData("COAMOUNT","CONSAMOUNT",$J$4:$J$5,$J$7:$J$9,$D$7,BD$43:BD$44,$A22,"#9")</f>
        <v>9</v>
      </c>
      <c r="BE48" s="1149">
        <f>_xll.GetCtData("COAMOUNT","CONSAMOUNT",$J$4:$J$5,$J$7:$J$9,$D$7,BE$43:BE$44,$A22,"#")</f>
        <v>0</v>
      </c>
      <c r="BF48" s="1149">
        <f>_xll.GetCtData("COAMOUNT","CONSAMOUNT",$J$4:$J$5,$J$7:$J$9,$D$7,BF$43:BF$44,$A22,"#")</f>
        <v>0</v>
      </c>
      <c r="BG48" s="340">
        <f>_xll.GetCtData("COAMOUNT","CONSAMOUNT",$J$4:$J$5,$J$7:$J$9,$D$7,BG$43:BG$44,$A22,"#1")</f>
        <v>1</v>
      </c>
      <c r="BH48" s="340">
        <f>_xll.GetCtData("COAMOUNT","CONSAMOUNT",$J$4:$J$5,$J$7:$J$9,$D$7,BH$43:BH$44,$A22,"#")</f>
        <v>0</v>
      </c>
      <c r="BI48" s="340">
        <f>_xll.GetCtData("COAMOUNT","CONSAMOUNT",$J$4:$J$5,$J$7:$J$9,$D$7,BI$43:BI$44,$A22,"#")</f>
        <v>0</v>
      </c>
      <c r="BJ48" s="340">
        <f>_xll.GetCtData("COAMOUNT","CONSAMOUNT",$J$4:$J$5,$J$7:$J$9,$D$7,BJ$43:BJ$44,$A22,"#")</f>
        <v>0</v>
      </c>
      <c r="BK48" s="340">
        <f>_xll.GetCtData("COAMOUNT","CONSAMOUNT",$J$4:$J$5,$J$7:$J$9,$D$7,BK$43:BK$44,$A22,"#")</f>
        <v>0</v>
      </c>
      <c r="BL48" s="340">
        <f>_xll.GetCtData("COAMOUNT","CONSAMOUNT",$J$4:$J$5,$J$7:$J$9,$D$7,BL$43:BL$44,$A22,"#")</f>
        <v>0</v>
      </c>
      <c r="BM48" s="340">
        <f>_xll.GetCtData("COAMOUNT","CONSAMOUNT",$J$4:$J$5,$J$7:$J$9,$D$7,BM$43:BM$44,$A22,"#")</f>
        <v>0</v>
      </c>
      <c r="BN48" s="340">
        <f>_xll.GetCtData("COAMOUNT","CONSAMOUNT",$J$4:$J$5,$J$7:$J$9,$D$7,BN$43:BN$44,$A22,"#")</f>
        <v>0</v>
      </c>
      <c r="BO48" s="340">
        <f>_xll.GetCtData("COAMOUNT","CONSAMOUNT",$J$4:$J$5,$J$7:$J$9,$D$7,BO$43:BO$44,$A22,"#")</f>
        <v>0</v>
      </c>
      <c r="BP48" s="340">
        <f>_xll.GetCtData("COAMOUNT","CONSAMOUNT",$J$4:$J$5,$J$7:$J$9,$D$7,BP$43:BP$44,$A22,"#")</f>
        <v>0</v>
      </c>
      <c r="BQ48" s="340">
        <f>_xll.GetCtData("COAMOUNT","CONSAMOUNT",$J$4:$J$5,$J$7:$J$9,$D$7,BQ$43:BQ$44,$A22,"#")</f>
        <v>0</v>
      </c>
      <c r="BR48" s="340">
        <f>_xll.GetCtData("COAMOUNT","CONSAMOUNT",$J$4:$J$5,$J$7:$J$9,$D$7,BR$43:BR$44,$A22,"#")</f>
        <v>0</v>
      </c>
      <c r="BS48" s="340">
        <f>_xll.GetCtData("COAMOUNT","CONSAMOUNT",$J$4:$J$5,$J$7:$J$9,$D$7,BS$43:BS$44,$A22,"#")</f>
        <v>0</v>
      </c>
      <c r="BT48" s="340">
        <f>_xll.GetCtData("COAMOUNT","CONSAMOUNT",$J$4:$J$5,$J$7:$J$9,$D$7,BT$43:BT$44,$A22,"#")</f>
        <v>0</v>
      </c>
      <c r="BU48" s="340">
        <f>_xll.GetCtData("COAMOUNT","CONSAMOUNT",$J$4:$J$5,$J$7:$J$9,$D$7,BU$43:BU$44,$A22,"#")</f>
        <v>0</v>
      </c>
      <c r="BV48" s="340">
        <f>_xll.GetCtData("COAMOUNT","CONSAMOUNT",$J$4:$J$5,$J$7:$J$9,$D$7,BV$43:BV$44,$A22,"#")</f>
        <v>0</v>
      </c>
      <c r="BW48" s="340">
        <f>_xll.GetCtData("COAMOUNT","CONSAMOUNT",$J$4:$J$5,$J$7:$J$9,$D$7,BW$43:BW$44,$A22,"#")</f>
        <v>0</v>
      </c>
      <c r="BX48" s="340">
        <f>_xll.GetCtData("COAMOUNT","CONSAMOUNT",$J$4:$J$5,$J$7:$J$9,$D$7,BX$43:BX$44,$A22,"#")</f>
        <v>0</v>
      </c>
      <c r="BY48" s="340">
        <f>_xll.GetCtData("COAMOUNT","CONSAMOUNT",$J$4:$J$5,$J$7:$J$9,$D$7,BY$43:BY$44,$A22,"#")</f>
        <v>0</v>
      </c>
      <c r="BZ48" s="340">
        <f>_xll.GetCtData("COAMOUNT","CONSAMOUNT",$J$4:$J$5,$J$7:$J$9,$D$7,BZ$43:BZ$44,$A22,"#")</f>
        <v>0</v>
      </c>
      <c r="CA48" s="340">
        <f>_xll.GetCtData("COAMOUNT","CONSAMOUNT",$J$4:$J$5,$J$7:$J$9,$D$7,CA$43:CA$44,$A22,"#")</f>
        <v>0</v>
      </c>
      <c r="CB48" s="340">
        <f>_xll.GetCtData("COAMOUNT","CONSAMOUNT",$J$4:$J$5,$J$7:$J$9,$D$7,CB$43:CB$44,$A22,"#")</f>
        <v>0</v>
      </c>
      <c r="CC48" s="340">
        <f>_xll.GetCtData("COAMOUNT","CONSAMOUNT",$J$4:$J$5,$J$7:$J$9,$D$7,CC$43:CC$44,$A22,"#")</f>
        <v>0</v>
      </c>
      <c r="CD48" s="340">
        <f>_xll.GetCtData("COAMOUNT","CONSAMOUNT",$J$4:$J$5,$J$7:$J$9,$D$7,CD$43:CD$44,$A22,"#")</f>
        <v>0</v>
      </c>
      <c r="CE48" s="340">
        <f>_xll.GetCtData("COAMOUNT","CONSAMOUNT",$J$4:$J$5,$J$7:$J$9,$D$7,CE$43:CE$44,$A22,"#")</f>
        <v>0</v>
      </c>
      <c r="CF48" s="340">
        <f>_xll.GetCtData("COAMOUNT","CONSAMOUNT",$J$4:$J$5,$J$7:$J$9,$D$7,CF$43:CF$44,$A22,"#")</f>
        <v>0</v>
      </c>
      <c r="CG48" s="340">
        <f>_xll.GetCtData("COAMOUNT","CONSAMOUNT",$J$4:$J$5,$J$7:$J$9,$D$7,CG$43:CG$44,$A22,"#")</f>
        <v>0</v>
      </c>
      <c r="CH48" s="340">
        <f>_xll.GetCtData("COAMOUNT","CONSAMOUNT",$J$4:$J$5,$J$7:$J$9,$D$7,CH$43:CH$44,$A22,"#")</f>
        <v>0</v>
      </c>
      <c r="CI48" s="340">
        <f>_xll.GetCtData("COAMOUNT","CONSAMOUNT",$J$4:$J$5,$J$7:$J$9,$D$7,CI$43:CI$44,$A22,"#")</f>
        <v>0</v>
      </c>
      <c r="CJ48" s="340">
        <f>_xll.GetCtData("COAMOUNT","CONSAMOUNT",$J$4:$J$5,$J$7:$J$9,$D$7,CJ$43:CJ$44,$A22,"#")</f>
        <v>0</v>
      </c>
      <c r="CK48" s="340">
        <f>_xll.GetCtData("COAMOUNT","CONSAMOUNT",$J$4:$J$5,$J$7:$J$9,$D$7,CK$43:CK$44,$A22,"#")</f>
        <v>0</v>
      </c>
      <c r="CL48" s="340">
        <f>_xll.GetCtData("COAMOUNT","CONSAMOUNT",$J$4:$J$5,$J$7:$J$9,$D$7,CL$43:CL$44,$A22,"#")</f>
        <v>0</v>
      </c>
      <c r="CM48" s="340">
        <f>_xll.GetCtData("COAMOUNT","CONSAMOUNT",$J$4:$J$5,$J$7:$J$9,$D$7,CM$43:CM$44,$A22,"#")</f>
        <v>0</v>
      </c>
      <c r="CN48" s="335">
        <f>+SUM(K48:CM48)</f>
        <v>2892</v>
      </c>
    </row>
    <row r="49" spans="10:92">
      <c r="J49" s="392" t="s">
        <v>2488</v>
      </c>
      <c r="K49" s="340">
        <f>_xll.GetCtData("COAMOUNT","CONSAMOUNT",$J$4:$J$5,$J$7:$J$9,$D$7,K$43:K$44,$A23,"#879")</f>
        <v>879</v>
      </c>
      <c r="L49" s="340">
        <f>_xll.GetCtData("COAMOUNT","CONSAMOUNT",$J$4:$J$5,$J$7:$J$9,$D$7,L$43:L$44,$A23,"#")</f>
        <v>0</v>
      </c>
      <c r="M49" s="340">
        <f>_xll.GetCtData("COAMOUNT","CONSAMOUNT",$J$4:$J$5,$J$7:$J$9,$D$7,M$43:M$44,$A23,"#")</f>
        <v>0</v>
      </c>
      <c r="N49" s="340">
        <f>_xll.GetCtData("COAMOUNT","CONSAMOUNT",$J$4:$J$5,$J$7:$J$9,$D$7,N$43:N$44,$A23,"#2")</f>
        <v>2</v>
      </c>
      <c r="O49" s="340">
        <f>_xll.GetCtData("COAMOUNT","CONSAMOUNT",$J$4:$J$5,$J$7:$J$9,$D$7,O$43:O$44,$A23,"#533")</f>
        <v>533</v>
      </c>
      <c r="P49" s="340">
        <f>_xll.GetCtData("COAMOUNT","CONSAMOUNT",$J$4:$J$5,$J$7:$J$9,$D$7,P$43:P$44,$A23,"#")</f>
        <v>0</v>
      </c>
      <c r="Q49" s="340">
        <f>_xll.GetCtData("COAMOUNT","CONSAMOUNT",$J$4:$J$5,$J$7:$J$9,$D$7,Q$43:Q$44,$A23,"#142")</f>
        <v>142</v>
      </c>
      <c r="R49" s="340">
        <f>_xll.GetCtData("COAMOUNT","CONSAMOUNT",$J$4:$J$5,$J$7:$J$9,$D$7,R$43:R$44,$A23,"#270")</f>
        <v>270</v>
      </c>
      <c r="S49" s="340">
        <f>_xll.GetCtData("COAMOUNT","CONSAMOUNT",$J$4:$J$5,$J$7:$J$9,$D$7,S$43:S$44,$A23,"#")</f>
        <v>0</v>
      </c>
      <c r="T49" s="340">
        <f>_xll.GetCtData("COAMOUNT","CONSAMOUNT",$J$4:$J$5,$J$7:$J$9,$D$7,T$43:T$44,$A23,"#")</f>
        <v>0</v>
      </c>
      <c r="U49" s="340">
        <f>_xll.GetCtData("COAMOUNT","CONSAMOUNT",$J$4:$J$5,$J$7:$J$9,$D$7,U$43:U$44,$A23,"#34")</f>
        <v>34</v>
      </c>
      <c r="V49" s="340">
        <f>_xll.GetCtData("COAMOUNT","CONSAMOUNT",$J$4:$J$5,$J$7:$J$9,$D$7,V$43:V$44,$A23,"#")</f>
        <v>0</v>
      </c>
      <c r="W49" s="1149">
        <f>_xll.GetCtData("COAMOUNT","CONSAMOUNT",$J$4:$J$5,$J$7:$J$9,$D$7,W$43:W$44,$A23,"#")</f>
        <v>0</v>
      </c>
      <c r="X49" s="340">
        <f>_xll.GetCtData("COAMOUNT","CONSAMOUNT",$J$4:$J$5,$J$7:$J$9,$D$7,X$43:X$44,$A23,"#131")</f>
        <v>131</v>
      </c>
      <c r="Y49" s="340">
        <f>_xll.GetCtData("COAMOUNT","CONSAMOUNT",$J$4:$J$5,$J$7:$J$9,$D$7,Y$43:Y$44,$A23,"#")</f>
        <v>0</v>
      </c>
      <c r="Z49" s="340">
        <f>_xll.GetCtData("COAMOUNT","CONSAMOUNT",$J$4:$J$5,$J$7:$J$9,$D$7,Z$43:Z$44,$A23,"#")</f>
        <v>0</v>
      </c>
      <c r="AA49" s="1149">
        <f>_xll.GetCtData("COAMOUNT","CONSAMOUNT",$J$4:$J$5,$J$7:$J$9,$D$7,AA$43:AA$44,$A23,"#")</f>
        <v>0</v>
      </c>
      <c r="AB49" s="340">
        <f>_xll.GetCtData("COAMOUNT","CONSAMOUNT",$J$4:$J$5,$J$7:$J$9,$D$7,AB$43:AB$44,$A23,"#")</f>
        <v>0</v>
      </c>
      <c r="AC49" s="1149">
        <f>_xll.GetCtData("COAMOUNT","CONSAMOUNT",$J$4:$J$5,$J$7:$J$9,$D$7,AC$43:AC$44,$A23,"#")</f>
        <v>0</v>
      </c>
      <c r="AD49" s="340">
        <f>_xll.GetCtData("COAMOUNT","CONSAMOUNT",$J$4:$J$5,$J$7:$J$9,$D$7,AD$43:AD$44,$A23,"#")</f>
        <v>0</v>
      </c>
      <c r="AE49" s="340">
        <f>_xll.GetCtData("COAMOUNT","CONSAMOUNT",$J$4:$J$5,$J$7:$J$9,$D$7,AE$43:AE$44,$A23,"#")</f>
        <v>0</v>
      </c>
      <c r="AF49" s="340">
        <f>_xll.GetCtData("COAMOUNT","CONSAMOUNT",$J$4:$J$5,$J$7:$J$9,$D$7,AF$43:AF$44,$A23,"#")</f>
        <v>0</v>
      </c>
      <c r="AG49" s="340">
        <f>_xll.GetCtData("COAMOUNT","CONSAMOUNT",$J$4:$J$5,$J$7:$J$9,$D$7,AG$43:AG$44,$A23,"#")</f>
        <v>0</v>
      </c>
      <c r="AH49" s="340">
        <f>_xll.GetCtData("COAMOUNT","CONSAMOUNT",$J$4:$J$5,$J$7:$J$9,$D$7,AH$43:AH$44,$A23,"#")</f>
        <v>0</v>
      </c>
      <c r="AI49" s="340">
        <f>_xll.GetCtData("COAMOUNT","CONSAMOUNT",$J$4:$J$5,$J$7:$J$9,$D$7,AI$43:AI$44,$A23,"#")</f>
        <v>0</v>
      </c>
      <c r="AJ49" s="340">
        <f>_xll.GetCtData("COAMOUNT","CONSAMOUNT",$J$4:$J$5,$J$7:$J$9,$D$7,AJ$43:AJ$44,$A23,"#")</f>
        <v>0</v>
      </c>
      <c r="AK49" s="340">
        <f>_xll.GetCtData("COAMOUNT","CONSAMOUNT",$J$4:$J$5,$J$7:$J$9,$D$7,AK$43:AK$44,$A23,"#39")</f>
        <v>39</v>
      </c>
      <c r="AL49" s="340">
        <f>_xll.GetCtData("COAMOUNT","CONSAMOUNT",$J$4:$J$5,$J$7:$J$9,$D$7,AL$43:AL$44,$A23,"#")</f>
        <v>0</v>
      </c>
      <c r="AM49" s="340">
        <f>_xll.GetCtData("COAMOUNT","CONSAMOUNT",$J$4:$J$5,$J$7:$J$9,$D$7,AM$43:AM$44,$A23,"#2")</f>
        <v>2</v>
      </c>
      <c r="AN49" s="340">
        <f>_xll.GetCtData("COAMOUNT","CONSAMOUNT",$J$4:$J$5,$J$7:$J$9,$D$7,AN$43:AN$44,$A23,"#101")</f>
        <v>101</v>
      </c>
      <c r="AO49" s="340">
        <f>_xll.GetCtData("COAMOUNT","CONSAMOUNT",$J$4:$J$5,$J$7:$J$9,$D$7,AO$43:AO$44,$A23,"#")</f>
        <v>0</v>
      </c>
      <c r="AP49" s="340">
        <f>_xll.GetCtData("COAMOUNT","CONSAMOUNT",$J$4:$J$5,$J$7:$J$9,$D$7,AP$43:AP$44,$A23,"#232")</f>
        <v>232</v>
      </c>
      <c r="AQ49" s="1149">
        <f>_xll.GetCtData("COAMOUNT","CONSAMOUNT",$J$4:$J$5,$J$7:$J$9,$D$7,AQ$43:AQ$44,$A23,"#")</f>
        <v>0</v>
      </c>
      <c r="AR49" s="340">
        <f>_xll.GetCtData("COAMOUNT","CONSAMOUNT",$J$4:$J$5,$J$7:$J$9,$D$7,AR$43:AR$44,$A23,"#44")</f>
        <v>44</v>
      </c>
      <c r="AS49" s="340">
        <f>_xll.GetCtData("COAMOUNT","CONSAMOUNT",$J$4:$J$5,$J$7:$J$9,$D$7,AS$43:AS$44,$A23,"#")</f>
        <v>0</v>
      </c>
      <c r="AT49" s="340">
        <f>_xll.GetCtData("COAMOUNT","CONSAMOUNT",$J$4:$J$5,$J$7:$J$9,$D$7,AT$43:AT$44,$A23,"#")</f>
        <v>0</v>
      </c>
      <c r="AU49" s="1149">
        <f>_xll.GetCtData("COAMOUNT","CONSAMOUNT",$J$4:$J$5,$J$7:$J$9,$D$7,AU$43:AU$44,$A23,"#0")</f>
        <v>0</v>
      </c>
      <c r="AV49" s="340">
        <f>_xll.GetCtData("COAMOUNT","CONSAMOUNT",$J$4:$J$5,$J$7:$J$9,$D$7,AV$43:AV$44,$A23,"#")</f>
        <v>0</v>
      </c>
      <c r="AW49" s="340">
        <f>_xll.GetCtData("COAMOUNT","CONSAMOUNT",$J$4:$J$5,$J$7:$J$9,$D$7,AW$43:AW$44,$A23,"#")</f>
        <v>0</v>
      </c>
      <c r="AX49" s="340">
        <f>_xll.GetCtData("COAMOUNT","CONSAMOUNT",$J$4:$J$5,$J$7:$J$9,$D$7,AX$43:AX$44,$A23,"#10")</f>
        <v>10</v>
      </c>
      <c r="AY49" s="340">
        <f>_xll.GetCtData("COAMOUNT","CONSAMOUNT",$J$4:$J$5,$J$7:$J$9,$D$7,AY$43:AY$44,$A23,"#")</f>
        <v>0</v>
      </c>
      <c r="AZ49" s="340">
        <f>_xll.GetCtData("COAMOUNT","CONSAMOUNT",$J$4:$J$5,$J$7:$J$9,$D$7,AZ$43:AZ$44,$A23,"#156")</f>
        <v>156</v>
      </c>
      <c r="BA49" s="340">
        <f>_xll.GetCtData("COAMOUNT","CONSAMOUNT",$J$4:$J$5,$J$7:$J$9,$D$7,BA$43:BA$44,$A23,"#144")</f>
        <v>144</v>
      </c>
      <c r="BB49" s="340">
        <f>_xll.GetCtData("COAMOUNT","CONSAMOUNT",$J$4:$J$5,$J$7:$J$9,$D$7,BB$43:BB$44,$A23,"#")</f>
        <v>0</v>
      </c>
      <c r="BC49" s="340">
        <f>_xll.GetCtData("COAMOUNT","CONSAMOUNT",$J$4:$J$5,$J$7:$J$9,$D$7,BC$43:BC$44,$A23,"#")</f>
        <v>0</v>
      </c>
      <c r="BD49" s="340">
        <f>_xll.GetCtData("COAMOUNT","CONSAMOUNT",$J$4:$J$5,$J$7:$J$9,$D$7,BD$43:BD$44,$A23,"#12")</f>
        <v>12</v>
      </c>
      <c r="BE49" s="1149">
        <f>_xll.GetCtData("COAMOUNT","CONSAMOUNT",$J$4:$J$5,$J$7:$J$9,$D$7,BE$43:BE$44,$A23,"#")</f>
        <v>0</v>
      </c>
      <c r="BF49" s="1149">
        <f>_xll.GetCtData("COAMOUNT","CONSAMOUNT",$J$4:$J$5,$J$7:$J$9,$D$7,BF$43:BF$44,$A23,"#")</f>
        <v>0</v>
      </c>
      <c r="BG49" s="340">
        <f>_xll.GetCtData("COAMOUNT","CONSAMOUNT",$J$4:$J$5,$J$7:$J$9,$D$7,BG$43:BG$44,$A23,"#")</f>
        <v>0</v>
      </c>
      <c r="BH49" s="340">
        <f>_xll.GetCtData("COAMOUNT","CONSAMOUNT",$J$4:$J$5,$J$7:$J$9,$D$7,BH$43:BH$44,$A23,"#")</f>
        <v>0</v>
      </c>
      <c r="BI49" s="340">
        <f>_xll.GetCtData("COAMOUNT","CONSAMOUNT",$J$4:$J$5,$J$7:$J$9,$D$7,BI$43:BI$44,$A23,"#")</f>
        <v>0</v>
      </c>
      <c r="BJ49" s="340">
        <f>_xll.GetCtData("COAMOUNT","CONSAMOUNT",$J$4:$J$5,$J$7:$J$9,$D$7,BJ$43:BJ$44,$A23,"#")</f>
        <v>0</v>
      </c>
      <c r="BK49" s="340">
        <f>_xll.GetCtData("COAMOUNT","CONSAMOUNT",$J$4:$J$5,$J$7:$J$9,$D$7,BK$43:BK$44,$A23,"#")</f>
        <v>0</v>
      </c>
      <c r="BL49" s="340">
        <f>_xll.GetCtData("COAMOUNT","CONSAMOUNT",$J$4:$J$5,$J$7:$J$9,$D$7,BL$43:BL$44,$A23,"#")</f>
        <v>0</v>
      </c>
      <c r="BM49" s="340">
        <f>_xll.GetCtData("COAMOUNT","CONSAMOUNT",$J$4:$J$5,$J$7:$J$9,$D$7,BM$43:BM$44,$A23,"#")</f>
        <v>0</v>
      </c>
      <c r="BN49" s="340">
        <f>_xll.GetCtData("COAMOUNT","CONSAMOUNT",$J$4:$J$5,$J$7:$J$9,$D$7,BN$43:BN$44,$A23,"#")</f>
        <v>0</v>
      </c>
      <c r="BO49" s="340">
        <f>_xll.GetCtData("COAMOUNT","CONSAMOUNT",$J$4:$J$5,$J$7:$J$9,$D$7,BO$43:BO$44,$A23,"#")</f>
        <v>0</v>
      </c>
      <c r="BP49" s="340">
        <f>_xll.GetCtData("COAMOUNT","CONSAMOUNT",$J$4:$J$5,$J$7:$J$9,$D$7,BP$43:BP$44,$A23,"#")</f>
        <v>0</v>
      </c>
      <c r="BQ49" s="340">
        <f>_xll.GetCtData("COAMOUNT","CONSAMOUNT",$J$4:$J$5,$J$7:$J$9,$D$7,BQ$43:BQ$44,$A23,"#")</f>
        <v>0</v>
      </c>
      <c r="BR49" s="340">
        <f>_xll.GetCtData("COAMOUNT","CONSAMOUNT",$J$4:$J$5,$J$7:$J$9,$D$7,BR$43:BR$44,$A23,"#")</f>
        <v>0</v>
      </c>
      <c r="BS49" s="340">
        <f>_xll.GetCtData("COAMOUNT","CONSAMOUNT",$J$4:$J$5,$J$7:$J$9,$D$7,BS$43:BS$44,$A23,"#")</f>
        <v>0</v>
      </c>
      <c r="BT49" s="340">
        <f>_xll.GetCtData("COAMOUNT","CONSAMOUNT",$J$4:$J$5,$J$7:$J$9,$D$7,BT$43:BT$44,$A23,"#")</f>
        <v>0</v>
      </c>
      <c r="BU49" s="340">
        <f>_xll.GetCtData("COAMOUNT","CONSAMOUNT",$J$4:$J$5,$J$7:$J$9,$D$7,BU$43:BU$44,$A23,"#")</f>
        <v>0</v>
      </c>
      <c r="BV49" s="340">
        <f>_xll.GetCtData("COAMOUNT","CONSAMOUNT",$J$4:$J$5,$J$7:$J$9,$D$7,BV$43:BV$44,$A23,"#")</f>
        <v>0</v>
      </c>
      <c r="BW49" s="340">
        <f>_xll.GetCtData("COAMOUNT","CONSAMOUNT",$J$4:$J$5,$J$7:$J$9,$D$7,BW$43:BW$44,$A23,"#")</f>
        <v>0</v>
      </c>
      <c r="BX49" s="340">
        <f>_xll.GetCtData("COAMOUNT","CONSAMOUNT",$J$4:$J$5,$J$7:$J$9,$D$7,BX$43:BX$44,$A23,"#")</f>
        <v>0</v>
      </c>
      <c r="BY49" s="340">
        <f>_xll.GetCtData("COAMOUNT","CONSAMOUNT",$J$4:$J$5,$J$7:$J$9,$D$7,BY$43:BY$44,$A23,"#")</f>
        <v>0</v>
      </c>
      <c r="BZ49" s="340">
        <f>_xll.GetCtData("COAMOUNT","CONSAMOUNT",$J$4:$J$5,$J$7:$J$9,$D$7,BZ$43:BZ$44,$A23,"#")</f>
        <v>0</v>
      </c>
      <c r="CA49" s="340">
        <f>_xll.GetCtData("COAMOUNT","CONSAMOUNT",$J$4:$J$5,$J$7:$J$9,$D$7,CA$43:CA$44,$A23,"#")</f>
        <v>0</v>
      </c>
      <c r="CB49" s="340">
        <f>_xll.GetCtData("COAMOUNT","CONSAMOUNT",$J$4:$J$5,$J$7:$J$9,$D$7,CB$43:CB$44,$A23,"#")</f>
        <v>0</v>
      </c>
      <c r="CC49" s="340">
        <f>_xll.GetCtData("COAMOUNT","CONSAMOUNT",$J$4:$J$5,$J$7:$J$9,$D$7,CC$43:CC$44,$A23,"#")</f>
        <v>0</v>
      </c>
      <c r="CD49" s="340">
        <f>_xll.GetCtData("COAMOUNT","CONSAMOUNT",$J$4:$J$5,$J$7:$J$9,$D$7,CD$43:CD$44,$A23,"#")</f>
        <v>0</v>
      </c>
      <c r="CE49" s="340">
        <f>_xll.GetCtData("COAMOUNT","CONSAMOUNT",$J$4:$J$5,$J$7:$J$9,$D$7,CE$43:CE$44,$A23,"#")</f>
        <v>0</v>
      </c>
      <c r="CF49" s="340">
        <f>_xll.GetCtData("COAMOUNT","CONSAMOUNT",$J$4:$J$5,$J$7:$J$9,$D$7,CF$43:CF$44,$A23,"#")</f>
        <v>0</v>
      </c>
      <c r="CG49" s="340">
        <f>_xll.GetCtData("COAMOUNT","CONSAMOUNT",$J$4:$J$5,$J$7:$J$9,$D$7,CG$43:CG$44,$A23,"#")</f>
        <v>0</v>
      </c>
      <c r="CH49" s="340">
        <f>_xll.GetCtData("COAMOUNT","CONSAMOUNT",$J$4:$J$5,$J$7:$J$9,$D$7,CH$43:CH$44,$A23,"#")</f>
        <v>0</v>
      </c>
      <c r="CI49" s="340">
        <f>_xll.GetCtData("COAMOUNT","CONSAMOUNT",$J$4:$J$5,$J$7:$J$9,$D$7,CI$43:CI$44,$A23,"#")</f>
        <v>0</v>
      </c>
      <c r="CJ49" s="340">
        <f>_xll.GetCtData("COAMOUNT","CONSAMOUNT",$J$4:$J$5,$J$7:$J$9,$D$7,CJ$43:CJ$44,$A23,"#")</f>
        <v>0</v>
      </c>
      <c r="CK49" s="340">
        <f>_xll.GetCtData("COAMOUNT","CONSAMOUNT",$J$4:$J$5,$J$7:$J$9,$D$7,CK$43:CK$44,$A23,"#")</f>
        <v>0</v>
      </c>
      <c r="CL49" s="340">
        <f>_xll.GetCtData("COAMOUNT","CONSAMOUNT",$J$4:$J$5,$J$7:$J$9,$D$7,CL$43:CL$44,$A23,"#")</f>
        <v>0</v>
      </c>
      <c r="CM49" s="340">
        <f>_xll.GetCtData("COAMOUNT","CONSAMOUNT",$J$4:$J$5,$J$7:$J$9,$D$7,CM$43:CM$44,$A23,"#")</f>
        <v>0</v>
      </c>
      <c r="CN49" s="335">
        <f>+SUM(K49:CM49)</f>
        <v>2731</v>
      </c>
    </row>
    <row r="50" spans="10:92" ht="12.75" thickBot="1">
      <c r="J50" s="386"/>
      <c r="K50" s="395">
        <f>SUM(K48:K49)</f>
        <v>3339</v>
      </c>
      <c r="L50" s="395">
        <f t="shared" ref="L50:BW50" si="15">SUM(L48:L49)</f>
        <v>0</v>
      </c>
      <c r="M50" s="395">
        <f t="shared" si="15"/>
        <v>0</v>
      </c>
      <c r="N50" s="395">
        <f t="shared" si="15"/>
        <v>2</v>
      </c>
      <c r="O50" s="395">
        <f t="shared" si="15"/>
        <v>666</v>
      </c>
      <c r="P50" s="395">
        <f t="shared" si="15"/>
        <v>0</v>
      </c>
      <c r="Q50" s="395">
        <f t="shared" si="15"/>
        <v>216</v>
      </c>
      <c r="R50" s="395">
        <f t="shared" si="15"/>
        <v>285</v>
      </c>
      <c r="S50" s="395">
        <f t="shared" si="15"/>
        <v>0</v>
      </c>
      <c r="T50" s="395">
        <f t="shared" si="15"/>
        <v>0</v>
      </c>
      <c r="U50" s="395">
        <f t="shared" si="15"/>
        <v>35</v>
      </c>
      <c r="V50" s="395">
        <f t="shared" si="15"/>
        <v>0</v>
      </c>
      <c r="W50" s="396">
        <f t="shared" si="15"/>
        <v>0</v>
      </c>
      <c r="X50" s="395">
        <f t="shared" si="15"/>
        <v>183</v>
      </c>
      <c r="Y50" s="395">
        <f t="shared" si="15"/>
        <v>0</v>
      </c>
      <c r="Z50" s="395">
        <f t="shared" si="15"/>
        <v>0</v>
      </c>
      <c r="AA50" s="396">
        <f t="shared" si="15"/>
        <v>0</v>
      </c>
      <c r="AB50" s="395">
        <f t="shared" si="15"/>
        <v>0</v>
      </c>
      <c r="AC50" s="396">
        <f t="shared" si="15"/>
        <v>0</v>
      </c>
      <c r="AD50" s="395">
        <f t="shared" si="15"/>
        <v>0</v>
      </c>
      <c r="AE50" s="395">
        <f t="shared" si="15"/>
        <v>0</v>
      </c>
      <c r="AF50" s="395">
        <f t="shared" si="15"/>
        <v>1</v>
      </c>
      <c r="AG50" s="395">
        <f t="shared" si="15"/>
        <v>0</v>
      </c>
      <c r="AH50" s="395">
        <f t="shared" si="15"/>
        <v>0</v>
      </c>
      <c r="AI50" s="395">
        <f t="shared" si="15"/>
        <v>0</v>
      </c>
      <c r="AJ50" s="395">
        <f t="shared" si="15"/>
        <v>0</v>
      </c>
      <c r="AK50" s="395">
        <f t="shared" si="15"/>
        <v>51</v>
      </c>
      <c r="AL50" s="395">
        <f t="shared" si="15"/>
        <v>0</v>
      </c>
      <c r="AM50" s="395">
        <f t="shared" si="15"/>
        <v>6</v>
      </c>
      <c r="AN50" s="395">
        <f t="shared" si="15"/>
        <v>117</v>
      </c>
      <c r="AO50" s="395">
        <f t="shared" si="15"/>
        <v>0</v>
      </c>
      <c r="AP50" s="395">
        <f t="shared" si="15"/>
        <v>307</v>
      </c>
      <c r="AQ50" s="396">
        <f t="shared" si="15"/>
        <v>0</v>
      </c>
      <c r="AR50" s="395">
        <f t="shared" si="15"/>
        <v>50</v>
      </c>
      <c r="AS50" s="395">
        <f t="shared" si="15"/>
        <v>0</v>
      </c>
      <c r="AT50" s="395">
        <f t="shared" si="15"/>
        <v>1</v>
      </c>
      <c r="AU50" s="396">
        <f t="shared" si="15"/>
        <v>0</v>
      </c>
      <c r="AV50" s="395">
        <f t="shared" si="15"/>
        <v>0</v>
      </c>
      <c r="AW50" s="395">
        <f t="shared" si="15"/>
        <v>1</v>
      </c>
      <c r="AX50" s="395">
        <f t="shared" si="15"/>
        <v>14</v>
      </c>
      <c r="AY50" s="395">
        <f t="shared" si="15"/>
        <v>0</v>
      </c>
      <c r="AZ50" s="395">
        <f t="shared" si="15"/>
        <v>174</v>
      </c>
      <c r="BA50" s="395">
        <f t="shared" si="15"/>
        <v>153</v>
      </c>
      <c r="BB50" s="395">
        <f t="shared" si="15"/>
        <v>0</v>
      </c>
      <c r="BC50" s="395">
        <f t="shared" si="15"/>
        <v>0</v>
      </c>
      <c r="BD50" s="395">
        <f t="shared" si="15"/>
        <v>21</v>
      </c>
      <c r="BE50" s="396">
        <f t="shared" si="15"/>
        <v>0</v>
      </c>
      <c r="BF50" s="396">
        <f t="shared" si="15"/>
        <v>0</v>
      </c>
      <c r="BG50" s="395">
        <f t="shared" si="15"/>
        <v>1</v>
      </c>
      <c r="BH50" s="395">
        <f t="shared" si="15"/>
        <v>0</v>
      </c>
      <c r="BI50" s="395">
        <f t="shared" si="15"/>
        <v>0</v>
      </c>
      <c r="BJ50" s="395">
        <f t="shared" si="15"/>
        <v>0</v>
      </c>
      <c r="BK50" s="395">
        <f t="shared" si="15"/>
        <v>0</v>
      </c>
      <c r="BL50" s="395">
        <f t="shared" si="15"/>
        <v>0</v>
      </c>
      <c r="BM50" s="395">
        <f t="shared" si="15"/>
        <v>0</v>
      </c>
      <c r="BN50" s="395">
        <f t="shared" si="15"/>
        <v>0</v>
      </c>
      <c r="BO50" s="395">
        <f t="shared" si="15"/>
        <v>0</v>
      </c>
      <c r="BP50" s="395">
        <f t="shared" si="15"/>
        <v>0</v>
      </c>
      <c r="BQ50" s="395">
        <f t="shared" si="15"/>
        <v>0</v>
      </c>
      <c r="BR50" s="395">
        <f t="shared" si="15"/>
        <v>0</v>
      </c>
      <c r="BS50" s="395">
        <f t="shared" si="15"/>
        <v>0</v>
      </c>
      <c r="BT50" s="395">
        <f t="shared" si="15"/>
        <v>0</v>
      </c>
      <c r="BU50" s="395">
        <f t="shared" si="15"/>
        <v>0</v>
      </c>
      <c r="BV50" s="395">
        <f t="shared" si="15"/>
        <v>0</v>
      </c>
      <c r="BW50" s="395">
        <f t="shared" si="15"/>
        <v>0</v>
      </c>
      <c r="BX50" s="395">
        <f t="shared" ref="BX50:CJ50" si="16">SUM(BX48:BX49)</f>
        <v>0</v>
      </c>
      <c r="BY50" s="395">
        <f t="shared" si="16"/>
        <v>0</v>
      </c>
      <c r="BZ50" s="395">
        <f t="shared" si="16"/>
        <v>0</v>
      </c>
      <c r="CA50" s="395">
        <f t="shared" si="16"/>
        <v>0</v>
      </c>
      <c r="CB50" s="395">
        <f t="shared" si="16"/>
        <v>0</v>
      </c>
      <c r="CC50" s="395">
        <f t="shared" si="16"/>
        <v>0</v>
      </c>
      <c r="CD50" s="395">
        <f t="shared" si="16"/>
        <v>0</v>
      </c>
      <c r="CE50" s="395">
        <f t="shared" si="16"/>
        <v>0</v>
      </c>
      <c r="CF50" s="395">
        <f t="shared" si="16"/>
        <v>0</v>
      </c>
      <c r="CG50" s="395">
        <f t="shared" si="16"/>
        <v>0</v>
      </c>
      <c r="CH50" s="395">
        <f t="shared" si="16"/>
        <v>0</v>
      </c>
      <c r="CI50" s="395">
        <f t="shared" si="16"/>
        <v>0</v>
      </c>
      <c r="CJ50" s="395">
        <f t="shared" si="16"/>
        <v>0</v>
      </c>
      <c r="CK50" s="395">
        <f>SUM(CK48:CK49)</f>
        <v>0</v>
      </c>
      <c r="CL50" s="395">
        <f>SUM(CL48:CL49)</f>
        <v>0</v>
      </c>
      <c r="CM50" s="395">
        <f>SUM(CM48:CM49)</f>
        <v>0</v>
      </c>
      <c r="CN50" s="335">
        <f>+SUM(K50:CM50)</f>
        <v>5623</v>
      </c>
    </row>
    <row r="52" spans="10:92">
      <c r="J52" s="206" t="s">
        <v>2490</v>
      </c>
      <c r="K52" s="335">
        <f>K48-K32</f>
        <v>96</v>
      </c>
      <c r="L52" s="335">
        <f t="shared" ref="L52:BW52" si="17">L48-L32</f>
        <v>0</v>
      </c>
      <c r="M52" s="335">
        <f t="shared" si="17"/>
        <v>-289</v>
      </c>
      <c r="N52" s="335">
        <f t="shared" si="17"/>
        <v>0</v>
      </c>
      <c r="O52" s="335">
        <f t="shared" si="17"/>
        <v>120</v>
      </c>
      <c r="P52" s="335">
        <f t="shared" si="17"/>
        <v>-99</v>
      </c>
      <c r="Q52" s="335">
        <f t="shared" si="17"/>
        <v>2</v>
      </c>
      <c r="R52" s="335">
        <f t="shared" si="17"/>
        <v>5</v>
      </c>
      <c r="S52" s="335">
        <f t="shared" si="17"/>
        <v>0</v>
      </c>
      <c r="T52" s="335">
        <f t="shared" si="17"/>
        <v>0</v>
      </c>
      <c r="U52" s="335">
        <f t="shared" si="17"/>
        <v>0</v>
      </c>
      <c r="V52" s="335">
        <f t="shared" si="17"/>
        <v>0</v>
      </c>
      <c r="W52" s="335">
        <f t="shared" si="17"/>
        <v>0</v>
      </c>
      <c r="X52" s="335">
        <f t="shared" si="17"/>
        <v>3</v>
      </c>
      <c r="Y52" s="335">
        <f t="shared" si="17"/>
        <v>0</v>
      </c>
      <c r="Z52" s="335">
        <f t="shared" si="17"/>
        <v>0</v>
      </c>
      <c r="AA52" s="335">
        <f t="shared" si="17"/>
        <v>0</v>
      </c>
      <c r="AB52" s="335">
        <f t="shared" si="17"/>
        <v>0</v>
      </c>
      <c r="AC52" s="335">
        <f t="shared" si="17"/>
        <v>0</v>
      </c>
      <c r="AD52" s="335">
        <f t="shared" si="17"/>
        <v>0</v>
      </c>
      <c r="AE52" s="335">
        <f t="shared" si="17"/>
        <v>0</v>
      </c>
      <c r="AF52" s="335">
        <f t="shared" si="17"/>
        <v>0</v>
      </c>
      <c r="AG52" s="335">
        <f t="shared" si="17"/>
        <v>0</v>
      </c>
      <c r="AH52" s="335">
        <f t="shared" si="17"/>
        <v>0</v>
      </c>
      <c r="AI52" s="335">
        <f t="shared" si="17"/>
        <v>0</v>
      </c>
      <c r="AJ52" s="335">
        <f t="shared" si="17"/>
        <v>0</v>
      </c>
      <c r="AK52" s="335">
        <f t="shared" si="17"/>
        <v>-9</v>
      </c>
      <c r="AL52" s="335">
        <f t="shared" si="17"/>
        <v>0</v>
      </c>
      <c r="AM52" s="335">
        <f t="shared" si="17"/>
        <v>-1</v>
      </c>
      <c r="AN52" s="335">
        <f t="shared" si="17"/>
        <v>1</v>
      </c>
      <c r="AO52" s="335">
        <f t="shared" si="17"/>
        <v>0</v>
      </c>
      <c r="AP52" s="335">
        <f t="shared" si="17"/>
        <v>13</v>
      </c>
      <c r="AQ52" s="335">
        <f t="shared" si="17"/>
        <v>0</v>
      </c>
      <c r="AR52" s="335">
        <f t="shared" si="17"/>
        <v>-7</v>
      </c>
      <c r="AS52" s="335">
        <f t="shared" si="17"/>
        <v>0</v>
      </c>
      <c r="AT52" s="335">
        <f t="shared" si="17"/>
        <v>0</v>
      </c>
      <c r="AU52" s="335">
        <f t="shared" si="17"/>
        <v>0</v>
      </c>
      <c r="AV52" s="335">
        <f t="shared" si="17"/>
        <v>0</v>
      </c>
      <c r="AW52" s="335">
        <f t="shared" si="17"/>
        <v>0</v>
      </c>
      <c r="AX52" s="335">
        <f t="shared" si="17"/>
        <v>0</v>
      </c>
      <c r="AY52" s="335">
        <f t="shared" si="17"/>
        <v>0</v>
      </c>
      <c r="AZ52" s="335">
        <f t="shared" si="17"/>
        <v>2</v>
      </c>
      <c r="BA52" s="335">
        <f t="shared" si="17"/>
        <v>0</v>
      </c>
      <c r="BB52" s="335">
        <f t="shared" si="17"/>
        <v>0</v>
      </c>
      <c r="BC52" s="335">
        <f t="shared" si="17"/>
        <v>0</v>
      </c>
      <c r="BD52" s="335">
        <f t="shared" si="17"/>
        <v>7</v>
      </c>
      <c r="BE52" s="335">
        <f t="shared" si="17"/>
        <v>0</v>
      </c>
      <c r="BF52" s="335">
        <f t="shared" si="17"/>
        <v>0</v>
      </c>
      <c r="BG52" s="335">
        <f t="shared" si="17"/>
        <v>1</v>
      </c>
      <c r="BH52" s="335">
        <f t="shared" si="17"/>
        <v>0</v>
      </c>
      <c r="BI52" s="335">
        <f t="shared" si="17"/>
        <v>0</v>
      </c>
      <c r="BJ52" s="335">
        <f t="shared" si="17"/>
        <v>0</v>
      </c>
      <c r="BK52" s="335">
        <f t="shared" si="17"/>
        <v>0</v>
      </c>
      <c r="BL52" s="335">
        <f t="shared" si="17"/>
        <v>0</v>
      </c>
      <c r="BM52" s="335">
        <f t="shared" si="17"/>
        <v>0</v>
      </c>
      <c r="BN52" s="335">
        <f t="shared" si="17"/>
        <v>0</v>
      </c>
      <c r="BO52" s="335">
        <f t="shared" si="17"/>
        <v>0</v>
      </c>
      <c r="BP52" s="335">
        <f t="shared" si="17"/>
        <v>0</v>
      </c>
      <c r="BQ52" s="335">
        <f t="shared" si="17"/>
        <v>0</v>
      </c>
      <c r="BR52" s="335">
        <f t="shared" si="17"/>
        <v>0</v>
      </c>
      <c r="BS52" s="335">
        <f t="shared" si="17"/>
        <v>0</v>
      </c>
      <c r="BT52" s="335">
        <f t="shared" si="17"/>
        <v>0</v>
      </c>
      <c r="BU52" s="335">
        <f t="shared" si="17"/>
        <v>0</v>
      </c>
      <c r="BV52" s="335">
        <f t="shared" si="17"/>
        <v>0</v>
      </c>
      <c r="BW52" s="335">
        <f t="shared" si="17"/>
        <v>0</v>
      </c>
      <c r="BX52" s="335">
        <f t="shared" ref="BX52:CM52" si="18">BX48-BX32</f>
        <v>0</v>
      </c>
      <c r="BY52" s="335">
        <f t="shared" si="18"/>
        <v>0</v>
      </c>
      <c r="BZ52" s="335">
        <f t="shared" si="18"/>
        <v>0</v>
      </c>
      <c r="CA52" s="335">
        <f t="shared" si="18"/>
        <v>0</v>
      </c>
      <c r="CB52" s="335">
        <f t="shared" si="18"/>
        <v>0</v>
      </c>
      <c r="CC52" s="335">
        <f t="shared" si="18"/>
        <v>0</v>
      </c>
      <c r="CD52" s="335">
        <f t="shared" si="18"/>
        <v>0</v>
      </c>
      <c r="CE52" s="335">
        <f t="shared" si="18"/>
        <v>0</v>
      </c>
      <c r="CF52" s="335">
        <f t="shared" si="18"/>
        <v>0</v>
      </c>
      <c r="CG52" s="335">
        <f t="shared" si="18"/>
        <v>0</v>
      </c>
      <c r="CH52" s="335">
        <f t="shared" si="18"/>
        <v>0</v>
      </c>
      <c r="CI52" s="335">
        <f t="shared" si="18"/>
        <v>0</v>
      </c>
      <c r="CJ52" s="335">
        <f t="shared" si="18"/>
        <v>0</v>
      </c>
      <c r="CK52" s="335">
        <f t="shared" si="18"/>
        <v>0</v>
      </c>
      <c r="CL52" s="335">
        <f t="shared" si="18"/>
        <v>0</v>
      </c>
      <c r="CM52" s="335">
        <f t="shared" si="18"/>
        <v>0</v>
      </c>
      <c r="CN52" s="335">
        <f>+SUM(K52:CM52)</f>
        <v>-155</v>
      </c>
    </row>
    <row r="53" spans="10:92">
      <c r="J53" s="206" t="s">
        <v>2491</v>
      </c>
      <c r="K53" s="335">
        <f>K49-K33</f>
        <v>118</v>
      </c>
      <c r="L53" s="335">
        <f t="shared" ref="L53:BW53" si="19">L49-L33</f>
        <v>0</v>
      </c>
      <c r="M53" s="335">
        <f t="shared" si="19"/>
        <v>-357</v>
      </c>
      <c r="N53" s="335">
        <f t="shared" si="19"/>
        <v>-3</v>
      </c>
      <c r="O53" s="335">
        <f t="shared" si="19"/>
        <v>517</v>
      </c>
      <c r="P53" s="335">
        <f t="shared" si="19"/>
        <v>-423</v>
      </c>
      <c r="Q53" s="335">
        <f t="shared" si="19"/>
        <v>10</v>
      </c>
      <c r="R53" s="335">
        <f t="shared" si="19"/>
        <v>140</v>
      </c>
      <c r="S53" s="335">
        <f t="shared" si="19"/>
        <v>0</v>
      </c>
      <c r="T53" s="335">
        <f t="shared" si="19"/>
        <v>0</v>
      </c>
      <c r="U53" s="335">
        <f t="shared" si="19"/>
        <v>0</v>
      </c>
      <c r="V53" s="335">
        <f t="shared" si="19"/>
        <v>0</v>
      </c>
      <c r="W53" s="335">
        <f t="shared" si="19"/>
        <v>0</v>
      </c>
      <c r="X53" s="335">
        <f t="shared" si="19"/>
        <v>37</v>
      </c>
      <c r="Y53" s="335">
        <f t="shared" si="19"/>
        <v>0</v>
      </c>
      <c r="Z53" s="335">
        <f t="shared" si="19"/>
        <v>0</v>
      </c>
      <c r="AA53" s="335">
        <f t="shared" si="19"/>
        <v>0</v>
      </c>
      <c r="AB53" s="335">
        <f t="shared" si="19"/>
        <v>0</v>
      </c>
      <c r="AC53" s="335">
        <f t="shared" si="19"/>
        <v>0</v>
      </c>
      <c r="AD53" s="335">
        <f t="shared" si="19"/>
        <v>0</v>
      </c>
      <c r="AE53" s="335">
        <f t="shared" si="19"/>
        <v>0</v>
      </c>
      <c r="AF53" s="335">
        <f t="shared" si="19"/>
        <v>0</v>
      </c>
      <c r="AG53" s="335">
        <f t="shared" si="19"/>
        <v>0</v>
      </c>
      <c r="AH53" s="335">
        <f t="shared" si="19"/>
        <v>0</v>
      </c>
      <c r="AI53" s="335">
        <f t="shared" si="19"/>
        <v>0</v>
      </c>
      <c r="AJ53" s="335">
        <f t="shared" si="19"/>
        <v>0</v>
      </c>
      <c r="AK53" s="335">
        <f t="shared" si="19"/>
        <v>12</v>
      </c>
      <c r="AL53" s="335">
        <f t="shared" si="19"/>
        <v>0</v>
      </c>
      <c r="AM53" s="335">
        <f t="shared" si="19"/>
        <v>0</v>
      </c>
      <c r="AN53" s="335">
        <f t="shared" si="19"/>
        <v>5</v>
      </c>
      <c r="AO53" s="335">
        <f t="shared" si="19"/>
        <v>0</v>
      </c>
      <c r="AP53" s="335">
        <f t="shared" si="19"/>
        <v>163</v>
      </c>
      <c r="AQ53" s="335">
        <f t="shared" si="19"/>
        <v>0</v>
      </c>
      <c r="AR53" s="335">
        <f t="shared" si="19"/>
        <v>-6</v>
      </c>
      <c r="AS53" s="335">
        <f t="shared" si="19"/>
        <v>0</v>
      </c>
      <c r="AT53" s="335">
        <f t="shared" si="19"/>
        <v>0</v>
      </c>
      <c r="AU53" s="335">
        <f t="shared" si="19"/>
        <v>0</v>
      </c>
      <c r="AV53" s="335">
        <f t="shared" si="19"/>
        <v>0</v>
      </c>
      <c r="AW53" s="335">
        <f t="shared" si="19"/>
        <v>0</v>
      </c>
      <c r="AX53" s="335">
        <f t="shared" si="19"/>
        <v>0</v>
      </c>
      <c r="AY53" s="335">
        <f t="shared" si="19"/>
        <v>0</v>
      </c>
      <c r="AZ53" s="335">
        <f t="shared" si="19"/>
        <v>8</v>
      </c>
      <c r="BA53" s="335">
        <f t="shared" si="19"/>
        <v>14</v>
      </c>
      <c r="BB53" s="335">
        <f t="shared" si="19"/>
        <v>0</v>
      </c>
      <c r="BC53" s="335">
        <f t="shared" si="19"/>
        <v>0</v>
      </c>
      <c r="BD53" s="335">
        <f t="shared" si="19"/>
        <v>12</v>
      </c>
      <c r="BE53" s="335">
        <f t="shared" si="19"/>
        <v>0</v>
      </c>
      <c r="BF53" s="335">
        <f t="shared" si="19"/>
        <v>0</v>
      </c>
      <c r="BG53" s="335">
        <f t="shared" si="19"/>
        <v>0</v>
      </c>
      <c r="BH53" s="335">
        <f t="shared" si="19"/>
        <v>0</v>
      </c>
      <c r="BI53" s="335">
        <f t="shared" si="19"/>
        <v>0</v>
      </c>
      <c r="BJ53" s="335">
        <f t="shared" si="19"/>
        <v>0</v>
      </c>
      <c r="BK53" s="335">
        <f t="shared" si="19"/>
        <v>0</v>
      </c>
      <c r="BL53" s="335">
        <f t="shared" si="19"/>
        <v>0</v>
      </c>
      <c r="BM53" s="335">
        <f t="shared" si="19"/>
        <v>0</v>
      </c>
      <c r="BN53" s="335">
        <f t="shared" si="19"/>
        <v>0</v>
      </c>
      <c r="BO53" s="335">
        <f t="shared" si="19"/>
        <v>0</v>
      </c>
      <c r="BP53" s="335">
        <f t="shared" si="19"/>
        <v>0</v>
      </c>
      <c r="BQ53" s="335">
        <f t="shared" si="19"/>
        <v>0</v>
      </c>
      <c r="BR53" s="335">
        <f t="shared" si="19"/>
        <v>0</v>
      </c>
      <c r="BS53" s="335">
        <f t="shared" si="19"/>
        <v>0</v>
      </c>
      <c r="BT53" s="335">
        <f t="shared" si="19"/>
        <v>0</v>
      </c>
      <c r="BU53" s="335">
        <f t="shared" si="19"/>
        <v>0</v>
      </c>
      <c r="BV53" s="335">
        <f t="shared" si="19"/>
        <v>0</v>
      </c>
      <c r="BW53" s="335">
        <f t="shared" si="19"/>
        <v>0</v>
      </c>
      <c r="BX53" s="335">
        <f t="shared" ref="BX53:CM53" si="20">BX49-BX33</f>
        <v>0</v>
      </c>
      <c r="BY53" s="335">
        <f t="shared" si="20"/>
        <v>0</v>
      </c>
      <c r="BZ53" s="335">
        <f t="shared" si="20"/>
        <v>0</v>
      </c>
      <c r="CA53" s="335">
        <f t="shared" si="20"/>
        <v>0</v>
      </c>
      <c r="CB53" s="335">
        <f t="shared" si="20"/>
        <v>0</v>
      </c>
      <c r="CC53" s="335">
        <f t="shared" si="20"/>
        <v>0</v>
      </c>
      <c r="CD53" s="335">
        <f t="shared" si="20"/>
        <v>0</v>
      </c>
      <c r="CE53" s="335">
        <f t="shared" si="20"/>
        <v>0</v>
      </c>
      <c r="CF53" s="335">
        <f t="shared" si="20"/>
        <v>0</v>
      </c>
      <c r="CG53" s="335">
        <f t="shared" si="20"/>
        <v>0</v>
      </c>
      <c r="CH53" s="335">
        <f t="shared" si="20"/>
        <v>0</v>
      </c>
      <c r="CI53" s="335">
        <f t="shared" si="20"/>
        <v>0</v>
      </c>
      <c r="CJ53" s="335">
        <f t="shared" si="20"/>
        <v>0</v>
      </c>
      <c r="CK53" s="335">
        <f t="shared" si="20"/>
        <v>0</v>
      </c>
      <c r="CL53" s="335">
        <f t="shared" si="20"/>
        <v>0</v>
      </c>
      <c r="CM53" s="335">
        <f t="shared" si="20"/>
        <v>0</v>
      </c>
      <c r="CN53" s="335">
        <f>+SUM(K53:CM53)</f>
        <v>247</v>
      </c>
    </row>
    <row r="312" spans="3:12">
      <c r="C312" s="206" t="s">
        <v>192</v>
      </c>
      <c r="F312" s="206" t="s">
        <v>2416</v>
      </c>
      <c r="H312" s="206" t="s">
        <v>2086</v>
      </c>
    </row>
    <row r="313" spans="3:12">
      <c r="C313" s="206" t="s">
        <v>192</v>
      </c>
      <c r="H313" s="206" t="s">
        <v>2086</v>
      </c>
      <c r="K313" s="206" t="s">
        <v>2411</v>
      </c>
      <c r="L313" s="206" t="s">
        <v>2419</v>
      </c>
    </row>
    <row r="314" spans="3:12">
      <c r="L314" s="206" t="s">
        <v>2420</v>
      </c>
    </row>
  </sheetData>
  <customSheetViews>
    <customSheetView guid="{9861AEDC-A168-4FA5-BC34-0FF06E2D98B0}" showGridLines="0">
      <selection activeCell="G20" sqref="G20"/>
      <pageMargins left="0.7" right="0.7" top="0.75" bottom="0.75" header="0.3" footer="0.3"/>
      <pageSetup paperSize="9" orientation="portrait" r:id="rId1"/>
    </customSheetView>
    <customSheetView guid="{6026142C-022D-477E-A086-A3D1CB0201B2}" showGridLines="0">
      <selection activeCell="D6" sqref="D6"/>
      <pageMargins left="0.7" right="0.7" top="0.75" bottom="0.75" header="0.3" footer="0.3"/>
      <pageSetup paperSize="9" orientation="portrait" r:id="rId2"/>
    </customSheetView>
    <customSheetView guid="{0988812C-B87C-4041-945B-D3D481C0E3B2}" topLeftCell="A4">
      <selection activeCell="E14" sqref="E14"/>
      <pageMargins left="0.7" right="0.7" top="0.75" bottom="0.75" header="0.3" footer="0.3"/>
      <pageSetup paperSize="9" orientation="portrait" r:id="rId3"/>
    </customSheetView>
    <customSheetView guid="{9B5412D3-CE8B-4D5C-87A1-6A92385B5055}">
      <pageMargins left="0.7" right="0.7" top="0.75" bottom="0.75" header="0.3" footer="0.3"/>
      <pageSetup paperSize="9" orientation="portrait" r:id="rId4"/>
    </customSheetView>
    <customSheetView guid="{1E6FDA0A-7324-47B7-8781-F649F81C62F2}">
      <pageMargins left="0.7" right="0.7" top="0.75" bottom="0.75" header="0.3" footer="0.3"/>
      <pageSetup paperSize="9" orientation="portrait" r:id="rId5"/>
    </customSheetView>
    <customSheetView guid="{10FE0AC7-DC28-4361-9D3E-E82A44C052DC}">
      <selection activeCell="C20" sqref="C20"/>
      <pageMargins left="0.7" right="0.7" top="0.75" bottom="0.75" header="0.3" footer="0.3"/>
      <pageSetup paperSize="9" orientation="portrait" r:id="rId6"/>
    </customSheetView>
    <customSheetView guid="{15FEF1C5-8ED8-40F7-B190-479F9E1DDCD0}" showGridLines="0">
      <selection activeCell="D6" sqref="D6:F6"/>
      <pageMargins left="0.7" right="0.7" top="0.75" bottom="0.75" header="0.3" footer="0.3"/>
      <pageSetup paperSize="9" orientation="portrait" r:id="rId7"/>
    </customSheetView>
    <customSheetView guid="{4561BCBD-DB5E-4D30-A9CE-7BB23B692C5E}" showGridLines="0">
      <selection activeCell="D6" sqref="D6"/>
      <pageMargins left="0.7" right="0.7" top="0.75" bottom="0.75" header="0.3" footer="0.3"/>
      <pageSetup paperSize="9" orientation="portrait" r:id="rId8"/>
    </customSheetView>
    <customSheetView guid="{B96AA43F-C6B6-4097-9127-C885199888B4}" showGridLines="0">
      <selection activeCell="G20" sqref="G20"/>
      <pageMargins left="0.7" right="0.7" top="0.75" bottom="0.75" header="0.3" footer="0.3"/>
      <pageSetup paperSize="9" orientation="portrait" r:id="rId9"/>
    </customSheetView>
    <customSheetView guid="{6357C996-BE12-4F66-ACBB-1F9F08F8885C}" showGridLines="0">
      <selection activeCell="C8" sqref="C8:E11"/>
      <pageMargins left="0.7" right="0.7" top="0.75" bottom="0.75" header="0.3" footer="0.3"/>
      <pageSetup paperSize="9" orientation="portrait" r:id="rId10"/>
    </customSheetView>
    <customSheetView guid="{5874C782-5C34-4C4C-BCC6-3692259149CA}" showGridLines="0">
      <selection activeCell="C8" sqref="C8:E11"/>
      <pageMargins left="0.7" right="0.7" top="0.75" bottom="0.75" header="0.3" footer="0.3"/>
      <pageSetup paperSize="9" orientation="portrait" r:id="rId11"/>
    </customSheetView>
  </customSheetViews>
  <mergeCells count="1">
    <mergeCell ref="C4:H5"/>
  </mergeCells>
  <pageMargins left="0.7" right="0.7" top="0.75" bottom="0.75" header="0.3" footer="0.3"/>
  <pageSetup paperSize="9" orientation="portrait" r:id="rId12"/>
  <customProperties>
    <customPr name="EpmWorksheetKeyString_GUID" r:id="rId13"/>
  </customProperties>
  <drawing r:id="rId14"/>
  <legacyDrawing r:id="rId15"/>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codeName="Feuil23"/>
  <dimension ref="A1:B174"/>
  <sheetViews>
    <sheetView workbookViewId="0">
      <selection activeCell="B7" sqref="B7"/>
    </sheetView>
  </sheetViews>
  <sheetFormatPr baseColWidth="10" defaultColWidth="11.42578125" defaultRowHeight="15"/>
  <cols>
    <col min="1" max="16384" width="11.42578125" style="30"/>
  </cols>
  <sheetData>
    <row r="1" spans="1:2">
      <c r="A1" s="67" t="s">
        <v>1192</v>
      </c>
      <c r="B1" s="30" t="str">
        <f>"{"&amp;A1&amp;"}+"</f>
        <v>{AC=R65800003}+</v>
      </c>
    </row>
    <row r="2" spans="1:2">
      <c r="A2" s="67" t="s">
        <v>1178</v>
      </c>
      <c r="B2" s="30" t="str">
        <f t="shared" ref="B2:B65" si="0">"{"&amp;A2&amp;"}+"&amp;B1</f>
        <v>{AC=R67320000}+{AC=R65800003}+</v>
      </c>
    </row>
    <row r="3" spans="1:2">
      <c r="A3" s="67" t="s">
        <v>1179</v>
      </c>
      <c r="B3" s="30" t="str">
        <f t="shared" si="0"/>
        <v>{AC=R67330000}+{AC=R67320000}+{AC=R65800003}+</v>
      </c>
    </row>
    <row r="4" spans="1:2">
      <c r="A4" s="67" t="s">
        <v>1180</v>
      </c>
      <c r="B4" s="30" t="str">
        <f t="shared" si="0"/>
        <v>{AC=R67350000}+{AC=R67330000}+{AC=R67320000}+{AC=R65800003}+</v>
      </c>
    </row>
    <row r="5" spans="1:2">
      <c r="A5" s="67" t="s">
        <v>1181</v>
      </c>
      <c r="B5" s="30" t="str">
        <f t="shared" si="0"/>
        <v>{AC=R67300000}+{AC=R67350000}+{AC=R67330000}+{AC=R67320000}+{AC=R65800003}+</v>
      </c>
    </row>
    <row r="6" spans="1:2">
      <c r="A6" s="83" t="s">
        <v>1182</v>
      </c>
      <c r="B6" s="30" t="str">
        <f t="shared" si="0"/>
        <v>{AC=R68123000}+{AC=R67300000}+{AC=R67350000}+{AC=R67330000}+{AC=R67320000}+{AC=R65800003}+</v>
      </c>
    </row>
    <row r="7" spans="1:2">
      <c r="A7" s="83" t="s">
        <v>1183</v>
      </c>
      <c r="B7" s="30" t="str">
        <f t="shared" si="0"/>
        <v>{AC=R66405000}+{AC=R68123000}+{AC=R67300000}+{AC=R67350000}+{AC=R67330000}+{AC=R67320000}+{AC=R65800003}+</v>
      </c>
    </row>
    <row r="8" spans="1:2">
      <c r="A8" s="67" t="s">
        <v>1184</v>
      </c>
      <c r="B8" s="30" t="str">
        <f t="shared" si="0"/>
        <v>{AC=R68611000}+{AC=R66405000}+{AC=R68123000}+{AC=R67300000}+{AC=R67350000}+{AC=R67330000}+{AC=R67320000}+{AC=R65800003}+</v>
      </c>
    </row>
    <row r="9" spans="1:2">
      <c r="A9" s="67" t="s">
        <v>1185</v>
      </c>
      <c r="B9" s="30" t="str">
        <f t="shared" si="0"/>
        <v>{AC=R67403000}+{AC=R68611000}+{AC=R66405000}+{AC=R68123000}+{AC=R67300000}+{AC=R67350000}+{AC=R67330000}+{AC=R67320000}+{AC=R65800003}+</v>
      </c>
    </row>
    <row r="10" spans="1:2">
      <c r="A10" s="67" t="s">
        <v>1193</v>
      </c>
      <c r="B10" s="30" t="str">
        <f t="shared" si="0"/>
        <v>{AC=R67405000}+{AC=R67403000}+{AC=R68611000}+{AC=R66405000}+{AC=R68123000}+{AC=R67300000}+{AC=R67350000}+{AC=R67330000}+{AC=R67320000}+{AC=R65800003}+</v>
      </c>
    </row>
    <row r="11" spans="1:2">
      <c r="A11" s="67" t="s">
        <v>1186</v>
      </c>
      <c r="B11" s="30" t="str">
        <f>"{"&amp;A11&amp;"}+"&amp;B10</f>
        <v>{AC=R60629100}+{AC=R67405000}+{AC=R67403000}+{AC=R68611000}+{AC=R66405000}+{AC=R68123000}+{AC=R67300000}+{AC=R67350000}+{AC=R67330000}+{AC=R67320000}+{AC=R65800003}+</v>
      </c>
    </row>
    <row r="12" spans="1:2">
      <c r="A12" s="67" t="s">
        <v>1187</v>
      </c>
      <c r="B12" s="30" t="str">
        <f>"{"&amp;A12&amp;"}+"&amp;B11</f>
        <v>{AC=R60629200}+{AC=R60629100}+{AC=R67405000}+{AC=R67403000}+{AC=R68611000}+{AC=R66405000}+{AC=R68123000}+{AC=R67300000}+{AC=R67350000}+{AC=R67330000}+{AC=R67320000}+{AC=R65800003}+</v>
      </c>
    </row>
    <row r="13" spans="1:2">
      <c r="A13" s="67" t="s">
        <v>1188</v>
      </c>
      <c r="B13" s="30" t="str">
        <f>"{"&amp;A13&amp;"}+"&amp;B12</f>
        <v>{AC=R65800001}+{AC=R60629200}+{AC=R60629100}+{AC=R67405000}+{AC=R67403000}+{AC=R68611000}+{AC=R66405000}+{AC=R68123000}+{AC=R67300000}+{AC=R67350000}+{AC=R67330000}+{AC=R67320000}+{AC=R65800003}+</v>
      </c>
    </row>
    <row r="14" spans="1:2">
      <c r="A14" s="67" t="s">
        <v>1189</v>
      </c>
      <c r="B14" s="30" t="str">
        <f>"{"&amp;A14&amp;"}+"&amp;B13</f>
        <v>{AC=R67401000}+{AC=R65800001}+{AC=R60629200}+{AC=R60629100}+{AC=R67405000}+{AC=R67403000}+{AC=R68611000}+{AC=R66405000}+{AC=R68123000}+{AC=R67300000}+{AC=R67350000}+{AC=R67330000}+{AC=R67320000}+{AC=R65800003}+</v>
      </c>
    </row>
    <row r="15" spans="1:2">
      <c r="A15" s="67" t="s">
        <v>1190</v>
      </c>
      <c r="B15" s="30" t="str">
        <f>"{"&amp;A15&amp;"}+"&amp;B14</f>
        <v>{AC=R681240000}+{AC=R67401000}+{AC=R65800001}+{AC=R60629200}+{AC=R60629100}+{AC=R67405000}+{AC=R67403000}+{AC=R68611000}+{AC=R66405000}+{AC=R68123000}+{AC=R67300000}+{AC=R67350000}+{AC=R67330000}+{AC=R67320000}+{AC=R65800003}+</v>
      </c>
    </row>
    <row r="16" spans="1:2">
      <c r="A16" s="43" t="s">
        <v>1191</v>
      </c>
      <c r="B16" s="30" t="str">
        <f t="shared" si="0"/>
        <v>{AC=R681241000}+{AC=R681240000}+{AC=R67401000}+{AC=R65800001}+{AC=R60629200}+{AC=R60629100}+{AC=R67405000}+{AC=R67403000}+{AC=R68611000}+{AC=R66405000}+{AC=R68123000}+{AC=R67300000}+{AC=R67350000}+{AC=R67330000}+{AC=R67320000}+{AC=R65800003}+</v>
      </c>
    </row>
    <row r="17" spans="1:2">
      <c r="A17" s="34" t="s">
        <v>234</v>
      </c>
      <c r="B17" s="30" t="str">
        <f t="shared" si="0"/>
        <v>{RU=PG1102}+{AC=R681241000}+{AC=R681240000}+{AC=R67401000}+{AC=R65800001}+{AC=R60629200}+{AC=R60629100}+{AC=R67405000}+{AC=R67403000}+{AC=R68611000}+{AC=R66405000}+{AC=R68123000}+{AC=R67300000}+{AC=R67350000}+{AC=R67330000}+{AC=R67320000}+{AC=R65800003}+</v>
      </c>
    </row>
    <row r="18" spans="1:2">
      <c r="A18" s="34" t="s">
        <v>235</v>
      </c>
      <c r="B18" s="30" t="str">
        <f t="shared" si="0"/>
        <v>{RU=PG1103}+{RU=PG1102}+{AC=R681241000}+{AC=R681240000}+{AC=R67401000}+{AC=R65800001}+{AC=R60629200}+{AC=R60629100}+{AC=R67405000}+{AC=R67403000}+{AC=R68611000}+{AC=R66405000}+{AC=R68123000}+{AC=R67300000}+{AC=R67350000}+{AC=R67330000}+{AC=R67320000}+{AC=R65800003}+</v>
      </c>
    </row>
    <row r="19" spans="1:2">
      <c r="A19" s="34" t="s">
        <v>236</v>
      </c>
      <c r="B19" s="30" t="str">
        <f t="shared" si="0"/>
        <v>{RU=PG1104}+{RU=PG1103}+{RU=PG1102}+{AC=R681241000}+{AC=R681240000}+{AC=R67401000}+{AC=R65800001}+{AC=R60629200}+{AC=R60629100}+{AC=R67405000}+{AC=R67403000}+{AC=R68611000}+{AC=R66405000}+{AC=R68123000}+{AC=R67300000}+{AC=R67350000}+{AC=R67330000}+{AC=R67320000}+{AC=R65800003}+</v>
      </c>
    </row>
    <row r="20" spans="1:2">
      <c r="A20" s="34" t="s">
        <v>237</v>
      </c>
      <c r="B20" s="30" t="str">
        <f t="shared" si="0"/>
        <v>{RU=PG1105}+{RU=PG1104}+{RU=PG1103}+{RU=PG1102}+{AC=R681241000}+{AC=R681240000}+{AC=R67401000}+{AC=R65800001}+{AC=R60629200}+{AC=R60629100}+{AC=R67405000}+{AC=R67403000}+{AC=R68611000}+{AC=R66405000}+{AC=R68123000}+{AC=R67300000}+{AC=R67350000}+{AC=R67330000}+{AC=R67320000}+{AC=R65800003}+</v>
      </c>
    </row>
    <row r="21" spans="1:2">
      <c r="A21" s="34" t="s">
        <v>1046</v>
      </c>
      <c r="B21" s="30" t="str">
        <f t="shared" si="0"/>
        <v>{AC=P46900000}+{RU=PG1105}+{RU=PG1104}+{RU=PG1103}+{RU=PG1102}+{AC=R681241000}+{AC=R681240000}+{AC=R67401000}+{AC=R65800001}+{AC=R60629200}+{AC=R60629100}+{AC=R67405000}+{AC=R67403000}+{AC=R68611000}+{AC=R66405000}+{AC=R68123000}+{AC=R67300000}+{AC=R67350000}+{AC=R67330000}+{AC=R67320000}+{AC=R65800003}+</v>
      </c>
    </row>
    <row r="22" spans="1:2">
      <c r="A22" s="34" t="s">
        <v>1047</v>
      </c>
      <c r="B22" s="30" t="str">
        <f t="shared" si="0"/>
        <v>{AC=P46910000}+{AC=P46900000}+{RU=PG1105}+{RU=PG1104}+{RU=PG1103}+{RU=PG1102}+{AC=R681241000}+{AC=R681240000}+{AC=R67401000}+{AC=R65800001}+{AC=R60629200}+{AC=R60629100}+{AC=R67405000}+{AC=R67403000}+{AC=R68611000}+{AC=R66405000}+{AC=R68123000}+{AC=R67300000}+{AC=R67350000}+{AC=R67330000}+{AC=R67320000}+{AC=R65800003}+</v>
      </c>
    </row>
    <row r="23" spans="1:2">
      <c r="A23" s="34" t="s">
        <v>1048</v>
      </c>
      <c r="B23" s="30" t="str">
        <f t="shared" si="0"/>
        <v>{AC=P4690000L}+{AC=P46910000}+{AC=P46900000}+{RU=PG1105}+{RU=PG1104}+{RU=PG1103}+{RU=PG1102}+{AC=R681241000}+{AC=R681240000}+{AC=R67401000}+{AC=R65800001}+{AC=R60629200}+{AC=R60629100}+{AC=R67405000}+{AC=R67403000}+{AC=R68611000}+{AC=R66405000}+{AC=R68123000}+{AC=R67300000}+{AC=R67350000}+{AC=R67330000}+{AC=R67320000}+{AC=R65800003}+</v>
      </c>
    </row>
    <row r="24" spans="1:2">
      <c r="A24" s="34" t="s">
        <v>1049</v>
      </c>
      <c r="B24" s="30" t="str">
        <f t="shared" si="0"/>
        <v>{AC=P4690000AJ}+{AC=P4690000L}+{AC=P46910000}+{AC=P46900000}+{RU=PG1105}+{RU=PG1104}+{RU=PG1103}+{RU=PG1102}+{AC=R681241000}+{AC=R681240000}+{AC=R67401000}+{AC=R65800001}+{AC=R60629200}+{AC=R60629100}+{AC=R67405000}+{AC=R67403000}+{AC=R68611000}+{AC=R66405000}+{AC=R68123000}+{AC=R67300000}+{AC=R67350000}+{AC=R67330000}+{AC=R67320000}+{AC=R65800003}+</v>
      </c>
    </row>
    <row r="25" spans="1:2">
      <c r="A25" s="34" t="s">
        <v>1050</v>
      </c>
      <c r="B25" s="30" t="str">
        <f t="shared" si="0"/>
        <v>{AC=P4690090L}+{AC=P4690000AJ}+{AC=P4690000L}+{AC=P46910000}+{AC=P46900000}+{RU=PG1105}+{RU=PG1104}+{RU=PG1103}+{RU=PG1102}+{AC=R681241000}+{AC=R681240000}+{AC=R67401000}+{AC=R65800001}+{AC=R60629200}+{AC=R60629100}+{AC=R67405000}+{AC=R67403000}+{AC=R68611000}+{AC=R66405000}+{AC=R68123000}+{AC=R67300000}+{AC=R67350000}+{AC=R67330000}+{AC=R67320000}+{AC=R65800003}+</v>
      </c>
    </row>
    <row r="26" spans="1:2">
      <c r="A26" s="34" t="s">
        <v>1051</v>
      </c>
      <c r="B26" s="30" t="str">
        <f t="shared" si="0"/>
        <v>{AC=P4690090AJ}+{AC=P4690090L}+{AC=P4690000AJ}+{AC=P4690000L}+{AC=P46910000}+{AC=P46900000}+{RU=PG1105}+{RU=PG1104}+{RU=PG1103}+{RU=PG1102}+{AC=R681241000}+{AC=R681240000}+{AC=R67401000}+{AC=R65800001}+{AC=R60629200}+{AC=R60629100}+{AC=R67405000}+{AC=R67403000}+{AC=R68611000}+{AC=R66405000}+{AC=R68123000}+{AC=R67300000}+{AC=R67350000}+{AC=R67330000}+{AC=R67320000}+{AC=R65800003}+</v>
      </c>
    </row>
    <row r="27" spans="1:2">
      <c r="A27" s="34" t="s">
        <v>1052</v>
      </c>
      <c r="B27" s="30" t="str">
        <f t="shared" si="0"/>
        <v>{AC=P46500000}+{AC=P4690090AJ}+{AC=P4690090L}+{AC=P4690000AJ}+{AC=P4690000L}+{AC=P46910000}+{AC=P46900000}+{RU=PG1105}+{RU=PG1104}+{RU=PG1103}+{RU=PG1102}+{AC=R681241000}+{AC=R681240000}+{AC=R67401000}+{AC=R65800001}+{AC=R60629200}+{AC=R60629100}+{AC=R67405000}+{AC=R67403000}+{AC=R68611000}+{AC=R66405000}+{AC=R68123000}+{AC=R67300000}+{AC=R67350000}+{AC=R67330000}+{AC=R67320000}+{AC=R65800003}+</v>
      </c>
    </row>
    <row r="28" spans="1:2">
      <c r="A28" s="34" t="s">
        <v>1053</v>
      </c>
      <c r="B28" s="30" t="str">
        <f t="shared" si="0"/>
        <v>{AC=P46860000}+{AC=P46500000}+{AC=P4690090AJ}+{AC=P4690090L}+{AC=P4690000AJ}+{AC=P4690000L}+{AC=P46910000}+{AC=P46900000}+{RU=PG1105}+{RU=PG1104}+{RU=PG1103}+{RU=PG1102}+{AC=R681241000}+{AC=R681240000}+{AC=R67401000}+{AC=R65800001}+{AC=R60629200}+{AC=R60629100}+{AC=R67405000}+{AC=R67403000}+{AC=R68611000}+{AC=R66405000}+{AC=R68123000}+{AC=R67300000}+{AC=R67350000}+{AC=R67330000}+{AC=R67320000}+{AC=R65800003}+</v>
      </c>
    </row>
    <row r="29" spans="1:2">
      <c r="A29" s="34" t="s">
        <v>1054</v>
      </c>
      <c r="B29" s="30" t="str">
        <f t="shared" si="0"/>
        <v>{AC=P48500000}+{AC=P46860000}+{AC=P46500000}+{AC=P4690090AJ}+{AC=P4690090L}+{AC=P4690000AJ}+{AC=P4690000L}+{AC=P46910000}+{AC=P46900000}+{RU=PG1105}+{RU=PG1104}+{RU=PG1103}+{RU=PG1102}+{AC=R681241000}+{AC=R681240000}+{AC=R67401000}+{AC=R65800001}+{AC=R60629200}+{AC=R60629100}+{AC=R67405000}+{AC=R67403000}+{AC=R68611000}+{AC=R66405000}+{AC=R68123000}+{AC=R67300000}+{AC=R67350000}+{AC=R67330000}+{AC=R67320000}+{AC=R65800003}+</v>
      </c>
    </row>
    <row r="30" spans="1:2">
      <c r="A30" s="34" t="s">
        <v>1055</v>
      </c>
      <c r="B30" s="30" t="str">
        <f t="shared" si="0"/>
        <v>{AC=P41681000}+{AC=P48500000}+{AC=P46860000}+{AC=P46500000}+{AC=P4690090AJ}+{AC=P4690090L}+{AC=P4690000AJ}+{AC=P4690000L}+{AC=P46910000}+{AC=P46900000}+{RU=PG1105}+{RU=PG1104}+{RU=PG1103}+{RU=PG1102}+{AC=R681241000}+{AC=R681240000}+{AC=R67401000}+{AC=R65800001}+{AC=R60629200}+{AC=R60629100}+{AC=R67405000}+{AC=R67403000}+{AC=R68611000}+{AC=R66405000}+{AC=R68123000}+{AC=R67300000}+{AC=R67350000}+{AC=R67330000}+{AC=R67320000}+{AC=R65800003}+</v>
      </c>
    </row>
    <row r="31" spans="1:2">
      <c r="A31" s="34" t="s">
        <v>1056</v>
      </c>
      <c r="B31" s="30" t="str">
        <f t="shared" si="0"/>
        <v>{AC=P4168100L}+{AC=P41681000}+{AC=P48500000}+{AC=P46860000}+{AC=P46500000}+{AC=P4690090AJ}+{AC=P4690090L}+{AC=P4690000AJ}+{AC=P4690000L}+{AC=P46910000}+{AC=P46900000}+{RU=PG1105}+{RU=PG1104}+{RU=PG1103}+{RU=PG1102}+{AC=R681241000}+{AC=R681240000}+{AC=R67401000}+{AC=R65800001}+{AC=R60629200}+{AC=R60629100}+{AC=R67405000}+{AC=R67403000}+{AC=R68611000}+{AC=R66405000}+{AC=R68123000}+{AC=R67300000}+{AC=R67350000}+{AC=R67330000}+{AC=R67320000}+{AC=R65800003}+</v>
      </c>
    </row>
    <row r="32" spans="1:2">
      <c r="A32" s="34" t="s">
        <v>1057</v>
      </c>
      <c r="B32" s="30" t="str">
        <f t="shared" si="0"/>
        <v>{AC=P4168100AJ}+{AC=P4168100L}+{AC=P41681000}+{AC=P48500000}+{AC=P46860000}+{AC=P46500000}+{AC=P4690090AJ}+{AC=P4690090L}+{AC=P4690000AJ}+{AC=P4690000L}+{AC=P46910000}+{AC=P46900000}+{RU=PG1105}+{RU=PG1104}+{RU=PG1103}+{RU=PG1102}+{AC=R681241000}+{AC=R681240000}+{AC=R67401000}+{AC=R65800001}+{AC=R60629200}+{AC=R60629100}+{AC=R67405000}+{AC=R67403000}+{AC=R68611000}+{AC=R66405000}+{AC=R68123000}+{AC=R67300000}+{AC=R67350000}+{AC=R67330000}+{AC=R67320000}+{AC=R65800003}+</v>
      </c>
    </row>
    <row r="33" spans="1:2">
      <c r="A33" s="34" t="s">
        <v>1058</v>
      </c>
      <c r="B33" s="30" t="str">
        <f t="shared" si="0"/>
        <v>{AC=P48100000Y}+{AC=P4168100AJ}+{AC=P4168100L}+{AC=P41681000}+{AC=P48500000}+{AC=P46860000}+{AC=P46500000}+{AC=P4690090AJ}+{AC=P4690090L}+{AC=P4690000AJ}+{AC=P4690000L}+{AC=P46910000}+{AC=P46900000}+{RU=PG1105}+{RU=PG1104}+{RU=PG1103}+{RU=PG1102}+{AC=R681241000}+{AC=R681240000}+{AC=R67401000}+{AC=R65800001}+{AC=R60629200}+{AC=R60629100}+{AC=R67405000}+{AC=R67403000}+{AC=R68611000}+{AC=R66405000}+{AC=R68123000}+{AC=R67300000}+{AC=R67350000}+{AC=R67330000}+{AC=R67320000}+{AC=R65800003}+</v>
      </c>
    </row>
    <row r="34" spans="1:2">
      <c r="A34" s="34" t="s">
        <v>1059</v>
      </c>
      <c r="B34" s="30" t="str">
        <f t="shared" si="0"/>
        <v>{AC=P49810000Y}+{AC=P48100000Y}+{AC=P4168100AJ}+{AC=P4168100L}+{AC=P41681000}+{AC=P48500000}+{AC=P46860000}+{AC=P46500000}+{AC=P4690090AJ}+{AC=P4690090L}+{AC=P4690000AJ}+{AC=P4690000L}+{AC=P46910000}+{AC=P46900000}+{RU=PG1105}+{RU=PG1104}+{RU=PG1103}+{RU=PG1102}+{AC=R681241000}+{AC=R681240000}+{AC=R67401000}+{AC=R65800001}+{AC=R60629200}+{AC=R60629100}+{AC=R67405000}+{AC=R67403000}+{AC=R68611000}+{AC=R66405000}+{AC=R68123000}+{AC=R67300000}+{AC=R67350000}+{AC=R67330000}+{AC=R67320000}+{AC=R65800003}+</v>
      </c>
    </row>
    <row r="35" spans="1:2">
      <c r="A35" s="34"/>
      <c r="B35" s="30" t="str">
        <f t="shared" si="0"/>
        <v>{}+{AC=P49810000Y}+{AC=P48100000Y}+{AC=P4168100AJ}+{AC=P4168100L}+{AC=P41681000}+{AC=P48500000}+{AC=P46860000}+{AC=P46500000}+{AC=P4690090AJ}+{AC=P4690090L}+{AC=P4690000AJ}+{AC=P4690000L}+{AC=P46910000}+{AC=P46900000}+{RU=PG1105}+{RU=PG1104}+{RU=PG1103}+{RU=PG1102}+{AC=R681241000}+{AC=R681240000}+{AC=R67401000}+{AC=R65800001}+{AC=R60629200}+{AC=R60629100}+{AC=R67405000}+{AC=R67403000}+{AC=R68611000}+{AC=R66405000}+{AC=R68123000}+{AC=R67300000}+{AC=R67350000}+{AC=R67330000}+{AC=R67320000}+{AC=R65800003}+</v>
      </c>
    </row>
    <row r="36" spans="1:2">
      <c r="A36" s="34"/>
      <c r="B36" s="30" t="str">
        <f t="shared" si="0"/>
        <v>{}+{}+{AC=P49810000Y}+{AC=P48100000Y}+{AC=P4168100AJ}+{AC=P4168100L}+{AC=P41681000}+{AC=P48500000}+{AC=P46860000}+{AC=P46500000}+{AC=P4690090AJ}+{AC=P4690090L}+{AC=P4690000AJ}+{AC=P4690000L}+{AC=P46910000}+{AC=P46900000}+{RU=PG1105}+{RU=PG1104}+{RU=PG1103}+{RU=PG1102}+{AC=R681241000}+{AC=R681240000}+{AC=R67401000}+{AC=R65800001}+{AC=R60629200}+{AC=R60629100}+{AC=R67405000}+{AC=R67403000}+{AC=R68611000}+{AC=R66405000}+{AC=R68123000}+{AC=R67300000}+{AC=R67350000}+{AC=R67330000}+{AC=R67320000}+{AC=R65800003}+</v>
      </c>
    </row>
    <row r="37" spans="1:2">
      <c r="A37" s="34"/>
      <c r="B37" s="30" t="str">
        <f t="shared" si="0"/>
        <v>{}+{}+{}+{AC=P49810000Y}+{AC=P48100000Y}+{AC=P4168100AJ}+{AC=P4168100L}+{AC=P41681000}+{AC=P48500000}+{AC=P46860000}+{AC=P46500000}+{AC=P4690090AJ}+{AC=P4690090L}+{AC=P4690000AJ}+{AC=P4690000L}+{AC=P46910000}+{AC=P46900000}+{RU=PG1105}+{RU=PG1104}+{RU=PG1103}+{RU=PG1102}+{AC=R681241000}+{AC=R681240000}+{AC=R67401000}+{AC=R65800001}+{AC=R60629200}+{AC=R60629100}+{AC=R67405000}+{AC=R67403000}+{AC=R68611000}+{AC=R66405000}+{AC=R68123000}+{AC=R67300000}+{AC=R67350000}+{AC=R67330000}+{AC=R67320000}+{AC=R65800003}+</v>
      </c>
    </row>
    <row r="38" spans="1:2">
      <c r="A38" s="34"/>
      <c r="B38" s="30" t="str">
        <f t="shared" si="0"/>
        <v>{}+{}+{}+{}+{AC=P49810000Y}+{AC=P48100000Y}+{AC=P4168100AJ}+{AC=P4168100L}+{AC=P41681000}+{AC=P48500000}+{AC=P46860000}+{AC=P46500000}+{AC=P4690090AJ}+{AC=P4690090L}+{AC=P4690000AJ}+{AC=P4690000L}+{AC=P46910000}+{AC=P46900000}+{RU=PG1105}+{RU=PG1104}+{RU=PG1103}+{RU=PG1102}+{AC=R681241000}+{AC=R681240000}+{AC=R67401000}+{AC=R65800001}+{AC=R60629200}+{AC=R60629100}+{AC=R67405000}+{AC=R67403000}+{AC=R68611000}+{AC=R66405000}+{AC=R68123000}+{AC=R67300000}+{AC=R67350000}+{AC=R67330000}+{AC=R67320000}+{AC=R65800003}+</v>
      </c>
    </row>
    <row r="39" spans="1:2">
      <c r="A39" s="34"/>
      <c r="B39" s="30" t="str">
        <f t="shared" si="0"/>
        <v>{}+{}+{}+{}+{}+{AC=P49810000Y}+{AC=P48100000Y}+{AC=P4168100AJ}+{AC=P4168100L}+{AC=P41681000}+{AC=P48500000}+{AC=P46860000}+{AC=P46500000}+{AC=P4690090AJ}+{AC=P4690090L}+{AC=P4690000AJ}+{AC=P4690000L}+{AC=P46910000}+{AC=P46900000}+{RU=PG1105}+{RU=PG1104}+{RU=PG1103}+{RU=PG1102}+{AC=R681241000}+{AC=R681240000}+{AC=R67401000}+{AC=R65800001}+{AC=R60629200}+{AC=R60629100}+{AC=R67405000}+{AC=R67403000}+{AC=R68611000}+{AC=R66405000}+{AC=R68123000}+{AC=R67300000}+{AC=R67350000}+{AC=R67330000}+{AC=R67320000}+{AC=R65800003}+</v>
      </c>
    </row>
    <row r="40" spans="1:2">
      <c r="A40" s="34"/>
      <c r="B40" s="30" t="str">
        <f t="shared" si="0"/>
        <v>{}+{}+{}+{}+{}+{}+{AC=P49810000Y}+{AC=P48100000Y}+{AC=P4168100AJ}+{AC=P4168100L}+{AC=P41681000}+{AC=P48500000}+{AC=P46860000}+{AC=P46500000}+{AC=P4690090AJ}+{AC=P4690090L}+{AC=P4690000AJ}+{AC=P4690000L}+{AC=P46910000}+{AC=P46900000}+{RU=PG1105}+{RU=PG1104}+{RU=PG1103}+{RU=PG1102}+{AC=R681241000}+{AC=R681240000}+{AC=R67401000}+{AC=R65800001}+{AC=R60629200}+{AC=R60629100}+{AC=R67405000}+{AC=R67403000}+{AC=R68611000}+{AC=R66405000}+{AC=R68123000}+{AC=R67300000}+{AC=R67350000}+{AC=R67330000}+{AC=R67320000}+{AC=R65800003}+</v>
      </c>
    </row>
    <row r="41" spans="1:2">
      <c r="A41" s="34"/>
      <c r="B41" s="30" t="str">
        <f t="shared" si="0"/>
        <v>{}+{}+{}+{}+{}+{}+{}+{AC=P49810000Y}+{AC=P48100000Y}+{AC=P4168100AJ}+{AC=P4168100L}+{AC=P41681000}+{AC=P48500000}+{AC=P46860000}+{AC=P46500000}+{AC=P4690090AJ}+{AC=P4690090L}+{AC=P4690000AJ}+{AC=P4690000L}+{AC=P46910000}+{AC=P46900000}+{RU=PG1105}+{RU=PG1104}+{RU=PG1103}+{RU=PG1102}+{AC=R681241000}+{AC=R681240000}+{AC=R67401000}+{AC=R65800001}+{AC=R60629200}+{AC=R60629100}+{AC=R67405000}+{AC=R67403000}+{AC=R68611000}+{AC=R66405000}+{AC=R68123000}+{AC=R67300000}+{AC=R67350000}+{AC=R67330000}+{AC=R67320000}+{AC=R65800003}+</v>
      </c>
    </row>
    <row r="42" spans="1:2">
      <c r="A42" s="34"/>
      <c r="B42" s="30" t="str">
        <f t="shared" si="0"/>
        <v>{}+{}+{}+{}+{}+{}+{}+{}+{AC=P49810000Y}+{AC=P48100000Y}+{AC=P4168100AJ}+{AC=P4168100L}+{AC=P41681000}+{AC=P48500000}+{AC=P46860000}+{AC=P46500000}+{AC=P4690090AJ}+{AC=P4690090L}+{AC=P4690000AJ}+{AC=P4690000L}+{AC=P46910000}+{AC=P46900000}+{RU=PG1105}+{RU=PG1104}+{RU=PG1103}+{RU=PG1102}+{AC=R681241000}+{AC=R681240000}+{AC=R67401000}+{AC=R65800001}+{AC=R60629200}+{AC=R60629100}+{AC=R67405000}+{AC=R67403000}+{AC=R68611000}+{AC=R66405000}+{AC=R68123000}+{AC=R67300000}+{AC=R67350000}+{AC=R67330000}+{AC=R67320000}+{AC=R65800003}+</v>
      </c>
    </row>
    <row r="43" spans="1:2">
      <c r="A43" s="34"/>
      <c r="B43" s="30" t="str">
        <f t="shared" si="0"/>
        <v>{}+{}+{}+{}+{}+{}+{}+{}+{}+{AC=P49810000Y}+{AC=P48100000Y}+{AC=P4168100AJ}+{AC=P4168100L}+{AC=P41681000}+{AC=P48500000}+{AC=P46860000}+{AC=P46500000}+{AC=P4690090AJ}+{AC=P4690090L}+{AC=P4690000AJ}+{AC=P4690000L}+{AC=P46910000}+{AC=P46900000}+{RU=PG1105}+{RU=PG1104}+{RU=PG1103}+{RU=PG1102}+{AC=R681241000}+{AC=R681240000}+{AC=R67401000}+{AC=R65800001}+{AC=R60629200}+{AC=R60629100}+{AC=R67405000}+{AC=R67403000}+{AC=R68611000}+{AC=R66405000}+{AC=R68123000}+{AC=R67300000}+{AC=R67350000}+{AC=R67330000}+{AC=R67320000}+{AC=R65800003}+</v>
      </c>
    </row>
    <row r="44" spans="1:2">
      <c r="A44" s="34"/>
      <c r="B44" s="30" t="str">
        <f t="shared" si="0"/>
        <v>{}+{}+{}+{}+{}+{}+{}+{}+{}+{}+{AC=P49810000Y}+{AC=P48100000Y}+{AC=P4168100AJ}+{AC=P4168100L}+{AC=P41681000}+{AC=P48500000}+{AC=P46860000}+{AC=P46500000}+{AC=P4690090AJ}+{AC=P4690090L}+{AC=P4690000AJ}+{AC=P4690000L}+{AC=P46910000}+{AC=P46900000}+{RU=PG1105}+{RU=PG1104}+{RU=PG1103}+{RU=PG1102}+{AC=R681241000}+{AC=R681240000}+{AC=R67401000}+{AC=R65800001}+{AC=R60629200}+{AC=R60629100}+{AC=R67405000}+{AC=R67403000}+{AC=R68611000}+{AC=R66405000}+{AC=R68123000}+{AC=R67300000}+{AC=R67350000}+{AC=R67330000}+{AC=R67320000}+{AC=R65800003}+</v>
      </c>
    </row>
    <row r="45" spans="1:2">
      <c r="A45" s="34"/>
      <c r="B45" s="30" t="str">
        <f t="shared" si="0"/>
        <v>{}+{}+{}+{}+{}+{}+{}+{}+{}+{}+{}+{AC=P49810000Y}+{AC=P48100000Y}+{AC=P4168100AJ}+{AC=P4168100L}+{AC=P41681000}+{AC=P48500000}+{AC=P46860000}+{AC=P46500000}+{AC=P4690090AJ}+{AC=P4690090L}+{AC=P4690000AJ}+{AC=P4690000L}+{AC=P46910000}+{AC=P46900000}+{RU=PG1105}+{RU=PG1104}+{RU=PG1103}+{RU=PG1102}+{AC=R681241000}+{AC=R681240000}+{AC=R67401000}+{AC=R65800001}+{AC=R60629200}+{AC=R60629100}+{AC=R67405000}+{AC=R67403000}+{AC=R68611000}+{AC=R66405000}+{AC=R68123000}+{AC=R67300000}+{AC=R67350000}+{AC=R67330000}+{AC=R67320000}+{AC=R65800003}+</v>
      </c>
    </row>
    <row r="46" spans="1:2">
      <c r="A46" s="34"/>
      <c r="B46" s="30" t="str">
        <f t="shared" si="0"/>
        <v>{}+{}+{}+{}+{}+{}+{}+{}+{}+{}+{}+{}+{AC=P49810000Y}+{AC=P48100000Y}+{AC=P4168100AJ}+{AC=P4168100L}+{AC=P41681000}+{AC=P48500000}+{AC=P46860000}+{AC=P46500000}+{AC=P4690090AJ}+{AC=P4690090L}+{AC=P4690000AJ}+{AC=P4690000L}+{AC=P46910000}+{AC=P46900000}+{RU=PG1105}+{RU=PG1104}+{RU=PG1103}+{RU=PG1102}+{AC=R681241000}+{AC=R681240000}+{AC=R67401000}+{AC=R65800001}+{AC=R60629200}+{AC=R60629100}+{AC=R67405000}+{AC=R67403000}+{AC=R68611000}+{AC=R66405000}+{AC=R68123000}+{AC=R67300000}+{AC=R67350000}+{AC=R67330000}+{AC=R67320000}+{AC=R65800003}+</v>
      </c>
    </row>
    <row r="47" spans="1:2">
      <c r="A47" s="34"/>
      <c r="B47" s="30" t="str">
        <f t="shared" si="0"/>
        <v>{}+{}+{}+{}+{}+{}+{}+{}+{}+{}+{}+{}+{}+{AC=P49810000Y}+{AC=P48100000Y}+{AC=P4168100AJ}+{AC=P4168100L}+{AC=P41681000}+{AC=P48500000}+{AC=P46860000}+{AC=P46500000}+{AC=P4690090AJ}+{AC=P4690090L}+{AC=P4690000AJ}+{AC=P4690000L}+{AC=P46910000}+{AC=P46900000}+{RU=PG1105}+{RU=PG1104}+{RU=PG1103}+{RU=PG1102}+{AC=R681241000}+{AC=R681240000}+{AC=R67401000}+{AC=R65800001}+{AC=R60629200}+{AC=R60629100}+{AC=R67405000}+{AC=R67403000}+{AC=R68611000}+{AC=R66405000}+{AC=R68123000}+{AC=R67300000}+{AC=R67350000}+{AC=R67330000}+{AC=R67320000}+{AC=R65800003}+</v>
      </c>
    </row>
    <row r="48" spans="1:2">
      <c r="A48" s="34"/>
      <c r="B48" s="30" t="str">
        <f t="shared" si="0"/>
        <v>{}+{}+{}+{}+{}+{}+{}+{}+{}+{}+{}+{}+{}+{}+{AC=P49810000Y}+{AC=P48100000Y}+{AC=P4168100AJ}+{AC=P4168100L}+{AC=P41681000}+{AC=P48500000}+{AC=P46860000}+{AC=P46500000}+{AC=P4690090AJ}+{AC=P4690090L}+{AC=P4690000AJ}+{AC=P4690000L}+{AC=P46910000}+{AC=P46900000}+{RU=PG1105}+{RU=PG1104}+{RU=PG1103}+{RU=PG1102}+{AC=R681241000}+{AC=R681240000}+{AC=R67401000}+{AC=R65800001}+{AC=R60629200}+{AC=R60629100}+{AC=R67405000}+{AC=R67403000}+{AC=R68611000}+{AC=R66405000}+{AC=R68123000}+{AC=R67300000}+{AC=R67350000}+{AC=R67330000}+{AC=R67320000}+{AC=R65800003}+</v>
      </c>
    </row>
    <row r="49" spans="1:2">
      <c r="A49" s="34"/>
      <c r="B49" s="30" t="str">
        <f t="shared" si="0"/>
        <v>{}+{}+{}+{}+{}+{}+{}+{}+{}+{}+{}+{}+{}+{}+{}+{AC=P49810000Y}+{AC=P48100000Y}+{AC=P4168100AJ}+{AC=P4168100L}+{AC=P41681000}+{AC=P48500000}+{AC=P46860000}+{AC=P46500000}+{AC=P4690090AJ}+{AC=P4690090L}+{AC=P4690000AJ}+{AC=P4690000L}+{AC=P46910000}+{AC=P46900000}+{RU=PG1105}+{RU=PG1104}+{RU=PG1103}+{RU=PG1102}+{AC=R681241000}+{AC=R681240000}+{AC=R67401000}+{AC=R65800001}+{AC=R60629200}+{AC=R60629100}+{AC=R67405000}+{AC=R67403000}+{AC=R68611000}+{AC=R66405000}+{AC=R68123000}+{AC=R67300000}+{AC=R67350000}+{AC=R67330000}+{AC=R67320000}+{AC=R65800003}+</v>
      </c>
    </row>
    <row r="50" spans="1:2">
      <c r="A50" s="34"/>
      <c r="B50" s="30" t="str">
        <f t="shared" si="0"/>
        <v>{}+{}+{}+{}+{}+{}+{}+{}+{}+{}+{}+{}+{}+{}+{}+{}+{AC=P49810000Y}+{AC=P48100000Y}+{AC=P4168100AJ}+{AC=P4168100L}+{AC=P41681000}+{AC=P48500000}+{AC=P46860000}+{AC=P46500000}+{AC=P4690090AJ}+{AC=P4690090L}+{AC=P4690000AJ}+{AC=P4690000L}+{AC=P46910000}+{AC=P46900000}+{RU=PG1105}+{RU=PG1104}+{RU=PG1103}+{RU=PG1102}+{AC=R681241000}+{AC=R681240000}+{AC=R67401000}+{AC=R65800001}+{AC=R60629200}+{AC=R60629100}+{AC=R67405000}+{AC=R67403000}+{AC=R68611000}+{AC=R66405000}+{AC=R68123000}+{AC=R67300000}+{AC=R67350000}+{AC=R67330000}+{AC=R67320000}+{AC=R65800003}+</v>
      </c>
    </row>
    <row r="51" spans="1:2">
      <c r="A51" s="34"/>
      <c r="B51" s="30" t="str">
        <f t="shared" si="0"/>
        <v>{}+{}+{}+{}+{}+{}+{}+{}+{}+{}+{}+{}+{}+{}+{}+{}+{}+{AC=P49810000Y}+{AC=P48100000Y}+{AC=P4168100AJ}+{AC=P4168100L}+{AC=P41681000}+{AC=P48500000}+{AC=P46860000}+{AC=P46500000}+{AC=P4690090AJ}+{AC=P4690090L}+{AC=P4690000AJ}+{AC=P4690000L}+{AC=P46910000}+{AC=P46900000}+{RU=PG1105}+{RU=PG1104}+{RU=PG1103}+{RU=PG1102}+{AC=R681241000}+{AC=R681240000}+{AC=R67401000}+{AC=R65800001}+{AC=R60629200}+{AC=R60629100}+{AC=R67405000}+{AC=R67403000}+{AC=R68611000}+{AC=R66405000}+{AC=R68123000}+{AC=R67300000}+{AC=R67350000}+{AC=R67330000}+{AC=R67320000}+{AC=R65800003}+</v>
      </c>
    </row>
    <row r="52" spans="1:2">
      <c r="A52" s="34"/>
      <c r="B52" s="30" t="str">
        <f t="shared" si="0"/>
        <v>{}+{}+{}+{}+{}+{}+{}+{}+{}+{}+{}+{}+{}+{}+{}+{}+{}+{}+{AC=P49810000Y}+{AC=P48100000Y}+{AC=P4168100AJ}+{AC=P4168100L}+{AC=P41681000}+{AC=P48500000}+{AC=P46860000}+{AC=P46500000}+{AC=P4690090AJ}+{AC=P4690090L}+{AC=P4690000AJ}+{AC=P4690000L}+{AC=P46910000}+{AC=P46900000}+{RU=PG1105}+{RU=PG1104}+{RU=PG1103}+{RU=PG1102}+{AC=R681241000}+{AC=R681240000}+{AC=R67401000}+{AC=R65800001}+{AC=R60629200}+{AC=R60629100}+{AC=R67405000}+{AC=R67403000}+{AC=R68611000}+{AC=R66405000}+{AC=R68123000}+{AC=R67300000}+{AC=R67350000}+{AC=R67330000}+{AC=R67320000}+{AC=R65800003}+</v>
      </c>
    </row>
    <row r="53" spans="1:2">
      <c r="A53" s="34"/>
      <c r="B53" s="30" t="str">
        <f t="shared" si="0"/>
        <v>{}+{}+{}+{}+{}+{}+{}+{}+{}+{}+{}+{}+{}+{}+{}+{}+{}+{}+{}+{AC=P49810000Y}+{AC=P48100000Y}+{AC=P4168100AJ}+{AC=P4168100L}+{AC=P41681000}+{AC=P48500000}+{AC=P46860000}+{AC=P46500000}+{AC=P4690090AJ}+{AC=P4690090L}+{AC=P4690000AJ}+{AC=P4690000L}+{AC=P46910000}+{AC=P46900000}+{RU=PG1105}+{RU=PG1104}+{RU=PG1103}+{RU=PG1102}+{AC=R681241000}+{AC=R681240000}+{AC=R67401000}+{AC=R65800001}+{AC=R60629200}+{AC=R60629100}+{AC=R67405000}+{AC=R67403000}+{AC=R68611000}+{AC=R66405000}+{AC=R68123000}+{AC=R67300000}+{AC=R67350000}+{AC=R67330000}+{AC=R67320000}+{AC=R65800003}+</v>
      </c>
    </row>
    <row r="54" spans="1:2">
      <c r="A54" s="34"/>
      <c r="B54" s="30" t="str">
        <f t="shared" si="0"/>
        <v>{}+{}+{}+{}+{}+{}+{}+{}+{}+{}+{}+{}+{}+{}+{}+{}+{}+{}+{}+{}+{AC=P49810000Y}+{AC=P48100000Y}+{AC=P4168100AJ}+{AC=P4168100L}+{AC=P41681000}+{AC=P48500000}+{AC=P46860000}+{AC=P46500000}+{AC=P4690090AJ}+{AC=P4690090L}+{AC=P4690000AJ}+{AC=P4690000L}+{AC=P46910000}+{AC=P46900000}+{RU=PG1105}+{RU=PG1104}+{RU=PG1103}+{RU=PG1102}+{AC=R681241000}+{AC=R681240000}+{AC=R67401000}+{AC=R65800001}+{AC=R60629200}+{AC=R60629100}+{AC=R67405000}+{AC=R67403000}+{AC=R68611000}+{AC=R66405000}+{AC=R68123000}+{AC=R67300000}+{AC=R67350000}+{AC=R67330000}+{AC=R67320000}+{AC=R65800003}+</v>
      </c>
    </row>
    <row r="55" spans="1:2">
      <c r="A55" s="34"/>
      <c r="B55" s="30" t="str">
        <f t="shared" si="0"/>
        <v>{}+{}+{}+{}+{}+{}+{}+{}+{}+{}+{}+{}+{}+{}+{}+{}+{}+{}+{}+{}+{}+{AC=P49810000Y}+{AC=P48100000Y}+{AC=P4168100AJ}+{AC=P4168100L}+{AC=P41681000}+{AC=P48500000}+{AC=P46860000}+{AC=P46500000}+{AC=P4690090AJ}+{AC=P4690090L}+{AC=P4690000AJ}+{AC=P4690000L}+{AC=P46910000}+{AC=P46900000}+{RU=PG1105}+{RU=PG1104}+{RU=PG1103}+{RU=PG1102}+{AC=R681241000}+{AC=R681240000}+{AC=R67401000}+{AC=R65800001}+{AC=R60629200}+{AC=R60629100}+{AC=R67405000}+{AC=R67403000}+{AC=R68611000}+{AC=R66405000}+{AC=R68123000}+{AC=R67300000}+{AC=R67350000}+{AC=R67330000}+{AC=R67320000}+{AC=R65800003}+</v>
      </c>
    </row>
    <row r="56" spans="1:2">
      <c r="A56" s="34"/>
      <c r="B56" s="30" t="str">
        <f t="shared" si="0"/>
        <v>{}+{}+{}+{}+{}+{}+{}+{}+{}+{}+{}+{}+{}+{}+{}+{}+{}+{}+{}+{}+{}+{}+{AC=P49810000Y}+{AC=P48100000Y}+{AC=P4168100AJ}+{AC=P4168100L}+{AC=P41681000}+{AC=P48500000}+{AC=P46860000}+{AC=P46500000}+{AC=P4690090AJ}+{AC=P4690090L}+{AC=P4690000AJ}+{AC=P4690000L}+{AC=P46910000}+{AC=P46900000}+{RU=PG1105}+{RU=PG1104}+{RU=PG1103}+{RU=PG1102}+{AC=R681241000}+{AC=R681240000}+{AC=R67401000}+{AC=R65800001}+{AC=R60629200}+{AC=R60629100}+{AC=R67405000}+{AC=R67403000}+{AC=R68611000}+{AC=R66405000}+{AC=R68123000}+{AC=R67300000}+{AC=R67350000}+{AC=R67330000}+{AC=R67320000}+{AC=R65800003}+</v>
      </c>
    </row>
    <row r="57" spans="1:2">
      <c r="A57" s="34"/>
      <c r="B57" s="30" t="str">
        <f t="shared" si="0"/>
        <v>{}+{}+{}+{}+{}+{}+{}+{}+{}+{}+{}+{}+{}+{}+{}+{}+{}+{}+{}+{}+{}+{}+{}+{AC=P49810000Y}+{AC=P48100000Y}+{AC=P4168100AJ}+{AC=P4168100L}+{AC=P41681000}+{AC=P48500000}+{AC=P46860000}+{AC=P46500000}+{AC=P4690090AJ}+{AC=P4690090L}+{AC=P4690000AJ}+{AC=P4690000L}+{AC=P46910000}+{AC=P46900000}+{RU=PG1105}+{RU=PG1104}+{RU=PG1103}+{RU=PG1102}+{AC=R681241000}+{AC=R681240000}+{AC=R67401000}+{AC=R65800001}+{AC=R60629200}+{AC=R60629100}+{AC=R67405000}+{AC=R67403000}+{AC=R68611000}+{AC=R66405000}+{AC=R68123000}+{AC=R67300000}+{AC=R67350000}+{AC=R67330000}+{AC=R67320000}+{AC=R65800003}+</v>
      </c>
    </row>
    <row r="58" spans="1:2">
      <c r="A58" s="34"/>
      <c r="B58" s="30" t="str">
        <f t="shared" si="0"/>
        <v>{}+{}+{}+{}+{}+{}+{}+{}+{}+{}+{}+{}+{}+{}+{}+{}+{}+{}+{}+{}+{}+{}+{}+{}+{AC=P49810000Y}+{AC=P48100000Y}+{AC=P4168100AJ}+{AC=P4168100L}+{AC=P41681000}+{AC=P48500000}+{AC=P46860000}+{AC=P46500000}+{AC=P4690090AJ}+{AC=P4690090L}+{AC=P4690000AJ}+{AC=P4690000L}+{AC=P46910000}+{AC=P46900000}+{RU=PG1105}+{RU=PG1104}+{RU=PG1103}+{RU=PG1102}+{AC=R681241000}+{AC=R681240000}+{AC=R67401000}+{AC=R65800001}+{AC=R60629200}+{AC=R60629100}+{AC=R67405000}+{AC=R67403000}+{AC=R68611000}+{AC=R66405000}+{AC=R68123000}+{AC=R67300000}+{AC=R67350000}+{AC=R67330000}+{AC=R67320000}+{AC=R65800003}+</v>
      </c>
    </row>
    <row r="59" spans="1:2">
      <c r="A59" s="34"/>
      <c r="B59" s="30" t="str">
        <f t="shared" si="0"/>
        <v>{}+{}+{}+{}+{}+{}+{}+{}+{}+{}+{}+{}+{}+{}+{}+{}+{}+{}+{}+{}+{}+{}+{}+{}+{}+{AC=P49810000Y}+{AC=P48100000Y}+{AC=P4168100AJ}+{AC=P4168100L}+{AC=P41681000}+{AC=P48500000}+{AC=P46860000}+{AC=P46500000}+{AC=P4690090AJ}+{AC=P4690090L}+{AC=P4690000AJ}+{AC=P4690000L}+{AC=P46910000}+{AC=P46900000}+{RU=PG1105}+{RU=PG1104}+{RU=PG1103}+{RU=PG1102}+{AC=R681241000}+{AC=R681240000}+{AC=R67401000}+{AC=R65800001}+{AC=R60629200}+{AC=R60629100}+{AC=R67405000}+{AC=R67403000}+{AC=R68611000}+{AC=R66405000}+{AC=R68123000}+{AC=R67300000}+{AC=R67350000}+{AC=R67330000}+{AC=R67320000}+{AC=R65800003}+</v>
      </c>
    </row>
    <row r="60" spans="1:2">
      <c r="A60" s="34"/>
      <c r="B60" s="30" t="str">
        <f t="shared" si="0"/>
        <v>{}+{}+{}+{}+{}+{}+{}+{}+{}+{}+{}+{}+{}+{}+{}+{}+{}+{}+{}+{}+{}+{}+{}+{}+{}+{}+{AC=P49810000Y}+{AC=P48100000Y}+{AC=P4168100AJ}+{AC=P4168100L}+{AC=P41681000}+{AC=P48500000}+{AC=P46860000}+{AC=P46500000}+{AC=P4690090AJ}+{AC=P4690090L}+{AC=P4690000AJ}+{AC=P4690000L}+{AC=P46910000}+{AC=P46900000}+{RU=PG1105}+{RU=PG1104}+{RU=PG1103}+{RU=PG1102}+{AC=R681241000}+{AC=R681240000}+{AC=R67401000}+{AC=R65800001}+{AC=R60629200}+{AC=R60629100}+{AC=R67405000}+{AC=R67403000}+{AC=R68611000}+{AC=R66405000}+{AC=R68123000}+{AC=R67300000}+{AC=R67350000}+{AC=R67330000}+{AC=R67320000}+{AC=R65800003}+</v>
      </c>
    </row>
    <row r="61" spans="1:2">
      <c r="A61" s="34"/>
      <c r="B61" s="30" t="str">
        <f t="shared" si="0"/>
        <v>{}+{}+{}+{}+{}+{}+{}+{}+{}+{}+{}+{}+{}+{}+{}+{}+{}+{}+{}+{}+{}+{}+{}+{}+{}+{}+{}+{AC=P49810000Y}+{AC=P48100000Y}+{AC=P4168100AJ}+{AC=P4168100L}+{AC=P41681000}+{AC=P48500000}+{AC=P46860000}+{AC=P46500000}+{AC=P4690090AJ}+{AC=P4690090L}+{AC=P4690000AJ}+{AC=P4690000L}+{AC=P46910000}+{AC=P46900000}+{RU=PG1105}+{RU=PG1104}+{RU=PG1103}+{RU=PG1102}+{AC=R681241000}+{AC=R681240000}+{AC=R67401000}+{AC=R65800001}+{AC=R60629200}+{AC=R60629100}+{AC=R67405000}+{AC=R67403000}+{AC=R68611000}+{AC=R66405000}+{AC=R68123000}+{AC=R67300000}+{AC=R67350000}+{AC=R67330000}+{AC=R67320000}+{AC=R65800003}+</v>
      </c>
    </row>
    <row r="62" spans="1:2">
      <c r="A62" s="34"/>
      <c r="B62" s="30" t="str">
        <f t="shared" si="0"/>
        <v>{}+{}+{}+{}+{}+{}+{}+{}+{}+{}+{}+{}+{}+{}+{}+{}+{}+{}+{}+{}+{}+{}+{}+{}+{}+{}+{}+{}+{AC=P49810000Y}+{AC=P48100000Y}+{AC=P4168100AJ}+{AC=P4168100L}+{AC=P41681000}+{AC=P48500000}+{AC=P46860000}+{AC=P46500000}+{AC=P4690090AJ}+{AC=P4690090L}+{AC=P4690000AJ}+{AC=P4690000L}+{AC=P46910000}+{AC=P46900000}+{RU=PG1105}+{RU=PG1104}+{RU=PG1103}+{RU=PG1102}+{AC=R681241000}+{AC=R681240000}+{AC=R67401000}+{AC=R65800001}+{AC=R60629200}+{AC=R60629100}+{AC=R67405000}+{AC=R67403000}+{AC=R68611000}+{AC=R66405000}+{AC=R68123000}+{AC=R67300000}+{AC=R67350000}+{AC=R67330000}+{AC=R67320000}+{AC=R65800003}+</v>
      </c>
    </row>
    <row r="63" spans="1:2">
      <c r="A63" s="34"/>
      <c r="B63" s="30" t="str">
        <f t="shared" si="0"/>
        <v>{}+{}+{}+{}+{}+{}+{}+{}+{}+{}+{}+{}+{}+{}+{}+{}+{}+{}+{}+{}+{}+{}+{}+{}+{}+{}+{}+{}+{}+{AC=P49810000Y}+{AC=P48100000Y}+{AC=P4168100AJ}+{AC=P4168100L}+{AC=P41681000}+{AC=P48500000}+{AC=P46860000}+{AC=P46500000}+{AC=P4690090AJ}+{AC=P4690090L}+{AC=P4690000AJ}+{AC=P4690000L}+{AC=P46910000}+{AC=P46900000}+{RU=PG1105}+{RU=PG1104}+{RU=PG1103}+{RU=PG1102}+{AC=R681241000}+{AC=R681240000}+{AC=R67401000}+{AC=R65800001}+{AC=R60629200}+{AC=R60629100}+{AC=R67405000}+{AC=R67403000}+{AC=R68611000}+{AC=R66405000}+{AC=R68123000}+{AC=R67300000}+{AC=R67350000}+{AC=R67330000}+{AC=R67320000}+{AC=R65800003}+</v>
      </c>
    </row>
    <row r="64" spans="1:2">
      <c r="A64" s="34"/>
      <c r="B64" s="30" t="str">
        <f t="shared" si="0"/>
        <v>{}+{}+{}+{}+{}+{}+{}+{}+{}+{}+{}+{}+{}+{}+{}+{}+{}+{}+{}+{}+{}+{}+{}+{}+{}+{}+{}+{}+{}+{}+{AC=P49810000Y}+{AC=P48100000Y}+{AC=P4168100AJ}+{AC=P4168100L}+{AC=P41681000}+{AC=P48500000}+{AC=P46860000}+{AC=P46500000}+{AC=P4690090AJ}+{AC=P4690090L}+{AC=P4690000AJ}+{AC=P4690000L}+{AC=P46910000}+{AC=P46900000}+{RU=PG1105}+{RU=PG1104}+{RU=PG1103}+{RU=PG1102}+{AC=R681241000}+{AC=R681240000}+{AC=R67401000}+{AC=R65800001}+{AC=R60629200}+{AC=R60629100}+{AC=R67405000}+{AC=R67403000}+{AC=R68611000}+{AC=R66405000}+{AC=R68123000}+{AC=R67300000}+{AC=R67350000}+{AC=R67330000}+{AC=R67320000}+{AC=R65800003}+</v>
      </c>
    </row>
    <row r="65" spans="1:2">
      <c r="A65" s="34"/>
      <c r="B65" s="30" t="str">
        <f t="shared" si="0"/>
        <v>{}+{}+{}+{}+{}+{}+{}+{}+{}+{}+{}+{}+{}+{}+{}+{}+{}+{}+{}+{}+{}+{}+{}+{}+{}+{}+{}+{}+{}+{}+{}+{AC=P49810000Y}+{AC=P48100000Y}+{AC=P4168100AJ}+{AC=P4168100L}+{AC=P41681000}+{AC=P48500000}+{AC=P46860000}+{AC=P46500000}+{AC=P4690090AJ}+{AC=P4690090L}+{AC=P4690000AJ}+{AC=P4690000L}+{AC=P46910000}+{AC=P46900000}+{RU=PG1105}+{RU=PG1104}+{RU=PG1103}+{RU=PG1102}+{AC=R681241000}+{AC=R681240000}+{AC=R67401000}+{AC=R65800001}+{AC=R60629200}+{AC=R60629100}+{AC=R67405000}+{AC=R67403000}+{AC=R68611000}+{AC=R66405000}+{AC=R68123000}+{AC=R67300000}+{AC=R67350000}+{AC=R67330000}+{AC=R67320000}+{AC=R65800003}+</v>
      </c>
    </row>
    <row r="66" spans="1:2">
      <c r="A66" s="34"/>
      <c r="B66" s="30" t="str">
        <f t="shared" ref="B66:B129" si="1">"{"&amp;A66&amp;"}+"&amp;B65</f>
        <v>{}+{}+{}+{}+{}+{}+{}+{}+{}+{}+{}+{}+{}+{}+{}+{}+{}+{}+{}+{}+{}+{}+{}+{}+{}+{}+{}+{}+{}+{}+{}+{}+{AC=P49810000Y}+{AC=P48100000Y}+{AC=P4168100AJ}+{AC=P4168100L}+{AC=P41681000}+{AC=P48500000}+{AC=P46860000}+{AC=P46500000}+{AC=P4690090AJ}+{AC=P4690090L}+{AC=P4690000AJ}+{AC=P4690000L}+{AC=P46910000}+{AC=P46900000}+{RU=PG1105}+{RU=PG1104}+{RU=PG1103}+{RU=PG1102}+{AC=R681241000}+{AC=R681240000}+{AC=R67401000}+{AC=R65800001}+{AC=R60629200}+{AC=R60629100}+{AC=R67405000}+{AC=R67403000}+{AC=R68611000}+{AC=R66405000}+{AC=R68123000}+{AC=R67300000}+{AC=R67350000}+{AC=R67330000}+{AC=R67320000}+{AC=R65800003}+</v>
      </c>
    </row>
    <row r="67" spans="1:2">
      <c r="A67" s="34"/>
      <c r="B67" s="30" t="str">
        <f t="shared" si="1"/>
        <v>{}+{}+{}+{}+{}+{}+{}+{}+{}+{}+{}+{}+{}+{}+{}+{}+{}+{}+{}+{}+{}+{}+{}+{}+{}+{}+{}+{}+{}+{}+{}+{}+{}+{AC=P49810000Y}+{AC=P48100000Y}+{AC=P4168100AJ}+{AC=P4168100L}+{AC=P41681000}+{AC=P48500000}+{AC=P46860000}+{AC=P46500000}+{AC=P4690090AJ}+{AC=P4690090L}+{AC=P4690000AJ}+{AC=P4690000L}+{AC=P46910000}+{AC=P46900000}+{RU=PG1105}+{RU=PG1104}+{RU=PG1103}+{RU=PG1102}+{AC=R681241000}+{AC=R681240000}+{AC=R67401000}+{AC=R65800001}+{AC=R60629200}+{AC=R60629100}+{AC=R67405000}+{AC=R67403000}+{AC=R68611000}+{AC=R66405000}+{AC=R68123000}+{AC=R67300000}+{AC=R67350000}+{AC=R67330000}+{AC=R67320000}+{AC=R65800003}+</v>
      </c>
    </row>
    <row r="68" spans="1:2">
      <c r="A68" s="34"/>
      <c r="B68" s="30" t="str">
        <f t="shared" si="1"/>
        <v>{}+{}+{}+{}+{}+{}+{}+{}+{}+{}+{}+{}+{}+{}+{}+{}+{}+{}+{}+{}+{}+{}+{}+{}+{}+{}+{}+{}+{}+{}+{}+{}+{}+{}+{AC=P49810000Y}+{AC=P48100000Y}+{AC=P4168100AJ}+{AC=P4168100L}+{AC=P41681000}+{AC=P48500000}+{AC=P46860000}+{AC=P46500000}+{AC=P4690090AJ}+{AC=P4690090L}+{AC=P4690000AJ}+{AC=P4690000L}+{AC=P46910000}+{AC=P46900000}+{RU=PG1105}+{RU=PG1104}+{RU=PG1103}+{RU=PG1102}+{AC=R681241000}+{AC=R681240000}+{AC=R67401000}+{AC=R65800001}+{AC=R60629200}+{AC=R60629100}+{AC=R67405000}+{AC=R67403000}+{AC=R68611000}+{AC=R66405000}+{AC=R68123000}+{AC=R67300000}+{AC=R67350000}+{AC=R67330000}+{AC=R67320000}+{AC=R65800003}+</v>
      </c>
    </row>
    <row r="69" spans="1:2">
      <c r="A69" s="34"/>
      <c r="B69" s="30" t="str">
        <f t="shared" si="1"/>
        <v>{}+{}+{}+{}+{}+{}+{}+{}+{}+{}+{}+{}+{}+{}+{}+{}+{}+{}+{}+{}+{}+{}+{}+{}+{}+{}+{}+{}+{}+{}+{}+{}+{}+{}+{}+{AC=P49810000Y}+{AC=P48100000Y}+{AC=P4168100AJ}+{AC=P4168100L}+{AC=P41681000}+{AC=P48500000}+{AC=P46860000}+{AC=P46500000}+{AC=P4690090AJ}+{AC=P4690090L}+{AC=P4690000AJ}+{AC=P4690000L}+{AC=P46910000}+{AC=P46900000}+{RU=PG1105}+{RU=PG1104}+{RU=PG1103}+{RU=PG1102}+{AC=R681241000}+{AC=R681240000}+{AC=R67401000}+{AC=R65800001}+{AC=R60629200}+{AC=R60629100}+{AC=R67405000}+{AC=R67403000}+{AC=R68611000}+{AC=R66405000}+{AC=R68123000}+{AC=R67300000}+{AC=R67350000}+{AC=R67330000}+{AC=R67320000}+{AC=R65800003}+</v>
      </c>
    </row>
    <row r="70" spans="1:2">
      <c r="A70" s="34"/>
      <c r="B70" s="30" t="str">
        <f t="shared" si="1"/>
        <v>{}+{}+{}+{}+{}+{}+{}+{}+{}+{}+{}+{}+{}+{}+{}+{}+{}+{}+{}+{}+{}+{}+{}+{}+{}+{}+{}+{}+{}+{}+{}+{}+{}+{}+{}+{}+{AC=P49810000Y}+{AC=P48100000Y}+{AC=P4168100AJ}+{AC=P4168100L}+{AC=P41681000}+{AC=P48500000}+{AC=P46860000}+{AC=P46500000}+{AC=P4690090AJ}+{AC=P4690090L}+{AC=P4690000AJ}+{AC=P4690000L}+{AC=P46910000}+{AC=P46900000}+{RU=PG1105}+{RU=PG1104}+{RU=PG1103}+{RU=PG1102}+{AC=R681241000}+{AC=R681240000}+{AC=R67401000}+{AC=R65800001}+{AC=R60629200}+{AC=R60629100}+{AC=R67405000}+{AC=R67403000}+{AC=R68611000}+{AC=R66405000}+{AC=R68123000}+{AC=R67300000}+{AC=R67350000}+{AC=R67330000}+{AC=R67320000}+{AC=R65800003}+</v>
      </c>
    </row>
    <row r="71" spans="1:2">
      <c r="A71" s="34"/>
      <c r="B71" s="30" t="str">
        <f t="shared" si="1"/>
        <v>{}+{}+{}+{}+{}+{}+{}+{}+{}+{}+{}+{}+{}+{}+{}+{}+{}+{}+{}+{}+{}+{}+{}+{}+{}+{}+{}+{}+{}+{}+{}+{}+{}+{}+{}+{}+{}+{AC=P49810000Y}+{AC=P48100000Y}+{AC=P4168100AJ}+{AC=P4168100L}+{AC=P41681000}+{AC=P48500000}+{AC=P46860000}+{AC=P46500000}+{AC=P4690090AJ}+{AC=P4690090L}+{AC=P4690000AJ}+{AC=P4690000L}+{AC=P46910000}+{AC=P46900000}+{RU=PG1105}+{RU=PG1104}+{RU=PG1103}+{RU=PG1102}+{AC=R681241000}+{AC=R681240000}+{AC=R67401000}+{AC=R65800001}+{AC=R60629200}+{AC=R60629100}+{AC=R67405000}+{AC=R67403000}+{AC=R68611000}+{AC=R66405000}+{AC=R68123000}+{AC=R67300000}+{AC=R67350000}+{AC=R67330000}+{AC=R67320000}+{AC=R65800003}+</v>
      </c>
    </row>
    <row r="72" spans="1:2">
      <c r="A72" s="34"/>
      <c r="B72" s="30" t="str">
        <f t="shared" si="1"/>
        <v>{}+{}+{}+{}+{}+{}+{}+{}+{}+{}+{}+{}+{}+{}+{}+{}+{}+{}+{}+{}+{}+{}+{}+{}+{}+{}+{}+{}+{}+{}+{}+{}+{}+{}+{}+{}+{}+{}+{AC=P49810000Y}+{AC=P48100000Y}+{AC=P4168100AJ}+{AC=P4168100L}+{AC=P41681000}+{AC=P48500000}+{AC=P46860000}+{AC=P46500000}+{AC=P4690090AJ}+{AC=P4690090L}+{AC=P4690000AJ}+{AC=P4690000L}+{AC=P46910000}+{AC=P46900000}+{RU=PG1105}+{RU=PG1104}+{RU=PG1103}+{RU=PG1102}+{AC=R681241000}+{AC=R681240000}+{AC=R67401000}+{AC=R65800001}+{AC=R60629200}+{AC=R60629100}+{AC=R67405000}+{AC=R67403000}+{AC=R68611000}+{AC=R66405000}+{AC=R68123000}+{AC=R67300000}+{AC=R67350000}+{AC=R67330000}+{AC=R67320000}+{AC=R65800003}+</v>
      </c>
    </row>
    <row r="73" spans="1:2">
      <c r="A73" s="34"/>
      <c r="B73" s="30" t="str">
        <f t="shared" si="1"/>
        <v>{}+{}+{}+{}+{}+{}+{}+{}+{}+{}+{}+{}+{}+{}+{}+{}+{}+{}+{}+{}+{}+{}+{}+{}+{}+{}+{}+{}+{}+{}+{}+{}+{}+{}+{}+{}+{}+{}+{}+{AC=P49810000Y}+{AC=P48100000Y}+{AC=P4168100AJ}+{AC=P4168100L}+{AC=P41681000}+{AC=P48500000}+{AC=P46860000}+{AC=P46500000}+{AC=P4690090AJ}+{AC=P4690090L}+{AC=P4690000AJ}+{AC=P4690000L}+{AC=P46910000}+{AC=P46900000}+{RU=PG1105}+{RU=PG1104}+{RU=PG1103}+{RU=PG1102}+{AC=R681241000}+{AC=R681240000}+{AC=R67401000}+{AC=R65800001}+{AC=R60629200}+{AC=R60629100}+{AC=R67405000}+{AC=R67403000}+{AC=R68611000}+{AC=R66405000}+{AC=R68123000}+{AC=R67300000}+{AC=R67350000}+{AC=R67330000}+{AC=R67320000}+{AC=R65800003}+</v>
      </c>
    </row>
    <row r="74" spans="1:2">
      <c r="A74" s="34"/>
      <c r="B74" s="30" t="str">
        <f t="shared" si="1"/>
        <v>{}+{}+{}+{}+{}+{}+{}+{}+{}+{}+{}+{}+{}+{}+{}+{}+{}+{}+{}+{}+{}+{}+{}+{}+{}+{}+{}+{}+{}+{}+{}+{}+{}+{}+{}+{}+{}+{}+{}+{}+{AC=P49810000Y}+{AC=P48100000Y}+{AC=P4168100AJ}+{AC=P4168100L}+{AC=P41681000}+{AC=P48500000}+{AC=P46860000}+{AC=P46500000}+{AC=P4690090AJ}+{AC=P4690090L}+{AC=P4690000AJ}+{AC=P4690000L}+{AC=P46910000}+{AC=P46900000}+{RU=PG1105}+{RU=PG1104}+{RU=PG1103}+{RU=PG1102}+{AC=R681241000}+{AC=R681240000}+{AC=R67401000}+{AC=R65800001}+{AC=R60629200}+{AC=R60629100}+{AC=R67405000}+{AC=R67403000}+{AC=R68611000}+{AC=R66405000}+{AC=R68123000}+{AC=R67300000}+{AC=R67350000}+{AC=R67330000}+{AC=R67320000}+{AC=R65800003}+</v>
      </c>
    </row>
    <row r="75" spans="1:2">
      <c r="A75" s="34"/>
      <c r="B75" s="30" t="str">
        <f t="shared" si="1"/>
        <v>{}+{}+{}+{}+{}+{}+{}+{}+{}+{}+{}+{}+{}+{}+{}+{}+{}+{}+{}+{}+{}+{}+{}+{}+{}+{}+{}+{}+{}+{}+{}+{}+{}+{}+{}+{}+{}+{}+{}+{}+{}+{AC=P49810000Y}+{AC=P48100000Y}+{AC=P4168100AJ}+{AC=P4168100L}+{AC=P41681000}+{AC=P48500000}+{AC=P46860000}+{AC=P46500000}+{AC=P4690090AJ}+{AC=P4690090L}+{AC=P4690000AJ}+{AC=P4690000L}+{AC=P46910000}+{AC=P46900000}+{RU=PG1105}+{RU=PG1104}+{RU=PG1103}+{RU=PG1102}+{AC=R681241000}+{AC=R681240000}+{AC=R67401000}+{AC=R65800001}+{AC=R60629200}+{AC=R60629100}+{AC=R67405000}+{AC=R67403000}+{AC=R68611000}+{AC=R66405000}+{AC=R68123000}+{AC=R67300000}+{AC=R67350000}+{AC=R67330000}+{AC=R67320000}+{AC=R65800003}+</v>
      </c>
    </row>
    <row r="76" spans="1:2">
      <c r="A76" s="34"/>
      <c r="B76" s="30" t="str">
        <f t="shared" si="1"/>
        <v>{}+{}+{}+{}+{}+{}+{}+{}+{}+{}+{}+{}+{}+{}+{}+{}+{}+{}+{}+{}+{}+{}+{}+{}+{}+{}+{}+{}+{}+{}+{}+{}+{}+{}+{}+{}+{}+{}+{}+{}+{}+{}+{AC=P49810000Y}+{AC=P48100000Y}+{AC=P4168100AJ}+{AC=P4168100L}+{AC=P41681000}+{AC=P48500000}+{AC=P46860000}+{AC=P46500000}+{AC=P4690090AJ}+{AC=P4690090L}+{AC=P4690000AJ}+{AC=P4690000L}+{AC=P46910000}+{AC=P46900000}+{RU=PG1105}+{RU=PG1104}+{RU=PG1103}+{RU=PG1102}+{AC=R681241000}+{AC=R681240000}+{AC=R67401000}+{AC=R65800001}+{AC=R60629200}+{AC=R60629100}+{AC=R67405000}+{AC=R67403000}+{AC=R68611000}+{AC=R66405000}+{AC=R68123000}+{AC=R67300000}+{AC=R67350000}+{AC=R67330000}+{AC=R67320000}+{AC=R65800003}+</v>
      </c>
    </row>
    <row r="77" spans="1:2">
      <c r="A77" s="34"/>
      <c r="B77" s="30" t="str">
        <f t="shared" si="1"/>
        <v>{}+{}+{}+{}+{}+{}+{}+{}+{}+{}+{}+{}+{}+{}+{}+{}+{}+{}+{}+{}+{}+{}+{}+{}+{}+{}+{}+{}+{}+{}+{}+{}+{}+{}+{}+{}+{}+{}+{}+{}+{}+{}+{}+{AC=P49810000Y}+{AC=P48100000Y}+{AC=P4168100AJ}+{AC=P4168100L}+{AC=P41681000}+{AC=P48500000}+{AC=P46860000}+{AC=P46500000}+{AC=P4690090AJ}+{AC=P4690090L}+{AC=P4690000AJ}+{AC=P4690000L}+{AC=P46910000}+{AC=P46900000}+{RU=PG1105}+{RU=PG1104}+{RU=PG1103}+{RU=PG1102}+{AC=R681241000}+{AC=R681240000}+{AC=R67401000}+{AC=R65800001}+{AC=R60629200}+{AC=R60629100}+{AC=R67405000}+{AC=R67403000}+{AC=R68611000}+{AC=R66405000}+{AC=R68123000}+{AC=R67300000}+{AC=R67350000}+{AC=R67330000}+{AC=R67320000}+{AC=R65800003}+</v>
      </c>
    </row>
    <row r="78" spans="1:2">
      <c r="A78" s="34"/>
      <c r="B78" s="30" t="str">
        <f t="shared" si="1"/>
        <v>{}+{}+{}+{}+{}+{}+{}+{}+{}+{}+{}+{}+{}+{}+{}+{}+{}+{}+{}+{}+{}+{}+{}+{}+{}+{}+{}+{}+{}+{}+{}+{}+{}+{}+{}+{}+{}+{}+{}+{}+{}+{}+{}+{}+{AC=P49810000Y}+{AC=P48100000Y}+{AC=P4168100AJ}+{AC=P4168100L}+{AC=P41681000}+{AC=P48500000}+{AC=P46860000}+{AC=P46500000}+{AC=P4690090AJ}+{AC=P4690090L}+{AC=P4690000AJ}+{AC=P4690000L}+{AC=P46910000}+{AC=P46900000}+{RU=PG1105}+{RU=PG1104}+{RU=PG1103}+{RU=PG1102}+{AC=R681241000}+{AC=R681240000}+{AC=R67401000}+{AC=R65800001}+{AC=R60629200}+{AC=R60629100}+{AC=R67405000}+{AC=R67403000}+{AC=R68611000}+{AC=R66405000}+{AC=R68123000}+{AC=R67300000}+{AC=R67350000}+{AC=R67330000}+{AC=R67320000}+{AC=R65800003}+</v>
      </c>
    </row>
    <row r="79" spans="1:2">
      <c r="A79" s="34"/>
      <c r="B79" s="30" t="str">
        <f t="shared" si="1"/>
        <v>{}+{}+{}+{}+{}+{}+{}+{}+{}+{}+{}+{}+{}+{}+{}+{}+{}+{}+{}+{}+{}+{}+{}+{}+{}+{}+{}+{}+{}+{}+{}+{}+{}+{}+{}+{}+{}+{}+{}+{}+{}+{}+{}+{}+{}+{AC=P49810000Y}+{AC=P48100000Y}+{AC=P4168100AJ}+{AC=P4168100L}+{AC=P41681000}+{AC=P48500000}+{AC=P46860000}+{AC=P46500000}+{AC=P4690090AJ}+{AC=P4690090L}+{AC=P4690000AJ}+{AC=P4690000L}+{AC=P46910000}+{AC=P46900000}+{RU=PG1105}+{RU=PG1104}+{RU=PG1103}+{RU=PG1102}+{AC=R681241000}+{AC=R681240000}+{AC=R67401000}+{AC=R65800001}+{AC=R60629200}+{AC=R60629100}+{AC=R67405000}+{AC=R67403000}+{AC=R68611000}+{AC=R66405000}+{AC=R68123000}+{AC=R67300000}+{AC=R67350000}+{AC=R67330000}+{AC=R67320000}+{AC=R65800003}+</v>
      </c>
    </row>
    <row r="80" spans="1:2">
      <c r="A80" s="34"/>
      <c r="B80" s="30" t="str">
        <f t="shared" si="1"/>
        <v>{}+{}+{}+{}+{}+{}+{}+{}+{}+{}+{}+{}+{}+{}+{}+{}+{}+{}+{}+{}+{}+{}+{}+{}+{}+{}+{}+{}+{}+{}+{}+{}+{}+{}+{}+{}+{}+{}+{}+{}+{}+{}+{}+{}+{}+{}+{AC=P49810000Y}+{AC=P48100000Y}+{AC=P4168100AJ}+{AC=P4168100L}+{AC=P41681000}+{AC=P48500000}+{AC=P46860000}+{AC=P46500000}+{AC=P4690090AJ}+{AC=P4690090L}+{AC=P4690000AJ}+{AC=P4690000L}+{AC=P46910000}+{AC=P46900000}+{RU=PG1105}+{RU=PG1104}+{RU=PG1103}+{RU=PG1102}+{AC=R681241000}+{AC=R681240000}+{AC=R67401000}+{AC=R65800001}+{AC=R60629200}+{AC=R60629100}+{AC=R67405000}+{AC=R67403000}+{AC=R68611000}+{AC=R66405000}+{AC=R68123000}+{AC=R67300000}+{AC=R67350000}+{AC=R67330000}+{AC=R67320000}+{AC=R65800003}+</v>
      </c>
    </row>
    <row r="81" spans="1:2">
      <c r="A81" s="34"/>
      <c r="B81" s="30" t="str">
        <f t="shared" si="1"/>
        <v>{}+{}+{}+{}+{}+{}+{}+{}+{}+{}+{}+{}+{}+{}+{}+{}+{}+{}+{}+{}+{}+{}+{}+{}+{}+{}+{}+{}+{}+{}+{}+{}+{}+{}+{}+{}+{}+{}+{}+{}+{}+{}+{}+{}+{}+{}+{}+{AC=P49810000Y}+{AC=P48100000Y}+{AC=P4168100AJ}+{AC=P4168100L}+{AC=P41681000}+{AC=P48500000}+{AC=P46860000}+{AC=P46500000}+{AC=P4690090AJ}+{AC=P4690090L}+{AC=P4690000AJ}+{AC=P4690000L}+{AC=P46910000}+{AC=P46900000}+{RU=PG1105}+{RU=PG1104}+{RU=PG1103}+{RU=PG1102}+{AC=R681241000}+{AC=R681240000}+{AC=R67401000}+{AC=R65800001}+{AC=R60629200}+{AC=R60629100}+{AC=R67405000}+{AC=R67403000}+{AC=R68611000}+{AC=R66405000}+{AC=R68123000}+{AC=R67300000}+{AC=R67350000}+{AC=R67330000}+{AC=R67320000}+{AC=R65800003}+</v>
      </c>
    </row>
    <row r="82" spans="1:2">
      <c r="A82" s="34"/>
      <c r="B82" s="30" t="str">
        <f t="shared" si="1"/>
        <v>{}+{}+{}+{}+{}+{}+{}+{}+{}+{}+{}+{}+{}+{}+{}+{}+{}+{}+{}+{}+{}+{}+{}+{}+{}+{}+{}+{}+{}+{}+{}+{}+{}+{}+{}+{}+{}+{}+{}+{}+{}+{}+{}+{}+{}+{}+{}+{}+{AC=P49810000Y}+{AC=P48100000Y}+{AC=P4168100AJ}+{AC=P4168100L}+{AC=P41681000}+{AC=P48500000}+{AC=P46860000}+{AC=P46500000}+{AC=P4690090AJ}+{AC=P4690090L}+{AC=P4690000AJ}+{AC=P4690000L}+{AC=P46910000}+{AC=P46900000}+{RU=PG1105}+{RU=PG1104}+{RU=PG1103}+{RU=PG1102}+{AC=R681241000}+{AC=R681240000}+{AC=R67401000}+{AC=R65800001}+{AC=R60629200}+{AC=R60629100}+{AC=R67405000}+{AC=R67403000}+{AC=R68611000}+{AC=R66405000}+{AC=R68123000}+{AC=R67300000}+{AC=R67350000}+{AC=R67330000}+{AC=R67320000}+{AC=R65800003}+</v>
      </c>
    </row>
    <row r="83" spans="1:2">
      <c r="A83" s="34"/>
      <c r="B83" s="30" t="str">
        <f t="shared" si="1"/>
        <v>{}+{}+{}+{}+{}+{}+{}+{}+{}+{}+{}+{}+{}+{}+{}+{}+{}+{}+{}+{}+{}+{}+{}+{}+{}+{}+{}+{}+{}+{}+{}+{}+{}+{}+{}+{}+{}+{}+{}+{}+{}+{}+{}+{}+{}+{}+{}+{}+{}+{AC=P49810000Y}+{AC=P48100000Y}+{AC=P4168100AJ}+{AC=P4168100L}+{AC=P41681000}+{AC=P48500000}+{AC=P46860000}+{AC=P46500000}+{AC=P4690090AJ}+{AC=P4690090L}+{AC=P4690000AJ}+{AC=P4690000L}+{AC=P46910000}+{AC=P46900000}+{RU=PG1105}+{RU=PG1104}+{RU=PG1103}+{RU=PG1102}+{AC=R681241000}+{AC=R681240000}+{AC=R67401000}+{AC=R65800001}+{AC=R60629200}+{AC=R60629100}+{AC=R67405000}+{AC=R67403000}+{AC=R68611000}+{AC=R66405000}+{AC=R68123000}+{AC=R67300000}+{AC=R67350000}+{AC=R67330000}+{AC=R67320000}+{AC=R65800003}+</v>
      </c>
    </row>
    <row r="84" spans="1:2">
      <c r="A84" s="34"/>
      <c r="B84" s="30" t="str">
        <f t="shared" si="1"/>
        <v>{}+{}+{}+{}+{}+{}+{}+{}+{}+{}+{}+{}+{}+{}+{}+{}+{}+{}+{}+{}+{}+{}+{}+{}+{}+{}+{}+{}+{}+{}+{}+{}+{}+{}+{}+{}+{}+{}+{}+{}+{}+{}+{}+{}+{}+{}+{}+{}+{}+{}+{AC=P49810000Y}+{AC=P48100000Y}+{AC=P4168100AJ}+{AC=P4168100L}+{AC=P41681000}+{AC=P48500000}+{AC=P46860000}+{AC=P46500000}+{AC=P4690090AJ}+{AC=P4690090L}+{AC=P4690000AJ}+{AC=P4690000L}+{AC=P46910000}+{AC=P46900000}+{RU=PG1105}+{RU=PG1104}+{RU=PG1103}+{RU=PG1102}+{AC=R681241000}+{AC=R681240000}+{AC=R67401000}+{AC=R65800001}+{AC=R60629200}+{AC=R60629100}+{AC=R67405000}+{AC=R67403000}+{AC=R68611000}+{AC=R66405000}+{AC=R68123000}+{AC=R67300000}+{AC=R67350000}+{AC=R67330000}+{AC=R67320000}+{AC=R65800003}+</v>
      </c>
    </row>
    <row r="85" spans="1:2">
      <c r="A85" s="34"/>
      <c r="B85" s="30" t="str">
        <f t="shared" si="1"/>
        <v>{}+{}+{}+{}+{}+{}+{}+{}+{}+{}+{}+{}+{}+{}+{}+{}+{}+{}+{}+{}+{}+{}+{}+{}+{}+{}+{}+{}+{}+{}+{}+{}+{}+{}+{}+{}+{}+{}+{}+{}+{}+{}+{}+{}+{}+{}+{}+{}+{}+{}+{}+{AC=P49810000Y}+{AC=P48100000Y}+{AC=P4168100AJ}+{AC=P4168100L}+{AC=P41681000}+{AC=P48500000}+{AC=P46860000}+{AC=P46500000}+{AC=P4690090AJ}+{AC=P4690090L}+{AC=P4690000AJ}+{AC=P4690000L}+{AC=P46910000}+{AC=P46900000}+{RU=PG1105}+{RU=PG1104}+{RU=PG1103}+{RU=PG1102}+{AC=R681241000}+{AC=R681240000}+{AC=R67401000}+{AC=R65800001}+{AC=R60629200}+{AC=R60629100}+{AC=R67405000}+{AC=R67403000}+{AC=R68611000}+{AC=R66405000}+{AC=R68123000}+{AC=R67300000}+{AC=R67350000}+{AC=R67330000}+{AC=R67320000}+{AC=R65800003}+</v>
      </c>
    </row>
    <row r="86" spans="1:2">
      <c r="A86" s="34"/>
      <c r="B86" s="30" t="str">
        <f t="shared" si="1"/>
        <v>{}+{}+{}+{}+{}+{}+{}+{}+{}+{}+{}+{}+{}+{}+{}+{}+{}+{}+{}+{}+{}+{}+{}+{}+{}+{}+{}+{}+{}+{}+{}+{}+{}+{}+{}+{}+{}+{}+{}+{}+{}+{}+{}+{}+{}+{}+{}+{}+{}+{}+{}+{}+{AC=P49810000Y}+{AC=P48100000Y}+{AC=P4168100AJ}+{AC=P4168100L}+{AC=P41681000}+{AC=P48500000}+{AC=P46860000}+{AC=P46500000}+{AC=P4690090AJ}+{AC=P4690090L}+{AC=P4690000AJ}+{AC=P4690000L}+{AC=P46910000}+{AC=P46900000}+{RU=PG1105}+{RU=PG1104}+{RU=PG1103}+{RU=PG1102}+{AC=R681241000}+{AC=R681240000}+{AC=R67401000}+{AC=R65800001}+{AC=R60629200}+{AC=R60629100}+{AC=R67405000}+{AC=R67403000}+{AC=R68611000}+{AC=R66405000}+{AC=R68123000}+{AC=R67300000}+{AC=R67350000}+{AC=R67330000}+{AC=R67320000}+{AC=R65800003}+</v>
      </c>
    </row>
    <row r="87" spans="1:2">
      <c r="A87" s="34"/>
      <c r="B87" s="30" t="str">
        <f t="shared" si="1"/>
        <v>{}+{}+{}+{}+{}+{}+{}+{}+{}+{}+{}+{}+{}+{}+{}+{}+{}+{}+{}+{}+{}+{}+{}+{}+{}+{}+{}+{}+{}+{}+{}+{}+{}+{}+{}+{}+{}+{}+{}+{}+{}+{}+{}+{}+{}+{}+{}+{}+{}+{}+{}+{}+{}+{AC=P49810000Y}+{AC=P48100000Y}+{AC=P4168100AJ}+{AC=P4168100L}+{AC=P41681000}+{AC=P48500000}+{AC=P46860000}+{AC=P46500000}+{AC=P4690090AJ}+{AC=P4690090L}+{AC=P4690000AJ}+{AC=P4690000L}+{AC=P46910000}+{AC=P46900000}+{RU=PG1105}+{RU=PG1104}+{RU=PG1103}+{RU=PG1102}+{AC=R681241000}+{AC=R681240000}+{AC=R67401000}+{AC=R65800001}+{AC=R60629200}+{AC=R60629100}+{AC=R67405000}+{AC=R67403000}+{AC=R68611000}+{AC=R66405000}+{AC=R68123000}+{AC=R67300000}+{AC=R67350000}+{AC=R67330000}+{AC=R67320000}+{AC=R65800003}+</v>
      </c>
    </row>
    <row r="88" spans="1:2">
      <c r="A88" s="34"/>
      <c r="B88" s="30" t="str">
        <f t="shared" si="1"/>
        <v>{}+{}+{}+{}+{}+{}+{}+{}+{}+{}+{}+{}+{}+{}+{}+{}+{}+{}+{}+{}+{}+{}+{}+{}+{}+{}+{}+{}+{}+{}+{}+{}+{}+{}+{}+{}+{}+{}+{}+{}+{}+{}+{}+{}+{}+{}+{}+{}+{}+{}+{}+{}+{}+{}+{AC=P49810000Y}+{AC=P48100000Y}+{AC=P4168100AJ}+{AC=P4168100L}+{AC=P41681000}+{AC=P48500000}+{AC=P46860000}+{AC=P46500000}+{AC=P4690090AJ}+{AC=P4690090L}+{AC=P4690000AJ}+{AC=P4690000L}+{AC=P46910000}+{AC=P46900000}+{RU=PG1105}+{RU=PG1104}+{RU=PG1103}+{RU=PG1102}+{AC=R681241000}+{AC=R681240000}+{AC=R67401000}+{AC=R65800001}+{AC=R60629200}+{AC=R60629100}+{AC=R67405000}+{AC=R67403000}+{AC=R68611000}+{AC=R66405000}+{AC=R68123000}+{AC=R67300000}+{AC=R67350000}+{AC=R67330000}+{AC=R67320000}+{AC=R65800003}+</v>
      </c>
    </row>
    <row r="89" spans="1:2">
      <c r="A89" s="34"/>
      <c r="B89" s="30" t="str">
        <f t="shared" si="1"/>
        <v>{}+{}+{}+{}+{}+{}+{}+{}+{}+{}+{}+{}+{}+{}+{}+{}+{}+{}+{}+{}+{}+{}+{}+{}+{}+{}+{}+{}+{}+{}+{}+{}+{}+{}+{}+{}+{}+{}+{}+{}+{}+{}+{}+{}+{}+{}+{}+{}+{}+{}+{}+{}+{}+{}+{}+{AC=P49810000Y}+{AC=P48100000Y}+{AC=P4168100AJ}+{AC=P4168100L}+{AC=P41681000}+{AC=P48500000}+{AC=P46860000}+{AC=P46500000}+{AC=P4690090AJ}+{AC=P4690090L}+{AC=P4690000AJ}+{AC=P4690000L}+{AC=P46910000}+{AC=P46900000}+{RU=PG1105}+{RU=PG1104}+{RU=PG1103}+{RU=PG1102}+{AC=R681241000}+{AC=R681240000}+{AC=R67401000}+{AC=R65800001}+{AC=R60629200}+{AC=R60629100}+{AC=R67405000}+{AC=R67403000}+{AC=R68611000}+{AC=R66405000}+{AC=R68123000}+{AC=R67300000}+{AC=R67350000}+{AC=R67330000}+{AC=R67320000}+{AC=R65800003}+</v>
      </c>
    </row>
    <row r="90" spans="1:2">
      <c r="A90" s="34"/>
      <c r="B90" s="30" t="str">
        <f t="shared" si="1"/>
        <v>{}+{}+{}+{}+{}+{}+{}+{}+{}+{}+{}+{}+{}+{}+{}+{}+{}+{}+{}+{}+{}+{}+{}+{}+{}+{}+{}+{}+{}+{}+{}+{}+{}+{}+{}+{}+{}+{}+{}+{}+{}+{}+{}+{}+{}+{}+{}+{}+{}+{}+{}+{}+{}+{}+{}+{}+{AC=P49810000Y}+{AC=P48100000Y}+{AC=P4168100AJ}+{AC=P4168100L}+{AC=P41681000}+{AC=P48500000}+{AC=P46860000}+{AC=P46500000}+{AC=P4690090AJ}+{AC=P4690090L}+{AC=P4690000AJ}+{AC=P4690000L}+{AC=P46910000}+{AC=P46900000}+{RU=PG1105}+{RU=PG1104}+{RU=PG1103}+{RU=PG1102}+{AC=R681241000}+{AC=R681240000}+{AC=R67401000}+{AC=R65800001}+{AC=R60629200}+{AC=R60629100}+{AC=R67405000}+{AC=R67403000}+{AC=R68611000}+{AC=R66405000}+{AC=R68123000}+{AC=R67300000}+{AC=R67350000}+{AC=R67330000}+{AC=R67320000}+{AC=R65800003}+</v>
      </c>
    </row>
    <row r="91" spans="1:2">
      <c r="A91" s="34"/>
      <c r="B91" s="30" t="str">
        <f t="shared" si="1"/>
        <v>{}+{}+{}+{}+{}+{}+{}+{}+{}+{}+{}+{}+{}+{}+{}+{}+{}+{}+{}+{}+{}+{}+{}+{}+{}+{}+{}+{}+{}+{}+{}+{}+{}+{}+{}+{}+{}+{}+{}+{}+{}+{}+{}+{}+{}+{}+{}+{}+{}+{}+{}+{}+{}+{}+{}+{}+{}+{AC=P49810000Y}+{AC=P48100000Y}+{AC=P4168100AJ}+{AC=P4168100L}+{AC=P41681000}+{AC=P48500000}+{AC=P46860000}+{AC=P46500000}+{AC=P4690090AJ}+{AC=P4690090L}+{AC=P4690000AJ}+{AC=P4690000L}+{AC=P46910000}+{AC=P46900000}+{RU=PG1105}+{RU=PG1104}+{RU=PG1103}+{RU=PG1102}+{AC=R681241000}+{AC=R681240000}+{AC=R67401000}+{AC=R65800001}+{AC=R60629200}+{AC=R60629100}+{AC=R67405000}+{AC=R67403000}+{AC=R68611000}+{AC=R66405000}+{AC=R68123000}+{AC=R67300000}+{AC=R67350000}+{AC=R67330000}+{AC=R67320000}+{AC=R65800003}+</v>
      </c>
    </row>
    <row r="92" spans="1:2">
      <c r="A92" s="34"/>
      <c r="B92" s="30" t="str">
        <f t="shared" si="1"/>
        <v>{}+{}+{}+{}+{}+{}+{}+{}+{}+{}+{}+{}+{}+{}+{}+{}+{}+{}+{}+{}+{}+{}+{}+{}+{}+{}+{}+{}+{}+{}+{}+{}+{}+{}+{}+{}+{}+{}+{}+{}+{}+{}+{}+{}+{}+{}+{}+{}+{}+{}+{}+{}+{}+{}+{}+{}+{}+{}+{AC=P49810000Y}+{AC=P48100000Y}+{AC=P4168100AJ}+{AC=P4168100L}+{AC=P41681000}+{AC=P48500000}+{AC=P46860000}+{AC=P46500000}+{AC=P4690090AJ}+{AC=P4690090L}+{AC=P4690000AJ}+{AC=P4690000L}+{AC=P46910000}+{AC=P46900000}+{RU=PG1105}+{RU=PG1104}+{RU=PG1103}+{RU=PG1102}+{AC=R681241000}+{AC=R681240000}+{AC=R67401000}+{AC=R65800001}+{AC=R60629200}+{AC=R60629100}+{AC=R67405000}+{AC=R67403000}+{AC=R68611000}+{AC=R66405000}+{AC=R68123000}+{AC=R67300000}+{AC=R67350000}+{AC=R67330000}+{AC=R67320000}+{AC=R65800003}+</v>
      </c>
    </row>
    <row r="93" spans="1:2">
      <c r="A93" s="34"/>
      <c r="B93" s="30" t="str">
        <f t="shared" si="1"/>
        <v>{}+{}+{}+{}+{}+{}+{}+{}+{}+{}+{}+{}+{}+{}+{}+{}+{}+{}+{}+{}+{}+{}+{}+{}+{}+{}+{}+{}+{}+{}+{}+{}+{}+{}+{}+{}+{}+{}+{}+{}+{}+{}+{}+{}+{}+{}+{}+{}+{}+{}+{}+{}+{}+{}+{}+{}+{}+{}+{}+{AC=P49810000Y}+{AC=P48100000Y}+{AC=P4168100AJ}+{AC=P4168100L}+{AC=P41681000}+{AC=P48500000}+{AC=P46860000}+{AC=P46500000}+{AC=P4690090AJ}+{AC=P4690090L}+{AC=P4690000AJ}+{AC=P4690000L}+{AC=P46910000}+{AC=P46900000}+{RU=PG1105}+{RU=PG1104}+{RU=PG1103}+{RU=PG1102}+{AC=R681241000}+{AC=R681240000}+{AC=R67401000}+{AC=R65800001}+{AC=R60629200}+{AC=R60629100}+{AC=R67405000}+{AC=R67403000}+{AC=R68611000}+{AC=R66405000}+{AC=R68123000}+{AC=R67300000}+{AC=R67350000}+{AC=R67330000}+{AC=R67320000}+{AC=R65800003}+</v>
      </c>
    </row>
    <row r="94" spans="1:2">
      <c r="A94" s="34"/>
      <c r="B94" s="30" t="str">
        <f t="shared" si="1"/>
        <v>{}+{}+{}+{}+{}+{}+{}+{}+{}+{}+{}+{}+{}+{}+{}+{}+{}+{}+{}+{}+{}+{}+{}+{}+{}+{}+{}+{}+{}+{}+{}+{}+{}+{}+{}+{}+{}+{}+{}+{}+{}+{}+{}+{}+{}+{}+{}+{}+{}+{}+{}+{}+{}+{}+{}+{}+{}+{}+{}+{}+{AC=P49810000Y}+{AC=P48100000Y}+{AC=P4168100AJ}+{AC=P4168100L}+{AC=P41681000}+{AC=P48500000}+{AC=P46860000}+{AC=P46500000}+{AC=P4690090AJ}+{AC=P4690090L}+{AC=P4690000AJ}+{AC=P4690000L}+{AC=P46910000}+{AC=P46900000}+{RU=PG1105}+{RU=PG1104}+{RU=PG1103}+{RU=PG1102}+{AC=R681241000}+{AC=R681240000}+{AC=R67401000}+{AC=R65800001}+{AC=R60629200}+{AC=R60629100}+{AC=R67405000}+{AC=R67403000}+{AC=R68611000}+{AC=R66405000}+{AC=R68123000}+{AC=R67300000}+{AC=R67350000}+{AC=R67330000}+{AC=R67320000}+{AC=R65800003}+</v>
      </c>
    </row>
    <row r="95" spans="1:2">
      <c r="A95" s="34"/>
      <c r="B95" s="30" t="str">
        <f t="shared" si="1"/>
        <v>{}+{}+{}+{}+{}+{}+{}+{}+{}+{}+{}+{}+{}+{}+{}+{}+{}+{}+{}+{}+{}+{}+{}+{}+{}+{}+{}+{}+{}+{}+{}+{}+{}+{}+{}+{}+{}+{}+{}+{}+{}+{}+{}+{}+{}+{}+{}+{}+{}+{}+{}+{}+{}+{}+{}+{}+{}+{}+{}+{}+{}+{AC=P49810000Y}+{AC=P48100000Y}+{AC=P4168100AJ}+{AC=P4168100L}+{AC=P41681000}+{AC=P48500000}+{AC=P46860000}+{AC=P46500000}+{AC=P4690090AJ}+{AC=P4690090L}+{AC=P4690000AJ}+{AC=P4690000L}+{AC=P46910000}+{AC=P46900000}+{RU=PG1105}+{RU=PG1104}+{RU=PG1103}+{RU=PG1102}+{AC=R681241000}+{AC=R681240000}+{AC=R67401000}+{AC=R65800001}+{AC=R60629200}+{AC=R60629100}+{AC=R67405000}+{AC=R67403000}+{AC=R68611000}+{AC=R66405000}+{AC=R68123000}+{AC=R67300000}+{AC=R67350000}+{AC=R67330000}+{AC=R67320000}+{AC=R65800003}+</v>
      </c>
    </row>
    <row r="96" spans="1:2">
      <c r="A96" s="34"/>
      <c r="B96" s="30" t="str">
        <f t="shared" si="1"/>
        <v>{}+{}+{}+{}+{}+{}+{}+{}+{}+{}+{}+{}+{}+{}+{}+{}+{}+{}+{}+{}+{}+{}+{}+{}+{}+{}+{}+{}+{}+{}+{}+{}+{}+{}+{}+{}+{}+{}+{}+{}+{}+{}+{}+{}+{}+{}+{}+{}+{}+{}+{}+{}+{}+{}+{}+{}+{}+{}+{}+{}+{}+{}+{AC=P49810000Y}+{AC=P48100000Y}+{AC=P4168100AJ}+{AC=P4168100L}+{AC=P41681000}+{AC=P48500000}+{AC=P46860000}+{AC=P46500000}+{AC=P4690090AJ}+{AC=P4690090L}+{AC=P4690000AJ}+{AC=P4690000L}+{AC=P46910000}+{AC=P46900000}+{RU=PG1105}+{RU=PG1104}+{RU=PG1103}+{RU=PG1102}+{AC=R681241000}+{AC=R681240000}+{AC=R67401000}+{AC=R65800001}+{AC=R60629200}+{AC=R60629100}+{AC=R67405000}+{AC=R67403000}+{AC=R68611000}+{AC=R66405000}+{AC=R68123000}+{AC=R67300000}+{AC=R67350000}+{AC=R67330000}+{AC=R67320000}+{AC=R65800003}+</v>
      </c>
    </row>
    <row r="97" spans="1:2">
      <c r="A97" s="34"/>
      <c r="B97" s="30" t="str">
        <f t="shared" si="1"/>
        <v>{}+{}+{}+{}+{}+{}+{}+{}+{}+{}+{}+{}+{}+{}+{}+{}+{}+{}+{}+{}+{}+{}+{}+{}+{}+{}+{}+{}+{}+{}+{}+{}+{}+{}+{}+{}+{}+{}+{}+{}+{}+{}+{}+{}+{}+{}+{}+{}+{}+{}+{}+{}+{}+{}+{}+{}+{}+{}+{}+{}+{}+{}+{}+{AC=P49810000Y}+{AC=P48100000Y}+{AC=P4168100AJ}+{AC=P4168100L}+{AC=P41681000}+{AC=P48500000}+{AC=P46860000}+{AC=P46500000}+{AC=P4690090AJ}+{AC=P4690090L}+{AC=P4690000AJ}+{AC=P4690000L}+{AC=P46910000}+{AC=P46900000}+{RU=PG1105}+{RU=PG1104}+{RU=PG1103}+{RU=PG1102}+{AC=R681241000}+{AC=R681240000}+{AC=R67401000}+{AC=R65800001}+{AC=R60629200}+{AC=R60629100}+{AC=R67405000}+{AC=R67403000}+{AC=R68611000}+{AC=R66405000}+{AC=R68123000}+{AC=R67300000}+{AC=R67350000}+{AC=R67330000}+{AC=R67320000}+{AC=R65800003}+</v>
      </c>
    </row>
    <row r="98" spans="1:2">
      <c r="A98" s="34"/>
      <c r="B98" s="30" t="str">
        <f t="shared" si="1"/>
        <v>{}+{}+{}+{}+{}+{}+{}+{}+{}+{}+{}+{}+{}+{}+{}+{}+{}+{}+{}+{}+{}+{}+{}+{}+{}+{}+{}+{}+{}+{}+{}+{}+{}+{}+{}+{}+{}+{}+{}+{}+{}+{}+{}+{}+{}+{}+{}+{}+{}+{}+{}+{}+{}+{}+{}+{}+{}+{}+{}+{}+{}+{}+{}+{}+{AC=P49810000Y}+{AC=P48100000Y}+{AC=P4168100AJ}+{AC=P4168100L}+{AC=P41681000}+{AC=P48500000}+{AC=P46860000}+{AC=P46500000}+{AC=P4690090AJ}+{AC=P4690090L}+{AC=P4690000AJ}+{AC=P4690000L}+{AC=P46910000}+{AC=P46900000}+{RU=PG1105}+{RU=PG1104}+{RU=PG1103}+{RU=PG1102}+{AC=R681241000}+{AC=R681240000}+{AC=R67401000}+{AC=R65800001}+{AC=R60629200}+{AC=R60629100}+{AC=R67405000}+{AC=R67403000}+{AC=R68611000}+{AC=R66405000}+{AC=R68123000}+{AC=R67300000}+{AC=R67350000}+{AC=R67330000}+{AC=R67320000}+{AC=R65800003}+</v>
      </c>
    </row>
    <row r="99" spans="1:2">
      <c r="A99" s="34"/>
      <c r="B99" s="30" t="str">
        <f t="shared" si="1"/>
        <v>{}+{}+{}+{}+{}+{}+{}+{}+{}+{}+{}+{}+{}+{}+{}+{}+{}+{}+{}+{}+{}+{}+{}+{}+{}+{}+{}+{}+{}+{}+{}+{}+{}+{}+{}+{}+{}+{}+{}+{}+{}+{}+{}+{}+{}+{}+{}+{}+{}+{}+{}+{}+{}+{}+{}+{}+{}+{}+{}+{}+{}+{}+{}+{}+{}+{AC=P49810000Y}+{AC=P48100000Y}+{AC=P4168100AJ}+{AC=P4168100L}+{AC=P41681000}+{AC=P48500000}+{AC=P46860000}+{AC=P46500000}+{AC=P4690090AJ}+{AC=P4690090L}+{AC=P4690000AJ}+{AC=P4690000L}+{AC=P46910000}+{AC=P46900000}+{RU=PG1105}+{RU=PG1104}+{RU=PG1103}+{RU=PG1102}+{AC=R681241000}+{AC=R681240000}+{AC=R67401000}+{AC=R65800001}+{AC=R60629200}+{AC=R60629100}+{AC=R67405000}+{AC=R67403000}+{AC=R68611000}+{AC=R66405000}+{AC=R68123000}+{AC=R67300000}+{AC=R67350000}+{AC=R67330000}+{AC=R67320000}+{AC=R65800003}+</v>
      </c>
    </row>
    <row r="100" spans="1:2">
      <c r="A100" s="34"/>
      <c r="B100" s="30" t="str">
        <f t="shared" si="1"/>
        <v>{}+{}+{}+{}+{}+{}+{}+{}+{}+{}+{}+{}+{}+{}+{}+{}+{}+{}+{}+{}+{}+{}+{}+{}+{}+{}+{}+{}+{}+{}+{}+{}+{}+{}+{}+{}+{}+{}+{}+{}+{}+{}+{}+{}+{}+{}+{}+{}+{}+{}+{}+{}+{}+{}+{}+{}+{}+{}+{}+{}+{}+{}+{}+{}+{}+{}+{AC=P49810000Y}+{AC=P48100000Y}+{AC=P4168100AJ}+{AC=P4168100L}+{AC=P41681000}+{AC=P48500000}+{AC=P46860000}+{AC=P46500000}+{AC=P4690090AJ}+{AC=P4690090L}+{AC=P4690000AJ}+{AC=P4690000L}+{AC=P46910000}+{AC=P46900000}+{RU=PG1105}+{RU=PG1104}+{RU=PG1103}+{RU=PG1102}+{AC=R681241000}+{AC=R681240000}+{AC=R67401000}+{AC=R65800001}+{AC=R60629200}+{AC=R60629100}+{AC=R67405000}+{AC=R67403000}+{AC=R68611000}+{AC=R66405000}+{AC=R68123000}+{AC=R67300000}+{AC=R67350000}+{AC=R67330000}+{AC=R67320000}+{AC=R65800003}+</v>
      </c>
    </row>
    <row r="101" spans="1:2">
      <c r="A101" s="34"/>
      <c r="B101" s="30" t="str">
        <f t="shared" si="1"/>
        <v>{}+{}+{}+{}+{}+{}+{}+{}+{}+{}+{}+{}+{}+{}+{}+{}+{}+{}+{}+{}+{}+{}+{}+{}+{}+{}+{}+{}+{}+{}+{}+{}+{}+{}+{}+{}+{}+{}+{}+{}+{}+{}+{}+{}+{}+{}+{}+{}+{}+{}+{}+{}+{}+{}+{}+{}+{}+{}+{}+{}+{}+{}+{}+{}+{}+{}+{}+{AC=P49810000Y}+{AC=P48100000Y}+{AC=P4168100AJ}+{AC=P4168100L}+{AC=P41681000}+{AC=P48500000}+{AC=P46860000}+{AC=P46500000}+{AC=P4690090AJ}+{AC=P4690090L}+{AC=P4690000AJ}+{AC=P4690000L}+{AC=P46910000}+{AC=P46900000}+{RU=PG1105}+{RU=PG1104}+{RU=PG1103}+{RU=PG1102}+{AC=R681241000}+{AC=R681240000}+{AC=R67401000}+{AC=R65800001}+{AC=R60629200}+{AC=R60629100}+{AC=R67405000}+{AC=R67403000}+{AC=R68611000}+{AC=R66405000}+{AC=R68123000}+{AC=R67300000}+{AC=R67350000}+{AC=R67330000}+{AC=R67320000}+{AC=R65800003}+</v>
      </c>
    </row>
    <row r="102" spans="1:2">
      <c r="A102" s="34"/>
      <c r="B102" s="30" t="str">
        <f t="shared" si="1"/>
        <v>{}+{}+{}+{}+{}+{}+{}+{}+{}+{}+{}+{}+{}+{}+{}+{}+{}+{}+{}+{}+{}+{}+{}+{}+{}+{}+{}+{}+{}+{}+{}+{}+{}+{}+{}+{}+{}+{}+{}+{}+{}+{}+{}+{}+{}+{}+{}+{}+{}+{}+{}+{}+{}+{}+{}+{}+{}+{}+{}+{}+{}+{}+{}+{}+{}+{}+{}+{}+{AC=P49810000Y}+{AC=P48100000Y}+{AC=P4168100AJ}+{AC=P4168100L}+{AC=P41681000}+{AC=P48500000}+{AC=P46860000}+{AC=P46500000}+{AC=P4690090AJ}+{AC=P4690090L}+{AC=P4690000AJ}+{AC=P4690000L}+{AC=P46910000}+{AC=P46900000}+{RU=PG1105}+{RU=PG1104}+{RU=PG1103}+{RU=PG1102}+{AC=R681241000}+{AC=R681240000}+{AC=R67401000}+{AC=R65800001}+{AC=R60629200}+{AC=R60629100}+{AC=R67405000}+{AC=R67403000}+{AC=R68611000}+{AC=R66405000}+{AC=R68123000}+{AC=R67300000}+{AC=R67350000}+{AC=R67330000}+{AC=R67320000}+{AC=R65800003}+</v>
      </c>
    </row>
    <row r="103" spans="1:2">
      <c r="A103" s="34"/>
      <c r="B103" s="30" t="str">
        <f t="shared" si="1"/>
        <v>{}+{}+{}+{}+{}+{}+{}+{}+{}+{}+{}+{}+{}+{}+{}+{}+{}+{}+{}+{}+{}+{}+{}+{}+{}+{}+{}+{}+{}+{}+{}+{}+{}+{}+{}+{}+{}+{}+{}+{}+{}+{}+{}+{}+{}+{}+{}+{}+{}+{}+{}+{}+{}+{}+{}+{}+{}+{}+{}+{}+{}+{}+{}+{}+{}+{}+{}+{}+{}+{AC=P49810000Y}+{AC=P48100000Y}+{AC=P4168100AJ}+{AC=P4168100L}+{AC=P41681000}+{AC=P48500000}+{AC=P46860000}+{AC=P46500000}+{AC=P4690090AJ}+{AC=P4690090L}+{AC=P4690000AJ}+{AC=P4690000L}+{AC=P46910000}+{AC=P46900000}+{RU=PG1105}+{RU=PG1104}+{RU=PG1103}+{RU=PG1102}+{AC=R681241000}+{AC=R681240000}+{AC=R67401000}+{AC=R65800001}+{AC=R60629200}+{AC=R60629100}+{AC=R67405000}+{AC=R67403000}+{AC=R68611000}+{AC=R66405000}+{AC=R68123000}+{AC=R67300000}+{AC=R67350000}+{AC=R67330000}+{AC=R67320000}+{AC=R65800003}+</v>
      </c>
    </row>
    <row r="104" spans="1:2">
      <c r="B104" s="30" t="str">
        <f t="shared" si="1"/>
        <v>{}+{}+{}+{}+{}+{}+{}+{}+{}+{}+{}+{}+{}+{}+{}+{}+{}+{}+{}+{}+{}+{}+{}+{}+{}+{}+{}+{}+{}+{}+{}+{}+{}+{}+{}+{}+{}+{}+{}+{}+{}+{}+{}+{}+{}+{}+{}+{}+{}+{}+{}+{}+{}+{}+{}+{}+{}+{}+{}+{}+{}+{}+{}+{}+{}+{}+{}+{}+{}+{}+{AC=P49810000Y}+{AC=P48100000Y}+{AC=P4168100AJ}+{AC=P4168100L}+{AC=P41681000}+{AC=P48500000}+{AC=P46860000}+{AC=P46500000}+{AC=P4690090AJ}+{AC=P4690090L}+{AC=P4690000AJ}+{AC=P4690000L}+{AC=P46910000}+{AC=P46900000}+{RU=PG1105}+{RU=PG1104}+{RU=PG1103}+{RU=PG1102}+{AC=R681241000}+{AC=R681240000}+{AC=R67401000}+{AC=R65800001}+{AC=R60629200}+{AC=R60629100}+{AC=R67405000}+{AC=R67403000}+{AC=R68611000}+{AC=R66405000}+{AC=R68123000}+{AC=R67300000}+{AC=R67350000}+{AC=R67330000}+{AC=R67320000}+{AC=R65800003}+</v>
      </c>
    </row>
    <row r="105" spans="1:2">
      <c r="B105" s="30" t="str">
        <f t="shared" si="1"/>
        <v>{}+{}+{}+{}+{}+{}+{}+{}+{}+{}+{}+{}+{}+{}+{}+{}+{}+{}+{}+{}+{}+{}+{}+{}+{}+{}+{}+{}+{}+{}+{}+{}+{}+{}+{}+{}+{}+{}+{}+{}+{}+{}+{}+{}+{}+{}+{}+{}+{}+{}+{}+{}+{}+{}+{}+{}+{}+{}+{}+{}+{}+{}+{}+{}+{}+{}+{}+{}+{}+{}+{}+{AC=P49810000Y}+{AC=P48100000Y}+{AC=P4168100AJ}+{AC=P4168100L}+{AC=P41681000}+{AC=P48500000}+{AC=P46860000}+{AC=P46500000}+{AC=P4690090AJ}+{AC=P4690090L}+{AC=P4690000AJ}+{AC=P4690000L}+{AC=P46910000}+{AC=P46900000}+{RU=PG1105}+{RU=PG1104}+{RU=PG1103}+{RU=PG1102}+{AC=R681241000}+{AC=R681240000}+{AC=R67401000}+{AC=R65800001}+{AC=R60629200}+{AC=R60629100}+{AC=R67405000}+{AC=R67403000}+{AC=R68611000}+{AC=R66405000}+{AC=R68123000}+{AC=R67300000}+{AC=R67350000}+{AC=R67330000}+{AC=R67320000}+{AC=R65800003}+</v>
      </c>
    </row>
    <row r="106" spans="1:2">
      <c r="B106" s="30" t="str">
        <f t="shared" si="1"/>
        <v>{}+{}+{}+{}+{}+{}+{}+{}+{}+{}+{}+{}+{}+{}+{}+{}+{}+{}+{}+{}+{}+{}+{}+{}+{}+{}+{}+{}+{}+{}+{}+{}+{}+{}+{}+{}+{}+{}+{}+{}+{}+{}+{}+{}+{}+{}+{}+{}+{}+{}+{}+{}+{}+{}+{}+{}+{}+{}+{}+{}+{}+{}+{}+{}+{}+{}+{}+{}+{}+{}+{}+{}+{AC=P49810000Y}+{AC=P48100000Y}+{AC=P4168100AJ}+{AC=P4168100L}+{AC=P41681000}+{AC=P48500000}+{AC=P46860000}+{AC=P46500000}+{AC=P4690090AJ}+{AC=P4690090L}+{AC=P4690000AJ}+{AC=P4690000L}+{AC=P46910000}+{AC=P46900000}+{RU=PG1105}+{RU=PG1104}+{RU=PG1103}+{RU=PG1102}+{AC=R681241000}+{AC=R681240000}+{AC=R67401000}+{AC=R65800001}+{AC=R60629200}+{AC=R60629100}+{AC=R67405000}+{AC=R67403000}+{AC=R68611000}+{AC=R66405000}+{AC=R68123000}+{AC=R67300000}+{AC=R67350000}+{AC=R67330000}+{AC=R67320000}+{AC=R65800003}+</v>
      </c>
    </row>
    <row r="107" spans="1:2">
      <c r="B107" s="30" t="str">
        <f t="shared" si="1"/>
        <v>{}+{}+{}+{}+{}+{}+{}+{}+{}+{}+{}+{}+{}+{}+{}+{}+{}+{}+{}+{}+{}+{}+{}+{}+{}+{}+{}+{}+{}+{}+{}+{}+{}+{}+{}+{}+{}+{}+{}+{}+{}+{}+{}+{}+{}+{}+{}+{}+{}+{}+{}+{}+{}+{}+{}+{}+{}+{}+{}+{}+{}+{}+{}+{}+{}+{}+{}+{}+{}+{}+{}+{}+{}+{AC=P49810000Y}+{AC=P48100000Y}+{AC=P4168100AJ}+{AC=P4168100L}+{AC=P41681000}+{AC=P48500000}+{AC=P46860000}+{AC=P46500000}+{AC=P4690090AJ}+{AC=P4690090L}+{AC=P4690000AJ}+{AC=P4690000L}+{AC=P46910000}+{AC=P46900000}+{RU=PG1105}+{RU=PG1104}+{RU=PG1103}+{RU=PG1102}+{AC=R681241000}+{AC=R681240000}+{AC=R67401000}+{AC=R65800001}+{AC=R60629200}+{AC=R60629100}+{AC=R67405000}+{AC=R67403000}+{AC=R68611000}+{AC=R66405000}+{AC=R68123000}+{AC=R67300000}+{AC=R67350000}+{AC=R67330000}+{AC=R67320000}+{AC=R65800003}+</v>
      </c>
    </row>
    <row r="108" spans="1:2">
      <c r="B108" s="30" t="str">
        <f t="shared" si="1"/>
        <v>{}+{}+{}+{}+{}+{}+{}+{}+{}+{}+{}+{}+{}+{}+{}+{}+{}+{}+{}+{}+{}+{}+{}+{}+{}+{}+{}+{}+{}+{}+{}+{}+{}+{}+{}+{}+{}+{}+{}+{}+{}+{}+{}+{}+{}+{}+{}+{}+{}+{}+{}+{}+{}+{}+{}+{}+{}+{}+{}+{}+{}+{}+{}+{}+{}+{}+{}+{}+{}+{}+{}+{}+{}+{}+{AC=P49810000Y}+{AC=P48100000Y}+{AC=P4168100AJ}+{AC=P4168100L}+{AC=P41681000}+{AC=P48500000}+{AC=P46860000}+{AC=P46500000}+{AC=P4690090AJ}+{AC=P4690090L}+{AC=P4690000AJ}+{AC=P4690000L}+{AC=P46910000}+{AC=P46900000}+{RU=PG1105}+{RU=PG1104}+{RU=PG1103}+{RU=PG1102}+{AC=R681241000}+{AC=R681240000}+{AC=R67401000}+{AC=R65800001}+{AC=R60629200}+{AC=R60629100}+{AC=R67405000}+{AC=R67403000}+{AC=R68611000}+{AC=R66405000}+{AC=R68123000}+{AC=R67300000}+{AC=R67350000}+{AC=R67330000}+{AC=R67320000}+{AC=R65800003}+</v>
      </c>
    </row>
    <row r="109" spans="1:2">
      <c r="B109" s="30" t="str">
        <f t="shared" si="1"/>
        <v>{}+{}+{}+{}+{}+{}+{}+{}+{}+{}+{}+{}+{}+{}+{}+{}+{}+{}+{}+{}+{}+{}+{}+{}+{}+{}+{}+{}+{}+{}+{}+{}+{}+{}+{}+{}+{}+{}+{}+{}+{}+{}+{}+{}+{}+{}+{}+{}+{}+{}+{}+{}+{}+{}+{}+{}+{}+{}+{}+{}+{}+{}+{}+{}+{}+{}+{}+{}+{}+{}+{}+{}+{}+{}+{}+{AC=P49810000Y}+{AC=P48100000Y}+{AC=P4168100AJ}+{AC=P4168100L}+{AC=P41681000}+{AC=P48500000}+{AC=P46860000}+{AC=P46500000}+{AC=P4690090AJ}+{AC=P4690090L}+{AC=P4690000AJ}+{AC=P4690000L}+{AC=P46910000}+{AC=P46900000}+{RU=PG1105}+{RU=PG1104}+{RU=PG1103}+{RU=PG1102}+{AC=R681241000}+{AC=R681240000}+{AC=R67401000}+{AC=R65800001}+{AC=R60629200}+{AC=R60629100}+{AC=R67405000}+{AC=R67403000}+{AC=R68611000}+{AC=R66405000}+{AC=R68123000}+{AC=R67300000}+{AC=R67350000}+{AC=R67330000}+{AC=R67320000}+{AC=R65800003}+</v>
      </c>
    </row>
    <row r="110" spans="1:2">
      <c r="B110" s="30" t="str">
        <f t="shared" si="1"/>
        <v>{}+{}+{}+{}+{}+{}+{}+{}+{}+{}+{}+{}+{}+{}+{}+{}+{}+{}+{}+{}+{}+{}+{}+{}+{}+{}+{}+{}+{}+{}+{}+{}+{}+{}+{}+{}+{}+{}+{}+{}+{}+{}+{}+{}+{}+{}+{}+{}+{}+{}+{}+{}+{}+{}+{}+{}+{}+{}+{}+{}+{}+{}+{}+{}+{}+{}+{}+{}+{}+{}+{}+{}+{}+{}+{}+{}+{AC=P49810000Y}+{AC=P48100000Y}+{AC=P4168100AJ}+{AC=P4168100L}+{AC=P41681000}+{AC=P48500000}+{AC=P46860000}+{AC=P46500000}+{AC=P4690090AJ}+{AC=P4690090L}+{AC=P4690000AJ}+{AC=P4690000L}+{AC=P46910000}+{AC=P46900000}+{RU=PG1105}+{RU=PG1104}+{RU=PG1103}+{RU=PG1102}+{AC=R681241000}+{AC=R681240000}+{AC=R67401000}+{AC=R65800001}+{AC=R60629200}+{AC=R60629100}+{AC=R67405000}+{AC=R67403000}+{AC=R68611000}+{AC=R66405000}+{AC=R68123000}+{AC=R67300000}+{AC=R67350000}+{AC=R67330000}+{AC=R67320000}+{AC=R65800003}+</v>
      </c>
    </row>
    <row r="111" spans="1:2">
      <c r="B111" s="30" t="str">
        <f t="shared" si="1"/>
        <v>{}+{}+{}+{}+{}+{}+{}+{}+{}+{}+{}+{}+{}+{}+{}+{}+{}+{}+{}+{}+{}+{}+{}+{}+{}+{}+{}+{}+{}+{}+{}+{}+{}+{}+{}+{}+{}+{}+{}+{}+{}+{}+{}+{}+{}+{}+{}+{}+{}+{}+{}+{}+{}+{}+{}+{}+{}+{}+{}+{}+{}+{}+{}+{}+{}+{}+{}+{}+{}+{}+{}+{}+{}+{}+{}+{}+{}+{AC=P49810000Y}+{AC=P48100000Y}+{AC=P4168100AJ}+{AC=P4168100L}+{AC=P41681000}+{AC=P48500000}+{AC=P46860000}+{AC=P46500000}+{AC=P4690090AJ}+{AC=P4690090L}+{AC=P4690000AJ}+{AC=P4690000L}+{AC=P46910000}+{AC=P46900000}+{RU=PG1105}+{RU=PG1104}+{RU=PG1103}+{RU=PG1102}+{AC=R681241000}+{AC=R681240000}+{AC=R67401000}+{AC=R65800001}+{AC=R60629200}+{AC=R60629100}+{AC=R67405000}+{AC=R67403000}+{AC=R68611000}+{AC=R66405000}+{AC=R68123000}+{AC=R67300000}+{AC=R67350000}+{AC=R67330000}+{AC=R67320000}+{AC=R65800003}+</v>
      </c>
    </row>
    <row r="112" spans="1:2">
      <c r="B112" s="30" t="str">
        <f t="shared" si="1"/>
        <v>{}+{}+{}+{}+{}+{}+{}+{}+{}+{}+{}+{}+{}+{}+{}+{}+{}+{}+{}+{}+{}+{}+{}+{}+{}+{}+{}+{}+{}+{}+{}+{}+{}+{}+{}+{}+{}+{}+{}+{}+{}+{}+{}+{}+{}+{}+{}+{}+{}+{}+{}+{}+{}+{}+{}+{}+{}+{}+{}+{}+{}+{}+{}+{}+{}+{}+{}+{}+{}+{}+{}+{}+{}+{}+{}+{}+{}+{}+{AC=P49810000Y}+{AC=P48100000Y}+{AC=P4168100AJ}+{AC=P4168100L}+{AC=P41681000}+{AC=P48500000}+{AC=P46860000}+{AC=P46500000}+{AC=P4690090AJ}+{AC=P4690090L}+{AC=P4690000AJ}+{AC=P4690000L}+{AC=P46910000}+{AC=P46900000}+{RU=PG1105}+{RU=PG1104}+{RU=PG1103}+{RU=PG1102}+{AC=R681241000}+{AC=R681240000}+{AC=R67401000}+{AC=R65800001}+{AC=R60629200}+{AC=R60629100}+{AC=R67405000}+{AC=R67403000}+{AC=R68611000}+{AC=R66405000}+{AC=R68123000}+{AC=R67300000}+{AC=R67350000}+{AC=R67330000}+{AC=R67320000}+{AC=R65800003}+</v>
      </c>
    </row>
    <row r="113" spans="2:2">
      <c r="B113" s="30" t="str">
        <f t="shared" si="1"/>
        <v>{}+{}+{}+{}+{}+{}+{}+{}+{}+{}+{}+{}+{}+{}+{}+{}+{}+{}+{}+{}+{}+{}+{}+{}+{}+{}+{}+{}+{}+{}+{}+{}+{}+{}+{}+{}+{}+{}+{}+{}+{}+{}+{}+{}+{}+{}+{}+{}+{}+{}+{}+{}+{}+{}+{}+{}+{}+{}+{}+{}+{}+{}+{}+{}+{}+{}+{}+{}+{}+{}+{}+{}+{}+{}+{}+{}+{}+{}+{}+{AC=P49810000Y}+{AC=P48100000Y}+{AC=P4168100AJ}+{AC=P4168100L}+{AC=P41681000}+{AC=P48500000}+{AC=P46860000}+{AC=P46500000}+{AC=P4690090AJ}+{AC=P4690090L}+{AC=P4690000AJ}+{AC=P4690000L}+{AC=P46910000}+{AC=P46900000}+{RU=PG1105}+{RU=PG1104}+{RU=PG1103}+{RU=PG1102}+{AC=R681241000}+{AC=R681240000}+{AC=R67401000}+{AC=R65800001}+{AC=R60629200}+{AC=R60629100}+{AC=R67405000}+{AC=R67403000}+{AC=R68611000}+{AC=R66405000}+{AC=R68123000}+{AC=R67300000}+{AC=R67350000}+{AC=R67330000}+{AC=R67320000}+{AC=R65800003}+</v>
      </c>
    </row>
    <row r="114" spans="2:2">
      <c r="B114" s="30" t="str">
        <f t="shared" si="1"/>
        <v>{}+{}+{}+{}+{}+{}+{}+{}+{}+{}+{}+{}+{}+{}+{}+{}+{}+{}+{}+{}+{}+{}+{}+{}+{}+{}+{}+{}+{}+{}+{}+{}+{}+{}+{}+{}+{}+{}+{}+{}+{}+{}+{}+{}+{}+{}+{}+{}+{}+{}+{}+{}+{}+{}+{}+{}+{}+{}+{}+{}+{}+{}+{}+{}+{}+{}+{}+{}+{}+{}+{}+{}+{}+{}+{}+{}+{}+{}+{}+{}+{AC=P49810000Y}+{AC=P48100000Y}+{AC=P4168100AJ}+{AC=P4168100L}+{AC=P41681000}+{AC=P48500000}+{AC=P46860000}+{AC=P46500000}+{AC=P4690090AJ}+{AC=P4690090L}+{AC=P4690000AJ}+{AC=P4690000L}+{AC=P46910000}+{AC=P46900000}+{RU=PG1105}+{RU=PG1104}+{RU=PG1103}+{RU=PG1102}+{AC=R681241000}+{AC=R681240000}+{AC=R67401000}+{AC=R65800001}+{AC=R60629200}+{AC=R60629100}+{AC=R67405000}+{AC=R67403000}+{AC=R68611000}+{AC=R66405000}+{AC=R68123000}+{AC=R67300000}+{AC=R67350000}+{AC=R67330000}+{AC=R67320000}+{AC=R65800003}+</v>
      </c>
    </row>
    <row r="115" spans="2:2">
      <c r="B115" s="30" t="str">
        <f t="shared" si="1"/>
        <v>{}+{}+{}+{}+{}+{}+{}+{}+{}+{}+{}+{}+{}+{}+{}+{}+{}+{}+{}+{}+{}+{}+{}+{}+{}+{}+{}+{}+{}+{}+{}+{}+{}+{}+{}+{}+{}+{}+{}+{}+{}+{}+{}+{}+{}+{}+{}+{}+{}+{}+{}+{}+{}+{}+{}+{}+{}+{}+{}+{}+{}+{}+{}+{}+{}+{}+{}+{}+{}+{}+{}+{}+{}+{}+{}+{}+{}+{}+{}+{}+{}+{AC=P49810000Y}+{AC=P48100000Y}+{AC=P4168100AJ}+{AC=P4168100L}+{AC=P41681000}+{AC=P48500000}+{AC=P46860000}+{AC=P46500000}+{AC=P4690090AJ}+{AC=P4690090L}+{AC=P4690000AJ}+{AC=P4690000L}+{AC=P46910000}+{AC=P46900000}+{RU=PG1105}+{RU=PG1104}+{RU=PG1103}+{RU=PG1102}+{AC=R681241000}+{AC=R681240000}+{AC=R67401000}+{AC=R65800001}+{AC=R60629200}+{AC=R60629100}+{AC=R67405000}+{AC=R67403000}+{AC=R68611000}+{AC=R66405000}+{AC=R68123000}+{AC=R67300000}+{AC=R67350000}+{AC=R67330000}+{AC=R67320000}+{AC=R65800003}+</v>
      </c>
    </row>
    <row r="116" spans="2:2">
      <c r="B116" s="30" t="str">
        <f t="shared" si="1"/>
        <v>{}+{}+{}+{}+{}+{}+{}+{}+{}+{}+{}+{}+{}+{}+{}+{}+{}+{}+{}+{}+{}+{}+{}+{}+{}+{}+{}+{}+{}+{}+{}+{}+{}+{}+{}+{}+{}+{}+{}+{}+{}+{}+{}+{}+{}+{}+{}+{}+{}+{}+{}+{}+{}+{}+{}+{}+{}+{}+{}+{}+{}+{}+{}+{}+{}+{}+{}+{}+{}+{}+{}+{}+{}+{}+{}+{}+{}+{}+{}+{}+{}+{}+{AC=P49810000Y}+{AC=P48100000Y}+{AC=P4168100AJ}+{AC=P4168100L}+{AC=P41681000}+{AC=P48500000}+{AC=P46860000}+{AC=P46500000}+{AC=P4690090AJ}+{AC=P4690090L}+{AC=P4690000AJ}+{AC=P4690000L}+{AC=P46910000}+{AC=P46900000}+{RU=PG1105}+{RU=PG1104}+{RU=PG1103}+{RU=PG1102}+{AC=R681241000}+{AC=R681240000}+{AC=R67401000}+{AC=R65800001}+{AC=R60629200}+{AC=R60629100}+{AC=R67405000}+{AC=R67403000}+{AC=R68611000}+{AC=R66405000}+{AC=R68123000}+{AC=R67300000}+{AC=R67350000}+{AC=R67330000}+{AC=R67320000}+{AC=R65800003}+</v>
      </c>
    </row>
    <row r="117" spans="2:2">
      <c r="B117" s="30" t="str">
        <f t="shared" si="1"/>
        <v>{}+{}+{}+{}+{}+{}+{}+{}+{}+{}+{}+{}+{}+{}+{}+{}+{}+{}+{}+{}+{}+{}+{}+{}+{}+{}+{}+{}+{}+{}+{}+{}+{}+{}+{}+{}+{}+{}+{}+{}+{}+{}+{}+{}+{}+{}+{}+{}+{}+{}+{}+{}+{}+{}+{}+{}+{}+{}+{}+{}+{}+{}+{}+{}+{}+{}+{}+{}+{}+{}+{}+{}+{}+{}+{}+{}+{}+{}+{}+{}+{}+{}+{}+{AC=P49810000Y}+{AC=P48100000Y}+{AC=P4168100AJ}+{AC=P4168100L}+{AC=P41681000}+{AC=P48500000}+{AC=P46860000}+{AC=P46500000}+{AC=P4690090AJ}+{AC=P4690090L}+{AC=P4690000AJ}+{AC=P4690000L}+{AC=P46910000}+{AC=P46900000}+{RU=PG1105}+{RU=PG1104}+{RU=PG1103}+{RU=PG1102}+{AC=R681241000}+{AC=R681240000}+{AC=R67401000}+{AC=R65800001}+{AC=R60629200}+{AC=R60629100}+{AC=R67405000}+{AC=R67403000}+{AC=R68611000}+{AC=R66405000}+{AC=R68123000}+{AC=R67300000}+{AC=R67350000}+{AC=R67330000}+{AC=R67320000}+{AC=R65800003}+</v>
      </c>
    </row>
    <row r="118" spans="2:2">
      <c r="B118" s="30" t="str">
        <f t="shared" si="1"/>
        <v>{}+{}+{}+{}+{}+{}+{}+{}+{}+{}+{}+{}+{}+{}+{}+{}+{}+{}+{}+{}+{}+{}+{}+{}+{}+{}+{}+{}+{}+{}+{}+{}+{}+{}+{}+{}+{}+{}+{}+{}+{}+{}+{}+{}+{}+{}+{}+{}+{}+{}+{}+{}+{}+{}+{}+{}+{}+{}+{}+{}+{}+{}+{}+{}+{}+{}+{}+{}+{}+{}+{}+{}+{}+{}+{}+{}+{}+{}+{}+{}+{}+{}+{}+{}+{AC=P49810000Y}+{AC=P48100000Y}+{AC=P4168100AJ}+{AC=P4168100L}+{AC=P41681000}+{AC=P48500000}+{AC=P46860000}+{AC=P46500000}+{AC=P4690090AJ}+{AC=P4690090L}+{AC=P4690000AJ}+{AC=P4690000L}+{AC=P46910000}+{AC=P46900000}+{RU=PG1105}+{RU=PG1104}+{RU=PG1103}+{RU=PG1102}+{AC=R681241000}+{AC=R681240000}+{AC=R67401000}+{AC=R65800001}+{AC=R60629200}+{AC=R60629100}+{AC=R67405000}+{AC=R67403000}+{AC=R68611000}+{AC=R66405000}+{AC=R68123000}+{AC=R67300000}+{AC=R67350000}+{AC=R67330000}+{AC=R67320000}+{AC=R65800003}+</v>
      </c>
    </row>
    <row r="119" spans="2:2">
      <c r="B119" s="30" t="str">
        <f t="shared" si="1"/>
        <v>{}+{}+{}+{}+{}+{}+{}+{}+{}+{}+{}+{}+{}+{}+{}+{}+{}+{}+{}+{}+{}+{}+{}+{}+{}+{}+{}+{}+{}+{}+{}+{}+{}+{}+{}+{}+{}+{}+{}+{}+{}+{}+{}+{}+{}+{}+{}+{}+{}+{}+{}+{}+{}+{}+{}+{}+{}+{}+{}+{}+{}+{}+{}+{}+{}+{}+{}+{}+{}+{}+{}+{}+{}+{}+{}+{}+{}+{}+{}+{}+{}+{}+{}+{}+{}+{AC=P49810000Y}+{AC=P48100000Y}+{AC=P4168100AJ}+{AC=P4168100L}+{AC=P41681000}+{AC=P48500000}+{AC=P46860000}+{AC=P46500000}+{AC=P4690090AJ}+{AC=P4690090L}+{AC=P4690000AJ}+{AC=P4690000L}+{AC=P46910000}+{AC=P46900000}+{RU=PG1105}+{RU=PG1104}+{RU=PG1103}+{RU=PG1102}+{AC=R681241000}+{AC=R681240000}+{AC=R67401000}+{AC=R65800001}+{AC=R60629200}+{AC=R60629100}+{AC=R67405000}+{AC=R67403000}+{AC=R68611000}+{AC=R66405000}+{AC=R68123000}+{AC=R67300000}+{AC=R67350000}+{AC=R67330000}+{AC=R67320000}+{AC=R65800003}+</v>
      </c>
    </row>
    <row r="120" spans="2:2">
      <c r="B120" s="30" t="str">
        <f t="shared" si="1"/>
        <v>{}+{}+{}+{}+{}+{}+{}+{}+{}+{}+{}+{}+{}+{}+{}+{}+{}+{}+{}+{}+{}+{}+{}+{}+{}+{}+{}+{}+{}+{}+{}+{}+{}+{}+{}+{}+{}+{}+{}+{}+{}+{}+{}+{}+{}+{}+{}+{}+{}+{}+{}+{}+{}+{}+{}+{}+{}+{}+{}+{}+{}+{}+{}+{}+{}+{}+{}+{}+{}+{}+{}+{}+{}+{}+{}+{}+{}+{}+{}+{}+{}+{}+{}+{}+{}+{}+{AC=P49810000Y}+{AC=P48100000Y}+{AC=P4168100AJ}+{AC=P4168100L}+{AC=P41681000}+{AC=P48500000}+{AC=P46860000}+{AC=P46500000}+{AC=P4690090AJ}+{AC=P4690090L}+{AC=P4690000AJ}+{AC=P4690000L}+{AC=P46910000}+{AC=P46900000}+{RU=PG1105}+{RU=PG1104}+{RU=PG1103}+{RU=PG1102}+{AC=R681241000}+{AC=R681240000}+{AC=R67401000}+{AC=R65800001}+{AC=R60629200}+{AC=R60629100}+{AC=R67405000}+{AC=R67403000}+{AC=R68611000}+{AC=R66405000}+{AC=R68123000}+{AC=R67300000}+{AC=R67350000}+{AC=R67330000}+{AC=R67320000}+{AC=R65800003}+</v>
      </c>
    </row>
    <row r="121" spans="2:2">
      <c r="B121" s="30" t="str">
        <f t="shared" si="1"/>
        <v>{}+{}+{}+{}+{}+{}+{}+{}+{}+{}+{}+{}+{}+{}+{}+{}+{}+{}+{}+{}+{}+{}+{}+{}+{}+{}+{}+{}+{}+{}+{}+{}+{}+{}+{}+{}+{}+{}+{}+{}+{}+{}+{}+{}+{}+{}+{}+{}+{}+{}+{}+{}+{}+{}+{}+{}+{}+{}+{}+{}+{}+{}+{}+{}+{}+{}+{}+{}+{}+{}+{}+{}+{}+{}+{}+{}+{}+{}+{}+{}+{}+{}+{}+{}+{}+{}+{}+{AC=P49810000Y}+{AC=P48100000Y}+{AC=P4168100AJ}+{AC=P4168100L}+{AC=P41681000}+{AC=P48500000}+{AC=P46860000}+{AC=P46500000}+{AC=P4690090AJ}+{AC=P4690090L}+{AC=P4690000AJ}+{AC=P4690000L}+{AC=P46910000}+{AC=P46900000}+{RU=PG1105}+{RU=PG1104}+{RU=PG1103}+{RU=PG1102}+{AC=R681241000}+{AC=R681240000}+{AC=R67401000}+{AC=R65800001}+{AC=R60629200}+{AC=R60629100}+{AC=R67405000}+{AC=R67403000}+{AC=R68611000}+{AC=R66405000}+{AC=R68123000}+{AC=R67300000}+{AC=R67350000}+{AC=R67330000}+{AC=R67320000}+{AC=R65800003}+</v>
      </c>
    </row>
    <row r="122" spans="2:2">
      <c r="B122" s="30" t="str">
        <f t="shared" si="1"/>
        <v>{}+{}+{}+{}+{}+{}+{}+{}+{}+{}+{}+{}+{}+{}+{}+{}+{}+{}+{}+{}+{}+{}+{}+{}+{}+{}+{}+{}+{}+{}+{}+{}+{}+{}+{}+{}+{}+{}+{}+{}+{}+{}+{}+{}+{}+{}+{}+{}+{}+{}+{}+{}+{}+{}+{}+{}+{}+{}+{}+{}+{}+{}+{}+{}+{}+{}+{}+{}+{}+{}+{}+{}+{}+{}+{}+{}+{}+{}+{}+{}+{}+{}+{}+{}+{}+{}+{}+{}+{AC=P49810000Y}+{AC=P48100000Y}+{AC=P4168100AJ}+{AC=P4168100L}+{AC=P41681000}+{AC=P48500000}+{AC=P46860000}+{AC=P46500000}+{AC=P4690090AJ}+{AC=P4690090L}+{AC=P4690000AJ}+{AC=P4690000L}+{AC=P46910000}+{AC=P46900000}+{RU=PG1105}+{RU=PG1104}+{RU=PG1103}+{RU=PG1102}+{AC=R681241000}+{AC=R681240000}+{AC=R67401000}+{AC=R65800001}+{AC=R60629200}+{AC=R60629100}+{AC=R67405000}+{AC=R67403000}+{AC=R68611000}+{AC=R66405000}+{AC=R68123000}+{AC=R67300000}+{AC=R67350000}+{AC=R67330000}+{AC=R67320000}+{AC=R65800003}+</v>
      </c>
    </row>
    <row r="123" spans="2:2">
      <c r="B123" s="30" t="str">
        <f t="shared" si="1"/>
        <v>{}+{}+{}+{}+{}+{}+{}+{}+{}+{}+{}+{}+{}+{}+{}+{}+{}+{}+{}+{}+{}+{}+{}+{}+{}+{}+{}+{}+{}+{}+{}+{}+{}+{}+{}+{}+{}+{}+{}+{}+{}+{}+{}+{}+{}+{}+{}+{}+{}+{}+{}+{}+{}+{}+{}+{}+{}+{}+{}+{}+{}+{}+{}+{}+{}+{}+{}+{}+{}+{}+{}+{}+{}+{}+{}+{}+{}+{}+{}+{}+{}+{}+{}+{}+{}+{}+{}+{}+{}+{AC=P49810000Y}+{AC=P48100000Y}+{AC=P4168100AJ}+{AC=P4168100L}+{AC=P41681000}+{AC=P48500000}+{AC=P46860000}+{AC=P46500000}+{AC=P4690090AJ}+{AC=P4690090L}+{AC=P4690000AJ}+{AC=P4690000L}+{AC=P46910000}+{AC=P46900000}+{RU=PG1105}+{RU=PG1104}+{RU=PG1103}+{RU=PG1102}+{AC=R681241000}+{AC=R681240000}+{AC=R67401000}+{AC=R65800001}+{AC=R60629200}+{AC=R60629100}+{AC=R67405000}+{AC=R67403000}+{AC=R68611000}+{AC=R66405000}+{AC=R68123000}+{AC=R67300000}+{AC=R67350000}+{AC=R67330000}+{AC=R67320000}+{AC=R65800003}+</v>
      </c>
    </row>
    <row r="124" spans="2:2">
      <c r="B124" s="30" t="str">
        <f t="shared" si="1"/>
        <v>{}+{}+{}+{}+{}+{}+{}+{}+{}+{}+{}+{}+{}+{}+{}+{}+{}+{}+{}+{}+{}+{}+{}+{}+{}+{}+{}+{}+{}+{}+{}+{}+{}+{}+{}+{}+{}+{}+{}+{}+{}+{}+{}+{}+{}+{}+{}+{}+{}+{}+{}+{}+{}+{}+{}+{}+{}+{}+{}+{}+{}+{}+{}+{}+{}+{}+{}+{}+{}+{}+{}+{}+{}+{}+{}+{}+{}+{}+{}+{}+{}+{}+{}+{}+{}+{}+{}+{}+{}+{}+{AC=P49810000Y}+{AC=P48100000Y}+{AC=P4168100AJ}+{AC=P4168100L}+{AC=P41681000}+{AC=P48500000}+{AC=P46860000}+{AC=P46500000}+{AC=P4690090AJ}+{AC=P4690090L}+{AC=P4690000AJ}+{AC=P4690000L}+{AC=P46910000}+{AC=P46900000}+{RU=PG1105}+{RU=PG1104}+{RU=PG1103}+{RU=PG1102}+{AC=R681241000}+{AC=R681240000}+{AC=R67401000}+{AC=R65800001}+{AC=R60629200}+{AC=R60629100}+{AC=R67405000}+{AC=R67403000}+{AC=R68611000}+{AC=R66405000}+{AC=R68123000}+{AC=R67300000}+{AC=R67350000}+{AC=R67330000}+{AC=R67320000}+{AC=R65800003}+</v>
      </c>
    </row>
    <row r="125" spans="2:2">
      <c r="B125" s="30" t="str">
        <f t="shared" si="1"/>
        <v>{}+{}+{}+{}+{}+{}+{}+{}+{}+{}+{}+{}+{}+{}+{}+{}+{}+{}+{}+{}+{}+{}+{}+{}+{}+{}+{}+{}+{}+{}+{}+{}+{}+{}+{}+{}+{}+{}+{}+{}+{}+{}+{}+{}+{}+{}+{}+{}+{}+{}+{}+{}+{}+{}+{}+{}+{}+{}+{}+{}+{}+{}+{}+{}+{}+{}+{}+{}+{}+{}+{}+{}+{}+{}+{}+{}+{}+{}+{}+{}+{}+{}+{}+{}+{}+{}+{}+{}+{}+{}+{}+{AC=P49810000Y}+{AC=P48100000Y}+{AC=P4168100AJ}+{AC=P4168100L}+{AC=P41681000}+{AC=P48500000}+{AC=P46860000}+{AC=P46500000}+{AC=P4690090AJ}+{AC=P4690090L}+{AC=P4690000AJ}+{AC=P4690000L}+{AC=P46910000}+{AC=P46900000}+{RU=PG1105}+{RU=PG1104}+{RU=PG1103}+{RU=PG1102}+{AC=R681241000}+{AC=R681240000}+{AC=R67401000}+{AC=R65800001}+{AC=R60629200}+{AC=R60629100}+{AC=R67405000}+{AC=R67403000}+{AC=R68611000}+{AC=R66405000}+{AC=R68123000}+{AC=R67300000}+{AC=R67350000}+{AC=R67330000}+{AC=R67320000}+{AC=R65800003}+</v>
      </c>
    </row>
    <row r="126" spans="2:2">
      <c r="B126" s="30" t="str">
        <f t="shared" si="1"/>
        <v>{}+{}+{}+{}+{}+{}+{}+{}+{}+{}+{}+{}+{}+{}+{}+{}+{}+{}+{}+{}+{}+{}+{}+{}+{}+{}+{}+{}+{}+{}+{}+{}+{}+{}+{}+{}+{}+{}+{}+{}+{}+{}+{}+{}+{}+{}+{}+{}+{}+{}+{}+{}+{}+{}+{}+{}+{}+{}+{}+{}+{}+{}+{}+{}+{}+{}+{}+{}+{}+{}+{}+{}+{}+{}+{}+{}+{}+{}+{}+{}+{}+{}+{}+{}+{}+{}+{}+{}+{}+{}+{}+{}+{AC=P49810000Y}+{AC=P48100000Y}+{AC=P4168100AJ}+{AC=P4168100L}+{AC=P41681000}+{AC=P48500000}+{AC=P46860000}+{AC=P46500000}+{AC=P4690090AJ}+{AC=P4690090L}+{AC=P4690000AJ}+{AC=P4690000L}+{AC=P46910000}+{AC=P46900000}+{RU=PG1105}+{RU=PG1104}+{RU=PG1103}+{RU=PG1102}+{AC=R681241000}+{AC=R681240000}+{AC=R67401000}+{AC=R65800001}+{AC=R60629200}+{AC=R60629100}+{AC=R67405000}+{AC=R67403000}+{AC=R68611000}+{AC=R66405000}+{AC=R68123000}+{AC=R67300000}+{AC=R67350000}+{AC=R67330000}+{AC=R67320000}+{AC=R65800003}+</v>
      </c>
    </row>
    <row r="127" spans="2:2">
      <c r="B127" s="30" t="str">
        <f t="shared" si="1"/>
        <v>{}+{}+{}+{}+{}+{}+{}+{}+{}+{}+{}+{}+{}+{}+{}+{}+{}+{}+{}+{}+{}+{}+{}+{}+{}+{}+{}+{}+{}+{}+{}+{}+{}+{}+{}+{}+{}+{}+{}+{}+{}+{}+{}+{}+{}+{}+{}+{}+{}+{}+{}+{}+{}+{}+{}+{}+{}+{}+{}+{}+{}+{}+{}+{}+{}+{}+{}+{}+{}+{}+{}+{}+{}+{}+{}+{}+{}+{}+{}+{}+{}+{}+{}+{}+{}+{}+{}+{}+{}+{}+{}+{}+{}+{AC=P49810000Y}+{AC=P48100000Y}+{AC=P4168100AJ}+{AC=P4168100L}+{AC=P41681000}+{AC=P48500000}+{AC=P46860000}+{AC=P46500000}+{AC=P4690090AJ}+{AC=P4690090L}+{AC=P4690000AJ}+{AC=P4690000L}+{AC=P46910000}+{AC=P46900000}+{RU=PG1105}+{RU=PG1104}+{RU=PG1103}+{RU=PG1102}+{AC=R681241000}+{AC=R681240000}+{AC=R67401000}+{AC=R65800001}+{AC=R60629200}+{AC=R60629100}+{AC=R67405000}+{AC=R67403000}+{AC=R68611000}+{AC=R66405000}+{AC=R68123000}+{AC=R67300000}+{AC=R67350000}+{AC=R67330000}+{AC=R67320000}+{AC=R65800003}+</v>
      </c>
    </row>
    <row r="128" spans="2:2">
      <c r="B128" s="30" t="str">
        <f t="shared" si="1"/>
        <v>{}+{}+{}+{}+{}+{}+{}+{}+{}+{}+{}+{}+{}+{}+{}+{}+{}+{}+{}+{}+{}+{}+{}+{}+{}+{}+{}+{}+{}+{}+{}+{}+{}+{}+{}+{}+{}+{}+{}+{}+{}+{}+{}+{}+{}+{}+{}+{}+{}+{}+{}+{}+{}+{}+{}+{}+{}+{}+{}+{}+{}+{}+{}+{}+{}+{}+{}+{}+{}+{}+{}+{}+{}+{}+{}+{}+{}+{}+{}+{}+{}+{}+{}+{}+{}+{}+{}+{}+{}+{}+{}+{}+{}+{}+{AC=P49810000Y}+{AC=P48100000Y}+{AC=P4168100AJ}+{AC=P4168100L}+{AC=P41681000}+{AC=P48500000}+{AC=P46860000}+{AC=P46500000}+{AC=P4690090AJ}+{AC=P4690090L}+{AC=P4690000AJ}+{AC=P4690000L}+{AC=P46910000}+{AC=P46900000}+{RU=PG1105}+{RU=PG1104}+{RU=PG1103}+{RU=PG1102}+{AC=R681241000}+{AC=R681240000}+{AC=R67401000}+{AC=R65800001}+{AC=R60629200}+{AC=R60629100}+{AC=R67405000}+{AC=R67403000}+{AC=R68611000}+{AC=R66405000}+{AC=R68123000}+{AC=R67300000}+{AC=R67350000}+{AC=R67330000}+{AC=R67320000}+{AC=R65800003}+</v>
      </c>
    </row>
    <row r="129" spans="2:2">
      <c r="B129" s="30" t="str">
        <f t="shared" si="1"/>
        <v>{}+{}+{}+{}+{}+{}+{}+{}+{}+{}+{}+{}+{}+{}+{}+{}+{}+{}+{}+{}+{}+{}+{}+{}+{}+{}+{}+{}+{}+{}+{}+{}+{}+{}+{}+{}+{}+{}+{}+{}+{}+{}+{}+{}+{}+{}+{}+{}+{}+{}+{}+{}+{}+{}+{}+{}+{}+{}+{}+{}+{}+{}+{}+{}+{}+{}+{}+{}+{}+{}+{}+{}+{}+{}+{}+{}+{}+{}+{}+{}+{}+{}+{}+{}+{}+{}+{}+{}+{}+{}+{}+{}+{}+{}+{}+{AC=P49810000Y}+{AC=P48100000Y}+{AC=P4168100AJ}+{AC=P4168100L}+{AC=P41681000}+{AC=P48500000}+{AC=P46860000}+{AC=P46500000}+{AC=P4690090AJ}+{AC=P4690090L}+{AC=P4690000AJ}+{AC=P4690000L}+{AC=P46910000}+{AC=P46900000}+{RU=PG1105}+{RU=PG1104}+{RU=PG1103}+{RU=PG1102}+{AC=R681241000}+{AC=R681240000}+{AC=R67401000}+{AC=R65800001}+{AC=R60629200}+{AC=R60629100}+{AC=R67405000}+{AC=R67403000}+{AC=R68611000}+{AC=R66405000}+{AC=R68123000}+{AC=R67300000}+{AC=R67350000}+{AC=R67330000}+{AC=R67320000}+{AC=R65800003}+</v>
      </c>
    </row>
    <row r="130" spans="2:2">
      <c r="B130" s="30" t="str">
        <f t="shared" ref="B130:B174" si="2">"{"&amp;A130&amp;"}+"&amp;B129</f>
        <v>{}+{}+{}+{}+{}+{}+{}+{}+{}+{}+{}+{}+{}+{}+{}+{}+{}+{}+{}+{}+{}+{}+{}+{}+{}+{}+{}+{}+{}+{}+{}+{}+{}+{}+{}+{}+{}+{}+{}+{}+{}+{}+{}+{}+{}+{}+{}+{}+{}+{}+{}+{}+{}+{}+{}+{}+{}+{}+{}+{}+{}+{}+{}+{}+{}+{}+{}+{}+{}+{}+{}+{}+{}+{}+{}+{}+{}+{}+{}+{}+{}+{}+{}+{}+{}+{}+{}+{}+{}+{}+{}+{}+{}+{}+{}+{}+{AC=P49810000Y}+{AC=P48100000Y}+{AC=P4168100AJ}+{AC=P4168100L}+{AC=P41681000}+{AC=P48500000}+{AC=P46860000}+{AC=P46500000}+{AC=P4690090AJ}+{AC=P4690090L}+{AC=P4690000AJ}+{AC=P4690000L}+{AC=P46910000}+{AC=P46900000}+{RU=PG1105}+{RU=PG1104}+{RU=PG1103}+{RU=PG1102}+{AC=R681241000}+{AC=R681240000}+{AC=R67401000}+{AC=R65800001}+{AC=R60629200}+{AC=R60629100}+{AC=R67405000}+{AC=R67403000}+{AC=R68611000}+{AC=R66405000}+{AC=R68123000}+{AC=R67300000}+{AC=R67350000}+{AC=R67330000}+{AC=R67320000}+{AC=R65800003}+</v>
      </c>
    </row>
    <row r="131" spans="2:2">
      <c r="B131" s="30" t="str">
        <f t="shared" si="2"/>
        <v>{}+{}+{}+{}+{}+{}+{}+{}+{}+{}+{}+{}+{}+{}+{}+{}+{}+{}+{}+{}+{}+{}+{}+{}+{}+{}+{}+{}+{}+{}+{}+{}+{}+{}+{}+{}+{}+{}+{}+{}+{}+{}+{}+{}+{}+{}+{}+{}+{}+{}+{}+{}+{}+{}+{}+{}+{}+{}+{}+{}+{}+{}+{}+{}+{}+{}+{}+{}+{}+{}+{}+{}+{}+{}+{}+{}+{}+{}+{}+{}+{}+{}+{}+{}+{}+{}+{}+{}+{}+{}+{}+{}+{}+{}+{}+{}+{}+{AC=P49810000Y}+{AC=P48100000Y}+{AC=P4168100AJ}+{AC=P4168100L}+{AC=P41681000}+{AC=P48500000}+{AC=P46860000}+{AC=P46500000}+{AC=P4690090AJ}+{AC=P4690090L}+{AC=P4690000AJ}+{AC=P4690000L}+{AC=P46910000}+{AC=P46900000}+{RU=PG1105}+{RU=PG1104}+{RU=PG1103}+{RU=PG1102}+{AC=R681241000}+{AC=R681240000}+{AC=R67401000}+{AC=R65800001}+{AC=R60629200}+{AC=R60629100}+{AC=R67405000}+{AC=R67403000}+{AC=R68611000}+{AC=R66405000}+{AC=R68123000}+{AC=R67300000}+{AC=R67350000}+{AC=R67330000}+{AC=R67320000}+{AC=R65800003}+</v>
      </c>
    </row>
    <row r="132" spans="2:2">
      <c r="B132" s="30" t="str">
        <f t="shared" si="2"/>
        <v>{}+{}+{}+{}+{}+{}+{}+{}+{}+{}+{}+{}+{}+{}+{}+{}+{}+{}+{}+{}+{}+{}+{}+{}+{}+{}+{}+{}+{}+{}+{}+{}+{}+{}+{}+{}+{}+{}+{}+{}+{}+{}+{}+{}+{}+{}+{}+{}+{}+{}+{}+{}+{}+{}+{}+{}+{}+{}+{}+{}+{}+{}+{}+{}+{}+{}+{}+{}+{}+{}+{}+{}+{}+{}+{}+{}+{}+{}+{}+{}+{}+{}+{}+{}+{}+{}+{}+{}+{}+{}+{}+{}+{}+{}+{}+{}+{}+{}+{AC=P49810000Y}+{AC=P48100000Y}+{AC=P4168100AJ}+{AC=P4168100L}+{AC=P41681000}+{AC=P48500000}+{AC=P46860000}+{AC=P46500000}+{AC=P4690090AJ}+{AC=P4690090L}+{AC=P4690000AJ}+{AC=P4690000L}+{AC=P46910000}+{AC=P46900000}+{RU=PG1105}+{RU=PG1104}+{RU=PG1103}+{RU=PG1102}+{AC=R681241000}+{AC=R681240000}+{AC=R67401000}+{AC=R65800001}+{AC=R60629200}+{AC=R60629100}+{AC=R67405000}+{AC=R67403000}+{AC=R68611000}+{AC=R66405000}+{AC=R68123000}+{AC=R67300000}+{AC=R67350000}+{AC=R67330000}+{AC=R67320000}+{AC=R65800003}+</v>
      </c>
    </row>
    <row r="133" spans="2:2">
      <c r="B133" s="30" t="str">
        <f t="shared" si="2"/>
        <v>{}+{}+{}+{}+{}+{}+{}+{}+{}+{}+{}+{}+{}+{}+{}+{}+{}+{}+{}+{}+{}+{}+{}+{}+{}+{}+{}+{}+{}+{}+{}+{}+{}+{}+{}+{}+{}+{}+{}+{}+{}+{}+{}+{}+{}+{}+{}+{}+{}+{}+{}+{}+{}+{}+{}+{}+{}+{}+{}+{}+{}+{}+{}+{}+{}+{}+{}+{}+{}+{}+{}+{}+{}+{}+{}+{}+{}+{}+{}+{}+{}+{}+{}+{}+{}+{}+{}+{}+{}+{}+{}+{}+{}+{}+{}+{}+{}+{}+{}+{AC=P49810000Y}+{AC=P48100000Y}+{AC=P4168100AJ}+{AC=P4168100L}+{AC=P41681000}+{AC=P48500000}+{AC=P46860000}+{AC=P46500000}+{AC=P4690090AJ}+{AC=P4690090L}+{AC=P4690000AJ}+{AC=P4690000L}+{AC=P46910000}+{AC=P46900000}+{RU=PG1105}+{RU=PG1104}+{RU=PG1103}+{RU=PG1102}+{AC=R681241000}+{AC=R681240000}+{AC=R67401000}+{AC=R65800001}+{AC=R60629200}+{AC=R60629100}+{AC=R67405000}+{AC=R67403000}+{AC=R68611000}+{AC=R66405000}+{AC=R68123000}+{AC=R67300000}+{AC=R67350000}+{AC=R67330000}+{AC=R67320000}+{AC=R65800003}+</v>
      </c>
    </row>
    <row r="134" spans="2:2">
      <c r="B134" s="30" t="str">
        <f t="shared" si="2"/>
        <v>{}+{}+{}+{}+{}+{}+{}+{}+{}+{}+{}+{}+{}+{}+{}+{}+{}+{}+{}+{}+{}+{}+{}+{}+{}+{}+{}+{}+{}+{}+{}+{}+{}+{}+{}+{}+{}+{}+{}+{}+{}+{}+{}+{}+{}+{}+{}+{}+{}+{}+{}+{}+{}+{}+{}+{}+{}+{}+{}+{}+{}+{}+{}+{}+{}+{}+{}+{}+{}+{}+{}+{}+{}+{}+{}+{}+{}+{}+{}+{}+{}+{}+{}+{}+{}+{}+{}+{}+{}+{}+{}+{}+{}+{}+{}+{}+{}+{}+{}+{}+{AC=P49810000Y}+{AC=P48100000Y}+{AC=P4168100AJ}+{AC=P4168100L}+{AC=P41681000}+{AC=P48500000}+{AC=P46860000}+{AC=P46500000}+{AC=P4690090AJ}+{AC=P4690090L}+{AC=P4690000AJ}+{AC=P4690000L}+{AC=P46910000}+{AC=P46900000}+{RU=PG1105}+{RU=PG1104}+{RU=PG1103}+{RU=PG1102}+{AC=R681241000}+{AC=R681240000}+{AC=R67401000}+{AC=R65800001}+{AC=R60629200}+{AC=R60629100}+{AC=R67405000}+{AC=R67403000}+{AC=R68611000}+{AC=R66405000}+{AC=R68123000}+{AC=R67300000}+{AC=R67350000}+{AC=R67330000}+{AC=R67320000}+{AC=R65800003}+</v>
      </c>
    </row>
    <row r="135" spans="2:2">
      <c r="B135" s="30" t="str">
        <f t="shared" si="2"/>
        <v>{}+{}+{}+{}+{}+{}+{}+{}+{}+{}+{}+{}+{}+{}+{}+{}+{}+{}+{}+{}+{}+{}+{}+{}+{}+{}+{}+{}+{}+{}+{}+{}+{}+{}+{}+{}+{}+{}+{}+{}+{}+{}+{}+{}+{}+{}+{}+{}+{}+{}+{}+{}+{}+{}+{}+{}+{}+{}+{}+{}+{}+{}+{}+{}+{}+{}+{}+{}+{}+{}+{}+{}+{}+{}+{}+{}+{}+{}+{}+{}+{}+{}+{}+{}+{}+{}+{}+{}+{}+{}+{}+{}+{}+{}+{}+{}+{}+{}+{}+{}+{}+{AC=P49810000Y}+{AC=P48100000Y}+{AC=P4168100AJ}+{AC=P4168100L}+{AC=P41681000}+{AC=P48500000}+{AC=P46860000}+{AC=P46500000}+{AC=P4690090AJ}+{AC=P4690090L}+{AC=P4690000AJ}+{AC=P4690000L}+{AC=P46910000}+{AC=P46900000}+{RU=PG1105}+{RU=PG1104}+{RU=PG1103}+{RU=PG1102}+{AC=R681241000}+{AC=R681240000}+{AC=R67401000}+{AC=R65800001}+{AC=R60629200}+{AC=R60629100}+{AC=R67405000}+{AC=R67403000}+{AC=R68611000}+{AC=R66405000}+{AC=R68123000}+{AC=R67300000}+{AC=R67350000}+{AC=R67330000}+{AC=R67320000}+{AC=R65800003}+</v>
      </c>
    </row>
    <row r="136" spans="2:2">
      <c r="B136" s="30" t="str">
        <f t="shared" si="2"/>
        <v>{}+{}+{}+{}+{}+{}+{}+{}+{}+{}+{}+{}+{}+{}+{}+{}+{}+{}+{}+{}+{}+{}+{}+{}+{}+{}+{}+{}+{}+{}+{}+{}+{}+{}+{}+{}+{}+{}+{}+{}+{}+{}+{}+{}+{}+{}+{}+{}+{}+{}+{}+{}+{}+{}+{}+{}+{}+{}+{}+{}+{}+{}+{}+{}+{}+{}+{}+{}+{}+{}+{}+{}+{}+{}+{}+{}+{}+{}+{}+{}+{}+{}+{}+{}+{}+{}+{}+{}+{}+{}+{}+{}+{}+{}+{}+{}+{}+{}+{}+{}+{}+{}+{AC=P49810000Y}+{AC=P48100000Y}+{AC=P4168100AJ}+{AC=P4168100L}+{AC=P41681000}+{AC=P48500000}+{AC=P46860000}+{AC=P46500000}+{AC=P4690090AJ}+{AC=P4690090L}+{AC=P4690000AJ}+{AC=P4690000L}+{AC=P46910000}+{AC=P46900000}+{RU=PG1105}+{RU=PG1104}+{RU=PG1103}+{RU=PG1102}+{AC=R681241000}+{AC=R681240000}+{AC=R67401000}+{AC=R65800001}+{AC=R60629200}+{AC=R60629100}+{AC=R67405000}+{AC=R67403000}+{AC=R68611000}+{AC=R66405000}+{AC=R68123000}+{AC=R67300000}+{AC=R67350000}+{AC=R67330000}+{AC=R67320000}+{AC=R65800003}+</v>
      </c>
    </row>
    <row r="137" spans="2:2">
      <c r="B137" s="30" t="str">
        <f t="shared" si="2"/>
        <v>{}+{}+{}+{}+{}+{}+{}+{}+{}+{}+{}+{}+{}+{}+{}+{}+{}+{}+{}+{}+{}+{}+{}+{}+{}+{}+{}+{}+{}+{}+{}+{}+{}+{}+{}+{}+{}+{}+{}+{}+{}+{}+{}+{}+{}+{}+{}+{}+{}+{}+{}+{}+{}+{}+{}+{}+{}+{}+{}+{}+{}+{}+{}+{}+{}+{}+{}+{}+{}+{}+{}+{}+{}+{}+{}+{}+{}+{}+{}+{}+{}+{}+{}+{}+{}+{}+{}+{}+{}+{}+{}+{}+{}+{}+{}+{}+{}+{}+{}+{}+{}+{}+{}+{AC=P49810000Y}+{AC=P48100000Y}+{AC=P4168100AJ}+{AC=P4168100L}+{AC=P41681000}+{AC=P48500000}+{AC=P46860000}+{AC=P46500000}+{AC=P4690090AJ}+{AC=P4690090L}+{AC=P4690000AJ}+{AC=P4690000L}+{AC=P46910000}+{AC=P46900000}+{RU=PG1105}+{RU=PG1104}+{RU=PG1103}+{RU=PG1102}+{AC=R681241000}+{AC=R681240000}+{AC=R67401000}+{AC=R65800001}+{AC=R60629200}+{AC=R60629100}+{AC=R67405000}+{AC=R67403000}+{AC=R68611000}+{AC=R66405000}+{AC=R68123000}+{AC=R67300000}+{AC=R67350000}+{AC=R67330000}+{AC=R67320000}+{AC=R65800003}+</v>
      </c>
    </row>
    <row r="138" spans="2:2">
      <c r="B138" s="30" t="str">
        <f t="shared" si="2"/>
        <v>{}+{}+{}+{}+{}+{}+{}+{}+{}+{}+{}+{}+{}+{}+{}+{}+{}+{}+{}+{}+{}+{}+{}+{}+{}+{}+{}+{}+{}+{}+{}+{}+{}+{}+{}+{}+{}+{}+{}+{}+{}+{}+{}+{}+{}+{}+{}+{}+{}+{}+{}+{}+{}+{}+{}+{}+{}+{}+{}+{}+{}+{}+{}+{}+{}+{}+{}+{}+{}+{}+{}+{}+{}+{}+{}+{}+{}+{}+{}+{}+{}+{}+{}+{}+{}+{}+{}+{}+{}+{}+{}+{}+{}+{}+{}+{}+{}+{}+{}+{}+{}+{}+{}+{}+{AC=P49810000Y}+{AC=P48100000Y}+{AC=P4168100AJ}+{AC=P4168100L}+{AC=P41681000}+{AC=P48500000}+{AC=P46860000}+{AC=P46500000}+{AC=P4690090AJ}+{AC=P4690090L}+{AC=P4690000AJ}+{AC=P4690000L}+{AC=P46910000}+{AC=P46900000}+{RU=PG1105}+{RU=PG1104}+{RU=PG1103}+{RU=PG1102}+{AC=R681241000}+{AC=R681240000}+{AC=R67401000}+{AC=R65800001}+{AC=R60629200}+{AC=R60629100}+{AC=R67405000}+{AC=R67403000}+{AC=R68611000}+{AC=R66405000}+{AC=R68123000}+{AC=R67300000}+{AC=R67350000}+{AC=R67330000}+{AC=R67320000}+{AC=R65800003}+</v>
      </c>
    </row>
    <row r="139" spans="2:2">
      <c r="B139" s="30" t="str">
        <f t="shared" si="2"/>
        <v>{}+{}+{}+{}+{}+{}+{}+{}+{}+{}+{}+{}+{}+{}+{}+{}+{}+{}+{}+{}+{}+{}+{}+{}+{}+{}+{}+{}+{}+{}+{}+{}+{}+{}+{}+{}+{}+{}+{}+{}+{}+{}+{}+{}+{}+{}+{}+{}+{}+{}+{}+{}+{}+{}+{}+{}+{}+{}+{}+{}+{}+{}+{}+{}+{}+{}+{}+{}+{}+{}+{}+{}+{}+{}+{}+{}+{}+{}+{}+{}+{}+{}+{}+{}+{}+{}+{}+{}+{}+{}+{}+{}+{}+{}+{}+{}+{}+{}+{}+{}+{}+{}+{}+{}+{}+{AC=P49810000Y}+{AC=P48100000Y}+{AC=P4168100AJ}+{AC=P4168100L}+{AC=P41681000}+{AC=P48500000}+{AC=P46860000}+{AC=P46500000}+{AC=P4690090AJ}+{AC=P4690090L}+{AC=P4690000AJ}+{AC=P4690000L}+{AC=P46910000}+{AC=P46900000}+{RU=PG1105}+{RU=PG1104}+{RU=PG1103}+{RU=PG1102}+{AC=R681241000}+{AC=R681240000}+{AC=R67401000}+{AC=R65800001}+{AC=R60629200}+{AC=R60629100}+{AC=R67405000}+{AC=R67403000}+{AC=R68611000}+{AC=R66405000}+{AC=R68123000}+{AC=R67300000}+{AC=R67350000}+{AC=R67330000}+{AC=R67320000}+{AC=R65800003}+</v>
      </c>
    </row>
    <row r="140" spans="2:2">
      <c r="B140" s="30" t="str">
        <f t="shared" si="2"/>
        <v>{}+{}+{}+{}+{}+{}+{}+{}+{}+{}+{}+{}+{}+{}+{}+{}+{}+{}+{}+{}+{}+{}+{}+{}+{}+{}+{}+{}+{}+{}+{}+{}+{}+{}+{}+{}+{}+{}+{}+{}+{}+{}+{}+{}+{}+{}+{}+{}+{}+{}+{}+{}+{}+{}+{}+{}+{}+{}+{}+{}+{}+{}+{}+{}+{}+{}+{}+{}+{}+{}+{}+{}+{}+{}+{}+{}+{}+{}+{}+{}+{}+{}+{}+{}+{}+{}+{}+{}+{}+{}+{}+{}+{}+{}+{}+{}+{}+{}+{}+{}+{}+{}+{}+{}+{}+{}+{AC=P49810000Y}+{AC=P48100000Y}+{AC=P4168100AJ}+{AC=P4168100L}+{AC=P41681000}+{AC=P48500000}+{AC=P46860000}+{AC=P46500000}+{AC=P4690090AJ}+{AC=P4690090L}+{AC=P4690000AJ}+{AC=P4690000L}+{AC=P46910000}+{AC=P46900000}+{RU=PG1105}+{RU=PG1104}+{RU=PG1103}+{RU=PG1102}+{AC=R681241000}+{AC=R681240000}+{AC=R67401000}+{AC=R65800001}+{AC=R60629200}+{AC=R60629100}+{AC=R67405000}+{AC=R67403000}+{AC=R68611000}+{AC=R66405000}+{AC=R68123000}+{AC=R67300000}+{AC=R67350000}+{AC=R67330000}+{AC=R67320000}+{AC=R65800003}+</v>
      </c>
    </row>
    <row r="141" spans="2:2">
      <c r="B141" s="30" t="str">
        <f t="shared" si="2"/>
        <v>{}+{}+{}+{}+{}+{}+{}+{}+{}+{}+{}+{}+{}+{}+{}+{}+{}+{}+{}+{}+{}+{}+{}+{}+{}+{}+{}+{}+{}+{}+{}+{}+{}+{}+{}+{}+{}+{}+{}+{}+{}+{}+{}+{}+{}+{}+{}+{}+{}+{}+{}+{}+{}+{}+{}+{}+{}+{}+{}+{}+{}+{}+{}+{}+{}+{}+{}+{}+{}+{}+{}+{}+{}+{}+{}+{}+{}+{}+{}+{}+{}+{}+{}+{}+{}+{}+{}+{}+{}+{}+{}+{}+{}+{}+{}+{}+{}+{}+{}+{}+{}+{}+{}+{}+{}+{}+{}+{AC=P49810000Y}+{AC=P48100000Y}+{AC=P4168100AJ}+{AC=P4168100L}+{AC=P41681000}+{AC=P48500000}+{AC=P46860000}+{AC=P46500000}+{AC=P4690090AJ}+{AC=P4690090L}+{AC=P4690000AJ}+{AC=P4690000L}+{AC=P46910000}+{AC=P46900000}+{RU=PG1105}+{RU=PG1104}+{RU=PG1103}+{RU=PG1102}+{AC=R681241000}+{AC=R681240000}+{AC=R67401000}+{AC=R65800001}+{AC=R60629200}+{AC=R60629100}+{AC=R67405000}+{AC=R67403000}+{AC=R68611000}+{AC=R66405000}+{AC=R68123000}+{AC=R67300000}+{AC=R67350000}+{AC=R67330000}+{AC=R67320000}+{AC=R65800003}+</v>
      </c>
    </row>
    <row r="142" spans="2:2">
      <c r="B142" s="30" t="str">
        <f t="shared" si="2"/>
        <v>{}+{}+{}+{}+{}+{}+{}+{}+{}+{}+{}+{}+{}+{}+{}+{}+{}+{}+{}+{}+{}+{}+{}+{}+{}+{}+{}+{}+{}+{}+{}+{}+{}+{}+{}+{}+{}+{}+{}+{}+{}+{}+{}+{}+{}+{}+{}+{}+{}+{}+{}+{}+{}+{}+{}+{}+{}+{}+{}+{}+{}+{}+{}+{}+{}+{}+{}+{}+{}+{}+{}+{}+{}+{}+{}+{}+{}+{}+{}+{}+{}+{}+{}+{}+{}+{}+{}+{}+{}+{}+{}+{}+{}+{}+{}+{}+{}+{}+{}+{}+{}+{}+{}+{}+{}+{}+{}+{}+{AC=P49810000Y}+{AC=P48100000Y}+{AC=P4168100AJ}+{AC=P4168100L}+{AC=P41681000}+{AC=P48500000}+{AC=P46860000}+{AC=P46500000}+{AC=P4690090AJ}+{AC=P4690090L}+{AC=P4690000AJ}+{AC=P4690000L}+{AC=P46910000}+{AC=P46900000}+{RU=PG1105}+{RU=PG1104}+{RU=PG1103}+{RU=PG1102}+{AC=R681241000}+{AC=R681240000}+{AC=R67401000}+{AC=R65800001}+{AC=R60629200}+{AC=R60629100}+{AC=R67405000}+{AC=R67403000}+{AC=R68611000}+{AC=R66405000}+{AC=R68123000}+{AC=R67300000}+{AC=R67350000}+{AC=R67330000}+{AC=R67320000}+{AC=R65800003}+</v>
      </c>
    </row>
    <row r="143" spans="2:2">
      <c r="B143" s="30" t="str">
        <f t="shared" si="2"/>
        <v>{}+{}+{}+{}+{}+{}+{}+{}+{}+{}+{}+{}+{}+{}+{}+{}+{}+{}+{}+{}+{}+{}+{}+{}+{}+{}+{}+{}+{}+{}+{}+{}+{}+{}+{}+{}+{}+{}+{}+{}+{}+{}+{}+{}+{}+{}+{}+{}+{}+{}+{}+{}+{}+{}+{}+{}+{}+{}+{}+{}+{}+{}+{}+{}+{}+{}+{}+{}+{}+{}+{}+{}+{}+{}+{}+{}+{}+{}+{}+{}+{}+{}+{}+{}+{}+{}+{}+{}+{}+{}+{}+{}+{}+{}+{}+{}+{}+{}+{}+{}+{}+{}+{}+{}+{}+{}+{}+{}+{}+{AC=P49810000Y}+{AC=P48100000Y}+{AC=P4168100AJ}+{AC=P4168100L}+{AC=P41681000}+{AC=P48500000}+{AC=P46860000}+{AC=P46500000}+{AC=P4690090AJ}+{AC=P4690090L}+{AC=P4690000AJ}+{AC=P4690000L}+{AC=P46910000}+{AC=P46900000}+{RU=PG1105}+{RU=PG1104}+{RU=PG1103}+{RU=PG1102}+{AC=R681241000}+{AC=R681240000}+{AC=R67401000}+{AC=R65800001}+{AC=R60629200}+{AC=R60629100}+{AC=R67405000}+{AC=R67403000}+{AC=R68611000}+{AC=R66405000}+{AC=R68123000}+{AC=R67300000}+{AC=R67350000}+{AC=R67330000}+{AC=R67320000}+{AC=R65800003}+</v>
      </c>
    </row>
    <row r="144" spans="2:2">
      <c r="B144" s="30" t="str">
        <f t="shared" si="2"/>
        <v>{}+{}+{}+{}+{}+{}+{}+{}+{}+{}+{}+{}+{}+{}+{}+{}+{}+{}+{}+{}+{}+{}+{}+{}+{}+{}+{}+{}+{}+{}+{}+{}+{}+{}+{}+{}+{}+{}+{}+{}+{}+{}+{}+{}+{}+{}+{}+{}+{}+{}+{}+{}+{}+{}+{}+{}+{}+{}+{}+{}+{}+{}+{}+{}+{}+{}+{}+{}+{}+{}+{}+{}+{}+{}+{}+{}+{}+{}+{}+{}+{}+{}+{}+{}+{}+{}+{}+{}+{}+{}+{}+{}+{}+{}+{}+{}+{}+{}+{}+{}+{}+{}+{}+{}+{}+{}+{}+{}+{}+{}+{AC=P49810000Y}+{AC=P48100000Y}+{AC=P4168100AJ}+{AC=P4168100L}+{AC=P41681000}+{AC=P48500000}+{AC=P46860000}+{AC=P46500000}+{AC=P4690090AJ}+{AC=P4690090L}+{AC=P4690000AJ}+{AC=P4690000L}+{AC=P46910000}+{AC=P46900000}+{RU=PG1105}+{RU=PG1104}+{RU=PG1103}+{RU=PG1102}+{AC=R681241000}+{AC=R681240000}+{AC=R67401000}+{AC=R65800001}+{AC=R60629200}+{AC=R60629100}+{AC=R67405000}+{AC=R67403000}+{AC=R68611000}+{AC=R66405000}+{AC=R68123000}+{AC=R67300000}+{AC=R67350000}+{AC=R67330000}+{AC=R67320000}+{AC=R65800003}+</v>
      </c>
    </row>
    <row r="145" spans="2:2">
      <c r="B145" s="30" t="str">
        <f t="shared" si="2"/>
        <v>{}+{}+{}+{}+{}+{}+{}+{}+{}+{}+{}+{}+{}+{}+{}+{}+{}+{}+{}+{}+{}+{}+{}+{}+{}+{}+{}+{}+{}+{}+{}+{}+{}+{}+{}+{}+{}+{}+{}+{}+{}+{}+{}+{}+{}+{}+{}+{}+{}+{}+{}+{}+{}+{}+{}+{}+{}+{}+{}+{}+{}+{}+{}+{}+{}+{}+{}+{}+{}+{}+{}+{}+{}+{}+{}+{}+{}+{}+{}+{}+{}+{}+{}+{}+{}+{}+{}+{}+{}+{}+{}+{}+{}+{}+{}+{}+{}+{}+{}+{}+{}+{}+{}+{}+{}+{}+{}+{}+{}+{}+{}+{AC=P49810000Y}+{AC=P48100000Y}+{AC=P4168100AJ}+{AC=P4168100L}+{AC=P41681000}+{AC=P48500000}+{AC=P46860000}+{AC=P46500000}+{AC=P4690090AJ}+{AC=P4690090L}+{AC=P4690000AJ}+{AC=P4690000L}+{AC=P46910000}+{AC=P46900000}+{RU=PG1105}+{RU=PG1104}+{RU=PG1103}+{RU=PG1102}+{AC=R681241000}+{AC=R681240000}+{AC=R67401000}+{AC=R65800001}+{AC=R60629200}+{AC=R60629100}+{AC=R67405000}+{AC=R67403000}+{AC=R68611000}+{AC=R66405000}+{AC=R68123000}+{AC=R67300000}+{AC=R67350000}+{AC=R67330000}+{AC=R67320000}+{AC=R65800003}+</v>
      </c>
    </row>
    <row r="146" spans="2:2">
      <c r="B146" s="30" t="str">
        <f t="shared" si="2"/>
        <v>{}+{}+{}+{}+{}+{}+{}+{}+{}+{}+{}+{}+{}+{}+{}+{}+{}+{}+{}+{}+{}+{}+{}+{}+{}+{}+{}+{}+{}+{}+{}+{}+{}+{}+{}+{}+{}+{}+{}+{}+{}+{}+{}+{}+{}+{}+{}+{}+{}+{}+{}+{}+{}+{}+{}+{}+{}+{}+{}+{}+{}+{}+{}+{}+{}+{}+{}+{}+{}+{}+{}+{}+{}+{}+{}+{}+{}+{}+{}+{}+{}+{}+{}+{}+{}+{}+{}+{}+{}+{}+{}+{}+{}+{}+{}+{}+{}+{}+{}+{}+{}+{}+{}+{}+{}+{}+{}+{}+{}+{}+{}+{}+{AC=P49810000Y}+{AC=P48100000Y}+{AC=P4168100AJ}+{AC=P4168100L}+{AC=P41681000}+{AC=P48500000}+{AC=P46860000}+{AC=P46500000}+{AC=P4690090AJ}+{AC=P4690090L}+{AC=P4690000AJ}+{AC=P4690000L}+{AC=P46910000}+{AC=P46900000}+{RU=PG1105}+{RU=PG1104}+{RU=PG1103}+{RU=PG1102}+{AC=R681241000}+{AC=R681240000}+{AC=R67401000}+{AC=R65800001}+{AC=R60629200}+{AC=R60629100}+{AC=R67405000}+{AC=R67403000}+{AC=R68611000}+{AC=R66405000}+{AC=R68123000}+{AC=R67300000}+{AC=R67350000}+{AC=R67330000}+{AC=R67320000}+{AC=R65800003}+</v>
      </c>
    </row>
    <row r="147" spans="2:2">
      <c r="B147" s="30" t="str">
        <f t="shared" si="2"/>
        <v>{}+{}+{}+{}+{}+{}+{}+{}+{}+{}+{}+{}+{}+{}+{}+{}+{}+{}+{}+{}+{}+{}+{}+{}+{}+{}+{}+{}+{}+{}+{}+{}+{}+{}+{}+{}+{}+{}+{}+{}+{}+{}+{}+{}+{}+{}+{}+{}+{}+{}+{}+{}+{}+{}+{}+{}+{}+{}+{}+{}+{}+{}+{}+{}+{}+{}+{}+{}+{}+{}+{}+{}+{}+{}+{}+{}+{}+{}+{}+{}+{}+{}+{}+{}+{}+{}+{}+{}+{}+{}+{}+{}+{}+{}+{}+{}+{}+{}+{}+{}+{}+{}+{}+{}+{}+{}+{}+{}+{}+{}+{}+{}+{}+{AC=P49810000Y}+{AC=P48100000Y}+{AC=P4168100AJ}+{AC=P4168100L}+{AC=P41681000}+{AC=P48500000}+{AC=P46860000}+{AC=P46500000}+{AC=P4690090AJ}+{AC=P4690090L}+{AC=P4690000AJ}+{AC=P4690000L}+{AC=P46910000}+{AC=P46900000}+{RU=PG1105}+{RU=PG1104}+{RU=PG1103}+{RU=PG1102}+{AC=R681241000}+{AC=R681240000}+{AC=R67401000}+{AC=R65800001}+{AC=R60629200}+{AC=R60629100}+{AC=R67405000}+{AC=R67403000}+{AC=R68611000}+{AC=R66405000}+{AC=R68123000}+{AC=R67300000}+{AC=R67350000}+{AC=R67330000}+{AC=R67320000}+{AC=R65800003}+</v>
      </c>
    </row>
    <row r="148" spans="2:2">
      <c r="B148" s="30" t="str">
        <f t="shared" si="2"/>
        <v>{}+{}+{}+{}+{}+{}+{}+{}+{}+{}+{}+{}+{}+{}+{}+{}+{}+{}+{}+{}+{}+{}+{}+{}+{}+{}+{}+{}+{}+{}+{}+{}+{}+{}+{}+{}+{}+{}+{}+{}+{}+{}+{}+{}+{}+{}+{}+{}+{}+{}+{}+{}+{}+{}+{}+{}+{}+{}+{}+{}+{}+{}+{}+{}+{}+{}+{}+{}+{}+{}+{}+{}+{}+{}+{}+{}+{}+{}+{}+{}+{}+{}+{}+{}+{}+{}+{}+{}+{}+{}+{}+{}+{}+{}+{}+{}+{}+{}+{}+{}+{}+{}+{}+{}+{}+{}+{}+{}+{}+{}+{}+{}+{}+{}+{AC=P49810000Y}+{AC=P48100000Y}+{AC=P4168100AJ}+{AC=P4168100L}+{AC=P41681000}+{AC=P48500000}+{AC=P46860000}+{AC=P46500000}+{AC=P4690090AJ}+{AC=P4690090L}+{AC=P4690000AJ}+{AC=P4690000L}+{AC=P46910000}+{AC=P46900000}+{RU=PG1105}+{RU=PG1104}+{RU=PG1103}+{RU=PG1102}+{AC=R681241000}+{AC=R681240000}+{AC=R67401000}+{AC=R65800001}+{AC=R60629200}+{AC=R60629100}+{AC=R67405000}+{AC=R67403000}+{AC=R68611000}+{AC=R66405000}+{AC=R68123000}+{AC=R67300000}+{AC=R67350000}+{AC=R67330000}+{AC=R67320000}+{AC=R65800003}+</v>
      </c>
    </row>
    <row r="149" spans="2:2">
      <c r="B149" s="30" t="str">
        <f t="shared" si="2"/>
        <v>{}+{}+{}+{}+{}+{}+{}+{}+{}+{}+{}+{}+{}+{}+{}+{}+{}+{}+{}+{}+{}+{}+{}+{}+{}+{}+{}+{}+{}+{}+{}+{}+{}+{}+{}+{}+{}+{}+{}+{}+{}+{}+{}+{}+{}+{}+{}+{}+{}+{}+{}+{}+{}+{}+{}+{}+{}+{}+{}+{}+{}+{}+{}+{}+{}+{}+{}+{}+{}+{}+{}+{}+{}+{}+{}+{}+{}+{}+{}+{}+{}+{}+{}+{}+{}+{}+{}+{}+{}+{}+{}+{}+{}+{}+{}+{}+{}+{}+{}+{}+{}+{}+{}+{}+{}+{}+{}+{}+{}+{}+{}+{}+{}+{}+{}+{AC=P49810000Y}+{AC=P48100000Y}+{AC=P4168100AJ}+{AC=P4168100L}+{AC=P41681000}+{AC=P48500000}+{AC=P46860000}+{AC=P46500000}+{AC=P4690090AJ}+{AC=P4690090L}+{AC=P4690000AJ}+{AC=P4690000L}+{AC=P46910000}+{AC=P46900000}+{RU=PG1105}+{RU=PG1104}+{RU=PG1103}+{RU=PG1102}+{AC=R681241000}+{AC=R681240000}+{AC=R67401000}+{AC=R65800001}+{AC=R60629200}+{AC=R60629100}+{AC=R67405000}+{AC=R67403000}+{AC=R68611000}+{AC=R66405000}+{AC=R68123000}+{AC=R67300000}+{AC=R67350000}+{AC=R67330000}+{AC=R67320000}+{AC=R65800003}+</v>
      </c>
    </row>
    <row r="150" spans="2:2">
      <c r="B150" s="30" t="str">
        <f t="shared" si="2"/>
        <v>{}+{}+{}+{}+{}+{}+{}+{}+{}+{}+{}+{}+{}+{}+{}+{}+{}+{}+{}+{}+{}+{}+{}+{}+{}+{}+{}+{}+{}+{}+{}+{}+{}+{}+{}+{}+{}+{}+{}+{}+{}+{}+{}+{}+{}+{}+{}+{}+{}+{}+{}+{}+{}+{}+{}+{}+{}+{}+{}+{}+{}+{}+{}+{}+{}+{}+{}+{}+{}+{}+{}+{}+{}+{}+{}+{}+{}+{}+{}+{}+{}+{}+{}+{}+{}+{}+{}+{}+{}+{}+{}+{}+{}+{}+{}+{}+{}+{}+{}+{}+{}+{}+{}+{}+{}+{}+{}+{}+{}+{}+{}+{}+{}+{}+{}+{}+{AC=P49810000Y}+{AC=P48100000Y}+{AC=P4168100AJ}+{AC=P4168100L}+{AC=P41681000}+{AC=P48500000}+{AC=P46860000}+{AC=P46500000}+{AC=P4690090AJ}+{AC=P4690090L}+{AC=P4690000AJ}+{AC=P4690000L}+{AC=P46910000}+{AC=P46900000}+{RU=PG1105}+{RU=PG1104}+{RU=PG1103}+{RU=PG1102}+{AC=R681241000}+{AC=R681240000}+{AC=R67401000}+{AC=R65800001}+{AC=R60629200}+{AC=R60629100}+{AC=R67405000}+{AC=R67403000}+{AC=R68611000}+{AC=R66405000}+{AC=R68123000}+{AC=R67300000}+{AC=R67350000}+{AC=R67330000}+{AC=R67320000}+{AC=R65800003}+</v>
      </c>
    </row>
    <row r="151" spans="2:2">
      <c r="B151" s="30" t="str">
        <f t="shared" si="2"/>
        <v>{}+{}+{}+{}+{}+{}+{}+{}+{}+{}+{}+{}+{}+{}+{}+{}+{}+{}+{}+{}+{}+{}+{}+{}+{}+{}+{}+{}+{}+{}+{}+{}+{}+{}+{}+{}+{}+{}+{}+{}+{}+{}+{}+{}+{}+{}+{}+{}+{}+{}+{}+{}+{}+{}+{}+{}+{}+{}+{}+{}+{}+{}+{}+{}+{}+{}+{}+{}+{}+{}+{}+{}+{}+{}+{}+{}+{}+{}+{}+{}+{}+{}+{}+{}+{}+{}+{}+{}+{}+{}+{}+{}+{}+{}+{}+{}+{}+{}+{}+{}+{}+{}+{}+{}+{}+{}+{}+{}+{}+{}+{}+{}+{}+{}+{}+{}+{}+{AC=P49810000Y}+{AC=P48100000Y}+{AC=P4168100AJ}+{AC=P4168100L}+{AC=P41681000}+{AC=P48500000}+{AC=P46860000}+{AC=P46500000}+{AC=P4690090AJ}+{AC=P4690090L}+{AC=P4690000AJ}+{AC=P4690000L}+{AC=P46910000}+{AC=P46900000}+{RU=PG1105}+{RU=PG1104}+{RU=PG1103}+{RU=PG1102}+{AC=R681241000}+{AC=R681240000}+{AC=R67401000}+{AC=R65800001}+{AC=R60629200}+{AC=R60629100}+{AC=R67405000}+{AC=R67403000}+{AC=R68611000}+{AC=R66405000}+{AC=R68123000}+{AC=R67300000}+{AC=R67350000}+{AC=R67330000}+{AC=R67320000}+{AC=R65800003}+</v>
      </c>
    </row>
    <row r="152" spans="2:2">
      <c r="B152" s="30" t="str">
        <f t="shared" si="2"/>
        <v>{}+{}+{}+{}+{}+{}+{}+{}+{}+{}+{}+{}+{}+{}+{}+{}+{}+{}+{}+{}+{}+{}+{}+{}+{}+{}+{}+{}+{}+{}+{}+{}+{}+{}+{}+{}+{}+{}+{}+{}+{}+{}+{}+{}+{}+{}+{}+{}+{}+{}+{}+{}+{}+{}+{}+{}+{}+{}+{}+{}+{}+{}+{}+{}+{}+{}+{}+{}+{}+{}+{}+{}+{}+{}+{}+{}+{}+{}+{}+{}+{}+{}+{}+{}+{}+{}+{}+{}+{}+{}+{}+{}+{}+{}+{}+{}+{}+{}+{}+{}+{}+{}+{}+{}+{}+{}+{}+{}+{}+{}+{}+{}+{}+{}+{}+{}+{}+{}+{AC=P49810000Y}+{AC=P48100000Y}+{AC=P4168100AJ}+{AC=P4168100L}+{AC=P41681000}+{AC=P48500000}+{AC=P46860000}+{AC=P46500000}+{AC=P4690090AJ}+{AC=P4690090L}+{AC=P4690000AJ}+{AC=P4690000L}+{AC=P46910000}+{AC=P46900000}+{RU=PG1105}+{RU=PG1104}+{RU=PG1103}+{RU=PG1102}+{AC=R681241000}+{AC=R681240000}+{AC=R67401000}+{AC=R65800001}+{AC=R60629200}+{AC=R60629100}+{AC=R67405000}+{AC=R67403000}+{AC=R68611000}+{AC=R66405000}+{AC=R68123000}+{AC=R67300000}+{AC=R67350000}+{AC=R67330000}+{AC=R67320000}+{AC=R65800003}+</v>
      </c>
    </row>
    <row r="153" spans="2:2">
      <c r="B153" s="30" t="str">
        <f t="shared" si="2"/>
        <v>{}+{}+{}+{}+{}+{}+{}+{}+{}+{}+{}+{}+{}+{}+{}+{}+{}+{}+{}+{}+{}+{}+{}+{}+{}+{}+{}+{}+{}+{}+{}+{}+{}+{}+{}+{}+{}+{}+{}+{}+{}+{}+{}+{}+{}+{}+{}+{}+{}+{}+{}+{}+{}+{}+{}+{}+{}+{}+{}+{}+{}+{}+{}+{}+{}+{}+{}+{}+{}+{}+{}+{}+{}+{}+{}+{}+{}+{}+{}+{}+{}+{}+{}+{}+{}+{}+{}+{}+{}+{}+{}+{}+{}+{}+{}+{}+{}+{}+{}+{}+{}+{}+{}+{}+{}+{}+{}+{}+{}+{}+{}+{}+{}+{}+{}+{}+{}+{}+{}+{AC=P49810000Y}+{AC=P48100000Y}+{AC=P4168100AJ}+{AC=P4168100L}+{AC=P41681000}+{AC=P48500000}+{AC=P46860000}+{AC=P46500000}+{AC=P4690090AJ}+{AC=P4690090L}+{AC=P4690000AJ}+{AC=P4690000L}+{AC=P46910000}+{AC=P46900000}+{RU=PG1105}+{RU=PG1104}+{RU=PG1103}+{RU=PG1102}+{AC=R681241000}+{AC=R681240000}+{AC=R67401000}+{AC=R65800001}+{AC=R60629200}+{AC=R60629100}+{AC=R67405000}+{AC=R67403000}+{AC=R68611000}+{AC=R66405000}+{AC=R68123000}+{AC=R67300000}+{AC=R67350000}+{AC=R67330000}+{AC=R67320000}+{AC=R65800003}+</v>
      </c>
    </row>
    <row r="154" spans="2:2">
      <c r="B154" s="30" t="str">
        <f t="shared" si="2"/>
        <v>{}+{}+{}+{}+{}+{}+{}+{}+{}+{}+{}+{}+{}+{}+{}+{}+{}+{}+{}+{}+{}+{}+{}+{}+{}+{}+{}+{}+{}+{}+{}+{}+{}+{}+{}+{}+{}+{}+{}+{}+{}+{}+{}+{}+{}+{}+{}+{}+{}+{}+{}+{}+{}+{}+{}+{}+{}+{}+{}+{}+{}+{}+{}+{}+{}+{}+{}+{}+{}+{}+{}+{}+{}+{}+{}+{}+{}+{}+{}+{}+{}+{}+{}+{}+{}+{}+{}+{}+{}+{}+{}+{}+{}+{}+{}+{}+{}+{}+{}+{}+{}+{}+{}+{}+{}+{}+{}+{}+{}+{}+{}+{}+{}+{}+{}+{}+{}+{}+{}+{}+{AC=P49810000Y}+{AC=P48100000Y}+{AC=P4168100AJ}+{AC=P4168100L}+{AC=P41681000}+{AC=P48500000}+{AC=P46860000}+{AC=P46500000}+{AC=P4690090AJ}+{AC=P4690090L}+{AC=P4690000AJ}+{AC=P4690000L}+{AC=P46910000}+{AC=P46900000}+{RU=PG1105}+{RU=PG1104}+{RU=PG1103}+{RU=PG1102}+{AC=R681241000}+{AC=R681240000}+{AC=R67401000}+{AC=R65800001}+{AC=R60629200}+{AC=R60629100}+{AC=R67405000}+{AC=R67403000}+{AC=R68611000}+{AC=R66405000}+{AC=R68123000}+{AC=R67300000}+{AC=R67350000}+{AC=R67330000}+{AC=R67320000}+{AC=R65800003}+</v>
      </c>
    </row>
    <row r="155" spans="2:2">
      <c r="B155" s="30" t="str">
        <f t="shared" si="2"/>
        <v>{}+{}+{}+{}+{}+{}+{}+{}+{}+{}+{}+{}+{}+{}+{}+{}+{}+{}+{}+{}+{}+{}+{}+{}+{}+{}+{}+{}+{}+{}+{}+{}+{}+{}+{}+{}+{}+{}+{}+{}+{}+{}+{}+{}+{}+{}+{}+{}+{}+{}+{}+{}+{}+{}+{}+{}+{}+{}+{}+{}+{}+{}+{}+{}+{}+{}+{}+{}+{}+{}+{}+{}+{}+{}+{}+{}+{}+{}+{}+{}+{}+{}+{}+{}+{}+{}+{}+{}+{}+{}+{}+{}+{}+{}+{}+{}+{}+{}+{}+{}+{}+{}+{}+{}+{}+{}+{}+{}+{}+{}+{}+{}+{}+{}+{}+{}+{}+{}+{}+{}+{}+{AC=P49810000Y}+{AC=P48100000Y}+{AC=P4168100AJ}+{AC=P4168100L}+{AC=P41681000}+{AC=P48500000}+{AC=P46860000}+{AC=P46500000}+{AC=P4690090AJ}+{AC=P4690090L}+{AC=P4690000AJ}+{AC=P4690000L}+{AC=P46910000}+{AC=P46900000}+{RU=PG1105}+{RU=PG1104}+{RU=PG1103}+{RU=PG1102}+{AC=R681241000}+{AC=R681240000}+{AC=R67401000}+{AC=R65800001}+{AC=R60629200}+{AC=R60629100}+{AC=R67405000}+{AC=R67403000}+{AC=R68611000}+{AC=R66405000}+{AC=R68123000}+{AC=R67300000}+{AC=R67350000}+{AC=R67330000}+{AC=R67320000}+{AC=R65800003}+</v>
      </c>
    </row>
    <row r="156" spans="2:2">
      <c r="B156" s="30" t="str">
        <f t="shared" si="2"/>
        <v>{}+{}+{}+{}+{}+{}+{}+{}+{}+{}+{}+{}+{}+{}+{}+{}+{}+{}+{}+{}+{}+{}+{}+{}+{}+{}+{}+{}+{}+{}+{}+{}+{}+{}+{}+{}+{}+{}+{}+{}+{}+{}+{}+{}+{}+{}+{}+{}+{}+{}+{}+{}+{}+{}+{}+{}+{}+{}+{}+{}+{}+{}+{}+{}+{}+{}+{}+{}+{}+{}+{}+{}+{}+{}+{}+{}+{}+{}+{}+{}+{}+{}+{}+{}+{}+{}+{}+{}+{}+{}+{}+{}+{}+{}+{}+{}+{}+{}+{}+{}+{}+{}+{}+{}+{}+{}+{}+{}+{}+{}+{}+{}+{}+{}+{}+{}+{}+{}+{}+{}+{}+{}+{AC=P49810000Y}+{AC=P48100000Y}+{AC=P4168100AJ}+{AC=P4168100L}+{AC=P41681000}+{AC=P48500000}+{AC=P46860000}+{AC=P46500000}+{AC=P4690090AJ}+{AC=P4690090L}+{AC=P4690000AJ}+{AC=P4690000L}+{AC=P46910000}+{AC=P46900000}+{RU=PG1105}+{RU=PG1104}+{RU=PG1103}+{RU=PG1102}+{AC=R681241000}+{AC=R681240000}+{AC=R67401000}+{AC=R65800001}+{AC=R60629200}+{AC=R60629100}+{AC=R67405000}+{AC=R67403000}+{AC=R68611000}+{AC=R66405000}+{AC=R68123000}+{AC=R67300000}+{AC=R67350000}+{AC=R67330000}+{AC=R67320000}+{AC=R65800003}+</v>
      </c>
    </row>
    <row r="157" spans="2:2">
      <c r="B157" s="30" t="str">
        <f t="shared" si="2"/>
        <v>{}+{}+{}+{}+{}+{}+{}+{}+{}+{}+{}+{}+{}+{}+{}+{}+{}+{}+{}+{}+{}+{}+{}+{}+{}+{}+{}+{}+{}+{}+{}+{}+{}+{}+{}+{}+{}+{}+{}+{}+{}+{}+{}+{}+{}+{}+{}+{}+{}+{}+{}+{}+{}+{}+{}+{}+{}+{}+{}+{}+{}+{}+{}+{}+{}+{}+{}+{}+{}+{}+{}+{}+{}+{}+{}+{}+{}+{}+{}+{}+{}+{}+{}+{}+{}+{}+{}+{}+{}+{}+{}+{}+{}+{}+{}+{}+{}+{}+{}+{}+{}+{}+{}+{}+{}+{}+{}+{}+{}+{}+{}+{}+{}+{}+{}+{}+{}+{}+{}+{}+{}+{}+{}+{AC=P49810000Y}+{AC=P48100000Y}+{AC=P4168100AJ}+{AC=P4168100L}+{AC=P41681000}+{AC=P48500000}+{AC=P46860000}+{AC=P46500000}+{AC=P4690090AJ}+{AC=P4690090L}+{AC=P4690000AJ}+{AC=P4690000L}+{AC=P46910000}+{AC=P46900000}+{RU=PG1105}+{RU=PG1104}+{RU=PG1103}+{RU=PG1102}+{AC=R681241000}+{AC=R681240000}+{AC=R67401000}+{AC=R65800001}+{AC=R60629200}+{AC=R60629100}+{AC=R67405000}+{AC=R67403000}+{AC=R68611000}+{AC=R66405000}+{AC=R68123000}+{AC=R67300000}+{AC=R67350000}+{AC=R67330000}+{AC=R67320000}+{AC=R65800003}+</v>
      </c>
    </row>
    <row r="158" spans="2:2">
      <c r="B158" s="30" t="str">
        <f t="shared" si="2"/>
        <v>{}+{}+{}+{}+{}+{}+{}+{}+{}+{}+{}+{}+{}+{}+{}+{}+{}+{}+{}+{}+{}+{}+{}+{}+{}+{}+{}+{}+{}+{}+{}+{}+{}+{}+{}+{}+{}+{}+{}+{}+{}+{}+{}+{}+{}+{}+{}+{}+{}+{}+{}+{}+{}+{}+{}+{}+{}+{}+{}+{}+{}+{}+{}+{}+{}+{}+{}+{}+{}+{}+{}+{}+{}+{}+{}+{}+{}+{}+{}+{}+{}+{}+{}+{}+{}+{}+{}+{}+{}+{}+{}+{}+{}+{}+{}+{}+{}+{}+{}+{}+{}+{}+{}+{}+{}+{}+{}+{}+{}+{}+{}+{}+{}+{}+{}+{}+{}+{}+{}+{}+{}+{}+{}+{}+{AC=P49810000Y}+{AC=P48100000Y}+{AC=P4168100AJ}+{AC=P4168100L}+{AC=P41681000}+{AC=P48500000}+{AC=P46860000}+{AC=P46500000}+{AC=P4690090AJ}+{AC=P4690090L}+{AC=P4690000AJ}+{AC=P4690000L}+{AC=P46910000}+{AC=P46900000}+{RU=PG1105}+{RU=PG1104}+{RU=PG1103}+{RU=PG1102}+{AC=R681241000}+{AC=R681240000}+{AC=R67401000}+{AC=R65800001}+{AC=R60629200}+{AC=R60629100}+{AC=R67405000}+{AC=R67403000}+{AC=R68611000}+{AC=R66405000}+{AC=R68123000}+{AC=R67300000}+{AC=R67350000}+{AC=R67330000}+{AC=R67320000}+{AC=R65800003}+</v>
      </c>
    </row>
    <row r="159" spans="2:2">
      <c r="B159" s="30" t="str">
        <f t="shared" si="2"/>
        <v>{}+{}+{}+{}+{}+{}+{}+{}+{}+{}+{}+{}+{}+{}+{}+{}+{}+{}+{}+{}+{}+{}+{}+{}+{}+{}+{}+{}+{}+{}+{}+{}+{}+{}+{}+{}+{}+{}+{}+{}+{}+{}+{}+{}+{}+{}+{}+{}+{}+{}+{}+{}+{}+{}+{}+{}+{}+{}+{}+{}+{}+{}+{}+{}+{}+{}+{}+{}+{}+{}+{}+{}+{}+{}+{}+{}+{}+{}+{}+{}+{}+{}+{}+{}+{}+{}+{}+{}+{}+{}+{}+{}+{}+{}+{}+{}+{}+{}+{}+{}+{}+{}+{}+{}+{}+{}+{}+{}+{}+{}+{}+{}+{}+{}+{}+{}+{}+{}+{}+{}+{}+{}+{}+{}+{}+{AC=P49810000Y}+{AC=P48100000Y}+{AC=P4168100AJ}+{AC=P4168100L}+{AC=P41681000}+{AC=P48500000}+{AC=P46860000}+{AC=P46500000}+{AC=P4690090AJ}+{AC=P4690090L}+{AC=P4690000AJ}+{AC=P4690000L}+{AC=P46910000}+{AC=P46900000}+{RU=PG1105}+{RU=PG1104}+{RU=PG1103}+{RU=PG1102}+{AC=R681241000}+{AC=R681240000}+{AC=R67401000}+{AC=R65800001}+{AC=R60629200}+{AC=R60629100}+{AC=R67405000}+{AC=R67403000}+{AC=R68611000}+{AC=R66405000}+{AC=R68123000}+{AC=R67300000}+{AC=R67350000}+{AC=R67330000}+{AC=R67320000}+{AC=R65800003}+</v>
      </c>
    </row>
    <row r="160" spans="2:2">
      <c r="B160" s="30" t="str">
        <f t="shared" si="2"/>
        <v>{}+{}+{}+{}+{}+{}+{}+{}+{}+{}+{}+{}+{}+{}+{}+{}+{}+{}+{}+{}+{}+{}+{}+{}+{}+{}+{}+{}+{}+{}+{}+{}+{}+{}+{}+{}+{}+{}+{}+{}+{}+{}+{}+{}+{}+{}+{}+{}+{}+{}+{}+{}+{}+{}+{}+{}+{}+{}+{}+{}+{}+{}+{}+{}+{}+{}+{}+{}+{}+{}+{}+{}+{}+{}+{}+{}+{}+{}+{}+{}+{}+{}+{}+{}+{}+{}+{}+{}+{}+{}+{}+{}+{}+{}+{}+{}+{}+{}+{}+{}+{}+{}+{}+{}+{}+{}+{}+{}+{}+{}+{}+{}+{}+{}+{}+{}+{}+{}+{}+{}+{}+{}+{}+{}+{}+{}+{AC=P49810000Y}+{AC=P48100000Y}+{AC=P4168100AJ}+{AC=P4168100L}+{AC=P41681000}+{AC=P48500000}+{AC=P46860000}+{AC=P46500000}+{AC=P4690090AJ}+{AC=P4690090L}+{AC=P4690000AJ}+{AC=P4690000L}+{AC=P46910000}+{AC=P46900000}+{RU=PG1105}+{RU=PG1104}+{RU=PG1103}+{RU=PG1102}+{AC=R681241000}+{AC=R681240000}+{AC=R67401000}+{AC=R65800001}+{AC=R60629200}+{AC=R60629100}+{AC=R67405000}+{AC=R67403000}+{AC=R68611000}+{AC=R66405000}+{AC=R68123000}+{AC=R67300000}+{AC=R67350000}+{AC=R67330000}+{AC=R67320000}+{AC=R65800003}+</v>
      </c>
    </row>
    <row r="161" spans="2:2">
      <c r="B161" s="30" t="str">
        <f t="shared" si="2"/>
        <v>{}+{}+{}+{}+{}+{}+{}+{}+{}+{}+{}+{}+{}+{}+{}+{}+{}+{}+{}+{}+{}+{}+{}+{}+{}+{}+{}+{}+{}+{}+{}+{}+{}+{}+{}+{}+{}+{}+{}+{}+{}+{}+{}+{}+{}+{}+{}+{}+{}+{}+{}+{}+{}+{}+{}+{}+{}+{}+{}+{}+{}+{}+{}+{}+{}+{}+{}+{}+{}+{}+{}+{}+{}+{}+{}+{}+{}+{}+{}+{}+{}+{}+{}+{}+{}+{}+{}+{}+{}+{}+{}+{}+{}+{}+{}+{}+{}+{}+{}+{}+{}+{}+{}+{}+{}+{}+{}+{}+{}+{}+{}+{}+{}+{}+{}+{}+{}+{}+{}+{}+{}+{}+{}+{}+{}+{}+{}+{AC=P49810000Y}+{AC=P48100000Y}+{AC=P4168100AJ}+{AC=P4168100L}+{AC=P41681000}+{AC=P48500000}+{AC=P46860000}+{AC=P46500000}+{AC=P4690090AJ}+{AC=P4690090L}+{AC=P4690000AJ}+{AC=P4690000L}+{AC=P46910000}+{AC=P46900000}+{RU=PG1105}+{RU=PG1104}+{RU=PG1103}+{RU=PG1102}+{AC=R681241000}+{AC=R681240000}+{AC=R67401000}+{AC=R65800001}+{AC=R60629200}+{AC=R60629100}+{AC=R67405000}+{AC=R67403000}+{AC=R68611000}+{AC=R66405000}+{AC=R68123000}+{AC=R67300000}+{AC=R67350000}+{AC=R67330000}+{AC=R67320000}+{AC=R65800003}+</v>
      </c>
    </row>
    <row r="162" spans="2:2">
      <c r="B162" s="30" t="str">
        <f t="shared" si="2"/>
        <v>{}+{}+{}+{}+{}+{}+{}+{}+{}+{}+{}+{}+{}+{}+{}+{}+{}+{}+{}+{}+{}+{}+{}+{}+{}+{}+{}+{}+{}+{}+{}+{}+{}+{}+{}+{}+{}+{}+{}+{}+{}+{}+{}+{}+{}+{}+{}+{}+{}+{}+{}+{}+{}+{}+{}+{}+{}+{}+{}+{}+{}+{}+{}+{}+{}+{}+{}+{}+{}+{}+{}+{}+{}+{}+{}+{}+{}+{}+{}+{}+{}+{}+{}+{}+{}+{}+{}+{}+{}+{}+{}+{}+{}+{}+{}+{}+{}+{}+{}+{}+{}+{}+{}+{}+{}+{}+{}+{}+{}+{}+{}+{}+{}+{}+{}+{}+{}+{}+{}+{}+{}+{}+{}+{}+{}+{}+{}+{}+{AC=P49810000Y}+{AC=P48100000Y}+{AC=P4168100AJ}+{AC=P4168100L}+{AC=P41681000}+{AC=P48500000}+{AC=P46860000}+{AC=P46500000}+{AC=P4690090AJ}+{AC=P4690090L}+{AC=P4690000AJ}+{AC=P4690000L}+{AC=P46910000}+{AC=P46900000}+{RU=PG1105}+{RU=PG1104}+{RU=PG1103}+{RU=PG1102}+{AC=R681241000}+{AC=R681240000}+{AC=R67401000}+{AC=R65800001}+{AC=R60629200}+{AC=R60629100}+{AC=R67405000}+{AC=R67403000}+{AC=R68611000}+{AC=R66405000}+{AC=R68123000}+{AC=R67300000}+{AC=R67350000}+{AC=R67330000}+{AC=R67320000}+{AC=R65800003}+</v>
      </c>
    </row>
    <row r="163" spans="2:2">
      <c r="B163" s="30" t="str">
        <f t="shared" si="2"/>
        <v>{}+{}+{}+{}+{}+{}+{}+{}+{}+{}+{}+{}+{}+{}+{}+{}+{}+{}+{}+{}+{}+{}+{}+{}+{}+{}+{}+{}+{}+{}+{}+{}+{}+{}+{}+{}+{}+{}+{}+{}+{}+{}+{}+{}+{}+{}+{}+{}+{}+{}+{}+{}+{}+{}+{}+{}+{}+{}+{}+{}+{}+{}+{}+{}+{}+{}+{}+{}+{}+{}+{}+{}+{}+{}+{}+{}+{}+{}+{}+{}+{}+{}+{}+{}+{}+{}+{}+{}+{}+{}+{}+{}+{}+{}+{}+{}+{}+{}+{}+{}+{}+{}+{}+{}+{}+{}+{}+{}+{}+{}+{}+{}+{}+{}+{}+{}+{}+{}+{}+{}+{}+{}+{}+{}+{}+{}+{}+{}+{}+{AC=P49810000Y}+{AC=P48100000Y}+{AC=P4168100AJ}+{AC=P4168100L}+{AC=P41681000}+{AC=P48500000}+{AC=P46860000}+{AC=P46500000}+{AC=P4690090AJ}+{AC=P4690090L}+{AC=P4690000AJ}+{AC=P4690000L}+{AC=P46910000}+{AC=P46900000}+{RU=PG1105}+{RU=PG1104}+{RU=PG1103}+{RU=PG1102}+{AC=R681241000}+{AC=R681240000}+{AC=R67401000}+{AC=R65800001}+{AC=R60629200}+{AC=R60629100}+{AC=R67405000}+{AC=R67403000}+{AC=R68611000}+{AC=R66405000}+{AC=R68123000}+{AC=R67300000}+{AC=R67350000}+{AC=R67330000}+{AC=R67320000}+{AC=R65800003}+</v>
      </c>
    </row>
    <row r="164" spans="2:2">
      <c r="B164" s="30" t="str">
        <f t="shared" si="2"/>
        <v>{}+{}+{}+{}+{}+{}+{}+{}+{}+{}+{}+{}+{}+{}+{}+{}+{}+{}+{}+{}+{}+{}+{}+{}+{}+{}+{}+{}+{}+{}+{}+{}+{}+{}+{}+{}+{}+{}+{}+{}+{}+{}+{}+{}+{}+{}+{}+{}+{}+{}+{}+{}+{}+{}+{}+{}+{}+{}+{}+{}+{}+{}+{}+{}+{}+{}+{}+{}+{}+{}+{}+{}+{}+{}+{}+{}+{}+{}+{}+{}+{}+{}+{}+{}+{}+{}+{}+{}+{}+{}+{}+{}+{}+{}+{}+{}+{}+{}+{}+{}+{}+{}+{}+{}+{}+{}+{}+{}+{}+{}+{}+{}+{}+{}+{}+{}+{}+{}+{}+{}+{}+{}+{}+{}+{}+{}+{}+{}+{}+{}+{AC=P49810000Y}+{AC=P48100000Y}+{AC=P4168100AJ}+{AC=P4168100L}+{AC=P41681000}+{AC=P48500000}+{AC=P46860000}+{AC=P46500000}+{AC=P4690090AJ}+{AC=P4690090L}+{AC=P4690000AJ}+{AC=P4690000L}+{AC=P46910000}+{AC=P46900000}+{RU=PG1105}+{RU=PG1104}+{RU=PG1103}+{RU=PG1102}+{AC=R681241000}+{AC=R681240000}+{AC=R67401000}+{AC=R65800001}+{AC=R60629200}+{AC=R60629100}+{AC=R67405000}+{AC=R67403000}+{AC=R68611000}+{AC=R66405000}+{AC=R68123000}+{AC=R67300000}+{AC=R67350000}+{AC=R67330000}+{AC=R67320000}+{AC=R65800003}+</v>
      </c>
    </row>
    <row r="165" spans="2:2">
      <c r="B165" s="30" t="str">
        <f t="shared" si="2"/>
        <v>{}+{}+{}+{}+{}+{}+{}+{}+{}+{}+{}+{}+{}+{}+{}+{}+{}+{}+{}+{}+{}+{}+{}+{}+{}+{}+{}+{}+{}+{}+{}+{}+{}+{}+{}+{}+{}+{}+{}+{}+{}+{}+{}+{}+{}+{}+{}+{}+{}+{}+{}+{}+{}+{}+{}+{}+{}+{}+{}+{}+{}+{}+{}+{}+{}+{}+{}+{}+{}+{}+{}+{}+{}+{}+{}+{}+{}+{}+{}+{}+{}+{}+{}+{}+{}+{}+{}+{}+{}+{}+{}+{}+{}+{}+{}+{}+{}+{}+{}+{}+{}+{}+{}+{}+{}+{}+{}+{}+{}+{}+{}+{}+{}+{}+{}+{}+{}+{}+{}+{}+{}+{}+{}+{}+{}+{}+{}+{}+{}+{}+{}+{AC=P49810000Y}+{AC=P48100000Y}+{AC=P4168100AJ}+{AC=P4168100L}+{AC=P41681000}+{AC=P48500000}+{AC=P46860000}+{AC=P46500000}+{AC=P4690090AJ}+{AC=P4690090L}+{AC=P4690000AJ}+{AC=P4690000L}+{AC=P46910000}+{AC=P46900000}+{RU=PG1105}+{RU=PG1104}+{RU=PG1103}+{RU=PG1102}+{AC=R681241000}+{AC=R681240000}+{AC=R67401000}+{AC=R65800001}+{AC=R60629200}+{AC=R60629100}+{AC=R67405000}+{AC=R67403000}+{AC=R68611000}+{AC=R66405000}+{AC=R68123000}+{AC=R67300000}+{AC=R67350000}+{AC=R67330000}+{AC=R67320000}+{AC=R65800003}+</v>
      </c>
    </row>
    <row r="166" spans="2:2">
      <c r="B166" s="30" t="str">
        <f t="shared" si="2"/>
        <v>{}+{}+{}+{}+{}+{}+{}+{}+{}+{}+{}+{}+{}+{}+{}+{}+{}+{}+{}+{}+{}+{}+{}+{}+{}+{}+{}+{}+{}+{}+{}+{}+{}+{}+{}+{}+{}+{}+{}+{}+{}+{}+{}+{}+{}+{}+{}+{}+{}+{}+{}+{}+{}+{}+{}+{}+{}+{}+{}+{}+{}+{}+{}+{}+{}+{}+{}+{}+{}+{}+{}+{}+{}+{}+{}+{}+{}+{}+{}+{}+{}+{}+{}+{}+{}+{}+{}+{}+{}+{}+{}+{}+{}+{}+{}+{}+{}+{}+{}+{}+{}+{}+{}+{}+{}+{}+{}+{}+{}+{}+{}+{}+{}+{}+{}+{}+{}+{}+{}+{}+{}+{}+{}+{}+{}+{}+{}+{}+{}+{}+{}+{}+{AC=P49810000Y}+{AC=P48100000Y}+{AC=P4168100AJ}+{AC=P4168100L}+{AC=P41681000}+{AC=P48500000}+{AC=P46860000}+{AC=P46500000}+{AC=P4690090AJ}+{AC=P4690090L}+{AC=P4690000AJ}+{AC=P4690000L}+{AC=P46910000}+{AC=P46900000}+{RU=PG1105}+{RU=PG1104}+{RU=PG1103}+{RU=PG1102}+{AC=R681241000}+{AC=R681240000}+{AC=R67401000}+{AC=R65800001}+{AC=R60629200}+{AC=R60629100}+{AC=R67405000}+{AC=R67403000}+{AC=R68611000}+{AC=R66405000}+{AC=R68123000}+{AC=R67300000}+{AC=R67350000}+{AC=R67330000}+{AC=R67320000}+{AC=R65800003}+</v>
      </c>
    </row>
    <row r="167" spans="2:2">
      <c r="B167" s="30" t="str">
        <f t="shared" si="2"/>
        <v>{}+{}+{}+{}+{}+{}+{}+{}+{}+{}+{}+{}+{}+{}+{}+{}+{}+{}+{}+{}+{}+{}+{}+{}+{}+{}+{}+{}+{}+{}+{}+{}+{}+{}+{}+{}+{}+{}+{}+{}+{}+{}+{}+{}+{}+{}+{}+{}+{}+{}+{}+{}+{}+{}+{}+{}+{}+{}+{}+{}+{}+{}+{}+{}+{}+{}+{}+{}+{}+{}+{}+{}+{}+{}+{}+{}+{}+{}+{}+{}+{}+{}+{}+{}+{}+{}+{}+{}+{}+{}+{}+{}+{}+{}+{}+{}+{}+{}+{}+{}+{}+{}+{}+{}+{}+{}+{}+{}+{}+{}+{}+{}+{}+{}+{}+{}+{}+{}+{}+{}+{}+{}+{}+{}+{}+{}+{}+{}+{}+{}+{}+{}+{}+{AC=P49810000Y}+{AC=P48100000Y}+{AC=P4168100AJ}+{AC=P4168100L}+{AC=P41681000}+{AC=P48500000}+{AC=P46860000}+{AC=P46500000}+{AC=P4690090AJ}+{AC=P4690090L}+{AC=P4690000AJ}+{AC=P4690000L}+{AC=P46910000}+{AC=P46900000}+{RU=PG1105}+{RU=PG1104}+{RU=PG1103}+{RU=PG1102}+{AC=R681241000}+{AC=R681240000}+{AC=R67401000}+{AC=R65800001}+{AC=R60629200}+{AC=R60629100}+{AC=R67405000}+{AC=R67403000}+{AC=R68611000}+{AC=R66405000}+{AC=R68123000}+{AC=R67300000}+{AC=R67350000}+{AC=R67330000}+{AC=R67320000}+{AC=R65800003}+</v>
      </c>
    </row>
    <row r="168" spans="2:2">
      <c r="B168" s="30" t="str">
        <f t="shared" si="2"/>
        <v>{}+{}+{}+{}+{}+{}+{}+{}+{}+{}+{}+{}+{}+{}+{}+{}+{}+{}+{}+{}+{}+{}+{}+{}+{}+{}+{}+{}+{}+{}+{}+{}+{}+{}+{}+{}+{}+{}+{}+{}+{}+{}+{}+{}+{}+{}+{}+{}+{}+{}+{}+{}+{}+{}+{}+{}+{}+{}+{}+{}+{}+{}+{}+{}+{}+{}+{}+{}+{}+{}+{}+{}+{}+{}+{}+{}+{}+{}+{}+{}+{}+{}+{}+{}+{}+{}+{}+{}+{}+{}+{}+{}+{}+{}+{}+{}+{}+{}+{}+{}+{}+{}+{}+{}+{}+{}+{}+{}+{}+{}+{}+{}+{}+{}+{}+{}+{}+{}+{}+{}+{}+{}+{}+{}+{}+{}+{}+{}+{}+{}+{}+{}+{}+{}+{AC=P49810000Y}+{AC=P48100000Y}+{AC=P4168100AJ}+{AC=P4168100L}+{AC=P41681000}+{AC=P48500000}+{AC=P46860000}+{AC=P46500000}+{AC=P4690090AJ}+{AC=P4690090L}+{AC=P4690000AJ}+{AC=P4690000L}+{AC=P46910000}+{AC=P46900000}+{RU=PG1105}+{RU=PG1104}+{RU=PG1103}+{RU=PG1102}+{AC=R681241000}+{AC=R681240000}+{AC=R67401000}+{AC=R65800001}+{AC=R60629200}+{AC=R60629100}+{AC=R67405000}+{AC=R67403000}+{AC=R68611000}+{AC=R66405000}+{AC=R68123000}+{AC=R67300000}+{AC=R67350000}+{AC=R67330000}+{AC=R67320000}+{AC=R65800003}+</v>
      </c>
    </row>
    <row r="169" spans="2:2">
      <c r="B169" s="30" t="str">
        <f t="shared" si="2"/>
        <v>{}+{}+{}+{}+{}+{}+{}+{}+{}+{}+{}+{}+{}+{}+{}+{}+{}+{}+{}+{}+{}+{}+{}+{}+{}+{}+{}+{}+{}+{}+{}+{}+{}+{}+{}+{}+{}+{}+{}+{}+{}+{}+{}+{}+{}+{}+{}+{}+{}+{}+{}+{}+{}+{}+{}+{}+{}+{}+{}+{}+{}+{}+{}+{}+{}+{}+{}+{}+{}+{}+{}+{}+{}+{}+{}+{}+{}+{}+{}+{}+{}+{}+{}+{}+{}+{}+{}+{}+{}+{}+{}+{}+{}+{}+{}+{}+{}+{}+{}+{}+{}+{}+{}+{}+{}+{}+{}+{}+{}+{}+{}+{}+{}+{}+{}+{}+{}+{}+{}+{}+{}+{}+{}+{}+{}+{}+{}+{}+{}+{}+{}+{}+{}+{}+{}+{AC=P49810000Y}+{AC=P48100000Y}+{AC=P4168100AJ}+{AC=P4168100L}+{AC=P41681000}+{AC=P48500000}+{AC=P46860000}+{AC=P46500000}+{AC=P4690090AJ}+{AC=P4690090L}+{AC=P4690000AJ}+{AC=P4690000L}+{AC=P46910000}+{AC=P46900000}+{RU=PG1105}+{RU=PG1104}+{RU=PG1103}+{RU=PG1102}+{AC=R681241000}+{AC=R681240000}+{AC=R67401000}+{AC=R65800001}+{AC=R60629200}+{AC=R60629100}+{AC=R67405000}+{AC=R67403000}+{AC=R68611000}+{AC=R66405000}+{AC=R68123000}+{AC=R67300000}+{AC=R67350000}+{AC=R67330000}+{AC=R67320000}+{AC=R65800003}+</v>
      </c>
    </row>
    <row r="170" spans="2:2">
      <c r="B170" s="30" t="str">
        <f t="shared" si="2"/>
        <v>{}+{}+{}+{}+{}+{}+{}+{}+{}+{}+{}+{}+{}+{}+{}+{}+{}+{}+{}+{}+{}+{}+{}+{}+{}+{}+{}+{}+{}+{}+{}+{}+{}+{}+{}+{}+{}+{}+{}+{}+{}+{}+{}+{}+{}+{}+{}+{}+{}+{}+{}+{}+{}+{}+{}+{}+{}+{}+{}+{}+{}+{}+{}+{}+{}+{}+{}+{}+{}+{}+{}+{}+{}+{}+{}+{}+{}+{}+{}+{}+{}+{}+{}+{}+{}+{}+{}+{}+{}+{}+{}+{}+{}+{}+{}+{}+{}+{}+{}+{}+{}+{}+{}+{}+{}+{}+{}+{}+{}+{}+{}+{}+{}+{}+{}+{}+{}+{}+{}+{}+{}+{}+{}+{}+{}+{}+{}+{}+{}+{}+{}+{}+{}+{}+{}+{}+{AC=P49810000Y}+{AC=P48100000Y}+{AC=P4168100AJ}+{AC=P4168100L}+{AC=P41681000}+{AC=P48500000}+{AC=P46860000}+{AC=P46500000}+{AC=P4690090AJ}+{AC=P4690090L}+{AC=P4690000AJ}+{AC=P4690000L}+{AC=P46910000}+{AC=P46900000}+{RU=PG1105}+{RU=PG1104}+{RU=PG1103}+{RU=PG1102}+{AC=R681241000}+{AC=R681240000}+{AC=R67401000}+{AC=R65800001}+{AC=R60629200}+{AC=R60629100}+{AC=R67405000}+{AC=R67403000}+{AC=R68611000}+{AC=R66405000}+{AC=R68123000}+{AC=R67300000}+{AC=R67350000}+{AC=R67330000}+{AC=R67320000}+{AC=R65800003}+</v>
      </c>
    </row>
    <row r="171" spans="2:2">
      <c r="B171" s="30" t="str">
        <f t="shared" si="2"/>
        <v>{}+{}+{}+{}+{}+{}+{}+{}+{}+{}+{}+{}+{}+{}+{}+{}+{}+{}+{}+{}+{}+{}+{}+{}+{}+{}+{}+{}+{}+{}+{}+{}+{}+{}+{}+{}+{}+{}+{}+{}+{}+{}+{}+{}+{}+{}+{}+{}+{}+{}+{}+{}+{}+{}+{}+{}+{}+{}+{}+{}+{}+{}+{}+{}+{}+{}+{}+{}+{}+{}+{}+{}+{}+{}+{}+{}+{}+{}+{}+{}+{}+{}+{}+{}+{}+{}+{}+{}+{}+{}+{}+{}+{}+{}+{}+{}+{}+{}+{}+{}+{}+{}+{}+{}+{}+{}+{}+{}+{}+{}+{}+{}+{}+{}+{}+{}+{}+{}+{}+{}+{}+{}+{}+{}+{}+{}+{}+{}+{}+{}+{}+{}+{}+{}+{}+{}+{}+{AC=P49810000Y}+{AC=P48100000Y}+{AC=P4168100AJ}+{AC=P4168100L}+{AC=P41681000}+{AC=P48500000}+{AC=P46860000}+{AC=P46500000}+{AC=P4690090AJ}+{AC=P4690090L}+{AC=P4690000AJ}+{AC=P4690000L}+{AC=P46910000}+{AC=P46900000}+{RU=PG1105}+{RU=PG1104}+{RU=PG1103}+{RU=PG1102}+{AC=R681241000}+{AC=R681240000}+{AC=R67401000}+{AC=R65800001}+{AC=R60629200}+{AC=R60629100}+{AC=R67405000}+{AC=R67403000}+{AC=R68611000}+{AC=R66405000}+{AC=R68123000}+{AC=R67300000}+{AC=R67350000}+{AC=R67330000}+{AC=R67320000}+{AC=R65800003}+</v>
      </c>
    </row>
    <row r="172" spans="2:2">
      <c r="B172" s="30" t="str">
        <f t="shared" si="2"/>
        <v>{}+{}+{}+{}+{}+{}+{}+{}+{}+{}+{}+{}+{}+{}+{}+{}+{}+{}+{}+{}+{}+{}+{}+{}+{}+{}+{}+{}+{}+{}+{}+{}+{}+{}+{}+{}+{}+{}+{}+{}+{}+{}+{}+{}+{}+{}+{}+{}+{}+{}+{}+{}+{}+{}+{}+{}+{}+{}+{}+{}+{}+{}+{}+{}+{}+{}+{}+{}+{}+{}+{}+{}+{}+{}+{}+{}+{}+{}+{}+{}+{}+{}+{}+{}+{}+{}+{}+{}+{}+{}+{}+{}+{}+{}+{}+{}+{}+{}+{}+{}+{}+{}+{}+{}+{}+{}+{}+{}+{}+{}+{}+{}+{}+{}+{}+{}+{}+{}+{}+{}+{}+{}+{}+{}+{}+{}+{}+{}+{}+{}+{}+{}+{}+{}+{}+{}+{}+{}+{AC=P49810000Y}+{AC=P48100000Y}+{AC=P4168100AJ}+{AC=P4168100L}+{AC=P41681000}+{AC=P48500000}+{AC=P46860000}+{AC=P46500000}+{AC=P4690090AJ}+{AC=P4690090L}+{AC=P4690000AJ}+{AC=P4690000L}+{AC=P46910000}+{AC=P46900000}+{RU=PG1105}+{RU=PG1104}+{RU=PG1103}+{RU=PG1102}+{AC=R681241000}+{AC=R681240000}+{AC=R67401000}+{AC=R65800001}+{AC=R60629200}+{AC=R60629100}+{AC=R67405000}+{AC=R67403000}+{AC=R68611000}+{AC=R66405000}+{AC=R68123000}+{AC=R67300000}+{AC=R67350000}+{AC=R67330000}+{AC=R67320000}+{AC=R65800003}+</v>
      </c>
    </row>
    <row r="173" spans="2:2">
      <c r="B173" s="30" t="str">
        <f t="shared" si="2"/>
        <v>{}+{}+{}+{}+{}+{}+{}+{}+{}+{}+{}+{}+{}+{}+{}+{}+{}+{}+{}+{}+{}+{}+{}+{}+{}+{}+{}+{}+{}+{}+{}+{}+{}+{}+{}+{}+{}+{}+{}+{}+{}+{}+{}+{}+{}+{}+{}+{}+{}+{}+{}+{}+{}+{}+{}+{}+{}+{}+{}+{}+{}+{}+{}+{}+{}+{}+{}+{}+{}+{}+{}+{}+{}+{}+{}+{}+{}+{}+{}+{}+{}+{}+{}+{}+{}+{}+{}+{}+{}+{}+{}+{}+{}+{}+{}+{}+{}+{}+{}+{}+{}+{}+{}+{}+{}+{}+{}+{}+{}+{}+{}+{}+{}+{}+{}+{}+{}+{}+{}+{}+{}+{}+{}+{}+{}+{}+{}+{}+{}+{}+{}+{}+{}+{}+{}+{}+{}+{}+{}+{AC=P49810000Y}+{AC=P48100000Y}+{AC=P4168100AJ}+{AC=P4168100L}+{AC=P41681000}+{AC=P48500000}+{AC=P46860000}+{AC=P46500000}+{AC=P4690090AJ}+{AC=P4690090L}+{AC=P4690000AJ}+{AC=P4690000L}+{AC=P46910000}+{AC=P46900000}+{RU=PG1105}+{RU=PG1104}+{RU=PG1103}+{RU=PG1102}+{AC=R681241000}+{AC=R681240000}+{AC=R67401000}+{AC=R65800001}+{AC=R60629200}+{AC=R60629100}+{AC=R67405000}+{AC=R67403000}+{AC=R68611000}+{AC=R66405000}+{AC=R68123000}+{AC=R67300000}+{AC=R67350000}+{AC=R67330000}+{AC=R67320000}+{AC=R65800003}+</v>
      </c>
    </row>
    <row r="174" spans="2:2">
      <c r="B174" s="30" t="str">
        <f t="shared" si="2"/>
        <v>{}+{}+{}+{}+{}+{}+{}+{}+{}+{}+{}+{}+{}+{}+{}+{}+{}+{}+{}+{}+{}+{}+{}+{}+{}+{}+{}+{}+{}+{}+{}+{}+{}+{}+{}+{}+{}+{}+{}+{}+{}+{}+{}+{}+{}+{}+{}+{}+{}+{}+{}+{}+{}+{}+{}+{}+{}+{}+{}+{}+{}+{}+{}+{}+{}+{}+{}+{}+{}+{}+{}+{}+{}+{}+{}+{}+{}+{}+{}+{}+{}+{}+{}+{}+{}+{}+{}+{}+{}+{}+{}+{}+{}+{}+{}+{}+{}+{}+{}+{}+{}+{}+{}+{}+{}+{}+{}+{}+{}+{}+{}+{}+{}+{}+{}+{}+{}+{}+{}+{}+{}+{}+{}+{}+{}+{}+{}+{}+{}+{}+{}+{}+{}+{}+{}+{}+{}+{}+{}+{}+{AC=P49810000Y}+{AC=P48100000Y}+{AC=P4168100AJ}+{AC=P4168100L}+{AC=P41681000}+{AC=P48500000}+{AC=P46860000}+{AC=P46500000}+{AC=P4690090AJ}+{AC=P4690090L}+{AC=P4690000AJ}+{AC=P4690000L}+{AC=P46910000}+{AC=P46900000}+{RU=PG1105}+{RU=PG1104}+{RU=PG1103}+{RU=PG1102}+{AC=R681241000}+{AC=R681240000}+{AC=R67401000}+{AC=R65800001}+{AC=R60629200}+{AC=R60629100}+{AC=R67405000}+{AC=R67403000}+{AC=R68611000}+{AC=R66405000}+{AC=R68123000}+{AC=R67300000}+{AC=R67350000}+{AC=R67330000}+{AC=R67320000}+{AC=R65800003}+</v>
      </c>
    </row>
  </sheetData>
  <autoFilter ref="A1:B174" xr:uid="{00000000-0009-0000-0000-000015000000}"/>
  <customSheetViews>
    <customSheetView guid="{9861AEDC-A168-4FA5-BC34-0FF06E2D98B0}" showAutoFilter="1" state="hidden">
      <selection activeCell="B7" sqref="B7"/>
      <pageMargins left="0.7" right="0.7" top="0.75" bottom="0.75" header="0.3" footer="0.3"/>
      <pageSetup paperSize="9" orientation="portrait" r:id="rId1"/>
      <autoFilter ref="A1:B174" xr:uid="{0B2BC7FA-9A1D-4328-B294-F7202DBC0CE3}"/>
    </customSheetView>
    <customSheetView guid="{6026142C-022D-477E-A086-A3D1CB0201B2}" showAutoFilter="1" state="hidden">
      <selection activeCell="B7" sqref="B7"/>
      <pageMargins left="0.7" right="0.7" top="0.75" bottom="0.75" header="0.3" footer="0.3"/>
      <pageSetup paperSize="9" orientation="portrait" r:id="rId2"/>
      <autoFilter ref="A1:B174" xr:uid="{5072B7BC-2DC5-46EF-ABF1-0704B33EE85A}"/>
    </customSheetView>
    <customSheetView guid="{0988812C-B87C-4041-945B-D3D481C0E3B2}" showAutoFilter="1" state="hidden">
      <pageMargins left="0.7" right="0.7" top="0.75" bottom="0.75" header="0.3" footer="0.3"/>
      <pageSetup paperSize="9" orientation="portrait" r:id="rId3"/>
      <autoFilter ref="A1:B174" xr:uid="{05C61549-ABAA-49C8-B082-E52D7BA98916}"/>
    </customSheetView>
    <customSheetView guid="{9B5412D3-CE8B-4D5C-87A1-6A92385B5055}" showAutoFilter="1" state="hidden">
      <pageMargins left="0.7" right="0.7" top="0.75" bottom="0.75" header="0.3" footer="0.3"/>
      <pageSetup paperSize="9" orientation="portrait" r:id="rId4"/>
      <autoFilter ref="A1:B174" xr:uid="{4517B0F1-20FD-40BE-800E-9D12A692BE72}"/>
    </customSheetView>
    <customSheetView guid="{1E6FDA0A-7324-47B7-8781-F649F81C62F2}" showAutoFilter="1" state="hidden">
      <pageMargins left="0.7" right="0.7" top="0.75" bottom="0.75" header="0.3" footer="0.3"/>
      <pageSetup paperSize="9" orientation="portrait" r:id="rId5"/>
      <autoFilter ref="A1:B174" xr:uid="{CE9FB84F-2EF7-4C29-B3EF-10563B0FDA49}"/>
    </customSheetView>
    <customSheetView guid="{10FE0AC7-DC28-4361-9D3E-E82A44C052DC}" showAutoFilter="1" state="hidden">
      <pageMargins left="0.7" right="0.7" top="0.75" bottom="0.75" header="0.3" footer="0.3"/>
      <pageSetup paperSize="9" orientation="portrait" r:id="rId6"/>
      <autoFilter ref="A1:B174" xr:uid="{A606B392-515D-486B-923B-8E3617A59023}"/>
    </customSheetView>
    <customSheetView guid="{15FEF1C5-8ED8-40F7-B190-479F9E1DDCD0}" showAutoFilter="1" state="hidden">
      <selection activeCell="B7" sqref="B7"/>
      <pageMargins left="0.7" right="0.7" top="0.75" bottom="0.75" header="0.3" footer="0.3"/>
      <pageSetup paperSize="9" orientation="portrait" r:id="rId7"/>
      <autoFilter ref="A1:B174" xr:uid="{676DC2C3-7543-4FFD-B99E-35818352AE45}"/>
    </customSheetView>
    <customSheetView guid="{4561BCBD-DB5E-4D30-A9CE-7BB23B692C5E}" showAutoFilter="1" state="hidden">
      <selection activeCell="B7" sqref="B7"/>
      <pageMargins left="0.7" right="0.7" top="0.75" bottom="0.75" header="0.3" footer="0.3"/>
      <pageSetup paperSize="9" orientation="portrait" r:id="rId8"/>
      <autoFilter ref="A1:B174" xr:uid="{850DD8DE-DC60-4E6F-8CA3-A4B8DCAC5F3D}"/>
    </customSheetView>
    <customSheetView guid="{B96AA43F-C6B6-4097-9127-C885199888B4}" showAutoFilter="1" state="hidden">
      <selection activeCell="B7" sqref="B7"/>
      <pageMargins left="0.7" right="0.7" top="0.75" bottom="0.75" header="0.3" footer="0.3"/>
      <pageSetup paperSize="9" orientation="portrait" r:id="rId9"/>
      <autoFilter ref="A1:B174" xr:uid="{7A7F0074-FAD9-4E14-A682-57D89D03772F}"/>
    </customSheetView>
    <customSheetView guid="{6357C996-BE12-4F66-ACBB-1F9F08F8885C}" showAutoFilter="1" state="hidden">
      <selection activeCell="B7" sqref="B7"/>
      <pageMargins left="0.7" right="0.7" top="0.75" bottom="0.75" header="0.3" footer="0.3"/>
      <pageSetup paperSize="9" orientation="portrait" r:id="rId10"/>
      <autoFilter ref="A1:B174" xr:uid="{0D7D4314-46BE-43E0-AB66-3F46478C02DA}"/>
    </customSheetView>
    <customSheetView guid="{5874C782-5C34-4C4C-BCC6-3692259149CA}" showAutoFilter="1" state="hidden">
      <selection activeCell="B7" sqref="B7"/>
      <pageMargins left="0.7" right="0.7" top="0.75" bottom="0.75" header="0.3" footer="0.3"/>
      <pageSetup paperSize="9" orientation="portrait" r:id="rId11"/>
      <autoFilter ref="A1:B174" xr:uid="{714A6D01-7DF1-41FF-8481-14CFC4A352BC}"/>
    </customSheetView>
  </customSheetViews>
  <pageMargins left="0.7" right="0.7" top="0.75" bottom="0.75" header="0.3" footer="0.3"/>
  <pageSetup paperSize="9" orientation="portrait" r:id="rId12"/>
  <customProperties>
    <customPr name="EpmWorksheetKeyString_GUID" r:id="rId13"/>
  </customProperties>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8F00-000000000000}">
  <sheetPr>
    <tabColor rgb="FF66FF99"/>
  </sheetPr>
  <dimension ref="B2:K12"/>
  <sheetViews>
    <sheetView showGridLines="0" workbookViewId="0">
      <selection activeCell="F7" sqref="F7"/>
    </sheetView>
  </sheetViews>
  <sheetFormatPr baseColWidth="10" defaultRowHeight="15"/>
  <cols>
    <col min="2" max="2" width="55.140625" customWidth="1"/>
    <col min="3" max="4" width="11" style="24" customWidth="1"/>
    <col min="5" max="11" width="11.5703125" style="24"/>
  </cols>
  <sheetData>
    <row r="2" spans="2:11" ht="15.75" thickBot="1">
      <c r="B2" s="31"/>
    </row>
    <row r="3" spans="2:11">
      <c r="B3" s="190" t="s">
        <v>135</v>
      </c>
      <c r="C3" s="191" t="e">
        <f>#REF!-(#REF!+#REF!)</f>
        <v>#REF!</v>
      </c>
      <c r="D3" s="191" t="e">
        <f>#REF!-(#REF!+#REF!)</f>
        <v>#REF!</v>
      </c>
      <c r="E3" s="191" t="e">
        <f>#REF!-(#REF!+#REF!)</f>
        <v>#REF!</v>
      </c>
      <c r="F3" s="191" t="e">
        <f>#REF!-(#REF!+#REF!)</f>
        <v>#REF!</v>
      </c>
      <c r="G3" s="191" t="e">
        <f>#REF!-(#REF!+#REF!)</f>
        <v>#REF!</v>
      </c>
      <c r="H3" s="191" t="e">
        <f>+#REF!-(#REF!+#REF!)</f>
        <v>#REF!</v>
      </c>
      <c r="I3" s="191" t="e">
        <f>#REF!-(#REF!+#REF!)</f>
        <v>#REF!</v>
      </c>
      <c r="J3" s="191" t="e">
        <f>#REF!-(#REF!+#REF!)</f>
        <v>#REF!</v>
      </c>
      <c r="K3" s="192" t="e">
        <f>#REF!-(#REF!+#REF!)</f>
        <v>#REF!</v>
      </c>
    </row>
    <row r="4" spans="2:11" s="87" customFormat="1">
      <c r="B4" s="193" t="s">
        <v>136</v>
      </c>
      <c r="C4" s="58"/>
      <c r="D4" s="58" t="e">
        <f>+#REF!-(#REF!+#REF!)</f>
        <v>#REF!</v>
      </c>
      <c r="E4" s="58" t="e">
        <f>+#REF!-(#REF!+#REF!)</f>
        <v>#REF!</v>
      </c>
      <c r="F4" s="58" t="e">
        <f>+#REF!-(#REF!+#REF!)</f>
        <v>#REF!</v>
      </c>
      <c r="G4" s="58" t="e">
        <f>+#REF!-(#REF!+#REF!)</f>
        <v>#REF!</v>
      </c>
      <c r="H4" s="58" t="e">
        <f>+#REF!-(#REF!+#REF!)</f>
        <v>#REF!</v>
      </c>
      <c r="I4" s="58" t="e">
        <f>+#REF!-(#REF!+#REF!)</f>
        <v>#REF!</v>
      </c>
      <c r="J4" s="58" t="e">
        <f>+#REF!-(#REF!+#REF!)</f>
        <v>#REF!</v>
      </c>
      <c r="K4" s="194" t="e">
        <f>+#REF!-(#REF!+#REF!)</f>
        <v>#REF!</v>
      </c>
    </row>
    <row r="5" spans="2:11">
      <c r="B5" s="195" t="s">
        <v>137</v>
      </c>
      <c r="C5" s="58"/>
      <c r="D5" s="58" t="e">
        <f>#REF!-(#REF!+#REF!)</f>
        <v>#REF!</v>
      </c>
      <c r="E5" s="58" t="e">
        <f>#REF!-(#REF!+#REF!)</f>
        <v>#REF!</v>
      </c>
      <c r="F5" s="58" t="e">
        <f>#REF!-(#REF!+#REF!)</f>
        <v>#REF!</v>
      </c>
      <c r="G5" s="58" t="e">
        <f>#REF!-(#REF!+#REF!)</f>
        <v>#REF!</v>
      </c>
      <c r="H5" s="58" t="e">
        <f>#REF!-(#REF!+#REF!)</f>
        <v>#REF!</v>
      </c>
      <c r="I5" s="58" t="e">
        <f>#REF!-(#REF!+#REF!)</f>
        <v>#REF!</v>
      </c>
      <c r="J5" s="58" t="e">
        <f>#REF!-(#REF!+#REF!)</f>
        <v>#REF!</v>
      </c>
      <c r="K5" s="194" t="e">
        <f>#REF!-(#REF!+#REF!)</f>
        <v>#REF!</v>
      </c>
    </row>
    <row r="6" spans="2:11" ht="30">
      <c r="B6" s="193" t="s">
        <v>138</v>
      </c>
      <c r="C6" s="58"/>
      <c r="D6" s="58" t="e">
        <f>#REF!-(#REF!+#REF!)</f>
        <v>#REF!</v>
      </c>
      <c r="E6" s="58" t="e">
        <f>#REF!-(#REF!+#REF!)</f>
        <v>#REF!</v>
      </c>
      <c r="F6" s="58" t="e">
        <f>#REF!-(#REF!+#REF!)</f>
        <v>#REF!</v>
      </c>
      <c r="G6" s="58" t="e">
        <f>#REF!-(#REF!+#REF!)</f>
        <v>#REF!</v>
      </c>
      <c r="H6" s="58" t="e">
        <f>#REF!-(#REF!+#REF!)</f>
        <v>#REF!</v>
      </c>
      <c r="I6" s="58" t="e">
        <f>#REF!-(#REF!+#REF!)</f>
        <v>#REF!</v>
      </c>
      <c r="J6" s="58" t="e">
        <f>#REF!-(#REF!+#REF!)</f>
        <v>#REF!</v>
      </c>
      <c r="K6" s="194" t="e">
        <f>#REF!-(#REF!+#REF!)</f>
        <v>#REF!</v>
      </c>
    </row>
    <row r="7" spans="2:11">
      <c r="B7" s="193" t="s">
        <v>139</v>
      </c>
      <c r="C7" s="58"/>
      <c r="D7" s="58" t="e">
        <f>#REF!-(#REF!+#REF!)</f>
        <v>#REF!</v>
      </c>
      <c r="E7" s="58" t="e">
        <f>#REF!-(#REF!+#REF!)</f>
        <v>#REF!</v>
      </c>
      <c r="F7" s="58" t="e">
        <f>#REF!-(#REF!+#REF!)</f>
        <v>#REF!</v>
      </c>
      <c r="G7" s="58" t="e">
        <f>#REF!-(#REF!+#REF!)</f>
        <v>#REF!</v>
      </c>
      <c r="H7" s="58" t="e">
        <f>#REF!-(#REF!+#REF!)</f>
        <v>#REF!</v>
      </c>
      <c r="I7" s="58" t="e">
        <f>#REF!-(#REF!+#REF!)</f>
        <v>#REF!</v>
      </c>
      <c r="J7" s="58" t="e">
        <f>#REF!-(#REF!+#REF!)</f>
        <v>#REF!</v>
      </c>
      <c r="K7" s="194" t="e">
        <f>#REF!-(#REF!+#REF!)</f>
        <v>#REF!</v>
      </c>
    </row>
    <row r="8" spans="2:11" ht="30">
      <c r="B8" s="193" t="s">
        <v>140</v>
      </c>
      <c r="C8" s="58"/>
      <c r="D8" s="58" t="e">
        <f>#REF!-(#REF!+#REF!)</f>
        <v>#REF!</v>
      </c>
      <c r="E8" s="58" t="e">
        <f>#REF!-(#REF!+#REF!)</f>
        <v>#REF!</v>
      </c>
      <c r="F8" s="58" t="e">
        <f>#REF!-(#REF!+#REF!)</f>
        <v>#REF!</v>
      </c>
      <c r="G8" s="58" t="e">
        <f>#REF!-(#REF!+#REF!)</f>
        <v>#REF!</v>
      </c>
      <c r="H8" s="58" t="e">
        <f>#REF!-(#REF!+#REF!)</f>
        <v>#REF!</v>
      </c>
      <c r="I8" s="58" t="e">
        <f>#REF!-(#REF!+#REF!)</f>
        <v>#REF!</v>
      </c>
      <c r="J8" s="58" t="e">
        <f>#REF!-(#REF!+#REF!)</f>
        <v>#REF!</v>
      </c>
      <c r="K8" s="194" t="e">
        <f>#REF!-(#REF!+#REF!)</f>
        <v>#REF!</v>
      </c>
    </row>
    <row r="9" spans="2:11">
      <c r="B9" s="193" t="s">
        <v>62</v>
      </c>
      <c r="C9" s="58"/>
      <c r="D9" s="58" t="e">
        <f>#REF!-(#REF!+#REF!)</f>
        <v>#REF!</v>
      </c>
      <c r="E9" s="58" t="e">
        <f>#REF!-(#REF!+#REF!)</f>
        <v>#REF!</v>
      </c>
      <c r="F9" s="58" t="e">
        <f>#REF!-(#REF!+#REF!)</f>
        <v>#REF!</v>
      </c>
      <c r="G9" s="58" t="e">
        <f>#REF!-(#REF!+#REF!)</f>
        <v>#REF!</v>
      </c>
      <c r="H9" s="58" t="e">
        <f>#REF!-(#REF!+#REF!)</f>
        <v>#REF!</v>
      </c>
      <c r="I9" s="58" t="e">
        <f>#REF!-(#REF!+#REF!)</f>
        <v>#REF!</v>
      </c>
      <c r="J9" s="58" t="e">
        <f>#REF!-(#REF!+#REF!)</f>
        <v>#REF!</v>
      </c>
      <c r="K9" s="194" t="e">
        <f>#REF!-(#REF!+#REF!)</f>
        <v>#REF!</v>
      </c>
    </row>
    <row r="10" spans="2:11">
      <c r="B10" s="193" t="s">
        <v>159</v>
      </c>
      <c r="C10" s="58"/>
      <c r="D10" s="58" t="e">
        <f>#REF!-(#REF!+#REF!)</f>
        <v>#REF!</v>
      </c>
      <c r="E10" s="58" t="e">
        <f>#REF!-(#REF!+#REF!)</f>
        <v>#REF!</v>
      </c>
      <c r="F10" s="58" t="e">
        <f>#REF!-(#REF!+#REF!)</f>
        <v>#REF!</v>
      </c>
      <c r="G10" s="58" t="e">
        <f>#REF!-(#REF!+#REF!)</f>
        <v>#REF!</v>
      </c>
      <c r="H10" s="58" t="e">
        <f>#REF!-(#REF!+#REF!)</f>
        <v>#REF!</v>
      </c>
      <c r="I10" s="58" t="e">
        <f>#REF!-(#REF!+#REF!)</f>
        <v>#REF!</v>
      </c>
      <c r="J10" s="58" t="e">
        <f>#REF!-(#REF!+#REF!)</f>
        <v>#REF!</v>
      </c>
      <c r="K10" s="194" t="e">
        <f>#REF!-(#REF!+#REF!)</f>
        <v>#REF!</v>
      </c>
    </row>
    <row r="11" spans="2:11">
      <c r="B11" s="193" t="s">
        <v>68</v>
      </c>
      <c r="C11" s="58"/>
      <c r="D11" s="58" t="e">
        <f>#REF!-(#REF!+#REF!)</f>
        <v>#REF!</v>
      </c>
      <c r="E11" s="58" t="e">
        <f>#REF!-(#REF!+#REF!)</f>
        <v>#REF!</v>
      </c>
      <c r="F11" s="58" t="e">
        <f>#REF!-(#REF!+#REF!)</f>
        <v>#REF!</v>
      </c>
      <c r="G11" s="58" t="e">
        <f>#REF!-(#REF!+#REF!)</f>
        <v>#REF!</v>
      </c>
      <c r="H11" s="58" t="e">
        <f>#REF!-(#REF!+#REF!)</f>
        <v>#REF!</v>
      </c>
      <c r="I11" s="58" t="e">
        <f>#REF!-(#REF!+#REF!)</f>
        <v>#REF!</v>
      </c>
      <c r="J11" s="58" t="e">
        <f>#REF!-(#REF!+#REF!)</f>
        <v>#REF!</v>
      </c>
      <c r="K11" s="194" t="e">
        <f>#REF!-(#REF!+#REF!)</f>
        <v>#REF!</v>
      </c>
    </row>
    <row r="12" spans="2:11" ht="15.75" thickBot="1">
      <c r="B12" s="196" t="s">
        <v>164</v>
      </c>
      <c r="C12" s="197"/>
      <c r="D12" s="197" t="e">
        <f>#REF!-(#REF!+#REF!)</f>
        <v>#REF!</v>
      </c>
      <c r="E12" s="197" t="e">
        <f>#REF!-(#REF!+#REF!)</f>
        <v>#REF!</v>
      </c>
      <c r="F12" s="197" t="e">
        <f>#REF!-(#REF!+#REF!)</f>
        <v>#REF!</v>
      </c>
      <c r="G12" s="197" t="e">
        <f>#REF!-(#REF!+#REF!)</f>
        <v>#REF!</v>
      </c>
      <c r="H12" s="197" t="e">
        <f>#REF!-(#REF!+#REF!)</f>
        <v>#REF!</v>
      </c>
      <c r="I12" s="197" t="e">
        <f>#REF!-(#REF!+#REF!)</f>
        <v>#REF!</v>
      </c>
      <c r="J12" s="197" t="e">
        <f>#REF!-(#REF!+#REF!)</f>
        <v>#REF!</v>
      </c>
      <c r="K12" s="198" t="e">
        <f>#REF!-(#REF!+#REF!)</f>
        <v>#REF!</v>
      </c>
    </row>
  </sheetData>
  <customSheetViews>
    <customSheetView guid="{6357C996-BE12-4F66-ACBB-1F9F08F8885C}" showGridLines="0" state="hidden">
      <selection activeCell="F7" sqref="F7"/>
      <pageMargins left="0.7" right="0.7" top="0.75" bottom="0.75" header="0.3" footer="0.3"/>
      <pageSetup paperSize="9" orientation="portrait" r:id="rId1"/>
    </customSheetView>
    <customSheetView guid="{5874C782-5C34-4C4C-BCC6-3692259149CA}" showGridLines="0" state="hidden">
      <selection activeCell="F7" sqref="F7"/>
      <pageMargins left="0.7" right="0.7" top="0.75" bottom="0.75" header="0.3" footer="0.3"/>
      <pageSetup paperSize="9" orientation="portrait" r:id="rId2"/>
    </customSheetView>
  </customSheetViews>
  <pageMargins left="0.7" right="0.7" top="0.75" bottom="0.75" header="0.3" footer="0.3"/>
  <pageSetup paperSize="9" orientation="portrait" r:id="rId3"/>
  <customProperties>
    <customPr name="EpmWorksheetKeyString_GUID" r:id="rId4"/>
  </customProperties>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9500-000000000000}">
  <sheetPr codeName="Feuil24">
    <tabColor rgb="FF66FF99"/>
  </sheetPr>
  <dimension ref="E1:L32"/>
  <sheetViews>
    <sheetView showGridLines="0" zoomScale="70" zoomScaleNormal="70" workbookViewId="0">
      <selection activeCell="J37" sqref="J37"/>
    </sheetView>
  </sheetViews>
  <sheetFormatPr baseColWidth="10" defaultRowHeight="12" customHeight="1" outlineLevelRow="1"/>
  <cols>
    <col min="6" max="6" width="41.42578125" customWidth="1"/>
  </cols>
  <sheetData>
    <row r="1" spans="5:12" ht="12" customHeight="1" outlineLevel="1"/>
    <row r="2" spans="5:12" ht="12" customHeight="1" outlineLevel="1"/>
    <row r="3" spans="5:12" ht="12" customHeight="1" outlineLevel="1"/>
    <row r="4" spans="5:12" ht="12" customHeight="1" outlineLevel="1">
      <c r="E4" s="1"/>
    </row>
    <row r="5" spans="5:12" ht="12" customHeight="1">
      <c r="E5" s="51"/>
      <c r="F5" s="111" t="s">
        <v>1440</v>
      </c>
      <c r="L5" t="s">
        <v>1159</v>
      </c>
    </row>
    <row r="8" spans="5:12" ht="50.25" customHeight="1">
      <c r="F8" s="10" t="s">
        <v>48</v>
      </c>
      <c r="G8" s="42" t="s">
        <v>11</v>
      </c>
      <c r="H8" s="42" t="s">
        <v>12</v>
      </c>
      <c r="I8" s="42" t="s">
        <v>17</v>
      </c>
      <c r="J8" s="42" t="s">
        <v>56</v>
      </c>
      <c r="K8" s="42" t="s">
        <v>57</v>
      </c>
    </row>
    <row r="9" spans="5:12" ht="12" customHeight="1" thickBot="1">
      <c r="F9" s="80">
        <v>44742</v>
      </c>
      <c r="G9" s="36"/>
      <c r="H9" s="36"/>
      <c r="I9" s="36"/>
      <c r="J9" s="36"/>
      <c r="K9" s="36"/>
    </row>
    <row r="10" spans="5:12" ht="12" customHeight="1">
      <c r="F10" s="37" t="s">
        <v>58</v>
      </c>
      <c r="G10" s="38"/>
      <c r="H10" s="38"/>
      <c r="I10" s="38"/>
      <c r="J10" s="38"/>
      <c r="K10" s="38"/>
    </row>
    <row r="11" spans="5:12" ht="12" customHeight="1" thickBot="1">
      <c r="F11" s="37" t="s">
        <v>59</v>
      </c>
      <c r="G11" s="38"/>
      <c r="H11" s="38"/>
      <c r="I11" s="38"/>
      <c r="J11" s="38"/>
      <c r="K11" s="38"/>
    </row>
    <row r="12" spans="5:12" ht="12" customHeight="1" thickBot="1">
      <c r="F12" s="39" t="s">
        <v>60</v>
      </c>
      <c r="G12" s="40"/>
      <c r="H12" s="40"/>
      <c r="I12" s="40"/>
      <c r="J12" s="40"/>
      <c r="K12" s="40"/>
    </row>
    <row r="13" spans="5:12" ht="12" customHeight="1">
      <c r="F13" s="37" t="s">
        <v>13</v>
      </c>
      <c r="G13" s="38"/>
      <c r="H13" s="38"/>
      <c r="I13" s="38"/>
      <c r="J13" s="38"/>
      <c r="K13" s="38"/>
    </row>
    <row r="14" spans="5:12" ht="12" customHeight="1">
      <c r="F14" s="37" t="s">
        <v>61</v>
      </c>
      <c r="G14" s="38"/>
      <c r="H14" s="38"/>
      <c r="I14" s="38"/>
      <c r="J14" s="38"/>
      <c r="K14" s="38"/>
    </row>
    <row r="15" spans="5:12" ht="12" customHeight="1">
      <c r="F15" s="37" t="s">
        <v>62</v>
      </c>
      <c r="G15" s="38"/>
      <c r="H15" s="38"/>
      <c r="I15" s="38"/>
      <c r="J15" s="38"/>
      <c r="K15" s="38"/>
    </row>
    <row r="16" spans="5:12" ht="12" customHeight="1" thickBot="1">
      <c r="F16" s="37" t="s">
        <v>63</v>
      </c>
      <c r="G16" s="38"/>
      <c r="H16" s="38"/>
      <c r="I16" s="38"/>
      <c r="J16" s="38"/>
      <c r="K16" s="38"/>
    </row>
    <row r="17" spans="6:11" ht="12" customHeight="1">
      <c r="F17" s="41" t="s">
        <v>64</v>
      </c>
      <c r="G17" s="112"/>
      <c r="H17" s="112"/>
      <c r="I17" s="112"/>
      <c r="J17" s="112"/>
      <c r="K17" s="112"/>
    </row>
    <row r="18" spans="6:11" ht="12" customHeight="1">
      <c r="F18" s="84">
        <v>45107</v>
      </c>
      <c r="G18" s="113"/>
      <c r="H18" s="113"/>
      <c r="I18" s="113"/>
      <c r="J18" s="113"/>
      <c r="K18" s="113"/>
    </row>
    <row r="21" spans="6:11" ht="12" customHeight="1">
      <c r="F21" s="35" t="s">
        <v>1431</v>
      </c>
      <c r="G21" s="30"/>
      <c r="H21" s="30"/>
      <c r="I21" s="30"/>
      <c r="J21" s="30"/>
      <c r="K21" s="30"/>
    </row>
    <row r="22" spans="6:11" ht="31.5" customHeight="1">
      <c r="F22" s="10" t="s">
        <v>48</v>
      </c>
      <c r="G22" s="11" t="s">
        <v>11</v>
      </c>
      <c r="H22" s="11" t="s">
        <v>12</v>
      </c>
      <c r="I22" s="11" t="s">
        <v>17</v>
      </c>
      <c r="J22" s="11" t="s">
        <v>56</v>
      </c>
      <c r="K22" s="11" t="s">
        <v>57</v>
      </c>
    </row>
    <row r="23" spans="6:11" ht="12" customHeight="1" thickBot="1">
      <c r="F23" s="80">
        <v>44377</v>
      </c>
      <c r="G23" s="36"/>
      <c r="H23" s="36"/>
      <c r="I23" s="36"/>
      <c r="J23" s="36"/>
      <c r="K23" s="36"/>
    </row>
    <row r="24" spans="6:11" ht="12" customHeight="1">
      <c r="F24" s="37" t="s">
        <v>58</v>
      </c>
      <c r="G24" s="38"/>
      <c r="H24" s="38"/>
      <c r="I24" s="38"/>
      <c r="J24" s="38"/>
      <c r="K24" s="38"/>
    </row>
    <row r="25" spans="6:11" ht="12" customHeight="1" thickBot="1">
      <c r="F25" s="37" t="s">
        <v>59</v>
      </c>
      <c r="G25" s="38"/>
      <c r="H25" s="38"/>
      <c r="I25" s="38"/>
      <c r="J25" s="38"/>
      <c r="K25" s="38"/>
    </row>
    <row r="26" spans="6:11" ht="12" customHeight="1" thickBot="1">
      <c r="F26" s="39" t="s">
        <v>60</v>
      </c>
      <c r="G26" s="40"/>
      <c r="H26" s="40"/>
      <c r="I26" s="40"/>
      <c r="J26" s="40"/>
      <c r="K26" s="40"/>
    </row>
    <row r="27" spans="6:11" ht="12" customHeight="1">
      <c r="F27" s="37" t="s">
        <v>13</v>
      </c>
      <c r="G27" s="38"/>
      <c r="H27" s="38"/>
      <c r="I27" s="38"/>
      <c r="J27" s="38"/>
      <c r="K27" s="38"/>
    </row>
    <row r="28" spans="6:11" ht="12" customHeight="1">
      <c r="F28" s="37" t="s">
        <v>61</v>
      </c>
      <c r="G28" s="38"/>
      <c r="H28" s="38"/>
      <c r="I28" s="38"/>
      <c r="J28" s="38"/>
      <c r="K28" s="38"/>
    </row>
    <row r="29" spans="6:11" ht="12" customHeight="1">
      <c r="F29" s="37" t="s">
        <v>62</v>
      </c>
      <c r="G29" s="38"/>
      <c r="H29" s="38"/>
      <c r="I29" s="38"/>
      <c r="J29" s="38"/>
      <c r="K29" s="38"/>
    </row>
    <row r="30" spans="6:11" ht="12" customHeight="1" thickBot="1">
      <c r="F30" s="37" t="s">
        <v>63</v>
      </c>
      <c r="G30" s="38"/>
      <c r="H30" s="38"/>
      <c r="I30" s="38"/>
      <c r="J30" s="38"/>
      <c r="K30" s="38"/>
    </row>
    <row r="31" spans="6:11" ht="12" customHeight="1" thickBot="1">
      <c r="F31" s="39" t="s">
        <v>64</v>
      </c>
      <c r="G31" s="40"/>
      <c r="H31" s="40"/>
      <c r="I31" s="40"/>
      <c r="J31" s="40"/>
      <c r="K31" s="40"/>
    </row>
    <row r="32" spans="6:11" ht="12" customHeight="1">
      <c r="F32" s="84">
        <v>44742</v>
      </c>
      <c r="G32" s="11"/>
      <c r="H32" s="11"/>
      <c r="I32" s="11"/>
      <c r="J32" s="11"/>
      <c r="K32" s="11"/>
    </row>
  </sheetData>
  <customSheetViews>
    <customSheetView guid="{9861AEDC-A168-4FA5-BC34-0FF06E2D98B0}" showGridLines="0">
      <selection activeCell="F8" sqref="F8"/>
      <pageMargins left="0.7" right="0.7" top="0.75" bottom="0.75" header="0.3" footer="0.3"/>
      <pageSetup paperSize="9" orientation="portrait" r:id="rId1"/>
    </customSheetView>
    <customSheetView guid="{6026142C-022D-477E-A086-A3D1CB0201B2}" topLeftCell="A13">
      <selection activeCell="L5" sqref="L5"/>
      <pageMargins left="0.7" right="0.7" top="0.75" bottom="0.75" header="0.3" footer="0.3"/>
      <pageSetup paperSize="9" orientation="portrait" r:id="rId2"/>
    </customSheetView>
    <customSheetView guid="{0988812C-B87C-4041-945B-D3D481C0E3B2}" topLeftCell="A28">
      <pageMargins left="0.7" right="0.7" top="0.75" bottom="0.75" header="0.3" footer="0.3"/>
      <pageSetup paperSize="9" orientation="portrait" r:id="rId3"/>
    </customSheetView>
    <customSheetView guid="{9B5412D3-CE8B-4D5C-87A1-6A92385B5055}">
      <pageMargins left="0.7" right="0.7" top="0.75" bottom="0.75" header="0.3" footer="0.3"/>
      <pageSetup paperSize="9" orientation="portrait" r:id="rId4"/>
    </customSheetView>
    <customSheetView guid="{1E6FDA0A-7324-47B7-8781-F649F81C62F2}">
      <pageMargins left="0.7" right="0.7" top="0.75" bottom="0.75" header="0.3" footer="0.3"/>
      <pageSetup paperSize="9" orientation="portrait" r:id="rId5"/>
    </customSheetView>
    <customSheetView guid="{10FE0AC7-DC28-4361-9D3E-E82A44C052DC}">
      <pageMargins left="0.7" right="0.7" top="0.75" bottom="0.75" header="0.3" footer="0.3"/>
      <pageSetup paperSize="9" orientation="portrait" r:id="rId6"/>
    </customSheetView>
    <customSheetView guid="{15FEF1C5-8ED8-40F7-B190-479F9E1DDCD0}" topLeftCell="A7">
      <selection activeCell="L5" sqref="L5"/>
      <pageMargins left="0.7" right="0.7" top="0.75" bottom="0.75" header="0.3" footer="0.3"/>
      <pageSetup paperSize="9" orientation="portrait" r:id="rId7"/>
    </customSheetView>
    <customSheetView guid="{4561BCBD-DB5E-4D30-A9CE-7BB23B692C5E}" topLeftCell="A13">
      <selection activeCell="L5" sqref="L5"/>
      <pageMargins left="0.7" right="0.7" top="0.75" bottom="0.75" header="0.3" footer="0.3"/>
      <pageSetup paperSize="9" orientation="portrait" r:id="rId8"/>
    </customSheetView>
    <customSheetView guid="{B96AA43F-C6B6-4097-9127-C885199888B4}" showGridLines="0">
      <selection activeCell="F8" sqref="F8"/>
      <pageMargins left="0.7" right="0.7" top="0.75" bottom="0.75" header="0.3" footer="0.3"/>
      <pageSetup paperSize="9" orientation="portrait" r:id="rId9"/>
    </customSheetView>
    <customSheetView guid="{6357C996-BE12-4F66-ACBB-1F9F08F8885C}" scale="70" showGridLines="0" state="hidden">
      <selection activeCell="J37" sqref="J37"/>
      <pageMargins left="0.7" right="0.7" top="0.75" bottom="0.75" header="0.3" footer="0.3"/>
      <pageSetup paperSize="9" orientation="portrait" r:id="rId10"/>
    </customSheetView>
    <customSheetView guid="{5874C782-5C34-4C4C-BCC6-3692259149CA}" scale="70" showGridLines="0" state="hidden">
      <selection activeCell="J37" sqref="J37"/>
      <pageMargins left="0.7" right="0.7" top="0.75" bottom="0.75" header="0.3" footer="0.3"/>
      <pageSetup paperSize="9" orientation="portrait" r:id="rId11"/>
    </customSheetView>
  </customSheetViews>
  <pageMargins left="0.7" right="0.7" top="0.75" bottom="0.75" header="0.3" footer="0.3"/>
  <pageSetup paperSize="9" orientation="portrait" r:id="rId12"/>
  <customProperties>
    <customPr name="EpmWorksheetKeyString_GUID" r:id="rId13"/>
  </customProperties>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A800-000000000000}">
  <sheetPr codeName="Feuil26">
    <tabColor theme="9" tint="0.79998168889431442"/>
  </sheetPr>
  <dimension ref="A1:R32"/>
  <sheetViews>
    <sheetView showGridLines="0" workbookViewId="0">
      <selection activeCell="D18" sqref="D18"/>
    </sheetView>
  </sheetViews>
  <sheetFormatPr baseColWidth="10" defaultRowHeight="12" customHeight="1" outlineLevelCol="1"/>
  <cols>
    <col min="1" max="4" width="11.5703125" style="30"/>
    <col min="5" max="5" width="24.85546875" style="48" customWidth="1" outlineLevel="1"/>
    <col min="6" max="6" width="11.5703125" style="48"/>
    <col min="7" max="7" width="36" style="23" customWidth="1"/>
    <col min="8" max="8" width="11.85546875" style="23" customWidth="1"/>
    <col min="9" max="10" width="12.85546875" style="23" customWidth="1"/>
    <col min="11" max="12" width="5.85546875" customWidth="1"/>
    <col min="13" max="13" width="2.85546875" customWidth="1"/>
    <col min="14" max="14" width="3.42578125" customWidth="1"/>
    <col min="15" max="15" width="14.5703125" customWidth="1" outlineLevel="1"/>
    <col min="16" max="16" width="20.42578125" customWidth="1" outlineLevel="1"/>
  </cols>
  <sheetData>
    <row r="1" spans="2:18" ht="12" customHeight="1">
      <c r="B1" s="70" t="s">
        <v>1122</v>
      </c>
      <c r="C1" s="21" t="s">
        <v>1122</v>
      </c>
      <c r="D1" s="21" t="s">
        <v>1122</v>
      </c>
      <c r="H1" s="91"/>
      <c r="I1" s="92"/>
      <c r="J1" s="89"/>
    </row>
    <row r="2" spans="2:18" ht="12" customHeight="1">
      <c r="B2" s="74" t="s">
        <v>1110</v>
      </c>
      <c r="C2" s="32" t="s">
        <v>1110</v>
      </c>
      <c r="D2" s="44" t="s">
        <v>1379</v>
      </c>
      <c r="G2" s="81" t="s">
        <v>99</v>
      </c>
      <c r="H2" s="93"/>
      <c r="I2" s="92"/>
      <c r="J2" s="89"/>
    </row>
    <row r="3" spans="2:18" ht="12" customHeight="1">
      <c r="B3" s="74" t="s">
        <v>73</v>
      </c>
      <c r="C3" s="32" t="s">
        <v>73</v>
      </c>
      <c r="D3" s="44" t="s">
        <v>73</v>
      </c>
      <c r="G3" s="89"/>
      <c r="H3" s="94"/>
      <c r="I3" s="94"/>
      <c r="J3" s="94"/>
    </row>
    <row r="4" spans="2:18" ht="12" customHeight="1">
      <c r="B4" s="74" t="s">
        <v>71</v>
      </c>
      <c r="C4" s="32" t="s">
        <v>71</v>
      </c>
      <c r="D4" s="44" t="s">
        <v>71</v>
      </c>
      <c r="E4" s="25"/>
      <c r="G4" s="8" t="s">
        <v>1</v>
      </c>
      <c r="H4" s="90" t="s">
        <v>1432</v>
      </c>
      <c r="I4" s="88" t="s">
        <v>1208</v>
      </c>
      <c r="J4" s="9">
        <v>44562</v>
      </c>
    </row>
    <row r="5" spans="2:18" ht="12" customHeight="1">
      <c r="B5" s="74" t="s">
        <v>582</v>
      </c>
      <c r="C5" s="32" t="s">
        <v>581</v>
      </c>
      <c r="D5" s="44" t="s">
        <v>1076</v>
      </c>
      <c r="E5" s="52" t="s">
        <v>551</v>
      </c>
      <c r="F5" s="53" t="s">
        <v>75</v>
      </c>
      <c r="G5" s="103" t="s">
        <v>94</v>
      </c>
      <c r="H5" s="95">
        <f>_xll.GetCtData("COAMOUNT","CONSAMOUNT",$B$2:$B$6,B7,$F$5,$E$5,"#64649")</f>
        <v>64649</v>
      </c>
      <c r="I5" s="96">
        <f>_xll.GetCtData("COAMOUNT","CONSAMOUNT",$C$2:$C$6,C7,$F$5,$E$5,"#63520")</f>
        <v>63520</v>
      </c>
      <c r="J5" s="96">
        <f>_xll.GetCtData("COAMOUNT","CONSAMOUNT",$D$2:$D$6,D7,$F$5,$E$5,"#63520")</f>
        <v>63520</v>
      </c>
    </row>
    <row r="6" spans="2:18" ht="12" customHeight="1">
      <c r="B6" s="74" t="s">
        <v>214</v>
      </c>
      <c r="C6" s="32" t="s">
        <v>214</v>
      </c>
      <c r="D6" s="44" t="s">
        <v>214</v>
      </c>
      <c r="E6" s="52" t="s">
        <v>551</v>
      </c>
      <c r="F6" s="53" t="s">
        <v>544</v>
      </c>
      <c r="G6" s="104" t="s">
        <v>95</v>
      </c>
      <c r="H6" s="59">
        <f>_xll.GetCtData("COAMOUNT","CONSAMOUNT",$B$2:$B$6,$C$7,F6,$E6,"#")</f>
        <v>0</v>
      </c>
      <c r="I6" s="60">
        <f>_xll.GetCtData("COAMOUNT","CONSAMOUNT",$C$2:$C$6,$C$7,F6,$E6,"#")</f>
        <v>0</v>
      </c>
      <c r="J6" s="60">
        <f>_xll.GetCtData("COAMOUNT","CONSAMOUNT",$D$2:$D$6,$D$7,F6,$E6,"#")</f>
        <v>0</v>
      </c>
    </row>
    <row r="7" spans="2:18" ht="12" customHeight="1">
      <c r="B7" s="74" t="s">
        <v>72</v>
      </c>
      <c r="C7" s="32" t="s">
        <v>72</v>
      </c>
      <c r="D7" s="44" t="s">
        <v>72</v>
      </c>
      <c r="E7" s="54" t="s">
        <v>1116</v>
      </c>
      <c r="F7" s="53" t="s">
        <v>76</v>
      </c>
      <c r="G7" s="104" t="s">
        <v>96</v>
      </c>
      <c r="H7" s="59">
        <f>_xll.GetCtData("COAMOUNT","CONSAMOUNT",$B$2:$B$6,$C$7,F7,$E7,"#12446")</f>
        <v>12446</v>
      </c>
      <c r="I7" s="60">
        <f>_xll.GetCtData("COAMOUNT","CONSAMOUNT",$C$2:$C$6,$C$7,F7,$E7,"#18502")</f>
        <v>18502</v>
      </c>
      <c r="J7" s="60">
        <f>_xll.GetCtData("COAMOUNT","CONSAMOUNT",$D$2:$D$6,$D$7,F7,$E7,"#")</f>
        <v>0</v>
      </c>
      <c r="Q7" s="13"/>
      <c r="R7" s="13"/>
    </row>
    <row r="8" spans="2:18" ht="12" customHeight="1">
      <c r="B8" s="75" t="s">
        <v>74</v>
      </c>
      <c r="C8" s="33" t="s">
        <v>74</v>
      </c>
      <c r="D8" s="45" t="s">
        <v>74</v>
      </c>
      <c r="E8" s="53" t="s">
        <v>240</v>
      </c>
      <c r="F8" s="53" t="s">
        <v>302</v>
      </c>
      <c r="G8" s="105" t="s">
        <v>100</v>
      </c>
      <c r="H8" s="59">
        <f>_xll.GetCtData("COAMOUNT","CONSAMOUNT",$B$2:$B$6,$C$7,F8,$E8,"#-18372")</f>
        <v>-18372</v>
      </c>
      <c r="I8" s="60">
        <f>_xll.GetCtData("COAMOUNT","CONSAMOUNT",$C$2:$C$6,$C$7,F8,$E8,"#-17251")</f>
        <v>-17251</v>
      </c>
      <c r="J8" s="60">
        <f>_xll.GetCtData("COAMOUNT","CONSAMOUNT",$D$2:$D$6,$D$7,F8,$E8,"#")</f>
        <v>0</v>
      </c>
      <c r="Q8" s="13"/>
      <c r="R8" s="13"/>
    </row>
    <row r="9" spans="2:18" ht="12" customHeight="1">
      <c r="B9" s="75" t="s">
        <v>75</v>
      </c>
      <c r="C9" s="33" t="s">
        <v>75</v>
      </c>
      <c r="D9" s="45" t="s">
        <v>75</v>
      </c>
      <c r="E9" s="53" t="s">
        <v>303</v>
      </c>
      <c r="F9" s="53" t="s">
        <v>77</v>
      </c>
      <c r="G9" s="104" t="s">
        <v>101</v>
      </c>
      <c r="H9" s="59">
        <f>_xll.GetCtData("COAMOUNT","CONSAMOUNT",$B$2:$B$6,$C$7,F9,$E9,"#")</f>
        <v>0</v>
      </c>
      <c r="I9" s="60">
        <f>_xll.GetCtData("COAMOUNT","CONSAMOUNT",$C$2:$C$6,$C$7,F9,$E9,"#3")</f>
        <v>3</v>
      </c>
      <c r="J9" s="60">
        <f>_xll.GetCtData("COAMOUNT","CONSAMOUNT",$D$2:$D$6,$D$7,F9,$E9,"#")</f>
        <v>0</v>
      </c>
    </row>
    <row r="10" spans="2:18" ht="12" customHeight="1">
      <c r="B10" s="46" t="s">
        <v>216</v>
      </c>
      <c r="C10" s="22" t="s">
        <v>216</v>
      </c>
      <c r="D10" s="22" t="s">
        <v>216</v>
      </c>
      <c r="E10" s="52" t="s">
        <v>551</v>
      </c>
      <c r="F10" s="53" t="s">
        <v>162</v>
      </c>
      <c r="G10" s="104" t="s">
        <v>102</v>
      </c>
      <c r="H10" s="59">
        <f>_xll.GetCtData("COAMOUNT","CONSAMOUNT",$B$2:$B$6,$C$7,F10,$E10,"#")</f>
        <v>0</v>
      </c>
      <c r="I10" s="60">
        <f>_xll.GetCtData("COAMOUNT","CONSAMOUNT",$C$2:$C$6,$C$7,F10,$E10,"#")</f>
        <v>0</v>
      </c>
      <c r="J10" s="60">
        <f>_xll.GetCtData("COAMOUNT","CONSAMOUNT",$D$2:$D$6,$D$7,F10,$E10,"#")</f>
        <v>0</v>
      </c>
    </row>
    <row r="11" spans="2:18" ht="12" customHeight="1">
      <c r="B11"/>
      <c r="C11"/>
      <c r="D11"/>
      <c r="E11" s="52" t="s">
        <v>551</v>
      </c>
      <c r="F11" s="53" t="s">
        <v>1120</v>
      </c>
      <c r="G11" s="104" t="s">
        <v>97</v>
      </c>
      <c r="H11" s="59">
        <f>_xll.GetCtData("COAMOUNT","CONSAMOUNT",$B$2:$B$6,$C$7,F11,$E11,"#15")</f>
        <v>15</v>
      </c>
      <c r="I11" s="60">
        <f>_xll.GetCtData("COAMOUNT","CONSAMOUNT",$C$2:$C$6,$C$7,F11,$E11,"#")</f>
        <v>0</v>
      </c>
      <c r="J11" s="60">
        <f>_xll.GetCtData("COAMOUNT","CONSAMOUNT",$D$2:$D$6,$D$7,F11,$E11,"#")</f>
        <v>0</v>
      </c>
    </row>
    <row r="12" spans="2:18" ht="12" customHeight="1">
      <c r="E12" s="52" t="s">
        <v>551</v>
      </c>
      <c r="F12" s="53" t="s">
        <v>74</v>
      </c>
      <c r="G12" s="85" t="s">
        <v>98</v>
      </c>
      <c r="H12" s="61">
        <f>_xll.GetCtData("COAMOUNT","CONSAMOUNT",$B$2:$B$6,$C$7,F12,$E12,"#50032")</f>
        <v>50032</v>
      </c>
      <c r="I12" s="62">
        <f>_xll.GetCtData("COAMOUNT","CONSAMOUNT",$C$2:$C$6,$C$7,F12,$E12,"#64649")</f>
        <v>64649</v>
      </c>
      <c r="J12" s="62">
        <f>_xll.GetCtData("COAMOUNT","CONSAMOUNT",$D$2:$D$6,$D$7,F12,$E12,"#63520")</f>
        <v>63520</v>
      </c>
    </row>
    <row r="14" spans="2:18" ht="12" customHeight="1">
      <c r="G14" s="97"/>
      <c r="H14" s="57"/>
      <c r="J14" s="98"/>
    </row>
    <row r="15" spans="2:18" ht="12" customHeight="1">
      <c r="G15" s="99" t="s">
        <v>553</v>
      </c>
      <c r="H15" s="100" t="b">
        <f>H5=I12</f>
        <v>1</v>
      </c>
      <c r="I15" s="100" t="b">
        <f>I5=J12</f>
        <v>1</v>
      </c>
      <c r="J15" s="100"/>
    </row>
    <row r="16" spans="2:18" ht="12" customHeight="1">
      <c r="G16" s="99" t="s">
        <v>552</v>
      </c>
      <c r="H16" s="73">
        <f>+H12-SUM(H5:H11)</f>
        <v>-8706</v>
      </c>
      <c r="I16" s="27">
        <f>+I12-SUM(I5:I11)</f>
        <v>-125</v>
      </c>
      <c r="J16" s="27">
        <f>+J12-SUM(J5:J11)</f>
        <v>0</v>
      </c>
    </row>
    <row r="17" spans="6:11" ht="12" customHeight="1">
      <c r="G17" s="99" t="s">
        <v>1121</v>
      </c>
      <c r="H17" s="73" t="e">
        <f>H5-#REF!</f>
        <v>#REF!</v>
      </c>
      <c r="I17" s="27" t="e">
        <f>I5-#REF!</f>
        <v>#REF!</v>
      </c>
      <c r="J17" s="27"/>
      <c r="K17" s="2"/>
    </row>
    <row r="18" spans="6:11" ht="12" customHeight="1">
      <c r="G18" s="99"/>
      <c r="H18" s="73" t="e">
        <f>H12-#REF!</f>
        <v>#REF!</v>
      </c>
      <c r="I18" s="27" t="e">
        <f>I12-#REF!</f>
        <v>#REF!</v>
      </c>
      <c r="J18" s="27" t="e">
        <f>J12-#REF!</f>
        <v>#REF!</v>
      </c>
    </row>
    <row r="26" spans="6:11" ht="12" customHeight="1">
      <c r="F26" s="7"/>
      <c r="G26" s="101"/>
      <c r="H26" s="101"/>
      <c r="I26" s="101"/>
    </row>
    <row r="27" spans="6:11" ht="12" customHeight="1">
      <c r="F27" s="7"/>
      <c r="G27" s="102"/>
      <c r="H27" s="102"/>
      <c r="I27" s="101"/>
    </row>
    <row r="28" spans="6:11" ht="12" customHeight="1">
      <c r="F28" s="7"/>
      <c r="G28" s="102"/>
      <c r="H28" s="102"/>
      <c r="I28" s="101"/>
    </row>
    <row r="29" spans="6:11" ht="12" customHeight="1">
      <c r="F29" s="7"/>
      <c r="G29" s="102"/>
      <c r="H29" s="102"/>
      <c r="I29" s="101"/>
    </row>
    <row r="30" spans="6:11" ht="12" customHeight="1">
      <c r="F30" s="7"/>
      <c r="G30" s="101"/>
      <c r="H30" s="101"/>
      <c r="I30" s="101"/>
    </row>
    <row r="31" spans="6:11" ht="12" customHeight="1">
      <c r="F31" s="7"/>
      <c r="G31" s="101"/>
      <c r="H31" s="101"/>
      <c r="I31" s="101"/>
    </row>
    <row r="32" spans="6:11" ht="12" customHeight="1">
      <c r="F32" s="7"/>
      <c r="G32" s="101"/>
      <c r="H32" s="101"/>
      <c r="I32" s="101"/>
    </row>
  </sheetData>
  <customSheetViews>
    <customSheetView guid="{9861AEDC-A168-4FA5-BC34-0FF06E2D98B0}" showGridLines="0">
      <selection activeCell="E93" sqref="E93"/>
      <pageMargins left="0.70866141732283472" right="0.70866141732283472" top="0.74803149606299213" bottom="0.74803149606299213" header="0.31496062992125984" footer="0.31496062992125984"/>
      <pageSetup paperSize="9" orientation="portrait" r:id="rId1"/>
      <headerFooter>
        <oddHeader>&amp;L&amp;F&amp;R&amp;A</oddHeader>
        <oddFooter>&amp;R&amp;D</oddFooter>
      </headerFooter>
    </customSheetView>
    <customSheetView guid="{6026142C-022D-477E-A086-A3D1CB0201B2}" showGridLines="0">
      <selection activeCell="H4" sqref="H4:I4"/>
      <pageMargins left="0.70866141732283472" right="0.70866141732283472" top="0.74803149606299213" bottom="0.74803149606299213" header="0.31496062992125984" footer="0.31496062992125984"/>
      <pageSetup paperSize="9" orientation="portrait" r:id="rId2"/>
      <headerFooter>
        <oddHeader>&amp;L&amp;F&amp;R&amp;A</oddHeader>
        <oddFooter>&amp;R&amp;D</oddFooter>
      </headerFooter>
    </customSheetView>
    <customSheetView guid="{0988812C-B87C-4041-945B-D3D481C0E3B2}" topLeftCell="B1">
      <selection activeCell="G3" sqref="G3"/>
      <pageMargins left="0.70866141732283472" right="0.70866141732283472" top="0.74803149606299213" bottom="0.74803149606299213" header="0.31496062992125984" footer="0.31496062992125984"/>
      <pageSetup paperSize="9" orientation="portrait" r:id="rId3"/>
      <headerFooter>
        <oddHeader>&amp;L&amp;F&amp;R&amp;A</oddHeader>
        <oddFooter>&amp;R&amp;D</oddFooter>
      </headerFooter>
    </customSheetView>
    <customSheetView guid="{9B5412D3-CE8B-4D5C-87A1-6A92385B5055}">
      <pageMargins left="0.70866141732283472" right="0.70866141732283472" top="0.74803149606299213" bottom="0.74803149606299213" header="0.31496062992125984" footer="0.31496062992125984"/>
      <pageSetup paperSize="9" orientation="portrait" r:id="rId4"/>
      <headerFooter>
        <oddHeader>&amp;L&amp;F&amp;R&amp;A</oddHeader>
        <oddFooter>&amp;R&amp;D</oddFooter>
      </headerFooter>
    </customSheetView>
    <customSheetView guid="{1E6FDA0A-7324-47B7-8781-F649F81C62F2}">
      <pageMargins left="0.70866141732283472" right="0.70866141732283472" top="0.74803149606299213" bottom="0.74803149606299213" header="0.31496062992125984" footer="0.31496062992125984"/>
      <pageSetup paperSize="9" orientation="portrait" r:id="rId5"/>
      <headerFooter>
        <oddHeader>&amp;L&amp;F&amp;R&amp;A</oddHeader>
        <oddFooter>&amp;R&amp;D</oddFooter>
      </headerFooter>
    </customSheetView>
    <customSheetView guid="{10FE0AC7-DC28-4361-9D3E-E82A44C052DC}" showGridLines="0">
      <selection activeCell="C4" sqref="C4:E12"/>
      <pageMargins left="0.70866141732283472" right="0.70866141732283472" top="0.74803149606299213" bottom="0.74803149606299213" header="0.31496062992125984" footer="0.31496062992125984"/>
      <pageSetup paperSize="9" orientation="portrait" r:id="rId6"/>
      <headerFooter>
        <oddHeader>&amp;L&amp;F&amp;R&amp;A</oddHeader>
        <oddFooter>&amp;R&amp;D</oddFooter>
      </headerFooter>
    </customSheetView>
    <customSheetView guid="{15FEF1C5-8ED8-40F7-B190-479F9E1DDCD0}" showGridLines="0">
      <selection activeCell="B1" sqref="B1:D1"/>
      <pageMargins left="0.70866141732283472" right="0.70866141732283472" top="0.74803149606299213" bottom="0.74803149606299213" header="0.31496062992125984" footer="0.31496062992125984"/>
      <pageSetup paperSize="9" orientation="portrait" r:id="rId7"/>
      <headerFooter>
        <oddHeader>&amp;L&amp;F&amp;R&amp;A</oddHeader>
        <oddFooter>&amp;R&amp;D</oddFooter>
      </headerFooter>
    </customSheetView>
    <customSheetView guid="{4561BCBD-DB5E-4D30-A9CE-7BB23B692C5E}" showGridLines="0">
      <selection activeCell="H4" sqref="H4:I4"/>
      <pageMargins left="0.70866141732283472" right="0.70866141732283472" top="0.74803149606299213" bottom="0.74803149606299213" header="0.31496062992125984" footer="0.31496062992125984"/>
      <pageSetup paperSize="9" orientation="portrait" r:id="rId8"/>
      <headerFooter>
        <oddHeader>&amp;L&amp;F&amp;R&amp;A</oddHeader>
        <oddFooter>&amp;R&amp;D</oddFooter>
      </headerFooter>
    </customSheetView>
    <customSheetView guid="{B96AA43F-C6B6-4097-9127-C885199888B4}" showGridLines="0">
      <selection activeCell="E93" sqref="E93"/>
      <pageMargins left="0.70866141732283472" right="0.70866141732283472" top="0.74803149606299213" bottom="0.74803149606299213" header="0.31496062992125984" footer="0.31496062992125984"/>
      <pageSetup paperSize="9" orientation="portrait" r:id="rId9"/>
      <headerFooter>
        <oddHeader>&amp;L&amp;F&amp;R&amp;A</oddHeader>
        <oddFooter>&amp;R&amp;D</oddFooter>
      </headerFooter>
    </customSheetView>
    <customSheetView guid="{6357C996-BE12-4F66-ACBB-1F9F08F8885C}" showGridLines="0" state="hidden">
      <selection activeCell="D18" sqref="D18"/>
      <pageMargins left="0.70866141732283472" right="0.70866141732283472" top="0.74803149606299213" bottom="0.74803149606299213" header="0.31496062992125984" footer="0.31496062992125984"/>
      <pageSetup paperSize="9" orientation="portrait" r:id="rId10"/>
      <headerFooter>
        <oddHeader>&amp;L&amp;F&amp;R&amp;A</oddHeader>
        <oddFooter>&amp;R&amp;D</oddFooter>
      </headerFooter>
    </customSheetView>
    <customSheetView guid="{5874C782-5C34-4C4C-BCC6-3692259149CA}" showGridLines="0" state="hidden">
      <selection activeCell="D18" sqref="D18"/>
      <pageMargins left="0.70866141732283472" right="0.70866141732283472" top="0.74803149606299213" bottom="0.74803149606299213" header="0.31496062992125984" footer="0.31496062992125984"/>
      <pageSetup paperSize="9" orientation="portrait" r:id="rId11"/>
      <headerFooter>
        <oddHeader>&amp;L&amp;F&amp;R&amp;A</oddHeader>
        <oddFooter>&amp;R&amp;D</oddFooter>
      </headerFooter>
    </customSheetView>
  </customSheetViews>
  <hyperlinks>
    <hyperlink ref="C10" location="'Base annexes'!A1" display="BASE ANNEXES retour" xr:uid="{00000000-0004-0000-A800-000000000000}"/>
    <hyperlink ref="D10" location="'Base annexes'!A1" display="BASE ANNEXES retour" xr:uid="{00000000-0004-0000-A800-000001000000}"/>
  </hyperlinks>
  <pageMargins left="0.70866141732283472" right="0.70866141732283472" top="0.74803149606299213" bottom="0.74803149606299213" header="0.31496062992125984" footer="0.31496062992125984"/>
  <pageSetup paperSize="9" orientation="portrait" r:id="rId12"/>
  <headerFooter>
    <oddHeader>&amp;L&amp;F&amp;R&amp;A</oddHeader>
    <oddFooter>&amp;R&amp;D</oddFooter>
  </headerFooter>
  <customProperties>
    <customPr name="EpmWorksheetKeyString_GUID" r:id="rId13"/>
  </customProperties>
  <drawing r:id="rId14"/>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A900-000000000000}">
  <sheetPr codeName="Feuil27">
    <tabColor theme="9" tint="0.79998168889431442"/>
  </sheetPr>
  <dimension ref="A1:S19"/>
  <sheetViews>
    <sheetView showGridLines="0" workbookViewId="0">
      <selection activeCell="D18" sqref="D18"/>
    </sheetView>
  </sheetViews>
  <sheetFormatPr baseColWidth="10" defaultRowHeight="12" customHeight="1" outlineLevelRow="1" outlineLevelCol="1"/>
  <cols>
    <col min="1" max="4" width="5.85546875" style="30" customWidth="1"/>
    <col min="5" max="5" width="24.85546875" style="25" customWidth="1"/>
    <col min="6" max="6" width="5.85546875" style="48" customWidth="1"/>
    <col min="7" max="7" width="34.85546875" customWidth="1"/>
    <col min="8" max="8" width="11.85546875" style="30" customWidth="1"/>
    <col min="9" max="9" width="12.85546875" customWidth="1"/>
    <col min="10" max="10" width="12.85546875" customWidth="1" outlineLevel="1"/>
    <col min="12" max="12" width="4" customWidth="1"/>
    <col min="13" max="13" width="3.85546875" customWidth="1"/>
    <col min="14" max="14" width="6.85546875" customWidth="1"/>
    <col min="15" max="15" width="19.5703125" bestFit="1" customWidth="1"/>
    <col min="16" max="16" width="20.85546875" customWidth="1"/>
  </cols>
  <sheetData>
    <row r="1" spans="2:19" ht="12" customHeight="1">
      <c r="B1" s="70"/>
      <c r="C1" s="21"/>
      <c r="D1" s="21"/>
    </row>
    <row r="2" spans="2:19" ht="12" customHeight="1">
      <c r="B2" s="74" t="s">
        <v>1110</v>
      </c>
      <c r="C2" s="32" t="s">
        <v>1110</v>
      </c>
      <c r="D2" s="32" t="s">
        <v>1379</v>
      </c>
      <c r="G2" s="55" t="s">
        <v>103</v>
      </c>
      <c r="H2" s="71"/>
      <c r="I2" s="4"/>
      <c r="J2" s="3"/>
      <c r="L2" s="17"/>
      <c r="M2" s="12"/>
    </row>
    <row r="3" spans="2:19" ht="12" customHeight="1">
      <c r="B3" s="74" t="s">
        <v>73</v>
      </c>
      <c r="C3" s="32" t="e">
        <f>#REF!</f>
        <v>#REF!</v>
      </c>
      <c r="D3" s="32" t="e">
        <f>#REF!</f>
        <v>#REF!</v>
      </c>
      <c r="G3" s="3"/>
      <c r="H3" s="77"/>
      <c r="I3" s="5"/>
      <c r="J3" s="5"/>
    </row>
    <row r="4" spans="2:19" ht="12" customHeight="1">
      <c r="B4" s="74" t="s">
        <v>71</v>
      </c>
      <c r="C4" s="32" t="e">
        <f>#REF!</f>
        <v>#REF!</v>
      </c>
      <c r="D4" s="32" t="e">
        <f>#REF!</f>
        <v>#REF!</v>
      </c>
      <c r="E4" s="65"/>
      <c r="G4" s="8" t="s">
        <v>1</v>
      </c>
      <c r="H4" s="90" t="s">
        <v>1207</v>
      </c>
      <c r="I4" s="110" t="s">
        <v>1208</v>
      </c>
      <c r="J4" s="9">
        <v>44562</v>
      </c>
    </row>
    <row r="5" spans="2:19" ht="12" customHeight="1">
      <c r="B5" s="74" t="s">
        <v>582</v>
      </c>
      <c r="C5" s="32" t="e">
        <f>#REF!</f>
        <v>#REF!</v>
      </c>
      <c r="D5" s="32" t="e">
        <f>#REF!</f>
        <v>#REF!</v>
      </c>
      <c r="E5" s="66" t="s">
        <v>1125</v>
      </c>
      <c r="F5" s="49" t="s">
        <v>75</v>
      </c>
      <c r="G5" s="103" t="s">
        <v>94</v>
      </c>
      <c r="H5" s="95">
        <f>_xll.GetCtData("COAMOUNT","CONSAMOUNT",$B$2:$B$6,B7,$F$5,$E$5,"#45943,8767478038")</f>
        <v>45943.876747803799</v>
      </c>
      <c r="I5" s="96" t="str">
        <f>_xll.GetCtData("COAMOUNT","CONSAMOUNT",$C$2:$C$6,C7,$F$5,$E$5,"#La dimension obligatoire 'Exercice' est manquante")</f>
        <v>La dimension obligatoire 'Exercice' est manquante</v>
      </c>
      <c r="J5" s="96" t="str">
        <f>_xll.GetCtData("COAMOUNT","CONSAMOUNT",$D$2:$D$6,D7,$F$5,$E$5,"#La dimension obligatoire 'Exercice' est manquante")</f>
        <v>La dimension obligatoire 'Exercice' est manquante</v>
      </c>
    </row>
    <row r="6" spans="2:19" ht="12" customHeight="1" outlineLevel="1">
      <c r="B6" s="74" t="s">
        <v>214</v>
      </c>
      <c r="C6" s="32" t="e">
        <f>#REF!</f>
        <v>#REF!</v>
      </c>
      <c r="D6" s="32" t="e">
        <f>#REF!</f>
        <v>#REF!</v>
      </c>
      <c r="E6" s="66" t="s">
        <v>1130</v>
      </c>
      <c r="F6" s="49" t="s">
        <v>544</v>
      </c>
      <c r="G6" s="104" t="s">
        <v>95</v>
      </c>
      <c r="H6" s="59" t="str">
        <f>_xll.GetCtData("COAMOUNT","CONSAMOUNT",$B$2:$B$6,$C$7,F6,$E6,"#La dimension obligatoire 'Variante' est manquante")</f>
        <v>La dimension obligatoire 'Variante' est manquante</v>
      </c>
      <c r="I6" s="60" t="str">
        <f>_xll.GetCtData("COAMOUNT","CONSAMOUNT",$C$2:$C$6,$C$7,F6,$E6,"#La dimension obligatoire 'Exercice' est manquante")</f>
        <v>La dimension obligatoire 'Exercice' est manquante</v>
      </c>
      <c r="J6" s="60" t="str">
        <f>_xll.GetCtData("COAMOUNT","CONSAMOUNT",$D$2:$D$6,$D$7,F6,$E6,"#La dimension obligatoire 'Exercice' est manquante")</f>
        <v>La dimension obligatoire 'Exercice' est manquante</v>
      </c>
    </row>
    <row r="7" spans="2:19" ht="12" customHeight="1">
      <c r="B7" s="74" t="s">
        <v>72</v>
      </c>
      <c r="C7" s="32" t="e">
        <f>#REF!</f>
        <v>#REF!</v>
      </c>
      <c r="D7" s="32" t="e">
        <f>#REF!</f>
        <v>#REF!</v>
      </c>
      <c r="E7" s="28" t="s">
        <v>1127</v>
      </c>
      <c r="F7" s="49" t="s">
        <v>76</v>
      </c>
      <c r="G7" s="104" t="s">
        <v>96</v>
      </c>
      <c r="H7" s="59" t="str">
        <f>_xll.GetCtData("COAMOUNT","CONSAMOUNT",$B$2:$B$6,$C$7,F7,$E7,"#La dimension obligatoire 'Variante' est manquante")</f>
        <v>La dimension obligatoire 'Variante' est manquante</v>
      </c>
      <c r="I7" s="60" t="str">
        <f>_xll.GetCtData("COAMOUNT","CONSAMOUNT",$C$2:$C$6,$C$7,F7,$E7,"#La dimension obligatoire 'Exercice' est manquante")</f>
        <v>La dimension obligatoire 'Exercice' est manquante</v>
      </c>
      <c r="J7" s="60" t="str">
        <f>_xll.GetCtData("COAMOUNT","CONSAMOUNT",$D$2:$D$6,$D$7,F7,$E7,"#La dimension obligatoire 'Exercice' est manquante")</f>
        <v>La dimension obligatoire 'Exercice' est manquante</v>
      </c>
      <c r="M7" s="13"/>
      <c r="Q7" s="13"/>
      <c r="R7" s="13"/>
      <c r="S7" s="13"/>
    </row>
    <row r="8" spans="2:19" ht="12" customHeight="1">
      <c r="B8" s="76" t="s">
        <v>74</v>
      </c>
      <c r="C8" s="33" t="e">
        <f>#REF!</f>
        <v>#REF!</v>
      </c>
      <c r="D8" s="33" t="e">
        <f>#REF!</f>
        <v>#REF!</v>
      </c>
      <c r="E8" s="28" t="s">
        <v>1128</v>
      </c>
      <c r="F8" s="49" t="s">
        <v>76</v>
      </c>
      <c r="G8" s="105" t="s">
        <v>100</v>
      </c>
      <c r="H8" s="59" t="str">
        <f>_xll.GetCtData("COAMOUNT","CONSAMOUNT",$B$2:$B$6,$C$7,F8,$E8,"#La dimension obligatoire 'Variante' est manquante")</f>
        <v>La dimension obligatoire 'Variante' est manquante</v>
      </c>
      <c r="I8" s="60" t="str">
        <f>_xll.GetCtData("COAMOUNT","CONSAMOUNT",$C$2:$C$6,$C$7,F8,$E8,"#La dimension obligatoire 'Exercice' est manquante")</f>
        <v>La dimension obligatoire 'Exercice' est manquante</v>
      </c>
      <c r="J8" s="60" t="str">
        <f>_xll.GetCtData("COAMOUNT","CONSAMOUNT",$D$2:$D$6,$D$7,F8,$E8,"#La dimension obligatoire 'Exercice' est manquante")</f>
        <v>La dimension obligatoire 'Exercice' est manquante</v>
      </c>
      <c r="M8" s="13"/>
      <c r="Q8" s="13"/>
      <c r="R8" s="13"/>
      <c r="S8" s="13"/>
    </row>
    <row r="9" spans="2:19" ht="12" customHeight="1">
      <c r="B9" s="76" t="s">
        <v>75</v>
      </c>
      <c r="C9" s="33" t="e">
        <f>#REF!</f>
        <v>#REF!</v>
      </c>
      <c r="D9" s="33" t="e">
        <f>#REF!</f>
        <v>#REF!</v>
      </c>
      <c r="E9" s="28" t="s">
        <v>1129</v>
      </c>
      <c r="F9" s="49" t="s">
        <v>77</v>
      </c>
      <c r="G9" s="104" t="s">
        <v>101</v>
      </c>
      <c r="H9" s="59" t="str">
        <f>_xll.GetCtData("COAMOUNT","CONSAMOUNT",$B$2:$B$6,$C$7,F9,$E9,"#La dimension obligatoire 'Variante' est manquante")</f>
        <v>La dimension obligatoire 'Variante' est manquante</v>
      </c>
      <c r="I9" s="60" t="str">
        <f>_xll.GetCtData("COAMOUNT","CONSAMOUNT",$C$2:$C$6,$C$7,F9,$E9,"#La dimension obligatoire 'Exercice' est manquante")</f>
        <v>La dimension obligatoire 'Exercice' est manquante</v>
      </c>
      <c r="J9" s="60" t="str">
        <f>_xll.GetCtData("COAMOUNT","CONSAMOUNT",$D$2:$D$6,$D$7,F9,$E9,"#La dimension obligatoire 'Exercice' est manquante")</f>
        <v>La dimension obligatoire 'Exercice' est manquante</v>
      </c>
      <c r="M9" s="13"/>
      <c r="Q9" s="13"/>
      <c r="R9" s="13"/>
      <c r="S9" s="13"/>
    </row>
    <row r="10" spans="2:19" ht="12" customHeight="1">
      <c r="B10" s="46" t="s">
        <v>216</v>
      </c>
      <c r="C10" s="22" t="s">
        <v>216</v>
      </c>
      <c r="D10" s="22" t="s">
        <v>216</v>
      </c>
      <c r="E10" s="66" t="s">
        <v>1125</v>
      </c>
      <c r="F10" s="49" t="s">
        <v>162</v>
      </c>
      <c r="G10" s="104" t="s">
        <v>102</v>
      </c>
      <c r="H10" s="59" t="str">
        <f>_xll.GetCtData("COAMOUNT","CONSAMOUNT",$B$2:$B$6,$C$7,F10,$E10,"#La dimension obligatoire 'Variante' est manquante")</f>
        <v>La dimension obligatoire 'Variante' est manquante</v>
      </c>
      <c r="I10" s="60" t="str">
        <f>_xll.GetCtData("COAMOUNT","CONSAMOUNT",$C$2:$C$6,$C$7,F10,$E10,"#La dimension obligatoire 'Exercice' est manquante")</f>
        <v>La dimension obligatoire 'Exercice' est manquante</v>
      </c>
      <c r="J10" s="60" t="str">
        <f>_xll.GetCtData("COAMOUNT","CONSAMOUNT",$D$2:$D$6,$D$7,F10,$E10,"#La dimension obligatoire 'Exercice' est manquante")</f>
        <v>La dimension obligatoire 'Exercice' est manquante</v>
      </c>
    </row>
    <row r="11" spans="2:19" ht="12" customHeight="1">
      <c r="E11" s="66" t="s">
        <v>1125</v>
      </c>
      <c r="F11" s="49" t="s">
        <v>1123</v>
      </c>
      <c r="G11" s="104" t="s">
        <v>97</v>
      </c>
      <c r="H11" s="59" t="str">
        <f>_xll.GetCtData("COAMOUNT","CONSAMOUNT",$B$2:$B$6,$C$7,F11,$E11,"#La dimension obligatoire 'Variante' est manquante")</f>
        <v>La dimension obligatoire 'Variante' est manquante</v>
      </c>
      <c r="I11" s="60" t="str">
        <f>_xll.GetCtData("COAMOUNT","CONSAMOUNT",$C$2:$C$6,$C$7,F11,$E11,"#La dimension obligatoire 'Exercice' est manquante")</f>
        <v>La dimension obligatoire 'Exercice' est manquante</v>
      </c>
      <c r="J11" s="60" t="str">
        <f>_xll.GetCtData("COAMOUNT","CONSAMOUNT",$D$2:$D$6,$D$7,F11,$E11,"#La dimension obligatoire 'Exercice' est manquante")</f>
        <v>La dimension obligatoire 'Exercice' est manquante</v>
      </c>
      <c r="K11" s="19"/>
      <c r="L11" s="12"/>
      <c r="M11" s="12"/>
      <c r="N11" s="12"/>
      <c r="O11" s="12"/>
      <c r="P11" s="12"/>
    </row>
    <row r="12" spans="2:19" ht="12" customHeight="1">
      <c r="E12" s="66" t="s">
        <v>1125</v>
      </c>
      <c r="F12" s="49" t="s">
        <v>74</v>
      </c>
      <c r="G12" s="85" t="s">
        <v>98</v>
      </c>
      <c r="H12" s="61" t="str">
        <f>_xll.GetCtData("COAMOUNT","CONSAMOUNT",$B$2:$B$6,$C$7,F12,$E12,"#La dimension obligatoire 'Variante' est manquante")</f>
        <v>La dimension obligatoire 'Variante' est manquante</v>
      </c>
      <c r="I12" s="62" t="str">
        <f>_xll.GetCtData("COAMOUNT","CONSAMOUNT",$C$2:$C$6,$C$7,F12,$E12,"#La dimension obligatoire 'Exercice' est manquante")</f>
        <v>La dimension obligatoire 'Exercice' est manquante</v>
      </c>
      <c r="J12" s="62">
        <f>SUM(J5:J11)</f>
        <v>0</v>
      </c>
      <c r="L12" s="18"/>
    </row>
    <row r="13" spans="2:19" ht="12" customHeight="1">
      <c r="E13" s="65"/>
      <c r="N13" s="63"/>
    </row>
    <row r="15" spans="2:19" ht="12" customHeight="1">
      <c r="G15" s="18" t="s">
        <v>553</v>
      </c>
      <c r="H15" s="72" t="e">
        <f>+H12-H5</f>
        <v>#VALUE!</v>
      </c>
      <c r="I15" s="26" t="e">
        <f>+J12-I5</f>
        <v>#VALUE!</v>
      </c>
      <c r="J15" s="26"/>
      <c r="K15" s="29"/>
    </row>
    <row r="16" spans="2:19" ht="12" customHeight="1">
      <c r="G16" s="18" t="s">
        <v>552</v>
      </c>
      <c r="H16" s="79" t="e">
        <f>_xll.GetCtData("COAMOUNT","CONSAMOUNT",$B$2:$B$6,$B$7,F12,$E12,"#49556,0301889133")-H12</f>
        <v>#VALUE!</v>
      </c>
      <c r="I16" s="86" t="e">
        <f>_xll.GetCtData("COAMOUNT","CONSAMOUNT",$C$2:$C$6,$C$7,F12,$E12,"#La dimension obligatoire 'Exercice' est manquante")-I12</f>
        <v>#VALUE!</v>
      </c>
      <c r="J16" s="86" t="e">
        <f>_xll.GetCtData("COAMOUNT","CONSAMOUNT",$D$2:$D$6,$D$7,F12,$E12,"#La dimension obligatoire 'Exercice' est manquante")-J12</f>
        <v>#VALUE!</v>
      </c>
      <c r="K16" s="29"/>
    </row>
    <row r="17" spans="5:11" ht="12" customHeight="1">
      <c r="G17" s="18" t="s">
        <v>1124</v>
      </c>
      <c r="H17" s="73" t="e">
        <f>H12-#REF!-#REF!</f>
        <v>#VALUE!</v>
      </c>
      <c r="I17" s="86" t="e">
        <f>I12-#REF!-#REF!</f>
        <v>#VALUE!</v>
      </c>
      <c r="J17" s="86" t="e">
        <f>+J12-#REF!-#REF!</f>
        <v>#REF!</v>
      </c>
      <c r="K17" s="82"/>
    </row>
    <row r="18" spans="5:11" ht="12" customHeight="1">
      <c r="H18" s="78" t="e">
        <f>H12-SUM(H5:H11)</f>
        <v>#VALUE!</v>
      </c>
      <c r="I18" s="64" t="e">
        <f>I12-SUM(I5:I11)</f>
        <v>#VALUE!</v>
      </c>
      <c r="J18" s="29"/>
      <c r="K18" s="29"/>
    </row>
    <row r="19" spans="5:11" s="30" customFormat="1" ht="12" customHeight="1">
      <c r="E19" s="25"/>
      <c r="F19" s="48"/>
    </row>
  </sheetData>
  <customSheetViews>
    <customSheetView guid="{9861AEDC-A168-4FA5-BC34-0FF06E2D98B0}" showGridLines="0">
      <selection activeCell="E93" sqref="E93"/>
      <pageMargins left="0.70866141732283472" right="0.70866141732283472" top="0.74803149606299213" bottom="0.74803149606299213" header="0.31496062992125984" footer="0.31496062992125984"/>
      <pageSetup paperSize="9" orientation="portrait" r:id="rId1"/>
      <headerFooter>
        <oddHeader>&amp;L&amp;F&amp;R&amp;A</oddHeader>
        <oddFooter>&amp;R&amp;D</oddFooter>
      </headerFooter>
    </customSheetView>
    <customSheetView guid="{6026142C-022D-477E-A086-A3D1CB0201B2}" showGridLines="0">
      <selection activeCell="H4" sqref="H4:I4"/>
      <pageMargins left="0.70866141732283472" right="0.70866141732283472" top="0.74803149606299213" bottom="0.74803149606299213" header="0.31496062992125984" footer="0.31496062992125984"/>
      <pageSetup paperSize="9" orientation="portrait" r:id="rId2"/>
      <headerFooter>
        <oddHeader>&amp;L&amp;F&amp;R&amp;A</oddHeader>
        <oddFooter>&amp;R&amp;D</oddFooter>
      </headerFooter>
    </customSheetView>
    <customSheetView guid="{0988812C-B87C-4041-945B-D3D481C0E3B2}" topLeftCell="D1">
      <selection activeCell="G23" sqref="G23"/>
      <pageMargins left="0.70866141732283472" right="0.70866141732283472" top="0.74803149606299213" bottom="0.74803149606299213" header="0.31496062992125984" footer="0.31496062992125984"/>
      <pageSetup paperSize="9" orientation="portrait" r:id="rId3"/>
      <headerFooter>
        <oddHeader>&amp;L&amp;F&amp;R&amp;A</oddHeader>
        <oddFooter>&amp;R&amp;D</oddFooter>
      </headerFooter>
    </customSheetView>
    <customSheetView guid="{9B5412D3-CE8B-4D5C-87A1-6A92385B5055}">
      <pageMargins left="0.70866141732283472" right="0.70866141732283472" top="0.74803149606299213" bottom="0.74803149606299213" header="0.31496062992125984" footer="0.31496062992125984"/>
      <pageSetup paperSize="9" orientation="portrait" r:id="rId4"/>
      <headerFooter>
        <oddHeader>&amp;L&amp;F&amp;R&amp;A</oddHeader>
        <oddFooter>&amp;R&amp;D</oddFooter>
      </headerFooter>
    </customSheetView>
    <customSheetView guid="{1E6FDA0A-7324-47B7-8781-F649F81C62F2}">
      <pageMargins left="0.70866141732283472" right="0.70866141732283472" top="0.74803149606299213" bottom="0.74803149606299213" header="0.31496062992125984" footer="0.31496062992125984"/>
      <pageSetup paperSize="9" orientation="portrait" r:id="rId5"/>
      <headerFooter>
        <oddHeader>&amp;L&amp;F&amp;R&amp;A</oddHeader>
        <oddFooter>&amp;R&amp;D</oddFooter>
      </headerFooter>
    </customSheetView>
    <customSheetView guid="{10FE0AC7-DC28-4361-9D3E-E82A44C052DC}">
      <selection activeCell="C19" sqref="C19"/>
      <pageMargins left="0.70866141732283472" right="0.70866141732283472" top="0.74803149606299213" bottom="0.74803149606299213" header="0.31496062992125984" footer="0.31496062992125984"/>
      <pageSetup paperSize="9" orientation="portrait" r:id="rId6"/>
      <headerFooter>
        <oddHeader>&amp;L&amp;F&amp;R&amp;A</oddHeader>
        <oddFooter>&amp;R&amp;D</oddFooter>
      </headerFooter>
    </customSheetView>
    <customSheetView guid="{15FEF1C5-8ED8-40F7-B190-479F9E1DDCD0}" showGridLines="0">
      <selection activeCell="F12" sqref="F12"/>
      <pageMargins left="0.70866141732283472" right="0.70866141732283472" top="0.74803149606299213" bottom="0.74803149606299213" header="0.31496062992125984" footer="0.31496062992125984"/>
      <pageSetup paperSize="9" orientation="portrait" r:id="rId7"/>
      <headerFooter>
        <oddHeader>&amp;L&amp;F&amp;R&amp;A</oddHeader>
        <oddFooter>&amp;R&amp;D</oddFooter>
      </headerFooter>
    </customSheetView>
    <customSheetView guid="{4561BCBD-DB5E-4D30-A9CE-7BB23B692C5E}" showGridLines="0">
      <selection activeCell="H4" sqref="H4:I4"/>
      <pageMargins left="0.70866141732283472" right="0.70866141732283472" top="0.74803149606299213" bottom="0.74803149606299213" header="0.31496062992125984" footer="0.31496062992125984"/>
      <pageSetup paperSize="9" orientation="portrait" r:id="rId8"/>
      <headerFooter>
        <oddHeader>&amp;L&amp;F&amp;R&amp;A</oddHeader>
        <oddFooter>&amp;R&amp;D</oddFooter>
      </headerFooter>
    </customSheetView>
    <customSheetView guid="{B96AA43F-C6B6-4097-9127-C885199888B4}" showGridLines="0">
      <selection activeCell="E93" sqref="E93"/>
      <pageMargins left="0.70866141732283472" right="0.70866141732283472" top="0.74803149606299213" bottom="0.74803149606299213" header="0.31496062992125984" footer="0.31496062992125984"/>
      <pageSetup paperSize="9" orientation="portrait" r:id="rId9"/>
      <headerFooter>
        <oddHeader>&amp;L&amp;F&amp;R&amp;A</oddHeader>
        <oddFooter>&amp;R&amp;D</oddFooter>
      </headerFooter>
    </customSheetView>
    <customSheetView guid="{6357C996-BE12-4F66-ACBB-1F9F08F8885C}" showGridLines="0" state="hidden">
      <selection activeCell="D18" sqref="D18"/>
      <pageMargins left="0.70866141732283472" right="0.70866141732283472" top="0.74803149606299213" bottom="0.74803149606299213" header="0.31496062992125984" footer="0.31496062992125984"/>
      <pageSetup paperSize="9" orientation="portrait" r:id="rId10"/>
      <headerFooter>
        <oddHeader>&amp;L&amp;F&amp;R&amp;A</oddHeader>
        <oddFooter>&amp;R&amp;D</oddFooter>
      </headerFooter>
    </customSheetView>
    <customSheetView guid="{5874C782-5C34-4C4C-BCC6-3692259149CA}" showGridLines="0" state="hidden">
      <selection activeCell="D18" sqref="D18"/>
      <pageMargins left="0.70866141732283472" right="0.70866141732283472" top="0.74803149606299213" bottom="0.74803149606299213" header="0.31496062992125984" footer="0.31496062992125984"/>
      <pageSetup paperSize="9" orientation="portrait" r:id="rId11"/>
      <headerFooter>
        <oddHeader>&amp;L&amp;F&amp;R&amp;A</oddHeader>
        <oddFooter>&amp;R&amp;D</oddFooter>
      </headerFooter>
    </customSheetView>
  </customSheetViews>
  <hyperlinks>
    <hyperlink ref="C10" location="'Base annexes'!A1" display="BASE ANNEXES retour" xr:uid="{00000000-0004-0000-A900-000000000000}"/>
    <hyperlink ref="D10" location="'Base annexes'!A1" display="BASE ANNEXES retour" xr:uid="{00000000-0004-0000-A900-000001000000}"/>
  </hyperlinks>
  <pageMargins left="0.70866141732283472" right="0.70866141732283472" top="0.74803149606299213" bottom="0.74803149606299213" header="0.31496062992125984" footer="0.31496062992125984"/>
  <pageSetup paperSize="9" orientation="portrait" r:id="rId12"/>
  <headerFooter>
    <oddHeader>&amp;L&amp;F&amp;R&amp;A</oddHeader>
    <oddFooter>&amp;R&amp;D</oddFooter>
  </headerFooter>
  <customProperties>
    <customPr name="EpmWorksheetKeyString_GUID" r:id="rId13"/>
  </customProperties>
  <drawing r:id="rId14"/>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T746"/>
  <sheetViews>
    <sheetView showGridLines="0" topLeftCell="D9" workbookViewId="0">
      <selection activeCell="Q54" sqref="Q54"/>
    </sheetView>
  </sheetViews>
  <sheetFormatPr baseColWidth="10" defaultColWidth="10.85546875" defaultRowHeight="11.25" outlineLevelRow="2" outlineLevelCol="1"/>
  <cols>
    <col min="1" max="1" width="14.140625" style="115" hidden="1" customWidth="1" outlineLevel="1"/>
    <col min="2" max="2" width="5.85546875" style="115" hidden="1" customWidth="1" outlineLevel="1"/>
    <col min="3" max="3" width="10.85546875" style="116" hidden="1" customWidth="1" outlineLevel="1"/>
    <col min="4" max="4" width="10.85546875" style="117" customWidth="1" collapsed="1"/>
    <col min="5" max="5" width="55.85546875" style="115" customWidth="1"/>
    <col min="6" max="6" width="3.85546875" style="115" hidden="1" customWidth="1"/>
    <col min="7" max="7" width="12.140625" style="115" hidden="1" customWidth="1"/>
    <col min="8" max="8" width="6.140625" style="115" hidden="1" customWidth="1"/>
    <col min="9" max="12" width="10.85546875" style="115"/>
    <col min="13" max="13" width="3.140625" style="115" customWidth="1"/>
    <col min="14" max="14" width="10.85546875" style="115"/>
    <col min="15" max="15" width="3.140625" style="115" customWidth="1"/>
    <col min="16" max="16" width="10.85546875" style="115"/>
    <col min="17" max="17" width="10.85546875" style="118"/>
    <col min="18" max="16384" width="10.85546875" style="115"/>
  </cols>
  <sheetData>
    <row r="1" spans="1:17" hidden="1" outlineLevel="1">
      <c r="A1" s="114" t="s">
        <v>1110</v>
      </c>
    </row>
    <row r="2" spans="1:17" hidden="1" outlineLevel="1">
      <c r="A2" s="119" t="s">
        <v>71</v>
      </c>
    </row>
    <row r="3" spans="1:17" hidden="1" outlineLevel="1">
      <c r="A3" s="119" t="s">
        <v>1213</v>
      </c>
    </row>
    <row r="4" spans="1:17" hidden="1" outlineLevel="1">
      <c r="A4" s="119" t="s">
        <v>581</v>
      </c>
    </row>
    <row r="5" spans="1:17" hidden="1" outlineLevel="1">
      <c r="A5" s="119" t="s">
        <v>73</v>
      </c>
    </row>
    <row r="6" spans="1:17" hidden="1" outlineLevel="1">
      <c r="A6" s="119" t="s">
        <v>72</v>
      </c>
    </row>
    <row r="7" spans="1:17" hidden="1" outlineLevel="1"/>
    <row r="8" spans="1:17" hidden="1" outlineLevel="1"/>
    <row r="9" spans="1:17" collapsed="1">
      <c r="E9" s="120"/>
    </row>
    <row r="10" spans="1:17" ht="14.25" customHeight="1">
      <c r="I10" s="121" t="s">
        <v>1096</v>
      </c>
      <c r="J10" s="121" t="s">
        <v>1097</v>
      </c>
      <c r="K10" s="121" t="s">
        <v>1098</v>
      </c>
      <c r="L10" s="121" t="s">
        <v>1099</v>
      </c>
      <c r="N10" s="121"/>
      <c r="P10" s="121"/>
    </row>
    <row r="11" spans="1:17">
      <c r="E11" s="120" t="s">
        <v>1512</v>
      </c>
    </row>
    <row r="12" spans="1:17" ht="15" customHeight="1" thickBot="1">
      <c r="I12" s="1155" t="s">
        <v>1780</v>
      </c>
      <c r="J12" s="1156"/>
      <c r="K12" s="1156"/>
      <c r="L12" s="1156"/>
      <c r="N12" s="1157" t="s">
        <v>1511</v>
      </c>
      <c r="P12" s="1159" t="s">
        <v>57</v>
      </c>
    </row>
    <row r="13" spans="1:17" ht="38.25" customHeight="1" thickTop="1" thickBot="1">
      <c r="E13" s="14" t="s">
        <v>1683</v>
      </c>
      <c r="F13" s="14"/>
      <c r="G13" s="14" t="s">
        <v>1513</v>
      </c>
      <c r="H13" s="14" t="s">
        <v>1514</v>
      </c>
      <c r="I13" s="122" t="s">
        <v>115</v>
      </c>
      <c r="J13" s="122" t="s">
        <v>116</v>
      </c>
      <c r="K13" s="122" t="s">
        <v>117</v>
      </c>
      <c r="L13" s="122" t="s">
        <v>57</v>
      </c>
      <c r="N13" s="1158"/>
      <c r="P13" s="1160"/>
      <c r="Q13" s="118" t="s">
        <v>545</v>
      </c>
    </row>
    <row r="14" spans="1:17" ht="12" thickBot="1">
      <c r="A14" s="115" t="s">
        <v>1060</v>
      </c>
      <c r="C14" s="123" t="s">
        <v>1515</v>
      </c>
      <c r="D14" s="124"/>
      <c r="E14" s="125" t="s">
        <v>104</v>
      </c>
      <c r="F14" s="126"/>
      <c r="G14" s="126"/>
      <c r="H14" s="126"/>
      <c r="I14" s="127">
        <f>_xll.GetCtData("COAMOUNT","CONSAMOUNT",$A$1:$A$8,$A14,I$10,"#-466683,953608638")/10^3</f>
        <v>-466.68395360863803</v>
      </c>
      <c r="J14" s="127">
        <f>_xll.GetCtData("COAMOUNT","CONSAMOUNT",$A$1:$A$8,$A14,J$10,"#17145,6382307729")/10^3</f>
        <v>17.145638230772899</v>
      </c>
      <c r="K14" s="127">
        <f>_xll.GetCtData("COAMOUNT","CONSAMOUNT",$A$1:$A$8,$A14,K$10,"#83877,0271628025")/10^3</f>
        <v>83.877027162802491</v>
      </c>
      <c r="L14" s="127">
        <f>_xll.GetCtData("COAMOUNT","CONSAMOUNT",$A$1:$A$8,$A14,L$10,"#-365661,288215063")/10^3</f>
        <v>-365.661288215063</v>
      </c>
      <c r="M14" s="128"/>
      <c r="N14" s="127">
        <v>-53080</v>
      </c>
      <c r="O14" s="128"/>
      <c r="P14" s="127">
        <f>L14+N14</f>
        <v>-53445.661288215066</v>
      </c>
      <c r="Q14" s="129">
        <v>365913.62692684791</v>
      </c>
    </row>
    <row r="15" spans="1:17" ht="12" hidden="1" outlineLevel="1" thickBot="1">
      <c r="A15" s="115" t="s">
        <v>1516</v>
      </c>
      <c r="B15" s="115" t="s">
        <v>75</v>
      </c>
      <c r="C15" s="130" t="s">
        <v>1517</v>
      </c>
      <c r="E15" s="131" t="s">
        <v>1518</v>
      </c>
      <c r="F15" s="131" t="s">
        <v>304</v>
      </c>
      <c r="G15" s="131" t="s">
        <v>305</v>
      </c>
      <c r="H15" s="132" t="e">
        <f t="shared" ref="H15:H32" si="0">IF(LEFT(E15,6)/10^3="actifs",-1,1)/10^3</f>
        <v>#VALUE!</v>
      </c>
      <c r="I15" s="133" t="e">
        <f>_xll.GetCtData("COAMOUNT","CONSAMOUNT",$A$1:$A$8,$A15:$B15,,"#354536,759098623")/10^3*H15</f>
        <v>#VALUE!</v>
      </c>
      <c r="J15" s="133"/>
      <c r="K15" s="133"/>
      <c r="L15" s="133" t="e">
        <f t="shared" ref="L15:L32" si="1">SUM(I15:K15)/10^3</f>
        <v>#VALUE!</v>
      </c>
      <c r="M15" s="128"/>
      <c r="N15" s="133"/>
      <c r="O15" s="128"/>
      <c r="P15" s="133"/>
    </row>
    <row r="16" spans="1:17" ht="12" hidden="1" outlineLevel="1" thickBot="1">
      <c r="A16" s="115" t="s">
        <v>1519</v>
      </c>
      <c r="B16" s="115" t="s">
        <v>75</v>
      </c>
      <c r="C16" s="134" t="s">
        <v>1520</v>
      </c>
      <c r="E16" s="135" t="s">
        <v>1521</v>
      </c>
      <c r="F16" s="135" t="s">
        <v>304</v>
      </c>
      <c r="G16" s="131" t="s">
        <v>305</v>
      </c>
      <c r="H16" s="132" t="e">
        <f t="shared" si="0"/>
        <v>#VALUE!</v>
      </c>
      <c r="I16" s="133" t="e">
        <f>_xll.GetCtData("COAMOUNT","CONSAMOUNT",$A$1:$A$8,$A16:$B16,,"#-48381,2259076718")/10^3*H16</f>
        <v>#VALUE!</v>
      </c>
      <c r="J16" s="136"/>
      <c r="K16" s="136"/>
      <c r="L16" s="133" t="e">
        <f t="shared" si="1"/>
        <v>#VALUE!</v>
      </c>
      <c r="M16" s="128"/>
      <c r="N16" s="133"/>
      <c r="O16" s="128"/>
      <c r="P16" s="133"/>
    </row>
    <row r="17" spans="1:16" ht="12" hidden="1" outlineLevel="1" thickBot="1">
      <c r="A17" s="115" t="s">
        <v>1522</v>
      </c>
      <c r="B17" s="115" t="s">
        <v>75</v>
      </c>
      <c r="C17" s="134" t="s">
        <v>1523</v>
      </c>
      <c r="E17" s="135" t="s">
        <v>1524</v>
      </c>
      <c r="F17" s="135" t="s">
        <v>304</v>
      </c>
      <c r="G17" s="131" t="s">
        <v>305</v>
      </c>
      <c r="H17" s="132" t="e">
        <f t="shared" si="0"/>
        <v>#VALUE!</v>
      </c>
      <c r="I17" s="133" t="e">
        <f>_xll.GetCtData("COAMOUNT","CONSAMOUNT",$A$1:$A$8,$A17:$B17,,"#152857,755465938")/10^3*H17</f>
        <v>#VALUE!</v>
      </c>
      <c r="J17" s="136"/>
      <c r="K17" s="136"/>
      <c r="L17" s="133" t="e">
        <f t="shared" si="1"/>
        <v>#VALUE!</v>
      </c>
      <c r="M17" s="128"/>
      <c r="N17" s="133"/>
      <c r="O17" s="128"/>
      <c r="P17" s="133"/>
    </row>
    <row r="18" spans="1:16" ht="12" hidden="1" outlineLevel="1" thickBot="1">
      <c r="A18" s="115" t="s">
        <v>1525</v>
      </c>
      <c r="B18" s="115" t="s">
        <v>75</v>
      </c>
      <c r="C18" s="134" t="s">
        <v>1526</v>
      </c>
      <c r="E18" s="135" t="s">
        <v>1527</v>
      </c>
      <c r="F18" s="135" t="s">
        <v>304</v>
      </c>
      <c r="G18" s="131" t="s">
        <v>305</v>
      </c>
      <c r="H18" s="132" t="e">
        <f t="shared" si="0"/>
        <v>#VALUE!</v>
      </c>
      <c r="I18" s="133" t="e">
        <f>_xll.GetCtData("COAMOUNT","CONSAMOUNT",$A$1:$A$8,$A18:$B18,,"#23")/10^3*H18</f>
        <v>#VALUE!</v>
      </c>
      <c r="J18" s="136"/>
      <c r="K18" s="136"/>
      <c r="L18" s="133" t="e">
        <f t="shared" si="1"/>
        <v>#VALUE!</v>
      </c>
      <c r="M18" s="128"/>
      <c r="N18" s="133"/>
      <c r="O18" s="128"/>
      <c r="P18" s="133"/>
    </row>
    <row r="19" spans="1:16" ht="12" hidden="1" outlineLevel="1" thickBot="1">
      <c r="A19" s="115" t="s">
        <v>1528</v>
      </c>
      <c r="B19" s="115" t="s">
        <v>75</v>
      </c>
      <c r="C19" s="134" t="s">
        <v>1529</v>
      </c>
      <c r="E19" s="135" t="s">
        <v>1530</v>
      </c>
      <c r="F19" s="135" t="s">
        <v>304</v>
      </c>
      <c r="G19" s="131" t="s">
        <v>305</v>
      </c>
      <c r="H19" s="132" t="e">
        <f t="shared" si="0"/>
        <v>#VALUE!</v>
      </c>
      <c r="I19" s="133" t="e">
        <f>_xll.GetCtData("COAMOUNT","CONSAMOUNT",$A$1:$A$8,$A19:$B19,,"#")/10^3*H19</f>
        <v>#VALUE!</v>
      </c>
      <c r="J19" s="136"/>
      <c r="K19" s="136"/>
      <c r="L19" s="133" t="e">
        <f t="shared" si="1"/>
        <v>#VALUE!</v>
      </c>
      <c r="M19" s="128"/>
      <c r="N19" s="133"/>
      <c r="O19" s="128"/>
      <c r="P19" s="133"/>
    </row>
    <row r="20" spans="1:16" ht="12" hidden="1" outlineLevel="1" thickBot="1">
      <c r="A20" s="115" t="s">
        <v>1531</v>
      </c>
      <c r="B20" s="115" t="s">
        <v>75</v>
      </c>
      <c r="C20" s="134" t="s">
        <v>1532</v>
      </c>
      <c r="E20" s="135" t="s">
        <v>1533</v>
      </c>
      <c r="F20" s="135" t="s">
        <v>304</v>
      </c>
      <c r="G20" s="131" t="s">
        <v>305</v>
      </c>
      <c r="H20" s="132" t="e">
        <f t="shared" si="0"/>
        <v>#VALUE!</v>
      </c>
      <c r="I20" s="133" t="e">
        <f>_xll.GetCtData("COAMOUNT","CONSAMOUNT",$A$1:$A$8,$A20:$B20,,"#8135,94236415178")/10^3*H20</f>
        <v>#VALUE!</v>
      </c>
      <c r="J20" s="136"/>
      <c r="K20" s="136"/>
      <c r="L20" s="133" t="e">
        <f t="shared" si="1"/>
        <v>#VALUE!</v>
      </c>
      <c r="M20" s="128"/>
      <c r="N20" s="133"/>
      <c r="O20" s="128"/>
      <c r="P20" s="133"/>
    </row>
    <row r="21" spans="1:16" ht="12" hidden="1" outlineLevel="1" thickBot="1">
      <c r="A21" s="115" t="s">
        <v>1534</v>
      </c>
      <c r="B21" s="115" t="s">
        <v>75</v>
      </c>
      <c r="C21" s="134" t="s">
        <v>1535</v>
      </c>
      <c r="E21" s="135" t="s">
        <v>1536</v>
      </c>
      <c r="F21" s="135" t="s">
        <v>304</v>
      </c>
      <c r="G21" s="131" t="s">
        <v>305</v>
      </c>
      <c r="H21" s="132" t="e">
        <f t="shared" si="0"/>
        <v>#VALUE!</v>
      </c>
      <c r="I21" s="133" t="e">
        <f>_xll.GetCtData("COAMOUNT","CONSAMOUNT",$A$1:$A$8,$A21:$B21,,"#-2493")/10^3*H21</f>
        <v>#VALUE!</v>
      </c>
      <c r="J21" s="136"/>
      <c r="K21" s="136"/>
      <c r="L21" s="133" t="e">
        <f t="shared" si="1"/>
        <v>#VALUE!</v>
      </c>
      <c r="M21" s="128"/>
      <c r="N21" s="133"/>
      <c r="O21" s="128"/>
      <c r="P21" s="133"/>
    </row>
    <row r="22" spans="1:16" ht="12" hidden="1" outlineLevel="1" thickBot="1">
      <c r="A22" s="115" t="s">
        <v>1537</v>
      </c>
      <c r="B22" s="115" t="s">
        <v>75</v>
      </c>
      <c r="C22" s="134" t="s">
        <v>1538</v>
      </c>
      <c r="E22" s="135" t="s">
        <v>1539</v>
      </c>
      <c r="F22" s="135" t="s">
        <v>304</v>
      </c>
      <c r="G22" s="131" t="s">
        <v>305</v>
      </c>
      <c r="H22" s="132" t="e">
        <f t="shared" si="0"/>
        <v>#VALUE!</v>
      </c>
      <c r="I22" s="133" t="e">
        <f>_xll.GetCtData("COAMOUNT","CONSAMOUNT",$A$1:$A$8,$A22:$B22,,"#")/10^3*H22</f>
        <v>#VALUE!</v>
      </c>
      <c r="J22" s="136"/>
      <c r="K22" s="136"/>
      <c r="L22" s="133" t="e">
        <f t="shared" si="1"/>
        <v>#VALUE!</v>
      </c>
      <c r="M22" s="128"/>
      <c r="N22" s="133"/>
      <c r="O22" s="128"/>
      <c r="P22" s="133"/>
    </row>
    <row r="23" spans="1:16" ht="12" hidden="1" outlineLevel="1" thickBot="1">
      <c r="A23" s="115" t="s">
        <v>1540</v>
      </c>
      <c r="B23" s="115" t="s">
        <v>75</v>
      </c>
      <c r="C23" s="134" t="s">
        <v>1541</v>
      </c>
      <c r="E23" s="135" t="s">
        <v>1542</v>
      </c>
      <c r="F23" s="135" t="s">
        <v>304</v>
      </c>
      <c r="G23" s="131" t="s">
        <v>305</v>
      </c>
      <c r="H23" s="132" t="e">
        <f t="shared" si="0"/>
        <v>#VALUE!</v>
      </c>
      <c r="I23" s="133" t="e">
        <f>_xll.GetCtData("COAMOUNT","CONSAMOUNT",$A$1:$A$8,$A23:$B23,,"#")/10^3*H23</f>
        <v>#VALUE!</v>
      </c>
      <c r="J23" s="136"/>
      <c r="K23" s="136"/>
      <c r="L23" s="133" t="e">
        <f t="shared" si="1"/>
        <v>#VALUE!</v>
      </c>
      <c r="M23" s="128"/>
      <c r="N23" s="133"/>
      <c r="O23" s="128"/>
      <c r="P23" s="133"/>
    </row>
    <row r="24" spans="1:16" ht="12" hidden="1" outlineLevel="1" thickBot="1">
      <c r="A24" s="115" t="s">
        <v>1543</v>
      </c>
      <c r="B24" s="115" t="s">
        <v>75</v>
      </c>
      <c r="C24" s="134" t="s">
        <v>1544</v>
      </c>
      <c r="E24" s="135" t="s">
        <v>1545</v>
      </c>
      <c r="F24" s="135" t="s">
        <v>304</v>
      </c>
      <c r="G24" s="131" t="s">
        <v>305</v>
      </c>
      <c r="H24" s="132" t="e">
        <f t="shared" si="0"/>
        <v>#VALUE!</v>
      </c>
      <c r="I24" s="133" t="e">
        <f>_xll.GetCtData("COAMOUNT","CONSAMOUNT",$A$1:$A$8,$A24:$B24,,"#")/10^3*H24</f>
        <v>#VALUE!</v>
      </c>
      <c r="J24" s="136"/>
      <c r="K24" s="136"/>
      <c r="L24" s="133" t="e">
        <f t="shared" si="1"/>
        <v>#VALUE!</v>
      </c>
      <c r="M24" s="128"/>
      <c r="N24" s="133"/>
      <c r="O24" s="128"/>
      <c r="P24" s="133"/>
    </row>
    <row r="25" spans="1:16" ht="12" hidden="1" outlineLevel="1" thickBot="1">
      <c r="A25" s="115" t="s">
        <v>1546</v>
      </c>
      <c r="B25" s="115" t="s">
        <v>75</v>
      </c>
      <c r="C25" s="134" t="s">
        <v>1547</v>
      </c>
      <c r="E25" s="135" t="s">
        <v>1548</v>
      </c>
      <c r="F25" s="135" t="s">
        <v>304</v>
      </c>
      <c r="G25" s="131" t="s">
        <v>305</v>
      </c>
      <c r="H25" s="132" t="e">
        <f t="shared" si="0"/>
        <v>#VALUE!</v>
      </c>
      <c r="I25" s="133" t="e">
        <f>_xll.GetCtData("COAMOUNT","CONSAMOUNT",$A$1:$A$8,$A25:$B25,,"#2004,72258759766")/10^3*H25</f>
        <v>#VALUE!</v>
      </c>
      <c r="J25" s="136"/>
      <c r="K25" s="136"/>
      <c r="L25" s="133" t="e">
        <f t="shared" si="1"/>
        <v>#VALUE!</v>
      </c>
      <c r="M25" s="128"/>
      <c r="N25" s="133"/>
      <c r="O25" s="128"/>
      <c r="P25" s="133"/>
    </row>
    <row r="26" spans="1:16" ht="12" hidden="1" outlineLevel="1" thickBot="1">
      <c r="A26" s="115" t="s">
        <v>1549</v>
      </c>
      <c r="B26" s="115" t="s">
        <v>75</v>
      </c>
      <c r="C26" s="134" t="s">
        <v>1550</v>
      </c>
      <c r="E26" s="135" t="s">
        <v>1551</v>
      </c>
      <c r="F26" s="135" t="s">
        <v>304</v>
      </c>
      <c r="G26" s="131" t="s">
        <v>305</v>
      </c>
      <c r="H26" s="132" t="e">
        <f t="shared" si="0"/>
        <v>#VALUE!</v>
      </c>
      <c r="I26" s="133" t="e">
        <f>_xll.GetCtData("COAMOUNT","CONSAMOUNT",$A$1:$A$8,$A26:$B26,,"#")/10^3*H26</f>
        <v>#VALUE!</v>
      </c>
      <c r="J26" s="136"/>
      <c r="K26" s="136"/>
      <c r="L26" s="133" t="e">
        <f t="shared" si="1"/>
        <v>#VALUE!</v>
      </c>
      <c r="M26" s="128"/>
      <c r="N26" s="133"/>
      <c r="O26" s="128"/>
      <c r="P26" s="133"/>
    </row>
    <row r="27" spans="1:16" ht="12" hidden="1" outlineLevel="1" thickBot="1">
      <c r="A27" s="115" t="s">
        <v>1552</v>
      </c>
      <c r="B27" s="115" t="s">
        <v>75</v>
      </c>
      <c r="C27" s="134" t="s">
        <v>1553</v>
      </c>
      <c r="E27" s="135" t="s">
        <v>1554</v>
      </c>
      <c r="F27" s="135" t="s">
        <v>304</v>
      </c>
      <c r="G27" s="131" t="s">
        <v>305</v>
      </c>
      <c r="H27" s="132" t="e">
        <f t="shared" si="0"/>
        <v>#VALUE!</v>
      </c>
      <c r="I27" s="136"/>
      <c r="J27" s="136" t="e">
        <f>_xll.GetCtData("COAMOUNT","CONSAMOUNT",$A$1:$A$8,$A27:$B27,,"#-16741,8521893472")/10^3*H27</f>
        <v>#VALUE!</v>
      </c>
      <c r="K27" s="136"/>
      <c r="L27" s="133" t="e">
        <f t="shared" si="1"/>
        <v>#VALUE!</v>
      </c>
      <c r="M27" s="128"/>
      <c r="N27" s="133"/>
      <c r="O27" s="128"/>
      <c r="P27" s="133"/>
    </row>
    <row r="28" spans="1:16" ht="12" hidden="1" outlineLevel="1" thickBot="1">
      <c r="A28" s="115" t="s">
        <v>1555</v>
      </c>
      <c r="B28" s="115" t="s">
        <v>75</v>
      </c>
      <c r="C28" s="134" t="s">
        <v>1556</v>
      </c>
      <c r="E28" s="135" t="s">
        <v>1557</v>
      </c>
      <c r="F28" s="135" t="s">
        <v>304</v>
      </c>
      <c r="G28" s="131" t="s">
        <v>305</v>
      </c>
      <c r="H28" s="132" t="e">
        <f t="shared" si="0"/>
        <v>#VALUE!</v>
      </c>
      <c r="I28" s="136"/>
      <c r="J28" s="136" t="e">
        <f>_xll.GetCtData("COAMOUNT","CONSAMOUNT",$A$1:$A$8,$A28:$B28,,"#-400,786041425651")/10^3*H28</f>
        <v>#VALUE!</v>
      </c>
      <c r="K28" s="136"/>
      <c r="L28" s="133" t="e">
        <f t="shared" si="1"/>
        <v>#VALUE!</v>
      </c>
      <c r="M28" s="128"/>
      <c r="N28" s="133"/>
      <c r="O28" s="128"/>
      <c r="P28" s="133"/>
    </row>
    <row r="29" spans="1:16" ht="12" hidden="1" outlineLevel="1" thickBot="1">
      <c r="A29" s="115" t="s">
        <v>1558</v>
      </c>
      <c r="B29" s="115" t="s">
        <v>75</v>
      </c>
      <c r="C29" s="134" t="s">
        <v>1559</v>
      </c>
      <c r="E29" s="135" t="s">
        <v>1560</v>
      </c>
      <c r="F29" s="135" t="s">
        <v>304</v>
      </c>
      <c r="G29" s="131" t="s">
        <v>305</v>
      </c>
      <c r="H29" s="132" t="e">
        <f t="shared" si="0"/>
        <v>#VALUE!</v>
      </c>
      <c r="I29" s="136"/>
      <c r="J29" s="136" t="e">
        <f>_xll.GetCtData("COAMOUNT","CONSAMOUNT",$A$1:$A$8,$A29:$B29,,"#-3")/10^3*H29</f>
        <v>#VALUE!</v>
      </c>
      <c r="K29" s="136"/>
      <c r="L29" s="133" t="e">
        <f t="shared" si="1"/>
        <v>#VALUE!</v>
      </c>
      <c r="M29" s="128"/>
      <c r="N29" s="133"/>
      <c r="O29" s="128"/>
      <c r="P29" s="133"/>
    </row>
    <row r="30" spans="1:16" ht="12" hidden="1" outlineLevel="1" thickBot="1">
      <c r="A30" s="115" t="s">
        <v>1561</v>
      </c>
      <c r="B30" s="115" t="s">
        <v>75</v>
      </c>
      <c r="C30" s="134" t="s">
        <v>1562</v>
      </c>
      <c r="E30" s="135" t="s">
        <v>1563</v>
      </c>
      <c r="F30" s="135" t="s">
        <v>304</v>
      </c>
      <c r="G30" s="131" t="s">
        <v>305</v>
      </c>
      <c r="H30" s="132" t="e">
        <f t="shared" si="0"/>
        <v>#VALUE!</v>
      </c>
      <c r="I30" s="136"/>
      <c r="J30" s="136" t="e">
        <f>_xll.GetCtData("COAMOUNT","CONSAMOUNT",$A$1:$A$8,$A30:$B30,,"#")/10^3*H30</f>
        <v>#VALUE!</v>
      </c>
      <c r="K30" s="136"/>
      <c r="L30" s="133" t="e">
        <f t="shared" si="1"/>
        <v>#VALUE!</v>
      </c>
      <c r="M30" s="128"/>
      <c r="N30" s="133"/>
      <c r="O30" s="128"/>
      <c r="P30" s="133"/>
    </row>
    <row r="31" spans="1:16" ht="12" hidden="1" outlineLevel="1" thickBot="1">
      <c r="A31" s="115" t="s">
        <v>1564</v>
      </c>
      <c r="B31" s="115" t="s">
        <v>75</v>
      </c>
      <c r="C31" s="134" t="s">
        <v>1565</v>
      </c>
      <c r="E31" s="135" t="s">
        <v>1566</v>
      </c>
      <c r="F31" s="135" t="s">
        <v>304</v>
      </c>
      <c r="G31" s="131" t="s">
        <v>305</v>
      </c>
      <c r="H31" s="132" t="e">
        <f t="shared" si="0"/>
        <v>#VALUE!</v>
      </c>
      <c r="I31" s="136"/>
      <c r="J31" s="136"/>
      <c r="K31" s="136" t="e">
        <f>_xll.GetCtData("COAMOUNT","CONSAMOUNT",$A$1:$A$8,$A31:$B31,,"#-83877,0271628025")/10^3*H31</f>
        <v>#VALUE!</v>
      </c>
      <c r="L31" s="133" t="e">
        <f t="shared" si="1"/>
        <v>#VALUE!</v>
      </c>
      <c r="M31" s="128"/>
      <c r="N31" s="133"/>
      <c r="O31" s="128"/>
      <c r="P31" s="133"/>
    </row>
    <row r="32" spans="1:16" ht="12" hidden="1" outlineLevel="1" thickBot="1">
      <c r="A32" s="115" t="s">
        <v>1567</v>
      </c>
      <c r="B32" s="115" t="s">
        <v>75</v>
      </c>
      <c r="C32" s="134" t="s">
        <v>1568</v>
      </c>
      <c r="E32" s="135" t="s">
        <v>1569</v>
      </c>
      <c r="F32" s="135" t="s">
        <v>304</v>
      </c>
      <c r="G32" s="131" t="s">
        <v>305</v>
      </c>
      <c r="H32" s="132" t="e">
        <f t="shared" si="0"/>
        <v>#VALUE!</v>
      </c>
      <c r="I32" s="136"/>
      <c r="J32" s="136"/>
      <c r="K32" s="136" t="e">
        <f>_xll.GetCtData("COAMOUNT","CONSAMOUNT",$A$1:$A$8,$A32:$B32,,"#")/10^3*H32</f>
        <v>#VALUE!</v>
      </c>
      <c r="L32" s="133" t="e">
        <f t="shared" si="1"/>
        <v>#VALUE!</v>
      </c>
      <c r="M32" s="128"/>
      <c r="N32" s="133"/>
      <c r="O32" s="128"/>
      <c r="P32" s="133"/>
    </row>
    <row r="33" spans="1:17" ht="12" hidden="1" outlineLevel="1" thickBot="1">
      <c r="C33" s="134"/>
      <c r="E33" s="137" t="s">
        <v>1570</v>
      </c>
      <c r="F33" s="137"/>
      <c r="G33" s="137"/>
      <c r="H33" s="137"/>
      <c r="I33" s="138" t="e">
        <f>SUM(I15:I32)/10^3-I14</f>
        <v>#VALUE!</v>
      </c>
      <c r="J33" s="138" t="e">
        <f>SUM(J15:J32)/10^3-J14</f>
        <v>#VALUE!</v>
      </c>
      <c r="K33" s="138" t="e">
        <f>SUM(K15:K32)/10^3-K14</f>
        <v>#VALUE!</v>
      </c>
      <c r="L33" s="138" t="e">
        <f>SUM(L15:L32)/10^3-L14</f>
        <v>#VALUE!</v>
      </c>
      <c r="M33" s="128"/>
      <c r="N33" s="138"/>
      <c r="O33" s="128"/>
      <c r="P33" s="138"/>
    </row>
    <row r="34" spans="1:17" ht="12" collapsed="1" thickBot="1">
      <c r="A34" s="115" t="s">
        <v>1061</v>
      </c>
      <c r="C34" s="123" t="s">
        <v>1571</v>
      </c>
      <c r="D34" s="124"/>
      <c r="E34" s="125" t="s">
        <v>105</v>
      </c>
      <c r="F34" s="126"/>
      <c r="G34" s="126"/>
      <c r="H34" s="126"/>
      <c r="I34" s="127">
        <f>_xll.GetCtData("COAMOUNT","CONSAMOUNT",$A$1:$A$8,$A34,I$10,"#387381207,037676")/10^3</f>
        <v>387381.20703767595</v>
      </c>
      <c r="J34" s="127">
        <f>_xll.GetCtData("COAMOUNT","CONSAMOUNT",$A$1:$A$8,$A34,J$10,"#1551765,35405239")/10^3</f>
        <v>1551.76535405239</v>
      </c>
      <c r="K34" s="127">
        <f>_xll.GetCtData("COAMOUNT","CONSAMOUNT",$A$1:$A$8,$A34,K$10,"#18220238,3459837")/10^3</f>
        <v>18220.2383459837</v>
      </c>
      <c r="L34" s="127">
        <f>_xll.GetCtData("COAMOUNT","CONSAMOUNT",$A$1:$A$8,$A34,L$10,"#407153210,737712")/10^3</f>
        <v>407153.21073771204</v>
      </c>
      <c r="M34" s="128"/>
      <c r="N34" s="127">
        <v>947423</v>
      </c>
      <c r="O34" s="128"/>
      <c r="P34" s="127">
        <f t="shared" ref="P34:P97" si="2">L34+N34</f>
        <v>1354576.210737712</v>
      </c>
      <c r="Q34" s="129">
        <v>406746098.36849827</v>
      </c>
    </row>
    <row r="35" spans="1:17" hidden="1" outlineLevel="1">
      <c r="A35" s="115" t="s">
        <v>1572</v>
      </c>
      <c r="B35" s="115" t="s">
        <v>75</v>
      </c>
      <c r="C35" s="116" t="s">
        <v>1573</v>
      </c>
      <c r="E35" s="115" t="s">
        <v>1574</v>
      </c>
      <c r="F35" s="115" t="s">
        <v>304</v>
      </c>
      <c r="G35" s="131" t="s">
        <v>305</v>
      </c>
      <c r="H35" s="132" t="e">
        <f t="shared" ref="H35:H52" si="3">IF(LEFT(E35,6)/10^3="actifs",-1,1)/10^3</f>
        <v>#VALUE!</v>
      </c>
      <c r="I35" s="133" t="e">
        <f>_xll.GetCtData("COAMOUNT","CONSAMOUNT",$A$1:$A$8,$A35:$B35,,"#9161046,16372165")/10^3*$H35</f>
        <v>#VALUE!</v>
      </c>
      <c r="J35" s="133"/>
      <c r="K35" s="133"/>
      <c r="L35" s="133" t="e">
        <f t="shared" ref="L35:L46" si="4">SUM(I35:K35)/10^3</f>
        <v>#VALUE!</v>
      </c>
      <c r="M35" s="128"/>
      <c r="N35" s="133"/>
      <c r="O35" s="128"/>
      <c r="P35" s="133" t="e">
        <f t="shared" si="2"/>
        <v>#VALUE!</v>
      </c>
    </row>
    <row r="36" spans="1:17" hidden="1" outlineLevel="1">
      <c r="A36" s="115" t="s">
        <v>1575</v>
      </c>
      <c r="B36" s="115" t="s">
        <v>75</v>
      </c>
      <c r="C36" s="134" t="s">
        <v>1576</v>
      </c>
      <c r="E36" s="135" t="s">
        <v>1577</v>
      </c>
      <c r="F36" s="135" t="s">
        <v>304</v>
      </c>
      <c r="G36" s="131" t="s">
        <v>305</v>
      </c>
      <c r="H36" s="132" t="e">
        <f t="shared" si="3"/>
        <v>#VALUE!</v>
      </c>
      <c r="I36" s="133" t="e">
        <f>_xll.GetCtData("COAMOUNT","CONSAMOUNT",$A$1:$A$8,$A36:$B36,,"#5371234,43868318")/10^3*$H36</f>
        <v>#VALUE!</v>
      </c>
      <c r="J36" s="136"/>
      <c r="K36" s="136"/>
      <c r="L36" s="136" t="e">
        <f t="shared" si="4"/>
        <v>#VALUE!</v>
      </c>
      <c r="M36" s="128"/>
      <c r="N36" s="136"/>
      <c r="O36" s="128"/>
      <c r="P36" s="136" t="e">
        <f t="shared" si="2"/>
        <v>#VALUE!</v>
      </c>
    </row>
    <row r="37" spans="1:17" hidden="1" outlineLevel="1">
      <c r="A37" s="115" t="s">
        <v>1578</v>
      </c>
      <c r="B37" s="115" t="s">
        <v>75</v>
      </c>
      <c r="C37" s="134" t="s">
        <v>1579</v>
      </c>
      <c r="E37" s="135" t="s">
        <v>1580</v>
      </c>
      <c r="F37" s="135" t="s">
        <v>304</v>
      </c>
      <c r="G37" s="131" t="s">
        <v>305</v>
      </c>
      <c r="H37" s="132" t="e">
        <f t="shared" si="3"/>
        <v>#VALUE!</v>
      </c>
      <c r="I37" s="133" t="e">
        <f>_xll.GetCtData("COAMOUNT","CONSAMOUNT",$A$1:$A$8,$A37:$B37,,"#194577,221105845")/10^3*$H37</f>
        <v>#VALUE!</v>
      </c>
      <c r="J37" s="136"/>
      <c r="K37" s="136"/>
      <c r="L37" s="136" t="e">
        <f t="shared" si="4"/>
        <v>#VALUE!</v>
      </c>
      <c r="M37" s="128"/>
      <c r="N37" s="136"/>
      <c r="O37" s="128"/>
      <c r="P37" s="136" t="e">
        <f t="shared" si="2"/>
        <v>#VALUE!</v>
      </c>
    </row>
    <row r="38" spans="1:17" hidden="1" outlineLevel="1">
      <c r="A38" s="115" t="s">
        <v>1581</v>
      </c>
      <c r="B38" s="115" t="s">
        <v>75</v>
      </c>
      <c r="C38" s="134" t="s">
        <v>1582</v>
      </c>
      <c r="E38" s="135" t="s">
        <v>1583</v>
      </c>
      <c r="F38" s="135" t="s">
        <v>304</v>
      </c>
      <c r="G38" s="131" t="s">
        <v>305</v>
      </c>
      <c r="H38" s="132" t="e">
        <f t="shared" si="3"/>
        <v>#VALUE!</v>
      </c>
      <c r="I38" s="133" t="e">
        <f>_xll.GetCtData("COAMOUNT","CONSAMOUNT",$A$1:$A$8,$A38:$B38,,"#373892972,420493")/10^3*$H38</f>
        <v>#VALUE!</v>
      </c>
      <c r="J38" s="136"/>
      <c r="K38" s="136"/>
      <c r="L38" s="136" t="e">
        <f t="shared" si="4"/>
        <v>#VALUE!</v>
      </c>
      <c r="M38" s="128"/>
      <c r="N38" s="136"/>
      <c r="O38" s="128"/>
      <c r="P38" s="136" t="e">
        <f t="shared" si="2"/>
        <v>#VALUE!</v>
      </c>
    </row>
    <row r="39" spans="1:17" hidden="1" outlineLevel="1">
      <c r="A39" s="115" t="s">
        <v>1584</v>
      </c>
      <c r="B39" s="115" t="s">
        <v>75</v>
      </c>
      <c r="C39" s="134" t="s">
        <v>1585</v>
      </c>
      <c r="E39" s="135" t="s">
        <v>1586</v>
      </c>
      <c r="F39" s="135" t="s">
        <v>304</v>
      </c>
      <c r="G39" s="131" t="s">
        <v>305</v>
      </c>
      <c r="H39" s="132" t="e">
        <f t="shared" si="3"/>
        <v>#VALUE!</v>
      </c>
      <c r="I39" s="133" t="e">
        <f>_xll.GetCtData("COAMOUNT","CONSAMOUNT",$A$1:$A$8,$A39:$B39,,"#16223,6369764072")/10^3*$H39</f>
        <v>#VALUE!</v>
      </c>
      <c r="J39" s="136"/>
      <c r="K39" s="136"/>
      <c r="L39" s="136" t="e">
        <f t="shared" si="4"/>
        <v>#VALUE!</v>
      </c>
      <c r="M39" s="128"/>
      <c r="N39" s="136"/>
      <c r="O39" s="128"/>
      <c r="P39" s="136" t="e">
        <f t="shared" si="2"/>
        <v>#VALUE!</v>
      </c>
    </row>
    <row r="40" spans="1:17" hidden="1" outlineLevel="1">
      <c r="A40" s="115" t="s">
        <v>1587</v>
      </c>
      <c r="B40" s="115" t="s">
        <v>75</v>
      </c>
      <c r="C40" s="134" t="s">
        <v>1588</v>
      </c>
      <c r="E40" s="135" t="s">
        <v>1589</v>
      </c>
      <c r="F40" s="135" t="s">
        <v>304</v>
      </c>
      <c r="G40" s="131" t="s">
        <v>305</v>
      </c>
      <c r="H40" s="132" t="e">
        <f t="shared" si="3"/>
        <v>#VALUE!</v>
      </c>
      <c r="I40" s="133" t="e">
        <f>_xll.GetCtData("COAMOUNT","CONSAMOUNT",$A$1:$A$8,$A40:$B40,,"#-1751619,14865536")/10^3*$H40</f>
        <v>#VALUE!</v>
      </c>
      <c r="J40" s="136"/>
      <c r="K40" s="136"/>
      <c r="L40" s="136" t="e">
        <f t="shared" si="4"/>
        <v>#VALUE!</v>
      </c>
      <c r="M40" s="128"/>
      <c r="N40" s="136"/>
      <c r="O40" s="128"/>
      <c r="P40" s="136" t="e">
        <f t="shared" si="2"/>
        <v>#VALUE!</v>
      </c>
    </row>
    <row r="41" spans="1:17" hidden="1" outlineLevel="1">
      <c r="A41" s="115" t="s">
        <v>1590</v>
      </c>
      <c r="B41" s="115" t="s">
        <v>75</v>
      </c>
      <c r="C41" s="134" t="s">
        <v>1591</v>
      </c>
      <c r="E41" s="135" t="s">
        <v>1592</v>
      </c>
      <c r="F41" s="135" t="s">
        <v>304</v>
      </c>
      <c r="G41" s="131" t="s">
        <v>305</v>
      </c>
      <c r="H41" s="132" t="e">
        <f t="shared" si="3"/>
        <v>#VALUE!</v>
      </c>
      <c r="I41" s="133" t="e">
        <f>_xll.GetCtData("COAMOUNT","CONSAMOUNT",$A$1:$A$8,$A41:$B41,,"#41797")/10^3*$H41</f>
        <v>#VALUE!</v>
      </c>
      <c r="J41" s="136"/>
      <c r="K41" s="136"/>
      <c r="L41" s="136" t="e">
        <f t="shared" si="4"/>
        <v>#VALUE!</v>
      </c>
      <c r="M41" s="128"/>
      <c r="N41" s="136"/>
      <c r="O41" s="128"/>
      <c r="P41" s="136" t="e">
        <f t="shared" si="2"/>
        <v>#VALUE!</v>
      </c>
    </row>
    <row r="42" spans="1:17" hidden="1" outlineLevel="1">
      <c r="A42" s="115" t="s">
        <v>1593</v>
      </c>
      <c r="B42" s="115" t="s">
        <v>75</v>
      </c>
      <c r="C42" s="134" t="s">
        <v>1594</v>
      </c>
      <c r="E42" s="135" t="s">
        <v>1595</v>
      </c>
      <c r="F42" s="135" t="s">
        <v>304</v>
      </c>
      <c r="G42" s="131" t="s">
        <v>305</v>
      </c>
      <c r="H42" s="132" t="e">
        <f t="shared" si="3"/>
        <v>#VALUE!</v>
      </c>
      <c r="I42" s="133" t="e">
        <f>_xll.GetCtData("COAMOUNT","CONSAMOUNT",$A$1:$A$8,$A42:$B42,,"#-13952")/10^3*$H42</f>
        <v>#VALUE!</v>
      </c>
      <c r="J42" s="136"/>
      <c r="K42" s="136"/>
      <c r="L42" s="136" t="e">
        <f t="shared" si="4"/>
        <v>#VALUE!</v>
      </c>
      <c r="M42" s="128"/>
      <c r="N42" s="136"/>
      <c r="O42" s="128"/>
      <c r="P42" s="136" t="e">
        <f t="shared" si="2"/>
        <v>#VALUE!</v>
      </c>
    </row>
    <row r="43" spans="1:17" hidden="1" outlineLevel="1">
      <c r="A43" s="115" t="s">
        <v>1596</v>
      </c>
      <c r="B43" s="115" t="s">
        <v>75</v>
      </c>
      <c r="C43" s="134" t="s">
        <v>1597</v>
      </c>
      <c r="E43" s="135" t="s">
        <v>1598</v>
      </c>
      <c r="F43" s="135" t="s">
        <v>304</v>
      </c>
      <c r="G43" s="131" t="s">
        <v>305</v>
      </c>
      <c r="H43" s="132" t="e">
        <f t="shared" si="3"/>
        <v>#VALUE!</v>
      </c>
      <c r="I43" s="133" t="e">
        <f>_xll.GetCtData("COAMOUNT","CONSAMOUNT",$A$1:$A$8,$A43:$B43,,"#")/10^3*$H43</f>
        <v>#VALUE!</v>
      </c>
      <c r="J43" s="136"/>
      <c r="K43" s="136"/>
      <c r="L43" s="136" t="e">
        <f t="shared" si="4"/>
        <v>#VALUE!</v>
      </c>
      <c r="M43" s="128"/>
      <c r="N43" s="136"/>
      <c r="O43" s="128"/>
      <c r="P43" s="136" t="e">
        <f t="shared" si="2"/>
        <v>#VALUE!</v>
      </c>
    </row>
    <row r="44" spans="1:17" hidden="1" outlineLevel="1">
      <c r="A44" s="115" t="s">
        <v>1599</v>
      </c>
      <c r="B44" s="115" t="s">
        <v>75</v>
      </c>
      <c r="C44" s="134" t="s">
        <v>1600</v>
      </c>
      <c r="E44" s="135" t="s">
        <v>1601</v>
      </c>
      <c r="F44" s="135" t="s">
        <v>304</v>
      </c>
      <c r="G44" s="131" t="s">
        <v>305</v>
      </c>
      <c r="H44" s="132" t="e">
        <f t="shared" si="3"/>
        <v>#VALUE!</v>
      </c>
      <c r="I44" s="133" t="e">
        <f>_xll.GetCtData("COAMOUNT","CONSAMOUNT",$A$1:$A$8,$A44:$B44,,"#")/10^3*$H44</f>
        <v>#VALUE!</v>
      </c>
      <c r="J44" s="136"/>
      <c r="K44" s="136"/>
      <c r="L44" s="136" t="e">
        <f t="shared" si="4"/>
        <v>#VALUE!</v>
      </c>
      <c r="M44" s="128"/>
      <c r="N44" s="136"/>
      <c r="O44" s="128"/>
      <c r="P44" s="136" t="e">
        <f t="shared" si="2"/>
        <v>#VALUE!</v>
      </c>
    </row>
    <row r="45" spans="1:17" hidden="1" outlineLevel="1">
      <c r="A45" s="115" t="s">
        <v>1602</v>
      </c>
      <c r="B45" s="115" t="s">
        <v>75</v>
      </c>
      <c r="C45" s="134" t="s">
        <v>1603</v>
      </c>
      <c r="E45" s="135" t="s">
        <v>1604</v>
      </c>
      <c r="F45" s="135" t="s">
        <v>304</v>
      </c>
      <c r="G45" s="131" t="s">
        <v>305</v>
      </c>
      <c r="H45" s="132" t="e">
        <f t="shared" si="3"/>
        <v>#VALUE!</v>
      </c>
      <c r="I45" s="133" t="e">
        <f>_xll.GetCtData("COAMOUNT","CONSAMOUNT",$A$1:$A$8,$A45:$B45,,"#100606,305351738")/10^3*$H45</f>
        <v>#VALUE!</v>
      </c>
      <c r="J45" s="136"/>
      <c r="K45" s="136"/>
      <c r="L45" s="136" t="e">
        <f t="shared" si="4"/>
        <v>#VALUE!</v>
      </c>
      <c r="M45" s="128"/>
      <c r="N45" s="136"/>
      <c r="O45" s="128"/>
      <c r="P45" s="136" t="e">
        <f t="shared" si="2"/>
        <v>#VALUE!</v>
      </c>
    </row>
    <row r="46" spans="1:17" hidden="1" outlineLevel="1">
      <c r="A46" s="115" t="s">
        <v>1605</v>
      </c>
      <c r="B46" s="115" t="s">
        <v>75</v>
      </c>
      <c r="C46" s="134" t="s">
        <v>1606</v>
      </c>
      <c r="E46" s="135" t="s">
        <v>1607</v>
      </c>
      <c r="F46" s="135" t="s">
        <v>304</v>
      </c>
      <c r="G46" s="131" t="s">
        <v>305</v>
      </c>
      <c r="H46" s="132" t="e">
        <f t="shared" si="3"/>
        <v>#VALUE!</v>
      </c>
      <c r="I46" s="133" t="e">
        <f>_xll.GetCtData("COAMOUNT","CONSAMOUNT",$A$1:$A$8,$A46:$B46,,"#368321")/10^3*$H46</f>
        <v>#VALUE!</v>
      </c>
      <c r="J46" s="136"/>
      <c r="K46" s="136"/>
      <c r="L46" s="136" t="e">
        <f t="shared" si="4"/>
        <v>#VALUE!</v>
      </c>
      <c r="M46" s="128"/>
      <c r="N46" s="136"/>
      <c r="O46" s="128"/>
      <c r="P46" s="136" t="e">
        <f t="shared" si="2"/>
        <v>#VALUE!</v>
      </c>
    </row>
    <row r="47" spans="1:17" hidden="1" outlineLevel="1">
      <c r="A47" s="115" t="s">
        <v>1608</v>
      </c>
      <c r="B47" s="115" t="s">
        <v>75</v>
      </c>
      <c r="C47" s="134" t="s">
        <v>1609</v>
      </c>
      <c r="E47" s="135" t="s">
        <v>1610</v>
      </c>
      <c r="F47" s="135" t="s">
        <v>304</v>
      </c>
      <c r="G47" s="131" t="s">
        <v>305</v>
      </c>
      <c r="H47" s="132" t="e">
        <f t="shared" si="3"/>
        <v>#VALUE!</v>
      </c>
      <c r="I47" s="136"/>
      <c r="J47" s="133" t="e">
        <f>_xll.GetCtData("COAMOUNT","CONSAMOUNT",$A$1:$A$8,$A47:$B47,,"#662917,088614132")/10^3*$H47</f>
        <v>#VALUE!</v>
      </c>
      <c r="K47" s="136"/>
      <c r="L47" s="136" t="e">
        <f>SUM(J47:K47)/10^3</f>
        <v>#VALUE!</v>
      </c>
      <c r="M47" s="128"/>
      <c r="N47" s="136"/>
      <c r="O47" s="128"/>
      <c r="P47" s="136" t="e">
        <f t="shared" si="2"/>
        <v>#VALUE!</v>
      </c>
    </row>
    <row r="48" spans="1:17" hidden="1" outlineLevel="1">
      <c r="A48" s="115" t="s">
        <v>1611</v>
      </c>
      <c r="B48" s="115" t="s">
        <v>75</v>
      </c>
      <c r="C48" s="134" t="s">
        <v>1612</v>
      </c>
      <c r="E48" s="135" t="s">
        <v>1613</v>
      </c>
      <c r="F48" s="135" t="s">
        <v>304</v>
      </c>
      <c r="G48" s="131" t="s">
        <v>305</v>
      </c>
      <c r="H48" s="132" t="e">
        <f t="shared" si="3"/>
        <v>#VALUE!</v>
      </c>
      <c r="I48" s="136"/>
      <c r="J48" s="133" t="e">
        <f>_xll.GetCtData("COAMOUNT","CONSAMOUNT",$A$1:$A$8,$A48:$B48,,"#58484,381816453")/10^3*$H48</f>
        <v>#VALUE!</v>
      </c>
      <c r="K48" s="136"/>
      <c r="L48" s="136" t="e">
        <f>SUM(J48:K48)/10^3</f>
        <v>#VALUE!</v>
      </c>
      <c r="M48" s="128"/>
      <c r="N48" s="136"/>
      <c r="O48" s="128"/>
      <c r="P48" s="136" t="e">
        <f t="shared" si="2"/>
        <v>#VALUE!</v>
      </c>
    </row>
    <row r="49" spans="1:17" hidden="1" outlineLevel="1">
      <c r="A49" s="115" t="s">
        <v>1614</v>
      </c>
      <c r="B49" s="115" t="s">
        <v>75</v>
      </c>
      <c r="C49" s="134" t="s">
        <v>1615</v>
      </c>
      <c r="E49" s="135" t="s">
        <v>1616</v>
      </c>
      <c r="F49" s="135" t="s">
        <v>304</v>
      </c>
      <c r="G49" s="131" t="s">
        <v>305</v>
      </c>
      <c r="H49" s="132" t="e">
        <f t="shared" si="3"/>
        <v>#VALUE!</v>
      </c>
      <c r="I49" s="136"/>
      <c r="J49" s="133" t="e">
        <f>_xll.GetCtData("COAMOUNT","CONSAMOUNT",$A$1:$A$8,$A49:$B49,,"#830348,511440703")/10^3*$H49</f>
        <v>#VALUE!</v>
      </c>
      <c r="K49" s="136"/>
      <c r="L49" s="136" t="e">
        <f>SUM(J49:K49)/10^3</f>
        <v>#VALUE!</v>
      </c>
      <c r="M49" s="128"/>
      <c r="N49" s="136"/>
      <c r="O49" s="128"/>
      <c r="P49" s="136" t="e">
        <f t="shared" si="2"/>
        <v>#VALUE!</v>
      </c>
    </row>
    <row r="50" spans="1:17" hidden="1" outlineLevel="1">
      <c r="A50" s="115" t="s">
        <v>1617</v>
      </c>
      <c r="B50" s="115" t="s">
        <v>75</v>
      </c>
      <c r="C50" s="134" t="s">
        <v>1618</v>
      </c>
      <c r="E50" s="135" t="s">
        <v>1619</v>
      </c>
      <c r="F50" s="135" t="s">
        <v>304</v>
      </c>
      <c r="G50" s="131" t="s">
        <v>305</v>
      </c>
      <c r="H50" s="132" t="e">
        <f t="shared" si="3"/>
        <v>#VALUE!</v>
      </c>
      <c r="I50" s="136"/>
      <c r="J50" s="133" t="e">
        <f>_xll.GetCtData("COAMOUNT","CONSAMOUNT",$A$1:$A$8,$A50:$B50,,"#15,2137050125988")/10^3*$H50</f>
        <v>#VALUE!</v>
      </c>
      <c r="K50" s="136"/>
      <c r="L50" s="136" t="e">
        <f>SUM(J50:K50)/10^3</f>
        <v>#VALUE!</v>
      </c>
      <c r="M50" s="128"/>
      <c r="N50" s="136"/>
      <c r="O50" s="128"/>
      <c r="P50" s="136" t="e">
        <f t="shared" si="2"/>
        <v>#VALUE!</v>
      </c>
    </row>
    <row r="51" spans="1:17" hidden="1" outlineLevel="1">
      <c r="A51" s="115" t="s">
        <v>1620</v>
      </c>
      <c r="B51" s="115" t="s">
        <v>75</v>
      </c>
      <c r="C51" s="134" t="s">
        <v>1621</v>
      </c>
      <c r="E51" s="135" t="s">
        <v>1622</v>
      </c>
      <c r="F51" s="135" t="s">
        <v>304</v>
      </c>
      <c r="G51" s="131" t="s">
        <v>305</v>
      </c>
      <c r="H51" s="132" t="e">
        <f t="shared" si="3"/>
        <v>#VALUE!</v>
      </c>
      <c r="I51" s="136"/>
      <c r="J51" s="136"/>
      <c r="K51" s="133" t="e">
        <f>_xll.GetCtData("COAMOUNT","CONSAMOUNT",$A$1:$A$8,$A51:$B51,,"#3519412,62196299")/10^3*$H51</f>
        <v>#VALUE!</v>
      </c>
      <c r="L51" s="136" t="e">
        <f>SUM(I51:K51)/10^3</f>
        <v>#VALUE!</v>
      </c>
      <c r="M51" s="128"/>
      <c r="N51" s="136"/>
      <c r="O51" s="128"/>
      <c r="P51" s="136" t="e">
        <f t="shared" si="2"/>
        <v>#VALUE!</v>
      </c>
    </row>
    <row r="52" spans="1:17" hidden="1" outlineLevel="1">
      <c r="A52" s="115" t="s">
        <v>1623</v>
      </c>
      <c r="B52" s="115" t="s">
        <v>75</v>
      </c>
      <c r="C52" s="134" t="s">
        <v>1624</v>
      </c>
      <c r="E52" s="135" t="s">
        <v>1625</v>
      </c>
      <c r="F52" s="135" t="s">
        <v>304</v>
      </c>
      <c r="G52" s="131" t="s">
        <v>305</v>
      </c>
      <c r="H52" s="132" t="e">
        <f t="shared" si="3"/>
        <v>#VALUE!</v>
      </c>
      <c r="I52" s="136"/>
      <c r="J52" s="136"/>
      <c r="K52" s="133" t="e">
        <f>_xll.GetCtData("COAMOUNT","CONSAMOUNT",$A$1:$A$8,$A52:$B52,,"#14700825,7240207")/10^3*$H52</f>
        <v>#VALUE!</v>
      </c>
      <c r="L52" s="136" t="e">
        <f>SUM(I52:K52)/10^3</f>
        <v>#VALUE!</v>
      </c>
      <c r="M52" s="128"/>
      <c r="N52" s="136"/>
      <c r="O52" s="128"/>
      <c r="P52" s="136" t="e">
        <f t="shared" si="2"/>
        <v>#VALUE!</v>
      </c>
    </row>
    <row r="53" spans="1:17" hidden="1" outlineLevel="1">
      <c r="C53" s="134"/>
      <c r="E53" s="137" t="s">
        <v>1570</v>
      </c>
      <c r="F53" s="137"/>
      <c r="G53" s="137"/>
      <c r="H53" s="137"/>
      <c r="I53" s="138" t="e">
        <f>SUM(I35:I52)/10^3-I34</f>
        <v>#VALUE!</v>
      </c>
      <c r="J53" s="138" t="e">
        <f>SUM(J35:J52)/10^3-J34</f>
        <v>#VALUE!</v>
      </c>
      <c r="K53" s="138" t="e">
        <f>SUM(K35:K52)/10^3-K34</f>
        <v>#VALUE!</v>
      </c>
      <c r="L53" s="138" t="e">
        <f>SUM(L35:L52)/10^3-L34</f>
        <v>#VALUE!</v>
      </c>
      <c r="M53" s="128"/>
      <c r="N53" s="138"/>
      <c r="O53" s="128"/>
      <c r="P53" s="138" t="e">
        <f t="shared" si="2"/>
        <v>#VALUE!</v>
      </c>
    </row>
    <row r="54" spans="1:17" ht="12" collapsed="1" thickBot="1">
      <c r="A54" s="115" t="s">
        <v>75</v>
      </c>
      <c r="C54" s="123"/>
      <c r="D54" s="124"/>
      <c r="E54" s="14" t="s">
        <v>118</v>
      </c>
      <c r="F54" s="14"/>
      <c r="G54" s="20"/>
      <c r="H54" s="20"/>
      <c r="I54" s="139">
        <f>_xll.GetCtData("COAMOUNT","CONSAMOUNT",$A$1:$A$8,$A54,I$10,"#386914523,084068")/10^3</f>
        <v>386914.52308406797</v>
      </c>
      <c r="J54" s="139">
        <f>_xll.GetCtData("COAMOUNT","CONSAMOUNT",$A$1:$A$8,$A54,J$10,"#1568910,99228317")/10^3</f>
        <v>1568.9109922831701</v>
      </c>
      <c r="K54" s="139">
        <f>_xll.GetCtData("COAMOUNT","CONSAMOUNT",$A$1:$A$8,$A54,K$10,"#18304115,3731465")/10^3</f>
        <v>18304.115373146502</v>
      </c>
      <c r="L54" s="139">
        <f>_xll.GetCtData("COAMOUNT","CONSAMOUNT",$A$1:$A$8,$A54,L$10,"#406787549,449497")/10^3</f>
        <v>406787.54944949696</v>
      </c>
      <c r="M54" s="128"/>
      <c r="N54" s="139">
        <f>N14+N34</f>
        <v>894343</v>
      </c>
      <c r="O54" s="128"/>
      <c r="P54" s="139">
        <f t="shared" si="2"/>
        <v>1301130.5494494969</v>
      </c>
      <c r="Q54" s="129">
        <v>406380883.74157143</v>
      </c>
    </row>
    <row r="55" spans="1:17" s="140" customFormat="1" ht="12" hidden="1" outlineLevel="1" thickBot="1">
      <c r="A55" s="140" t="s">
        <v>1100</v>
      </c>
      <c r="C55" s="141" t="s">
        <v>1626</v>
      </c>
      <c r="D55" s="142"/>
      <c r="E55" s="125" t="s">
        <v>119</v>
      </c>
      <c r="F55" s="126"/>
      <c r="G55" s="126"/>
      <c r="H55" s="126"/>
      <c r="I55" s="127">
        <f>_xll.GetCtData("COAMOUNT","CONSAMOUNT",$A$1:$A$8,$A55,I$10,"#-4917476,06374083")/10^3</f>
        <v>-4917.4760637408299</v>
      </c>
      <c r="J55" s="127">
        <f>_xll.GetCtData("COAMOUNT","CONSAMOUNT",$A$1:$A$8,$A55,J$10,"#504271,983897762")/10^3</f>
        <v>504.27198389776203</v>
      </c>
      <c r="K55" s="127">
        <f>_xll.GetCtData("COAMOUNT","CONSAMOUNT",$A$1:$A$8,$A55,K$10,"#4458104,29614517")/10^3</f>
        <v>4458.1042961451703</v>
      </c>
      <c r="L55" s="127">
        <f>_xll.GetCtData("COAMOUNT","CONSAMOUNT",$A$1:$A$8,$A55,L$10,"#44900,2163021043")/10^3</f>
        <v>44.900216302104305</v>
      </c>
      <c r="M55" s="143"/>
      <c r="N55" s="127"/>
      <c r="O55" s="143"/>
      <c r="P55" s="127">
        <f t="shared" si="2"/>
        <v>44.900216302104305</v>
      </c>
      <c r="Q55" s="144"/>
    </row>
    <row r="56" spans="1:17" ht="12" hidden="1" outlineLevel="1" thickBot="1">
      <c r="A56" s="115" t="s">
        <v>1101</v>
      </c>
      <c r="C56" s="117" t="s">
        <v>1627</v>
      </c>
      <c r="E56" s="145" t="s">
        <v>120</v>
      </c>
      <c r="F56" s="146"/>
      <c r="G56" s="146"/>
      <c r="H56" s="146"/>
      <c r="I56" s="147">
        <f>_xll.GetCtData("COAMOUNT","CONSAMOUNT",$A$1:$A$8,$A56,I$10,"#-3357419,79837964")/10^3</f>
        <v>-3357.4197983796403</v>
      </c>
      <c r="J56" s="147">
        <f>_xll.GetCtData("COAMOUNT","CONSAMOUNT",$A$1:$A$8,$A56,J$10,"#316806,276662187")/10^3</f>
        <v>316.80627666218703</v>
      </c>
      <c r="K56" s="147">
        <f>_xll.GetCtData("COAMOUNT","CONSAMOUNT",$A$1:$A$8,$A56,K$10,"#3029243,7851082")/10^3</f>
        <v>3029.2437851082</v>
      </c>
      <c r="L56" s="147">
        <f>_xll.GetCtData("COAMOUNT","CONSAMOUNT",$A$1:$A$8,$A56,L$10,"#-11369,736609257")/10^3</f>
        <v>-11.369736609257</v>
      </c>
      <c r="M56" s="128"/>
      <c r="N56" s="147"/>
      <c r="O56" s="128"/>
      <c r="P56" s="147">
        <f t="shared" si="2"/>
        <v>-11.369736609257</v>
      </c>
    </row>
    <row r="57" spans="1:17" ht="12" hidden="1" outlineLevel="1" thickBot="1">
      <c r="A57" s="115" t="s">
        <v>1102</v>
      </c>
      <c r="C57" s="117" t="s">
        <v>1628</v>
      </c>
      <c r="E57" s="145" t="s">
        <v>121</v>
      </c>
      <c r="F57" s="146"/>
      <c r="G57" s="146"/>
      <c r="H57" s="146"/>
      <c r="I57" s="147">
        <f>_xll.GetCtData("COAMOUNT","CONSAMOUNT",$A$1:$A$8,$A57,I$10,"#20851")/10^3</f>
        <v>20.850999999999999</v>
      </c>
      <c r="J57" s="147">
        <f>_xll.GetCtData("COAMOUNT","CONSAMOUNT",$A$1:$A$8,$A57,J$10,"#13496")/10^3</f>
        <v>13.496</v>
      </c>
      <c r="K57" s="147">
        <f>_xll.GetCtData("COAMOUNT","CONSAMOUNT",$A$1:$A$8,$A57,K$10,"#")/10^3</f>
        <v>0</v>
      </c>
      <c r="L57" s="147">
        <f>_xll.GetCtData("COAMOUNT","CONSAMOUNT",$A$1:$A$8,$A57,L$10,"#34347")/10^3</f>
        <v>34.347000000000001</v>
      </c>
      <c r="M57" s="128"/>
      <c r="N57" s="147"/>
      <c r="O57" s="128"/>
      <c r="P57" s="147">
        <f t="shared" si="2"/>
        <v>34.347000000000001</v>
      </c>
    </row>
    <row r="58" spans="1:17" ht="12" hidden="1" outlineLevel="2" thickBot="1">
      <c r="A58" s="115" t="s">
        <v>1572</v>
      </c>
      <c r="B58" s="115" t="s">
        <v>1629</v>
      </c>
      <c r="C58" s="148" t="s">
        <v>1573</v>
      </c>
      <c r="E58" s="149" t="s">
        <v>1574</v>
      </c>
      <c r="F58" s="149" t="s">
        <v>1630</v>
      </c>
      <c r="G58" s="149" t="s">
        <v>1631</v>
      </c>
      <c r="H58" s="150" t="e">
        <f t="shared" ref="H58:H73" si="5">IF(LEFT(E58,6)/10^3="actifs",-1,1)/10^3</f>
        <v>#VALUE!</v>
      </c>
      <c r="I58" s="151" t="e">
        <f>_xll.GetCtData("COAMOUNT","CONSAMOUNT",$A$1:$A$8,$A58:$B58,,"#391784,676726156")/10^3*$H58</f>
        <v>#VALUE!</v>
      </c>
      <c r="J58" s="151"/>
      <c r="K58" s="151"/>
      <c r="L58" s="151" t="e">
        <f t="shared" ref="L58:L73" si="6">SUM(I58:K58)/10^3</f>
        <v>#VALUE!</v>
      </c>
      <c r="M58" s="128"/>
      <c r="N58" s="151"/>
      <c r="O58" s="128"/>
      <c r="P58" s="151" t="e">
        <f t="shared" si="2"/>
        <v>#VALUE!</v>
      </c>
    </row>
    <row r="59" spans="1:17" ht="12" hidden="1" outlineLevel="2" thickBot="1">
      <c r="A59" s="115" t="s">
        <v>1581</v>
      </c>
      <c r="B59" s="115" t="s">
        <v>1629</v>
      </c>
      <c r="C59" s="134" t="s">
        <v>1582</v>
      </c>
      <c r="E59" s="135" t="s">
        <v>1583</v>
      </c>
      <c r="F59" s="135" t="s">
        <v>1630</v>
      </c>
      <c r="G59" s="131" t="s">
        <v>1631</v>
      </c>
      <c r="H59" s="132" t="e">
        <f t="shared" si="5"/>
        <v>#VALUE!</v>
      </c>
      <c r="I59" s="133" t="e">
        <f>_xll.GetCtData("COAMOUNT","CONSAMOUNT",$A$1:$A$8,$A59:$B59,,"#-3821525,62968614")/10^3*$H59</f>
        <v>#VALUE!</v>
      </c>
      <c r="J59" s="136"/>
      <c r="K59" s="136"/>
      <c r="L59" s="136" t="e">
        <f t="shared" si="6"/>
        <v>#VALUE!</v>
      </c>
      <c r="M59" s="128"/>
      <c r="N59" s="136"/>
      <c r="O59" s="128"/>
      <c r="P59" s="136" t="e">
        <f t="shared" si="2"/>
        <v>#VALUE!</v>
      </c>
    </row>
    <row r="60" spans="1:17" ht="12" hidden="1" outlineLevel="2" thickBot="1">
      <c r="A60" s="115" t="s">
        <v>1516</v>
      </c>
      <c r="B60" s="115" t="s">
        <v>1629</v>
      </c>
      <c r="C60" s="134" t="s">
        <v>1517</v>
      </c>
      <c r="E60" s="135" t="s">
        <v>1518</v>
      </c>
      <c r="F60" s="135" t="s">
        <v>1630</v>
      </c>
      <c r="G60" s="131" t="s">
        <v>1631</v>
      </c>
      <c r="H60" s="132" t="e">
        <f t="shared" si="5"/>
        <v>#VALUE!</v>
      </c>
      <c r="I60" s="133" t="e">
        <f>_xll.GetCtData("COAMOUNT","CONSAMOUNT",$A$1:$A$8,$A60:$B60,,"#116441,845419654")/10^3*$H60</f>
        <v>#VALUE!</v>
      </c>
      <c r="J60" s="136"/>
      <c r="K60" s="136"/>
      <c r="L60" s="136" t="e">
        <f t="shared" si="6"/>
        <v>#VALUE!</v>
      </c>
      <c r="M60" s="128"/>
      <c r="N60" s="136"/>
      <c r="O60" s="128"/>
      <c r="P60" s="136" t="e">
        <f t="shared" si="2"/>
        <v>#VALUE!</v>
      </c>
    </row>
    <row r="61" spans="1:17" ht="12" hidden="1" outlineLevel="2" thickBot="1">
      <c r="A61" s="115" t="s">
        <v>1525</v>
      </c>
      <c r="B61" s="115" t="s">
        <v>1629</v>
      </c>
      <c r="C61" s="134" t="s">
        <v>1526</v>
      </c>
      <c r="E61" s="135" t="s">
        <v>1527</v>
      </c>
      <c r="F61" s="135" t="s">
        <v>1630</v>
      </c>
      <c r="G61" s="131" t="s">
        <v>1631</v>
      </c>
      <c r="H61" s="132" t="e">
        <f t="shared" si="5"/>
        <v>#VALUE!</v>
      </c>
      <c r="I61" s="133" t="e">
        <f>_xll.GetCtData("COAMOUNT","CONSAMOUNT",$A$1:$A$8,$A61:$B61,,"#11")/10^3*$H61</f>
        <v>#VALUE!</v>
      </c>
      <c r="J61" s="136"/>
      <c r="K61" s="136"/>
      <c r="L61" s="136" t="e">
        <f t="shared" si="6"/>
        <v>#VALUE!</v>
      </c>
      <c r="M61" s="128"/>
      <c r="N61" s="136"/>
      <c r="O61" s="128"/>
      <c r="P61" s="136" t="e">
        <f t="shared" si="2"/>
        <v>#VALUE!</v>
      </c>
    </row>
    <row r="62" spans="1:17" ht="12" hidden="1" outlineLevel="2" thickBot="1">
      <c r="A62" s="115" t="s">
        <v>1590</v>
      </c>
      <c r="B62" s="115" t="s">
        <v>1629</v>
      </c>
      <c r="C62" s="134" t="s">
        <v>1591</v>
      </c>
      <c r="E62" s="135" t="s">
        <v>1592</v>
      </c>
      <c r="F62" s="135" t="s">
        <v>1630</v>
      </c>
      <c r="G62" s="131" t="s">
        <v>1631</v>
      </c>
      <c r="H62" s="132" t="e">
        <f t="shared" si="5"/>
        <v>#VALUE!</v>
      </c>
      <c r="I62" s="133" t="e">
        <f>_xll.GetCtData("COAMOUNT","CONSAMOUNT",$A$1:$A$8,$A62:$B62,,"#7649")/10^3*$H62</f>
        <v>#VALUE!</v>
      </c>
      <c r="J62" s="136"/>
      <c r="K62" s="136"/>
      <c r="L62" s="136" t="e">
        <f t="shared" si="6"/>
        <v>#VALUE!</v>
      </c>
      <c r="M62" s="128"/>
      <c r="N62" s="136"/>
      <c r="O62" s="128"/>
      <c r="P62" s="136" t="e">
        <f t="shared" si="2"/>
        <v>#VALUE!</v>
      </c>
    </row>
    <row r="63" spans="1:17" ht="12" hidden="1" outlineLevel="2" thickBot="1">
      <c r="A63" s="115" t="s">
        <v>1593</v>
      </c>
      <c r="B63" s="115" t="s">
        <v>1629</v>
      </c>
      <c r="C63" s="134" t="s">
        <v>1594</v>
      </c>
      <c r="E63" s="135" t="s">
        <v>1595</v>
      </c>
      <c r="F63" s="135" t="s">
        <v>1630</v>
      </c>
      <c r="G63" s="131" t="s">
        <v>1631</v>
      </c>
      <c r="H63" s="132" t="e">
        <f t="shared" si="5"/>
        <v>#VALUE!</v>
      </c>
      <c r="I63" s="133" t="e">
        <f>_xll.GetCtData("COAMOUNT","CONSAMOUNT",$A$1:$A$8,$A63:$B63,,"#-14023")/10^3*$H63</f>
        <v>#VALUE!</v>
      </c>
      <c r="J63" s="136"/>
      <c r="K63" s="136"/>
      <c r="L63" s="136" t="e">
        <f t="shared" si="6"/>
        <v>#VALUE!</v>
      </c>
      <c r="M63" s="128"/>
      <c r="N63" s="136"/>
      <c r="O63" s="128"/>
      <c r="P63" s="136" t="e">
        <f t="shared" si="2"/>
        <v>#VALUE!</v>
      </c>
    </row>
    <row r="64" spans="1:17" ht="12" hidden="1" outlineLevel="2" thickBot="1">
      <c r="A64" s="115" t="s">
        <v>1534</v>
      </c>
      <c r="B64" s="115" t="s">
        <v>1629</v>
      </c>
      <c r="C64" s="134" t="s">
        <v>1535</v>
      </c>
      <c r="E64" s="135" t="s">
        <v>1536</v>
      </c>
      <c r="F64" s="135" t="s">
        <v>1630</v>
      </c>
      <c r="G64" s="131" t="s">
        <v>1631</v>
      </c>
      <c r="H64" s="132" t="e">
        <f t="shared" si="5"/>
        <v>#VALUE!</v>
      </c>
      <c r="I64" s="133" t="e">
        <f>_xll.GetCtData("COAMOUNT","CONSAMOUNT",$A$1:$A$8,$A64:$B64,,"#")/10^3*$H64</f>
        <v>#VALUE!</v>
      </c>
      <c r="J64" s="136"/>
      <c r="K64" s="136"/>
      <c r="L64" s="136" t="e">
        <f t="shared" si="6"/>
        <v>#VALUE!</v>
      </c>
      <c r="M64" s="128"/>
      <c r="N64" s="136"/>
      <c r="O64" s="128"/>
      <c r="P64" s="136" t="e">
        <f t="shared" si="2"/>
        <v>#VALUE!</v>
      </c>
    </row>
    <row r="65" spans="1:16" ht="12" hidden="1" outlineLevel="2" thickBot="1">
      <c r="A65" s="115" t="s">
        <v>1537</v>
      </c>
      <c r="B65" s="115" t="s">
        <v>1629</v>
      </c>
      <c r="C65" s="134" t="s">
        <v>1538</v>
      </c>
      <c r="E65" s="135" t="s">
        <v>1539</v>
      </c>
      <c r="F65" s="135" t="s">
        <v>1630</v>
      </c>
      <c r="G65" s="131" t="s">
        <v>1631</v>
      </c>
      <c r="H65" s="132" t="e">
        <f t="shared" si="5"/>
        <v>#VALUE!</v>
      </c>
      <c r="I65" s="133" t="e">
        <f>_xll.GetCtData("COAMOUNT","CONSAMOUNT",$A$1:$A$8,$A65:$B65,,"#")/10^3*$H65</f>
        <v>#VALUE!</v>
      </c>
      <c r="J65" s="136"/>
      <c r="K65" s="136"/>
      <c r="L65" s="136" t="e">
        <f t="shared" si="6"/>
        <v>#VALUE!</v>
      </c>
      <c r="M65" s="128"/>
      <c r="N65" s="136"/>
      <c r="O65" s="128"/>
      <c r="P65" s="136" t="e">
        <f t="shared" si="2"/>
        <v>#VALUE!</v>
      </c>
    </row>
    <row r="66" spans="1:16" ht="12" hidden="1" outlineLevel="2" thickBot="1">
      <c r="A66" s="115" t="s">
        <v>1608</v>
      </c>
      <c r="B66" s="115" t="s">
        <v>1629</v>
      </c>
      <c r="C66" s="134" t="s">
        <v>1609</v>
      </c>
      <c r="E66" s="135" t="s">
        <v>1610</v>
      </c>
      <c r="F66" s="135" t="s">
        <v>1630</v>
      </c>
      <c r="G66" s="131" t="s">
        <v>1631</v>
      </c>
      <c r="H66" s="132" t="e">
        <f t="shared" si="5"/>
        <v>#VALUE!</v>
      </c>
      <c r="I66" s="136"/>
      <c r="J66" s="133" t="e">
        <f>_xll.GetCtData("COAMOUNT","CONSAMOUNT",$A$1:$A$8,$A66:$B66,,"#59835,935401267")/10^3*$H66</f>
        <v>#VALUE!</v>
      </c>
      <c r="K66" s="136"/>
      <c r="L66" s="136" t="e">
        <f t="shared" si="6"/>
        <v>#VALUE!</v>
      </c>
      <c r="M66" s="128"/>
      <c r="N66" s="136"/>
      <c r="O66" s="128"/>
      <c r="P66" s="136" t="e">
        <f t="shared" si="2"/>
        <v>#VALUE!</v>
      </c>
    </row>
    <row r="67" spans="1:16" ht="12" hidden="1" outlineLevel="2" thickBot="1">
      <c r="A67" s="115" t="s">
        <v>1614</v>
      </c>
      <c r="B67" s="115" t="s">
        <v>1629</v>
      </c>
      <c r="C67" s="134" t="s">
        <v>1615</v>
      </c>
      <c r="E67" s="135" t="s">
        <v>1616</v>
      </c>
      <c r="F67" s="135" t="s">
        <v>1630</v>
      </c>
      <c r="G67" s="131" t="s">
        <v>1631</v>
      </c>
      <c r="H67" s="132" t="e">
        <f t="shared" si="5"/>
        <v>#VALUE!</v>
      </c>
      <c r="I67" s="136"/>
      <c r="J67" s="133" t="e">
        <f>_xll.GetCtData("COAMOUNT","CONSAMOUNT",$A$1:$A$8,$A67:$B67,,"#268581,555821145")/10^3*$H67</f>
        <v>#VALUE!</v>
      </c>
      <c r="K67" s="136"/>
      <c r="L67" s="136" t="e">
        <f t="shared" si="6"/>
        <v>#VALUE!</v>
      </c>
      <c r="M67" s="128"/>
      <c r="N67" s="136"/>
      <c r="O67" s="128"/>
      <c r="P67" s="136" t="e">
        <f t="shared" si="2"/>
        <v>#VALUE!</v>
      </c>
    </row>
    <row r="68" spans="1:16" ht="12" hidden="1" outlineLevel="2" thickBot="1">
      <c r="A68" s="115" t="s">
        <v>1552</v>
      </c>
      <c r="B68" s="115" t="s">
        <v>1629</v>
      </c>
      <c r="C68" s="134" t="s">
        <v>1553</v>
      </c>
      <c r="E68" s="135" t="s">
        <v>1554</v>
      </c>
      <c r="F68" s="135" t="s">
        <v>1630</v>
      </c>
      <c r="G68" s="131" t="s">
        <v>1631</v>
      </c>
      <c r="H68" s="132" t="e">
        <f t="shared" si="5"/>
        <v>#VALUE!</v>
      </c>
      <c r="I68" s="136"/>
      <c r="J68" s="133" t="e">
        <f>_xll.GetCtData("COAMOUNT","CONSAMOUNT",$A$1:$A$8,$A68:$B68,,"#-1883,78543977436")/10^3*$H68</f>
        <v>#VALUE!</v>
      </c>
      <c r="K68" s="136"/>
      <c r="L68" s="136" t="e">
        <f t="shared" si="6"/>
        <v>#VALUE!</v>
      </c>
      <c r="M68" s="128"/>
      <c r="N68" s="136"/>
      <c r="O68" s="128"/>
      <c r="P68" s="136" t="e">
        <f t="shared" si="2"/>
        <v>#VALUE!</v>
      </c>
    </row>
    <row r="69" spans="1:16" ht="12" hidden="1" outlineLevel="2" thickBot="1">
      <c r="A69" s="115" t="s">
        <v>1558</v>
      </c>
      <c r="B69" s="115" t="s">
        <v>1629</v>
      </c>
      <c r="C69" s="134" t="s">
        <v>1559</v>
      </c>
      <c r="E69" s="135" t="s">
        <v>1560</v>
      </c>
      <c r="F69" s="135" t="s">
        <v>1630</v>
      </c>
      <c r="G69" s="131" t="s">
        <v>1631</v>
      </c>
      <c r="H69" s="132" t="e">
        <f t="shared" si="5"/>
        <v>#VALUE!</v>
      </c>
      <c r="I69" s="136"/>
      <c r="J69" s="133" t="e">
        <f>_xll.GetCtData("COAMOUNT","CONSAMOUNT",$A$1:$A$8,$A69:$B69,,"#")/10^3*$H69</f>
        <v>#VALUE!</v>
      </c>
      <c r="K69" s="133" t="e">
        <f>_xll.GetCtData("COAMOUNT","CONSAMOUNT",$A$1:$A$8,$A69:$B69,,"#")/10^3*$H69</f>
        <v>#VALUE!</v>
      </c>
      <c r="L69" s="136" t="e">
        <f t="shared" si="6"/>
        <v>#VALUE!</v>
      </c>
      <c r="M69" s="128"/>
      <c r="N69" s="136"/>
      <c r="O69" s="128"/>
      <c r="P69" s="136" t="e">
        <f t="shared" si="2"/>
        <v>#VALUE!</v>
      </c>
    </row>
    <row r="70" spans="1:16" ht="12" hidden="1" outlineLevel="2" thickBot="1">
      <c r="A70" s="115" t="s">
        <v>1620</v>
      </c>
      <c r="B70" s="115" t="s">
        <v>1629</v>
      </c>
      <c r="C70" s="134" t="s">
        <v>1621</v>
      </c>
      <c r="E70" s="135" t="s">
        <v>1622</v>
      </c>
      <c r="F70" s="135" t="s">
        <v>1630</v>
      </c>
      <c r="G70" s="131" t="s">
        <v>1631</v>
      </c>
      <c r="H70" s="132" t="e">
        <f t="shared" si="5"/>
        <v>#VALUE!</v>
      </c>
      <c r="I70" s="136"/>
      <c r="J70" s="136"/>
      <c r="K70" s="133" t="e">
        <f>_xll.GetCtData("COAMOUNT","CONSAMOUNT",$A$1:$A$8,$A70:$B70,,"#-406220,611840003")/10^3*$H70</f>
        <v>#VALUE!</v>
      </c>
      <c r="L70" s="136" t="e">
        <f t="shared" si="6"/>
        <v>#VALUE!</v>
      </c>
      <c r="M70" s="128"/>
      <c r="N70" s="136"/>
      <c r="O70" s="128"/>
      <c r="P70" s="136" t="e">
        <f t="shared" si="2"/>
        <v>#VALUE!</v>
      </c>
    </row>
    <row r="71" spans="1:16" ht="12" hidden="1" outlineLevel="2" thickBot="1">
      <c r="A71" s="115" t="s">
        <v>1623</v>
      </c>
      <c r="B71" s="115" t="s">
        <v>1629</v>
      </c>
      <c r="C71" s="134" t="s">
        <v>1624</v>
      </c>
      <c r="E71" s="135" t="s">
        <v>1625</v>
      </c>
      <c r="F71" s="135" t="s">
        <v>1630</v>
      </c>
      <c r="G71" s="131" t="s">
        <v>1631</v>
      </c>
      <c r="H71" s="132" t="e">
        <f t="shared" si="5"/>
        <v>#VALUE!</v>
      </c>
      <c r="I71" s="136"/>
      <c r="J71" s="136"/>
      <c r="K71" s="133" t="e">
        <f>_xll.GetCtData("COAMOUNT","CONSAMOUNT",$A$1:$A$8,$A71:$B71,,"#3333048,54248181")/10^3*$H71</f>
        <v>#VALUE!</v>
      </c>
      <c r="L71" s="136" t="e">
        <f t="shared" si="6"/>
        <v>#VALUE!</v>
      </c>
      <c r="M71" s="128"/>
      <c r="N71" s="136"/>
      <c r="O71" s="128"/>
      <c r="P71" s="136" t="e">
        <f t="shared" si="2"/>
        <v>#VALUE!</v>
      </c>
    </row>
    <row r="72" spans="1:16" ht="12" hidden="1" outlineLevel="2" thickBot="1">
      <c r="A72" s="115" t="s">
        <v>1564</v>
      </c>
      <c r="B72" s="115" t="s">
        <v>1629</v>
      </c>
      <c r="C72" s="134" t="s">
        <v>1565</v>
      </c>
      <c r="E72" s="135" t="s">
        <v>1566</v>
      </c>
      <c r="F72" s="135" t="s">
        <v>1630</v>
      </c>
      <c r="G72" s="131" t="s">
        <v>1631</v>
      </c>
      <c r="H72" s="132" t="e">
        <f t="shared" si="5"/>
        <v>#VALUE!</v>
      </c>
      <c r="I72" s="136"/>
      <c r="J72" s="136"/>
      <c r="K72" s="133" t="e">
        <f>_xll.GetCtData("COAMOUNT","CONSAMOUNT",$A$1:$A$8,$A72:$B72,,"#-102409,854466388")/10^3*$H72</f>
        <v>#VALUE!</v>
      </c>
      <c r="L72" s="136" t="e">
        <f t="shared" si="6"/>
        <v>#VALUE!</v>
      </c>
      <c r="M72" s="128"/>
      <c r="N72" s="136"/>
      <c r="O72" s="128"/>
      <c r="P72" s="136" t="e">
        <f t="shared" si="2"/>
        <v>#VALUE!</v>
      </c>
    </row>
    <row r="73" spans="1:16" ht="12" hidden="1" outlineLevel="2" thickBot="1">
      <c r="A73" s="115" t="s">
        <v>1567</v>
      </c>
      <c r="B73" s="115" t="s">
        <v>1629</v>
      </c>
      <c r="C73" s="134" t="s">
        <v>1568</v>
      </c>
      <c r="E73" s="135" t="s">
        <v>1569</v>
      </c>
      <c r="F73" s="135" t="s">
        <v>1630</v>
      </c>
      <c r="G73" s="131" t="s">
        <v>1631</v>
      </c>
      <c r="H73" s="132" t="e">
        <f t="shared" si="5"/>
        <v>#VALUE!</v>
      </c>
      <c r="I73" s="136"/>
      <c r="J73" s="136"/>
      <c r="K73" s="133" t="e">
        <f>_xll.GetCtData("COAMOUNT","CONSAMOUNT",$A$1:$A$8,$A73:$B73,,"#-7")/10^3*$H73</f>
        <v>#VALUE!</v>
      </c>
      <c r="L73" s="136" t="e">
        <f t="shared" si="6"/>
        <v>#VALUE!</v>
      </c>
      <c r="M73" s="128"/>
      <c r="N73" s="136"/>
      <c r="O73" s="128"/>
      <c r="P73" s="136" t="e">
        <f t="shared" si="2"/>
        <v>#VALUE!</v>
      </c>
    </row>
    <row r="74" spans="1:16" ht="12" hidden="1" outlineLevel="2" thickBot="1">
      <c r="C74" s="117"/>
      <c r="E74" s="152" t="s">
        <v>1570</v>
      </c>
      <c r="F74" s="137"/>
      <c r="G74" s="137"/>
      <c r="H74" s="137"/>
      <c r="I74" s="138" t="e">
        <f>SUM(I58:I73)/10^3-I57-I56</f>
        <v>#VALUE!</v>
      </c>
      <c r="J74" s="138" t="e">
        <f>SUM(J58:J73)/10^3-J57-J56</f>
        <v>#VALUE!</v>
      </c>
      <c r="K74" s="138" t="e">
        <f>SUM(K58:K73)/10^3-K57-K56</f>
        <v>#VALUE!</v>
      </c>
      <c r="L74" s="138" t="e">
        <f>SUM(L58:L73)/10^3-L57-L56</f>
        <v>#VALUE!</v>
      </c>
      <c r="M74" s="128"/>
      <c r="N74" s="138"/>
      <c r="O74" s="128"/>
      <c r="P74" s="138" t="e">
        <f t="shared" si="2"/>
        <v>#VALUE!</v>
      </c>
    </row>
    <row r="75" spans="1:16" ht="12" hidden="1" outlineLevel="1" collapsed="1" thickBot="1">
      <c r="A75" s="115" t="s">
        <v>1103</v>
      </c>
      <c r="C75" s="117" t="s">
        <v>1632</v>
      </c>
      <c r="E75" s="153" t="s">
        <v>122</v>
      </c>
      <c r="F75" s="154"/>
      <c r="G75" s="154"/>
      <c r="H75" s="154"/>
      <c r="I75" s="155">
        <f>_xll.GetCtData("COAMOUNT","CONSAMOUNT",$A$1:$A$8,$A75,I$10,"#-1580907,26536119")/10^3</f>
        <v>-1580.9072653611902</v>
      </c>
      <c r="J75" s="155">
        <f>_xll.GetCtData("COAMOUNT","CONSAMOUNT",$A$1:$A$8,$A75,J$10,"#173969,707235575")/10^3</f>
        <v>173.96970723557502</v>
      </c>
      <c r="K75" s="155">
        <f>_xll.GetCtData("COAMOUNT","CONSAMOUNT",$A$1:$A$8,$A75,K$10,"#1428860,51103698")/10^3</f>
        <v>1428.8605110369799</v>
      </c>
      <c r="L75" s="155">
        <f>_xll.GetCtData("COAMOUNT","CONSAMOUNT",$A$1:$A$8,$A75,L$10,"#21922,9529113613")/10^3</f>
        <v>21.9229529113613</v>
      </c>
      <c r="M75" s="128"/>
      <c r="N75" s="155"/>
      <c r="O75" s="128"/>
      <c r="P75" s="155">
        <f t="shared" si="2"/>
        <v>21.9229529113613</v>
      </c>
    </row>
    <row r="76" spans="1:16" ht="12" hidden="1" outlineLevel="2" thickBot="1">
      <c r="A76" s="115" t="s">
        <v>1572</v>
      </c>
      <c r="B76" s="115" t="s">
        <v>1633</v>
      </c>
      <c r="C76" s="134" t="s">
        <v>1573</v>
      </c>
      <c r="E76" s="135" t="s">
        <v>1574</v>
      </c>
      <c r="F76" s="135" t="s">
        <v>1634</v>
      </c>
      <c r="G76" s="131" t="s">
        <v>1635</v>
      </c>
      <c r="H76" s="132" t="e">
        <f t="shared" ref="H76:H91" si="7">IF(LEFT(E76,6)/10^3="actifs",-1,1)/10^3</f>
        <v>#VALUE!</v>
      </c>
      <c r="I76" s="151" t="e">
        <f>_xll.GetCtData("COAMOUNT","CONSAMOUNT",$A$1:$A$8,$A76:$B76,,"#-744503,788092936")/10^3*$H76</f>
        <v>#VALUE!</v>
      </c>
      <c r="J76" s="136"/>
      <c r="K76" s="136"/>
      <c r="L76" s="136" t="e">
        <f t="shared" ref="L76:L91" si="8">SUM(I76:K76)/10^3</f>
        <v>#VALUE!</v>
      </c>
      <c r="M76" s="128"/>
      <c r="N76" s="136"/>
      <c r="O76" s="128"/>
      <c r="P76" s="136" t="e">
        <f t="shared" si="2"/>
        <v>#VALUE!</v>
      </c>
    </row>
    <row r="77" spans="1:16" ht="12" hidden="1" outlineLevel="2" thickBot="1">
      <c r="A77" s="115" t="s">
        <v>1581</v>
      </c>
      <c r="B77" s="115" t="s">
        <v>1633</v>
      </c>
      <c r="C77" s="134" t="s">
        <v>1582</v>
      </c>
      <c r="E77" s="135" t="s">
        <v>1583</v>
      </c>
      <c r="F77" s="135" t="s">
        <v>1634</v>
      </c>
      <c r="G77" s="131" t="s">
        <v>1635</v>
      </c>
      <c r="H77" s="132" t="e">
        <f t="shared" si="7"/>
        <v>#VALUE!</v>
      </c>
      <c r="I77" s="151" t="e">
        <f>_xll.GetCtData("COAMOUNT","CONSAMOUNT",$A$1:$A$8,$A77:$B77,,"#-622628,669854603")/10^3*$H77</f>
        <v>#VALUE!</v>
      </c>
      <c r="J77" s="136"/>
      <c r="K77" s="136"/>
      <c r="L77" s="136" t="e">
        <f t="shared" si="8"/>
        <v>#VALUE!</v>
      </c>
      <c r="M77" s="128"/>
      <c r="N77" s="136"/>
      <c r="O77" s="128"/>
      <c r="P77" s="136" t="e">
        <f t="shared" si="2"/>
        <v>#VALUE!</v>
      </c>
    </row>
    <row r="78" spans="1:16" ht="12" hidden="1" outlineLevel="2" thickBot="1">
      <c r="A78" s="115" t="s">
        <v>1516</v>
      </c>
      <c r="B78" s="115" t="s">
        <v>1633</v>
      </c>
      <c r="C78" s="134" t="s">
        <v>1517</v>
      </c>
      <c r="E78" s="135" t="s">
        <v>1518</v>
      </c>
      <c r="F78" s="135" t="s">
        <v>1634</v>
      </c>
      <c r="G78" s="131" t="s">
        <v>1635</v>
      </c>
      <c r="H78" s="132" t="e">
        <f t="shared" si="7"/>
        <v>#VALUE!</v>
      </c>
      <c r="I78" s="151" t="e">
        <f>_xll.GetCtData("COAMOUNT","CONSAMOUNT",$A$1:$A$8,$A78:$B78,,"#11860,8074136545")/10^3*$H78</f>
        <v>#VALUE!</v>
      </c>
      <c r="J78" s="136"/>
      <c r="K78" s="136"/>
      <c r="L78" s="136" t="e">
        <f t="shared" si="8"/>
        <v>#VALUE!</v>
      </c>
      <c r="M78" s="128"/>
      <c r="N78" s="136"/>
      <c r="O78" s="128"/>
      <c r="P78" s="136" t="e">
        <f t="shared" si="2"/>
        <v>#VALUE!</v>
      </c>
    </row>
    <row r="79" spans="1:16" ht="12" hidden="1" outlineLevel="2" thickBot="1">
      <c r="A79" s="115" t="s">
        <v>1525</v>
      </c>
      <c r="B79" s="115" t="s">
        <v>1633</v>
      </c>
      <c r="C79" s="134" t="s">
        <v>1526</v>
      </c>
      <c r="E79" s="135" t="s">
        <v>1527</v>
      </c>
      <c r="F79" s="135" t="s">
        <v>1634</v>
      </c>
      <c r="G79" s="131" t="s">
        <v>1635</v>
      </c>
      <c r="H79" s="132" t="e">
        <f t="shared" si="7"/>
        <v>#VALUE!</v>
      </c>
      <c r="I79" s="151" t="e">
        <f>_xll.GetCtData("COAMOUNT","CONSAMOUNT",$A$1:$A$8,$A79:$B79,,"#-81")/10^3*$H79</f>
        <v>#VALUE!</v>
      </c>
      <c r="J79" s="136"/>
      <c r="K79" s="136"/>
      <c r="L79" s="136" t="e">
        <f t="shared" si="8"/>
        <v>#VALUE!</v>
      </c>
      <c r="M79" s="128"/>
      <c r="N79" s="136"/>
      <c r="O79" s="128"/>
      <c r="P79" s="136" t="e">
        <f t="shared" si="2"/>
        <v>#VALUE!</v>
      </c>
    </row>
    <row r="80" spans="1:16" ht="12" hidden="1" outlineLevel="2" thickBot="1">
      <c r="A80" s="115" t="s">
        <v>1590</v>
      </c>
      <c r="B80" s="115" t="s">
        <v>1633</v>
      </c>
      <c r="C80" s="134" t="s">
        <v>1591</v>
      </c>
      <c r="E80" s="135" t="s">
        <v>1592</v>
      </c>
      <c r="F80" s="135" t="s">
        <v>1634</v>
      </c>
      <c r="G80" s="131" t="s">
        <v>1635</v>
      </c>
      <c r="H80" s="132" t="e">
        <f t="shared" si="7"/>
        <v>#VALUE!</v>
      </c>
      <c r="I80" s="151" t="e">
        <f>_xll.GetCtData("COAMOUNT","CONSAMOUNT",$A$1:$A$8,$A80:$B80,,"#")/10^3*$H80</f>
        <v>#VALUE!</v>
      </c>
      <c r="J80" s="136"/>
      <c r="K80" s="136"/>
      <c r="L80" s="136" t="e">
        <f t="shared" si="8"/>
        <v>#VALUE!</v>
      </c>
      <c r="M80" s="128"/>
      <c r="N80" s="136"/>
      <c r="O80" s="128"/>
      <c r="P80" s="136" t="e">
        <f t="shared" si="2"/>
        <v>#VALUE!</v>
      </c>
    </row>
    <row r="81" spans="1:17" ht="12" hidden="1" outlineLevel="2" thickBot="1">
      <c r="A81" s="115" t="s">
        <v>1593</v>
      </c>
      <c r="B81" s="115" t="s">
        <v>1633</v>
      </c>
      <c r="C81" s="134" t="s">
        <v>1594</v>
      </c>
      <c r="E81" s="135" t="s">
        <v>1595</v>
      </c>
      <c r="F81" s="135" t="s">
        <v>1634</v>
      </c>
      <c r="G81" s="131" t="s">
        <v>1635</v>
      </c>
      <c r="H81" s="132" t="e">
        <f t="shared" si="7"/>
        <v>#VALUE!</v>
      </c>
      <c r="I81" s="151" t="e">
        <f>_xll.GetCtData("COAMOUNT","CONSAMOUNT",$A$1:$A$8,$A81:$B81,,"#14008")/10^3*$H81</f>
        <v>#VALUE!</v>
      </c>
      <c r="J81" s="136"/>
      <c r="K81" s="136"/>
      <c r="L81" s="136" t="e">
        <f t="shared" si="8"/>
        <v>#VALUE!</v>
      </c>
      <c r="M81" s="128"/>
      <c r="N81" s="136"/>
      <c r="O81" s="128"/>
      <c r="P81" s="136" t="e">
        <f t="shared" si="2"/>
        <v>#VALUE!</v>
      </c>
    </row>
    <row r="82" spans="1:17" ht="12" hidden="1" outlineLevel="2" thickBot="1">
      <c r="A82" s="115" t="s">
        <v>1534</v>
      </c>
      <c r="B82" s="115" t="s">
        <v>1633</v>
      </c>
      <c r="C82" s="134" t="s">
        <v>1535</v>
      </c>
      <c r="E82" s="135" t="s">
        <v>1536</v>
      </c>
      <c r="F82" s="135" t="s">
        <v>1634</v>
      </c>
      <c r="G82" s="131" t="s">
        <v>1635</v>
      </c>
      <c r="H82" s="132" t="e">
        <f t="shared" si="7"/>
        <v>#VALUE!</v>
      </c>
      <c r="I82" s="151" t="e">
        <f>_xll.GetCtData("COAMOUNT","CONSAMOUNT",$A$1:$A$8,$A82:$B82,,"#")/10^3*$H82</f>
        <v>#VALUE!</v>
      </c>
      <c r="J82" s="136"/>
      <c r="K82" s="136"/>
      <c r="L82" s="136" t="e">
        <f t="shared" si="8"/>
        <v>#VALUE!</v>
      </c>
      <c r="M82" s="128"/>
      <c r="N82" s="136"/>
      <c r="O82" s="128"/>
      <c r="P82" s="136" t="e">
        <f t="shared" si="2"/>
        <v>#VALUE!</v>
      </c>
    </row>
    <row r="83" spans="1:17" ht="12" hidden="1" outlineLevel="2" thickBot="1">
      <c r="A83" s="115" t="s">
        <v>1537</v>
      </c>
      <c r="B83" s="115" t="s">
        <v>1633</v>
      </c>
      <c r="C83" s="134" t="s">
        <v>1538</v>
      </c>
      <c r="E83" s="135" t="s">
        <v>1539</v>
      </c>
      <c r="F83" s="135" t="s">
        <v>1634</v>
      </c>
      <c r="G83" s="131" t="s">
        <v>1635</v>
      </c>
      <c r="H83" s="132" t="e">
        <f t="shared" si="7"/>
        <v>#VALUE!</v>
      </c>
      <c r="I83" s="151" t="e">
        <f>_xll.GetCtData("COAMOUNT","CONSAMOUNT",$A$1:$A$8,$A83:$B83,,"#")/10^3*$H83</f>
        <v>#VALUE!</v>
      </c>
      <c r="J83" s="136"/>
      <c r="K83" s="136"/>
      <c r="L83" s="136" t="e">
        <f t="shared" si="8"/>
        <v>#VALUE!</v>
      </c>
      <c r="M83" s="128"/>
      <c r="N83" s="136"/>
      <c r="O83" s="128"/>
      <c r="P83" s="136" t="e">
        <f t="shared" si="2"/>
        <v>#VALUE!</v>
      </c>
    </row>
    <row r="84" spans="1:17" ht="12" hidden="1" outlineLevel="2" thickBot="1">
      <c r="A84" s="115" t="s">
        <v>1608</v>
      </c>
      <c r="B84" s="115" t="s">
        <v>1633</v>
      </c>
      <c r="C84" s="134" t="s">
        <v>1609</v>
      </c>
      <c r="E84" s="135" t="s">
        <v>1610</v>
      </c>
      <c r="F84" s="135" t="s">
        <v>1634</v>
      </c>
      <c r="G84" s="131" t="s">
        <v>1635</v>
      </c>
      <c r="H84" s="132" t="e">
        <f t="shared" si="7"/>
        <v>#VALUE!</v>
      </c>
      <c r="I84" s="136"/>
      <c r="J84" s="151" t="e">
        <f>_xll.GetCtData("COAMOUNT","CONSAMOUNT",$A$1:$A$8,$A84:$B84,,"#105133,352108812")/10^3*$H84</f>
        <v>#VALUE!</v>
      </c>
      <c r="K84" s="136"/>
      <c r="L84" s="136" t="e">
        <f t="shared" si="8"/>
        <v>#VALUE!</v>
      </c>
      <c r="M84" s="128"/>
      <c r="N84" s="136"/>
      <c r="O84" s="128"/>
      <c r="P84" s="136" t="e">
        <f t="shared" si="2"/>
        <v>#VALUE!</v>
      </c>
    </row>
    <row r="85" spans="1:17" ht="12" hidden="1" outlineLevel="2" thickBot="1">
      <c r="A85" s="115" t="s">
        <v>1614</v>
      </c>
      <c r="B85" s="115" t="s">
        <v>1633</v>
      </c>
      <c r="C85" s="134" t="s">
        <v>1615</v>
      </c>
      <c r="E85" s="135" t="s">
        <v>1616</v>
      </c>
      <c r="F85" s="135" t="s">
        <v>1634</v>
      </c>
      <c r="G85" s="131" t="s">
        <v>1635</v>
      </c>
      <c r="H85" s="132" t="e">
        <f t="shared" si="7"/>
        <v>#VALUE!</v>
      </c>
      <c r="I85" s="136"/>
      <c r="J85" s="151" t="e">
        <f>_xll.GetCtData("COAMOUNT","CONSAMOUNT",$A$1:$A$8,$A85:$B85,,"#68107,1000706476")/10^3*$H85</f>
        <v>#VALUE!</v>
      </c>
      <c r="K85" s="136"/>
      <c r="L85" s="136" t="e">
        <f t="shared" si="8"/>
        <v>#VALUE!</v>
      </c>
      <c r="M85" s="128"/>
      <c r="N85" s="136"/>
      <c r="O85" s="128"/>
      <c r="P85" s="136" t="e">
        <f t="shared" si="2"/>
        <v>#VALUE!</v>
      </c>
    </row>
    <row r="86" spans="1:17" ht="12" hidden="1" outlineLevel="2" thickBot="1">
      <c r="A86" s="115" t="s">
        <v>1552</v>
      </c>
      <c r="B86" s="115" t="s">
        <v>1633</v>
      </c>
      <c r="C86" s="134" t="s">
        <v>1553</v>
      </c>
      <c r="E86" s="135" t="s">
        <v>1554</v>
      </c>
      <c r="F86" s="135" t="s">
        <v>1634</v>
      </c>
      <c r="G86" s="131" t="s">
        <v>1635</v>
      </c>
      <c r="H86" s="132" t="e">
        <f t="shared" si="7"/>
        <v>#VALUE!</v>
      </c>
      <c r="I86" s="136"/>
      <c r="J86" s="151" t="e">
        <f>_xll.GetCtData("COAMOUNT","CONSAMOUNT",$A$1:$A$8,$A86:$B86,,"#-727,255056115676")/10^3*$H86</f>
        <v>#VALUE!</v>
      </c>
      <c r="K86" s="136"/>
      <c r="L86" s="136" t="e">
        <f t="shared" si="8"/>
        <v>#VALUE!</v>
      </c>
      <c r="M86" s="128"/>
      <c r="N86" s="136"/>
      <c r="O86" s="128"/>
      <c r="P86" s="136" t="e">
        <f t="shared" si="2"/>
        <v>#VALUE!</v>
      </c>
    </row>
    <row r="87" spans="1:17" ht="12" hidden="1" outlineLevel="2" thickBot="1">
      <c r="A87" s="115" t="s">
        <v>1558</v>
      </c>
      <c r="B87" s="115" t="s">
        <v>1633</v>
      </c>
      <c r="C87" s="134" t="s">
        <v>1559</v>
      </c>
      <c r="E87" s="135" t="s">
        <v>1560</v>
      </c>
      <c r="F87" s="135" t="s">
        <v>1634</v>
      </c>
      <c r="G87" s="131" t="s">
        <v>1635</v>
      </c>
      <c r="H87" s="132" t="e">
        <f t="shared" si="7"/>
        <v>#VALUE!</v>
      </c>
      <c r="I87" s="136"/>
      <c r="J87" s="151" t="e">
        <f>_xll.GetCtData("COAMOUNT","CONSAMOUNT",$A$1:$A$8,$A87:$B87,,"#-1")/10^3*$H87</f>
        <v>#VALUE!</v>
      </c>
      <c r="K87" s="136"/>
      <c r="L87" s="136" t="e">
        <f t="shared" si="8"/>
        <v>#VALUE!</v>
      </c>
      <c r="M87" s="128"/>
      <c r="N87" s="136"/>
      <c r="O87" s="128"/>
      <c r="P87" s="136" t="e">
        <f t="shared" si="2"/>
        <v>#VALUE!</v>
      </c>
    </row>
    <row r="88" spans="1:17" ht="12" hidden="1" outlineLevel="2" thickBot="1">
      <c r="A88" s="115" t="s">
        <v>1620</v>
      </c>
      <c r="B88" s="115" t="s">
        <v>1633</v>
      </c>
      <c r="C88" s="134" t="s">
        <v>1621</v>
      </c>
      <c r="E88" s="135" t="s">
        <v>1622</v>
      </c>
      <c r="F88" s="135" t="s">
        <v>1634</v>
      </c>
      <c r="G88" s="131" t="s">
        <v>1635</v>
      </c>
      <c r="H88" s="132" t="e">
        <f t="shared" si="7"/>
        <v>#VALUE!</v>
      </c>
      <c r="I88" s="136"/>
      <c r="J88" s="136"/>
      <c r="K88" s="151" t="e">
        <f>_xll.GetCtData("COAMOUNT","CONSAMOUNT",$A$1:$A$8,$A88:$B88,,"#649217,883292391")/10^3*$H88</f>
        <v>#VALUE!</v>
      </c>
      <c r="L88" s="136" t="e">
        <f t="shared" si="8"/>
        <v>#VALUE!</v>
      </c>
      <c r="M88" s="128"/>
      <c r="N88" s="136"/>
      <c r="O88" s="128"/>
      <c r="P88" s="136" t="e">
        <f t="shared" si="2"/>
        <v>#VALUE!</v>
      </c>
    </row>
    <row r="89" spans="1:17" ht="12" hidden="1" outlineLevel="2" thickBot="1">
      <c r="A89" s="115" t="s">
        <v>1623</v>
      </c>
      <c r="B89" s="115" t="s">
        <v>1633</v>
      </c>
      <c r="C89" s="134" t="s">
        <v>1624</v>
      </c>
      <c r="E89" s="135" t="s">
        <v>1625</v>
      </c>
      <c r="F89" s="135" t="s">
        <v>1634</v>
      </c>
      <c r="G89" s="131" t="s">
        <v>1635</v>
      </c>
      <c r="H89" s="132" t="e">
        <f t="shared" si="7"/>
        <v>#VALUE!</v>
      </c>
      <c r="I89" s="136"/>
      <c r="J89" s="136"/>
      <c r="K89" s="151" t="e">
        <f>_xll.GetCtData("COAMOUNT","CONSAMOUNT",$A$1:$A$8,$A89:$B89,,"#772143,569783955")/10^3*$H89</f>
        <v>#VALUE!</v>
      </c>
      <c r="L89" s="136" t="e">
        <f t="shared" si="8"/>
        <v>#VALUE!</v>
      </c>
      <c r="M89" s="128"/>
      <c r="N89" s="136"/>
      <c r="O89" s="128"/>
      <c r="P89" s="136" t="e">
        <f t="shared" si="2"/>
        <v>#VALUE!</v>
      </c>
    </row>
    <row r="90" spans="1:17" ht="12" hidden="1" outlineLevel="2" thickBot="1">
      <c r="A90" s="115" t="s">
        <v>1564</v>
      </c>
      <c r="B90" s="115" t="s">
        <v>1633</v>
      </c>
      <c r="C90" s="134" t="s">
        <v>1565</v>
      </c>
      <c r="E90" s="135" t="s">
        <v>1566</v>
      </c>
      <c r="F90" s="135" t="s">
        <v>1634</v>
      </c>
      <c r="G90" s="131" t="s">
        <v>1635</v>
      </c>
      <c r="H90" s="132" t="e">
        <f t="shared" si="7"/>
        <v>#VALUE!</v>
      </c>
      <c r="I90" s="136"/>
      <c r="J90" s="136"/>
      <c r="K90" s="151" t="e">
        <f>_xll.GetCtData("COAMOUNT","CONSAMOUNT",$A$1:$A$8,$A90:$B90,,"#-7497,05796063234")/10^3*$H90</f>
        <v>#VALUE!</v>
      </c>
      <c r="L90" s="136" t="e">
        <f t="shared" si="8"/>
        <v>#VALUE!</v>
      </c>
      <c r="M90" s="128"/>
      <c r="N90" s="136"/>
      <c r="O90" s="128"/>
      <c r="P90" s="136" t="e">
        <f t="shared" si="2"/>
        <v>#VALUE!</v>
      </c>
    </row>
    <row r="91" spans="1:17" ht="12" hidden="1" outlineLevel="2" thickBot="1">
      <c r="A91" s="115" t="s">
        <v>1567</v>
      </c>
      <c r="B91" s="115" t="s">
        <v>1633</v>
      </c>
      <c r="C91" s="134" t="s">
        <v>1568</v>
      </c>
      <c r="E91" s="135" t="s">
        <v>1569</v>
      </c>
      <c r="F91" s="135" t="s">
        <v>1634</v>
      </c>
      <c r="G91" s="131" t="s">
        <v>1635</v>
      </c>
      <c r="H91" s="132" t="e">
        <f t="shared" si="7"/>
        <v>#VALUE!</v>
      </c>
      <c r="I91" s="136"/>
      <c r="J91" s="136"/>
      <c r="K91" s="151" t="e">
        <f>_xll.GetCtData("COAMOUNT","CONSAMOUNT",$A$1:$A$8,$A91:$B91,,"#")/10^3*$H91</f>
        <v>#VALUE!</v>
      </c>
      <c r="L91" s="136" t="e">
        <f t="shared" si="8"/>
        <v>#VALUE!</v>
      </c>
      <c r="M91" s="128"/>
      <c r="N91" s="136"/>
      <c r="O91" s="128"/>
      <c r="P91" s="136" t="e">
        <f t="shared" si="2"/>
        <v>#VALUE!</v>
      </c>
    </row>
    <row r="92" spans="1:17" ht="12" hidden="1" outlineLevel="2" thickBot="1">
      <c r="C92" s="117"/>
      <c r="E92" s="137" t="s">
        <v>1570</v>
      </c>
      <c r="F92" s="137"/>
      <c r="G92" s="137"/>
      <c r="H92" s="137"/>
      <c r="I92" s="138" t="e">
        <f>SUM(I76:I91)/10^3-I75</f>
        <v>#VALUE!</v>
      </c>
      <c r="J92" s="138" t="e">
        <f>SUM(J76:J91)/10^3-J75</f>
        <v>#VALUE!</v>
      </c>
      <c r="K92" s="138" t="e">
        <f>SUM(K76:K91)/10^3-K75</f>
        <v>#VALUE!</v>
      </c>
      <c r="L92" s="138" t="e">
        <f>SUM(L76:L91)/10^3-L75</f>
        <v>#VALUE!</v>
      </c>
      <c r="M92" s="128"/>
      <c r="N92" s="138"/>
      <c r="O92" s="128"/>
      <c r="P92" s="138" t="e">
        <f t="shared" si="2"/>
        <v>#VALUE!</v>
      </c>
    </row>
    <row r="93" spans="1:17" ht="12" hidden="1" outlineLevel="2" thickBot="1">
      <c r="C93" s="117"/>
      <c r="E93" s="137" t="s">
        <v>1636</v>
      </c>
      <c r="F93" s="137"/>
      <c r="G93" s="137"/>
      <c r="H93" s="137"/>
      <c r="I93" s="138" t="e">
        <f>+I74+I92</f>
        <v>#VALUE!</v>
      </c>
      <c r="J93" s="138" t="e">
        <f>+J74+J92</f>
        <v>#VALUE!</v>
      </c>
      <c r="K93" s="138" t="e">
        <f>+K74+K92</f>
        <v>#VALUE!</v>
      </c>
      <c r="L93" s="138" t="e">
        <f>+L74+L92</f>
        <v>#VALUE!</v>
      </c>
      <c r="M93" s="128"/>
      <c r="N93" s="138"/>
      <c r="O93" s="128"/>
      <c r="P93" s="138" t="e">
        <f t="shared" si="2"/>
        <v>#VALUE!</v>
      </c>
    </row>
    <row r="94" spans="1:17" s="140" customFormat="1" ht="12" hidden="1" outlineLevel="1" collapsed="1" thickBot="1">
      <c r="A94" s="140" t="s">
        <v>1104</v>
      </c>
      <c r="C94" s="117"/>
      <c r="D94" s="117"/>
      <c r="E94" s="125" t="s">
        <v>123</v>
      </c>
      <c r="F94" s="126"/>
      <c r="G94" s="126"/>
      <c r="H94" s="126"/>
      <c r="I94" s="127">
        <f>_xll.GetCtData("COAMOUNT","CONSAMOUNT",$A$1:$A$8,$A94,I$10,"#1214640,75333573")/10^3</f>
        <v>1214.6407533357299</v>
      </c>
      <c r="J94" s="127">
        <f>_xll.GetCtData("COAMOUNT","CONSAMOUNT",$A$1:$A$8,$A94,J$10,"#-235289,013720933")/10^3</f>
        <v>-235.28901372093299</v>
      </c>
      <c r="K94" s="127">
        <f>_xll.GetCtData("COAMOUNT","CONSAMOUNT",$A$1:$A$8,$A94,K$10,"#-2768738,52135091")/10^3</f>
        <v>-2768.7385213509101</v>
      </c>
      <c r="L94" s="127">
        <f>_xll.GetCtData("COAMOUNT","CONSAMOUNT",$A$1:$A$8,$A94,L$10,"#-1789386,78173611")/10^3</f>
        <v>-1789.3867817361102</v>
      </c>
      <c r="M94" s="143"/>
      <c r="N94" s="127"/>
      <c r="O94" s="143"/>
      <c r="P94" s="127">
        <f t="shared" si="2"/>
        <v>-1789.3867817361102</v>
      </c>
      <c r="Q94" s="144"/>
    </row>
    <row r="95" spans="1:17" ht="12" hidden="1" outlineLevel="1" thickBot="1">
      <c r="A95" s="115" t="s">
        <v>1105</v>
      </c>
      <c r="C95" s="117" t="s">
        <v>1637</v>
      </c>
      <c r="E95" s="145" t="s">
        <v>1638</v>
      </c>
      <c r="F95" s="146"/>
      <c r="G95" s="146"/>
      <c r="H95" s="146"/>
      <c r="I95" s="147">
        <f>_xll.GetCtData("COAMOUNT","CONSAMOUNT",$A$1:$A$8,$A95,I$10,"#")/10^3</f>
        <v>0</v>
      </c>
      <c r="J95" s="147">
        <f>_xll.GetCtData("COAMOUNT","CONSAMOUNT",$A$1:$A$8,$A95,J$10,"#")/10^3</f>
        <v>0</v>
      </c>
      <c r="K95" s="147">
        <f>_xll.GetCtData("COAMOUNT","CONSAMOUNT",$A$1:$A$8,$A95,K$10,"#-2768738,52135091")/10^3</f>
        <v>-2768.7385213509101</v>
      </c>
      <c r="L95" s="147">
        <f>_xll.GetCtData("COAMOUNT","CONSAMOUNT",$A$1:$A$8,$A95,L$10,"#-2768738,52135091")/10^3</f>
        <v>-2768.7385213509101</v>
      </c>
      <c r="M95" s="128"/>
      <c r="N95" s="147"/>
      <c r="O95" s="128"/>
      <c r="P95" s="147">
        <f t="shared" si="2"/>
        <v>-2768.7385213509101</v>
      </c>
    </row>
    <row r="96" spans="1:17" ht="12" hidden="1" outlineLevel="2" thickBot="1">
      <c r="A96" s="115" t="s">
        <v>986</v>
      </c>
      <c r="B96" s="115" t="s">
        <v>74</v>
      </c>
      <c r="C96" s="135" t="s">
        <v>1495</v>
      </c>
      <c r="D96" s="146"/>
      <c r="E96" s="135" t="s">
        <v>1496</v>
      </c>
      <c r="F96" s="135" t="s">
        <v>66</v>
      </c>
      <c r="G96" s="131" t="s">
        <v>306</v>
      </c>
      <c r="H96" s="132">
        <v>-1</v>
      </c>
      <c r="I96" s="156"/>
      <c r="J96" s="156"/>
      <c r="K96" s="151">
        <f>_xll.GetCtData("COAMOUNT","CONSAMOUNT",$A$1:$A$8,$A96:$B96,,"#905551,746199648")/10^3*$H96</f>
        <v>-905.55174619964805</v>
      </c>
      <c r="L96" s="156">
        <f>SUM(I96:K96)/10^3</f>
        <v>-0.90555174619964807</v>
      </c>
      <c r="M96" s="128"/>
      <c r="N96" s="156"/>
      <c r="O96" s="128"/>
      <c r="P96" s="156">
        <f t="shared" si="2"/>
        <v>-0.90555174619964807</v>
      </c>
    </row>
    <row r="97" spans="1:16" ht="12" hidden="1" outlineLevel="2" thickBot="1">
      <c r="A97" s="115" t="s">
        <v>1639</v>
      </c>
      <c r="B97" s="115" t="s">
        <v>74</v>
      </c>
      <c r="C97" s="135" t="s">
        <v>1497</v>
      </c>
      <c r="D97" s="146"/>
      <c r="E97" s="135" t="s">
        <v>1498</v>
      </c>
      <c r="F97" s="135" t="s">
        <v>66</v>
      </c>
      <c r="G97" s="131" t="s">
        <v>306</v>
      </c>
      <c r="H97" s="132">
        <v>-1</v>
      </c>
      <c r="I97" s="156"/>
      <c r="J97" s="156"/>
      <c r="K97" s="151">
        <f>_xll.GetCtData("COAMOUNT","CONSAMOUNT",$A$1:$A$8,$A97:$B97,,"#1863185,77515126")/10^3*$H97</f>
        <v>-1863.18577515126</v>
      </c>
      <c r="L97" s="156">
        <f>SUM(I97:K97)/10^3</f>
        <v>-1.8631857751512599</v>
      </c>
      <c r="M97" s="128"/>
      <c r="N97" s="156"/>
      <c r="O97" s="128"/>
      <c r="P97" s="156">
        <f t="shared" si="2"/>
        <v>-1.8631857751512599</v>
      </c>
    </row>
    <row r="98" spans="1:16" ht="12" hidden="1" outlineLevel="2" thickBot="1">
      <c r="C98" s="117"/>
      <c r="E98" s="157" t="s">
        <v>1570</v>
      </c>
      <c r="F98" s="158"/>
      <c r="G98" s="158"/>
      <c r="H98" s="158"/>
      <c r="I98" s="159">
        <f>SUM(I96:I97)/10^3-I95</f>
        <v>0</v>
      </c>
      <c r="J98" s="159">
        <f>SUM(J96:J97)/10^3-J95</f>
        <v>0</v>
      </c>
      <c r="K98" s="159">
        <f>SUM(K96:K97)/10^3-K95</f>
        <v>2765.9697838295592</v>
      </c>
      <c r="L98" s="159">
        <f>SUM(L96:L97)/10^3-L95</f>
        <v>2768.7357526133887</v>
      </c>
      <c r="M98" s="128"/>
      <c r="N98" s="159"/>
      <c r="O98" s="128"/>
      <c r="P98" s="159">
        <f t="shared" ref="P98:P161" si="9">L98+N98</f>
        <v>2768.7357526133887</v>
      </c>
    </row>
    <row r="99" spans="1:16" ht="12" hidden="1" outlineLevel="1" collapsed="1" thickBot="1">
      <c r="A99" s="115" t="s">
        <v>1106</v>
      </c>
      <c r="C99" s="117" t="s">
        <v>1640</v>
      </c>
      <c r="E99" s="145" t="s">
        <v>125</v>
      </c>
      <c r="F99" s="146"/>
      <c r="G99" s="146"/>
      <c r="H99" s="146"/>
      <c r="I99" s="147">
        <f>_xll.GetCtData("COAMOUNT","CONSAMOUNT",$A$1:$A$8,$A99,I$10,"#")/10^3</f>
        <v>0</v>
      </c>
      <c r="J99" s="147">
        <f>_xll.GetCtData("COAMOUNT","CONSAMOUNT",$A$1:$A$8,$A99,J$10,"#-235289,013720933")/10^3</f>
        <v>-235.28901372093299</v>
      </c>
      <c r="K99" s="147">
        <f>_xll.GetCtData("COAMOUNT","CONSAMOUNT",$A$1:$A$8,$A99,K$10,"#")/10^3</f>
        <v>0</v>
      </c>
      <c r="L99" s="147">
        <f>_xll.GetCtData("COAMOUNT","CONSAMOUNT",$A$1:$A$8,$A99,L$10,"#-235289,013720933")/10^3</f>
        <v>-235.28901372093299</v>
      </c>
      <c r="M99" s="128"/>
      <c r="N99" s="147"/>
      <c r="O99" s="128"/>
      <c r="P99" s="147">
        <f t="shared" si="9"/>
        <v>-235.28901372093299</v>
      </c>
    </row>
    <row r="100" spans="1:16" ht="12" hidden="1" outlineLevel="1" thickBot="1">
      <c r="A100" s="115" t="s">
        <v>1107</v>
      </c>
      <c r="C100" s="117" t="s">
        <v>1641</v>
      </c>
      <c r="E100" s="145" t="s">
        <v>126</v>
      </c>
      <c r="F100" s="146"/>
      <c r="G100" s="146"/>
      <c r="H100" s="146"/>
      <c r="I100" s="147">
        <f>_xll.GetCtData("COAMOUNT","CONSAMOUNT",$A$1:$A$8,$A100,I$10,"#1214640,75333573")/10^3</f>
        <v>1214.6407533357299</v>
      </c>
      <c r="J100" s="147">
        <f>_xll.GetCtData("COAMOUNT","CONSAMOUNT",$A$1:$A$8,$A100,J$10,"#")/10^3</f>
        <v>0</v>
      </c>
      <c r="K100" s="147">
        <f>_xll.GetCtData("COAMOUNT","CONSAMOUNT",$A$1:$A$8,$A100,K$10,"#")/10^3</f>
        <v>0</v>
      </c>
      <c r="L100" s="147">
        <f>_xll.GetCtData("COAMOUNT","CONSAMOUNT",$A$1:$A$8,$A100,L$10,"#1214640,75333573")/10^3</f>
        <v>1214.6407533357299</v>
      </c>
      <c r="M100" s="128"/>
      <c r="N100" s="147"/>
      <c r="O100" s="128"/>
      <c r="P100" s="147">
        <f t="shared" si="9"/>
        <v>1214.6407533357299</v>
      </c>
    </row>
    <row r="101" spans="1:16" ht="12" hidden="1" outlineLevel="2" thickBot="1">
      <c r="A101" s="115" t="s">
        <v>983</v>
      </c>
      <c r="B101" s="115" t="s">
        <v>74</v>
      </c>
      <c r="C101" s="134" t="s">
        <v>1489</v>
      </c>
      <c r="E101" s="149" t="s">
        <v>965</v>
      </c>
      <c r="F101" s="149" t="s">
        <v>66</v>
      </c>
      <c r="G101" s="149" t="s">
        <v>306</v>
      </c>
      <c r="H101" s="149">
        <v>-1</v>
      </c>
      <c r="I101" s="151">
        <f>_xll.GetCtData("COAMOUNT","CONSAMOUNT",$A$1:$A$8,$A101:$B101,,"#2963446,28735026")/10^3*$H101</f>
        <v>-2963.4462873502603</v>
      </c>
      <c r="J101" s="136"/>
      <c r="K101" s="136"/>
      <c r="L101" s="136">
        <f t="shared" ref="L101:L132" si="10">SUM(I101:K101)/10^3</f>
        <v>-2.9634462873502603</v>
      </c>
      <c r="M101" s="128"/>
      <c r="N101" s="136"/>
      <c r="O101" s="128"/>
      <c r="P101" s="136">
        <f t="shared" si="9"/>
        <v>-2.9634462873502603</v>
      </c>
    </row>
    <row r="102" spans="1:16" ht="12" hidden="1" outlineLevel="2" thickBot="1">
      <c r="A102" s="115" t="s">
        <v>984</v>
      </c>
      <c r="B102" s="115" t="s">
        <v>74</v>
      </c>
      <c r="C102" s="134" t="s">
        <v>1499</v>
      </c>
      <c r="E102" s="135" t="s">
        <v>1500</v>
      </c>
      <c r="F102" s="135" t="s">
        <v>66</v>
      </c>
      <c r="G102" s="131" t="s">
        <v>306</v>
      </c>
      <c r="H102" s="135">
        <v>-1</v>
      </c>
      <c r="I102" s="151">
        <f>_xll.GetCtData("COAMOUNT","CONSAMOUNT",$A$1:$A$8,$A102:$B102,,"#161,660956476694")/10^3*$H102</f>
        <v>-0.16166095647669398</v>
      </c>
      <c r="J102" s="136"/>
      <c r="K102" s="136"/>
      <c r="L102" s="136">
        <f t="shared" si="10"/>
        <v>-1.6166095647669398E-4</v>
      </c>
      <c r="M102" s="128"/>
      <c r="N102" s="136"/>
      <c r="O102" s="128"/>
      <c r="P102" s="136">
        <f t="shared" si="9"/>
        <v>-1.6166095647669398E-4</v>
      </c>
    </row>
    <row r="103" spans="1:16" ht="12" hidden="1" outlineLevel="2" thickBot="1">
      <c r="A103" s="115" t="s">
        <v>993</v>
      </c>
      <c r="B103" s="115" t="s">
        <v>74</v>
      </c>
      <c r="C103" s="134" t="s">
        <v>1490</v>
      </c>
      <c r="E103" s="135" t="s">
        <v>974</v>
      </c>
      <c r="F103" s="135" t="s">
        <v>66</v>
      </c>
      <c r="G103" s="131" t="s">
        <v>306</v>
      </c>
      <c r="H103" s="135">
        <v>-1</v>
      </c>
      <c r="I103" s="151">
        <f>_xll.GetCtData("COAMOUNT","CONSAMOUNT",$A$1:$A$8,$A103:$B103,,"#2504346,97619344")/10^3*$H103</f>
        <v>-2504.3469761934402</v>
      </c>
      <c r="J103" s="136"/>
      <c r="K103" s="136"/>
      <c r="L103" s="136">
        <f t="shared" si="10"/>
        <v>-2.5043469761934403</v>
      </c>
      <c r="M103" s="128"/>
      <c r="N103" s="136"/>
      <c r="O103" s="128"/>
      <c r="P103" s="136">
        <f t="shared" si="9"/>
        <v>-2.5043469761934403</v>
      </c>
    </row>
    <row r="104" spans="1:16" ht="12" hidden="1" outlineLevel="2" thickBot="1">
      <c r="A104" s="115" t="s">
        <v>994</v>
      </c>
      <c r="B104" s="115" t="s">
        <v>74</v>
      </c>
      <c r="C104" s="134" t="s">
        <v>1501</v>
      </c>
      <c r="E104" s="135" t="s">
        <v>1502</v>
      </c>
      <c r="F104" s="135" t="s">
        <v>66</v>
      </c>
      <c r="G104" s="131" t="s">
        <v>306</v>
      </c>
      <c r="H104" s="135">
        <v>-1</v>
      </c>
      <c r="I104" s="151">
        <f>_xll.GetCtData("COAMOUNT","CONSAMOUNT",$A$1:$A$8,$A104:$B104,,"#160527")/10^3*$H104</f>
        <v>-160.52699999999999</v>
      </c>
      <c r="J104" s="136"/>
      <c r="K104" s="136"/>
      <c r="L104" s="136">
        <f t="shared" si="10"/>
        <v>-0.16052699999999998</v>
      </c>
      <c r="M104" s="128"/>
      <c r="N104" s="136"/>
      <c r="O104" s="128"/>
      <c r="P104" s="136">
        <f t="shared" si="9"/>
        <v>-0.16052699999999998</v>
      </c>
    </row>
    <row r="105" spans="1:16" ht="12" hidden="1" outlineLevel="2" thickBot="1">
      <c r="A105" s="115" t="s">
        <v>988</v>
      </c>
      <c r="B105" s="115" t="s">
        <v>74</v>
      </c>
      <c r="C105" s="134" t="s">
        <v>968</v>
      </c>
      <c r="E105" s="135" t="s">
        <v>969</v>
      </c>
      <c r="F105" s="135" t="s">
        <v>66</v>
      </c>
      <c r="G105" s="131" t="s">
        <v>306</v>
      </c>
      <c r="H105" s="135">
        <v>-1</v>
      </c>
      <c r="I105" s="151">
        <f>_xll.GetCtData("COAMOUNT","CONSAMOUNT",$A$1:$A$8,$A105:$B105,,"#315024,538226894")/10^3*$H105</f>
        <v>-315.02453822689398</v>
      </c>
      <c r="J105" s="136"/>
      <c r="K105" s="136"/>
      <c r="L105" s="136">
        <f t="shared" si="10"/>
        <v>-0.31502453822689397</v>
      </c>
      <c r="M105" s="128"/>
      <c r="N105" s="136"/>
      <c r="O105" s="128"/>
      <c r="P105" s="136">
        <f t="shared" si="9"/>
        <v>-0.31502453822689397</v>
      </c>
    </row>
    <row r="106" spans="1:16" ht="12" hidden="1" outlineLevel="2" thickBot="1">
      <c r="A106" s="115" t="s">
        <v>989</v>
      </c>
      <c r="B106" s="115" t="s">
        <v>74</v>
      </c>
      <c r="C106" s="134" t="s">
        <v>970</v>
      </c>
      <c r="E106" s="135" t="s">
        <v>971</v>
      </c>
      <c r="F106" s="135" t="s">
        <v>66</v>
      </c>
      <c r="G106" s="131" t="s">
        <v>306</v>
      </c>
      <c r="H106" s="135">
        <v>-1</v>
      </c>
      <c r="I106" s="151">
        <f>_xll.GetCtData("COAMOUNT","CONSAMOUNT",$A$1:$A$8,$A106:$B106,,"#-197736,723500025")/10^3*$H106</f>
        <v>197.73672350002499</v>
      </c>
      <c r="J106" s="136"/>
      <c r="K106" s="136"/>
      <c r="L106" s="136">
        <f t="shared" si="10"/>
        <v>0.197736723500025</v>
      </c>
      <c r="M106" s="128"/>
      <c r="N106" s="136"/>
      <c r="O106" s="128"/>
      <c r="P106" s="136">
        <f t="shared" si="9"/>
        <v>0.197736723500025</v>
      </c>
    </row>
    <row r="107" spans="1:16" ht="12" hidden="1" outlineLevel="2" thickBot="1">
      <c r="A107" s="115" t="s">
        <v>997</v>
      </c>
      <c r="B107" s="115" t="s">
        <v>74</v>
      </c>
      <c r="C107" s="134" t="s">
        <v>977</v>
      </c>
      <c r="E107" s="135" t="s">
        <v>978</v>
      </c>
      <c r="F107" s="135" t="s">
        <v>66</v>
      </c>
      <c r="G107" s="131" t="s">
        <v>306</v>
      </c>
      <c r="H107" s="135">
        <v>-1</v>
      </c>
      <c r="I107" s="151">
        <f>_xll.GetCtData("COAMOUNT","CONSAMOUNT",$A$1:$A$8,$A107:$B107,,"#-801")/10^3*$H107</f>
        <v>0.80100000000000005</v>
      </c>
      <c r="J107" s="136"/>
      <c r="K107" s="136"/>
      <c r="L107" s="136">
        <f t="shared" si="10"/>
        <v>8.0100000000000006E-4</v>
      </c>
      <c r="M107" s="128"/>
      <c r="N107" s="136"/>
      <c r="O107" s="128"/>
      <c r="P107" s="136">
        <f t="shared" si="9"/>
        <v>8.0100000000000006E-4</v>
      </c>
    </row>
    <row r="108" spans="1:16" ht="12" hidden="1" outlineLevel="2" thickBot="1">
      <c r="A108" s="115" t="s">
        <v>998</v>
      </c>
      <c r="B108" s="115" t="s">
        <v>74</v>
      </c>
      <c r="C108" s="134" t="s">
        <v>979</v>
      </c>
      <c r="E108" s="135" t="s">
        <v>980</v>
      </c>
      <c r="F108" s="135" t="s">
        <v>66</v>
      </c>
      <c r="G108" s="131" t="s">
        <v>306</v>
      </c>
      <c r="H108" s="135">
        <v>-1</v>
      </c>
      <c r="I108" s="151">
        <f>_xll.GetCtData("COAMOUNT","CONSAMOUNT",$A$1:$A$8,$A108:$B108,,"#-2446")/10^3*$H108</f>
        <v>2.4460000000000002</v>
      </c>
      <c r="J108" s="136"/>
      <c r="K108" s="136"/>
      <c r="L108" s="136">
        <f t="shared" si="10"/>
        <v>2.4460000000000003E-3</v>
      </c>
      <c r="M108" s="128"/>
      <c r="N108" s="136"/>
      <c r="O108" s="128"/>
      <c r="P108" s="136">
        <f t="shared" si="9"/>
        <v>2.4460000000000003E-3</v>
      </c>
    </row>
    <row r="109" spans="1:16" ht="12" hidden="1" outlineLevel="2" thickBot="1">
      <c r="A109" s="115" t="s">
        <v>985</v>
      </c>
      <c r="B109" s="115" t="s">
        <v>74</v>
      </c>
      <c r="C109" s="134" t="s">
        <v>1493</v>
      </c>
      <c r="E109" s="135" t="s">
        <v>967</v>
      </c>
      <c r="F109" s="135" t="s">
        <v>66</v>
      </c>
      <c r="G109" s="131" t="s">
        <v>306</v>
      </c>
      <c r="H109" s="135">
        <v>-1</v>
      </c>
      <c r="I109" s="151">
        <f>_xll.GetCtData("COAMOUNT","CONSAMOUNT",$A$1:$A$8,$A109:$B109,,"#171286,499742222")/10^3*$H109</f>
        <v>-171.28649974222199</v>
      </c>
      <c r="J109" s="136"/>
      <c r="K109" s="136"/>
      <c r="L109" s="136">
        <f t="shared" si="10"/>
        <v>-0.17128649974222199</v>
      </c>
      <c r="M109" s="128"/>
      <c r="N109" s="136"/>
      <c r="O109" s="128"/>
      <c r="P109" s="136">
        <f t="shared" si="9"/>
        <v>-0.17128649974222199</v>
      </c>
    </row>
    <row r="110" spans="1:16" ht="12" hidden="1" outlineLevel="2" thickBot="1">
      <c r="A110" s="115" t="s">
        <v>995</v>
      </c>
      <c r="B110" s="115" t="s">
        <v>74</v>
      </c>
      <c r="C110" s="134" t="s">
        <v>1494</v>
      </c>
      <c r="E110" s="135" t="s">
        <v>976</v>
      </c>
      <c r="F110" s="135" t="s">
        <v>66</v>
      </c>
      <c r="G110" s="131" t="s">
        <v>306</v>
      </c>
      <c r="H110" s="135">
        <v>-1</v>
      </c>
      <c r="I110" s="151">
        <f>_xll.GetCtData("COAMOUNT","CONSAMOUNT",$A$1:$A$8,$A110:$B110,,"#64202,4618878075")/10^3*$H110</f>
        <v>-64.202461887807502</v>
      </c>
      <c r="J110" s="136"/>
      <c r="K110" s="136"/>
      <c r="L110" s="136">
        <f t="shared" si="10"/>
        <v>-6.4202461887807497E-2</v>
      </c>
      <c r="M110" s="128"/>
      <c r="N110" s="136"/>
      <c r="O110" s="128"/>
      <c r="P110" s="136">
        <f t="shared" si="9"/>
        <v>-6.4202461887807497E-2</v>
      </c>
    </row>
    <row r="111" spans="1:16" ht="12" hidden="1" outlineLevel="2" thickBot="1">
      <c r="A111" s="115" t="s">
        <v>1642</v>
      </c>
      <c r="B111" s="115" t="s">
        <v>74</v>
      </c>
      <c r="C111" s="134" t="s">
        <v>1455</v>
      </c>
      <c r="E111" s="135" t="s">
        <v>1456</v>
      </c>
      <c r="F111" s="135" t="s">
        <v>66</v>
      </c>
      <c r="G111" s="131" t="s">
        <v>306</v>
      </c>
      <c r="H111" s="135">
        <v>-1</v>
      </c>
      <c r="I111" s="151">
        <f>_xll.GetCtData("COAMOUNT","CONSAMOUNT",$A$1:$A$8,$A111:$B111,,"#-955693,465407227")/10^3*$H111</f>
        <v>955.693465407227</v>
      </c>
      <c r="J111" s="136"/>
      <c r="K111" s="136"/>
      <c r="L111" s="136">
        <f t="shared" si="10"/>
        <v>0.95569346540722699</v>
      </c>
      <c r="M111" s="128"/>
      <c r="N111" s="136"/>
      <c r="O111" s="128"/>
      <c r="P111" s="136">
        <f t="shared" si="9"/>
        <v>0.95569346540722699</v>
      </c>
    </row>
    <row r="112" spans="1:16" ht="12" hidden="1" outlineLevel="2" thickBot="1">
      <c r="A112" s="115" t="s">
        <v>1643</v>
      </c>
      <c r="B112" s="115" t="s">
        <v>74</v>
      </c>
      <c r="C112" s="134" t="s">
        <v>1483</v>
      </c>
      <c r="E112" s="135" t="s">
        <v>1484</v>
      </c>
      <c r="F112" s="135" t="s">
        <v>66</v>
      </c>
      <c r="G112" s="131" t="s">
        <v>306</v>
      </c>
      <c r="H112" s="135">
        <v>-1</v>
      </c>
      <c r="I112" s="151">
        <f>_xll.GetCtData("COAMOUNT","CONSAMOUNT",$A$1:$A$8,$A112:$B112,,"#-1206670,27186944")/10^3*$H112</f>
        <v>1206.6702718694401</v>
      </c>
      <c r="J112" s="136"/>
      <c r="K112" s="136"/>
      <c r="L112" s="136">
        <f t="shared" si="10"/>
        <v>1.20667027186944</v>
      </c>
      <c r="M112" s="128"/>
      <c r="N112" s="136"/>
      <c r="O112" s="128"/>
      <c r="P112" s="136">
        <f t="shared" si="9"/>
        <v>1.20667027186944</v>
      </c>
    </row>
    <row r="113" spans="1:16" ht="12" hidden="1" outlineLevel="2" thickBot="1">
      <c r="A113" s="115" t="s">
        <v>1644</v>
      </c>
      <c r="B113" s="115" t="s">
        <v>74</v>
      </c>
      <c r="C113" s="134" t="s">
        <v>1487</v>
      </c>
      <c r="E113" s="135" t="s">
        <v>1488</v>
      </c>
      <c r="F113" s="135" t="s">
        <v>66</v>
      </c>
      <c r="G113" s="131" t="s">
        <v>306</v>
      </c>
      <c r="H113" s="135">
        <v>-1</v>
      </c>
      <c r="I113" s="151">
        <f>_xll.GetCtData("COAMOUNT","CONSAMOUNT",$A$1:$A$8,$A113:$B113,,"#-400593,070222097")/10^3*$H113</f>
        <v>400.59307022209697</v>
      </c>
      <c r="J113" s="136"/>
      <c r="K113" s="136"/>
      <c r="L113" s="136">
        <f t="shared" si="10"/>
        <v>0.40059307022209695</v>
      </c>
      <c r="M113" s="128"/>
      <c r="N113" s="136"/>
      <c r="O113" s="128"/>
      <c r="P113" s="136">
        <f t="shared" si="9"/>
        <v>0.40059307022209695</v>
      </c>
    </row>
    <row r="114" spans="1:16" ht="12" hidden="1" outlineLevel="2" thickBot="1">
      <c r="A114" s="115" t="s">
        <v>1645</v>
      </c>
      <c r="B114" s="115" t="s">
        <v>74</v>
      </c>
      <c r="C114" s="134" t="s">
        <v>1479</v>
      </c>
      <c r="E114" s="135" t="s">
        <v>1480</v>
      </c>
      <c r="F114" s="135" t="s">
        <v>66</v>
      </c>
      <c r="G114" s="131" t="s">
        <v>306</v>
      </c>
      <c r="H114" s="135">
        <v>-1</v>
      </c>
      <c r="I114" s="151">
        <f>_xll.GetCtData("COAMOUNT","CONSAMOUNT",$A$1:$A$8,$A114:$B114,,"#12819,9819107122")/10^3*$H114</f>
        <v>-12.819981910712201</v>
      </c>
      <c r="J114" s="136"/>
      <c r="K114" s="136"/>
      <c r="L114" s="136">
        <f t="shared" si="10"/>
        <v>-1.2819981910712201E-2</v>
      </c>
      <c r="M114" s="128"/>
      <c r="N114" s="136"/>
      <c r="O114" s="128"/>
      <c r="P114" s="136">
        <f t="shared" si="9"/>
        <v>-1.2819981910712201E-2</v>
      </c>
    </row>
    <row r="115" spans="1:16" ht="12" hidden="1" outlineLevel="2" thickBot="1">
      <c r="A115" s="115" t="s">
        <v>1646</v>
      </c>
      <c r="B115" s="115" t="s">
        <v>74</v>
      </c>
      <c r="C115" s="134" t="s">
        <v>1453</v>
      </c>
      <c r="E115" s="135" t="s">
        <v>1454</v>
      </c>
      <c r="F115" s="135" t="s">
        <v>66</v>
      </c>
      <c r="G115" s="131" t="s">
        <v>306</v>
      </c>
      <c r="H115" s="135">
        <v>-1</v>
      </c>
      <c r="I115" s="151">
        <f>_xll.GetCtData("COAMOUNT","CONSAMOUNT",$A$1:$A$8,$A115:$B115,,"#-3823815,59924519")/10^3*$H115</f>
        <v>3823.8155992451902</v>
      </c>
      <c r="J115" s="136"/>
      <c r="K115" s="136"/>
      <c r="L115" s="136">
        <f t="shared" si="10"/>
        <v>3.8238155992451901</v>
      </c>
      <c r="M115" s="128"/>
      <c r="N115" s="136"/>
      <c r="O115" s="128"/>
      <c r="P115" s="136">
        <f t="shared" si="9"/>
        <v>3.8238155992451901</v>
      </c>
    </row>
    <row r="116" spans="1:16" ht="12" hidden="1" outlineLevel="2" thickBot="1">
      <c r="A116" s="115" t="s">
        <v>1647</v>
      </c>
      <c r="B116" s="115" t="s">
        <v>74</v>
      </c>
      <c r="C116" s="134" t="s">
        <v>1481</v>
      </c>
      <c r="E116" s="135" t="s">
        <v>1482</v>
      </c>
      <c r="F116" s="135" t="s">
        <v>66</v>
      </c>
      <c r="G116" s="131" t="s">
        <v>306</v>
      </c>
      <c r="H116" s="135">
        <v>-1</v>
      </c>
      <c r="I116" s="151">
        <f>_xll.GetCtData("COAMOUNT","CONSAMOUNT",$A$1:$A$8,$A116:$B116,,"#-192100,314470841")/10^3*$H116</f>
        <v>192.100314470841</v>
      </c>
      <c r="J116" s="136"/>
      <c r="K116" s="136"/>
      <c r="L116" s="136">
        <f t="shared" si="10"/>
        <v>0.192100314470841</v>
      </c>
      <c r="M116" s="128"/>
      <c r="N116" s="136"/>
      <c r="O116" s="128"/>
      <c r="P116" s="136">
        <f t="shared" si="9"/>
        <v>0.192100314470841</v>
      </c>
    </row>
    <row r="117" spans="1:16" ht="12" hidden="1" outlineLevel="2" thickBot="1">
      <c r="A117" s="115" t="s">
        <v>1648</v>
      </c>
      <c r="B117" s="115" t="s">
        <v>74</v>
      </c>
      <c r="C117" s="134" t="s">
        <v>1485</v>
      </c>
      <c r="E117" s="135" t="s">
        <v>1486</v>
      </c>
      <c r="F117" s="135" t="s">
        <v>66</v>
      </c>
      <c r="G117" s="131" t="s">
        <v>306</v>
      </c>
      <c r="H117" s="135">
        <v>-1</v>
      </c>
      <c r="I117" s="151">
        <f>_xll.GetCtData("COAMOUNT","CONSAMOUNT",$A$1:$A$8,$A117:$B117,,"#-292770,726012772")/10^3*$H117</f>
        <v>292.770726012772</v>
      </c>
      <c r="J117" s="136"/>
      <c r="K117" s="136"/>
      <c r="L117" s="136">
        <f t="shared" si="10"/>
        <v>0.29277072601277199</v>
      </c>
      <c r="M117" s="128"/>
      <c r="N117" s="136"/>
      <c r="O117" s="128"/>
      <c r="P117" s="136">
        <f t="shared" si="9"/>
        <v>0.29277072601277199</v>
      </c>
    </row>
    <row r="118" spans="1:16" ht="12" hidden="1" outlineLevel="2" thickBot="1">
      <c r="A118" s="115" t="s">
        <v>1649</v>
      </c>
      <c r="B118" s="115" t="s">
        <v>74</v>
      </c>
      <c r="C118" s="134" t="s">
        <v>1477</v>
      </c>
      <c r="E118" s="135" t="s">
        <v>1478</v>
      </c>
      <c r="F118" s="135" t="s">
        <v>66</v>
      </c>
      <c r="G118" s="131" t="s">
        <v>306</v>
      </c>
      <c r="H118" s="135">
        <v>-1</v>
      </c>
      <c r="I118" s="151">
        <f>_xll.GetCtData("COAMOUNT","CONSAMOUNT",$A$1:$A$8,$A118:$B118,,"#37314,5521113515")/10^3*$H118</f>
        <v>-37.314552111351496</v>
      </c>
      <c r="J118" s="136"/>
      <c r="K118" s="136"/>
      <c r="L118" s="136">
        <f t="shared" si="10"/>
        <v>-3.7314552111351498E-2</v>
      </c>
      <c r="M118" s="128"/>
      <c r="N118" s="136"/>
      <c r="O118" s="128"/>
      <c r="P118" s="136">
        <f t="shared" si="9"/>
        <v>-3.7314552111351498E-2</v>
      </c>
    </row>
    <row r="119" spans="1:16" ht="12" hidden="1" outlineLevel="2" thickBot="1">
      <c r="A119" s="115" t="s">
        <v>992</v>
      </c>
      <c r="B119" s="115" t="s">
        <v>74</v>
      </c>
      <c r="C119" s="134" t="s">
        <v>1503</v>
      </c>
      <c r="E119" s="135" t="s">
        <v>1504</v>
      </c>
      <c r="F119" s="135" t="s">
        <v>66</v>
      </c>
      <c r="G119" s="131" t="s">
        <v>306</v>
      </c>
      <c r="H119" s="135">
        <v>-1</v>
      </c>
      <c r="I119" s="151">
        <f>_xll.GetCtData("COAMOUNT","CONSAMOUNT",$A$1:$A$8,$A119:$B119,,"#-37314,5521113515")/10^3*$H119</f>
        <v>37.314552111351496</v>
      </c>
      <c r="J119" s="136"/>
      <c r="K119" s="136"/>
      <c r="L119" s="136">
        <f t="shared" si="10"/>
        <v>3.7314552111351498E-2</v>
      </c>
      <c r="M119" s="128"/>
      <c r="N119" s="136"/>
      <c r="O119" s="128"/>
      <c r="P119" s="136">
        <f t="shared" si="9"/>
        <v>3.7314552111351498E-2</v>
      </c>
    </row>
    <row r="120" spans="1:16" ht="12" hidden="1" outlineLevel="2" thickBot="1">
      <c r="A120" s="115" t="s">
        <v>1001</v>
      </c>
      <c r="B120" s="115" t="s">
        <v>74</v>
      </c>
      <c r="C120" s="134" t="s">
        <v>1505</v>
      </c>
      <c r="E120" s="135" t="s">
        <v>1506</v>
      </c>
      <c r="F120" s="135" t="s">
        <v>66</v>
      </c>
      <c r="G120" s="131" t="s">
        <v>306</v>
      </c>
      <c r="H120" s="135">
        <v>-1</v>
      </c>
      <c r="I120" s="151">
        <f>_xll.GetCtData("COAMOUNT","CONSAMOUNT",$A$1:$A$8,$A120:$B120,,"#-12819,9819107122")/10^3*$H120</f>
        <v>12.819981910712201</v>
      </c>
      <c r="J120" s="136"/>
      <c r="K120" s="136"/>
      <c r="L120" s="136">
        <f t="shared" si="10"/>
        <v>1.2819981910712201E-2</v>
      </c>
      <c r="M120" s="128"/>
      <c r="N120" s="136"/>
      <c r="O120" s="128"/>
      <c r="P120" s="136">
        <f t="shared" si="9"/>
        <v>1.2819981910712201E-2</v>
      </c>
    </row>
    <row r="121" spans="1:16" ht="12" hidden="1" outlineLevel="2" thickBot="1">
      <c r="A121" s="115" t="s">
        <v>991</v>
      </c>
      <c r="B121" s="115" t="s">
        <v>74</v>
      </c>
      <c r="C121" s="134" t="s">
        <v>1491</v>
      </c>
      <c r="E121" s="135" t="s">
        <v>973</v>
      </c>
      <c r="F121" s="135" t="s">
        <v>66</v>
      </c>
      <c r="G121" s="131" t="s">
        <v>306</v>
      </c>
      <c r="H121" s="135">
        <v>-1</v>
      </c>
      <c r="I121" s="151">
        <f>_xll.GetCtData("COAMOUNT","CONSAMOUNT",$A$1:$A$8,$A121:$B121,,"#-17682")/10^3*$H121</f>
        <v>17.681999999999999</v>
      </c>
      <c r="J121" s="136"/>
      <c r="K121" s="136"/>
      <c r="L121" s="136">
        <f t="shared" si="10"/>
        <v>1.7682E-2</v>
      </c>
      <c r="M121" s="128"/>
      <c r="N121" s="136"/>
      <c r="O121" s="128"/>
      <c r="P121" s="136">
        <f t="shared" si="9"/>
        <v>1.7682E-2</v>
      </c>
    </row>
    <row r="122" spans="1:16" ht="12" hidden="1" outlineLevel="2" thickBot="1">
      <c r="A122" s="115" t="s">
        <v>1000</v>
      </c>
      <c r="B122" s="115" t="s">
        <v>74</v>
      </c>
      <c r="C122" s="134" t="s">
        <v>1492</v>
      </c>
      <c r="E122" s="135" t="s">
        <v>982</v>
      </c>
      <c r="F122" s="135" t="s">
        <v>66</v>
      </c>
      <c r="G122" s="131" t="s">
        <v>306</v>
      </c>
      <c r="H122" s="135">
        <v>-1</v>
      </c>
      <c r="I122" s="151">
        <f>_xll.GetCtData("COAMOUNT","CONSAMOUNT",$A$1:$A$8,$A122:$B122,,"#-234")/10^3*$H122</f>
        <v>0.23400000000000001</v>
      </c>
      <c r="J122" s="136"/>
      <c r="K122" s="136"/>
      <c r="L122" s="136">
        <f t="shared" si="10"/>
        <v>2.3400000000000002E-4</v>
      </c>
      <c r="M122" s="128"/>
      <c r="N122" s="136"/>
      <c r="O122" s="128"/>
      <c r="P122" s="136">
        <f t="shared" si="9"/>
        <v>2.3400000000000002E-4</v>
      </c>
    </row>
    <row r="123" spans="1:16" ht="12" hidden="1" outlineLevel="2" thickBot="1">
      <c r="A123" s="115" t="s">
        <v>1650</v>
      </c>
      <c r="B123" s="115" t="s">
        <v>74</v>
      </c>
      <c r="C123" s="134" t="s">
        <v>1457</v>
      </c>
      <c r="E123" s="135" t="s">
        <v>1458</v>
      </c>
      <c r="F123" s="135" t="s">
        <v>66</v>
      </c>
      <c r="G123" s="131" t="s">
        <v>306</v>
      </c>
      <c r="H123" s="135">
        <v>-1</v>
      </c>
      <c r="I123" s="151">
        <f>_xll.GetCtData("COAMOUNT","CONSAMOUNT",$A$1:$A$8,$A123:$B123,,"#-24138,2403521778")/10^3*$H123</f>
        <v>24.1382403521778</v>
      </c>
      <c r="J123" s="136"/>
      <c r="K123" s="136"/>
      <c r="L123" s="136">
        <f t="shared" si="10"/>
        <v>2.4138240352177799E-2</v>
      </c>
      <c r="M123" s="128"/>
      <c r="N123" s="136"/>
      <c r="O123" s="128"/>
      <c r="P123" s="136">
        <f t="shared" si="9"/>
        <v>2.4138240352177799E-2</v>
      </c>
    </row>
    <row r="124" spans="1:16" ht="12" hidden="1" outlineLevel="2" thickBot="1">
      <c r="A124" s="115" t="s">
        <v>1651</v>
      </c>
      <c r="B124" s="115" t="s">
        <v>74</v>
      </c>
      <c r="C124" s="134" t="s">
        <v>1459</v>
      </c>
      <c r="E124" s="135" t="s">
        <v>1460</v>
      </c>
      <c r="F124" s="135" t="s">
        <v>66</v>
      </c>
      <c r="G124" s="131" t="s">
        <v>306</v>
      </c>
      <c r="H124" s="135">
        <v>-1</v>
      </c>
      <c r="I124" s="151">
        <f>_xll.GetCtData("COAMOUNT","CONSAMOUNT",$A$1:$A$8,$A124:$B124,,"#-4716")/10^3*$H124</f>
        <v>4.7160000000000002</v>
      </c>
      <c r="J124" s="136"/>
      <c r="K124" s="136"/>
      <c r="L124" s="136">
        <f t="shared" si="10"/>
        <v>4.7160000000000006E-3</v>
      </c>
      <c r="M124" s="128"/>
      <c r="N124" s="136"/>
      <c r="O124" s="128"/>
      <c r="P124" s="136">
        <f t="shared" si="9"/>
        <v>4.7160000000000006E-3</v>
      </c>
    </row>
    <row r="125" spans="1:16" ht="12" hidden="1" outlineLevel="2" thickBot="1">
      <c r="A125" s="115" t="s">
        <v>1611</v>
      </c>
      <c r="B125" s="115" t="s">
        <v>1652</v>
      </c>
      <c r="C125" s="134" t="s">
        <v>1612</v>
      </c>
      <c r="E125" s="135" t="s">
        <v>1613</v>
      </c>
      <c r="F125" s="135" t="s">
        <v>1653</v>
      </c>
      <c r="G125" s="131" t="s">
        <v>1654</v>
      </c>
      <c r="H125" s="135">
        <v>1</v>
      </c>
      <c r="I125" s="151"/>
      <c r="J125" s="151">
        <f>_xll.GetCtData("COAMOUNT","CONSAMOUNT",$A$1:$A$8,$A125:$B125,,"#38199,4761372153")/10^3*$H125</f>
        <v>38.199476137215299</v>
      </c>
      <c r="K125" s="136"/>
      <c r="L125" s="136">
        <f t="shared" si="10"/>
        <v>3.8199476137215298E-2</v>
      </c>
      <c r="M125" s="128"/>
      <c r="N125" s="136"/>
      <c r="O125" s="128"/>
      <c r="P125" s="136">
        <f t="shared" si="9"/>
        <v>3.8199476137215298E-2</v>
      </c>
    </row>
    <row r="126" spans="1:16" ht="12" hidden="1" outlineLevel="2" thickBot="1">
      <c r="A126" s="115" t="s">
        <v>1617</v>
      </c>
      <c r="B126" s="115" t="s">
        <v>1652</v>
      </c>
      <c r="C126" s="134" t="s">
        <v>1618</v>
      </c>
      <c r="E126" s="135" t="s">
        <v>1619</v>
      </c>
      <c r="F126" s="135" t="s">
        <v>1653</v>
      </c>
      <c r="G126" s="131" t="s">
        <v>1654</v>
      </c>
      <c r="H126" s="135">
        <v>1</v>
      </c>
      <c r="I126" s="151"/>
      <c r="J126" s="151">
        <f>_xll.GetCtData("COAMOUNT","CONSAMOUNT",$A$1:$A$8,$A126:$B126,,"#-8,55869617208506")/10^3*$H126</f>
        <v>-8.5586961720850608E-3</v>
      </c>
      <c r="K126" s="136"/>
      <c r="L126" s="136">
        <f t="shared" si="10"/>
        <v>-8.5586961720850607E-6</v>
      </c>
      <c r="M126" s="128"/>
      <c r="N126" s="136"/>
      <c r="O126" s="128"/>
      <c r="P126" s="136">
        <f t="shared" si="9"/>
        <v>-8.5586961720850607E-6</v>
      </c>
    </row>
    <row r="127" spans="1:16" ht="12" hidden="1" outlineLevel="2" thickBot="1">
      <c r="A127" s="115" t="s">
        <v>1555</v>
      </c>
      <c r="B127" s="115" t="s">
        <v>1652</v>
      </c>
      <c r="C127" s="134" t="s">
        <v>1556</v>
      </c>
      <c r="E127" s="135" t="s">
        <v>1557</v>
      </c>
      <c r="F127" s="135" t="s">
        <v>1653</v>
      </c>
      <c r="G127" s="131" t="s">
        <v>1654</v>
      </c>
      <c r="H127" s="135">
        <v>-1</v>
      </c>
      <c r="I127" s="151"/>
      <c r="J127" s="151">
        <f>_xll.GetCtData("COAMOUNT","CONSAMOUNT",$A$1:$A$8,$A127:$B127,,"#-667,167594762236")/10^3*$H127</f>
        <v>0.66716759476223608</v>
      </c>
      <c r="K127" s="136"/>
      <c r="L127" s="136">
        <f t="shared" si="10"/>
        <v>6.6716759476223607E-4</v>
      </c>
      <c r="M127" s="128"/>
      <c r="N127" s="136"/>
      <c r="O127" s="128"/>
      <c r="P127" s="136">
        <f t="shared" si="9"/>
        <v>6.6716759476223607E-4</v>
      </c>
    </row>
    <row r="128" spans="1:16" ht="12" hidden="1" outlineLevel="2" thickBot="1">
      <c r="A128" s="115" t="s">
        <v>1561</v>
      </c>
      <c r="B128" s="115" t="s">
        <v>1652</v>
      </c>
      <c r="C128" s="134" t="s">
        <v>1562</v>
      </c>
      <c r="E128" s="135" t="s">
        <v>1563</v>
      </c>
      <c r="F128" s="135" t="s">
        <v>1653</v>
      </c>
      <c r="G128" s="131" t="s">
        <v>1654</v>
      </c>
      <c r="H128" s="135">
        <v>-1</v>
      </c>
      <c r="I128" s="151"/>
      <c r="J128" s="151">
        <f>_xll.GetCtData("COAMOUNT","CONSAMOUNT",$A$1:$A$8,$A128:$B128,,"#")/10^3*$H128</f>
        <v>0</v>
      </c>
      <c r="K128" s="136"/>
      <c r="L128" s="136">
        <f t="shared" si="10"/>
        <v>0</v>
      </c>
      <c r="M128" s="128"/>
      <c r="N128" s="136"/>
      <c r="O128" s="128"/>
      <c r="P128" s="136">
        <f t="shared" si="9"/>
        <v>0</v>
      </c>
    </row>
    <row r="129" spans="1:17" ht="12" hidden="1" outlineLevel="2" thickBot="1">
      <c r="A129" s="115" t="s">
        <v>1596</v>
      </c>
      <c r="B129" s="115" t="s">
        <v>1652</v>
      </c>
      <c r="C129" s="134" t="s">
        <v>1597</v>
      </c>
      <c r="E129" s="135" t="s">
        <v>1598</v>
      </c>
      <c r="F129" s="135" t="s">
        <v>1653</v>
      </c>
      <c r="G129" s="131" t="s">
        <v>1654</v>
      </c>
      <c r="H129" s="135">
        <v>1</v>
      </c>
      <c r="I129" s="151"/>
      <c r="J129" s="151">
        <f>_xll.GetCtData("COAMOUNT","CONSAMOUNT",$A$1:$A$8,$A129:$B129,,"#")/10^3*$H129</f>
        <v>0</v>
      </c>
      <c r="K129" s="136"/>
      <c r="L129" s="136">
        <f t="shared" si="10"/>
        <v>0</v>
      </c>
      <c r="M129" s="128"/>
      <c r="N129" s="136"/>
      <c r="O129" s="128"/>
      <c r="P129" s="136">
        <f t="shared" si="9"/>
        <v>0</v>
      </c>
    </row>
    <row r="130" spans="1:17" ht="12" hidden="1" outlineLevel="2" thickBot="1">
      <c r="A130" s="115" t="s">
        <v>1599</v>
      </c>
      <c r="B130" s="115" t="s">
        <v>1652</v>
      </c>
      <c r="C130" s="134" t="s">
        <v>1600</v>
      </c>
      <c r="E130" s="135" t="s">
        <v>1601</v>
      </c>
      <c r="F130" s="135" t="s">
        <v>1653</v>
      </c>
      <c r="G130" s="131" t="s">
        <v>1654</v>
      </c>
      <c r="H130" s="135">
        <v>1</v>
      </c>
      <c r="I130" s="151">
        <f>_xll.GetCtData("COAMOUNT","CONSAMOUNT",$A$1:$A$8,$A130:$B130,,"#")/10^3*$H130</f>
        <v>0</v>
      </c>
      <c r="J130" s="136"/>
      <c r="K130" s="136"/>
      <c r="L130" s="136">
        <f t="shared" si="10"/>
        <v>0</v>
      </c>
      <c r="M130" s="128"/>
      <c r="N130" s="136"/>
      <c r="O130" s="128"/>
      <c r="P130" s="136">
        <f t="shared" si="9"/>
        <v>0</v>
      </c>
    </row>
    <row r="131" spans="1:17" ht="12" hidden="1" outlineLevel="2" thickBot="1">
      <c r="A131" s="115" t="s">
        <v>1540</v>
      </c>
      <c r="B131" s="115" t="s">
        <v>1652</v>
      </c>
      <c r="C131" s="134" t="s">
        <v>1541</v>
      </c>
      <c r="E131" s="135" t="s">
        <v>1542</v>
      </c>
      <c r="F131" s="135" t="s">
        <v>1653</v>
      </c>
      <c r="G131" s="131" t="s">
        <v>1654</v>
      </c>
      <c r="H131" s="135">
        <v>-1</v>
      </c>
      <c r="I131" s="151">
        <f>_xll.GetCtData("COAMOUNT","CONSAMOUNT",$A$1:$A$8,$A131:$B131,,"#")/10^3*$H131</f>
        <v>0</v>
      </c>
      <c r="J131" s="136"/>
      <c r="K131" s="136"/>
      <c r="L131" s="136">
        <f t="shared" si="10"/>
        <v>0</v>
      </c>
      <c r="M131" s="128"/>
      <c r="N131" s="136"/>
      <c r="O131" s="128"/>
      <c r="P131" s="136">
        <f t="shared" si="9"/>
        <v>0</v>
      </c>
    </row>
    <row r="132" spans="1:17" ht="12" hidden="1" outlineLevel="2" thickBot="1">
      <c r="A132" s="115" t="s">
        <v>1543</v>
      </c>
      <c r="B132" s="115" t="s">
        <v>1652</v>
      </c>
      <c r="C132" s="134" t="s">
        <v>1544</v>
      </c>
      <c r="E132" s="135" t="s">
        <v>1545</v>
      </c>
      <c r="F132" s="135" t="s">
        <v>1653</v>
      </c>
      <c r="G132" s="131" t="s">
        <v>1654</v>
      </c>
      <c r="H132" s="135">
        <v>-1</v>
      </c>
      <c r="I132" s="151">
        <f>_xll.GetCtData("COAMOUNT","CONSAMOUNT",$A$1:$A$8,$A132:$B132,,"#")/10^3*$H132</f>
        <v>0</v>
      </c>
      <c r="J132" s="136"/>
      <c r="K132" s="136"/>
      <c r="L132" s="136">
        <f t="shared" si="10"/>
        <v>0</v>
      </c>
      <c r="M132" s="128"/>
      <c r="N132" s="136"/>
      <c r="O132" s="128"/>
      <c r="P132" s="136">
        <f t="shared" si="9"/>
        <v>0</v>
      </c>
    </row>
    <row r="133" spans="1:17" ht="12" hidden="1" outlineLevel="2" thickBot="1">
      <c r="C133" s="117"/>
      <c r="E133" s="160" t="s">
        <v>1570</v>
      </c>
      <c r="F133" s="160"/>
      <c r="G133" s="160"/>
      <c r="H133" s="160"/>
      <c r="I133" s="161">
        <f>SUM(I101:I132)/10^3-I100</f>
        <v>-1213.7003513490072</v>
      </c>
      <c r="J133" s="161">
        <f>SUM(J101:J132)/10^3-J99</f>
        <v>235.32787180596878</v>
      </c>
      <c r="K133" s="161">
        <f>SUM(K101:K132)/10^3-K99</f>
        <v>0</v>
      </c>
      <c r="L133" s="161">
        <f>SUM(L101:L132)/10^3-L99-L100</f>
        <v>-979.35076035472514</v>
      </c>
      <c r="M133" s="128"/>
      <c r="N133" s="161"/>
      <c r="O133" s="128"/>
      <c r="P133" s="161">
        <f t="shared" si="9"/>
        <v>-979.35076035472514</v>
      </c>
    </row>
    <row r="134" spans="1:17" s="140" customFormat="1" ht="12" hidden="1" outlineLevel="1" collapsed="1" thickBot="1">
      <c r="A134" s="140" t="s">
        <v>1108</v>
      </c>
      <c r="C134" s="141" t="s">
        <v>1655</v>
      </c>
      <c r="D134" s="142"/>
      <c r="E134" s="125" t="s">
        <v>127</v>
      </c>
      <c r="F134" s="126"/>
      <c r="G134" s="126"/>
      <c r="H134" s="126"/>
      <c r="I134" s="127">
        <f>_xll.GetCtData("COAMOUNT","CONSAMOUNT",$A$1:$A$8,$A134,I$10,"#-995487,652702693")/10^3</f>
        <v>-995.48765270269303</v>
      </c>
      <c r="J134" s="127">
        <f>_xll.GetCtData("COAMOUNT","CONSAMOUNT",$A$1:$A$8,$A134,J$10,"#-29762,2540290766")/10^3</f>
        <v>-29.762254029076601</v>
      </c>
      <c r="K134" s="127">
        <f>_xll.GetCtData("COAMOUNT","CONSAMOUNT",$A$1:$A$8,$A134,K$10,"#")/10^3</f>
        <v>0</v>
      </c>
      <c r="L134" s="127">
        <f>_xll.GetCtData("COAMOUNT","CONSAMOUNT",$A$1:$A$8,$A134,L$10,"#-1025249,90673177")/10^3</f>
        <v>-1025.2499067317701</v>
      </c>
      <c r="M134" s="143"/>
      <c r="N134" s="127"/>
      <c r="O134" s="143"/>
      <c r="P134" s="127">
        <f t="shared" si="9"/>
        <v>-1025.2499067317701</v>
      </c>
      <c r="Q134" s="144"/>
    </row>
    <row r="135" spans="1:17" ht="12" hidden="1" outlineLevel="1" thickBot="1">
      <c r="A135" s="115" t="s">
        <v>1519</v>
      </c>
      <c r="B135" s="115" t="s">
        <v>1656</v>
      </c>
      <c r="C135" s="134" t="s">
        <v>1520</v>
      </c>
      <c r="E135" s="135" t="s">
        <v>1521</v>
      </c>
      <c r="F135" s="135" t="s">
        <v>1657</v>
      </c>
      <c r="G135" s="131" t="s">
        <v>1658</v>
      </c>
      <c r="H135" s="132" t="e">
        <f t="shared" ref="H135:H146" si="11">IF(LEFT(E135,6)/10^3="actifs",-1,1)/10^3</f>
        <v>#VALUE!</v>
      </c>
      <c r="I135" s="151" t="e">
        <f>_xll.GetCtData("COAMOUNT","CONSAMOUNT",$A$1:$A$8,$A135:$B135,,"#-2417,36331309535")/10^3*$H135</f>
        <v>#VALUE!</v>
      </c>
      <c r="J135" s="136"/>
      <c r="K135" s="136"/>
      <c r="L135" s="136" t="e">
        <f t="shared" ref="L135:L146" si="12">SUM(I135:K135)/10^3</f>
        <v>#VALUE!</v>
      </c>
      <c r="M135" s="128"/>
      <c r="N135" s="136"/>
      <c r="O135" s="128"/>
      <c r="P135" s="136" t="e">
        <f t="shared" si="9"/>
        <v>#VALUE!</v>
      </c>
    </row>
    <row r="136" spans="1:17" ht="12" hidden="1" outlineLevel="1" thickBot="1">
      <c r="A136" s="115" t="s">
        <v>1528</v>
      </c>
      <c r="B136" s="115" t="s">
        <v>1656</v>
      </c>
      <c r="C136" s="134" t="s">
        <v>1529</v>
      </c>
      <c r="E136" s="135" t="s">
        <v>1530</v>
      </c>
      <c r="F136" s="135" t="s">
        <v>1657</v>
      </c>
      <c r="G136" s="131" t="s">
        <v>1658</v>
      </c>
      <c r="H136" s="132" t="e">
        <f t="shared" si="11"/>
        <v>#VALUE!</v>
      </c>
      <c r="I136" s="151" t="e">
        <f>_xll.GetCtData("COAMOUNT","CONSAMOUNT",$A$1:$A$8,$A136:$B136,,"#")/10^3*$H136</f>
        <v>#VALUE!</v>
      </c>
      <c r="J136" s="136"/>
      <c r="K136" s="136"/>
      <c r="L136" s="136" t="e">
        <f t="shared" si="12"/>
        <v>#VALUE!</v>
      </c>
      <c r="M136" s="128"/>
      <c r="N136" s="136"/>
      <c r="O136" s="128"/>
      <c r="P136" s="136" t="e">
        <f t="shared" si="9"/>
        <v>#VALUE!</v>
      </c>
    </row>
    <row r="137" spans="1:17" ht="12" hidden="1" outlineLevel="1" thickBot="1">
      <c r="A137" s="115" t="s">
        <v>1575</v>
      </c>
      <c r="B137" s="115" t="s">
        <v>1656</v>
      </c>
      <c r="C137" s="134" t="s">
        <v>1576</v>
      </c>
      <c r="E137" s="135" t="s">
        <v>1577</v>
      </c>
      <c r="F137" s="135" t="s">
        <v>1657</v>
      </c>
      <c r="G137" s="131" t="s">
        <v>1658</v>
      </c>
      <c r="H137" s="132" t="e">
        <f t="shared" si="11"/>
        <v>#VALUE!</v>
      </c>
      <c r="I137" s="151" t="e">
        <f>_xll.GetCtData("COAMOUNT","CONSAMOUNT",$A$1:$A$8,$A137:$B137,,"#-957777,106044296")/10^3*$H137</f>
        <v>#VALUE!</v>
      </c>
      <c r="J137" s="136"/>
      <c r="K137" s="136"/>
      <c r="L137" s="136" t="e">
        <f t="shared" si="12"/>
        <v>#VALUE!</v>
      </c>
      <c r="M137" s="128"/>
      <c r="N137" s="136"/>
      <c r="O137" s="128"/>
      <c r="P137" s="136" t="e">
        <f t="shared" si="9"/>
        <v>#VALUE!</v>
      </c>
    </row>
    <row r="138" spans="1:17" ht="12" hidden="1" outlineLevel="1" thickBot="1">
      <c r="A138" s="115" t="s">
        <v>1584</v>
      </c>
      <c r="B138" s="115" t="s">
        <v>1656</v>
      </c>
      <c r="C138" s="134" t="s">
        <v>1585</v>
      </c>
      <c r="E138" s="135" t="s">
        <v>1586</v>
      </c>
      <c r="F138" s="135" t="s">
        <v>1657</v>
      </c>
      <c r="G138" s="131" t="s">
        <v>1658</v>
      </c>
      <c r="H138" s="132" t="e">
        <f t="shared" si="11"/>
        <v>#VALUE!</v>
      </c>
      <c r="I138" s="151" t="e">
        <f>_xll.GetCtData("COAMOUNT","CONSAMOUNT",$A$1:$A$8,$A138:$B138,,"#-3954,90997149284")/10^3*$H138</f>
        <v>#VALUE!</v>
      </c>
      <c r="J138" s="136"/>
      <c r="K138" s="136"/>
      <c r="L138" s="136" t="e">
        <f t="shared" si="12"/>
        <v>#VALUE!</v>
      </c>
      <c r="M138" s="128"/>
      <c r="N138" s="136"/>
      <c r="O138" s="128"/>
      <c r="P138" s="136" t="e">
        <f t="shared" si="9"/>
        <v>#VALUE!</v>
      </c>
    </row>
    <row r="139" spans="1:17" ht="12" hidden="1" outlineLevel="1" thickBot="1">
      <c r="A139" s="115" t="s">
        <v>1540</v>
      </c>
      <c r="B139" s="115" t="s">
        <v>1656</v>
      </c>
      <c r="C139" s="134" t="s">
        <v>1541</v>
      </c>
      <c r="E139" s="135" t="s">
        <v>1542</v>
      </c>
      <c r="F139" s="135" t="s">
        <v>1657</v>
      </c>
      <c r="G139" s="131" t="s">
        <v>1658</v>
      </c>
      <c r="H139" s="132" t="e">
        <f t="shared" si="11"/>
        <v>#VALUE!</v>
      </c>
      <c r="I139" s="151" t="e">
        <f>_xll.GetCtData("COAMOUNT","CONSAMOUNT",$A$1:$A$8,$A139:$B139,,"#")/10^3*$H139</f>
        <v>#VALUE!</v>
      </c>
      <c r="J139" s="136"/>
      <c r="K139" s="136"/>
      <c r="L139" s="136" t="e">
        <f t="shared" si="12"/>
        <v>#VALUE!</v>
      </c>
      <c r="M139" s="128"/>
      <c r="N139" s="136"/>
      <c r="O139" s="128"/>
      <c r="P139" s="136" t="e">
        <f t="shared" si="9"/>
        <v>#VALUE!</v>
      </c>
    </row>
    <row r="140" spans="1:17" ht="12" hidden="1" outlineLevel="1" thickBot="1">
      <c r="A140" s="115" t="s">
        <v>1543</v>
      </c>
      <c r="B140" s="115" t="s">
        <v>1656</v>
      </c>
      <c r="C140" s="134" t="s">
        <v>1544</v>
      </c>
      <c r="E140" s="135" t="s">
        <v>1545</v>
      </c>
      <c r="F140" s="135" t="s">
        <v>1657</v>
      </c>
      <c r="G140" s="131" t="s">
        <v>1658</v>
      </c>
      <c r="H140" s="132" t="e">
        <f t="shared" si="11"/>
        <v>#VALUE!</v>
      </c>
      <c r="I140" s="151" t="e">
        <f>_xll.GetCtData("COAMOUNT","CONSAMOUNT",$A$1:$A$8,$A140:$B140,,"#")/10^3*$H140</f>
        <v>#VALUE!</v>
      </c>
      <c r="J140" s="136"/>
      <c r="K140" s="136"/>
      <c r="L140" s="136" t="e">
        <f t="shared" si="12"/>
        <v>#VALUE!</v>
      </c>
      <c r="M140" s="128"/>
      <c r="N140" s="136"/>
      <c r="O140" s="128"/>
      <c r="P140" s="136" t="e">
        <f t="shared" si="9"/>
        <v>#VALUE!</v>
      </c>
    </row>
    <row r="141" spans="1:17" ht="12" hidden="1" outlineLevel="1" thickBot="1">
      <c r="A141" s="115" t="s">
        <v>1596</v>
      </c>
      <c r="B141" s="115" t="s">
        <v>1656</v>
      </c>
      <c r="C141" s="134" t="s">
        <v>1597</v>
      </c>
      <c r="E141" s="135" t="s">
        <v>1598</v>
      </c>
      <c r="F141" s="135" t="s">
        <v>1657</v>
      </c>
      <c r="G141" s="131" t="s">
        <v>1658</v>
      </c>
      <c r="H141" s="132" t="e">
        <f t="shared" si="11"/>
        <v>#VALUE!</v>
      </c>
      <c r="I141" s="151" t="e">
        <f>_xll.GetCtData("COAMOUNT","CONSAMOUNT",$A$1:$A$8,$A141:$B141,,"#-36172")/10^3*$H141</f>
        <v>#VALUE!</v>
      </c>
      <c r="J141" s="136"/>
      <c r="K141" s="136"/>
      <c r="L141" s="136" t="e">
        <f t="shared" si="12"/>
        <v>#VALUE!</v>
      </c>
      <c r="M141" s="128"/>
      <c r="N141" s="136"/>
      <c r="O141" s="128"/>
      <c r="P141" s="136" t="e">
        <f t="shared" si="9"/>
        <v>#VALUE!</v>
      </c>
    </row>
    <row r="142" spans="1:17" ht="12" hidden="1" outlineLevel="1" thickBot="1">
      <c r="A142" s="115" t="s">
        <v>1599</v>
      </c>
      <c r="B142" s="115" t="s">
        <v>1656</v>
      </c>
      <c r="C142" s="134" t="s">
        <v>1600</v>
      </c>
      <c r="E142" s="135" t="s">
        <v>1601</v>
      </c>
      <c r="F142" s="135" t="s">
        <v>1657</v>
      </c>
      <c r="G142" s="131" t="s">
        <v>1658</v>
      </c>
      <c r="H142" s="132" t="e">
        <f t="shared" si="11"/>
        <v>#VALUE!</v>
      </c>
      <c r="I142" s="151" t="e">
        <f>_xll.GetCtData("COAMOUNT","CONSAMOUNT",$A$1:$A$8,$A142:$B142,,"#")/10^3*$H142</f>
        <v>#VALUE!</v>
      </c>
      <c r="J142" s="136"/>
      <c r="K142" s="136"/>
      <c r="L142" s="136" t="e">
        <f t="shared" si="12"/>
        <v>#VALUE!</v>
      </c>
      <c r="M142" s="128"/>
      <c r="N142" s="136"/>
      <c r="O142" s="128"/>
      <c r="P142" s="136" t="e">
        <f t="shared" si="9"/>
        <v>#VALUE!</v>
      </c>
    </row>
    <row r="143" spans="1:17" ht="12" hidden="1" outlineLevel="1" thickBot="1">
      <c r="A143" s="115" t="s">
        <v>1555</v>
      </c>
      <c r="B143" s="115" t="s">
        <v>1656</v>
      </c>
      <c r="C143" s="134" t="s">
        <v>1556</v>
      </c>
      <c r="E143" s="135" t="s">
        <v>1557</v>
      </c>
      <c r="F143" s="135" t="s">
        <v>1657</v>
      </c>
      <c r="G143" s="131" t="s">
        <v>1658</v>
      </c>
      <c r="H143" s="132" t="e">
        <f t="shared" si="11"/>
        <v>#VALUE!</v>
      </c>
      <c r="I143" s="136"/>
      <c r="J143" s="151" t="e">
        <f>_xll.GetCtData("COAMOUNT","CONSAMOUNT",$A$1:$A$8,$A143:$B143,,"#809,36421626328")/10^3*$H143</f>
        <v>#VALUE!</v>
      </c>
      <c r="K143" s="136"/>
      <c r="L143" s="136" t="e">
        <f t="shared" si="12"/>
        <v>#VALUE!</v>
      </c>
      <c r="M143" s="128"/>
      <c r="N143" s="136"/>
      <c r="O143" s="128"/>
      <c r="P143" s="136" t="e">
        <f t="shared" si="9"/>
        <v>#VALUE!</v>
      </c>
    </row>
    <row r="144" spans="1:17" ht="12" hidden="1" outlineLevel="1" thickBot="1">
      <c r="A144" s="115" t="s">
        <v>1561</v>
      </c>
      <c r="B144" s="115" t="s">
        <v>1656</v>
      </c>
      <c r="C144" s="134" t="s">
        <v>1562</v>
      </c>
      <c r="E144" s="135" t="s">
        <v>1563</v>
      </c>
      <c r="F144" s="135" t="s">
        <v>1657</v>
      </c>
      <c r="G144" s="131" t="s">
        <v>1658</v>
      </c>
      <c r="H144" s="132" t="e">
        <f t="shared" si="11"/>
        <v>#VALUE!</v>
      </c>
      <c r="I144" s="136"/>
      <c r="J144" s="151" t="e">
        <f>_xll.GetCtData("COAMOUNT","CONSAMOUNT",$A$1:$A$8,$A144:$B144,,"#")/10^3*$H144</f>
        <v>#VALUE!</v>
      </c>
      <c r="K144" s="136"/>
      <c r="L144" s="136" t="e">
        <f t="shared" si="12"/>
        <v>#VALUE!</v>
      </c>
      <c r="M144" s="128"/>
      <c r="N144" s="136"/>
      <c r="O144" s="128"/>
      <c r="P144" s="136" t="e">
        <f t="shared" si="9"/>
        <v>#VALUE!</v>
      </c>
    </row>
    <row r="145" spans="1:17" ht="12" hidden="1" outlineLevel="1" thickBot="1">
      <c r="A145" s="115" t="s">
        <v>1611</v>
      </c>
      <c r="B145" s="115" t="s">
        <v>1656</v>
      </c>
      <c r="C145" s="134" t="s">
        <v>1612</v>
      </c>
      <c r="E145" s="135" t="s">
        <v>1613</v>
      </c>
      <c r="F145" s="135" t="s">
        <v>1657</v>
      </c>
      <c r="G145" s="131" t="s">
        <v>1658</v>
      </c>
      <c r="H145" s="132" t="e">
        <f t="shared" si="11"/>
        <v>#VALUE!</v>
      </c>
      <c r="I145" s="136"/>
      <c r="J145" s="151" t="e">
        <f>_xll.GetCtData("COAMOUNT","CONSAMOUNT",$A$1:$A$8,$A145:$B145,,"#-28958,8677809308")/10^3*$H145</f>
        <v>#VALUE!</v>
      </c>
      <c r="K145" s="136"/>
      <c r="L145" s="136" t="e">
        <f t="shared" si="12"/>
        <v>#VALUE!</v>
      </c>
      <c r="M145" s="128"/>
      <c r="N145" s="136"/>
      <c r="O145" s="128"/>
      <c r="P145" s="136" t="e">
        <f t="shared" si="9"/>
        <v>#VALUE!</v>
      </c>
    </row>
    <row r="146" spans="1:17" ht="12" hidden="1" outlineLevel="1" thickBot="1">
      <c r="A146" s="115" t="s">
        <v>1617</v>
      </c>
      <c r="B146" s="115" t="s">
        <v>1656</v>
      </c>
      <c r="C146" s="134" t="s">
        <v>1618</v>
      </c>
      <c r="E146" s="135" t="s">
        <v>1619</v>
      </c>
      <c r="F146" s="135" t="s">
        <v>1657</v>
      </c>
      <c r="G146" s="131" t="s">
        <v>1658</v>
      </c>
      <c r="H146" s="132" t="e">
        <f t="shared" si="11"/>
        <v>#VALUE!</v>
      </c>
      <c r="I146" s="136"/>
      <c r="J146" s="151" t="e">
        <f>_xll.GetCtData("COAMOUNT","CONSAMOUNT",$A$1:$A$8,$A146:$B146,,"#5,97796811744354")/10^3*$H146</f>
        <v>#VALUE!</v>
      </c>
      <c r="K146" s="136"/>
      <c r="L146" s="136" t="e">
        <f t="shared" si="12"/>
        <v>#VALUE!</v>
      </c>
      <c r="M146" s="128"/>
      <c r="N146" s="136"/>
      <c r="O146" s="128"/>
      <c r="P146" s="136" t="e">
        <f t="shared" si="9"/>
        <v>#VALUE!</v>
      </c>
    </row>
    <row r="147" spans="1:17" ht="12" hidden="1" outlineLevel="1" thickBot="1">
      <c r="C147" s="134"/>
      <c r="E147" s="137" t="s">
        <v>1570</v>
      </c>
      <c r="F147" s="137"/>
      <c r="G147" s="137"/>
      <c r="H147" s="137"/>
      <c r="I147" s="138" t="e">
        <f>SUM(I135:I146)/10^3-I134</f>
        <v>#VALUE!</v>
      </c>
      <c r="J147" s="138" t="e">
        <f>SUM(J135:J146)/10^3-J134</f>
        <v>#VALUE!</v>
      </c>
      <c r="K147" s="138">
        <f>SUM(K135:K146)/10^3-K134</f>
        <v>0</v>
      </c>
      <c r="L147" s="138" t="e">
        <f>SUM(L135:L146)/10^3-L134</f>
        <v>#VALUE!</v>
      </c>
      <c r="M147" s="128"/>
      <c r="N147" s="138"/>
      <c r="O147" s="128"/>
      <c r="P147" s="138" t="e">
        <f t="shared" si="9"/>
        <v>#VALUE!</v>
      </c>
    </row>
    <row r="148" spans="1:17" s="140" customFormat="1" ht="12" collapsed="1" thickBot="1">
      <c r="A148" s="140" t="s">
        <v>1079</v>
      </c>
      <c r="C148" s="117" t="s">
        <v>1659</v>
      </c>
      <c r="D148" s="117"/>
      <c r="E148" s="125" t="s">
        <v>107</v>
      </c>
      <c r="F148" s="126"/>
      <c r="G148" s="126"/>
      <c r="H148" s="126"/>
      <c r="I148" s="127">
        <f>_xll.GetCtData("COAMOUNT","CONSAMOUNT",$A$1:$A$8,$A148,I$10,"#-4698322,96310779")/10^3</f>
        <v>-4698.3229631077902</v>
      </c>
      <c r="J148" s="127">
        <f>_xll.GetCtData("COAMOUNT","CONSAMOUNT",$A$1:$A$8,$A148,J$10,"#239220,716147753")/10^3</f>
        <v>239.220716147753</v>
      </c>
      <c r="K148" s="127">
        <f>_xll.GetCtData("COAMOUNT","CONSAMOUNT",$A$1:$A$8,$A148,K$10,"#1689365,77479427")/10^3</f>
        <v>1689.36577479427</v>
      </c>
      <c r="L148" s="127">
        <f>_xll.GetCtData("COAMOUNT","CONSAMOUNT",$A$1:$A$8,$A148,L$10,"#-2769736,47216577")/10^3</f>
        <v>-2769.73647216577</v>
      </c>
      <c r="M148" s="143"/>
      <c r="N148" s="127">
        <v>-171248</v>
      </c>
      <c r="O148" s="143"/>
      <c r="P148" s="127">
        <f t="shared" si="9"/>
        <v>-174017.73647216577</v>
      </c>
      <c r="Q148" s="129">
        <v>2767040.0359077561</v>
      </c>
    </row>
    <row r="149" spans="1:17" s="140" customFormat="1" ht="12" collapsed="1" thickBot="1">
      <c r="A149" s="140" t="s">
        <v>1080</v>
      </c>
      <c r="C149" s="117" t="s">
        <v>1660</v>
      </c>
      <c r="D149" s="117"/>
      <c r="E149" s="125" t="s">
        <v>1661</v>
      </c>
      <c r="F149" s="126"/>
      <c r="G149" s="126"/>
      <c r="H149" s="126"/>
      <c r="I149" s="127">
        <f>_xll.GetCtData("COAMOUNT","CONSAMOUNT",$A$1:$A$8,$A149,I$10,"#-41449857,4931249")/10^3</f>
        <v>-41449.857493124902</v>
      </c>
      <c r="J149" s="127">
        <f>_xll.GetCtData("COAMOUNT","CONSAMOUNT",$A$1:$A$8,$A149,J$10,"#-70131,5958803861")/10^3</f>
        <v>-70.131595880386101</v>
      </c>
      <c r="K149" s="127">
        <f>_xll.GetCtData("COAMOUNT","CONSAMOUNT",$A$1:$A$8,$A149,K$10,"#-2442367,03401769")/10^3</f>
        <v>-2442.36703401769</v>
      </c>
      <c r="L149" s="127">
        <f>_xll.GetCtData("COAMOUNT","CONSAMOUNT",$A$1:$A$8,$A149,L$10,"#-43962356,123023")/10^3</f>
        <v>-43962.356123023004</v>
      </c>
      <c r="M149" s="143"/>
      <c r="N149" s="127">
        <v>-2914</v>
      </c>
      <c r="O149" s="143"/>
      <c r="P149" s="127">
        <f t="shared" si="9"/>
        <v>-46876.356123023004</v>
      </c>
      <c r="Q149" s="162">
        <v>43918390.075732604</v>
      </c>
    </row>
    <row r="150" spans="1:17" ht="12" hidden="1" outlineLevel="1" thickBot="1">
      <c r="A150" s="115" t="s">
        <v>1572</v>
      </c>
      <c r="B150" s="115" t="s">
        <v>1662</v>
      </c>
      <c r="C150" s="134" t="s">
        <v>1573</v>
      </c>
      <c r="E150" s="135" t="s">
        <v>1574</v>
      </c>
      <c r="F150" s="135" t="s">
        <v>1663</v>
      </c>
      <c r="G150" s="131" t="s">
        <v>1664</v>
      </c>
      <c r="H150" s="132" t="e">
        <f t="shared" ref="H150:H177" si="13">IF(LEFT(E150,6)/10^3="actifs",-1,1)/10^3</f>
        <v>#VALUE!</v>
      </c>
      <c r="I150" s="151" t="e">
        <f>_xll.GetCtData("COAMOUNT","CONSAMOUNT",$A$1:$A$8,$A150:$B150,,"#-1317403,15641607")/10^3*$H150</f>
        <v>#VALUE!</v>
      </c>
      <c r="J150" s="136"/>
      <c r="K150" s="136"/>
      <c r="L150" s="136" t="e">
        <f t="shared" ref="L150:L177" si="14">SUM(I150:K150)/10^3</f>
        <v>#VALUE!</v>
      </c>
      <c r="M150" s="128"/>
      <c r="N150" s="136"/>
      <c r="O150" s="128"/>
      <c r="P150" s="136" t="e">
        <f t="shared" si="9"/>
        <v>#VALUE!</v>
      </c>
    </row>
    <row r="151" spans="1:17" ht="12" hidden="1" outlineLevel="1" thickBot="1">
      <c r="A151" s="115" t="s">
        <v>1575</v>
      </c>
      <c r="B151" s="115" t="s">
        <v>1662</v>
      </c>
      <c r="C151" s="134" t="s">
        <v>1576</v>
      </c>
      <c r="E151" s="135" t="s">
        <v>1577</v>
      </c>
      <c r="F151" s="135" t="s">
        <v>1663</v>
      </c>
      <c r="G151" s="131" t="s">
        <v>1664</v>
      </c>
      <c r="H151" s="132" t="e">
        <f t="shared" si="13"/>
        <v>#VALUE!</v>
      </c>
      <c r="I151" s="151" t="e">
        <f>_xll.GetCtData("COAMOUNT","CONSAMOUNT",$A$1:$A$8,$A151:$B151,,"#-484509,51224124")/10^3*$H151</f>
        <v>#VALUE!</v>
      </c>
      <c r="J151" s="136"/>
      <c r="K151" s="136"/>
      <c r="L151" s="136" t="e">
        <f t="shared" si="14"/>
        <v>#VALUE!</v>
      </c>
      <c r="M151" s="128"/>
      <c r="N151" s="136"/>
      <c r="O151" s="128"/>
      <c r="P151" s="136" t="e">
        <f t="shared" si="9"/>
        <v>#VALUE!</v>
      </c>
    </row>
    <row r="152" spans="1:17" ht="12" hidden="1" outlineLevel="1" thickBot="1">
      <c r="A152" s="115" t="s">
        <v>1581</v>
      </c>
      <c r="B152" s="115" t="s">
        <v>1662</v>
      </c>
      <c r="C152" s="134" t="s">
        <v>1582</v>
      </c>
      <c r="E152" s="135" t="s">
        <v>1583</v>
      </c>
      <c r="F152" s="135" t="s">
        <v>1663</v>
      </c>
      <c r="G152" s="131" t="s">
        <v>1664</v>
      </c>
      <c r="H152" s="132" t="e">
        <f t="shared" si="13"/>
        <v>#VALUE!</v>
      </c>
      <c r="I152" s="151" t="e">
        <f>_xll.GetCtData("COAMOUNT","CONSAMOUNT",$A$1:$A$8,$A152:$B152,,"#-39632679,6544186")/10^3*$H152</f>
        <v>#VALUE!</v>
      </c>
      <c r="J152" s="136"/>
      <c r="K152" s="136"/>
      <c r="L152" s="136" t="e">
        <f t="shared" si="14"/>
        <v>#VALUE!</v>
      </c>
      <c r="M152" s="128"/>
      <c r="N152" s="136"/>
      <c r="O152" s="128"/>
      <c r="P152" s="136" t="e">
        <f t="shared" si="9"/>
        <v>#VALUE!</v>
      </c>
    </row>
    <row r="153" spans="1:17" ht="12" hidden="1" outlineLevel="1" thickBot="1">
      <c r="A153" s="115" t="s">
        <v>1584</v>
      </c>
      <c r="B153" s="115" t="s">
        <v>1662</v>
      </c>
      <c r="C153" s="134" t="s">
        <v>1585</v>
      </c>
      <c r="E153" s="135" t="s">
        <v>1586</v>
      </c>
      <c r="F153" s="135" t="s">
        <v>1663</v>
      </c>
      <c r="G153" s="131" t="s">
        <v>1664</v>
      </c>
      <c r="H153" s="132" t="e">
        <f t="shared" si="13"/>
        <v>#VALUE!</v>
      </c>
      <c r="I153" s="151" t="e">
        <f>_xll.GetCtData("COAMOUNT","CONSAMOUNT",$A$1:$A$8,$A153:$B153,,"#79,119183866015")/10^3*$H153</f>
        <v>#VALUE!</v>
      </c>
      <c r="J153" s="136"/>
      <c r="K153" s="136"/>
      <c r="L153" s="136" t="e">
        <f t="shared" si="14"/>
        <v>#VALUE!</v>
      </c>
      <c r="M153" s="128"/>
      <c r="N153" s="136"/>
      <c r="O153" s="128"/>
      <c r="P153" s="136" t="e">
        <f t="shared" si="9"/>
        <v>#VALUE!</v>
      </c>
    </row>
    <row r="154" spans="1:17" ht="12" hidden="1" outlineLevel="1" thickBot="1">
      <c r="A154" s="115" t="s">
        <v>1516</v>
      </c>
      <c r="B154" s="115" t="s">
        <v>1662</v>
      </c>
      <c r="C154" s="134" t="s">
        <v>1517</v>
      </c>
      <c r="E154" s="135" t="s">
        <v>1518</v>
      </c>
      <c r="F154" s="135" t="s">
        <v>1663</v>
      </c>
      <c r="G154" s="131" t="s">
        <v>1664</v>
      </c>
      <c r="H154" s="132" t="e">
        <f t="shared" si="13"/>
        <v>#VALUE!</v>
      </c>
      <c r="I154" s="151" t="e">
        <f>_xll.GetCtData("COAMOUNT","CONSAMOUNT",$A$1:$A$8,$A154:$B154,,"#32146,4110033946")/10^3*$H154</f>
        <v>#VALUE!</v>
      </c>
      <c r="J154" s="136"/>
      <c r="K154" s="136"/>
      <c r="L154" s="136" t="e">
        <f t="shared" si="14"/>
        <v>#VALUE!</v>
      </c>
      <c r="M154" s="128"/>
      <c r="N154" s="136"/>
      <c r="O154" s="128"/>
      <c r="P154" s="136" t="e">
        <f t="shared" si="9"/>
        <v>#VALUE!</v>
      </c>
    </row>
    <row r="155" spans="1:17" ht="12" hidden="1" outlineLevel="1" thickBot="1">
      <c r="A155" s="115" t="s">
        <v>1519</v>
      </c>
      <c r="B155" s="115" t="s">
        <v>1662</v>
      </c>
      <c r="C155" s="134" t="s">
        <v>1520</v>
      </c>
      <c r="E155" s="135" t="s">
        <v>1521</v>
      </c>
      <c r="F155" s="135" t="s">
        <v>1663</v>
      </c>
      <c r="G155" s="131" t="s">
        <v>1664</v>
      </c>
      <c r="H155" s="132" t="e">
        <f t="shared" si="13"/>
        <v>#VALUE!</v>
      </c>
      <c r="I155" s="151" t="e">
        <f>_xll.GetCtData("COAMOUNT","CONSAMOUNT",$A$1:$A$8,$A155:$B155,,"#-1115,35688831864")/10^3*$H155</f>
        <v>#VALUE!</v>
      </c>
      <c r="J155" s="136"/>
      <c r="K155" s="136"/>
      <c r="L155" s="136" t="e">
        <f t="shared" si="14"/>
        <v>#VALUE!</v>
      </c>
      <c r="M155" s="128"/>
      <c r="N155" s="136"/>
      <c r="O155" s="128"/>
      <c r="P155" s="136" t="e">
        <f t="shared" si="9"/>
        <v>#VALUE!</v>
      </c>
    </row>
    <row r="156" spans="1:17" ht="12" hidden="1" outlineLevel="1" thickBot="1">
      <c r="A156" s="115" t="s">
        <v>1525</v>
      </c>
      <c r="B156" s="115" t="s">
        <v>1662</v>
      </c>
      <c r="C156" s="134" t="s">
        <v>1526</v>
      </c>
      <c r="E156" s="135" t="s">
        <v>1527</v>
      </c>
      <c r="F156" s="135" t="s">
        <v>1663</v>
      </c>
      <c r="G156" s="131" t="s">
        <v>1664</v>
      </c>
      <c r="H156" s="132" t="e">
        <f t="shared" si="13"/>
        <v>#VALUE!</v>
      </c>
      <c r="I156" s="151" t="e">
        <f>_xll.GetCtData("COAMOUNT","CONSAMOUNT",$A$1:$A$8,$A156:$B156,,"#1")/10^3*$H156</f>
        <v>#VALUE!</v>
      </c>
      <c r="J156" s="136"/>
      <c r="K156" s="136"/>
      <c r="L156" s="136" t="e">
        <f t="shared" si="14"/>
        <v>#VALUE!</v>
      </c>
      <c r="M156" s="128"/>
      <c r="N156" s="136"/>
      <c r="O156" s="128"/>
      <c r="P156" s="136" t="e">
        <f t="shared" si="9"/>
        <v>#VALUE!</v>
      </c>
    </row>
    <row r="157" spans="1:17" ht="12" hidden="1" outlineLevel="1" thickBot="1">
      <c r="A157" s="115" t="s">
        <v>1528</v>
      </c>
      <c r="B157" s="115" t="s">
        <v>1662</v>
      </c>
      <c r="C157" s="134" t="s">
        <v>1529</v>
      </c>
      <c r="E157" s="135" t="s">
        <v>1530</v>
      </c>
      <c r="F157" s="135" t="s">
        <v>1663</v>
      </c>
      <c r="G157" s="131" t="s">
        <v>1664</v>
      </c>
      <c r="H157" s="132" t="e">
        <f t="shared" si="13"/>
        <v>#VALUE!</v>
      </c>
      <c r="I157" s="151" t="e">
        <f>_xll.GetCtData("COAMOUNT","CONSAMOUNT",$A$1:$A$8,$A157:$B157,,"#")/10^3*$H157</f>
        <v>#VALUE!</v>
      </c>
      <c r="J157" s="136"/>
      <c r="K157" s="136"/>
      <c r="L157" s="136" t="e">
        <f t="shared" si="14"/>
        <v>#VALUE!</v>
      </c>
      <c r="M157" s="128"/>
      <c r="N157" s="136"/>
      <c r="O157" s="128"/>
      <c r="P157" s="136" t="e">
        <f t="shared" si="9"/>
        <v>#VALUE!</v>
      </c>
    </row>
    <row r="158" spans="1:17" ht="12" hidden="1" outlineLevel="1" thickBot="1">
      <c r="A158" s="115" t="s">
        <v>1590</v>
      </c>
      <c r="B158" s="115" t="s">
        <v>1662</v>
      </c>
      <c r="C158" s="134" t="s">
        <v>1591</v>
      </c>
      <c r="E158" s="135" t="s">
        <v>1592</v>
      </c>
      <c r="F158" s="135" t="s">
        <v>1663</v>
      </c>
      <c r="G158" s="131" t="s">
        <v>1664</v>
      </c>
      <c r="H158" s="132" t="e">
        <f t="shared" si="13"/>
        <v>#VALUE!</v>
      </c>
      <c r="I158" s="151" t="e">
        <f>_xll.GetCtData("COAMOUNT","CONSAMOUNT",$A$1:$A$8,$A158:$B158,,"#-344,882274567437")/10^3*$H158</f>
        <v>#VALUE!</v>
      </c>
      <c r="J158" s="136"/>
      <c r="K158" s="136"/>
      <c r="L158" s="136" t="e">
        <f t="shared" si="14"/>
        <v>#VALUE!</v>
      </c>
      <c r="M158" s="128"/>
      <c r="N158" s="136"/>
      <c r="O158" s="128"/>
      <c r="P158" s="136" t="e">
        <f t="shared" si="9"/>
        <v>#VALUE!</v>
      </c>
    </row>
    <row r="159" spans="1:17" ht="12" hidden="1" outlineLevel="1" thickBot="1">
      <c r="A159" s="115" t="s">
        <v>1593</v>
      </c>
      <c r="B159" s="115" t="s">
        <v>1662</v>
      </c>
      <c r="C159" s="134" t="s">
        <v>1594</v>
      </c>
      <c r="E159" s="135" t="s">
        <v>1595</v>
      </c>
      <c r="F159" s="135" t="s">
        <v>1663</v>
      </c>
      <c r="G159" s="131" t="s">
        <v>1664</v>
      </c>
      <c r="H159" s="132" t="e">
        <f t="shared" si="13"/>
        <v>#VALUE!</v>
      </c>
      <c r="I159" s="151" t="e">
        <f>_xll.GetCtData("COAMOUNT","CONSAMOUNT",$A$1:$A$8,$A159:$B159,,"#16021")/10^3*$H159</f>
        <v>#VALUE!</v>
      </c>
      <c r="J159" s="136"/>
      <c r="K159" s="136"/>
      <c r="L159" s="136" t="e">
        <f t="shared" si="14"/>
        <v>#VALUE!</v>
      </c>
      <c r="M159" s="128"/>
      <c r="N159" s="136"/>
      <c r="O159" s="128"/>
      <c r="P159" s="136" t="e">
        <f t="shared" si="9"/>
        <v>#VALUE!</v>
      </c>
    </row>
    <row r="160" spans="1:17" ht="12" hidden="1" outlineLevel="1" thickBot="1">
      <c r="A160" s="115" t="s">
        <v>1596</v>
      </c>
      <c r="B160" s="115" t="s">
        <v>1662</v>
      </c>
      <c r="C160" s="134" t="s">
        <v>1597</v>
      </c>
      <c r="E160" s="135" t="s">
        <v>1598</v>
      </c>
      <c r="F160" s="135" t="s">
        <v>1663</v>
      </c>
      <c r="G160" s="131" t="s">
        <v>1664</v>
      </c>
      <c r="H160" s="132" t="e">
        <f t="shared" si="13"/>
        <v>#VALUE!</v>
      </c>
      <c r="I160" s="151" t="e">
        <f>_xll.GetCtData("COAMOUNT","CONSAMOUNT",$A$1:$A$8,$A160:$B160,,"#19")/10^3*$H160</f>
        <v>#VALUE!</v>
      </c>
      <c r="J160" s="136"/>
      <c r="K160" s="136"/>
      <c r="L160" s="136" t="e">
        <f t="shared" si="14"/>
        <v>#VALUE!</v>
      </c>
      <c r="M160" s="128"/>
      <c r="N160" s="136"/>
      <c r="O160" s="128"/>
      <c r="P160" s="136" t="e">
        <f t="shared" si="9"/>
        <v>#VALUE!</v>
      </c>
    </row>
    <row r="161" spans="1:16" ht="12" hidden="1" outlineLevel="1" thickBot="1">
      <c r="A161" s="115" t="s">
        <v>1599</v>
      </c>
      <c r="B161" s="115" t="s">
        <v>1662</v>
      </c>
      <c r="C161" s="134" t="s">
        <v>1600</v>
      </c>
      <c r="E161" s="135" t="s">
        <v>1601</v>
      </c>
      <c r="F161" s="135" t="s">
        <v>1663</v>
      </c>
      <c r="G161" s="131" t="s">
        <v>1664</v>
      </c>
      <c r="H161" s="132" t="e">
        <f t="shared" si="13"/>
        <v>#VALUE!</v>
      </c>
      <c r="I161" s="151" t="e">
        <f>_xll.GetCtData("COAMOUNT","CONSAMOUNT",$A$1:$A$8,$A161:$B161,,"#")/10^3*$H161</f>
        <v>#VALUE!</v>
      </c>
      <c r="J161" s="136"/>
      <c r="K161" s="136"/>
      <c r="L161" s="136" t="e">
        <f t="shared" si="14"/>
        <v>#VALUE!</v>
      </c>
      <c r="M161" s="128"/>
      <c r="N161" s="136"/>
      <c r="O161" s="128"/>
      <c r="P161" s="136" t="e">
        <f t="shared" si="9"/>
        <v>#VALUE!</v>
      </c>
    </row>
    <row r="162" spans="1:16" ht="12" hidden="1" outlineLevel="1" thickBot="1">
      <c r="A162" s="115" t="s">
        <v>1543</v>
      </c>
      <c r="B162" s="115" t="s">
        <v>1662</v>
      </c>
      <c r="C162" s="134" t="s">
        <v>1544</v>
      </c>
      <c r="E162" s="135" t="s">
        <v>1545</v>
      </c>
      <c r="F162" s="135" t="s">
        <v>1663</v>
      </c>
      <c r="G162" s="131" t="s">
        <v>1664</v>
      </c>
      <c r="H162" s="132" t="e">
        <f t="shared" si="13"/>
        <v>#VALUE!</v>
      </c>
      <c r="I162" s="151" t="e">
        <f>_xll.GetCtData("COAMOUNT","CONSAMOUNT",$A$1:$A$8,$A162:$B162,,"#")/10^3*$H162</f>
        <v>#VALUE!</v>
      </c>
      <c r="J162" s="136"/>
      <c r="K162" s="136"/>
      <c r="L162" s="136" t="e">
        <f t="shared" si="14"/>
        <v>#VALUE!</v>
      </c>
      <c r="M162" s="128"/>
      <c r="N162" s="136"/>
      <c r="O162" s="128"/>
      <c r="P162" s="136" t="e">
        <f t="shared" ref="P162:P225" si="15">L162+N162</f>
        <v>#VALUE!</v>
      </c>
    </row>
    <row r="163" spans="1:16" ht="12" hidden="1" outlineLevel="1" thickBot="1">
      <c r="A163" s="115" t="s">
        <v>1540</v>
      </c>
      <c r="B163" s="115" t="s">
        <v>1662</v>
      </c>
      <c r="C163" s="134" t="s">
        <v>1541</v>
      </c>
      <c r="E163" s="135" t="s">
        <v>1542</v>
      </c>
      <c r="F163" s="135" t="s">
        <v>1663</v>
      </c>
      <c r="G163" s="131" t="s">
        <v>1664</v>
      </c>
      <c r="H163" s="132" t="e">
        <f t="shared" si="13"/>
        <v>#VALUE!</v>
      </c>
      <c r="I163" s="151" t="e">
        <f>_xll.GetCtData("COAMOUNT","CONSAMOUNT",$A$1:$A$8,$A163:$B163,,"#")/10^3*$H163</f>
        <v>#VALUE!</v>
      </c>
      <c r="J163" s="136"/>
      <c r="K163" s="136"/>
      <c r="L163" s="136" t="e">
        <f t="shared" si="14"/>
        <v>#VALUE!</v>
      </c>
      <c r="M163" s="128"/>
      <c r="N163" s="136"/>
      <c r="O163" s="128"/>
      <c r="P163" s="136" t="e">
        <f t="shared" si="15"/>
        <v>#VALUE!</v>
      </c>
    </row>
    <row r="164" spans="1:16" ht="12" hidden="1" outlineLevel="1" thickBot="1">
      <c r="A164" s="115" t="s">
        <v>1537</v>
      </c>
      <c r="B164" s="115" t="s">
        <v>1662</v>
      </c>
      <c r="C164" s="134" t="s">
        <v>1538</v>
      </c>
      <c r="E164" s="135" t="s">
        <v>1539</v>
      </c>
      <c r="F164" s="135" t="s">
        <v>1663</v>
      </c>
      <c r="G164" s="131" t="s">
        <v>1664</v>
      </c>
      <c r="H164" s="132" t="e">
        <f t="shared" si="13"/>
        <v>#VALUE!</v>
      </c>
      <c r="I164" s="151" t="e">
        <f>_xll.GetCtData("COAMOUNT","CONSAMOUNT",$A$1:$A$8,$A164:$B164,,"#")/10^3*$H164</f>
        <v>#VALUE!</v>
      </c>
      <c r="J164" s="136"/>
      <c r="K164" s="136"/>
      <c r="L164" s="136" t="e">
        <f t="shared" si="14"/>
        <v>#VALUE!</v>
      </c>
      <c r="M164" s="128"/>
      <c r="N164" s="136"/>
      <c r="O164" s="128"/>
      <c r="P164" s="136" t="e">
        <f t="shared" si="15"/>
        <v>#VALUE!</v>
      </c>
    </row>
    <row r="165" spans="1:16" ht="12" hidden="1" outlineLevel="1" thickBot="1">
      <c r="A165" s="115" t="s">
        <v>1534</v>
      </c>
      <c r="B165" s="115" t="s">
        <v>1662</v>
      </c>
      <c r="C165" s="134" t="s">
        <v>1535</v>
      </c>
      <c r="E165" s="135" t="s">
        <v>1536</v>
      </c>
      <c r="F165" s="135" t="s">
        <v>1663</v>
      </c>
      <c r="G165" s="131" t="s">
        <v>1664</v>
      </c>
      <c r="H165" s="132" t="e">
        <f t="shared" si="13"/>
        <v>#VALUE!</v>
      </c>
      <c r="I165" s="151" t="e">
        <f>_xll.GetCtData("COAMOUNT","CONSAMOUNT",$A$1:$A$8,$A165:$B165,,"#")/10^3*$H165</f>
        <v>#VALUE!</v>
      </c>
      <c r="J165" s="136"/>
      <c r="K165" s="136"/>
      <c r="L165" s="136" t="e">
        <f t="shared" si="14"/>
        <v>#VALUE!</v>
      </c>
      <c r="M165" s="128"/>
      <c r="N165" s="136"/>
      <c r="O165" s="128"/>
      <c r="P165" s="136" t="e">
        <f t="shared" si="15"/>
        <v>#VALUE!</v>
      </c>
    </row>
    <row r="166" spans="1:16" ht="12" hidden="1" outlineLevel="1" thickBot="1">
      <c r="A166" s="115" t="s">
        <v>1608</v>
      </c>
      <c r="B166" s="115" t="s">
        <v>1662</v>
      </c>
      <c r="C166" s="134" t="s">
        <v>1609</v>
      </c>
      <c r="E166" s="135" t="s">
        <v>1610</v>
      </c>
      <c r="F166" s="135" t="s">
        <v>1663</v>
      </c>
      <c r="G166" s="131" t="s">
        <v>1664</v>
      </c>
      <c r="H166" s="132" t="e">
        <f t="shared" si="13"/>
        <v>#VALUE!</v>
      </c>
      <c r="I166" s="136"/>
      <c r="J166" s="151" t="e">
        <f>_xll.GetCtData("COAMOUNT","CONSAMOUNT",$A$1:$A$8,$A166:$B166,,"#-66700,2397543415")/10^3*$H166</f>
        <v>#VALUE!</v>
      </c>
      <c r="K166" s="136"/>
      <c r="L166" s="136" t="e">
        <f t="shared" si="14"/>
        <v>#VALUE!</v>
      </c>
      <c r="M166" s="128"/>
      <c r="N166" s="136"/>
      <c r="O166" s="128"/>
      <c r="P166" s="136" t="e">
        <f t="shared" si="15"/>
        <v>#VALUE!</v>
      </c>
    </row>
    <row r="167" spans="1:16" ht="12" hidden="1" outlineLevel="1" thickBot="1">
      <c r="A167" s="115" t="s">
        <v>1611</v>
      </c>
      <c r="B167" s="115" t="s">
        <v>1662</v>
      </c>
      <c r="C167" s="134" t="s">
        <v>1612</v>
      </c>
      <c r="E167" s="135" t="s">
        <v>1613</v>
      </c>
      <c r="F167" s="135" t="s">
        <v>1663</v>
      </c>
      <c r="G167" s="131" t="s">
        <v>1664</v>
      </c>
      <c r="H167" s="132" t="e">
        <f t="shared" si="13"/>
        <v>#VALUE!</v>
      </c>
      <c r="I167" s="136"/>
      <c r="J167" s="151" t="e">
        <f>_xll.GetCtData("COAMOUNT","CONSAMOUNT",$A$1:$A$8,$A167:$B167,,"#-4925,35093969219")/10^3*$H167</f>
        <v>#VALUE!</v>
      </c>
      <c r="K167" s="136"/>
      <c r="L167" s="136" t="e">
        <f t="shared" si="14"/>
        <v>#VALUE!</v>
      </c>
      <c r="M167" s="128"/>
      <c r="N167" s="136"/>
      <c r="O167" s="128"/>
      <c r="P167" s="136" t="e">
        <f t="shared" si="15"/>
        <v>#VALUE!</v>
      </c>
    </row>
    <row r="168" spans="1:16" ht="12" hidden="1" outlineLevel="1" thickBot="1">
      <c r="A168" s="115" t="s">
        <v>1614</v>
      </c>
      <c r="B168" s="115" t="s">
        <v>1662</v>
      </c>
      <c r="C168" s="134" t="s">
        <v>1615</v>
      </c>
      <c r="E168" s="135" t="s">
        <v>1616</v>
      </c>
      <c r="F168" s="135" t="s">
        <v>1663</v>
      </c>
      <c r="G168" s="131" t="s">
        <v>1664</v>
      </c>
      <c r="H168" s="132" t="e">
        <f t="shared" si="13"/>
        <v>#VALUE!</v>
      </c>
      <c r="I168" s="136"/>
      <c r="J168" s="151" t="e">
        <f>_xll.GetCtData("COAMOUNT","CONSAMOUNT",$A$1:$A$8,$A168:$B168,,"#")/10^3*$H168</f>
        <v>#VALUE!</v>
      </c>
      <c r="K168" s="136"/>
      <c r="L168" s="136" t="e">
        <f t="shared" si="14"/>
        <v>#VALUE!</v>
      </c>
      <c r="M168" s="128"/>
      <c r="N168" s="136"/>
      <c r="O168" s="128"/>
      <c r="P168" s="136" t="e">
        <f t="shared" si="15"/>
        <v>#VALUE!</v>
      </c>
    </row>
    <row r="169" spans="1:16" ht="12" hidden="1" outlineLevel="1" thickBot="1">
      <c r="A169" s="115" t="s">
        <v>1617</v>
      </c>
      <c r="B169" s="115" t="s">
        <v>1662</v>
      </c>
      <c r="C169" s="134" t="s">
        <v>1618</v>
      </c>
      <c r="E169" s="135" t="s">
        <v>1619</v>
      </c>
      <c r="F169" s="135" t="s">
        <v>1663</v>
      </c>
      <c r="G169" s="131" t="s">
        <v>1664</v>
      </c>
      <c r="H169" s="132" t="e">
        <f t="shared" si="13"/>
        <v>#VALUE!</v>
      </c>
      <c r="I169" s="136"/>
      <c r="J169" s="151" t="e">
        <f>_xll.GetCtData("COAMOUNT","CONSAMOUNT",$A$1:$A$8,$A169:$B169,,"#2,02203188255646")/10^3*$H169</f>
        <v>#VALUE!</v>
      </c>
      <c r="K169" s="136"/>
      <c r="L169" s="136" t="e">
        <f t="shared" si="14"/>
        <v>#VALUE!</v>
      </c>
      <c r="M169" s="128"/>
      <c r="N169" s="136"/>
      <c r="O169" s="128"/>
      <c r="P169" s="136" t="e">
        <f t="shared" si="15"/>
        <v>#VALUE!</v>
      </c>
    </row>
    <row r="170" spans="1:16" ht="12" hidden="1" outlineLevel="1" thickBot="1">
      <c r="A170" s="115" t="s">
        <v>1552</v>
      </c>
      <c r="B170" s="115" t="s">
        <v>1662</v>
      </c>
      <c r="C170" s="134" t="s">
        <v>1553</v>
      </c>
      <c r="E170" s="135" t="s">
        <v>1554</v>
      </c>
      <c r="F170" s="135" t="s">
        <v>1663</v>
      </c>
      <c r="G170" s="131" t="s">
        <v>1664</v>
      </c>
      <c r="H170" s="132" t="e">
        <f t="shared" si="13"/>
        <v>#VALUE!</v>
      </c>
      <c r="I170" s="136"/>
      <c r="J170" s="151" t="e">
        <f>_xll.GetCtData("COAMOUNT","CONSAMOUNT",$A$1:$A$8,$A170:$B170,,"#-1460,5393770453")/10^3*$H170</f>
        <v>#VALUE!</v>
      </c>
      <c r="K170" s="136"/>
      <c r="L170" s="136" t="e">
        <f t="shared" si="14"/>
        <v>#VALUE!</v>
      </c>
      <c r="M170" s="128"/>
      <c r="N170" s="136"/>
      <c r="O170" s="128"/>
      <c r="P170" s="136" t="e">
        <f t="shared" si="15"/>
        <v>#VALUE!</v>
      </c>
    </row>
    <row r="171" spans="1:16" ht="12" hidden="1" outlineLevel="1" thickBot="1">
      <c r="A171" s="115" t="s">
        <v>1555</v>
      </c>
      <c r="B171" s="115" t="s">
        <v>1662</v>
      </c>
      <c r="C171" s="134" t="s">
        <v>1556</v>
      </c>
      <c r="E171" s="135" t="s">
        <v>1557</v>
      </c>
      <c r="F171" s="135" t="s">
        <v>1663</v>
      </c>
      <c r="G171" s="131" t="s">
        <v>1664</v>
      </c>
      <c r="H171" s="132" t="e">
        <f t="shared" si="13"/>
        <v>#VALUE!</v>
      </c>
      <c r="I171" s="136"/>
      <c r="J171" s="151" t="e">
        <f>_xll.GetCtData("COAMOUNT","CONSAMOUNT",$A$1:$A$8,$A171:$B171,,"#-31,4334047197413")/10^3*$H171</f>
        <v>#VALUE!</v>
      </c>
      <c r="K171" s="136"/>
      <c r="L171" s="136" t="e">
        <f t="shared" si="14"/>
        <v>#VALUE!</v>
      </c>
      <c r="M171" s="128"/>
      <c r="N171" s="136"/>
      <c r="O171" s="128"/>
      <c r="P171" s="136" t="e">
        <f t="shared" si="15"/>
        <v>#VALUE!</v>
      </c>
    </row>
    <row r="172" spans="1:16" ht="12" hidden="1" outlineLevel="1" thickBot="1">
      <c r="A172" s="115" t="s">
        <v>1558</v>
      </c>
      <c r="B172" s="115" t="s">
        <v>1662</v>
      </c>
      <c r="C172" s="134" t="s">
        <v>1559</v>
      </c>
      <c r="E172" s="135" t="s">
        <v>1560</v>
      </c>
      <c r="F172" s="135" t="s">
        <v>1663</v>
      </c>
      <c r="G172" s="131" t="s">
        <v>1664</v>
      </c>
      <c r="H172" s="132" t="e">
        <f t="shared" si="13"/>
        <v>#VALUE!</v>
      </c>
      <c r="I172" s="136"/>
      <c r="J172" s="151" t="e">
        <f>_xll.GetCtData("COAMOUNT","CONSAMOUNT",$A$1:$A$8,$A172:$B172,,"#")/10^3*$H172</f>
        <v>#VALUE!</v>
      </c>
      <c r="K172" s="136"/>
      <c r="L172" s="136" t="e">
        <f t="shared" si="14"/>
        <v>#VALUE!</v>
      </c>
      <c r="M172" s="128"/>
      <c r="N172" s="136"/>
      <c r="O172" s="128"/>
      <c r="P172" s="136" t="e">
        <f t="shared" si="15"/>
        <v>#VALUE!</v>
      </c>
    </row>
    <row r="173" spans="1:16" ht="12" hidden="1" outlineLevel="1" thickBot="1">
      <c r="A173" s="115" t="s">
        <v>1561</v>
      </c>
      <c r="B173" s="115" t="s">
        <v>1662</v>
      </c>
      <c r="C173" s="134" t="s">
        <v>1562</v>
      </c>
      <c r="E173" s="135" t="s">
        <v>1563</v>
      </c>
      <c r="F173" s="135" t="s">
        <v>1663</v>
      </c>
      <c r="G173" s="131" t="s">
        <v>1664</v>
      </c>
      <c r="H173" s="132" t="e">
        <f t="shared" si="13"/>
        <v>#VALUE!</v>
      </c>
      <c r="I173" s="136"/>
      <c r="J173" s="151" t="e">
        <f>_xll.GetCtData("COAMOUNT","CONSAMOUNT",$A$1:$A$8,$A173:$B173,,"#")/10^3*$H173</f>
        <v>#VALUE!</v>
      </c>
      <c r="K173" s="136"/>
      <c r="L173" s="136" t="e">
        <f t="shared" si="14"/>
        <v>#VALUE!</v>
      </c>
      <c r="M173" s="128"/>
      <c r="N173" s="136"/>
      <c r="O173" s="128"/>
      <c r="P173" s="136" t="e">
        <f t="shared" si="15"/>
        <v>#VALUE!</v>
      </c>
    </row>
    <row r="174" spans="1:16" ht="12" hidden="1" outlineLevel="1" thickBot="1">
      <c r="A174" s="115" t="s">
        <v>1620</v>
      </c>
      <c r="B174" s="115" t="s">
        <v>1662</v>
      </c>
      <c r="C174" s="134" t="s">
        <v>1621</v>
      </c>
      <c r="E174" s="135" t="s">
        <v>1622</v>
      </c>
      <c r="F174" s="135" t="s">
        <v>1663</v>
      </c>
      <c r="G174" s="131" t="s">
        <v>1664</v>
      </c>
      <c r="H174" s="132" t="e">
        <f t="shared" si="13"/>
        <v>#VALUE!</v>
      </c>
      <c r="I174" s="136"/>
      <c r="J174" s="136"/>
      <c r="K174" s="151" t="e">
        <f>_xll.GetCtData("COAMOUNT","CONSAMOUNT",$A$1:$A$8,$A174:$B174,,"#261496,55394004")/10^3*$H174</f>
        <v>#VALUE!</v>
      </c>
      <c r="L174" s="136" t="e">
        <f t="shared" si="14"/>
        <v>#VALUE!</v>
      </c>
      <c r="M174" s="128"/>
      <c r="N174" s="136"/>
      <c r="O174" s="128"/>
      <c r="P174" s="136" t="e">
        <f t="shared" si="15"/>
        <v>#VALUE!</v>
      </c>
    </row>
    <row r="175" spans="1:16" ht="12" hidden="1" outlineLevel="1" thickBot="1">
      <c r="A175" s="115" t="s">
        <v>1623</v>
      </c>
      <c r="B175" s="115" t="s">
        <v>1662</v>
      </c>
      <c r="C175" s="134" t="s">
        <v>1624</v>
      </c>
      <c r="E175" s="135" t="s">
        <v>1625</v>
      </c>
      <c r="F175" s="135" t="s">
        <v>1663</v>
      </c>
      <c r="G175" s="131" t="s">
        <v>1664</v>
      </c>
      <c r="H175" s="132" t="e">
        <f t="shared" si="13"/>
        <v>#VALUE!</v>
      </c>
      <c r="I175" s="136"/>
      <c r="J175" s="136"/>
      <c r="K175" s="151" t="e">
        <f>_xll.GetCtData("COAMOUNT","CONSAMOUNT",$A$1:$A$8,$A175:$B175,,"#-2715948")/10^3*$H175</f>
        <v>#VALUE!</v>
      </c>
      <c r="L175" s="136" t="e">
        <f t="shared" si="14"/>
        <v>#VALUE!</v>
      </c>
      <c r="M175" s="128"/>
      <c r="N175" s="136"/>
      <c r="O175" s="128"/>
      <c r="P175" s="136" t="e">
        <f t="shared" si="15"/>
        <v>#VALUE!</v>
      </c>
    </row>
    <row r="176" spans="1:16" ht="12" hidden="1" outlineLevel="1" thickBot="1">
      <c r="A176" s="115" t="s">
        <v>1564</v>
      </c>
      <c r="B176" s="115" t="s">
        <v>1662</v>
      </c>
      <c r="C176" s="134" t="s">
        <v>1565</v>
      </c>
      <c r="E176" s="135" t="s">
        <v>1566</v>
      </c>
      <c r="F176" s="135" t="s">
        <v>1663</v>
      </c>
      <c r="G176" s="131" t="s">
        <v>1664</v>
      </c>
      <c r="H176" s="132" t="e">
        <f t="shared" si="13"/>
        <v>#VALUE!</v>
      </c>
      <c r="I176" s="136"/>
      <c r="J176" s="136"/>
      <c r="K176" s="151" t="e">
        <f>_xll.GetCtData("COAMOUNT","CONSAMOUNT",$A$1:$A$8,$A176:$B176,,"#-12080,9414736241")/10^3*$H176</f>
        <v>#VALUE!</v>
      </c>
      <c r="L176" s="136" t="e">
        <f t="shared" si="14"/>
        <v>#VALUE!</v>
      </c>
      <c r="M176" s="128"/>
      <c r="N176" s="136"/>
      <c r="O176" s="128"/>
      <c r="P176" s="136" t="e">
        <f t="shared" si="15"/>
        <v>#VALUE!</v>
      </c>
    </row>
    <row r="177" spans="1:17" ht="12" hidden="1" outlineLevel="1" thickBot="1">
      <c r="A177" s="115" t="s">
        <v>1567</v>
      </c>
      <c r="B177" s="115" t="s">
        <v>1662</v>
      </c>
      <c r="C177" s="134" t="s">
        <v>1568</v>
      </c>
      <c r="E177" s="135" t="s">
        <v>1569</v>
      </c>
      <c r="F177" s="135" t="s">
        <v>1663</v>
      </c>
      <c r="G177" s="131" t="s">
        <v>1664</v>
      </c>
      <c r="H177" s="132" t="e">
        <f t="shared" si="13"/>
        <v>#VALUE!</v>
      </c>
      <c r="I177" s="136"/>
      <c r="J177" s="136"/>
      <c r="K177" s="151" t="e">
        <f>_xll.GetCtData("COAMOUNT","CONSAMOUNT",$A$1:$A$8,$A177:$B177,,"#")/10^3*$H177</f>
        <v>#VALUE!</v>
      </c>
      <c r="L177" s="136" t="e">
        <f t="shared" si="14"/>
        <v>#VALUE!</v>
      </c>
      <c r="M177" s="128"/>
      <c r="N177" s="136"/>
      <c r="O177" s="128"/>
      <c r="P177" s="136" t="e">
        <f t="shared" si="15"/>
        <v>#VALUE!</v>
      </c>
    </row>
    <row r="178" spans="1:17" ht="12" hidden="1" outlineLevel="1" thickBot="1">
      <c r="C178" s="134"/>
      <c r="E178" s="137" t="s">
        <v>1570</v>
      </c>
      <c r="F178" s="137"/>
      <c r="G178" s="137"/>
      <c r="H178" s="137"/>
      <c r="I178" s="138" t="e">
        <f>SUM(I150:I177)/10^3-I149</f>
        <v>#VALUE!</v>
      </c>
      <c r="J178" s="138" t="e">
        <f>SUM(J150:J177)/10^3-J149</f>
        <v>#VALUE!</v>
      </c>
      <c r="K178" s="138" t="e">
        <f>SUM(K150:K177)/10^3-K149</f>
        <v>#VALUE!</v>
      </c>
      <c r="L178" s="138" t="e">
        <f>SUM(L150:L177)/10^3-L149</f>
        <v>#VALUE!</v>
      </c>
      <c r="M178" s="128"/>
      <c r="N178" s="138"/>
      <c r="O178" s="128"/>
      <c r="P178" s="138" t="e">
        <f t="shared" si="15"/>
        <v>#VALUE!</v>
      </c>
    </row>
    <row r="179" spans="1:17" s="140" customFormat="1" ht="12" collapsed="1" thickBot="1">
      <c r="A179" s="140" t="s">
        <v>1081</v>
      </c>
      <c r="C179" s="117" t="s">
        <v>1665</v>
      </c>
      <c r="D179" s="117"/>
      <c r="E179" s="125" t="s">
        <v>108</v>
      </c>
      <c r="F179" s="126"/>
      <c r="G179" s="126"/>
      <c r="H179" s="126"/>
      <c r="I179" s="127">
        <f>_xll.GetCtData("COAMOUNT","CONSAMOUNT",$A$1:$A$8,$A179,I$10,"#1624923,76177563")/10^3</f>
        <v>1624.9237617756301</v>
      </c>
      <c r="J179" s="127">
        <f>_xll.GetCtData("COAMOUNT","CONSAMOUNT",$A$1:$A$8,$A179,J$10,"#19077,8505442157")/10^3</f>
        <v>19.0778505442157</v>
      </c>
      <c r="K179" s="127">
        <f>_xll.GetCtData("COAMOUNT","CONSAMOUNT",$A$1:$A$8,$A179,K$10,"#317212,458920026")/10^3</f>
        <v>317.21245892002605</v>
      </c>
      <c r="L179" s="127">
        <f>_xll.GetCtData("COAMOUNT","CONSAMOUNT",$A$1:$A$8,$A179,L$10,"#1961214,07123987")/10^3</f>
        <v>1961.21407123987</v>
      </c>
      <c r="M179" s="143"/>
      <c r="N179" s="127">
        <v>0</v>
      </c>
      <c r="O179" s="143"/>
      <c r="P179" s="127">
        <f t="shared" si="15"/>
        <v>1961.21407123987</v>
      </c>
      <c r="Q179" s="144"/>
    </row>
    <row r="180" spans="1:17" hidden="1" outlineLevel="1">
      <c r="A180" s="115" t="s">
        <v>1572</v>
      </c>
      <c r="B180" s="115" t="s">
        <v>160</v>
      </c>
      <c r="C180" s="134" t="s">
        <v>1573</v>
      </c>
      <c r="E180" s="135" t="s">
        <v>1574</v>
      </c>
      <c r="F180" s="135" t="s">
        <v>161</v>
      </c>
      <c r="G180" s="131" t="s">
        <v>1666</v>
      </c>
      <c r="H180" s="132" t="e">
        <f t="shared" ref="H180:H243" si="16">IF(LEFT(E180,6)/10^3="actifs",-1,1)/10^3</f>
        <v>#VALUE!</v>
      </c>
      <c r="I180" s="151" t="e">
        <f>_xll.GetCtData("COAMOUNT","CONSAMOUNT",$A$1:$A$8,$A180:$B180,,"#")/10^3*$H180</f>
        <v>#VALUE!</v>
      </c>
      <c r="J180" s="136"/>
      <c r="K180" s="136"/>
      <c r="L180" s="136" t="e">
        <f t="shared" ref="L180:L243" si="17">SUM(I180:K180)/10^3</f>
        <v>#VALUE!</v>
      </c>
      <c r="M180" s="128"/>
      <c r="N180" s="136"/>
      <c r="O180" s="128"/>
      <c r="P180" s="136" t="e">
        <f t="shared" si="15"/>
        <v>#VALUE!</v>
      </c>
    </row>
    <row r="181" spans="1:17" hidden="1" outlineLevel="1">
      <c r="A181" s="115" t="s">
        <v>1575</v>
      </c>
      <c r="B181" s="115" t="s">
        <v>160</v>
      </c>
      <c r="C181" s="134" t="s">
        <v>1576</v>
      </c>
      <c r="E181" s="135" t="s">
        <v>1577</v>
      </c>
      <c r="F181" s="135" t="s">
        <v>161</v>
      </c>
      <c r="G181" s="131" t="s">
        <v>1666</v>
      </c>
      <c r="H181" s="132" t="e">
        <f t="shared" si="16"/>
        <v>#VALUE!</v>
      </c>
      <c r="I181" s="151" t="e">
        <f>_xll.GetCtData("COAMOUNT","CONSAMOUNT",$A$1:$A$8,$A181:$B181,,"#")/10^3*$H181</f>
        <v>#VALUE!</v>
      </c>
      <c r="J181" s="136"/>
      <c r="K181" s="136"/>
      <c r="L181" s="136" t="e">
        <f t="shared" si="17"/>
        <v>#VALUE!</v>
      </c>
      <c r="M181" s="128"/>
      <c r="N181" s="136"/>
      <c r="O181" s="128"/>
      <c r="P181" s="136" t="e">
        <f t="shared" si="15"/>
        <v>#VALUE!</v>
      </c>
    </row>
    <row r="182" spans="1:17" hidden="1" outlineLevel="1">
      <c r="A182" s="115" t="s">
        <v>1578</v>
      </c>
      <c r="B182" s="115" t="s">
        <v>160</v>
      </c>
      <c r="C182" s="134" t="s">
        <v>1579</v>
      </c>
      <c r="E182" s="135" t="s">
        <v>1580</v>
      </c>
      <c r="F182" s="135" t="s">
        <v>161</v>
      </c>
      <c r="G182" s="131" t="s">
        <v>1666</v>
      </c>
      <c r="H182" s="132" t="e">
        <f t="shared" si="16"/>
        <v>#VALUE!</v>
      </c>
      <c r="I182" s="151" t="e">
        <f>_xll.GetCtData("COAMOUNT","CONSAMOUNT",$A$1:$A$8,$A182:$B182,,"#")/10^3*$H182</f>
        <v>#VALUE!</v>
      </c>
      <c r="J182" s="136"/>
      <c r="K182" s="136"/>
      <c r="L182" s="136" t="e">
        <f t="shared" si="17"/>
        <v>#VALUE!</v>
      </c>
      <c r="M182" s="128"/>
      <c r="N182" s="136"/>
      <c r="O182" s="128"/>
      <c r="P182" s="136" t="e">
        <f t="shared" si="15"/>
        <v>#VALUE!</v>
      </c>
    </row>
    <row r="183" spans="1:17" hidden="1" outlineLevel="1">
      <c r="A183" s="115" t="s">
        <v>1581</v>
      </c>
      <c r="B183" s="115" t="s">
        <v>160</v>
      </c>
      <c r="C183" s="134" t="s">
        <v>1582</v>
      </c>
      <c r="E183" s="135" t="s">
        <v>1583</v>
      </c>
      <c r="F183" s="135" t="s">
        <v>161</v>
      </c>
      <c r="G183" s="131" t="s">
        <v>1666</v>
      </c>
      <c r="H183" s="132" t="e">
        <f t="shared" si="16"/>
        <v>#VALUE!</v>
      </c>
      <c r="I183" s="151" t="e">
        <f>_xll.GetCtData("COAMOUNT","CONSAMOUNT",$A$1:$A$8,$A183:$B183,,"#")/10^3*$H183</f>
        <v>#VALUE!</v>
      </c>
      <c r="J183" s="136"/>
      <c r="K183" s="136"/>
      <c r="L183" s="136" t="e">
        <f t="shared" si="17"/>
        <v>#VALUE!</v>
      </c>
      <c r="M183" s="128"/>
      <c r="N183" s="136"/>
      <c r="O183" s="128"/>
      <c r="P183" s="136" t="e">
        <f t="shared" si="15"/>
        <v>#VALUE!</v>
      </c>
    </row>
    <row r="184" spans="1:17" hidden="1" outlineLevel="1">
      <c r="A184" s="115" t="s">
        <v>1584</v>
      </c>
      <c r="B184" s="115" t="s">
        <v>160</v>
      </c>
      <c r="C184" s="134" t="s">
        <v>1585</v>
      </c>
      <c r="E184" s="135" t="s">
        <v>1586</v>
      </c>
      <c r="F184" s="135" t="s">
        <v>161</v>
      </c>
      <c r="G184" s="131" t="s">
        <v>1666</v>
      </c>
      <c r="H184" s="132" t="e">
        <f t="shared" si="16"/>
        <v>#VALUE!</v>
      </c>
      <c r="I184" s="151" t="e">
        <f>_xll.GetCtData("COAMOUNT","CONSAMOUNT",$A$1:$A$8,$A184:$B184,,"#")/10^3*$H184</f>
        <v>#VALUE!</v>
      </c>
      <c r="J184" s="136"/>
      <c r="K184" s="136"/>
      <c r="L184" s="136" t="e">
        <f t="shared" si="17"/>
        <v>#VALUE!</v>
      </c>
      <c r="M184" s="128"/>
      <c r="N184" s="136"/>
      <c r="O184" s="128"/>
      <c r="P184" s="136" t="e">
        <f t="shared" si="15"/>
        <v>#VALUE!</v>
      </c>
    </row>
    <row r="185" spans="1:17" hidden="1" outlineLevel="1">
      <c r="A185" s="115" t="s">
        <v>1587</v>
      </c>
      <c r="B185" s="115" t="s">
        <v>160</v>
      </c>
      <c r="C185" s="134" t="s">
        <v>1588</v>
      </c>
      <c r="E185" s="135" t="s">
        <v>1589</v>
      </c>
      <c r="F185" s="135" t="s">
        <v>161</v>
      </c>
      <c r="G185" s="131" t="s">
        <v>1666</v>
      </c>
      <c r="H185" s="132" t="e">
        <f t="shared" si="16"/>
        <v>#VALUE!</v>
      </c>
      <c r="I185" s="151" t="e">
        <f>_xll.GetCtData("COAMOUNT","CONSAMOUNT",$A$1:$A$8,$A185:$B185,,"#2")/10^3*$H185</f>
        <v>#VALUE!</v>
      </c>
      <c r="J185" s="136"/>
      <c r="K185" s="136"/>
      <c r="L185" s="136" t="e">
        <f t="shared" si="17"/>
        <v>#VALUE!</v>
      </c>
      <c r="M185" s="128"/>
      <c r="N185" s="136"/>
      <c r="O185" s="128"/>
      <c r="P185" s="136" t="e">
        <f t="shared" si="15"/>
        <v>#VALUE!</v>
      </c>
    </row>
    <row r="186" spans="1:17" hidden="1" outlineLevel="1">
      <c r="A186" s="115" t="s">
        <v>1602</v>
      </c>
      <c r="B186" s="115" t="s">
        <v>160</v>
      </c>
      <c r="C186" s="134" t="s">
        <v>1603</v>
      </c>
      <c r="E186" s="135" t="s">
        <v>1604</v>
      </c>
      <c r="F186" s="135" t="s">
        <v>161</v>
      </c>
      <c r="G186" s="131" t="s">
        <v>1666</v>
      </c>
      <c r="H186" s="132" t="e">
        <f t="shared" si="16"/>
        <v>#VALUE!</v>
      </c>
      <c r="I186" s="151" t="e">
        <f>_xll.GetCtData("COAMOUNT","CONSAMOUNT",$A$1:$A$8,$A186:$B186,,"#")/10^3*$H186</f>
        <v>#VALUE!</v>
      </c>
      <c r="J186" s="136"/>
      <c r="K186" s="136"/>
      <c r="L186" s="136" t="e">
        <f t="shared" si="17"/>
        <v>#VALUE!</v>
      </c>
      <c r="M186" s="128"/>
      <c r="N186" s="136"/>
      <c r="O186" s="128"/>
      <c r="P186" s="136" t="e">
        <f t="shared" si="15"/>
        <v>#VALUE!</v>
      </c>
    </row>
    <row r="187" spans="1:17" hidden="1" outlineLevel="1">
      <c r="A187" s="115" t="s">
        <v>1605</v>
      </c>
      <c r="B187" s="115" t="s">
        <v>160</v>
      </c>
      <c r="C187" s="134" t="s">
        <v>1606</v>
      </c>
      <c r="E187" s="135" t="s">
        <v>1607</v>
      </c>
      <c r="F187" s="135" t="s">
        <v>161</v>
      </c>
      <c r="G187" s="131" t="s">
        <v>1666</v>
      </c>
      <c r="H187" s="132" t="e">
        <f t="shared" si="16"/>
        <v>#VALUE!</v>
      </c>
      <c r="I187" s="151" t="e">
        <f>_xll.GetCtData("COAMOUNT","CONSAMOUNT",$A$1:$A$8,$A187:$B187,,"#")/10^3*$H187</f>
        <v>#VALUE!</v>
      </c>
      <c r="J187" s="136"/>
      <c r="K187" s="136"/>
      <c r="L187" s="136" t="e">
        <f t="shared" si="17"/>
        <v>#VALUE!</v>
      </c>
      <c r="M187" s="128"/>
      <c r="N187" s="136"/>
      <c r="O187" s="128"/>
      <c r="P187" s="136" t="e">
        <f t="shared" si="15"/>
        <v>#VALUE!</v>
      </c>
    </row>
    <row r="188" spans="1:17" hidden="1" outlineLevel="1">
      <c r="A188" s="115" t="s">
        <v>1516</v>
      </c>
      <c r="B188" s="115" t="s">
        <v>160</v>
      </c>
      <c r="C188" s="134" t="s">
        <v>1517</v>
      </c>
      <c r="E188" s="135" t="s">
        <v>1518</v>
      </c>
      <c r="F188" s="135" t="s">
        <v>161</v>
      </c>
      <c r="G188" s="131" t="s">
        <v>1666</v>
      </c>
      <c r="H188" s="132" t="e">
        <f t="shared" si="16"/>
        <v>#VALUE!</v>
      </c>
      <c r="I188" s="151" t="e">
        <f>_xll.GetCtData("COAMOUNT","CONSAMOUNT",$A$1:$A$8,$A188:$B188,,"#")/10^3*$H188</f>
        <v>#VALUE!</v>
      </c>
      <c r="J188" s="136"/>
      <c r="K188" s="136"/>
      <c r="L188" s="136" t="e">
        <f t="shared" si="17"/>
        <v>#VALUE!</v>
      </c>
      <c r="M188" s="128"/>
      <c r="N188" s="136"/>
      <c r="O188" s="128"/>
      <c r="P188" s="136" t="e">
        <f t="shared" si="15"/>
        <v>#VALUE!</v>
      </c>
    </row>
    <row r="189" spans="1:17" hidden="1" outlineLevel="1">
      <c r="A189" s="115" t="s">
        <v>1519</v>
      </c>
      <c r="B189" s="115" t="s">
        <v>160</v>
      </c>
      <c r="C189" s="134" t="s">
        <v>1520</v>
      </c>
      <c r="E189" s="135" t="s">
        <v>1521</v>
      </c>
      <c r="F189" s="135" t="s">
        <v>161</v>
      </c>
      <c r="G189" s="131" t="s">
        <v>1666</v>
      </c>
      <c r="H189" s="132" t="e">
        <f t="shared" si="16"/>
        <v>#VALUE!</v>
      </c>
      <c r="I189" s="151" t="e">
        <f>_xll.GetCtData("COAMOUNT","CONSAMOUNT",$A$1:$A$8,$A189:$B189,,"#")/10^3*$H189</f>
        <v>#VALUE!</v>
      </c>
      <c r="J189" s="136"/>
      <c r="K189" s="136"/>
      <c r="L189" s="136" t="e">
        <f t="shared" si="17"/>
        <v>#VALUE!</v>
      </c>
      <c r="M189" s="128"/>
      <c r="N189" s="136"/>
      <c r="O189" s="128"/>
      <c r="P189" s="136" t="e">
        <f t="shared" si="15"/>
        <v>#VALUE!</v>
      </c>
    </row>
    <row r="190" spans="1:17" hidden="1" outlineLevel="1">
      <c r="A190" s="115" t="s">
        <v>1522</v>
      </c>
      <c r="B190" s="115" t="s">
        <v>160</v>
      </c>
      <c r="C190" s="134" t="s">
        <v>1523</v>
      </c>
      <c r="E190" s="135" t="s">
        <v>1524</v>
      </c>
      <c r="F190" s="135" t="s">
        <v>161</v>
      </c>
      <c r="G190" s="131" t="s">
        <v>1666</v>
      </c>
      <c r="H190" s="132" t="e">
        <f t="shared" si="16"/>
        <v>#VALUE!</v>
      </c>
      <c r="I190" s="151" t="e">
        <f>_xll.GetCtData("COAMOUNT","CONSAMOUNT",$A$1:$A$8,$A190:$B190,,"#")/10^3*$H190</f>
        <v>#VALUE!</v>
      </c>
      <c r="J190" s="136"/>
      <c r="K190" s="136"/>
      <c r="L190" s="136" t="e">
        <f t="shared" si="17"/>
        <v>#VALUE!</v>
      </c>
      <c r="M190" s="128"/>
      <c r="N190" s="136"/>
      <c r="O190" s="128"/>
      <c r="P190" s="136" t="e">
        <f t="shared" si="15"/>
        <v>#VALUE!</v>
      </c>
    </row>
    <row r="191" spans="1:17" hidden="1" outlineLevel="1">
      <c r="A191" s="115" t="s">
        <v>1525</v>
      </c>
      <c r="B191" s="115" t="s">
        <v>160</v>
      </c>
      <c r="C191" s="134" t="s">
        <v>1526</v>
      </c>
      <c r="E191" s="135" t="s">
        <v>1527</v>
      </c>
      <c r="F191" s="135" t="s">
        <v>161</v>
      </c>
      <c r="G191" s="131" t="s">
        <v>1666</v>
      </c>
      <c r="H191" s="132" t="e">
        <f t="shared" si="16"/>
        <v>#VALUE!</v>
      </c>
      <c r="I191" s="151" t="e">
        <f>_xll.GetCtData("COAMOUNT","CONSAMOUNT",$A$1:$A$8,$A191:$B191,,"#")/10^3*$H191</f>
        <v>#VALUE!</v>
      </c>
      <c r="J191" s="136"/>
      <c r="K191" s="136"/>
      <c r="L191" s="136" t="e">
        <f t="shared" si="17"/>
        <v>#VALUE!</v>
      </c>
      <c r="M191" s="128"/>
      <c r="N191" s="136"/>
      <c r="O191" s="128"/>
      <c r="P191" s="136" t="e">
        <f t="shared" si="15"/>
        <v>#VALUE!</v>
      </c>
    </row>
    <row r="192" spans="1:17" hidden="1" outlineLevel="1">
      <c r="A192" s="115" t="s">
        <v>1528</v>
      </c>
      <c r="B192" s="115" t="s">
        <v>160</v>
      </c>
      <c r="C192" s="134" t="s">
        <v>1529</v>
      </c>
      <c r="E192" s="135" t="s">
        <v>1530</v>
      </c>
      <c r="F192" s="135" t="s">
        <v>161</v>
      </c>
      <c r="G192" s="131" t="s">
        <v>1666</v>
      </c>
      <c r="H192" s="132" t="e">
        <f t="shared" si="16"/>
        <v>#VALUE!</v>
      </c>
      <c r="I192" s="151" t="e">
        <f>_xll.GetCtData("COAMOUNT","CONSAMOUNT",$A$1:$A$8,$A192:$B192,,"#")/10^3*$H192</f>
        <v>#VALUE!</v>
      </c>
      <c r="J192" s="136"/>
      <c r="K192" s="136"/>
      <c r="L192" s="136" t="e">
        <f t="shared" si="17"/>
        <v>#VALUE!</v>
      </c>
      <c r="M192" s="128"/>
      <c r="N192" s="136"/>
      <c r="O192" s="128"/>
      <c r="P192" s="136" t="e">
        <f t="shared" si="15"/>
        <v>#VALUE!</v>
      </c>
    </row>
    <row r="193" spans="1:16" hidden="1" outlineLevel="1">
      <c r="A193" s="115" t="s">
        <v>1531</v>
      </c>
      <c r="B193" s="115" t="s">
        <v>160</v>
      </c>
      <c r="C193" s="134" t="s">
        <v>1532</v>
      </c>
      <c r="E193" s="135" t="s">
        <v>1533</v>
      </c>
      <c r="F193" s="135" t="s">
        <v>161</v>
      </c>
      <c r="G193" s="131" t="s">
        <v>1666</v>
      </c>
      <c r="H193" s="132" t="e">
        <f t="shared" si="16"/>
        <v>#VALUE!</v>
      </c>
      <c r="I193" s="151" t="e">
        <f>_xll.GetCtData("COAMOUNT","CONSAMOUNT",$A$1:$A$8,$A193:$B193,,"#")/10^3*$H193</f>
        <v>#VALUE!</v>
      </c>
      <c r="J193" s="136"/>
      <c r="K193" s="136"/>
      <c r="L193" s="136" t="e">
        <f t="shared" si="17"/>
        <v>#VALUE!</v>
      </c>
      <c r="M193" s="128"/>
      <c r="N193" s="136"/>
      <c r="O193" s="128"/>
      <c r="P193" s="136" t="e">
        <f t="shared" si="15"/>
        <v>#VALUE!</v>
      </c>
    </row>
    <row r="194" spans="1:16" hidden="1" outlineLevel="1">
      <c r="A194" s="115" t="s">
        <v>1546</v>
      </c>
      <c r="B194" s="115" t="s">
        <v>160</v>
      </c>
      <c r="C194" s="134" t="s">
        <v>1547</v>
      </c>
      <c r="E194" s="135" t="s">
        <v>1548</v>
      </c>
      <c r="F194" s="135" t="s">
        <v>161</v>
      </c>
      <c r="G194" s="131" t="s">
        <v>1666</v>
      </c>
      <c r="H194" s="132" t="e">
        <f t="shared" si="16"/>
        <v>#VALUE!</v>
      </c>
      <c r="I194" s="151" t="e">
        <f>_xll.GetCtData("COAMOUNT","CONSAMOUNT",$A$1:$A$8,$A194:$B194,,"#")/10^3*$H194</f>
        <v>#VALUE!</v>
      </c>
      <c r="J194" s="136"/>
      <c r="K194" s="136"/>
      <c r="L194" s="136" t="e">
        <f t="shared" si="17"/>
        <v>#VALUE!</v>
      </c>
      <c r="M194" s="128"/>
      <c r="N194" s="136"/>
      <c r="O194" s="128"/>
      <c r="P194" s="136" t="e">
        <f t="shared" si="15"/>
        <v>#VALUE!</v>
      </c>
    </row>
    <row r="195" spans="1:16" hidden="1" outlineLevel="1">
      <c r="A195" s="115" t="s">
        <v>1549</v>
      </c>
      <c r="B195" s="115" t="s">
        <v>160</v>
      </c>
      <c r="C195" s="134" t="s">
        <v>1550</v>
      </c>
      <c r="E195" s="135" t="s">
        <v>1551</v>
      </c>
      <c r="F195" s="135" t="s">
        <v>161</v>
      </c>
      <c r="G195" s="131" t="s">
        <v>1666</v>
      </c>
      <c r="H195" s="132" t="e">
        <f t="shared" si="16"/>
        <v>#VALUE!</v>
      </c>
      <c r="I195" s="151" t="e">
        <f>_xll.GetCtData("COAMOUNT","CONSAMOUNT",$A$1:$A$8,$A195:$B195,,"#")/10^3*$H195</f>
        <v>#VALUE!</v>
      </c>
      <c r="J195" s="136"/>
      <c r="K195" s="136"/>
      <c r="L195" s="136" t="e">
        <f t="shared" si="17"/>
        <v>#VALUE!</v>
      </c>
      <c r="M195" s="128"/>
      <c r="N195" s="136"/>
      <c r="O195" s="128"/>
      <c r="P195" s="136" t="e">
        <f t="shared" si="15"/>
        <v>#VALUE!</v>
      </c>
    </row>
    <row r="196" spans="1:16" hidden="1" outlineLevel="1">
      <c r="A196" s="115" t="s">
        <v>1590</v>
      </c>
      <c r="B196" s="115" t="s">
        <v>160</v>
      </c>
      <c r="C196" s="134" t="s">
        <v>1591</v>
      </c>
      <c r="E196" s="135" t="s">
        <v>1592</v>
      </c>
      <c r="F196" s="135" t="s">
        <v>161</v>
      </c>
      <c r="G196" s="131" t="s">
        <v>1666</v>
      </c>
      <c r="H196" s="132" t="e">
        <f t="shared" si="16"/>
        <v>#VALUE!</v>
      </c>
      <c r="I196" s="151" t="e">
        <f>_xll.GetCtData("COAMOUNT","CONSAMOUNT",$A$1:$A$8,$A196:$B196,,"#")/10^3*$H196</f>
        <v>#VALUE!</v>
      </c>
      <c r="J196" s="136"/>
      <c r="K196" s="136"/>
      <c r="L196" s="136" t="e">
        <f t="shared" si="17"/>
        <v>#VALUE!</v>
      </c>
      <c r="M196" s="128"/>
      <c r="N196" s="136"/>
      <c r="O196" s="128"/>
      <c r="P196" s="136" t="e">
        <f t="shared" si="15"/>
        <v>#VALUE!</v>
      </c>
    </row>
    <row r="197" spans="1:16" hidden="1" outlineLevel="1">
      <c r="A197" s="115" t="s">
        <v>1593</v>
      </c>
      <c r="B197" s="115" t="s">
        <v>160</v>
      </c>
      <c r="C197" s="134" t="s">
        <v>1594</v>
      </c>
      <c r="E197" s="135" t="s">
        <v>1595</v>
      </c>
      <c r="F197" s="135" t="s">
        <v>161</v>
      </c>
      <c r="G197" s="131" t="s">
        <v>1666</v>
      </c>
      <c r="H197" s="132" t="e">
        <f t="shared" si="16"/>
        <v>#VALUE!</v>
      </c>
      <c r="I197" s="151" t="e">
        <f>_xll.GetCtData("COAMOUNT","CONSAMOUNT",$A$1:$A$8,$A197:$B197,,"#")/10^3*$H197</f>
        <v>#VALUE!</v>
      </c>
      <c r="J197" s="136"/>
      <c r="K197" s="136"/>
      <c r="L197" s="136" t="e">
        <f t="shared" si="17"/>
        <v>#VALUE!</v>
      </c>
      <c r="M197" s="128"/>
      <c r="N197" s="136"/>
      <c r="O197" s="128"/>
      <c r="P197" s="136" t="e">
        <f t="shared" si="15"/>
        <v>#VALUE!</v>
      </c>
    </row>
    <row r="198" spans="1:16" hidden="1" outlineLevel="1">
      <c r="A198" s="115" t="s">
        <v>1596</v>
      </c>
      <c r="B198" s="115" t="s">
        <v>160</v>
      </c>
      <c r="C198" s="134" t="s">
        <v>1597</v>
      </c>
      <c r="E198" s="135" t="s">
        <v>1598</v>
      </c>
      <c r="F198" s="135" t="s">
        <v>161</v>
      </c>
      <c r="G198" s="131" t="s">
        <v>1666</v>
      </c>
      <c r="H198" s="132" t="e">
        <f t="shared" si="16"/>
        <v>#VALUE!</v>
      </c>
      <c r="I198" s="151" t="e">
        <f>_xll.GetCtData("COAMOUNT","CONSAMOUNT",$A$1:$A$8,$A198:$B198,,"#")/10^3*$H198</f>
        <v>#VALUE!</v>
      </c>
      <c r="J198" s="136"/>
      <c r="K198" s="136"/>
      <c r="L198" s="136" t="e">
        <f t="shared" si="17"/>
        <v>#VALUE!</v>
      </c>
      <c r="M198" s="128"/>
      <c r="N198" s="136"/>
      <c r="O198" s="128"/>
      <c r="P198" s="136" t="e">
        <f t="shared" si="15"/>
        <v>#VALUE!</v>
      </c>
    </row>
    <row r="199" spans="1:16" hidden="1" outlineLevel="1">
      <c r="A199" s="115" t="s">
        <v>1599</v>
      </c>
      <c r="B199" s="115" t="s">
        <v>160</v>
      </c>
      <c r="C199" s="134" t="s">
        <v>1600</v>
      </c>
      <c r="E199" s="135" t="s">
        <v>1601</v>
      </c>
      <c r="F199" s="135" t="s">
        <v>161</v>
      </c>
      <c r="G199" s="131" t="s">
        <v>1666</v>
      </c>
      <c r="H199" s="132" t="e">
        <f t="shared" si="16"/>
        <v>#VALUE!</v>
      </c>
      <c r="I199" s="151" t="e">
        <f>_xll.GetCtData("COAMOUNT","CONSAMOUNT",$A$1:$A$8,$A199:$B199,,"#")/10^3*$H199</f>
        <v>#VALUE!</v>
      </c>
      <c r="J199" s="136"/>
      <c r="K199" s="136"/>
      <c r="L199" s="136" t="e">
        <f t="shared" si="17"/>
        <v>#VALUE!</v>
      </c>
      <c r="M199" s="128"/>
      <c r="N199" s="136"/>
      <c r="O199" s="128"/>
      <c r="P199" s="136" t="e">
        <f t="shared" si="15"/>
        <v>#VALUE!</v>
      </c>
    </row>
    <row r="200" spans="1:16" hidden="1" outlineLevel="1">
      <c r="A200" s="115" t="s">
        <v>1534</v>
      </c>
      <c r="B200" s="115" t="s">
        <v>160</v>
      </c>
      <c r="C200" s="134" t="s">
        <v>1535</v>
      </c>
      <c r="E200" s="135" t="s">
        <v>1536</v>
      </c>
      <c r="F200" s="135" t="s">
        <v>161</v>
      </c>
      <c r="G200" s="131" t="s">
        <v>1666</v>
      </c>
      <c r="H200" s="132" t="e">
        <f t="shared" si="16"/>
        <v>#VALUE!</v>
      </c>
      <c r="I200" s="151" t="e">
        <f>_xll.GetCtData("COAMOUNT","CONSAMOUNT",$A$1:$A$8,$A200:$B200,,"#")/10^3*$H200</f>
        <v>#VALUE!</v>
      </c>
      <c r="J200" s="136"/>
      <c r="K200" s="136"/>
      <c r="L200" s="136" t="e">
        <f t="shared" si="17"/>
        <v>#VALUE!</v>
      </c>
      <c r="M200" s="128"/>
      <c r="N200" s="136"/>
      <c r="O200" s="128"/>
      <c r="P200" s="136" t="e">
        <f t="shared" si="15"/>
        <v>#VALUE!</v>
      </c>
    </row>
    <row r="201" spans="1:16" hidden="1" outlineLevel="1">
      <c r="A201" s="115" t="s">
        <v>1537</v>
      </c>
      <c r="B201" s="115" t="s">
        <v>160</v>
      </c>
      <c r="C201" s="134" t="s">
        <v>1538</v>
      </c>
      <c r="E201" s="135" t="s">
        <v>1539</v>
      </c>
      <c r="F201" s="135" t="s">
        <v>161</v>
      </c>
      <c r="G201" s="131" t="s">
        <v>1666</v>
      </c>
      <c r="H201" s="132" t="e">
        <f t="shared" si="16"/>
        <v>#VALUE!</v>
      </c>
      <c r="I201" s="151" t="e">
        <f>_xll.GetCtData("COAMOUNT","CONSAMOUNT",$A$1:$A$8,$A201:$B201,,"#")/10^3*$H201</f>
        <v>#VALUE!</v>
      </c>
      <c r="J201" s="136"/>
      <c r="K201" s="136"/>
      <c r="L201" s="136" t="e">
        <f t="shared" si="17"/>
        <v>#VALUE!</v>
      </c>
      <c r="M201" s="128"/>
      <c r="N201" s="136"/>
      <c r="O201" s="128"/>
      <c r="P201" s="136" t="e">
        <f t="shared" si="15"/>
        <v>#VALUE!</v>
      </c>
    </row>
    <row r="202" spans="1:16" hidden="1" outlineLevel="1">
      <c r="A202" s="115" t="s">
        <v>1540</v>
      </c>
      <c r="B202" s="115" t="s">
        <v>160</v>
      </c>
      <c r="C202" s="134" t="s">
        <v>1541</v>
      </c>
      <c r="E202" s="135" t="s">
        <v>1542</v>
      </c>
      <c r="F202" s="135" t="s">
        <v>161</v>
      </c>
      <c r="G202" s="131" t="s">
        <v>1666</v>
      </c>
      <c r="H202" s="132" t="e">
        <f t="shared" si="16"/>
        <v>#VALUE!</v>
      </c>
      <c r="I202" s="151" t="e">
        <f>_xll.GetCtData("COAMOUNT","CONSAMOUNT",$A$1:$A$8,$A202:$B202,,"#")/10^3*$H202</f>
        <v>#VALUE!</v>
      </c>
      <c r="J202" s="136"/>
      <c r="K202" s="136"/>
      <c r="L202" s="136" t="e">
        <f t="shared" si="17"/>
        <v>#VALUE!</v>
      </c>
      <c r="M202" s="128"/>
      <c r="N202" s="136"/>
      <c r="O202" s="128"/>
      <c r="P202" s="136" t="e">
        <f t="shared" si="15"/>
        <v>#VALUE!</v>
      </c>
    </row>
    <row r="203" spans="1:16" hidden="1" outlineLevel="1">
      <c r="A203" s="115" t="s">
        <v>1543</v>
      </c>
      <c r="B203" s="115" t="s">
        <v>160</v>
      </c>
      <c r="C203" s="134" t="s">
        <v>1544</v>
      </c>
      <c r="E203" s="135" t="s">
        <v>1545</v>
      </c>
      <c r="F203" s="135" t="s">
        <v>161</v>
      </c>
      <c r="G203" s="131" t="s">
        <v>1666</v>
      </c>
      <c r="H203" s="132" t="e">
        <f t="shared" si="16"/>
        <v>#VALUE!</v>
      </c>
      <c r="I203" s="151" t="e">
        <f>_xll.GetCtData("COAMOUNT","CONSAMOUNT",$A$1:$A$8,$A203:$B203,,"#")/10^3*$H203</f>
        <v>#VALUE!</v>
      </c>
      <c r="J203" s="136"/>
      <c r="K203" s="136"/>
      <c r="L203" s="136" t="e">
        <f t="shared" si="17"/>
        <v>#VALUE!</v>
      </c>
      <c r="M203" s="128"/>
      <c r="N203" s="136"/>
      <c r="O203" s="128"/>
      <c r="P203" s="136" t="e">
        <f t="shared" si="15"/>
        <v>#VALUE!</v>
      </c>
    </row>
    <row r="204" spans="1:16" hidden="1" outlineLevel="1">
      <c r="A204" s="115" t="s">
        <v>1552</v>
      </c>
      <c r="B204" s="115" t="s">
        <v>160</v>
      </c>
      <c r="C204" s="134" t="s">
        <v>1553</v>
      </c>
      <c r="E204" s="135" t="s">
        <v>1554</v>
      </c>
      <c r="F204" s="135" t="s">
        <v>161</v>
      </c>
      <c r="G204" s="131" t="s">
        <v>1666</v>
      </c>
      <c r="H204" s="132" t="e">
        <f t="shared" si="16"/>
        <v>#VALUE!</v>
      </c>
      <c r="I204" s="136"/>
      <c r="J204" s="151" t="e">
        <f>_xll.GetCtData("COAMOUNT","CONSAMOUNT",$A$1:$A$8,$A204:$B204,,"#")/10^3*$H204</f>
        <v>#VALUE!</v>
      </c>
      <c r="K204" s="136"/>
      <c r="L204" s="136" t="e">
        <f t="shared" si="17"/>
        <v>#VALUE!</v>
      </c>
      <c r="M204" s="128"/>
      <c r="N204" s="136"/>
      <c r="O204" s="128"/>
      <c r="P204" s="136" t="e">
        <f t="shared" si="15"/>
        <v>#VALUE!</v>
      </c>
    </row>
    <row r="205" spans="1:16" hidden="1" outlineLevel="1">
      <c r="A205" s="115" t="s">
        <v>1555</v>
      </c>
      <c r="B205" s="115" t="s">
        <v>160</v>
      </c>
      <c r="C205" s="134" t="s">
        <v>1556</v>
      </c>
      <c r="E205" s="135" t="s">
        <v>1557</v>
      </c>
      <c r="F205" s="135" t="s">
        <v>161</v>
      </c>
      <c r="G205" s="131" t="s">
        <v>1666</v>
      </c>
      <c r="H205" s="132" t="e">
        <f t="shared" si="16"/>
        <v>#VALUE!</v>
      </c>
      <c r="I205" s="136"/>
      <c r="J205" s="151" t="e">
        <f>_xll.GetCtData("COAMOUNT","CONSAMOUNT",$A$1:$A$8,$A205:$B205,,"#")/10^3*$H205</f>
        <v>#VALUE!</v>
      </c>
      <c r="K205" s="136"/>
      <c r="L205" s="136" t="e">
        <f t="shared" si="17"/>
        <v>#VALUE!</v>
      </c>
      <c r="M205" s="128"/>
      <c r="N205" s="136"/>
      <c r="O205" s="128"/>
      <c r="P205" s="136" t="e">
        <f t="shared" si="15"/>
        <v>#VALUE!</v>
      </c>
    </row>
    <row r="206" spans="1:16" hidden="1" outlineLevel="1">
      <c r="A206" s="115" t="s">
        <v>1558</v>
      </c>
      <c r="B206" s="115" t="s">
        <v>160</v>
      </c>
      <c r="C206" s="134" t="s">
        <v>1559</v>
      </c>
      <c r="E206" s="135" t="s">
        <v>1560</v>
      </c>
      <c r="F206" s="135" t="s">
        <v>161</v>
      </c>
      <c r="G206" s="131" t="s">
        <v>1666</v>
      </c>
      <c r="H206" s="132" t="e">
        <f t="shared" si="16"/>
        <v>#VALUE!</v>
      </c>
      <c r="I206" s="136"/>
      <c r="J206" s="151" t="e">
        <f>_xll.GetCtData("COAMOUNT","CONSAMOUNT",$A$1:$A$8,$A206:$B206,,"#")/10^3*$H206</f>
        <v>#VALUE!</v>
      </c>
      <c r="K206" s="136"/>
      <c r="L206" s="136" t="e">
        <f t="shared" si="17"/>
        <v>#VALUE!</v>
      </c>
      <c r="M206" s="128"/>
      <c r="N206" s="136"/>
      <c r="O206" s="128"/>
      <c r="P206" s="136" t="e">
        <f t="shared" si="15"/>
        <v>#VALUE!</v>
      </c>
    </row>
    <row r="207" spans="1:16" hidden="1" outlineLevel="1">
      <c r="A207" s="115" t="s">
        <v>1561</v>
      </c>
      <c r="B207" s="115" t="s">
        <v>160</v>
      </c>
      <c r="C207" s="134" t="s">
        <v>1562</v>
      </c>
      <c r="E207" s="135" t="s">
        <v>1563</v>
      </c>
      <c r="F207" s="135" t="s">
        <v>161</v>
      </c>
      <c r="G207" s="131" t="s">
        <v>1666</v>
      </c>
      <c r="H207" s="132" t="e">
        <f t="shared" si="16"/>
        <v>#VALUE!</v>
      </c>
      <c r="I207" s="136"/>
      <c r="J207" s="151" t="e">
        <f>_xll.GetCtData("COAMOUNT","CONSAMOUNT",$A$1:$A$8,$A207:$B207,,"#")/10^3*$H207</f>
        <v>#VALUE!</v>
      </c>
      <c r="K207" s="136"/>
      <c r="L207" s="136" t="e">
        <f t="shared" si="17"/>
        <v>#VALUE!</v>
      </c>
      <c r="M207" s="128"/>
      <c r="N207" s="136"/>
      <c r="O207" s="128"/>
      <c r="P207" s="136" t="e">
        <f t="shared" si="15"/>
        <v>#VALUE!</v>
      </c>
    </row>
    <row r="208" spans="1:16" hidden="1" outlineLevel="1">
      <c r="A208" s="115" t="s">
        <v>1608</v>
      </c>
      <c r="B208" s="115" t="s">
        <v>160</v>
      </c>
      <c r="C208" s="134" t="s">
        <v>1609</v>
      </c>
      <c r="E208" s="135" t="s">
        <v>1610</v>
      </c>
      <c r="F208" s="135" t="s">
        <v>161</v>
      </c>
      <c r="G208" s="131" t="s">
        <v>1666</v>
      </c>
      <c r="H208" s="132" t="e">
        <f t="shared" si="16"/>
        <v>#VALUE!</v>
      </c>
      <c r="I208" s="136"/>
      <c r="J208" s="151" t="e">
        <f>_xll.GetCtData("COAMOUNT","CONSAMOUNT",$A$1:$A$8,$A208:$B208,,"#")/10^3*$H208</f>
        <v>#VALUE!</v>
      </c>
      <c r="K208" s="136"/>
      <c r="L208" s="136" t="e">
        <f t="shared" si="17"/>
        <v>#VALUE!</v>
      </c>
      <c r="M208" s="128"/>
      <c r="N208" s="136"/>
      <c r="O208" s="128"/>
      <c r="P208" s="136" t="e">
        <f t="shared" si="15"/>
        <v>#VALUE!</v>
      </c>
    </row>
    <row r="209" spans="1:16" hidden="1" outlineLevel="1">
      <c r="A209" s="115" t="s">
        <v>1611</v>
      </c>
      <c r="B209" s="115" t="s">
        <v>160</v>
      </c>
      <c r="C209" s="134" t="s">
        <v>1612</v>
      </c>
      <c r="E209" s="135" t="s">
        <v>1613</v>
      </c>
      <c r="F209" s="135" t="s">
        <v>161</v>
      </c>
      <c r="G209" s="131" t="s">
        <v>1666</v>
      </c>
      <c r="H209" s="132" t="e">
        <f t="shared" si="16"/>
        <v>#VALUE!</v>
      </c>
      <c r="I209" s="136"/>
      <c r="J209" s="151" t="e">
        <f>_xll.GetCtData("COAMOUNT","CONSAMOUNT",$A$1:$A$8,$A209:$B209,,"#")/10^3*$H209</f>
        <v>#VALUE!</v>
      </c>
      <c r="K209" s="136"/>
      <c r="L209" s="136" t="e">
        <f t="shared" si="17"/>
        <v>#VALUE!</v>
      </c>
      <c r="M209" s="128"/>
      <c r="N209" s="136"/>
      <c r="O209" s="128"/>
      <c r="P209" s="136" t="e">
        <f t="shared" si="15"/>
        <v>#VALUE!</v>
      </c>
    </row>
    <row r="210" spans="1:16" hidden="1" outlineLevel="1">
      <c r="A210" s="115" t="s">
        <v>1614</v>
      </c>
      <c r="B210" s="115" t="s">
        <v>160</v>
      </c>
      <c r="C210" s="134" t="s">
        <v>1615</v>
      </c>
      <c r="E210" s="135" t="s">
        <v>1616</v>
      </c>
      <c r="F210" s="135" t="s">
        <v>161</v>
      </c>
      <c r="G210" s="131" t="s">
        <v>1666</v>
      </c>
      <c r="H210" s="132" t="e">
        <f t="shared" si="16"/>
        <v>#VALUE!</v>
      </c>
      <c r="I210" s="136"/>
      <c r="J210" s="151" t="e">
        <f>_xll.GetCtData("COAMOUNT","CONSAMOUNT",$A$1:$A$8,$A210:$B210,,"#")/10^3*$H210</f>
        <v>#VALUE!</v>
      </c>
      <c r="K210" s="136"/>
      <c r="L210" s="136" t="e">
        <f t="shared" si="17"/>
        <v>#VALUE!</v>
      </c>
      <c r="M210" s="128"/>
      <c r="N210" s="136"/>
      <c r="O210" s="128"/>
      <c r="P210" s="136" t="e">
        <f t="shared" si="15"/>
        <v>#VALUE!</v>
      </c>
    </row>
    <row r="211" spans="1:16" hidden="1" outlineLevel="1">
      <c r="A211" s="115" t="s">
        <v>1617</v>
      </c>
      <c r="B211" s="115" t="s">
        <v>160</v>
      </c>
      <c r="C211" s="134" t="s">
        <v>1618</v>
      </c>
      <c r="E211" s="135" t="s">
        <v>1619</v>
      </c>
      <c r="F211" s="135" t="s">
        <v>161</v>
      </c>
      <c r="G211" s="131" t="s">
        <v>1666</v>
      </c>
      <c r="H211" s="132" t="e">
        <f t="shared" si="16"/>
        <v>#VALUE!</v>
      </c>
      <c r="I211" s="136"/>
      <c r="J211" s="151" t="e">
        <f>_xll.GetCtData("COAMOUNT","CONSAMOUNT",$A$1:$A$8,$A211:$B211,,"#")/10^3*$H211</f>
        <v>#VALUE!</v>
      </c>
      <c r="K211" s="136"/>
      <c r="L211" s="136" t="e">
        <f t="shared" si="17"/>
        <v>#VALUE!</v>
      </c>
      <c r="M211" s="128"/>
      <c r="N211" s="136"/>
      <c r="O211" s="128"/>
      <c r="P211" s="136" t="e">
        <f t="shared" si="15"/>
        <v>#VALUE!</v>
      </c>
    </row>
    <row r="212" spans="1:16" hidden="1" outlineLevel="1">
      <c r="A212" s="115" t="s">
        <v>1564</v>
      </c>
      <c r="B212" s="115" t="s">
        <v>160</v>
      </c>
      <c r="C212" s="134" t="s">
        <v>1565</v>
      </c>
      <c r="E212" s="135" t="s">
        <v>1566</v>
      </c>
      <c r="F212" s="135" t="s">
        <v>161</v>
      </c>
      <c r="G212" s="131" t="s">
        <v>1666</v>
      </c>
      <c r="H212" s="132" t="e">
        <f t="shared" si="16"/>
        <v>#VALUE!</v>
      </c>
      <c r="I212" s="136"/>
      <c r="J212" s="136"/>
      <c r="K212" s="151" t="e">
        <f>_xll.GetCtData("COAMOUNT","CONSAMOUNT",$A$1:$A$8,$A212:$B212,,"#")/10^3*$H212</f>
        <v>#VALUE!</v>
      </c>
      <c r="L212" s="136" t="e">
        <f t="shared" si="17"/>
        <v>#VALUE!</v>
      </c>
      <c r="M212" s="128"/>
      <c r="N212" s="136"/>
      <c r="O212" s="128"/>
      <c r="P212" s="136" t="e">
        <f t="shared" si="15"/>
        <v>#VALUE!</v>
      </c>
    </row>
    <row r="213" spans="1:16" hidden="1" outlineLevel="1">
      <c r="A213" s="115" t="s">
        <v>1567</v>
      </c>
      <c r="B213" s="115" t="s">
        <v>160</v>
      </c>
      <c r="C213" s="134" t="s">
        <v>1568</v>
      </c>
      <c r="E213" s="135" t="s">
        <v>1569</v>
      </c>
      <c r="F213" s="135" t="s">
        <v>161</v>
      </c>
      <c r="G213" s="131" t="s">
        <v>1666</v>
      </c>
      <c r="H213" s="132" t="e">
        <f t="shared" si="16"/>
        <v>#VALUE!</v>
      </c>
      <c r="I213" s="136"/>
      <c r="J213" s="136"/>
      <c r="K213" s="151" t="e">
        <f>_xll.GetCtData("COAMOUNT","CONSAMOUNT",$A$1:$A$8,$A213:$B213,,"#")/10^3*$H213</f>
        <v>#VALUE!</v>
      </c>
      <c r="L213" s="136" t="e">
        <f t="shared" si="17"/>
        <v>#VALUE!</v>
      </c>
      <c r="M213" s="128"/>
      <c r="N213" s="136"/>
      <c r="O213" s="128"/>
      <c r="P213" s="136" t="e">
        <f t="shared" si="15"/>
        <v>#VALUE!</v>
      </c>
    </row>
    <row r="214" spans="1:16" hidden="1" outlineLevel="1">
      <c r="A214" s="115" t="s">
        <v>1620</v>
      </c>
      <c r="B214" s="115" t="s">
        <v>160</v>
      </c>
      <c r="C214" s="134" t="s">
        <v>1621</v>
      </c>
      <c r="E214" s="135" t="s">
        <v>1622</v>
      </c>
      <c r="F214" s="135" t="s">
        <v>161</v>
      </c>
      <c r="G214" s="131" t="s">
        <v>1666</v>
      </c>
      <c r="H214" s="132" t="e">
        <f t="shared" si="16"/>
        <v>#VALUE!</v>
      </c>
      <c r="I214" s="136"/>
      <c r="J214" s="136"/>
      <c r="K214" s="151" t="e">
        <f>_xll.GetCtData("COAMOUNT","CONSAMOUNT",$A$1:$A$8,$A214:$B214,,"#")/10^3*$H214</f>
        <v>#VALUE!</v>
      </c>
      <c r="L214" s="136" t="e">
        <f t="shared" si="17"/>
        <v>#VALUE!</v>
      </c>
      <c r="M214" s="128"/>
      <c r="N214" s="136"/>
      <c r="O214" s="128"/>
      <c r="P214" s="136" t="e">
        <f t="shared" si="15"/>
        <v>#VALUE!</v>
      </c>
    </row>
    <row r="215" spans="1:16" hidden="1" outlineLevel="1">
      <c r="A215" s="115" t="s">
        <v>1623</v>
      </c>
      <c r="B215" s="115" t="s">
        <v>160</v>
      </c>
      <c r="C215" s="134" t="s">
        <v>1624</v>
      </c>
      <c r="E215" s="135" t="s">
        <v>1625</v>
      </c>
      <c r="F215" s="135" t="s">
        <v>161</v>
      </c>
      <c r="G215" s="131" t="s">
        <v>1666</v>
      </c>
      <c r="H215" s="132" t="e">
        <f t="shared" si="16"/>
        <v>#VALUE!</v>
      </c>
      <c r="I215" s="136"/>
      <c r="J215" s="136"/>
      <c r="K215" s="151" t="e">
        <f>_xll.GetCtData("COAMOUNT","CONSAMOUNT",$A$1:$A$8,$A215:$B215,,"#")/10^3*$H215</f>
        <v>#VALUE!</v>
      </c>
      <c r="L215" s="136" t="e">
        <f t="shared" si="17"/>
        <v>#VALUE!</v>
      </c>
      <c r="M215" s="128"/>
      <c r="N215" s="136"/>
      <c r="O215" s="128"/>
      <c r="P215" s="136" t="e">
        <f t="shared" si="15"/>
        <v>#VALUE!</v>
      </c>
    </row>
    <row r="216" spans="1:16" hidden="1" outlineLevel="1">
      <c r="A216" s="115" t="s">
        <v>1572</v>
      </c>
      <c r="B216" s="115" t="s">
        <v>162</v>
      </c>
      <c r="C216" s="134" t="s">
        <v>1573</v>
      </c>
      <c r="E216" s="135" t="s">
        <v>1574</v>
      </c>
      <c r="F216" s="135" t="s">
        <v>163</v>
      </c>
      <c r="G216" s="131" t="s">
        <v>13</v>
      </c>
      <c r="H216" s="132" t="e">
        <f t="shared" si="16"/>
        <v>#VALUE!</v>
      </c>
      <c r="I216" s="151" t="e">
        <f>_xll.GetCtData("COAMOUNT","CONSAMOUNT",$A$1:$A$8,$A216:$B216,,"#-91246,6107758811")/10^3*$H216</f>
        <v>#VALUE!</v>
      </c>
      <c r="J216" s="136"/>
      <c r="K216" s="136"/>
      <c r="L216" s="136" t="e">
        <f t="shared" si="17"/>
        <v>#VALUE!</v>
      </c>
      <c r="M216" s="128"/>
      <c r="N216" s="136"/>
      <c r="O216" s="128"/>
      <c r="P216" s="136" t="e">
        <f t="shared" si="15"/>
        <v>#VALUE!</v>
      </c>
    </row>
    <row r="217" spans="1:16" hidden="1" outlineLevel="1">
      <c r="A217" s="115" t="s">
        <v>1575</v>
      </c>
      <c r="B217" s="115" t="s">
        <v>162</v>
      </c>
      <c r="C217" s="134" t="s">
        <v>1576</v>
      </c>
      <c r="E217" s="135" t="s">
        <v>1577</v>
      </c>
      <c r="F217" s="135" t="s">
        <v>163</v>
      </c>
      <c r="G217" s="131" t="s">
        <v>13</v>
      </c>
      <c r="H217" s="132" t="e">
        <f t="shared" si="16"/>
        <v>#VALUE!</v>
      </c>
      <c r="I217" s="151" t="e">
        <f>_xll.GetCtData("COAMOUNT","CONSAMOUNT",$A$1:$A$8,$A217:$B217,,"#21869,8377707805")/10^3*$H217</f>
        <v>#VALUE!</v>
      </c>
      <c r="J217" s="136"/>
      <c r="K217" s="136"/>
      <c r="L217" s="136" t="e">
        <f t="shared" si="17"/>
        <v>#VALUE!</v>
      </c>
      <c r="M217" s="128"/>
      <c r="N217" s="136"/>
      <c r="O217" s="128"/>
      <c r="P217" s="136" t="e">
        <f t="shared" si="15"/>
        <v>#VALUE!</v>
      </c>
    </row>
    <row r="218" spans="1:16" hidden="1" outlineLevel="1">
      <c r="A218" s="115" t="s">
        <v>1578</v>
      </c>
      <c r="B218" s="115" t="s">
        <v>162</v>
      </c>
      <c r="C218" s="134" t="s">
        <v>1579</v>
      </c>
      <c r="E218" s="135" t="s">
        <v>1580</v>
      </c>
      <c r="F218" s="135" t="s">
        <v>163</v>
      </c>
      <c r="G218" s="131" t="s">
        <v>13</v>
      </c>
      <c r="H218" s="132" t="e">
        <f t="shared" si="16"/>
        <v>#VALUE!</v>
      </c>
      <c r="I218" s="151" t="e">
        <f>_xll.GetCtData("COAMOUNT","CONSAMOUNT",$A$1:$A$8,$A218:$B218,,"#-1344,12051551003")/10^3*$H218</f>
        <v>#VALUE!</v>
      </c>
      <c r="J218" s="136"/>
      <c r="K218" s="136"/>
      <c r="L218" s="136" t="e">
        <f t="shared" si="17"/>
        <v>#VALUE!</v>
      </c>
      <c r="M218" s="128"/>
      <c r="N218" s="136"/>
      <c r="O218" s="128"/>
      <c r="P218" s="136" t="e">
        <f t="shared" si="15"/>
        <v>#VALUE!</v>
      </c>
    </row>
    <row r="219" spans="1:16" hidden="1" outlineLevel="1">
      <c r="A219" s="115" t="s">
        <v>1581</v>
      </c>
      <c r="B219" s="115" t="s">
        <v>162</v>
      </c>
      <c r="C219" s="134" t="s">
        <v>1582</v>
      </c>
      <c r="E219" s="135" t="s">
        <v>1583</v>
      </c>
      <c r="F219" s="135" t="s">
        <v>163</v>
      </c>
      <c r="G219" s="131" t="s">
        <v>13</v>
      </c>
      <c r="H219" s="132" t="e">
        <f t="shared" si="16"/>
        <v>#VALUE!</v>
      </c>
      <c r="I219" s="151" t="e">
        <f>_xll.GetCtData("COAMOUNT","CONSAMOUNT",$A$1:$A$8,$A219:$B219,,"#1713945,61238692")/10^3*$H219</f>
        <v>#VALUE!</v>
      </c>
      <c r="J219" s="136"/>
      <c r="K219" s="136"/>
      <c r="L219" s="136" t="e">
        <f t="shared" si="17"/>
        <v>#VALUE!</v>
      </c>
      <c r="M219" s="128"/>
      <c r="N219" s="136"/>
      <c r="O219" s="128"/>
      <c r="P219" s="136" t="e">
        <f t="shared" si="15"/>
        <v>#VALUE!</v>
      </c>
    </row>
    <row r="220" spans="1:16" hidden="1" outlineLevel="1">
      <c r="A220" s="115" t="s">
        <v>1584</v>
      </c>
      <c r="B220" s="115" t="s">
        <v>162</v>
      </c>
      <c r="C220" s="134" t="s">
        <v>1585</v>
      </c>
      <c r="E220" s="135" t="s">
        <v>1586</v>
      </c>
      <c r="F220" s="135" t="s">
        <v>163</v>
      </c>
      <c r="G220" s="131" t="s">
        <v>13</v>
      </c>
      <c r="H220" s="132" t="e">
        <f t="shared" si="16"/>
        <v>#VALUE!</v>
      </c>
      <c r="I220" s="151" t="e">
        <f>_xll.GetCtData("COAMOUNT","CONSAMOUNT",$A$1:$A$8,$A220:$B220,,"#288,408689847263")/10^3*$H220</f>
        <v>#VALUE!</v>
      </c>
      <c r="J220" s="136"/>
      <c r="K220" s="136"/>
      <c r="L220" s="136" t="e">
        <f t="shared" si="17"/>
        <v>#VALUE!</v>
      </c>
      <c r="M220" s="128"/>
      <c r="N220" s="136"/>
      <c r="O220" s="128"/>
      <c r="P220" s="136" t="e">
        <f t="shared" si="15"/>
        <v>#VALUE!</v>
      </c>
    </row>
    <row r="221" spans="1:16" hidden="1" outlineLevel="1">
      <c r="A221" s="115" t="s">
        <v>1587</v>
      </c>
      <c r="B221" s="115" t="s">
        <v>162</v>
      </c>
      <c r="C221" s="134" t="s">
        <v>1588</v>
      </c>
      <c r="E221" s="135" t="s">
        <v>1589</v>
      </c>
      <c r="F221" s="135" t="s">
        <v>163</v>
      </c>
      <c r="G221" s="131" t="s">
        <v>13</v>
      </c>
      <c r="H221" s="132" t="e">
        <f t="shared" si="16"/>
        <v>#VALUE!</v>
      </c>
      <c r="I221" s="151" t="e">
        <f>_xll.GetCtData("COAMOUNT","CONSAMOUNT",$A$1:$A$8,$A221:$B221,,"#3550,88264714208")/10^3*$H221</f>
        <v>#VALUE!</v>
      </c>
      <c r="J221" s="136"/>
      <c r="K221" s="136"/>
      <c r="L221" s="136" t="e">
        <f t="shared" si="17"/>
        <v>#VALUE!</v>
      </c>
      <c r="M221" s="128"/>
      <c r="N221" s="136"/>
      <c r="O221" s="128"/>
      <c r="P221" s="136" t="e">
        <f t="shared" si="15"/>
        <v>#VALUE!</v>
      </c>
    </row>
    <row r="222" spans="1:16" hidden="1" outlineLevel="1">
      <c r="A222" s="115" t="s">
        <v>1602</v>
      </c>
      <c r="B222" s="115" t="s">
        <v>162</v>
      </c>
      <c r="C222" s="134" t="s">
        <v>1603</v>
      </c>
      <c r="E222" s="135" t="s">
        <v>1604</v>
      </c>
      <c r="F222" s="135" t="s">
        <v>163</v>
      </c>
      <c r="G222" s="131" t="s">
        <v>13</v>
      </c>
      <c r="H222" s="132" t="e">
        <f t="shared" si="16"/>
        <v>#VALUE!</v>
      </c>
      <c r="I222" s="151" t="e">
        <f>_xll.GetCtData("COAMOUNT","CONSAMOUNT",$A$1:$A$8,$A222:$B222,,"#-25,2084509807808")/10^3*$H222</f>
        <v>#VALUE!</v>
      </c>
      <c r="J222" s="136"/>
      <c r="K222" s="136"/>
      <c r="L222" s="136" t="e">
        <f t="shared" si="17"/>
        <v>#VALUE!</v>
      </c>
      <c r="M222" s="128"/>
      <c r="N222" s="136"/>
      <c r="O222" s="128"/>
      <c r="P222" s="136" t="e">
        <f t="shared" si="15"/>
        <v>#VALUE!</v>
      </c>
    </row>
    <row r="223" spans="1:16" hidden="1" outlineLevel="1">
      <c r="A223" s="115" t="s">
        <v>1605</v>
      </c>
      <c r="B223" s="115" t="s">
        <v>162</v>
      </c>
      <c r="C223" s="134" t="s">
        <v>1606</v>
      </c>
      <c r="E223" s="135" t="s">
        <v>1607</v>
      </c>
      <c r="F223" s="135" t="s">
        <v>163</v>
      </c>
      <c r="G223" s="131" t="s">
        <v>13</v>
      </c>
      <c r="H223" s="132" t="e">
        <f t="shared" si="16"/>
        <v>#VALUE!</v>
      </c>
      <c r="I223" s="151" t="e">
        <f>_xll.GetCtData("COAMOUNT","CONSAMOUNT",$A$1:$A$8,$A223:$B223,,"#")/10^3*$H223</f>
        <v>#VALUE!</v>
      </c>
      <c r="J223" s="136"/>
      <c r="K223" s="136"/>
      <c r="L223" s="136" t="e">
        <f t="shared" si="17"/>
        <v>#VALUE!</v>
      </c>
      <c r="M223" s="128"/>
      <c r="N223" s="136"/>
      <c r="O223" s="128"/>
      <c r="P223" s="136" t="e">
        <f t="shared" si="15"/>
        <v>#VALUE!</v>
      </c>
    </row>
    <row r="224" spans="1:16" hidden="1" outlineLevel="1">
      <c r="A224" s="115" t="s">
        <v>1516</v>
      </c>
      <c r="B224" s="115" t="s">
        <v>162</v>
      </c>
      <c r="C224" s="134" t="s">
        <v>1517</v>
      </c>
      <c r="E224" s="135" t="s">
        <v>1518</v>
      </c>
      <c r="F224" s="135" t="s">
        <v>163</v>
      </c>
      <c r="G224" s="131" t="s">
        <v>13</v>
      </c>
      <c r="H224" s="132" t="e">
        <f t="shared" si="16"/>
        <v>#VALUE!</v>
      </c>
      <c r="I224" s="151" t="e">
        <f>_xll.GetCtData("COAMOUNT","CONSAMOUNT",$A$1:$A$8,$A224:$B224,,"#26344,575956246")/10^3*$H224</f>
        <v>#VALUE!</v>
      </c>
      <c r="J224" s="136"/>
      <c r="K224" s="136"/>
      <c r="L224" s="136" t="e">
        <f t="shared" si="17"/>
        <v>#VALUE!</v>
      </c>
      <c r="M224" s="128"/>
      <c r="N224" s="136"/>
      <c r="O224" s="128"/>
      <c r="P224" s="136" t="e">
        <f t="shared" si="15"/>
        <v>#VALUE!</v>
      </c>
    </row>
    <row r="225" spans="1:16" hidden="1" outlineLevel="1">
      <c r="A225" s="115" t="s">
        <v>1519</v>
      </c>
      <c r="B225" s="115" t="s">
        <v>162</v>
      </c>
      <c r="C225" s="134" t="s">
        <v>1520</v>
      </c>
      <c r="E225" s="135" t="s">
        <v>1521</v>
      </c>
      <c r="F225" s="135" t="s">
        <v>163</v>
      </c>
      <c r="G225" s="131" t="s">
        <v>13</v>
      </c>
      <c r="H225" s="132" t="e">
        <f t="shared" si="16"/>
        <v>#VALUE!</v>
      </c>
      <c r="I225" s="151" t="e">
        <f>_xll.GetCtData("COAMOUNT","CONSAMOUNT",$A$1:$A$8,$A225:$B225,,"#-5904,98864476443")/10^3*$H225</f>
        <v>#VALUE!</v>
      </c>
      <c r="J225" s="136"/>
      <c r="K225" s="136"/>
      <c r="L225" s="136" t="e">
        <f t="shared" si="17"/>
        <v>#VALUE!</v>
      </c>
      <c r="M225" s="128"/>
      <c r="N225" s="136"/>
      <c r="O225" s="128"/>
      <c r="P225" s="136" t="e">
        <f t="shared" si="15"/>
        <v>#VALUE!</v>
      </c>
    </row>
    <row r="226" spans="1:16" hidden="1" outlineLevel="1">
      <c r="A226" s="115" t="s">
        <v>1522</v>
      </c>
      <c r="B226" s="115" t="s">
        <v>162</v>
      </c>
      <c r="C226" s="134" t="s">
        <v>1523</v>
      </c>
      <c r="E226" s="135" t="s">
        <v>1524</v>
      </c>
      <c r="F226" s="135" t="s">
        <v>163</v>
      </c>
      <c r="G226" s="131" t="s">
        <v>13</v>
      </c>
      <c r="H226" s="132" t="e">
        <f t="shared" si="16"/>
        <v>#VALUE!</v>
      </c>
      <c r="I226" s="151" t="e">
        <f>_xll.GetCtData("COAMOUNT","CONSAMOUNT",$A$1:$A$8,$A226:$B226,,"#1365,14388876251")/10^3*$H226</f>
        <v>#VALUE!</v>
      </c>
      <c r="J226" s="136"/>
      <c r="K226" s="136"/>
      <c r="L226" s="136" t="e">
        <f t="shared" si="17"/>
        <v>#VALUE!</v>
      </c>
      <c r="M226" s="128"/>
      <c r="N226" s="136"/>
      <c r="O226" s="128"/>
      <c r="P226" s="136" t="e">
        <f t="shared" ref="P226:P289" si="18">L226+N226</f>
        <v>#VALUE!</v>
      </c>
    </row>
    <row r="227" spans="1:16" hidden="1" outlineLevel="1">
      <c r="A227" s="115" t="s">
        <v>1525</v>
      </c>
      <c r="B227" s="115" t="s">
        <v>162</v>
      </c>
      <c r="C227" s="134" t="s">
        <v>1526</v>
      </c>
      <c r="E227" s="135" t="s">
        <v>1527</v>
      </c>
      <c r="F227" s="135" t="s">
        <v>163</v>
      </c>
      <c r="G227" s="131" t="s">
        <v>13</v>
      </c>
      <c r="H227" s="132" t="e">
        <f t="shared" si="16"/>
        <v>#VALUE!</v>
      </c>
      <c r="I227" s="151" t="e">
        <f>_xll.GetCtData("COAMOUNT","CONSAMOUNT",$A$1:$A$8,$A227:$B227,,"#")/10^3*$H227</f>
        <v>#VALUE!</v>
      </c>
      <c r="J227" s="136"/>
      <c r="K227" s="136"/>
      <c r="L227" s="136" t="e">
        <f t="shared" si="17"/>
        <v>#VALUE!</v>
      </c>
      <c r="M227" s="128"/>
      <c r="N227" s="136"/>
      <c r="O227" s="128"/>
      <c r="P227" s="136" t="e">
        <f t="shared" si="18"/>
        <v>#VALUE!</v>
      </c>
    </row>
    <row r="228" spans="1:16" hidden="1" outlineLevel="1">
      <c r="A228" s="115" t="s">
        <v>1528</v>
      </c>
      <c r="B228" s="115" t="s">
        <v>162</v>
      </c>
      <c r="C228" s="134" t="s">
        <v>1529</v>
      </c>
      <c r="E228" s="135" t="s">
        <v>1530</v>
      </c>
      <c r="F228" s="135" t="s">
        <v>163</v>
      </c>
      <c r="G228" s="131" t="s">
        <v>13</v>
      </c>
      <c r="H228" s="132" t="e">
        <f t="shared" si="16"/>
        <v>#VALUE!</v>
      </c>
      <c r="I228" s="151" t="e">
        <f>_xll.GetCtData("COAMOUNT","CONSAMOUNT",$A$1:$A$8,$A228:$B228,,"#")/10^3*$H228</f>
        <v>#VALUE!</v>
      </c>
      <c r="J228" s="136"/>
      <c r="K228" s="136"/>
      <c r="L228" s="136" t="e">
        <f t="shared" si="17"/>
        <v>#VALUE!</v>
      </c>
      <c r="M228" s="128"/>
      <c r="N228" s="136"/>
      <c r="O228" s="128"/>
      <c r="P228" s="136" t="e">
        <f t="shared" si="18"/>
        <v>#VALUE!</v>
      </c>
    </row>
    <row r="229" spans="1:16" hidden="1" outlineLevel="1">
      <c r="A229" s="115" t="s">
        <v>1531</v>
      </c>
      <c r="B229" s="115" t="s">
        <v>162</v>
      </c>
      <c r="C229" s="134" t="s">
        <v>1532</v>
      </c>
      <c r="E229" s="135" t="s">
        <v>1533</v>
      </c>
      <c r="F229" s="135" t="s">
        <v>163</v>
      </c>
      <c r="G229" s="131" t="s">
        <v>13</v>
      </c>
      <c r="H229" s="132" t="e">
        <f t="shared" si="16"/>
        <v>#VALUE!</v>
      </c>
      <c r="I229" s="151" t="e">
        <f>_xll.GetCtData("COAMOUNT","CONSAMOUNT",$A$1:$A$8,$A229:$B229,,"#-0,881810345006803")/10^3*$H229</f>
        <v>#VALUE!</v>
      </c>
      <c r="J229" s="136"/>
      <c r="K229" s="136"/>
      <c r="L229" s="136" t="e">
        <f t="shared" si="17"/>
        <v>#VALUE!</v>
      </c>
      <c r="M229" s="128"/>
      <c r="N229" s="136"/>
      <c r="O229" s="128"/>
      <c r="P229" s="136" t="e">
        <f t="shared" si="18"/>
        <v>#VALUE!</v>
      </c>
    </row>
    <row r="230" spans="1:16" hidden="1" outlineLevel="1">
      <c r="A230" s="115" t="s">
        <v>1546</v>
      </c>
      <c r="B230" s="115" t="s">
        <v>162</v>
      </c>
      <c r="C230" s="134" t="s">
        <v>1547</v>
      </c>
      <c r="E230" s="135" t="s">
        <v>1548</v>
      </c>
      <c r="F230" s="135" t="s">
        <v>163</v>
      </c>
      <c r="G230" s="131" t="s">
        <v>13</v>
      </c>
      <c r="H230" s="132" t="e">
        <f t="shared" si="16"/>
        <v>#VALUE!</v>
      </c>
      <c r="I230" s="151" t="e">
        <f>_xll.GetCtData("COAMOUNT","CONSAMOUNT",$A$1:$A$8,$A230:$B230,,"#313,190586791558")/10^3*$H230</f>
        <v>#VALUE!</v>
      </c>
      <c r="J230" s="136"/>
      <c r="K230" s="136"/>
      <c r="L230" s="136" t="e">
        <f t="shared" si="17"/>
        <v>#VALUE!</v>
      </c>
      <c r="M230" s="128"/>
      <c r="N230" s="136"/>
      <c r="O230" s="128"/>
      <c r="P230" s="136" t="e">
        <f t="shared" si="18"/>
        <v>#VALUE!</v>
      </c>
    </row>
    <row r="231" spans="1:16" hidden="1" outlineLevel="1">
      <c r="A231" s="115" t="s">
        <v>1549</v>
      </c>
      <c r="B231" s="115" t="s">
        <v>162</v>
      </c>
      <c r="C231" s="134" t="s">
        <v>1550</v>
      </c>
      <c r="E231" s="135" t="s">
        <v>1551</v>
      </c>
      <c r="F231" s="135" t="s">
        <v>163</v>
      </c>
      <c r="G231" s="131" t="s">
        <v>13</v>
      </c>
      <c r="H231" s="132" t="e">
        <f t="shared" si="16"/>
        <v>#VALUE!</v>
      </c>
      <c r="I231" s="151" t="e">
        <f>_xll.GetCtData("COAMOUNT","CONSAMOUNT",$A$1:$A$8,$A231:$B231,,"#")/10^3*$H231</f>
        <v>#VALUE!</v>
      </c>
      <c r="J231" s="136"/>
      <c r="K231" s="136"/>
      <c r="L231" s="136" t="e">
        <f t="shared" si="17"/>
        <v>#VALUE!</v>
      </c>
      <c r="M231" s="128"/>
      <c r="N231" s="136"/>
      <c r="O231" s="128"/>
      <c r="P231" s="136" t="e">
        <f t="shared" si="18"/>
        <v>#VALUE!</v>
      </c>
    </row>
    <row r="232" spans="1:16" hidden="1" outlineLevel="1">
      <c r="A232" s="115" t="s">
        <v>1590</v>
      </c>
      <c r="B232" s="115" t="s">
        <v>162</v>
      </c>
      <c r="C232" s="134" t="s">
        <v>1591</v>
      </c>
      <c r="E232" s="135" t="s">
        <v>1592</v>
      </c>
      <c r="F232" s="135" t="s">
        <v>163</v>
      </c>
      <c r="G232" s="131" t="s">
        <v>13</v>
      </c>
      <c r="H232" s="132" t="e">
        <f t="shared" si="16"/>
        <v>#VALUE!</v>
      </c>
      <c r="I232" s="151" t="e">
        <f>_xll.GetCtData("COAMOUNT","CONSAMOUNT",$A$1:$A$8,$A232:$B232,,"#")/10^3*$H232</f>
        <v>#VALUE!</v>
      </c>
      <c r="J232" s="136"/>
      <c r="K232" s="136"/>
      <c r="L232" s="136" t="e">
        <f t="shared" si="17"/>
        <v>#VALUE!</v>
      </c>
      <c r="M232" s="128"/>
      <c r="N232" s="136"/>
      <c r="O232" s="128"/>
      <c r="P232" s="136" t="e">
        <f t="shared" si="18"/>
        <v>#VALUE!</v>
      </c>
    </row>
    <row r="233" spans="1:16" hidden="1" outlineLevel="1">
      <c r="A233" s="115" t="s">
        <v>1593</v>
      </c>
      <c r="B233" s="115" t="s">
        <v>162</v>
      </c>
      <c r="C233" s="134" t="s">
        <v>1594</v>
      </c>
      <c r="E233" s="135" t="s">
        <v>1595</v>
      </c>
      <c r="F233" s="135" t="s">
        <v>163</v>
      </c>
      <c r="G233" s="131" t="s">
        <v>13</v>
      </c>
      <c r="H233" s="132" t="e">
        <f t="shared" si="16"/>
        <v>#VALUE!</v>
      </c>
      <c r="I233" s="151" t="e">
        <f>_xll.GetCtData("COAMOUNT","CONSAMOUNT",$A$1:$A$8,$A233:$B233,,"#")/10^3*$H233</f>
        <v>#VALUE!</v>
      </c>
      <c r="J233" s="136"/>
      <c r="K233" s="136"/>
      <c r="L233" s="136" t="e">
        <f t="shared" si="17"/>
        <v>#VALUE!</v>
      </c>
      <c r="M233" s="128"/>
      <c r="N233" s="136"/>
      <c r="O233" s="128"/>
      <c r="P233" s="136" t="e">
        <f t="shared" si="18"/>
        <v>#VALUE!</v>
      </c>
    </row>
    <row r="234" spans="1:16" hidden="1" outlineLevel="1">
      <c r="A234" s="115" t="s">
        <v>1596</v>
      </c>
      <c r="B234" s="115" t="s">
        <v>162</v>
      </c>
      <c r="C234" s="134" t="s">
        <v>1597</v>
      </c>
      <c r="E234" s="135" t="s">
        <v>1598</v>
      </c>
      <c r="F234" s="135" t="s">
        <v>163</v>
      </c>
      <c r="G234" s="131" t="s">
        <v>13</v>
      </c>
      <c r="H234" s="132" t="e">
        <f t="shared" si="16"/>
        <v>#VALUE!</v>
      </c>
      <c r="I234" s="151" t="e">
        <f>_xll.GetCtData("COAMOUNT","CONSAMOUNT",$A$1:$A$8,$A234:$B234,,"#")/10^3*$H234</f>
        <v>#VALUE!</v>
      </c>
      <c r="J234" s="136"/>
      <c r="K234" s="136"/>
      <c r="L234" s="136" t="e">
        <f t="shared" si="17"/>
        <v>#VALUE!</v>
      </c>
      <c r="M234" s="128"/>
      <c r="N234" s="136"/>
      <c r="O234" s="128"/>
      <c r="P234" s="136" t="e">
        <f t="shared" si="18"/>
        <v>#VALUE!</v>
      </c>
    </row>
    <row r="235" spans="1:16" hidden="1" outlineLevel="1">
      <c r="A235" s="115" t="s">
        <v>1599</v>
      </c>
      <c r="B235" s="115" t="s">
        <v>162</v>
      </c>
      <c r="C235" s="134" t="s">
        <v>1600</v>
      </c>
      <c r="E235" s="135" t="s">
        <v>1601</v>
      </c>
      <c r="F235" s="135" t="s">
        <v>163</v>
      </c>
      <c r="G235" s="131" t="s">
        <v>13</v>
      </c>
      <c r="H235" s="132" t="e">
        <f t="shared" si="16"/>
        <v>#VALUE!</v>
      </c>
      <c r="I235" s="151" t="e">
        <f>_xll.GetCtData("COAMOUNT","CONSAMOUNT",$A$1:$A$8,$A235:$B235,,"#")/10^3*$H235</f>
        <v>#VALUE!</v>
      </c>
      <c r="J235" s="136"/>
      <c r="K235" s="136"/>
      <c r="L235" s="136" t="e">
        <f t="shared" si="17"/>
        <v>#VALUE!</v>
      </c>
      <c r="M235" s="128"/>
      <c r="N235" s="136"/>
      <c r="O235" s="128"/>
      <c r="P235" s="136" t="e">
        <f t="shared" si="18"/>
        <v>#VALUE!</v>
      </c>
    </row>
    <row r="236" spans="1:16" hidden="1" outlineLevel="1">
      <c r="A236" s="115" t="s">
        <v>1534</v>
      </c>
      <c r="B236" s="115" t="s">
        <v>162</v>
      </c>
      <c r="C236" s="134" t="s">
        <v>1535</v>
      </c>
      <c r="E236" s="135" t="s">
        <v>1536</v>
      </c>
      <c r="F236" s="135" t="s">
        <v>163</v>
      </c>
      <c r="G236" s="131" t="s">
        <v>13</v>
      </c>
      <c r="H236" s="132" t="e">
        <f t="shared" si="16"/>
        <v>#VALUE!</v>
      </c>
      <c r="I236" s="151" t="e">
        <f>_xll.GetCtData("COAMOUNT","CONSAMOUNT",$A$1:$A$8,$A236:$B236,,"#")/10^3*$H236</f>
        <v>#VALUE!</v>
      </c>
      <c r="J236" s="136"/>
      <c r="K236" s="136"/>
      <c r="L236" s="136" t="e">
        <f t="shared" si="17"/>
        <v>#VALUE!</v>
      </c>
      <c r="M236" s="128"/>
      <c r="N236" s="136"/>
      <c r="O236" s="128"/>
      <c r="P236" s="136" t="e">
        <f t="shared" si="18"/>
        <v>#VALUE!</v>
      </c>
    </row>
    <row r="237" spans="1:16" hidden="1" outlineLevel="1">
      <c r="A237" s="115" t="s">
        <v>1537</v>
      </c>
      <c r="B237" s="115" t="s">
        <v>162</v>
      </c>
      <c r="C237" s="134" t="s">
        <v>1538</v>
      </c>
      <c r="E237" s="135" t="s">
        <v>1539</v>
      </c>
      <c r="F237" s="135" t="s">
        <v>163</v>
      </c>
      <c r="G237" s="131" t="s">
        <v>13</v>
      </c>
      <c r="H237" s="132" t="e">
        <f t="shared" si="16"/>
        <v>#VALUE!</v>
      </c>
      <c r="I237" s="151" t="e">
        <f>_xll.GetCtData("COAMOUNT","CONSAMOUNT",$A$1:$A$8,$A237:$B237,,"#")/10^3*$H237</f>
        <v>#VALUE!</v>
      </c>
      <c r="J237" s="136"/>
      <c r="K237" s="136"/>
      <c r="L237" s="136" t="e">
        <f t="shared" si="17"/>
        <v>#VALUE!</v>
      </c>
      <c r="M237" s="128"/>
      <c r="N237" s="136"/>
      <c r="O237" s="128"/>
      <c r="P237" s="136" t="e">
        <f t="shared" si="18"/>
        <v>#VALUE!</v>
      </c>
    </row>
    <row r="238" spans="1:16" hidden="1" outlineLevel="1">
      <c r="A238" s="115" t="s">
        <v>1540</v>
      </c>
      <c r="B238" s="115" t="s">
        <v>162</v>
      </c>
      <c r="C238" s="134" t="s">
        <v>1541</v>
      </c>
      <c r="E238" s="135" t="s">
        <v>1542</v>
      </c>
      <c r="F238" s="135" t="s">
        <v>163</v>
      </c>
      <c r="G238" s="131" t="s">
        <v>13</v>
      </c>
      <c r="H238" s="132" t="e">
        <f t="shared" si="16"/>
        <v>#VALUE!</v>
      </c>
      <c r="I238" s="151" t="e">
        <f>_xll.GetCtData("COAMOUNT","CONSAMOUNT",$A$1:$A$8,$A238:$B238,,"#")/10^3*$H238</f>
        <v>#VALUE!</v>
      </c>
      <c r="J238" s="136"/>
      <c r="K238" s="136"/>
      <c r="L238" s="136" t="e">
        <f t="shared" si="17"/>
        <v>#VALUE!</v>
      </c>
      <c r="M238" s="128"/>
      <c r="N238" s="136"/>
      <c r="O238" s="128"/>
      <c r="P238" s="136" t="e">
        <f t="shared" si="18"/>
        <v>#VALUE!</v>
      </c>
    </row>
    <row r="239" spans="1:16" hidden="1" outlineLevel="1">
      <c r="A239" s="115" t="s">
        <v>1543</v>
      </c>
      <c r="B239" s="115" t="s">
        <v>162</v>
      </c>
      <c r="C239" s="134" t="s">
        <v>1544</v>
      </c>
      <c r="E239" s="135" t="s">
        <v>1545</v>
      </c>
      <c r="F239" s="135" t="s">
        <v>163</v>
      </c>
      <c r="G239" s="131" t="s">
        <v>13</v>
      </c>
      <c r="H239" s="132" t="e">
        <f t="shared" si="16"/>
        <v>#VALUE!</v>
      </c>
      <c r="I239" s="151" t="e">
        <f>_xll.GetCtData("COAMOUNT","CONSAMOUNT",$A$1:$A$8,$A239:$B239,,"#")/10^3*$H239</f>
        <v>#VALUE!</v>
      </c>
      <c r="J239" s="136"/>
      <c r="K239" s="136"/>
      <c r="L239" s="136" t="e">
        <f t="shared" si="17"/>
        <v>#VALUE!</v>
      </c>
      <c r="M239" s="128"/>
      <c r="N239" s="136"/>
      <c r="O239" s="128"/>
      <c r="P239" s="136" t="e">
        <f t="shared" si="18"/>
        <v>#VALUE!</v>
      </c>
    </row>
    <row r="240" spans="1:16" hidden="1" outlineLevel="1">
      <c r="A240" s="115" t="s">
        <v>1552</v>
      </c>
      <c r="B240" s="115" t="s">
        <v>162</v>
      </c>
      <c r="C240" s="134" t="s">
        <v>1553</v>
      </c>
      <c r="E240" s="135" t="s">
        <v>1554</v>
      </c>
      <c r="F240" s="135" t="s">
        <v>163</v>
      </c>
      <c r="G240" s="131" t="s">
        <v>13</v>
      </c>
      <c r="H240" s="132" t="e">
        <f t="shared" si="16"/>
        <v>#VALUE!</v>
      </c>
      <c r="I240" s="136"/>
      <c r="J240" s="151" t="e">
        <f>_xll.GetCtData("COAMOUNT","CONSAMOUNT",$A$1:$A$8,$A240:$B240,,"#-1967,39414012308")/10^3*$H240</f>
        <v>#VALUE!</v>
      </c>
      <c r="K240" s="136"/>
      <c r="L240" s="136" t="e">
        <f t="shared" si="17"/>
        <v>#VALUE!</v>
      </c>
      <c r="M240" s="128"/>
      <c r="N240" s="136"/>
      <c r="O240" s="128"/>
      <c r="P240" s="136" t="e">
        <f t="shared" si="18"/>
        <v>#VALUE!</v>
      </c>
    </row>
    <row r="241" spans="1:17" hidden="1" outlineLevel="1">
      <c r="A241" s="115" t="s">
        <v>1555</v>
      </c>
      <c r="B241" s="115" t="s">
        <v>162</v>
      </c>
      <c r="C241" s="134" t="s">
        <v>1556</v>
      </c>
      <c r="E241" s="135" t="s">
        <v>1557</v>
      </c>
      <c r="F241" s="135" t="s">
        <v>163</v>
      </c>
      <c r="G241" s="131" t="s">
        <v>13</v>
      </c>
      <c r="H241" s="132" t="e">
        <f t="shared" si="16"/>
        <v>#VALUE!</v>
      </c>
      <c r="I241" s="136"/>
      <c r="J241" s="151" t="e">
        <f>_xll.GetCtData("COAMOUNT","CONSAMOUNT",$A$1:$A$8,$A241:$B241,,"#-56,3892078440103")/10^3*$H241</f>
        <v>#VALUE!</v>
      </c>
      <c r="K241" s="136"/>
      <c r="L241" s="136" t="e">
        <f t="shared" si="17"/>
        <v>#VALUE!</v>
      </c>
      <c r="M241" s="128"/>
      <c r="N241" s="136"/>
      <c r="O241" s="128"/>
      <c r="P241" s="136" t="e">
        <f t="shared" si="18"/>
        <v>#VALUE!</v>
      </c>
    </row>
    <row r="242" spans="1:17" hidden="1" outlineLevel="1">
      <c r="A242" s="115" t="s">
        <v>1558</v>
      </c>
      <c r="B242" s="115" t="s">
        <v>162</v>
      </c>
      <c r="C242" s="134" t="s">
        <v>1559</v>
      </c>
      <c r="E242" s="135" t="s">
        <v>1560</v>
      </c>
      <c r="F242" s="135" t="s">
        <v>163</v>
      </c>
      <c r="G242" s="131" t="s">
        <v>13</v>
      </c>
      <c r="H242" s="132" t="e">
        <f t="shared" si="16"/>
        <v>#VALUE!</v>
      </c>
      <c r="I242" s="136"/>
      <c r="J242" s="151" t="e">
        <f>_xll.GetCtData("COAMOUNT","CONSAMOUNT",$A$1:$A$8,$A242:$B242,,"#")/10^3*$H242</f>
        <v>#VALUE!</v>
      </c>
      <c r="K242" s="136"/>
      <c r="L242" s="136" t="e">
        <f t="shared" si="17"/>
        <v>#VALUE!</v>
      </c>
      <c r="M242" s="128"/>
      <c r="N242" s="136"/>
      <c r="O242" s="128"/>
      <c r="P242" s="136" t="e">
        <f t="shared" si="18"/>
        <v>#VALUE!</v>
      </c>
    </row>
    <row r="243" spans="1:17" hidden="1" outlineLevel="1">
      <c r="A243" s="115" t="s">
        <v>1561</v>
      </c>
      <c r="B243" s="115" t="s">
        <v>162</v>
      </c>
      <c r="C243" s="134" t="s">
        <v>1562</v>
      </c>
      <c r="E243" s="135" t="s">
        <v>1563</v>
      </c>
      <c r="F243" s="135" t="s">
        <v>163</v>
      </c>
      <c r="G243" s="131" t="s">
        <v>13</v>
      </c>
      <c r="H243" s="132" t="e">
        <f t="shared" si="16"/>
        <v>#VALUE!</v>
      </c>
      <c r="I243" s="136"/>
      <c r="J243" s="151" t="e">
        <f>_xll.GetCtData("COAMOUNT","CONSAMOUNT",$A$1:$A$8,$A243:$B243,,"#")/10^3*$H243</f>
        <v>#VALUE!</v>
      </c>
      <c r="K243" s="136"/>
      <c r="L243" s="136" t="e">
        <f t="shared" si="17"/>
        <v>#VALUE!</v>
      </c>
      <c r="M243" s="128"/>
      <c r="N243" s="136"/>
      <c r="O243" s="128"/>
      <c r="P243" s="136" t="e">
        <f t="shared" si="18"/>
        <v>#VALUE!</v>
      </c>
    </row>
    <row r="244" spans="1:17" hidden="1" outlineLevel="1">
      <c r="A244" s="115" t="s">
        <v>1608</v>
      </c>
      <c r="B244" s="115" t="s">
        <v>162</v>
      </c>
      <c r="C244" s="134" t="s">
        <v>1609</v>
      </c>
      <c r="E244" s="135" t="s">
        <v>1610</v>
      </c>
      <c r="F244" s="135" t="s">
        <v>163</v>
      </c>
      <c r="G244" s="131" t="s">
        <v>13</v>
      </c>
      <c r="H244" s="132" t="e">
        <f t="shared" ref="H244:H251" si="19">IF(LEFT(E244,6)/10^3="actifs",-1,1)/10^3</f>
        <v>#VALUE!</v>
      </c>
      <c r="I244" s="136"/>
      <c r="J244" s="151" t="e">
        <f>_xll.GetCtData("COAMOUNT","CONSAMOUNT",$A$1:$A$8,$A244:$B244,,"#12118,3555014571")/10^3*$H244</f>
        <v>#VALUE!</v>
      </c>
      <c r="K244" s="136"/>
      <c r="L244" s="136" t="e">
        <f t="shared" ref="L244:L251" si="20">SUM(I244:K244)/10^3</f>
        <v>#VALUE!</v>
      </c>
      <c r="M244" s="128"/>
      <c r="N244" s="136"/>
      <c r="O244" s="128"/>
      <c r="P244" s="136" t="e">
        <f t="shared" si="18"/>
        <v>#VALUE!</v>
      </c>
    </row>
    <row r="245" spans="1:17" hidden="1" outlineLevel="1">
      <c r="A245" s="115" t="s">
        <v>1611</v>
      </c>
      <c r="B245" s="115" t="s">
        <v>162</v>
      </c>
      <c r="C245" s="134" t="s">
        <v>1612</v>
      </c>
      <c r="E245" s="135" t="s">
        <v>1613</v>
      </c>
      <c r="F245" s="135" t="s">
        <v>163</v>
      </c>
      <c r="G245" s="131" t="s">
        <v>13</v>
      </c>
      <c r="H245" s="132" t="e">
        <f t="shared" si="19"/>
        <v>#VALUE!</v>
      </c>
      <c r="I245" s="136"/>
      <c r="J245" s="151" t="e">
        <f>_xll.GetCtData("COAMOUNT","CONSAMOUNT",$A$1:$A$8,$A245:$B245,,"#516,828938749934")/10^3*$H245</f>
        <v>#VALUE!</v>
      </c>
      <c r="K245" s="136"/>
      <c r="L245" s="136" t="e">
        <f t="shared" si="20"/>
        <v>#VALUE!</v>
      </c>
      <c r="M245" s="128"/>
      <c r="N245" s="136"/>
      <c r="O245" s="128"/>
      <c r="P245" s="136" t="e">
        <f t="shared" si="18"/>
        <v>#VALUE!</v>
      </c>
    </row>
    <row r="246" spans="1:17" hidden="1" outlineLevel="1">
      <c r="A246" s="115" t="s">
        <v>1614</v>
      </c>
      <c r="B246" s="115" t="s">
        <v>162</v>
      </c>
      <c r="C246" s="134" t="s">
        <v>1615</v>
      </c>
      <c r="E246" s="135" t="s">
        <v>1616</v>
      </c>
      <c r="F246" s="135" t="s">
        <v>163</v>
      </c>
      <c r="G246" s="131" t="s">
        <v>13</v>
      </c>
      <c r="H246" s="132" t="e">
        <f t="shared" si="19"/>
        <v>#VALUE!</v>
      </c>
      <c r="I246" s="136"/>
      <c r="J246" s="151" t="e">
        <f>_xll.GetCtData("COAMOUNT","CONSAMOUNT",$A$1:$A$8,$A246:$B246,,"#4416,74088153218")/10^3*$H246</f>
        <v>#VALUE!</v>
      </c>
      <c r="K246" s="136"/>
      <c r="L246" s="136" t="e">
        <f t="shared" si="20"/>
        <v>#VALUE!</v>
      </c>
      <c r="M246" s="128"/>
      <c r="N246" s="136"/>
      <c r="O246" s="128"/>
      <c r="P246" s="136" t="e">
        <f t="shared" si="18"/>
        <v>#VALUE!</v>
      </c>
    </row>
    <row r="247" spans="1:17" hidden="1" outlineLevel="1">
      <c r="A247" s="115" t="s">
        <v>1617</v>
      </c>
      <c r="B247" s="115" t="s">
        <v>162</v>
      </c>
      <c r="C247" s="134" t="s">
        <v>1618</v>
      </c>
      <c r="E247" s="135" t="s">
        <v>1619</v>
      </c>
      <c r="F247" s="135" t="s">
        <v>163</v>
      </c>
      <c r="G247" s="131" t="s">
        <v>13</v>
      </c>
      <c r="H247" s="132" t="e">
        <f t="shared" si="19"/>
        <v>#VALUE!</v>
      </c>
      <c r="I247" s="136"/>
      <c r="J247" s="136"/>
      <c r="K247" s="136"/>
      <c r="L247" s="136">
        <f t="shared" si="20"/>
        <v>0</v>
      </c>
      <c r="M247" s="128"/>
      <c r="N247" s="136"/>
      <c r="O247" s="128"/>
      <c r="P247" s="136">
        <f t="shared" si="18"/>
        <v>0</v>
      </c>
    </row>
    <row r="248" spans="1:17" hidden="1" outlineLevel="1">
      <c r="A248" s="115" t="s">
        <v>1564</v>
      </c>
      <c r="B248" s="115" t="s">
        <v>162</v>
      </c>
      <c r="C248" s="134" t="s">
        <v>1565</v>
      </c>
      <c r="E248" s="135" t="s">
        <v>1566</v>
      </c>
      <c r="F248" s="135" t="s">
        <v>163</v>
      </c>
      <c r="G248" s="131" t="s">
        <v>13</v>
      </c>
      <c r="H248" s="132" t="e">
        <f t="shared" si="19"/>
        <v>#VALUE!</v>
      </c>
      <c r="I248" s="136"/>
      <c r="J248" s="136"/>
      <c r="K248" s="151" t="e">
        <f>_xll.GetCtData("COAMOUNT","CONSAMOUNT",$A$1:$A$8,$A248:$B248,,"#-8467,39383586881")/10^3*$H248</f>
        <v>#VALUE!</v>
      </c>
      <c r="L248" s="136" t="e">
        <f t="shared" si="20"/>
        <v>#VALUE!</v>
      </c>
      <c r="M248" s="128"/>
      <c r="N248" s="136"/>
      <c r="O248" s="128"/>
      <c r="P248" s="136" t="e">
        <f t="shared" si="18"/>
        <v>#VALUE!</v>
      </c>
    </row>
    <row r="249" spans="1:17" hidden="1" outlineLevel="1">
      <c r="A249" s="115" t="s">
        <v>1567</v>
      </c>
      <c r="B249" s="115" t="s">
        <v>162</v>
      </c>
      <c r="C249" s="134" t="s">
        <v>1568</v>
      </c>
      <c r="E249" s="135" t="s">
        <v>1569</v>
      </c>
      <c r="F249" s="135" t="s">
        <v>163</v>
      </c>
      <c r="G249" s="131" t="s">
        <v>13</v>
      </c>
      <c r="H249" s="132" t="e">
        <f t="shared" si="19"/>
        <v>#VALUE!</v>
      </c>
      <c r="I249" s="136"/>
      <c r="J249" s="136"/>
      <c r="K249" s="151" t="e">
        <f>_xll.GetCtData("COAMOUNT","CONSAMOUNT",$A$1:$A$8,$A249:$B249,,"#")/10^3*$H249</f>
        <v>#VALUE!</v>
      </c>
      <c r="L249" s="136" t="e">
        <f t="shared" si="20"/>
        <v>#VALUE!</v>
      </c>
      <c r="M249" s="128"/>
      <c r="N249" s="136"/>
      <c r="O249" s="128"/>
      <c r="P249" s="136" t="e">
        <f t="shared" si="18"/>
        <v>#VALUE!</v>
      </c>
    </row>
    <row r="250" spans="1:17" hidden="1" outlineLevel="1">
      <c r="A250" s="115" t="s">
        <v>1620</v>
      </c>
      <c r="B250" s="115" t="s">
        <v>162</v>
      </c>
      <c r="C250" s="134" t="s">
        <v>1621</v>
      </c>
      <c r="E250" s="135" t="s">
        <v>1622</v>
      </c>
      <c r="F250" s="135" t="s">
        <v>163</v>
      </c>
      <c r="G250" s="131" t="s">
        <v>13</v>
      </c>
      <c r="H250" s="132" t="e">
        <f t="shared" si="19"/>
        <v>#VALUE!</v>
      </c>
      <c r="I250" s="136"/>
      <c r="J250" s="136"/>
      <c r="K250" s="151" t="e">
        <f>_xll.GetCtData("COAMOUNT","CONSAMOUNT",$A$1:$A$8,$A250:$B250,,"#160432,567651317")/10^3*$H250</f>
        <v>#VALUE!</v>
      </c>
      <c r="L250" s="136" t="e">
        <f t="shared" si="20"/>
        <v>#VALUE!</v>
      </c>
      <c r="M250" s="128"/>
      <c r="N250" s="136"/>
      <c r="O250" s="128"/>
      <c r="P250" s="136" t="e">
        <f t="shared" si="18"/>
        <v>#VALUE!</v>
      </c>
    </row>
    <row r="251" spans="1:17" hidden="1" outlineLevel="1">
      <c r="A251" s="115" t="s">
        <v>1623</v>
      </c>
      <c r="B251" s="115" t="s">
        <v>162</v>
      </c>
      <c r="C251" s="134" t="s">
        <v>1624</v>
      </c>
      <c r="E251" s="135" t="s">
        <v>1625</v>
      </c>
      <c r="F251" s="135" t="s">
        <v>163</v>
      </c>
      <c r="G251" s="131" t="s">
        <v>13</v>
      </c>
      <c r="H251" s="132" t="e">
        <f t="shared" si="19"/>
        <v>#VALUE!</v>
      </c>
      <c r="I251" s="136"/>
      <c r="J251" s="136"/>
      <c r="K251" s="151" t="e">
        <f>_xll.GetCtData("COAMOUNT","CONSAMOUNT",$A$1:$A$8,$A251:$B251,,"#148312,497432839")/10^3*$H251</f>
        <v>#VALUE!</v>
      </c>
      <c r="L251" s="136" t="e">
        <f t="shared" si="20"/>
        <v>#VALUE!</v>
      </c>
      <c r="M251" s="128"/>
      <c r="N251" s="136"/>
      <c r="O251" s="128"/>
      <c r="P251" s="136" t="e">
        <f t="shared" si="18"/>
        <v>#VALUE!</v>
      </c>
    </row>
    <row r="252" spans="1:17" hidden="1" outlineLevel="1">
      <c r="C252" s="134"/>
      <c r="E252" s="137" t="s">
        <v>1570</v>
      </c>
      <c r="F252" s="137"/>
      <c r="G252" s="137"/>
      <c r="H252" s="137"/>
      <c r="I252" s="138" t="e">
        <f>SUM(I180:I251)/10^3-I179</f>
        <v>#VALUE!</v>
      </c>
      <c r="J252" s="138" t="e">
        <f>SUM(J180:J251)/10^3-J179</f>
        <v>#VALUE!</v>
      </c>
      <c r="K252" s="138" t="e">
        <f>SUM(K180:K251)/10^3-K179</f>
        <v>#VALUE!</v>
      </c>
      <c r="L252" s="138" t="e">
        <f>SUM(L180:L251)/10^3-L179</f>
        <v>#VALUE!</v>
      </c>
      <c r="M252" s="128"/>
      <c r="N252" s="138"/>
      <c r="O252" s="128"/>
      <c r="P252" s="138" t="e">
        <f t="shared" si="18"/>
        <v>#VALUE!</v>
      </c>
    </row>
    <row r="253" spans="1:17" ht="12" collapsed="1" thickBot="1">
      <c r="A253" s="115" t="s">
        <v>1082</v>
      </c>
      <c r="C253" s="123"/>
      <c r="D253" s="124"/>
      <c r="E253" s="14" t="s">
        <v>109</v>
      </c>
      <c r="F253" s="14"/>
      <c r="G253" s="20"/>
      <c r="H253" s="20"/>
      <c r="I253" s="139">
        <f>_xll.GetCtData("COAMOUNT","CONSAMOUNT",$A$1:$A$8,$A253,I$10,"#-44523256,6944571")/10^3</f>
        <v>-44523.256694457101</v>
      </c>
      <c r="J253" s="139">
        <f>_xll.GetCtData("COAMOUNT","CONSAMOUNT",$A$1:$A$8,$A253,J$10,"#188166,970811582")/10^3</f>
        <v>188.16697081158199</v>
      </c>
      <c r="K253" s="139">
        <f>_xll.GetCtData("COAMOUNT","CONSAMOUNT",$A$1:$A$8,$A253,K$10,"#-435788,800303402")/10^3</f>
        <v>-435.78880030340201</v>
      </c>
      <c r="L253" s="139">
        <f>_xll.GetCtData("COAMOUNT","CONSAMOUNT",$A$1:$A$8,$A253,L$10,"#-44770878,5239489")/10^3</f>
        <v>-44770.878523948901</v>
      </c>
      <c r="M253" s="128"/>
      <c r="N253" s="139">
        <f>N148+N149+N179</f>
        <v>-174162</v>
      </c>
      <c r="O253" s="128"/>
      <c r="P253" s="139">
        <f t="shared" si="18"/>
        <v>-218932.87852394889</v>
      </c>
    </row>
    <row r="254" spans="1:17" s="140" customFormat="1" ht="12" collapsed="1" thickBot="1">
      <c r="A254" s="140" t="s">
        <v>1109</v>
      </c>
      <c r="C254" s="141"/>
      <c r="D254" s="142"/>
      <c r="E254" s="125" t="s">
        <v>212</v>
      </c>
      <c r="F254" s="126"/>
      <c r="G254" s="126"/>
      <c r="H254" s="126"/>
      <c r="I254" s="127">
        <f>_xll.GetCtData("COAMOUNT","CONSAMOUNT",$A$1:$A$8,$A254,I$10,"#528948,177910825")/10^3</f>
        <v>528.94817791082505</v>
      </c>
      <c r="J254" s="127">
        <f>_xll.GetCtData("COAMOUNT","CONSAMOUNT",$A$1:$A$8,$A254,J$10,"#")/10^3</f>
        <v>0</v>
      </c>
      <c r="K254" s="127">
        <f>_xll.GetCtData("COAMOUNT","CONSAMOUNT",$A$1:$A$8,$A254,K$10,"#")/10^3</f>
        <v>0</v>
      </c>
      <c r="L254" s="127">
        <f>_xll.GetCtData("COAMOUNT","CONSAMOUNT",$A$1:$A$8,$A254,L$10,"#528948,177910825")/10^3</f>
        <v>528.94817791082505</v>
      </c>
      <c r="M254" s="143"/>
      <c r="N254" s="127">
        <v>142426</v>
      </c>
      <c r="O254" s="143"/>
      <c r="P254" s="127">
        <f t="shared" si="18"/>
        <v>142954.94817791082</v>
      </c>
      <c r="Q254" s="144"/>
    </row>
    <row r="255" spans="1:17" ht="12" collapsed="1" thickBot="1">
      <c r="A255" s="115" t="s">
        <v>1083</v>
      </c>
      <c r="C255" s="123"/>
      <c r="D255" s="124"/>
      <c r="E255" s="14" t="s">
        <v>128</v>
      </c>
      <c r="F255" s="14"/>
      <c r="G255" s="20"/>
      <c r="H255" s="20"/>
      <c r="I255" s="139">
        <f>_xll.GetCtData("COAMOUNT","CONSAMOUNT",$A$1:$A$8,$A255,I$10,"#528948,177910825")/10^3</f>
        <v>528.94817791082505</v>
      </c>
      <c r="J255" s="139">
        <f>_xll.GetCtData("COAMOUNT","CONSAMOUNT",$A$1:$A$8,$A255,J$10,"#")/10^3</f>
        <v>0</v>
      </c>
      <c r="K255" s="139">
        <f>_xll.GetCtData("COAMOUNT","CONSAMOUNT",$A$1:$A$8,$A255,K$10,"#")/10^3</f>
        <v>0</v>
      </c>
      <c r="L255" s="139">
        <f>_xll.GetCtData("COAMOUNT","CONSAMOUNT",$A$1:$A$8,$A255,L$10,"#528948,177910825")/10^3</f>
        <v>528.94817791082505</v>
      </c>
      <c r="M255" s="128"/>
      <c r="N255" s="139">
        <v>142426</v>
      </c>
      <c r="O255" s="128"/>
      <c r="P255" s="139">
        <f t="shared" si="18"/>
        <v>142954.94817791082</v>
      </c>
    </row>
    <row r="256" spans="1:17" s="140" customFormat="1" ht="12" collapsed="1" thickBot="1">
      <c r="A256" s="140" t="s">
        <v>1084</v>
      </c>
      <c r="C256" s="117" t="s">
        <v>1667</v>
      </c>
      <c r="D256" s="117"/>
      <c r="E256" s="125" t="s">
        <v>111</v>
      </c>
      <c r="F256" s="126"/>
      <c r="G256" s="126"/>
      <c r="H256" s="126"/>
      <c r="I256" s="127">
        <f>_xll.GetCtData("COAMOUNT","CONSAMOUNT",$A$1:$A$8,$A256,I$10,"#")/10^3</f>
        <v>0</v>
      </c>
      <c r="J256" s="127">
        <f>_xll.GetCtData("COAMOUNT","CONSAMOUNT",$A$1:$A$8,$A256,J$10,"#")/10^3</f>
        <v>0</v>
      </c>
      <c r="K256" s="127">
        <f>_xll.GetCtData("COAMOUNT","CONSAMOUNT",$A$1:$A$8,$A256,K$10,"#")/10^3</f>
        <v>0</v>
      </c>
      <c r="L256" s="127">
        <f>_xll.GetCtData("COAMOUNT","CONSAMOUNT",$A$1:$A$8,$A256,L$10,"#")/10^3</f>
        <v>0</v>
      </c>
      <c r="M256" s="143"/>
      <c r="N256" s="127">
        <v>0</v>
      </c>
      <c r="O256" s="143"/>
      <c r="P256" s="127">
        <f t="shared" si="18"/>
        <v>0</v>
      </c>
      <c r="Q256" s="144"/>
    </row>
    <row r="257" spans="1:17" s="140" customFormat="1" ht="12" collapsed="1" thickBot="1">
      <c r="A257" s="140" t="s">
        <v>1085</v>
      </c>
      <c r="C257" s="117" t="s">
        <v>1085</v>
      </c>
      <c r="D257" s="117"/>
      <c r="E257" s="125" t="s">
        <v>63</v>
      </c>
      <c r="F257" s="126"/>
      <c r="G257" s="126"/>
      <c r="H257" s="126"/>
      <c r="I257" s="127">
        <f>_xll.GetCtData("COAMOUNT","CONSAMOUNT",$A$1:$A$8,$A257,I$10,"#-2226584,79171494")/10^3</f>
        <v>-2226.5847917149404</v>
      </c>
      <c r="J257" s="127">
        <f>_xll.GetCtData("COAMOUNT","CONSAMOUNT",$A$1:$A$8,$A257,J$10,"#27361,3579929869")/10^3</f>
        <v>27.3613579929869</v>
      </c>
      <c r="K257" s="127">
        <f>_xll.GetCtData("COAMOUNT","CONSAMOUNT",$A$1:$A$8,$A257,K$10,"#-20131,3067728577")/10^3</f>
        <v>-20.131306772857702</v>
      </c>
      <c r="L257" s="127">
        <f>_xll.GetCtData("COAMOUNT","CONSAMOUNT",$A$1:$A$8,$A257,L$10,"#-2219354,74049481")/10^3</f>
        <v>-2219.3547404948099</v>
      </c>
      <c r="M257" s="143"/>
      <c r="N257" s="127">
        <v>9398</v>
      </c>
      <c r="O257" s="143"/>
      <c r="P257" s="127">
        <f t="shared" si="18"/>
        <v>7178.6452595051906</v>
      </c>
      <c r="Q257" s="144"/>
    </row>
    <row r="258" spans="1:17" ht="12" hidden="1" collapsed="1" thickBot="1">
      <c r="A258" s="115" t="s">
        <v>1086</v>
      </c>
      <c r="C258" s="117" t="s">
        <v>1668</v>
      </c>
      <c r="E258" s="145" t="s">
        <v>1684</v>
      </c>
      <c r="F258" s="146"/>
      <c r="G258" s="146"/>
      <c r="H258" s="146"/>
      <c r="I258" s="147">
        <f>_xll.GetCtData("COAMOUNT","CONSAMOUNT",$A$1:$A$8,$A258,I$10,"#1")/10^3</f>
        <v>1E-3</v>
      </c>
      <c r="J258" s="147">
        <f>_xll.GetCtData("COAMOUNT","CONSAMOUNT",$A$1:$A$8,$A258,J$10,"#0")/10^3</f>
        <v>0</v>
      </c>
      <c r="K258" s="147">
        <f>_xll.GetCtData("COAMOUNT","CONSAMOUNT",$A$1:$A$8,$A258,K$10,"#-1")/10^3</f>
        <v>-1E-3</v>
      </c>
      <c r="L258" s="147">
        <f>_xll.GetCtData("COAMOUNT","CONSAMOUNT",$A$1:$A$8,$A258,L$10,"#0")/10^3</f>
        <v>0</v>
      </c>
      <c r="M258" s="128"/>
      <c r="N258" s="147">
        <v>0</v>
      </c>
      <c r="O258" s="128"/>
      <c r="P258" s="147">
        <f t="shared" si="18"/>
        <v>0</v>
      </c>
    </row>
    <row r="259" spans="1:17" ht="12" hidden="1" outlineLevel="1" thickBot="1">
      <c r="A259" s="115" t="s">
        <v>1572</v>
      </c>
      <c r="B259" s="115" t="s">
        <v>144</v>
      </c>
      <c r="C259" s="134" t="s">
        <v>1573</v>
      </c>
      <c r="E259" s="135" t="s">
        <v>1574</v>
      </c>
      <c r="F259" s="135" t="s">
        <v>145</v>
      </c>
      <c r="G259" s="131" t="s">
        <v>146</v>
      </c>
      <c r="H259" s="132" t="e">
        <f t="shared" ref="H259:H322" si="21">IF(LEFT(E259,6)/10^3="actifs",-1,1)/10^3</f>
        <v>#VALUE!</v>
      </c>
      <c r="I259" s="151" t="e">
        <f>_xll.GetCtData("COAMOUNT","CONSAMOUNT",$A$1:$A$8,$A259:$B259,,"#0")/10^3*$H259</f>
        <v>#VALUE!</v>
      </c>
      <c r="J259" s="151" t="e">
        <f>_xll.GetCtData("COAMOUNT","CONSAMOUNT",$A$1:$A$8,$A259:$B259,,"#0")/10^3*$H259</f>
        <v>#VALUE!</v>
      </c>
      <c r="K259" s="151" t="e">
        <f>_xll.GetCtData("COAMOUNT","CONSAMOUNT",$A$1:$A$8,$A259:$B259,,"#0")/10^3*$H259</f>
        <v>#VALUE!</v>
      </c>
      <c r="L259" s="136" t="e">
        <f t="shared" ref="L259:L322" si="22">SUM(I259:K259)/10^3</f>
        <v>#VALUE!</v>
      </c>
      <c r="M259" s="128"/>
      <c r="N259" s="136"/>
      <c r="O259" s="128"/>
      <c r="P259" s="136" t="e">
        <f t="shared" si="18"/>
        <v>#VALUE!</v>
      </c>
    </row>
    <row r="260" spans="1:17" ht="12" hidden="1" outlineLevel="1" thickBot="1">
      <c r="A260" s="115" t="s">
        <v>1575</v>
      </c>
      <c r="B260" s="115" t="s">
        <v>144</v>
      </c>
      <c r="C260" s="134" t="s">
        <v>1576</v>
      </c>
      <c r="E260" s="135" t="s">
        <v>1577</v>
      </c>
      <c r="F260" s="135" t="s">
        <v>145</v>
      </c>
      <c r="G260" s="131" t="s">
        <v>146</v>
      </c>
      <c r="H260" s="132" t="e">
        <f t="shared" si="21"/>
        <v>#VALUE!</v>
      </c>
      <c r="I260" s="151" t="e">
        <f>_xll.GetCtData("COAMOUNT","CONSAMOUNT",$A$1:$A$8,$A260:$B260,,"#1")/10^3*$H260</f>
        <v>#VALUE!</v>
      </c>
      <c r="J260" s="151"/>
      <c r="K260" s="151"/>
      <c r="L260" s="136" t="e">
        <f t="shared" si="22"/>
        <v>#VALUE!</v>
      </c>
      <c r="M260" s="128"/>
      <c r="N260" s="136"/>
      <c r="O260" s="128"/>
      <c r="P260" s="136" t="e">
        <f t="shared" si="18"/>
        <v>#VALUE!</v>
      </c>
    </row>
    <row r="261" spans="1:17" ht="12" hidden="1" outlineLevel="1" thickBot="1">
      <c r="A261" s="115" t="s">
        <v>1578</v>
      </c>
      <c r="B261" s="115" t="s">
        <v>144</v>
      </c>
      <c r="C261" s="134" t="s">
        <v>1579</v>
      </c>
      <c r="E261" s="135" t="s">
        <v>1580</v>
      </c>
      <c r="F261" s="135" t="s">
        <v>145</v>
      </c>
      <c r="G261" s="131" t="s">
        <v>146</v>
      </c>
      <c r="H261" s="132" t="e">
        <f t="shared" si="21"/>
        <v>#VALUE!</v>
      </c>
      <c r="I261" s="151" t="e">
        <f>_xll.GetCtData("COAMOUNT","CONSAMOUNT",$A$1:$A$8,$A261:$B261,,"#")/10^3*$H261</f>
        <v>#VALUE!</v>
      </c>
      <c r="J261" s="151"/>
      <c r="K261" s="151"/>
      <c r="L261" s="136" t="e">
        <f t="shared" si="22"/>
        <v>#VALUE!</v>
      </c>
      <c r="M261" s="128"/>
      <c r="N261" s="136"/>
      <c r="O261" s="128"/>
      <c r="P261" s="136" t="e">
        <f t="shared" si="18"/>
        <v>#VALUE!</v>
      </c>
    </row>
    <row r="262" spans="1:17" ht="12" hidden="1" outlineLevel="1" thickBot="1">
      <c r="A262" s="115" t="s">
        <v>1581</v>
      </c>
      <c r="B262" s="115" t="s">
        <v>144</v>
      </c>
      <c r="C262" s="134" t="s">
        <v>1582</v>
      </c>
      <c r="E262" s="135" t="s">
        <v>1583</v>
      </c>
      <c r="F262" s="135" t="s">
        <v>145</v>
      </c>
      <c r="G262" s="131" t="s">
        <v>146</v>
      </c>
      <c r="H262" s="132" t="e">
        <f t="shared" si="21"/>
        <v>#VALUE!</v>
      </c>
      <c r="I262" s="151" t="e">
        <f>_xll.GetCtData("COAMOUNT","CONSAMOUNT",$A$1:$A$8,$A262:$B262,,"#1")/10^3*$H262</f>
        <v>#VALUE!</v>
      </c>
      <c r="J262" s="151"/>
      <c r="K262" s="151"/>
      <c r="L262" s="136" t="e">
        <f t="shared" si="22"/>
        <v>#VALUE!</v>
      </c>
      <c r="M262" s="128"/>
      <c r="N262" s="136"/>
      <c r="O262" s="128"/>
      <c r="P262" s="136" t="e">
        <f t="shared" si="18"/>
        <v>#VALUE!</v>
      </c>
    </row>
    <row r="263" spans="1:17" ht="12" hidden="1" outlineLevel="1" thickBot="1">
      <c r="A263" s="115" t="s">
        <v>1584</v>
      </c>
      <c r="B263" s="115" t="s">
        <v>144</v>
      </c>
      <c r="C263" s="134" t="s">
        <v>1585</v>
      </c>
      <c r="E263" s="135" t="s">
        <v>1586</v>
      </c>
      <c r="F263" s="135" t="s">
        <v>145</v>
      </c>
      <c r="G263" s="131" t="s">
        <v>146</v>
      </c>
      <c r="H263" s="132" t="e">
        <f t="shared" si="21"/>
        <v>#VALUE!</v>
      </c>
      <c r="I263" s="151" t="e">
        <f>_xll.GetCtData("COAMOUNT","CONSAMOUNT",$A$1:$A$8,$A263:$B263,,"#-1")/10^3*$H263</f>
        <v>#VALUE!</v>
      </c>
      <c r="J263" s="151"/>
      <c r="K263" s="151"/>
      <c r="L263" s="136" t="e">
        <f t="shared" si="22"/>
        <v>#VALUE!</v>
      </c>
      <c r="M263" s="128"/>
      <c r="N263" s="136"/>
      <c r="O263" s="128"/>
      <c r="P263" s="136" t="e">
        <f t="shared" si="18"/>
        <v>#VALUE!</v>
      </c>
    </row>
    <row r="264" spans="1:17" ht="12" hidden="1" outlineLevel="1" thickBot="1">
      <c r="A264" s="115" t="s">
        <v>1587</v>
      </c>
      <c r="B264" s="115" t="s">
        <v>144</v>
      </c>
      <c r="C264" s="134" t="s">
        <v>1588</v>
      </c>
      <c r="E264" s="135" t="s">
        <v>1589</v>
      </c>
      <c r="F264" s="135" t="s">
        <v>145</v>
      </c>
      <c r="G264" s="131" t="s">
        <v>146</v>
      </c>
      <c r="H264" s="132" t="e">
        <f t="shared" si="21"/>
        <v>#VALUE!</v>
      </c>
      <c r="I264" s="151" t="e">
        <f>_xll.GetCtData("COAMOUNT","CONSAMOUNT",$A$1:$A$8,$A264:$B264,,"#0")/10^3*$H264</f>
        <v>#VALUE!</v>
      </c>
      <c r="J264" s="151"/>
      <c r="K264" s="151"/>
      <c r="L264" s="136" t="e">
        <f t="shared" si="22"/>
        <v>#VALUE!</v>
      </c>
      <c r="M264" s="128"/>
      <c r="N264" s="136"/>
      <c r="O264" s="128"/>
      <c r="P264" s="136" t="e">
        <f t="shared" si="18"/>
        <v>#VALUE!</v>
      </c>
    </row>
    <row r="265" spans="1:17" ht="12" hidden="1" outlineLevel="1" thickBot="1">
      <c r="A265" s="115" t="s">
        <v>1590</v>
      </c>
      <c r="B265" s="115" t="s">
        <v>144</v>
      </c>
      <c r="C265" s="134" t="s">
        <v>1591</v>
      </c>
      <c r="E265" s="135" t="s">
        <v>1592</v>
      </c>
      <c r="F265" s="135" t="s">
        <v>145</v>
      </c>
      <c r="G265" s="131" t="s">
        <v>146</v>
      </c>
      <c r="H265" s="132" t="e">
        <f t="shared" si="21"/>
        <v>#VALUE!</v>
      </c>
      <c r="I265" s="151" t="e">
        <f>_xll.GetCtData("COAMOUNT","CONSAMOUNT",$A$1:$A$8,$A265:$B265,,"#")/10^3*$H265</f>
        <v>#VALUE!</v>
      </c>
      <c r="J265" s="151"/>
      <c r="K265" s="151"/>
      <c r="L265" s="136" t="e">
        <f t="shared" si="22"/>
        <v>#VALUE!</v>
      </c>
      <c r="M265" s="128"/>
      <c r="N265" s="136"/>
      <c r="O265" s="128"/>
      <c r="P265" s="136" t="e">
        <f t="shared" si="18"/>
        <v>#VALUE!</v>
      </c>
    </row>
    <row r="266" spans="1:17" ht="12" hidden="1" outlineLevel="1" thickBot="1">
      <c r="A266" s="115" t="s">
        <v>1593</v>
      </c>
      <c r="B266" s="115" t="s">
        <v>144</v>
      </c>
      <c r="C266" s="134" t="s">
        <v>1594</v>
      </c>
      <c r="E266" s="135" t="s">
        <v>1595</v>
      </c>
      <c r="F266" s="135" t="s">
        <v>145</v>
      </c>
      <c r="G266" s="131" t="s">
        <v>146</v>
      </c>
      <c r="H266" s="132" t="e">
        <f t="shared" si="21"/>
        <v>#VALUE!</v>
      </c>
      <c r="I266" s="151" t="e">
        <f>_xll.GetCtData("COAMOUNT","CONSAMOUNT",$A$1:$A$8,$A266:$B266,,"#")/10^3*$H266</f>
        <v>#VALUE!</v>
      </c>
      <c r="J266" s="151"/>
      <c r="K266" s="151"/>
      <c r="L266" s="136" t="e">
        <f t="shared" si="22"/>
        <v>#VALUE!</v>
      </c>
      <c r="M266" s="128"/>
      <c r="N266" s="136"/>
      <c r="O266" s="128"/>
      <c r="P266" s="136" t="e">
        <f t="shared" si="18"/>
        <v>#VALUE!</v>
      </c>
    </row>
    <row r="267" spans="1:17" ht="12" hidden="1" outlineLevel="1" thickBot="1">
      <c r="A267" s="115" t="s">
        <v>1596</v>
      </c>
      <c r="B267" s="115" t="s">
        <v>144</v>
      </c>
      <c r="C267" s="134" t="s">
        <v>1597</v>
      </c>
      <c r="E267" s="135" t="s">
        <v>1598</v>
      </c>
      <c r="F267" s="135" t="s">
        <v>145</v>
      </c>
      <c r="G267" s="131" t="s">
        <v>146</v>
      </c>
      <c r="H267" s="132" t="e">
        <f t="shared" si="21"/>
        <v>#VALUE!</v>
      </c>
      <c r="I267" s="151" t="e">
        <f>_xll.GetCtData("COAMOUNT","CONSAMOUNT",$A$1:$A$8,$A267:$B267,,"#")/10^3*$H267</f>
        <v>#VALUE!</v>
      </c>
      <c r="J267" s="151"/>
      <c r="K267" s="151"/>
      <c r="L267" s="136" t="e">
        <f t="shared" si="22"/>
        <v>#VALUE!</v>
      </c>
      <c r="M267" s="128"/>
      <c r="N267" s="136"/>
      <c r="O267" s="128"/>
      <c r="P267" s="136" t="e">
        <f t="shared" si="18"/>
        <v>#VALUE!</v>
      </c>
    </row>
    <row r="268" spans="1:17" ht="12" hidden="1" outlineLevel="1" thickBot="1">
      <c r="A268" s="115" t="s">
        <v>1599</v>
      </c>
      <c r="B268" s="115" t="s">
        <v>144</v>
      </c>
      <c r="C268" s="134" t="s">
        <v>1600</v>
      </c>
      <c r="E268" s="135" t="s">
        <v>1601</v>
      </c>
      <c r="F268" s="135" t="s">
        <v>145</v>
      </c>
      <c r="G268" s="131" t="s">
        <v>146</v>
      </c>
      <c r="H268" s="132" t="e">
        <f t="shared" si="21"/>
        <v>#VALUE!</v>
      </c>
      <c r="I268" s="151" t="e">
        <f>_xll.GetCtData("COAMOUNT","CONSAMOUNT",$A$1:$A$8,$A268:$B268,,"#")/10^3*$H268</f>
        <v>#VALUE!</v>
      </c>
      <c r="J268" s="151"/>
      <c r="K268" s="151"/>
      <c r="L268" s="136" t="e">
        <f t="shared" si="22"/>
        <v>#VALUE!</v>
      </c>
      <c r="M268" s="128"/>
      <c r="N268" s="136"/>
      <c r="O268" s="128"/>
      <c r="P268" s="136" t="e">
        <f t="shared" si="18"/>
        <v>#VALUE!</v>
      </c>
    </row>
    <row r="269" spans="1:17" ht="12" hidden="1" outlineLevel="1" thickBot="1">
      <c r="A269" s="115" t="s">
        <v>1602</v>
      </c>
      <c r="B269" s="115" t="s">
        <v>144</v>
      </c>
      <c r="C269" s="134" t="s">
        <v>1603</v>
      </c>
      <c r="E269" s="135" t="s">
        <v>1604</v>
      </c>
      <c r="F269" s="135" t="s">
        <v>145</v>
      </c>
      <c r="G269" s="131" t="s">
        <v>146</v>
      </c>
      <c r="H269" s="132" t="e">
        <f t="shared" si="21"/>
        <v>#VALUE!</v>
      </c>
      <c r="I269" s="151" t="e">
        <f>_xll.GetCtData("COAMOUNT","CONSAMOUNT",$A$1:$A$8,$A269:$B269,,"#")/10^3*$H269</f>
        <v>#VALUE!</v>
      </c>
      <c r="J269" s="151"/>
      <c r="K269" s="151"/>
      <c r="L269" s="136" t="e">
        <f t="shared" si="22"/>
        <v>#VALUE!</v>
      </c>
      <c r="M269" s="128"/>
      <c r="N269" s="136"/>
      <c r="O269" s="128"/>
      <c r="P269" s="136" t="e">
        <f t="shared" si="18"/>
        <v>#VALUE!</v>
      </c>
    </row>
    <row r="270" spans="1:17" ht="12" hidden="1" outlineLevel="1" thickBot="1">
      <c r="A270" s="115" t="s">
        <v>1605</v>
      </c>
      <c r="B270" s="115" t="s">
        <v>144</v>
      </c>
      <c r="C270" s="134" t="s">
        <v>1606</v>
      </c>
      <c r="E270" s="135" t="s">
        <v>1607</v>
      </c>
      <c r="F270" s="135" t="s">
        <v>145</v>
      </c>
      <c r="G270" s="131" t="s">
        <v>146</v>
      </c>
      <c r="H270" s="132" t="e">
        <f t="shared" si="21"/>
        <v>#VALUE!</v>
      </c>
      <c r="I270" s="151" t="e">
        <f>_xll.GetCtData("COAMOUNT","CONSAMOUNT",$A$1:$A$8,$A270:$B270,,"#0")/10^3*$H270</f>
        <v>#VALUE!</v>
      </c>
      <c r="J270" s="151"/>
      <c r="K270" s="151"/>
      <c r="L270" s="136" t="e">
        <f t="shared" si="22"/>
        <v>#VALUE!</v>
      </c>
      <c r="M270" s="128"/>
      <c r="N270" s="136"/>
      <c r="O270" s="128"/>
      <c r="P270" s="136" t="e">
        <f t="shared" si="18"/>
        <v>#VALUE!</v>
      </c>
    </row>
    <row r="271" spans="1:17" ht="12" hidden="1" outlineLevel="1" thickBot="1">
      <c r="A271" s="115" t="s">
        <v>1516</v>
      </c>
      <c r="B271" s="115" t="s">
        <v>144</v>
      </c>
      <c r="C271" s="134" t="s">
        <v>1517</v>
      </c>
      <c r="E271" s="135" t="s">
        <v>1518</v>
      </c>
      <c r="F271" s="135" t="s">
        <v>145</v>
      </c>
      <c r="G271" s="131" t="s">
        <v>146</v>
      </c>
      <c r="H271" s="132" t="e">
        <f t="shared" si="21"/>
        <v>#VALUE!</v>
      </c>
      <c r="I271" s="151" t="e">
        <f>_xll.GetCtData("COAMOUNT","CONSAMOUNT",$A$1:$A$8,$A271:$B271,,"#0")/10^3*$H271</f>
        <v>#VALUE!</v>
      </c>
      <c r="J271" s="151"/>
      <c r="K271" s="151"/>
      <c r="L271" s="136" t="e">
        <f t="shared" si="22"/>
        <v>#VALUE!</v>
      </c>
      <c r="M271" s="128"/>
      <c r="N271" s="136"/>
      <c r="O271" s="128"/>
      <c r="P271" s="136" t="e">
        <f t="shared" si="18"/>
        <v>#VALUE!</v>
      </c>
    </row>
    <row r="272" spans="1:17" ht="12" hidden="1" outlineLevel="1" thickBot="1">
      <c r="A272" s="115" t="s">
        <v>1519</v>
      </c>
      <c r="B272" s="115" t="s">
        <v>144</v>
      </c>
      <c r="C272" s="134" t="s">
        <v>1520</v>
      </c>
      <c r="E272" s="135" t="s">
        <v>1521</v>
      </c>
      <c r="F272" s="135" t="s">
        <v>145</v>
      </c>
      <c r="G272" s="131" t="s">
        <v>146</v>
      </c>
      <c r="H272" s="132" t="e">
        <f t="shared" si="21"/>
        <v>#VALUE!</v>
      </c>
      <c r="I272" s="151" t="e">
        <f>_xll.GetCtData("COAMOUNT","CONSAMOUNT",$A$1:$A$8,$A272:$B272,,"#0")/10^3*$H272</f>
        <v>#VALUE!</v>
      </c>
      <c r="J272" s="151"/>
      <c r="K272" s="151"/>
      <c r="L272" s="136" t="e">
        <f t="shared" si="22"/>
        <v>#VALUE!</v>
      </c>
      <c r="M272" s="128"/>
      <c r="N272" s="136"/>
      <c r="O272" s="128"/>
      <c r="P272" s="136" t="e">
        <f t="shared" si="18"/>
        <v>#VALUE!</v>
      </c>
    </row>
    <row r="273" spans="1:16" ht="12" hidden="1" outlineLevel="1" thickBot="1">
      <c r="A273" s="115" t="s">
        <v>1522</v>
      </c>
      <c r="B273" s="115" t="s">
        <v>144</v>
      </c>
      <c r="C273" s="134" t="s">
        <v>1523</v>
      </c>
      <c r="E273" s="135" t="s">
        <v>1524</v>
      </c>
      <c r="F273" s="135" t="s">
        <v>145</v>
      </c>
      <c r="G273" s="131" t="s">
        <v>146</v>
      </c>
      <c r="H273" s="132" t="e">
        <f t="shared" si="21"/>
        <v>#VALUE!</v>
      </c>
      <c r="I273" s="151" t="e">
        <f>_xll.GetCtData("COAMOUNT","CONSAMOUNT",$A$1:$A$8,$A273:$B273,,"#")/10^3*$H273</f>
        <v>#VALUE!</v>
      </c>
      <c r="J273" s="151"/>
      <c r="K273" s="151"/>
      <c r="L273" s="136" t="e">
        <f t="shared" si="22"/>
        <v>#VALUE!</v>
      </c>
      <c r="M273" s="128"/>
      <c r="N273" s="136"/>
      <c r="O273" s="128"/>
      <c r="P273" s="136" t="e">
        <f t="shared" si="18"/>
        <v>#VALUE!</v>
      </c>
    </row>
    <row r="274" spans="1:16" ht="12" hidden="1" outlineLevel="1" thickBot="1">
      <c r="A274" s="115" t="s">
        <v>1525</v>
      </c>
      <c r="B274" s="115" t="s">
        <v>144</v>
      </c>
      <c r="C274" s="134" t="s">
        <v>1526</v>
      </c>
      <c r="E274" s="135" t="s">
        <v>1527</v>
      </c>
      <c r="F274" s="135" t="s">
        <v>145</v>
      </c>
      <c r="G274" s="131" t="s">
        <v>146</v>
      </c>
      <c r="H274" s="132" t="e">
        <f t="shared" si="21"/>
        <v>#VALUE!</v>
      </c>
      <c r="I274" s="151" t="e">
        <f>_xll.GetCtData("COAMOUNT","CONSAMOUNT",$A$1:$A$8,$A274:$B274,,"#")/10^3*$H274</f>
        <v>#VALUE!</v>
      </c>
      <c r="J274" s="151"/>
      <c r="K274" s="151"/>
      <c r="L274" s="136" t="e">
        <f t="shared" si="22"/>
        <v>#VALUE!</v>
      </c>
      <c r="M274" s="128"/>
      <c r="N274" s="136"/>
      <c r="O274" s="128"/>
      <c r="P274" s="136" t="e">
        <f t="shared" si="18"/>
        <v>#VALUE!</v>
      </c>
    </row>
    <row r="275" spans="1:16" ht="12" hidden="1" outlineLevel="1" thickBot="1">
      <c r="A275" s="115" t="s">
        <v>1528</v>
      </c>
      <c r="B275" s="115" t="s">
        <v>144</v>
      </c>
      <c r="C275" s="134" t="s">
        <v>1529</v>
      </c>
      <c r="E275" s="135" t="s">
        <v>1530</v>
      </c>
      <c r="F275" s="135" t="s">
        <v>145</v>
      </c>
      <c r="G275" s="131" t="s">
        <v>146</v>
      </c>
      <c r="H275" s="132" t="e">
        <f t="shared" si="21"/>
        <v>#VALUE!</v>
      </c>
      <c r="I275" s="151" t="e">
        <f>_xll.GetCtData("COAMOUNT","CONSAMOUNT",$A$1:$A$8,$A275:$B275,,"#")/10^3*$H275</f>
        <v>#VALUE!</v>
      </c>
      <c r="J275" s="151"/>
      <c r="K275" s="151"/>
      <c r="L275" s="136" t="e">
        <f t="shared" si="22"/>
        <v>#VALUE!</v>
      </c>
      <c r="M275" s="128"/>
      <c r="N275" s="136"/>
      <c r="O275" s="128"/>
      <c r="P275" s="136" t="e">
        <f t="shared" si="18"/>
        <v>#VALUE!</v>
      </c>
    </row>
    <row r="276" spans="1:16" ht="12" hidden="1" outlineLevel="1" thickBot="1">
      <c r="A276" s="115" t="s">
        <v>1531</v>
      </c>
      <c r="B276" s="115" t="s">
        <v>144</v>
      </c>
      <c r="C276" s="134" t="s">
        <v>1532</v>
      </c>
      <c r="E276" s="135" t="s">
        <v>1533</v>
      </c>
      <c r="F276" s="135" t="s">
        <v>145</v>
      </c>
      <c r="G276" s="131" t="s">
        <v>146</v>
      </c>
      <c r="H276" s="132" t="e">
        <f t="shared" si="21"/>
        <v>#VALUE!</v>
      </c>
      <c r="I276" s="151" t="e">
        <f>_xll.GetCtData("COAMOUNT","CONSAMOUNT",$A$1:$A$8,$A276:$B276,,"#")/10^3*$H276</f>
        <v>#VALUE!</v>
      </c>
      <c r="J276" s="151"/>
      <c r="K276" s="151"/>
      <c r="L276" s="136" t="e">
        <f t="shared" si="22"/>
        <v>#VALUE!</v>
      </c>
      <c r="M276" s="128"/>
      <c r="N276" s="136"/>
      <c r="O276" s="128"/>
      <c r="P276" s="136" t="e">
        <f t="shared" si="18"/>
        <v>#VALUE!</v>
      </c>
    </row>
    <row r="277" spans="1:16" ht="12" hidden="1" outlineLevel="1" thickBot="1">
      <c r="A277" s="115" t="s">
        <v>1534</v>
      </c>
      <c r="B277" s="115" t="s">
        <v>144</v>
      </c>
      <c r="C277" s="134" t="s">
        <v>1535</v>
      </c>
      <c r="E277" s="135" t="s">
        <v>1536</v>
      </c>
      <c r="F277" s="135" t="s">
        <v>145</v>
      </c>
      <c r="G277" s="131" t="s">
        <v>146</v>
      </c>
      <c r="H277" s="132" t="e">
        <f t="shared" si="21"/>
        <v>#VALUE!</v>
      </c>
      <c r="I277" s="151" t="e">
        <f>_xll.GetCtData("COAMOUNT","CONSAMOUNT",$A$1:$A$8,$A277:$B277,,"#")/10^3*$H277</f>
        <v>#VALUE!</v>
      </c>
      <c r="J277" s="151"/>
      <c r="K277" s="151"/>
      <c r="L277" s="136" t="e">
        <f t="shared" si="22"/>
        <v>#VALUE!</v>
      </c>
      <c r="M277" s="128"/>
      <c r="N277" s="136"/>
      <c r="O277" s="128"/>
      <c r="P277" s="136" t="e">
        <f t="shared" si="18"/>
        <v>#VALUE!</v>
      </c>
    </row>
    <row r="278" spans="1:16" ht="12" hidden="1" outlineLevel="1" thickBot="1">
      <c r="A278" s="115" t="s">
        <v>1537</v>
      </c>
      <c r="B278" s="115" t="s">
        <v>144</v>
      </c>
      <c r="C278" s="134" t="s">
        <v>1538</v>
      </c>
      <c r="E278" s="135" t="s">
        <v>1539</v>
      </c>
      <c r="F278" s="135" t="s">
        <v>145</v>
      </c>
      <c r="G278" s="131" t="s">
        <v>146</v>
      </c>
      <c r="H278" s="132" t="e">
        <f t="shared" si="21"/>
        <v>#VALUE!</v>
      </c>
      <c r="I278" s="151" t="e">
        <f>_xll.GetCtData("COAMOUNT","CONSAMOUNT",$A$1:$A$8,$A278:$B278,,"#")/10^3*$H278</f>
        <v>#VALUE!</v>
      </c>
      <c r="J278" s="151"/>
      <c r="K278" s="151"/>
      <c r="L278" s="136" t="e">
        <f t="shared" si="22"/>
        <v>#VALUE!</v>
      </c>
      <c r="M278" s="128"/>
      <c r="N278" s="136"/>
      <c r="O278" s="128"/>
      <c r="P278" s="136" t="e">
        <f t="shared" si="18"/>
        <v>#VALUE!</v>
      </c>
    </row>
    <row r="279" spans="1:16" ht="12" hidden="1" outlineLevel="1" thickBot="1">
      <c r="A279" s="115" t="s">
        <v>1540</v>
      </c>
      <c r="B279" s="115" t="s">
        <v>144</v>
      </c>
      <c r="C279" s="134" t="s">
        <v>1541</v>
      </c>
      <c r="E279" s="135" t="s">
        <v>1542</v>
      </c>
      <c r="F279" s="135" t="s">
        <v>145</v>
      </c>
      <c r="G279" s="131" t="s">
        <v>146</v>
      </c>
      <c r="H279" s="132" t="e">
        <f t="shared" si="21"/>
        <v>#VALUE!</v>
      </c>
      <c r="I279" s="151" t="e">
        <f>_xll.GetCtData("COAMOUNT","CONSAMOUNT",$A$1:$A$8,$A279:$B279,,"#")/10^3*$H279</f>
        <v>#VALUE!</v>
      </c>
      <c r="J279" s="151"/>
      <c r="K279" s="151"/>
      <c r="L279" s="136" t="e">
        <f t="shared" si="22"/>
        <v>#VALUE!</v>
      </c>
      <c r="M279" s="128"/>
      <c r="N279" s="136"/>
      <c r="O279" s="128"/>
      <c r="P279" s="136" t="e">
        <f t="shared" si="18"/>
        <v>#VALUE!</v>
      </c>
    </row>
    <row r="280" spans="1:16" ht="12" hidden="1" outlineLevel="1" thickBot="1">
      <c r="A280" s="115" t="s">
        <v>1543</v>
      </c>
      <c r="B280" s="115" t="s">
        <v>144</v>
      </c>
      <c r="C280" s="134" t="s">
        <v>1544</v>
      </c>
      <c r="E280" s="135" t="s">
        <v>1545</v>
      </c>
      <c r="F280" s="135" t="s">
        <v>145</v>
      </c>
      <c r="G280" s="131" t="s">
        <v>146</v>
      </c>
      <c r="H280" s="132" t="e">
        <f t="shared" si="21"/>
        <v>#VALUE!</v>
      </c>
      <c r="I280" s="151" t="e">
        <f>_xll.GetCtData("COAMOUNT","CONSAMOUNT",$A$1:$A$8,$A280:$B280,,"#")/10^3*$H280</f>
        <v>#VALUE!</v>
      </c>
      <c r="J280" s="151"/>
      <c r="K280" s="151"/>
      <c r="L280" s="136" t="e">
        <f t="shared" si="22"/>
        <v>#VALUE!</v>
      </c>
      <c r="M280" s="128"/>
      <c r="N280" s="136"/>
      <c r="O280" s="128"/>
      <c r="P280" s="136" t="e">
        <f t="shared" si="18"/>
        <v>#VALUE!</v>
      </c>
    </row>
    <row r="281" spans="1:16" ht="12" hidden="1" outlineLevel="1" thickBot="1">
      <c r="A281" s="115" t="s">
        <v>1546</v>
      </c>
      <c r="B281" s="115" t="s">
        <v>144</v>
      </c>
      <c r="C281" s="134" t="s">
        <v>1547</v>
      </c>
      <c r="E281" s="135" t="s">
        <v>1548</v>
      </c>
      <c r="F281" s="135" t="s">
        <v>145</v>
      </c>
      <c r="G281" s="131" t="s">
        <v>146</v>
      </c>
      <c r="H281" s="132" t="e">
        <f t="shared" si="21"/>
        <v>#VALUE!</v>
      </c>
      <c r="I281" s="151" t="e">
        <f>_xll.GetCtData("COAMOUNT","CONSAMOUNT",$A$1:$A$8,$A281:$B281,,"#")/10^3*$H281</f>
        <v>#VALUE!</v>
      </c>
      <c r="J281" s="151"/>
      <c r="K281" s="151"/>
      <c r="L281" s="136" t="e">
        <f t="shared" si="22"/>
        <v>#VALUE!</v>
      </c>
      <c r="M281" s="128"/>
      <c r="N281" s="136"/>
      <c r="O281" s="128"/>
      <c r="P281" s="136" t="e">
        <f t="shared" si="18"/>
        <v>#VALUE!</v>
      </c>
    </row>
    <row r="282" spans="1:16" ht="12" hidden="1" outlineLevel="1" thickBot="1">
      <c r="A282" s="115" t="s">
        <v>1549</v>
      </c>
      <c r="B282" s="115" t="s">
        <v>144</v>
      </c>
      <c r="C282" s="134" t="s">
        <v>1550</v>
      </c>
      <c r="E282" s="135" t="s">
        <v>1551</v>
      </c>
      <c r="F282" s="135" t="s">
        <v>145</v>
      </c>
      <c r="G282" s="131" t="s">
        <v>146</v>
      </c>
      <c r="H282" s="132" t="e">
        <f t="shared" si="21"/>
        <v>#VALUE!</v>
      </c>
      <c r="I282" s="151" t="e">
        <f>_xll.GetCtData("COAMOUNT","CONSAMOUNT",$A$1:$A$8,$A282:$B282,,"#")/10^3*$H282</f>
        <v>#VALUE!</v>
      </c>
      <c r="J282" s="151"/>
      <c r="K282" s="151"/>
      <c r="L282" s="136" t="e">
        <f t="shared" si="22"/>
        <v>#VALUE!</v>
      </c>
      <c r="M282" s="128"/>
      <c r="N282" s="136"/>
      <c r="O282" s="128"/>
      <c r="P282" s="136" t="e">
        <f t="shared" si="18"/>
        <v>#VALUE!</v>
      </c>
    </row>
    <row r="283" spans="1:16" ht="12" hidden="1" outlineLevel="1" thickBot="1">
      <c r="A283" s="115" t="s">
        <v>1608</v>
      </c>
      <c r="B283" s="115" t="s">
        <v>144</v>
      </c>
      <c r="C283" s="134" t="s">
        <v>1609</v>
      </c>
      <c r="E283" s="135" t="s">
        <v>1610</v>
      </c>
      <c r="F283" s="135" t="s">
        <v>145</v>
      </c>
      <c r="G283" s="131" t="s">
        <v>146</v>
      </c>
      <c r="H283" s="132" t="e">
        <f t="shared" si="21"/>
        <v>#VALUE!</v>
      </c>
      <c r="I283" s="151"/>
      <c r="J283" s="151" t="e">
        <f>_xll.GetCtData("COAMOUNT","CONSAMOUNT",$A$1:$A$8,$A283:$B283,,"#0")/10^3*$H283</f>
        <v>#VALUE!</v>
      </c>
      <c r="K283" s="136"/>
      <c r="L283" s="136" t="e">
        <f t="shared" si="22"/>
        <v>#VALUE!</v>
      </c>
      <c r="M283" s="128"/>
      <c r="N283" s="136"/>
      <c r="O283" s="128"/>
      <c r="P283" s="136" t="e">
        <f t="shared" si="18"/>
        <v>#VALUE!</v>
      </c>
    </row>
    <row r="284" spans="1:16" ht="12" hidden="1" outlineLevel="1" thickBot="1">
      <c r="A284" s="115" t="s">
        <v>1611</v>
      </c>
      <c r="B284" s="115" t="s">
        <v>144</v>
      </c>
      <c r="C284" s="134" t="s">
        <v>1612</v>
      </c>
      <c r="E284" s="135" t="s">
        <v>1613</v>
      </c>
      <c r="F284" s="135" t="s">
        <v>145</v>
      </c>
      <c r="G284" s="131" t="s">
        <v>146</v>
      </c>
      <c r="H284" s="132" t="e">
        <f t="shared" si="21"/>
        <v>#VALUE!</v>
      </c>
      <c r="I284" s="151"/>
      <c r="J284" s="151" t="e">
        <f>_xll.GetCtData("COAMOUNT","CONSAMOUNT",$A$1:$A$8,$A284:$B284,,"#")/10^3*$H284</f>
        <v>#VALUE!</v>
      </c>
      <c r="K284" s="136"/>
      <c r="L284" s="136" t="e">
        <f t="shared" si="22"/>
        <v>#VALUE!</v>
      </c>
      <c r="M284" s="128"/>
      <c r="N284" s="136"/>
      <c r="O284" s="128"/>
      <c r="P284" s="136" t="e">
        <f t="shared" si="18"/>
        <v>#VALUE!</v>
      </c>
    </row>
    <row r="285" spans="1:16" ht="12" hidden="1" outlineLevel="1" thickBot="1">
      <c r="A285" s="115" t="s">
        <v>1614</v>
      </c>
      <c r="B285" s="115" t="s">
        <v>144</v>
      </c>
      <c r="C285" s="134" t="s">
        <v>1615</v>
      </c>
      <c r="E285" s="135" t="s">
        <v>1616</v>
      </c>
      <c r="F285" s="135" t="s">
        <v>145</v>
      </c>
      <c r="G285" s="131" t="s">
        <v>146</v>
      </c>
      <c r="H285" s="132" t="e">
        <f t="shared" si="21"/>
        <v>#VALUE!</v>
      </c>
      <c r="I285" s="151"/>
      <c r="J285" s="151" t="e">
        <f>_xll.GetCtData("COAMOUNT","CONSAMOUNT",$A$1:$A$8,$A285:$B285,,"#0")/10^3*$H285</f>
        <v>#VALUE!</v>
      </c>
      <c r="K285" s="136"/>
      <c r="L285" s="136" t="e">
        <f t="shared" si="22"/>
        <v>#VALUE!</v>
      </c>
      <c r="M285" s="128"/>
      <c r="N285" s="136"/>
      <c r="O285" s="128"/>
      <c r="P285" s="136" t="e">
        <f t="shared" si="18"/>
        <v>#VALUE!</v>
      </c>
    </row>
    <row r="286" spans="1:16" ht="12" hidden="1" outlineLevel="1" thickBot="1">
      <c r="A286" s="115" t="s">
        <v>1617</v>
      </c>
      <c r="B286" s="115" t="s">
        <v>144</v>
      </c>
      <c r="C286" s="134" t="s">
        <v>1618</v>
      </c>
      <c r="E286" s="135" t="s">
        <v>1619</v>
      </c>
      <c r="F286" s="135" t="s">
        <v>145</v>
      </c>
      <c r="G286" s="131" t="s">
        <v>146</v>
      </c>
      <c r="H286" s="132" t="e">
        <f t="shared" si="21"/>
        <v>#VALUE!</v>
      </c>
      <c r="I286" s="151"/>
      <c r="J286" s="151" t="e">
        <f>_xll.GetCtData("COAMOUNT","CONSAMOUNT",$A$1:$A$8,$A286:$B286,,"#")/10^3*$H286</f>
        <v>#VALUE!</v>
      </c>
      <c r="K286" s="136"/>
      <c r="L286" s="136" t="e">
        <f t="shared" si="22"/>
        <v>#VALUE!</v>
      </c>
      <c r="M286" s="128"/>
      <c r="N286" s="136"/>
      <c r="O286" s="128"/>
      <c r="P286" s="136" t="e">
        <f t="shared" si="18"/>
        <v>#VALUE!</v>
      </c>
    </row>
    <row r="287" spans="1:16" ht="12" hidden="1" outlineLevel="1" thickBot="1">
      <c r="A287" s="115" t="s">
        <v>1552</v>
      </c>
      <c r="B287" s="115" t="s">
        <v>144</v>
      </c>
      <c r="C287" s="134" t="s">
        <v>1553</v>
      </c>
      <c r="E287" s="135" t="s">
        <v>1554</v>
      </c>
      <c r="F287" s="135" t="s">
        <v>145</v>
      </c>
      <c r="G287" s="131" t="s">
        <v>146</v>
      </c>
      <c r="H287" s="132" t="e">
        <f t="shared" si="21"/>
        <v>#VALUE!</v>
      </c>
      <c r="I287" s="151"/>
      <c r="J287" s="151" t="e">
        <f>_xll.GetCtData("COAMOUNT","CONSAMOUNT",$A$1:$A$8,$A287:$B287,,"#0")/10^3*$H287</f>
        <v>#VALUE!</v>
      </c>
      <c r="K287" s="136"/>
      <c r="L287" s="136" t="e">
        <f t="shared" si="22"/>
        <v>#VALUE!</v>
      </c>
      <c r="M287" s="128"/>
      <c r="N287" s="136"/>
      <c r="O287" s="128"/>
      <c r="P287" s="136" t="e">
        <f t="shared" si="18"/>
        <v>#VALUE!</v>
      </c>
    </row>
    <row r="288" spans="1:16" ht="12" hidden="1" outlineLevel="1" thickBot="1">
      <c r="A288" s="115" t="s">
        <v>1555</v>
      </c>
      <c r="B288" s="115" t="s">
        <v>144</v>
      </c>
      <c r="C288" s="134" t="s">
        <v>1556</v>
      </c>
      <c r="E288" s="135" t="s">
        <v>1557</v>
      </c>
      <c r="F288" s="135" t="s">
        <v>145</v>
      </c>
      <c r="G288" s="131" t="s">
        <v>146</v>
      </c>
      <c r="H288" s="132" t="e">
        <f t="shared" si="21"/>
        <v>#VALUE!</v>
      </c>
      <c r="I288" s="151"/>
      <c r="J288" s="151" t="e">
        <f>_xll.GetCtData("COAMOUNT","CONSAMOUNT",$A$1:$A$8,$A288:$B288,,"#")/10^3*$H288</f>
        <v>#VALUE!</v>
      </c>
      <c r="K288" s="136"/>
      <c r="L288" s="136" t="e">
        <f t="shared" si="22"/>
        <v>#VALUE!</v>
      </c>
      <c r="M288" s="128"/>
      <c r="N288" s="136"/>
      <c r="O288" s="128"/>
      <c r="P288" s="136" t="e">
        <f t="shared" si="18"/>
        <v>#VALUE!</v>
      </c>
    </row>
    <row r="289" spans="1:16" ht="12" hidden="1" outlineLevel="1" thickBot="1">
      <c r="A289" s="115" t="s">
        <v>1558</v>
      </c>
      <c r="B289" s="115" t="s">
        <v>144</v>
      </c>
      <c r="C289" s="134" t="s">
        <v>1559</v>
      </c>
      <c r="E289" s="135" t="s">
        <v>1560</v>
      </c>
      <c r="F289" s="135" t="s">
        <v>145</v>
      </c>
      <c r="G289" s="131" t="s">
        <v>146</v>
      </c>
      <c r="H289" s="132" t="e">
        <f t="shared" si="21"/>
        <v>#VALUE!</v>
      </c>
      <c r="I289" s="151"/>
      <c r="J289" s="151" t="e">
        <f>_xll.GetCtData("COAMOUNT","CONSAMOUNT",$A$1:$A$8,$A289:$B289,,"#")/10^3*$H289</f>
        <v>#VALUE!</v>
      </c>
      <c r="K289" s="136"/>
      <c r="L289" s="136" t="e">
        <f t="shared" si="22"/>
        <v>#VALUE!</v>
      </c>
      <c r="M289" s="128"/>
      <c r="N289" s="136"/>
      <c r="O289" s="128"/>
      <c r="P289" s="136" t="e">
        <f t="shared" si="18"/>
        <v>#VALUE!</v>
      </c>
    </row>
    <row r="290" spans="1:16" ht="12" hidden="1" outlineLevel="1" thickBot="1">
      <c r="A290" s="115" t="s">
        <v>1561</v>
      </c>
      <c r="B290" s="115" t="s">
        <v>144</v>
      </c>
      <c r="C290" s="134" t="s">
        <v>1562</v>
      </c>
      <c r="E290" s="135" t="s">
        <v>1563</v>
      </c>
      <c r="F290" s="135" t="s">
        <v>145</v>
      </c>
      <c r="G290" s="131" t="s">
        <v>146</v>
      </c>
      <c r="H290" s="132" t="e">
        <f t="shared" si="21"/>
        <v>#VALUE!</v>
      </c>
      <c r="I290" s="151"/>
      <c r="J290" s="151" t="e">
        <f>_xll.GetCtData("COAMOUNT","CONSAMOUNT",$A$1:$A$8,$A290:$B290,,"#")/10^3*$H290</f>
        <v>#VALUE!</v>
      </c>
      <c r="K290" s="136"/>
      <c r="L290" s="136" t="e">
        <f t="shared" si="22"/>
        <v>#VALUE!</v>
      </c>
      <c r="M290" s="128"/>
      <c r="N290" s="136"/>
      <c r="O290" s="128"/>
      <c r="P290" s="136" t="e">
        <f t="shared" ref="P290:P353" si="23">L290+N290</f>
        <v>#VALUE!</v>
      </c>
    </row>
    <row r="291" spans="1:16" ht="12" hidden="1" outlineLevel="1" thickBot="1">
      <c r="A291" s="115" t="s">
        <v>1620</v>
      </c>
      <c r="B291" s="115" t="s">
        <v>144</v>
      </c>
      <c r="C291" s="134" t="s">
        <v>1621</v>
      </c>
      <c r="E291" s="135" t="s">
        <v>1622</v>
      </c>
      <c r="F291" s="135" t="s">
        <v>145</v>
      </c>
      <c r="G291" s="131" t="s">
        <v>146</v>
      </c>
      <c r="H291" s="132" t="e">
        <f t="shared" si="21"/>
        <v>#VALUE!</v>
      </c>
      <c r="I291" s="151"/>
      <c r="J291" s="136"/>
      <c r="K291" s="136">
        <f>_xll.GetCtData("COAMOUNT","CONSAMOUNT",$A$1:$A$8,$A291:$B291,,"#-1")/10^3</f>
        <v>-1E-3</v>
      </c>
      <c r="L291" s="136">
        <f t="shared" si="22"/>
        <v>-9.9999999999999995E-7</v>
      </c>
      <c r="M291" s="128"/>
      <c r="N291" s="136"/>
      <c r="O291" s="128"/>
      <c r="P291" s="136">
        <f t="shared" si="23"/>
        <v>-9.9999999999999995E-7</v>
      </c>
    </row>
    <row r="292" spans="1:16" ht="12" hidden="1" outlineLevel="1" thickBot="1">
      <c r="A292" s="115" t="s">
        <v>1623</v>
      </c>
      <c r="B292" s="115" t="s">
        <v>144</v>
      </c>
      <c r="C292" s="134" t="s">
        <v>1624</v>
      </c>
      <c r="E292" s="135" t="s">
        <v>1625</v>
      </c>
      <c r="F292" s="135" t="s">
        <v>145</v>
      </c>
      <c r="G292" s="131" t="s">
        <v>146</v>
      </c>
      <c r="H292" s="132" t="e">
        <f t="shared" si="21"/>
        <v>#VALUE!</v>
      </c>
      <c r="I292" s="151"/>
      <c r="J292" s="136"/>
      <c r="K292" s="136">
        <f>_xll.GetCtData("COAMOUNT","CONSAMOUNT",$A$1:$A$8,$A292:$B292,,"#0")/10^3</f>
        <v>0</v>
      </c>
      <c r="L292" s="136">
        <f t="shared" si="22"/>
        <v>0</v>
      </c>
      <c r="M292" s="128"/>
      <c r="N292" s="136"/>
      <c r="O292" s="128"/>
      <c r="P292" s="136">
        <f t="shared" si="23"/>
        <v>0</v>
      </c>
    </row>
    <row r="293" spans="1:16" ht="12" hidden="1" outlineLevel="1" thickBot="1">
      <c r="A293" s="115" t="s">
        <v>1564</v>
      </c>
      <c r="B293" s="115" t="s">
        <v>144</v>
      </c>
      <c r="C293" s="134" t="s">
        <v>1565</v>
      </c>
      <c r="E293" s="135" t="s">
        <v>1566</v>
      </c>
      <c r="F293" s="135" t="s">
        <v>145</v>
      </c>
      <c r="G293" s="131" t="s">
        <v>146</v>
      </c>
      <c r="H293" s="132" t="e">
        <f t="shared" si="21"/>
        <v>#VALUE!</v>
      </c>
      <c r="I293" s="151"/>
      <c r="J293" s="136"/>
      <c r="K293" s="136">
        <f>_xll.GetCtData("COAMOUNT","CONSAMOUNT",$A$1:$A$8,$A293:$B293,,"#0")/10^3</f>
        <v>0</v>
      </c>
      <c r="L293" s="136">
        <f t="shared" si="22"/>
        <v>0</v>
      </c>
      <c r="M293" s="128"/>
      <c r="N293" s="136"/>
      <c r="O293" s="128"/>
      <c r="P293" s="136">
        <f t="shared" si="23"/>
        <v>0</v>
      </c>
    </row>
    <row r="294" spans="1:16" ht="12" hidden="1" outlineLevel="1" thickBot="1">
      <c r="A294" s="115" t="s">
        <v>1567</v>
      </c>
      <c r="B294" s="115" t="s">
        <v>144</v>
      </c>
      <c r="C294" s="134" t="s">
        <v>1568</v>
      </c>
      <c r="E294" s="135" t="s">
        <v>1569</v>
      </c>
      <c r="F294" s="135" t="s">
        <v>145</v>
      </c>
      <c r="G294" s="131" t="s">
        <v>146</v>
      </c>
      <c r="H294" s="132" t="e">
        <f t="shared" si="21"/>
        <v>#VALUE!</v>
      </c>
      <c r="I294" s="151"/>
      <c r="J294" s="136"/>
      <c r="K294" s="136">
        <f>_xll.GetCtData("COAMOUNT","CONSAMOUNT",$A$1:$A$8,$A294:$B294,,"#")/10^3</f>
        <v>0</v>
      </c>
      <c r="L294" s="136">
        <f t="shared" si="22"/>
        <v>0</v>
      </c>
      <c r="M294" s="128"/>
      <c r="N294" s="136"/>
      <c r="O294" s="128"/>
      <c r="P294" s="136">
        <f t="shared" si="23"/>
        <v>0</v>
      </c>
    </row>
    <row r="295" spans="1:16" ht="12" hidden="1" outlineLevel="1" thickBot="1">
      <c r="A295" s="115" t="s">
        <v>1572</v>
      </c>
      <c r="B295" s="115" t="s">
        <v>1669</v>
      </c>
      <c r="C295" s="134" t="s">
        <v>1573</v>
      </c>
      <c r="E295" s="135" t="s">
        <v>1574</v>
      </c>
      <c r="F295" s="135" t="s">
        <v>1670</v>
      </c>
      <c r="G295" s="131" t="s">
        <v>1671</v>
      </c>
      <c r="H295" s="132" t="e">
        <f t="shared" si="21"/>
        <v>#VALUE!</v>
      </c>
      <c r="I295" s="151" t="e">
        <f>_xll.GetCtData("COAMOUNT","CONSAMOUNT",$A$1:$A$8,$A295:$B295,,"#")/10^3*$H295</f>
        <v>#VALUE!</v>
      </c>
      <c r="J295" s="151"/>
      <c r="K295" s="136"/>
      <c r="L295" s="136" t="e">
        <f t="shared" si="22"/>
        <v>#VALUE!</v>
      </c>
      <c r="M295" s="128"/>
      <c r="N295" s="136"/>
      <c r="O295" s="128"/>
      <c r="P295" s="136" t="e">
        <f t="shared" si="23"/>
        <v>#VALUE!</v>
      </c>
    </row>
    <row r="296" spans="1:16" ht="12" hidden="1" outlineLevel="1" thickBot="1">
      <c r="A296" s="115" t="s">
        <v>1575</v>
      </c>
      <c r="B296" s="115" t="s">
        <v>1669</v>
      </c>
      <c r="C296" s="134" t="s">
        <v>1576</v>
      </c>
      <c r="E296" s="135" t="s">
        <v>1577</v>
      </c>
      <c r="F296" s="135" t="s">
        <v>1670</v>
      </c>
      <c r="G296" s="131" t="s">
        <v>1671</v>
      </c>
      <c r="H296" s="132" t="e">
        <f t="shared" si="21"/>
        <v>#VALUE!</v>
      </c>
      <c r="I296" s="151" t="e">
        <f>_xll.GetCtData("COAMOUNT","CONSAMOUNT",$A$1:$A$8,$A296:$B296,,"#")/10^3*$H296</f>
        <v>#VALUE!</v>
      </c>
      <c r="J296" s="151"/>
      <c r="K296" s="136"/>
      <c r="L296" s="136" t="e">
        <f t="shared" si="22"/>
        <v>#VALUE!</v>
      </c>
      <c r="M296" s="128"/>
      <c r="N296" s="136"/>
      <c r="O296" s="128"/>
      <c r="P296" s="136" t="e">
        <f t="shared" si="23"/>
        <v>#VALUE!</v>
      </c>
    </row>
    <row r="297" spans="1:16" ht="12" hidden="1" outlineLevel="1" thickBot="1">
      <c r="A297" s="115" t="s">
        <v>1578</v>
      </c>
      <c r="B297" s="115" t="s">
        <v>1669</v>
      </c>
      <c r="C297" s="134" t="s">
        <v>1579</v>
      </c>
      <c r="E297" s="135" t="s">
        <v>1580</v>
      </c>
      <c r="F297" s="135" t="s">
        <v>1670</v>
      </c>
      <c r="G297" s="131" t="s">
        <v>1671</v>
      </c>
      <c r="H297" s="132" t="e">
        <f t="shared" si="21"/>
        <v>#VALUE!</v>
      </c>
      <c r="I297" s="151" t="e">
        <f>_xll.GetCtData("COAMOUNT","CONSAMOUNT",$A$1:$A$8,$A297:$B297,,"#")/10^3*$H297</f>
        <v>#VALUE!</v>
      </c>
      <c r="J297" s="151"/>
      <c r="K297" s="136"/>
      <c r="L297" s="136" t="e">
        <f t="shared" si="22"/>
        <v>#VALUE!</v>
      </c>
      <c r="M297" s="128"/>
      <c r="N297" s="136"/>
      <c r="O297" s="128"/>
      <c r="P297" s="136" t="e">
        <f t="shared" si="23"/>
        <v>#VALUE!</v>
      </c>
    </row>
    <row r="298" spans="1:16" ht="12" hidden="1" outlineLevel="1" thickBot="1">
      <c r="A298" s="115" t="s">
        <v>1581</v>
      </c>
      <c r="B298" s="115" t="s">
        <v>1669</v>
      </c>
      <c r="C298" s="134" t="s">
        <v>1582</v>
      </c>
      <c r="E298" s="135" t="s">
        <v>1583</v>
      </c>
      <c r="F298" s="135" t="s">
        <v>1670</v>
      </c>
      <c r="G298" s="131" t="s">
        <v>1671</v>
      </c>
      <c r="H298" s="132" t="e">
        <f t="shared" si="21"/>
        <v>#VALUE!</v>
      </c>
      <c r="I298" s="151" t="e">
        <f>_xll.GetCtData("COAMOUNT","CONSAMOUNT",$A$1:$A$8,$A298:$B298,,"#")/10^3*$H298</f>
        <v>#VALUE!</v>
      </c>
      <c r="J298" s="151"/>
      <c r="K298" s="136"/>
      <c r="L298" s="136" t="e">
        <f t="shared" si="22"/>
        <v>#VALUE!</v>
      </c>
      <c r="M298" s="128"/>
      <c r="N298" s="136"/>
      <c r="O298" s="128"/>
      <c r="P298" s="136" t="e">
        <f t="shared" si="23"/>
        <v>#VALUE!</v>
      </c>
    </row>
    <row r="299" spans="1:16" ht="12" hidden="1" outlineLevel="1" thickBot="1">
      <c r="A299" s="115" t="s">
        <v>1584</v>
      </c>
      <c r="B299" s="115" t="s">
        <v>1669</v>
      </c>
      <c r="C299" s="134" t="s">
        <v>1585</v>
      </c>
      <c r="E299" s="135" t="s">
        <v>1586</v>
      </c>
      <c r="F299" s="135" t="s">
        <v>1670</v>
      </c>
      <c r="G299" s="131" t="s">
        <v>1671</v>
      </c>
      <c r="H299" s="132" t="e">
        <f t="shared" si="21"/>
        <v>#VALUE!</v>
      </c>
      <c r="I299" s="151" t="e">
        <f>_xll.GetCtData("COAMOUNT","CONSAMOUNT",$A$1:$A$8,$A299:$B299,,"#")/10^3*$H299</f>
        <v>#VALUE!</v>
      </c>
      <c r="J299" s="151"/>
      <c r="K299" s="136"/>
      <c r="L299" s="136" t="e">
        <f t="shared" si="22"/>
        <v>#VALUE!</v>
      </c>
      <c r="M299" s="128"/>
      <c r="N299" s="136"/>
      <c r="O299" s="128"/>
      <c r="P299" s="136" t="e">
        <f t="shared" si="23"/>
        <v>#VALUE!</v>
      </c>
    </row>
    <row r="300" spans="1:16" ht="12" hidden="1" outlineLevel="1" thickBot="1">
      <c r="A300" s="115" t="s">
        <v>1587</v>
      </c>
      <c r="B300" s="115" t="s">
        <v>1669</v>
      </c>
      <c r="C300" s="134" t="s">
        <v>1588</v>
      </c>
      <c r="E300" s="135" t="s">
        <v>1589</v>
      </c>
      <c r="F300" s="135" t="s">
        <v>1670</v>
      </c>
      <c r="G300" s="131" t="s">
        <v>1671</v>
      </c>
      <c r="H300" s="132" t="e">
        <f t="shared" si="21"/>
        <v>#VALUE!</v>
      </c>
      <c r="I300" s="151" t="e">
        <f>_xll.GetCtData("COAMOUNT","CONSAMOUNT",$A$1:$A$8,$A300:$B300,,"#")/10^3*$H300</f>
        <v>#VALUE!</v>
      </c>
      <c r="J300" s="151"/>
      <c r="K300" s="136"/>
      <c r="L300" s="136" t="e">
        <f t="shared" si="22"/>
        <v>#VALUE!</v>
      </c>
      <c r="M300" s="128"/>
      <c r="N300" s="136"/>
      <c r="O300" s="128"/>
      <c r="P300" s="136" t="e">
        <f t="shared" si="23"/>
        <v>#VALUE!</v>
      </c>
    </row>
    <row r="301" spans="1:16" ht="12" hidden="1" outlineLevel="1" thickBot="1">
      <c r="A301" s="115" t="s">
        <v>1590</v>
      </c>
      <c r="B301" s="115" t="s">
        <v>1669</v>
      </c>
      <c r="C301" s="134" t="s">
        <v>1591</v>
      </c>
      <c r="E301" s="135" t="s">
        <v>1592</v>
      </c>
      <c r="F301" s="135" t="s">
        <v>1670</v>
      </c>
      <c r="G301" s="131" t="s">
        <v>1671</v>
      </c>
      <c r="H301" s="132" t="e">
        <f t="shared" si="21"/>
        <v>#VALUE!</v>
      </c>
      <c r="I301" s="151" t="e">
        <f>_xll.GetCtData("COAMOUNT","CONSAMOUNT",$A$1:$A$8,$A301:$B301,,"#")/10^3*$H301</f>
        <v>#VALUE!</v>
      </c>
      <c r="J301" s="151"/>
      <c r="K301" s="136"/>
      <c r="L301" s="136" t="e">
        <f t="shared" si="22"/>
        <v>#VALUE!</v>
      </c>
      <c r="M301" s="128"/>
      <c r="N301" s="136"/>
      <c r="O301" s="128"/>
      <c r="P301" s="136" t="e">
        <f t="shared" si="23"/>
        <v>#VALUE!</v>
      </c>
    </row>
    <row r="302" spans="1:16" ht="12" hidden="1" outlineLevel="1" thickBot="1">
      <c r="A302" s="115" t="s">
        <v>1593</v>
      </c>
      <c r="B302" s="115" t="s">
        <v>1669</v>
      </c>
      <c r="C302" s="134" t="s">
        <v>1594</v>
      </c>
      <c r="E302" s="135" t="s">
        <v>1595</v>
      </c>
      <c r="F302" s="135" t="s">
        <v>1670</v>
      </c>
      <c r="G302" s="131" t="s">
        <v>1671</v>
      </c>
      <c r="H302" s="132" t="e">
        <f t="shared" si="21"/>
        <v>#VALUE!</v>
      </c>
      <c r="I302" s="151" t="e">
        <f>_xll.GetCtData("COAMOUNT","CONSAMOUNT",$A$1:$A$8,$A302:$B302,,"#")/10^3*$H302</f>
        <v>#VALUE!</v>
      </c>
      <c r="J302" s="151"/>
      <c r="K302" s="136"/>
      <c r="L302" s="136" t="e">
        <f t="shared" si="22"/>
        <v>#VALUE!</v>
      </c>
      <c r="M302" s="128"/>
      <c r="N302" s="136"/>
      <c r="O302" s="128"/>
      <c r="P302" s="136" t="e">
        <f t="shared" si="23"/>
        <v>#VALUE!</v>
      </c>
    </row>
    <row r="303" spans="1:16" ht="12" hidden="1" outlineLevel="1" thickBot="1">
      <c r="A303" s="115" t="s">
        <v>1596</v>
      </c>
      <c r="B303" s="115" t="s">
        <v>1669</v>
      </c>
      <c r="C303" s="134" t="s">
        <v>1597</v>
      </c>
      <c r="E303" s="135" t="s">
        <v>1598</v>
      </c>
      <c r="F303" s="135" t="s">
        <v>1670</v>
      </c>
      <c r="G303" s="131" t="s">
        <v>1671</v>
      </c>
      <c r="H303" s="132" t="e">
        <f t="shared" si="21"/>
        <v>#VALUE!</v>
      </c>
      <c r="I303" s="151" t="e">
        <f>_xll.GetCtData("COAMOUNT","CONSAMOUNT",$A$1:$A$8,$A303:$B303,,"#")/10^3*$H303</f>
        <v>#VALUE!</v>
      </c>
      <c r="J303" s="151"/>
      <c r="K303" s="136"/>
      <c r="L303" s="136" t="e">
        <f t="shared" si="22"/>
        <v>#VALUE!</v>
      </c>
      <c r="M303" s="128"/>
      <c r="N303" s="136"/>
      <c r="O303" s="128"/>
      <c r="P303" s="136" t="e">
        <f t="shared" si="23"/>
        <v>#VALUE!</v>
      </c>
    </row>
    <row r="304" spans="1:16" ht="12" hidden="1" outlineLevel="1" thickBot="1">
      <c r="A304" s="115" t="s">
        <v>1599</v>
      </c>
      <c r="B304" s="115" t="s">
        <v>1669</v>
      </c>
      <c r="C304" s="134" t="s">
        <v>1600</v>
      </c>
      <c r="E304" s="135" t="s">
        <v>1601</v>
      </c>
      <c r="F304" s="135" t="s">
        <v>1670</v>
      </c>
      <c r="G304" s="131" t="s">
        <v>1671</v>
      </c>
      <c r="H304" s="132" t="e">
        <f t="shared" si="21"/>
        <v>#VALUE!</v>
      </c>
      <c r="I304" s="151" t="e">
        <f>_xll.GetCtData("COAMOUNT","CONSAMOUNT",$A$1:$A$8,$A304:$B304,,"#")/10^3*$H304</f>
        <v>#VALUE!</v>
      </c>
      <c r="J304" s="151"/>
      <c r="K304" s="136"/>
      <c r="L304" s="136" t="e">
        <f t="shared" si="22"/>
        <v>#VALUE!</v>
      </c>
      <c r="M304" s="128"/>
      <c r="N304" s="136"/>
      <c r="O304" s="128"/>
      <c r="P304" s="136" t="e">
        <f t="shared" si="23"/>
        <v>#VALUE!</v>
      </c>
    </row>
    <row r="305" spans="1:16" ht="12" hidden="1" outlineLevel="1" thickBot="1">
      <c r="A305" s="115" t="s">
        <v>1602</v>
      </c>
      <c r="B305" s="115" t="s">
        <v>1669</v>
      </c>
      <c r="C305" s="134" t="s">
        <v>1603</v>
      </c>
      <c r="E305" s="135" t="s">
        <v>1604</v>
      </c>
      <c r="F305" s="135" t="s">
        <v>1670</v>
      </c>
      <c r="G305" s="131" t="s">
        <v>1671</v>
      </c>
      <c r="H305" s="132" t="e">
        <f t="shared" si="21"/>
        <v>#VALUE!</v>
      </c>
      <c r="I305" s="151" t="e">
        <f>_xll.GetCtData("COAMOUNT","CONSAMOUNT",$A$1:$A$8,$A305:$B305,,"#")/10^3*$H305</f>
        <v>#VALUE!</v>
      </c>
      <c r="J305" s="151"/>
      <c r="K305" s="136"/>
      <c r="L305" s="136" t="e">
        <f t="shared" si="22"/>
        <v>#VALUE!</v>
      </c>
      <c r="M305" s="128"/>
      <c r="N305" s="136"/>
      <c r="O305" s="128"/>
      <c r="P305" s="136" t="e">
        <f t="shared" si="23"/>
        <v>#VALUE!</v>
      </c>
    </row>
    <row r="306" spans="1:16" ht="12" hidden="1" outlineLevel="1" thickBot="1">
      <c r="A306" s="115" t="s">
        <v>1605</v>
      </c>
      <c r="B306" s="115" t="s">
        <v>1669</v>
      </c>
      <c r="C306" s="134" t="s">
        <v>1606</v>
      </c>
      <c r="E306" s="135" t="s">
        <v>1607</v>
      </c>
      <c r="F306" s="135" t="s">
        <v>1670</v>
      </c>
      <c r="G306" s="131" t="s">
        <v>1671</v>
      </c>
      <c r="H306" s="132" t="e">
        <f t="shared" si="21"/>
        <v>#VALUE!</v>
      </c>
      <c r="I306" s="151" t="e">
        <f>_xll.GetCtData("COAMOUNT","CONSAMOUNT",$A$1:$A$8,$A306:$B306,,"#")/10^3*$H306</f>
        <v>#VALUE!</v>
      </c>
      <c r="J306" s="151"/>
      <c r="K306" s="136"/>
      <c r="L306" s="136" t="e">
        <f t="shared" si="22"/>
        <v>#VALUE!</v>
      </c>
      <c r="M306" s="128"/>
      <c r="N306" s="136"/>
      <c r="O306" s="128"/>
      <c r="P306" s="136" t="e">
        <f t="shared" si="23"/>
        <v>#VALUE!</v>
      </c>
    </row>
    <row r="307" spans="1:16" ht="12" hidden="1" outlineLevel="1" thickBot="1">
      <c r="A307" s="115" t="s">
        <v>1516</v>
      </c>
      <c r="B307" s="115" t="s">
        <v>1669</v>
      </c>
      <c r="C307" s="134" t="s">
        <v>1517</v>
      </c>
      <c r="E307" s="135" t="s">
        <v>1518</v>
      </c>
      <c r="F307" s="135" t="s">
        <v>1670</v>
      </c>
      <c r="G307" s="131" t="s">
        <v>1671</v>
      </c>
      <c r="H307" s="132" t="e">
        <f t="shared" si="21"/>
        <v>#VALUE!</v>
      </c>
      <c r="I307" s="151" t="e">
        <f>_xll.GetCtData("COAMOUNT","CONSAMOUNT",$A$1:$A$8,$A307:$B307,,"#")/10^3*$H307</f>
        <v>#VALUE!</v>
      </c>
      <c r="J307" s="151"/>
      <c r="K307" s="136"/>
      <c r="L307" s="136" t="e">
        <f t="shared" si="22"/>
        <v>#VALUE!</v>
      </c>
      <c r="M307" s="128"/>
      <c r="N307" s="136"/>
      <c r="O307" s="128"/>
      <c r="P307" s="136" t="e">
        <f t="shared" si="23"/>
        <v>#VALUE!</v>
      </c>
    </row>
    <row r="308" spans="1:16" ht="12" hidden="1" outlineLevel="1" thickBot="1">
      <c r="A308" s="115" t="s">
        <v>1519</v>
      </c>
      <c r="B308" s="115" t="s">
        <v>1669</v>
      </c>
      <c r="C308" s="134" t="s">
        <v>1520</v>
      </c>
      <c r="E308" s="135" t="s">
        <v>1521</v>
      </c>
      <c r="F308" s="135" t="s">
        <v>1670</v>
      </c>
      <c r="G308" s="131" t="s">
        <v>1671</v>
      </c>
      <c r="H308" s="132" t="e">
        <f t="shared" si="21"/>
        <v>#VALUE!</v>
      </c>
      <c r="I308" s="151" t="e">
        <f>_xll.GetCtData("COAMOUNT","CONSAMOUNT",$A$1:$A$8,$A308:$B308,,"#")/10^3*$H308</f>
        <v>#VALUE!</v>
      </c>
      <c r="J308" s="151"/>
      <c r="K308" s="136"/>
      <c r="L308" s="136" t="e">
        <f t="shared" si="22"/>
        <v>#VALUE!</v>
      </c>
      <c r="M308" s="128"/>
      <c r="N308" s="136"/>
      <c r="O308" s="128"/>
      <c r="P308" s="136" t="e">
        <f t="shared" si="23"/>
        <v>#VALUE!</v>
      </c>
    </row>
    <row r="309" spans="1:16" ht="12" hidden="1" outlineLevel="1" thickBot="1">
      <c r="A309" s="115" t="s">
        <v>1522</v>
      </c>
      <c r="B309" s="115" t="s">
        <v>1669</v>
      </c>
      <c r="C309" s="134" t="s">
        <v>1523</v>
      </c>
      <c r="E309" s="135" t="s">
        <v>1524</v>
      </c>
      <c r="F309" s="135" t="s">
        <v>1670</v>
      </c>
      <c r="G309" s="131" t="s">
        <v>1671</v>
      </c>
      <c r="H309" s="132" t="e">
        <f t="shared" si="21"/>
        <v>#VALUE!</v>
      </c>
      <c r="I309" s="151" t="e">
        <f>_xll.GetCtData("COAMOUNT","CONSAMOUNT",$A$1:$A$8,$A309:$B309,,"#")/10^3*$H309</f>
        <v>#VALUE!</v>
      </c>
      <c r="J309" s="151"/>
      <c r="K309" s="136"/>
      <c r="L309" s="136" t="e">
        <f t="shared" si="22"/>
        <v>#VALUE!</v>
      </c>
      <c r="M309" s="128"/>
      <c r="N309" s="136"/>
      <c r="O309" s="128"/>
      <c r="P309" s="136" t="e">
        <f t="shared" si="23"/>
        <v>#VALUE!</v>
      </c>
    </row>
    <row r="310" spans="1:16" ht="12" hidden="1" outlineLevel="1" thickBot="1">
      <c r="A310" s="115" t="s">
        <v>1525</v>
      </c>
      <c r="B310" s="115" t="s">
        <v>1669</v>
      </c>
      <c r="C310" s="134" t="s">
        <v>1526</v>
      </c>
      <c r="E310" s="135" t="s">
        <v>1527</v>
      </c>
      <c r="F310" s="135" t="s">
        <v>1670</v>
      </c>
      <c r="G310" s="131" t="s">
        <v>1671</v>
      </c>
      <c r="H310" s="132" t="e">
        <f t="shared" si="21"/>
        <v>#VALUE!</v>
      </c>
      <c r="I310" s="151" t="e">
        <f>_xll.GetCtData("COAMOUNT","CONSAMOUNT",$A$1:$A$8,$A310:$B310,,"#")/10^3*$H310</f>
        <v>#VALUE!</v>
      </c>
      <c r="J310" s="151"/>
      <c r="K310" s="136"/>
      <c r="L310" s="136" t="e">
        <f t="shared" si="22"/>
        <v>#VALUE!</v>
      </c>
      <c r="M310" s="128"/>
      <c r="N310" s="136"/>
      <c r="O310" s="128"/>
      <c r="P310" s="136" t="e">
        <f t="shared" si="23"/>
        <v>#VALUE!</v>
      </c>
    </row>
    <row r="311" spans="1:16" ht="12" hidden="1" outlineLevel="1" thickBot="1">
      <c r="A311" s="115" t="s">
        <v>1528</v>
      </c>
      <c r="B311" s="115" t="s">
        <v>1669</v>
      </c>
      <c r="C311" s="134" t="s">
        <v>1529</v>
      </c>
      <c r="E311" s="135" t="s">
        <v>1530</v>
      </c>
      <c r="F311" s="135" t="s">
        <v>1670</v>
      </c>
      <c r="G311" s="131" t="s">
        <v>1671</v>
      </c>
      <c r="H311" s="132" t="e">
        <f t="shared" si="21"/>
        <v>#VALUE!</v>
      </c>
      <c r="I311" s="151" t="e">
        <f>_xll.GetCtData("COAMOUNT","CONSAMOUNT",$A$1:$A$8,$A311:$B311,,"#")/10^3*$H311</f>
        <v>#VALUE!</v>
      </c>
      <c r="J311" s="151"/>
      <c r="K311" s="136"/>
      <c r="L311" s="136" t="e">
        <f t="shared" si="22"/>
        <v>#VALUE!</v>
      </c>
      <c r="M311" s="128"/>
      <c r="N311" s="136"/>
      <c r="O311" s="128"/>
      <c r="P311" s="136" t="e">
        <f t="shared" si="23"/>
        <v>#VALUE!</v>
      </c>
    </row>
    <row r="312" spans="1:16" ht="12" hidden="1" outlineLevel="1" thickBot="1">
      <c r="A312" s="115" t="s">
        <v>1531</v>
      </c>
      <c r="B312" s="115" t="s">
        <v>1669</v>
      </c>
      <c r="C312" s="134" t="s">
        <v>1532</v>
      </c>
      <c r="E312" s="135" t="s">
        <v>1533</v>
      </c>
      <c r="F312" s="135" t="s">
        <v>1670</v>
      </c>
      <c r="G312" s="131" t="s">
        <v>1671</v>
      </c>
      <c r="H312" s="132" t="e">
        <f t="shared" si="21"/>
        <v>#VALUE!</v>
      </c>
      <c r="I312" s="151" t="e">
        <f>_xll.GetCtData("COAMOUNT","CONSAMOUNT",$A$1:$A$8,$A312:$B312,,"#")/10^3*$H312</f>
        <v>#VALUE!</v>
      </c>
      <c r="J312" s="151"/>
      <c r="K312" s="136"/>
      <c r="L312" s="136" t="e">
        <f t="shared" si="22"/>
        <v>#VALUE!</v>
      </c>
      <c r="M312" s="128"/>
      <c r="N312" s="136"/>
      <c r="O312" s="128"/>
      <c r="P312" s="136" t="e">
        <f t="shared" si="23"/>
        <v>#VALUE!</v>
      </c>
    </row>
    <row r="313" spans="1:16" ht="12" hidden="1" outlineLevel="1" thickBot="1">
      <c r="A313" s="115" t="s">
        <v>1534</v>
      </c>
      <c r="B313" s="115" t="s">
        <v>1669</v>
      </c>
      <c r="C313" s="134" t="s">
        <v>1535</v>
      </c>
      <c r="E313" s="135" t="s">
        <v>1536</v>
      </c>
      <c r="F313" s="135" t="s">
        <v>1670</v>
      </c>
      <c r="G313" s="131" t="s">
        <v>1671</v>
      </c>
      <c r="H313" s="132" t="e">
        <f t="shared" si="21"/>
        <v>#VALUE!</v>
      </c>
      <c r="I313" s="151" t="e">
        <f>_xll.GetCtData("COAMOUNT","CONSAMOUNT",$A$1:$A$8,$A313:$B313,,"#")/10^3*$H313</f>
        <v>#VALUE!</v>
      </c>
      <c r="J313" s="151"/>
      <c r="K313" s="136"/>
      <c r="L313" s="136" t="e">
        <f t="shared" si="22"/>
        <v>#VALUE!</v>
      </c>
      <c r="M313" s="128"/>
      <c r="N313" s="136"/>
      <c r="O313" s="128"/>
      <c r="P313" s="136" t="e">
        <f t="shared" si="23"/>
        <v>#VALUE!</v>
      </c>
    </row>
    <row r="314" spans="1:16" ht="12" hidden="1" outlineLevel="1" thickBot="1">
      <c r="A314" s="115" t="s">
        <v>1537</v>
      </c>
      <c r="B314" s="115" t="s">
        <v>1669</v>
      </c>
      <c r="C314" s="134" t="s">
        <v>1538</v>
      </c>
      <c r="E314" s="135" t="s">
        <v>1539</v>
      </c>
      <c r="F314" s="135" t="s">
        <v>1670</v>
      </c>
      <c r="G314" s="131" t="s">
        <v>1671</v>
      </c>
      <c r="H314" s="132" t="e">
        <f t="shared" si="21"/>
        <v>#VALUE!</v>
      </c>
      <c r="I314" s="151" t="e">
        <f>_xll.GetCtData("COAMOUNT","CONSAMOUNT",$A$1:$A$8,$A314:$B314,,"#")/10^3*$H314</f>
        <v>#VALUE!</v>
      </c>
      <c r="J314" s="151"/>
      <c r="K314" s="136"/>
      <c r="L314" s="136" t="e">
        <f t="shared" si="22"/>
        <v>#VALUE!</v>
      </c>
      <c r="M314" s="128"/>
      <c r="N314" s="136"/>
      <c r="O314" s="128"/>
      <c r="P314" s="136" t="e">
        <f t="shared" si="23"/>
        <v>#VALUE!</v>
      </c>
    </row>
    <row r="315" spans="1:16" ht="12" hidden="1" outlineLevel="1" thickBot="1">
      <c r="A315" s="115" t="s">
        <v>1540</v>
      </c>
      <c r="B315" s="115" t="s">
        <v>1669</v>
      </c>
      <c r="C315" s="134" t="s">
        <v>1541</v>
      </c>
      <c r="E315" s="135" t="s">
        <v>1542</v>
      </c>
      <c r="F315" s="135" t="s">
        <v>1670</v>
      </c>
      <c r="G315" s="131" t="s">
        <v>1671</v>
      </c>
      <c r="H315" s="132" t="e">
        <f t="shared" si="21"/>
        <v>#VALUE!</v>
      </c>
      <c r="I315" s="151" t="e">
        <f>_xll.GetCtData("COAMOUNT","CONSAMOUNT",$A$1:$A$8,$A315:$B315,,"#")/10^3*$H315</f>
        <v>#VALUE!</v>
      </c>
      <c r="J315" s="151"/>
      <c r="K315" s="136"/>
      <c r="L315" s="136" t="e">
        <f t="shared" si="22"/>
        <v>#VALUE!</v>
      </c>
      <c r="M315" s="128"/>
      <c r="N315" s="136"/>
      <c r="O315" s="128"/>
      <c r="P315" s="136" t="e">
        <f t="shared" si="23"/>
        <v>#VALUE!</v>
      </c>
    </row>
    <row r="316" spans="1:16" ht="12" hidden="1" outlineLevel="1" thickBot="1">
      <c r="A316" s="115" t="s">
        <v>1543</v>
      </c>
      <c r="B316" s="115" t="s">
        <v>1669</v>
      </c>
      <c r="C316" s="134" t="s">
        <v>1544</v>
      </c>
      <c r="E316" s="135" t="s">
        <v>1545</v>
      </c>
      <c r="F316" s="135" t="s">
        <v>1670</v>
      </c>
      <c r="G316" s="131" t="s">
        <v>1671</v>
      </c>
      <c r="H316" s="132" t="e">
        <f t="shared" si="21"/>
        <v>#VALUE!</v>
      </c>
      <c r="I316" s="151" t="e">
        <f>_xll.GetCtData("COAMOUNT","CONSAMOUNT",$A$1:$A$8,$A316:$B316,,"#")/10^3*$H316</f>
        <v>#VALUE!</v>
      </c>
      <c r="J316" s="151"/>
      <c r="K316" s="136"/>
      <c r="L316" s="136" t="e">
        <f t="shared" si="22"/>
        <v>#VALUE!</v>
      </c>
      <c r="M316" s="128"/>
      <c r="N316" s="136"/>
      <c r="O316" s="128"/>
      <c r="P316" s="136" t="e">
        <f t="shared" si="23"/>
        <v>#VALUE!</v>
      </c>
    </row>
    <row r="317" spans="1:16" ht="12" hidden="1" outlineLevel="1" thickBot="1">
      <c r="A317" s="115" t="s">
        <v>1546</v>
      </c>
      <c r="B317" s="115" t="s">
        <v>1669</v>
      </c>
      <c r="C317" s="134" t="s">
        <v>1547</v>
      </c>
      <c r="E317" s="135" t="s">
        <v>1548</v>
      </c>
      <c r="F317" s="135" t="s">
        <v>1670</v>
      </c>
      <c r="G317" s="131" t="s">
        <v>1671</v>
      </c>
      <c r="H317" s="132" t="e">
        <f t="shared" si="21"/>
        <v>#VALUE!</v>
      </c>
      <c r="I317" s="151" t="e">
        <f>_xll.GetCtData("COAMOUNT","CONSAMOUNT",$A$1:$A$8,$A317:$B317,,"#")/10^3*$H317</f>
        <v>#VALUE!</v>
      </c>
      <c r="J317" s="151"/>
      <c r="K317" s="136"/>
      <c r="L317" s="136" t="e">
        <f t="shared" si="22"/>
        <v>#VALUE!</v>
      </c>
      <c r="M317" s="128"/>
      <c r="N317" s="136"/>
      <c r="O317" s="128"/>
      <c r="P317" s="136" t="e">
        <f t="shared" si="23"/>
        <v>#VALUE!</v>
      </c>
    </row>
    <row r="318" spans="1:16" ht="12" hidden="1" outlineLevel="1" thickBot="1">
      <c r="A318" s="115" t="s">
        <v>1549</v>
      </c>
      <c r="B318" s="115" t="s">
        <v>1669</v>
      </c>
      <c r="C318" s="134" t="s">
        <v>1550</v>
      </c>
      <c r="E318" s="135" t="s">
        <v>1551</v>
      </c>
      <c r="F318" s="135" t="s">
        <v>1670</v>
      </c>
      <c r="G318" s="131" t="s">
        <v>1671</v>
      </c>
      <c r="H318" s="132" t="e">
        <f t="shared" si="21"/>
        <v>#VALUE!</v>
      </c>
      <c r="I318" s="151"/>
      <c r="J318" s="151" t="e">
        <f>_xll.GetCtData("COAMOUNT","CONSAMOUNT",$A$1:$A$8,$A318:$B318,,"#")/10^3*$H318</f>
        <v>#VALUE!</v>
      </c>
      <c r="K318" s="136"/>
      <c r="L318" s="136" t="e">
        <f t="shared" si="22"/>
        <v>#VALUE!</v>
      </c>
      <c r="M318" s="128"/>
      <c r="N318" s="136"/>
      <c r="O318" s="128"/>
      <c r="P318" s="136" t="e">
        <f t="shared" si="23"/>
        <v>#VALUE!</v>
      </c>
    </row>
    <row r="319" spans="1:16" ht="12" hidden="1" outlineLevel="1" thickBot="1">
      <c r="A319" s="115" t="s">
        <v>1608</v>
      </c>
      <c r="B319" s="115" t="s">
        <v>1669</v>
      </c>
      <c r="C319" s="134" t="s">
        <v>1609</v>
      </c>
      <c r="E319" s="135" t="s">
        <v>1610</v>
      </c>
      <c r="F319" s="135" t="s">
        <v>1670</v>
      </c>
      <c r="G319" s="131" t="s">
        <v>1671</v>
      </c>
      <c r="H319" s="132" t="e">
        <f t="shared" si="21"/>
        <v>#VALUE!</v>
      </c>
      <c r="I319" s="151"/>
      <c r="J319" s="151" t="e">
        <f>_xll.GetCtData("COAMOUNT","CONSAMOUNT",$A$1:$A$8,$A319:$B319,,"#")/10^3*$H319</f>
        <v>#VALUE!</v>
      </c>
      <c r="K319" s="136"/>
      <c r="L319" s="136" t="e">
        <f t="shared" si="22"/>
        <v>#VALUE!</v>
      </c>
      <c r="M319" s="128"/>
      <c r="N319" s="136"/>
      <c r="O319" s="128"/>
      <c r="P319" s="136" t="e">
        <f t="shared" si="23"/>
        <v>#VALUE!</v>
      </c>
    </row>
    <row r="320" spans="1:16" ht="12" hidden="1" outlineLevel="1" thickBot="1">
      <c r="A320" s="115" t="s">
        <v>1611</v>
      </c>
      <c r="B320" s="115" t="s">
        <v>1669</v>
      </c>
      <c r="C320" s="134" t="s">
        <v>1612</v>
      </c>
      <c r="E320" s="135" t="s">
        <v>1613</v>
      </c>
      <c r="F320" s="135" t="s">
        <v>1670</v>
      </c>
      <c r="G320" s="131" t="s">
        <v>1671</v>
      </c>
      <c r="H320" s="132" t="e">
        <f t="shared" si="21"/>
        <v>#VALUE!</v>
      </c>
      <c r="I320" s="151"/>
      <c r="J320" s="151" t="e">
        <f>_xll.GetCtData("COAMOUNT","CONSAMOUNT",$A$1:$A$8,$A320:$B320,,"#")/10^3*$H320</f>
        <v>#VALUE!</v>
      </c>
      <c r="K320" s="136"/>
      <c r="L320" s="136" t="e">
        <f t="shared" si="22"/>
        <v>#VALUE!</v>
      </c>
      <c r="M320" s="128"/>
      <c r="N320" s="136"/>
      <c r="O320" s="128"/>
      <c r="P320" s="136" t="e">
        <f t="shared" si="23"/>
        <v>#VALUE!</v>
      </c>
    </row>
    <row r="321" spans="1:16" ht="12" hidden="1" outlineLevel="1" thickBot="1">
      <c r="A321" s="115" t="s">
        <v>1614</v>
      </c>
      <c r="B321" s="115" t="s">
        <v>1669</v>
      </c>
      <c r="C321" s="134" t="s">
        <v>1615</v>
      </c>
      <c r="E321" s="135" t="s">
        <v>1616</v>
      </c>
      <c r="F321" s="135" t="s">
        <v>1670</v>
      </c>
      <c r="G321" s="131" t="s">
        <v>1671</v>
      </c>
      <c r="H321" s="132" t="e">
        <f t="shared" si="21"/>
        <v>#VALUE!</v>
      </c>
      <c r="I321" s="151"/>
      <c r="J321" s="151" t="e">
        <f>_xll.GetCtData("COAMOUNT","CONSAMOUNT",$A$1:$A$8,$A321:$B321,,"#")/10^3*$H321</f>
        <v>#VALUE!</v>
      </c>
      <c r="K321" s="136"/>
      <c r="L321" s="136" t="e">
        <f t="shared" si="22"/>
        <v>#VALUE!</v>
      </c>
      <c r="M321" s="128"/>
      <c r="N321" s="136"/>
      <c r="O321" s="128"/>
      <c r="P321" s="136" t="e">
        <f t="shared" si="23"/>
        <v>#VALUE!</v>
      </c>
    </row>
    <row r="322" spans="1:16" ht="12" hidden="1" outlineLevel="1" thickBot="1">
      <c r="A322" s="115" t="s">
        <v>1617</v>
      </c>
      <c r="B322" s="115" t="s">
        <v>1669</v>
      </c>
      <c r="C322" s="134" t="s">
        <v>1618</v>
      </c>
      <c r="E322" s="135" t="s">
        <v>1619</v>
      </c>
      <c r="F322" s="135" t="s">
        <v>1670</v>
      </c>
      <c r="G322" s="131" t="s">
        <v>1671</v>
      </c>
      <c r="H322" s="132" t="e">
        <f t="shared" si="21"/>
        <v>#VALUE!</v>
      </c>
      <c r="I322" s="151"/>
      <c r="J322" s="151" t="e">
        <f>_xll.GetCtData("COAMOUNT","CONSAMOUNT",$A$1:$A$8,$A322:$B322,,"#")/10^3*$H322</f>
        <v>#VALUE!</v>
      </c>
      <c r="K322" s="136"/>
      <c r="L322" s="136" t="e">
        <f t="shared" si="22"/>
        <v>#VALUE!</v>
      </c>
      <c r="M322" s="128"/>
      <c r="N322" s="136"/>
      <c r="O322" s="128"/>
      <c r="P322" s="136" t="e">
        <f t="shared" si="23"/>
        <v>#VALUE!</v>
      </c>
    </row>
    <row r="323" spans="1:16" ht="12" hidden="1" outlineLevel="1" thickBot="1">
      <c r="A323" s="115" t="s">
        <v>1552</v>
      </c>
      <c r="B323" s="115" t="s">
        <v>1669</v>
      </c>
      <c r="C323" s="134" t="s">
        <v>1553</v>
      </c>
      <c r="E323" s="135" t="s">
        <v>1554</v>
      </c>
      <c r="F323" s="135" t="s">
        <v>1670</v>
      </c>
      <c r="G323" s="131" t="s">
        <v>1671</v>
      </c>
      <c r="H323" s="132" t="e">
        <f t="shared" ref="H323:H366" si="24">IF(LEFT(E323,6)/10^3="actifs",-1,1)/10^3</f>
        <v>#VALUE!</v>
      </c>
      <c r="I323" s="151"/>
      <c r="J323" s="151" t="e">
        <f>_xll.GetCtData("COAMOUNT","CONSAMOUNT",$A$1:$A$8,$A323:$B323,,"#")/10^3*$H323</f>
        <v>#VALUE!</v>
      </c>
      <c r="K323" s="136"/>
      <c r="L323" s="136" t="e">
        <f t="shared" ref="L323:L366" si="25">SUM(I323:K323)/10^3</f>
        <v>#VALUE!</v>
      </c>
      <c r="M323" s="128"/>
      <c r="N323" s="136"/>
      <c r="O323" s="128"/>
      <c r="P323" s="136" t="e">
        <f t="shared" si="23"/>
        <v>#VALUE!</v>
      </c>
    </row>
    <row r="324" spans="1:16" ht="12" hidden="1" outlineLevel="1" thickBot="1">
      <c r="A324" s="115" t="s">
        <v>1555</v>
      </c>
      <c r="B324" s="115" t="s">
        <v>1669</v>
      </c>
      <c r="C324" s="134" t="s">
        <v>1556</v>
      </c>
      <c r="E324" s="135" t="s">
        <v>1557</v>
      </c>
      <c r="F324" s="135" t="s">
        <v>1670</v>
      </c>
      <c r="G324" s="131" t="s">
        <v>1671</v>
      </c>
      <c r="H324" s="132" t="e">
        <f t="shared" si="24"/>
        <v>#VALUE!</v>
      </c>
      <c r="I324" s="151"/>
      <c r="J324" s="151" t="e">
        <f>_xll.GetCtData("COAMOUNT","CONSAMOUNT",$A$1:$A$8,$A324:$B324,,"#")/10^3*$H324</f>
        <v>#VALUE!</v>
      </c>
      <c r="K324" s="136"/>
      <c r="L324" s="136" t="e">
        <f t="shared" si="25"/>
        <v>#VALUE!</v>
      </c>
      <c r="M324" s="128"/>
      <c r="N324" s="136"/>
      <c r="O324" s="128"/>
      <c r="P324" s="136" t="e">
        <f t="shared" si="23"/>
        <v>#VALUE!</v>
      </c>
    </row>
    <row r="325" spans="1:16" ht="12" hidden="1" outlineLevel="1" thickBot="1">
      <c r="A325" s="115" t="s">
        <v>1558</v>
      </c>
      <c r="B325" s="115" t="s">
        <v>1669</v>
      </c>
      <c r="C325" s="134" t="s">
        <v>1559</v>
      </c>
      <c r="E325" s="135" t="s">
        <v>1560</v>
      </c>
      <c r="F325" s="135" t="s">
        <v>1670</v>
      </c>
      <c r="G325" s="131" t="s">
        <v>1671</v>
      </c>
      <c r="H325" s="132" t="e">
        <f t="shared" si="24"/>
        <v>#VALUE!</v>
      </c>
      <c r="I325" s="151"/>
      <c r="J325" s="151" t="e">
        <f>_xll.GetCtData("COAMOUNT","CONSAMOUNT",$A$1:$A$8,$A325:$B325,,"#")/10^3*$H325</f>
        <v>#VALUE!</v>
      </c>
      <c r="K325" s="136"/>
      <c r="L325" s="136" t="e">
        <f t="shared" si="25"/>
        <v>#VALUE!</v>
      </c>
      <c r="M325" s="128"/>
      <c r="N325" s="136"/>
      <c r="O325" s="128"/>
      <c r="P325" s="136" t="e">
        <f t="shared" si="23"/>
        <v>#VALUE!</v>
      </c>
    </row>
    <row r="326" spans="1:16" ht="12" hidden="1" outlineLevel="1" thickBot="1">
      <c r="A326" s="115" t="s">
        <v>1561</v>
      </c>
      <c r="B326" s="115" t="s">
        <v>1669</v>
      </c>
      <c r="C326" s="134" t="s">
        <v>1562</v>
      </c>
      <c r="E326" s="135" t="s">
        <v>1563</v>
      </c>
      <c r="F326" s="135" t="s">
        <v>1670</v>
      </c>
      <c r="G326" s="131" t="s">
        <v>1671</v>
      </c>
      <c r="H326" s="132" t="e">
        <f t="shared" si="24"/>
        <v>#VALUE!</v>
      </c>
      <c r="I326" s="151"/>
      <c r="J326" s="151" t="e">
        <f>_xll.GetCtData("COAMOUNT","CONSAMOUNT",$A$1:$A$8,$A326:$B326,,"#")/10^3*$H326</f>
        <v>#VALUE!</v>
      </c>
      <c r="K326" s="136"/>
      <c r="L326" s="136" t="e">
        <f t="shared" si="25"/>
        <v>#VALUE!</v>
      </c>
      <c r="M326" s="128"/>
      <c r="N326" s="136"/>
      <c r="O326" s="128"/>
      <c r="P326" s="136" t="e">
        <f t="shared" si="23"/>
        <v>#VALUE!</v>
      </c>
    </row>
    <row r="327" spans="1:16" ht="12" hidden="1" outlineLevel="1" thickBot="1">
      <c r="A327" s="115" t="s">
        <v>1620</v>
      </c>
      <c r="B327" s="115" t="s">
        <v>1669</v>
      </c>
      <c r="C327" s="134" t="s">
        <v>1621</v>
      </c>
      <c r="E327" s="135" t="s">
        <v>1622</v>
      </c>
      <c r="F327" s="135" t="s">
        <v>1670</v>
      </c>
      <c r="G327" s="131" t="s">
        <v>1671</v>
      </c>
      <c r="H327" s="132" t="e">
        <f t="shared" si="24"/>
        <v>#VALUE!</v>
      </c>
      <c r="I327" s="151"/>
      <c r="J327" s="136"/>
      <c r="K327" s="136">
        <f>_xll.GetCtData("COAMOUNT","CONSAMOUNT",$A$1:$A$8,$A327:$B327,,"#")/10^3</f>
        <v>0</v>
      </c>
      <c r="L327" s="136">
        <f t="shared" si="25"/>
        <v>0</v>
      </c>
      <c r="M327" s="128"/>
      <c r="N327" s="136"/>
      <c r="O327" s="128"/>
      <c r="P327" s="136">
        <f t="shared" si="23"/>
        <v>0</v>
      </c>
    </row>
    <row r="328" spans="1:16" ht="12" hidden="1" outlineLevel="1" thickBot="1">
      <c r="A328" s="115" t="s">
        <v>1623</v>
      </c>
      <c r="B328" s="115" t="s">
        <v>1669</v>
      </c>
      <c r="C328" s="134" t="s">
        <v>1624</v>
      </c>
      <c r="E328" s="135" t="s">
        <v>1625</v>
      </c>
      <c r="F328" s="135" t="s">
        <v>1670</v>
      </c>
      <c r="G328" s="131" t="s">
        <v>1671</v>
      </c>
      <c r="H328" s="132" t="e">
        <f t="shared" si="24"/>
        <v>#VALUE!</v>
      </c>
      <c r="I328" s="151"/>
      <c r="J328" s="136"/>
      <c r="K328" s="136">
        <f>_xll.GetCtData("COAMOUNT","CONSAMOUNT",$A$1:$A$8,$A328:$B328,,"#")/10^3</f>
        <v>0</v>
      </c>
      <c r="L328" s="136">
        <f t="shared" si="25"/>
        <v>0</v>
      </c>
      <c r="M328" s="128"/>
      <c r="N328" s="136"/>
      <c r="O328" s="128"/>
      <c r="P328" s="136">
        <f t="shared" si="23"/>
        <v>0</v>
      </c>
    </row>
    <row r="329" spans="1:16" ht="12" hidden="1" outlineLevel="1" thickBot="1">
      <c r="A329" s="115" t="s">
        <v>1564</v>
      </c>
      <c r="B329" s="115" t="s">
        <v>1669</v>
      </c>
      <c r="C329" s="134" t="s">
        <v>1565</v>
      </c>
      <c r="E329" s="135" t="s">
        <v>1566</v>
      </c>
      <c r="F329" s="135" t="s">
        <v>1670</v>
      </c>
      <c r="G329" s="131" t="s">
        <v>1671</v>
      </c>
      <c r="H329" s="132" t="e">
        <f t="shared" si="24"/>
        <v>#VALUE!</v>
      </c>
      <c r="I329" s="151"/>
      <c r="J329" s="136"/>
      <c r="K329" s="136">
        <f>_xll.GetCtData("COAMOUNT","CONSAMOUNT",$A$1:$A$8,$A329:$B329,,"#")/10^3</f>
        <v>0</v>
      </c>
      <c r="L329" s="136">
        <f t="shared" si="25"/>
        <v>0</v>
      </c>
      <c r="M329" s="128"/>
      <c r="N329" s="136"/>
      <c r="O329" s="128"/>
      <c r="P329" s="136">
        <f t="shared" si="23"/>
        <v>0</v>
      </c>
    </row>
    <row r="330" spans="1:16" ht="12" hidden="1" outlineLevel="1" thickBot="1">
      <c r="A330" s="115" t="s">
        <v>1567</v>
      </c>
      <c r="B330" s="115" t="s">
        <v>1669</v>
      </c>
      <c r="C330" s="134" t="s">
        <v>1568</v>
      </c>
      <c r="E330" s="135" t="s">
        <v>1569</v>
      </c>
      <c r="F330" s="135" t="s">
        <v>1670</v>
      </c>
      <c r="G330" s="131" t="s">
        <v>1671</v>
      </c>
      <c r="H330" s="132" t="e">
        <f t="shared" si="24"/>
        <v>#VALUE!</v>
      </c>
      <c r="I330" s="151"/>
      <c r="J330" s="136"/>
      <c r="K330" s="136">
        <f>_xll.GetCtData("COAMOUNT","CONSAMOUNT",$A$1:$A$8,$A330:$B330,,"#")/10^3</f>
        <v>0</v>
      </c>
      <c r="L330" s="136">
        <f t="shared" si="25"/>
        <v>0</v>
      </c>
      <c r="M330" s="128"/>
      <c r="N330" s="136"/>
      <c r="O330" s="128"/>
      <c r="P330" s="136">
        <f t="shared" si="23"/>
        <v>0</v>
      </c>
    </row>
    <row r="331" spans="1:16" ht="12" hidden="1" outlineLevel="1" thickBot="1">
      <c r="A331" s="115" t="s">
        <v>1572</v>
      </c>
      <c r="B331" s="115" t="s">
        <v>1672</v>
      </c>
      <c r="C331" s="134" t="s">
        <v>1573</v>
      </c>
      <c r="E331" s="135" t="s">
        <v>1574</v>
      </c>
      <c r="F331" s="135" t="s">
        <v>1673</v>
      </c>
      <c r="G331" s="131" t="s">
        <v>1674</v>
      </c>
      <c r="H331" s="132" t="e">
        <f t="shared" si="24"/>
        <v>#VALUE!</v>
      </c>
      <c r="I331" s="151"/>
      <c r="J331" s="136"/>
      <c r="K331" s="136">
        <f>_xll.GetCtData("COAMOUNT","CONSAMOUNT",$A$1:$A$8,$A331:$B331,,"#")/10^3</f>
        <v>0</v>
      </c>
      <c r="L331" s="136">
        <f t="shared" si="25"/>
        <v>0</v>
      </c>
      <c r="M331" s="128"/>
      <c r="N331" s="136"/>
      <c r="O331" s="128"/>
      <c r="P331" s="136">
        <f t="shared" si="23"/>
        <v>0</v>
      </c>
    </row>
    <row r="332" spans="1:16" ht="12" hidden="1" outlineLevel="1" thickBot="1">
      <c r="A332" s="115" t="s">
        <v>1575</v>
      </c>
      <c r="B332" s="115" t="s">
        <v>1672</v>
      </c>
      <c r="C332" s="134" t="s">
        <v>1576</v>
      </c>
      <c r="E332" s="135" t="s">
        <v>1577</v>
      </c>
      <c r="F332" s="135" t="s">
        <v>1673</v>
      </c>
      <c r="G332" s="131" t="s">
        <v>1674</v>
      </c>
      <c r="H332" s="132" t="e">
        <f t="shared" si="24"/>
        <v>#VALUE!</v>
      </c>
      <c r="I332" s="151" t="e">
        <f>_xll.GetCtData("COAMOUNT","CONSAMOUNT",$A$1:$A$8,$A332:$B332,,"#")/10^3*$H332</f>
        <v>#VALUE!</v>
      </c>
      <c r="J332" s="136"/>
      <c r="K332" s="136"/>
      <c r="L332" s="136" t="e">
        <f t="shared" si="25"/>
        <v>#VALUE!</v>
      </c>
      <c r="M332" s="128"/>
      <c r="N332" s="136"/>
      <c r="O332" s="128"/>
      <c r="P332" s="136" t="e">
        <f t="shared" si="23"/>
        <v>#VALUE!</v>
      </c>
    </row>
    <row r="333" spans="1:16" ht="12" hidden="1" outlineLevel="1" thickBot="1">
      <c r="A333" s="115" t="s">
        <v>1578</v>
      </c>
      <c r="B333" s="115" t="s">
        <v>1672</v>
      </c>
      <c r="C333" s="134" t="s">
        <v>1579</v>
      </c>
      <c r="E333" s="135" t="s">
        <v>1580</v>
      </c>
      <c r="F333" s="135" t="s">
        <v>1673</v>
      </c>
      <c r="G333" s="131" t="s">
        <v>1674</v>
      </c>
      <c r="H333" s="132" t="e">
        <f t="shared" si="24"/>
        <v>#VALUE!</v>
      </c>
      <c r="I333" s="151" t="e">
        <f>_xll.GetCtData("COAMOUNT","CONSAMOUNT",$A$1:$A$8,$A333:$B333,,"#")/10^3*$H333</f>
        <v>#VALUE!</v>
      </c>
      <c r="J333" s="136"/>
      <c r="K333" s="136"/>
      <c r="L333" s="136" t="e">
        <f t="shared" si="25"/>
        <v>#VALUE!</v>
      </c>
      <c r="M333" s="128"/>
      <c r="N333" s="136"/>
      <c r="O333" s="128"/>
      <c r="P333" s="136" t="e">
        <f t="shared" si="23"/>
        <v>#VALUE!</v>
      </c>
    </row>
    <row r="334" spans="1:16" ht="12" hidden="1" outlineLevel="1" thickBot="1">
      <c r="A334" s="115" t="s">
        <v>1581</v>
      </c>
      <c r="B334" s="115" t="s">
        <v>1672</v>
      </c>
      <c r="C334" s="134" t="s">
        <v>1582</v>
      </c>
      <c r="E334" s="135" t="s">
        <v>1583</v>
      </c>
      <c r="F334" s="135" t="s">
        <v>1673</v>
      </c>
      <c r="G334" s="131" t="s">
        <v>1674</v>
      </c>
      <c r="H334" s="132" t="e">
        <f t="shared" si="24"/>
        <v>#VALUE!</v>
      </c>
      <c r="I334" s="151" t="e">
        <f>_xll.GetCtData("COAMOUNT","CONSAMOUNT",$A$1:$A$8,$A334:$B334,,"#")/10^3*$H334</f>
        <v>#VALUE!</v>
      </c>
      <c r="J334" s="136"/>
      <c r="K334" s="136"/>
      <c r="L334" s="136" t="e">
        <f t="shared" si="25"/>
        <v>#VALUE!</v>
      </c>
      <c r="M334" s="128"/>
      <c r="N334" s="136"/>
      <c r="O334" s="128"/>
      <c r="P334" s="136" t="e">
        <f t="shared" si="23"/>
        <v>#VALUE!</v>
      </c>
    </row>
    <row r="335" spans="1:16" ht="12" hidden="1" outlineLevel="1" thickBot="1">
      <c r="A335" s="115" t="s">
        <v>1584</v>
      </c>
      <c r="B335" s="115" t="s">
        <v>1672</v>
      </c>
      <c r="C335" s="134" t="s">
        <v>1585</v>
      </c>
      <c r="E335" s="135" t="s">
        <v>1586</v>
      </c>
      <c r="F335" s="135" t="s">
        <v>1673</v>
      </c>
      <c r="G335" s="131" t="s">
        <v>1674</v>
      </c>
      <c r="H335" s="132" t="e">
        <f t="shared" si="24"/>
        <v>#VALUE!</v>
      </c>
      <c r="I335" s="151" t="e">
        <f>_xll.GetCtData("COAMOUNT","CONSAMOUNT",$A$1:$A$8,$A335:$B335,,"#")/10^3*$H335</f>
        <v>#VALUE!</v>
      </c>
      <c r="J335" s="136"/>
      <c r="K335" s="136"/>
      <c r="L335" s="136" t="e">
        <f t="shared" si="25"/>
        <v>#VALUE!</v>
      </c>
      <c r="M335" s="128"/>
      <c r="N335" s="136"/>
      <c r="O335" s="128"/>
      <c r="P335" s="136" t="e">
        <f t="shared" si="23"/>
        <v>#VALUE!</v>
      </c>
    </row>
    <row r="336" spans="1:16" ht="12" hidden="1" outlineLevel="1" thickBot="1">
      <c r="A336" s="115" t="s">
        <v>1587</v>
      </c>
      <c r="B336" s="115" t="s">
        <v>1672</v>
      </c>
      <c r="C336" s="134" t="s">
        <v>1588</v>
      </c>
      <c r="E336" s="135" t="s">
        <v>1589</v>
      </c>
      <c r="F336" s="135" t="s">
        <v>1673</v>
      </c>
      <c r="G336" s="131" t="s">
        <v>1674</v>
      </c>
      <c r="H336" s="132" t="e">
        <f t="shared" si="24"/>
        <v>#VALUE!</v>
      </c>
      <c r="I336" s="151" t="e">
        <f>_xll.GetCtData("COAMOUNT","CONSAMOUNT",$A$1:$A$8,$A336:$B336,,"#")/10^3*$H336</f>
        <v>#VALUE!</v>
      </c>
      <c r="J336" s="136"/>
      <c r="K336" s="136"/>
      <c r="L336" s="136" t="e">
        <f t="shared" si="25"/>
        <v>#VALUE!</v>
      </c>
      <c r="M336" s="128"/>
      <c r="N336" s="136"/>
      <c r="O336" s="128"/>
      <c r="P336" s="136" t="e">
        <f t="shared" si="23"/>
        <v>#VALUE!</v>
      </c>
    </row>
    <row r="337" spans="1:16" ht="12" hidden="1" outlineLevel="1" thickBot="1">
      <c r="A337" s="115" t="s">
        <v>1590</v>
      </c>
      <c r="B337" s="115" t="s">
        <v>1672</v>
      </c>
      <c r="C337" s="134" t="s">
        <v>1591</v>
      </c>
      <c r="E337" s="135" t="s">
        <v>1592</v>
      </c>
      <c r="F337" s="135" t="s">
        <v>1673</v>
      </c>
      <c r="G337" s="131" t="s">
        <v>1674</v>
      </c>
      <c r="H337" s="132" t="e">
        <f t="shared" si="24"/>
        <v>#VALUE!</v>
      </c>
      <c r="I337" s="151" t="e">
        <f>_xll.GetCtData("COAMOUNT","CONSAMOUNT",$A$1:$A$8,$A337:$B337,,"#")/10^3*$H337</f>
        <v>#VALUE!</v>
      </c>
      <c r="J337" s="136"/>
      <c r="K337" s="136"/>
      <c r="L337" s="136" t="e">
        <f t="shared" si="25"/>
        <v>#VALUE!</v>
      </c>
      <c r="M337" s="128"/>
      <c r="N337" s="136"/>
      <c r="O337" s="128"/>
      <c r="P337" s="136" t="e">
        <f t="shared" si="23"/>
        <v>#VALUE!</v>
      </c>
    </row>
    <row r="338" spans="1:16" ht="12" hidden="1" outlineLevel="1" thickBot="1">
      <c r="A338" s="115" t="s">
        <v>1593</v>
      </c>
      <c r="B338" s="115" t="s">
        <v>1672</v>
      </c>
      <c r="C338" s="134" t="s">
        <v>1594</v>
      </c>
      <c r="E338" s="135" t="s">
        <v>1595</v>
      </c>
      <c r="F338" s="135" t="s">
        <v>1673</v>
      </c>
      <c r="G338" s="131" t="s">
        <v>1674</v>
      </c>
      <c r="H338" s="132" t="e">
        <f t="shared" si="24"/>
        <v>#VALUE!</v>
      </c>
      <c r="I338" s="151" t="e">
        <f>_xll.GetCtData("COAMOUNT","CONSAMOUNT",$A$1:$A$8,$A338:$B338,,"#")/10^3*$H338</f>
        <v>#VALUE!</v>
      </c>
      <c r="J338" s="136"/>
      <c r="K338" s="136"/>
      <c r="L338" s="136" t="e">
        <f t="shared" si="25"/>
        <v>#VALUE!</v>
      </c>
      <c r="M338" s="128"/>
      <c r="N338" s="136"/>
      <c r="O338" s="128"/>
      <c r="P338" s="136" t="e">
        <f t="shared" si="23"/>
        <v>#VALUE!</v>
      </c>
    </row>
    <row r="339" spans="1:16" ht="12" hidden="1" outlineLevel="1" thickBot="1">
      <c r="A339" s="115" t="s">
        <v>1596</v>
      </c>
      <c r="B339" s="115" t="s">
        <v>1672</v>
      </c>
      <c r="C339" s="134" t="s">
        <v>1597</v>
      </c>
      <c r="E339" s="135" t="s">
        <v>1598</v>
      </c>
      <c r="F339" s="135" t="s">
        <v>1673</v>
      </c>
      <c r="G339" s="131" t="s">
        <v>1674</v>
      </c>
      <c r="H339" s="132" t="e">
        <f t="shared" si="24"/>
        <v>#VALUE!</v>
      </c>
      <c r="I339" s="151" t="e">
        <f>_xll.GetCtData("COAMOUNT","CONSAMOUNT",$A$1:$A$8,$A339:$B339,,"#")/10^3*$H339</f>
        <v>#VALUE!</v>
      </c>
      <c r="J339" s="136"/>
      <c r="K339" s="136"/>
      <c r="L339" s="136" t="e">
        <f t="shared" si="25"/>
        <v>#VALUE!</v>
      </c>
      <c r="M339" s="128"/>
      <c r="N339" s="136"/>
      <c r="O339" s="128"/>
      <c r="P339" s="136" t="e">
        <f t="shared" si="23"/>
        <v>#VALUE!</v>
      </c>
    </row>
    <row r="340" spans="1:16" ht="12" hidden="1" outlineLevel="1" thickBot="1">
      <c r="A340" s="115" t="s">
        <v>1599</v>
      </c>
      <c r="B340" s="115" t="s">
        <v>1672</v>
      </c>
      <c r="C340" s="134" t="s">
        <v>1600</v>
      </c>
      <c r="E340" s="135" t="s">
        <v>1601</v>
      </c>
      <c r="F340" s="135" t="s">
        <v>1673</v>
      </c>
      <c r="G340" s="131" t="s">
        <v>1674</v>
      </c>
      <c r="H340" s="132" t="e">
        <f t="shared" si="24"/>
        <v>#VALUE!</v>
      </c>
      <c r="I340" s="151" t="e">
        <f>_xll.GetCtData("COAMOUNT","CONSAMOUNT",$A$1:$A$8,$A340:$B340,,"#")/10^3*$H340</f>
        <v>#VALUE!</v>
      </c>
      <c r="J340" s="136"/>
      <c r="K340" s="136"/>
      <c r="L340" s="136" t="e">
        <f t="shared" si="25"/>
        <v>#VALUE!</v>
      </c>
      <c r="M340" s="128"/>
      <c r="N340" s="136"/>
      <c r="O340" s="128"/>
      <c r="P340" s="136" t="e">
        <f t="shared" si="23"/>
        <v>#VALUE!</v>
      </c>
    </row>
    <row r="341" spans="1:16" ht="12" hidden="1" outlineLevel="1" thickBot="1">
      <c r="A341" s="115" t="s">
        <v>1602</v>
      </c>
      <c r="B341" s="115" t="s">
        <v>1672</v>
      </c>
      <c r="C341" s="134" t="s">
        <v>1603</v>
      </c>
      <c r="E341" s="135" t="s">
        <v>1604</v>
      </c>
      <c r="F341" s="135" t="s">
        <v>1673</v>
      </c>
      <c r="G341" s="131" t="s">
        <v>1674</v>
      </c>
      <c r="H341" s="132" t="e">
        <f t="shared" si="24"/>
        <v>#VALUE!</v>
      </c>
      <c r="I341" s="151" t="e">
        <f>_xll.GetCtData("COAMOUNT","CONSAMOUNT",$A$1:$A$8,$A341:$B341,,"#")/10^3*$H341</f>
        <v>#VALUE!</v>
      </c>
      <c r="J341" s="136"/>
      <c r="K341" s="136"/>
      <c r="L341" s="136" t="e">
        <f t="shared" si="25"/>
        <v>#VALUE!</v>
      </c>
      <c r="M341" s="128"/>
      <c r="N341" s="136"/>
      <c r="O341" s="128"/>
      <c r="P341" s="136" t="e">
        <f t="shared" si="23"/>
        <v>#VALUE!</v>
      </c>
    </row>
    <row r="342" spans="1:16" ht="12" hidden="1" outlineLevel="1" thickBot="1">
      <c r="A342" s="115" t="s">
        <v>1605</v>
      </c>
      <c r="B342" s="115" t="s">
        <v>1672</v>
      </c>
      <c r="C342" s="134" t="s">
        <v>1606</v>
      </c>
      <c r="E342" s="135" t="s">
        <v>1607</v>
      </c>
      <c r="F342" s="135" t="s">
        <v>1673</v>
      </c>
      <c r="G342" s="131" t="s">
        <v>1674</v>
      </c>
      <c r="H342" s="132" t="e">
        <f t="shared" si="24"/>
        <v>#VALUE!</v>
      </c>
      <c r="I342" s="151" t="e">
        <f>_xll.GetCtData("COAMOUNT","CONSAMOUNT",$A$1:$A$8,$A342:$B342,,"#")/10^3*$H342</f>
        <v>#VALUE!</v>
      </c>
      <c r="J342" s="136"/>
      <c r="K342" s="136"/>
      <c r="L342" s="136" t="e">
        <f t="shared" si="25"/>
        <v>#VALUE!</v>
      </c>
      <c r="M342" s="128"/>
      <c r="N342" s="136"/>
      <c r="O342" s="128"/>
      <c r="P342" s="136" t="e">
        <f t="shared" si="23"/>
        <v>#VALUE!</v>
      </c>
    </row>
    <row r="343" spans="1:16" ht="12" hidden="1" outlineLevel="1" thickBot="1">
      <c r="A343" s="115" t="s">
        <v>1516</v>
      </c>
      <c r="B343" s="115" t="s">
        <v>1672</v>
      </c>
      <c r="C343" s="134" t="s">
        <v>1517</v>
      </c>
      <c r="E343" s="135" t="s">
        <v>1518</v>
      </c>
      <c r="F343" s="135" t="s">
        <v>1673</v>
      </c>
      <c r="G343" s="131" t="s">
        <v>1674</v>
      </c>
      <c r="H343" s="132" t="e">
        <f t="shared" si="24"/>
        <v>#VALUE!</v>
      </c>
      <c r="I343" s="151" t="e">
        <f>_xll.GetCtData("COAMOUNT","CONSAMOUNT",$A$1:$A$8,$A343:$B343,,"#")/10^3*$H343</f>
        <v>#VALUE!</v>
      </c>
      <c r="J343" s="136"/>
      <c r="K343" s="136"/>
      <c r="L343" s="136" t="e">
        <f t="shared" si="25"/>
        <v>#VALUE!</v>
      </c>
      <c r="M343" s="128"/>
      <c r="N343" s="136"/>
      <c r="O343" s="128"/>
      <c r="P343" s="136" t="e">
        <f t="shared" si="23"/>
        <v>#VALUE!</v>
      </c>
    </row>
    <row r="344" spans="1:16" ht="12" hidden="1" outlineLevel="1" thickBot="1">
      <c r="A344" s="115" t="s">
        <v>1519</v>
      </c>
      <c r="B344" s="115" t="s">
        <v>1672</v>
      </c>
      <c r="C344" s="134" t="s">
        <v>1520</v>
      </c>
      <c r="E344" s="135" t="s">
        <v>1521</v>
      </c>
      <c r="F344" s="135" t="s">
        <v>1673</v>
      </c>
      <c r="G344" s="131" t="s">
        <v>1674</v>
      </c>
      <c r="H344" s="132" t="e">
        <f t="shared" si="24"/>
        <v>#VALUE!</v>
      </c>
      <c r="I344" s="151" t="e">
        <f>_xll.GetCtData("COAMOUNT","CONSAMOUNT",$A$1:$A$8,$A344:$B344,,"#")/10^3*$H344</f>
        <v>#VALUE!</v>
      </c>
      <c r="J344" s="136"/>
      <c r="K344" s="136"/>
      <c r="L344" s="136" t="e">
        <f t="shared" si="25"/>
        <v>#VALUE!</v>
      </c>
      <c r="M344" s="128"/>
      <c r="N344" s="136"/>
      <c r="O344" s="128"/>
      <c r="P344" s="136" t="e">
        <f t="shared" si="23"/>
        <v>#VALUE!</v>
      </c>
    </row>
    <row r="345" spans="1:16" ht="12" hidden="1" outlineLevel="1" thickBot="1">
      <c r="A345" s="115" t="s">
        <v>1522</v>
      </c>
      <c r="B345" s="115" t="s">
        <v>1672</v>
      </c>
      <c r="C345" s="134" t="s">
        <v>1523</v>
      </c>
      <c r="E345" s="135" t="s">
        <v>1524</v>
      </c>
      <c r="F345" s="135" t="s">
        <v>1673</v>
      </c>
      <c r="G345" s="131" t="s">
        <v>1674</v>
      </c>
      <c r="H345" s="132" t="e">
        <f t="shared" si="24"/>
        <v>#VALUE!</v>
      </c>
      <c r="I345" s="151" t="e">
        <f>_xll.GetCtData("COAMOUNT","CONSAMOUNT",$A$1:$A$8,$A345:$B345,,"#")/10^3*$H345</f>
        <v>#VALUE!</v>
      </c>
      <c r="J345" s="136"/>
      <c r="K345" s="136"/>
      <c r="L345" s="136" t="e">
        <f t="shared" si="25"/>
        <v>#VALUE!</v>
      </c>
      <c r="M345" s="128"/>
      <c r="N345" s="136"/>
      <c r="O345" s="128"/>
      <c r="P345" s="136" t="e">
        <f t="shared" si="23"/>
        <v>#VALUE!</v>
      </c>
    </row>
    <row r="346" spans="1:16" ht="12" hidden="1" outlineLevel="1" thickBot="1">
      <c r="A346" s="115" t="s">
        <v>1525</v>
      </c>
      <c r="B346" s="115" t="s">
        <v>1672</v>
      </c>
      <c r="C346" s="134" t="s">
        <v>1526</v>
      </c>
      <c r="E346" s="135" t="s">
        <v>1527</v>
      </c>
      <c r="F346" s="135" t="s">
        <v>1673</v>
      </c>
      <c r="G346" s="131" t="s">
        <v>1674</v>
      </c>
      <c r="H346" s="132" t="e">
        <f t="shared" si="24"/>
        <v>#VALUE!</v>
      </c>
      <c r="I346" s="151" t="e">
        <f>_xll.GetCtData("COAMOUNT","CONSAMOUNT",$A$1:$A$8,$A346:$B346,,"#")/10^3*$H346</f>
        <v>#VALUE!</v>
      </c>
      <c r="J346" s="136"/>
      <c r="K346" s="136"/>
      <c r="L346" s="136" t="e">
        <f t="shared" si="25"/>
        <v>#VALUE!</v>
      </c>
      <c r="M346" s="128"/>
      <c r="N346" s="136"/>
      <c r="O346" s="128"/>
      <c r="P346" s="136" t="e">
        <f t="shared" si="23"/>
        <v>#VALUE!</v>
      </c>
    </row>
    <row r="347" spans="1:16" ht="12" hidden="1" outlineLevel="1" thickBot="1">
      <c r="A347" s="115" t="s">
        <v>1528</v>
      </c>
      <c r="B347" s="115" t="s">
        <v>1672</v>
      </c>
      <c r="C347" s="134" t="s">
        <v>1529</v>
      </c>
      <c r="E347" s="135" t="s">
        <v>1530</v>
      </c>
      <c r="F347" s="135" t="s">
        <v>1673</v>
      </c>
      <c r="G347" s="131" t="s">
        <v>1674</v>
      </c>
      <c r="H347" s="132" t="e">
        <f t="shared" si="24"/>
        <v>#VALUE!</v>
      </c>
      <c r="I347" s="151" t="e">
        <f>_xll.GetCtData("COAMOUNT","CONSAMOUNT",$A$1:$A$8,$A347:$B347,,"#")/10^3*$H347</f>
        <v>#VALUE!</v>
      </c>
      <c r="J347" s="136"/>
      <c r="K347" s="136"/>
      <c r="L347" s="136" t="e">
        <f t="shared" si="25"/>
        <v>#VALUE!</v>
      </c>
      <c r="M347" s="128"/>
      <c r="N347" s="136"/>
      <c r="O347" s="128"/>
      <c r="P347" s="136" t="e">
        <f t="shared" si="23"/>
        <v>#VALUE!</v>
      </c>
    </row>
    <row r="348" spans="1:16" ht="12" hidden="1" outlineLevel="1" thickBot="1">
      <c r="A348" s="115" t="s">
        <v>1531</v>
      </c>
      <c r="B348" s="115" t="s">
        <v>1672</v>
      </c>
      <c r="C348" s="134" t="s">
        <v>1532</v>
      </c>
      <c r="E348" s="135" t="s">
        <v>1533</v>
      </c>
      <c r="F348" s="135" t="s">
        <v>1673</v>
      </c>
      <c r="G348" s="131" t="s">
        <v>1674</v>
      </c>
      <c r="H348" s="132" t="e">
        <f t="shared" si="24"/>
        <v>#VALUE!</v>
      </c>
      <c r="I348" s="151" t="e">
        <f>_xll.GetCtData("COAMOUNT","CONSAMOUNT",$A$1:$A$8,$A348:$B348,,"#")/10^3*$H348</f>
        <v>#VALUE!</v>
      </c>
      <c r="J348" s="136"/>
      <c r="K348" s="136"/>
      <c r="L348" s="136" t="e">
        <f t="shared" si="25"/>
        <v>#VALUE!</v>
      </c>
      <c r="M348" s="128"/>
      <c r="N348" s="136"/>
      <c r="O348" s="128"/>
      <c r="P348" s="136" t="e">
        <f t="shared" si="23"/>
        <v>#VALUE!</v>
      </c>
    </row>
    <row r="349" spans="1:16" ht="12" hidden="1" outlineLevel="1" thickBot="1">
      <c r="A349" s="115" t="s">
        <v>1534</v>
      </c>
      <c r="B349" s="115" t="s">
        <v>1672</v>
      </c>
      <c r="C349" s="134" t="s">
        <v>1535</v>
      </c>
      <c r="E349" s="135" t="s">
        <v>1536</v>
      </c>
      <c r="F349" s="135" t="s">
        <v>1673</v>
      </c>
      <c r="G349" s="131" t="s">
        <v>1674</v>
      </c>
      <c r="H349" s="132" t="e">
        <f t="shared" si="24"/>
        <v>#VALUE!</v>
      </c>
      <c r="I349" s="151" t="e">
        <f>_xll.GetCtData("COAMOUNT","CONSAMOUNT",$A$1:$A$8,$A349:$B349,,"#")/10^3*$H349</f>
        <v>#VALUE!</v>
      </c>
      <c r="J349" s="136"/>
      <c r="K349" s="136"/>
      <c r="L349" s="136" t="e">
        <f t="shared" si="25"/>
        <v>#VALUE!</v>
      </c>
      <c r="M349" s="128"/>
      <c r="N349" s="136"/>
      <c r="O349" s="128"/>
      <c r="P349" s="136" t="e">
        <f t="shared" si="23"/>
        <v>#VALUE!</v>
      </c>
    </row>
    <row r="350" spans="1:16" ht="12" hidden="1" outlineLevel="1" thickBot="1">
      <c r="A350" s="115" t="s">
        <v>1537</v>
      </c>
      <c r="B350" s="115" t="s">
        <v>1672</v>
      </c>
      <c r="C350" s="134" t="s">
        <v>1538</v>
      </c>
      <c r="E350" s="135" t="s">
        <v>1539</v>
      </c>
      <c r="F350" s="135" t="s">
        <v>1673</v>
      </c>
      <c r="G350" s="131" t="s">
        <v>1674</v>
      </c>
      <c r="H350" s="132" t="e">
        <f t="shared" si="24"/>
        <v>#VALUE!</v>
      </c>
      <c r="I350" s="151" t="e">
        <f>_xll.GetCtData("COAMOUNT","CONSAMOUNT",$A$1:$A$8,$A350:$B350,,"#")/10^3*$H350</f>
        <v>#VALUE!</v>
      </c>
      <c r="J350" s="136"/>
      <c r="K350" s="136"/>
      <c r="L350" s="136" t="e">
        <f t="shared" si="25"/>
        <v>#VALUE!</v>
      </c>
      <c r="M350" s="128"/>
      <c r="N350" s="136"/>
      <c r="O350" s="128"/>
      <c r="P350" s="136" t="e">
        <f t="shared" si="23"/>
        <v>#VALUE!</v>
      </c>
    </row>
    <row r="351" spans="1:16" ht="12" hidden="1" outlineLevel="1" thickBot="1">
      <c r="A351" s="115" t="s">
        <v>1540</v>
      </c>
      <c r="B351" s="115" t="s">
        <v>1672</v>
      </c>
      <c r="C351" s="134" t="s">
        <v>1541</v>
      </c>
      <c r="E351" s="135" t="s">
        <v>1542</v>
      </c>
      <c r="F351" s="135" t="s">
        <v>1673</v>
      </c>
      <c r="G351" s="131" t="s">
        <v>1674</v>
      </c>
      <c r="H351" s="132" t="e">
        <f t="shared" si="24"/>
        <v>#VALUE!</v>
      </c>
      <c r="I351" s="151" t="e">
        <f>_xll.GetCtData("COAMOUNT","CONSAMOUNT",$A$1:$A$8,$A351:$B351,,"#")/10^3*$H351</f>
        <v>#VALUE!</v>
      </c>
      <c r="J351" s="136"/>
      <c r="K351" s="136"/>
      <c r="L351" s="136" t="e">
        <f t="shared" si="25"/>
        <v>#VALUE!</v>
      </c>
      <c r="M351" s="128"/>
      <c r="N351" s="136"/>
      <c r="O351" s="128"/>
      <c r="P351" s="136" t="e">
        <f t="shared" si="23"/>
        <v>#VALUE!</v>
      </c>
    </row>
    <row r="352" spans="1:16" ht="12" hidden="1" outlineLevel="1" thickBot="1">
      <c r="A352" s="115" t="s">
        <v>1543</v>
      </c>
      <c r="B352" s="115" t="s">
        <v>1672</v>
      </c>
      <c r="C352" s="134" t="s">
        <v>1544</v>
      </c>
      <c r="E352" s="135" t="s">
        <v>1545</v>
      </c>
      <c r="F352" s="135" t="s">
        <v>1673</v>
      </c>
      <c r="G352" s="131" t="s">
        <v>1674</v>
      </c>
      <c r="H352" s="132" t="e">
        <f t="shared" si="24"/>
        <v>#VALUE!</v>
      </c>
      <c r="I352" s="151" t="e">
        <f>_xll.GetCtData("COAMOUNT","CONSAMOUNT",$A$1:$A$8,$A352:$B352,,"#")/10^3*$H352</f>
        <v>#VALUE!</v>
      </c>
      <c r="J352" s="136"/>
      <c r="K352" s="136"/>
      <c r="L352" s="136" t="e">
        <f t="shared" si="25"/>
        <v>#VALUE!</v>
      </c>
      <c r="M352" s="128"/>
      <c r="N352" s="136"/>
      <c r="O352" s="128"/>
      <c r="P352" s="136" t="e">
        <f t="shared" si="23"/>
        <v>#VALUE!</v>
      </c>
    </row>
    <row r="353" spans="1:16" ht="12" hidden="1" outlineLevel="1" thickBot="1">
      <c r="A353" s="115" t="s">
        <v>1546</v>
      </c>
      <c r="B353" s="115" t="s">
        <v>1672</v>
      </c>
      <c r="C353" s="134" t="s">
        <v>1547</v>
      </c>
      <c r="E353" s="135" t="s">
        <v>1548</v>
      </c>
      <c r="F353" s="135" t="s">
        <v>1673</v>
      </c>
      <c r="G353" s="131" t="s">
        <v>1674</v>
      </c>
      <c r="H353" s="132" t="e">
        <f t="shared" si="24"/>
        <v>#VALUE!</v>
      </c>
      <c r="I353" s="151" t="e">
        <f>_xll.GetCtData("COAMOUNT","CONSAMOUNT",$A$1:$A$8,$A353:$B353,,"#")/10^3*$H353</f>
        <v>#VALUE!</v>
      </c>
      <c r="J353" s="136"/>
      <c r="K353" s="136"/>
      <c r="L353" s="136" t="e">
        <f t="shared" si="25"/>
        <v>#VALUE!</v>
      </c>
      <c r="M353" s="128"/>
      <c r="N353" s="136"/>
      <c r="O353" s="128"/>
      <c r="P353" s="136" t="e">
        <f t="shared" si="23"/>
        <v>#VALUE!</v>
      </c>
    </row>
    <row r="354" spans="1:16" ht="12" hidden="1" outlineLevel="1" thickBot="1">
      <c r="A354" s="115" t="s">
        <v>1549</v>
      </c>
      <c r="B354" s="115" t="s">
        <v>1672</v>
      </c>
      <c r="C354" s="134" t="s">
        <v>1550</v>
      </c>
      <c r="E354" s="135" t="s">
        <v>1551</v>
      </c>
      <c r="F354" s="135" t="s">
        <v>1673</v>
      </c>
      <c r="G354" s="131" t="s">
        <v>1674</v>
      </c>
      <c r="H354" s="132" t="e">
        <f t="shared" si="24"/>
        <v>#VALUE!</v>
      </c>
      <c r="I354" s="151" t="e">
        <f>_xll.GetCtData("COAMOUNT","CONSAMOUNT",$A$1:$A$8,$A354:$B354,,"#")/10^3*$H354</f>
        <v>#VALUE!</v>
      </c>
      <c r="J354" s="136"/>
      <c r="K354" s="136"/>
      <c r="L354" s="136" t="e">
        <f t="shared" si="25"/>
        <v>#VALUE!</v>
      </c>
      <c r="M354" s="128"/>
      <c r="N354" s="136"/>
      <c r="O354" s="128"/>
      <c r="P354" s="136" t="e">
        <f t="shared" ref="P354:P417" si="26">L354+N354</f>
        <v>#VALUE!</v>
      </c>
    </row>
    <row r="355" spans="1:16" ht="12" hidden="1" outlineLevel="1" thickBot="1">
      <c r="A355" s="115" t="s">
        <v>1608</v>
      </c>
      <c r="B355" s="115" t="s">
        <v>1672</v>
      </c>
      <c r="C355" s="134" t="s">
        <v>1609</v>
      </c>
      <c r="E355" s="135" t="s">
        <v>1610</v>
      </c>
      <c r="F355" s="135" t="s">
        <v>1673</v>
      </c>
      <c r="G355" s="131" t="s">
        <v>1674</v>
      </c>
      <c r="H355" s="132" t="e">
        <f t="shared" si="24"/>
        <v>#VALUE!</v>
      </c>
      <c r="I355" s="151"/>
      <c r="J355" s="151" t="e">
        <f>_xll.GetCtData("COAMOUNT","CONSAMOUNT",$A$1:$A$8,$A355:$B355,,"#")/10^3*$H355</f>
        <v>#VALUE!</v>
      </c>
      <c r="K355" s="136"/>
      <c r="L355" s="136" t="e">
        <f t="shared" si="25"/>
        <v>#VALUE!</v>
      </c>
      <c r="M355" s="128"/>
      <c r="N355" s="136"/>
      <c r="O355" s="128"/>
      <c r="P355" s="136" t="e">
        <f t="shared" si="26"/>
        <v>#VALUE!</v>
      </c>
    </row>
    <row r="356" spans="1:16" ht="12" hidden="1" outlineLevel="1" thickBot="1">
      <c r="A356" s="115" t="s">
        <v>1611</v>
      </c>
      <c r="B356" s="115" t="s">
        <v>1672</v>
      </c>
      <c r="C356" s="134" t="s">
        <v>1612</v>
      </c>
      <c r="E356" s="135" t="s">
        <v>1613</v>
      </c>
      <c r="F356" s="135" t="s">
        <v>1673</v>
      </c>
      <c r="G356" s="131" t="s">
        <v>1674</v>
      </c>
      <c r="H356" s="132" t="e">
        <f t="shared" si="24"/>
        <v>#VALUE!</v>
      </c>
      <c r="I356" s="151"/>
      <c r="J356" s="151" t="e">
        <f>_xll.GetCtData("COAMOUNT","CONSAMOUNT",$A$1:$A$8,$A356:$B356,,"#")/10^3*$H356</f>
        <v>#VALUE!</v>
      </c>
      <c r="K356" s="136"/>
      <c r="L356" s="136" t="e">
        <f t="shared" si="25"/>
        <v>#VALUE!</v>
      </c>
      <c r="M356" s="128"/>
      <c r="N356" s="136"/>
      <c r="O356" s="128"/>
      <c r="P356" s="136" t="e">
        <f t="shared" si="26"/>
        <v>#VALUE!</v>
      </c>
    </row>
    <row r="357" spans="1:16" ht="12" hidden="1" outlineLevel="1" thickBot="1">
      <c r="A357" s="115" t="s">
        <v>1614</v>
      </c>
      <c r="B357" s="115" t="s">
        <v>1672</v>
      </c>
      <c r="C357" s="134" t="s">
        <v>1615</v>
      </c>
      <c r="E357" s="135" t="s">
        <v>1616</v>
      </c>
      <c r="F357" s="135" t="s">
        <v>1673</v>
      </c>
      <c r="G357" s="131" t="s">
        <v>1674</v>
      </c>
      <c r="H357" s="132" t="e">
        <f t="shared" si="24"/>
        <v>#VALUE!</v>
      </c>
      <c r="I357" s="151"/>
      <c r="J357" s="151" t="e">
        <f>_xll.GetCtData("COAMOUNT","CONSAMOUNT",$A$1:$A$8,$A357:$B357,,"#")/10^3*$H357</f>
        <v>#VALUE!</v>
      </c>
      <c r="K357" s="136"/>
      <c r="L357" s="136" t="e">
        <f t="shared" si="25"/>
        <v>#VALUE!</v>
      </c>
      <c r="M357" s="128"/>
      <c r="N357" s="136"/>
      <c r="O357" s="128"/>
      <c r="P357" s="136" t="e">
        <f t="shared" si="26"/>
        <v>#VALUE!</v>
      </c>
    </row>
    <row r="358" spans="1:16" ht="12" hidden="1" outlineLevel="1" thickBot="1">
      <c r="A358" s="115" t="s">
        <v>1617</v>
      </c>
      <c r="B358" s="115" t="s">
        <v>1672</v>
      </c>
      <c r="C358" s="134" t="s">
        <v>1618</v>
      </c>
      <c r="E358" s="135" t="s">
        <v>1619</v>
      </c>
      <c r="F358" s="135" t="s">
        <v>1673</v>
      </c>
      <c r="G358" s="131" t="s">
        <v>1674</v>
      </c>
      <c r="H358" s="132" t="e">
        <f t="shared" si="24"/>
        <v>#VALUE!</v>
      </c>
      <c r="I358" s="151"/>
      <c r="J358" s="151" t="e">
        <f>_xll.GetCtData("COAMOUNT","CONSAMOUNT",$A$1:$A$8,$A358:$B358,,"#")/10^3*$H358</f>
        <v>#VALUE!</v>
      </c>
      <c r="K358" s="136"/>
      <c r="L358" s="136" t="e">
        <f t="shared" si="25"/>
        <v>#VALUE!</v>
      </c>
      <c r="M358" s="128"/>
      <c r="N358" s="136"/>
      <c r="O358" s="128"/>
      <c r="P358" s="136" t="e">
        <f t="shared" si="26"/>
        <v>#VALUE!</v>
      </c>
    </row>
    <row r="359" spans="1:16" ht="12" hidden="1" outlineLevel="1" thickBot="1">
      <c r="A359" s="115" t="s">
        <v>1552</v>
      </c>
      <c r="B359" s="115" t="s">
        <v>1672</v>
      </c>
      <c r="C359" s="134" t="s">
        <v>1553</v>
      </c>
      <c r="E359" s="135" t="s">
        <v>1554</v>
      </c>
      <c r="F359" s="135" t="s">
        <v>1673</v>
      </c>
      <c r="G359" s="131" t="s">
        <v>1674</v>
      </c>
      <c r="H359" s="132" t="e">
        <f t="shared" si="24"/>
        <v>#VALUE!</v>
      </c>
      <c r="I359" s="151"/>
      <c r="J359" s="151" t="e">
        <f>_xll.GetCtData("COAMOUNT","CONSAMOUNT",$A$1:$A$8,$A359:$B359,,"#")/10^3*$H359</f>
        <v>#VALUE!</v>
      </c>
      <c r="K359" s="136"/>
      <c r="L359" s="136" t="e">
        <f t="shared" si="25"/>
        <v>#VALUE!</v>
      </c>
      <c r="M359" s="128"/>
      <c r="N359" s="136"/>
      <c r="O359" s="128"/>
      <c r="P359" s="136" t="e">
        <f t="shared" si="26"/>
        <v>#VALUE!</v>
      </c>
    </row>
    <row r="360" spans="1:16" ht="12" hidden="1" outlineLevel="1" thickBot="1">
      <c r="A360" s="115" t="s">
        <v>1555</v>
      </c>
      <c r="B360" s="115" t="s">
        <v>1672</v>
      </c>
      <c r="C360" s="134" t="s">
        <v>1556</v>
      </c>
      <c r="E360" s="135" t="s">
        <v>1557</v>
      </c>
      <c r="F360" s="135" t="s">
        <v>1673</v>
      </c>
      <c r="G360" s="131" t="s">
        <v>1674</v>
      </c>
      <c r="H360" s="132" t="e">
        <f t="shared" si="24"/>
        <v>#VALUE!</v>
      </c>
      <c r="I360" s="151"/>
      <c r="J360" s="151" t="e">
        <f>_xll.GetCtData("COAMOUNT","CONSAMOUNT",$A$1:$A$8,$A360:$B360,,"#")/10^3*$H360</f>
        <v>#VALUE!</v>
      </c>
      <c r="K360" s="136"/>
      <c r="L360" s="136" t="e">
        <f t="shared" si="25"/>
        <v>#VALUE!</v>
      </c>
      <c r="M360" s="128"/>
      <c r="N360" s="136"/>
      <c r="O360" s="128"/>
      <c r="P360" s="136" t="e">
        <f t="shared" si="26"/>
        <v>#VALUE!</v>
      </c>
    </row>
    <row r="361" spans="1:16" ht="12" hidden="1" outlineLevel="1" thickBot="1">
      <c r="A361" s="115" t="s">
        <v>1558</v>
      </c>
      <c r="B361" s="115" t="s">
        <v>1672</v>
      </c>
      <c r="C361" s="134" t="s">
        <v>1559</v>
      </c>
      <c r="E361" s="135" t="s">
        <v>1560</v>
      </c>
      <c r="F361" s="135" t="s">
        <v>1673</v>
      </c>
      <c r="G361" s="131" t="s">
        <v>1674</v>
      </c>
      <c r="H361" s="132" t="e">
        <f t="shared" si="24"/>
        <v>#VALUE!</v>
      </c>
      <c r="I361" s="151"/>
      <c r="J361" s="151" t="e">
        <f>_xll.GetCtData("COAMOUNT","CONSAMOUNT",$A$1:$A$8,$A361:$B361,,"#")/10^3*$H361</f>
        <v>#VALUE!</v>
      </c>
      <c r="K361" s="136"/>
      <c r="L361" s="136" t="e">
        <f t="shared" si="25"/>
        <v>#VALUE!</v>
      </c>
      <c r="M361" s="128"/>
      <c r="N361" s="136"/>
      <c r="O361" s="128"/>
      <c r="P361" s="136" t="e">
        <f t="shared" si="26"/>
        <v>#VALUE!</v>
      </c>
    </row>
    <row r="362" spans="1:16" ht="12" hidden="1" outlineLevel="1" thickBot="1">
      <c r="A362" s="115" t="s">
        <v>1561</v>
      </c>
      <c r="B362" s="115" t="s">
        <v>1672</v>
      </c>
      <c r="C362" s="134" t="s">
        <v>1562</v>
      </c>
      <c r="E362" s="135" t="s">
        <v>1563</v>
      </c>
      <c r="F362" s="135" t="s">
        <v>1673</v>
      </c>
      <c r="G362" s="131" t="s">
        <v>1674</v>
      </c>
      <c r="H362" s="132" t="e">
        <f t="shared" si="24"/>
        <v>#VALUE!</v>
      </c>
      <c r="I362" s="151"/>
      <c r="J362" s="151" t="e">
        <f>_xll.GetCtData("COAMOUNT","CONSAMOUNT",$A$1:$A$8,$A362:$B362,,"#")/10^3*$H362</f>
        <v>#VALUE!</v>
      </c>
      <c r="K362" s="136"/>
      <c r="L362" s="136" t="e">
        <f t="shared" si="25"/>
        <v>#VALUE!</v>
      </c>
      <c r="M362" s="128"/>
      <c r="N362" s="136"/>
      <c r="O362" s="128"/>
      <c r="P362" s="136" t="e">
        <f t="shared" si="26"/>
        <v>#VALUE!</v>
      </c>
    </row>
    <row r="363" spans="1:16" ht="12" hidden="1" outlineLevel="1" thickBot="1">
      <c r="A363" s="115" t="s">
        <v>1620</v>
      </c>
      <c r="B363" s="115" t="s">
        <v>1672</v>
      </c>
      <c r="C363" s="134" t="s">
        <v>1621</v>
      </c>
      <c r="E363" s="135" t="s">
        <v>1622</v>
      </c>
      <c r="F363" s="135" t="s">
        <v>1673</v>
      </c>
      <c r="G363" s="131" t="s">
        <v>1674</v>
      </c>
      <c r="H363" s="132" t="e">
        <f t="shared" si="24"/>
        <v>#VALUE!</v>
      </c>
      <c r="I363" s="151"/>
      <c r="J363" s="136"/>
      <c r="K363" s="151" t="e">
        <f>_xll.GetCtData("COAMOUNT","CONSAMOUNT",$A$1:$A$8,$A363:$B363,,"#")/10^3*$H363</f>
        <v>#VALUE!</v>
      </c>
      <c r="L363" s="136" t="e">
        <f t="shared" si="25"/>
        <v>#VALUE!</v>
      </c>
      <c r="M363" s="128"/>
      <c r="N363" s="136"/>
      <c r="O363" s="128"/>
      <c r="P363" s="136" t="e">
        <f t="shared" si="26"/>
        <v>#VALUE!</v>
      </c>
    </row>
    <row r="364" spans="1:16" ht="12" hidden="1" outlineLevel="1" thickBot="1">
      <c r="A364" s="115" t="s">
        <v>1623</v>
      </c>
      <c r="B364" s="115" t="s">
        <v>1672</v>
      </c>
      <c r="C364" s="134" t="s">
        <v>1624</v>
      </c>
      <c r="E364" s="135" t="s">
        <v>1625</v>
      </c>
      <c r="F364" s="135" t="s">
        <v>1673</v>
      </c>
      <c r="G364" s="131" t="s">
        <v>1674</v>
      </c>
      <c r="H364" s="132" t="e">
        <f t="shared" si="24"/>
        <v>#VALUE!</v>
      </c>
      <c r="I364" s="151"/>
      <c r="J364" s="136"/>
      <c r="K364" s="151" t="e">
        <f>_xll.GetCtData("COAMOUNT","CONSAMOUNT",$A$1:$A$8,$A364:$B364,,"#")/10^3*$H364</f>
        <v>#VALUE!</v>
      </c>
      <c r="L364" s="136" t="e">
        <f t="shared" si="25"/>
        <v>#VALUE!</v>
      </c>
      <c r="M364" s="128"/>
      <c r="N364" s="136"/>
      <c r="O364" s="128"/>
      <c r="P364" s="136" t="e">
        <f t="shared" si="26"/>
        <v>#VALUE!</v>
      </c>
    </row>
    <row r="365" spans="1:16" ht="12" hidden="1" outlineLevel="1" thickBot="1">
      <c r="A365" s="115" t="s">
        <v>1564</v>
      </c>
      <c r="B365" s="115" t="s">
        <v>1672</v>
      </c>
      <c r="C365" s="134" t="s">
        <v>1565</v>
      </c>
      <c r="E365" s="135" t="s">
        <v>1566</v>
      </c>
      <c r="F365" s="135" t="s">
        <v>1673</v>
      </c>
      <c r="G365" s="131" t="s">
        <v>1674</v>
      </c>
      <c r="H365" s="132" t="e">
        <f t="shared" si="24"/>
        <v>#VALUE!</v>
      </c>
      <c r="I365" s="151"/>
      <c r="J365" s="136"/>
      <c r="K365" s="151" t="e">
        <f>_xll.GetCtData("COAMOUNT","CONSAMOUNT",$A$1:$A$8,$A365:$B365,,"#")/10^3*$H365</f>
        <v>#VALUE!</v>
      </c>
      <c r="L365" s="136" t="e">
        <f t="shared" si="25"/>
        <v>#VALUE!</v>
      </c>
      <c r="M365" s="128"/>
      <c r="N365" s="136"/>
      <c r="O365" s="128"/>
      <c r="P365" s="136" t="e">
        <f t="shared" si="26"/>
        <v>#VALUE!</v>
      </c>
    </row>
    <row r="366" spans="1:16" ht="12" hidden="1" outlineLevel="1" thickBot="1">
      <c r="A366" s="115" t="s">
        <v>1567</v>
      </c>
      <c r="B366" s="115" t="s">
        <v>1672</v>
      </c>
      <c r="C366" s="134" t="s">
        <v>1568</v>
      </c>
      <c r="E366" s="135" t="s">
        <v>1569</v>
      </c>
      <c r="F366" s="135" t="s">
        <v>1673</v>
      </c>
      <c r="G366" s="131" t="s">
        <v>1674</v>
      </c>
      <c r="H366" s="132" t="e">
        <f t="shared" si="24"/>
        <v>#VALUE!</v>
      </c>
      <c r="I366" s="151"/>
      <c r="J366" s="136"/>
      <c r="K366" s="151" t="e">
        <f>_xll.GetCtData("COAMOUNT","CONSAMOUNT",$A$1:$A$8,$A366:$B366,,"#")/10^3*$H366</f>
        <v>#VALUE!</v>
      </c>
      <c r="L366" s="136" t="e">
        <f t="shared" si="25"/>
        <v>#VALUE!</v>
      </c>
      <c r="M366" s="128"/>
      <c r="N366" s="136"/>
      <c r="O366" s="128"/>
      <c r="P366" s="136" t="e">
        <f t="shared" si="26"/>
        <v>#VALUE!</v>
      </c>
    </row>
    <row r="367" spans="1:16" ht="12" hidden="1" outlineLevel="1" thickBot="1">
      <c r="C367" s="134"/>
      <c r="E367" s="137" t="s">
        <v>1570</v>
      </c>
      <c r="F367" s="137"/>
      <c r="G367" s="137"/>
      <c r="H367" s="137"/>
      <c r="I367" s="138" t="e">
        <f>SUM(I259:I366)/10^3-I258</f>
        <v>#VALUE!</v>
      </c>
      <c r="J367" s="138" t="e">
        <f>SUM(J259:J366)/10^3-J258</f>
        <v>#VALUE!</v>
      </c>
      <c r="K367" s="138" t="e">
        <f>SUM(K259:K366)/10^3-K258</f>
        <v>#VALUE!</v>
      </c>
      <c r="L367" s="138" t="e">
        <f>SUM(L259:L366)/10^3-L258</f>
        <v>#VALUE!</v>
      </c>
      <c r="M367" s="128"/>
      <c r="N367" s="138"/>
      <c r="O367" s="128"/>
      <c r="P367" s="138" t="e">
        <f t="shared" si="26"/>
        <v>#VALUE!</v>
      </c>
    </row>
    <row r="368" spans="1:16" ht="12" hidden="1" collapsed="1" thickBot="1">
      <c r="A368" s="115" t="s">
        <v>1087</v>
      </c>
      <c r="C368" s="117" t="s">
        <v>1675</v>
      </c>
      <c r="E368" s="145" t="s">
        <v>113</v>
      </c>
      <c r="F368" s="146"/>
      <c r="G368" s="146"/>
      <c r="H368" s="146"/>
      <c r="I368" s="147">
        <f>_xll.GetCtData("COAMOUNT","CONSAMOUNT",$A$1:$A$8,$A368,I$10,"#-2055532")/10^3</f>
        <v>-2055.5320000000002</v>
      </c>
      <c r="J368" s="147">
        <f>_xll.GetCtData("COAMOUNT","CONSAMOUNT",$A$1:$A$8,$A368,J$10,"#-7412")/10^3</f>
        <v>-7.4119999999999999</v>
      </c>
      <c r="K368" s="147">
        <f>_xll.GetCtData("COAMOUNT","CONSAMOUNT",$A$1:$A$8,$A368,K$10,"#-27189")/10^3</f>
        <v>-27.189</v>
      </c>
      <c r="L368" s="147">
        <f>_xll.GetCtData("COAMOUNT","CONSAMOUNT",$A$1:$A$8,$A368,L$10,"#-2090133")/10^3</f>
        <v>-2090.1329999999998</v>
      </c>
      <c r="M368" s="128"/>
      <c r="N368" s="147">
        <v>9375</v>
      </c>
      <c r="O368" s="128"/>
      <c r="P368" s="147">
        <f t="shared" si="26"/>
        <v>7284.8670000000002</v>
      </c>
    </row>
    <row r="369" spans="1:16" ht="12" hidden="1" outlineLevel="1" thickBot="1">
      <c r="A369" s="115" t="s">
        <v>1572</v>
      </c>
      <c r="B369" s="115" t="s">
        <v>544</v>
      </c>
      <c r="C369" s="134" t="s">
        <v>1573</v>
      </c>
      <c r="E369" s="135" t="s">
        <v>1574</v>
      </c>
      <c r="F369" s="135" t="s">
        <v>1676</v>
      </c>
      <c r="G369" s="131" t="s">
        <v>81</v>
      </c>
      <c r="H369" s="132" t="e">
        <f t="shared" ref="H369:H432" si="27">IF(LEFT(E369,6)/10^3="actifs",-1,1)/10^3</f>
        <v>#VALUE!</v>
      </c>
      <c r="I369" s="151" t="e">
        <f>_xll.GetCtData("COAMOUNT","CONSAMOUNT",$A$1:$A$8,$A369:$B369,,"#")/10^3*$H369</f>
        <v>#VALUE!</v>
      </c>
      <c r="J369" s="136"/>
      <c r="K369" s="136"/>
      <c r="L369" s="136" t="e">
        <f t="shared" ref="L369:L432" si="28">SUM(I369:K369)/10^3</f>
        <v>#VALUE!</v>
      </c>
      <c r="M369" s="128"/>
      <c r="N369" s="136"/>
      <c r="O369" s="128"/>
      <c r="P369" s="136" t="e">
        <f t="shared" si="26"/>
        <v>#VALUE!</v>
      </c>
    </row>
    <row r="370" spans="1:16" ht="12" hidden="1" outlineLevel="1" thickBot="1">
      <c r="A370" s="115" t="s">
        <v>1575</v>
      </c>
      <c r="B370" s="115" t="s">
        <v>544</v>
      </c>
      <c r="C370" s="134" t="s">
        <v>1576</v>
      </c>
      <c r="E370" s="135" t="s">
        <v>1577</v>
      </c>
      <c r="F370" s="135" t="s">
        <v>1676</v>
      </c>
      <c r="G370" s="131" t="s">
        <v>81</v>
      </c>
      <c r="H370" s="132" t="e">
        <f t="shared" si="27"/>
        <v>#VALUE!</v>
      </c>
      <c r="I370" s="151" t="e">
        <f>_xll.GetCtData("COAMOUNT","CONSAMOUNT",$A$1:$A$8,$A370:$B370,,"#")/10^3*$H370</f>
        <v>#VALUE!</v>
      </c>
      <c r="J370" s="136"/>
      <c r="K370" s="136"/>
      <c r="L370" s="136" t="e">
        <f t="shared" si="28"/>
        <v>#VALUE!</v>
      </c>
      <c r="M370" s="128"/>
      <c r="N370" s="136"/>
      <c r="O370" s="128"/>
      <c r="P370" s="136" t="e">
        <f t="shared" si="26"/>
        <v>#VALUE!</v>
      </c>
    </row>
    <row r="371" spans="1:16" ht="12" hidden="1" outlineLevel="1" thickBot="1">
      <c r="A371" s="115" t="s">
        <v>1578</v>
      </c>
      <c r="B371" s="115" t="s">
        <v>544</v>
      </c>
      <c r="C371" s="134" t="s">
        <v>1579</v>
      </c>
      <c r="E371" s="135" t="s">
        <v>1580</v>
      </c>
      <c r="F371" s="135" t="s">
        <v>1676</v>
      </c>
      <c r="G371" s="131" t="s">
        <v>81</v>
      </c>
      <c r="H371" s="132" t="e">
        <f t="shared" si="27"/>
        <v>#VALUE!</v>
      </c>
      <c r="I371" s="151" t="e">
        <f>_xll.GetCtData("COAMOUNT","CONSAMOUNT",$A$1:$A$8,$A371:$B371,,"#")/10^3*$H371</f>
        <v>#VALUE!</v>
      </c>
      <c r="J371" s="136"/>
      <c r="K371" s="136"/>
      <c r="L371" s="136" t="e">
        <f t="shared" si="28"/>
        <v>#VALUE!</v>
      </c>
      <c r="M371" s="128"/>
      <c r="N371" s="136"/>
      <c r="O371" s="128"/>
      <c r="P371" s="136" t="e">
        <f t="shared" si="26"/>
        <v>#VALUE!</v>
      </c>
    </row>
    <row r="372" spans="1:16" ht="12" hidden="1" outlineLevel="1" thickBot="1">
      <c r="A372" s="115" t="s">
        <v>1581</v>
      </c>
      <c r="B372" s="115" t="s">
        <v>544</v>
      </c>
      <c r="C372" s="134" t="s">
        <v>1582</v>
      </c>
      <c r="E372" s="135" t="s">
        <v>1583</v>
      </c>
      <c r="F372" s="135" t="s">
        <v>1676</v>
      </c>
      <c r="G372" s="131" t="s">
        <v>81</v>
      </c>
      <c r="H372" s="132" t="e">
        <f t="shared" si="27"/>
        <v>#VALUE!</v>
      </c>
      <c r="I372" s="151" t="e">
        <f>_xll.GetCtData("COAMOUNT","CONSAMOUNT",$A$1:$A$8,$A372:$B372,,"#")/10^3*$H372</f>
        <v>#VALUE!</v>
      </c>
      <c r="J372" s="136"/>
      <c r="K372" s="136"/>
      <c r="L372" s="136" t="e">
        <f t="shared" si="28"/>
        <v>#VALUE!</v>
      </c>
      <c r="M372" s="128"/>
      <c r="N372" s="136"/>
      <c r="O372" s="128"/>
      <c r="P372" s="136" t="e">
        <f t="shared" si="26"/>
        <v>#VALUE!</v>
      </c>
    </row>
    <row r="373" spans="1:16" ht="12" hidden="1" outlineLevel="1" thickBot="1">
      <c r="A373" s="115" t="s">
        <v>1584</v>
      </c>
      <c r="B373" s="115" t="s">
        <v>544</v>
      </c>
      <c r="C373" s="134" t="s">
        <v>1585</v>
      </c>
      <c r="E373" s="135" t="s">
        <v>1586</v>
      </c>
      <c r="F373" s="135" t="s">
        <v>1676</v>
      </c>
      <c r="G373" s="131" t="s">
        <v>81</v>
      </c>
      <c r="H373" s="132" t="e">
        <f t="shared" si="27"/>
        <v>#VALUE!</v>
      </c>
      <c r="I373" s="151" t="e">
        <f>_xll.GetCtData("COAMOUNT","CONSAMOUNT",$A$1:$A$8,$A373:$B373,,"#")/10^3*$H373</f>
        <v>#VALUE!</v>
      </c>
      <c r="J373" s="136"/>
      <c r="K373" s="136"/>
      <c r="L373" s="136" t="e">
        <f t="shared" si="28"/>
        <v>#VALUE!</v>
      </c>
      <c r="M373" s="128"/>
      <c r="N373" s="136"/>
      <c r="O373" s="128"/>
      <c r="P373" s="136" t="e">
        <f t="shared" si="26"/>
        <v>#VALUE!</v>
      </c>
    </row>
    <row r="374" spans="1:16" ht="12" hidden="1" outlineLevel="1" thickBot="1">
      <c r="A374" s="115" t="s">
        <v>1587</v>
      </c>
      <c r="B374" s="115" t="s">
        <v>544</v>
      </c>
      <c r="C374" s="134" t="s">
        <v>1588</v>
      </c>
      <c r="E374" s="135" t="s">
        <v>1589</v>
      </c>
      <c r="F374" s="135" t="s">
        <v>1676</v>
      </c>
      <c r="G374" s="131" t="s">
        <v>81</v>
      </c>
      <c r="H374" s="132" t="e">
        <f t="shared" si="27"/>
        <v>#VALUE!</v>
      </c>
      <c r="I374" s="151" t="e">
        <f>_xll.GetCtData("COAMOUNT","CONSAMOUNT",$A$1:$A$8,$A374:$B374,,"#")/10^3*$H374</f>
        <v>#VALUE!</v>
      </c>
      <c r="J374" s="136"/>
      <c r="K374" s="136"/>
      <c r="L374" s="136" t="e">
        <f t="shared" si="28"/>
        <v>#VALUE!</v>
      </c>
      <c r="M374" s="128"/>
      <c r="N374" s="136"/>
      <c r="O374" s="128"/>
      <c r="P374" s="136" t="e">
        <f t="shared" si="26"/>
        <v>#VALUE!</v>
      </c>
    </row>
    <row r="375" spans="1:16" ht="12" hidden="1" outlineLevel="1" thickBot="1">
      <c r="A375" s="115" t="s">
        <v>1590</v>
      </c>
      <c r="B375" s="115" t="s">
        <v>544</v>
      </c>
      <c r="C375" s="134" t="s">
        <v>1591</v>
      </c>
      <c r="E375" s="135" t="s">
        <v>1592</v>
      </c>
      <c r="F375" s="135" t="s">
        <v>1676</v>
      </c>
      <c r="G375" s="131" t="s">
        <v>81</v>
      </c>
      <c r="H375" s="132" t="e">
        <f t="shared" si="27"/>
        <v>#VALUE!</v>
      </c>
      <c r="I375" s="151" t="e">
        <f>_xll.GetCtData("COAMOUNT","CONSAMOUNT",$A$1:$A$8,$A375:$B375,,"#")/10^3*$H375</f>
        <v>#VALUE!</v>
      </c>
      <c r="J375" s="136"/>
      <c r="K375" s="136"/>
      <c r="L375" s="136" t="e">
        <f t="shared" si="28"/>
        <v>#VALUE!</v>
      </c>
      <c r="M375" s="128"/>
      <c r="N375" s="136"/>
      <c r="O375" s="128"/>
      <c r="P375" s="136" t="e">
        <f t="shared" si="26"/>
        <v>#VALUE!</v>
      </c>
    </row>
    <row r="376" spans="1:16" ht="12" hidden="1" outlineLevel="1" thickBot="1">
      <c r="A376" s="115" t="s">
        <v>1593</v>
      </c>
      <c r="B376" s="115" t="s">
        <v>544</v>
      </c>
      <c r="C376" s="134" t="s">
        <v>1594</v>
      </c>
      <c r="E376" s="135" t="s">
        <v>1595</v>
      </c>
      <c r="F376" s="135" t="s">
        <v>1676</v>
      </c>
      <c r="G376" s="131" t="s">
        <v>81</v>
      </c>
      <c r="H376" s="132" t="e">
        <f t="shared" si="27"/>
        <v>#VALUE!</v>
      </c>
      <c r="I376" s="151" t="e">
        <f>_xll.GetCtData("COAMOUNT","CONSAMOUNT",$A$1:$A$8,$A376:$B376,,"#")/10^3*$H376</f>
        <v>#VALUE!</v>
      </c>
      <c r="J376" s="136"/>
      <c r="K376" s="136"/>
      <c r="L376" s="136" t="e">
        <f t="shared" si="28"/>
        <v>#VALUE!</v>
      </c>
      <c r="M376" s="128"/>
      <c r="N376" s="136"/>
      <c r="O376" s="128"/>
      <c r="P376" s="136" t="e">
        <f t="shared" si="26"/>
        <v>#VALUE!</v>
      </c>
    </row>
    <row r="377" spans="1:16" ht="12" hidden="1" outlineLevel="1" thickBot="1">
      <c r="A377" s="115" t="s">
        <v>1596</v>
      </c>
      <c r="B377" s="115" t="s">
        <v>544</v>
      </c>
      <c r="C377" s="134" t="s">
        <v>1597</v>
      </c>
      <c r="E377" s="135" t="s">
        <v>1598</v>
      </c>
      <c r="F377" s="135" t="s">
        <v>1676</v>
      </c>
      <c r="G377" s="131" t="s">
        <v>81</v>
      </c>
      <c r="H377" s="132" t="e">
        <f t="shared" si="27"/>
        <v>#VALUE!</v>
      </c>
      <c r="I377" s="151" t="e">
        <f>_xll.GetCtData("COAMOUNT","CONSAMOUNT",$A$1:$A$8,$A377:$B377,,"#")/10^3*$H377</f>
        <v>#VALUE!</v>
      </c>
      <c r="J377" s="136"/>
      <c r="K377" s="136"/>
      <c r="L377" s="136" t="e">
        <f t="shared" si="28"/>
        <v>#VALUE!</v>
      </c>
      <c r="M377" s="128"/>
      <c r="N377" s="136"/>
      <c r="O377" s="128"/>
      <c r="P377" s="136" t="e">
        <f t="shared" si="26"/>
        <v>#VALUE!</v>
      </c>
    </row>
    <row r="378" spans="1:16" ht="12" hidden="1" outlineLevel="1" thickBot="1">
      <c r="A378" s="115" t="s">
        <v>1599</v>
      </c>
      <c r="B378" s="115" t="s">
        <v>544</v>
      </c>
      <c r="C378" s="134" t="s">
        <v>1600</v>
      </c>
      <c r="E378" s="135" t="s">
        <v>1601</v>
      </c>
      <c r="F378" s="135" t="s">
        <v>1676</v>
      </c>
      <c r="G378" s="131" t="s">
        <v>81</v>
      </c>
      <c r="H378" s="132" t="e">
        <f t="shared" si="27"/>
        <v>#VALUE!</v>
      </c>
      <c r="I378" s="151" t="e">
        <f>_xll.GetCtData("COAMOUNT","CONSAMOUNT",$A$1:$A$8,$A378:$B378,,"#")/10^3*$H378</f>
        <v>#VALUE!</v>
      </c>
      <c r="J378" s="136"/>
      <c r="K378" s="136"/>
      <c r="L378" s="136" t="e">
        <f t="shared" si="28"/>
        <v>#VALUE!</v>
      </c>
      <c r="M378" s="128"/>
      <c r="N378" s="136"/>
      <c r="O378" s="128"/>
      <c r="P378" s="136" t="e">
        <f t="shared" si="26"/>
        <v>#VALUE!</v>
      </c>
    </row>
    <row r="379" spans="1:16" ht="12" hidden="1" outlineLevel="1" thickBot="1">
      <c r="A379" s="115" t="s">
        <v>1602</v>
      </c>
      <c r="B379" s="115" t="s">
        <v>544</v>
      </c>
      <c r="C379" s="134" t="s">
        <v>1603</v>
      </c>
      <c r="E379" s="135" t="s">
        <v>1604</v>
      </c>
      <c r="F379" s="135" t="s">
        <v>1676</v>
      </c>
      <c r="G379" s="131" t="s">
        <v>81</v>
      </c>
      <c r="H379" s="132" t="e">
        <f t="shared" si="27"/>
        <v>#VALUE!</v>
      </c>
      <c r="I379" s="151" t="e">
        <f>_xll.GetCtData("COAMOUNT","CONSAMOUNT",$A$1:$A$8,$A379:$B379,,"#")/10^3*$H379</f>
        <v>#VALUE!</v>
      </c>
      <c r="J379" s="136"/>
      <c r="K379" s="136"/>
      <c r="L379" s="136" t="e">
        <f t="shared" si="28"/>
        <v>#VALUE!</v>
      </c>
      <c r="M379" s="128"/>
      <c r="N379" s="136"/>
      <c r="O379" s="128"/>
      <c r="P379" s="136" t="e">
        <f t="shared" si="26"/>
        <v>#VALUE!</v>
      </c>
    </row>
    <row r="380" spans="1:16" ht="12" hidden="1" outlineLevel="1" thickBot="1">
      <c r="A380" s="115" t="s">
        <v>1605</v>
      </c>
      <c r="B380" s="115" t="s">
        <v>544</v>
      </c>
      <c r="C380" s="134" t="s">
        <v>1606</v>
      </c>
      <c r="E380" s="135" t="s">
        <v>1607</v>
      </c>
      <c r="F380" s="135" t="s">
        <v>1676</v>
      </c>
      <c r="G380" s="131" t="s">
        <v>81</v>
      </c>
      <c r="H380" s="132" t="e">
        <f t="shared" si="27"/>
        <v>#VALUE!</v>
      </c>
      <c r="I380" s="151" t="e">
        <f>_xll.GetCtData("COAMOUNT","CONSAMOUNT",$A$1:$A$8,$A380:$B380,,"#")/10^3*$H380</f>
        <v>#VALUE!</v>
      </c>
      <c r="J380" s="136"/>
      <c r="K380" s="136"/>
      <c r="L380" s="136" t="e">
        <f t="shared" si="28"/>
        <v>#VALUE!</v>
      </c>
      <c r="M380" s="128"/>
      <c r="N380" s="136"/>
      <c r="O380" s="128"/>
      <c r="P380" s="136" t="e">
        <f t="shared" si="26"/>
        <v>#VALUE!</v>
      </c>
    </row>
    <row r="381" spans="1:16" ht="12" hidden="1" outlineLevel="1" thickBot="1">
      <c r="A381" s="115" t="s">
        <v>1516</v>
      </c>
      <c r="B381" s="115" t="s">
        <v>544</v>
      </c>
      <c r="C381" s="134" t="s">
        <v>1517</v>
      </c>
      <c r="E381" s="135" t="s">
        <v>1518</v>
      </c>
      <c r="F381" s="135" t="s">
        <v>1676</v>
      </c>
      <c r="G381" s="131" t="s">
        <v>81</v>
      </c>
      <c r="H381" s="132" t="e">
        <f t="shared" si="27"/>
        <v>#VALUE!</v>
      </c>
      <c r="I381" s="151" t="e">
        <f>_xll.GetCtData("COAMOUNT","CONSAMOUNT",$A$1:$A$8,$A381:$B381,,"#")/10^3*$H381</f>
        <v>#VALUE!</v>
      </c>
      <c r="J381" s="136"/>
      <c r="K381" s="136"/>
      <c r="L381" s="136" t="e">
        <f t="shared" si="28"/>
        <v>#VALUE!</v>
      </c>
      <c r="M381" s="128"/>
      <c r="N381" s="136"/>
      <c r="O381" s="128"/>
      <c r="P381" s="136" t="e">
        <f t="shared" si="26"/>
        <v>#VALUE!</v>
      </c>
    </row>
    <row r="382" spans="1:16" ht="12" hidden="1" outlineLevel="1" thickBot="1">
      <c r="A382" s="115" t="s">
        <v>1519</v>
      </c>
      <c r="B382" s="115" t="s">
        <v>544</v>
      </c>
      <c r="C382" s="134" t="s">
        <v>1520</v>
      </c>
      <c r="E382" s="135" t="s">
        <v>1521</v>
      </c>
      <c r="F382" s="135" t="s">
        <v>1676</v>
      </c>
      <c r="G382" s="131" t="s">
        <v>81</v>
      </c>
      <c r="H382" s="132" t="e">
        <f t="shared" si="27"/>
        <v>#VALUE!</v>
      </c>
      <c r="I382" s="151" t="e">
        <f>_xll.GetCtData("COAMOUNT","CONSAMOUNT",$A$1:$A$8,$A382:$B382,,"#")/10^3*$H382</f>
        <v>#VALUE!</v>
      </c>
      <c r="J382" s="136"/>
      <c r="K382" s="136"/>
      <c r="L382" s="136" t="e">
        <f t="shared" si="28"/>
        <v>#VALUE!</v>
      </c>
      <c r="M382" s="128"/>
      <c r="N382" s="136"/>
      <c r="O382" s="128"/>
      <c r="P382" s="136" t="e">
        <f t="shared" si="26"/>
        <v>#VALUE!</v>
      </c>
    </row>
    <row r="383" spans="1:16" ht="12" hidden="1" outlineLevel="1" thickBot="1">
      <c r="A383" s="115" t="s">
        <v>1522</v>
      </c>
      <c r="B383" s="115" t="s">
        <v>544</v>
      </c>
      <c r="C383" s="134" t="s">
        <v>1523</v>
      </c>
      <c r="E383" s="135" t="s">
        <v>1524</v>
      </c>
      <c r="F383" s="135" t="s">
        <v>1676</v>
      </c>
      <c r="G383" s="131" t="s">
        <v>81</v>
      </c>
      <c r="H383" s="132" t="e">
        <f t="shared" si="27"/>
        <v>#VALUE!</v>
      </c>
      <c r="I383" s="151" t="e">
        <f>_xll.GetCtData("COAMOUNT","CONSAMOUNT",$A$1:$A$8,$A383:$B383,,"#")/10^3*$H383</f>
        <v>#VALUE!</v>
      </c>
      <c r="J383" s="136"/>
      <c r="K383" s="136"/>
      <c r="L383" s="136" t="e">
        <f t="shared" si="28"/>
        <v>#VALUE!</v>
      </c>
      <c r="M383" s="128"/>
      <c r="N383" s="136"/>
      <c r="O383" s="128"/>
      <c r="P383" s="136" t="e">
        <f t="shared" si="26"/>
        <v>#VALUE!</v>
      </c>
    </row>
    <row r="384" spans="1:16" ht="12" hidden="1" outlineLevel="1" thickBot="1">
      <c r="A384" s="115" t="s">
        <v>1525</v>
      </c>
      <c r="B384" s="115" t="s">
        <v>544</v>
      </c>
      <c r="C384" s="134" t="s">
        <v>1526</v>
      </c>
      <c r="E384" s="135" t="s">
        <v>1527</v>
      </c>
      <c r="F384" s="135" t="s">
        <v>1676</v>
      </c>
      <c r="G384" s="131" t="s">
        <v>81</v>
      </c>
      <c r="H384" s="132" t="e">
        <f t="shared" si="27"/>
        <v>#VALUE!</v>
      </c>
      <c r="I384" s="151" t="e">
        <f>_xll.GetCtData("COAMOUNT","CONSAMOUNT",$A$1:$A$8,$A384:$B384,,"#")/10^3*$H384</f>
        <v>#VALUE!</v>
      </c>
      <c r="J384" s="136"/>
      <c r="K384" s="136"/>
      <c r="L384" s="136" t="e">
        <f t="shared" si="28"/>
        <v>#VALUE!</v>
      </c>
      <c r="M384" s="128"/>
      <c r="N384" s="136"/>
      <c r="O384" s="128"/>
      <c r="P384" s="136" t="e">
        <f t="shared" si="26"/>
        <v>#VALUE!</v>
      </c>
    </row>
    <row r="385" spans="1:16" ht="12" hidden="1" outlineLevel="1" thickBot="1">
      <c r="A385" s="115" t="s">
        <v>1528</v>
      </c>
      <c r="B385" s="115" t="s">
        <v>544</v>
      </c>
      <c r="C385" s="134" t="s">
        <v>1529</v>
      </c>
      <c r="E385" s="135" t="s">
        <v>1530</v>
      </c>
      <c r="F385" s="135" t="s">
        <v>1676</v>
      </c>
      <c r="G385" s="131" t="s">
        <v>81</v>
      </c>
      <c r="H385" s="132" t="e">
        <f t="shared" si="27"/>
        <v>#VALUE!</v>
      </c>
      <c r="I385" s="151" t="e">
        <f>_xll.GetCtData("COAMOUNT","CONSAMOUNT",$A$1:$A$8,$A385:$B385,,"#")/10^3*$H385</f>
        <v>#VALUE!</v>
      </c>
      <c r="J385" s="136"/>
      <c r="K385" s="136"/>
      <c r="L385" s="136" t="e">
        <f t="shared" si="28"/>
        <v>#VALUE!</v>
      </c>
      <c r="M385" s="128"/>
      <c r="N385" s="136"/>
      <c r="O385" s="128"/>
      <c r="P385" s="136" t="e">
        <f t="shared" si="26"/>
        <v>#VALUE!</v>
      </c>
    </row>
    <row r="386" spans="1:16" ht="12" hidden="1" outlineLevel="1" thickBot="1">
      <c r="A386" s="115" t="s">
        <v>1531</v>
      </c>
      <c r="B386" s="115" t="s">
        <v>544</v>
      </c>
      <c r="C386" s="134" t="s">
        <v>1532</v>
      </c>
      <c r="E386" s="135" t="s">
        <v>1533</v>
      </c>
      <c r="F386" s="135" t="s">
        <v>1676</v>
      </c>
      <c r="G386" s="131" t="s">
        <v>81</v>
      </c>
      <c r="H386" s="132" t="e">
        <f t="shared" si="27"/>
        <v>#VALUE!</v>
      </c>
      <c r="I386" s="151" t="e">
        <f>_xll.GetCtData("COAMOUNT","CONSAMOUNT",$A$1:$A$8,$A386:$B386,,"#")/10^3*$H386</f>
        <v>#VALUE!</v>
      </c>
      <c r="J386" s="136"/>
      <c r="K386" s="136"/>
      <c r="L386" s="136" t="e">
        <f t="shared" si="28"/>
        <v>#VALUE!</v>
      </c>
      <c r="M386" s="128"/>
      <c r="N386" s="136"/>
      <c r="O386" s="128"/>
      <c r="P386" s="136" t="e">
        <f t="shared" si="26"/>
        <v>#VALUE!</v>
      </c>
    </row>
    <row r="387" spans="1:16" ht="12" hidden="1" outlineLevel="1" thickBot="1">
      <c r="A387" s="115" t="s">
        <v>1534</v>
      </c>
      <c r="B387" s="115" t="s">
        <v>544</v>
      </c>
      <c r="C387" s="134" t="s">
        <v>1535</v>
      </c>
      <c r="E387" s="135" t="s">
        <v>1536</v>
      </c>
      <c r="F387" s="135" t="s">
        <v>1676</v>
      </c>
      <c r="G387" s="131" t="s">
        <v>81</v>
      </c>
      <c r="H387" s="132" t="e">
        <f t="shared" si="27"/>
        <v>#VALUE!</v>
      </c>
      <c r="I387" s="151" t="e">
        <f>_xll.GetCtData("COAMOUNT","CONSAMOUNT",$A$1:$A$8,$A387:$B387,,"#")/10^3*$H387</f>
        <v>#VALUE!</v>
      </c>
      <c r="J387" s="136"/>
      <c r="K387" s="136"/>
      <c r="L387" s="136" t="e">
        <f t="shared" si="28"/>
        <v>#VALUE!</v>
      </c>
      <c r="M387" s="128"/>
      <c r="N387" s="136"/>
      <c r="O387" s="128"/>
      <c r="P387" s="136" t="e">
        <f t="shared" si="26"/>
        <v>#VALUE!</v>
      </c>
    </row>
    <row r="388" spans="1:16" ht="12" hidden="1" outlineLevel="1" thickBot="1">
      <c r="A388" s="115" t="s">
        <v>1537</v>
      </c>
      <c r="B388" s="115" t="s">
        <v>544</v>
      </c>
      <c r="C388" s="134" t="s">
        <v>1538</v>
      </c>
      <c r="E388" s="135" t="s">
        <v>1539</v>
      </c>
      <c r="F388" s="135" t="s">
        <v>1676</v>
      </c>
      <c r="G388" s="131" t="s">
        <v>81</v>
      </c>
      <c r="H388" s="132" t="e">
        <f t="shared" si="27"/>
        <v>#VALUE!</v>
      </c>
      <c r="I388" s="151" t="e">
        <f>_xll.GetCtData("COAMOUNT","CONSAMOUNT",$A$1:$A$8,$A388:$B388,,"#")/10^3*$H388</f>
        <v>#VALUE!</v>
      </c>
      <c r="J388" s="136"/>
      <c r="K388" s="136"/>
      <c r="L388" s="136" t="e">
        <f t="shared" si="28"/>
        <v>#VALUE!</v>
      </c>
      <c r="M388" s="128"/>
      <c r="N388" s="136"/>
      <c r="O388" s="128"/>
      <c r="P388" s="136" t="e">
        <f t="shared" si="26"/>
        <v>#VALUE!</v>
      </c>
    </row>
    <row r="389" spans="1:16" ht="12" hidden="1" outlineLevel="1" thickBot="1">
      <c r="A389" s="115" t="s">
        <v>1540</v>
      </c>
      <c r="B389" s="115" t="s">
        <v>544</v>
      </c>
      <c r="C389" s="134" t="s">
        <v>1541</v>
      </c>
      <c r="E389" s="135" t="s">
        <v>1542</v>
      </c>
      <c r="F389" s="135" t="s">
        <v>1676</v>
      </c>
      <c r="G389" s="131" t="s">
        <v>81</v>
      </c>
      <c r="H389" s="132" t="e">
        <f t="shared" si="27"/>
        <v>#VALUE!</v>
      </c>
      <c r="I389" s="151" t="e">
        <f>_xll.GetCtData("COAMOUNT","CONSAMOUNT",$A$1:$A$8,$A389:$B389,,"#")/10^3*$H389</f>
        <v>#VALUE!</v>
      </c>
      <c r="J389" s="136"/>
      <c r="K389" s="136"/>
      <c r="L389" s="136" t="e">
        <f t="shared" si="28"/>
        <v>#VALUE!</v>
      </c>
      <c r="M389" s="128"/>
      <c r="N389" s="136"/>
      <c r="O389" s="128"/>
      <c r="P389" s="136" t="e">
        <f t="shared" si="26"/>
        <v>#VALUE!</v>
      </c>
    </row>
    <row r="390" spans="1:16" ht="12" hidden="1" outlineLevel="1" thickBot="1">
      <c r="A390" s="115" t="s">
        <v>1543</v>
      </c>
      <c r="B390" s="115" t="s">
        <v>544</v>
      </c>
      <c r="C390" s="134" t="s">
        <v>1544</v>
      </c>
      <c r="E390" s="135" t="s">
        <v>1545</v>
      </c>
      <c r="F390" s="135" t="s">
        <v>1676</v>
      </c>
      <c r="G390" s="131" t="s">
        <v>81</v>
      </c>
      <c r="H390" s="132" t="e">
        <f t="shared" si="27"/>
        <v>#VALUE!</v>
      </c>
      <c r="I390" s="151" t="e">
        <f>_xll.GetCtData("COAMOUNT","CONSAMOUNT",$A$1:$A$8,$A390:$B390,,"#")/10^3*$H390</f>
        <v>#VALUE!</v>
      </c>
      <c r="J390" s="136"/>
      <c r="K390" s="136"/>
      <c r="L390" s="136" t="e">
        <f t="shared" si="28"/>
        <v>#VALUE!</v>
      </c>
      <c r="M390" s="128"/>
      <c r="N390" s="136"/>
      <c r="O390" s="128"/>
      <c r="P390" s="136" t="e">
        <f t="shared" si="26"/>
        <v>#VALUE!</v>
      </c>
    </row>
    <row r="391" spans="1:16" ht="12" hidden="1" outlineLevel="1" thickBot="1">
      <c r="A391" s="115" t="s">
        <v>1546</v>
      </c>
      <c r="B391" s="115" t="s">
        <v>544</v>
      </c>
      <c r="C391" s="134" t="s">
        <v>1547</v>
      </c>
      <c r="E391" s="135" t="s">
        <v>1548</v>
      </c>
      <c r="F391" s="135" t="s">
        <v>1676</v>
      </c>
      <c r="G391" s="131" t="s">
        <v>81</v>
      </c>
      <c r="H391" s="132" t="e">
        <f t="shared" si="27"/>
        <v>#VALUE!</v>
      </c>
      <c r="I391" s="151" t="e">
        <f>_xll.GetCtData("COAMOUNT","CONSAMOUNT",$A$1:$A$8,$A391:$B391,,"#")/10^3*$H391</f>
        <v>#VALUE!</v>
      </c>
      <c r="J391" s="136"/>
      <c r="K391" s="136"/>
      <c r="L391" s="136" t="e">
        <f t="shared" si="28"/>
        <v>#VALUE!</v>
      </c>
      <c r="M391" s="128"/>
      <c r="N391" s="136"/>
      <c r="O391" s="128"/>
      <c r="P391" s="136" t="e">
        <f t="shared" si="26"/>
        <v>#VALUE!</v>
      </c>
    </row>
    <row r="392" spans="1:16" ht="12" hidden="1" outlineLevel="1" thickBot="1">
      <c r="A392" s="115" t="s">
        <v>1549</v>
      </c>
      <c r="B392" s="115" t="s">
        <v>544</v>
      </c>
      <c r="C392" s="134" t="s">
        <v>1550</v>
      </c>
      <c r="E392" s="135" t="s">
        <v>1551</v>
      </c>
      <c r="F392" s="135" t="s">
        <v>1676</v>
      </c>
      <c r="G392" s="131" t="s">
        <v>81</v>
      </c>
      <c r="H392" s="132" t="e">
        <f t="shared" si="27"/>
        <v>#VALUE!</v>
      </c>
      <c r="I392" s="151" t="e">
        <f>_xll.GetCtData("COAMOUNT","CONSAMOUNT",$A$1:$A$8,$A392:$B392,,"#")/10^3*$H392</f>
        <v>#VALUE!</v>
      </c>
      <c r="J392" s="136"/>
      <c r="K392" s="136"/>
      <c r="L392" s="136" t="e">
        <f t="shared" si="28"/>
        <v>#VALUE!</v>
      </c>
      <c r="M392" s="128"/>
      <c r="N392" s="136"/>
      <c r="O392" s="128"/>
      <c r="P392" s="136" t="e">
        <f t="shared" si="26"/>
        <v>#VALUE!</v>
      </c>
    </row>
    <row r="393" spans="1:16" ht="12" hidden="1" outlineLevel="1" thickBot="1">
      <c r="A393" s="115" t="s">
        <v>1608</v>
      </c>
      <c r="B393" s="115" t="s">
        <v>544</v>
      </c>
      <c r="C393" s="134" t="s">
        <v>1609</v>
      </c>
      <c r="E393" s="135" t="s">
        <v>1610</v>
      </c>
      <c r="F393" s="135" t="s">
        <v>1676</v>
      </c>
      <c r="G393" s="131" t="s">
        <v>81</v>
      </c>
      <c r="H393" s="132" t="e">
        <f t="shared" si="27"/>
        <v>#VALUE!</v>
      </c>
      <c r="I393" s="136"/>
      <c r="J393" s="151" t="e">
        <f>_xll.GetCtData("COAMOUNT","CONSAMOUNT",$A$1:$A$8,$A393:$B393,,"#")/10^3*$H393</f>
        <v>#VALUE!</v>
      </c>
      <c r="K393" s="136"/>
      <c r="L393" s="136" t="e">
        <f t="shared" si="28"/>
        <v>#VALUE!</v>
      </c>
      <c r="M393" s="128"/>
      <c r="N393" s="136"/>
      <c r="O393" s="128"/>
      <c r="P393" s="136" t="e">
        <f t="shared" si="26"/>
        <v>#VALUE!</v>
      </c>
    </row>
    <row r="394" spans="1:16" ht="12" hidden="1" outlineLevel="1" thickBot="1">
      <c r="A394" s="115" t="s">
        <v>1611</v>
      </c>
      <c r="B394" s="115" t="s">
        <v>544</v>
      </c>
      <c r="C394" s="134" t="s">
        <v>1612</v>
      </c>
      <c r="E394" s="135" t="s">
        <v>1613</v>
      </c>
      <c r="F394" s="135" t="s">
        <v>1676</v>
      </c>
      <c r="G394" s="131" t="s">
        <v>81</v>
      </c>
      <c r="H394" s="132" t="e">
        <f t="shared" si="27"/>
        <v>#VALUE!</v>
      </c>
      <c r="I394" s="136"/>
      <c r="J394" s="151" t="e">
        <f>_xll.GetCtData("COAMOUNT","CONSAMOUNT",$A$1:$A$8,$A394:$B394,,"#")/10^3*$H394</f>
        <v>#VALUE!</v>
      </c>
      <c r="K394" s="136"/>
      <c r="L394" s="136" t="e">
        <f t="shared" si="28"/>
        <v>#VALUE!</v>
      </c>
      <c r="M394" s="128"/>
      <c r="N394" s="136"/>
      <c r="O394" s="128"/>
      <c r="P394" s="136" t="e">
        <f t="shared" si="26"/>
        <v>#VALUE!</v>
      </c>
    </row>
    <row r="395" spans="1:16" ht="12" hidden="1" outlineLevel="1" thickBot="1">
      <c r="A395" s="115" t="s">
        <v>1614</v>
      </c>
      <c r="B395" s="115" t="s">
        <v>544</v>
      </c>
      <c r="C395" s="134" t="s">
        <v>1615</v>
      </c>
      <c r="E395" s="135" t="s">
        <v>1616</v>
      </c>
      <c r="F395" s="135" t="s">
        <v>1676</v>
      </c>
      <c r="G395" s="131" t="s">
        <v>81</v>
      </c>
      <c r="H395" s="132" t="e">
        <f t="shared" si="27"/>
        <v>#VALUE!</v>
      </c>
      <c r="I395" s="136"/>
      <c r="J395" s="151" t="e">
        <f>_xll.GetCtData("COAMOUNT","CONSAMOUNT",$A$1:$A$8,$A395:$B395,,"#")/10^3*$H395</f>
        <v>#VALUE!</v>
      </c>
      <c r="K395" s="136"/>
      <c r="L395" s="136" t="e">
        <f t="shared" si="28"/>
        <v>#VALUE!</v>
      </c>
      <c r="M395" s="128"/>
      <c r="N395" s="136"/>
      <c r="O395" s="128"/>
      <c r="P395" s="136" t="e">
        <f t="shared" si="26"/>
        <v>#VALUE!</v>
      </c>
    </row>
    <row r="396" spans="1:16" ht="12" hidden="1" outlineLevel="1" thickBot="1">
      <c r="A396" s="115" t="s">
        <v>1617</v>
      </c>
      <c r="B396" s="115" t="s">
        <v>544</v>
      </c>
      <c r="C396" s="134" t="s">
        <v>1618</v>
      </c>
      <c r="E396" s="135" t="s">
        <v>1619</v>
      </c>
      <c r="F396" s="135" t="s">
        <v>1676</v>
      </c>
      <c r="G396" s="131" t="s">
        <v>81</v>
      </c>
      <c r="H396" s="132" t="e">
        <f t="shared" si="27"/>
        <v>#VALUE!</v>
      </c>
      <c r="I396" s="136"/>
      <c r="J396" s="151" t="e">
        <f>_xll.GetCtData("COAMOUNT","CONSAMOUNT",$A$1:$A$8,$A396:$B396,,"#")/10^3*$H396</f>
        <v>#VALUE!</v>
      </c>
      <c r="K396" s="136"/>
      <c r="L396" s="136" t="e">
        <f t="shared" si="28"/>
        <v>#VALUE!</v>
      </c>
      <c r="M396" s="128"/>
      <c r="N396" s="136"/>
      <c r="O396" s="128"/>
      <c r="P396" s="136" t="e">
        <f t="shared" si="26"/>
        <v>#VALUE!</v>
      </c>
    </row>
    <row r="397" spans="1:16" ht="12" hidden="1" outlineLevel="1" thickBot="1">
      <c r="A397" s="115" t="s">
        <v>1552</v>
      </c>
      <c r="B397" s="115" t="s">
        <v>544</v>
      </c>
      <c r="C397" s="134" t="s">
        <v>1553</v>
      </c>
      <c r="E397" s="135" t="s">
        <v>1554</v>
      </c>
      <c r="F397" s="135" t="s">
        <v>1676</v>
      </c>
      <c r="G397" s="131" t="s">
        <v>81</v>
      </c>
      <c r="H397" s="132" t="e">
        <f t="shared" si="27"/>
        <v>#VALUE!</v>
      </c>
      <c r="I397" s="136"/>
      <c r="J397" s="151" t="e">
        <f>_xll.GetCtData("COAMOUNT","CONSAMOUNT",$A$1:$A$8,$A397:$B397,,"#")/10^3*$H397</f>
        <v>#VALUE!</v>
      </c>
      <c r="K397" s="136"/>
      <c r="L397" s="136" t="e">
        <f t="shared" si="28"/>
        <v>#VALUE!</v>
      </c>
      <c r="M397" s="128"/>
      <c r="N397" s="136"/>
      <c r="O397" s="128"/>
      <c r="P397" s="136" t="e">
        <f t="shared" si="26"/>
        <v>#VALUE!</v>
      </c>
    </row>
    <row r="398" spans="1:16" ht="12" hidden="1" outlineLevel="1" thickBot="1">
      <c r="A398" s="115" t="s">
        <v>1555</v>
      </c>
      <c r="B398" s="115" t="s">
        <v>544</v>
      </c>
      <c r="C398" s="134" t="s">
        <v>1556</v>
      </c>
      <c r="E398" s="135" t="s">
        <v>1557</v>
      </c>
      <c r="F398" s="135" t="s">
        <v>1676</v>
      </c>
      <c r="G398" s="131" t="s">
        <v>81</v>
      </c>
      <c r="H398" s="132" t="e">
        <f t="shared" si="27"/>
        <v>#VALUE!</v>
      </c>
      <c r="I398" s="136"/>
      <c r="J398" s="151" t="e">
        <f>_xll.GetCtData("COAMOUNT","CONSAMOUNT",$A$1:$A$8,$A398:$B398,,"#")/10^3*$H398</f>
        <v>#VALUE!</v>
      </c>
      <c r="K398" s="136"/>
      <c r="L398" s="136" t="e">
        <f t="shared" si="28"/>
        <v>#VALUE!</v>
      </c>
      <c r="M398" s="128"/>
      <c r="N398" s="136"/>
      <c r="O398" s="128"/>
      <c r="P398" s="136" t="e">
        <f t="shared" si="26"/>
        <v>#VALUE!</v>
      </c>
    </row>
    <row r="399" spans="1:16" ht="12" hidden="1" outlineLevel="1" thickBot="1">
      <c r="A399" s="115" t="s">
        <v>1558</v>
      </c>
      <c r="B399" s="115" t="s">
        <v>544</v>
      </c>
      <c r="C399" s="134" t="s">
        <v>1559</v>
      </c>
      <c r="E399" s="135" t="s">
        <v>1560</v>
      </c>
      <c r="F399" s="135" t="s">
        <v>1676</v>
      </c>
      <c r="G399" s="131" t="s">
        <v>81</v>
      </c>
      <c r="H399" s="132" t="e">
        <f t="shared" si="27"/>
        <v>#VALUE!</v>
      </c>
      <c r="I399" s="136"/>
      <c r="J399" s="151" t="e">
        <f>_xll.GetCtData("COAMOUNT","CONSAMOUNT",$A$1:$A$8,$A399:$B399,,"#")/10^3*$H399</f>
        <v>#VALUE!</v>
      </c>
      <c r="K399" s="136"/>
      <c r="L399" s="136" t="e">
        <f t="shared" si="28"/>
        <v>#VALUE!</v>
      </c>
      <c r="M399" s="128"/>
      <c r="N399" s="136"/>
      <c r="O399" s="128"/>
      <c r="P399" s="136" t="e">
        <f t="shared" si="26"/>
        <v>#VALUE!</v>
      </c>
    </row>
    <row r="400" spans="1:16" ht="12" hidden="1" outlineLevel="1" thickBot="1">
      <c r="A400" s="115" t="s">
        <v>1561</v>
      </c>
      <c r="B400" s="115" t="s">
        <v>544</v>
      </c>
      <c r="C400" s="134" t="s">
        <v>1562</v>
      </c>
      <c r="E400" s="135" t="s">
        <v>1563</v>
      </c>
      <c r="F400" s="135" t="s">
        <v>1676</v>
      </c>
      <c r="G400" s="131" t="s">
        <v>81</v>
      </c>
      <c r="H400" s="132" t="e">
        <f t="shared" si="27"/>
        <v>#VALUE!</v>
      </c>
      <c r="I400" s="136"/>
      <c r="J400" s="151" t="e">
        <f>_xll.GetCtData("COAMOUNT","CONSAMOUNT",$A$1:$A$8,$A400:$B400,,"#")/10^3*$H400</f>
        <v>#VALUE!</v>
      </c>
      <c r="K400" s="136"/>
      <c r="L400" s="136" t="e">
        <f t="shared" si="28"/>
        <v>#VALUE!</v>
      </c>
      <c r="M400" s="128"/>
      <c r="N400" s="136"/>
      <c r="O400" s="128"/>
      <c r="P400" s="136" t="e">
        <f t="shared" si="26"/>
        <v>#VALUE!</v>
      </c>
    </row>
    <row r="401" spans="1:16" ht="12" hidden="1" outlineLevel="1" thickBot="1">
      <c r="A401" s="115" t="s">
        <v>1620</v>
      </c>
      <c r="B401" s="115" t="s">
        <v>544</v>
      </c>
      <c r="C401" s="134" t="s">
        <v>1621</v>
      </c>
      <c r="E401" s="135" t="s">
        <v>1622</v>
      </c>
      <c r="F401" s="135" t="s">
        <v>1676</v>
      </c>
      <c r="G401" s="131" t="s">
        <v>81</v>
      </c>
      <c r="H401" s="132" t="e">
        <f t="shared" si="27"/>
        <v>#VALUE!</v>
      </c>
      <c r="I401" s="136"/>
      <c r="J401" s="136"/>
      <c r="K401" s="151" t="e">
        <f>_xll.GetCtData("COAMOUNT","CONSAMOUNT",$A$1:$A$8,$A401:$B401,,"#")/10^3*$H401</f>
        <v>#VALUE!</v>
      </c>
      <c r="L401" s="136" t="e">
        <f t="shared" si="28"/>
        <v>#VALUE!</v>
      </c>
      <c r="M401" s="128"/>
      <c r="N401" s="136"/>
      <c r="O401" s="128"/>
      <c r="P401" s="136" t="e">
        <f t="shared" si="26"/>
        <v>#VALUE!</v>
      </c>
    </row>
    <row r="402" spans="1:16" ht="12" hidden="1" outlineLevel="1" thickBot="1">
      <c r="A402" s="115" t="s">
        <v>1623</v>
      </c>
      <c r="B402" s="115" t="s">
        <v>544</v>
      </c>
      <c r="C402" s="134" t="s">
        <v>1624</v>
      </c>
      <c r="E402" s="135" t="s">
        <v>1625</v>
      </c>
      <c r="F402" s="135" t="s">
        <v>1676</v>
      </c>
      <c r="G402" s="131" t="s">
        <v>81</v>
      </c>
      <c r="H402" s="132" t="e">
        <f t="shared" si="27"/>
        <v>#VALUE!</v>
      </c>
      <c r="I402" s="136"/>
      <c r="J402" s="136"/>
      <c r="K402" s="151" t="e">
        <f>_xll.GetCtData("COAMOUNT","CONSAMOUNT",$A$1:$A$8,$A402:$B402,,"#")/10^3*$H402</f>
        <v>#VALUE!</v>
      </c>
      <c r="L402" s="136" t="e">
        <f t="shared" si="28"/>
        <v>#VALUE!</v>
      </c>
      <c r="M402" s="128"/>
      <c r="N402" s="136"/>
      <c r="O402" s="128"/>
      <c r="P402" s="136" t="e">
        <f t="shared" si="26"/>
        <v>#VALUE!</v>
      </c>
    </row>
    <row r="403" spans="1:16" ht="12" hidden="1" outlineLevel="1" thickBot="1">
      <c r="A403" s="115" t="s">
        <v>1564</v>
      </c>
      <c r="B403" s="115" t="s">
        <v>544</v>
      </c>
      <c r="C403" s="134" t="s">
        <v>1565</v>
      </c>
      <c r="E403" s="135" t="s">
        <v>1566</v>
      </c>
      <c r="F403" s="135" t="s">
        <v>1676</v>
      </c>
      <c r="G403" s="131" t="s">
        <v>81</v>
      </c>
      <c r="H403" s="132" t="e">
        <f t="shared" si="27"/>
        <v>#VALUE!</v>
      </c>
      <c r="I403" s="136"/>
      <c r="J403" s="136"/>
      <c r="K403" s="151" t="e">
        <f>_xll.GetCtData("COAMOUNT","CONSAMOUNT",$A$1:$A$8,$A403:$B403,,"#")/10^3*$H403</f>
        <v>#VALUE!</v>
      </c>
      <c r="L403" s="136" t="e">
        <f t="shared" si="28"/>
        <v>#VALUE!</v>
      </c>
      <c r="M403" s="128"/>
      <c r="N403" s="136"/>
      <c r="O403" s="128"/>
      <c r="P403" s="136" t="e">
        <f t="shared" si="26"/>
        <v>#VALUE!</v>
      </c>
    </row>
    <row r="404" spans="1:16" ht="12" hidden="1" outlineLevel="1" thickBot="1">
      <c r="A404" s="115" t="s">
        <v>1567</v>
      </c>
      <c r="B404" s="115" t="s">
        <v>544</v>
      </c>
      <c r="C404" s="134" t="s">
        <v>1568</v>
      </c>
      <c r="E404" s="135" t="s">
        <v>1569</v>
      </c>
      <c r="F404" s="135" t="s">
        <v>1676</v>
      </c>
      <c r="G404" s="131" t="s">
        <v>81</v>
      </c>
      <c r="H404" s="132" t="e">
        <f t="shared" si="27"/>
        <v>#VALUE!</v>
      </c>
      <c r="I404" s="136"/>
      <c r="J404" s="136"/>
      <c r="K404" s="151" t="e">
        <f>_xll.GetCtData("COAMOUNT","CONSAMOUNT",$A$1:$A$8,$A404:$B404,,"#")/10^3*$H404</f>
        <v>#VALUE!</v>
      </c>
      <c r="L404" s="136" t="e">
        <f t="shared" si="28"/>
        <v>#VALUE!</v>
      </c>
      <c r="M404" s="128"/>
      <c r="N404" s="136"/>
      <c r="O404" s="128"/>
      <c r="P404" s="136" t="e">
        <f t="shared" si="26"/>
        <v>#VALUE!</v>
      </c>
    </row>
    <row r="405" spans="1:16" ht="12" hidden="1" outlineLevel="1" thickBot="1">
      <c r="A405" s="115" t="s">
        <v>1572</v>
      </c>
      <c r="B405" s="115" t="s">
        <v>147</v>
      </c>
      <c r="C405" s="134" t="s">
        <v>1573</v>
      </c>
      <c r="E405" s="135" t="s">
        <v>1574</v>
      </c>
      <c r="F405" s="135" t="s">
        <v>148</v>
      </c>
      <c r="G405" s="131" t="s">
        <v>1685</v>
      </c>
      <c r="H405" s="132" t="e">
        <f t="shared" si="27"/>
        <v>#VALUE!</v>
      </c>
      <c r="I405" s="151" t="e">
        <f>_xll.GetCtData("COAMOUNT","CONSAMOUNT",$A$1:$A$8,$A405:$B405,,"#")/10^3*$H405</f>
        <v>#VALUE!</v>
      </c>
      <c r="J405" s="136"/>
      <c r="K405" s="136"/>
      <c r="L405" s="136" t="e">
        <f t="shared" si="28"/>
        <v>#VALUE!</v>
      </c>
      <c r="M405" s="128"/>
      <c r="N405" s="136"/>
      <c r="O405" s="128"/>
      <c r="P405" s="136" t="e">
        <f t="shared" si="26"/>
        <v>#VALUE!</v>
      </c>
    </row>
    <row r="406" spans="1:16" ht="12" hidden="1" outlineLevel="1" thickBot="1">
      <c r="A406" s="115" t="s">
        <v>1575</v>
      </c>
      <c r="B406" s="115" t="s">
        <v>147</v>
      </c>
      <c r="C406" s="134" t="s">
        <v>1576</v>
      </c>
      <c r="E406" s="135" t="s">
        <v>1577</v>
      </c>
      <c r="F406" s="135" t="s">
        <v>148</v>
      </c>
      <c r="G406" s="131" t="s">
        <v>1685</v>
      </c>
      <c r="H406" s="132" t="e">
        <f t="shared" si="27"/>
        <v>#VALUE!</v>
      </c>
      <c r="I406" s="151" t="e">
        <f>_xll.GetCtData("COAMOUNT","CONSAMOUNT",$A$1:$A$8,$A406:$B406,,"#")/10^3*$H406</f>
        <v>#VALUE!</v>
      </c>
      <c r="J406" s="136"/>
      <c r="K406" s="136"/>
      <c r="L406" s="136" t="e">
        <f t="shared" si="28"/>
        <v>#VALUE!</v>
      </c>
      <c r="M406" s="128"/>
      <c r="N406" s="136"/>
      <c r="O406" s="128"/>
      <c r="P406" s="136" t="e">
        <f t="shared" si="26"/>
        <v>#VALUE!</v>
      </c>
    </row>
    <row r="407" spans="1:16" ht="12" hidden="1" outlineLevel="1" thickBot="1">
      <c r="A407" s="115" t="s">
        <v>1578</v>
      </c>
      <c r="B407" s="115" t="s">
        <v>147</v>
      </c>
      <c r="C407" s="134" t="s">
        <v>1579</v>
      </c>
      <c r="E407" s="135" t="s">
        <v>1580</v>
      </c>
      <c r="F407" s="135" t="s">
        <v>148</v>
      </c>
      <c r="G407" s="131" t="s">
        <v>1685</v>
      </c>
      <c r="H407" s="132" t="e">
        <f t="shared" si="27"/>
        <v>#VALUE!</v>
      </c>
      <c r="I407" s="151" t="e">
        <f>_xll.GetCtData("COAMOUNT","CONSAMOUNT",$A$1:$A$8,$A407:$B407,,"#")/10^3*$H407</f>
        <v>#VALUE!</v>
      </c>
      <c r="J407" s="136"/>
      <c r="K407" s="136"/>
      <c r="L407" s="136" t="e">
        <f t="shared" si="28"/>
        <v>#VALUE!</v>
      </c>
      <c r="M407" s="128"/>
      <c r="N407" s="136"/>
      <c r="O407" s="128"/>
      <c r="P407" s="136" t="e">
        <f t="shared" si="26"/>
        <v>#VALUE!</v>
      </c>
    </row>
    <row r="408" spans="1:16" ht="12" hidden="1" outlineLevel="1" thickBot="1">
      <c r="A408" s="115" t="s">
        <v>1581</v>
      </c>
      <c r="B408" s="115" t="s">
        <v>147</v>
      </c>
      <c r="C408" s="134" t="s">
        <v>1582</v>
      </c>
      <c r="E408" s="135" t="s">
        <v>1583</v>
      </c>
      <c r="F408" s="135" t="s">
        <v>148</v>
      </c>
      <c r="G408" s="131" t="s">
        <v>1685</v>
      </c>
      <c r="H408" s="132" t="e">
        <f t="shared" si="27"/>
        <v>#VALUE!</v>
      </c>
      <c r="I408" s="151" t="e">
        <f>_xll.GetCtData("COAMOUNT","CONSAMOUNT",$A$1:$A$8,$A408:$B408,,"#")/10^3*$H408</f>
        <v>#VALUE!</v>
      </c>
      <c r="J408" s="136"/>
      <c r="K408" s="136"/>
      <c r="L408" s="136" t="e">
        <f t="shared" si="28"/>
        <v>#VALUE!</v>
      </c>
      <c r="M408" s="128"/>
      <c r="N408" s="136"/>
      <c r="O408" s="128"/>
      <c r="P408" s="136" t="e">
        <f t="shared" si="26"/>
        <v>#VALUE!</v>
      </c>
    </row>
    <row r="409" spans="1:16" ht="12" hidden="1" outlineLevel="1" thickBot="1">
      <c r="A409" s="115" t="s">
        <v>1584</v>
      </c>
      <c r="B409" s="115" t="s">
        <v>147</v>
      </c>
      <c r="C409" s="134" t="s">
        <v>1585</v>
      </c>
      <c r="E409" s="135" t="s">
        <v>1586</v>
      </c>
      <c r="F409" s="135" t="s">
        <v>148</v>
      </c>
      <c r="G409" s="131" t="s">
        <v>1685</v>
      </c>
      <c r="H409" s="132" t="e">
        <f t="shared" si="27"/>
        <v>#VALUE!</v>
      </c>
      <c r="I409" s="151" t="e">
        <f>_xll.GetCtData("COAMOUNT","CONSAMOUNT",$A$1:$A$8,$A409:$B409,,"#")/10^3*$H409</f>
        <v>#VALUE!</v>
      </c>
      <c r="J409" s="136"/>
      <c r="K409" s="136"/>
      <c r="L409" s="136" t="e">
        <f t="shared" si="28"/>
        <v>#VALUE!</v>
      </c>
      <c r="M409" s="128"/>
      <c r="N409" s="136"/>
      <c r="O409" s="128"/>
      <c r="P409" s="136" t="e">
        <f t="shared" si="26"/>
        <v>#VALUE!</v>
      </c>
    </row>
    <row r="410" spans="1:16" ht="12" hidden="1" outlineLevel="1" thickBot="1">
      <c r="A410" s="115" t="s">
        <v>1587</v>
      </c>
      <c r="B410" s="115" t="s">
        <v>147</v>
      </c>
      <c r="C410" s="134" t="s">
        <v>1588</v>
      </c>
      <c r="E410" s="135" t="s">
        <v>1589</v>
      </c>
      <c r="F410" s="135" t="s">
        <v>148</v>
      </c>
      <c r="G410" s="131" t="s">
        <v>1685</v>
      </c>
      <c r="H410" s="132" t="e">
        <f t="shared" si="27"/>
        <v>#VALUE!</v>
      </c>
      <c r="I410" s="151" t="e">
        <f>_xll.GetCtData("COAMOUNT","CONSAMOUNT",$A$1:$A$8,$A410:$B410,,"#")/10^3*$H410</f>
        <v>#VALUE!</v>
      </c>
      <c r="J410" s="136"/>
      <c r="K410" s="136"/>
      <c r="L410" s="136" t="e">
        <f t="shared" si="28"/>
        <v>#VALUE!</v>
      </c>
      <c r="M410" s="128"/>
      <c r="N410" s="136"/>
      <c r="O410" s="128"/>
      <c r="P410" s="136" t="e">
        <f t="shared" si="26"/>
        <v>#VALUE!</v>
      </c>
    </row>
    <row r="411" spans="1:16" ht="12" hidden="1" outlineLevel="1" thickBot="1">
      <c r="A411" s="115" t="s">
        <v>1590</v>
      </c>
      <c r="B411" s="115" t="s">
        <v>147</v>
      </c>
      <c r="C411" s="134" t="s">
        <v>1591</v>
      </c>
      <c r="E411" s="135" t="s">
        <v>1592</v>
      </c>
      <c r="F411" s="135" t="s">
        <v>148</v>
      </c>
      <c r="G411" s="131" t="s">
        <v>1685</v>
      </c>
      <c r="H411" s="132" t="e">
        <f t="shared" si="27"/>
        <v>#VALUE!</v>
      </c>
      <c r="I411" s="151" t="e">
        <f>_xll.GetCtData("COAMOUNT","CONSAMOUNT",$A$1:$A$8,$A411:$B411,,"#")/10^3*$H411</f>
        <v>#VALUE!</v>
      </c>
      <c r="J411" s="136"/>
      <c r="K411" s="136"/>
      <c r="L411" s="136" t="e">
        <f t="shared" si="28"/>
        <v>#VALUE!</v>
      </c>
      <c r="M411" s="128"/>
      <c r="N411" s="136"/>
      <c r="O411" s="128"/>
      <c r="P411" s="136" t="e">
        <f t="shared" si="26"/>
        <v>#VALUE!</v>
      </c>
    </row>
    <row r="412" spans="1:16" ht="12" hidden="1" outlineLevel="1" thickBot="1">
      <c r="A412" s="115" t="s">
        <v>1593</v>
      </c>
      <c r="B412" s="115" t="s">
        <v>147</v>
      </c>
      <c r="C412" s="134" t="s">
        <v>1594</v>
      </c>
      <c r="E412" s="135" t="s">
        <v>1595</v>
      </c>
      <c r="F412" s="135" t="s">
        <v>148</v>
      </c>
      <c r="G412" s="131" t="s">
        <v>1685</v>
      </c>
      <c r="H412" s="132" t="e">
        <f t="shared" si="27"/>
        <v>#VALUE!</v>
      </c>
      <c r="I412" s="151" t="e">
        <f>_xll.GetCtData("COAMOUNT","CONSAMOUNT",$A$1:$A$8,$A412:$B412,,"#")/10^3*$H412</f>
        <v>#VALUE!</v>
      </c>
      <c r="J412" s="136"/>
      <c r="K412" s="136"/>
      <c r="L412" s="136" t="e">
        <f t="shared" si="28"/>
        <v>#VALUE!</v>
      </c>
      <c r="M412" s="128"/>
      <c r="N412" s="136"/>
      <c r="O412" s="128"/>
      <c r="P412" s="136" t="e">
        <f t="shared" si="26"/>
        <v>#VALUE!</v>
      </c>
    </row>
    <row r="413" spans="1:16" ht="12" hidden="1" outlineLevel="1" thickBot="1">
      <c r="A413" s="115" t="s">
        <v>1596</v>
      </c>
      <c r="B413" s="115" t="s">
        <v>147</v>
      </c>
      <c r="C413" s="134" t="s">
        <v>1597</v>
      </c>
      <c r="E413" s="135" t="s">
        <v>1598</v>
      </c>
      <c r="F413" s="135" t="s">
        <v>148</v>
      </c>
      <c r="G413" s="131" t="s">
        <v>1685</v>
      </c>
      <c r="H413" s="132" t="e">
        <f t="shared" si="27"/>
        <v>#VALUE!</v>
      </c>
      <c r="I413" s="151" t="e">
        <f>_xll.GetCtData("COAMOUNT","CONSAMOUNT",$A$1:$A$8,$A413:$B413,,"#")/10^3*$H413</f>
        <v>#VALUE!</v>
      </c>
      <c r="J413" s="136"/>
      <c r="K413" s="136"/>
      <c r="L413" s="136" t="e">
        <f t="shared" si="28"/>
        <v>#VALUE!</v>
      </c>
      <c r="M413" s="128"/>
      <c r="N413" s="136"/>
      <c r="O413" s="128"/>
      <c r="P413" s="136" t="e">
        <f t="shared" si="26"/>
        <v>#VALUE!</v>
      </c>
    </row>
    <row r="414" spans="1:16" ht="12" hidden="1" outlineLevel="1" thickBot="1">
      <c r="A414" s="115" t="s">
        <v>1599</v>
      </c>
      <c r="B414" s="115" t="s">
        <v>147</v>
      </c>
      <c r="C414" s="134" t="s">
        <v>1600</v>
      </c>
      <c r="E414" s="135" t="s">
        <v>1601</v>
      </c>
      <c r="F414" s="135" t="s">
        <v>148</v>
      </c>
      <c r="G414" s="131" t="s">
        <v>1685</v>
      </c>
      <c r="H414" s="132" t="e">
        <f t="shared" si="27"/>
        <v>#VALUE!</v>
      </c>
      <c r="I414" s="151" t="e">
        <f>_xll.GetCtData("COAMOUNT","CONSAMOUNT",$A$1:$A$8,$A414:$B414,,"#")/10^3*$H414</f>
        <v>#VALUE!</v>
      </c>
      <c r="J414" s="136"/>
      <c r="K414" s="136"/>
      <c r="L414" s="136" t="e">
        <f t="shared" si="28"/>
        <v>#VALUE!</v>
      </c>
      <c r="M414" s="128"/>
      <c r="N414" s="136"/>
      <c r="O414" s="128"/>
      <c r="P414" s="136" t="e">
        <f t="shared" si="26"/>
        <v>#VALUE!</v>
      </c>
    </row>
    <row r="415" spans="1:16" ht="12" hidden="1" outlineLevel="1" thickBot="1">
      <c r="A415" s="115" t="s">
        <v>1602</v>
      </c>
      <c r="B415" s="115" t="s">
        <v>147</v>
      </c>
      <c r="C415" s="134" t="s">
        <v>1603</v>
      </c>
      <c r="E415" s="135" t="s">
        <v>1604</v>
      </c>
      <c r="F415" s="135" t="s">
        <v>148</v>
      </c>
      <c r="G415" s="131" t="s">
        <v>1685</v>
      </c>
      <c r="H415" s="132" t="e">
        <f t="shared" si="27"/>
        <v>#VALUE!</v>
      </c>
      <c r="I415" s="151" t="e">
        <f>_xll.GetCtData("COAMOUNT","CONSAMOUNT",$A$1:$A$8,$A415:$B415,,"#")/10^3*$H415</f>
        <v>#VALUE!</v>
      </c>
      <c r="J415" s="136"/>
      <c r="K415" s="136"/>
      <c r="L415" s="136" t="e">
        <f t="shared" si="28"/>
        <v>#VALUE!</v>
      </c>
      <c r="M415" s="128"/>
      <c r="N415" s="136"/>
      <c r="O415" s="128"/>
      <c r="P415" s="136" t="e">
        <f t="shared" si="26"/>
        <v>#VALUE!</v>
      </c>
    </row>
    <row r="416" spans="1:16" ht="12" hidden="1" outlineLevel="1" thickBot="1">
      <c r="A416" s="115" t="s">
        <v>1605</v>
      </c>
      <c r="B416" s="115" t="s">
        <v>147</v>
      </c>
      <c r="C416" s="134" t="s">
        <v>1606</v>
      </c>
      <c r="E416" s="135" t="s">
        <v>1607</v>
      </c>
      <c r="F416" s="135" t="s">
        <v>148</v>
      </c>
      <c r="G416" s="131" t="s">
        <v>1685</v>
      </c>
      <c r="H416" s="132" t="e">
        <f t="shared" si="27"/>
        <v>#VALUE!</v>
      </c>
      <c r="I416" s="151" t="e">
        <f>_xll.GetCtData("COAMOUNT","CONSAMOUNT",$A$1:$A$8,$A416:$B416,,"#")/10^3*$H416</f>
        <v>#VALUE!</v>
      </c>
      <c r="J416" s="136"/>
      <c r="K416" s="136"/>
      <c r="L416" s="136" t="e">
        <f t="shared" si="28"/>
        <v>#VALUE!</v>
      </c>
      <c r="M416" s="128"/>
      <c r="N416" s="136"/>
      <c r="O416" s="128"/>
      <c r="P416" s="136" t="e">
        <f t="shared" si="26"/>
        <v>#VALUE!</v>
      </c>
    </row>
    <row r="417" spans="1:16" ht="12" hidden="1" outlineLevel="1" thickBot="1">
      <c r="A417" s="115" t="s">
        <v>1516</v>
      </c>
      <c r="B417" s="115" t="s">
        <v>147</v>
      </c>
      <c r="C417" s="134" t="s">
        <v>1517</v>
      </c>
      <c r="E417" s="135" t="s">
        <v>1518</v>
      </c>
      <c r="F417" s="135" t="s">
        <v>148</v>
      </c>
      <c r="G417" s="131" t="s">
        <v>1685</v>
      </c>
      <c r="H417" s="132" t="e">
        <f t="shared" si="27"/>
        <v>#VALUE!</v>
      </c>
      <c r="I417" s="151" t="e">
        <f>_xll.GetCtData("COAMOUNT","CONSAMOUNT",$A$1:$A$8,$A417:$B417,,"#")/10^3*$H417</f>
        <v>#VALUE!</v>
      </c>
      <c r="J417" s="136"/>
      <c r="K417" s="136"/>
      <c r="L417" s="136" t="e">
        <f t="shared" si="28"/>
        <v>#VALUE!</v>
      </c>
      <c r="M417" s="128"/>
      <c r="N417" s="136"/>
      <c r="O417" s="128"/>
      <c r="P417" s="136" t="e">
        <f t="shared" si="26"/>
        <v>#VALUE!</v>
      </c>
    </row>
    <row r="418" spans="1:16" ht="12" hidden="1" outlineLevel="1" thickBot="1">
      <c r="A418" s="115" t="s">
        <v>1519</v>
      </c>
      <c r="B418" s="115" t="s">
        <v>147</v>
      </c>
      <c r="C418" s="134" t="s">
        <v>1520</v>
      </c>
      <c r="E418" s="135" t="s">
        <v>1521</v>
      </c>
      <c r="F418" s="135" t="s">
        <v>148</v>
      </c>
      <c r="G418" s="131" t="s">
        <v>1685</v>
      </c>
      <c r="H418" s="132" t="e">
        <f t="shared" si="27"/>
        <v>#VALUE!</v>
      </c>
      <c r="I418" s="151" t="e">
        <f>_xll.GetCtData("COAMOUNT","CONSAMOUNT",$A$1:$A$8,$A418:$B418,,"#")/10^3*$H418</f>
        <v>#VALUE!</v>
      </c>
      <c r="J418" s="136"/>
      <c r="K418" s="136"/>
      <c r="L418" s="136" t="e">
        <f t="shared" si="28"/>
        <v>#VALUE!</v>
      </c>
      <c r="M418" s="128"/>
      <c r="N418" s="136"/>
      <c r="O418" s="128"/>
      <c r="P418" s="136" t="e">
        <f t="shared" ref="P418:P481" si="29">L418+N418</f>
        <v>#VALUE!</v>
      </c>
    </row>
    <row r="419" spans="1:16" ht="12" hidden="1" outlineLevel="1" thickBot="1">
      <c r="A419" s="115" t="s">
        <v>1522</v>
      </c>
      <c r="B419" s="115" t="s">
        <v>147</v>
      </c>
      <c r="C419" s="134" t="s">
        <v>1523</v>
      </c>
      <c r="E419" s="135" t="s">
        <v>1524</v>
      </c>
      <c r="F419" s="135" t="s">
        <v>148</v>
      </c>
      <c r="G419" s="131" t="s">
        <v>1685</v>
      </c>
      <c r="H419" s="132" t="e">
        <f t="shared" si="27"/>
        <v>#VALUE!</v>
      </c>
      <c r="I419" s="151" t="e">
        <f>_xll.GetCtData("COAMOUNT","CONSAMOUNT",$A$1:$A$8,$A419:$B419,,"#")/10^3*$H419</f>
        <v>#VALUE!</v>
      </c>
      <c r="J419" s="136"/>
      <c r="K419" s="136"/>
      <c r="L419" s="136" t="e">
        <f t="shared" si="28"/>
        <v>#VALUE!</v>
      </c>
      <c r="M419" s="128"/>
      <c r="N419" s="136"/>
      <c r="O419" s="128"/>
      <c r="P419" s="136" t="e">
        <f t="shared" si="29"/>
        <v>#VALUE!</v>
      </c>
    </row>
    <row r="420" spans="1:16" ht="12" hidden="1" outlineLevel="1" thickBot="1">
      <c r="A420" s="115" t="s">
        <v>1525</v>
      </c>
      <c r="B420" s="115" t="s">
        <v>147</v>
      </c>
      <c r="C420" s="134" t="s">
        <v>1526</v>
      </c>
      <c r="E420" s="135" t="s">
        <v>1527</v>
      </c>
      <c r="F420" s="135" t="s">
        <v>148</v>
      </c>
      <c r="G420" s="131" t="s">
        <v>1685</v>
      </c>
      <c r="H420" s="132" t="e">
        <f t="shared" si="27"/>
        <v>#VALUE!</v>
      </c>
      <c r="I420" s="151" t="e">
        <f>_xll.GetCtData("COAMOUNT","CONSAMOUNT",$A$1:$A$8,$A420:$B420,,"#")/10^3*$H420</f>
        <v>#VALUE!</v>
      </c>
      <c r="J420" s="136"/>
      <c r="K420" s="136"/>
      <c r="L420" s="136" t="e">
        <f t="shared" si="28"/>
        <v>#VALUE!</v>
      </c>
      <c r="M420" s="128"/>
      <c r="N420" s="136"/>
      <c r="O420" s="128"/>
      <c r="P420" s="136" t="e">
        <f t="shared" si="29"/>
        <v>#VALUE!</v>
      </c>
    </row>
    <row r="421" spans="1:16" ht="12" hidden="1" outlineLevel="1" thickBot="1">
      <c r="A421" s="115" t="s">
        <v>1528</v>
      </c>
      <c r="B421" s="115" t="s">
        <v>147</v>
      </c>
      <c r="C421" s="134" t="s">
        <v>1529</v>
      </c>
      <c r="E421" s="135" t="s">
        <v>1530</v>
      </c>
      <c r="F421" s="135" t="s">
        <v>148</v>
      </c>
      <c r="G421" s="131" t="s">
        <v>1685</v>
      </c>
      <c r="H421" s="132" t="e">
        <f t="shared" si="27"/>
        <v>#VALUE!</v>
      </c>
      <c r="I421" s="151" t="e">
        <f>_xll.GetCtData("COAMOUNT","CONSAMOUNT",$A$1:$A$8,$A421:$B421,,"#")/10^3*$H421</f>
        <v>#VALUE!</v>
      </c>
      <c r="J421" s="136"/>
      <c r="K421" s="136"/>
      <c r="L421" s="136" t="e">
        <f t="shared" si="28"/>
        <v>#VALUE!</v>
      </c>
      <c r="M421" s="128"/>
      <c r="N421" s="136"/>
      <c r="O421" s="128"/>
      <c r="P421" s="136" t="e">
        <f t="shared" si="29"/>
        <v>#VALUE!</v>
      </c>
    </row>
    <row r="422" spans="1:16" ht="12" hidden="1" outlineLevel="1" thickBot="1">
      <c r="A422" s="115" t="s">
        <v>1531</v>
      </c>
      <c r="B422" s="115" t="s">
        <v>147</v>
      </c>
      <c r="C422" s="134" t="s">
        <v>1532</v>
      </c>
      <c r="E422" s="135" t="s">
        <v>1533</v>
      </c>
      <c r="F422" s="135" t="s">
        <v>148</v>
      </c>
      <c r="G422" s="131" t="s">
        <v>1685</v>
      </c>
      <c r="H422" s="132" t="e">
        <f t="shared" si="27"/>
        <v>#VALUE!</v>
      </c>
      <c r="I422" s="151" t="e">
        <f>_xll.GetCtData("COAMOUNT","CONSAMOUNT",$A$1:$A$8,$A422:$B422,,"#")/10^3*$H422</f>
        <v>#VALUE!</v>
      </c>
      <c r="J422" s="136"/>
      <c r="K422" s="136"/>
      <c r="L422" s="136" t="e">
        <f t="shared" si="28"/>
        <v>#VALUE!</v>
      </c>
      <c r="M422" s="128"/>
      <c r="N422" s="136"/>
      <c r="O422" s="128"/>
      <c r="P422" s="136" t="e">
        <f t="shared" si="29"/>
        <v>#VALUE!</v>
      </c>
    </row>
    <row r="423" spans="1:16" ht="12" hidden="1" outlineLevel="1" thickBot="1">
      <c r="A423" s="115" t="s">
        <v>1534</v>
      </c>
      <c r="B423" s="115" t="s">
        <v>147</v>
      </c>
      <c r="C423" s="134" t="s">
        <v>1535</v>
      </c>
      <c r="E423" s="135" t="s">
        <v>1536</v>
      </c>
      <c r="F423" s="135" t="s">
        <v>148</v>
      </c>
      <c r="G423" s="131" t="s">
        <v>1685</v>
      </c>
      <c r="H423" s="132" t="e">
        <f t="shared" si="27"/>
        <v>#VALUE!</v>
      </c>
      <c r="I423" s="151" t="e">
        <f>_xll.GetCtData("COAMOUNT","CONSAMOUNT",$A$1:$A$8,$A423:$B423,,"#")/10^3*$H423</f>
        <v>#VALUE!</v>
      </c>
      <c r="J423" s="136"/>
      <c r="K423" s="136"/>
      <c r="L423" s="136" t="e">
        <f t="shared" si="28"/>
        <v>#VALUE!</v>
      </c>
      <c r="M423" s="128"/>
      <c r="N423" s="136"/>
      <c r="O423" s="128"/>
      <c r="P423" s="136" t="e">
        <f t="shared" si="29"/>
        <v>#VALUE!</v>
      </c>
    </row>
    <row r="424" spans="1:16" ht="12" hidden="1" outlineLevel="1" thickBot="1">
      <c r="A424" s="115" t="s">
        <v>1537</v>
      </c>
      <c r="B424" s="115" t="s">
        <v>147</v>
      </c>
      <c r="C424" s="134" t="s">
        <v>1538</v>
      </c>
      <c r="E424" s="135" t="s">
        <v>1539</v>
      </c>
      <c r="F424" s="135" t="s">
        <v>148</v>
      </c>
      <c r="G424" s="131" t="s">
        <v>1685</v>
      </c>
      <c r="H424" s="132" t="e">
        <f t="shared" si="27"/>
        <v>#VALUE!</v>
      </c>
      <c r="I424" s="151" t="e">
        <f>_xll.GetCtData("COAMOUNT","CONSAMOUNT",$A$1:$A$8,$A424:$B424,,"#")/10^3*$H424</f>
        <v>#VALUE!</v>
      </c>
      <c r="J424" s="136"/>
      <c r="K424" s="136"/>
      <c r="L424" s="136" t="e">
        <f t="shared" si="28"/>
        <v>#VALUE!</v>
      </c>
      <c r="M424" s="128"/>
      <c r="N424" s="136"/>
      <c r="O424" s="128"/>
      <c r="P424" s="136" t="e">
        <f t="shared" si="29"/>
        <v>#VALUE!</v>
      </c>
    </row>
    <row r="425" spans="1:16" ht="12" hidden="1" outlineLevel="1" thickBot="1">
      <c r="A425" s="115" t="s">
        <v>1540</v>
      </c>
      <c r="B425" s="115" t="s">
        <v>147</v>
      </c>
      <c r="C425" s="134" t="s">
        <v>1541</v>
      </c>
      <c r="E425" s="135" t="s">
        <v>1542</v>
      </c>
      <c r="F425" s="135" t="s">
        <v>148</v>
      </c>
      <c r="G425" s="131" t="s">
        <v>1685</v>
      </c>
      <c r="H425" s="132" t="e">
        <f t="shared" si="27"/>
        <v>#VALUE!</v>
      </c>
      <c r="I425" s="151" t="e">
        <f>_xll.GetCtData("COAMOUNT","CONSAMOUNT",$A$1:$A$8,$A425:$B425,,"#")/10^3*$H425</f>
        <v>#VALUE!</v>
      </c>
      <c r="J425" s="136"/>
      <c r="K425" s="136"/>
      <c r="L425" s="136" t="e">
        <f t="shared" si="28"/>
        <v>#VALUE!</v>
      </c>
      <c r="M425" s="128"/>
      <c r="N425" s="136"/>
      <c r="O425" s="128"/>
      <c r="P425" s="136" t="e">
        <f t="shared" si="29"/>
        <v>#VALUE!</v>
      </c>
    </row>
    <row r="426" spans="1:16" ht="12" hidden="1" outlineLevel="1" thickBot="1">
      <c r="A426" s="115" t="s">
        <v>1543</v>
      </c>
      <c r="B426" s="115" t="s">
        <v>147</v>
      </c>
      <c r="C426" s="134" t="s">
        <v>1544</v>
      </c>
      <c r="E426" s="135" t="s">
        <v>1545</v>
      </c>
      <c r="F426" s="135" t="s">
        <v>148</v>
      </c>
      <c r="G426" s="131" t="s">
        <v>1685</v>
      </c>
      <c r="H426" s="132" t="e">
        <f t="shared" si="27"/>
        <v>#VALUE!</v>
      </c>
      <c r="I426" s="151" t="e">
        <f>_xll.GetCtData("COAMOUNT","CONSAMOUNT",$A$1:$A$8,$A426:$B426,,"#")/10^3*$H426</f>
        <v>#VALUE!</v>
      </c>
      <c r="J426" s="136"/>
      <c r="K426" s="136"/>
      <c r="L426" s="136" t="e">
        <f t="shared" si="28"/>
        <v>#VALUE!</v>
      </c>
      <c r="M426" s="128"/>
      <c r="N426" s="136"/>
      <c r="O426" s="128"/>
      <c r="P426" s="136" t="e">
        <f t="shared" si="29"/>
        <v>#VALUE!</v>
      </c>
    </row>
    <row r="427" spans="1:16" ht="12" hidden="1" outlineLevel="1" thickBot="1">
      <c r="A427" s="115" t="s">
        <v>1546</v>
      </c>
      <c r="B427" s="115" t="s">
        <v>147</v>
      </c>
      <c r="C427" s="134" t="s">
        <v>1547</v>
      </c>
      <c r="E427" s="135" t="s">
        <v>1548</v>
      </c>
      <c r="F427" s="135" t="s">
        <v>148</v>
      </c>
      <c r="G427" s="131" t="s">
        <v>1685</v>
      </c>
      <c r="H427" s="132" t="e">
        <f t="shared" si="27"/>
        <v>#VALUE!</v>
      </c>
      <c r="I427" s="151" t="e">
        <f>_xll.GetCtData("COAMOUNT","CONSAMOUNT",$A$1:$A$8,$A427:$B427,,"#")/10^3*$H427</f>
        <v>#VALUE!</v>
      </c>
      <c r="J427" s="136"/>
      <c r="K427" s="136"/>
      <c r="L427" s="136" t="e">
        <f t="shared" si="28"/>
        <v>#VALUE!</v>
      </c>
      <c r="M427" s="128"/>
      <c r="N427" s="136"/>
      <c r="O427" s="128"/>
      <c r="P427" s="136" t="e">
        <f t="shared" si="29"/>
        <v>#VALUE!</v>
      </c>
    </row>
    <row r="428" spans="1:16" ht="12" hidden="1" outlineLevel="1" thickBot="1">
      <c r="A428" s="115" t="s">
        <v>1549</v>
      </c>
      <c r="B428" s="115" t="s">
        <v>147</v>
      </c>
      <c r="C428" s="134" t="s">
        <v>1550</v>
      </c>
      <c r="E428" s="135" t="s">
        <v>1551</v>
      </c>
      <c r="F428" s="135" t="s">
        <v>148</v>
      </c>
      <c r="G428" s="131" t="s">
        <v>1685</v>
      </c>
      <c r="H428" s="132" t="e">
        <f t="shared" si="27"/>
        <v>#VALUE!</v>
      </c>
      <c r="I428" s="151" t="e">
        <f>_xll.GetCtData("COAMOUNT","CONSAMOUNT",$A$1:$A$8,$A428:$B428,,"#")/10^3*$H428</f>
        <v>#VALUE!</v>
      </c>
      <c r="J428" s="136"/>
      <c r="K428" s="136"/>
      <c r="L428" s="136" t="e">
        <f t="shared" si="28"/>
        <v>#VALUE!</v>
      </c>
      <c r="M428" s="128"/>
      <c r="N428" s="136"/>
      <c r="O428" s="128"/>
      <c r="P428" s="136" t="e">
        <f t="shared" si="29"/>
        <v>#VALUE!</v>
      </c>
    </row>
    <row r="429" spans="1:16" ht="12" hidden="1" outlineLevel="1" thickBot="1">
      <c r="A429" s="115" t="s">
        <v>1608</v>
      </c>
      <c r="B429" s="115" t="s">
        <v>147</v>
      </c>
      <c r="C429" s="134" t="s">
        <v>1609</v>
      </c>
      <c r="E429" s="135" t="s">
        <v>1610</v>
      </c>
      <c r="F429" s="135" t="s">
        <v>148</v>
      </c>
      <c r="G429" s="131" t="s">
        <v>1685</v>
      </c>
      <c r="H429" s="132" t="e">
        <f t="shared" si="27"/>
        <v>#VALUE!</v>
      </c>
      <c r="I429" s="136"/>
      <c r="J429" s="151" t="e">
        <f>_xll.GetCtData("COAMOUNT","CONSAMOUNT",$A$1:$A$8,$A429:$B429,,"#")/10^3*$H429</f>
        <v>#VALUE!</v>
      </c>
      <c r="K429" s="136"/>
      <c r="L429" s="136" t="e">
        <f t="shared" si="28"/>
        <v>#VALUE!</v>
      </c>
      <c r="M429" s="128"/>
      <c r="N429" s="136"/>
      <c r="O429" s="128"/>
      <c r="P429" s="136" t="e">
        <f t="shared" si="29"/>
        <v>#VALUE!</v>
      </c>
    </row>
    <row r="430" spans="1:16" ht="12" hidden="1" outlineLevel="1" thickBot="1">
      <c r="A430" s="115" t="s">
        <v>1611</v>
      </c>
      <c r="B430" s="115" t="s">
        <v>147</v>
      </c>
      <c r="C430" s="134" t="s">
        <v>1612</v>
      </c>
      <c r="E430" s="135" t="s">
        <v>1613</v>
      </c>
      <c r="F430" s="135" t="s">
        <v>148</v>
      </c>
      <c r="G430" s="131" t="s">
        <v>1685</v>
      </c>
      <c r="H430" s="132" t="e">
        <f t="shared" si="27"/>
        <v>#VALUE!</v>
      </c>
      <c r="I430" s="136"/>
      <c r="J430" s="151" t="e">
        <f>_xll.GetCtData("COAMOUNT","CONSAMOUNT",$A$1:$A$8,$A430:$B430,,"#")/10^3*$H430</f>
        <v>#VALUE!</v>
      </c>
      <c r="K430" s="136"/>
      <c r="L430" s="136" t="e">
        <f t="shared" si="28"/>
        <v>#VALUE!</v>
      </c>
      <c r="M430" s="128"/>
      <c r="N430" s="136"/>
      <c r="O430" s="128"/>
      <c r="P430" s="136" t="e">
        <f t="shared" si="29"/>
        <v>#VALUE!</v>
      </c>
    </row>
    <row r="431" spans="1:16" ht="12" hidden="1" outlineLevel="1" thickBot="1">
      <c r="A431" s="115" t="s">
        <v>1614</v>
      </c>
      <c r="B431" s="115" t="s">
        <v>147</v>
      </c>
      <c r="C431" s="134" t="s">
        <v>1615</v>
      </c>
      <c r="E431" s="135" t="s">
        <v>1616</v>
      </c>
      <c r="F431" s="135" t="s">
        <v>148</v>
      </c>
      <c r="G431" s="131" t="s">
        <v>1685</v>
      </c>
      <c r="H431" s="132" t="e">
        <f t="shared" si="27"/>
        <v>#VALUE!</v>
      </c>
      <c r="I431" s="136"/>
      <c r="J431" s="151" t="e">
        <f>_xll.GetCtData("COAMOUNT","CONSAMOUNT",$A$1:$A$8,$A431:$B431,,"#")/10^3*$H431</f>
        <v>#VALUE!</v>
      </c>
      <c r="K431" s="136"/>
      <c r="L431" s="136" t="e">
        <f t="shared" si="28"/>
        <v>#VALUE!</v>
      </c>
      <c r="M431" s="128"/>
      <c r="N431" s="136"/>
      <c r="O431" s="128"/>
      <c r="P431" s="136" t="e">
        <f t="shared" si="29"/>
        <v>#VALUE!</v>
      </c>
    </row>
    <row r="432" spans="1:16" ht="12" hidden="1" outlineLevel="1" thickBot="1">
      <c r="A432" s="115" t="s">
        <v>1617</v>
      </c>
      <c r="B432" s="115" t="s">
        <v>147</v>
      </c>
      <c r="C432" s="134" t="s">
        <v>1618</v>
      </c>
      <c r="E432" s="135" t="s">
        <v>1619</v>
      </c>
      <c r="F432" s="135" t="s">
        <v>148</v>
      </c>
      <c r="G432" s="131" t="s">
        <v>1685</v>
      </c>
      <c r="H432" s="132" t="e">
        <f t="shared" si="27"/>
        <v>#VALUE!</v>
      </c>
      <c r="I432" s="136"/>
      <c r="J432" s="151" t="e">
        <f>_xll.GetCtData("COAMOUNT","CONSAMOUNT",$A$1:$A$8,$A432:$B432,,"#")/10^3*$H432</f>
        <v>#VALUE!</v>
      </c>
      <c r="K432" s="136"/>
      <c r="L432" s="136" t="e">
        <f t="shared" si="28"/>
        <v>#VALUE!</v>
      </c>
      <c r="M432" s="128"/>
      <c r="N432" s="136"/>
      <c r="O432" s="128"/>
      <c r="P432" s="136" t="e">
        <f t="shared" si="29"/>
        <v>#VALUE!</v>
      </c>
    </row>
    <row r="433" spans="1:16" ht="12" hidden="1" outlineLevel="1" thickBot="1">
      <c r="A433" s="115" t="s">
        <v>1552</v>
      </c>
      <c r="B433" s="115" t="s">
        <v>147</v>
      </c>
      <c r="C433" s="134" t="s">
        <v>1553</v>
      </c>
      <c r="E433" s="135" t="s">
        <v>1554</v>
      </c>
      <c r="F433" s="135" t="s">
        <v>148</v>
      </c>
      <c r="G433" s="131" t="s">
        <v>1685</v>
      </c>
      <c r="H433" s="132" t="e">
        <f t="shared" ref="H433:H496" si="30">IF(LEFT(E433,6)/10^3="actifs",-1,1)/10^3</f>
        <v>#VALUE!</v>
      </c>
      <c r="I433" s="136"/>
      <c r="J433" s="151" t="e">
        <f>_xll.GetCtData("COAMOUNT","CONSAMOUNT",$A$1:$A$8,$A433:$B433,,"#")/10^3*$H433</f>
        <v>#VALUE!</v>
      </c>
      <c r="K433" s="136"/>
      <c r="L433" s="136" t="e">
        <f t="shared" ref="L433:L472" si="31">SUM(I433:K433)/10^3</f>
        <v>#VALUE!</v>
      </c>
      <c r="M433" s="128"/>
      <c r="N433" s="136"/>
      <c r="O433" s="128"/>
      <c r="P433" s="136" t="e">
        <f t="shared" si="29"/>
        <v>#VALUE!</v>
      </c>
    </row>
    <row r="434" spans="1:16" ht="12" hidden="1" outlineLevel="1" thickBot="1">
      <c r="A434" s="115" t="s">
        <v>1555</v>
      </c>
      <c r="B434" s="115" t="s">
        <v>147</v>
      </c>
      <c r="C434" s="134" t="s">
        <v>1556</v>
      </c>
      <c r="E434" s="135" t="s">
        <v>1557</v>
      </c>
      <c r="F434" s="135" t="s">
        <v>148</v>
      </c>
      <c r="G434" s="131" t="s">
        <v>1685</v>
      </c>
      <c r="H434" s="132" t="e">
        <f t="shared" si="30"/>
        <v>#VALUE!</v>
      </c>
      <c r="I434" s="136"/>
      <c r="J434" s="151" t="e">
        <f>_xll.GetCtData("COAMOUNT","CONSAMOUNT",$A$1:$A$8,$A434:$B434,,"#")/10^3*$H434</f>
        <v>#VALUE!</v>
      </c>
      <c r="K434" s="136"/>
      <c r="L434" s="136" t="e">
        <f t="shared" si="31"/>
        <v>#VALUE!</v>
      </c>
      <c r="M434" s="128"/>
      <c r="N434" s="136"/>
      <c r="O434" s="128"/>
      <c r="P434" s="136" t="e">
        <f t="shared" si="29"/>
        <v>#VALUE!</v>
      </c>
    </row>
    <row r="435" spans="1:16" ht="12" hidden="1" outlineLevel="1" thickBot="1">
      <c r="A435" s="115" t="s">
        <v>1558</v>
      </c>
      <c r="B435" s="115" t="s">
        <v>147</v>
      </c>
      <c r="C435" s="134" t="s">
        <v>1559</v>
      </c>
      <c r="E435" s="135" t="s">
        <v>1560</v>
      </c>
      <c r="F435" s="135" t="s">
        <v>148</v>
      </c>
      <c r="G435" s="131" t="s">
        <v>1685</v>
      </c>
      <c r="H435" s="132" t="e">
        <f t="shared" si="30"/>
        <v>#VALUE!</v>
      </c>
      <c r="I435" s="136"/>
      <c r="J435" s="151" t="e">
        <f>_xll.GetCtData("COAMOUNT","CONSAMOUNT",$A$1:$A$8,$A435:$B435,,"#")/10^3*$H435</f>
        <v>#VALUE!</v>
      </c>
      <c r="K435" s="136"/>
      <c r="L435" s="136" t="e">
        <f t="shared" si="31"/>
        <v>#VALUE!</v>
      </c>
      <c r="M435" s="128"/>
      <c r="N435" s="136"/>
      <c r="O435" s="128"/>
      <c r="P435" s="136" t="e">
        <f t="shared" si="29"/>
        <v>#VALUE!</v>
      </c>
    </row>
    <row r="436" spans="1:16" ht="12" hidden="1" outlineLevel="1" thickBot="1">
      <c r="A436" s="115" t="s">
        <v>1561</v>
      </c>
      <c r="B436" s="115" t="s">
        <v>147</v>
      </c>
      <c r="C436" s="134" t="s">
        <v>1562</v>
      </c>
      <c r="E436" s="135" t="s">
        <v>1563</v>
      </c>
      <c r="F436" s="135" t="s">
        <v>148</v>
      </c>
      <c r="G436" s="131" t="s">
        <v>1685</v>
      </c>
      <c r="H436" s="132" t="e">
        <f t="shared" si="30"/>
        <v>#VALUE!</v>
      </c>
      <c r="I436" s="136"/>
      <c r="J436" s="151" t="e">
        <f>_xll.GetCtData("COAMOUNT","CONSAMOUNT",$A$1:$A$8,$A436:$B436,,"#")/10^3*$H436</f>
        <v>#VALUE!</v>
      </c>
      <c r="K436" s="136"/>
      <c r="L436" s="136" t="e">
        <f t="shared" si="31"/>
        <v>#VALUE!</v>
      </c>
      <c r="M436" s="128"/>
      <c r="N436" s="136"/>
      <c r="O436" s="128"/>
      <c r="P436" s="136" t="e">
        <f t="shared" si="29"/>
        <v>#VALUE!</v>
      </c>
    </row>
    <row r="437" spans="1:16" ht="12" hidden="1" outlineLevel="1" thickBot="1">
      <c r="A437" s="115" t="s">
        <v>1620</v>
      </c>
      <c r="B437" s="115" t="s">
        <v>147</v>
      </c>
      <c r="C437" s="134" t="s">
        <v>1621</v>
      </c>
      <c r="E437" s="135" t="s">
        <v>1622</v>
      </c>
      <c r="F437" s="135" t="s">
        <v>148</v>
      </c>
      <c r="G437" s="131" t="s">
        <v>1685</v>
      </c>
      <c r="H437" s="132" t="e">
        <f t="shared" si="30"/>
        <v>#VALUE!</v>
      </c>
      <c r="I437" s="136"/>
      <c r="J437" s="136"/>
      <c r="K437" s="151" t="e">
        <f>_xll.GetCtData("COAMOUNT","CONSAMOUNT",$A$1:$A$8,$A437:$B437,,"#")/10^3*$H437</f>
        <v>#VALUE!</v>
      </c>
      <c r="L437" s="136" t="e">
        <f t="shared" si="31"/>
        <v>#VALUE!</v>
      </c>
      <c r="M437" s="128"/>
      <c r="N437" s="136"/>
      <c r="O437" s="128"/>
      <c r="P437" s="136" t="e">
        <f t="shared" si="29"/>
        <v>#VALUE!</v>
      </c>
    </row>
    <row r="438" spans="1:16" ht="12" hidden="1" outlineLevel="1" thickBot="1">
      <c r="A438" s="115" t="s">
        <v>1623</v>
      </c>
      <c r="B438" s="115" t="s">
        <v>147</v>
      </c>
      <c r="C438" s="134" t="s">
        <v>1624</v>
      </c>
      <c r="E438" s="135" t="s">
        <v>1625</v>
      </c>
      <c r="F438" s="135" t="s">
        <v>148</v>
      </c>
      <c r="G438" s="131" t="s">
        <v>1685</v>
      </c>
      <c r="H438" s="132" t="e">
        <f t="shared" si="30"/>
        <v>#VALUE!</v>
      </c>
      <c r="I438" s="136"/>
      <c r="J438" s="136"/>
      <c r="K438" s="151" t="e">
        <f>_xll.GetCtData("COAMOUNT","CONSAMOUNT",$A$1:$A$8,$A438:$B438,,"#")/10^3*$H438</f>
        <v>#VALUE!</v>
      </c>
      <c r="L438" s="136" t="e">
        <f t="shared" si="31"/>
        <v>#VALUE!</v>
      </c>
      <c r="M438" s="128"/>
      <c r="N438" s="136"/>
      <c r="O438" s="128"/>
      <c r="P438" s="136" t="e">
        <f t="shared" si="29"/>
        <v>#VALUE!</v>
      </c>
    </row>
    <row r="439" spans="1:16" ht="12" hidden="1" outlineLevel="1" thickBot="1">
      <c r="A439" s="115" t="s">
        <v>1564</v>
      </c>
      <c r="B439" s="115" t="s">
        <v>147</v>
      </c>
      <c r="C439" s="134" t="s">
        <v>1565</v>
      </c>
      <c r="E439" s="135" t="s">
        <v>1566</v>
      </c>
      <c r="F439" s="135" t="s">
        <v>148</v>
      </c>
      <c r="G439" s="131" t="s">
        <v>1685</v>
      </c>
      <c r="H439" s="132" t="e">
        <f t="shared" si="30"/>
        <v>#VALUE!</v>
      </c>
      <c r="I439" s="136"/>
      <c r="J439" s="136"/>
      <c r="K439" s="151" t="e">
        <f>_xll.GetCtData("COAMOUNT","CONSAMOUNT",$A$1:$A$8,$A439:$B439,,"#")/10^3*$H439</f>
        <v>#VALUE!</v>
      </c>
      <c r="L439" s="136" t="e">
        <f t="shared" si="31"/>
        <v>#VALUE!</v>
      </c>
      <c r="M439" s="128"/>
      <c r="N439" s="136"/>
      <c r="O439" s="128"/>
      <c r="P439" s="136" t="e">
        <f t="shared" si="29"/>
        <v>#VALUE!</v>
      </c>
    </row>
    <row r="440" spans="1:16" ht="12" hidden="1" outlineLevel="1" thickBot="1">
      <c r="A440" s="115" t="s">
        <v>1567</v>
      </c>
      <c r="B440" s="115" t="s">
        <v>147</v>
      </c>
      <c r="C440" s="134" t="s">
        <v>1568</v>
      </c>
      <c r="E440" s="135" t="s">
        <v>1569</v>
      </c>
      <c r="F440" s="135" t="s">
        <v>148</v>
      </c>
      <c r="G440" s="131" t="s">
        <v>1685</v>
      </c>
      <c r="H440" s="132" t="e">
        <f t="shared" si="30"/>
        <v>#VALUE!</v>
      </c>
      <c r="I440" s="136"/>
      <c r="J440" s="136"/>
      <c r="K440" s="151" t="e">
        <f>_xll.GetCtData("COAMOUNT","CONSAMOUNT",$A$1:$A$8,$A440:$B440,,"#")/10^3*$H440</f>
        <v>#VALUE!</v>
      </c>
      <c r="L440" s="136" t="e">
        <f t="shared" si="31"/>
        <v>#VALUE!</v>
      </c>
      <c r="M440" s="128"/>
      <c r="N440" s="136"/>
      <c r="O440" s="128"/>
      <c r="P440" s="136" t="e">
        <f t="shared" si="29"/>
        <v>#VALUE!</v>
      </c>
    </row>
    <row r="441" spans="1:16" ht="12" hidden="1" outlineLevel="1" thickBot="1">
      <c r="A441" s="115" t="s">
        <v>1572</v>
      </c>
      <c r="B441" s="115" t="s">
        <v>149</v>
      </c>
      <c r="C441" s="134" t="s">
        <v>1573</v>
      </c>
      <c r="E441" s="135" t="s">
        <v>1574</v>
      </c>
      <c r="F441" s="135" t="s">
        <v>150</v>
      </c>
      <c r="G441" s="131" t="s">
        <v>1686</v>
      </c>
      <c r="H441" s="132" t="e">
        <f t="shared" si="30"/>
        <v>#VALUE!</v>
      </c>
      <c r="I441" s="151" t="e">
        <f>_xll.GetCtData("COAMOUNT","CONSAMOUNT",$A$1:$A$8,$A441:$B441,,"#")/10^3*$H441</f>
        <v>#VALUE!</v>
      </c>
      <c r="J441" s="136"/>
      <c r="K441" s="136"/>
      <c r="L441" s="136" t="e">
        <f t="shared" si="31"/>
        <v>#VALUE!</v>
      </c>
      <c r="M441" s="128"/>
      <c r="N441" s="136"/>
      <c r="O441" s="128"/>
      <c r="P441" s="136" t="e">
        <f t="shared" si="29"/>
        <v>#VALUE!</v>
      </c>
    </row>
    <row r="442" spans="1:16" ht="12" hidden="1" outlineLevel="1" thickBot="1">
      <c r="A442" s="115" t="s">
        <v>1575</v>
      </c>
      <c r="B442" s="115" t="s">
        <v>149</v>
      </c>
      <c r="C442" s="134" t="s">
        <v>1576</v>
      </c>
      <c r="E442" s="135" t="s">
        <v>1577</v>
      </c>
      <c r="F442" s="135" t="s">
        <v>150</v>
      </c>
      <c r="G442" s="131" t="s">
        <v>1686</v>
      </c>
      <c r="H442" s="132" t="e">
        <f t="shared" si="30"/>
        <v>#VALUE!</v>
      </c>
      <c r="I442" s="151" t="e">
        <f>_xll.GetCtData("COAMOUNT","CONSAMOUNT",$A$1:$A$8,$A442:$B442,,"#")/10^3*$H442</f>
        <v>#VALUE!</v>
      </c>
      <c r="J442" s="136"/>
      <c r="K442" s="136"/>
      <c r="L442" s="136" t="e">
        <f t="shared" si="31"/>
        <v>#VALUE!</v>
      </c>
      <c r="M442" s="128"/>
      <c r="N442" s="136"/>
      <c r="O442" s="128"/>
      <c r="P442" s="136" t="e">
        <f t="shared" si="29"/>
        <v>#VALUE!</v>
      </c>
    </row>
    <row r="443" spans="1:16" ht="12" hidden="1" outlineLevel="1" thickBot="1">
      <c r="A443" s="115" t="s">
        <v>1578</v>
      </c>
      <c r="B443" s="115" t="s">
        <v>149</v>
      </c>
      <c r="C443" s="134" t="s">
        <v>1579</v>
      </c>
      <c r="E443" s="135" t="s">
        <v>1580</v>
      </c>
      <c r="F443" s="135" t="s">
        <v>150</v>
      </c>
      <c r="G443" s="131" t="s">
        <v>1686</v>
      </c>
      <c r="H443" s="132" t="e">
        <f t="shared" si="30"/>
        <v>#VALUE!</v>
      </c>
      <c r="I443" s="151" t="e">
        <f>_xll.GetCtData("COAMOUNT","CONSAMOUNT",$A$1:$A$8,$A443:$B443,,"#")/10^3*$H443</f>
        <v>#VALUE!</v>
      </c>
      <c r="J443" s="136"/>
      <c r="K443" s="136"/>
      <c r="L443" s="136" t="e">
        <f t="shared" si="31"/>
        <v>#VALUE!</v>
      </c>
      <c r="M443" s="128"/>
      <c r="N443" s="136"/>
      <c r="O443" s="128"/>
      <c r="P443" s="136" t="e">
        <f t="shared" si="29"/>
        <v>#VALUE!</v>
      </c>
    </row>
    <row r="444" spans="1:16" ht="12" hidden="1" outlineLevel="1" thickBot="1">
      <c r="A444" s="115" t="s">
        <v>1581</v>
      </c>
      <c r="B444" s="115" t="s">
        <v>149</v>
      </c>
      <c r="C444" s="134" t="s">
        <v>1582</v>
      </c>
      <c r="E444" s="135" t="s">
        <v>1583</v>
      </c>
      <c r="F444" s="135" t="s">
        <v>150</v>
      </c>
      <c r="G444" s="131" t="s">
        <v>1686</v>
      </c>
      <c r="H444" s="132" t="e">
        <f t="shared" si="30"/>
        <v>#VALUE!</v>
      </c>
      <c r="I444" s="151" t="e">
        <f>_xll.GetCtData("COAMOUNT","CONSAMOUNT",$A$1:$A$8,$A444:$B444,,"#")/10^3*$H444</f>
        <v>#VALUE!</v>
      </c>
      <c r="J444" s="136"/>
      <c r="K444" s="136"/>
      <c r="L444" s="136" t="e">
        <f t="shared" si="31"/>
        <v>#VALUE!</v>
      </c>
      <c r="M444" s="128"/>
      <c r="N444" s="136"/>
      <c r="O444" s="128"/>
      <c r="P444" s="136" t="e">
        <f t="shared" si="29"/>
        <v>#VALUE!</v>
      </c>
    </row>
    <row r="445" spans="1:16" ht="12" hidden="1" outlineLevel="1" thickBot="1">
      <c r="A445" s="115" t="s">
        <v>1584</v>
      </c>
      <c r="B445" s="115" t="s">
        <v>149</v>
      </c>
      <c r="C445" s="134" t="s">
        <v>1585</v>
      </c>
      <c r="E445" s="135" t="s">
        <v>1586</v>
      </c>
      <c r="F445" s="135" t="s">
        <v>150</v>
      </c>
      <c r="G445" s="131" t="s">
        <v>1686</v>
      </c>
      <c r="H445" s="132" t="e">
        <f t="shared" si="30"/>
        <v>#VALUE!</v>
      </c>
      <c r="I445" s="151" t="e">
        <f>_xll.GetCtData("COAMOUNT","CONSAMOUNT",$A$1:$A$8,$A445:$B445,,"#")/10^3*$H445</f>
        <v>#VALUE!</v>
      </c>
      <c r="J445" s="136"/>
      <c r="K445" s="136"/>
      <c r="L445" s="136" t="e">
        <f t="shared" si="31"/>
        <v>#VALUE!</v>
      </c>
      <c r="M445" s="128"/>
      <c r="N445" s="136"/>
      <c r="O445" s="128"/>
      <c r="P445" s="136" t="e">
        <f t="shared" si="29"/>
        <v>#VALUE!</v>
      </c>
    </row>
    <row r="446" spans="1:16" ht="12" hidden="1" outlineLevel="1" thickBot="1">
      <c r="A446" s="115" t="s">
        <v>1587</v>
      </c>
      <c r="B446" s="115" t="s">
        <v>149</v>
      </c>
      <c r="C446" s="134" t="s">
        <v>1588</v>
      </c>
      <c r="E446" s="135" t="s">
        <v>1589</v>
      </c>
      <c r="F446" s="135" t="s">
        <v>150</v>
      </c>
      <c r="G446" s="131" t="s">
        <v>1686</v>
      </c>
      <c r="H446" s="132" t="e">
        <f t="shared" si="30"/>
        <v>#VALUE!</v>
      </c>
      <c r="I446" s="151" t="e">
        <f>_xll.GetCtData("COAMOUNT","CONSAMOUNT",$A$1:$A$8,$A446:$B446,,"#")/10^3*$H446</f>
        <v>#VALUE!</v>
      </c>
      <c r="J446" s="136"/>
      <c r="K446" s="136"/>
      <c r="L446" s="136" t="e">
        <f t="shared" si="31"/>
        <v>#VALUE!</v>
      </c>
      <c r="M446" s="128"/>
      <c r="N446" s="136"/>
      <c r="O446" s="128"/>
      <c r="P446" s="136" t="e">
        <f t="shared" si="29"/>
        <v>#VALUE!</v>
      </c>
    </row>
    <row r="447" spans="1:16" ht="12" hidden="1" outlineLevel="1" thickBot="1">
      <c r="A447" s="115" t="s">
        <v>1590</v>
      </c>
      <c r="B447" s="115" t="s">
        <v>149</v>
      </c>
      <c r="C447" s="134" t="s">
        <v>1591</v>
      </c>
      <c r="E447" s="135" t="s">
        <v>1592</v>
      </c>
      <c r="F447" s="135" t="s">
        <v>150</v>
      </c>
      <c r="G447" s="131" t="s">
        <v>1686</v>
      </c>
      <c r="H447" s="132" t="e">
        <f t="shared" si="30"/>
        <v>#VALUE!</v>
      </c>
      <c r="I447" s="151" t="e">
        <f>_xll.GetCtData("COAMOUNT","CONSAMOUNT",$A$1:$A$8,$A447:$B447,,"#")/10^3*$H447</f>
        <v>#VALUE!</v>
      </c>
      <c r="J447" s="136"/>
      <c r="K447" s="136"/>
      <c r="L447" s="136" t="e">
        <f t="shared" si="31"/>
        <v>#VALUE!</v>
      </c>
      <c r="M447" s="128"/>
      <c r="N447" s="136"/>
      <c r="O447" s="128"/>
      <c r="P447" s="136" t="e">
        <f t="shared" si="29"/>
        <v>#VALUE!</v>
      </c>
    </row>
    <row r="448" spans="1:16" ht="12" hidden="1" outlineLevel="1" thickBot="1">
      <c r="A448" s="115" t="s">
        <v>1593</v>
      </c>
      <c r="B448" s="115" t="s">
        <v>149</v>
      </c>
      <c r="C448" s="134" t="s">
        <v>1594</v>
      </c>
      <c r="E448" s="135" t="s">
        <v>1595</v>
      </c>
      <c r="F448" s="135" t="s">
        <v>150</v>
      </c>
      <c r="G448" s="131" t="s">
        <v>1686</v>
      </c>
      <c r="H448" s="132" t="e">
        <f t="shared" si="30"/>
        <v>#VALUE!</v>
      </c>
      <c r="I448" s="151" t="e">
        <f>_xll.GetCtData("COAMOUNT","CONSAMOUNT",$A$1:$A$8,$A448:$B448,,"#")/10^3*$H448</f>
        <v>#VALUE!</v>
      </c>
      <c r="J448" s="136"/>
      <c r="K448" s="136"/>
      <c r="L448" s="136" t="e">
        <f t="shared" si="31"/>
        <v>#VALUE!</v>
      </c>
      <c r="M448" s="128"/>
      <c r="N448" s="136"/>
      <c r="O448" s="128"/>
      <c r="P448" s="136" t="e">
        <f t="shared" si="29"/>
        <v>#VALUE!</v>
      </c>
    </row>
    <row r="449" spans="1:16" ht="12" hidden="1" outlineLevel="1" thickBot="1">
      <c r="A449" s="115" t="s">
        <v>1596</v>
      </c>
      <c r="B449" s="115" t="s">
        <v>149</v>
      </c>
      <c r="C449" s="134" t="s">
        <v>1597</v>
      </c>
      <c r="E449" s="135" t="s">
        <v>1598</v>
      </c>
      <c r="F449" s="135" t="s">
        <v>150</v>
      </c>
      <c r="G449" s="131" t="s">
        <v>1686</v>
      </c>
      <c r="H449" s="132" t="e">
        <f t="shared" si="30"/>
        <v>#VALUE!</v>
      </c>
      <c r="I449" s="151" t="e">
        <f>_xll.GetCtData("COAMOUNT","CONSAMOUNT",$A$1:$A$8,$A449:$B449,,"#")/10^3*$H449</f>
        <v>#VALUE!</v>
      </c>
      <c r="J449" s="136"/>
      <c r="K449" s="136"/>
      <c r="L449" s="136" t="e">
        <f t="shared" si="31"/>
        <v>#VALUE!</v>
      </c>
      <c r="M449" s="128"/>
      <c r="N449" s="136"/>
      <c r="O449" s="128"/>
      <c r="P449" s="136" t="e">
        <f t="shared" si="29"/>
        <v>#VALUE!</v>
      </c>
    </row>
    <row r="450" spans="1:16" ht="12" hidden="1" outlineLevel="1" thickBot="1">
      <c r="A450" s="115" t="s">
        <v>1599</v>
      </c>
      <c r="B450" s="115" t="s">
        <v>149</v>
      </c>
      <c r="C450" s="134" t="s">
        <v>1600</v>
      </c>
      <c r="E450" s="135" t="s">
        <v>1601</v>
      </c>
      <c r="F450" s="135" t="s">
        <v>150</v>
      </c>
      <c r="G450" s="131" t="s">
        <v>1686</v>
      </c>
      <c r="H450" s="132" t="e">
        <f t="shared" si="30"/>
        <v>#VALUE!</v>
      </c>
      <c r="I450" s="151" t="e">
        <f>_xll.GetCtData("COAMOUNT","CONSAMOUNT",$A$1:$A$8,$A450:$B450,,"#")/10^3*$H450</f>
        <v>#VALUE!</v>
      </c>
      <c r="J450" s="136"/>
      <c r="K450" s="136"/>
      <c r="L450" s="136" t="e">
        <f t="shared" si="31"/>
        <v>#VALUE!</v>
      </c>
      <c r="M450" s="128"/>
      <c r="N450" s="136"/>
      <c r="O450" s="128"/>
      <c r="P450" s="136" t="e">
        <f t="shared" si="29"/>
        <v>#VALUE!</v>
      </c>
    </row>
    <row r="451" spans="1:16" ht="12" hidden="1" outlineLevel="1" thickBot="1">
      <c r="A451" s="115" t="s">
        <v>1602</v>
      </c>
      <c r="B451" s="115" t="s">
        <v>149</v>
      </c>
      <c r="C451" s="134" t="s">
        <v>1603</v>
      </c>
      <c r="E451" s="135" t="s">
        <v>1604</v>
      </c>
      <c r="F451" s="135" t="s">
        <v>150</v>
      </c>
      <c r="G451" s="131" t="s">
        <v>1686</v>
      </c>
      <c r="H451" s="132" t="e">
        <f t="shared" si="30"/>
        <v>#VALUE!</v>
      </c>
      <c r="I451" s="151" t="e">
        <f>_xll.GetCtData("COAMOUNT","CONSAMOUNT",$A$1:$A$8,$A451:$B451,,"#")/10^3*$H451</f>
        <v>#VALUE!</v>
      </c>
      <c r="J451" s="136"/>
      <c r="K451" s="136"/>
      <c r="L451" s="136" t="e">
        <f t="shared" si="31"/>
        <v>#VALUE!</v>
      </c>
      <c r="M451" s="128"/>
      <c r="N451" s="136"/>
      <c r="O451" s="128"/>
      <c r="P451" s="136" t="e">
        <f t="shared" si="29"/>
        <v>#VALUE!</v>
      </c>
    </row>
    <row r="452" spans="1:16" ht="12" hidden="1" outlineLevel="1" thickBot="1">
      <c r="A452" s="115" t="s">
        <v>1605</v>
      </c>
      <c r="B452" s="115" t="s">
        <v>149</v>
      </c>
      <c r="C452" s="134" t="s">
        <v>1606</v>
      </c>
      <c r="E452" s="135" t="s">
        <v>1607</v>
      </c>
      <c r="F452" s="135" t="s">
        <v>150</v>
      </c>
      <c r="G452" s="131" t="s">
        <v>1686</v>
      </c>
      <c r="H452" s="132" t="e">
        <f t="shared" si="30"/>
        <v>#VALUE!</v>
      </c>
      <c r="I452" s="151" t="e">
        <f>_xll.GetCtData("COAMOUNT","CONSAMOUNT",$A$1:$A$8,$A452:$B452,,"#")/10^3*$H452</f>
        <v>#VALUE!</v>
      </c>
      <c r="J452" s="136"/>
      <c r="K452" s="136"/>
      <c r="L452" s="136" t="e">
        <f t="shared" si="31"/>
        <v>#VALUE!</v>
      </c>
      <c r="M452" s="128"/>
      <c r="N452" s="136"/>
      <c r="O452" s="128"/>
      <c r="P452" s="136" t="e">
        <f t="shared" si="29"/>
        <v>#VALUE!</v>
      </c>
    </row>
    <row r="453" spans="1:16" ht="12" hidden="1" outlineLevel="1" thickBot="1">
      <c r="A453" s="115" t="s">
        <v>1516</v>
      </c>
      <c r="B453" s="115" t="s">
        <v>149</v>
      </c>
      <c r="C453" s="134" t="s">
        <v>1517</v>
      </c>
      <c r="E453" s="135" t="s">
        <v>1518</v>
      </c>
      <c r="F453" s="135" t="s">
        <v>150</v>
      </c>
      <c r="G453" s="131" t="s">
        <v>1686</v>
      </c>
      <c r="H453" s="132" t="e">
        <f t="shared" si="30"/>
        <v>#VALUE!</v>
      </c>
      <c r="I453" s="151" t="e">
        <f>_xll.GetCtData("COAMOUNT","CONSAMOUNT",$A$1:$A$8,$A453:$B453,,"#")/10^3*$H453</f>
        <v>#VALUE!</v>
      </c>
      <c r="J453" s="136"/>
      <c r="K453" s="136"/>
      <c r="L453" s="136" t="e">
        <f t="shared" si="31"/>
        <v>#VALUE!</v>
      </c>
      <c r="M453" s="128"/>
      <c r="N453" s="136"/>
      <c r="O453" s="128"/>
      <c r="P453" s="136" t="e">
        <f t="shared" si="29"/>
        <v>#VALUE!</v>
      </c>
    </row>
    <row r="454" spans="1:16" ht="12" hidden="1" outlineLevel="1" thickBot="1">
      <c r="A454" s="115" t="s">
        <v>1519</v>
      </c>
      <c r="B454" s="115" t="s">
        <v>149</v>
      </c>
      <c r="C454" s="134" t="s">
        <v>1520</v>
      </c>
      <c r="E454" s="135" t="s">
        <v>1521</v>
      </c>
      <c r="F454" s="135" t="s">
        <v>150</v>
      </c>
      <c r="G454" s="131" t="s">
        <v>1686</v>
      </c>
      <c r="H454" s="132" t="e">
        <f t="shared" si="30"/>
        <v>#VALUE!</v>
      </c>
      <c r="I454" s="151" t="e">
        <f>_xll.GetCtData("COAMOUNT","CONSAMOUNT",$A$1:$A$8,$A454:$B454,,"#")/10^3*$H454</f>
        <v>#VALUE!</v>
      </c>
      <c r="J454" s="136"/>
      <c r="K454" s="136"/>
      <c r="L454" s="136" t="e">
        <f t="shared" si="31"/>
        <v>#VALUE!</v>
      </c>
      <c r="M454" s="128"/>
      <c r="N454" s="136"/>
      <c r="O454" s="128"/>
      <c r="P454" s="136" t="e">
        <f t="shared" si="29"/>
        <v>#VALUE!</v>
      </c>
    </row>
    <row r="455" spans="1:16" ht="12" hidden="1" outlineLevel="1" thickBot="1">
      <c r="A455" s="115" t="s">
        <v>1522</v>
      </c>
      <c r="B455" s="115" t="s">
        <v>149</v>
      </c>
      <c r="C455" s="134" t="s">
        <v>1523</v>
      </c>
      <c r="E455" s="135" t="s">
        <v>1524</v>
      </c>
      <c r="F455" s="135" t="s">
        <v>150</v>
      </c>
      <c r="G455" s="131" t="s">
        <v>1686</v>
      </c>
      <c r="H455" s="132" t="e">
        <f t="shared" si="30"/>
        <v>#VALUE!</v>
      </c>
      <c r="I455" s="151" t="e">
        <f>_xll.GetCtData("COAMOUNT","CONSAMOUNT",$A$1:$A$8,$A455:$B455,,"#")/10^3*$H455</f>
        <v>#VALUE!</v>
      </c>
      <c r="J455" s="136"/>
      <c r="K455" s="136"/>
      <c r="L455" s="136" t="e">
        <f t="shared" si="31"/>
        <v>#VALUE!</v>
      </c>
      <c r="M455" s="128"/>
      <c r="N455" s="136"/>
      <c r="O455" s="128"/>
      <c r="P455" s="136" t="e">
        <f t="shared" si="29"/>
        <v>#VALUE!</v>
      </c>
    </row>
    <row r="456" spans="1:16" ht="12" hidden="1" outlineLevel="1" thickBot="1">
      <c r="A456" s="115" t="s">
        <v>1525</v>
      </c>
      <c r="B456" s="115" t="s">
        <v>149</v>
      </c>
      <c r="C456" s="134" t="s">
        <v>1526</v>
      </c>
      <c r="E456" s="135" t="s">
        <v>1527</v>
      </c>
      <c r="F456" s="135" t="s">
        <v>150</v>
      </c>
      <c r="G456" s="131" t="s">
        <v>1686</v>
      </c>
      <c r="H456" s="132" t="e">
        <f t="shared" si="30"/>
        <v>#VALUE!</v>
      </c>
      <c r="I456" s="151" t="e">
        <f>_xll.GetCtData("COAMOUNT","CONSAMOUNT",$A$1:$A$8,$A456:$B456,,"#")/10^3*$H456</f>
        <v>#VALUE!</v>
      </c>
      <c r="J456" s="136"/>
      <c r="K456" s="136"/>
      <c r="L456" s="136" t="e">
        <f t="shared" si="31"/>
        <v>#VALUE!</v>
      </c>
      <c r="M456" s="128"/>
      <c r="N456" s="136"/>
      <c r="O456" s="128"/>
      <c r="P456" s="136" t="e">
        <f t="shared" si="29"/>
        <v>#VALUE!</v>
      </c>
    </row>
    <row r="457" spans="1:16" ht="12" hidden="1" outlineLevel="1" thickBot="1">
      <c r="A457" s="115" t="s">
        <v>1528</v>
      </c>
      <c r="B457" s="115" t="s">
        <v>149</v>
      </c>
      <c r="C457" s="134" t="s">
        <v>1529</v>
      </c>
      <c r="E457" s="135" t="s">
        <v>1530</v>
      </c>
      <c r="F457" s="135" t="s">
        <v>150</v>
      </c>
      <c r="G457" s="131" t="s">
        <v>1686</v>
      </c>
      <c r="H457" s="132" t="e">
        <f t="shared" si="30"/>
        <v>#VALUE!</v>
      </c>
      <c r="I457" s="151" t="e">
        <f>_xll.GetCtData("COAMOUNT","CONSAMOUNT",$A$1:$A$8,$A457:$B457,,"#")/10^3*$H457</f>
        <v>#VALUE!</v>
      </c>
      <c r="J457" s="136"/>
      <c r="K457" s="136"/>
      <c r="L457" s="136" t="e">
        <f t="shared" si="31"/>
        <v>#VALUE!</v>
      </c>
      <c r="M457" s="128"/>
      <c r="N457" s="136"/>
      <c r="O457" s="128"/>
      <c r="P457" s="136" t="e">
        <f t="shared" si="29"/>
        <v>#VALUE!</v>
      </c>
    </row>
    <row r="458" spans="1:16" ht="12" hidden="1" outlineLevel="1" thickBot="1">
      <c r="A458" s="115" t="s">
        <v>1531</v>
      </c>
      <c r="B458" s="115" t="s">
        <v>149</v>
      </c>
      <c r="C458" s="134" t="s">
        <v>1532</v>
      </c>
      <c r="E458" s="135" t="s">
        <v>1533</v>
      </c>
      <c r="F458" s="135" t="s">
        <v>150</v>
      </c>
      <c r="G458" s="131" t="s">
        <v>1686</v>
      </c>
      <c r="H458" s="132" t="e">
        <f t="shared" si="30"/>
        <v>#VALUE!</v>
      </c>
      <c r="I458" s="151" t="e">
        <f>_xll.GetCtData("COAMOUNT","CONSAMOUNT",$A$1:$A$8,$A458:$B458,,"#")/10^3*$H458</f>
        <v>#VALUE!</v>
      </c>
      <c r="J458" s="136"/>
      <c r="K458" s="136"/>
      <c r="L458" s="136" t="e">
        <f t="shared" si="31"/>
        <v>#VALUE!</v>
      </c>
      <c r="M458" s="128"/>
      <c r="N458" s="136"/>
      <c r="O458" s="128"/>
      <c r="P458" s="136" t="e">
        <f t="shared" si="29"/>
        <v>#VALUE!</v>
      </c>
    </row>
    <row r="459" spans="1:16" ht="12" hidden="1" outlineLevel="1" thickBot="1">
      <c r="A459" s="115" t="s">
        <v>1534</v>
      </c>
      <c r="B459" s="115" t="s">
        <v>149</v>
      </c>
      <c r="C459" s="134" t="s">
        <v>1535</v>
      </c>
      <c r="E459" s="135" t="s">
        <v>1536</v>
      </c>
      <c r="F459" s="135" t="s">
        <v>150</v>
      </c>
      <c r="G459" s="131" t="s">
        <v>1686</v>
      </c>
      <c r="H459" s="132" t="e">
        <f t="shared" si="30"/>
        <v>#VALUE!</v>
      </c>
      <c r="I459" s="151" t="e">
        <f>_xll.GetCtData("COAMOUNT","CONSAMOUNT",$A$1:$A$8,$A459:$B459,,"#")/10^3*$H459</f>
        <v>#VALUE!</v>
      </c>
      <c r="J459" s="136"/>
      <c r="K459" s="136"/>
      <c r="L459" s="136" t="e">
        <f t="shared" si="31"/>
        <v>#VALUE!</v>
      </c>
      <c r="M459" s="128"/>
      <c r="N459" s="136"/>
      <c r="O459" s="128"/>
      <c r="P459" s="136" t="e">
        <f t="shared" si="29"/>
        <v>#VALUE!</v>
      </c>
    </row>
    <row r="460" spans="1:16" ht="12" hidden="1" outlineLevel="1" thickBot="1">
      <c r="A460" s="115" t="s">
        <v>1537</v>
      </c>
      <c r="B460" s="115" t="s">
        <v>149</v>
      </c>
      <c r="C460" s="134" t="s">
        <v>1538</v>
      </c>
      <c r="E460" s="135" t="s">
        <v>1539</v>
      </c>
      <c r="F460" s="135" t="s">
        <v>150</v>
      </c>
      <c r="G460" s="131" t="s">
        <v>1686</v>
      </c>
      <c r="H460" s="132" t="e">
        <f t="shared" si="30"/>
        <v>#VALUE!</v>
      </c>
      <c r="I460" s="151" t="e">
        <f>_xll.GetCtData("COAMOUNT","CONSAMOUNT",$A$1:$A$8,$A460:$B460,,"#")/10^3*$H460</f>
        <v>#VALUE!</v>
      </c>
      <c r="J460" s="136"/>
      <c r="K460" s="136"/>
      <c r="L460" s="136" t="e">
        <f t="shared" si="31"/>
        <v>#VALUE!</v>
      </c>
      <c r="M460" s="128"/>
      <c r="N460" s="136"/>
      <c r="O460" s="128"/>
      <c r="P460" s="136" t="e">
        <f t="shared" si="29"/>
        <v>#VALUE!</v>
      </c>
    </row>
    <row r="461" spans="1:16" ht="12" hidden="1" outlineLevel="1" thickBot="1">
      <c r="A461" s="115" t="s">
        <v>1540</v>
      </c>
      <c r="B461" s="115" t="s">
        <v>149</v>
      </c>
      <c r="C461" s="134" t="s">
        <v>1541</v>
      </c>
      <c r="E461" s="135" t="s">
        <v>1542</v>
      </c>
      <c r="F461" s="135" t="s">
        <v>150</v>
      </c>
      <c r="G461" s="131" t="s">
        <v>1686</v>
      </c>
      <c r="H461" s="132" t="e">
        <f t="shared" si="30"/>
        <v>#VALUE!</v>
      </c>
      <c r="I461" s="151" t="e">
        <f>_xll.GetCtData("COAMOUNT","CONSAMOUNT",$A$1:$A$8,$A461:$B461,,"#")/10^3*$H461</f>
        <v>#VALUE!</v>
      </c>
      <c r="J461" s="136"/>
      <c r="K461" s="136"/>
      <c r="L461" s="136" t="e">
        <f t="shared" si="31"/>
        <v>#VALUE!</v>
      </c>
      <c r="M461" s="128"/>
      <c r="N461" s="136"/>
      <c r="O461" s="128"/>
      <c r="P461" s="136" t="e">
        <f t="shared" si="29"/>
        <v>#VALUE!</v>
      </c>
    </row>
    <row r="462" spans="1:16" ht="12" hidden="1" outlineLevel="1" thickBot="1">
      <c r="A462" s="115" t="s">
        <v>1543</v>
      </c>
      <c r="B462" s="115" t="s">
        <v>149</v>
      </c>
      <c r="C462" s="134" t="s">
        <v>1544</v>
      </c>
      <c r="E462" s="135" t="s">
        <v>1545</v>
      </c>
      <c r="F462" s="135" t="s">
        <v>150</v>
      </c>
      <c r="G462" s="131" t="s">
        <v>1686</v>
      </c>
      <c r="H462" s="132" t="e">
        <f t="shared" si="30"/>
        <v>#VALUE!</v>
      </c>
      <c r="I462" s="151" t="e">
        <f>_xll.GetCtData("COAMOUNT","CONSAMOUNT",$A$1:$A$8,$A462:$B462,,"#")/10^3*$H462</f>
        <v>#VALUE!</v>
      </c>
      <c r="J462" s="136"/>
      <c r="K462" s="136"/>
      <c r="L462" s="136" t="e">
        <f t="shared" si="31"/>
        <v>#VALUE!</v>
      </c>
      <c r="M462" s="128"/>
      <c r="N462" s="136"/>
      <c r="O462" s="128"/>
      <c r="P462" s="136" t="e">
        <f t="shared" si="29"/>
        <v>#VALUE!</v>
      </c>
    </row>
    <row r="463" spans="1:16" ht="12" hidden="1" outlineLevel="1" thickBot="1">
      <c r="A463" s="115" t="s">
        <v>1546</v>
      </c>
      <c r="B463" s="115" t="s">
        <v>149</v>
      </c>
      <c r="C463" s="134" t="s">
        <v>1547</v>
      </c>
      <c r="E463" s="135" t="s">
        <v>1548</v>
      </c>
      <c r="F463" s="135" t="s">
        <v>150</v>
      </c>
      <c r="G463" s="131" t="s">
        <v>1686</v>
      </c>
      <c r="H463" s="132" t="e">
        <f t="shared" si="30"/>
        <v>#VALUE!</v>
      </c>
      <c r="I463" s="151" t="e">
        <f>_xll.GetCtData("COAMOUNT","CONSAMOUNT",$A$1:$A$8,$A463:$B463,,"#")/10^3*$H463</f>
        <v>#VALUE!</v>
      </c>
      <c r="J463" s="136"/>
      <c r="K463" s="136"/>
      <c r="L463" s="136" t="e">
        <f t="shared" si="31"/>
        <v>#VALUE!</v>
      </c>
      <c r="M463" s="128"/>
      <c r="N463" s="136"/>
      <c r="O463" s="128"/>
      <c r="P463" s="136" t="e">
        <f t="shared" si="29"/>
        <v>#VALUE!</v>
      </c>
    </row>
    <row r="464" spans="1:16" ht="12" hidden="1" outlineLevel="1" thickBot="1">
      <c r="A464" s="115" t="s">
        <v>1549</v>
      </c>
      <c r="B464" s="115" t="s">
        <v>149</v>
      </c>
      <c r="C464" s="134" t="s">
        <v>1550</v>
      </c>
      <c r="E464" s="135" t="s">
        <v>1551</v>
      </c>
      <c r="F464" s="135" t="s">
        <v>150</v>
      </c>
      <c r="G464" s="131" t="s">
        <v>1686</v>
      </c>
      <c r="H464" s="132" t="e">
        <f t="shared" si="30"/>
        <v>#VALUE!</v>
      </c>
      <c r="I464" s="151" t="e">
        <f>_xll.GetCtData("COAMOUNT","CONSAMOUNT",$A$1:$A$8,$A464:$B464,,"#")/10^3*$H464</f>
        <v>#VALUE!</v>
      </c>
      <c r="J464" s="136"/>
      <c r="K464" s="136"/>
      <c r="L464" s="136" t="e">
        <f t="shared" si="31"/>
        <v>#VALUE!</v>
      </c>
      <c r="M464" s="128"/>
      <c r="N464" s="136"/>
      <c r="O464" s="128"/>
      <c r="P464" s="136" t="e">
        <f t="shared" si="29"/>
        <v>#VALUE!</v>
      </c>
    </row>
    <row r="465" spans="1:16" ht="12" hidden="1" outlineLevel="1" thickBot="1">
      <c r="A465" s="115" t="s">
        <v>1608</v>
      </c>
      <c r="B465" s="115" t="s">
        <v>149</v>
      </c>
      <c r="C465" s="134" t="s">
        <v>1609</v>
      </c>
      <c r="E465" s="135" t="s">
        <v>1610</v>
      </c>
      <c r="F465" s="135" t="s">
        <v>150</v>
      </c>
      <c r="G465" s="131" t="s">
        <v>1686</v>
      </c>
      <c r="H465" s="132" t="e">
        <f t="shared" si="30"/>
        <v>#VALUE!</v>
      </c>
      <c r="I465" s="136"/>
      <c r="J465" s="151" t="e">
        <f>_xll.GetCtData("COAMOUNT","CONSAMOUNT",$A$1:$A$8,$A465:$B465,,"#")/10^3*$H465</f>
        <v>#VALUE!</v>
      </c>
      <c r="K465" s="136"/>
      <c r="L465" s="136" t="e">
        <f t="shared" si="31"/>
        <v>#VALUE!</v>
      </c>
      <c r="M465" s="128"/>
      <c r="N465" s="136"/>
      <c r="O465" s="128"/>
      <c r="P465" s="136" t="e">
        <f t="shared" si="29"/>
        <v>#VALUE!</v>
      </c>
    </row>
    <row r="466" spans="1:16" ht="12" hidden="1" outlineLevel="1" thickBot="1">
      <c r="A466" s="115" t="s">
        <v>1611</v>
      </c>
      <c r="B466" s="115" t="s">
        <v>149</v>
      </c>
      <c r="C466" s="134" t="s">
        <v>1612</v>
      </c>
      <c r="E466" s="135" t="s">
        <v>1613</v>
      </c>
      <c r="F466" s="135" t="s">
        <v>150</v>
      </c>
      <c r="G466" s="131" t="s">
        <v>1686</v>
      </c>
      <c r="H466" s="132" t="e">
        <f t="shared" si="30"/>
        <v>#VALUE!</v>
      </c>
      <c r="I466" s="136"/>
      <c r="J466" s="151" t="e">
        <f>_xll.GetCtData("COAMOUNT","CONSAMOUNT",$A$1:$A$8,$A466:$B466,,"#")/10^3*$H466</f>
        <v>#VALUE!</v>
      </c>
      <c r="K466" s="136"/>
      <c r="L466" s="136" t="e">
        <f t="shared" si="31"/>
        <v>#VALUE!</v>
      </c>
      <c r="M466" s="128"/>
      <c r="N466" s="136"/>
      <c r="O466" s="128"/>
      <c r="P466" s="136" t="e">
        <f t="shared" si="29"/>
        <v>#VALUE!</v>
      </c>
    </row>
    <row r="467" spans="1:16" ht="12" hidden="1" outlineLevel="1" thickBot="1">
      <c r="A467" s="115" t="s">
        <v>1614</v>
      </c>
      <c r="B467" s="115" t="s">
        <v>149</v>
      </c>
      <c r="C467" s="134" t="s">
        <v>1615</v>
      </c>
      <c r="E467" s="135" t="s">
        <v>1616</v>
      </c>
      <c r="F467" s="135" t="s">
        <v>150</v>
      </c>
      <c r="G467" s="131" t="s">
        <v>1686</v>
      </c>
      <c r="H467" s="132" t="e">
        <f t="shared" si="30"/>
        <v>#VALUE!</v>
      </c>
      <c r="I467" s="136"/>
      <c r="J467" s="151" t="e">
        <f>_xll.GetCtData("COAMOUNT","CONSAMOUNT",$A$1:$A$8,$A467:$B467,,"#")/10^3*$H467</f>
        <v>#VALUE!</v>
      </c>
      <c r="K467" s="136"/>
      <c r="L467" s="136" t="e">
        <f t="shared" si="31"/>
        <v>#VALUE!</v>
      </c>
      <c r="M467" s="128"/>
      <c r="N467" s="136"/>
      <c r="O467" s="128"/>
      <c r="P467" s="136" t="e">
        <f t="shared" si="29"/>
        <v>#VALUE!</v>
      </c>
    </row>
    <row r="468" spans="1:16" ht="12" hidden="1" outlineLevel="1" thickBot="1">
      <c r="A468" s="115" t="s">
        <v>1617</v>
      </c>
      <c r="B468" s="115" t="s">
        <v>149</v>
      </c>
      <c r="C468" s="134" t="s">
        <v>1618</v>
      </c>
      <c r="E468" s="135" t="s">
        <v>1619</v>
      </c>
      <c r="F468" s="135" t="s">
        <v>150</v>
      </c>
      <c r="G468" s="131" t="s">
        <v>1686</v>
      </c>
      <c r="H468" s="132" t="e">
        <f t="shared" si="30"/>
        <v>#VALUE!</v>
      </c>
      <c r="I468" s="136"/>
      <c r="J468" s="151" t="e">
        <f>_xll.GetCtData("COAMOUNT","CONSAMOUNT",$A$1:$A$8,$A468:$B468,,"#")/10^3*$H468</f>
        <v>#VALUE!</v>
      </c>
      <c r="K468" s="136"/>
      <c r="L468" s="136" t="e">
        <f t="shared" si="31"/>
        <v>#VALUE!</v>
      </c>
      <c r="M468" s="128"/>
      <c r="N468" s="136"/>
      <c r="O468" s="128"/>
      <c r="P468" s="136" t="e">
        <f t="shared" si="29"/>
        <v>#VALUE!</v>
      </c>
    </row>
    <row r="469" spans="1:16" ht="12" hidden="1" outlineLevel="1" thickBot="1">
      <c r="A469" s="115" t="s">
        <v>1552</v>
      </c>
      <c r="B469" s="115" t="s">
        <v>149</v>
      </c>
      <c r="C469" s="134" t="s">
        <v>1553</v>
      </c>
      <c r="E469" s="135" t="s">
        <v>1554</v>
      </c>
      <c r="F469" s="135" t="s">
        <v>150</v>
      </c>
      <c r="G469" s="131" t="s">
        <v>1686</v>
      </c>
      <c r="H469" s="132" t="e">
        <f t="shared" si="30"/>
        <v>#VALUE!</v>
      </c>
      <c r="I469" s="136"/>
      <c r="J469" s="151" t="e">
        <f>_xll.GetCtData("COAMOUNT","CONSAMOUNT",$A$1:$A$8,$A469:$B469,,"#")/10^3*$H469</f>
        <v>#VALUE!</v>
      </c>
      <c r="K469" s="136"/>
      <c r="L469" s="136" t="e">
        <f t="shared" si="31"/>
        <v>#VALUE!</v>
      </c>
      <c r="M469" s="128"/>
      <c r="N469" s="136"/>
      <c r="O469" s="128"/>
      <c r="P469" s="136" t="e">
        <f t="shared" si="29"/>
        <v>#VALUE!</v>
      </c>
    </row>
    <row r="470" spans="1:16" ht="12" hidden="1" outlineLevel="1" thickBot="1">
      <c r="A470" s="115" t="s">
        <v>1555</v>
      </c>
      <c r="B470" s="115" t="s">
        <v>149</v>
      </c>
      <c r="C470" s="134" t="s">
        <v>1556</v>
      </c>
      <c r="E470" s="135" t="s">
        <v>1557</v>
      </c>
      <c r="F470" s="135" t="s">
        <v>150</v>
      </c>
      <c r="G470" s="131" t="s">
        <v>1686</v>
      </c>
      <c r="H470" s="132" t="e">
        <f t="shared" si="30"/>
        <v>#VALUE!</v>
      </c>
      <c r="I470" s="136"/>
      <c r="J470" s="151" t="e">
        <f>_xll.GetCtData("COAMOUNT","CONSAMOUNT",$A$1:$A$8,$A470:$B470,,"#")/10^3*$H470</f>
        <v>#VALUE!</v>
      </c>
      <c r="K470" s="136"/>
      <c r="L470" s="136" t="e">
        <f t="shared" si="31"/>
        <v>#VALUE!</v>
      </c>
      <c r="M470" s="128"/>
      <c r="N470" s="136"/>
      <c r="O470" s="128"/>
      <c r="P470" s="136" t="e">
        <f t="shared" si="29"/>
        <v>#VALUE!</v>
      </c>
    </row>
    <row r="471" spans="1:16" ht="12" hidden="1" outlineLevel="1" thickBot="1">
      <c r="A471" s="115" t="s">
        <v>1558</v>
      </c>
      <c r="B471" s="115" t="s">
        <v>149</v>
      </c>
      <c r="C471" s="134" t="s">
        <v>1559</v>
      </c>
      <c r="E471" s="135" t="s">
        <v>1560</v>
      </c>
      <c r="F471" s="135" t="s">
        <v>150</v>
      </c>
      <c r="G471" s="131" t="s">
        <v>1686</v>
      </c>
      <c r="H471" s="132" t="e">
        <f t="shared" si="30"/>
        <v>#VALUE!</v>
      </c>
      <c r="I471" s="136"/>
      <c r="J471" s="151" t="e">
        <f>_xll.GetCtData("COAMOUNT","CONSAMOUNT",$A$1:$A$8,$A471:$B471,,"#")/10^3*$H471</f>
        <v>#VALUE!</v>
      </c>
      <c r="K471" s="136"/>
      <c r="L471" s="136" t="e">
        <f t="shared" si="31"/>
        <v>#VALUE!</v>
      </c>
      <c r="M471" s="128"/>
      <c r="N471" s="136"/>
      <c r="O471" s="128"/>
      <c r="P471" s="136" t="e">
        <f t="shared" si="29"/>
        <v>#VALUE!</v>
      </c>
    </row>
    <row r="472" spans="1:16" ht="12" hidden="1" outlineLevel="1" thickBot="1">
      <c r="A472" s="115" t="s">
        <v>1561</v>
      </c>
      <c r="B472" s="115" t="s">
        <v>149</v>
      </c>
      <c r="C472" s="134" t="s">
        <v>1562</v>
      </c>
      <c r="E472" s="135" t="s">
        <v>1563</v>
      </c>
      <c r="F472" s="135" t="s">
        <v>150</v>
      </c>
      <c r="G472" s="131" t="s">
        <v>1686</v>
      </c>
      <c r="H472" s="132" t="e">
        <f t="shared" si="30"/>
        <v>#VALUE!</v>
      </c>
      <c r="I472" s="136"/>
      <c r="J472" s="151" t="e">
        <f>_xll.GetCtData("COAMOUNT","CONSAMOUNT",$A$1:$A$8,$A472:$B472,,"#")/10^3*$H472</f>
        <v>#VALUE!</v>
      </c>
      <c r="K472" s="136"/>
      <c r="L472" s="136" t="e">
        <f t="shared" si="31"/>
        <v>#VALUE!</v>
      </c>
      <c r="M472" s="128"/>
      <c r="N472" s="136"/>
      <c r="O472" s="128"/>
      <c r="P472" s="136" t="e">
        <f t="shared" si="29"/>
        <v>#VALUE!</v>
      </c>
    </row>
    <row r="473" spans="1:16" ht="12" hidden="1" outlineLevel="1" thickBot="1">
      <c r="A473" s="115" t="s">
        <v>1620</v>
      </c>
      <c r="B473" s="115" t="s">
        <v>149</v>
      </c>
      <c r="C473" s="134" t="s">
        <v>1621</v>
      </c>
      <c r="E473" s="135" t="s">
        <v>1622</v>
      </c>
      <c r="F473" s="135" t="s">
        <v>150</v>
      </c>
      <c r="G473" s="131" t="s">
        <v>1686</v>
      </c>
      <c r="H473" s="132" t="e">
        <f t="shared" si="30"/>
        <v>#VALUE!</v>
      </c>
      <c r="I473" s="136"/>
      <c r="J473" s="136"/>
      <c r="K473" s="151" t="e">
        <f>_xll.GetCtData("COAMOUNT","CONSAMOUNT",$A$1:$A$8,$A473:$B473,,"#")/10^3*$H473</f>
        <v>#VALUE!</v>
      </c>
      <c r="L473" s="136">
        <f>_xll.GetCtData("COAMOUNT","CONSAMOUNT",$A$1:$A$8,$A473:$B473,,"#")/10^3</f>
        <v>0</v>
      </c>
      <c r="M473" s="128"/>
      <c r="N473" s="136"/>
      <c r="O473" s="128"/>
      <c r="P473" s="136">
        <f t="shared" si="29"/>
        <v>0</v>
      </c>
    </row>
    <row r="474" spans="1:16" ht="12" hidden="1" outlineLevel="1" thickBot="1">
      <c r="A474" s="115" t="s">
        <v>1623</v>
      </c>
      <c r="B474" s="115" t="s">
        <v>149</v>
      </c>
      <c r="C474" s="134" t="s">
        <v>1624</v>
      </c>
      <c r="E474" s="135" t="s">
        <v>1625</v>
      </c>
      <c r="F474" s="135" t="s">
        <v>150</v>
      </c>
      <c r="G474" s="131" t="s">
        <v>1686</v>
      </c>
      <c r="H474" s="132" t="e">
        <f t="shared" si="30"/>
        <v>#VALUE!</v>
      </c>
      <c r="I474" s="136"/>
      <c r="J474" s="136"/>
      <c r="K474" s="151" t="e">
        <f>_xll.GetCtData("COAMOUNT","CONSAMOUNT",$A$1:$A$8,$A474:$B474,,"#")/10^3*$H474</f>
        <v>#VALUE!</v>
      </c>
      <c r="L474" s="136">
        <f>_xll.GetCtData("COAMOUNT","CONSAMOUNT",$A$1:$A$8,$A474:$B474,,"#")/10^3</f>
        <v>0</v>
      </c>
      <c r="M474" s="128"/>
      <c r="N474" s="136"/>
      <c r="O474" s="128"/>
      <c r="P474" s="136">
        <f t="shared" si="29"/>
        <v>0</v>
      </c>
    </row>
    <row r="475" spans="1:16" ht="12" hidden="1" outlineLevel="1" thickBot="1">
      <c r="A475" s="115" t="s">
        <v>1564</v>
      </c>
      <c r="B475" s="115" t="s">
        <v>149</v>
      </c>
      <c r="C475" s="134" t="s">
        <v>1565</v>
      </c>
      <c r="E475" s="135" t="s">
        <v>1566</v>
      </c>
      <c r="F475" s="135" t="s">
        <v>150</v>
      </c>
      <c r="G475" s="131" t="s">
        <v>1686</v>
      </c>
      <c r="H475" s="132" t="e">
        <f t="shared" si="30"/>
        <v>#VALUE!</v>
      </c>
      <c r="I475" s="136"/>
      <c r="J475" s="136"/>
      <c r="K475" s="151" t="e">
        <f>_xll.GetCtData("COAMOUNT","CONSAMOUNT",$A$1:$A$8,$A475:$B475,,"#")/10^3*$H475</f>
        <v>#VALUE!</v>
      </c>
      <c r="L475" s="136">
        <f>_xll.GetCtData("COAMOUNT","CONSAMOUNT",$A$1:$A$8,$A475:$B475,,"#")/10^3</f>
        <v>0</v>
      </c>
      <c r="M475" s="128"/>
      <c r="N475" s="136"/>
      <c r="O475" s="128"/>
      <c r="P475" s="136">
        <f t="shared" si="29"/>
        <v>0</v>
      </c>
    </row>
    <row r="476" spans="1:16" ht="12" hidden="1" outlineLevel="1" thickBot="1">
      <c r="A476" s="115" t="s">
        <v>1567</v>
      </c>
      <c r="B476" s="115" t="s">
        <v>149</v>
      </c>
      <c r="C476" s="134" t="s">
        <v>1568</v>
      </c>
      <c r="E476" s="135" t="s">
        <v>1569</v>
      </c>
      <c r="F476" s="135" t="s">
        <v>150</v>
      </c>
      <c r="G476" s="131" t="s">
        <v>1686</v>
      </c>
      <c r="H476" s="132" t="e">
        <f t="shared" si="30"/>
        <v>#VALUE!</v>
      </c>
      <c r="I476" s="136"/>
      <c r="J476" s="136"/>
      <c r="K476" s="151" t="e">
        <f>_xll.GetCtData("COAMOUNT","CONSAMOUNT",$A$1:$A$8,$A476:$B476,,"#")/10^3*$H476</f>
        <v>#VALUE!</v>
      </c>
      <c r="L476" s="136">
        <f>_xll.GetCtData("COAMOUNT","CONSAMOUNT",$A$1:$A$8,$A476:$B476,,"#")/10^3</f>
        <v>0</v>
      </c>
      <c r="M476" s="128"/>
      <c r="N476" s="136"/>
      <c r="O476" s="128"/>
      <c r="P476" s="136">
        <f t="shared" si="29"/>
        <v>0</v>
      </c>
    </row>
    <row r="477" spans="1:16" ht="12" hidden="1" outlineLevel="1" thickBot="1">
      <c r="A477" s="115" t="s">
        <v>1572</v>
      </c>
      <c r="B477" s="115" t="s">
        <v>157</v>
      </c>
      <c r="C477" s="134" t="s">
        <v>1573</v>
      </c>
      <c r="E477" s="135" t="s">
        <v>1574</v>
      </c>
      <c r="F477" s="135" t="s">
        <v>158</v>
      </c>
      <c r="G477" s="131" t="s">
        <v>79</v>
      </c>
      <c r="H477" s="132" t="e">
        <f t="shared" si="30"/>
        <v>#VALUE!</v>
      </c>
      <c r="I477" s="151" t="e">
        <f>_xll.GetCtData("COAMOUNT","CONSAMOUNT",$A$1:$A$8,$A477:$B477,,"#-799250")/10^3*$H477</f>
        <v>#VALUE!</v>
      </c>
      <c r="J477" s="136"/>
      <c r="K477" s="136"/>
      <c r="L477" s="136" t="e">
        <f t="shared" ref="L477:L540" si="32">SUM(I477:K477)/10^3</f>
        <v>#VALUE!</v>
      </c>
      <c r="M477" s="128"/>
      <c r="N477" s="136"/>
      <c r="O477" s="128"/>
      <c r="P477" s="136" t="e">
        <f t="shared" si="29"/>
        <v>#VALUE!</v>
      </c>
    </row>
    <row r="478" spans="1:16" ht="12" hidden="1" outlineLevel="1" thickBot="1">
      <c r="A478" s="115" t="s">
        <v>1575</v>
      </c>
      <c r="B478" s="115" t="s">
        <v>157</v>
      </c>
      <c r="C478" s="134" t="s">
        <v>1576</v>
      </c>
      <c r="E478" s="135" t="s">
        <v>1577</v>
      </c>
      <c r="F478" s="135" t="s">
        <v>158</v>
      </c>
      <c r="G478" s="131" t="s">
        <v>79</v>
      </c>
      <c r="H478" s="132" t="e">
        <f t="shared" si="30"/>
        <v>#VALUE!</v>
      </c>
      <c r="I478" s="151" t="e">
        <f>_xll.GetCtData("COAMOUNT","CONSAMOUNT",$A$1:$A$8,$A478:$B478,,"#")/10^3*$H478</f>
        <v>#VALUE!</v>
      </c>
      <c r="J478" s="136"/>
      <c r="K478" s="136"/>
      <c r="L478" s="136" t="e">
        <f t="shared" si="32"/>
        <v>#VALUE!</v>
      </c>
      <c r="M478" s="128"/>
      <c r="N478" s="136"/>
      <c r="O478" s="128"/>
      <c r="P478" s="136" t="e">
        <f t="shared" si="29"/>
        <v>#VALUE!</v>
      </c>
    </row>
    <row r="479" spans="1:16" ht="12" hidden="1" outlineLevel="1" thickBot="1">
      <c r="A479" s="115" t="s">
        <v>1578</v>
      </c>
      <c r="B479" s="115" t="s">
        <v>157</v>
      </c>
      <c r="C479" s="134" t="s">
        <v>1579</v>
      </c>
      <c r="E479" s="135" t="s">
        <v>1580</v>
      </c>
      <c r="F479" s="135" t="s">
        <v>158</v>
      </c>
      <c r="G479" s="131" t="s">
        <v>79</v>
      </c>
      <c r="H479" s="132" t="e">
        <f t="shared" si="30"/>
        <v>#VALUE!</v>
      </c>
      <c r="I479" s="151" t="e">
        <f>_xll.GetCtData("COAMOUNT","CONSAMOUNT",$A$1:$A$8,$A479:$B479,,"#")/10^3*$H479</f>
        <v>#VALUE!</v>
      </c>
      <c r="J479" s="136"/>
      <c r="K479" s="136"/>
      <c r="L479" s="136" t="e">
        <f t="shared" si="32"/>
        <v>#VALUE!</v>
      </c>
      <c r="M479" s="128"/>
      <c r="N479" s="136"/>
      <c r="O479" s="128"/>
      <c r="P479" s="136" t="e">
        <f t="shared" si="29"/>
        <v>#VALUE!</v>
      </c>
    </row>
    <row r="480" spans="1:16" ht="12" hidden="1" outlineLevel="1" thickBot="1">
      <c r="A480" s="115" t="s">
        <v>1581</v>
      </c>
      <c r="B480" s="115" t="s">
        <v>157</v>
      </c>
      <c r="C480" s="134" t="s">
        <v>1582</v>
      </c>
      <c r="E480" s="135" t="s">
        <v>1583</v>
      </c>
      <c r="F480" s="135" t="s">
        <v>158</v>
      </c>
      <c r="G480" s="131" t="s">
        <v>79</v>
      </c>
      <c r="H480" s="132" t="e">
        <f t="shared" si="30"/>
        <v>#VALUE!</v>
      </c>
      <c r="I480" s="151" t="e">
        <f>_xll.GetCtData("COAMOUNT","CONSAMOUNT",$A$1:$A$8,$A480:$B480,,"#-1252644")/10^3*$H480</f>
        <v>#VALUE!</v>
      </c>
      <c r="J480" s="136"/>
      <c r="K480" s="136"/>
      <c r="L480" s="136" t="e">
        <f t="shared" si="32"/>
        <v>#VALUE!</v>
      </c>
      <c r="M480" s="128"/>
      <c r="N480" s="136"/>
      <c r="O480" s="128"/>
      <c r="P480" s="136" t="e">
        <f t="shared" si="29"/>
        <v>#VALUE!</v>
      </c>
    </row>
    <row r="481" spans="1:16" ht="12" hidden="1" outlineLevel="1" thickBot="1">
      <c r="A481" s="115" t="s">
        <v>1584</v>
      </c>
      <c r="B481" s="115" t="s">
        <v>157</v>
      </c>
      <c r="C481" s="134" t="s">
        <v>1585</v>
      </c>
      <c r="E481" s="135" t="s">
        <v>1586</v>
      </c>
      <c r="F481" s="135" t="s">
        <v>158</v>
      </c>
      <c r="G481" s="131" t="s">
        <v>79</v>
      </c>
      <c r="H481" s="132" t="e">
        <f t="shared" si="30"/>
        <v>#VALUE!</v>
      </c>
      <c r="I481" s="151" t="e">
        <f>_xll.GetCtData("COAMOUNT","CONSAMOUNT",$A$1:$A$8,$A481:$B481,,"#")/10^3*$H481</f>
        <v>#VALUE!</v>
      </c>
      <c r="J481" s="136"/>
      <c r="K481" s="136"/>
      <c r="L481" s="136" t="e">
        <f t="shared" si="32"/>
        <v>#VALUE!</v>
      </c>
      <c r="M481" s="128"/>
      <c r="N481" s="136"/>
      <c r="O481" s="128"/>
      <c r="P481" s="136" t="e">
        <f t="shared" si="29"/>
        <v>#VALUE!</v>
      </c>
    </row>
    <row r="482" spans="1:16" ht="12" hidden="1" outlineLevel="1" thickBot="1">
      <c r="A482" s="115" t="s">
        <v>1587</v>
      </c>
      <c r="B482" s="115" t="s">
        <v>157</v>
      </c>
      <c r="C482" s="134" t="s">
        <v>1588</v>
      </c>
      <c r="E482" s="135" t="s">
        <v>1589</v>
      </c>
      <c r="F482" s="135" t="s">
        <v>158</v>
      </c>
      <c r="G482" s="131" t="s">
        <v>79</v>
      </c>
      <c r="H482" s="132" t="e">
        <f t="shared" si="30"/>
        <v>#VALUE!</v>
      </c>
      <c r="I482" s="151" t="e">
        <f>_xll.GetCtData("COAMOUNT","CONSAMOUNT",$A$1:$A$8,$A482:$B482,,"#-86")/10^3*$H482</f>
        <v>#VALUE!</v>
      </c>
      <c r="J482" s="136"/>
      <c r="K482" s="136"/>
      <c r="L482" s="136" t="e">
        <f t="shared" si="32"/>
        <v>#VALUE!</v>
      </c>
      <c r="M482" s="128"/>
      <c r="N482" s="136"/>
      <c r="O482" s="128"/>
      <c r="P482" s="136" t="e">
        <f t="shared" ref="P482:P545" si="33">L482+N482</f>
        <v>#VALUE!</v>
      </c>
    </row>
    <row r="483" spans="1:16" ht="12" hidden="1" outlineLevel="1" thickBot="1">
      <c r="A483" s="115" t="s">
        <v>1590</v>
      </c>
      <c r="B483" s="115" t="s">
        <v>157</v>
      </c>
      <c r="C483" s="134" t="s">
        <v>1591</v>
      </c>
      <c r="E483" s="135" t="s">
        <v>1592</v>
      </c>
      <c r="F483" s="135" t="s">
        <v>158</v>
      </c>
      <c r="G483" s="131" t="s">
        <v>79</v>
      </c>
      <c r="H483" s="132" t="e">
        <f t="shared" si="30"/>
        <v>#VALUE!</v>
      </c>
      <c r="I483" s="151" t="e">
        <f>_xll.GetCtData("COAMOUNT","CONSAMOUNT",$A$1:$A$8,$A483:$B483,,"#122")/10^3*$H483</f>
        <v>#VALUE!</v>
      </c>
      <c r="J483" s="136"/>
      <c r="K483" s="136"/>
      <c r="L483" s="136" t="e">
        <f t="shared" si="32"/>
        <v>#VALUE!</v>
      </c>
      <c r="M483" s="128"/>
      <c r="N483" s="136"/>
      <c r="O483" s="128"/>
      <c r="P483" s="136" t="e">
        <f t="shared" si="33"/>
        <v>#VALUE!</v>
      </c>
    </row>
    <row r="484" spans="1:16" ht="12" hidden="1" outlineLevel="1" thickBot="1">
      <c r="A484" s="115" t="s">
        <v>1593</v>
      </c>
      <c r="B484" s="115" t="s">
        <v>157</v>
      </c>
      <c r="C484" s="134" t="s">
        <v>1594</v>
      </c>
      <c r="E484" s="135" t="s">
        <v>1595</v>
      </c>
      <c r="F484" s="135" t="s">
        <v>158</v>
      </c>
      <c r="G484" s="131" t="s">
        <v>79</v>
      </c>
      <c r="H484" s="132" t="e">
        <f t="shared" si="30"/>
        <v>#VALUE!</v>
      </c>
      <c r="I484" s="151" t="e">
        <f>_xll.GetCtData("COAMOUNT","CONSAMOUNT",$A$1:$A$8,$A484:$B484,,"#-3674")/10^3*$H484</f>
        <v>#VALUE!</v>
      </c>
      <c r="J484" s="136"/>
      <c r="K484" s="136"/>
      <c r="L484" s="136" t="e">
        <f t="shared" si="32"/>
        <v>#VALUE!</v>
      </c>
      <c r="M484" s="128"/>
      <c r="N484" s="136"/>
      <c r="O484" s="128"/>
      <c r="P484" s="136" t="e">
        <f t="shared" si="33"/>
        <v>#VALUE!</v>
      </c>
    </row>
    <row r="485" spans="1:16" ht="12" hidden="1" outlineLevel="1" thickBot="1">
      <c r="A485" s="115" t="s">
        <v>1596</v>
      </c>
      <c r="B485" s="115" t="s">
        <v>157</v>
      </c>
      <c r="C485" s="134" t="s">
        <v>1597</v>
      </c>
      <c r="E485" s="135" t="s">
        <v>1598</v>
      </c>
      <c r="F485" s="135" t="s">
        <v>158</v>
      </c>
      <c r="G485" s="131" t="s">
        <v>79</v>
      </c>
      <c r="H485" s="132" t="e">
        <f t="shared" si="30"/>
        <v>#VALUE!</v>
      </c>
      <c r="I485" s="151" t="e">
        <f>_xll.GetCtData("COAMOUNT","CONSAMOUNT",$A$1:$A$8,$A485:$B485,,"#")/10^3*$H485</f>
        <v>#VALUE!</v>
      </c>
      <c r="J485" s="136"/>
      <c r="K485" s="136"/>
      <c r="L485" s="136" t="e">
        <f t="shared" si="32"/>
        <v>#VALUE!</v>
      </c>
      <c r="M485" s="128"/>
      <c r="N485" s="136"/>
      <c r="O485" s="128"/>
      <c r="P485" s="136" t="e">
        <f t="shared" si="33"/>
        <v>#VALUE!</v>
      </c>
    </row>
    <row r="486" spans="1:16" ht="12" hidden="1" outlineLevel="1" thickBot="1">
      <c r="A486" s="115" t="s">
        <v>1599</v>
      </c>
      <c r="B486" s="115" t="s">
        <v>157</v>
      </c>
      <c r="C486" s="134" t="s">
        <v>1600</v>
      </c>
      <c r="E486" s="135" t="s">
        <v>1601</v>
      </c>
      <c r="F486" s="135" t="s">
        <v>158</v>
      </c>
      <c r="G486" s="131" t="s">
        <v>79</v>
      </c>
      <c r="H486" s="132" t="e">
        <f t="shared" si="30"/>
        <v>#VALUE!</v>
      </c>
      <c r="I486" s="151" t="e">
        <f>_xll.GetCtData("COAMOUNT","CONSAMOUNT",$A$1:$A$8,$A486:$B486,,"#")/10^3*$H486</f>
        <v>#VALUE!</v>
      </c>
      <c r="J486" s="136"/>
      <c r="K486" s="136"/>
      <c r="L486" s="136" t="e">
        <f t="shared" si="32"/>
        <v>#VALUE!</v>
      </c>
      <c r="M486" s="128"/>
      <c r="N486" s="136"/>
      <c r="O486" s="128"/>
      <c r="P486" s="136" t="e">
        <f t="shared" si="33"/>
        <v>#VALUE!</v>
      </c>
    </row>
    <row r="487" spans="1:16" ht="12" hidden="1" outlineLevel="1" thickBot="1">
      <c r="A487" s="115" t="s">
        <v>1602</v>
      </c>
      <c r="B487" s="115" t="s">
        <v>157</v>
      </c>
      <c r="C487" s="134" t="s">
        <v>1603</v>
      </c>
      <c r="E487" s="135" t="s">
        <v>1604</v>
      </c>
      <c r="F487" s="135" t="s">
        <v>158</v>
      </c>
      <c r="G487" s="131" t="s">
        <v>79</v>
      </c>
      <c r="H487" s="132" t="e">
        <f t="shared" si="30"/>
        <v>#VALUE!</v>
      </c>
      <c r="I487" s="151" t="e">
        <f>_xll.GetCtData("COAMOUNT","CONSAMOUNT",$A$1:$A$8,$A487:$B487,,"#")/10^3*$H487</f>
        <v>#VALUE!</v>
      </c>
      <c r="J487" s="136"/>
      <c r="K487" s="136"/>
      <c r="L487" s="136" t="e">
        <f t="shared" si="32"/>
        <v>#VALUE!</v>
      </c>
      <c r="M487" s="128"/>
      <c r="N487" s="136"/>
      <c r="O487" s="128"/>
      <c r="P487" s="136" t="e">
        <f t="shared" si="33"/>
        <v>#VALUE!</v>
      </c>
    </row>
    <row r="488" spans="1:16" ht="12" hidden="1" outlineLevel="1" thickBot="1">
      <c r="A488" s="115" t="s">
        <v>1605</v>
      </c>
      <c r="B488" s="115" t="s">
        <v>157</v>
      </c>
      <c r="C488" s="134" t="s">
        <v>1606</v>
      </c>
      <c r="E488" s="135" t="s">
        <v>1607</v>
      </c>
      <c r="F488" s="135" t="s">
        <v>158</v>
      </c>
      <c r="G488" s="131" t="s">
        <v>79</v>
      </c>
      <c r="H488" s="132" t="e">
        <f t="shared" si="30"/>
        <v>#VALUE!</v>
      </c>
      <c r="I488" s="151" t="e">
        <f>_xll.GetCtData("COAMOUNT","CONSAMOUNT",$A$1:$A$8,$A488:$B488,,"#")/10^3*$H488</f>
        <v>#VALUE!</v>
      </c>
      <c r="J488" s="136"/>
      <c r="K488" s="136"/>
      <c r="L488" s="136" t="e">
        <f t="shared" si="32"/>
        <v>#VALUE!</v>
      </c>
      <c r="M488" s="128"/>
      <c r="N488" s="136"/>
      <c r="O488" s="128"/>
      <c r="P488" s="136" t="e">
        <f t="shared" si="33"/>
        <v>#VALUE!</v>
      </c>
    </row>
    <row r="489" spans="1:16" ht="12" hidden="1" outlineLevel="1" thickBot="1">
      <c r="A489" s="115" t="s">
        <v>1516</v>
      </c>
      <c r="B489" s="115" t="s">
        <v>157</v>
      </c>
      <c r="C489" s="134" t="s">
        <v>1517</v>
      </c>
      <c r="E489" s="135" t="s">
        <v>1518</v>
      </c>
      <c r="F489" s="135" t="s">
        <v>158</v>
      </c>
      <c r="G489" s="131" t="s">
        <v>79</v>
      </c>
      <c r="H489" s="132" t="e">
        <f t="shared" si="30"/>
        <v>#VALUE!</v>
      </c>
      <c r="I489" s="151" t="e">
        <f>_xll.GetCtData("COAMOUNT","CONSAMOUNT",$A$1:$A$8,$A489:$B489,,"#")/10^3*$H489</f>
        <v>#VALUE!</v>
      </c>
      <c r="J489" s="136"/>
      <c r="K489" s="136"/>
      <c r="L489" s="136" t="e">
        <f t="shared" si="32"/>
        <v>#VALUE!</v>
      </c>
      <c r="M489" s="128"/>
      <c r="N489" s="136"/>
      <c r="O489" s="128"/>
      <c r="P489" s="136" t="e">
        <f t="shared" si="33"/>
        <v>#VALUE!</v>
      </c>
    </row>
    <row r="490" spans="1:16" ht="12" hidden="1" outlineLevel="1" thickBot="1">
      <c r="A490" s="115" t="s">
        <v>1519</v>
      </c>
      <c r="B490" s="115" t="s">
        <v>157</v>
      </c>
      <c r="C490" s="134" t="s">
        <v>1520</v>
      </c>
      <c r="E490" s="135" t="s">
        <v>1521</v>
      </c>
      <c r="F490" s="135" t="s">
        <v>158</v>
      </c>
      <c r="G490" s="131" t="s">
        <v>79</v>
      </c>
      <c r="H490" s="132" t="e">
        <f t="shared" si="30"/>
        <v>#VALUE!</v>
      </c>
      <c r="I490" s="151" t="e">
        <f>_xll.GetCtData("COAMOUNT","CONSAMOUNT",$A$1:$A$8,$A490:$B490,,"#")/10^3*$H490</f>
        <v>#VALUE!</v>
      </c>
      <c r="J490" s="136"/>
      <c r="K490" s="136"/>
      <c r="L490" s="136" t="e">
        <f t="shared" si="32"/>
        <v>#VALUE!</v>
      </c>
      <c r="M490" s="128"/>
      <c r="N490" s="136"/>
      <c r="O490" s="128"/>
      <c r="P490" s="136" t="e">
        <f t="shared" si="33"/>
        <v>#VALUE!</v>
      </c>
    </row>
    <row r="491" spans="1:16" ht="12" hidden="1" outlineLevel="1" thickBot="1">
      <c r="A491" s="115" t="s">
        <v>1522</v>
      </c>
      <c r="B491" s="115" t="s">
        <v>157</v>
      </c>
      <c r="C491" s="134" t="s">
        <v>1523</v>
      </c>
      <c r="E491" s="135" t="s">
        <v>1524</v>
      </c>
      <c r="F491" s="135" t="s">
        <v>158</v>
      </c>
      <c r="G491" s="131" t="s">
        <v>79</v>
      </c>
      <c r="H491" s="132" t="e">
        <f t="shared" si="30"/>
        <v>#VALUE!</v>
      </c>
      <c r="I491" s="151" t="e">
        <f>_xll.GetCtData("COAMOUNT","CONSAMOUNT",$A$1:$A$8,$A491:$B491,,"#")/10^3*$H491</f>
        <v>#VALUE!</v>
      </c>
      <c r="J491" s="136"/>
      <c r="K491" s="136"/>
      <c r="L491" s="136" t="e">
        <f t="shared" si="32"/>
        <v>#VALUE!</v>
      </c>
      <c r="M491" s="128"/>
      <c r="N491" s="136"/>
      <c r="O491" s="128"/>
      <c r="P491" s="136" t="e">
        <f t="shared" si="33"/>
        <v>#VALUE!</v>
      </c>
    </row>
    <row r="492" spans="1:16" ht="12" hidden="1" outlineLevel="1" thickBot="1">
      <c r="A492" s="115" t="s">
        <v>1525</v>
      </c>
      <c r="B492" s="115" t="s">
        <v>157</v>
      </c>
      <c r="C492" s="134" t="s">
        <v>1526</v>
      </c>
      <c r="E492" s="135" t="s">
        <v>1527</v>
      </c>
      <c r="F492" s="135" t="s">
        <v>158</v>
      </c>
      <c r="G492" s="131" t="s">
        <v>79</v>
      </c>
      <c r="H492" s="132" t="e">
        <f t="shared" si="30"/>
        <v>#VALUE!</v>
      </c>
      <c r="I492" s="151" t="e">
        <f>_xll.GetCtData("COAMOUNT","CONSAMOUNT",$A$1:$A$8,$A492:$B492,,"#")/10^3*$H492</f>
        <v>#VALUE!</v>
      </c>
      <c r="J492" s="136"/>
      <c r="K492" s="136"/>
      <c r="L492" s="136" t="e">
        <f t="shared" si="32"/>
        <v>#VALUE!</v>
      </c>
      <c r="M492" s="128"/>
      <c r="N492" s="136"/>
      <c r="O492" s="128"/>
      <c r="P492" s="136" t="e">
        <f t="shared" si="33"/>
        <v>#VALUE!</v>
      </c>
    </row>
    <row r="493" spans="1:16" ht="12" hidden="1" outlineLevel="1" thickBot="1">
      <c r="A493" s="115" t="s">
        <v>1528</v>
      </c>
      <c r="B493" s="115" t="s">
        <v>157</v>
      </c>
      <c r="C493" s="134" t="s">
        <v>1529</v>
      </c>
      <c r="E493" s="135" t="s">
        <v>1530</v>
      </c>
      <c r="F493" s="135" t="s">
        <v>158</v>
      </c>
      <c r="G493" s="131" t="s">
        <v>79</v>
      </c>
      <c r="H493" s="132" t="e">
        <f t="shared" si="30"/>
        <v>#VALUE!</v>
      </c>
      <c r="I493" s="151" t="e">
        <f>_xll.GetCtData("COAMOUNT","CONSAMOUNT",$A$1:$A$8,$A493:$B493,,"#")/10^3*$H493</f>
        <v>#VALUE!</v>
      </c>
      <c r="J493" s="136"/>
      <c r="K493" s="136"/>
      <c r="L493" s="136" t="e">
        <f t="shared" si="32"/>
        <v>#VALUE!</v>
      </c>
      <c r="M493" s="128"/>
      <c r="N493" s="136"/>
      <c r="O493" s="128"/>
      <c r="P493" s="136" t="e">
        <f t="shared" si="33"/>
        <v>#VALUE!</v>
      </c>
    </row>
    <row r="494" spans="1:16" ht="12" hidden="1" outlineLevel="1" thickBot="1">
      <c r="A494" s="115" t="s">
        <v>1531</v>
      </c>
      <c r="B494" s="115" t="s">
        <v>157</v>
      </c>
      <c r="C494" s="134" t="s">
        <v>1532</v>
      </c>
      <c r="E494" s="135" t="s">
        <v>1533</v>
      </c>
      <c r="F494" s="135" t="s">
        <v>158</v>
      </c>
      <c r="G494" s="131" t="s">
        <v>79</v>
      </c>
      <c r="H494" s="132" t="e">
        <f t="shared" si="30"/>
        <v>#VALUE!</v>
      </c>
      <c r="I494" s="151" t="e">
        <f>_xll.GetCtData("COAMOUNT","CONSAMOUNT",$A$1:$A$8,$A494:$B494,,"#")/10^3*$H494</f>
        <v>#VALUE!</v>
      </c>
      <c r="J494" s="136"/>
      <c r="K494" s="136"/>
      <c r="L494" s="136" t="e">
        <f t="shared" si="32"/>
        <v>#VALUE!</v>
      </c>
      <c r="M494" s="128"/>
      <c r="N494" s="136"/>
      <c r="O494" s="128"/>
      <c r="P494" s="136" t="e">
        <f t="shared" si="33"/>
        <v>#VALUE!</v>
      </c>
    </row>
    <row r="495" spans="1:16" ht="12" hidden="1" outlineLevel="1" thickBot="1">
      <c r="A495" s="115" t="s">
        <v>1534</v>
      </c>
      <c r="B495" s="115" t="s">
        <v>157</v>
      </c>
      <c r="C495" s="134" t="s">
        <v>1535</v>
      </c>
      <c r="E495" s="135" t="s">
        <v>1536</v>
      </c>
      <c r="F495" s="135" t="s">
        <v>158</v>
      </c>
      <c r="G495" s="131" t="s">
        <v>79</v>
      </c>
      <c r="H495" s="132" t="e">
        <f t="shared" si="30"/>
        <v>#VALUE!</v>
      </c>
      <c r="I495" s="151" t="e">
        <f>_xll.GetCtData("COAMOUNT","CONSAMOUNT",$A$1:$A$8,$A495:$B495,,"#")/10^3*$H495</f>
        <v>#VALUE!</v>
      </c>
      <c r="J495" s="136"/>
      <c r="K495" s="136"/>
      <c r="L495" s="136" t="e">
        <f t="shared" si="32"/>
        <v>#VALUE!</v>
      </c>
      <c r="M495" s="128"/>
      <c r="N495" s="136"/>
      <c r="O495" s="128"/>
      <c r="P495" s="136" t="e">
        <f t="shared" si="33"/>
        <v>#VALUE!</v>
      </c>
    </row>
    <row r="496" spans="1:16" ht="12" hidden="1" outlineLevel="1" thickBot="1">
      <c r="A496" s="115" t="s">
        <v>1537</v>
      </c>
      <c r="B496" s="115" t="s">
        <v>157</v>
      </c>
      <c r="C496" s="134" t="s">
        <v>1538</v>
      </c>
      <c r="E496" s="135" t="s">
        <v>1539</v>
      </c>
      <c r="F496" s="135" t="s">
        <v>158</v>
      </c>
      <c r="G496" s="131" t="s">
        <v>79</v>
      </c>
      <c r="H496" s="132" t="e">
        <f t="shared" si="30"/>
        <v>#VALUE!</v>
      </c>
      <c r="I496" s="151" t="e">
        <f>_xll.GetCtData("COAMOUNT","CONSAMOUNT",$A$1:$A$8,$A496:$B496,,"#")/10^3*$H496</f>
        <v>#VALUE!</v>
      </c>
      <c r="J496" s="136"/>
      <c r="K496" s="136"/>
      <c r="L496" s="136" t="e">
        <f t="shared" si="32"/>
        <v>#VALUE!</v>
      </c>
      <c r="M496" s="128"/>
      <c r="N496" s="136"/>
      <c r="O496" s="128"/>
      <c r="P496" s="136" t="e">
        <f t="shared" si="33"/>
        <v>#VALUE!</v>
      </c>
    </row>
    <row r="497" spans="1:16" ht="12" hidden="1" outlineLevel="1" thickBot="1">
      <c r="A497" s="115" t="s">
        <v>1540</v>
      </c>
      <c r="B497" s="115" t="s">
        <v>157</v>
      </c>
      <c r="C497" s="134" t="s">
        <v>1541</v>
      </c>
      <c r="E497" s="135" t="s">
        <v>1542</v>
      </c>
      <c r="F497" s="135" t="s">
        <v>158</v>
      </c>
      <c r="G497" s="131" t="s">
        <v>79</v>
      </c>
      <c r="H497" s="132" t="e">
        <f t="shared" ref="H497:H560" si="34">IF(LEFT(E497,6)/10^3="actifs",-1,1)/10^3</f>
        <v>#VALUE!</v>
      </c>
      <c r="I497" s="151" t="e">
        <f>_xll.GetCtData("COAMOUNT","CONSAMOUNT",$A$1:$A$8,$A497:$B497,,"#")/10^3*$H497</f>
        <v>#VALUE!</v>
      </c>
      <c r="J497" s="136"/>
      <c r="K497" s="136"/>
      <c r="L497" s="136" t="e">
        <f t="shared" si="32"/>
        <v>#VALUE!</v>
      </c>
      <c r="M497" s="128"/>
      <c r="N497" s="136"/>
      <c r="O497" s="128"/>
      <c r="P497" s="136" t="e">
        <f t="shared" si="33"/>
        <v>#VALUE!</v>
      </c>
    </row>
    <row r="498" spans="1:16" ht="12" hidden="1" outlineLevel="1" thickBot="1">
      <c r="A498" s="115" t="s">
        <v>1543</v>
      </c>
      <c r="B498" s="115" t="s">
        <v>157</v>
      </c>
      <c r="C498" s="134" t="s">
        <v>1544</v>
      </c>
      <c r="E498" s="135" t="s">
        <v>1545</v>
      </c>
      <c r="F498" s="135" t="s">
        <v>158</v>
      </c>
      <c r="G498" s="131" t="s">
        <v>79</v>
      </c>
      <c r="H498" s="132" t="e">
        <f t="shared" si="34"/>
        <v>#VALUE!</v>
      </c>
      <c r="I498" s="151" t="e">
        <f>_xll.GetCtData("COAMOUNT","CONSAMOUNT",$A$1:$A$8,$A498:$B498,,"#")/10^3*$H498</f>
        <v>#VALUE!</v>
      </c>
      <c r="J498" s="136"/>
      <c r="K498" s="136"/>
      <c r="L498" s="136" t="e">
        <f t="shared" si="32"/>
        <v>#VALUE!</v>
      </c>
      <c r="M498" s="128"/>
      <c r="N498" s="136"/>
      <c r="O498" s="128"/>
      <c r="P498" s="136" t="e">
        <f t="shared" si="33"/>
        <v>#VALUE!</v>
      </c>
    </row>
    <row r="499" spans="1:16" ht="12" hidden="1" outlineLevel="1" thickBot="1">
      <c r="A499" s="115" t="s">
        <v>1546</v>
      </c>
      <c r="B499" s="115" t="s">
        <v>157</v>
      </c>
      <c r="C499" s="134" t="s">
        <v>1547</v>
      </c>
      <c r="E499" s="135" t="s">
        <v>1548</v>
      </c>
      <c r="F499" s="135" t="s">
        <v>158</v>
      </c>
      <c r="G499" s="131" t="s">
        <v>79</v>
      </c>
      <c r="H499" s="132" t="e">
        <f t="shared" si="34"/>
        <v>#VALUE!</v>
      </c>
      <c r="I499" s="151" t="e">
        <f>_xll.GetCtData("COAMOUNT","CONSAMOUNT",$A$1:$A$8,$A499:$B499,,"#")/10^3*$H499</f>
        <v>#VALUE!</v>
      </c>
      <c r="J499" s="136"/>
      <c r="K499" s="136"/>
      <c r="L499" s="136" t="e">
        <f t="shared" si="32"/>
        <v>#VALUE!</v>
      </c>
      <c r="M499" s="128"/>
      <c r="N499" s="136"/>
      <c r="O499" s="128"/>
      <c r="P499" s="136" t="e">
        <f t="shared" si="33"/>
        <v>#VALUE!</v>
      </c>
    </row>
    <row r="500" spans="1:16" ht="12" hidden="1" outlineLevel="1" thickBot="1">
      <c r="A500" s="115" t="s">
        <v>1549</v>
      </c>
      <c r="B500" s="115" t="s">
        <v>157</v>
      </c>
      <c r="C500" s="134" t="s">
        <v>1550</v>
      </c>
      <c r="E500" s="135" t="s">
        <v>1551</v>
      </c>
      <c r="F500" s="135" t="s">
        <v>158</v>
      </c>
      <c r="G500" s="131" t="s">
        <v>79</v>
      </c>
      <c r="H500" s="132" t="e">
        <f t="shared" si="34"/>
        <v>#VALUE!</v>
      </c>
      <c r="I500" s="151" t="e">
        <f>_xll.GetCtData("COAMOUNT","CONSAMOUNT",$A$1:$A$8,$A500:$B500,,"#")/10^3*$H500</f>
        <v>#VALUE!</v>
      </c>
      <c r="J500" s="136"/>
      <c r="K500" s="136"/>
      <c r="L500" s="136" t="e">
        <f t="shared" si="32"/>
        <v>#VALUE!</v>
      </c>
      <c r="M500" s="128"/>
      <c r="N500" s="136"/>
      <c r="O500" s="128"/>
      <c r="P500" s="136" t="e">
        <f t="shared" si="33"/>
        <v>#VALUE!</v>
      </c>
    </row>
    <row r="501" spans="1:16" ht="12" hidden="1" outlineLevel="1" thickBot="1">
      <c r="A501" s="115" t="s">
        <v>1608</v>
      </c>
      <c r="B501" s="115" t="s">
        <v>157</v>
      </c>
      <c r="C501" s="134" t="s">
        <v>1609</v>
      </c>
      <c r="E501" s="135" t="s">
        <v>1610</v>
      </c>
      <c r="F501" s="135" t="s">
        <v>158</v>
      </c>
      <c r="G501" s="131" t="s">
        <v>79</v>
      </c>
      <c r="H501" s="132" t="e">
        <f t="shared" si="34"/>
        <v>#VALUE!</v>
      </c>
      <c r="I501" s="136"/>
      <c r="J501" s="151" t="e">
        <f>_xll.GetCtData("COAMOUNT","CONSAMOUNT",$A$1:$A$8,$A501:$B501,,"#-6520")/10^3*$H501</f>
        <v>#VALUE!</v>
      </c>
      <c r="K501" s="136"/>
      <c r="L501" s="136" t="e">
        <f t="shared" si="32"/>
        <v>#VALUE!</v>
      </c>
      <c r="M501" s="128"/>
      <c r="N501" s="136"/>
      <c r="O501" s="128"/>
      <c r="P501" s="136" t="e">
        <f t="shared" si="33"/>
        <v>#VALUE!</v>
      </c>
    </row>
    <row r="502" spans="1:16" ht="12" hidden="1" outlineLevel="1" thickBot="1">
      <c r="A502" s="115" t="s">
        <v>1611</v>
      </c>
      <c r="B502" s="115" t="s">
        <v>157</v>
      </c>
      <c r="C502" s="134" t="s">
        <v>1612</v>
      </c>
      <c r="E502" s="135" t="s">
        <v>1613</v>
      </c>
      <c r="F502" s="135" t="s">
        <v>158</v>
      </c>
      <c r="G502" s="131" t="s">
        <v>79</v>
      </c>
      <c r="H502" s="132" t="e">
        <f t="shared" si="34"/>
        <v>#VALUE!</v>
      </c>
      <c r="I502" s="136"/>
      <c r="J502" s="151" t="e">
        <f>_xll.GetCtData("COAMOUNT","CONSAMOUNT",$A$1:$A$8,$A502:$B502,,"#")/10^3*$H502</f>
        <v>#VALUE!</v>
      </c>
      <c r="K502" s="136"/>
      <c r="L502" s="136" t="e">
        <f t="shared" si="32"/>
        <v>#VALUE!</v>
      </c>
      <c r="M502" s="128"/>
      <c r="N502" s="136"/>
      <c r="O502" s="128"/>
      <c r="P502" s="136" t="e">
        <f t="shared" si="33"/>
        <v>#VALUE!</v>
      </c>
    </row>
    <row r="503" spans="1:16" ht="12" hidden="1" outlineLevel="1" thickBot="1">
      <c r="A503" s="115" t="s">
        <v>1614</v>
      </c>
      <c r="B503" s="115" t="s">
        <v>157</v>
      </c>
      <c r="C503" s="134" t="s">
        <v>1615</v>
      </c>
      <c r="E503" s="135" t="s">
        <v>1616</v>
      </c>
      <c r="F503" s="135" t="s">
        <v>158</v>
      </c>
      <c r="G503" s="131" t="s">
        <v>79</v>
      </c>
      <c r="H503" s="132" t="e">
        <f t="shared" si="34"/>
        <v>#VALUE!</v>
      </c>
      <c r="I503" s="136"/>
      <c r="J503" s="151" t="e">
        <f>_xll.GetCtData("COAMOUNT","CONSAMOUNT",$A$1:$A$8,$A503:$B503,,"#-892")/10^3*$H503</f>
        <v>#VALUE!</v>
      </c>
      <c r="K503" s="136"/>
      <c r="L503" s="136" t="e">
        <f t="shared" si="32"/>
        <v>#VALUE!</v>
      </c>
      <c r="M503" s="128"/>
      <c r="N503" s="136"/>
      <c r="O503" s="128"/>
      <c r="P503" s="136" t="e">
        <f t="shared" si="33"/>
        <v>#VALUE!</v>
      </c>
    </row>
    <row r="504" spans="1:16" ht="12" hidden="1" outlineLevel="1" thickBot="1">
      <c r="A504" s="115" t="s">
        <v>1617</v>
      </c>
      <c r="B504" s="115" t="s">
        <v>157</v>
      </c>
      <c r="C504" s="134" t="s">
        <v>1618</v>
      </c>
      <c r="E504" s="135" t="s">
        <v>1619</v>
      </c>
      <c r="F504" s="135" t="s">
        <v>158</v>
      </c>
      <c r="G504" s="131" t="s">
        <v>79</v>
      </c>
      <c r="H504" s="132" t="e">
        <f t="shared" si="34"/>
        <v>#VALUE!</v>
      </c>
      <c r="I504" s="136"/>
      <c r="J504" s="151" t="e">
        <f>_xll.GetCtData("COAMOUNT","CONSAMOUNT",$A$1:$A$8,$A504:$B504,,"#")/10^3*$H504</f>
        <v>#VALUE!</v>
      </c>
      <c r="K504" s="136"/>
      <c r="L504" s="136" t="e">
        <f t="shared" si="32"/>
        <v>#VALUE!</v>
      </c>
      <c r="M504" s="128"/>
      <c r="N504" s="136"/>
      <c r="O504" s="128"/>
      <c r="P504" s="136" t="e">
        <f t="shared" si="33"/>
        <v>#VALUE!</v>
      </c>
    </row>
    <row r="505" spans="1:16" ht="12" hidden="1" outlineLevel="1" thickBot="1">
      <c r="A505" s="115" t="s">
        <v>1552</v>
      </c>
      <c r="B505" s="115" t="s">
        <v>157</v>
      </c>
      <c r="C505" s="134" t="s">
        <v>1553</v>
      </c>
      <c r="E505" s="135" t="s">
        <v>1554</v>
      </c>
      <c r="F505" s="135" t="s">
        <v>158</v>
      </c>
      <c r="G505" s="131" t="s">
        <v>79</v>
      </c>
      <c r="H505" s="132" t="e">
        <f t="shared" si="34"/>
        <v>#VALUE!</v>
      </c>
      <c r="I505" s="136"/>
      <c r="J505" s="151" t="e">
        <f>_xll.GetCtData("COAMOUNT","CONSAMOUNT",$A$1:$A$8,$A505:$B505,,"#")/10^3*$H505</f>
        <v>#VALUE!</v>
      </c>
      <c r="K505" s="136"/>
      <c r="L505" s="136" t="e">
        <f t="shared" si="32"/>
        <v>#VALUE!</v>
      </c>
      <c r="M505" s="128"/>
      <c r="N505" s="136"/>
      <c r="O505" s="128"/>
      <c r="P505" s="136" t="e">
        <f t="shared" si="33"/>
        <v>#VALUE!</v>
      </c>
    </row>
    <row r="506" spans="1:16" ht="12" hidden="1" outlineLevel="1" thickBot="1">
      <c r="A506" s="115" t="s">
        <v>1555</v>
      </c>
      <c r="B506" s="115" t="s">
        <v>157</v>
      </c>
      <c r="C506" s="134" t="s">
        <v>1556</v>
      </c>
      <c r="E506" s="135" t="s">
        <v>1557</v>
      </c>
      <c r="F506" s="135" t="s">
        <v>158</v>
      </c>
      <c r="G506" s="131" t="s">
        <v>79</v>
      </c>
      <c r="H506" s="132" t="e">
        <f t="shared" si="34"/>
        <v>#VALUE!</v>
      </c>
      <c r="I506" s="136"/>
      <c r="J506" s="151" t="e">
        <f>_xll.GetCtData("COAMOUNT","CONSAMOUNT",$A$1:$A$8,$A506:$B506,,"#")/10^3*$H506</f>
        <v>#VALUE!</v>
      </c>
      <c r="K506" s="136"/>
      <c r="L506" s="136" t="e">
        <f t="shared" si="32"/>
        <v>#VALUE!</v>
      </c>
      <c r="M506" s="128"/>
      <c r="N506" s="136"/>
      <c r="O506" s="128"/>
      <c r="P506" s="136" t="e">
        <f t="shared" si="33"/>
        <v>#VALUE!</v>
      </c>
    </row>
    <row r="507" spans="1:16" ht="12" hidden="1" outlineLevel="1" thickBot="1">
      <c r="A507" s="115" t="s">
        <v>1558</v>
      </c>
      <c r="B507" s="115" t="s">
        <v>157</v>
      </c>
      <c r="C507" s="134" t="s">
        <v>1559</v>
      </c>
      <c r="E507" s="135" t="s">
        <v>1560</v>
      </c>
      <c r="F507" s="135" t="s">
        <v>158</v>
      </c>
      <c r="G507" s="131" t="s">
        <v>79</v>
      </c>
      <c r="H507" s="132" t="e">
        <f t="shared" si="34"/>
        <v>#VALUE!</v>
      </c>
      <c r="I507" s="136"/>
      <c r="J507" s="151" t="e">
        <f>_xll.GetCtData("COAMOUNT","CONSAMOUNT",$A$1:$A$8,$A507:$B507,,"#")/10^3*$H507</f>
        <v>#VALUE!</v>
      </c>
      <c r="K507" s="136"/>
      <c r="L507" s="136" t="e">
        <f t="shared" si="32"/>
        <v>#VALUE!</v>
      </c>
      <c r="M507" s="128"/>
      <c r="N507" s="136"/>
      <c r="O507" s="128"/>
      <c r="P507" s="136" t="e">
        <f t="shared" si="33"/>
        <v>#VALUE!</v>
      </c>
    </row>
    <row r="508" spans="1:16" ht="12" hidden="1" outlineLevel="1" thickBot="1">
      <c r="A508" s="115" t="s">
        <v>1561</v>
      </c>
      <c r="B508" s="115" t="s">
        <v>157</v>
      </c>
      <c r="C508" s="134" t="s">
        <v>1562</v>
      </c>
      <c r="E508" s="135" t="s">
        <v>1563</v>
      </c>
      <c r="F508" s="135" t="s">
        <v>158</v>
      </c>
      <c r="G508" s="131" t="s">
        <v>79</v>
      </c>
      <c r="H508" s="132" t="e">
        <f t="shared" si="34"/>
        <v>#VALUE!</v>
      </c>
      <c r="I508" s="136"/>
      <c r="J508" s="151" t="e">
        <f>_xll.GetCtData("COAMOUNT","CONSAMOUNT",$A$1:$A$8,$A508:$B508,,"#")/10^3*$H508</f>
        <v>#VALUE!</v>
      </c>
      <c r="K508" s="136"/>
      <c r="L508" s="136" t="e">
        <f t="shared" si="32"/>
        <v>#VALUE!</v>
      </c>
      <c r="M508" s="128"/>
      <c r="N508" s="136"/>
      <c r="O508" s="128"/>
      <c r="P508" s="136" t="e">
        <f t="shared" si="33"/>
        <v>#VALUE!</v>
      </c>
    </row>
    <row r="509" spans="1:16" ht="12" hidden="1" outlineLevel="1" thickBot="1">
      <c r="A509" s="115" t="s">
        <v>1620</v>
      </c>
      <c r="B509" s="115" t="s">
        <v>157</v>
      </c>
      <c r="C509" s="134" t="s">
        <v>1621</v>
      </c>
      <c r="E509" s="135" t="s">
        <v>1622</v>
      </c>
      <c r="F509" s="135" t="s">
        <v>158</v>
      </c>
      <c r="G509" s="131" t="s">
        <v>79</v>
      </c>
      <c r="H509" s="132" t="e">
        <f t="shared" si="34"/>
        <v>#VALUE!</v>
      </c>
      <c r="I509" s="136"/>
      <c r="J509" s="136"/>
      <c r="K509" s="151" t="e">
        <f>_xll.GetCtData("COAMOUNT","CONSAMOUNT",$A$1:$A$8,$A509:$B509,,"#-14432")/10^3*$H509</f>
        <v>#VALUE!</v>
      </c>
      <c r="L509" s="136" t="e">
        <f t="shared" si="32"/>
        <v>#VALUE!</v>
      </c>
      <c r="M509" s="128"/>
      <c r="N509" s="136"/>
      <c r="O509" s="128"/>
      <c r="P509" s="136" t="e">
        <f t="shared" si="33"/>
        <v>#VALUE!</v>
      </c>
    </row>
    <row r="510" spans="1:16" ht="12" hidden="1" outlineLevel="1" thickBot="1">
      <c r="A510" s="115" t="s">
        <v>1623</v>
      </c>
      <c r="B510" s="115" t="s">
        <v>157</v>
      </c>
      <c r="C510" s="134" t="s">
        <v>1624</v>
      </c>
      <c r="E510" s="135" t="s">
        <v>1625</v>
      </c>
      <c r="F510" s="135" t="s">
        <v>158</v>
      </c>
      <c r="G510" s="131" t="s">
        <v>79</v>
      </c>
      <c r="H510" s="132" t="e">
        <f t="shared" si="34"/>
        <v>#VALUE!</v>
      </c>
      <c r="I510" s="136"/>
      <c r="J510" s="136"/>
      <c r="K510" s="151" t="e">
        <f>_xll.GetCtData("COAMOUNT","CONSAMOUNT",$A$1:$A$8,$A510:$B510,,"#-12757")/10^3*$H510</f>
        <v>#VALUE!</v>
      </c>
      <c r="L510" s="136" t="e">
        <f t="shared" si="32"/>
        <v>#VALUE!</v>
      </c>
      <c r="M510" s="128"/>
      <c r="N510" s="136"/>
      <c r="O510" s="128"/>
      <c r="P510" s="136" t="e">
        <f t="shared" si="33"/>
        <v>#VALUE!</v>
      </c>
    </row>
    <row r="511" spans="1:16" ht="12" hidden="1" outlineLevel="1" thickBot="1">
      <c r="A511" s="115" t="s">
        <v>1564</v>
      </c>
      <c r="B511" s="115" t="s">
        <v>157</v>
      </c>
      <c r="C511" s="134" t="s">
        <v>1565</v>
      </c>
      <c r="E511" s="135" t="s">
        <v>1566</v>
      </c>
      <c r="F511" s="135" t="s">
        <v>158</v>
      </c>
      <c r="G511" s="131" t="s">
        <v>79</v>
      </c>
      <c r="H511" s="132" t="e">
        <f t="shared" si="34"/>
        <v>#VALUE!</v>
      </c>
      <c r="I511" s="136"/>
      <c r="J511" s="136"/>
      <c r="K511" s="151" t="e">
        <f>_xll.GetCtData("COAMOUNT","CONSAMOUNT",$A$1:$A$8,$A511:$B511,,"#")/10^3*$H511</f>
        <v>#VALUE!</v>
      </c>
      <c r="L511" s="136" t="e">
        <f t="shared" si="32"/>
        <v>#VALUE!</v>
      </c>
      <c r="M511" s="128"/>
      <c r="N511" s="136"/>
      <c r="O511" s="128"/>
      <c r="P511" s="136" t="e">
        <f t="shared" si="33"/>
        <v>#VALUE!</v>
      </c>
    </row>
    <row r="512" spans="1:16" ht="12" hidden="1" outlineLevel="1" thickBot="1">
      <c r="A512" s="115" t="s">
        <v>1567</v>
      </c>
      <c r="B512" s="115" t="s">
        <v>157</v>
      </c>
      <c r="C512" s="134" t="s">
        <v>1568</v>
      </c>
      <c r="E512" s="135" t="s">
        <v>1569</v>
      </c>
      <c r="F512" s="135" t="s">
        <v>158</v>
      </c>
      <c r="G512" s="131" t="s">
        <v>79</v>
      </c>
      <c r="H512" s="132" t="e">
        <f t="shared" si="34"/>
        <v>#VALUE!</v>
      </c>
      <c r="I512" s="136"/>
      <c r="J512" s="136"/>
      <c r="K512" s="151" t="e">
        <f>_xll.GetCtData("COAMOUNT","CONSAMOUNT",$A$1:$A$8,$A512:$B512,,"#")/10^3*$H512</f>
        <v>#VALUE!</v>
      </c>
      <c r="L512" s="136" t="e">
        <f t="shared" si="32"/>
        <v>#VALUE!</v>
      </c>
      <c r="M512" s="128"/>
      <c r="N512" s="136"/>
      <c r="O512" s="128"/>
      <c r="P512" s="136" t="e">
        <f t="shared" si="33"/>
        <v>#VALUE!</v>
      </c>
    </row>
    <row r="513" spans="1:16" ht="12" hidden="1" outlineLevel="1" thickBot="1">
      <c r="A513" s="115" t="s">
        <v>1572</v>
      </c>
      <c r="B513" s="115" t="s">
        <v>151</v>
      </c>
      <c r="C513" s="134" t="s">
        <v>1573</v>
      </c>
      <c r="E513" s="135" t="s">
        <v>1574</v>
      </c>
      <c r="F513" s="135" t="s">
        <v>152</v>
      </c>
      <c r="G513" s="131" t="s">
        <v>153</v>
      </c>
      <c r="H513" s="132" t="e">
        <f t="shared" si="34"/>
        <v>#VALUE!</v>
      </c>
      <c r="I513" s="151" t="e">
        <f>_xll.GetCtData("COAMOUNT","CONSAMOUNT",$A$1:$A$8,$A513:$B513,,"#")/10^3*$H513</f>
        <v>#VALUE!</v>
      </c>
      <c r="J513" s="136"/>
      <c r="K513" s="136"/>
      <c r="L513" s="136" t="e">
        <f t="shared" si="32"/>
        <v>#VALUE!</v>
      </c>
      <c r="M513" s="128"/>
      <c r="N513" s="136"/>
      <c r="O513" s="128"/>
      <c r="P513" s="136" t="e">
        <f t="shared" si="33"/>
        <v>#VALUE!</v>
      </c>
    </row>
    <row r="514" spans="1:16" ht="12" hidden="1" outlineLevel="1" thickBot="1">
      <c r="A514" s="115" t="s">
        <v>1575</v>
      </c>
      <c r="B514" s="115" t="s">
        <v>151</v>
      </c>
      <c r="C514" s="134" t="s">
        <v>1576</v>
      </c>
      <c r="E514" s="135" t="s">
        <v>1577</v>
      </c>
      <c r="F514" s="135" t="s">
        <v>152</v>
      </c>
      <c r="G514" s="131" t="s">
        <v>153</v>
      </c>
      <c r="H514" s="132" t="e">
        <f t="shared" si="34"/>
        <v>#VALUE!</v>
      </c>
      <c r="I514" s="151" t="e">
        <f>_xll.GetCtData("COAMOUNT","CONSAMOUNT",$A$1:$A$8,$A514:$B514,,"#")/10^3*$H514</f>
        <v>#VALUE!</v>
      </c>
      <c r="J514" s="136"/>
      <c r="K514" s="136"/>
      <c r="L514" s="136" t="e">
        <f t="shared" si="32"/>
        <v>#VALUE!</v>
      </c>
      <c r="M514" s="128"/>
      <c r="N514" s="136"/>
      <c r="O514" s="128"/>
      <c r="P514" s="136" t="e">
        <f t="shared" si="33"/>
        <v>#VALUE!</v>
      </c>
    </row>
    <row r="515" spans="1:16" ht="12" hidden="1" outlineLevel="1" thickBot="1">
      <c r="A515" s="115" t="s">
        <v>1578</v>
      </c>
      <c r="B515" s="115" t="s">
        <v>151</v>
      </c>
      <c r="C515" s="134" t="s">
        <v>1579</v>
      </c>
      <c r="E515" s="135" t="s">
        <v>1580</v>
      </c>
      <c r="F515" s="135" t="s">
        <v>152</v>
      </c>
      <c r="G515" s="131" t="s">
        <v>153</v>
      </c>
      <c r="H515" s="132" t="e">
        <f t="shared" si="34"/>
        <v>#VALUE!</v>
      </c>
      <c r="I515" s="151" t="e">
        <f>_xll.GetCtData("COAMOUNT","CONSAMOUNT",$A$1:$A$8,$A515:$B515,,"#")/10^3*$H515</f>
        <v>#VALUE!</v>
      </c>
      <c r="J515" s="136"/>
      <c r="K515" s="136"/>
      <c r="L515" s="136" t="e">
        <f t="shared" si="32"/>
        <v>#VALUE!</v>
      </c>
      <c r="M515" s="128"/>
      <c r="N515" s="136"/>
      <c r="O515" s="128"/>
      <c r="P515" s="136" t="e">
        <f t="shared" si="33"/>
        <v>#VALUE!</v>
      </c>
    </row>
    <row r="516" spans="1:16" ht="12" hidden="1" outlineLevel="1" thickBot="1">
      <c r="A516" s="115" t="s">
        <v>1581</v>
      </c>
      <c r="B516" s="115" t="s">
        <v>151</v>
      </c>
      <c r="C516" s="134" t="s">
        <v>1582</v>
      </c>
      <c r="E516" s="135" t="s">
        <v>1583</v>
      </c>
      <c r="F516" s="135" t="s">
        <v>152</v>
      </c>
      <c r="G516" s="131" t="s">
        <v>153</v>
      </c>
      <c r="H516" s="132" t="e">
        <f t="shared" si="34"/>
        <v>#VALUE!</v>
      </c>
      <c r="I516" s="151" t="e">
        <f>_xll.GetCtData("COAMOUNT","CONSAMOUNT",$A$1:$A$8,$A516:$B516,,"#")/10^3*$H516</f>
        <v>#VALUE!</v>
      </c>
      <c r="J516" s="136"/>
      <c r="K516" s="136"/>
      <c r="L516" s="136" t="e">
        <f t="shared" si="32"/>
        <v>#VALUE!</v>
      </c>
      <c r="M516" s="128"/>
      <c r="N516" s="136"/>
      <c r="O516" s="128"/>
      <c r="P516" s="136" t="e">
        <f t="shared" si="33"/>
        <v>#VALUE!</v>
      </c>
    </row>
    <row r="517" spans="1:16" ht="12" hidden="1" outlineLevel="1" thickBot="1">
      <c r="A517" s="115" t="s">
        <v>1584</v>
      </c>
      <c r="B517" s="115" t="s">
        <v>151</v>
      </c>
      <c r="C517" s="134" t="s">
        <v>1585</v>
      </c>
      <c r="E517" s="135" t="s">
        <v>1586</v>
      </c>
      <c r="F517" s="135" t="s">
        <v>152</v>
      </c>
      <c r="G517" s="131" t="s">
        <v>153</v>
      </c>
      <c r="H517" s="132" t="e">
        <f t="shared" si="34"/>
        <v>#VALUE!</v>
      </c>
      <c r="I517" s="151" t="e">
        <f>_xll.GetCtData("COAMOUNT","CONSAMOUNT",$A$1:$A$8,$A517:$B517,,"#")/10^3*$H517</f>
        <v>#VALUE!</v>
      </c>
      <c r="J517" s="136"/>
      <c r="K517" s="136"/>
      <c r="L517" s="136" t="e">
        <f t="shared" si="32"/>
        <v>#VALUE!</v>
      </c>
      <c r="M517" s="128"/>
      <c r="N517" s="136"/>
      <c r="O517" s="128"/>
      <c r="P517" s="136" t="e">
        <f t="shared" si="33"/>
        <v>#VALUE!</v>
      </c>
    </row>
    <row r="518" spans="1:16" ht="12" hidden="1" outlineLevel="1" thickBot="1">
      <c r="A518" s="115" t="s">
        <v>1587</v>
      </c>
      <c r="B518" s="115" t="s">
        <v>151</v>
      </c>
      <c r="C518" s="134" t="s">
        <v>1588</v>
      </c>
      <c r="E518" s="135" t="s">
        <v>1589</v>
      </c>
      <c r="F518" s="135" t="s">
        <v>152</v>
      </c>
      <c r="G518" s="131" t="s">
        <v>153</v>
      </c>
      <c r="H518" s="132" t="e">
        <f t="shared" si="34"/>
        <v>#VALUE!</v>
      </c>
      <c r="I518" s="151" t="e">
        <f>_xll.GetCtData("COAMOUNT","CONSAMOUNT",$A$1:$A$8,$A518:$B518,,"#")/10^3*$H518</f>
        <v>#VALUE!</v>
      </c>
      <c r="J518" s="136"/>
      <c r="K518" s="136"/>
      <c r="L518" s="136" t="e">
        <f t="shared" si="32"/>
        <v>#VALUE!</v>
      </c>
      <c r="M518" s="128"/>
      <c r="N518" s="136"/>
      <c r="O518" s="128"/>
      <c r="P518" s="136" t="e">
        <f t="shared" si="33"/>
        <v>#VALUE!</v>
      </c>
    </row>
    <row r="519" spans="1:16" ht="12" hidden="1" outlineLevel="1" thickBot="1">
      <c r="A519" s="115" t="s">
        <v>1590</v>
      </c>
      <c r="B519" s="115" t="s">
        <v>151</v>
      </c>
      <c r="C519" s="134" t="s">
        <v>1591</v>
      </c>
      <c r="E519" s="135" t="s">
        <v>1592</v>
      </c>
      <c r="F519" s="135" t="s">
        <v>152</v>
      </c>
      <c r="G519" s="131" t="s">
        <v>153</v>
      </c>
      <c r="H519" s="132" t="e">
        <f t="shared" si="34"/>
        <v>#VALUE!</v>
      </c>
      <c r="I519" s="151" t="e">
        <f>_xll.GetCtData("COAMOUNT","CONSAMOUNT",$A$1:$A$8,$A519:$B519,,"#")/10^3*$H519</f>
        <v>#VALUE!</v>
      </c>
      <c r="J519" s="136"/>
      <c r="K519" s="136"/>
      <c r="L519" s="136" t="e">
        <f t="shared" si="32"/>
        <v>#VALUE!</v>
      </c>
      <c r="M519" s="128"/>
      <c r="N519" s="136"/>
      <c r="O519" s="128"/>
      <c r="P519" s="136" t="e">
        <f t="shared" si="33"/>
        <v>#VALUE!</v>
      </c>
    </row>
    <row r="520" spans="1:16" ht="12" hidden="1" outlineLevel="1" thickBot="1">
      <c r="A520" s="115" t="s">
        <v>1593</v>
      </c>
      <c r="B520" s="115" t="s">
        <v>151</v>
      </c>
      <c r="C520" s="134" t="s">
        <v>1594</v>
      </c>
      <c r="E520" s="135" t="s">
        <v>1595</v>
      </c>
      <c r="F520" s="135" t="s">
        <v>152</v>
      </c>
      <c r="G520" s="131" t="s">
        <v>153</v>
      </c>
      <c r="H520" s="132" t="e">
        <f t="shared" si="34"/>
        <v>#VALUE!</v>
      </c>
      <c r="I520" s="151" t="e">
        <f>_xll.GetCtData("COAMOUNT","CONSAMOUNT",$A$1:$A$8,$A520:$B520,,"#")/10^3*$H520</f>
        <v>#VALUE!</v>
      </c>
      <c r="J520" s="136"/>
      <c r="K520" s="136"/>
      <c r="L520" s="136" t="e">
        <f t="shared" si="32"/>
        <v>#VALUE!</v>
      </c>
      <c r="M520" s="128"/>
      <c r="N520" s="136"/>
      <c r="O520" s="128"/>
      <c r="P520" s="136" t="e">
        <f t="shared" si="33"/>
        <v>#VALUE!</v>
      </c>
    </row>
    <row r="521" spans="1:16" ht="12" hidden="1" outlineLevel="1" thickBot="1">
      <c r="A521" s="115" t="s">
        <v>1596</v>
      </c>
      <c r="B521" s="115" t="s">
        <v>151</v>
      </c>
      <c r="C521" s="134" t="s">
        <v>1597</v>
      </c>
      <c r="E521" s="135" t="s">
        <v>1598</v>
      </c>
      <c r="F521" s="135" t="s">
        <v>152</v>
      </c>
      <c r="G521" s="131" t="s">
        <v>153</v>
      </c>
      <c r="H521" s="132" t="e">
        <f t="shared" si="34"/>
        <v>#VALUE!</v>
      </c>
      <c r="I521" s="151" t="e">
        <f>_xll.GetCtData("COAMOUNT","CONSAMOUNT",$A$1:$A$8,$A521:$B521,,"#")/10^3*$H521</f>
        <v>#VALUE!</v>
      </c>
      <c r="J521" s="136"/>
      <c r="K521" s="136"/>
      <c r="L521" s="136" t="e">
        <f t="shared" si="32"/>
        <v>#VALUE!</v>
      </c>
      <c r="M521" s="128"/>
      <c r="N521" s="136"/>
      <c r="O521" s="128"/>
      <c r="P521" s="136" t="e">
        <f t="shared" si="33"/>
        <v>#VALUE!</v>
      </c>
    </row>
    <row r="522" spans="1:16" ht="12" hidden="1" outlineLevel="1" thickBot="1">
      <c r="A522" s="115" t="s">
        <v>1599</v>
      </c>
      <c r="B522" s="115" t="s">
        <v>151</v>
      </c>
      <c r="C522" s="134" t="s">
        <v>1600</v>
      </c>
      <c r="E522" s="135" t="s">
        <v>1601</v>
      </c>
      <c r="F522" s="135" t="s">
        <v>152</v>
      </c>
      <c r="G522" s="131" t="s">
        <v>153</v>
      </c>
      <c r="H522" s="132" t="e">
        <f t="shared" si="34"/>
        <v>#VALUE!</v>
      </c>
      <c r="I522" s="151" t="e">
        <f>_xll.GetCtData("COAMOUNT","CONSAMOUNT",$A$1:$A$8,$A522:$B522,,"#")/10^3*$H522</f>
        <v>#VALUE!</v>
      </c>
      <c r="J522" s="136"/>
      <c r="K522" s="136"/>
      <c r="L522" s="136" t="e">
        <f t="shared" si="32"/>
        <v>#VALUE!</v>
      </c>
      <c r="M522" s="128"/>
      <c r="N522" s="136"/>
      <c r="O522" s="128"/>
      <c r="P522" s="136" t="e">
        <f t="shared" si="33"/>
        <v>#VALUE!</v>
      </c>
    </row>
    <row r="523" spans="1:16" ht="12" hidden="1" outlineLevel="1" thickBot="1">
      <c r="A523" s="115" t="s">
        <v>1602</v>
      </c>
      <c r="B523" s="115" t="s">
        <v>151</v>
      </c>
      <c r="C523" s="134" t="s">
        <v>1603</v>
      </c>
      <c r="E523" s="135" t="s">
        <v>1604</v>
      </c>
      <c r="F523" s="135" t="s">
        <v>152</v>
      </c>
      <c r="G523" s="131" t="s">
        <v>153</v>
      </c>
      <c r="H523" s="132" t="e">
        <f t="shared" si="34"/>
        <v>#VALUE!</v>
      </c>
      <c r="I523" s="151" t="e">
        <f>_xll.GetCtData("COAMOUNT","CONSAMOUNT",$A$1:$A$8,$A523:$B523,,"#")/10^3*$H523</f>
        <v>#VALUE!</v>
      </c>
      <c r="J523" s="136"/>
      <c r="K523" s="136"/>
      <c r="L523" s="136" t="e">
        <f t="shared" si="32"/>
        <v>#VALUE!</v>
      </c>
      <c r="M523" s="128"/>
      <c r="N523" s="136"/>
      <c r="O523" s="128"/>
      <c r="P523" s="136" t="e">
        <f t="shared" si="33"/>
        <v>#VALUE!</v>
      </c>
    </row>
    <row r="524" spans="1:16" ht="12" hidden="1" outlineLevel="1" thickBot="1">
      <c r="A524" s="115" t="s">
        <v>1605</v>
      </c>
      <c r="B524" s="115" t="s">
        <v>151</v>
      </c>
      <c r="C524" s="134" t="s">
        <v>1606</v>
      </c>
      <c r="E524" s="135" t="s">
        <v>1607</v>
      </c>
      <c r="F524" s="135" t="s">
        <v>152</v>
      </c>
      <c r="G524" s="131" t="s">
        <v>153</v>
      </c>
      <c r="H524" s="132" t="e">
        <f t="shared" si="34"/>
        <v>#VALUE!</v>
      </c>
      <c r="I524" s="151" t="e">
        <f>_xll.GetCtData("COAMOUNT","CONSAMOUNT",$A$1:$A$8,$A524:$B524,,"#")/10^3*$H524</f>
        <v>#VALUE!</v>
      </c>
      <c r="J524" s="136"/>
      <c r="K524" s="136"/>
      <c r="L524" s="136" t="e">
        <f t="shared" si="32"/>
        <v>#VALUE!</v>
      </c>
      <c r="M524" s="128"/>
      <c r="N524" s="136"/>
      <c r="O524" s="128"/>
      <c r="P524" s="136" t="e">
        <f t="shared" si="33"/>
        <v>#VALUE!</v>
      </c>
    </row>
    <row r="525" spans="1:16" ht="12" hidden="1" outlineLevel="1" thickBot="1">
      <c r="A525" s="115" t="s">
        <v>1516</v>
      </c>
      <c r="B525" s="115" t="s">
        <v>151</v>
      </c>
      <c r="C525" s="134" t="s">
        <v>1517</v>
      </c>
      <c r="E525" s="135" t="s">
        <v>1518</v>
      </c>
      <c r="F525" s="135" t="s">
        <v>152</v>
      </c>
      <c r="G525" s="131" t="s">
        <v>153</v>
      </c>
      <c r="H525" s="132" t="e">
        <f t="shared" si="34"/>
        <v>#VALUE!</v>
      </c>
      <c r="I525" s="151" t="e">
        <f>_xll.GetCtData("COAMOUNT","CONSAMOUNT",$A$1:$A$8,$A525:$B525,,"#")/10^3*$H525</f>
        <v>#VALUE!</v>
      </c>
      <c r="J525" s="136"/>
      <c r="K525" s="136"/>
      <c r="L525" s="136" t="e">
        <f t="shared" si="32"/>
        <v>#VALUE!</v>
      </c>
      <c r="M525" s="128"/>
      <c r="N525" s="136"/>
      <c r="O525" s="128"/>
      <c r="P525" s="136" t="e">
        <f t="shared" si="33"/>
        <v>#VALUE!</v>
      </c>
    </row>
    <row r="526" spans="1:16" ht="12" hidden="1" outlineLevel="1" thickBot="1">
      <c r="A526" s="115" t="s">
        <v>1519</v>
      </c>
      <c r="B526" s="115" t="s">
        <v>151</v>
      </c>
      <c r="C526" s="134" t="s">
        <v>1520</v>
      </c>
      <c r="E526" s="135" t="s">
        <v>1521</v>
      </c>
      <c r="F526" s="135" t="s">
        <v>152</v>
      </c>
      <c r="G526" s="131" t="s">
        <v>153</v>
      </c>
      <c r="H526" s="132" t="e">
        <f t="shared" si="34"/>
        <v>#VALUE!</v>
      </c>
      <c r="I526" s="151" t="e">
        <f>_xll.GetCtData("COAMOUNT","CONSAMOUNT",$A$1:$A$8,$A526:$B526,,"#")/10^3*$H526</f>
        <v>#VALUE!</v>
      </c>
      <c r="J526" s="136"/>
      <c r="K526" s="136"/>
      <c r="L526" s="136" t="e">
        <f t="shared" si="32"/>
        <v>#VALUE!</v>
      </c>
      <c r="M526" s="128"/>
      <c r="N526" s="136"/>
      <c r="O526" s="128"/>
      <c r="P526" s="136" t="e">
        <f t="shared" si="33"/>
        <v>#VALUE!</v>
      </c>
    </row>
    <row r="527" spans="1:16" ht="12" hidden="1" outlineLevel="1" thickBot="1">
      <c r="A527" s="115" t="s">
        <v>1522</v>
      </c>
      <c r="B527" s="115" t="s">
        <v>151</v>
      </c>
      <c r="C527" s="134" t="s">
        <v>1523</v>
      </c>
      <c r="E527" s="135" t="s">
        <v>1524</v>
      </c>
      <c r="F527" s="135" t="s">
        <v>152</v>
      </c>
      <c r="G527" s="131" t="s">
        <v>153</v>
      </c>
      <c r="H527" s="132" t="e">
        <f t="shared" si="34"/>
        <v>#VALUE!</v>
      </c>
      <c r="I527" s="151" t="e">
        <f>_xll.GetCtData("COAMOUNT","CONSAMOUNT",$A$1:$A$8,$A527:$B527,,"#")/10^3*$H527</f>
        <v>#VALUE!</v>
      </c>
      <c r="J527" s="136"/>
      <c r="K527" s="136"/>
      <c r="L527" s="136" t="e">
        <f t="shared" si="32"/>
        <v>#VALUE!</v>
      </c>
      <c r="M527" s="128"/>
      <c r="N527" s="136"/>
      <c r="O527" s="128"/>
      <c r="P527" s="136" t="e">
        <f t="shared" si="33"/>
        <v>#VALUE!</v>
      </c>
    </row>
    <row r="528" spans="1:16" ht="12" hidden="1" outlineLevel="1" thickBot="1">
      <c r="A528" s="115" t="s">
        <v>1525</v>
      </c>
      <c r="B528" s="115" t="s">
        <v>151</v>
      </c>
      <c r="C528" s="134" t="s">
        <v>1526</v>
      </c>
      <c r="E528" s="135" t="s">
        <v>1527</v>
      </c>
      <c r="F528" s="135" t="s">
        <v>152</v>
      </c>
      <c r="G528" s="131" t="s">
        <v>153</v>
      </c>
      <c r="H528" s="132" t="e">
        <f t="shared" si="34"/>
        <v>#VALUE!</v>
      </c>
      <c r="I528" s="151" t="e">
        <f>_xll.GetCtData("COAMOUNT","CONSAMOUNT",$A$1:$A$8,$A528:$B528,,"#")/10^3*$H528</f>
        <v>#VALUE!</v>
      </c>
      <c r="J528" s="136"/>
      <c r="K528" s="136"/>
      <c r="L528" s="136" t="e">
        <f t="shared" si="32"/>
        <v>#VALUE!</v>
      </c>
      <c r="M528" s="128"/>
      <c r="N528" s="136"/>
      <c r="O528" s="128"/>
      <c r="P528" s="136" t="e">
        <f t="shared" si="33"/>
        <v>#VALUE!</v>
      </c>
    </row>
    <row r="529" spans="1:16" ht="12" hidden="1" outlineLevel="1" thickBot="1">
      <c r="A529" s="115" t="s">
        <v>1528</v>
      </c>
      <c r="B529" s="115" t="s">
        <v>151</v>
      </c>
      <c r="C529" s="134" t="s">
        <v>1529</v>
      </c>
      <c r="E529" s="135" t="s">
        <v>1530</v>
      </c>
      <c r="F529" s="135" t="s">
        <v>152</v>
      </c>
      <c r="G529" s="131" t="s">
        <v>153</v>
      </c>
      <c r="H529" s="132" t="e">
        <f t="shared" si="34"/>
        <v>#VALUE!</v>
      </c>
      <c r="I529" s="151" t="e">
        <f>_xll.GetCtData("COAMOUNT","CONSAMOUNT",$A$1:$A$8,$A529:$B529,,"#")/10^3*$H529</f>
        <v>#VALUE!</v>
      </c>
      <c r="J529" s="136"/>
      <c r="K529" s="136"/>
      <c r="L529" s="136" t="e">
        <f t="shared" si="32"/>
        <v>#VALUE!</v>
      </c>
      <c r="M529" s="128"/>
      <c r="N529" s="136"/>
      <c r="O529" s="128"/>
      <c r="P529" s="136" t="e">
        <f t="shared" si="33"/>
        <v>#VALUE!</v>
      </c>
    </row>
    <row r="530" spans="1:16" ht="12" hidden="1" outlineLevel="1" thickBot="1">
      <c r="A530" s="115" t="s">
        <v>1531</v>
      </c>
      <c r="B530" s="115" t="s">
        <v>151</v>
      </c>
      <c r="C530" s="134" t="s">
        <v>1532</v>
      </c>
      <c r="E530" s="135" t="s">
        <v>1533</v>
      </c>
      <c r="F530" s="135" t="s">
        <v>152</v>
      </c>
      <c r="G530" s="131" t="s">
        <v>153</v>
      </c>
      <c r="H530" s="132" t="e">
        <f t="shared" si="34"/>
        <v>#VALUE!</v>
      </c>
      <c r="I530" s="151" t="e">
        <f>_xll.GetCtData("COAMOUNT","CONSAMOUNT",$A$1:$A$8,$A530:$B530,,"#")/10^3*$H530</f>
        <v>#VALUE!</v>
      </c>
      <c r="J530" s="136"/>
      <c r="K530" s="136"/>
      <c r="L530" s="136" t="e">
        <f t="shared" si="32"/>
        <v>#VALUE!</v>
      </c>
      <c r="M530" s="128"/>
      <c r="N530" s="136"/>
      <c r="O530" s="128"/>
      <c r="P530" s="136" t="e">
        <f t="shared" si="33"/>
        <v>#VALUE!</v>
      </c>
    </row>
    <row r="531" spans="1:16" ht="12" hidden="1" outlineLevel="1" thickBot="1">
      <c r="A531" s="115" t="s">
        <v>1534</v>
      </c>
      <c r="B531" s="115" t="s">
        <v>151</v>
      </c>
      <c r="C531" s="134" t="s">
        <v>1535</v>
      </c>
      <c r="E531" s="135" t="s">
        <v>1536</v>
      </c>
      <c r="F531" s="135" t="s">
        <v>152</v>
      </c>
      <c r="G531" s="131" t="s">
        <v>153</v>
      </c>
      <c r="H531" s="132" t="e">
        <f t="shared" si="34"/>
        <v>#VALUE!</v>
      </c>
      <c r="I531" s="151" t="e">
        <f>_xll.GetCtData("COAMOUNT","CONSAMOUNT",$A$1:$A$8,$A531:$B531,,"#")/10^3*$H531</f>
        <v>#VALUE!</v>
      </c>
      <c r="J531" s="136"/>
      <c r="K531" s="136"/>
      <c r="L531" s="136" t="e">
        <f t="shared" si="32"/>
        <v>#VALUE!</v>
      </c>
      <c r="M531" s="128"/>
      <c r="N531" s="136"/>
      <c r="O531" s="128"/>
      <c r="P531" s="136" t="e">
        <f t="shared" si="33"/>
        <v>#VALUE!</v>
      </c>
    </row>
    <row r="532" spans="1:16" ht="12" hidden="1" outlineLevel="1" thickBot="1">
      <c r="A532" s="115" t="s">
        <v>1537</v>
      </c>
      <c r="B532" s="115" t="s">
        <v>151</v>
      </c>
      <c r="C532" s="134" t="s">
        <v>1538</v>
      </c>
      <c r="E532" s="135" t="s">
        <v>1539</v>
      </c>
      <c r="F532" s="135" t="s">
        <v>152</v>
      </c>
      <c r="G532" s="131" t="s">
        <v>153</v>
      </c>
      <c r="H532" s="132" t="e">
        <f t="shared" si="34"/>
        <v>#VALUE!</v>
      </c>
      <c r="I532" s="151" t="e">
        <f>_xll.GetCtData("COAMOUNT","CONSAMOUNT",$A$1:$A$8,$A532:$B532,,"#")/10^3*$H532</f>
        <v>#VALUE!</v>
      </c>
      <c r="J532" s="136"/>
      <c r="K532" s="136"/>
      <c r="L532" s="136" t="e">
        <f t="shared" si="32"/>
        <v>#VALUE!</v>
      </c>
      <c r="M532" s="128"/>
      <c r="N532" s="136"/>
      <c r="O532" s="128"/>
      <c r="P532" s="136" t="e">
        <f t="shared" si="33"/>
        <v>#VALUE!</v>
      </c>
    </row>
    <row r="533" spans="1:16" ht="12" hidden="1" outlineLevel="1" thickBot="1">
      <c r="A533" s="115" t="s">
        <v>1540</v>
      </c>
      <c r="B533" s="115" t="s">
        <v>151</v>
      </c>
      <c r="C533" s="134" t="s">
        <v>1541</v>
      </c>
      <c r="E533" s="135" t="s">
        <v>1542</v>
      </c>
      <c r="F533" s="135" t="s">
        <v>152</v>
      </c>
      <c r="G533" s="131" t="s">
        <v>153</v>
      </c>
      <c r="H533" s="132" t="e">
        <f t="shared" si="34"/>
        <v>#VALUE!</v>
      </c>
      <c r="I533" s="151" t="e">
        <f>_xll.GetCtData("COAMOUNT","CONSAMOUNT",$A$1:$A$8,$A533:$B533,,"#")/10^3*$H533</f>
        <v>#VALUE!</v>
      </c>
      <c r="J533" s="136"/>
      <c r="K533" s="136"/>
      <c r="L533" s="136" t="e">
        <f t="shared" si="32"/>
        <v>#VALUE!</v>
      </c>
      <c r="M533" s="128"/>
      <c r="N533" s="136"/>
      <c r="O533" s="128"/>
      <c r="P533" s="136" t="e">
        <f t="shared" si="33"/>
        <v>#VALUE!</v>
      </c>
    </row>
    <row r="534" spans="1:16" ht="12" hidden="1" outlineLevel="1" thickBot="1">
      <c r="A534" s="115" t="s">
        <v>1543</v>
      </c>
      <c r="B534" s="115" t="s">
        <v>151</v>
      </c>
      <c r="C534" s="134" t="s">
        <v>1544</v>
      </c>
      <c r="E534" s="135" t="s">
        <v>1545</v>
      </c>
      <c r="F534" s="135" t="s">
        <v>152</v>
      </c>
      <c r="G534" s="131" t="s">
        <v>153</v>
      </c>
      <c r="H534" s="132" t="e">
        <f t="shared" si="34"/>
        <v>#VALUE!</v>
      </c>
      <c r="I534" s="151" t="e">
        <f>_xll.GetCtData("COAMOUNT","CONSAMOUNT",$A$1:$A$8,$A534:$B534,,"#")/10^3*$H534</f>
        <v>#VALUE!</v>
      </c>
      <c r="J534" s="136"/>
      <c r="K534" s="136"/>
      <c r="L534" s="136" t="e">
        <f t="shared" si="32"/>
        <v>#VALUE!</v>
      </c>
      <c r="M534" s="128"/>
      <c r="N534" s="136"/>
      <c r="O534" s="128"/>
      <c r="P534" s="136" t="e">
        <f t="shared" si="33"/>
        <v>#VALUE!</v>
      </c>
    </row>
    <row r="535" spans="1:16" ht="12" hidden="1" outlineLevel="1" thickBot="1">
      <c r="A535" s="115" t="s">
        <v>1546</v>
      </c>
      <c r="B535" s="115" t="s">
        <v>151</v>
      </c>
      <c r="C535" s="134" t="s">
        <v>1547</v>
      </c>
      <c r="E535" s="135" t="s">
        <v>1548</v>
      </c>
      <c r="F535" s="135" t="s">
        <v>152</v>
      </c>
      <c r="G535" s="131" t="s">
        <v>153</v>
      </c>
      <c r="H535" s="132" t="e">
        <f t="shared" si="34"/>
        <v>#VALUE!</v>
      </c>
      <c r="I535" s="151" t="e">
        <f>_xll.GetCtData("COAMOUNT","CONSAMOUNT",$A$1:$A$8,$A535:$B535,,"#")/10^3*$H535</f>
        <v>#VALUE!</v>
      </c>
      <c r="J535" s="136"/>
      <c r="K535" s="136"/>
      <c r="L535" s="136" t="e">
        <f t="shared" si="32"/>
        <v>#VALUE!</v>
      </c>
      <c r="M535" s="128"/>
      <c r="N535" s="136"/>
      <c r="O535" s="128"/>
      <c r="P535" s="136" t="e">
        <f t="shared" si="33"/>
        <v>#VALUE!</v>
      </c>
    </row>
    <row r="536" spans="1:16" ht="12" hidden="1" outlineLevel="1" thickBot="1">
      <c r="A536" s="115" t="s">
        <v>1549</v>
      </c>
      <c r="B536" s="115" t="s">
        <v>151</v>
      </c>
      <c r="C536" s="134" t="s">
        <v>1550</v>
      </c>
      <c r="E536" s="135" t="s">
        <v>1551</v>
      </c>
      <c r="F536" s="135" t="s">
        <v>152</v>
      </c>
      <c r="G536" s="131" t="s">
        <v>153</v>
      </c>
      <c r="H536" s="132" t="e">
        <f t="shared" si="34"/>
        <v>#VALUE!</v>
      </c>
      <c r="I536" s="151" t="e">
        <f>_xll.GetCtData("COAMOUNT","CONSAMOUNT",$A$1:$A$8,$A536:$B536,,"#")/10^3*$H536</f>
        <v>#VALUE!</v>
      </c>
      <c r="J536" s="136"/>
      <c r="K536" s="136"/>
      <c r="L536" s="136" t="e">
        <f t="shared" si="32"/>
        <v>#VALUE!</v>
      </c>
      <c r="M536" s="128"/>
      <c r="N536" s="136"/>
      <c r="O536" s="128"/>
      <c r="P536" s="136" t="e">
        <f t="shared" si="33"/>
        <v>#VALUE!</v>
      </c>
    </row>
    <row r="537" spans="1:16" ht="12" hidden="1" outlineLevel="1" thickBot="1">
      <c r="A537" s="115" t="s">
        <v>1608</v>
      </c>
      <c r="B537" s="115" t="s">
        <v>151</v>
      </c>
      <c r="C537" s="134" t="s">
        <v>1609</v>
      </c>
      <c r="E537" s="135" t="s">
        <v>1610</v>
      </c>
      <c r="F537" s="135" t="s">
        <v>152</v>
      </c>
      <c r="G537" s="131" t="s">
        <v>153</v>
      </c>
      <c r="H537" s="132" t="e">
        <f t="shared" si="34"/>
        <v>#VALUE!</v>
      </c>
      <c r="I537" s="136"/>
      <c r="J537" s="151" t="e">
        <f>_xll.GetCtData("COAMOUNT","CONSAMOUNT",$A$1:$A$8,$A537:$B537,,"#")/10^3*$H537</f>
        <v>#VALUE!</v>
      </c>
      <c r="K537" s="136"/>
      <c r="L537" s="136" t="e">
        <f t="shared" si="32"/>
        <v>#VALUE!</v>
      </c>
      <c r="M537" s="128"/>
      <c r="N537" s="136"/>
      <c r="O537" s="128"/>
      <c r="P537" s="136" t="e">
        <f t="shared" si="33"/>
        <v>#VALUE!</v>
      </c>
    </row>
    <row r="538" spans="1:16" ht="12" hidden="1" outlineLevel="1" thickBot="1">
      <c r="A538" s="115" t="s">
        <v>1611</v>
      </c>
      <c r="B538" s="115" t="s">
        <v>151</v>
      </c>
      <c r="C538" s="134" t="s">
        <v>1612</v>
      </c>
      <c r="E538" s="135" t="s">
        <v>1613</v>
      </c>
      <c r="F538" s="135" t="s">
        <v>152</v>
      </c>
      <c r="G538" s="131" t="s">
        <v>153</v>
      </c>
      <c r="H538" s="132" t="e">
        <f t="shared" si="34"/>
        <v>#VALUE!</v>
      </c>
      <c r="I538" s="136"/>
      <c r="J538" s="151" t="e">
        <f>_xll.GetCtData("COAMOUNT","CONSAMOUNT",$A$1:$A$8,$A538:$B538,,"#")/10^3*$H538</f>
        <v>#VALUE!</v>
      </c>
      <c r="K538" s="136"/>
      <c r="L538" s="136" t="e">
        <f t="shared" si="32"/>
        <v>#VALUE!</v>
      </c>
      <c r="M538" s="128"/>
      <c r="N538" s="136"/>
      <c r="O538" s="128"/>
      <c r="P538" s="136" t="e">
        <f t="shared" si="33"/>
        <v>#VALUE!</v>
      </c>
    </row>
    <row r="539" spans="1:16" ht="12" hidden="1" outlineLevel="1" thickBot="1">
      <c r="A539" s="115" t="s">
        <v>1614</v>
      </c>
      <c r="B539" s="115" t="s">
        <v>151</v>
      </c>
      <c r="C539" s="134" t="s">
        <v>1615</v>
      </c>
      <c r="E539" s="135" t="s">
        <v>1616</v>
      </c>
      <c r="F539" s="135" t="s">
        <v>152</v>
      </c>
      <c r="G539" s="131" t="s">
        <v>153</v>
      </c>
      <c r="H539" s="132" t="e">
        <f t="shared" si="34"/>
        <v>#VALUE!</v>
      </c>
      <c r="I539" s="136"/>
      <c r="J539" s="151" t="e">
        <f>_xll.GetCtData("COAMOUNT","CONSAMOUNT",$A$1:$A$8,$A539:$B539,,"#")/10^3*$H539</f>
        <v>#VALUE!</v>
      </c>
      <c r="K539" s="136"/>
      <c r="L539" s="136" t="e">
        <f t="shared" si="32"/>
        <v>#VALUE!</v>
      </c>
      <c r="M539" s="128"/>
      <c r="N539" s="136"/>
      <c r="O539" s="128"/>
      <c r="P539" s="136" t="e">
        <f t="shared" si="33"/>
        <v>#VALUE!</v>
      </c>
    </row>
    <row r="540" spans="1:16" ht="12" hidden="1" outlineLevel="1" thickBot="1">
      <c r="A540" s="115" t="s">
        <v>1617</v>
      </c>
      <c r="B540" s="115" t="s">
        <v>151</v>
      </c>
      <c r="C540" s="134" t="s">
        <v>1618</v>
      </c>
      <c r="E540" s="135" t="s">
        <v>1619</v>
      </c>
      <c r="F540" s="135" t="s">
        <v>152</v>
      </c>
      <c r="G540" s="131" t="s">
        <v>153</v>
      </c>
      <c r="H540" s="132" t="e">
        <f t="shared" si="34"/>
        <v>#VALUE!</v>
      </c>
      <c r="I540" s="136"/>
      <c r="J540" s="151" t="e">
        <f>_xll.GetCtData("COAMOUNT","CONSAMOUNT",$A$1:$A$8,$A540:$B540,,"#")/10^3*$H540</f>
        <v>#VALUE!</v>
      </c>
      <c r="K540" s="136"/>
      <c r="L540" s="136" t="e">
        <f t="shared" si="32"/>
        <v>#VALUE!</v>
      </c>
      <c r="M540" s="128"/>
      <c r="N540" s="136"/>
      <c r="O540" s="128"/>
      <c r="P540" s="136" t="e">
        <f t="shared" si="33"/>
        <v>#VALUE!</v>
      </c>
    </row>
    <row r="541" spans="1:16" ht="12" hidden="1" outlineLevel="1" thickBot="1">
      <c r="A541" s="115" t="s">
        <v>1552</v>
      </c>
      <c r="B541" s="115" t="s">
        <v>151</v>
      </c>
      <c r="C541" s="134" t="s">
        <v>1553</v>
      </c>
      <c r="E541" s="135" t="s">
        <v>1554</v>
      </c>
      <c r="F541" s="135" t="s">
        <v>152</v>
      </c>
      <c r="G541" s="131" t="s">
        <v>153</v>
      </c>
      <c r="H541" s="132" t="e">
        <f t="shared" si="34"/>
        <v>#VALUE!</v>
      </c>
      <c r="I541" s="136"/>
      <c r="J541" s="151" t="e">
        <f>_xll.GetCtData("COAMOUNT","CONSAMOUNT",$A$1:$A$8,$A541:$B541,,"#")/10^3*$H541</f>
        <v>#VALUE!</v>
      </c>
      <c r="K541" s="136"/>
      <c r="L541" s="136" t="e">
        <f t="shared" ref="L541:L584" si="35">SUM(I541:K541)/10^3</f>
        <v>#VALUE!</v>
      </c>
      <c r="M541" s="128"/>
      <c r="N541" s="136"/>
      <c r="O541" s="128"/>
      <c r="P541" s="136" t="e">
        <f t="shared" si="33"/>
        <v>#VALUE!</v>
      </c>
    </row>
    <row r="542" spans="1:16" ht="12" hidden="1" outlineLevel="1" thickBot="1">
      <c r="A542" s="115" t="s">
        <v>1555</v>
      </c>
      <c r="B542" s="115" t="s">
        <v>151</v>
      </c>
      <c r="C542" s="134" t="s">
        <v>1556</v>
      </c>
      <c r="E542" s="135" t="s">
        <v>1557</v>
      </c>
      <c r="F542" s="135" t="s">
        <v>152</v>
      </c>
      <c r="G542" s="131" t="s">
        <v>153</v>
      </c>
      <c r="H542" s="132" t="e">
        <f t="shared" si="34"/>
        <v>#VALUE!</v>
      </c>
      <c r="I542" s="136"/>
      <c r="J542" s="151" t="e">
        <f>_xll.GetCtData("COAMOUNT","CONSAMOUNT",$A$1:$A$8,$A542:$B542,,"#")/10^3*$H542</f>
        <v>#VALUE!</v>
      </c>
      <c r="K542" s="136"/>
      <c r="L542" s="136" t="e">
        <f t="shared" si="35"/>
        <v>#VALUE!</v>
      </c>
      <c r="M542" s="128"/>
      <c r="N542" s="136"/>
      <c r="O542" s="128"/>
      <c r="P542" s="136" t="e">
        <f t="shared" si="33"/>
        <v>#VALUE!</v>
      </c>
    </row>
    <row r="543" spans="1:16" ht="12" hidden="1" outlineLevel="1" thickBot="1">
      <c r="A543" s="115" t="s">
        <v>1558</v>
      </c>
      <c r="B543" s="115" t="s">
        <v>151</v>
      </c>
      <c r="C543" s="134" t="s">
        <v>1559</v>
      </c>
      <c r="E543" s="135" t="s">
        <v>1560</v>
      </c>
      <c r="F543" s="135" t="s">
        <v>152</v>
      </c>
      <c r="G543" s="131" t="s">
        <v>153</v>
      </c>
      <c r="H543" s="132" t="e">
        <f t="shared" si="34"/>
        <v>#VALUE!</v>
      </c>
      <c r="I543" s="136"/>
      <c r="J543" s="151" t="e">
        <f>_xll.GetCtData("COAMOUNT","CONSAMOUNT",$A$1:$A$8,$A543:$B543,,"#")/10^3*$H543</f>
        <v>#VALUE!</v>
      </c>
      <c r="K543" s="136"/>
      <c r="L543" s="136" t="e">
        <f t="shared" si="35"/>
        <v>#VALUE!</v>
      </c>
      <c r="M543" s="128"/>
      <c r="N543" s="136"/>
      <c r="O543" s="128"/>
      <c r="P543" s="136" t="e">
        <f t="shared" si="33"/>
        <v>#VALUE!</v>
      </c>
    </row>
    <row r="544" spans="1:16" ht="12" hidden="1" outlineLevel="1" thickBot="1">
      <c r="A544" s="115" t="s">
        <v>1561</v>
      </c>
      <c r="B544" s="115" t="s">
        <v>151</v>
      </c>
      <c r="C544" s="134" t="s">
        <v>1562</v>
      </c>
      <c r="E544" s="135" t="s">
        <v>1563</v>
      </c>
      <c r="F544" s="135" t="s">
        <v>152</v>
      </c>
      <c r="G544" s="131" t="s">
        <v>153</v>
      </c>
      <c r="H544" s="132" t="e">
        <f t="shared" si="34"/>
        <v>#VALUE!</v>
      </c>
      <c r="I544" s="136"/>
      <c r="J544" s="151" t="e">
        <f>_xll.GetCtData("COAMOUNT","CONSAMOUNT",$A$1:$A$8,$A544:$B544,,"#")/10^3*$H544</f>
        <v>#VALUE!</v>
      </c>
      <c r="K544" s="136"/>
      <c r="L544" s="136" t="e">
        <f t="shared" si="35"/>
        <v>#VALUE!</v>
      </c>
      <c r="M544" s="128"/>
      <c r="N544" s="136"/>
      <c r="O544" s="128"/>
      <c r="P544" s="136" t="e">
        <f t="shared" si="33"/>
        <v>#VALUE!</v>
      </c>
    </row>
    <row r="545" spans="1:16" ht="12" hidden="1" outlineLevel="1" thickBot="1">
      <c r="A545" s="115" t="s">
        <v>1620</v>
      </c>
      <c r="B545" s="115" t="s">
        <v>151</v>
      </c>
      <c r="C545" s="134" t="s">
        <v>1621</v>
      </c>
      <c r="E545" s="135" t="s">
        <v>1622</v>
      </c>
      <c r="F545" s="135" t="s">
        <v>152</v>
      </c>
      <c r="G545" s="131" t="s">
        <v>153</v>
      </c>
      <c r="H545" s="132" t="e">
        <f t="shared" si="34"/>
        <v>#VALUE!</v>
      </c>
      <c r="I545" s="136"/>
      <c r="J545" s="136"/>
      <c r="K545" s="151" t="e">
        <f>_xll.GetCtData("COAMOUNT","CONSAMOUNT",$A$1:$A$8,$A545:$B545,,"#")/10^3*$H545</f>
        <v>#VALUE!</v>
      </c>
      <c r="L545" s="136" t="e">
        <f t="shared" si="35"/>
        <v>#VALUE!</v>
      </c>
      <c r="M545" s="128"/>
      <c r="N545" s="136"/>
      <c r="O545" s="128"/>
      <c r="P545" s="136" t="e">
        <f t="shared" si="33"/>
        <v>#VALUE!</v>
      </c>
    </row>
    <row r="546" spans="1:16" ht="12" hidden="1" outlineLevel="1" thickBot="1">
      <c r="A546" s="115" t="s">
        <v>1623</v>
      </c>
      <c r="B546" s="115" t="s">
        <v>151</v>
      </c>
      <c r="C546" s="134" t="s">
        <v>1624</v>
      </c>
      <c r="E546" s="135" t="s">
        <v>1625</v>
      </c>
      <c r="F546" s="135" t="s">
        <v>152</v>
      </c>
      <c r="G546" s="131" t="s">
        <v>153</v>
      </c>
      <c r="H546" s="132" t="e">
        <f t="shared" si="34"/>
        <v>#VALUE!</v>
      </c>
      <c r="I546" s="136"/>
      <c r="J546" s="136"/>
      <c r="K546" s="151" t="e">
        <f>_xll.GetCtData("COAMOUNT","CONSAMOUNT",$A$1:$A$8,$A546:$B546,,"#")/10^3*$H546</f>
        <v>#VALUE!</v>
      </c>
      <c r="L546" s="136" t="e">
        <f t="shared" si="35"/>
        <v>#VALUE!</v>
      </c>
      <c r="M546" s="128"/>
      <c r="N546" s="136"/>
      <c r="O546" s="128"/>
      <c r="P546" s="136" t="e">
        <f t="shared" ref="P546:P609" si="36">L546+N546</f>
        <v>#VALUE!</v>
      </c>
    </row>
    <row r="547" spans="1:16" ht="12" hidden="1" outlineLevel="1" thickBot="1">
      <c r="A547" s="115" t="s">
        <v>1564</v>
      </c>
      <c r="B547" s="115" t="s">
        <v>151</v>
      </c>
      <c r="C547" s="134" t="s">
        <v>1565</v>
      </c>
      <c r="E547" s="135" t="s">
        <v>1566</v>
      </c>
      <c r="F547" s="135" t="s">
        <v>152</v>
      </c>
      <c r="G547" s="131" t="s">
        <v>153</v>
      </c>
      <c r="H547" s="132" t="e">
        <f t="shared" si="34"/>
        <v>#VALUE!</v>
      </c>
      <c r="I547" s="136"/>
      <c r="J547" s="136"/>
      <c r="K547" s="151" t="e">
        <f>_xll.GetCtData("COAMOUNT","CONSAMOUNT",$A$1:$A$8,$A547:$B547,,"#")/10^3*$H547</f>
        <v>#VALUE!</v>
      </c>
      <c r="L547" s="136" t="e">
        <f t="shared" si="35"/>
        <v>#VALUE!</v>
      </c>
      <c r="M547" s="128"/>
      <c r="N547" s="136"/>
      <c r="O547" s="128"/>
      <c r="P547" s="136" t="e">
        <f t="shared" si="36"/>
        <v>#VALUE!</v>
      </c>
    </row>
    <row r="548" spans="1:16" ht="12" hidden="1" outlineLevel="1" thickBot="1">
      <c r="A548" s="115" t="s">
        <v>1567</v>
      </c>
      <c r="B548" s="115" t="s">
        <v>151</v>
      </c>
      <c r="C548" s="134" t="s">
        <v>1568</v>
      </c>
      <c r="E548" s="135" t="s">
        <v>1569</v>
      </c>
      <c r="F548" s="135" t="s">
        <v>152</v>
      </c>
      <c r="G548" s="131" t="s">
        <v>153</v>
      </c>
      <c r="H548" s="132" t="e">
        <f t="shared" si="34"/>
        <v>#VALUE!</v>
      </c>
      <c r="I548" s="151" t="e">
        <f>_xll.GetCtData("COAMOUNT","CONSAMOUNT",$A$1:$A$8,$A548:$B548,,"#")/10^3*$H548</f>
        <v>#VALUE!</v>
      </c>
      <c r="J548" s="136"/>
      <c r="K548" s="151" t="e">
        <f>_xll.GetCtData("COAMOUNT","CONSAMOUNT",$A$1:$A$8,$A548:$B548,,"#")/10^3*$H548</f>
        <v>#VALUE!</v>
      </c>
      <c r="L548" s="136" t="e">
        <f t="shared" si="35"/>
        <v>#VALUE!</v>
      </c>
      <c r="M548" s="128"/>
      <c r="N548" s="136"/>
      <c r="O548" s="128"/>
      <c r="P548" s="136" t="e">
        <f t="shared" si="36"/>
        <v>#VALUE!</v>
      </c>
    </row>
    <row r="549" spans="1:16" ht="12" hidden="1" outlineLevel="1" thickBot="1">
      <c r="A549" s="115" t="s">
        <v>1572</v>
      </c>
      <c r="B549" s="115" t="s">
        <v>154</v>
      </c>
      <c r="C549" s="134" t="s">
        <v>1573</v>
      </c>
      <c r="E549" s="135" t="s">
        <v>1574</v>
      </c>
      <c r="F549" s="135" t="s">
        <v>155</v>
      </c>
      <c r="G549" s="131" t="s">
        <v>156</v>
      </c>
      <c r="H549" s="132" t="e">
        <f t="shared" si="34"/>
        <v>#VALUE!</v>
      </c>
      <c r="I549" s="151" t="e">
        <f>_xll.GetCtData("COAMOUNT","CONSAMOUNT",$A$1:$A$8,$A549:$B549,,"#")/10^3*$H549</f>
        <v>#VALUE!</v>
      </c>
      <c r="J549" s="136"/>
      <c r="K549" s="136"/>
      <c r="L549" s="136" t="e">
        <f t="shared" si="35"/>
        <v>#VALUE!</v>
      </c>
      <c r="M549" s="128"/>
      <c r="N549" s="136"/>
      <c r="O549" s="128"/>
      <c r="P549" s="136" t="e">
        <f t="shared" si="36"/>
        <v>#VALUE!</v>
      </c>
    </row>
    <row r="550" spans="1:16" ht="12" hidden="1" outlineLevel="1" thickBot="1">
      <c r="A550" s="115" t="s">
        <v>1575</v>
      </c>
      <c r="B550" s="115" t="s">
        <v>154</v>
      </c>
      <c r="C550" s="134" t="s">
        <v>1576</v>
      </c>
      <c r="E550" s="135" t="s">
        <v>1577</v>
      </c>
      <c r="F550" s="135" t="s">
        <v>155</v>
      </c>
      <c r="G550" s="131" t="s">
        <v>156</v>
      </c>
      <c r="H550" s="132" t="e">
        <f t="shared" si="34"/>
        <v>#VALUE!</v>
      </c>
      <c r="I550" s="151" t="e">
        <f>_xll.GetCtData("COAMOUNT","CONSAMOUNT",$A$1:$A$8,$A550:$B550,,"#")/10^3*$H550</f>
        <v>#VALUE!</v>
      </c>
      <c r="J550" s="136"/>
      <c r="K550" s="136"/>
      <c r="L550" s="136" t="e">
        <f t="shared" si="35"/>
        <v>#VALUE!</v>
      </c>
      <c r="M550" s="128"/>
      <c r="N550" s="136"/>
      <c r="O550" s="128"/>
      <c r="P550" s="136" t="e">
        <f t="shared" si="36"/>
        <v>#VALUE!</v>
      </c>
    </row>
    <row r="551" spans="1:16" ht="12" hidden="1" outlineLevel="1" thickBot="1">
      <c r="A551" s="115" t="s">
        <v>1578</v>
      </c>
      <c r="B551" s="115" t="s">
        <v>154</v>
      </c>
      <c r="C551" s="134" t="s">
        <v>1579</v>
      </c>
      <c r="E551" s="135" t="s">
        <v>1580</v>
      </c>
      <c r="F551" s="135" t="s">
        <v>155</v>
      </c>
      <c r="G551" s="131" t="s">
        <v>156</v>
      </c>
      <c r="H551" s="132" t="e">
        <f t="shared" si="34"/>
        <v>#VALUE!</v>
      </c>
      <c r="I551" s="151" t="e">
        <f>_xll.GetCtData("COAMOUNT","CONSAMOUNT",$A$1:$A$8,$A551:$B551,,"#")/10^3*$H551</f>
        <v>#VALUE!</v>
      </c>
      <c r="J551" s="136"/>
      <c r="K551" s="136"/>
      <c r="L551" s="136" t="e">
        <f t="shared" si="35"/>
        <v>#VALUE!</v>
      </c>
      <c r="M551" s="128"/>
      <c r="N551" s="136"/>
      <c r="O551" s="128"/>
      <c r="P551" s="136" t="e">
        <f t="shared" si="36"/>
        <v>#VALUE!</v>
      </c>
    </row>
    <row r="552" spans="1:16" ht="12" hidden="1" outlineLevel="1" thickBot="1">
      <c r="A552" s="115" t="s">
        <v>1581</v>
      </c>
      <c r="B552" s="115" t="s">
        <v>154</v>
      </c>
      <c r="C552" s="134" t="s">
        <v>1582</v>
      </c>
      <c r="E552" s="135" t="s">
        <v>1583</v>
      </c>
      <c r="F552" s="135" t="s">
        <v>155</v>
      </c>
      <c r="G552" s="131" t="s">
        <v>156</v>
      </c>
      <c r="H552" s="132" t="e">
        <f t="shared" si="34"/>
        <v>#VALUE!</v>
      </c>
      <c r="I552" s="151" t="e">
        <f>_xll.GetCtData("COAMOUNT","CONSAMOUNT",$A$1:$A$8,$A552:$B552,,"#")/10^3*$H552</f>
        <v>#VALUE!</v>
      </c>
      <c r="J552" s="136"/>
      <c r="K552" s="136"/>
      <c r="L552" s="136" t="e">
        <f t="shared" si="35"/>
        <v>#VALUE!</v>
      </c>
      <c r="M552" s="128"/>
      <c r="N552" s="136"/>
      <c r="O552" s="128"/>
      <c r="P552" s="136" t="e">
        <f t="shared" si="36"/>
        <v>#VALUE!</v>
      </c>
    </row>
    <row r="553" spans="1:16" ht="12" hidden="1" outlineLevel="1" thickBot="1">
      <c r="A553" s="115" t="s">
        <v>1584</v>
      </c>
      <c r="B553" s="115" t="s">
        <v>154</v>
      </c>
      <c r="C553" s="134" t="s">
        <v>1585</v>
      </c>
      <c r="E553" s="135" t="s">
        <v>1586</v>
      </c>
      <c r="F553" s="135" t="s">
        <v>155</v>
      </c>
      <c r="G553" s="131" t="s">
        <v>156</v>
      </c>
      <c r="H553" s="132" t="e">
        <f t="shared" si="34"/>
        <v>#VALUE!</v>
      </c>
      <c r="I553" s="151" t="e">
        <f>_xll.GetCtData("COAMOUNT","CONSAMOUNT",$A$1:$A$8,$A553:$B553,,"#")/10^3*$H553</f>
        <v>#VALUE!</v>
      </c>
      <c r="J553" s="136"/>
      <c r="K553" s="136"/>
      <c r="L553" s="136" t="e">
        <f t="shared" si="35"/>
        <v>#VALUE!</v>
      </c>
      <c r="M553" s="128"/>
      <c r="N553" s="136"/>
      <c r="O553" s="128"/>
      <c r="P553" s="136" t="e">
        <f t="shared" si="36"/>
        <v>#VALUE!</v>
      </c>
    </row>
    <row r="554" spans="1:16" ht="12" hidden="1" outlineLevel="1" thickBot="1">
      <c r="A554" s="115" t="s">
        <v>1587</v>
      </c>
      <c r="B554" s="115" t="s">
        <v>154</v>
      </c>
      <c r="C554" s="134" t="s">
        <v>1588</v>
      </c>
      <c r="E554" s="135" t="s">
        <v>1589</v>
      </c>
      <c r="F554" s="135" t="s">
        <v>155</v>
      </c>
      <c r="G554" s="131" t="s">
        <v>156</v>
      </c>
      <c r="H554" s="132" t="e">
        <f t="shared" si="34"/>
        <v>#VALUE!</v>
      </c>
      <c r="I554" s="151" t="e">
        <f>_xll.GetCtData("COAMOUNT","CONSAMOUNT",$A$1:$A$8,$A554:$B554,,"#")/10^3*$H554</f>
        <v>#VALUE!</v>
      </c>
      <c r="J554" s="136"/>
      <c r="K554" s="136"/>
      <c r="L554" s="136" t="e">
        <f t="shared" si="35"/>
        <v>#VALUE!</v>
      </c>
      <c r="M554" s="128"/>
      <c r="N554" s="136"/>
      <c r="O554" s="128"/>
      <c r="P554" s="136" t="e">
        <f t="shared" si="36"/>
        <v>#VALUE!</v>
      </c>
    </row>
    <row r="555" spans="1:16" ht="12" hidden="1" outlineLevel="1" thickBot="1">
      <c r="A555" s="115" t="s">
        <v>1590</v>
      </c>
      <c r="B555" s="115" t="s">
        <v>154</v>
      </c>
      <c r="C555" s="134" t="s">
        <v>1591</v>
      </c>
      <c r="E555" s="135" t="s">
        <v>1592</v>
      </c>
      <c r="F555" s="135" t="s">
        <v>155</v>
      </c>
      <c r="G555" s="131" t="s">
        <v>156</v>
      </c>
      <c r="H555" s="132" t="e">
        <f t="shared" si="34"/>
        <v>#VALUE!</v>
      </c>
      <c r="I555" s="151" t="e">
        <f>_xll.GetCtData("COAMOUNT","CONSAMOUNT",$A$1:$A$8,$A555:$B555,,"#")/10^3*$H555</f>
        <v>#VALUE!</v>
      </c>
      <c r="J555" s="136"/>
      <c r="K555" s="136"/>
      <c r="L555" s="136" t="e">
        <f t="shared" si="35"/>
        <v>#VALUE!</v>
      </c>
      <c r="M555" s="128"/>
      <c r="N555" s="136"/>
      <c r="O555" s="128"/>
      <c r="P555" s="136" t="e">
        <f t="shared" si="36"/>
        <v>#VALUE!</v>
      </c>
    </row>
    <row r="556" spans="1:16" ht="12" hidden="1" outlineLevel="1" thickBot="1">
      <c r="A556" s="115" t="s">
        <v>1593</v>
      </c>
      <c r="B556" s="115" t="s">
        <v>154</v>
      </c>
      <c r="C556" s="134" t="s">
        <v>1594</v>
      </c>
      <c r="E556" s="135" t="s">
        <v>1595</v>
      </c>
      <c r="F556" s="135" t="s">
        <v>155</v>
      </c>
      <c r="G556" s="131" t="s">
        <v>156</v>
      </c>
      <c r="H556" s="132" t="e">
        <f t="shared" si="34"/>
        <v>#VALUE!</v>
      </c>
      <c r="I556" s="151" t="e">
        <f>_xll.GetCtData("COAMOUNT","CONSAMOUNT",$A$1:$A$8,$A556:$B556,,"#")/10^3*$H556</f>
        <v>#VALUE!</v>
      </c>
      <c r="J556" s="136"/>
      <c r="K556" s="136"/>
      <c r="L556" s="136" t="e">
        <f t="shared" si="35"/>
        <v>#VALUE!</v>
      </c>
      <c r="M556" s="128"/>
      <c r="N556" s="136"/>
      <c r="O556" s="128"/>
      <c r="P556" s="136" t="e">
        <f t="shared" si="36"/>
        <v>#VALUE!</v>
      </c>
    </row>
    <row r="557" spans="1:16" ht="12" hidden="1" outlineLevel="1" thickBot="1">
      <c r="A557" s="115" t="s">
        <v>1596</v>
      </c>
      <c r="B557" s="115" t="s">
        <v>154</v>
      </c>
      <c r="C557" s="134" t="s">
        <v>1597</v>
      </c>
      <c r="E557" s="135" t="s">
        <v>1598</v>
      </c>
      <c r="F557" s="135" t="s">
        <v>155</v>
      </c>
      <c r="G557" s="131" t="s">
        <v>156</v>
      </c>
      <c r="H557" s="132" t="e">
        <f t="shared" si="34"/>
        <v>#VALUE!</v>
      </c>
      <c r="I557" s="151" t="e">
        <f>_xll.GetCtData("COAMOUNT","CONSAMOUNT",$A$1:$A$8,$A557:$B557,,"#")/10^3*$H557</f>
        <v>#VALUE!</v>
      </c>
      <c r="J557" s="136"/>
      <c r="K557" s="136"/>
      <c r="L557" s="136" t="e">
        <f t="shared" si="35"/>
        <v>#VALUE!</v>
      </c>
      <c r="M557" s="128"/>
      <c r="N557" s="136"/>
      <c r="O557" s="128"/>
      <c r="P557" s="136" t="e">
        <f t="shared" si="36"/>
        <v>#VALUE!</v>
      </c>
    </row>
    <row r="558" spans="1:16" ht="12" hidden="1" outlineLevel="1" thickBot="1">
      <c r="A558" s="115" t="s">
        <v>1599</v>
      </c>
      <c r="B558" s="115" t="s">
        <v>154</v>
      </c>
      <c r="C558" s="134" t="s">
        <v>1600</v>
      </c>
      <c r="E558" s="135" t="s">
        <v>1601</v>
      </c>
      <c r="F558" s="135" t="s">
        <v>155</v>
      </c>
      <c r="G558" s="131" t="s">
        <v>156</v>
      </c>
      <c r="H558" s="132" t="e">
        <f t="shared" si="34"/>
        <v>#VALUE!</v>
      </c>
      <c r="I558" s="151" t="e">
        <f>_xll.GetCtData("COAMOUNT","CONSAMOUNT",$A$1:$A$8,$A558:$B558,,"#")/10^3*$H558</f>
        <v>#VALUE!</v>
      </c>
      <c r="J558" s="136"/>
      <c r="K558" s="136"/>
      <c r="L558" s="136" t="e">
        <f t="shared" si="35"/>
        <v>#VALUE!</v>
      </c>
      <c r="M558" s="128"/>
      <c r="N558" s="136"/>
      <c r="O558" s="128"/>
      <c r="P558" s="136" t="e">
        <f t="shared" si="36"/>
        <v>#VALUE!</v>
      </c>
    </row>
    <row r="559" spans="1:16" ht="12" hidden="1" outlineLevel="1" thickBot="1">
      <c r="A559" s="115" t="s">
        <v>1602</v>
      </c>
      <c r="B559" s="115" t="s">
        <v>154</v>
      </c>
      <c r="C559" s="134" t="s">
        <v>1603</v>
      </c>
      <c r="E559" s="135" t="s">
        <v>1604</v>
      </c>
      <c r="F559" s="135" t="s">
        <v>155</v>
      </c>
      <c r="G559" s="131" t="s">
        <v>156</v>
      </c>
      <c r="H559" s="132" t="e">
        <f t="shared" si="34"/>
        <v>#VALUE!</v>
      </c>
      <c r="I559" s="151" t="e">
        <f>_xll.GetCtData("COAMOUNT","CONSAMOUNT",$A$1:$A$8,$A559:$B559,,"#")/10^3*$H559</f>
        <v>#VALUE!</v>
      </c>
      <c r="J559" s="136"/>
      <c r="K559" s="136"/>
      <c r="L559" s="136" t="e">
        <f t="shared" si="35"/>
        <v>#VALUE!</v>
      </c>
      <c r="M559" s="128"/>
      <c r="N559" s="136"/>
      <c r="O559" s="128"/>
      <c r="P559" s="136" t="e">
        <f t="shared" si="36"/>
        <v>#VALUE!</v>
      </c>
    </row>
    <row r="560" spans="1:16" ht="12" hidden="1" outlineLevel="1" thickBot="1">
      <c r="A560" s="115" t="s">
        <v>1605</v>
      </c>
      <c r="B560" s="115" t="s">
        <v>154</v>
      </c>
      <c r="C560" s="134" t="s">
        <v>1606</v>
      </c>
      <c r="E560" s="135" t="s">
        <v>1607</v>
      </c>
      <c r="F560" s="135" t="s">
        <v>155</v>
      </c>
      <c r="G560" s="131" t="s">
        <v>156</v>
      </c>
      <c r="H560" s="132" t="e">
        <f t="shared" si="34"/>
        <v>#VALUE!</v>
      </c>
      <c r="I560" s="151" t="e">
        <f>_xll.GetCtData("COAMOUNT","CONSAMOUNT",$A$1:$A$8,$A560:$B560,,"#")/10^3*$H560</f>
        <v>#VALUE!</v>
      </c>
      <c r="J560" s="136"/>
      <c r="K560" s="136"/>
      <c r="L560" s="136" t="e">
        <f t="shared" si="35"/>
        <v>#VALUE!</v>
      </c>
      <c r="M560" s="128"/>
      <c r="N560" s="136"/>
      <c r="O560" s="128"/>
      <c r="P560" s="136" t="e">
        <f t="shared" si="36"/>
        <v>#VALUE!</v>
      </c>
    </row>
    <row r="561" spans="1:16" ht="12" hidden="1" outlineLevel="1" thickBot="1">
      <c r="A561" s="115" t="s">
        <v>1516</v>
      </c>
      <c r="B561" s="115" t="s">
        <v>154</v>
      </c>
      <c r="C561" s="134" t="s">
        <v>1517</v>
      </c>
      <c r="E561" s="135" t="s">
        <v>1518</v>
      </c>
      <c r="F561" s="135" t="s">
        <v>155</v>
      </c>
      <c r="G561" s="131" t="s">
        <v>156</v>
      </c>
      <c r="H561" s="132" t="e">
        <f t="shared" ref="H561:H584" si="37">IF(LEFT(E561,6)/10^3="actifs",-1,1)/10^3</f>
        <v>#VALUE!</v>
      </c>
      <c r="I561" s="151" t="e">
        <f>_xll.GetCtData("COAMOUNT","CONSAMOUNT",$A$1:$A$8,$A561:$B561,,"#")/10^3*$H561</f>
        <v>#VALUE!</v>
      </c>
      <c r="J561" s="136"/>
      <c r="K561" s="136"/>
      <c r="L561" s="136" t="e">
        <f t="shared" si="35"/>
        <v>#VALUE!</v>
      </c>
      <c r="M561" s="128"/>
      <c r="N561" s="136"/>
      <c r="O561" s="128"/>
      <c r="P561" s="136" t="e">
        <f t="shared" si="36"/>
        <v>#VALUE!</v>
      </c>
    </row>
    <row r="562" spans="1:16" ht="12" hidden="1" outlineLevel="1" thickBot="1">
      <c r="A562" s="115" t="s">
        <v>1519</v>
      </c>
      <c r="B562" s="115" t="s">
        <v>154</v>
      </c>
      <c r="C562" s="134" t="s">
        <v>1520</v>
      </c>
      <c r="E562" s="135" t="s">
        <v>1521</v>
      </c>
      <c r="F562" s="135" t="s">
        <v>155</v>
      </c>
      <c r="G562" s="131" t="s">
        <v>156</v>
      </c>
      <c r="H562" s="132" t="e">
        <f t="shared" si="37"/>
        <v>#VALUE!</v>
      </c>
      <c r="I562" s="151" t="e">
        <f>_xll.GetCtData("COAMOUNT","CONSAMOUNT",$A$1:$A$8,$A562:$B562,,"#")/10^3*$H562</f>
        <v>#VALUE!</v>
      </c>
      <c r="J562" s="136"/>
      <c r="K562" s="136"/>
      <c r="L562" s="136" t="e">
        <f t="shared" si="35"/>
        <v>#VALUE!</v>
      </c>
      <c r="M562" s="128"/>
      <c r="N562" s="136"/>
      <c r="O562" s="128"/>
      <c r="P562" s="136" t="e">
        <f t="shared" si="36"/>
        <v>#VALUE!</v>
      </c>
    </row>
    <row r="563" spans="1:16" ht="12" hidden="1" outlineLevel="1" thickBot="1">
      <c r="A563" s="115" t="s">
        <v>1522</v>
      </c>
      <c r="B563" s="115" t="s">
        <v>154</v>
      </c>
      <c r="C563" s="134" t="s">
        <v>1523</v>
      </c>
      <c r="E563" s="135" t="s">
        <v>1524</v>
      </c>
      <c r="F563" s="135" t="s">
        <v>155</v>
      </c>
      <c r="G563" s="131" t="s">
        <v>156</v>
      </c>
      <c r="H563" s="132" t="e">
        <f t="shared" si="37"/>
        <v>#VALUE!</v>
      </c>
      <c r="I563" s="151" t="e">
        <f>_xll.GetCtData("COAMOUNT","CONSAMOUNT",$A$1:$A$8,$A563:$B563,,"#")/10^3*$H563</f>
        <v>#VALUE!</v>
      </c>
      <c r="J563" s="136"/>
      <c r="K563" s="136"/>
      <c r="L563" s="136" t="e">
        <f t="shared" si="35"/>
        <v>#VALUE!</v>
      </c>
      <c r="M563" s="128"/>
      <c r="N563" s="136"/>
      <c r="O563" s="128"/>
      <c r="P563" s="136" t="e">
        <f t="shared" si="36"/>
        <v>#VALUE!</v>
      </c>
    </row>
    <row r="564" spans="1:16" ht="12" hidden="1" outlineLevel="1" thickBot="1">
      <c r="A564" s="115" t="s">
        <v>1525</v>
      </c>
      <c r="B564" s="115" t="s">
        <v>154</v>
      </c>
      <c r="C564" s="134" t="s">
        <v>1526</v>
      </c>
      <c r="E564" s="135" t="s">
        <v>1527</v>
      </c>
      <c r="F564" s="135" t="s">
        <v>155</v>
      </c>
      <c r="G564" s="131" t="s">
        <v>156</v>
      </c>
      <c r="H564" s="132" t="e">
        <f t="shared" si="37"/>
        <v>#VALUE!</v>
      </c>
      <c r="I564" s="151" t="e">
        <f>_xll.GetCtData("COAMOUNT","CONSAMOUNT",$A$1:$A$8,$A564:$B564,,"#")/10^3*$H564</f>
        <v>#VALUE!</v>
      </c>
      <c r="J564" s="136"/>
      <c r="K564" s="136"/>
      <c r="L564" s="136" t="e">
        <f t="shared" si="35"/>
        <v>#VALUE!</v>
      </c>
      <c r="M564" s="128"/>
      <c r="N564" s="136"/>
      <c r="O564" s="128"/>
      <c r="P564" s="136" t="e">
        <f t="shared" si="36"/>
        <v>#VALUE!</v>
      </c>
    </row>
    <row r="565" spans="1:16" ht="12" hidden="1" outlineLevel="1" thickBot="1">
      <c r="A565" s="115" t="s">
        <v>1528</v>
      </c>
      <c r="B565" s="115" t="s">
        <v>154</v>
      </c>
      <c r="C565" s="134" t="s">
        <v>1529</v>
      </c>
      <c r="E565" s="135" t="s">
        <v>1530</v>
      </c>
      <c r="F565" s="135" t="s">
        <v>155</v>
      </c>
      <c r="G565" s="131" t="s">
        <v>156</v>
      </c>
      <c r="H565" s="132" t="e">
        <f t="shared" si="37"/>
        <v>#VALUE!</v>
      </c>
      <c r="I565" s="151" t="e">
        <f>_xll.GetCtData("COAMOUNT","CONSAMOUNT",$A$1:$A$8,$A565:$B565,,"#")/10^3*$H565</f>
        <v>#VALUE!</v>
      </c>
      <c r="J565" s="136"/>
      <c r="K565" s="136"/>
      <c r="L565" s="136" t="e">
        <f t="shared" si="35"/>
        <v>#VALUE!</v>
      </c>
      <c r="M565" s="128"/>
      <c r="N565" s="136"/>
      <c r="O565" s="128"/>
      <c r="P565" s="136" t="e">
        <f t="shared" si="36"/>
        <v>#VALUE!</v>
      </c>
    </row>
    <row r="566" spans="1:16" ht="12" hidden="1" outlineLevel="1" thickBot="1">
      <c r="A566" s="115" t="s">
        <v>1531</v>
      </c>
      <c r="B566" s="115" t="s">
        <v>154</v>
      </c>
      <c r="C566" s="134" t="s">
        <v>1532</v>
      </c>
      <c r="E566" s="135" t="s">
        <v>1533</v>
      </c>
      <c r="F566" s="135" t="s">
        <v>155</v>
      </c>
      <c r="G566" s="131" t="s">
        <v>156</v>
      </c>
      <c r="H566" s="132" t="e">
        <f t="shared" si="37"/>
        <v>#VALUE!</v>
      </c>
      <c r="I566" s="151" t="e">
        <f>_xll.GetCtData("COAMOUNT","CONSAMOUNT",$A$1:$A$8,$A566:$B566,,"#")/10^3*$H566</f>
        <v>#VALUE!</v>
      </c>
      <c r="J566" s="136"/>
      <c r="K566" s="136"/>
      <c r="L566" s="136" t="e">
        <f t="shared" si="35"/>
        <v>#VALUE!</v>
      </c>
      <c r="M566" s="128"/>
      <c r="N566" s="136"/>
      <c r="O566" s="128"/>
      <c r="P566" s="136" t="e">
        <f t="shared" si="36"/>
        <v>#VALUE!</v>
      </c>
    </row>
    <row r="567" spans="1:16" ht="12" hidden="1" outlineLevel="1" thickBot="1">
      <c r="A567" s="115" t="s">
        <v>1534</v>
      </c>
      <c r="B567" s="115" t="s">
        <v>154</v>
      </c>
      <c r="C567" s="134" t="s">
        <v>1535</v>
      </c>
      <c r="E567" s="135" t="s">
        <v>1536</v>
      </c>
      <c r="F567" s="135" t="s">
        <v>155</v>
      </c>
      <c r="G567" s="131" t="s">
        <v>156</v>
      </c>
      <c r="H567" s="132" t="e">
        <f t="shared" si="37"/>
        <v>#VALUE!</v>
      </c>
      <c r="I567" s="151" t="e">
        <f>_xll.GetCtData("COAMOUNT","CONSAMOUNT",$A$1:$A$8,$A567:$B567,,"#")/10^3*$H567</f>
        <v>#VALUE!</v>
      </c>
      <c r="J567" s="136"/>
      <c r="K567" s="136"/>
      <c r="L567" s="136" t="e">
        <f t="shared" si="35"/>
        <v>#VALUE!</v>
      </c>
      <c r="M567" s="128"/>
      <c r="N567" s="136"/>
      <c r="O567" s="128"/>
      <c r="P567" s="136" t="e">
        <f t="shared" si="36"/>
        <v>#VALUE!</v>
      </c>
    </row>
    <row r="568" spans="1:16" ht="12" hidden="1" outlineLevel="1" thickBot="1">
      <c r="A568" s="115" t="s">
        <v>1537</v>
      </c>
      <c r="B568" s="115" t="s">
        <v>154</v>
      </c>
      <c r="C568" s="134" t="s">
        <v>1538</v>
      </c>
      <c r="E568" s="135" t="s">
        <v>1539</v>
      </c>
      <c r="F568" s="135" t="s">
        <v>155</v>
      </c>
      <c r="G568" s="131" t="s">
        <v>156</v>
      </c>
      <c r="H568" s="132" t="e">
        <f t="shared" si="37"/>
        <v>#VALUE!</v>
      </c>
      <c r="I568" s="151" t="e">
        <f>_xll.GetCtData("COAMOUNT","CONSAMOUNT",$A$1:$A$8,$A568:$B568,,"#")/10^3*$H568</f>
        <v>#VALUE!</v>
      </c>
      <c r="J568" s="136"/>
      <c r="K568" s="136"/>
      <c r="L568" s="136" t="e">
        <f t="shared" si="35"/>
        <v>#VALUE!</v>
      </c>
      <c r="M568" s="128"/>
      <c r="N568" s="136"/>
      <c r="O568" s="128"/>
      <c r="P568" s="136" t="e">
        <f t="shared" si="36"/>
        <v>#VALUE!</v>
      </c>
    </row>
    <row r="569" spans="1:16" ht="12" hidden="1" outlineLevel="1" thickBot="1">
      <c r="A569" s="115" t="s">
        <v>1540</v>
      </c>
      <c r="B569" s="115" t="s">
        <v>154</v>
      </c>
      <c r="C569" s="134" t="s">
        <v>1541</v>
      </c>
      <c r="E569" s="135" t="s">
        <v>1542</v>
      </c>
      <c r="F569" s="135" t="s">
        <v>155</v>
      </c>
      <c r="G569" s="131" t="s">
        <v>156</v>
      </c>
      <c r="H569" s="132" t="e">
        <f t="shared" si="37"/>
        <v>#VALUE!</v>
      </c>
      <c r="I569" s="151" t="e">
        <f>_xll.GetCtData("COAMOUNT","CONSAMOUNT",$A$1:$A$8,$A569:$B569,,"#")/10^3*$H569</f>
        <v>#VALUE!</v>
      </c>
      <c r="J569" s="136"/>
      <c r="K569" s="136"/>
      <c r="L569" s="136" t="e">
        <f t="shared" si="35"/>
        <v>#VALUE!</v>
      </c>
      <c r="M569" s="128"/>
      <c r="N569" s="136"/>
      <c r="O569" s="128"/>
      <c r="P569" s="136" t="e">
        <f t="shared" si="36"/>
        <v>#VALUE!</v>
      </c>
    </row>
    <row r="570" spans="1:16" ht="12" hidden="1" outlineLevel="1" thickBot="1">
      <c r="A570" s="115" t="s">
        <v>1543</v>
      </c>
      <c r="B570" s="115" t="s">
        <v>154</v>
      </c>
      <c r="C570" s="134" t="s">
        <v>1544</v>
      </c>
      <c r="E570" s="135" t="s">
        <v>1545</v>
      </c>
      <c r="F570" s="135" t="s">
        <v>155</v>
      </c>
      <c r="G570" s="131" t="s">
        <v>156</v>
      </c>
      <c r="H570" s="132" t="e">
        <f t="shared" si="37"/>
        <v>#VALUE!</v>
      </c>
      <c r="I570" s="151" t="e">
        <f>_xll.GetCtData("COAMOUNT","CONSAMOUNT",$A$1:$A$8,$A570:$B570,,"#")/10^3*$H570</f>
        <v>#VALUE!</v>
      </c>
      <c r="J570" s="136"/>
      <c r="K570" s="136"/>
      <c r="L570" s="136" t="e">
        <f t="shared" si="35"/>
        <v>#VALUE!</v>
      </c>
      <c r="M570" s="128"/>
      <c r="N570" s="136"/>
      <c r="O570" s="128"/>
      <c r="P570" s="136" t="e">
        <f t="shared" si="36"/>
        <v>#VALUE!</v>
      </c>
    </row>
    <row r="571" spans="1:16" ht="12" hidden="1" outlineLevel="1" thickBot="1">
      <c r="A571" s="115" t="s">
        <v>1546</v>
      </c>
      <c r="B571" s="115" t="s">
        <v>154</v>
      </c>
      <c r="C571" s="134" t="s">
        <v>1547</v>
      </c>
      <c r="E571" s="135" t="s">
        <v>1548</v>
      </c>
      <c r="F571" s="135" t="s">
        <v>155</v>
      </c>
      <c r="G571" s="131" t="s">
        <v>156</v>
      </c>
      <c r="H571" s="132" t="e">
        <f t="shared" si="37"/>
        <v>#VALUE!</v>
      </c>
      <c r="I571" s="151" t="e">
        <f>_xll.GetCtData("COAMOUNT","CONSAMOUNT",$A$1:$A$8,$A571:$B571,,"#")/10^3*$H571</f>
        <v>#VALUE!</v>
      </c>
      <c r="J571" s="136"/>
      <c r="K571" s="136"/>
      <c r="L571" s="136" t="e">
        <f t="shared" si="35"/>
        <v>#VALUE!</v>
      </c>
      <c r="M571" s="128"/>
      <c r="N571" s="136"/>
      <c r="O571" s="128"/>
      <c r="P571" s="136" t="e">
        <f t="shared" si="36"/>
        <v>#VALUE!</v>
      </c>
    </row>
    <row r="572" spans="1:16" ht="12" hidden="1" outlineLevel="1" thickBot="1">
      <c r="A572" s="115" t="s">
        <v>1549</v>
      </c>
      <c r="B572" s="115" t="s">
        <v>154</v>
      </c>
      <c r="C572" s="134" t="s">
        <v>1550</v>
      </c>
      <c r="E572" s="135" t="s">
        <v>1551</v>
      </c>
      <c r="F572" s="135" t="s">
        <v>155</v>
      </c>
      <c r="G572" s="131" t="s">
        <v>156</v>
      </c>
      <c r="H572" s="132" t="e">
        <f t="shared" si="37"/>
        <v>#VALUE!</v>
      </c>
      <c r="I572" s="151" t="e">
        <f>_xll.GetCtData("COAMOUNT","CONSAMOUNT",$A$1:$A$8,$A572:$B572,,"#")/10^3*$H572</f>
        <v>#VALUE!</v>
      </c>
      <c r="J572" s="136"/>
      <c r="K572" s="136"/>
      <c r="L572" s="136" t="e">
        <f t="shared" si="35"/>
        <v>#VALUE!</v>
      </c>
      <c r="M572" s="128"/>
      <c r="N572" s="136"/>
      <c r="O572" s="128"/>
      <c r="P572" s="136" t="e">
        <f t="shared" si="36"/>
        <v>#VALUE!</v>
      </c>
    </row>
    <row r="573" spans="1:16" ht="12" hidden="1" outlineLevel="1" thickBot="1">
      <c r="A573" s="115" t="s">
        <v>1608</v>
      </c>
      <c r="B573" s="115" t="s">
        <v>154</v>
      </c>
      <c r="C573" s="134" t="s">
        <v>1609</v>
      </c>
      <c r="E573" s="135" t="s">
        <v>1610</v>
      </c>
      <c r="F573" s="135" t="s">
        <v>155</v>
      </c>
      <c r="G573" s="131" t="s">
        <v>156</v>
      </c>
      <c r="H573" s="132" t="e">
        <f t="shared" si="37"/>
        <v>#VALUE!</v>
      </c>
      <c r="I573" s="136"/>
      <c r="J573" s="151" t="e">
        <f>_xll.GetCtData("COAMOUNT","CONSAMOUNT",$A$1:$A$8,$A573:$B573,,"#")/10^3*$H573</f>
        <v>#VALUE!</v>
      </c>
      <c r="K573" s="136"/>
      <c r="L573" s="136" t="e">
        <f t="shared" si="35"/>
        <v>#VALUE!</v>
      </c>
      <c r="M573" s="128"/>
      <c r="N573" s="136"/>
      <c r="O573" s="128"/>
      <c r="P573" s="136" t="e">
        <f t="shared" si="36"/>
        <v>#VALUE!</v>
      </c>
    </row>
    <row r="574" spans="1:16" ht="12" hidden="1" outlineLevel="1" thickBot="1">
      <c r="A574" s="115" t="s">
        <v>1611</v>
      </c>
      <c r="B574" s="115" t="s">
        <v>154</v>
      </c>
      <c r="C574" s="134" t="s">
        <v>1612</v>
      </c>
      <c r="E574" s="135" t="s">
        <v>1613</v>
      </c>
      <c r="F574" s="135" t="s">
        <v>155</v>
      </c>
      <c r="G574" s="131" t="s">
        <v>156</v>
      </c>
      <c r="H574" s="132" t="e">
        <f t="shared" si="37"/>
        <v>#VALUE!</v>
      </c>
      <c r="I574" s="136"/>
      <c r="J574" s="151" t="e">
        <f>_xll.GetCtData("COAMOUNT","CONSAMOUNT",$A$1:$A$8,$A574:$B574,,"#")/10^3*$H574</f>
        <v>#VALUE!</v>
      </c>
      <c r="K574" s="136"/>
      <c r="L574" s="136" t="e">
        <f t="shared" si="35"/>
        <v>#VALUE!</v>
      </c>
      <c r="M574" s="128"/>
      <c r="N574" s="136"/>
      <c r="O574" s="128"/>
      <c r="P574" s="136" t="e">
        <f t="shared" si="36"/>
        <v>#VALUE!</v>
      </c>
    </row>
    <row r="575" spans="1:16" ht="12" hidden="1" outlineLevel="1" thickBot="1">
      <c r="A575" s="115" t="s">
        <v>1614</v>
      </c>
      <c r="B575" s="115" t="s">
        <v>154</v>
      </c>
      <c r="C575" s="134" t="s">
        <v>1615</v>
      </c>
      <c r="E575" s="135" t="s">
        <v>1616</v>
      </c>
      <c r="F575" s="135" t="s">
        <v>155</v>
      </c>
      <c r="G575" s="131" t="s">
        <v>156</v>
      </c>
      <c r="H575" s="132" t="e">
        <f t="shared" si="37"/>
        <v>#VALUE!</v>
      </c>
      <c r="I575" s="136"/>
      <c r="J575" s="151" t="e">
        <f>_xll.GetCtData("COAMOUNT","CONSAMOUNT",$A$1:$A$8,$A575:$B575,,"#")/10^3*$H575</f>
        <v>#VALUE!</v>
      </c>
      <c r="K575" s="136"/>
      <c r="L575" s="136" t="e">
        <f t="shared" si="35"/>
        <v>#VALUE!</v>
      </c>
      <c r="M575" s="128"/>
      <c r="N575" s="136"/>
      <c r="O575" s="128"/>
      <c r="P575" s="136" t="e">
        <f t="shared" si="36"/>
        <v>#VALUE!</v>
      </c>
    </row>
    <row r="576" spans="1:16" ht="12" hidden="1" outlineLevel="1" thickBot="1">
      <c r="A576" s="115" t="s">
        <v>1617</v>
      </c>
      <c r="B576" s="115" t="s">
        <v>154</v>
      </c>
      <c r="C576" s="134" t="s">
        <v>1618</v>
      </c>
      <c r="E576" s="135" t="s">
        <v>1619</v>
      </c>
      <c r="F576" s="135" t="s">
        <v>155</v>
      </c>
      <c r="G576" s="131" t="s">
        <v>156</v>
      </c>
      <c r="H576" s="132" t="e">
        <f t="shared" si="37"/>
        <v>#VALUE!</v>
      </c>
      <c r="I576" s="136"/>
      <c r="J576" s="151" t="e">
        <f>_xll.GetCtData("COAMOUNT","CONSAMOUNT",$A$1:$A$8,$A576:$B576,,"#")/10^3*$H576</f>
        <v>#VALUE!</v>
      </c>
      <c r="K576" s="136"/>
      <c r="L576" s="136" t="e">
        <f t="shared" si="35"/>
        <v>#VALUE!</v>
      </c>
      <c r="M576" s="128"/>
      <c r="N576" s="136"/>
      <c r="O576" s="128"/>
      <c r="P576" s="136" t="e">
        <f t="shared" si="36"/>
        <v>#VALUE!</v>
      </c>
    </row>
    <row r="577" spans="1:16" ht="12" hidden="1" outlineLevel="1" thickBot="1">
      <c r="A577" s="115" t="s">
        <v>1552</v>
      </c>
      <c r="B577" s="115" t="s">
        <v>154</v>
      </c>
      <c r="C577" s="134" t="s">
        <v>1553</v>
      </c>
      <c r="E577" s="135" t="s">
        <v>1554</v>
      </c>
      <c r="F577" s="135" t="s">
        <v>155</v>
      </c>
      <c r="G577" s="131" t="s">
        <v>156</v>
      </c>
      <c r="H577" s="132" t="e">
        <f t="shared" si="37"/>
        <v>#VALUE!</v>
      </c>
      <c r="I577" s="136"/>
      <c r="J577" s="151" t="e">
        <f>_xll.GetCtData("COAMOUNT","CONSAMOUNT",$A$1:$A$8,$A577:$B577,,"#")/10^3*$H577</f>
        <v>#VALUE!</v>
      </c>
      <c r="K577" s="136"/>
      <c r="L577" s="136" t="e">
        <f t="shared" si="35"/>
        <v>#VALUE!</v>
      </c>
      <c r="M577" s="128"/>
      <c r="N577" s="136"/>
      <c r="O577" s="128"/>
      <c r="P577" s="136" t="e">
        <f t="shared" si="36"/>
        <v>#VALUE!</v>
      </c>
    </row>
    <row r="578" spans="1:16" ht="12" hidden="1" outlineLevel="1" thickBot="1">
      <c r="A578" s="115" t="s">
        <v>1555</v>
      </c>
      <c r="B578" s="115" t="s">
        <v>154</v>
      </c>
      <c r="C578" s="134" t="s">
        <v>1556</v>
      </c>
      <c r="E578" s="135" t="s">
        <v>1557</v>
      </c>
      <c r="F578" s="135" t="s">
        <v>155</v>
      </c>
      <c r="G578" s="131" t="s">
        <v>156</v>
      </c>
      <c r="H578" s="132" t="e">
        <f t="shared" si="37"/>
        <v>#VALUE!</v>
      </c>
      <c r="I578" s="136"/>
      <c r="J578" s="151" t="e">
        <f>_xll.GetCtData("COAMOUNT","CONSAMOUNT",$A$1:$A$8,$A578:$B578,,"#")/10^3*$H578</f>
        <v>#VALUE!</v>
      </c>
      <c r="K578" s="136"/>
      <c r="L578" s="136" t="e">
        <f t="shared" si="35"/>
        <v>#VALUE!</v>
      </c>
      <c r="M578" s="128"/>
      <c r="N578" s="136"/>
      <c r="O578" s="128"/>
      <c r="P578" s="136" t="e">
        <f t="shared" si="36"/>
        <v>#VALUE!</v>
      </c>
    </row>
    <row r="579" spans="1:16" ht="12" hidden="1" outlineLevel="1" thickBot="1">
      <c r="A579" s="115" t="s">
        <v>1558</v>
      </c>
      <c r="B579" s="115" t="s">
        <v>154</v>
      </c>
      <c r="C579" s="134" t="s">
        <v>1559</v>
      </c>
      <c r="E579" s="135" t="s">
        <v>1560</v>
      </c>
      <c r="F579" s="135" t="s">
        <v>155</v>
      </c>
      <c r="G579" s="131" t="s">
        <v>156</v>
      </c>
      <c r="H579" s="132" t="e">
        <f t="shared" si="37"/>
        <v>#VALUE!</v>
      </c>
      <c r="I579" s="136"/>
      <c r="J579" s="151" t="e">
        <f>_xll.GetCtData("COAMOUNT","CONSAMOUNT",$A$1:$A$8,$A579:$B579,,"#")/10^3*$H579</f>
        <v>#VALUE!</v>
      </c>
      <c r="K579" s="136"/>
      <c r="L579" s="136" t="e">
        <f t="shared" si="35"/>
        <v>#VALUE!</v>
      </c>
      <c r="M579" s="128"/>
      <c r="N579" s="136"/>
      <c r="O579" s="128"/>
      <c r="P579" s="136" t="e">
        <f t="shared" si="36"/>
        <v>#VALUE!</v>
      </c>
    </row>
    <row r="580" spans="1:16" ht="12" hidden="1" outlineLevel="1" thickBot="1">
      <c r="A580" s="115" t="s">
        <v>1561</v>
      </c>
      <c r="B580" s="115" t="s">
        <v>154</v>
      </c>
      <c r="C580" s="134" t="s">
        <v>1562</v>
      </c>
      <c r="E580" s="135" t="s">
        <v>1563</v>
      </c>
      <c r="F580" s="135" t="s">
        <v>155</v>
      </c>
      <c r="G580" s="131" t="s">
        <v>156</v>
      </c>
      <c r="H580" s="132" t="e">
        <f t="shared" si="37"/>
        <v>#VALUE!</v>
      </c>
      <c r="I580" s="136"/>
      <c r="J580" s="151" t="e">
        <f>_xll.GetCtData("COAMOUNT","CONSAMOUNT",$A$1:$A$8,$A580:$B580,,"#")/10^3*$H580</f>
        <v>#VALUE!</v>
      </c>
      <c r="K580" s="136"/>
      <c r="L580" s="136" t="e">
        <f t="shared" si="35"/>
        <v>#VALUE!</v>
      </c>
      <c r="M580" s="128"/>
      <c r="N580" s="136"/>
      <c r="O580" s="128"/>
      <c r="P580" s="136" t="e">
        <f t="shared" si="36"/>
        <v>#VALUE!</v>
      </c>
    </row>
    <row r="581" spans="1:16" ht="12" hidden="1" outlineLevel="1" thickBot="1">
      <c r="A581" s="115" t="s">
        <v>1620</v>
      </c>
      <c r="B581" s="115" t="s">
        <v>154</v>
      </c>
      <c r="C581" s="134" t="s">
        <v>1621</v>
      </c>
      <c r="E581" s="135" t="s">
        <v>1622</v>
      </c>
      <c r="F581" s="135" t="s">
        <v>155</v>
      </c>
      <c r="G581" s="131" t="s">
        <v>156</v>
      </c>
      <c r="H581" s="132" t="e">
        <f t="shared" si="37"/>
        <v>#VALUE!</v>
      </c>
      <c r="I581" s="136"/>
      <c r="J581" s="136"/>
      <c r="K581" s="151" t="e">
        <f>_xll.GetCtData("COAMOUNT","CONSAMOUNT",$A$1:$A$8,$A581:$B581,,"#")/10^3*$H581</f>
        <v>#VALUE!</v>
      </c>
      <c r="L581" s="136" t="e">
        <f t="shared" si="35"/>
        <v>#VALUE!</v>
      </c>
      <c r="M581" s="128"/>
      <c r="N581" s="136"/>
      <c r="O581" s="128"/>
      <c r="P581" s="136" t="e">
        <f t="shared" si="36"/>
        <v>#VALUE!</v>
      </c>
    </row>
    <row r="582" spans="1:16" ht="12" hidden="1" outlineLevel="1" thickBot="1">
      <c r="A582" s="115" t="s">
        <v>1623</v>
      </c>
      <c r="B582" s="115" t="s">
        <v>154</v>
      </c>
      <c r="C582" s="134" t="s">
        <v>1624</v>
      </c>
      <c r="E582" s="135" t="s">
        <v>1625</v>
      </c>
      <c r="F582" s="135" t="s">
        <v>155</v>
      </c>
      <c r="G582" s="131" t="s">
        <v>156</v>
      </c>
      <c r="H582" s="132" t="e">
        <f t="shared" si="37"/>
        <v>#VALUE!</v>
      </c>
      <c r="I582" s="136"/>
      <c r="J582" s="136"/>
      <c r="K582" s="151" t="e">
        <f>_xll.GetCtData("COAMOUNT","CONSAMOUNT",$A$1:$A$8,$A582:$B582,,"#")/10^3*$H582</f>
        <v>#VALUE!</v>
      </c>
      <c r="L582" s="136" t="e">
        <f t="shared" si="35"/>
        <v>#VALUE!</v>
      </c>
      <c r="M582" s="128"/>
      <c r="N582" s="136"/>
      <c r="O582" s="128"/>
      <c r="P582" s="136" t="e">
        <f t="shared" si="36"/>
        <v>#VALUE!</v>
      </c>
    </row>
    <row r="583" spans="1:16" ht="12" hidden="1" outlineLevel="1" thickBot="1">
      <c r="A583" s="115" t="s">
        <v>1564</v>
      </c>
      <c r="B583" s="115" t="s">
        <v>154</v>
      </c>
      <c r="C583" s="134" t="s">
        <v>1565</v>
      </c>
      <c r="E583" s="135" t="s">
        <v>1566</v>
      </c>
      <c r="F583" s="135" t="s">
        <v>155</v>
      </c>
      <c r="G583" s="131" t="s">
        <v>156</v>
      </c>
      <c r="H583" s="132" t="e">
        <f t="shared" si="37"/>
        <v>#VALUE!</v>
      </c>
      <c r="I583" s="136"/>
      <c r="J583" s="136"/>
      <c r="K583" s="151" t="e">
        <f>_xll.GetCtData("COAMOUNT","CONSAMOUNT",$A$1:$A$8,$A583:$B583,,"#")/10^3*$H583</f>
        <v>#VALUE!</v>
      </c>
      <c r="L583" s="136" t="e">
        <f t="shared" si="35"/>
        <v>#VALUE!</v>
      </c>
      <c r="M583" s="128"/>
      <c r="N583" s="136"/>
      <c r="O583" s="128"/>
      <c r="P583" s="136" t="e">
        <f t="shared" si="36"/>
        <v>#VALUE!</v>
      </c>
    </row>
    <row r="584" spans="1:16" ht="12" hidden="1" outlineLevel="1" thickBot="1">
      <c r="A584" s="115" t="s">
        <v>1567</v>
      </c>
      <c r="B584" s="115" t="s">
        <v>154</v>
      </c>
      <c r="C584" s="134" t="s">
        <v>1568</v>
      </c>
      <c r="E584" s="135" t="s">
        <v>1569</v>
      </c>
      <c r="F584" s="135" t="s">
        <v>155</v>
      </c>
      <c r="G584" s="131" t="s">
        <v>156</v>
      </c>
      <c r="H584" s="132" t="e">
        <f t="shared" si="37"/>
        <v>#VALUE!</v>
      </c>
      <c r="I584" s="136"/>
      <c r="J584" s="136"/>
      <c r="K584" s="151" t="e">
        <f>_xll.GetCtData("COAMOUNT","CONSAMOUNT",$A$1:$A$8,$A584:$B584,,"#")/10^3*$H584</f>
        <v>#VALUE!</v>
      </c>
      <c r="L584" s="136" t="e">
        <f t="shared" si="35"/>
        <v>#VALUE!</v>
      </c>
      <c r="M584" s="128"/>
      <c r="N584" s="136"/>
      <c r="O584" s="128"/>
      <c r="P584" s="136" t="e">
        <f t="shared" si="36"/>
        <v>#VALUE!</v>
      </c>
    </row>
    <row r="585" spans="1:16" ht="12" hidden="1" outlineLevel="2" thickBot="1">
      <c r="C585" s="134"/>
      <c r="E585" s="137" t="s">
        <v>1570</v>
      </c>
      <c r="F585" s="137"/>
      <c r="G585" s="137"/>
      <c r="H585" s="137"/>
      <c r="I585" s="138" t="e">
        <f>SUM(I369:I584)/10^3-I368</f>
        <v>#VALUE!</v>
      </c>
      <c r="J585" s="138" t="e">
        <f>SUM(J369:J584)/10^3-J368</f>
        <v>#VALUE!</v>
      </c>
      <c r="K585" s="138" t="e">
        <f>SUM(K369:K584)/10^3-K368</f>
        <v>#VALUE!</v>
      </c>
      <c r="L585" s="138" t="e">
        <f>SUM(L369:L584)/10^3-L368</f>
        <v>#VALUE!</v>
      </c>
      <c r="M585" s="128"/>
      <c r="N585" s="138"/>
      <c r="O585" s="128"/>
      <c r="P585" s="138" t="e">
        <f t="shared" si="36"/>
        <v>#VALUE!</v>
      </c>
    </row>
    <row r="586" spans="1:16" ht="12" hidden="1" collapsed="1" thickBot="1">
      <c r="A586" s="115" t="s">
        <v>1088</v>
      </c>
      <c r="C586" s="117" t="s">
        <v>1677</v>
      </c>
      <c r="E586" s="145" t="s">
        <v>1687</v>
      </c>
      <c r="F586" s="146"/>
      <c r="G586" s="146"/>
      <c r="H586" s="146"/>
      <c r="I586" s="147">
        <f>_xll.GetCtData("COAMOUNT","CONSAMOUNT",$A$1:$A$8,$A586,I$10,"#-171053,791714943")/10^3</f>
        <v>-171.053791714943</v>
      </c>
      <c r="J586" s="147">
        <f>_xll.GetCtData("COAMOUNT","CONSAMOUNT",$A$1:$A$8,$A586,J$10,"#34773,3579929869")/10^3</f>
        <v>34.773357992986902</v>
      </c>
      <c r="K586" s="147">
        <f>_xll.GetCtData("COAMOUNT","CONSAMOUNT",$A$1:$A$8,$A586,K$10,"#7058,6932271423")/10^3</f>
        <v>7.0586932271423004</v>
      </c>
      <c r="L586" s="147">
        <f>_xll.GetCtData("COAMOUNT","CONSAMOUNT",$A$1:$A$8,$A586,L$10,"#-129221,740494814")/10^3</f>
        <v>-129.22174049481401</v>
      </c>
      <c r="M586" s="128"/>
      <c r="N586" s="147">
        <v>23</v>
      </c>
      <c r="O586" s="128"/>
      <c r="P586" s="147">
        <f t="shared" si="36"/>
        <v>-106.22174049481401</v>
      </c>
    </row>
    <row r="587" spans="1:16" ht="12" hidden="1" outlineLevel="1" thickBot="1">
      <c r="A587" s="115" t="s">
        <v>1572</v>
      </c>
      <c r="B587" s="115" t="s">
        <v>246</v>
      </c>
      <c r="C587" s="134" t="s">
        <v>1573</v>
      </c>
      <c r="E587" s="135" t="s">
        <v>1574</v>
      </c>
      <c r="F587" s="135" t="s">
        <v>1678</v>
      </c>
      <c r="G587" s="131" t="s">
        <v>88</v>
      </c>
      <c r="H587" s="132" t="e">
        <f t="shared" ref="H587:H650" si="38">IF(LEFT(E587,6)/10^3="actifs",-1,1)/10^3</f>
        <v>#VALUE!</v>
      </c>
      <c r="I587" s="151" t="e">
        <f>_xll.GetCtData("COAMOUNT","CONSAMOUNT",$A$1:$A$8,$A587:$B587,,"#-76002,1292437164")/10^3*$H587</f>
        <v>#VALUE!</v>
      </c>
      <c r="J587" s="136"/>
      <c r="K587" s="136"/>
      <c r="L587" s="136" t="e">
        <f t="shared" ref="L587:L650" si="39">SUM(I587:K587)/10^3</f>
        <v>#VALUE!</v>
      </c>
      <c r="M587" s="128"/>
      <c r="N587" s="136"/>
      <c r="O587" s="128"/>
      <c r="P587" s="136" t="e">
        <f t="shared" si="36"/>
        <v>#VALUE!</v>
      </c>
    </row>
    <row r="588" spans="1:16" ht="12" hidden="1" outlineLevel="1" thickBot="1">
      <c r="A588" s="115" t="s">
        <v>1575</v>
      </c>
      <c r="B588" s="115" t="s">
        <v>246</v>
      </c>
      <c r="C588" s="134" t="s">
        <v>1576</v>
      </c>
      <c r="E588" s="135" t="s">
        <v>1577</v>
      </c>
      <c r="F588" s="135" t="s">
        <v>1678</v>
      </c>
      <c r="G588" s="131" t="s">
        <v>88</v>
      </c>
      <c r="H588" s="132" t="e">
        <f t="shared" si="38"/>
        <v>#VALUE!</v>
      </c>
      <c r="I588" s="151" t="e">
        <f>_xll.GetCtData("COAMOUNT","CONSAMOUNT",$A$1:$A$8,$A588:$B588,,"#88993,3393307311")/10^3*$H588</f>
        <v>#VALUE!</v>
      </c>
      <c r="J588" s="151"/>
      <c r="K588" s="136"/>
      <c r="L588" s="136" t="e">
        <f t="shared" si="39"/>
        <v>#VALUE!</v>
      </c>
      <c r="M588" s="128"/>
      <c r="N588" s="136"/>
      <c r="O588" s="128"/>
      <c r="P588" s="136" t="e">
        <f t="shared" si="36"/>
        <v>#VALUE!</v>
      </c>
    </row>
    <row r="589" spans="1:16" ht="12" hidden="1" outlineLevel="1" thickBot="1">
      <c r="A589" s="115" t="s">
        <v>1578</v>
      </c>
      <c r="B589" s="115" t="s">
        <v>246</v>
      </c>
      <c r="C589" s="134" t="s">
        <v>1579</v>
      </c>
      <c r="E589" s="135" t="s">
        <v>1580</v>
      </c>
      <c r="F589" s="135" t="s">
        <v>1678</v>
      </c>
      <c r="G589" s="131" t="s">
        <v>88</v>
      </c>
      <c r="H589" s="132" t="e">
        <f t="shared" si="38"/>
        <v>#VALUE!</v>
      </c>
      <c r="I589" s="151" t="e">
        <f>_xll.GetCtData("COAMOUNT","CONSAMOUNT",$A$1:$A$8,$A589:$B589,,"#-294470,268520922")/10^3*$H589</f>
        <v>#VALUE!</v>
      </c>
      <c r="J589" s="136"/>
      <c r="K589" s="136"/>
      <c r="L589" s="136" t="e">
        <f t="shared" si="39"/>
        <v>#VALUE!</v>
      </c>
      <c r="M589" s="128"/>
      <c r="N589" s="136"/>
      <c r="O589" s="128"/>
      <c r="P589" s="136" t="e">
        <f t="shared" si="36"/>
        <v>#VALUE!</v>
      </c>
    </row>
    <row r="590" spans="1:16" ht="12" hidden="1" outlineLevel="1" thickBot="1">
      <c r="A590" s="115" t="s">
        <v>1581</v>
      </c>
      <c r="B590" s="115" t="s">
        <v>246</v>
      </c>
      <c r="C590" s="134" t="s">
        <v>1582</v>
      </c>
      <c r="E590" s="135" t="s">
        <v>1583</v>
      </c>
      <c r="F590" s="135" t="s">
        <v>1678</v>
      </c>
      <c r="G590" s="131" t="s">
        <v>88</v>
      </c>
      <c r="H590" s="132" t="e">
        <f t="shared" si="38"/>
        <v>#VALUE!</v>
      </c>
      <c r="I590" s="151" t="e">
        <f>_xll.GetCtData("COAMOUNT","CONSAMOUNT",$A$1:$A$8,$A590:$B590,,"#")/10^3*$H590</f>
        <v>#VALUE!</v>
      </c>
      <c r="J590" s="136"/>
      <c r="K590" s="136"/>
      <c r="L590" s="136" t="e">
        <f t="shared" si="39"/>
        <v>#VALUE!</v>
      </c>
      <c r="M590" s="128"/>
      <c r="N590" s="136"/>
      <c r="O590" s="128"/>
      <c r="P590" s="136" t="e">
        <f t="shared" si="36"/>
        <v>#VALUE!</v>
      </c>
    </row>
    <row r="591" spans="1:16" ht="12" hidden="1" outlineLevel="1" thickBot="1">
      <c r="A591" s="115" t="s">
        <v>1584</v>
      </c>
      <c r="B591" s="115" t="s">
        <v>246</v>
      </c>
      <c r="C591" s="134" t="s">
        <v>1585</v>
      </c>
      <c r="E591" s="135" t="s">
        <v>1586</v>
      </c>
      <c r="F591" s="135" t="s">
        <v>1678</v>
      </c>
      <c r="G591" s="131" t="s">
        <v>88</v>
      </c>
      <c r="H591" s="132" t="e">
        <f t="shared" si="38"/>
        <v>#VALUE!</v>
      </c>
      <c r="I591" s="151" t="e">
        <f>_xll.GetCtData("COAMOUNT","CONSAMOUNT",$A$1:$A$8,$A591:$B591,,"#")/10^3*$H591</f>
        <v>#VALUE!</v>
      </c>
      <c r="J591" s="151"/>
      <c r="K591" s="136"/>
      <c r="L591" s="136" t="e">
        <f t="shared" si="39"/>
        <v>#VALUE!</v>
      </c>
      <c r="M591" s="128"/>
      <c r="N591" s="136"/>
      <c r="O591" s="128"/>
      <c r="P591" s="136" t="e">
        <f t="shared" si="36"/>
        <v>#VALUE!</v>
      </c>
    </row>
    <row r="592" spans="1:16" ht="12" hidden="1" outlineLevel="1" thickBot="1">
      <c r="A592" s="115" t="s">
        <v>1587</v>
      </c>
      <c r="B592" s="115" t="s">
        <v>246</v>
      </c>
      <c r="C592" s="134" t="s">
        <v>1588</v>
      </c>
      <c r="E592" s="135" t="s">
        <v>1589</v>
      </c>
      <c r="F592" s="135" t="s">
        <v>1678</v>
      </c>
      <c r="G592" s="131" t="s">
        <v>88</v>
      </c>
      <c r="H592" s="132" t="e">
        <f t="shared" si="38"/>
        <v>#VALUE!</v>
      </c>
      <c r="I592" s="151" t="e">
        <f>_xll.GetCtData("COAMOUNT","CONSAMOUNT",$A$1:$A$8,$A592:$B592,,"#75792")/10^3*$H592</f>
        <v>#VALUE!</v>
      </c>
      <c r="J592" s="136"/>
      <c r="K592" s="136"/>
      <c r="L592" s="136" t="e">
        <f t="shared" si="39"/>
        <v>#VALUE!</v>
      </c>
      <c r="M592" s="128"/>
      <c r="N592" s="136"/>
      <c r="O592" s="128"/>
      <c r="P592" s="136" t="e">
        <f t="shared" si="36"/>
        <v>#VALUE!</v>
      </c>
    </row>
    <row r="593" spans="1:16" ht="12" hidden="1" outlineLevel="1" thickBot="1">
      <c r="A593" s="115" t="s">
        <v>1590</v>
      </c>
      <c r="B593" s="115" t="s">
        <v>246</v>
      </c>
      <c r="C593" s="134" t="s">
        <v>1591</v>
      </c>
      <c r="E593" s="135" t="s">
        <v>1592</v>
      </c>
      <c r="F593" s="135" t="s">
        <v>1678</v>
      </c>
      <c r="G593" s="131" t="s">
        <v>88</v>
      </c>
      <c r="H593" s="132" t="e">
        <f t="shared" si="38"/>
        <v>#VALUE!</v>
      </c>
      <c r="I593" s="151" t="e">
        <f>_xll.GetCtData("COAMOUNT","CONSAMOUNT",$A$1:$A$8,$A593:$B593,,"#-2337")/10^3*$H593</f>
        <v>#VALUE!</v>
      </c>
      <c r="J593" s="136"/>
      <c r="K593" s="136"/>
      <c r="L593" s="136" t="e">
        <f t="shared" si="39"/>
        <v>#VALUE!</v>
      </c>
      <c r="M593" s="128"/>
      <c r="N593" s="136"/>
      <c r="O593" s="128"/>
      <c r="P593" s="136" t="e">
        <f t="shared" si="36"/>
        <v>#VALUE!</v>
      </c>
    </row>
    <row r="594" spans="1:16" ht="12" hidden="1" outlineLevel="1" thickBot="1">
      <c r="A594" s="115" t="s">
        <v>1593</v>
      </c>
      <c r="B594" s="115" t="s">
        <v>246</v>
      </c>
      <c r="C594" s="134" t="s">
        <v>1594</v>
      </c>
      <c r="E594" s="135" t="s">
        <v>1595</v>
      </c>
      <c r="F594" s="135" t="s">
        <v>1678</v>
      </c>
      <c r="G594" s="131" t="s">
        <v>88</v>
      </c>
      <c r="H594" s="132" t="e">
        <f t="shared" si="38"/>
        <v>#VALUE!</v>
      </c>
      <c r="I594" s="151" t="e">
        <f>_xll.GetCtData("COAMOUNT","CONSAMOUNT",$A$1:$A$8,$A594:$B594,,"#2337")/10^3*$H594</f>
        <v>#VALUE!</v>
      </c>
      <c r="J594" s="136"/>
      <c r="K594" s="136"/>
      <c r="L594" s="136" t="e">
        <f t="shared" si="39"/>
        <v>#VALUE!</v>
      </c>
      <c r="M594" s="128"/>
      <c r="N594" s="136"/>
      <c r="O594" s="128"/>
      <c r="P594" s="136" t="e">
        <f t="shared" si="36"/>
        <v>#VALUE!</v>
      </c>
    </row>
    <row r="595" spans="1:16" ht="12" hidden="1" outlineLevel="1" thickBot="1">
      <c r="A595" s="115" t="s">
        <v>1596</v>
      </c>
      <c r="B595" s="115" t="s">
        <v>246</v>
      </c>
      <c r="C595" s="134" t="s">
        <v>1597</v>
      </c>
      <c r="E595" s="135" t="s">
        <v>1598</v>
      </c>
      <c r="F595" s="135" t="s">
        <v>1678</v>
      </c>
      <c r="G595" s="131" t="s">
        <v>88</v>
      </c>
      <c r="H595" s="132" t="e">
        <f t="shared" si="38"/>
        <v>#VALUE!</v>
      </c>
      <c r="I595" s="151" t="e">
        <f>_xll.GetCtData("COAMOUNT","CONSAMOUNT",$A$1:$A$8,$A595:$B595,,"#")/10^3*$H595</f>
        <v>#VALUE!</v>
      </c>
      <c r="J595" s="151"/>
      <c r="K595" s="136"/>
      <c r="L595" s="136" t="e">
        <f t="shared" si="39"/>
        <v>#VALUE!</v>
      </c>
      <c r="M595" s="128"/>
      <c r="N595" s="136"/>
      <c r="O595" s="128"/>
      <c r="P595" s="136" t="e">
        <f t="shared" si="36"/>
        <v>#VALUE!</v>
      </c>
    </row>
    <row r="596" spans="1:16" ht="12" hidden="1" outlineLevel="1" thickBot="1">
      <c r="A596" s="115" t="s">
        <v>1599</v>
      </c>
      <c r="B596" s="115" t="s">
        <v>246</v>
      </c>
      <c r="C596" s="134" t="s">
        <v>1600</v>
      </c>
      <c r="E596" s="135" t="s">
        <v>1601</v>
      </c>
      <c r="F596" s="135" t="s">
        <v>1678</v>
      </c>
      <c r="G596" s="131" t="s">
        <v>88</v>
      </c>
      <c r="H596" s="132" t="e">
        <f t="shared" si="38"/>
        <v>#VALUE!</v>
      </c>
      <c r="I596" s="151" t="e">
        <f>_xll.GetCtData("COAMOUNT","CONSAMOUNT",$A$1:$A$8,$A596:$B596,,"#")/10^3*$H596</f>
        <v>#VALUE!</v>
      </c>
      <c r="J596" s="151"/>
      <c r="K596" s="136"/>
      <c r="L596" s="136" t="e">
        <f t="shared" si="39"/>
        <v>#VALUE!</v>
      </c>
      <c r="M596" s="128"/>
      <c r="N596" s="136"/>
      <c r="O596" s="128"/>
      <c r="P596" s="136" t="e">
        <f t="shared" si="36"/>
        <v>#VALUE!</v>
      </c>
    </row>
    <row r="597" spans="1:16" ht="12" hidden="1" outlineLevel="1" thickBot="1">
      <c r="A597" s="115" t="s">
        <v>1602</v>
      </c>
      <c r="B597" s="115" t="s">
        <v>246</v>
      </c>
      <c r="C597" s="134" t="s">
        <v>1603</v>
      </c>
      <c r="E597" s="135" t="s">
        <v>1604</v>
      </c>
      <c r="F597" s="135" t="s">
        <v>1678</v>
      </c>
      <c r="G597" s="131" t="s">
        <v>88</v>
      </c>
      <c r="H597" s="132" t="e">
        <f t="shared" si="38"/>
        <v>#VALUE!</v>
      </c>
      <c r="I597" s="151" t="e">
        <f>_xll.GetCtData("COAMOUNT","CONSAMOUNT",$A$1:$A$8,$A597:$B597,,"#45452,8870458261")/10^3*$H597</f>
        <v>#VALUE!</v>
      </c>
      <c r="J597" s="151"/>
      <c r="K597" s="136"/>
      <c r="L597" s="136" t="e">
        <f t="shared" si="39"/>
        <v>#VALUE!</v>
      </c>
      <c r="M597" s="128"/>
      <c r="N597" s="136"/>
      <c r="O597" s="128"/>
      <c r="P597" s="136" t="e">
        <f t="shared" si="36"/>
        <v>#VALUE!</v>
      </c>
    </row>
    <row r="598" spans="1:16" ht="12" hidden="1" outlineLevel="1" thickBot="1">
      <c r="A598" s="115" t="s">
        <v>1605</v>
      </c>
      <c r="B598" s="115" t="s">
        <v>246</v>
      </c>
      <c r="C598" s="134" t="s">
        <v>1606</v>
      </c>
      <c r="E598" s="135" t="s">
        <v>1607</v>
      </c>
      <c r="F598" s="135" t="s">
        <v>1678</v>
      </c>
      <c r="G598" s="131" t="s">
        <v>88</v>
      </c>
      <c r="H598" s="132" t="e">
        <f t="shared" si="38"/>
        <v>#VALUE!</v>
      </c>
      <c r="I598" s="151" t="e">
        <f>_xll.GetCtData("COAMOUNT","CONSAMOUNT",$A$1:$A$8,$A598:$B598,,"#")/10^3*$H598</f>
        <v>#VALUE!</v>
      </c>
      <c r="J598" s="151"/>
      <c r="K598" s="136"/>
      <c r="L598" s="136" t="e">
        <f t="shared" si="39"/>
        <v>#VALUE!</v>
      </c>
      <c r="M598" s="128"/>
      <c r="N598" s="136"/>
      <c r="O598" s="128"/>
      <c r="P598" s="136" t="e">
        <f t="shared" si="36"/>
        <v>#VALUE!</v>
      </c>
    </row>
    <row r="599" spans="1:16" ht="12" hidden="1" outlineLevel="1" thickBot="1">
      <c r="A599" s="115" t="s">
        <v>1516</v>
      </c>
      <c r="B599" s="115" t="s">
        <v>246</v>
      </c>
      <c r="C599" s="134" t="s">
        <v>1517</v>
      </c>
      <c r="E599" s="135" t="s">
        <v>1518</v>
      </c>
      <c r="F599" s="135" t="s">
        <v>1678</v>
      </c>
      <c r="G599" s="131" t="s">
        <v>88</v>
      </c>
      <c r="H599" s="132" t="e">
        <f t="shared" si="38"/>
        <v>#VALUE!</v>
      </c>
      <c r="I599" s="151" t="e">
        <f>_xll.GetCtData("COAMOUNT","CONSAMOUNT",$A$1:$A$8,$A599:$B599,,"#6637,87075628359")/10^3*$H599</f>
        <v>#VALUE!</v>
      </c>
      <c r="J599" s="136"/>
      <c r="K599" s="136"/>
      <c r="L599" s="136" t="e">
        <f t="shared" si="39"/>
        <v>#VALUE!</v>
      </c>
      <c r="M599" s="128"/>
      <c r="N599" s="136"/>
      <c r="O599" s="128"/>
      <c r="P599" s="136" t="e">
        <f t="shared" si="36"/>
        <v>#VALUE!</v>
      </c>
    </row>
    <row r="600" spans="1:16" ht="12" hidden="1" outlineLevel="1" thickBot="1">
      <c r="A600" s="115" t="s">
        <v>1519</v>
      </c>
      <c r="B600" s="115" t="s">
        <v>246</v>
      </c>
      <c r="C600" s="134" t="s">
        <v>1520</v>
      </c>
      <c r="E600" s="135" t="s">
        <v>1521</v>
      </c>
      <c r="F600" s="135" t="s">
        <v>1678</v>
      </c>
      <c r="G600" s="131" t="s">
        <v>88</v>
      </c>
      <c r="H600" s="132" t="e">
        <f t="shared" si="38"/>
        <v>#VALUE!</v>
      </c>
      <c r="I600" s="151" t="e">
        <f>_xll.GetCtData("COAMOUNT","CONSAMOUNT",$A$1:$A$8,$A600:$B600,,"#6353,33933073106")/10^3*$H600</f>
        <v>#VALUE!</v>
      </c>
      <c r="J600" s="151"/>
      <c r="K600" s="136"/>
      <c r="L600" s="136" t="e">
        <f t="shared" si="39"/>
        <v>#VALUE!</v>
      </c>
      <c r="M600" s="128"/>
      <c r="N600" s="136"/>
      <c r="O600" s="128"/>
      <c r="P600" s="136" t="e">
        <f t="shared" si="36"/>
        <v>#VALUE!</v>
      </c>
    </row>
    <row r="601" spans="1:16" ht="12" hidden="1" outlineLevel="1" thickBot="1">
      <c r="A601" s="115" t="s">
        <v>1522</v>
      </c>
      <c r="B601" s="115" t="s">
        <v>246</v>
      </c>
      <c r="C601" s="134" t="s">
        <v>1523</v>
      </c>
      <c r="E601" s="135" t="s">
        <v>1524</v>
      </c>
      <c r="F601" s="135" t="s">
        <v>1678</v>
      </c>
      <c r="G601" s="131" t="s">
        <v>88</v>
      </c>
      <c r="H601" s="132" t="e">
        <f t="shared" si="38"/>
        <v>#VALUE!</v>
      </c>
      <c r="I601" s="151" t="e">
        <f>_xll.GetCtData("COAMOUNT","CONSAMOUNT",$A$1:$A$8,$A601:$B601,,"#-118018,11036374")/10^3*$H601</f>
        <v>#VALUE!</v>
      </c>
      <c r="J601" s="151"/>
      <c r="K601" s="136"/>
      <c r="L601" s="136" t="e">
        <f t="shared" si="39"/>
        <v>#VALUE!</v>
      </c>
      <c r="M601" s="128"/>
      <c r="N601" s="136"/>
      <c r="O601" s="128"/>
      <c r="P601" s="136" t="e">
        <f t="shared" si="36"/>
        <v>#VALUE!</v>
      </c>
    </row>
    <row r="602" spans="1:16" ht="12" hidden="1" outlineLevel="1" thickBot="1">
      <c r="A602" s="115" t="s">
        <v>1525</v>
      </c>
      <c r="B602" s="115" t="s">
        <v>246</v>
      </c>
      <c r="C602" s="134" t="s">
        <v>1526</v>
      </c>
      <c r="E602" s="135" t="s">
        <v>1527</v>
      </c>
      <c r="F602" s="135" t="s">
        <v>1678</v>
      </c>
      <c r="G602" s="131" t="s">
        <v>88</v>
      </c>
      <c r="H602" s="132" t="e">
        <f t="shared" si="38"/>
        <v>#VALUE!</v>
      </c>
      <c r="I602" s="151" t="e">
        <f>_xll.GetCtData("COAMOUNT","CONSAMOUNT",$A$1:$A$8,$A602:$B602,,"#")/10^3*$H602</f>
        <v>#VALUE!</v>
      </c>
      <c r="J602" s="151"/>
      <c r="K602" s="136"/>
      <c r="L602" s="136" t="e">
        <f t="shared" si="39"/>
        <v>#VALUE!</v>
      </c>
      <c r="M602" s="128"/>
      <c r="N602" s="136"/>
      <c r="O602" s="128"/>
      <c r="P602" s="136" t="e">
        <f t="shared" si="36"/>
        <v>#VALUE!</v>
      </c>
    </row>
    <row r="603" spans="1:16" ht="12" hidden="1" outlineLevel="1" thickBot="1">
      <c r="A603" s="115" t="s">
        <v>1528</v>
      </c>
      <c r="B603" s="115" t="s">
        <v>246</v>
      </c>
      <c r="C603" s="134" t="s">
        <v>1529</v>
      </c>
      <c r="E603" s="135" t="s">
        <v>1530</v>
      </c>
      <c r="F603" s="135" t="s">
        <v>1678</v>
      </c>
      <c r="G603" s="131" t="s">
        <v>88</v>
      </c>
      <c r="H603" s="132" t="e">
        <f t="shared" si="38"/>
        <v>#VALUE!</v>
      </c>
      <c r="I603" s="151" t="e">
        <f>_xll.GetCtData("COAMOUNT","CONSAMOUNT",$A$1:$A$8,$A603:$B603,,"#")/10^3*$H603</f>
        <v>#VALUE!</v>
      </c>
      <c r="J603" s="151"/>
      <c r="K603" s="136"/>
      <c r="L603" s="136" t="e">
        <f t="shared" si="39"/>
        <v>#VALUE!</v>
      </c>
      <c r="M603" s="128"/>
      <c r="N603" s="136"/>
      <c r="O603" s="128"/>
      <c r="P603" s="136" t="e">
        <f t="shared" si="36"/>
        <v>#VALUE!</v>
      </c>
    </row>
    <row r="604" spans="1:16" ht="12" hidden="1" outlineLevel="1" thickBot="1">
      <c r="A604" s="115" t="s">
        <v>1531</v>
      </c>
      <c r="B604" s="115" t="s">
        <v>246</v>
      </c>
      <c r="C604" s="134" t="s">
        <v>1532</v>
      </c>
      <c r="E604" s="135" t="s">
        <v>1533</v>
      </c>
      <c r="F604" s="135" t="s">
        <v>1678</v>
      </c>
      <c r="G604" s="131" t="s">
        <v>88</v>
      </c>
      <c r="H604" s="132" t="e">
        <f t="shared" si="38"/>
        <v>#VALUE!</v>
      </c>
      <c r="I604" s="151" t="e">
        <f>_xll.GetCtData("COAMOUNT","CONSAMOUNT",$A$1:$A$8,$A604:$B604,,"#10333,0641947247")/10^3*$H604</f>
        <v>#VALUE!</v>
      </c>
      <c r="J604" s="136"/>
      <c r="K604" s="136"/>
      <c r="L604" s="136" t="e">
        <f t="shared" si="39"/>
        <v>#VALUE!</v>
      </c>
      <c r="M604" s="128"/>
      <c r="N604" s="136"/>
      <c r="O604" s="128"/>
      <c r="P604" s="136" t="e">
        <f t="shared" si="36"/>
        <v>#VALUE!</v>
      </c>
    </row>
    <row r="605" spans="1:16" ht="12" hidden="1" outlineLevel="1" thickBot="1">
      <c r="A605" s="115" t="s">
        <v>1534</v>
      </c>
      <c r="B605" s="115" t="s">
        <v>246</v>
      </c>
      <c r="C605" s="134" t="s">
        <v>1535</v>
      </c>
      <c r="E605" s="135" t="s">
        <v>1536</v>
      </c>
      <c r="F605" s="135" t="s">
        <v>1678</v>
      </c>
      <c r="G605" s="131" t="s">
        <v>88</v>
      </c>
      <c r="H605" s="132" t="e">
        <f t="shared" si="38"/>
        <v>#VALUE!</v>
      </c>
      <c r="I605" s="151" t="e">
        <f>_xll.GetCtData("COAMOUNT","CONSAMOUNT",$A$1:$A$8,$A605:$B605,,"#")/10^3*$H605</f>
        <v>#VALUE!</v>
      </c>
      <c r="J605" s="136"/>
      <c r="K605" s="136"/>
      <c r="L605" s="136" t="e">
        <f t="shared" si="39"/>
        <v>#VALUE!</v>
      </c>
      <c r="M605" s="128"/>
      <c r="N605" s="136"/>
      <c r="O605" s="128"/>
      <c r="P605" s="136" t="e">
        <f t="shared" si="36"/>
        <v>#VALUE!</v>
      </c>
    </row>
    <row r="606" spans="1:16" ht="12" hidden="1" outlineLevel="1" thickBot="1">
      <c r="A606" s="115" t="s">
        <v>1537</v>
      </c>
      <c r="B606" s="115" t="s">
        <v>246</v>
      </c>
      <c r="C606" s="134" t="s">
        <v>1538</v>
      </c>
      <c r="E606" s="135" t="s">
        <v>1539</v>
      </c>
      <c r="F606" s="135" t="s">
        <v>1678</v>
      </c>
      <c r="G606" s="131" t="s">
        <v>88</v>
      </c>
      <c r="H606" s="132" t="e">
        <f t="shared" si="38"/>
        <v>#VALUE!</v>
      </c>
      <c r="I606" s="151" t="e">
        <f>_xll.GetCtData("COAMOUNT","CONSAMOUNT",$A$1:$A$8,$A606:$B606,,"#")/10^3*$H606</f>
        <v>#VALUE!</v>
      </c>
      <c r="J606" s="136"/>
      <c r="K606" s="136"/>
      <c r="L606" s="136" t="e">
        <f t="shared" si="39"/>
        <v>#VALUE!</v>
      </c>
      <c r="M606" s="128"/>
      <c r="N606" s="136"/>
      <c r="O606" s="128"/>
      <c r="P606" s="136" t="e">
        <f t="shared" si="36"/>
        <v>#VALUE!</v>
      </c>
    </row>
    <row r="607" spans="1:16" ht="12" hidden="1" outlineLevel="1" thickBot="1">
      <c r="A607" s="115" t="s">
        <v>1540</v>
      </c>
      <c r="B607" s="115" t="s">
        <v>246</v>
      </c>
      <c r="C607" s="134" t="s">
        <v>1541</v>
      </c>
      <c r="E607" s="135" t="s">
        <v>1542</v>
      </c>
      <c r="F607" s="135" t="s">
        <v>1678</v>
      </c>
      <c r="G607" s="131" t="s">
        <v>88</v>
      </c>
      <c r="H607" s="132" t="e">
        <f t="shared" si="38"/>
        <v>#VALUE!</v>
      </c>
      <c r="I607" s="151" t="e">
        <f>_xll.GetCtData("COAMOUNT","CONSAMOUNT",$A$1:$A$8,$A607:$B607,,"#")/10^3*$H607</f>
        <v>#VALUE!</v>
      </c>
      <c r="J607" s="151"/>
      <c r="K607" s="136"/>
      <c r="L607" s="136" t="e">
        <f t="shared" si="39"/>
        <v>#VALUE!</v>
      </c>
      <c r="M607" s="128"/>
      <c r="N607" s="136"/>
      <c r="O607" s="128"/>
      <c r="P607" s="136" t="e">
        <f t="shared" si="36"/>
        <v>#VALUE!</v>
      </c>
    </row>
    <row r="608" spans="1:16" ht="12" hidden="1" outlineLevel="1" thickBot="1">
      <c r="A608" s="115" t="s">
        <v>1543</v>
      </c>
      <c r="B608" s="115" t="s">
        <v>246</v>
      </c>
      <c r="C608" s="134" t="s">
        <v>1544</v>
      </c>
      <c r="E608" s="135" t="s">
        <v>1545</v>
      </c>
      <c r="F608" s="135" t="s">
        <v>1678</v>
      </c>
      <c r="G608" s="131" t="s">
        <v>88</v>
      </c>
      <c r="H608" s="132" t="e">
        <f t="shared" si="38"/>
        <v>#VALUE!</v>
      </c>
      <c r="I608" s="151" t="e">
        <f>_xll.GetCtData("COAMOUNT","CONSAMOUNT",$A$1:$A$8,$A608:$B608,,"#")/10^3*$H608</f>
        <v>#VALUE!</v>
      </c>
      <c r="J608" s="151"/>
      <c r="K608" s="136"/>
      <c r="L608" s="136" t="e">
        <f t="shared" si="39"/>
        <v>#VALUE!</v>
      </c>
      <c r="M608" s="128"/>
      <c r="N608" s="136"/>
      <c r="O608" s="128"/>
      <c r="P608" s="136" t="e">
        <f t="shared" si="36"/>
        <v>#VALUE!</v>
      </c>
    </row>
    <row r="609" spans="1:16" ht="12" hidden="1" outlineLevel="1" thickBot="1">
      <c r="A609" s="115" t="s">
        <v>1546</v>
      </c>
      <c r="B609" s="115" t="s">
        <v>246</v>
      </c>
      <c r="C609" s="134" t="s">
        <v>1547</v>
      </c>
      <c r="E609" s="135" t="s">
        <v>1548</v>
      </c>
      <c r="F609" s="135" t="s">
        <v>1678</v>
      </c>
      <c r="G609" s="131" t="s">
        <v>88</v>
      </c>
      <c r="H609" s="132" t="e">
        <f t="shared" si="38"/>
        <v>#VALUE!</v>
      </c>
      <c r="I609" s="151" t="e">
        <f>_xll.GetCtData("COAMOUNT","CONSAMOUNT",$A$1:$A$8,$A609:$B609,,"#-2114,49388591336")/10^3*$H609</f>
        <v>#VALUE!</v>
      </c>
      <c r="J609" s="151"/>
      <c r="K609" s="136"/>
      <c r="L609" s="136" t="e">
        <f t="shared" si="39"/>
        <v>#VALUE!</v>
      </c>
      <c r="M609" s="128"/>
      <c r="N609" s="136"/>
      <c r="O609" s="128"/>
      <c r="P609" s="136" t="e">
        <f t="shared" si="36"/>
        <v>#VALUE!</v>
      </c>
    </row>
    <row r="610" spans="1:16" ht="12" hidden="1" outlineLevel="1" thickBot="1">
      <c r="A610" s="115" t="s">
        <v>1549</v>
      </c>
      <c r="B610" s="115" t="s">
        <v>246</v>
      </c>
      <c r="C610" s="134" t="s">
        <v>1550</v>
      </c>
      <c r="E610" s="135" t="s">
        <v>1551</v>
      </c>
      <c r="F610" s="135" t="s">
        <v>1678</v>
      </c>
      <c r="G610" s="131" t="s">
        <v>88</v>
      </c>
      <c r="H610" s="132" t="e">
        <f t="shared" si="38"/>
        <v>#VALUE!</v>
      </c>
      <c r="I610" s="151" t="e">
        <f>_xll.GetCtData("COAMOUNT","CONSAMOUNT",$A$1:$A$8,$A610:$B610,,"#")/10^3*$H610</f>
        <v>#VALUE!</v>
      </c>
      <c r="J610" s="151"/>
      <c r="K610" s="136"/>
      <c r="L610" s="136" t="e">
        <f t="shared" si="39"/>
        <v>#VALUE!</v>
      </c>
      <c r="M610" s="128"/>
      <c r="N610" s="136"/>
      <c r="O610" s="128"/>
      <c r="P610" s="136" t="e">
        <f t="shared" ref="P610:P673" si="40">L610+N610</f>
        <v>#VALUE!</v>
      </c>
    </row>
    <row r="611" spans="1:16" ht="12" hidden="1" outlineLevel="1" thickBot="1">
      <c r="A611" s="115" t="s">
        <v>1608</v>
      </c>
      <c r="B611" s="115" t="s">
        <v>246</v>
      </c>
      <c r="C611" s="134" t="s">
        <v>1609</v>
      </c>
      <c r="E611" s="135" t="s">
        <v>1610</v>
      </c>
      <c r="F611" s="135" t="s">
        <v>1678</v>
      </c>
      <c r="G611" s="131" t="s">
        <v>88</v>
      </c>
      <c r="H611" s="132" t="e">
        <f t="shared" si="38"/>
        <v>#VALUE!</v>
      </c>
      <c r="I611" s="136"/>
      <c r="J611" s="151" t="e">
        <f>_xll.GetCtData("COAMOUNT","CONSAMOUNT",$A$1:$A$8,$A611:$B611,,"#920,303021928248")/10^3*$H611</f>
        <v>#VALUE!</v>
      </c>
      <c r="K611" s="136"/>
      <c r="L611" s="136" t="e">
        <f t="shared" si="39"/>
        <v>#VALUE!</v>
      </c>
      <c r="M611" s="128"/>
      <c r="N611" s="136"/>
      <c r="O611" s="128"/>
      <c r="P611" s="136" t="e">
        <f t="shared" si="40"/>
        <v>#VALUE!</v>
      </c>
    </row>
    <row r="612" spans="1:16" ht="12" hidden="1" outlineLevel="1" thickBot="1">
      <c r="A612" s="115" t="s">
        <v>1611</v>
      </c>
      <c r="B612" s="115" t="s">
        <v>246</v>
      </c>
      <c r="C612" s="134" t="s">
        <v>1612</v>
      </c>
      <c r="E612" s="135" t="s">
        <v>1613</v>
      </c>
      <c r="F612" s="135" t="s">
        <v>1678</v>
      </c>
      <c r="G612" s="131" t="s">
        <v>88</v>
      </c>
      <c r="H612" s="132" t="e">
        <f t="shared" si="38"/>
        <v>#VALUE!</v>
      </c>
      <c r="I612" s="151"/>
      <c r="J612" s="151" t="e">
        <f>_xll.GetCtData("COAMOUNT","CONSAMOUNT",$A$1:$A$8,$A612:$B612,,"#134,189388569656")/10^3*$H612</f>
        <v>#VALUE!</v>
      </c>
      <c r="K612" s="136"/>
      <c r="L612" s="136" t="e">
        <f t="shared" si="39"/>
        <v>#VALUE!</v>
      </c>
      <c r="M612" s="128"/>
      <c r="N612" s="136"/>
      <c r="O612" s="128"/>
      <c r="P612" s="136" t="e">
        <f t="shared" si="40"/>
        <v>#VALUE!</v>
      </c>
    </row>
    <row r="613" spans="1:16" ht="12" hidden="1" outlineLevel="1" thickBot="1">
      <c r="A613" s="115" t="s">
        <v>1614</v>
      </c>
      <c r="B613" s="115" t="s">
        <v>246</v>
      </c>
      <c r="C613" s="134" t="s">
        <v>1615</v>
      </c>
      <c r="E613" s="135" t="s">
        <v>1616</v>
      </c>
      <c r="F613" s="135" t="s">
        <v>1678</v>
      </c>
      <c r="G613" s="131" t="s">
        <v>88</v>
      </c>
      <c r="H613" s="132" t="e">
        <f t="shared" si="38"/>
        <v>#VALUE!</v>
      </c>
      <c r="I613" s="151"/>
      <c r="J613" s="151" t="e">
        <f>_xll.GetCtData("COAMOUNT","CONSAMOUNT",$A$1:$A$8,$A613:$B613,,"#")/10^3*$H613</f>
        <v>#VALUE!</v>
      </c>
      <c r="K613" s="136"/>
      <c r="L613" s="136" t="e">
        <f t="shared" si="39"/>
        <v>#VALUE!</v>
      </c>
      <c r="M613" s="128"/>
      <c r="N613" s="136"/>
      <c r="O613" s="128"/>
      <c r="P613" s="136" t="e">
        <f t="shared" si="40"/>
        <v>#VALUE!</v>
      </c>
    </row>
    <row r="614" spans="1:16" ht="12" hidden="1" outlineLevel="1" thickBot="1">
      <c r="A614" s="115" t="s">
        <v>1617</v>
      </c>
      <c r="B614" s="115" t="s">
        <v>246</v>
      </c>
      <c r="C614" s="134" t="s">
        <v>1618</v>
      </c>
      <c r="E614" s="135" t="s">
        <v>1619</v>
      </c>
      <c r="F614" s="135" t="s">
        <v>1678</v>
      </c>
      <c r="G614" s="131" t="s">
        <v>88</v>
      </c>
      <c r="H614" s="132" t="e">
        <f t="shared" si="38"/>
        <v>#VALUE!</v>
      </c>
      <c r="I614" s="136"/>
      <c r="J614" s="151" t="e">
        <f>_xll.GetCtData("COAMOUNT","CONSAMOUNT",$A$1:$A$8,$A614:$B614,,"#")/10^3*$H614</f>
        <v>#VALUE!</v>
      </c>
      <c r="K614" s="136"/>
      <c r="L614" s="136" t="e">
        <f t="shared" si="39"/>
        <v>#VALUE!</v>
      </c>
      <c r="M614" s="128"/>
      <c r="N614" s="136"/>
      <c r="O614" s="128"/>
      <c r="P614" s="136" t="e">
        <f t="shared" si="40"/>
        <v>#VALUE!</v>
      </c>
    </row>
    <row r="615" spans="1:16" ht="12" hidden="1" outlineLevel="1" thickBot="1">
      <c r="A615" s="115" t="s">
        <v>1552</v>
      </c>
      <c r="B615" s="115" t="s">
        <v>246</v>
      </c>
      <c r="C615" s="134" t="s">
        <v>1553</v>
      </c>
      <c r="E615" s="135" t="s">
        <v>1554</v>
      </c>
      <c r="F615" s="135" t="s">
        <v>1678</v>
      </c>
      <c r="G615" s="131" t="s">
        <v>88</v>
      </c>
      <c r="H615" s="132" t="e">
        <f t="shared" si="38"/>
        <v>#VALUE!</v>
      </c>
      <c r="I615" s="151"/>
      <c r="J615" s="151" t="e">
        <f>_xll.GetCtData("COAMOUNT","CONSAMOUNT",$A$1:$A$8,$A615:$B615,,"#920,303021928248")/10^3*$H615</f>
        <v>#VALUE!</v>
      </c>
      <c r="K615" s="136"/>
      <c r="L615" s="136" t="e">
        <f t="shared" si="39"/>
        <v>#VALUE!</v>
      </c>
      <c r="M615" s="128"/>
      <c r="N615" s="136"/>
      <c r="O615" s="128"/>
      <c r="P615" s="136" t="e">
        <f t="shared" si="40"/>
        <v>#VALUE!</v>
      </c>
    </row>
    <row r="616" spans="1:16" ht="12" hidden="1" outlineLevel="1" thickBot="1">
      <c r="A616" s="115" t="s">
        <v>1555</v>
      </c>
      <c r="B616" s="115" t="s">
        <v>246</v>
      </c>
      <c r="C616" s="134" t="s">
        <v>1556</v>
      </c>
      <c r="E616" s="135" t="s">
        <v>1557</v>
      </c>
      <c r="F616" s="135" t="s">
        <v>1678</v>
      </c>
      <c r="G616" s="131" t="s">
        <v>88</v>
      </c>
      <c r="H616" s="132" t="e">
        <f t="shared" si="38"/>
        <v>#VALUE!</v>
      </c>
      <c r="I616" s="136"/>
      <c r="J616" s="151" t="e">
        <f>_xll.GetCtData("COAMOUNT","CONSAMOUNT",$A$1:$A$8,$A616:$B616,,"#134,189388569656")/10^3*$H616</f>
        <v>#VALUE!</v>
      </c>
      <c r="K616" s="136"/>
      <c r="L616" s="136" t="e">
        <f t="shared" si="39"/>
        <v>#VALUE!</v>
      </c>
      <c r="M616" s="128"/>
      <c r="N616" s="136"/>
      <c r="O616" s="128"/>
      <c r="P616" s="136" t="e">
        <f t="shared" si="40"/>
        <v>#VALUE!</v>
      </c>
    </row>
    <row r="617" spans="1:16" ht="12" hidden="1" outlineLevel="1" thickBot="1">
      <c r="A617" s="115" t="s">
        <v>1558</v>
      </c>
      <c r="B617" s="115" t="s">
        <v>246</v>
      </c>
      <c r="C617" s="134" t="s">
        <v>1559</v>
      </c>
      <c r="E617" s="135" t="s">
        <v>1560</v>
      </c>
      <c r="F617" s="135" t="s">
        <v>1678</v>
      </c>
      <c r="G617" s="131" t="s">
        <v>88</v>
      </c>
      <c r="H617" s="132" t="e">
        <f t="shared" si="38"/>
        <v>#VALUE!</v>
      </c>
      <c r="I617" s="151"/>
      <c r="J617" s="151" t="e">
        <f>_xll.GetCtData("COAMOUNT","CONSAMOUNT",$A$1:$A$8,$A617:$B617,,"#")/10^3*$H617</f>
        <v>#VALUE!</v>
      </c>
      <c r="K617" s="136"/>
      <c r="L617" s="136" t="e">
        <f t="shared" si="39"/>
        <v>#VALUE!</v>
      </c>
      <c r="M617" s="128"/>
      <c r="N617" s="136"/>
      <c r="O617" s="128"/>
      <c r="P617" s="136" t="e">
        <f t="shared" si="40"/>
        <v>#VALUE!</v>
      </c>
    </row>
    <row r="618" spans="1:16" ht="12" hidden="1" outlineLevel="1" thickBot="1">
      <c r="A618" s="115" t="s">
        <v>1561</v>
      </c>
      <c r="B618" s="115" t="s">
        <v>246</v>
      </c>
      <c r="C618" s="134" t="s">
        <v>1562</v>
      </c>
      <c r="E618" s="135" t="s">
        <v>1563</v>
      </c>
      <c r="F618" s="135" t="s">
        <v>1678</v>
      </c>
      <c r="G618" s="131" t="s">
        <v>88</v>
      </c>
      <c r="H618" s="132" t="e">
        <f t="shared" si="38"/>
        <v>#VALUE!</v>
      </c>
      <c r="I618" s="136"/>
      <c r="J618" s="151" t="e">
        <f>_xll.GetCtData("COAMOUNT","CONSAMOUNT",$A$1:$A$8,$A618:$B618,,"#")/10^3*$H618</f>
        <v>#VALUE!</v>
      </c>
      <c r="K618" s="136"/>
      <c r="L618" s="136" t="e">
        <f t="shared" si="39"/>
        <v>#VALUE!</v>
      </c>
      <c r="M618" s="128"/>
      <c r="N618" s="136"/>
      <c r="O618" s="128"/>
      <c r="P618" s="136" t="e">
        <f t="shared" si="40"/>
        <v>#VALUE!</v>
      </c>
    </row>
    <row r="619" spans="1:16" ht="12" hidden="1" outlineLevel="1" thickBot="1">
      <c r="A619" s="115" t="s">
        <v>1620</v>
      </c>
      <c r="B619" s="115" t="s">
        <v>246</v>
      </c>
      <c r="C619" s="134" t="s">
        <v>1621</v>
      </c>
      <c r="E619" s="135" t="s">
        <v>1622</v>
      </c>
      <c r="F619" s="135" t="s">
        <v>1678</v>
      </c>
      <c r="G619" s="131" t="s">
        <v>88</v>
      </c>
      <c r="H619" s="132" t="e">
        <f t="shared" si="38"/>
        <v>#VALUE!</v>
      </c>
      <c r="I619" s="136"/>
      <c r="J619" s="136"/>
      <c r="K619" s="151" t="e">
        <f>_xll.GetCtData("COAMOUNT","CONSAMOUNT",$A$1:$A$8,$A619:$B619,,"#8457,27128460166")/10^3*$H619</f>
        <v>#VALUE!</v>
      </c>
      <c r="L619" s="136" t="e">
        <f t="shared" si="39"/>
        <v>#VALUE!</v>
      </c>
      <c r="M619" s="128"/>
      <c r="N619" s="136" t="e">
        <f>+K619+K620-K621-K622</f>
        <v>#VALUE!</v>
      </c>
      <c r="O619" s="128"/>
      <c r="P619" s="136" t="e">
        <f t="shared" si="40"/>
        <v>#VALUE!</v>
      </c>
    </row>
    <row r="620" spans="1:16" ht="12" hidden="1" outlineLevel="1" thickBot="1">
      <c r="A620" s="115" t="s">
        <v>1623</v>
      </c>
      <c r="B620" s="115" t="s">
        <v>246</v>
      </c>
      <c r="C620" s="134" t="s">
        <v>1624</v>
      </c>
      <c r="E620" s="135" t="s">
        <v>1625</v>
      </c>
      <c r="F620" s="135" t="s">
        <v>1678</v>
      </c>
      <c r="G620" s="131" t="s">
        <v>88</v>
      </c>
      <c r="H620" s="132" t="e">
        <f t="shared" si="38"/>
        <v>#VALUE!</v>
      </c>
      <c r="I620" s="136"/>
      <c r="J620" s="136"/>
      <c r="K620" s="151" t="e">
        <f>_xll.GetCtData("COAMOUNT","CONSAMOUNT",$A$1:$A$8,$A620:$B620,,"#")/10^3*$H620</f>
        <v>#VALUE!</v>
      </c>
      <c r="L620" s="136" t="e">
        <f t="shared" si="39"/>
        <v>#VALUE!</v>
      </c>
      <c r="M620" s="128"/>
      <c r="N620" s="136"/>
      <c r="O620" s="128"/>
      <c r="P620" s="136" t="e">
        <f t="shared" si="40"/>
        <v>#VALUE!</v>
      </c>
    </row>
    <row r="621" spans="1:16" ht="12" hidden="1" outlineLevel="1" thickBot="1">
      <c r="A621" s="115" t="s">
        <v>1564</v>
      </c>
      <c r="B621" s="115" t="s">
        <v>246</v>
      </c>
      <c r="C621" s="134" t="s">
        <v>1565</v>
      </c>
      <c r="E621" s="135" t="s">
        <v>1566</v>
      </c>
      <c r="F621" s="135" t="s">
        <v>1678</v>
      </c>
      <c r="G621" s="131" t="s">
        <v>88</v>
      </c>
      <c r="H621" s="132" t="e">
        <f t="shared" si="38"/>
        <v>#VALUE!</v>
      </c>
      <c r="I621" s="136"/>
      <c r="J621" s="136"/>
      <c r="K621" s="151" t="e">
        <f>_xll.GetCtData("COAMOUNT","CONSAMOUNT",$A$1:$A$8,$A621:$B621,,"#8457,45510568189")/10^3*$H621</f>
        <v>#VALUE!</v>
      </c>
      <c r="L621" s="136" t="e">
        <f t="shared" si="39"/>
        <v>#VALUE!</v>
      </c>
      <c r="M621" s="128"/>
      <c r="N621" s="136"/>
      <c r="O621" s="128"/>
      <c r="P621" s="136" t="e">
        <f t="shared" si="40"/>
        <v>#VALUE!</v>
      </c>
    </row>
    <row r="622" spans="1:16" ht="12" hidden="1" outlineLevel="1" thickBot="1">
      <c r="A622" s="115" t="s">
        <v>1567</v>
      </c>
      <c r="B622" s="115" t="s">
        <v>246</v>
      </c>
      <c r="C622" s="134" t="s">
        <v>1568</v>
      </c>
      <c r="E622" s="135" t="s">
        <v>1569</v>
      </c>
      <c r="F622" s="135" t="s">
        <v>1678</v>
      </c>
      <c r="G622" s="131" t="s">
        <v>88</v>
      </c>
      <c r="H622" s="132" t="e">
        <f t="shared" si="38"/>
        <v>#VALUE!</v>
      </c>
      <c r="I622" s="136"/>
      <c r="J622" s="136"/>
      <c r="K622" s="151" t="e">
        <f>_xll.GetCtData("COAMOUNT","CONSAMOUNT",$A$1:$A$8,$A622:$B622,,"#")/10^3*$H622</f>
        <v>#VALUE!</v>
      </c>
      <c r="L622" s="136" t="e">
        <f t="shared" si="39"/>
        <v>#VALUE!</v>
      </c>
      <c r="M622" s="128"/>
      <c r="N622" s="136"/>
      <c r="O622" s="128"/>
      <c r="P622" s="136" t="e">
        <f t="shared" si="40"/>
        <v>#VALUE!</v>
      </c>
    </row>
    <row r="623" spans="1:16" ht="12" hidden="1" outlineLevel="1" thickBot="1">
      <c r="A623" s="115" t="s">
        <v>1572</v>
      </c>
      <c r="B623" s="115" t="s">
        <v>141</v>
      </c>
      <c r="C623" s="134" t="s">
        <v>1573</v>
      </c>
      <c r="E623" s="135" t="s">
        <v>1574</v>
      </c>
      <c r="F623" s="135" t="s">
        <v>142</v>
      </c>
      <c r="G623" s="131" t="s">
        <v>1679</v>
      </c>
      <c r="H623" s="132" t="e">
        <f t="shared" si="38"/>
        <v>#VALUE!</v>
      </c>
      <c r="I623" s="151" t="e">
        <f>_xll.GetCtData("COAMOUNT","CONSAMOUNT",$A$1:$A$8,$A623:$B623,,"#")/10^3*$H623</f>
        <v>#VALUE!</v>
      </c>
      <c r="J623" s="136"/>
      <c r="K623" s="136"/>
      <c r="L623" s="136" t="e">
        <f t="shared" si="39"/>
        <v>#VALUE!</v>
      </c>
      <c r="M623" s="128"/>
      <c r="N623" s="136"/>
      <c r="O623" s="128"/>
      <c r="P623" s="136" t="e">
        <f t="shared" si="40"/>
        <v>#VALUE!</v>
      </c>
    </row>
    <row r="624" spans="1:16" ht="12" hidden="1" outlineLevel="1" thickBot="1">
      <c r="A624" s="115" t="s">
        <v>1575</v>
      </c>
      <c r="B624" s="115" t="s">
        <v>141</v>
      </c>
      <c r="C624" s="134" t="s">
        <v>1576</v>
      </c>
      <c r="E624" s="135" t="s">
        <v>1577</v>
      </c>
      <c r="F624" s="135" t="s">
        <v>142</v>
      </c>
      <c r="G624" s="131" t="s">
        <v>1679</v>
      </c>
      <c r="H624" s="132" t="e">
        <f t="shared" si="38"/>
        <v>#VALUE!</v>
      </c>
      <c r="I624" s="151" t="e">
        <f>_xll.GetCtData("COAMOUNT","CONSAMOUNT",$A$1:$A$8,$A624:$B624,,"#")/10^3*$H624</f>
        <v>#VALUE!</v>
      </c>
      <c r="J624" s="151"/>
      <c r="K624" s="136"/>
      <c r="L624" s="136" t="e">
        <f t="shared" si="39"/>
        <v>#VALUE!</v>
      </c>
      <c r="M624" s="128"/>
      <c r="N624" s="136"/>
      <c r="O624" s="128"/>
      <c r="P624" s="136" t="e">
        <f t="shared" si="40"/>
        <v>#VALUE!</v>
      </c>
    </row>
    <row r="625" spans="1:16" ht="12" hidden="1" outlineLevel="1" thickBot="1">
      <c r="A625" s="115" t="s">
        <v>1578</v>
      </c>
      <c r="B625" s="115" t="s">
        <v>141</v>
      </c>
      <c r="C625" s="134" t="s">
        <v>1579</v>
      </c>
      <c r="E625" s="135" t="s">
        <v>1580</v>
      </c>
      <c r="F625" s="135" t="s">
        <v>142</v>
      </c>
      <c r="G625" s="131" t="s">
        <v>1679</v>
      </c>
      <c r="H625" s="132" t="e">
        <f t="shared" si="38"/>
        <v>#VALUE!</v>
      </c>
      <c r="I625" s="151" t="e">
        <f>_xll.GetCtData("COAMOUNT","CONSAMOUNT",$A$1:$A$8,$A625:$B625,,"#")/10^3*$H625</f>
        <v>#VALUE!</v>
      </c>
      <c r="J625" s="136"/>
      <c r="K625" s="136"/>
      <c r="L625" s="136" t="e">
        <f t="shared" si="39"/>
        <v>#VALUE!</v>
      </c>
      <c r="M625" s="128"/>
      <c r="N625" s="136"/>
      <c r="O625" s="128"/>
      <c r="P625" s="136" t="e">
        <f t="shared" si="40"/>
        <v>#VALUE!</v>
      </c>
    </row>
    <row r="626" spans="1:16" ht="12" hidden="1" outlineLevel="1" thickBot="1">
      <c r="A626" s="115" t="s">
        <v>1581</v>
      </c>
      <c r="B626" s="115" t="s">
        <v>141</v>
      </c>
      <c r="C626" s="134" t="s">
        <v>1582</v>
      </c>
      <c r="E626" s="135" t="s">
        <v>1583</v>
      </c>
      <c r="F626" s="135" t="s">
        <v>142</v>
      </c>
      <c r="G626" s="131" t="s">
        <v>1679</v>
      </c>
      <c r="H626" s="132" t="e">
        <f t="shared" si="38"/>
        <v>#VALUE!</v>
      </c>
      <c r="I626" s="151" t="e">
        <f>_xll.GetCtData("COAMOUNT","CONSAMOUNT",$A$1:$A$8,$A626:$B626,,"#")/10^3*$H626</f>
        <v>#VALUE!</v>
      </c>
      <c r="J626" s="136"/>
      <c r="K626" s="136"/>
      <c r="L626" s="136" t="e">
        <f t="shared" si="39"/>
        <v>#VALUE!</v>
      </c>
      <c r="M626" s="128"/>
      <c r="N626" s="136"/>
      <c r="O626" s="128"/>
      <c r="P626" s="136" t="e">
        <f t="shared" si="40"/>
        <v>#VALUE!</v>
      </c>
    </row>
    <row r="627" spans="1:16" ht="12" hidden="1" outlineLevel="1" thickBot="1">
      <c r="A627" s="115" t="s">
        <v>1584</v>
      </c>
      <c r="B627" s="115" t="s">
        <v>141</v>
      </c>
      <c r="C627" s="134" t="s">
        <v>1585</v>
      </c>
      <c r="E627" s="135" t="s">
        <v>1586</v>
      </c>
      <c r="F627" s="135" t="s">
        <v>142</v>
      </c>
      <c r="G627" s="131" t="s">
        <v>1679</v>
      </c>
      <c r="H627" s="132" t="e">
        <f t="shared" si="38"/>
        <v>#VALUE!</v>
      </c>
      <c r="I627" s="151" t="e">
        <f>_xll.GetCtData("COAMOUNT","CONSAMOUNT",$A$1:$A$8,$A627:$B627,,"#")/10^3*$H627</f>
        <v>#VALUE!</v>
      </c>
      <c r="J627" s="151"/>
      <c r="K627" s="136"/>
      <c r="L627" s="136" t="e">
        <f t="shared" si="39"/>
        <v>#VALUE!</v>
      </c>
      <c r="M627" s="128"/>
      <c r="N627" s="136"/>
      <c r="O627" s="128"/>
      <c r="P627" s="136" t="e">
        <f t="shared" si="40"/>
        <v>#VALUE!</v>
      </c>
    </row>
    <row r="628" spans="1:16" ht="12" hidden="1" outlineLevel="1" thickBot="1">
      <c r="A628" s="115" t="s">
        <v>1587</v>
      </c>
      <c r="B628" s="115" t="s">
        <v>141</v>
      </c>
      <c r="C628" s="134" t="s">
        <v>1588</v>
      </c>
      <c r="E628" s="135" t="s">
        <v>1589</v>
      </c>
      <c r="F628" s="135" t="s">
        <v>142</v>
      </c>
      <c r="G628" s="131" t="s">
        <v>1679</v>
      </c>
      <c r="H628" s="132" t="e">
        <f t="shared" si="38"/>
        <v>#VALUE!</v>
      </c>
      <c r="I628" s="151" t="e">
        <f>_xll.GetCtData("COAMOUNT","CONSAMOUNT",$A$1:$A$8,$A628:$B628,,"#")/10^3*$H628</f>
        <v>#VALUE!</v>
      </c>
      <c r="J628" s="136"/>
      <c r="K628" s="136"/>
      <c r="L628" s="136" t="e">
        <f t="shared" si="39"/>
        <v>#VALUE!</v>
      </c>
      <c r="M628" s="128"/>
      <c r="N628" s="136"/>
      <c r="O628" s="128"/>
      <c r="P628" s="136" t="e">
        <f t="shared" si="40"/>
        <v>#VALUE!</v>
      </c>
    </row>
    <row r="629" spans="1:16" ht="12" hidden="1" outlineLevel="1" thickBot="1">
      <c r="A629" s="115" t="s">
        <v>1590</v>
      </c>
      <c r="B629" s="115" t="s">
        <v>141</v>
      </c>
      <c r="C629" s="134" t="s">
        <v>1591</v>
      </c>
      <c r="E629" s="135" t="s">
        <v>1592</v>
      </c>
      <c r="F629" s="135" t="s">
        <v>142</v>
      </c>
      <c r="G629" s="131" t="s">
        <v>1679</v>
      </c>
      <c r="H629" s="132" t="e">
        <f t="shared" si="38"/>
        <v>#VALUE!</v>
      </c>
      <c r="I629" s="151" t="e">
        <f>_xll.GetCtData("COAMOUNT","CONSAMOUNT",$A$1:$A$8,$A629:$B629,,"#")/10^3*$H629</f>
        <v>#VALUE!</v>
      </c>
      <c r="J629" s="136"/>
      <c r="K629" s="136"/>
      <c r="L629" s="136" t="e">
        <f t="shared" si="39"/>
        <v>#VALUE!</v>
      </c>
      <c r="M629" s="128"/>
      <c r="N629" s="136"/>
      <c r="O629" s="128"/>
      <c r="P629" s="136" t="e">
        <f t="shared" si="40"/>
        <v>#VALUE!</v>
      </c>
    </row>
    <row r="630" spans="1:16" ht="12" hidden="1" outlineLevel="1" thickBot="1">
      <c r="A630" s="115" t="s">
        <v>1593</v>
      </c>
      <c r="B630" s="115" t="s">
        <v>141</v>
      </c>
      <c r="C630" s="134" t="s">
        <v>1594</v>
      </c>
      <c r="E630" s="135" t="s">
        <v>1595</v>
      </c>
      <c r="F630" s="135" t="s">
        <v>142</v>
      </c>
      <c r="G630" s="131" t="s">
        <v>1679</v>
      </c>
      <c r="H630" s="132" t="e">
        <f t="shared" si="38"/>
        <v>#VALUE!</v>
      </c>
      <c r="I630" s="151" t="e">
        <f>_xll.GetCtData("COAMOUNT","CONSAMOUNT",$A$1:$A$8,$A630:$B630,,"#")/10^3*$H630</f>
        <v>#VALUE!</v>
      </c>
      <c r="J630" s="136"/>
      <c r="K630" s="136"/>
      <c r="L630" s="136" t="e">
        <f t="shared" si="39"/>
        <v>#VALUE!</v>
      </c>
      <c r="M630" s="128"/>
      <c r="N630" s="136"/>
      <c r="O630" s="128"/>
      <c r="P630" s="136" t="e">
        <f t="shared" si="40"/>
        <v>#VALUE!</v>
      </c>
    </row>
    <row r="631" spans="1:16" ht="12" hidden="1" outlineLevel="1" thickBot="1">
      <c r="A631" s="115" t="s">
        <v>1596</v>
      </c>
      <c r="B631" s="115" t="s">
        <v>141</v>
      </c>
      <c r="C631" s="134" t="s">
        <v>1597</v>
      </c>
      <c r="E631" s="135" t="s">
        <v>1598</v>
      </c>
      <c r="F631" s="135" t="s">
        <v>142</v>
      </c>
      <c r="G631" s="131" t="s">
        <v>1679</v>
      </c>
      <c r="H631" s="132" t="e">
        <f t="shared" si="38"/>
        <v>#VALUE!</v>
      </c>
      <c r="I631" s="151" t="e">
        <f>_xll.GetCtData("COAMOUNT","CONSAMOUNT",$A$1:$A$8,$A631:$B631,,"#")/10^3*$H631</f>
        <v>#VALUE!</v>
      </c>
      <c r="J631" s="151"/>
      <c r="K631" s="136"/>
      <c r="L631" s="136" t="e">
        <f t="shared" si="39"/>
        <v>#VALUE!</v>
      </c>
      <c r="M631" s="128"/>
      <c r="N631" s="136"/>
      <c r="O631" s="128"/>
      <c r="P631" s="136" t="e">
        <f t="shared" si="40"/>
        <v>#VALUE!</v>
      </c>
    </row>
    <row r="632" spans="1:16" ht="12" hidden="1" outlineLevel="1" thickBot="1">
      <c r="A632" s="115" t="s">
        <v>1599</v>
      </c>
      <c r="B632" s="115" t="s">
        <v>141</v>
      </c>
      <c r="C632" s="134" t="s">
        <v>1600</v>
      </c>
      <c r="E632" s="135" t="s">
        <v>1601</v>
      </c>
      <c r="F632" s="135" t="s">
        <v>142</v>
      </c>
      <c r="G632" s="131" t="s">
        <v>1679</v>
      </c>
      <c r="H632" s="132" t="e">
        <f t="shared" si="38"/>
        <v>#VALUE!</v>
      </c>
      <c r="I632" s="151" t="e">
        <f>_xll.GetCtData("COAMOUNT","CONSAMOUNT",$A$1:$A$8,$A632:$B632,,"#")/10^3*$H632</f>
        <v>#VALUE!</v>
      </c>
      <c r="J632" s="151"/>
      <c r="K632" s="136"/>
      <c r="L632" s="136" t="e">
        <f t="shared" si="39"/>
        <v>#VALUE!</v>
      </c>
      <c r="M632" s="128"/>
      <c r="N632" s="136"/>
      <c r="O632" s="128"/>
      <c r="P632" s="136" t="e">
        <f t="shared" si="40"/>
        <v>#VALUE!</v>
      </c>
    </row>
    <row r="633" spans="1:16" ht="12" hidden="1" outlineLevel="1" thickBot="1">
      <c r="A633" s="115" t="s">
        <v>1602</v>
      </c>
      <c r="B633" s="115" t="s">
        <v>141</v>
      </c>
      <c r="C633" s="134" t="s">
        <v>1603</v>
      </c>
      <c r="E633" s="135" t="s">
        <v>1604</v>
      </c>
      <c r="F633" s="135" t="s">
        <v>142</v>
      </c>
      <c r="G633" s="131" t="s">
        <v>1679</v>
      </c>
      <c r="H633" s="132" t="e">
        <f t="shared" si="38"/>
        <v>#VALUE!</v>
      </c>
      <c r="I633" s="151" t="e">
        <f>_xll.GetCtData("COAMOUNT","CONSAMOUNT",$A$1:$A$8,$A633:$B633,,"#")/10^3*$H633</f>
        <v>#VALUE!</v>
      </c>
      <c r="J633" s="151"/>
      <c r="K633" s="136"/>
      <c r="L633" s="136" t="e">
        <f t="shared" si="39"/>
        <v>#VALUE!</v>
      </c>
      <c r="M633" s="128"/>
      <c r="N633" s="136"/>
      <c r="O633" s="128"/>
      <c r="P633" s="136" t="e">
        <f t="shared" si="40"/>
        <v>#VALUE!</v>
      </c>
    </row>
    <row r="634" spans="1:16" ht="12" hidden="1" outlineLevel="1" thickBot="1">
      <c r="A634" s="115" t="s">
        <v>1605</v>
      </c>
      <c r="B634" s="115" t="s">
        <v>141</v>
      </c>
      <c r="C634" s="134" t="s">
        <v>1606</v>
      </c>
      <c r="E634" s="135" t="s">
        <v>1607</v>
      </c>
      <c r="F634" s="135" t="s">
        <v>142</v>
      </c>
      <c r="G634" s="131" t="s">
        <v>1679</v>
      </c>
      <c r="H634" s="132" t="e">
        <f t="shared" si="38"/>
        <v>#VALUE!</v>
      </c>
      <c r="I634" s="151" t="e">
        <f>_xll.GetCtData("COAMOUNT","CONSAMOUNT",$A$1:$A$8,$A634:$B634,,"#")/10^3*$H634</f>
        <v>#VALUE!</v>
      </c>
      <c r="J634" s="151"/>
      <c r="K634" s="136"/>
      <c r="L634" s="136" t="e">
        <f t="shared" si="39"/>
        <v>#VALUE!</v>
      </c>
      <c r="M634" s="128"/>
      <c r="N634" s="136"/>
      <c r="O634" s="128"/>
      <c r="P634" s="136" t="e">
        <f t="shared" si="40"/>
        <v>#VALUE!</v>
      </c>
    </row>
    <row r="635" spans="1:16" ht="12" hidden="1" outlineLevel="1" thickBot="1">
      <c r="A635" s="115" t="s">
        <v>1516</v>
      </c>
      <c r="B635" s="115" t="s">
        <v>141</v>
      </c>
      <c r="C635" s="134" t="s">
        <v>1517</v>
      </c>
      <c r="E635" s="135" t="s">
        <v>1518</v>
      </c>
      <c r="F635" s="135" t="s">
        <v>142</v>
      </c>
      <c r="G635" s="131" t="s">
        <v>1679</v>
      </c>
      <c r="H635" s="132" t="e">
        <f t="shared" si="38"/>
        <v>#VALUE!</v>
      </c>
      <c r="I635" s="151" t="e">
        <f>_xll.GetCtData("COAMOUNT","CONSAMOUNT",$A$1:$A$8,$A635:$B635,,"#")/10^3*$H635</f>
        <v>#VALUE!</v>
      </c>
      <c r="J635" s="136"/>
      <c r="K635" s="136"/>
      <c r="L635" s="136" t="e">
        <f t="shared" si="39"/>
        <v>#VALUE!</v>
      </c>
      <c r="M635" s="128"/>
      <c r="N635" s="136"/>
      <c r="O635" s="128"/>
      <c r="P635" s="136" t="e">
        <f t="shared" si="40"/>
        <v>#VALUE!</v>
      </c>
    </row>
    <row r="636" spans="1:16" ht="12" hidden="1" outlineLevel="1" thickBot="1">
      <c r="A636" s="115" t="s">
        <v>1519</v>
      </c>
      <c r="B636" s="115" t="s">
        <v>141</v>
      </c>
      <c r="C636" s="134" t="s">
        <v>1520</v>
      </c>
      <c r="E636" s="135" t="s">
        <v>1521</v>
      </c>
      <c r="F636" s="135" t="s">
        <v>142</v>
      </c>
      <c r="G636" s="131" t="s">
        <v>1679</v>
      </c>
      <c r="H636" s="132" t="e">
        <f t="shared" si="38"/>
        <v>#VALUE!</v>
      </c>
      <c r="I636" s="151" t="e">
        <f>_xll.GetCtData("COAMOUNT","CONSAMOUNT",$A$1:$A$8,$A636:$B636,,"#")/10^3*$H636</f>
        <v>#VALUE!</v>
      </c>
      <c r="J636" s="136"/>
      <c r="K636" s="136"/>
      <c r="L636" s="136" t="e">
        <f t="shared" si="39"/>
        <v>#VALUE!</v>
      </c>
      <c r="M636" s="128"/>
      <c r="N636" s="136"/>
      <c r="O636" s="128"/>
      <c r="P636" s="136" t="e">
        <f t="shared" si="40"/>
        <v>#VALUE!</v>
      </c>
    </row>
    <row r="637" spans="1:16" ht="12" hidden="1" outlineLevel="1" thickBot="1">
      <c r="A637" s="115" t="s">
        <v>1522</v>
      </c>
      <c r="B637" s="115" t="s">
        <v>141</v>
      </c>
      <c r="C637" s="134" t="s">
        <v>1523</v>
      </c>
      <c r="E637" s="135" t="s">
        <v>1524</v>
      </c>
      <c r="F637" s="135" t="s">
        <v>142</v>
      </c>
      <c r="G637" s="131" t="s">
        <v>1679</v>
      </c>
      <c r="H637" s="132" t="e">
        <f t="shared" si="38"/>
        <v>#VALUE!</v>
      </c>
      <c r="I637" s="151" t="e">
        <f>_xll.GetCtData("COAMOUNT","CONSAMOUNT",$A$1:$A$8,$A637:$B637,,"#")/10^3*$H637</f>
        <v>#VALUE!</v>
      </c>
      <c r="J637" s="136"/>
      <c r="K637" s="136"/>
      <c r="L637" s="136" t="e">
        <f t="shared" si="39"/>
        <v>#VALUE!</v>
      </c>
      <c r="M637" s="128"/>
      <c r="N637" s="136"/>
      <c r="O637" s="128"/>
      <c r="P637" s="136" t="e">
        <f t="shared" si="40"/>
        <v>#VALUE!</v>
      </c>
    </row>
    <row r="638" spans="1:16" ht="12" hidden="1" outlineLevel="1" thickBot="1">
      <c r="A638" s="115" t="s">
        <v>1525</v>
      </c>
      <c r="B638" s="115" t="s">
        <v>141</v>
      </c>
      <c r="C638" s="134" t="s">
        <v>1526</v>
      </c>
      <c r="E638" s="135" t="s">
        <v>1527</v>
      </c>
      <c r="F638" s="135" t="s">
        <v>142</v>
      </c>
      <c r="G638" s="131" t="s">
        <v>1679</v>
      </c>
      <c r="H638" s="132" t="e">
        <f t="shared" si="38"/>
        <v>#VALUE!</v>
      </c>
      <c r="I638" s="151" t="e">
        <f>_xll.GetCtData("COAMOUNT","CONSAMOUNT",$A$1:$A$8,$A638:$B638,,"#")/10^3*$H638</f>
        <v>#VALUE!</v>
      </c>
      <c r="J638" s="136"/>
      <c r="K638" s="136"/>
      <c r="L638" s="136" t="e">
        <f t="shared" si="39"/>
        <v>#VALUE!</v>
      </c>
      <c r="M638" s="128"/>
      <c r="N638" s="136"/>
      <c r="O638" s="128"/>
      <c r="P638" s="136" t="e">
        <f t="shared" si="40"/>
        <v>#VALUE!</v>
      </c>
    </row>
    <row r="639" spans="1:16" ht="12" hidden="1" outlineLevel="1" thickBot="1">
      <c r="A639" s="115" t="s">
        <v>1528</v>
      </c>
      <c r="B639" s="115" t="s">
        <v>141</v>
      </c>
      <c r="C639" s="134" t="s">
        <v>1529</v>
      </c>
      <c r="E639" s="135" t="s">
        <v>1530</v>
      </c>
      <c r="F639" s="135" t="s">
        <v>142</v>
      </c>
      <c r="G639" s="131" t="s">
        <v>1679</v>
      </c>
      <c r="H639" s="132" t="e">
        <f t="shared" si="38"/>
        <v>#VALUE!</v>
      </c>
      <c r="I639" s="151" t="e">
        <f>_xll.GetCtData("COAMOUNT","CONSAMOUNT",$A$1:$A$8,$A639:$B639,,"#")/10^3*$H639</f>
        <v>#VALUE!</v>
      </c>
      <c r="J639" s="151"/>
      <c r="K639" s="136"/>
      <c r="L639" s="136" t="e">
        <f t="shared" si="39"/>
        <v>#VALUE!</v>
      </c>
      <c r="M639" s="128"/>
      <c r="N639" s="136"/>
      <c r="O639" s="128"/>
      <c r="P639" s="136" t="e">
        <f t="shared" si="40"/>
        <v>#VALUE!</v>
      </c>
    </row>
    <row r="640" spans="1:16" ht="12" hidden="1" outlineLevel="1" thickBot="1">
      <c r="A640" s="115" t="s">
        <v>1531</v>
      </c>
      <c r="B640" s="115" t="s">
        <v>141</v>
      </c>
      <c r="C640" s="134" t="s">
        <v>1532</v>
      </c>
      <c r="E640" s="135" t="s">
        <v>1533</v>
      </c>
      <c r="F640" s="135" t="s">
        <v>142</v>
      </c>
      <c r="G640" s="131" t="s">
        <v>1679</v>
      </c>
      <c r="H640" s="132" t="e">
        <f t="shared" si="38"/>
        <v>#VALUE!</v>
      </c>
      <c r="I640" s="151" t="e">
        <f>_xll.GetCtData("COAMOUNT","CONSAMOUNT",$A$1:$A$8,$A640:$B640,,"#")/10^3*$H640</f>
        <v>#VALUE!</v>
      </c>
      <c r="J640" s="136"/>
      <c r="K640" s="136"/>
      <c r="L640" s="136" t="e">
        <f t="shared" si="39"/>
        <v>#VALUE!</v>
      </c>
      <c r="M640" s="128"/>
      <c r="N640" s="136"/>
      <c r="O640" s="128"/>
      <c r="P640" s="136" t="e">
        <f t="shared" si="40"/>
        <v>#VALUE!</v>
      </c>
    </row>
    <row r="641" spans="1:16" ht="12" hidden="1" outlineLevel="1" thickBot="1">
      <c r="A641" s="115" t="s">
        <v>1534</v>
      </c>
      <c r="B641" s="115" t="s">
        <v>141</v>
      </c>
      <c r="C641" s="134" t="s">
        <v>1535</v>
      </c>
      <c r="E641" s="135" t="s">
        <v>1536</v>
      </c>
      <c r="F641" s="135" t="s">
        <v>142</v>
      </c>
      <c r="G641" s="131" t="s">
        <v>1679</v>
      </c>
      <c r="H641" s="132" t="e">
        <f t="shared" si="38"/>
        <v>#VALUE!</v>
      </c>
      <c r="I641" s="151" t="e">
        <f>_xll.GetCtData("COAMOUNT","CONSAMOUNT",$A$1:$A$8,$A641:$B641,,"#")/10^3*$H641</f>
        <v>#VALUE!</v>
      </c>
      <c r="J641" s="136"/>
      <c r="K641" s="136"/>
      <c r="L641" s="136" t="e">
        <f t="shared" si="39"/>
        <v>#VALUE!</v>
      </c>
      <c r="M641" s="128"/>
      <c r="N641" s="136"/>
      <c r="O641" s="128"/>
      <c r="P641" s="136" t="e">
        <f t="shared" si="40"/>
        <v>#VALUE!</v>
      </c>
    </row>
    <row r="642" spans="1:16" ht="12" hidden="1" outlineLevel="1" thickBot="1">
      <c r="A642" s="115" t="s">
        <v>1537</v>
      </c>
      <c r="B642" s="115" t="s">
        <v>141</v>
      </c>
      <c r="C642" s="134" t="s">
        <v>1538</v>
      </c>
      <c r="E642" s="135" t="s">
        <v>1539</v>
      </c>
      <c r="F642" s="135" t="s">
        <v>142</v>
      </c>
      <c r="G642" s="131" t="s">
        <v>1679</v>
      </c>
      <c r="H642" s="132" t="e">
        <f t="shared" si="38"/>
        <v>#VALUE!</v>
      </c>
      <c r="I642" s="151" t="e">
        <f>_xll.GetCtData("COAMOUNT","CONSAMOUNT",$A$1:$A$8,$A642:$B642,,"#")/10^3*$H642</f>
        <v>#VALUE!</v>
      </c>
      <c r="J642" s="136"/>
      <c r="K642" s="136"/>
      <c r="L642" s="136" t="e">
        <f t="shared" si="39"/>
        <v>#VALUE!</v>
      </c>
      <c r="M642" s="128"/>
      <c r="N642" s="136"/>
      <c r="O642" s="128"/>
      <c r="P642" s="136" t="e">
        <f t="shared" si="40"/>
        <v>#VALUE!</v>
      </c>
    </row>
    <row r="643" spans="1:16" ht="12" hidden="1" outlineLevel="1" thickBot="1">
      <c r="A643" s="115" t="s">
        <v>1540</v>
      </c>
      <c r="B643" s="115" t="s">
        <v>141</v>
      </c>
      <c r="C643" s="134" t="s">
        <v>1541</v>
      </c>
      <c r="E643" s="135" t="s">
        <v>1542</v>
      </c>
      <c r="F643" s="135" t="s">
        <v>142</v>
      </c>
      <c r="G643" s="131" t="s">
        <v>1679</v>
      </c>
      <c r="H643" s="132" t="e">
        <f t="shared" si="38"/>
        <v>#VALUE!</v>
      </c>
      <c r="I643" s="151" t="e">
        <f>_xll.GetCtData("COAMOUNT","CONSAMOUNT",$A$1:$A$8,$A643:$B643,,"#")/10^3*$H643</f>
        <v>#VALUE!</v>
      </c>
      <c r="J643" s="151"/>
      <c r="K643" s="136"/>
      <c r="L643" s="136" t="e">
        <f t="shared" si="39"/>
        <v>#VALUE!</v>
      </c>
      <c r="M643" s="128"/>
      <c r="N643" s="136"/>
      <c r="O643" s="128"/>
      <c r="P643" s="136" t="e">
        <f t="shared" si="40"/>
        <v>#VALUE!</v>
      </c>
    </row>
    <row r="644" spans="1:16" ht="12" hidden="1" outlineLevel="1" thickBot="1">
      <c r="A644" s="115" t="s">
        <v>1543</v>
      </c>
      <c r="B644" s="115" t="s">
        <v>141</v>
      </c>
      <c r="C644" s="134" t="s">
        <v>1544</v>
      </c>
      <c r="E644" s="135" t="s">
        <v>1545</v>
      </c>
      <c r="F644" s="135" t="s">
        <v>142</v>
      </c>
      <c r="G644" s="131" t="s">
        <v>1679</v>
      </c>
      <c r="H644" s="132" t="e">
        <f t="shared" si="38"/>
        <v>#VALUE!</v>
      </c>
      <c r="I644" s="151" t="e">
        <f>_xll.GetCtData("COAMOUNT","CONSAMOUNT",$A$1:$A$8,$A644:$B644,,"#")/10^3*$H644</f>
        <v>#VALUE!</v>
      </c>
      <c r="J644" s="151"/>
      <c r="K644" s="136"/>
      <c r="L644" s="136" t="e">
        <f t="shared" si="39"/>
        <v>#VALUE!</v>
      </c>
      <c r="M644" s="128"/>
      <c r="N644" s="136"/>
      <c r="O644" s="128"/>
      <c r="P644" s="136" t="e">
        <f t="shared" si="40"/>
        <v>#VALUE!</v>
      </c>
    </row>
    <row r="645" spans="1:16" ht="12" hidden="1" outlineLevel="1" thickBot="1">
      <c r="A645" s="115" t="s">
        <v>1546</v>
      </c>
      <c r="B645" s="115" t="s">
        <v>141</v>
      </c>
      <c r="C645" s="134" t="s">
        <v>1547</v>
      </c>
      <c r="E645" s="135" t="s">
        <v>1548</v>
      </c>
      <c r="F645" s="135" t="s">
        <v>142</v>
      </c>
      <c r="G645" s="131" t="s">
        <v>1679</v>
      </c>
      <c r="H645" s="132" t="e">
        <f t="shared" si="38"/>
        <v>#VALUE!</v>
      </c>
      <c r="I645" s="151" t="e">
        <f>_xll.GetCtData("COAMOUNT","CONSAMOUNT",$A$1:$A$8,$A645:$B645,,"#")/10^3*$H645</f>
        <v>#VALUE!</v>
      </c>
      <c r="J645" s="136"/>
      <c r="K645" s="136"/>
      <c r="L645" s="136" t="e">
        <f t="shared" si="39"/>
        <v>#VALUE!</v>
      </c>
      <c r="M645" s="128"/>
      <c r="N645" s="136"/>
      <c r="O645" s="128"/>
      <c r="P645" s="136" t="e">
        <f t="shared" si="40"/>
        <v>#VALUE!</v>
      </c>
    </row>
    <row r="646" spans="1:16" ht="12" hidden="1" outlineLevel="1" thickBot="1">
      <c r="A646" s="115" t="s">
        <v>1549</v>
      </c>
      <c r="B646" s="115" t="s">
        <v>141</v>
      </c>
      <c r="C646" s="134" t="s">
        <v>1550</v>
      </c>
      <c r="E646" s="135" t="s">
        <v>1551</v>
      </c>
      <c r="F646" s="135" t="s">
        <v>142</v>
      </c>
      <c r="G646" s="131" t="s">
        <v>1679</v>
      </c>
      <c r="H646" s="132" t="e">
        <f t="shared" si="38"/>
        <v>#VALUE!</v>
      </c>
      <c r="I646" s="151" t="e">
        <f>_xll.GetCtData("COAMOUNT","CONSAMOUNT",$A$1:$A$8,$A646:$B646,,"#")/10^3*$H646</f>
        <v>#VALUE!</v>
      </c>
      <c r="J646" s="136"/>
      <c r="K646" s="136"/>
      <c r="L646" s="136" t="e">
        <f t="shared" si="39"/>
        <v>#VALUE!</v>
      </c>
      <c r="M646" s="128"/>
      <c r="N646" s="136"/>
      <c r="O646" s="128"/>
      <c r="P646" s="136" t="e">
        <f t="shared" si="40"/>
        <v>#VALUE!</v>
      </c>
    </row>
    <row r="647" spans="1:16" ht="12" hidden="1" outlineLevel="1" thickBot="1">
      <c r="A647" s="115" t="s">
        <v>1608</v>
      </c>
      <c r="B647" s="115" t="s">
        <v>141</v>
      </c>
      <c r="C647" s="134" t="s">
        <v>1609</v>
      </c>
      <c r="E647" s="135" t="s">
        <v>1610</v>
      </c>
      <c r="F647" s="135" t="s">
        <v>142</v>
      </c>
      <c r="G647" s="131" t="s">
        <v>1679</v>
      </c>
      <c r="H647" s="132" t="e">
        <f t="shared" si="38"/>
        <v>#VALUE!</v>
      </c>
      <c r="I647" s="151"/>
      <c r="J647" s="151" t="e">
        <f>_xll.GetCtData("COAMOUNT","CONSAMOUNT",$A$1:$A$8,$A647:$B647,,"#")/10^3*$H647</f>
        <v>#VALUE!</v>
      </c>
      <c r="K647" s="136"/>
      <c r="L647" s="136" t="e">
        <f t="shared" si="39"/>
        <v>#VALUE!</v>
      </c>
      <c r="M647" s="128"/>
      <c r="N647" s="136"/>
      <c r="O647" s="128"/>
      <c r="P647" s="136" t="e">
        <f t="shared" si="40"/>
        <v>#VALUE!</v>
      </c>
    </row>
    <row r="648" spans="1:16" ht="12" hidden="1" outlineLevel="1" thickBot="1">
      <c r="A648" s="115" t="s">
        <v>1611</v>
      </c>
      <c r="B648" s="115" t="s">
        <v>141</v>
      </c>
      <c r="C648" s="134" t="s">
        <v>1612</v>
      </c>
      <c r="E648" s="135" t="s">
        <v>1613</v>
      </c>
      <c r="F648" s="135" t="s">
        <v>142</v>
      </c>
      <c r="G648" s="131" t="s">
        <v>1679</v>
      </c>
      <c r="H648" s="132" t="e">
        <f t="shared" si="38"/>
        <v>#VALUE!</v>
      </c>
      <c r="I648" s="136"/>
      <c r="J648" s="151" t="e">
        <f>_xll.GetCtData("COAMOUNT","CONSAMOUNT",$A$1:$A$8,$A648:$B648,,"#")/10^3*$H648</f>
        <v>#VALUE!</v>
      </c>
      <c r="K648" s="136"/>
      <c r="L648" s="136" t="e">
        <f t="shared" si="39"/>
        <v>#VALUE!</v>
      </c>
      <c r="M648" s="128"/>
      <c r="N648" s="136"/>
      <c r="O648" s="128"/>
      <c r="P648" s="136" t="e">
        <f t="shared" si="40"/>
        <v>#VALUE!</v>
      </c>
    </row>
    <row r="649" spans="1:16" ht="12" hidden="1" outlineLevel="1" thickBot="1">
      <c r="A649" s="115" t="s">
        <v>1614</v>
      </c>
      <c r="B649" s="115" t="s">
        <v>141</v>
      </c>
      <c r="C649" s="134" t="s">
        <v>1615</v>
      </c>
      <c r="E649" s="135" t="s">
        <v>1616</v>
      </c>
      <c r="F649" s="135" t="s">
        <v>142</v>
      </c>
      <c r="G649" s="131" t="s">
        <v>1679</v>
      </c>
      <c r="H649" s="132" t="e">
        <f t="shared" si="38"/>
        <v>#VALUE!</v>
      </c>
      <c r="I649" s="151"/>
      <c r="J649" s="151" t="e">
        <f>_xll.GetCtData("COAMOUNT","CONSAMOUNT",$A$1:$A$8,$A649:$B649,,"#")/10^3*$H649</f>
        <v>#VALUE!</v>
      </c>
      <c r="K649" s="136"/>
      <c r="L649" s="136" t="e">
        <f t="shared" si="39"/>
        <v>#VALUE!</v>
      </c>
      <c r="M649" s="128"/>
      <c r="N649" s="136"/>
      <c r="O649" s="128"/>
      <c r="P649" s="136" t="e">
        <f t="shared" si="40"/>
        <v>#VALUE!</v>
      </c>
    </row>
    <row r="650" spans="1:16" ht="12" hidden="1" outlineLevel="1" thickBot="1">
      <c r="A650" s="115" t="s">
        <v>1617</v>
      </c>
      <c r="B650" s="115" t="s">
        <v>141</v>
      </c>
      <c r="C650" s="134" t="s">
        <v>1618</v>
      </c>
      <c r="E650" s="135" t="s">
        <v>1619</v>
      </c>
      <c r="F650" s="135" t="s">
        <v>142</v>
      </c>
      <c r="G650" s="131" t="s">
        <v>1679</v>
      </c>
      <c r="H650" s="132" t="e">
        <f t="shared" si="38"/>
        <v>#VALUE!</v>
      </c>
      <c r="I650" s="136"/>
      <c r="J650" s="151" t="e">
        <f>_xll.GetCtData("COAMOUNT","CONSAMOUNT",$A$1:$A$8,$A650:$B650,,"#")/10^3*$H650</f>
        <v>#VALUE!</v>
      </c>
      <c r="K650" s="136"/>
      <c r="L650" s="136" t="e">
        <f t="shared" si="39"/>
        <v>#VALUE!</v>
      </c>
      <c r="M650" s="128"/>
      <c r="N650" s="136"/>
      <c r="O650" s="128"/>
      <c r="P650" s="136" t="e">
        <f t="shared" si="40"/>
        <v>#VALUE!</v>
      </c>
    </row>
    <row r="651" spans="1:16" ht="12" hidden="1" outlineLevel="1" thickBot="1">
      <c r="A651" s="115" t="s">
        <v>1552</v>
      </c>
      <c r="B651" s="115" t="s">
        <v>141</v>
      </c>
      <c r="C651" s="134" t="s">
        <v>1553</v>
      </c>
      <c r="E651" s="135" t="s">
        <v>1554</v>
      </c>
      <c r="F651" s="135" t="s">
        <v>142</v>
      </c>
      <c r="G651" s="131" t="s">
        <v>1679</v>
      </c>
      <c r="H651" s="132" t="e">
        <f t="shared" ref="H651:H694" si="41">IF(LEFT(E651,6)/10^3="actifs",-1,1)/10^3</f>
        <v>#VALUE!</v>
      </c>
      <c r="I651" s="151"/>
      <c r="J651" s="151" t="e">
        <f>_xll.GetCtData("COAMOUNT","CONSAMOUNT",$A$1:$A$8,$A651:$B651,,"#")/10^3*$H651</f>
        <v>#VALUE!</v>
      </c>
      <c r="K651" s="136"/>
      <c r="L651" s="136" t="e">
        <f t="shared" ref="L651:L694" si="42">SUM(I651:K651)/10^3</f>
        <v>#VALUE!</v>
      </c>
      <c r="M651" s="128"/>
      <c r="N651" s="136"/>
      <c r="O651" s="128"/>
      <c r="P651" s="136" t="e">
        <f t="shared" si="40"/>
        <v>#VALUE!</v>
      </c>
    </row>
    <row r="652" spans="1:16" ht="12" hidden="1" outlineLevel="1" thickBot="1">
      <c r="A652" s="115" t="s">
        <v>1555</v>
      </c>
      <c r="B652" s="115" t="s">
        <v>141</v>
      </c>
      <c r="C652" s="134" t="s">
        <v>1556</v>
      </c>
      <c r="E652" s="135" t="s">
        <v>1557</v>
      </c>
      <c r="F652" s="135" t="s">
        <v>142</v>
      </c>
      <c r="G652" s="131" t="s">
        <v>1679</v>
      </c>
      <c r="H652" s="132" t="e">
        <f t="shared" si="41"/>
        <v>#VALUE!</v>
      </c>
      <c r="I652" s="136"/>
      <c r="J652" s="151" t="e">
        <f>_xll.GetCtData("COAMOUNT","CONSAMOUNT",$A$1:$A$8,$A652:$B652,,"#")/10^3*$H652</f>
        <v>#VALUE!</v>
      </c>
      <c r="K652" s="136"/>
      <c r="L652" s="136" t="e">
        <f t="shared" si="42"/>
        <v>#VALUE!</v>
      </c>
      <c r="M652" s="128"/>
      <c r="N652" s="136"/>
      <c r="O652" s="128"/>
      <c r="P652" s="136" t="e">
        <f t="shared" si="40"/>
        <v>#VALUE!</v>
      </c>
    </row>
    <row r="653" spans="1:16" ht="12" hidden="1" outlineLevel="1" thickBot="1">
      <c r="A653" s="115" t="s">
        <v>1558</v>
      </c>
      <c r="B653" s="115" t="s">
        <v>141</v>
      </c>
      <c r="C653" s="134" t="s">
        <v>1559</v>
      </c>
      <c r="E653" s="135" t="s">
        <v>1560</v>
      </c>
      <c r="F653" s="135" t="s">
        <v>142</v>
      </c>
      <c r="G653" s="131" t="s">
        <v>1679</v>
      </c>
      <c r="H653" s="132" t="e">
        <f t="shared" si="41"/>
        <v>#VALUE!</v>
      </c>
      <c r="I653" s="151"/>
      <c r="J653" s="151" t="e">
        <f>_xll.GetCtData("COAMOUNT","CONSAMOUNT",$A$1:$A$8,$A653:$B653,,"#")/10^3*$H653</f>
        <v>#VALUE!</v>
      </c>
      <c r="K653" s="136"/>
      <c r="L653" s="136" t="e">
        <f t="shared" si="42"/>
        <v>#VALUE!</v>
      </c>
      <c r="M653" s="128"/>
      <c r="N653" s="136"/>
      <c r="O653" s="128"/>
      <c r="P653" s="136" t="e">
        <f t="shared" si="40"/>
        <v>#VALUE!</v>
      </c>
    </row>
    <row r="654" spans="1:16" ht="12" hidden="1" outlineLevel="1" thickBot="1">
      <c r="A654" s="115" t="s">
        <v>1561</v>
      </c>
      <c r="B654" s="115" t="s">
        <v>141</v>
      </c>
      <c r="C654" s="134" t="s">
        <v>1562</v>
      </c>
      <c r="E654" s="135" t="s">
        <v>1563</v>
      </c>
      <c r="F654" s="135" t="s">
        <v>142</v>
      </c>
      <c r="G654" s="131" t="s">
        <v>1679</v>
      </c>
      <c r="H654" s="132" t="e">
        <f t="shared" si="41"/>
        <v>#VALUE!</v>
      </c>
      <c r="I654" s="136"/>
      <c r="J654" s="151" t="e">
        <f>_xll.GetCtData("COAMOUNT","CONSAMOUNT",$A$1:$A$8,$A654:$B654,,"#")/10^3*$H654</f>
        <v>#VALUE!</v>
      </c>
      <c r="K654" s="136"/>
      <c r="L654" s="136" t="e">
        <f t="shared" si="42"/>
        <v>#VALUE!</v>
      </c>
      <c r="M654" s="128"/>
      <c r="N654" s="136"/>
      <c r="O654" s="128"/>
      <c r="P654" s="136" t="e">
        <f t="shared" si="40"/>
        <v>#VALUE!</v>
      </c>
    </row>
    <row r="655" spans="1:16" ht="12" hidden="1" outlineLevel="1" thickBot="1">
      <c r="A655" s="115" t="s">
        <v>1620</v>
      </c>
      <c r="B655" s="115" t="s">
        <v>141</v>
      </c>
      <c r="C655" s="134" t="s">
        <v>1621</v>
      </c>
      <c r="E655" s="135" t="s">
        <v>1622</v>
      </c>
      <c r="F655" s="135" t="s">
        <v>142</v>
      </c>
      <c r="G655" s="131" t="s">
        <v>1679</v>
      </c>
      <c r="H655" s="132" t="e">
        <f t="shared" si="41"/>
        <v>#VALUE!</v>
      </c>
      <c r="I655" s="136"/>
      <c r="J655" s="136"/>
      <c r="K655" s="151" t="e">
        <f>_xll.GetCtData("COAMOUNT","CONSAMOUNT",$A$1:$A$8,$A655:$B655,,"#")/10^3*$H655</f>
        <v>#VALUE!</v>
      </c>
      <c r="L655" s="136" t="e">
        <f t="shared" si="42"/>
        <v>#VALUE!</v>
      </c>
      <c r="M655" s="128"/>
      <c r="N655" s="136"/>
      <c r="O655" s="128"/>
      <c r="P655" s="136" t="e">
        <f t="shared" si="40"/>
        <v>#VALUE!</v>
      </c>
    </row>
    <row r="656" spans="1:16" ht="12" hidden="1" outlineLevel="1" thickBot="1">
      <c r="A656" s="115" t="s">
        <v>1623</v>
      </c>
      <c r="B656" s="115" t="s">
        <v>141</v>
      </c>
      <c r="C656" s="134" t="s">
        <v>1624</v>
      </c>
      <c r="E656" s="135" t="s">
        <v>1625</v>
      </c>
      <c r="F656" s="135" t="s">
        <v>142</v>
      </c>
      <c r="G656" s="131" t="s">
        <v>1679</v>
      </c>
      <c r="H656" s="132" t="e">
        <f t="shared" si="41"/>
        <v>#VALUE!</v>
      </c>
      <c r="I656" s="136"/>
      <c r="J656" s="136"/>
      <c r="K656" s="151" t="e">
        <f>_xll.GetCtData("COAMOUNT","CONSAMOUNT",$A$1:$A$8,$A656:$B656,,"#")/10^3*$H656</f>
        <v>#VALUE!</v>
      </c>
      <c r="L656" s="136" t="e">
        <f t="shared" si="42"/>
        <v>#VALUE!</v>
      </c>
      <c r="M656" s="128"/>
      <c r="N656" s="136"/>
      <c r="O656" s="128"/>
      <c r="P656" s="136" t="e">
        <f t="shared" si="40"/>
        <v>#VALUE!</v>
      </c>
    </row>
    <row r="657" spans="1:16" ht="12" hidden="1" outlineLevel="1" thickBot="1">
      <c r="A657" s="115" t="s">
        <v>1564</v>
      </c>
      <c r="B657" s="115" t="s">
        <v>141</v>
      </c>
      <c r="C657" s="134" t="s">
        <v>1565</v>
      </c>
      <c r="E657" s="135" t="s">
        <v>1566</v>
      </c>
      <c r="F657" s="135" t="s">
        <v>142</v>
      </c>
      <c r="G657" s="131" t="s">
        <v>1679</v>
      </c>
      <c r="H657" s="132" t="e">
        <f t="shared" si="41"/>
        <v>#VALUE!</v>
      </c>
      <c r="I657" s="136"/>
      <c r="J657" s="136"/>
      <c r="K657" s="151" t="e">
        <f>_xll.GetCtData("COAMOUNT","CONSAMOUNT",$A$1:$A$8,$A657:$B657,,"#")/10^3*$H657</f>
        <v>#VALUE!</v>
      </c>
      <c r="L657" s="136" t="e">
        <f t="shared" si="42"/>
        <v>#VALUE!</v>
      </c>
      <c r="M657" s="128"/>
      <c r="N657" s="136"/>
      <c r="O657" s="128"/>
      <c r="P657" s="136" t="e">
        <f t="shared" si="40"/>
        <v>#VALUE!</v>
      </c>
    </row>
    <row r="658" spans="1:16" ht="12" hidden="1" outlineLevel="1" thickBot="1">
      <c r="A658" s="115" t="s">
        <v>1567</v>
      </c>
      <c r="B658" s="115" t="s">
        <v>141</v>
      </c>
      <c r="C658" s="134" t="s">
        <v>1568</v>
      </c>
      <c r="E658" s="135" t="s">
        <v>1569</v>
      </c>
      <c r="F658" s="135" t="s">
        <v>142</v>
      </c>
      <c r="G658" s="131" t="s">
        <v>1679</v>
      </c>
      <c r="H658" s="132" t="e">
        <f t="shared" si="41"/>
        <v>#VALUE!</v>
      </c>
      <c r="I658" s="136"/>
      <c r="J658" s="136"/>
      <c r="K658" s="151" t="e">
        <f>_xll.GetCtData("COAMOUNT","CONSAMOUNT",$A$1:$A$8,$A658:$B658,,"#")/10^3*$H658</f>
        <v>#VALUE!</v>
      </c>
      <c r="L658" s="136" t="e">
        <f t="shared" si="42"/>
        <v>#VALUE!</v>
      </c>
      <c r="M658" s="128"/>
      <c r="N658" s="136"/>
      <c r="O658" s="128"/>
      <c r="P658" s="136" t="e">
        <f t="shared" si="40"/>
        <v>#VALUE!</v>
      </c>
    </row>
    <row r="659" spans="1:16" ht="12" hidden="1" outlineLevel="1" thickBot="1">
      <c r="A659" s="115" t="s">
        <v>1572</v>
      </c>
      <c r="B659" s="115" t="s">
        <v>570</v>
      </c>
      <c r="C659" s="134" t="s">
        <v>1573</v>
      </c>
      <c r="E659" s="135" t="s">
        <v>1574</v>
      </c>
      <c r="F659" s="135" t="s">
        <v>1680</v>
      </c>
      <c r="G659" s="131" t="s">
        <v>63</v>
      </c>
      <c r="H659" s="132" t="e">
        <f t="shared" si="41"/>
        <v>#VALUE!</v>
      </c>
      <c r="I659" s="151" t="e">
        <f>_xll.GetCtData("COAMOUNT","CONSAMOUNT",$A$1:$A$8,$A659:$B659,,"#-7623")/10^3*$H659</f>
        <v>#VALUE!</v>
      </c>
      <c r="J659" s="136"/>
      <c r="K659" s="136"/>
      <c r="L659" s="136" t="e">
        <f t="shared" si="42"/>
        <v>#VALUE!</v>
      </c>
      <c r="M659" s="128"/>
      <c r="N659" s="136"/>
      <c r="O659" s="128"/>
      <c r="P659" s="136" t="e">
        <f t="shared" si="40"/>
        <v>#VALUE!</v>
      </c>
    </row>
    <row r="660" spans="1:16" ht="12" hidden="1" outlineLevel="1" thickBot="1">
      <c r="A660" s="115" t="s">
        <v>1575</v>
      </c>
      <c r="B660" s="115" t="s">
        <v>570</v>
      </c>
      <c r="C660" s="134" t="s">
        <v>1576</v>
      </c>
      <c r="E660" s="135" t="s">
        <v>1577</v>
      </c>
      <c r="F660" s="135" t="s">
        <v>1680</v>
      </c>
      <c r="G660" s="131" t="s">
        <v>63</v>
      </c>
      <c r="H660" s="132" t="e">
        <f t="shared" si="41"/>
        <v>#VALUE!</v>
      </c>
      <c r="I660" s="151" t="e">
        <f>_xll.GetCtData("COAMOUNT","CONSAMOUNT",$A$1:$A$8,$A660:$B660,,"#")/10^3*$H660</f>
        <v>#VALUE!</v>
      </c>
      <c r="J660" s="136"/>
      <c r="K660" s="136"/>
      <c r="L660" s="136" t="e">
        <f t="shared" si="42"/>
        <v>#VALUE!</v>
      </c>
      <c r="M660" s="128"/>
      <c r="N660" s="136"/>
      <c r="O660" s="128"/>
      <c r="P660" s="136" t="e">
        <f t="shared" si="40"/>
        <v>#VALUE!</v>
      </c>
    </row>
    <row r="661" spans="1:16" ht="12" hidden="1" outlineLevel="1" thickBot="1">
      <c r="A661" s="115" t="s">
        <v>1578</v>
      </c>
      <c r="B661" s="115" t="s">
        <v>570</v>
      </c>
      <c r="C661" s="134" t="s">
        <v>1579</v>
      </c>
      <c r="E661" s="135" t="s">
        <v>1580</v>
      </c>
      <c r="F661" s="135" t="s">
        <v>1680</v>
      </c>
      <c r="G661" s="131" t="s">
        <v>63</v>
      </c>
      <c r="H661" s="132" t="e">
        <f t="shared" si="41"/>
        <v>#VALUE!</v>
      </c>
      <c r="I661" s="151" t="e">
        <f>_xll.GetCtData("COAMOUNT","CONSAMOUNT",$A$1:$A$8,$A661:$B661,,"#-18652")/10^3*$H661</f>
        <v>#VALUE!</v>
      </c>
      <c r="J661" s="136"/>
      <c r="K661" s="136"/>
      <c r="L661" s="136" t="e">
        <f t="shared" si="42"/>
        <v>#VALUE!</v>
      </c>
      <c r="M661" s="128"/>
      <c r="N661" s="136"/>
      <c r="O661" s="128"/>
      <c r="P661" s="136" t="e">
        <f t="shared" si="40"/>
        <v>#VALUE!</v>
      </c>
    </row>
    <row r="662" spans="1:16" ht="12" hidden="1" outlineLevel="1" thickBot="1">
      <c r="A662" s="115" t="s">
        <v>1581</v>
      </c>
      <c r="B662" s="115" t="s">
        <v>570</v>
      </c>
      <c r="C662" s="134" t="s">
        <v>1582</v>
      </c>
      <c r="E662" s="135" t="s">
        <v>1583</v>
      </c>
      <c r="F662" s="135" t="s">
        <v>1680</v>
      </c>
      <c r="G662" s="131" t="s">
        <v>63</v>
      </c>
      <c r="H662" s="132" t="e">
        <f t="shared" si="41"/>
        <v>#VALUE!</v>
      </c>
      <c r="I662" s="151" t="e">
        <f>_xll.GetCtData("COAMOUNT","CONSAMOUNT",$A$1:$A$8,$A662:$B662,,"#19777")/10^3*$H662</f>
        <v>#VALUE!</v>
      </c>
      <c r="J662" s="136"/>
      <c r="K662" s="136"/>
      <c r="L662" s="136" t="e">
        <f t="shared" si="42"/>
        <v>#VALUE!</v>
      </c>
      <c r="M662" s="128"/>
      <c r="N662" s="136"/>
      <c r="O662" s="128"/>
      <c r="P662" s="136" t="e">
        <f t="shared" si="40"/>
        <v>#VALUE!</v>
      </c>
    </row>
    <row r="663" spans="1:16" ht="12" hidden="1" outlineLevel="1" thickBot="1">
      <c r="A663" s="115" t="s">
        <v>1584</v>
      </c>
      <c r="B663" s="115" t="s">
        <v>570</v>
      </c>
      <c r="C663" s="134" t="s">
        <v>1585</v>
      </c>
      <c r="E663" s="135" t="s">
        <v>1586</v>
      </c>
      <c r="F663" s="135" t="s">
        <v>1680</v>
      </c>
      <c r="G663" s="131" t="s">
        <v>63</v>
      </c>
      <c r="H663" s="132" t="e">
        <f t="shared" si="41"/>
        <v>#VALUE!</v>
      </c>
      <c r="I663" s="151" t="e">
        <f>_xll.GetCtData("COAMOUNT","CONSAMOUNT",$A$1:$A$8,$A663:$B663,,"#119,689217136933")/10^3*$H663</f>
        <v>#VALUE!</v>
      </c>
      <c r="J663" s="136"/>
      <c r="K663" s="136"/>
      <c r="L663" s="136" t="e">
        <f t="shared" si="42"/>
        <v>#VALUE!</v>
      </c>
      <c r="M663" s="128"/>
      <c r="N663" s="136"/>
      <c r="O663" s="128"/>
      <c r="P663" s="136" t="e">
        <f t="shared" si="40"/>
        <v>#VALUE!</v>
      </c>
    </row>
    <row r="664" spans="1:16" ht="12" hidden="1" outlineLevel="1" thickBot="1">
      <c r="A664" s="115" t="s">
        <v>1587</v>
      </c>
      <c r="B664" s="115" t="s">
        <v>570</v>
      </c>
      <c r="C664" s="134" t="s">
        <v>1588</v>
      </c>
      <c r="E664" s="135" t="s">
        <v>1589</v>
      </c>
      <c r="F664" s="135" t="s">
        <v>1680</v>
      </c>
      <c r="G664" s="131" t="s">
        <v>63</v>
      </c>
      <c r="H664" s="132" t="e">
        <f t="shared" si="41"/>
        <v>#VALUE!</v>
      </c>
      <c r="I664" s="151" t="e">
        <f>_xll.GetCtData("COAMOUNT","CONSAMOUNT",$A$1:$A$8,$A664:$B664,,"#")/10^3*$H664</f>
        <v>#VALUE!</v>
      </c>
      <c r="J664" s="136"/>
      <c r="K664" s="136"/>
      <c r="L664" s="136" t="e">
        <f t="shared" si="42"/>
        <v>#VALUE!</v>
      </c>
      <c r="M664" s="128"/>
      <c r="N664" s="136"/>
      <c r="O664" s="128"/>
      <c r="P664" s="136" t="e">
        <f t="shared" si="40"/>
        <v>#VALUE!</v>
      </c>
    </row>
    <row r="665" spans="1:16" ht="12" hidden="1" outlineLevel="1" thickBot="1">
      <c r="A665" s="115" t="s">
        <v>1590</v>
      </c>
      <c r="B665" s="115" t="s">
        <v>570</v>
      </c>
      <c r="C665" s="134" t="s">
        <v>1591</v>
      </c>
      <c r="E665" s="135" t="s">
        <v>1592</v>
      </c>
      <c r="F665" s="135" t="s">
        <v>1680</v>
      </c>
      <c r="G665" s="131" t="s">
        <v>63</v>
      </c>
      <c r="H665" s="132" t="e">
        <f t="shared" si="41"/>
        <v>#VALUE!</v>
      </c>
      <c r="I665" s="151" t="e">
        <f>_xll.GetCtData("COAMOUNT","CONSAMOUNT",$A$1:$A$8,$A665:$B665,,"#3245")/10^3*$H665</f>
        <v>#VALUE!</v>
      </c>
      <c r="J665" s="136"/>
      <c r="K665" s="136"/>
      <c r="L665" s="136" t="e">
        <f t="shared" si="42"/>
        <v>#VALUE!</v>
      </c>
      <c r="M665" s="128"/>
      <c r="N665" s="136"/>
      <c r="O665" s="128"/>
      <c r="P665" s="136" t="e">
        <f t="shared" si="40"/>
        <v>#VALUE!</v>
      </c>
    </row>
    <row r="666" spans="1:16" ht="12" hidden="1" outlineLevel="1" thickBot="1">
      <c r="A666" s="115" t="s">
        <v>1593</v>
      </c>
      <c r="B666" s="115" t="s">
        <v>570</v>
      </c>
      <c r="C666" s="134" t="s">
        <v>1594</v>
      </c>
      <c r="E666" s="135" t="s">
        <v>1595</v>
      </c>
      <c r="F666" s="135" t="s">
        <v>1680</v>
      </c>
      <c r="G666" s="131" t="s">
        <v>63</v>
      </c>
      <c r="H666" s="132" t="e">
        <f t="shared" si="41"/>
        <v>#VALUE!</v>
      </c>
      <c r="I666" s="151" t="e">
        <f>_xll.GetCtData("COAMOUNT","CONSAMOUNT",$A$1:$A$8,$A666:$B666,,"#")/10^3*$H666</f>
        <v>#VALUE!</v>
      </c>
      <c r="J666" s="136"/>
      <c r="K666" s="136"/>
      <c r="L666" s="136" t="e">
        <f t="shared" si="42"/>
        <v>#VALUE!</v>
      </c>
      <c r="M666" s="128"/>
      <c r="N666" s="136"/>
      <c r="O666" s="128"/>
      <c r="P666" s="136" t="e">
        <f t="shared" si="40"/>
        <v>#VALUE!</v>
      </c>
    </row>
    <row r="667" spans="1:16" ht="12" hidden="1" outlineLevel="1" thickBot="1">
      <c r="A667" s="115" t="s">
        <v>1596</v>
      </c>
      <c r="B667" s="115" t="s">
        <v>570</v>
      </c>
      <c r="C667" s="134" t="s">
        <v>1597</v>
      </c>
      <c r="E667" s="135" t="s">
        <v>1598</v>
      </c>
      <c r="F667" s="135" t="s">
        <v>1680</v>
      </c>
      <c r="G667" s="131" t="s">
        <v>63</v>
      </c>
      <c r="H667" s="132" t="e">
        <f t="shared" si="41"/>
        <v>#VALUE!</v>
      </c>
      <c r="I667" s="151" t="e">
        <f>_xll.GetCtData("COAMOUNT","CONSAMOUNT",$A$1:$A$8,$A667:$B667,,"#1473")/10^3*$H667</f>
        <v>#VALUE!</v>
      </c>
      <c r="J667" s="136"/>
      <c r="K667" s="136"/>
      <c r="L667" s="136" t="e">
        <f t="shared" si="42"/>
        <v>#VALUE!</v>
      </c>
      <c r="M667" s="128"/>
      <c r="N667" s="136"/>
      <c r="O667" s="128"/>
      <c r="P667" s="136" t="e">
        <f t="shared" si="40"/>
        <v>#VALUE!</v>
      </c>
    </row>
    <row r="668" spans="1:16" ht="12" hidden="1" outlineLevel="1" thickBot="1">
      <c r="A668" s="115" t="s">
        <v>1599</v>
      </c>
      <c r="B668" s="115" t="s">
        <v>570</v>
      </c>
      <c r="C668" s="134" t="s">
        <v>1600</v>
      </c>
      <c r="E668" s="135" t="s">
        <v>1601</v>
      </c>
      <c r="F668" s="135" t="s">
        <v>1680</v>
      </c>
      <c r="G668" s="131" t="s">
        <v>63</v>
      </c>
      <c r="H668" s="132" t="e">
        <f t="shared" si="41"/>
        <v>#VALUE!</v>
      </c>
      <c r="I668" s="151" t="e">
        <f>_xll.GetCtData("COAMOUNT","CONSAMOUNT",$A$1:$A$8,$A668:$B668,,"#")/10^3*$H668</f>
        <v>#VALUE!</v>
      </c>
      <c r="J668" s="136"/>
      <c r="K668" s="136"/>
      <c r="L668" s="136" t="e">
        <f t="shared" si="42"/>
        <v>#VALUE!</v>
      </c>
      <c r="M668" s="128"/>
      <c r="N668" s="136"/>
      <c r="O668" s="128"/>
      <c r="P668" s="136" t="e">
        <f t="shared" si="40"/>
        <v>#VALUE!</v>
      </c>
    </row>
    <row r="669" spans="1:16" ht="12" hidden="1" outlineLevel="1" thickBot="1">
      <c r="A669" s="115" t="s">
        <v>1602</v>
      </c>
      <c r="B669" s="115" t="s">
        <v>570</v>
      </c>
      <c r="C669" s="134" t="s">
        <v>1603</v>
      </c>
      <c r="E669" s="135" t="s">
        <v>1604</v>
      </c>
      <c r="F669" s="135" t="s">
        <v>1680</v>
      </c>
      <c r="G669" s="131" t="s">
        <v>63</v>
      </c>
      <c r="H669" s="132" t="e">
        <f t="shared" si="41"/>
        <v>#VALUE!</v>
      </c>
      <c r="I669" s="151" t="e">
        <f>_xll.GetCtData("COAMOUNT","CONSAMOUNT",$A$1:$A$8,$A669:$B669,,"#-933")/10^3*$H669</f>
        <v>#VALUE!</v>
      </c>
      <c r="J669" s="136"/>
      <c r="K669" s="136"/>
      <c r="L669" s="136" t="e">
        <f t="shared" si="42"/>
        <v>#VALUE!</v>
      </c>
      <c r="M669" s="128"/>
      <c r="N669" s="136"/>
      <c r="O669" s="128"/>
      <c r="P669" s="136" t="e">
        <f t="shared" si="40"/>
        <v>#VALUE!</v>
      </c>
    </row>
    <row r="670" spans="1:16" ht="12" hidden="1" outlineLevel="1" thickBot="1">
      <c r="A670" s="115" t="s">
        <v>1605</v>
      </c>
      <c r="B670" s="115" t="s">
        <v>570</v>
      </c>
      <c r="C670" s="134" t="s">
        <v>1606</v>
      </c>
      <c r="E670" s="135" t="s">
        <v>1607</v>
      </c>
      <c r="F670" s="135" t="s">
        <v>1680</v>
      </c>
      <c r="G670" s="131" t="s">
        <v>63</v>
      </c>
      <c r="H670" s="132" t="e">
        <f t="shared" si="41"/>
        <v>#VALUE!</v>
      </c>
      <c r="I670" s="151" t="e">
        <f>_xll.GetCtData("COAMOUNT","CONSAMOUNT",$A$1:$A$8,$A670:$B670,,"#-61612")/10^3*$H670</f>
        <v>#VALUE!</v>
      </c>
      <c r="J670" s="136"/>
      <c r="K670" s="136"/>
      <c r="L670" s="136" t="e">
        <f t="shared" si="42"/>
        <v>#VALUE!</v>
      </c>
      <c r="M670" s="128"/>
      <c r="N670" s="136"/>
      <c r="O670" s="128"/>
      <c r="P670" s="136" t="e">
        <f t="shared" si="40"/>
        <v>#VALUE!</v>
      </c>
    </row>
    <row r="671" spans="1:16" ht="12" hidden="1" outlineLevel="1" thickBot="1">
      <c r="A671" s="115" t="s">
        <v>1516</v>
      </c>
      <c r="B671" s="115" t="s">
        <v>570</v>
      </c>
      <c r="C671" s="134" t="s">
        <v>1517</v>
      </c>
      <c r="E671" s="135" t="s">
        <v>1518</v>
      </c>
      <c r="F671" s="135" t="s">
        <v>1680</v>
      </c>
      <c r="G671" s="131" t="s">
        <v>63</v>
      </c>
      <c r="H671" s="132" t="e">
        <f t="shared" si="41"/>
        <v>#VALUE!</v>
      </c>
      <c r="I671" s="151" t="e">
        <f>_xll.GetCtData("COAMOUNT","CONSAMOUNT",$A$1:$A$8,$A671:$B671,,"#")/10^3*$H671</f>
        <v>#VALUE!</v>
      </c>
      <c r="J671" s="136"/>
      <c r="K671" s="136"/>
      <c r="L671" s="136" t="e">
        <f t="shared" si="42"/>
        <v>#VALUE!</v>
      </c>
      <c r="M671" s="128"/>
      <c r="N671" s="136"/>
      <c r="O671" s="128"/>
      <c r="P671" s="136" t="e">
        <f t="shared" si="40"/>
        <v>#VALUE!</v>
      </c>
    </row>
    <row r="672" spans="1:16" ht="12" hidden="1" outlineLevel="1" thickBot="1">
      <c r="A672" s="115" t="s">
        <v>1519</v>
      </c>
      <c r="B672" s="115" t="s">
        <v>570</v>
      </c>
      <c r="C672" s="134" t="s">
        <v>1520</v>
      </c>
      <c r="E672" s="135" t="s">
        <v>1521</v>
      </c>
      <c r="F672" s="135" t="s">
        <v>1680</v>
      </c>
      <c r="G672" s="131" t="s">
        <v>63</v>
      </c>
      <c r="H672" s="132" t="e">
        <f t="shared" si="41"/>
        <v>#VALUE!</v>
      </c>
      <c r="I672" s="151" t="e">
        <f>_xll.GetCtData("COAMOUNT","CONSAMOUNT",$A$1:$A$8,$A672:$B672,,"#")/10^3*$H672</f>
        <v>#VALUE!</v>
      </c>
      <c r="J672" s="136"/>
      <c r="K672" s="136"/>
      <c r="L672" s="136" t="e">
        <f t="shared" si="42"/>
        <v>#VALUE!</v>
      </c>
      <c r="M672" s="128"/>
      <c r="N672" s="136"/>
      <c r="O672" s="128"/>
      <c r="P672" s="136" t="e">
        <f t="shared" si="40"/>
        <v>#VALUE!</v>
      </c>
    </row>
    <row r="673" spans="1:16" ht="12" hidden="1" outlineLevel="1" thickBot="1">
      <c r="A673" s="115" t="s">
        <v>1522</v>
      </c>
      <c r="B673" s="115" t="s">
        <v>570</v>
      </c>
      <c r="C673" s="134" t="s">
        <v>1523</v>
      </c>
      <c r="E673" s="135" t="s">
        <v>1524</v>
      </c>
      <c r="F673" s="135" t="s">
        <v>1680</v>
      </c>
      <c r="G673" s="131" t="s">
        <v>63</v>
      </c>
      <c r="H673" s="132" t="e">
        <f t="shared" si="41"/>
        <v>#VALUE!</v>
      </c>
      <c r="I673" s="151" t="e">
        <f>_xll.GetCtData("COAMOUNT","CONSAMOUNT",$A$1:$A$8,$A673:$B673,,"#6946")/10^3*$H673</f>
        <v>#VALUE!</v>
      </c>
      <c r="J673" s="136"/>
      <c r="K673" s="136"/>
      <c r="L673" s="136" t="e">
        <f t="shared" si="42"/>
        <v>#VALUE!</v>
      </c>
      <c r="M673" s="128"/>
      <c r="N673" s="136"/>
      <c r="O673" s="128"/>
      <c r="P673" s="136" t="e">
        <f t="shared" si="40"/>
        <v>#VALUE!</v>
      </c>
    </row>
    <row r="674" spans="1:16" ht="12" hidden="1" outlineLevel="1" thickBot="1">
      <c r="A674" s="115" t="s">
        <v>1525</v>
      </c>
      <c r="B674" s="115" t="s">
        <v>570</v>
      </c>
      <c r="C674" s="134" t="s">
        <v>1526</v>
      </c>
      <c r="E674" s="135" t="s">
        <v>1527</v>
      </c>
      <c r="F674" s="135" t="s">
        <v>1680</v>
      </c>
      <c r="G674" s="131" t="s">
        <v>63</v>
      </c>
      <c r="H674" s="132" t="e">
        <f t="shared" si="41"/>
        <v>#VALUE!</v>
      </c>
      <c r="I674" s="151" t="e">
        <f>_xll.GetCtData("COAMOUNT","CONSAMOUNT",$A$1:$A$8,$A674:$B674,,"#")/10^3*$H674</f>
        <v>#VALUE!</v>
      </c>
      <c r="J674" s="136"/>
      <c r="K674" s="136"/>
      <c r="L674" s="136" t="e">
        <f t="shared" si="42"/>
        <v>#VALUE!</v>
      </c>
      <c r="M674" s="128"/>
      <c r="N674" s="136"/>
      <c r="O674" s="128"/>
      <c r="P674" s="136" t="e">
        <f t="shared" ref="P674:P736" si="43">L674+N674</f>
        <v>#VALUE!</v>
      </c>
    </row>
    <row r="675" spans="1:16" ht="12" hidden="1" outlineLevel="1" thickBot="1">
      <c r="A675" s="115" t="s">
        <v>1528</v>
      </c>
      <c r="B675" s="115" t="s">
        <v>570</v>
      </c>
      <c r="C675" s="134" t="s">
        <v>1529</v>
      </c>
      <c r="E675" s="135" t="s">
        <v>1530</v>
      </c>
      <c r="F675" s="135" t="s">
        <v>1680</v>
      </c>
      <c r="G675" s="131" t="s">
        <v>63</v>
      </c>
      <c r="H675" s="132" t="e">
        <f t="shared" si="41"/>
        <v>#VALUE!</v>
      </c>
      <c r="I675" s="151" t="e">
        <f>_xll.GetCtData("COAMOUNT","CONSAMOUNT",$A$1:$A$8,$A675:$B675,,"#")/10^3*$H675</f>
        <v>#VALUE!</v>
      </c>
      <c r="J675" s="136"/>
      <c r="K675" s="136"/>
      <c r="L675" s="136" t="e">
        <f t="shared" si="42"/>
        <v>#VALUE!</v>
      </c>
      <c r="M675" s="128"/>
      <c r="N675" s="136"/>
      <c r="O675" s="128"/>
      <c r="P675" s="136" t="e">
        <f t="shared" si="43"/>
        <v>#VALUE!</v>
      </c>
    </row>
    <row r="676" spans="1:16" ht="12" hidden="1" outlineLevel="1" thickBot="1">
      <c r="A676" s="115" t="s">
        <v>1531</v>
      </c>
      <c r="B676" s="115" t="s">
        <v>570</v>
      </c>
      <c r="C676" s="134" t="s">
        <v>1532</v>
      </c>
      <c r="E676" s="135" t="s">
        <v>1533</v>
      </c>
      <c r="F676" s="135" t="s">
        <v>1680</v>
      </c>
      <c r="G676" s="131" t="s">
        <v>63</v>
      </c>
      <c r="H676" s="132" t="e">
        <f t="shared" si="41"/>
        <v>#VALUE!</v>
      </c>
      <c r="I676" s="151" t="e">
        <f>_xll.GetCtData("COAMOUNT","CONSAMOUNT",$A$1:$A$8,$A676:$B676,,"#")/10^3*$H676</f>
        <v>#VALUE!</v>
      </c>
      <c r="J676" s="136"/>
      <c r="K676" s="136"/>
      <c r="L676" s="136" t="e">
        <f t="shared" si="42"/>
        <v>#VALUE!</v>
      </c>
      <c r="M676" s="128"/>
      <c r="N676" s="136"/>
      <c r="O676" s="128"/>
      <c r="P676" s="136" t="e">
        <f t="shared" si="43"/>
        <v>#VALUE!</v>
      </c>
    </row>
    <row r="677" spans="1:16" ht="12" hidden="1" outlineLevel="1" thickBot="1">
      <c r="A677" s="115" t="s">
        <v>1534</v>
      </c>
      <c r="B677" s="115" t="s">
        <v>570</v>
      </c>
      <c r="C677" s="134" t="s">
        <v>1535</v>
      </c>
      <c r="E677" s="135" t="s">
        <v>1536</v>
      </c>
      <c r="F677" s="135" t="s">
        <v>1680</v>
      </c>
      <c r="G677" s="131" t="s">
        <v>63</v>
      </c>
      <c r="H677" s="132" t="e">
        <f t="shared" si="41"/>
        <v>#VALUE!</v>
      </c>
      <c r="I677" s="151" t="e">
        <f>_xll.GetCtData("COAMOUNT","CONSAMOUNT",$A$1:$A$8,$A677:$B677,,"#1746")/10^3*$H677</f>
        <v>#VALUE!</v>
      </c>
      <c r="J677" s="136"/>
      <c r="K677" s="136"/>
      <c r="L677" s="136" t="e">
        <f t="shared" si="42"/>
        <v>#VALUE!</v>
      </c>
      <c r="M677" s="128"/>
      <c r="N677" s="136"/>
      <c r="O677" s="128"/>
      <c r="P677" s="136" t="e">
        <f t="shared" si="43"/>
        <v>#VALUE!</v>
      </c>
    </row>
    <row r="678" spans="1:16" ht="12" hidden="1" outlineLevel="1" thickBot="1">
      <c r="A678" s="115" t="s">
        <v>1537</v>
      </c>
      <c r="B678" s="115" t="s">
        <v>570</v>
      </c>
      <c r="C678" s="134" t="s">
        <v>1538</v>
      </c>
      <c r="E678" s="135" t="s">
        <v>1539</v>
      </c>
      <c r="F678" s="135" t="s">
        <v>1680</v>
      </c>
      <c r="G678" s="131" t="s">
        <v>63</v>
      </c>
      <c r="H678" s="132" t="e">
        <f t="shared" si="41"/>
        <v>#VALUE!</v>
      </c>
      <c r="I678" s="151" t="e">
        <f>_xll.GetCtData("COAMOUNT","CONSAMOUNT",$A$1:$A$8,$A678:$B678,,"#")/10^3*$H678</f>
        <v>#VALUE!</v>
      </c>
      <c r="J678" s="136"/>
      <c r="K678" s="136"/>
      <c r="L678" s="136" t="e">
        <f t="shared" si="42"/>
        <v>#VALUE!</v>
      </c>
      <c r="M678" s="128"/>
      <c r="N678" s="136"/>
      <c r="O678" s="128"/>
      <c r="P678" s="136" t="e">
        <f t="shared" si="43"/>
        <v>#VALUE!</v>
      </c>
    </row>
    <row r="679" spans="1:16" ht="12" hidden="1" outlineLevel="1" thickBot="1">
      <c r="A679" s="115" t="s">
        <v>1540</v>
      </c>
      <c r="B679" s="115" t="s">
        <v>570</v>
      </c>
      <c r="C679" s="134" t="s">
        <v>1541</v>
      </c>
      <c r="E679" s="135" t="s">
        <v>1542</v>
      </c>
      <c r="F679" s="135" t="s">
        <v>1680</v>
      </c>
      <c r="G679" s="131" t="s">
        <v>63</v>
      </c>
      <c r="H679" s="132" t="e">
        <f t="shared" si="41"/>
        <v>#VALUE!</v>
      </c>
      <c r="I679" s="151" t="e">
        <f>_xll.GetCtData("COAMOUNT","CONSAMOUNT",$A$1:$A$8,$A679:$B679,,"#")/10^3*$H679</f>
        <v>#VALUE!</v>
      </c>
      <c r="J679" s="136"/>
      <c r="K679" s="136"/>
      <c r="L679" s="136" t="e">
        <f t="shared" si="42"/>
        <v>#VALUE!</v>
      </c>
      <c r="M679" s="128"/>
      <c r="N679" s="136"/>
      <c r="O679" s="128"/>
      <c r="P679" s="136" t="e">
        <f t="shared" si="43"/>
        <v>#VALUE!</v>
      </c>
    </row>
    <row r="680" spans="1:16" ht="12" hidden="1" outlineLevel="1" thickBot="1">
      <c r="A680" s="115" t="s">
        <v>1543</v>
      </c>
      <c r="B680" s="115" t="s">
        <v>570</v>
      </c>
      <c r="C680" s="134" t="s">
        <v>1544</v>
      </c>
      <c r="E680" s="135" t="s">
        <v>1545</v>
      </c>
      <c r="F680" s="135" t="s">
        <v>1680</v>
      </c>
      <c r="G680" s="131" t="s">
        <v>63</v>
      </c>
      <c r="H680" s="132" t="e">
        <f t="shared" si="41"/>
        <v>#VALUE!</v>
      </c>
      <c r="I680" s="151" t="e">
        <f>_xll.GetCtData("COAMOUNT","CONSAMOUNT",$A$1:$A$8,$A680:$B680,,"#")/10^3*$H680</f>
        <v>#VALUE!</v>
      </c>
      <c r="J680" s="136"/>
      <c r="K680" s="136"/>
      <c r="L680" s="136" t="e">
        <f t="shared" si="42"/>
        <v>#VALUE!</v>
      </c>
      <c r="M680" s="128"/>
      <c r="N680" s="136"/>
      <c r="O680" s="128"/>
      <c r="P680" s="136" t="e">
        <f t="shared" si="43"/>
        <v>#VALUE!</v>
      </c>
    </row>
    <row r="681" spans="1:16" ht="12" hidden="1" outlineLevel="1" thickBot="1">
      <c r="A681" s="115" t="s">
        <v>1546</v>
      </c>
      <c r="B681" s="115" t="s">
        <v>570</v>
      </c>
      <c r="C681" s="134" t="s">
        <v>1547</v>
      </c>
      <c r="E681" s="135" t="s">
        <v>1548</v>
      </c>
      <c r="F681" s="135" t="s">
        <v>1680</v>
      </c>
      <c r="G681" s="131" t="s">
        <v>63</v>
      </c>
      <c r="H681" s="132" t="e">
        <f t="shared" si="41"/>
        <v>#VALUE!</v>
      </c>
      <c r="I681" s="151" t="e">
        <f>_xll.GetCtData("COAMOUNT","CONSAMOUNT",$A$1:$A$8,$A681:$B681,,"#")/10^3*$H681</f>
        <v>#VALUE!</v>
      </c>
      <c r="J681" s="136"/>
      <c r="K681" s="136"/>
      <c r="L681" s="136" t="e">
        <f t="shared" si="42"/>
        <v>#VALUE!</v>
      </c>
      <c r="M681" s="128"/>
      <c r="N681" s="136"/>
      <c r="O681" s="128"/>
      <c r="P681" s="136" t="e">
        <f t="shared" si="43"/>
        <v>#VALUE!</v>
      </c>
    </row>
    <row r="682" spans="1:16" ht="12" hidden="1" outlineLevel="1" thickBot="1">
      <c r="A682" s="115" t="s">
        <v>1549</v>
      </c>
      <c r="B682" s="115" t="s">
        <v>570</v>
      </c>
      <c r="C682" s="134" t="s">
        <v>1550</v>
      </c>
      <c r="E682" s="135" t="s">
        <v>1551</v>
      </c>
      <c r="F682" s="135" t="s">
        <v>1680</v>
      </c>
      <c r="G682" s="131" t="s">
        <v>63</v>
      </c>
      <c r="H682" s="132" t="e">
        <f t="shared" si="41"/>
        <v>#VALUE!</v>
      </c>
      <c r="I682" s="151" t="e">
        <f>_xll.GetCtData("COAMOUNT","CONSAMOUNT",$A$1:$A$8,$A682:$B682,,"#")/10^3*$H682</f>
        <v>#VALUE!</v>
      </c>
      <c r="J682" s="136"/>
      <c r="K682" s="136"/>
      <c r="L682" s="136" t="e">
        <f t="shared" si="42"/>
        <v>#VALUE!</v>
      </c>
      <c r="M682" s="128"/>
      <c r="N682" s="136"/>
      <c r="O682" s="128"/>
      <c r="P682" s="136" t="e">
        <f t="shared" si="43"/>
        <v>#VALUE!</v>
      </c>
    </row>
    <row r="683" spans="1:16" ht="12" hidden="1" outlineLevel="1" thickBot="1">
      <c r="A683" s="115" t="s">
        <v>1608</v>
      </c>
      <c r="B683" s="115" t="s">
        <v>570</v>
      </c>
      <c r="C683" s="134" t="s">
        <v>1609</v>
      </c>
      <c r="E683" s="135" t="s">
        <v>1610</v>
      </c>
      <c r="F683" s="135" t="s">
        <v>1680</v>
      </c>
      <c r="G683" s="131" t="s">
        <v>63</v>
      </c>
      <c r="H683" s="132" t="e">
        <f t="shared" si="41"/>
        <v>#VALUE!</v>
      </c>
      <c r="I683" s="136"/>
      <c r="J683" s="151" t="e">
        <f>_xll.GetCtData("COAMOUNT","CONSAMOUNT",$A$1:$A$8,$A683:$B683,,"#")/10^3*$H683</f>
        <v>#VALUE!</v>
      </c>
      <c r="K683" s="136"/>
      <c r="L683" s="136" t="e">
        <f t="shared" si="42"/>
        <v>#VALUE!</v>
      </c>
      <c r="M683" s="128"/>
      <c r="N683" s="136"/>
      <c r="O683" s="128"/>
      <c r="P683" s="136" t="e">
        <f t="shared" si="43"/>
        <v>#VALUE!</v>
      </c>
    </row>
    <row r="684" spans="1:16" ht="12" hidden="1" outlineLevel="1" thickBot="1">
      <c r="A684" s="115" t="s">
        <v>1611</v>
      </c>
      <c r="B684" s="115" t="s">
        <v>570</v>
      </c>
      <c r="C684" s="134" t="s">
        <v>1612</v>
      </c>
      <c r="E684" s="135" t="s">
        <v>1613</v>
      </c>
      <c r="F684" s="135" t="s">
        <v>1680</v>
      </c>
      <c r="G684" s="131" t="s">
        <v>63</v>
      </c>
      <c r="H684" s="132" t="e">
        <f t="shared" si="41"/>
        <v>#VALUE!</v>
      </c>
      <c r="I684" s="136"/>
      <c r="J684" s="151" t="e">
        <f>_xll.GetCtData("COAMOUNT","CONSAMOUNT",$A$1:$A$8,$A684:$B684,,"#1,76504339193876")/10^3*$H684</f>
        <v>#VALUE!</v>
      </c>
      <c r="K684" s="136"/>
      <c r="L684" s="136" t="e">
        <f t="shared" si="42"/>
        <v>#VALUE!</v>
      </c>
      <c r="M684" s="128"/>
      <c r="N684" s="136"/>
      <c r="O684" s="128"/>
      <c r="P684" s="136" t="e">
        <f t="shared" si="43"/>
        <v>#VALUE!</v>
      </c>
    </row>
    <row r="685" spans="1:16" ht="12" hidden="1" outlineLevel="1" thickBot="1">
      <c r="A685" s="115" t="s">
        <v>1614</v>
      </c>
      <c r="B685" s="115" t="s">
        <v>570</v>
      </c>
      <c r="C685" s="134" t="s">
        <v>1615</v>
      </c>
      <c r="E685" s="135" t="s">
        <v>1616</v>
      </c>
      <c r="F685" s="135" t="s">
        <v>1680</v>
      </c>
      <c r="G685" s="131" t="s">
        <v>63</v>
      </c>
      <c r="H685" s="132" t="e">
        <f t="shared" si="41"/>
        <v>#VALUE!</v>
      </c>
      <c r="I685" s="136"/>
      <c r="J685" s="151" t="e">
        <f>_xll.GetCtData("COAMOUNT","CONSAMOUNT",$A$1:$A$8,$A685:$B685,,"#7,28612754227389E-03")/10^3*$H685</f>
        <v>#VALUE!</v>
      </c>
      <c r="K685" s="136"/>
      <c r="L685" s="136" t="e">
        <f t="shared" si="42"/>
        <v>#VALUE!</v>
      </c>
      <c r="M685" s="128"/>
      <c r="N685" s="136"/>
      <c r="O685" s="128"/>
      <c r="P685" s="136" t="e">
        <f t="shared" si="43"/>
        <v>#VALUE!</v>
      </c>
    </row>
    <row r="686" spans="1:16" ht="12" hidden="1" outlineLevel="1" thickBot="1">
      <c r="A686" s="115" t="s">
        <v>1617</v>
      </c>
      <c r="B686" s="115" t="s">
        <v>570</v>
      </c>
      <c r="C686" s="134" t="s">
        <v>1618</v>
      </c>
      <c r="E686" s="135" t="s">
        <v>1619</v>
      </c>
      <c r="F686" s="135" t="s">
        <v>1680</v>
      </c>
      <c r="G686" s="131" t="s">
        <v>63</v>
      </c>
      <c r="H686" s="132" t="e">
        <f t="shared" si="41"/>
        <v>#VALUE!</v>
      </c>
      <c r="I686" s="136"/>
      <c r="J686" s="151" t="e">
        <f>_xll.GetCtData("COAMOUNT","CONSAMOUNT",$A$1:$A$8,$A686:$B686,,"#8")/10^3*$H686</f>
        <v>#VALUE!</v>
      </c>
      <c r="K686" s="136"/>
      <c r="L686" s="136" t="e">
        <f t="shared" si="42"/>
        <v>#VALUE!</v>
      </c>
      <c r="M686" s="128"/>
      <c r="N686" s="136"/>
      <c r="O686" s="128"/>
      <c r="P686" s="136" t="e">
        <f t="shared" si="43"/>
        <v>#VALUE!</v>
      </c>
    </row>
    <row r="687" spans="1:16" ht="12" hidden="1" outlineLevel="1" thickBot="1">
      <c r="A687" s="115" t="s">
        <v>1552</v>
      </c>
      <c r="B687" s="115" t="s">
        <v>570</v>
      </c>
      <c r="C687" s="134" t="s">
        <v>1553</v>
      </c>
      <c r="E687" s="135" t="s">
        <v>1554</v>
      </c>
      <c r="F687" s="135" t="s">
        <v>1680</v>
      </c>
      <c r="G687" s="131" t="s">
        <v>63</v>
      </c>
      <c r="H687" s="132" t="e">
        <f t="shared" si="41"/>
        <v>#VALUE!</v>
      </c>
      <c r="I687" s="136"/>
      <c r="J687" s="151" t="e">
        <f>_xll.GetCtData("COAMOUNT","CONSAMOUNT",$A$1:$A$8,$A687:$B687,,"#")/10^3*$H687</f>
        <v>#VALUE!</v>
      </c>
      <c r="K687" s="136"/>
      <c r="L687" s="136" t="e">
        <f t="shared" si="42"/>
        <v>#VALUE!</v>
      </c>
      <c r="M687" s="128"/>
      <c r="N687" s="136"/>
      <c r="O687" s="128"/>
      <c r="P687" s="136" t="e">
        <f t="shared" si="43"/>
        <v>#VALUE!</v>
      </c>
    </row>
    <row r="688" spans="1:16" ht="12" hidden="1" outlineLevel="1" thickBot="1">
      <c r="A688" s="115" t="s">
        <v>1555</v>
      </c>
      <c r="B688" s="115" t="s">
        <v>570</v>
      </c>
      <c r="C688" s="134" t="s">
        <v>1556</v>
      </c>
      <c r="E688" s="135" t="s">
        <v>1557</v>
      </c>
      <c r="F688" s="135" t="s">
        <v>1680</v>
      </c>
      <c r="G688" s="131" t="s">
        <v>63</v>
      </c>
      <c r="H688" s="132" t="e">
        <f t="shared" si="41"/>
        <v>#VALUE!</v>
      </c>
      <c r="I688" s="136"/>
      <c r="J688" s="151" t="e">
        <f>_xll.GetCtData("COAMOUNT","CONSAMOUNT",$A$1:$A$8,$A688:$B688,,"#")/10^3*$H688</f>
        <v>#VALUE!</v>
      </c>
      <c r="K688" s="136"/>
      <c r="L688" s="136" t="e">
        <f t="shared" si="42"/>
        <v>#VALUE!</v>
      </c>
      <c r="M688" s="128"/>
      <c r="N688" s="136"/>
      <c r="O688" s="128"/>
      <c r="P688" s="136" t="e">
        <f t="shared" si="43"/>
        <v>#VALUE!</v>
      </c>
    </row>
    <row r="689" spans="1:17" ht="12" hidden="1" outlineLevel="1" thickBot="1">
      <c r="A689" s="115" t="s">
        <v>1558</v>
      </c>
      <c r="B689" s="115" t="s">
        <v>570</v>
      </c>
      <c r="C689" s="134" t="s">
        <v>1559</v>
      </c>
      <c r="E689" s="135" t="s">
        <v>1560</v>
      </c>
      <c r="F689" s="135" t="s">
        <v>1680</v>
      </c>
      <c r="G689" s="131" t="s">
        <v>63</v>
      </c>
      <c r="H689" s="132" t="e">
        <f t="shared" si="41"/>
        <v>#VALUE!</v>
      </c>
      <c r="I689" s="136"/>
      <c r="J689" s="151" t="e">
        <f>_xll.GetCtData("COAMOUNT","CONSAMOUNT",$A$1:$A$8,$A689:$B689,,"#")/10^3*$H689</f>
        <v>#VALUE!</v>
      </c>
      <c r="K689" s="136"/>
      <c r="L689" s="136" t="e">
        <f t="shared" si="42"/>
        <v>#VALUE!</v>
      </c>
      <c r="M689" s="128"/>
      <c r="N689" s="136"/>
      <c r="O689" s="128"/>
      <c r="P689" s="136" t="e">
        <f t="shared" si="43"/>
        <v>#VALUE!</v>
      </c>
    </row>
    <row r="690" spans="1:17" ht="12" hidden="1" outlineLevel="1" thickBot="1">
      <c r="A690" s="115" t="s">
        <v>1561</v>
      </c>
      <c r="B690" s="115" t="s">
        <v>570</v>
      </c>
      <c r="C690" s="134" t="s">
        <v>1562</v>
      </c>
      <c r="E690" s="135" t="s">
        <v>1563</v>
      </c>
      <c r="F690" s="135" t="s">
        <v>1680</v>
      </c>
      <c r="G690" s="131" t="s">
        <v>63</v>
      </c>
      <c r="H690" s="132" t="e">
        <f t="shared" si="41"/>
        <v>#VALUE!</v>
      </c>
      <c r="I690" s="136"/>
      <c r="J690" s="151" t="e">
        <f>_xll.GetCtData("COAMOUNT","CONSAMOUNT",$A$1:$A$8,$A690:$B690,,"#")/10^3*$H690</f>
        <v>#VALUE!</v>
      </c>
      <c r="K690" s="136"/>
      <c r="L690" s="136" t="e">
        <f t="shared" si="42"/>
        <v>#VALUE!</v>
      </c>
      <c r="M690" s="128"/>
      <c r="N690" s="136"/>
      <c r="O690" s="128"/>
      <c r="P690" s="136" t="e">
        <f t="shared" si="43"/>
        <v>#VALUE!</v>
      </c>
    </row>
    <row r="691" spans="1:17" ht="12" hidden="1" outlineLevel="1" thickBot="1">
      <c r="A691" s="115" t="s">
        <v>1620</v>
      </c>
      <c r="B691" s="115" t="s">
        <v>570</v>
      </c>
      <c r="C691" s="134" t="s">
        <v>1621</v>
      </c>
      <c r="E691" s="135" t="s">
        <v>1622</v>
      </c>
      <c r="F691" s="135" t="s">
        <v>1680</v>
      </c>
      <c r="G691" s="131" t="s">
        <v>63</v>
      </c>
      <c r="H691" s="132" t="e">
        <f t="shared" si="41"/>
        <v>#VALUE!</v>
      </c>
      <c r="I691" s="136"/>
      <c r="J691" s="136"/>
      <c r="K691" s="151" t="e">
        <f>_xll.GetCtData("COAMOUNT","CONSAMOUNT",$A$1:$A$8,$A691:$B691,,"#6001,37159250466")/10^3*$H691</f>
        <v>#VALUE!</v>
      </c>
      <c r="L691" s="136" t="e">
        <f t="shared" si="42"/>
        <v>#VALUE!</v>
      </c>
      <c r="M691" s="128"/>
      <c r="N691" s="136"/>
      <c r="O691" s="128"/>
      <c r="P691" s="136" t="e">
        <f t="shared" si="43"/>
        <v>#VALUE!</v>
      </c>
    </row>
    <row r="692" spans="1:17" ht="12" hidden="1" outlineLevel="1" thickBot="1">
      <c r="A692" s="115" t="s">
        <v>1623</v>
      </c>
      <c r="B692" s="115" t="s">
        <v>570</v>
      </c>
      <c r="C692" s="134" t="s">
        <v>1624</v>
      </c>
      <c r="E692" s="135" t="s">
        <v>1625</v>
      </c>
      <c r="F692" s="135" t="s">
        <v>1680</v>
      </c>
      <c r="G692" s="131" t="s">
        <v>63</v>
      </c>
      <c r="H692" s="132" t="e">
        <f t="shared" si="41"/>
        <v>#VALUE!</v>
      </c>
      <c r="I692" s="136"/>
      <c r="J692" s="136"/>
      <c r="K692" s="151" t="e">
        <f>_xll.GetCtData("COAMOUNT","CONSAMOUNT",$A$1:$A$8,$A692:$B692,,"#1058,50545571787")/10^3*$H692</f>
        <v>#VALUE!</v>
      </c>
      <c r="L692" s="136" t="e">
        <f t="shared" si="42"/>
        <v>#VALUE!</v>
      </c>
      <c r="M692" s="128"/>
      <c r="N692" s="136"/>
      <c r="O692" s="128"/>
      <c r="P692" s="136" t="e">
        <f t="shared" si="43"/>
        <v>#VALUE!</v>
      </c>
    </row>
    <row r="693" spans="1:17" ht="12" hidden="1" outlineLevel="1" thickBot="1">
      <c r="A693" s="115" t="s">
        <v>1564</v>
      </c>
      <c r="B693" s="115" t="s">
        <v>570</v>
      </c>
      <c r="C693" s="134" t="s">
        <v>1565</v>
      </c>
      <c r="E693" s="135" t="s">
        <v>1566</v>
      </c>
      <c r="F693" s="135" t="s">
        <v>1680</v>
      </c>
      <c r="G693" s="131" t="s">
        <v>63</v>
      </c>
      <c r="H693" s="132" t="e">
        <f t="shared" si="41"/>
        <v>#VALUE!</v>
      </c>
      <c r="I693" s="136"/>
      <c r="J693" s="136"/>
      <c r="K693" s="151" t="e">
        <f>_xll.GetCtData("COAMOUNT","CONSAMOUNT",$A$1:$A$8,$A693:$B693,,"#")/10^3*$H693</f>
        <v>#VALUE!</v>
      </c>
      <c r="L693" s="136" t="e">
        <f t="shared" si="42"/>
        <v>#VALUE!</v>
      </c>
      <c r="M693" s="128"/>
      <c r="N693" s="136"/>
      <c r="O693" s="128"/>
      <c r="P693" s="136" t="e">
        <f t="shared" si="43"/>
        <v>#VALUE!</v>
      </c>
    </row>
    <row r="694" spans="1:17" ht="12" hidden="1" outlineLevel="1" thickBot="1">
      <c r="A694" s="115" t="s">
        <v>1567</v>
      </c>
      <c r="B694" s="115" t="s">
        <v>570</v>
      </c>
      <c r="C694" s="134" t="s">
        <v>1568</v>
      </c>
      <c r="E694" s="135" t="s">
        <v>1569</v>
      </c>
      <c r="F694" s="135" t="s">
        <v>1680</v>
      </c>
      <c r="G694" s="131" t="s">
        <v>63</v>
      </c>
      <c r="H694" s="132" t="e">
        <f t="shared" si="41"/>
        <v>#VALUE!</v>
      </c>
      <c r="I694" s="136"/>
      <c r="J694" s="136"/>
      <c r="K694" s="151" t="e">
        <f>_xll.GetCtData("COAMOUNT","CONSAMOUNT",$A$1:$A$8,$A694:$B694,,"#")/10^3*$H694</f>
        <v>#VALUE!</v>
      </c>
      <c r="L694" s="136" t="e">
        <f t="shared" si="42"/>
        <v>#VALUE!</v>
      </c>
      <c r="M694" s="128"/>
      <c r="N694" s="136"/>
      <c r="O694" s="128"/>
      <c r="P694" s="136" t="e">
        <f t="shared" si="43"/>
        <v>#VALUE!</v>
      </c>
    </row>
    <row r="695" spans="1:17" ht="12" hidden="1" outlineLevel="2" thickBot="1">
      <c r="C695" s="134"/>
      <c r="E695" s="137" t="s">
        <v>1570</v>
      </c>
      <c r="F695" s="137"/>
      <c r="G695" s="137"/>
      <c r="H695" s="137"/>
      <c r="I695" s="138" t="e">
        <f>SUM(I587:I694)/10^3-I586</f>
        <v>#VALUE!</v>
      </c>
      <c r="J695" s="138" t="e">
        <f>SUM(J587:J694)/10^3-J586</f>
        <v>#VALUE!</v>
      </c>
      <c r="K695" s="138" t="e">
        <f>SUM(K587:K694)/10^3-K586</f>
        <v>#VALUE!</v>
      </c>
      <c r="L695" s="138" t="e">
        <f>SUM(L587:L694)/10^3-L586</f>
        <v>#VALUE!</v>
      </c>
      <c r="M695" s="128"/>
      <c r="N695" s="138"/>
      <c r="O695" s="128"/>
      <c r="P695" s="138" t="e">
        <f t="shared" si="43"/>
        <v>#VALUE!</v>
      </c>
    </row>
    <row r="696" spans="1:17" ht="12" collapsed="1" thickBot="1">
      <c r="A696" s="115" t="s">
        <v>1089</v>
      </c>
      <c r="C696" s="123" t="s">
        <v>1681</v>
      </c>
      <c r="D696" s="124"/>
      <c r="E696" s="125" t="s">
        <v>129</v>
      </c>
      <c r="F696" s="126"/>
      <c r="G696" s="126"/>
      <c r="H696" s="126"/>
      <c r="I696" s="127">
        <f>_xll.GetCtData("COAMOUNT","CONSAMOUNT",$A$1:$A$8,$A696,I$10,"#-406625,940446751")/10^3</f>
        <v>-406.62594044675103</v>
      </c>
      <c r="J696" s="127">
        <f>_xll.GetCtData("COAMOUNT","CONSAMOUNT",$A$1:$A$8,$A696,J$10,"#14808,6342354485")/10^3</f>
        <v>14.808634235448501</v>
      </c>
      <c r="K696" s="127">
        <f>_xll.GetCtData("COAMOUNT","CONSAMOUNT",$A$1:$A$8,$A696,K$10,"#126888,620437697")/10^3</f>
        <v>126.888620437697</v>
      </c>
      <c r="L696" s="127">
        <f>_xll.GetCtData("COAMOUNT","CONSAMOUNT",$A$1:$A$8,$A696,L$10,"#-264928,685773605")/10^3</f>
        <v>-264.92868577360503</v>
      </c>
      <c r="M696" s="128"/>
      <c r="N696" s="127">
        <v>-89215</v>
      </c>
      <c r="O696" s="128"/>
      <c r="P696" s="127">
        <f t="shared" si="43"/>
        <v>-89479.928685773601</v>
      </c>
      <c r="Q696" s="163">
        <v>265008.75708783139</v>
      </c>
    </row>
    <row r="697" spans="1:17" ht="12" hidden="1" outlineLevel="1" thickBot="1">
      <c r="A697" s="115" t="s">
        <v>1516</v>
      </c>
      <c r="B697" s="115" t="s">
        <v>74</v>
      </c>
      <c r="C697" s="134" t="s">
        <v>1517</v>
      </c>
      <c r="E697" s="135" t="s">
        <v>1518</v>
      </c>
      <c r="F697" s="135" t="s">
        <v>66</v>
      </c>
      <c r="G697" s="131" t="s">
        <v>306</v>
      </c>
      <c r="H697" s="132" t="e">
        <f t="shared" ref="H697:H714" si="44">IF(LEFT(E697,6)/10^3="actifs",-1,1)/10^3</f>
        <v>#VALUE!</v>
      </c>
      <c r="I697" s="151" t="e">
        <f>_xll.GetCtData("COAMOUNT","CONSAMOUNT",$A$1:$A$8,$A697:$B697,,"#431545,399173077")/10^3*$H697</f>
        <v>#VALUE!</v>
      </c>
      <c r="J697" s="136"/>
      <c r="K697" s="136"/>
      <c r="L697" s="136" t="e">
        <f t="shared" ref="L697:L714" si="45">SUM(I697:K697)/10^3</f>
        <v>#VALUE!</v>
      </c>
      <c r="M697" s="128"/>
      <c r="N697" s="136"/>
      <c r="O697" s="128"/>
      <c r="P697" s="136" t="e">
        <f t="shared" si="43"/>
        <v>#VALUE!</v>
      </c>
    </row>
    <row r="698" spans="1:17" ht="12" hidden="1" outlineLevel="1" thickBot="1">
      <c r="A698" s="115" t="s">
        <v>1519</v>
      </c>
      <c r="B698" s="115" t="s">
        <v>74</v>
      </c>
      <c r="C698" s="134" t="s">
        <v>1520</v>
      </c>
      <c r="E698" s="135" t="s">
        <v>1521</v>
      </c>
      <c r="F698" s="135" t="s">
        <v>66</v>
      </c>
      <c r="G698" s="131" t="s">
        <v>306</v>
      </c>
      <c r="H698" s="132" t="e">
        <f t="shared" si="44"/>
        <v>#VALUE!</v>
      </c>
      <c r="I698" s="151" t="e">
        <f>_xll.GetCtData("COAMOUNT","CONSAMOUNT",$A$1:$A$8,$A698:$B698,,"#-42482,0635618771")/10^3*$H698</f>
        <v>#VALUE!</v>
      </c>
      <c r="J698" s="136"/>
      <c r="K698" s="136"/>
      <c r="L698" s="136" t="e">
        <f t="shared" si="45"/>
        <v>#VALUE!</v>
      </c>
      <c r="M698" s="128"/>
      <c r="N698" s="136"/>
      <c r="O698" s="128"/>
      <c r="P698" s="136" t="e">
        <f t="shared" si="43"/>
        <v>#VALUE!</v>
      </c>
    </row>
    <row r="699" spans="1:17" ht="12" hidden="1" outlineLevel="1" thickBot="1">
      <c r="A699" s="115" t="s">
        <v>1522</v>
      </c>
      <c r="B699" s="115" t="s">
        <v>74</v>
      </c>
      <c r="C699" s="134" t="s">
        <v>1523</v>
      </c>
      <c r="E699" s="135" t="s">
        <v>1524</v>
      </c>
      <c r="F699" s="135" t="s">
        <v>66</v>
      </c>
      <c r="G699" s="131" t="s">
        <v>306</v>
      </c>
      <c r="H699" s="132" t="e">
        <f t="shared" si="44"/>
        <v>#VALUE!</v>
      </c>
      <c r="I699" s="151" t="e">
        <f>_xll.GetCtData("COAMOUNT","CONSAMOUNT",$A$1:$A$8,$A699:$B699,,"#9509,22331398048")/10^3*$H699</f>
        <v>#VALUE!</v>
      </c>
      <c r="J699" s="136"/>
      <c r="K699" s="136"/>
      <c r="L699" s="136" t="e">
        <f t="shared" si="45"/>
        <v>#VALUE!</v>
      </c>
      <c r="M699" s="128"/>
      <c r="N699" s="136"/>
      <c r="O699" s="128"/>
      <c r="P699" s="136" t="e">
        <f t="shared" si="43"/>
        <v>#VALUE!</v>
      </c>
    </row>
    <row r="700" spans="1:17" ht="12" hidden="1" outlineLevel="1" thickBot="1">
      <c r="A700" s="115" t="s">
        <v>1525</v>
      </c>
      <c r="B700" s="115" t="s">
        <v>74</v>
      </c>
      <c r="C700" s="134" t="s">
        <v>1526</v>
      </c>
      <c r="E700" s="135" t="s">
        <v>1527</v>
      </c>
      <c r="F700" s="135" t="s">
        <v>66</v>
      </c>
      <c r="G700" s="131" t="s">
        <v>306</v>
      </c>
      <c r="H700" s="132" t="e">
        <f t="shared" si="44"/>
        <v>#VALUE!</v>
      </c>
      <c r="I700" s="151" t="e">
        <f>_xll.GetCtData("COAMOUNT","CONSAMOUNT",$A$1:$A$8,$A700:$B700,,"#32")/10^3*$H700</f>
        <v>#VALUE!</v>
      </c>
      <c r="J700" s="136"/>
      <c r="K700" s="136"/>
      <c r="L700" s="136" t="e">
        <f t="shared" si="45"/>
        <v>#VALUE!</v>
      </c>
      <c r="M700" s="128"/>
      <c r="N700" s="136"/>
      <c r="O700" s="128"/>
      <c r="P700" s="136" t="e">
        <f t="shared" si="43"/>
        <v>#VALUE!</v>
      </c>
    </row>
    <row r="701" spans="1:17" ht="12" hidden="1" outlineLevel="1" thickBot="1">
      <c r="A701" s="115" t="s">
        <v>1528</v>
      </c>
      <c r="B701" s="115" t="s">
        <v>74</v>
      </c>
      <c r="C701" s="134" t="s">
        <v>1529</v>
      </c>
      <c r="E701" s="135" t="s">
        <v>1530</v>
      </c>
      <c r="F701" s="135" t="s">
        <v>66</v>
      </c>
      <c r="G701" s="131" t="s">
        <v>306</v>
      </c>
      <c r="H701" s="132" t="e">
        <f t="shared" si="44"/>
        <v>#VALUE!</v>
      </c>
      <c r="I701" s="151" t="e">
        <f>_xll.GetCtData("COAMOUNT","CONSAMOUNT",$A$1:$A$8,$A701:$B701,,"#")/10^3*$H701</f>
        <v>#VALUE!</v>
      </c>
      <c r="J701" s="136"/>
      <c r="K701" s="136"/>
      <c r="L701" s="136" t="e">
        <f t="shared" si="45"/>
        <v>#VALUE!</v>
      </c>
      <c r="M701" s="128"/>
      <c r="N701" s="136"/>
      <c r="O701" s="128"/>
      <c r="P701" s="136" t="e">
        <f t="shared" si="43"/>
        <v>#VALUE!</v>
      </c>
    </row>
    <row r="702" spans="1:17" ht="12" hidden="1" outlineLevel="1" thickBot="1">
      <c r="A702" s="115" t="s">
        <v>1531</v>
      </c>
      <c r="B702" s="115" t="s">
        <v>74</v>
      </c>
      <c r="C702" s="134" t="s">
        <v>1532</v>
      </c>
      <c r="E702" s="135" t="s">
        <v>1533</v>
      </c>
      <c r="F702" s="135" t="s">
        <v>66</v>
      </c>
      <c r="G702" s="131" t="s">
        <v>306</v>
      </c>
      <c r="H702" s="132" t="e">
        <f t="shared" si="44"/>
        <v>#VALUE!</v>
      </c>
      <c r="I702" s="151" t="e">
        <f>_xll.GetCtData("COAMOUNT","CONSAMOUNT",$A$1:$A$8,$A702:$B702,,"#8431,96223309531")/10^3*$H702</f>
        <v>#VALUE!</v>
      </c>
      <c r="J702" s="136"/>
      <c r="K702" s="136"/>
      <c r="L702" s="136" t="e">
        <f t="shared" si="45"/>
        <v>#VALUE!</v>
      </c>
      <c r="M702" s="128"/>
      <c r="N702" s="136"/>
      <c r="O702" s="128"/>
      <c r="P702" s="136" t="e">
        <f t="shared" si="43"/>
        <v>#VALUE!</v>
      </c>
    </row>
    <row r="703" spans="1:17" ht="12" hidden="1" outlineLevel="1" thickBot="1">
      <c r="A703" s="115" t="s">
        <v>1534</v>
      </c>
      <c r="B703" s="115" t="s">
        <v>74</v>
      </c>
      <c r="C703" s="134" t="s">
        <v>1535</v>
      </c>
      <c r="E703" s="135" t="s">
        <v>1536</v>
      </c>
      <c r="F703" s="135" t="s">
        <v>66</v>
      </c>
      <c r="G703" s="131" t="s">
        <v>306</v>
      </c>
      <c r="H703" s="132" t="e">
        <f t="shared" si="44"/>
        <v>#VALUE!</v>
      </c>
      <c r="I703" s="151" t="e">
        <f>_xll.GetCtData("COAMOUNT","CONSAMOUNT",$A$1:$A$8,$A703:$B703,,"#-614")/10^3*$H703</f>
        <v>#VALUE!</v>
      </c>
      <c r="J703" s="136"/>
      <c r="K703" s="136"/>
      <c r="L703" s="136" t="e">
        <f t="shared" si="45"/>
        <v>#VALUE!</v>
      </c>
      <c r="M703" s="128"/>
      <c r="N703" s="136"/>
      <c r="O703" s="128"/>
      <c r="P703" s="136" t="e">
        <f t="shared" si="43"/>
        <v>#VALUE!</v>
      </c>
    </row>
    <row r="704" spans="1:17" ht="12" hidden="1" outlineLevel="1" thickBot="1">
      <c r="A704" s="115" t="s">
        <v>1537</v>
      </c>
      <c r="B704" s="115" t="s">
        <v>74</v>
      </c>
      <c r="C704" s="134" t="s">
        <v>1538</v>
      </c>
      <c r="E704" s="135" t="s">
        <v>1539</v>
      </c>
      <c r="F704" s="135" t="s">
        <v>66</v>
      </c>
      <c r="G704" s="131" t="s">
        <v>306</v>
      </c>
      <c r="H704" s="132" t="e">
        <f t="shared" si="44"/>
        <v>#VALUE!</v>
      </c>
      <c r="I704" s="151" t="e">
        <f>_xll.GetCtData("COAMOUNT","CONSAMOUNT",$A$1:$A$8,$A704:$B704,,"#")/10^3*$H704</f>
        <v>#VALUE!</v>
      </c>
      <c r="J704" s="136"/>
      <c r="K704" s="136"/>
      <c r="L704" s="136" t="e">
        <f t="shared" si="45"/>
        <v>#VALUE!</v>
      </c>
      <c r="M704" s="128"/>
      <c r="N704" s="136"/>
      <c r="O704" s="128"/>
      <c r="P704" s="136" t="e">
        <f t="shared" si="43"/>
        <v>#VALUE!</v>
      </c>
    </row>
    <row r="705" spans="1:17" ht="12" hidden="1" outlineLevel="1" thickBot="1">
      <c r="A705" s="115" t="s">
        <v>1540</v>
      </c>
      <c r="B705" s="115" t="s">
        <v>74</v>
      </c>
      <c r="C705" s="134" t="s">
        <v>1541</v>
      </c>
      <c r="E705" s="135" t="s">
        <v>1542</v>
      </c>
      <c r="F705" s="135" t="s">
        <v>66</v>
      </c>
      <c r="G705" s="131" t="s">
        <v>306</v>
      </c>
      <c r="H705" s="132" t="e">
        <f t="shared" si="44"/>
        <v>#VALUE!</v>
      </c>
      <c r="I705" s="151" t="e">
        <f>_xll.GetCtData("COAMOUNT","CONSAMOUNT",$A$1:$A$8,$A705:$B705,,"#")/10^3*$H705</f>
        <v>#VALUE!</v>
      </c>
      <c r="J705" s="136"/>
      <c r="K705" s="136"/>
      <c r="L705" s="136" t="e">
        <f t="shared" si="45"/>
        <v>#VALUE!</v>
      </c>
      <c r="M705" s="128"/>
      <c r="N705" s="136"/>
      <c r="O705" s="128"/>
      <c r="P705" s="136" t="e">
        <f t="shared" si="43"/>
        <v>#VALUE!</v>
      </c>
    </row>
    <row r="706" spans="1:17" ht="12" hidden="1" outlineLevel="1" thickBot="1">
      <c r="A706" s="115" t="s">
        <v>1543</v>
      </c>
      <c r="B706" s="115" t="s">
        <v>74</v>
      </c>
      <c r="C706" s="134" t="s">
        <v>1544</v>
      </c>
      <c r="E706" s="135" t="s">
        <v>1545</v>
      </c>
      <c r="F706" s="135" t="s">
        <v>66</v>
      </c>
      <c r="G706" s="131" t="s">
        <v>306</v>
      </c>
      <c r="H706" s="132" t="e">
        <f t="shared" si="44"/>
        <v>#VALUE!</v>
      </c>
      <c r="I706" s="151" t="e">
        <f>_xll.GetCtData("COAMOUNT","CONSAMOUNT",$A$1:$A$8,$A706:$B706,,"#")/10^3*$H706</f>
        <v>#VALUE!</v>
      </c>
      <c r="J706" s="136"/>
      <c r="K706" s="136"/>
      <c r="L706" s="136" t="e">
        <f t="shared" si="45"/>
        <v>#VALUE!</v>
      </c>
      <c r="M706" s="128"/>
      <c r="N706" s="136"/>
      <c r="O706" s="128"/>
      <c r="P706" s="136" t="e">
        <f t="shared" si="43"/>
        <v>#VALUE!</v>
      </c>
    </row>
    <row r="707" spans="1:17" ht="12" hidden="1" outlineLevel="1" thickBot="1">
      <c r="A707" s="115" t="s">
        <v>1546</v>
      </c>
      <c r="B707" s="115" t="s">
        <v>74</v>
      </c>
      <c r="C707" s="134" t="s">
        <v>1547</v>
      </c>
      <c r="E707" s="135" t="s">
        <v>1548</v>
      </c>
      <c r="F707" s="135" t="s">
        <v>66</v>
      </c>
      <c r="G707" s="131" t="s">
        <v>306</v>
      </c>
      <c r="H707" s="132" t="e">
        <f t="shared" si="44"/>
        <v>#VALUE!</v>
      </c>
      <c r="I707" s="151" t="e">
        <f>_xll.GetCtData("COAMOUNT","CONSAMOUNT",$A$1:$A$8,$A707:$B707,,"#203,419288475863")/10^3*$H707</f>
        <v>#VALUE!</v>
      </c>
      <c r="J707" s="136"/>
      <c r="K707" s="136"/>
      <c r="L707" s="136" t="e">
        <f t="shared" si="45"/>
        <v>#VALUE!</v>
      </c>
      <c r="M707" s="128"/>
      <c r="N707" s="136"/>
      <c r="O707" s="128"/>
      <c r="P707" s="136" t="e">
        <f t="shared" si="43"/>
        <v>#VALUE!</v>
      </c>
    </row>
    <row r="708" spans="1:17" ht="12" hidden="1" outlineLevel="1" thickBot="1">
      <c r="A708" s="115" t="s">
        <v>1549</v>
      </c>
      <c r="B708" s="115" t="s">
        <v>74</v>
      </c>
      <c r="C708" s="134" t="s">
        <v>1550</v>
      </c>
      <c r="E708" s="135" t="s">
        <v>1551</v>
      </c>
      <c r="F708" s="135" t="s">
        <v>66</v>
      </c>
      <c r="G708" s="131" t="s">
        <v>306</v>
      </c>
      <c r="H708" s="132" t="e">
        <f t="shared" si="44"/>
        <v>#VALUE!</v>
      </c>
      <c r="I708" s="151" t="e">
        <f>_xll.GetCtData("COAMOUNT","CONSAMOUNT",$A$1:$A$8,$A708:$B708,,"#")/10^3*$H708</f>
        <v>#VALUE!</v>
      </c>
      <c r="J708" s="136"/>
      <c r="K708" s="136"/>
      <c r="L708" s="136" t="e">
        <f t="shared" si="45"/>
        <v>#VALUE!</v>
      </c>
      <c r="M708" s="128"/>
      <c r="N708" s="136"/>
      <c r="O708" s="128"/>
      <c r="P708" s="136" t="e">
        <f t="shared" si="43"/>
        <v>#VALUE!</v>
      </c>
    </row>
    <row r="709" spans="1:17" ht="12" hidden="1" outlineLevel="1" thickBot="1">
      <c r="A709" s="115" t="s">
        <v>1552</v>
      </c>
      <c r="B709" s="115" t="s">
        <v>74</v>
      </c>
      <c r="C709" s="134" t="s">
        <v>1553</v>
      </c>
      <c r="E709" s="135" t="s">
        <v>1554</v>
      </c>
      <c r="F709" s="135" t="s">
        <v>66</v>
      </c>
      <c r="G709" s="131" t="s">
        <v>306</v>
      </c>
      <c r="H709" s="132" t="e">
        <f t="shared" si="44"/>
        <v>#VALUE!</v>
      </c>
      <c r="I709" s="136"/>
      <c r="J709" s="151" t="e">
        <f>_xll.GetCtData("COAMOUNT","CONSAMOUNT",$A$1:$A$8,$A709:$B709,,"#-14593,4115915298")/10^3*$H709</f>
        <v>#VALUE!</v>
      </c>
      <c r="K709" s="136"/>
      <c r="L709" s="136" t="e">
        <f t="shared" si="45"/>
        <v>#VALUE!</v>
      </c>
      <c r="M709" s="128"/>
      <c r="N709" s="136"/>
      <c r="O709" s="128"/>
      <c r="P709" s="136" t="e">
        <f t="shared" si="43"/>
        <v>#VALUE!</v>
      </c>
    </row>
    <row r="710" spans="1:17" ht="12" hidden="1" outlineLevel="1" thickBot="1">
      <c r="A710" s="115" t="s">
        <v>1555</v>
      </c>
      <c r="B710" s="115" t="s">
        <v>74</v>
      </c>
      <c r="C710" s="134" t="s">
        <v>1556</v>
      </c>
      <c r="E710" s="135" t="s">
        <v>1557</v>
      </c>
      <c r="F710" s="135" t="s">
        <v>66</v>
      </c>
      <c r="G710" s="131" t="s">
        <v>306</v>
      </c>
      <c r="H710" s="132" t="e">
        <f t="shared" si="44"/>
        <v>#VALUE!</v>
      </c>
      <c r="I710" s="136"/>
      <c r="J710" s="151" t="e">
        <f>_xll.GetCtData("COAMOUNT","CONSAMOUNT",$A$1:$A$8,$A710:$B710,,"#-212,222643918703")/10^3*$H710</f>
        <v>#VALUE!</v>
      </c>
      <c r="K710" s="136"/>
      <c r="L710" s="136" t="e">
        <f t="shared" si="45"/>
        <v>#VALUE!</v>
      </c>
      <c r="M710" s="128"/>
      <c r="N710" s="136"/>
      <c r="O710" s="128"/>
      <c r="P710" s="136" t="e">
        <f t="shared" si="43"/>
        <v>#VALUE!</v>
      </c>
    </row>
    <row r="711" spans="1:17" ht="12" hidden="1" outlineLevel="1" thickBot="1">
      <c r="A711" s="115" t="s">
        <v>1558</v>
      </c>
      <c r="B711" s="115" t="s">
        <v>74</v>
      </c>
      <c r="C711" s="134" t="s">
        <v>1559</v>
      </c>
      <c r="E711" s="135" t="s">
        <v>1560</v>
      </c>
      <c r="F711" s="135" t="s">
        <v>66</v>
      </c>
      <c r="G711" s="131" t="s">
        <v>306</v>
      </c>
      <c r="H711" s="132" t="e">
        <f t="shared" si="44"/>
        <v>#VALUE!</v>
      </c>
      <c r="I711" s="136"/>
      <c r="J711" s="151" t="e">
        <f>_xll.GetCtData("COAMOUNT","CONSAMOUNT",$A$1:$A$8,$A711:$B711,,"#-3")/10^3*$H711</f>
        <v>#VALUE!</v>
      </c>
      <c r="K711" s="136"/>
      <c r="L711" s="136" t="e">
        <f t="shared" si="45"/>
        <v>#VALUE!</v>
      </c>
      <c r="M711" s="128"/>
      <c r="N711" s="136"/>
      <c r="O711" s="128"/>
      <c r="P711" s="136" t="e">
        <f t="shared" si="43"/>
        <v>#VALUE!</v>
      </c>
    </row>
    <row r="712" spans="1:17" ht="12" hidden="1" outlineLevel="1" thickBot="1">
      <c r="A712" s="115" t="s">
        <v>1561</v>
      </c>
      <c r="B712" s="115" t="s">
        <v>74</v>
      </c>
      <c r="C712" s="134" t="s">
        <v>1562</v>
      </c>
      <c r="E712" s="135" t="s">
        <v>1563</v>
      </c>
      <c r="F712" s="135" t="s">
        <v>66</v>
      </c>
      <c r="G712" s="131" t="s">
        <v>306</v>
      </c>
      <c r="H712" s="132" t="e">
        <f t="shared" si="44"/>
        <v>#VALUE!</v>
      </c>
      <c r="I712" s="136"/>
      <c r="J712" s="151" t="e">
        <f>_xll.GetCtData("COAMOUNT","CONSAMOUNT",$A$1:$A$8,$A712:$B712,,"#")/10^3*$H712</f>
        <v>#VALUE!</v>
      </c>
      <c r="K712" s="136"/>
      <c r="L712" s="136" t="e">
        <f t="shared" si="45"/>
        <v>#VALUE!</v>
      </c>
      <c r="M712" s="128"/>
      <c r="N712" s="136"/>
      <c r="O712" s="128"/>
      <c r="P712" s="136" t="e">
        <f t="shared" si="43"/>
        <v>#VALUE!</v>
      </c>
    </row>
    <row r="713" spans="1:17" ht="12" hidden="1" outlineLevel="1" thickBot="1">
      <c r="A713" s="115" t="s">
        <v>1564</v>
      </c>
      <c r="B713" s="115" t="s">
        <v>74</v>
      </c>
      <c r="C713" s="134" t="s">
        <v>1565</v>
      </c>
      <c r="E713" s="135" t="s">
        <v>1566</v>
      </c>
      <c r="F713" s="135" t="s">
        <v>66</v>
      </c>
      <c r="G713" s="131" t="s">
        <v>306</v>
      </c>
      <c r="H713" s="132" t="e">
        <f t="shared" si="44"/>
        <v>#VALUE!</v>
      </c>
      <c r="I713" s="136"/>
      <c r="J713" s="136"/>
      <c r="K713" s="151" t="e">
        <f>_xll.GetCtData("COAMOUNT","CONSAMOUNT",$A$1:$A$8,$A713:$B713,,"#-126882,620437697")/10^3*$H713</f>
        <v>#VALUE!</v>
      </c>
      <c r="L713" s="136" t="e">
        <f t="shared" si="45"/>
        <v>#VALUE!</v>
      </c>
      <c r="M713" s="128"/>
      <c r="N713" s="136"/>
      <c r="O713" s="128"/>
      <c r="P713" s="136" t="e">
        <f t="shared" si="43"/>
        <v>#VALUE!</v>
      </c>
    </row>
    <row r="714" spans="1:17" ht="12" hidden="1" outlineLevel="1" thickBot="1">
      <c r="A714" s="115" t="s">
        <v>1567</v>
      </c>
      <c r="B714" s="115" t="s">
        <v>74</v>
      </c>
      <c r="C714" s="134" t="s">
        <v>1568</v>
      </c>
      <c r="E714" s="135" t="s">
        <v>1569</v>
      </c>
      <c r="F714" s="135" t="s">
        <v>66</v>
      </c>
      <c r="G714" s="131" t="s">
        <v>306</v>
      </c>
      <c r="H714" s="132" t="e">
        <f t="shared" si="44"/>
        <v>#VALUE!</v>
      </c>
      <c r="I714" s="136"/>
      <c r="J714" s="136"/>
      <c r="K714" s="151" t="e">
        <f>_xll.GetCtData("COAMOUNT","CONSAMOUNT",$A$1:$A$8,$A714:$B714,,"#-6")/10^3*$H714</f>
        <v>#VALUE!</v>
      </c>
      <c r="L714" s="136" t="e">
        <f t="shared" si="45"/>
        <v>#VALUE!</v>
      </c>
      <c r="M714" s="128"/>
      <c r="N714" s="136"/>
      <c r="O714" s="128"/>
      <c r="P714" s="136" t="e">
        <f t="shared" si="43"/>
        <v>#VALUE!</v>
      </c>
    </row>
    <row r="715" spans="1:17" ht="12" hidden="1" outlineLevel="1" thickBot="1">
      <c r="C715" s="134"/>
      <c r="E715" s="137" t="s">
        <v>1570</v>
      </c>
      <c r="F715" s="137"/>
      <c r="G715" s="137"/>
      <c r="H715" s="137"/>
      <c r="I715" s="138" t="e">
        <f>SUM(I697:I714)/10^3-I696</f>
        <v>#VALUE!</v>
      </c>
      <c r="J715" s="138" t="e">
        <f>SUM(J697:J714)/10^3-J696</f>
        <v>#VALUE!</v>
      </c>
      <c r="K715" s="138" t="e">
        <f>SUM(K697:K714)/10^3-K696</f>
        <v>#VALUE!</v>
      </c>
      <c r="L715" s="138" t="e">
        <f>SUM(L697:L714)/10^3-L696</f>
        <v>#VALUE!</v>
      </c>
      <c r="M715" s="128"/>
      <c r="N715" s="138"/>
      <c r="O715" s="128"/>
      <c r="P715" s="138" t="e">
        <f t="shared" si="43"/>
        <v>#VALUE!</v>
      </c>
    </row>
    <row r="716" spans="1:17" ht="12" collapsed="1" thickBot="1">
      <c r="A716" s="115" t="s">
        <v>1090</v>
      </c>
      <c r="C716" s="123" t="s">
        <v>1682</v>
      </c>
      <c r="D716" s="124"/>
      <c r="E716" s="125" t="s">
        <v>130</v>
      </c>
      <c r="F716" s="126"/>
      <c r="G716" s="126"/>
      <c r="H716" s="126"/>
      <c r="I716" s="127">
        <f>_xll.GetCtData("COAMOUNT","CONSAMOUNT",$A$1:$A$8,$A716,I$10,"#341100259,598528")/10^3</f>
        <v>341100.25959852803</v>
      </c>
      <c r="J716" s="127">
        <f>_xll.GetCtData("COAMOUNT","CONSAMOUNT",$A$1:$A$8,$A716,J$10,"#1769630,07983944")/10^3</f>
        <v>1769.63007983944</v>
      </c>
      <c r="K716" s="127">
        <f>_xll.GetCtData("COAMOUNT","CONSAMOUNT",$A$1:$A$8,$A716,K$10,"#17721304,6456326")/10^3</f>
        <v>17721.304645632597</v>
      </c>
      <c r="L716" s="127">
        <f>_xll.GetCtData("COAMOUNT","CONSAMOUNT",$A$1:$A$8,$A716,L$10,"#360591194,324")/10^3</f>
        <v>360591.19432399998</v>
      </c>
      <c r="M716" s="128"/>
      <c r="N716" s="127">
        <v>961210</v>
      </c>
      <c r="O716" s="128"/>
      <c r="P716" s="127">
        <f t="shared" si="43"/>
        <v>1321801.194324</v>
      </c>
      <c r="Q716" s="129">
        <v>360230602.12967598</v>
      </c>
    </row>
    <row r="717" spans="1:17" hidden="1" outlineLevel="1">
      <c r="A717" s="115" t="s">
        <v>1572</v>
      </c>
      <c r="B717" s="115" t="s">
        <v>74</v>
      </c>
      <c r="C717" s="134" t="s">
        <v>1573</v>
      </c>
      <c r="E717" s="135" t="s">
        <v>1574</v>
      </c>
      <c r="F717" s="135" t="s">
        <v>66</v>
      </c>
      <c r="G717" s="131" t="s">
        <v>306</v>
      </c>
      <c r="H717" s="132" t="e">
        <f t="shared" ref="H717:H734" si="46">IF(LEFT(E717,6)/10^3="actifs",-1,1)/10^3</f>
        <v>#VALUE!</v>
      </c>
      <c r="I717" s="151" t="e">
        <f>_xll.GetCtData("COAMOUNT","CONSAMOUNT",$A$1:$A$8,$A717:$B717,,"#8675860,38002341")/10^3*$H717</f>
        <v>#VALUE!</v>
      </c>
      <c r="J717" s="136"/>
      <c r="K717" s="136"/>
      <c r="L717" s="136" t="e">
        <f t="shared" ref="L717:L734" si="47">SUM(I717:K717)/10^3</f>
        <v>#VALUE!</v>
      </c>
      <c r="M717" s="128"/>
      <c r="N717" s="136"/>
      <c r="O717" s="128"/>
      <c r="P717" s="136" t="e">
        <f t="shared" si="43"/>
        <v>#VALUE!</v>
      </c>
    </row>
    <row r="718" spans="1:17" hidden="1" outlineLevel="1">
      <c r="A718" s="115" t="s">
        <v>1575</v>
      </c>
      <c r="B718" s="115" t="s">
        <v>74</v>
      </c>
      <c r="C718" s="134" t="s">
        <v>1576</v>
      </c>
      <c r="E718" s="135" t="s">
        <v>1577</v>
      </c>
      <c r="F718" s="135" t="s">
        <v>66</v>
      </c>
      <c r="G718" s="131" t="s">
        <v>306</v>
      </c>
      <c r="H718" s="132" t="e">
        <f t="shared" si="46"/>
        <v>#VALUE!</v>
      </c>
      <c r="I718" s="151" t="e">
        <f>_xll.GetCtData("COAMOUNT","CONSAMOUNT",$A$1:$A$8,$A718:$B718,,"#5222391,19024643")/10^3*$H718</f>
        <v>#VALUE!</v>
      </c>
      <c r="J718" s="136"/>
      <c r="K718" s="136"/>
      <c r="L718" s="136" t="e">
        <f t="shared" si="47"/>
        <v>#VALUE!</v>
      </c>
      <c r="M718" s="128"/>
      <c r="N718" s="136"/>
      <c r="O718" s="128"/>
      <c r="P718" s="136" t="e">
        <f t="shared" si="43"/>
        <v>#VALUE!</v>
      </c>
    </row>
    <row r="719" spans="1:17" hidden="1" outlineLevel="1">
      <c r="A719" s="115" t="s">
        <v>1578</v>
      </c>
      <c r="B719" s="115" t="s">
        <v>74</v>
      </c>
      <c r="C719" s="134" t="s">
        <v>1579</v>
      </c>
      <c r="E719" s="135" t="s">
        <v>1580</v>
      </c>
      <c r="F719" s="135" t="s">
        <v>66</v>
      </c>
      <c r="G719" s="131" t="s">
        <v>306</v>
      </c>
      <c r="H719" s="132" t="e">
        <f t="shared" si="46"/>
        <v>#VALUE!</v>
      </c>
      <c r="I719" s="151" t="e">
        <f>_xll.GetCtData("COAMOUNT","CONSAMOUNT",$A$1:$A$8,$A719:$B719,,"#-77078,4048033693")/10^3*$H719</f>
        <v>#VALUE!</v>
      </c>
      <c r="J719" s="136"/>
      <c r="K719" s="136"/>
      <c r="L719" s="136" t="e">
        <f t="shared" si="47"/>
        <v>#VALUE!</v>
      </c>
      <c r="M719" s="128"/>
      <c r="N719" s="136"/>
      <c r="O719" s="128"/>
      <c r="P719" s="136" t="e">
        <f t="shared" si="43"/>
        <v>#VALUE!</v>
      </c>
    </row>
    <row r="720" spans="1:17" hidden="1" outlineLevel="1">
      <c r="A720" s="115" t="s">
        <v>1581</v>
      </c>
      <c r="B720" s="115" t="s">
        <v>74</v>
      </c>
      <c r="C720" s="134" t="s">
        <v>1582</v>
      </c>
      <c r="E720" s="135" t="s">
        <v>1583</v>
      </c>
      <c r="F720" s="135" t="s">
        <v>66</v>
      </c>
      <c r="G720" s="131" t="s">
        <v>306</v>
      </c>
      <c r="H720" s="132" t="e">
        <f t="shared" si="46"/>
        <v>#VALUE!</v>
      </c>
      <c r="I720" s="151" t="e">
        <f>_xll.GetCtData("COAMOUNT","CONSAMOUNT",$A$1:$A$8,$A720:$B720,,"#328563464,785095")/10^3*$H720</f>
        <v>#VALUE!</v>
      </c>
      <c r="J720" s="136"/>
      <c r="K720" s="136"/>
      <c r="L720" s="136" t="e">
        <f t="shared" si="47"/>
        <v>#VALUE!</v>
      </c>
      <c r="M720" s="128"/>
      <c r="N720" s="136"/>
      <c r="O720" s="128"/>
      <c r="P720" s="136" t="e">
        <f t="shared" si="43"/>
        <v>#VALUE!</v>
      </c>
    </row>
    <row r="721" spans="1:17" hidden="1" outlineLevel="1">
      <c r="A721" s="115" t="s">
        <v>1584</v>
      </c>
      <c r="B721" s="115" t="s">
        <v>74</v>
      </c>
      <c r="C721" s="134" t="s">
        <v>1585</v>
      </c>
      <c r="E721" s="135" t="s">
        <v>1586</v>
      </c>
      <c r="F721" s="135" t="s">
        <v>66</v>
      </c>
      <c r="G721" s="131" t="s">
        <v>306</v>
      </c>
      <c r="H721" s="132" t="e">
        <f t="shared" si="46"/>
        <v>#VALUE!</v>
      </c>
      <c r="I721" s="151" t="e">
        <f>_xll.GetCtData("COAMOUNT","CONSAMOUNT",$A$1:$A$8,$A721:$B721,,"#20918,4237528063")/10^3*$H721</f>
        <v>#VALUE!</v>
      </c>
      <c r="J721" s="136"/>
      <c r="K721" s="136"/>
      <c r="L721" s="136" t="e">
        <f t="shared" si="47"/>
        <v>#VALUE!</v>
      </c>
      <c r="M721" s="128"/>
      <c r="N721" s="136"/>
      <c r="O721" s="128"/>
      <c r="P721" s="136" t="e">
        <f t="shared" si="43"/>
        <v>#VALUE!</v>
      </c>
    </row>
    <row r="722" spans="1:17" hidden="1" outlineLevel="1">
      <c r="A722" s="115" t="s">
        <v>1587</v>
      </c>
      <c r="B722" s="115" t="s">
        <v>74</v>
      </c>
      <c r="C722" s="134" t="s">
        <v>1588</v>
      </c>
      <c r="E722" s="135" t="s">
        <v>1589</v>
      </c>
      <c r="F722" s="135" t="s">
        <v>66</v>
      </c>
      <c r="G722" s="131" t="s">
        <v>306</v>
      </c>
      <c r="H722" s="132" t="e">
        <f t="shared" si="46"/>
        <v>#VALUE!</v>
      </c>
      <c r="I722" s="151" t="e">
        <f>_xll.GetCtData("COAMOUNT","CONSAMOUNT",$A$1:$A$8,$A722:$B722,,"#-1456087,69328367")/10^3*$H722</f>
        <v>#VALUE!</v>
      </c>
      <c r="J722" s="136"/>
      <c r="K722" s="136"/>
      <c r="L722" s="136" t="e">
        <f t="shared" si="47"/>
        <v>#VALUE!</v>
      </c>
      <c r="M722" s="128"/>
      <c r="N722" s="136"/>
      <c r="O722" s="128"/>
      <c r="P722" s="136" t="e">
        <f t="shared" si="43"/>
        <v>#VALUE!</v>
      </c>
    </row>
    <row r="723" spans="1:17" hidden="1" outlineLevel="1">
      <c r="A723" s="115" t="s">
        <v>1599</v>
      </c>
      <c r="B723" s="115" t="s">
        <v>74</v>
      </c>
      <c r="C723" s="134" t="s">
        <v>1600</v>
      </c>
      <c r="E723" s="135" t="s">
        <v>1601</v>
      </c>
      <c r="F723" s="135" t="s">
        <v>66</v>
      </c>
      <c r="G723" s="131" t="s">
        <v>306</v>
      </c>
      <c r="H723" s="132" t="e">
        <f t="shared" si="46"/>
        <v>#VALUE!</v>
      </c>
      <c r="I723" s="151" t="e">
        <f>_xll.GetCtData("COAMOUNT","CONSAMOUNT",$A$1:$A$8,$A723:$B723,,"#-1079")/10^3*$H723</f>
        <v>#VALUE!</v>
      </c>
      <c r="J723" s="136"/>
      <c r="K723" s="136"/>
      <c r="L723" s="136" t="e">
        <f t="shared" si="47"/>
        <v>#VALUE!</v>
      </c>
      <c r="M723" s="128"/>
      <c r="N723" s="136"/>
      <c r="O723" s="128"/>
      <c r="P723" s="136" t="e">
        <f t="shared" si="43"/>
        <v>#VALUE!</v>
      </c>
    </row>
    <row r="724" spans="1:17" hidden="1" outlineLevel="1">
      <c r="A724" s="115" t="s">
        <v>1596</v>
      </c>
      <c r="B724" s="115" t="s">
        <v>74</v>
      </c>
      <c r="C724" s="134" t="s">
        <v>1597</v>
      </c>
      <c r="E724" s="135" t="s">
        <v>1598</v>
      </c>
      <c r="F724" s="135" t="s">
        <v>66</v>
      </c>
      <c r="G724" s="131" t="s">
        <v>306</v>
      </c>
      <c r="H724" s="132" t="e">
        <f t="shared" si="46"/>
        <v>#VALUE!</v>
      </c>
      <c r="I724" s="151" t="e">
        <f>_xll.GetCtData("COAMOUNT","CONSAMOUNT",$A$1:$A$8,$A724:$B724,,"#-2082")/10^3*$H724</f>
        <v>#VALUE!</v>
      </c>
      <c r="J724" s="136"/>
      <c r="K724" s="136"/>
      <c r="L724" s="136" t="e">
        <f t="shared" si="47"/>
        <v>#VALUE!</v>
      </c>
      <c r="M724" s="128"/>
      <c r="N724" s="136"/>
      <c r="O724" s="128"/>
      <c r="P724" s="136" t="e">
        <f t="shared" si="43"/>
        <v>#VALUE!</v>
      </c>
    </row>
    <row r="725" spans="1:17" hidden="1" outlineLevel="1">
      <c r="A725" s="115" t="s">
        <v>1593</v>
      </c>
      <c r="B725" s="115" t="s">
        <v>74</v>
      </c>
      <c r="C725" s="134" t="s">
        <v>1594</v>
      </c>
      <c r="E725" s="135" t="s">
        <v>1595</v>
      </c>
      <c r="F725" s="135" t="s">
        <v>66</v>
      </c>
      <c r="G725" s="131" t="s">
        <v>306</v>
      </c>
      <c r="H725" s="132" t="e">
        <f t="shared" si="46"/>
        <v>#VALUE!</v>
      </c>
      <c r="I725" s="151" t="e">
        <f>_xll.GetCtData("COAMOUNT","CONSAMOUNT",$A$1:$A$8,$A725:$B725,,"#1753")/10^3*$H725</f>
        <v>#VALUE!</v>
      </c>
      <c r="J725" s="136"/>
      <c r="K725" s="136"/>
      <c r="L725" s="136" t="e">
        <f t="shared" si="47"/>
        <v>#VALUE!</v>
      </c>
      <c r="M725" s="128"/>
      <c r="N725" s="136"/>
      <c r="O725" s="128"/>
      <c r="P725" s="136" t="e">
        <f t="shared" si="43"/>
        <v>#VALUE!</v>
      </c>
    </row>
    <row r="726" spans="1:17" hidden="1" outlineLevel="1">
      <c r="A726" s="115" t="s">
        <v>1590</v>
      </c>
      <c r="B726" s="115" t="s">
        <v>74</v>
      </c>
      <c r="C726" s="134" t="s">
        <v>1591</v>
      </c>
      <c r="E726" s="135" t="s">
        <v>1592</v>
      </c>
      <c r="F726" s="135" t="s">
        <v>66</v>
      </c>
      <c r="G726" s="131" t="s">
        <v>306</v>
      </c>
      <c r="H726" s="132" t="e">
        <f t="shared" si="46"/>
        <v>#VALUE!</v>
      </c>
      <c r="I726" s="151" t="e">
        <f>_xll.GetCtData("COAMOUNT","CONSAMOUNT",$A$1:$A$8,$A726:$B726,,"#48349")/10^3*$H726</f>
        <v>#VALUE!</v>
      </c>
      <c r="J726" s="136"/>
      <c r="K726" s="136"/>
      <c r="L726" s="136" t="e">
        <f t="shared" si="47"/>
        <v>#VALUE!</v>
      </c>
      <c r="M726" s="128"/>
      <c r="N726" s="136"/>
      <c r="O726" s="128"/>
      <c r="P726" s="136" t="e">
        <f t="shared" si="43"/>
        <v>#VALUE!</v>
      </c>
    </row>
    <row r="727" spans="1:17" hidden="1" outlineLevel="1">
      <c r="A727" s="115" t="s">
        <v>1602</v>
      </c>
      <c r="B727" s="115" t="s">
        <v>74</v>
      </c>
      <c r="C727" s="134" t="s">
        <v>1603</v>
      </c>
      <c r="E727" s="135" t="s">
        <v>1604</v>
      </c>
      <c r="F727" s="135" t="s">
        <v>66</v>
      </c>
      <c r="G727" s="131" t="s">
        <v>306</v>
      </c>
      <c r="H727" s="132" t="e">
        <f t="shared" si="46"/>
        <v>#VALUE!</v>
      </c>
      <c r="I727" s="151" t="e">
        <f>_xll.GetCtData("COAMOUNT","CONSAMOUNT",$A$1:$A$8,$A727:$B727,,"#62918,9174972511")/10^3*$H727</f>
        <v>#VALUE!</v>
      </c>
      <c r="J727" s="136"/>
      <c r="K727" s="136"/>
      <c r="L727" s="136" t="e">
        <f t="shared" si="47"/>
        <v>#VALUE!</v>
      </c>
      <c r="M727" s="128"/>
      <c r="N727" s="136"/>
      <c r="O727" s="128"/>
      <c r="P727" s="136" t="e">
        <f t="shared" si="43"/>
        <v>#VALUE!</v>
      </c>
    </row>
    <row r="728" spans="1:17" hidden="1" outlineLevel="1">
      <c r="A728" s="115" t="s">
        <v>1605</v>
      </c>
      <c r="B728" s="115" t="s">
        <v>74</v>
      </c>
      <c r="C728" s="134" t="s">
        <v>1606</v>
      </c>
      <c r="E728" s="135" t="s">
        <v>1607</v>
      </c>
      <c r="F728" s="135" t="s">
        <v>66</v>
      </c>
      <c r="G728" s="131" t="s">
        <v>306</v>
      </c>
      <c r="H728" s="132" t="e">
        <f t="shared" si="46"/>
        <v>#VALUE!</v>
      </c>
      <c r="I728" s="151" t="e">
        <f>_xll.GetCtData("COAMOUNT","CONSAMOUNT",$A$1:$A$8,$A728:$B728,,"#37039")/10^3*$H728</f>
        <v>#VALUE!</v>
      </c>
      <c r="J728" s="136"/>
      <c r="K728" s="136"/>
      <c r="L728" s="136" t="e">
        <f t="shared" si="47"/>
        <v>#VALUE!</v>
      </c>
      <c r="M728" s="128"/>
      <c r="N728" s="136"/>
      <c r="O728" s="128"/>
      <c r="P728" s="136" t="e">
        <f t="shared" si="43"/>
        <v>#VALUE!</v>
      </c>
    </row>
    <row r="729" spans="1:17" hidden="1" outlineLevel="1">
      <c r="A729" s="115" t="s">
        <v>1608</v>
      </c>
      <c r="B729" s="115" t="s">
        <v>74</v>
      </c>
      <c r="C729" s="134" t="s">
        <v>1609</v>
      </c>
      <c r="E729" s="135" t="s">
        <v>1610</v>
      </c>
      <c r="F729" s="135" t="s">
        <v>66</v>
      </c>
      <c r="G729" s="131" t="s">
        <v>306</v>
      </c>
      <c r="H729" s="132" t="e">
        <f t="shared" si="46"/>
        <v>#VALUE!</v>
      </c>
      <c r="I729" s="136"/>
      <c r="J729" s="151" t="e">
        <f>_xll.GetCtData("COAMOUNT","CONSAMOUNT",$A$1:$A$8,$A729:$B729,,"#603684,40673998")/10^3*$H729</f>
        <v>#VALUE!</v>
      </c>
      <c r="K729" s="136"/>
      <c r="L729" s="136" t="e">
        <f t="shared" si="47"/>
        <v>#VALUE!</v>
      </c>
      <c r="M729" s="128"/>
      <c r="N729" s="136"/>
      <c r="O729" s="128"/>
      <c r="P729" s="136" t="e">
        <f t="shared" si="43"/>
        <v>#VALUE!</v>
      </c>
    </row>
    <row r="730" spans="1:17" hidden="1" outlineLevel="1">
      <c r="A730" s="115" t="s">
        <v>1611</v>
      </c>
      <c r="B730" s="115" t="s">
        <v>74</v>
      </c>
      <c r="C730" s="134" t="s">
        <v>1612</v>
      </c>
      <c r="E730" s="135" t="s">
        <v>1613</v>
      </c>
      <c r="F730" s="135" t="s">
        <v>66</v>
      </c>
      <c r="G730" s="131" t="s">
        <v>306</v>
      </c>
      <c r="H730" s="132" t="e">
        <f t="shared" si="46"/>
        <v>#VALUE!</v>
      </c>
      <c r="I730" s="136"/>
      <c r="J730" s="151" t="e">
        <f>_xll.GetCtData("COAMOUNT","CONSAMOUNT",$A$1:$A$8,$A730:$B730,,"#63452,2387826765")/10^3*$H730</f>
        <v>#VALUE!</v>
      </c>
      <c r="K730" s="136"/>
      <c r="L730" s="136" t="e">
        <f t="shared" si="47"/>
        <v>#VALUE!</v>
      </c>
      <c r="M730" s="128"/>
      <c r="N730" s="136"/>
      <c r="O730" s="128"/>
      <c r="P730" s="136" t="e">
        <f t="shared" si="43"/>
        <v>#VALUE!</v>
      </c>
    </row>
    <row r="731" spans="1:17" hidden="1" outlineLevel="1">
      <c r="A731" s="115" t="s">
        <v>1614</v>
      </c>
      <c r="B731" s="115" t="s">
        <v>74</v>
      </c>
      <c r="C731" s="134" t="s">
        <v>1615</v>
      </c>
      <c r="E731" s="135" t="s">
        <v>1616</v>
      </c>
      <c r="F731" s="135" t="s">
        <v>66</v>
      </c>
      <c r="G731" s="131" t="s">
        <v>306</v>
      </c>
      <c r="H731" s="132" t="e">
        <f t="shared" si="46"/>
        <v>#VALUE!</v>
      </c>
      <c r="I731" s="136"/>
      <c r="J731" s="151" t="e">
        <f>_xll.GetCtData("COAMOUNT","CONSAMOUNT",$A$1:$A$8,$A731:$B731,,"#1106360,45361235")/10^3*$H731</f>
        <v>#VALUE!</v>
      </c>
      <c r="K731" s="136"/>
      <c r="L731" s="136" t="e">
        <f t="shared" si="47"/>
        <v>#VALUE!</v>
      </c>
      <c r="M731" s="128"/>
      <c r="N731" s="136"/>
      <c r="O731" s="128"/>
      <c r="P731" s="136" t="e">
        <f t="shared" si="43"/>
        <v>#VALUE!</v>
      </c>
    </row>
    <row r="732" spans="1:17" hidden="1" outlineLevel="1">
      <c r="A732" s="115" t="s">
        <v>1617</v>
      </c>
      <c r="B732" s="115" t="s">
        <v>74</v>
      </c>
      <c r="C732" s="134" t="s">
        <v>1618</v>
      </c>
      <c r="E732" s="135" t="s">
        <v>1619</v>
      </c>
      <c r="F732" s="135" t="s">
        <v>66</v>
      </c>
      <c r="G732" s="131" t="s">
        <v>306</v>
      </c>
      <c r="H732" s="132" t="e">
        <f t="shared" si="46"/>
        <v>#VALUE!</v>
      </c>
      <c r="I732" s="136"/>
      <c r="J732" s="151" t="e">
        <f>_xll.GetCtData("COAMOUNT","CONSAMOUNT",$A$1:$A$8,$A732:$B732,,"#23,9807044301777")/10^3*$H732</f>
        <v>#VALUE!</v>
      </c>
      <c r="K732" s="136"/>
      <c r="L732" s="136" t="e">
        <f t="shared" si="47"/>
        <v>#VALUE!</v>
      </c>
      <c r="M732" s="128"/>
      <c r="N732" s="136"/>
      <c r="O732" s="128"/>
      <c r="P732" s="136" t="e">
        <f t="shared" si="43"/>
        <v>#VALUE!</v>
      </c>
    </row>
    <row r="733" spans="1:17" hidden="1" outlineLevel="1">
      <c r="A733" s="115" t="s">
        <v>1620</v>
      </c>
      <c r="B733" s="115" t="s">
        <v>74</v>
      </c>
      <c r="C733" s="134" t="s">
        <v>1621</v>
      </c>
      <c r="E733" s="135" t="s">
        <v>1622</v>
      </c>
      <c r="F733" s="135" t="s">
        <v>66</v>
      </c>
      <c r="G733" s="131" t="s">
        <v>306</v>
      </c>
      <c r="H733" s="132" t="e">
        <f t="shared" si="46"/>
        <v>#VALUE!</v>
      </c>
      <c r="I733" s="136"/>
      <c r="J733" s="136"/>
      <c r="K733" s="151" t="e">
        <f>_xll.GetCtData("COAMOUNT","CONSAMOUNT",$A$1:$A$8,$A733:$B733,,"#3357805,58160878")/10^3*$H733</f>
        <v>#VALUE!</v>
      </c>
      <c r="L733" s="136" t="e">
        <f t="shared" si="47"/>
        <v>#VALUE!</v>
      </c>
      <c r="M733" s="128"/>
      <c r="N733" s="136"/>
      <c r="O733" s="128"/>
      <c r="P733" s="136" t="e">
        <f t="shared" si="43"/>
        <v>#VALUE!</v>
      </c>
    </row>
    <row r="734" spans="1:17" hidden="1" outlineLevel="1">
      <c r="A734" s="115" t="s">
        <v>1623</v>
      </c>
      <c r="B734" s="115" t="s">
        <v>74</v>
      </c>
      <c r="C734" s="134" t="s">
        <v>1624</v>
      </c>
      <c r="E734" s="135" t="s">
        <v>1625</v>
      </c>
      <c r="F734" s="135" t="s">
        <v>66</v>
      </c>
      <c r="G734" s="131" t="s">
        <v>306</v>
      </c>
      <c r="H734" s="132" t="e">
        <f t="shared" si="46"/>
        <v>#VALUE!</v>
      </c>
      <c r="I734" s="136"/>
      <c r="J734" s="136"/>
      <c r="K734" s="151" t="e">
        <f>_xll.GetCtData("COAMOUNT","CONSAMOUNT",$A$1:$A$8,$A734:$B734,,"#14363500,0640238")/10^3*$H734</f>
        <v>#VALUE!</v>
      </c>
      <c r="L734" s="136" t="e">
        <f t="shared" si="47"/>
        <v>#VALUE!</v>
      </c>
      <c r="M734" s="128"/>
      <c r="N734" s="136"/>
      <c r="O734" s="128"/>
      <c r="P734" s="136" t="e">
        <f t="shared" si="43"/>
        <v>#VALUE!</v>
      </c>
    </row>
    <row r="735" spans="1:17" hidden="1" outlineLevel="1">
      <c r="C735" s="134"/>
      <c r="E735" s="137" t="s">
        <v>1570</v>
      </c>
      <c r="F735" s="137"/>
      <c r="G735" s="137"/>
      <c r="H735" s="137"/>
      <c r="I735" s="138" t="e">
        <f>SUM(I717:I734)/10^3-I716</f>
        <v>#VALUE!</v>
      </c>
      <c r="J735" s="138" t="e">
        <f>SUM(J717:J734)/10^3-J716</f>
        <v>#VALUE!</v>
      </c>
      <c r="K735" s="138" t="e">
        <f>SUM(K717:K734)/10^3-K716</f>
        <v>#VALUE!</v>
      </c>
      <c r="L735" s="138" t="e">
        <f>SUM(L717:L734)/10^3-L716</f>
        <v>#VALUE!</v>
      </c>
      <c r="M735" s="128"/>
      <c r="N735" s="138"/>
      <c r="O735" s="128"/>
      <c r="P735" s="138" t="e">
        <f t="shared" si="43"/>
        <v>#VALUE!</v>
      </c>
    </row>
    <row r="736" spans="1:17" ht="12" collapsed="1" thickBot="1">
      <c r="A736" s="115" t="s">
        <v>74</v>
      </c>
      <c r="C736" s="123"/>
      <c r="D736" s="124"/>
      <c r="E736" s="14" t="s">
        <v>118</v>
      </c>
      <c r="F736" s="14"/>
      <c r="G736" s="20"/>
      <c r="H736" s="20"/>
      <c r="I736" s="139">
        <f>_xll.GetCtData("COAMOUNT","CONSAMOUNT",$A$1:$A$8,$A736,I$10,"#340693633,658081")/10^3</f>
        <v>340693.633658081</v>
      </c>
      <c r="J736" s="139">
        <f>_xll.GetCtData("COAMOUNT","CONSAMOUNT",$A$1:$A$8,$A736,J$10,"#1784438,71407488")/10^3</f>
        <v>1784.43871407488</v>
      </c>
      <c r="K736" s="139">
        <f>_xll.GetCtData("COAMOUNT","CONSAMOUNT",$A$1:$A$8,$A736,K$10,"#17848193,2660703")/10^3</f>
        <v>17848.193266070299</v>
      </c>
      <c r="L736" s="139">
        <f>_xll.GetCtData("COAMOUNT","CONSAMOUNT",$A$1:$A$8,$A736,L$10,"#360326265,638226")/10^3</f>
        <v>360326.26563822594</v>
      </c>
      <c r="M736" s="128"/>
      <c r="N736" s="139">
        <v>871995</v>
      </c>
      <c r="O736" s="128"/>
      <c r="P736" s="139">
        <f t="shared" si="43"/>
        <v>1232321.2656382259</v>
      </c>
      <c r="Q736" s="129">
        <v>359965593.37258816</v>
      </c>
    </row>
    <row r="739" spans="3:20">
      <c r="C739" s="108"/>
      <c r="D739" s="164" t="s">
        <v>1030</v>
      </c>
      <c r="E739" s="165" t="s">
        <v>114</v>
      </c>
      <c r="I739" s="166">
        <f>I736-I716-I696</f>
        <v>-2.8188651413074695E-10</v>
      </c>
      <c r="J739" s="166">
        <f>J736-J716-J696</f>
        <v>-8.5336182564788032E-12</v>
      </c>
      <c r="K739" s="166">
        <f>K736-K716-K696</f>
        <v>4.3200998334214091E-12</v>
      </c>
      <c r="L739" s="166">
        <f>L736-L716-L696</f>
        <v>-4.3212367017986253E-10</v>
      </c>
      <c r="M739" s="166"/>
      <c r="N739" s="166">
        <f>N736-N716-N696</f>
        <v>0</v>
      </c>
      <c r="O739" s="167"/>
      <c r="P739" s="166"/>
      <c r="Q739" s="168"/>
      <c r="R739" s="69"/>
      <c r="S739" s="50"/>
      <c r="T739" s="166">
        <f>T737-T736-T735</f>
        <v>0</v>
      </c>
    </row>
    <row r="740" spans="3:20">
      <c r="C740" s="108"/>
      <c r="D740" s="164" t="s">
        <v>1030</v>
      </c>
      <c r="E740" s="165" t="s">
        <v>106</v>
      </c>
      <c r="I740" s="166">
        <f>+I54-I34-I14</f>
        <v>6.5926997194765136E-10</v>
      </c>
      <c r="J740" s="166">
        <f>+J54-J34-J14</f>
        <v>7.2510886184318224E-12</v>
      </c>
      <c r="K740" s="166">
        <f>+K54-K34-K14</f>
        <v>-6.6791017161449417E-13</v>
      </c>
      <c r="L740" s="166">
        <f>+L54-L34-L14</f>
        <v>-1.7280399333685637E-11</v>
      </c>
      <c r="M740" s="166"/>
      <c r="N740" s="166">
        <f>+N54-N34-N14</f>
        <v>0</v>
      </c>
      <c r="O740" s="167"/>
      <c r="P740" s="166"/>
      <c r="Q740" s="168"/>
      <c r="R740" s="69"/>
      <c r="S740" s="50"/>
      <c r="T740" s="166">
        <f>T713-T712-T711</f>
        <v>0</v>
      </c>
    </row>
    <row r="741" spans="3:20">
      <c r="C741" s="108"/>
      <c r="D741" s="164" t="s">
        <v>1030</v>
      </c>
      <c r="E741" s="169" t="s">
        <v>1095</v>
      </c>
      <c r="I741" s="166">
        <f>I736-I257-I255-I253-I54</f>
        <v>3.8822742644697428E-3</v>
      </c>
      <c r="J741" s="166">
        <f>J736-J257-J255-J253-J54</f>
        <v>-6.0701285906361591E-4</v>
      </c>
      <c r="K741" s="166">
        <f>K736-K257-K255-K253-K54</f>
        <v>-1.9999999421997927E-3</v>
      </c>
      <c r="L741" s="166">
        <f>L736-L257-L255-L253-L54</f>
        <v>1.275261864066124E-3</v>
      </c>
      <c r="M741" s="166"/>
      <c r="N741" s="166">
        <f>N736-N257-N255-N253-N54</f>
        <v>-10</v>
      </c>
      <c r="O741" s="167"/>
      <c r="P741" s="166"/>
      <c r="Q741" s="168"/>
      <c r="R741" s="106"/>
      <c r="S741" s="50"/>
      <c r="T741" s="166">
        <f>T737-T729-T727-T713-T731</f>
        <v>0</v>
      </c>
    </row>
    <row r="742" spans="3:20">
      <c r="C742" s="108"/>
      <c r="D742" s="164" t="s">
        <v>1030</v>
      </c>
      <c r="E742" s="165" t="s">
        <v>112</v>
      </c>
      <c r="I742" s="166">
        <f>+I258+I368+I586-I257</f>
        <v>0</v>
      </c>
      <c r="J742" s="166">
        <f>+J258+J368+J586-J257</f>
        <v>0</v>
      </c>
      <c r="K742" s="166">
        <f>+K258+K368+K586-K257</f>
        <v>0</v>
      </c>
      <c r="L742" s="166">
        <f>+L258+L368+L586-L257</f>
        <v>-4.0927261579781771E-12</v>
      </c>
      <c r="M742" s="166"/>
      <c r="N742" s="166">
        <f>+N258+N368+N586-N257</f>
        <v>0</v>
      </c>
      <c r="O742" s="167"/>
      <c r="P742" s="166"/>
      <c r="Q742" s="168"/>
      <c r="R742" s="106"/>
      <c r="S742" s="50"/>
      <c r="T742" s="166">
        <f>+T731-SUM(T732:T734)/10^3</f>
        <v>0</v>
      </c>
    </row>
    <row r="743" spans="3:20">
      <c r="C743" s="108"/>
      <c r="D743" s="164" t="s">
        <v>1030</v>
      </c>
      <c r="E743" s="165" t="s">
        <v>110</v>
      </c>
      <c r="I743" s="166">
        <f>+I255-I254</f>
        <v>0</v>
      </c>
      <c r="J743" s="166">
        <f>+J255-J254</f>
        <v>0</v>
      </c>
      <c r="K743" s="166">
        <f>+K255-K254</f>
        <v>0</v>
      </c>
      <c r="L743" s="166">
        <f>+L255-L254</f>
        <v>0</v>
      </c>
      <c r="M743" s="166"/>
      <c r="N743" s="166">
        <f>+N255-N254</f>
        <v>0</v>
      </c>
      <c r="O743" s="167"/>
      <c r="P743" s="166"/>
      <c r="Q743" s="170"/>
      <c r="R743" s="107"/>
      <c r="S743" s="50"/>
      <c r="T743" s="166">
        <f>+T729-SUM(T728)/10^3</f>
        <v>0</v>
      </c>
    </row>
    <row r="744" spans="3:20">
      <c r="C744" s="108"/>
      <c r="D744" s="164" t="s">
        <v>1030</v>
      </c>
      <c r="E744" s="169" t="s">
        <v>109</v>
      </c>
      <c r="I744" s="166">
        <f>I253-I148-I149-I179</f>
        <v>-3.6607161746360362E-11</v>
      </c>
      <c r="J744" s="166">
        <f>J253-J148-J149-J179</f>
        <v>-6.0396132539608516E-13</v>
      </c>
      <c r="K744" s="166">
        <f>K253-K148-K149-K179</f>
        <v>-8.0717654782347381E-12</v>
      </c>
      <c r="L744" s="166">
        <f>L253-L148-L149-L179</f>
        <v>5.9117155615240335E-12</v>
      </c>
      <c r="M744" s="166"/>
      <c r="N744" s="166">
        <f>N253-N148-N149-N179</f>
        <v>0</v>
      </c>
      <c r="O744" s="167"/>
      <c r="P744" s="166"/>
      <c r="Q744" s="171"/>
      <c r="R744" s="6"/>
      <c r="S744" s="50"/>
      <c r="T744" s="166">
        <f>T727-T724-SUM(T725:T726)/10^3</f>
        <v>0</v>
      </c>
    </row>
    <row r="745" spans="3:20">
      <c r="C745" s="108"/>
      <c r="D745" s="164" t="s">
        <v>1030</v>
      </c>
      <c r="E745" s="165" t="s">
        <v>107</v>
      </c>
      <c r="I745" s="166">
        <f>+I55+I94+I134-I148</f>
        <v>0</v>
      </c>
      <c r="J745" s="166">
        <f>+J55+J94+J134-J148</f>
        <v>-5.4001247917767614E-13</v>
      </c>
      <c r="K745" s="166">
        <f>+K55+K94+K134-K148</f>
        <v>-9.7770680440589786E-12</v>
      </c>
      <c r="L745" s="166">
        <f>+L55+L94+L134-L148</f>
        <v>-5.9117155615240335E-12</v>
      </c>
      <c r="M745" s="166"/>
      <c r="N745" s="166"/>
      <c r="O745" s="167"/>
      <c r="P745" s="166"/>
      <c r="Q745" s="171"/>
      <c r="R745" s="6"/>
      <c r="S745" s="50"/>
      <c r="T745" s="166">
        <f>T724-T714-T719-T720-T721-T722</f>
        <v>0</v>
      </c>
    </row>
    <row r="746" spans="3:20">
      <c r="C746" s="108"/>
      <c r="D746" s="164" t="s">
        <v>1030</v>
      </c>
      <c r="E746" s="165" t="s">
        <v>119</v>
      </c>
      <c r="I746" s="166">
        <f>I56+I57+I75-I55</f>
        <v>0</v>
      </c>
      <c r="J746" s="166">
        <f>J56+J57+J75-J55</f>
        <v>0</v>
      </c>
      <c r="K746" s="166">
        <f>K56+K57+K75-K55</f>
        <v>1.0004441719502211E-11</v>
      </c>
      <c r="L746" s="166">
        <f>L56+L57+L75-L55</f>
        <v>0</v>
      </c>
      <c r="M746" s="166"/>
      <c r="N746" s="166">
        <f>N56+N57+N75-N55</f>
        <v>0</v>
      </c>
      <c r="O746" s="167"/>
      <c r="P746" s="166"/>
      <c r="Q746" s="171"/>
      <c r="R746" s="6"/>
      <c r="S746" s="50"/>
      <c r="T746" s="166">
        <f>T714-T715-T717-T716</f>
        <v>0</v>
      </c>
    </row>
  </sheetData>
  <customSheetViews>
    <customSheetView guid="{6357C996-BE12-4F66-ACBB-1F9F08F8885C}" showGridLines="0" hiddenRows="1" hiddenColumns="1" state="hidden" topLeftCell="D9">
      <selection activeCell="Q54" sqref="Q54"/>
      <pageMargins left="0.7" right="0.7" top="0.75" bottom="0.75" header="0.3" footer="0.3"/>
      <pageSetup paperSize="9" orientation="portrait" r:id="rId1"/>
    </customSheetView>
    <customSheetView guid="{5874C782-5C34-4C4C-BCC6-3692259149CA}" showGridLines="0" hiddenRows="1" hiddenColumns="1" state="hidden" topLeftCell="D9">
      <selection activeCell="Q54" sqref="Q54"/>
      <pageMargins left="0.7" right="0.7" top="0.75" bottom="0.75" header="0.3" footer="0.3"/>
      <pageSetup paperSize="9" orientation="portrait" r:id="rId2"/>
    </customSheetView>
  </customSheetViews>
  <mergeCells count="3">
    <mergeCell ref="I12:L12"/>
    <mergeCell ref="N12:N13"/>
    <mergeCell ref="P12:P13"/>
  </mergeCells>
  <conditionalFormatting sqref="A1">
    <cfRule type="duplicateValues" dxfId="984" priority="1"/>
  </conditionalFormatting>
  <pageMargins left="0.7" right="0.7" top="0.75" bottom="0.75" header="0.3" footer="0.3"/>
  <pageSetup paperSize="9" orientation="portrait" r:id="rId3"/>
  <customProperties>
    <customPr name="EpmWorksheetKeyString_GUID" r:id="rId4"/>
  </customPropertie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M681"/>
  <sheetViews>
    <sheetView showGridLines="0" topLeftCell="A606" workbookViewId="0">
      <selection activeCell="I645" sqref="I645"/>
    </sheetView>
  </sheetViews>
  <sheetFormatPr baseColWidth="10" defaultColWidth="10.85546875" defaultRowHeight="15" outlineLevelRow="1" outlineLevelCol="2"/>
  <cols>
    <col min="1" max="1" width="14.7109375" style="453" customWidth="1" outlineLevel="2"/>
    <col min="2" max="2" width="15.7109375" style="453" customWidth="1" outlineLevel="2"/>
    <col min="3" max="3" width="9.5703125" style="453" customWidth="1" outlineLevel="1"/>
    <col min="4" max="4" width="12" style="455" customWidth="1" outlineLevel="1"/>
    <col min="5" max="5" width="9.140625" style="456" customWidth="1" outlineLevel="1"/>
    <col min="6" max="6" width="12.5703125" style="457" customWidth="1" outlineLevel="1"/>
    <col min="7" max="7" width="10.7109375" style="453" customWidth="1" outlineLevel="1" collapsed="1"/>
    <col min="8" max="13" width="10.7109375" style="453" customWidth="1" outlineLevel="1"/>
    <col min="14" max="14" width="12.7109375" style="455" customWidth="1"/>
    <col min="15" max="15" width="5" style="456" hidden="1" customWidth="1" outlineLevel="1"/>
    <col min="16" max="16" width="109.7109375" style="456" hidden="1" customWidth="1" outlineLevel="1"/>
    <col min="17" max="17" width="2.7109375" style="455" hidden="1" customWidth="1" outlineLevel="1"/>
    <col min="18" max="18" width="56.85546875" style="456" customWidth="1" collapsed="1"/>
    <col min="19" max="19" width="6.42578125" style="456" hidden="1" customWidth="1" outlineLevel="1"/>
    <col min="20" max="20" width="52.28515625" style="456" hidden="1" customWidth="1" outlineLevel="1"/>
    <col min="21" max="21" width="4.7109375" style="456" hidden="1" customWidth="1" outlineLevel="1"/>
    <col min="22" max="22" width="38" style="458" hidden="1" customWidth="1" outlineLevel="1"/>
    <col min="23" max="23" width="121.42578125" style="458" hidden="1" customWidth="1" outlineLevel="1"/>
    <col min="24" max="24" width="5.5703125" style="458" hidden="1" customWidth="1" outlineLevel="1"/>
    <col min="25" max="25" width="66.85546875" style="458" hidden="1" customWidth="1" outlineLevel="1"/>
    <col min="26" max="26" width="6.42578125" style="458" hidden="1" customWidth="1" outlineLevel="1"/>
    <col min="27" max="27" width="58.42578125" style="458" hidden="1" customWidth="1" outlineLevel="1"/>
    <col min="28" max="28" width="7.28515625" style="458" hidden="1" customWidth="1" outlineLevel="1"/>
    <col min="29" max="29" width="68.28515625" style="458" hidden="1" customWidth="1" outlineLevel="1"/>
    <col min="30" max="30" width="15.42578125" style="455" hidden="1" customWidth="1" outlineLevel="1"/>
    <col min="31" max="31" width="94.28515625" style="453" hidden="1" customWidth="1" outlineLevel="1"/>
    <col min="32" max="32" width="60.140625" style="459" hidden="1" customWidth="1" outlineLevel="1" collapsed="1"/>
    <col min="33" max="34" width="18.42578125" style="457" hidden="1" customWidth="1" outlineLevel="1"/>
    <col min="35" max="35" width="10.28515625" style="455" hidden="1" customWidth="1" outlineLevel="1"/>
    <col min="36" max="36" width="14.7109375" style="460" hidden="1" customWidth="1" outlineLevel="1"/>
    <col min="37" max="37" width="12.140625" style="453" bestFit="1" customWidth="1" collapsed="1"/>
    <col min="38" max="16384" width="10.85546875" style="381"/>
  </cols>
  <sheetData>
    <row r="1" spans="1:37" outlineLevel="1">
      <c r="A1" s="453" t="s">
        <v>2882</v>
      </c>
      <c r="B1" s="454" t="e">
        <f>#REF!</f>
        <v>#REF!</v>
      </c>
    </row>
    <row r="2" spans="1:37" outlineLevel="1">
      <c r="B2" s="454" t="e">
        <f>#REF!</f>
        <v>#REF!</v>
      </c>
    </row>
    <row r="3" spans="1:37" outlineLevel="1">
      <c r="B3" s="454" t="s">
        <v>72</v>
      </c>
    </row>
    <row r="4" spans="1:37" outlineLevel="1">
      <c r="B4" s="454"/>
    </row>
    <row r="5" spans="1:37" outlineLevel="1">
      <c r="B5" s="454" t="e">
        <f>#REF!</f>
        <v>#REF!</v>
      </c>
    </row>
    <row r="6" spans="1:37" outlineLevel="1">
      <c r="B6" s="454" t="s">
        <v>71</v>
      </c>
      <c r="C6" s="461"/>
      <c r="D6" s="462"/>
      <c r="E6" s="463"/>
      <c r="F6" s="453"/>
      <c r="AI6" s="464"/>
      <c r="AK6" s="465"/>
    </row>
    <row r="7" spans="1:37" outlineLevel="1">
      <c r="B7" s="454" t="s">
        <v>74</v>
      </c>
      <c r="C7" s="461"/>
      <c r="D7" s="462"/>
      <c r="E7" s="463"/>
      <c r="F7" s="453"/>
      <c r="AI7" s="464"/>
      <c r="AK7" s="465"/>
    </row>
    <row r="8" spans="1:37" outlineLevel="1">
      <c r="C8" s="461"/>
      <c r="D8" s="462"/>
      <c r="E8" s="463"/>
      <c r="F8" s="453"/>
      <c r="AI8" s="464"/>
      <c r="AK8" s="465"/>
    </row>
    <row r="9" spans="1:37" outlineLevel="1">
      <c r="C9" s="466"/>
      <c r="D9" s="457"/>
      <c r="E9" s="466"/>
      <c r="F9" s="466"/>
      <c r="G9" s="466"/>
      <c r="H9" s="466"/>
      <c r="I9" s="466"/>
      <c r="J9" s="466"/>
      <c r="K9" s="466"/>
      <c r="L9" s="466"/>
      <c r="M9" s="466"/>
      <c r="N9" s="457"/>
      <c r="O9" s="466"/>
      <c r="P9" s="466"/>
      <c r="Q9" s="466"/>
      <c r="R9" s="466"/>
      <c r="S9" s="466"/>
      <c r="T9" s="466"/>
      <c r="U9" s="466"/>
      <c r="V9" s="466"/>
      <c r="W9" s="466"/>
      <c r="X9" s="466"/>
      <c r="Y9" s="466"/>
      <c r="Z9" s="466"/>
      <c r="AA9" s="466"/>
      <c r="AB9" s="466"/>
      <c r="AC9" s="466"/>
      <c r="AD9" s="467"/>
      <c r="AE9" s="466"/>
      <c r="AF9" s="468"/>
      <c r="AG9" s="469"/>
      <c r="AH9" s="469"/>
      <c r="AK9" s="465"/>
    </row>
    <row r="10" spans="1:37" ht="15.75" thickBot="1">
      <c r="C10" s="466"/>
      <c r="D10" s="457"/>
      <c r="E10" s="466"/>
      <c r="F10" s="466"/>
      <c r="G10" s="466"/>
      <c r="H10" s="466"/>
      <c r="I10" s="466"/>
      <c r="J10" s="466"/>
      <c r="K10" s="466"/>
      <c r="L10" s="466"/>
      <c r="M10" s="466"/>
      <c r="N10" s="457"/>
      <c r="O10" s="466"/>
      <c r="P10" s="466"/>
      <c r="Q10" s="466"/>
      <c r="R10" s="466"/>
      <c r="S10" s="466"/>
      <c r="T10" s="466"/>
      <c r="U10" s="466"/>
      <c r="V10" s="466"/>
      <c r="W10" s="466"/>
      <c r="X10" s="466"/>
      <c r="Y10" s="466"/>
      <c r="Z10" s="466"/>
      <c r="AA10" s="466"/>
      <c r="AB10" s="466"/>
      <c r="AC10" s="466"/>
      <c r="AD10" s="467"/>
      <c r="AE10" s="466"/>
      <c r="AF10" s="468"/>
      <c r="AG10" s="469"/>
      <c r="AH10" s="469"/>
      <c r="AK10" s="465"/>
    </row>
    <row r="11" spans="1:37" ht="52.5" thickTop="1" thickBot="1">
      <c r="A11" s="470" t="s">
        <v>2883</v>
      </c>
      <c r="B11" s="470" t="s">
        <v>2879</v>
      </c>
      <c r="C11" s="470" t="s">
        <v>2884</v>
      </c>
      <c r="D11" s="470" t="s">
        <v>2885</v>
      </c>
      <c r="E11" s="470" t="s">
        <v>2886</v>
      </c>
      <c r="F11" s="470" t="s">
        <v>2887</v>
      </c>
      <c r="G11" s="471" t="s">
        <v>2888</v>
      </c>
      <c r="H11" s="472" t="s">
        <v>2889</v>
      </c>
      <c r="I11" s="473" t="s">
        <v>2890</v>
      </c>
      <c r="J11" s="474" t="s">
        <v>2891</v>
      </c>
      <c r="K11" s="475" t="s">
        <v>2892</v>
      </c>
      <c r="L11" s="476" t="s">
        <v>2893</v>
      </c>
      <c r="M11" s="477" t="s">
        <v>2894</v>
      </c>
      <c r="N11" s="470" t="s">
        <v>2895</v>
      </c>
      <c r="O11" s="470" t="s">
        <v>2896</v>
      </c>
      <c r="P11" s="478" t="s">
        <v>2897</v>
      </c>
      <c r="Q11" s="470" t="s">
        <v>2896</v>
      </c>
      <c r="R11" s="478" t="s">
        <v>2898</v>
      </c>
      <c r="S11" s="470" t="s">
        <v>2896</v>
      </c>
      <c r="T11" s="478" t="s">
        <v>2899</v>
      </c>
      <c r="U11" s="470" t="s">
        <v>2896</v>
      </c>
      <c r="V11" s="478" t="s">
        <v>2900</v>
      </c>
      <c r="W11" s="479" t="s">
        <v>2901</v>
      </c>
      <c r="X11" s="470" t="s">
        <v>2896</v>
      </c>
      <c r="Y11" s="478" t="s">
        <v>2902</v>
      </c>
      <c r="Z11" s="470" t="s">
        <v>2896</v>
      </c>
      <c r="AA11" s="478" t="s">
        <v>2903</v>
      </c>
      <c r="AB11" s="470" t="s">
        <v>2896</v>
      </c>
      <c r="AC11" s="478" t="s">
        <v>2904</v>
      </c>
      <c r="AD11" s="478" t="s">
        <v>2905</v>
      </c>
      <c r="AE11" s="478" t="s">
        <v>2906</v>
      </c>
      <c r="AF11" s="480" t="s">
        <v>2907</v>
      </c>
      <c r="AG11" s="480" t="s">
        <v>2908</v>
      </c>
      <c r="AH11" s="480" t="s">
        <v>2909</v>
      </c>
      <c r="AI11" s="480" t="s">
        <v>1435</v>
      </c>
      <c r="AJ11" s="480" t="s">
        <v>2910</v>
      </c>
      <c r="AK11" s="481" t="s">
        <v>2324</v>
      </c>
    </row>
    <row r="12" spans="1:37" ht="12" customHeight="1">
      <c r="B12" s="453" t="s">
        <v>215</v>
      </c>
      <c r="C12" s="482" t="s">
        <v>2911</v>
      </c>
      <c r="D12" s="483">
        <v>44378</v>
      </c>
      <c r="E12" s="484" t="s">
        <v>2912</v>
      </c>
      <c r="F12" s="485">
        <v>0</v>
      </c>
      <c r="G12" s="486" t="s">
        <v>2913</v>
      </c>
      <c r="H12" s="486"/>
      <c r="I12" s="486"/>
      <c r="J12" s="486"/>
      <c r="K12" s="486"/>
      <c r="L12" s="486"/>
      <c r="M12" s="487"/>
      <c r="N12" s="488"/>
      <c r="O12" s="489">
        <v>2</v>
      </c>
      <c r="P12" s="490" t="s">
        <v>1874</v>
      </c>
      <c r="Q12" s="489">
        <v>5</v>
      </c>
      <c r="R12" s="490" t="s">
        <v>1874</v>
      </c>
      <c r="S12" s="489">
        <f t="shared" ref="S12:S75" si="0">LEN(R12)</f>
        <v>5</v>
      </c>
      <c r="T12" s="490" t="s">
        <v>2914</v>
      </c>
      <c r="U12" s="489">
        <f t="shared" ref="U12:U75" si="1">LEN(T12)</f>
        <v>4</v>
      </c>
      <c r="V12" s="491" t="s">
        <v>2915</v>
      </c>
      <c r="W12" s="491" t="s">
        <v>2916</v>
      </c>
      <c r="X12" s="491">
        <f t="shared" ref="X12:X75" si="2">LEN(W12)</f>
        <v>6</v>
      </c>
      <c r="Y12" s="491" t="s">
        <v>2916</v>
      </c>
      <c r="Z12" s="489">
        <f t="shared" ref="Z12:Z75" si="3">LEN(Y12)</f>
        <v>6</v>
      </c>
      <c r="AA12" s="491" t="s">
        <v>2916</v>
      </c>
      <c r="AB12" s="489">
        <f t="shared" ref="AB12:AB75" si="4">LEN(AA12)</f>
        <v>6</v>
      </c>
      <c r="AC12" s="491"/>
      <c r="AD12" s="489"/>
      <c r="AE12" s="492"/>
      <c r="AF12" s="493"/>
      <c r="AG12" s="494" t="s">
        <v>2917</v>
      </c>
      <c r="AH12" s="495" t="s">
        <v>2918</v>
      </c>
      <c r="AI12" s="493"/>
      <c r="AJ12" s="493"/>
      <c r="AK12" s="496">
        <f>_xll.GetCtData("COAMOUNT","CONSAMOUNT",$B$1:$B$7,$B12,AK$9,"#434943212,210676")</f>
        <v>434943212</v>
      </c>
    </row>
    <row r="13" spans="1:37" ht="12" customHeight="1">
      <c r="B13" s="453" t="s">
        <v>2919</v>
      </c>
      <c r="C13" s="482" t="s">
        <v>2911</v>
      </c>
      <c r="D13" s="483">
        <v>44378</v>
      </c>
      <c r="E13" s="484" t="s">
        <v>2912</v>
      </c>
      <c r="F13" s="485">
        <v>1</v>
      </c>
      <c r="G13" s="482"/>
      <c r="H13" s="497" t="s">
        <v>2920</v>
      </c>
      <c r="I13" s="497"/>
      <c r="J13" s="497"/>
      <c r="K13" s="497"/>
      <c r="L13" s="497"/>
      <c r="M13" s="498"/>
      <c r="N13" s="499"/>
      <c r="O13" s="500">
        <v>4</v>
      </c>
      <c r="P13" s="501" t="s">
        <v>133</v>
      </c>
      <c r="Q13" s="489">
        <v>18</v>
      </c>
      <c r="R13" s="501" t="s">
        <v>133</v>
      </c>
      <c r="S13" s="500">
        <f t="shared" si="0"/>
        <v>18</v>
      </c>
      <c r="T13" s="501" t="s">
        <v>2921</v>
      </c>
      <c r="U13" s="500">
        <f t="shared" si="1"/>
        <v>15</v>
      </c>
      <c r="V13" s="502" t="s">
        <v>2922</v>
      </c>
      <c r="W13" s="502" t="s">
        <v>2923</v>
      </c>
      <c r="X13" s="491">
        <f t="shared" si="2"/>
        <v>17</v>
      </c>
      <c r="Y13" s="502" t="s">
        <v>2923</v>
      </c>
      <c r="Z13" s="500">
        <f t="shared" si="3"/>
        <v>17</v>
      </c>
      <c r="AA13" s="502" t="s">
        <v>2923</v>
      </c>
      <c r="AB13" s="500">
        <f t="shared" si="4"/>
        <v>17</v>
      </c>
      <c r="AC13" s="502" t="s">
        <v>2924</v>
      </c>
      <c r="AD13" s="500"/>
      <c r="AE13" s="503"/>
      <c r="AF13" s="504"/>
      <c r="AG13" s="494" t="s">
        <v>2917</v>
      </c>
      <c r="AH13" s="495" t="s">
        <v>2918</v>
      </c>
      <c r="AI13" s="505"/>
      <c r="AJ13" s="505"/>
      <c r="AK13" s="506">
        <f>_xll.GetCtData("COAMOUNT","CONSAMOUNT",$B$1:$B$7,$B13,AK$9,"#3024546,71097976")</f>
        <v>3024546</v>
      </c>
    </row>
    <row r="14" spans="1:37" ht="12" customHeight="1">
      <c r="B14" s="453" t="s">
        <v>1119</v>
      </c>
      <c r="C14" s="482" t="s">
        <v>2911</v>
      </c>
      <c r="D14" s="483">
        <v>44378</v>
      </c>
      <c r="E14" s="484" t="s">
        <v>2912</v>
      </c>
      <c r="F14" s="485">
        <v>2</v>
      </c>
      <c r="G14" s="482"/>
      <c r="H14" s="507"/>
      <c r="I14" s="508" t="s">
        <v>2925</v>
      </c>
      <c r="J14" s="508"/>
      <c r="K14" s="508"/>
      <c r="L14" s="508"/>
      <c r="M14" s="509"/>
      <c r="N14" s="510"/>
      <c r="O14" s="511">
        <v>5</v>
      </c>
      <c r="P14" s="512" t="s">
        <v>2</v>
      </c>
      <c r="Q14" s="489">
        <v>20</v>
      </c>
      <c r="R14" s="512" t="s">
        <v>2</v>
      </c>
      <c r="S14" s="511">
        <f t="shared" si="0"/>
        <v>20</v>
      </c>
      <c r="T14" s="512" t="s">
        <v>2926</v>
      </c>
      <c r="U14" s="511">
        <f t="shared" si="1"/>
        <v>10</v>
      </c>
      <c r="V14" s="513" t="s">
        <v>2922</v>
      </c>
      <c r="W14" s="513" t="s">
        <v>2629</v>
      </c>
      <c r="X14" s="491">
        <f t="shared" si="2"/>
        <v>8</v>
      </c>
      <c r="Y14" s="513" t="s">
        <v>2629</v>
      </c>
      <c r="Z14" s="511">
        <f t="shared" si="3"/>
        <v>8</v>
      </c>
      <c r="AA14" s="513" t="s">
        <v>2927</v>
      </c>
      <c r="AB14" s="511">
        <f t="shared" si="4"/>
        <v>2</v>
      </c>
      <c r="AC14" s="513" t="s">
        <v>2924</v>
      </c>
      <c r="AD14" s="511"/>
      <c r="AE14" s="514"/>
      <c r="AF14" s="504"/>
      <c r="AG14" s="494" t="s">
        <v>2917</v>
      </c>
      <c r="AH14" s="495" t="s">
        <v>2918</v>
      </c>
      <c r="AI14" s="505"/>
      <c r="AJ14" s="505"/>
      <c r="AK14" s="515">
        <f>_xll.GetCtData("COAMOUNT","CONSAMOUNT",$B$1:$B$7,$B14,AK$9,"#153270,25266865")</f>
        <v>153270</v>
      </c>
    </row>
    <row r="15" spans="1:37" ht="12" customHeight="1">
      <c r="B15" s="453" t="s">
        <v>2928</v>
      </c>
      <c r="C15" s="482" t="s">
        <v>2929</v>
      </c>
      <c r="D15" s="483">
        <v>44403</v>
      </c>
      <c r="E15" s="484" t="s">
        <v>2930</v>
      </c>
      <c r="F15" s="485">
        <v>7</v>
      </c>
      <c r="G15" s="482"/>
      <c r="H15" s="482"/>
      <c r="I15" s="482"/>
      <c r="J15" s="482"/>
      <c r="K15" s="482"/>
      <c r="L15" s="482"/>
      <c r="M15" s="516"/>
      <c r="N15" s="517" t="s">
        <v>2931</v>
      </c>
      <c r="O15" s="518">
        <v>9</v>
      </c>
      <c r="P15" s="519" t="s">
        <v>2932</v>
      </c>
      <c r="Q15" s="489">
        <v>34</v>
      </c>
      <c r="R15" s="519" t="s">
        <v>2933</v>
      </c>
      <c r="S15" s="518">
        <f t="shared" si="0"/>
        <v>28</v>
      </c>
      <c r="T15" s="519" t="s">
        <v>2934</v>
      </c>
      <c r="U15" s="518">
        <f t="shared" si="1"/>
        <v>22</v>
      </c>
      <c r="V15" s="519" t="s">
        <v>2922</v>
      </c>
      <c r="W15" s="519" t="s">
        <v>2935</v>
      </c>
      <c r="X15" s="491">
        <f t="shared" si="2"/>
        <v>24</v>
      </c>
      <c r="Y15" s="519" t="s">
        <v>2935</v>
      </c>
      <c r="Z15" s="518">
        <f t="shared" si="3"/>
        <v>24</v>
      </c>
      <c r="AA15" s="519" t="s">
        <v>2936</v>
      </c>
      <c r="AB15" s="518">
        <f t="shared" si="4"/>
        <v>16</v>
      </c>
      <c r="AC15" s="519" t="s">
        <v>2924</v>
      </c>
      <c r="AD15" s="518" t="s">
        <v>2937</v>
      </c>
      <c r="AE15" s="520" t="s">
        <v>2938</v>
      </c>
      <c r="AF15" s="504" t="s">
        <v>2939</v>
      </c>
      <c r="AG15" s="494" t="s">
        <v>2917</v>
      </c>
      <c r="AH15" s="494" t="s">
        <v>2917</v>
      </c>
      <c r="AI15" s="505"/>
      <c r="AJ15" s="505"/>
      <c r="AK15" s="521">
        <f>_xll.GetCtData("COAMOUNT","CONSAMOUNT",$B$1:$B$7,$B15,AK$9,"#204392,054842942")</f>
        <v>204392</v>
      </c>
    </row>
    <row r="16" spans="1:37" ht="12" customHeight="1">
      <c r="B16" s="453" t="s">
        <v>238</v>
      </c>
      <c r="C16" s="482" t="s">
        <v>2929</v>
      </c>
      <c r="D16" s="483">
        <v>44403</v>
      </c>
      <c r="E16" s="484" t="s">
        <v>2930</v>
      </c>
      <c r="F16" s="485">
        <v>7</v>
      </c>
      <c r="G16" s="482"/>
      <c r="H16" s="482"/>
      <c r="I16" s="482"/>
      <c r="J16" s="482"/>
      <c r="K16" s="482"/>
      <c r="L16" s="482"/>
      <c r="M16" s="516"/>
      <c r="N16" s="517" t="s">
        <v>2940</v>
      </c>
      <c r="O16" s="518">
        <v>9</v>
      </c>
      <c r="P16" s="519" t="s">
        <v>2941</v>
      </c>
      <c r="Q16" s="489">
        <v>43</v>
      </c>
      <c r="R16" s="519" t="s">
        <v>2942</v>
      </c>
      <c r="S16" s="518">
        <f t="shared" si="0"/>
        <v>36</v>
      </c>
      <c r="T16" s="519" t="s">
        <v>2943</v>
      </c>
      <c r="U16" s="518">
        <f t="shared" si="1"/>
        <v>22</v>
      </c>
      <c r="V16" s="519" t="s">
        <v>2922</v>
      </c>
      <c r="W16" s="519" t="s">
        <v>2944</v>
      </c>
      <c r="X16" s="491">
        <f t="shared" si="2"/>
        <v>44</v>
      </c>
      <c r="Y16" s="519" t="s">
        <v>2944</v>
      </c>
      <c r="Z16" s="518">
        <f t="shared" si="3"/>
        <v>44</v>
      </c>
      <c r="AA16" s="519" t="s">
        <v>2945</v>
      </c>
      <c r="AB16" s="518">
        <f t="shared" si="4"/>
        <v>14</v>
      </c>
      <c r="AC16" s="519" t="s">
        <v>2924</v>
      </c>
      <c r="AD16" s="518" t="s">
        <v>2946</v>
      </c>
      <c r="AE16" s="520" t="s">
        <v>2947</v>
      </c>
      <c r="AF16" s="504" t="s">
        <v>2939</v>
      </c>
      <c r="AG16" s="494" t="s">
        <v>2917</v>
      </c>
      <c r="AH16" s="494" t="s">
        <v>2917</v>
      </c>
      <c r="AI16" s="505"/>
      <c r="AJ16" s="505"/>
      <c r="AK16" s="521">
        <f>_xll.GetCtData("COAMOUNT","CONSAMOUNT",$B$1:$B$7,$B16,AK$9,"#-51121,802174292")</f>
        <v>-51121</v>
      </c>
    </row>
    <row r="17" spans="2:37" ht="12" customHeight="1">
      <c r="B17" s="453" t="s">
        <v>2948</v>
      </c>
      <c r="C17" s="482" t="s">
        <v>2929</v>
      </c>
      <c r="D17" s="483">
        <v>44403</v>
      </c>
      <c r="E17" s="484" t="s">
        <v>2930</v>
      </c>
      <c r="F17" s="485">
        <v>7</v>
      </c>
      <c r="G17" s="482"/>
      <c r="H17" s="482"/>
      <c r="I17" s="482"/>
      <c r="J17" s="482"/>
      <c r="K17" s="482"/>
      <c r="L17" s="482"/>
      <c r="M17" s="516"/>
      <c r="N17" s="517" t="s">
        <v>2949</v>
      </c>
      <c r="O17" s="518">
        <v>9</v>
      </c>
      <c r="P17" s="519" t="s">
        <v>2950</v>
      </c>
      <c r="Q17" s="489">
        <v>50</v>
      </c>
      <c r="R17" s="519" t="s">
        <v>2951</v>
      </c>
      <c r="S17" s="518">
        <f t="shared" si="0"/>
        <v>42</v>
      </c>
      <c r="T17" s="519" t="s">
        <v>2952</v>
      </c>
      <c r="U17" s="518">
        <f t="shared" si="1"/>
        <v>27</v>
      </c>
      <c r="V17" s="519" t="s">
        <v>2922</v>
      </c>
      <c r="W17" s="519" t="s">
        <v>2953</v>
      </c>
      <c r="X17" s="491">
        <f t="shared" si="2"/>
        <v>38</v>
      </c>
      <c r="Y17" s="519" t="s">
        <v>2953</v>
      </c>
      <c r="Z17" s="518">
        <f t="shared" si="3"/>
        <v>38</v>
      </c>
      <c r="AA17" s="519" t="s">
        <v>2954</v>
      </c>
      <c r="AB17" s="518">
        <f t="shared" si="4"/>
        <v>29</v>
      </c>
      <c r="AC17" s="519" t="s">
        <v>2924</v>
      </c>
      <c r="AD17" s="518" t="s">
        <v>2937</v>
      </c>
      <c r="AE17" s="520" t="s">
        <v>2938</v>
      </c>
      <c r="AF17" s="504" t="s">
        <v>2939</v>
      </c>
      <c r="AG17" s="494" t="s">
        <v>2917</v>
      </c>
      <c r="AH17" s="494" t="s">
        <v>2917</v>
      </c>
      <c r="AI17" s="505"/>
      <c r="AJ17" s="505"/>
      <c r="AK17" s="521">
        <f>_xll.GetCtData("COAMOUNT","CONSAMOUNT",$B$1:$B$7,$B17,AK$9,"#")</f>
        <v>0</v>
      </c>
    </row>
    <row r="18" spans="2:37" ht="12" customHeight="1">
      <c r="B18" s="453" t="s">
        <v>2955</v>
      </c>
      <c r="C18" s="482" t="s">
        <v>2929</v>
      </c>
      <c r="D18" s="483">
        <v>44403</v>
      </c>
      <c r="E18" s="484" t="s">
        <v>2930</v>
      </c>
      <c r="F18" s="485">
        <v>7</v>
      </c>
      <c r="G18" s="482"/>
      <c r="H18" s="482"/>
      <c r="I18" s="482"/>
      <c r="J18" s="482"/>
      <c r="K18" s="482"/>
      <c r="L18" s="482"/>
      <c r="M18" s="516"/>
      <c r="N18" s="517" t="s">
        <v>2956</v>
      </c>
      <c r="O18" s="518">
        <v>9</v>
      </c>
      <c r="P18" s="519" t="s">
        <v>2957</v>
      </c>
      <c r="Q18" s="489">
        <v>57</v>
      </c>
      <c r="R18" s="519" t="s">
        <v>2958</v>
      </c>
      <c r="S18" s="518">
        <f t="shared" si="0"/>
        <v>50</v>
      </c>
      <c r="T18" s="519" t="s">
        <v>2959</v>
      </c>
      <c r="U18" s="518">
        <f t="shared" si="1"/>
        <v>27</v>
      </c>
      <c r="V18" s="519" t="s">
        <v>2922</v>
      </c>
      <c r="W18" s="519" t="s">
        <v>2960</v>
      </c>
      <c r="X18" s="491">
        <f t="shared" si="2"/>
        <v>58</v>
      </c>
      <c r="Y18" s="519" t="s">
        <v>2960</v>
      </c>
      <c r="Z18" s="518">
        <f t="shared" si="3"/>
        <v>58</v>
      </c>
      <c r="AA18" s="519" t="s">
        <v>2961</v>
      </c>
      <c r="AB18" s="518">
        <f t="shared" si="4"/>
        <v>24</v>
      </c>
      <c r="AC18" s="519" t="s">
        <v>2924</v>
      </c>
      <c r="AD18" s="518" t="s">
        <v>2946</v>
      </c>
      <c r="AE18" s="520" t="s">
        <v>2947</v>
      </c>
      <c r="AF18" s="504" t="s">
        <v>2939</v>
      </c>
      <c r="AG18" s="494" t="s">
        <v>2917</v>
      </c>
      <c r="AH18" s="494" t="s">
        <v>2917</v>
      </c>
      <c r="AI18" s="505"/>
      <c r="AJ18" s="505"/>
      <c r="AK18" s="521">
        <f>_xll.GetCtData("COAMOUNT","CONSAMOUNT",$B$1:$B$7,$B18,AK$9,"#")</f>
        <v>0</v>
      </c>
    </row>
    <row r="19" spans="2:37" ht="12" customHeight="1">
      <c r="B19" s="453" t="s">
        <v>1117</v>
      </c>
      <c r="C19" s="522" t="s">
        <v>2962</v>
      </c>
      <c r="D19" s="523">
        <v>44515</v>
      </c>
      <c r="E19" s="524" t="s">
        <v>2912</v>
      </c>
      <c r="F19" s="525">
        <v>2</v>
      </c>
      <c r="G19" s="522"/>
      <c r="H19" s="526"/>
      <c r="I19" s="508" t="s">
        <v>2963</v>
      </c>
      <c r="J19" s="508"/>
      <c r="K19" s="508"/>
      <c r="L19" s="508"/>
      <c r="M19" s="509"/>
      <c r="N19" s="510"/>
      <c r="O19" s="511">
        <v>5</v>
      </c>
      <c r="P19" s="512" t="s">
        <v>2964</v>
      </c>
      <c r="Q19" s="527">
        <v>49</v>
      </c>
      <c r="R19" s="512" t="s">
        <v>2964</v>
      </c>
      <c r="S19" s="511">
        <f t="shared" si="0"/>
        <v>49</v>
      </c>
      <c r="T19" s="512" t="s">
        <v>2965</v>
      </c>
      <c r="U19" s="511">
        <f t="shared" si="1"/>
        <v>18</v>
      </c>
      <c r="V19" s="513" t="s">
        <v>2922</v>
      </c>
      <c r="W19" s="513" t="s">
        <v>2966</v>
      </c>
      <c r="X19" s="528">
        <f t="shared" si="2"/>
        <v>34</v>
      </c>
      <c r="Y19" s="513" t="s">
        <v>2966</v>
      </c>
      <c r="Z19" s="511">
        <f t="shared" si="3"/>
        <v>34</v>
      </c>
      <c r="AA19" s="513" t="s">
        <v>2967</v>
      </c>
      <c r="AB19" s="511">
        <f t="shared" si="4"/>
        <v>29</v>
      </c>
      <c r="AC19" s="513" t="s">
        <v>2924</v>
      </c>
      <c r="AD19" s="511"/>
      <c r="AE19" s="514"/>
      <c r="AF19" s="529" t="s">
        <v>2968</v>
      </c>
      <c r="AG19" s="530" t="s">
        <v>2969</v>
      </c>
      <c r="AH19" s="495" t="s">
        <v>2918</v>
      </c>
      <c r="AI19" s="531"/>
      <c r="AJ19" s="531"/>
      <c r="AK19" s="515">
        <f>_xll.GetCtData("COAMOUNT","CONSAMOUNT",$B$1:$B$7,$B19,AK$9,"#0")</f>
        <v>0</v>
      </c>
    </row>
    <row r="20" spans="2:37" ht="12" customHeight="1">
      <c r="B20" s="453" t="s">
        <v>2970</v>
      </c>
      <c r="C20" s="522" t="s">
        <v>2962</v>
      </c>
      <c r="D20" s="523">
        <v>44515</v>
      </c>
      <c r="E20" s="524" t="s">
        <v>2912</v>
      </c>
      <c r="F20" s="525">
        <v>3</v>
      </c>
      <c r="G20" s="522"/>
      <c r="H20" s="526"/>
      <c r="I20" s="526"/>
      <c r="J20" s="532" t="s">
        <v>2971</v>
      </c>
      <c r="K20" s="532"/>
      <c r="L20" s="532"/>
      <c r="M20" s="533"/>
      <c r="N20" s="534"/>
      <c r="O20" s="535">
        <v>6</v>
      </c>
      <c r="P20" s="536" t="s">
        <v>2972</v>
      </c>
      <c r="Q20" s="527">
        <v>78</v>
      </c>
      <c r="R20" s="536" t="s">
        <v>2973</v>
      </c>
      <c r="S20" s="535">
        <f t="shared" si="0"/>
        <v>63</v>
      </c>
      <c r="T20" s="536" t="s">
        <v>2974</v>
      </c>
      <c r="U20" s="535">
        <f t="shared" si="1"/>
        <v>28</v>
      </c>
      <c r="V20" s="537" t="s">
        <v>2922</v>
      </c>
      <c r="W20" s="537" t="s">
        <v>2975</v>
      </c>
      <c r="X20" s="528">
        <f t="shared" si="2"/>
        <v>58</v>
      </c>
      <c r="Y20" s="537" t="s">
        <v>2975</v>
      </c>
      <c r="Z20" s="535">
        <f t="shared" si="3"/>
        <v>58</v>
      </c>
      <c r="AA20" s="537" t="s">
        <v>2976</v>
      </c>
      <c r="AB20" s="535">
        <f t="shared" si="4"/>
        <v>30</v>
      </c>
      <c r="AC20" s="537" t="s">
        <v>2924</v>
      </c>
      <c r="AD20" s="535"/>
      <c r="AE20" s="538"/>
      <c r="AF20" s="529" t="s">
        <v>2977</v>
      </c>
      <c r="AG20" s="530" t="s">
        <v>2969</v>
      </c>
      <c r="AH20" s="495" t="s">
        <v>2918</v>
      </c>
      <c r="AI20" s="531"/>
      <c r="AJ20" s="531"/>
      <c r="AK20" s="539">
        <f>_xll.GetCtData("COAMOUNT","CONSAMOUNT",$B$1:$B$7,$B20,AK$9,"#0")</f>
        <v>0</v>
      </c>
    </row>
    <row r="21" spans="2:37" ht="12" customHeight="1">
      <c r="B21" s="453" t="s">
        <v>2978</v>
      </c>
      <c r="C21" s="522" t="s">
        <v>2962</v>
      </c>
      <c r="D21" s="523">
        <v>44515</v>
      </c>
      <c r="E21" s="524" t="s">
        <v>2930</v>
      </c>
      <c r="F21" s="525">
        <v>7</v>
      </c>
      <c r="G21" s="540"/>
      <c r="H21" s="540"/>
      <c r="I21" s="540"/>
      <c r="J21" s="540"/>
      <c r="K21" s="540"/>
      <c r="L21" s="540"/>
      <c r="M21" s="541"/>
      <c r="N21" s="542" t="s">
        <v>2979</v>
      </c>
      <c r="O21" s="543">
        <v>9</v>
      </c>
      <c r="P21" s="544" t="s">
        <v>2980</v>
      </c>
      <c r="Q21" s="527">
        <v>97</v>
      </c>
      <c r="R21" s="544" t="s">
        <v>2980</v>
      </c>
      <c r="S21" s="543">
        <f t="shared" si="0"/>
        <v>97</v>
      </c>
      <c r="T21" s="544" t="s">
        <v>2981</v>
      </c>
      <c r="U21" s="543">
        <f t="shared" si="1"/>
        <v>25</v>
      </c>
      <c r="V21" s="544" t="s">
        <v>2922</v>
      </c>
      <c r="W21" s="544" t="s">
        <v>2982</v>
      </c>
      <c r="X21" s="528">
        <f t="shared" si="2"/>
        <v>89</v>
      </c>
      <c r="Y21" s="544" t="s">
        <v>2983</v>
      </c>
      <c r="Z21" s="543">
        <f t="shared" si="3"/>
        <v>83</v>
      </c>
      <c r="AA21" s="544" t="s">
        <v>2984</v>
      </c>
      <c r="AB21" s="543">
        <f t="shared" si="4"/>
        <v>30</v>
      </c>
      <c r="AC21" s="544" t="s">
        <v>2924</v>
      </c>
      <c r="AD21" s="543" t="s">
        <v>2985</v>
      </c>
      <c r="AE21" s="545" t="s">
        <v>2964</v>
      </c>
      <c r="AF21" s="529" t="s">
        <v>2986</v>
      </c>
      <c r="AG21" s="530" t="s">
        <v>2969</v>
      </c>
      <c r="AH21" s="494" t="s">
        <v>2917</v>
      </c>
      <c r="AI21" s="531"/>
      <c r="AJ21" s="531"/>
      <c r="AK21" s="546">
        <f>_xll.GetCtData("COAMOUNT","CONSAMOUNT",$B$1:$B$7,$B21,AK$9,"#3,3873213815253")</f>
        <v>3</v>
      </c>
    </row>
    <row r="22" spans="2:37" ht="12" customHeight="1">
      <c r="B22" s="453" t="s">
        <v>547</v>
      </c>
      <c r="C22" s="522" t="s">
        <v>2962</v>
      </c>
      <c r="D22" s="523">
        <v>44515</v>
      </c>
      <c r="E22" s="524" t="s">
        <v>2930</v>
      </c>
      <c r="F22" s="525">
        <v>7</v>
      </c>
      <c r="G22" s="540"/>
      <c r="H22" s="540"/>
      <c r="I22" s="540"/>
      <c r="J22" s="540"/>
      <c r="K22" s="540"/>
      <c r="L22" s="540"/>
      <c r="M22" s="541"/>
      <c r="N22" s="542" t="s">
        <v>2987</v>
      </c>
      <c r="O22" s="543">
        <v>9</v>
      </c>
      <c r="P22" s="544" t="s">
        <v>2988</v>
      </c>
      <c r="Q22" s="527">
        <v>88</v>
      </c>
      <c r="R22" s="544" t="s">
        <v>2988</v>
      </c>
      <c r="S22" s="543">
        <f t="shared" si="0"/>
        <v>88</v>
      </c>
      <c r="T22" s="544" t="s">
        <v>2989</v>
      </c>
      <c r="U22" s="543">
        <f t="shared" si="1"/>
        <v>20</v>
      </c>
      <c r="V22" s="544" t="s">
        <v>2922</v>
      </c>
      <c r="W22" s="544" t="s">
        <v>2990</v>
      </c>
      <c r="X22" s="528">
        <f t="shared" si="2"/>
        <v>75</v>
      </c>
      <c r="Y22" s="544" t="s">
        <v>2991</v>
      </c>
      <c r="Z22" s="543">
        <f t="shared" si="3"/>
        <v>69</v>
      </c>
      <c r="AA22" s="544" t="s">
        <v>2992</v>
      </c>
      <c r="AB22" s="543">
        <f t="shared" si="4"/>
        <v>30</v>
      </c>
      <c r="AC22" s="544" t="s">
        <v>2924</v>
      </c>
      <c r="AD22" s="543" t="s">
        <v>2993</v>
      </c>
      <c r="AE22" s="545" t="s">
        <v>2994</v>
      </c>
      <c r="AF22" s="529" t="s">
        <v>2986</v>
      </c>
      <c r="AG22" s="530" t="s">
        <v>2969</v>
      </c>
      <c r="AH22" s="494" t="s">
        <v>2917</v>
      </c>
      <c r="AI22" s="531"/>
      <c r="AJ22" s="531"/>
      <c r="AK22" s="546">
        <f>_xll.GetCtData("COAMOUNT","CONSAMOUNT",$B$1:$B$7,$B22,AK$9,"#-3,3873213815253")</f>
        <v>-3</v>
      </c>
    </row>
    <row r="23" spans="2:37" ht="12" customHeight="1">
      <c r="B23" s="453" t="s">
        <v>243</v>
      </c>
      <c r="C23" s="522" t="s">
        <v>2962</v>
      </c>
      <c r="D23" s="523">
        <v>44515</v>
      </c>
      <c r="E23" s="524" t="s">
        <v>2930</v>
      </c>
      <c r="F23" s="525">
        <v>7</v>
      </c>
      <c r="G23" s="540"/>
      <c r="H23" s="540"/>
      <c r="I23" s="540"/>
      <c r="J23" s="540"/>
      <c r="K23" s="540"/>
      <c r="L23" s="540"/>
      <c r="M23" s="541"/>
      <c r="N23" s="542" t="s">
        <v>2995</v>
      </c>
      <c r="O23" s="543">
        <v>9</v>
      </c>
      <c r="P23" s="544" t="s">
        <v>2996</v>
      </c>
      <c r="Q23" s="527">
        <v>87</v>
      </c>
      <c r="R23" s="544" t="s">
        <v>2996</v>
      </c>
      <c r="S23" s="543">
        <f t="shared" si="0"/>
        <v>87</v>
      </c>
      <c r="T23" s="544" t="s">
        <v>2997</v>
      </c>
      <c r="U23" s="543">
        <f t="shared" si="1"/>
        <v>22</v>
      </c>
      <c r="V23" s="544" t="s">
        <v>2922</v>
      </c>
      <c r="W23" s="544" t="s">
        <v>2998</v>
      </c>
      <c r="X23" s="528">
        <f t="shared" si="2"/>
        <v>88</v>
      </c>
      <c r="Y23" s="544" t="s">
        <v>2999</v>
      </c>
      <c r="Z23" s="543">
        <f t="shared" si="3"/>
        <v>82</v>
      </c>
      <c r="AA23" s="544" t="s">
        <v>3000</v>
      </c>
      <c r="AB23" s="543">
        <f t="shared" si="4"/>
        <v>30</v>
      </c>
      <c r="AC23" s="544" t="s">
        <v>2924</v>
      </c>
      <c r="AD23" s="543" t="s">
        <v>3001</v>
      </c>
      <c r="AE23" s="545" t="s">
        <v>3002</v>
      </c>
      <c r="AF23" s="529" t="s">
        <v>2986</v>
      </c>
      <c r="AG23" s="530" t="s">
        <v>2969</v>
      </c>
      <c r="AH23" s="494" t="s">
        <v>2917</v>
      </c>
      <c r="AI23" s="531"/>
      <c r="AJ23" s="531"/>
      <c r="AK23" s="546">
        <f>_xll.GetCtData("COAMOUNT","CONSAMOUNT",$B$1:$B$7,$B23,AK$9,"#0")</f>
        <v>0</v>
      </c>
    </row>
    <row r="24" spans="2:37" ht="12" customHeight="1">
      <c r="B24" s="453" t="s">
        <v>2443</v>
      </c>
      <c r="C24" s="482" t="s">
        <v>2911</v>
      </c>
      <c r="D24" s="483">
        <v>44378</v>
      </c>
      <c r="E24" s="484" t="s">
        <v>2912</v>
      </c>
      <c r="F24" s="485">
        <v>2</v>
      </c>
      <c r="G24" s="482"/>
      <c r="H24" s="507"/>
      <c r="I24" s="508" t="s">
        <v>3003</v>
      </c>
      <c r="J24" s="508"/>
      <c r="K24" s="508"/>
      <c r="L24" s="508"/>
      <c r="M24" s="509"/>
      <c r="N24" s="510"/>
      <c r="O24" s="511">
        <v>5</v>
      </c>
      <c r="P24" s="512" t="s">
        <v>1063</v>
      </c>
      <c r="Q24" s="489">
        <v>36</v>
      </c>
      <c r="R24" s="512" t="s">
        <v>1063</v>
      </c>
      <c r="S24" s="511">
        <f t="shared" si="0"/>
        <v>36</v>
      </c>
      <c r="T24" s="512" t="s">
        <v>3004</v>
      </c>
      <c r="U24" s="511">
        <f t="shared" si="1"/>
        <v>14</v>
      </c>
      <c r="V24" s="513" t="s">
        <v>2922</v>
      </c>
      <c r="W24" s="513" t="s">
        <v>3005</v>
      </c>
      <c r="X24" s="491">
        <f t="shared" si="2"/>
        <v>23</v>
      </c>
      <c r="Y24" s="513" t="s">
        <v>3005</v>
      </c>
      <c r="Z24" s="511">
        <f t="shared" si="3"/>
        <v>23</v>
      </c>
      <c r="AA24" s="513" t="s">
        <v>3006</v>
      </c>
      <c r="AB24" s="511">
        <f t="shared" si="4"/>
        <v>3</v>
      </c>
      <c r="AC24" s="513" t="s">
        <v>2924</v>
      </c>
      <c r="AD24" s="511"/>
      <c r="AE24" s="514"/>
      <c r="AF24" s="504"/>
      <c r="AG24" s="494" t="s">
        <v>2917</v>
      </c>
      <c r="AH24" s="495" t="s">
        <v>2918</v>
      </c>
      <c r="AI24" s="505"/>
      <c r="AJ24" s="505"/>
      <c r="AK24" s="515">
        <f>_xll.GetCtData("COAMOUNT","CONSAMOUNT",$B$1:$B$7,$B24,AK$9,"#2871276,45831111")</f>
        <v>2871276</v>
      </c>
    </row>
    <row r="25" spans="2:37" ht="12" customHeight="1">
      <c r="B25" s="453" t="s">
        <v>551</v>
      </c>
      <c r="C25" s="482" t="s">
        <v>2911</v>
      </c>
      <c r="D25" s="483">
        <v>44378</v>
      </c>
      <c r="E25" s="484" t="s">
        <v>2912</v>
      </c>
      <c r="F25" s="485">
        <v>3</v>
      </c>
      <c r="G25" s="482"/>
      <c r="H25" s="507"/>
      <c r="I25" s="507"/>
      <c r="J25" s="532" t="s">
        <v>3007</v>
      </c>
      <c r="K25" s="532"/>
      <c r="L25" s="532"/>
      <c r="M25" s="533"/>
      <c r="N25" s="534"/>
      <c r="O25" s="535">
        <v>6</v>
      </c>
      <c r="P25" s="536" t="s">
        <v>2667</v>
      </c>
      <c r="Q25" s="489">
        <v>70</v>
      </c>
      <c r="R25" s="536" t="s">
        <v>2667</v>
      </c>
      <c r="S25" s="535">
        <f t="shared" si="0"/>
        <v>70</v>
      </c>
      <c r="T25" s="536" t="s">
        <v>3008</v>
      </c>
      <c r="U25" s="535">
        <f t="shared" si="1"/>
        <v>27</v>
      </c>
      <c r="V25" s="537" t="s">
        <v>2922</v>
      </c>
      <c r="W25" s="537" t="s">
        <v>3009</v>
      </c>
      <c r="X25" s="491">
        <f t="shared" si="2"/>
        <v>55</v>
      </c>
      <c r="Y25" s="537" t="s">
        <v>3009</v>
      </c>
      <c r="Z25" s="535">
        <f t="shared" si="3"/>
        <v>55</v>
      </c>
      <c r="AA25" s="537" t="s">
        <v>3010</v>
      </c>
      <c r="AB25" s="535">
        <f t="shared" si="4"/>
        <v>22</v>
      </c>
      <c r="AC25" s="537" t="s">
        <v>2924</v>
      </c>
      <c r="AD25" s="535"/>
      <c r="AE25" s="538"/>
      <c r="AF25" s="504"/>
      <c r="AG25" s="494" t="s">
        <v>2917</v>
      </c>
      <c r="AH25" s="495" t="s">
        <v>2918</v>
      </c>
      <c r="AI25" s="505"/>
      <c r="AJ25" s="505"/>
      <c r="AK25" s="539">
        <f>_xll.GetCtData("COAMOUNT","CONSAMOUNT",$B$1:$B$7,$B25,AK$9,"#47732")</f>
        <v>47732</v>
      </c>
    </row>
    <row r="26" spans="2:37" ht="12" customHeight="1">
      <c r="B26" s="453" t="s">
        <v>2431</v>
      </c>
      <c r="C26" s="482" t="s">
        <v>2929</v>
      </c>
      <c r="D26" s="483">
        <v>44403</v>
      </c>
      <c r="E26" s="484" t="s">
        <v>2930</v>
      </c>
      <c r="F26" s="485">
        <v>7</v>
      </c>
      <c r="G26" s="547"/>
      <c r="H26" s="547"/>
      <c r="I26" s="547"/>
      <c r="J26" s="547"/>
      <c r="K26" s="547"/>
      <c r="L26" s="547"/>
      <c r="M26" s="548"/>
      <c r="N26" s="517" t="s">
        <v>3011</v>
      </c>
      <c r="O26" s="518">
        <v>9</v>
      </c>
      <c r="P26" s="519" t="s">
        <v>3012</v>
      </c>
      <c r="Q26" s="489">
        <v>54</v>
      </c>
      <c r="R26" s="519" t="s">
        <v>3013</v>
      </c>
      <c r="S26" s="518">
        <f t="shared" si="0"/>
        <v>47</v>
      </c>
      <c r="T26" s="519" t="s">
        <v>3014</v>
      </c>
      <c r="U26" s="518">
        <f t="shared" si="1"/>
        <v>20</v>
      </c>
      <c r="V26" s="519" t="s">
        <v>2922</v>
      </c>
      <c r="W26" s="519" t="s">
        <v>3015</v>
      </c>
      <c r="X26" s="491">
        <f t="shared" si="2"/>
        <v>47</v>
      </c>
      <c r="Y26" s="519" t="s">
        <v>3015</v>
      </c>
      <c r="Z26" s="518">
        <f t="shared" si="3"/>
        <v>47</v>
      </c>
      <c r="AA26" s="519" t="s">
        <v>3016</v>
      </c>
      <c r="AB26" s="518">
        <f t="shared" si="4"/>
        <v>27</v>
      </c>
      <c r="AC26" s="519" t="s">
        <v>2924</v>
      </c>
      <c r="AD26" s="518" t="s">
        <v>3017</v>
      </c>
      <c r="AE26" s="520" t="s">
        <v>3018</v>
      </c>
      <c r="AF26" s="504" t="s">
        <v>2939</v>
      </c>
      <c r="AG26" s="494" t="s">
        <v>2917</v>
      </c>
      <c r="AH26" s="494" t="s">
        <v>2917</v>
      </c>
      <c r="AI26" s="505"/>
      <c r="AJ26" s="505"/>
      <c r="AK26" s="521">
        <f>_xll.GetCtData("COAMOUNT","CONSAMOUNT",$B$1:$B$7,$B26,AK$9,"#210609")</f>
        <v>210609</v>
      </c>
    </row>
    <row r="27" spans="2:37" ht="12" customHeight="1">
      <c r="B27" s="453" t="s">
        <v>240</v>
      </c>
      <c r="C27" s="482" t="s">
        <v>2929</v>
      </c>
      <c r="D27" s="483">
        <v>44403</v>
      </c>
      <c r="E27" s="484" t="s">
        <v>2930</v>
      </c>
      <c r="F27" s="485">
        <v>7</v>
      </c>
      <c r="G27" s="547"/>
      <c r="H27" s="547"/>
      <c r="I27" s="547"/>
      <c r="J27" s="547"/>
      <c r="K27" s="547"/>
      <c r="L27" s="547"/>
      <c r="M27" s="548"/>
      <c r="N27" s="517" t="s">
        <v>3019</v>
      </c>
      <c r="O27" s="518">
        <v>9</v>
      </c>
      <c r="P27" s="519" t="s">
        <v>3020</v>
      </c>
      <c r="Q27" s="489">
        <v>47</v>
      </c>
      <c r="R27" s="519" t="s">
        <v>3021</v>
      </c>
      <c r="S27" s="518">
        <f t="shared" si="0"/>
        <v>36</v>
      </c>
      <c r="T27" s="519" t="s">
        <v>3022</v>
      </c>
      <c r="U27" s="518">
        <f t="shared" si="1"/>
        <v>15</v>
      </c>
      <c r="V27" s="519" t="s">
        <v>2922</v>
      </c>
      <c r="W27" s="519" t="s">
        <v>3023</v>
      </c>
      <c r="X27" s="491">
        <f t="shared" si="2"/>
        <v>44</v>
      </c>
      <c r="Y27" s="519" t="s">
        <v>3023</v>
      </c>
      <c r="Z27" s="518">
        <f t="shared" si="3"/>
        <v>44</v>
      </c>
      <c r="AA27" s="519" t="s">
        <v>3024</v>
      </c>
      <c r="AB27" s="518">
        <f t="shared" si="4"/>
        <v>24</v>
      </c>
      <c r="AC27" s="519" t="s">
        <v>2924</v>
      </c>
      <c r="AD27" s="518" t="s">
        <v>3025</v>
      </c>
      <c r="AE27" s="520" t="s">
        <v>3026</v>
      </c>
      <c r="AF27" s="504" t="s">
        <v>2939</v>
      </c>
      <c r="AG27" s="494" t="s">
        <v>2917</v>
      </c>
      <c r="AH27" s="494" t="s">
        <v>2917</v>
      </c>
      <c r="AI27" s="505"/>
      <c r="AJ27" s="505"/>
      <c r="AK27" s="521">
        <f>_xll.GetCtData("COAMOUNT","CONSAMOUNT",$B$1:$B$7,$B27,AK$9,"#-162877")</f>
        <v>-162877</v>
      </c>
    </row>
    <row r="28" spans="2:37" ht="12" customHeight="1">
      <c r="B28" s="453" t="s">
        <v>241</v>
      </c>
      <c r="C28" s="482" t="s">
        <v>2929</v>
      </c>
      <c r="D28" s="483">
        <v>44403</v>
      </c>
      <c r="E28" s="484" t="s">
        <v>2930</v>
      </c>
      <c r="F28" s="485">
        <v>7</v>
      </c>
      <c r="G28" s="547"/>
      <c r="H28" s="547"/>
      <c r="I28" s="547"/>
      <c r="J28" s="547"/>
      <c r="K28" s="547"/>
      <c r="L28" s="547"/>
      <c r="M28" s="548"/>
      <c r="N28" s="517" t="s">
        <v>3027</v>
      </c>
      <c r="O28" s="518">
        <v>9</v>
      </c>
      <c r="P28" s="519" t="s">
        <v>3028</v>
      </c>
      <c r="Q28" s="489">
        <v>46</v>
      </c>
      <c r="R28" s="519" t="s">
        <v>3028</v>
      </c>
      <c r="S28" s="518">
        <f t="shared" si="0"/>
        <v>46</v>
      </c>
      <c r="T28" s="519" t="s">
        <v>3029</v>
      </c>
      <c r="U28" s="518">
        <f t="shared" si="1"/>
        <v>17</v>
      </c>
      <c r="V28" s="519" t="s">
        <v>2922</v>
      </c>
      <c r="W28" s="519" t="s">
        <v>3030</v>
      </c>
      <c r="X28" s="491">
        <f t="shared" si="2"/>
        <v>57</v>
      </c>
      <c r="Y28" s="519" t="s">
        <v>3030</v>
      </c>
      <c r="Z28" s="518">
        <f t="shared" si="3"/>
        <v>57</v>
      </c>
      <c r="AA28" s="519" t="s">
        <v>3031</v>
      </c>
      <c r="AB28" s="518">
        <f t="shared" si="4"/>
        <v>28</v>
      </c>
      <c r="AC28" s="519" t="s">
        <v>2924</v>
      </c>
      <c r="AD28" s="518" t="s">
        <v>3032</v>
      </c>
      <c r="AE28" s="520" t="s">
        <v>3033</v>
      </c>
      <c r="AF28" s="504" t="s">
        <v>2939</v>
      </c>
      <c r="AG28" s="494" t="s">
        <v>2917</v>
      </c>
      <c r="AH28" s="494" t="s">
        <v>2917</v>
      </c>
      <c r="AI28" s="505"/>
      <c r="AJ28" s="505"/>
      <c r="AK28" s="521">
        <f>_xll.GetCtData("COAMOUNT","CONSAMOUNT",$B$1:$B$7,$B28,AK$9,"#")</f>
        <v>0</v>
      </c>
    </row>
    <row r="29" spans="2:37" ht="12" customHeight="1">
      <c r="B29" s="453" t="s">
        <v>569</v>
      </c>
      <c r="C29" s="482" t="s">
        <v>2911</v>
      </c>
      <c r="D29" s="483">
        <v>44378</v>
      </c>
      <c r="E29" s="484" t="s">
        <v>2912</v>
      </c>
      <c r="F29" s="485">
        <v>3</v>
      </c>
      <c r="G29" s="482"/>
      <c r="H29" s="507"/>
      <c r="I29" s="507"/>
      <c r="J29" s="532" t="s">
        <v>3034</v>
      </c>
      <c r="K29" s="532"/>
      <c r="L29" s="532"/>
      <c r="M29" s="533"/>
      <c r="N29" s="534"/>
      <c r="O29" s="535">
        <v>6</v>
      </c>
      <c r="P29" s="536" t="s">
        <v>3035</v>
      </c>
      <c r="Q29" s="489">
        <v>55</v>
      </c>
      <c r="R29" s="536" t="s">
        <v>3035</v>
      </c>
      <c r="S29" s="535">
        <f t="shared" si="0"/>
        <v>55</v>
      </c>
      <c r="T29" s="536" t="s">
        <v>3036</v>
      </c>
      <c r="U29" s="535">
        <f t="shared" si="1"/>
        <v>25</v>
      </c>
      <c r="V29" s="537" t="s">
        <v>2922</v>
      </c>
      <c r="W29" s="537" t="s">
        <v>3037</v>
      </c>
      <c r="X29" s="491">
        <f t="shared" si="2"/>
        <v>40</v>
      </c>
      <c r="Y29" s="537" t="s">
        <v>3037</v>
      </c>
      <c r="Z29" s="535">
        <f t="shared" si="3"/>
        <v>40</v>
      </c>
      <c r="AA29" s="537" t="s">
        <v>3038</v>
      </c>
      <c r="AB29" s="535">
        <f t="shared" si="4"/>
        <v>18</v>
      </c>
      <c r="AC29" s="537" t="s">
        <v>2924</v>
      </c>
      <c r="AD29" s="535"/>
      <c r="AE29" s="538"/>
      <c r="AF29" s="504"/>
      <c r="AG29" s="494" t="s">
        <v>2917</v>
      </c>
      <c r="AH29" s="495" t="s">
        <v>2918</v>
      </c>
      <c r="AI29" s="505"/>
      <c r="AJ29" s="505"/>
      <c r="AK29" s="539">
        <f>_xll.GetCtData("COAMOUNT","CONSAMOUNT",$B$1:$B$7,$B29,AK$9,"#35751,3092597004")</f>
        <v>35751</v>
      </c>
    </row>
    <row r="30" spans="2:37" ht="12" customHeight="1">
      <c r="B30" s="453" t="s">
        <v>549</v>
      </c>
      <c r="C30" s="482" t="s">
        <v>2929</v>
      </c>
      <c r="D30" s="483">
        <v>44403</v>
      </c>
      <c r="E30" s="484" t="s">
        <v>2930</v>
      </c>
      <c r="F30" s="485">
        <v>7</v>
      </c>
      <c r="G30" s="547"/>
      <c r="H30" s="547"/>
      <c r="I30" s="547"/>
      <c r="J30" s="547"/>
      <c r="K30" s="547"/>
      <c r="L30" s="547"/>
      <c r="M30" s="548"/>
      <c r="N30" s="517" t="s">
        <v>3039</v>
      </c>
      <c r="O30" s="518">
        <v>9</v>
      </c>
      <c r="P30" s="519" t="s">
        <v>3040</v>
      </c>
      <c r="Q30" s="489">
        <v>39</v>
      </c>
      <c r="R30" s="519" t="s">
        <v>2432</v>
      </c>
      <c r="S30" s="518">
        <f t="shared" si="0"/>
        <v>32</v>
      </c>
      <c r="T30" s="519" t="s">
        <v>3041</v>
      </c>
      <c r="U30" s="518">
        <f t="shared" si="1"/>
        <v>18</v>
      </c>
      <c r="V30" s="519" t="s">
        <v>2922</v>
      </c>
      <c r="W30" s="519" t="s">
        <v>3042</v>
      </c>
      <c r="X30" s="491">
        <f t="shared" si="2"/>
        <v>32</v>
      </c>
      <c r="Y30" s="519" t="s">
        <v>3042</v>
      </c>
      <c r="Z30" s="518">
        <f t="shared" si="3"/>
        <v>32</v>
      </c>
      <c r="AA30" s="519" t="s">
        <v>3043</v>
      </c>
      <c r="AB30" s="518">
        <f t="shared" si="4"/>
        <v>17</v>
      </c>
      <c r="AC30" s="519" t="s">
        <v>2924</v>
      </c>
      <c r="AD30" s="518" t="s">
        <v>3017</v>
      </c>
      <c r="AE30" s="520" t="s">
        <v>3018</v>
      </c>
      <c r="AF30" s="504" t="s">
        <v>2939</v>
      </c>
      <c r="AG30" s="494" t="s">
        <v>2917</v>
      </c>
      <c r="AH30" s="494" t="s">
        <v>2917</v>
      </c>
      <c r="AI30" s="505"/>
      <c r="AJ30" s="505"/>
      <c r="AK30" s="521">
        <f>_xll.GetCtData("COAMOUNT","CONSAMOUNT",$B$1:$B$7,$B30,AK$9,"#227082,406286567")</f>
        <v>227082</v>
      </c>
    </row>
    <row r="31" spans="2:37" ht="12" customHeight="1">
      <c r="B31" s="453" t="s">
        <v>244</v>
      </c>
      <c r="C31" s="482" t="s">
        <v>2929</v>
      </c>
      <c r="D31" s="483">
        <v>44403</v>
      </c>
      <c r="E31" s="484" t="s">
        <v>2930</v>
      </c>
      <c r="F31" s="485">
        <v>7</v>
      </c>
      <c r="G31" s="547"/>
      <c r="H31" s="547"/>
      <c r="I31" s="547"/>
      <c r="J31" s="547"/>
      <c r="K31" s="547"/>
      <c r="L31" s="547"/>
      <c r="M31" s="548"/>
      <c r="N31" s="517" t="s">
        <v>3044</v>
      </c>
      <c r="O31" s="518">
        <v>9</v>
      </c>
      <c r="P31" s="519" t="s">
        <v>3045</v>
      </c>
      <c r="Q31" s="489">
        <v>32</v>
      </c>
      <c r="R31" s="519" t="s">
        <v>2433</v>
      </c>
      <c r="S31" s="518">
        <f t="shared" si="0"/>
        <v>21</v>
      </c>
      <c r="T31" s="519" t="s">
        <v>3046</v>
      </c>
      <c r="U31" s="518">
        <f t="shared" si="1"/>
        <v>13</v>
      </c>
      <c r="V31" s="519" t="s">
        <v>2922</v>
      </c>
      <c r="W31" s="519" t="s">
        <v>3047</v>
      </c>
      <c r="X31" s="491">
        <f t="shared" si="2"/>
        <v>29</v>
      </c>
      <c r="Y31" s="519" t="s">
        <v>3047</v>
      </c>
      <c r="Z31" s="518">
        <f t="shared" si="3"/>
        <v>29</v>
      </c>
      <c r="AA31" s="519" t="s">
        <v>3048</v>
      </c>
      <c r="AB31" s="518">
        <f t="shared" si="4"/>
        <v>20</v>
      </c>
      <c r="AC31" s="519" t="s">
        <v>2924</v>
      </c>
      <c r="AD31" s="518" t="s">
        <v>3025</v>
      </c>
      <c r="AE31" s="520" t="s">
        <v>3026</v>
      </c>
      <c r="AF31" s="504" t="s">
        <v>2939</v>
      </c>
      <c r="AG31" s="494" t="s">
        <v>2917</v>
      </c>
      <c r="AH31" s="494" t="s">
        <v>2917</v>
      </c>
      <c r="AI31" s="505"/>
      <c r="AJ31" s="505"/>
      <c r="AK31" s="521">
        <f>_xll.GetCtData("COAMOUNT","CONSAMOUNT",$B$1:$B$7,$B31,AK$9,"#-191331,097026866")</f>
        <v>-191331</v>
      </c>
    </row>
    <row r="32" spans="2:37" ht="12" customHeight="1">
      <c r="B32" s="453" t="s">
        <v>245</v>
      </c>
      <c r="C32" s="482" t="s">
        <v>2929</v>
      </c>
      <c r="D32" s="483">
        <v>44403</v>
      </c>
      <c r="E32" s="484" t="s">
        <v>2930</v>
      </c>
      <c r="F32" s="485">
        <v>7</v>
      </c>
      <c r="G32" s="547"/>
      <c r="H32" s="547"/>
      <c r="I32" s="547"/>
      <c r="J32" s="547"/>
      <c r="K32" s="547"/>
      <c r="L32" s="547"/>
      <c r="M32" s="548"/>
      <c r="N32" s="517" t="s">
        <v>3049</v>
      </c>
      <c r="O32" s="518">
        <v>9</v>
      </c>
      <c r="P32" s="519" t="s">
        <v>2434</v>
      </c>
      <c r="Q32" s="489">
        <v>31</v>
      </c>
      <c r="R32" s="519" t="s">
        <v>2434</v>
      </c>
      <c r="S32" s="518">
        <f t="shared" si="0"/>
        <v>31</v>
      </c>
      <c r="T32" s="519" t="s">
        <v>3050</v>
      </c>
      <c r="U32" s="518">
        <f t="shared" si="1"/>
        <v>15</v>
      </c>
      <c r="V32" s="519" t="s">
        <v>2922</v>
      </c>
      <c r="W32" s="519" t="s">
        <v>3051</v>
      </c>
      <c r="X32" s="491">
        <f t="shared" si="2"/>
        <v>42</v>
      </c>
      <c r="Y32" s="519" t="s">
        <v>3051</v>
      </c>
      <c r="Z32" s="518">
        <f t="shared" si="3"/>
        <v>42</v>
      </c>
      <c r="AA32" s="519" t="s">
        <v>3052</v>
      </c>
      <c r="AB32" s="518">
        <f t="shared" si="4"/>
        <v>18</v>
      </c>
      <c r="AC32" s="519" t="s">
        <v>2924</v>
      </c>
      <c r="AD32" s="518" t="s">
        <v>3032</v>
      </c>
      <c r="AE32" s="520" t="s">
        <v>3033</v>
      </c>
      <c r="AF32" s="504" t="s">
        <v>2939</v>
      </c>
      <c r="AG32" s="494" t="s">
        <v>2917</v>
      </c>
      <c r="AH32" s="494" t="s">
        <v>2917</v>
      </c>
      <c r="AI32" s="505"/>
      <c r="AJ32" s="505"/>
      <c r="AK32" s="521">
        <f>_xll.GetCtData("COAMOUNT","CONSAMOUNT",$B$1:$B$7,$B32,AK$9,"#")</f>
        <v>0</v>
      </c>
    </row>
    <row r="33" spans="2:37" ht="12" customHeight="1">
      <c r="B33" s="453" t="s">
        <v>1118</v>
      </c>
      <c r="C33" s="482" t="s">
        <v>2911</v>
      </c>
      <c r="D33" s="483">
        <v>44378</v>
      </c>
      <c r="E33" s="484" t="s">
        <v>2912</v>
      </c>
      <c r="F33" s="485">
        <v>3</v>
      </c>
      <c r="G33" s="482"/>
      <c r="H33" s="507"/>
      <c r="I33" s="507"/>
      <c r="J33" s="532" t="s">
        <v>3053</v>
      </c>
      <c r="K33" s="532"/>
      <c r="L33" s="532"/>
      <c r="M33" s="533"/>
      <c r="N33" s="534"/>
      <c r="O33" s="535">
        <v>6</v>
      </c>
      <c r="P33" s="536" t="s">
        <v>3054</v>
      </c>
      <c r="Q33" s="489">
        <v>73</v>
      </c>
      <c r="R33" s="536" t="s">
        <v>3054</v>
      </c>
      <c r="S33" s="535">
        <f t="shared" si="0"/>
        <v>73</v>
      </c>
      <c r="T33" s="536" t="s">
        <v>3055</v>
      </c>
      <c r="U33" s="535">
        <f t="shared" si="1"/>
        <v>29</v>
      </c>
      <c r="V33" s="537" t="s">
        <v>2922</v>
      </c>
      <c r="W33" s="537" t="s">
        <v>3056</v>
      </c>
      <c r="X33" s="491">
        <f t="shared" si="2"/>
        <v>58</v>
      </c>
      <c r="Y33" s="537" t="s">
        <v>3056</v>
      </c>
      <c r="Z33" s="535">
        <f t="shared" si="3"/>
        <v>58</v>
      </c>
      <c r="AA33" s="537" t="s">
        <v>3057</v>
      </c>
      <c r="AB33" s="535">
        <f t="shared" si="4"/>
        <v>23</v>
      </c>
      <c r="AC33" s="537" t="s">
        <v>2924</v>
      </c>
      <c r="AD33" s="535"/>
      <c r="AE33" s="538"/>
      <c r="AF33" s="504"/>
      <c r="AG33" s="494" t="s">
        <v>2917</v>
      </c>
      <c r="AH33" s="495" t="s">
        <v>2918</v>
      </c>
      <c r="AI33" s="505"/>
      <c r="AJ33" s="505"/>
      <c r="AK33" s="539">
        <f>_xll.GetCtData("COAMOUNT","CONSAMOUNT",$B$1:$B$7,$B33,AK$9,"#2780106,76516272")</f>
        <v>2780106</v>
      </c>
    </row>
    <row r="34" spans="2:37" ht="12" customHeight="1">
      <c r="B34" s="453" t="s">
        <v>548</v>
      </c>
      <c r="C34" s="482" t="s">
        <v>2929</v>
      </c>
      <c r="D34" s="483">
        <v>44403</v>
      </c>
      <c r="E34" s="484" t="s">
        <v>2930</v>
      </c>
      <c r="F34" s="485">
        <v>7</v>
      </c>
      <c r="G34" s="547"/>
      <c r="H34" s="547"/>
      <c r="I34" s="547"/>
      <c r="J34" s="547"/>
      <c r="K34" s="547"/>
      <c r="L34" s="547"/>
      <c r="M34" s="548"/>
      <c r="N34" s="517" t="s">
        <v>3058</v>
      </c>
      <c r="O34" s="518">
        <v>9</v>
      </c>
      <c r="P34" s="519" t="s">
        <v>3059</v>
      </c>
      <c r="Q34" s="489">
        <v>57</v>
      </c>
      <c r="R34" s="519" t="s">
        <v>3060</v>
      </c>
      <c r="S34" s="518">
        <f t="shared" si="0"/>
        <v>50</v>
      </c>
      <c r="T34" s="519" t="s">
        <v>3061</v>
      </c>
      <c r="U34" s="518">
        <f t="shared" si="1"/>
        <v>22</v>
      </c>
      <c r="V34" s="519" t="s">
        <v>2922</v>
      </c>
      <c r="W34" s="519" t="s">
        <v>3062</v>
      </c>
      <c r="X34" s="491">
        <f t="shared" si="2"/>
        <v>50</v>
      </c>
      <c r="Y34" s="519" t="s">
        <v>3062</v>
      </c>
      <c r="Z34" s="518">
        <f t="shared" si="3"/>
        <v>50</v>
      </c>
      <c r="AA34" s="519" t="s">
        <v>3063</v>
      </c>
      <c r="AB34" s="518">
        <f t="shared" si="4"/>
        <v>22</v>
      </c>
      <c r="AC34" s="519" t="s">
        <v>2924</v>
      </c>
      <c r="AD34" s="518" t="s">
        <v>3064</v>
      </c>
      <c r="AE34" s="520" t="s">
        <v>90</v>
      </c>
      <c r="AF34" s="504" t="s">
        <v>2939</v>
      </c>
      <c r="AG34" s="494" t="s">
        <v>2917</v>
      </c>
      <c r="AH34" s="494" t="s">
        <v>2917</v>
      </c>
      <c r="AI34" s="505"/>
      <c r="AJ34" s="505"/>
      <c r="AK34" s="521">
        <f>_xll.GetCtData("COAMOUNT","CONSAMOUNT",$B$1:$B$7,$B34,AK$9,"#3459609,09143542")</f>
        <v>3459609</v>
      </c>
    </row>
    <row r="35" spans="2:37" ht="12" customHeight="1">
      <c r="B35" s="453" t="s">
        <v>239</v>
      </c>
      <c r="C35" s="482" t="s">
        <v>2929</v>
      </c>
      <c r="D35" s="483">
        <v>44403</v>
      </c>
      <c r="E35" s="484" t="s">
        <v>2930</v>
      </c>
      <c r="F35" s="485">
        <v>7</v>
      </c>
      <c r="G35" s="547"/>
      <c r="H35" s="547"/>
      <c r="I35" s="547"/>
      <c r="J35" s="547"/>
      <c r="K35" s="547"/>
      <c r="L35" s="547"/>
      <c r="M35" s="548"/>
      <c r="N35" s="517" t="s">
        <v>3065</v>
      </c>
      <c r="O35" s="518">
        <v>9</v>
      </c>
      <c r="P35" s="519" t="s">
        <v>3066</v>
      </c>
      <c r="Q35" s="489">
        <v>50</v>
      </c>
      <c r="R35" s="519" t="s">
        <v>3067</v>
      </c>
      <c r="S35" s="518">
        <f t="shared" si="0"/>
        <v>39</v>
      </c>
      <c r="T35" s="519" t="s">
        <v>3068</v>
      </c>
      <c r="U35" s="518">
        <f t="shared" si="1"/>
        <v>17</v>
      </c>
      <c r="V35" s="519" t="s">
        <v>2922</v>
      </c>
      <c r="W35" s="519" t="s">
        <v>3069</v>
      </c>
      <c r="X35" s="491">
        <f t="shared" si="2"/>
        <v>47</v>
      </c>
      <c r="Y35" s="519" t="s">
        <v>3069</v>
      </c>
      <c r="Z35" s="518">
        <f t="shared" si="3"/>
        <v>47</v>
      </c>
      <c r="AA35" s="519" t="s">
        <v>3070</v>
      </c>
      <c r="AB35" s="518">
        <f t="shared" si="4"/>
        <v>25</v>
      </c>
      <c r="AC35" s="519" t="s">
        <v>2924</v>
      </c>
      <c r="AD35" s="518" t="s">
        <v>3071</v>
      </c>
      <c r="AE35" s="520" t="s">
        <v>3072</v>
      </c>
      <c r="AF35" s="504" t="s">
        <v>2939</v>
      </c>
      <c r="AG35" s="494" t="s">
        <v>2917</v>
      </c>
      <c r="AH35" s="494" t="s">
        <v>2917</v>
      </c>
      <c r="AI35" s="505"/>
      <c r="AJ35" s="505"/>
      <c r="AK35" s="521">
        <f>_xll.GetCtData("COAMOUNT","CONSAMOUNT",$B$1:$B$7,$B35,AK$9,"#-679502,326272703")</f>
        <v>-679502</v>
      </c>
    </row>
    <row r="36" spans="2:37" ht="12" customHeight="1">
      <c r="B36" s="453" t="s">
        <v>242</v>
      </c>
      <c r="C36" s="482" t="s">
        <v>2929</v>
      </c>
      <c r="D36" s="483">
        <v>44403</v>
      </c>
      <c r="E36" s="484" t="s">
        <v>2930</v>
      </c>
      <c r="F36" s="485">
        <v>7</v>
      </c>
      <c r="G36" s="547"/>
      <c r="H36" s="547"/>
      <c r="I36" s="547"/>
      <c r="J36" s="547"/>
      <c r="K36" s="547"/>
      <c r="L36" s="547"/>
      <c r="M36" s="548"/>
      <c r="N36" s="517" t="s">
        <v>3073</v>
      </c>
      <c r="O36" s="518">
        <v>9</v>
      </c>
      <c r="P36" s="519" t="s">
        <v>3074</v>
      </c>
      <c r="Q36" s="489">
        <v>49</v>
      </c>
      <c r="R36" s="519" t="s">
        <v>3074</v>
      </c>
      <c r="S36" s="518">
        <f t="shared" si="0"/>
        <v>49</v>
      </c>
      <c r="T36" s="519" t="s">
        <v>3075</v>
      </c>
      <c r="U36" s="518">
        <f t="shared" si="1"/>
        <v>19</v>
      </c>
      <c r="V36" s="519" t="s">
        <v>2922</v>
      </c>
      <c r="W36" s="519" t="s">
        <v>3076</v>
      </c>
      <c r="X36" s="491">
        <f t="shared" si="2"/>
        <v>60</v>
      </c>
      <c r="Y36" s="519" t="s">
        <v>3076</v>
      </c>
      <c r="Z36" s="518">
        <f t="shared" si="3"/>
        <v>60</v>
      </c>
      <c r="AA36" s="519" t="s">
        <v>3077</v>
      </c>
      <c r="AB36" s="518">
        <f t="shared" si="4"/>
        <v>23</v>
      </c>
      <c r="AC36" s="519" t="s">
        <v>2924</v>
      </c>
      <c r="AD36" s="518" t="s">
        <v>3078</v>
      </c>
      <c r="AE36" s="520" t="s">
        <v>3079</v>
      </c>
      <c r="AF36" s="504" t="s">
        <v>2939</v>
      </c>
      <c r="AG36" s="494" t="s">
        <v>2917</v>
      </c>
      <c r="AH36" s="494" t="s">
        <v>2917</v>
      </c>
      <c r="AI36" s="505"/>
      <c r="AJ36" s="505"/>
      <c r="AK36" s="521">
        <f>_xll.GetCtData("COAMOUNT","CONSAMOUNT",$B$1:$B$7,$B36,AK$9,"#")</f>
        <v>0</v>
      </c>
    </row>
    <row r="37" spans="2:37" ht="12" customHeight="1">
      <c r="B37" s="453" t="s">
        <v>2442</v>
      </c>
      <c r="C37" s="482" t="s">
        <v>2911</v>
      </c>
      <c r="D37" s="483">
        <v>44378</v>
      </c>
      <c r="E37" s="484" t="s">
        <v>2912</v>
      </c>
      <c r="F37" s="485">
        <v>3</v>
      </c>
      <c r="G37" s="482"/>
      <c r="H37" s="507"/>
      <c r="I37" s="507"/>
      <c r="J37" s="532" t="s">
        <v>3080</v>
      </c>
      <c r="K37" s="532"/>
      <c r="L37" s="532"/>
      <c r="M37" s="533"/>
      <c r="N37" s="534"/>
      <c r="O37" s="535">
        <v>6</v>
      </c>
      <c r="P37" s="536" t="s">
        <v>3081</v>
      </c>
      <c r="Q37" s="489">
        <v>45</v>
      </c>
      <c r="R37" s="536" t="s">
        <v>3081</v>
      </c>
      <c r="S37" s="535">
        <f t="shared" si="0"/>
        <v>45</v>
      </c>
      <c r="T37" s="536" t="s">
        <v>3082</v>
      </c>
      <c r="U37" s="535">
        <f t="shared" si="1"/>
        <v>20</v>
      </c>
      <c r="V37" s="537" t="s">
        <v>2922</v>
      </c>
      <c r="W37" s="537" t="s">
        <v>3083</v>
      </c>
      <c r="X37" s="491">
        <f t="shared" si="2"/>
        <v>31</v>
      </c>
      <c r="Y37" s="537" t="s">
        <v>3083</v>
      </c>
      <c r="Z37" s="535">
        <f t="shared" si="3"/>
        <v>31</v>
      </c>
      <c r="AA37" s="537" t="s">
        <v>3084</v>
      </c>
      <c r="AB37" s="535">
        <f t="shared" si="4"/>
        <v>9</v>
      </c>
      <c r="AC37" s="537" t="s">
        <v>2924</v>
      </c>
      <c r="AD37" s="535"/>
      <c r="AE37" s="538"/>
      <c r="AF37" s="504"/>
      <c r="AG37" s="494" t="s">
        <v>2917</v>
      </c>
      <c r="AH37" s="495" t="s">
        <v>2918</v>
      </c>
      <c r="AI37" s="505"/>
      <c r="AJ37" s="505"/>
      <c r="AK37" s="539">
        <f>SUM(AK38:AK40)</f>
        <v>7686</v>
      </c>
    </row>
    <row r="38" spans="2:37" ht="12" customHeight="1">
      <c r="B38" s="453" t="s">
        <v>2435</v>
      </c>
      <c r="C38" s="482" t="s">
        <v>2929</v>
      </c>
      <c r="D38" s="483">
        <v>44403</v>
      </c>
      <c r="E38" s="484" t="s">
        <v>2930</v>
      </c>
      <c r="F38" s="485">
        <v>7</v>
      </c>
      <c r="G38" s="547"/>
      <c r="H38" s="547"/>
      <c r="I38" s="547"/>
      <c r="J38" s="547"/>
      <c r="K38" s="547"/>
      <c r="L38" s="547"/>
      <c r="M38" s="548"/>
      <c r="N38" s="517" t="s">
        <v>3085</v>
      </c>
      <c r="O38" s="518">
        <v>9</v>
      </c>
      <c r="P38" s="519" t="s">
        <v>3086</v>
      </c>
      <c r="Q38" s="489">
        <v>59</v>
      </c>
      <c r="R38" s="519" t="s">
        <v>2436</v>
      </c>
      <c r="S38" s="518">
        <f t="shared" si="0"/>
        <v>52</v>
      </c>
      <c r="T38" s="519" t="s">
        <v>3087</v>
      </c>
      <c r="U38" s="518">
        <f t="shared" si="1"/>
        <v>22</v>
      </c>
      <c r="V38" s="519" t="s">
        <v>2922</v>
      </c>
      <c r="W38" s="519" t="s">
        <v>3088</v>
      </c>
      <c r="X38" s="491">
        <f t="shared" si="2"/>
        <v>41</v>
      </c>
      <c r="Y38" s="519" t="s">
        <v>3088</v>
      </c>
      <c r="Z38" s="518">
        <f t="shared" si="3"/>
        <v>41</v>
      </c>
      <c r="AA38" s="519" t="s">
        <v>3089</v>
      </c>
      <c r="AB38" s="518">
        <f t="shared" si="4"/>
        <v>6</v>
      </c>
      <c r="AC38" s="519" t="s">
        <v>2924</v>
      </c>
      <c r="AD38" s="518" t="s">
        <v>3090</v>
      </c>
      <c r="AE38" s="520" t="s">
        <v>3091</v>
      </c>
      <c r="AF38" s="504" t="s">
        <v>2939</v>
      </c>
      <c r="AG38" s="494" t="s">
        <v>2917</v>
      </c>
      <c r="AH38" s="494" t="s">
        <v>2917</v>
      </c>
      <c r="AI38" s="505"/>
      <c r="AJ38" s="505"/>
      <c r="AK38" s="521">
        <f>_xll.GetCtData("COAMOUNT","CONSAMOUNT",$B$1:$B$7,$B38,AK$9,"#8705,587989315")</f>
        <v>8705</v>
      </c>
    </row>
    <row r="39" spans="2:37" ht="12" customHeight="1">
      <c r="B39" s="453" t="s">
        <v>2437</v>
      </c>
      <c r="C39" s="482" t="s">
        <v>2929</v>
      </c>
      <c r="D39" s="483">
        <v>44403</v>
      </c>
      <c r="E39" s="484" t="s">
        <v>2930</v>
      </c>
      <c r="F39" s="485">
        <v>7</v>
      </c>
      <c r="G39" s="547"/>
      <c r="H39" s="547"/>
      <c r="I39" s="547"/>
      <c r="J39" s="547"/>
      <c r="K39" s="547"/>
      <c r="L39" s="547"/>
      <c r="M39" s="548"/>
      <c r="N39" s="517" t="s">
        <v>3092</v>
      </c>
      <c r="O39" s="518">
        <v>9</v>
      </c>
      <c r="P39" s="519" t="s">
        <v>3093</v>
      </c>
      <c r="Q39" s="489">
        <v>52</v>
      </c>
      <c r="R39" s="519" t="s">
        <v>2438</v>
      </c>
      <c r="S39" s="518">
        <f t="shared" si="0"/>
        <v>41</v>
      </c>
      <c r="T39" s="519" t="s">
        <v>3094</v>
      </c>
      <c r="U39" s="518">
        <f t="shared" si="1"/>
        <v>17</v>
      </c>
      <c r="V39" s="519" t="s">
        <v>2922</v>
      </c>
      <c r="W39" s="519" t="s">
        <v>3095</v>
      </c>
      <c r="X39" s="491">
        <f t="shared" si="2"/>
        <v>38</v>
      </c>
      <c r="Y39" s="519" t="s">
        <v>3095</v>
      </c>
      <c r="Z39" s="518">
        <f t="shared" si="3"/>
        <v>38</v>
      </c>
      <c r="AA39" s="519" t="s">
        <v>3096</v>
      </c>
      <c r="AB39" s="518">
        <f t="shared" si="4"/>
        <v>9</v>
      </c>
      <c r="AC39" s="519" t="s">
        <v>2924</v>
      </c>
      <c r="AD39" s="518" t="s">
        <v>3097</v>
      </c>
      <c r="AE39" s="520" t="s">
        <v>3098</v>
      </c>
      <c r="AF39" s="504" t="s">
        <v>2939</v>
      </c>
      <c r="AG39" s="494" t="s">
        <v>2917</v>
      </c>
      <c r="AH39" s="494" t="s">
        <v>2917</v>
      </c>
      <c r="AI39" s="505"/>
      <c r="AJ39" s="505"/>
      <c r="AK39" s="521">
        <f>_xll.GetCtData("COAMOUNT","CONSAMOUNT",$B$1:$B$7,$B39,AK$9,"#-935,204100624979")</f>
        <v>-935</v>
      </c>
    </row>
    <row r="40" spans="2:37" ht="12" customHeight="1">
      <c r="B40" s="453" t="s">
        <v>2439</v>
      </c>
      <c r="C40" s="482" t="s">
        <v>2929</v>
      </c>
      <c r="D40" s="483">
        <v>44403</v>
      </c>
      <c r="E40" s="484" t="s">
        <v>2930</v>
      </c>
      <c r="F40" s="485">
        <v>7</v>
      </c>
      <c r="G40" s="547"/>
      <c r="H40" s="547"/>
      <c r="I40" s="547"/>
      <c r="J40" s="547"/>
      <c r="K40" s="547"/>
      <c r="L40" s="547"/>
      <c r="M40" s="548"/>
      <c r="N40" s="517" t="s">
        <v>3099</v>
      </c>
      <c r="O40" s="518">
        <v>9</v>
      </c>
      <c r="P40" s="519" t="s">
        <v>2440</v>
      </c>
      <c r="Q40" s="489">
        <v>51</v>
      </c>
      <c r="R40" s="519" t="s">
        <v>2440</v>
      </c>
      <c r="S40" s="518">
        <f t="shared" si="0"/>
        <v>51</v>
      </c>
      <c r="T40" s="519" t="s">
        <v>3100</v>
      </c>
      <c r="U40" s="518">
        <f t="shared" si="1"/>
        <v>19</v>
      </c>
      <c r="V40" s="519" t="s">
        <v>2922</v>
      </c>
      <c r="W40" s="519" t="s">
        <v>3101</v>
      </c>
      <c r="X40" s="491">
        <f t="shared" si="2"/>
        <v>51</v>
      </c>
      <c r="Y40" s="519" t="s">
        <v>3101</v>
      </c>
      <c r="Z40" s="518">
        <f t="shared" si="3"/>
        <v>51</v>
      </c>
      <c r="AA40" s="519" t="s">
        <v>3102</v>
      </c>
      <c r="AB40" s="518">
        <f t="shared" si="4"/>
        <v>7</v>
      </c>
      <c r="AC40" s="519" t="s">
        <v>2924</v>
      </c>
      <c r="AD40" s="518" t="s">
        <v>3103</v>
      </c>
      <c r="AE40" s="520" t="s">
        <v>3104</v>
      </c>
      <c r="AF40" s="504" t="s">
        <v>2939</v>
      </c>
      <c r="AG40" s="494" t="s">
        <v>2917</v>
      </c>
      <c r="AH40" s="494" t="s">
        <v>2917</v>
      </c>
      <c r="AI40" s="505"/>
      <c r="AJ40" s="505"/>
      <c r="AK40" s="521">
        <f>_xll.GetCtData("COAMOUNT","CONSAMOUNT",$B$1:$B$7,$B40,AK$9,"#-84")</f>
        <v>-84</v>
      </c>
    </row>
    <row r="41" spans="2:37" ht="12" customHeight="1">
      <c r="B41" s="453" t="s">
        <v>3105</v>
      </c>
      <c r="C41" s="482" t="s">
        <v>2911</v>
      </c>
      <c r="D41" s="483">
        <v>44378</v>
      </c>
      <c r="E41" s="484" t="s">
        <v>2912</v>
      </c>
      <c r="F41" s="485">
        <v>3</v>
      </c>
      <c r="G41" s="482"/>
      <c r="H41" s="507"/>
      <c r="I41" s="507"/>
      <c r="J41" s="532" t="s">
        <v>3106</v>
      </c>
      <c r="K41" s="532"/>
      <c r="L41" s="532"/>
      <c r="M41" s="533"/>
      <c r="N41" s="534"/>
      <c r="O41" s="535">
        <v>6</v>
      </c>
      <c r="P41" s="536" t="s">
        <v>3107</v>
      </c>
      <c r="Q41" s="489">
        <v>67</v>
      </c>
      <c r="R41" s="536" t="s">
        <v>3107</v>
      </c>
      <c r="S41" s="535">
        <f t="shared" si="0"/>
        <v>67</v>
      </c>
      <c r="T41" s="536" t="s">
        <v>3108</v>
      </c>
      <c r="U41" s="535">
        <f t="shared" si="1"/>
        <v>29</v>
      </c>
      <c r="V41" s="537" t="s">
        <v>2922</v>
      </c>
      <c r="W41" s="537" t="s">
        <v>3109</v>
      </c>
      <c r="X41" s="491">
        <f t="shared" si="2"/>
        <v>54</v>
      </c>
      <c r="Y41" s="537" t="s">
        <v>3109</v>
      </c>
      <c r="Z41" s="535">
        <f t="shared" si="3"/>
        <v>54</v>
      </c>
      <c r="AA41" s="537" t="s">
        <v>3110</v>
      </c>
      <c r="AB41" s="535">
        <f t="shared" si="4"/>
        <v>25</v>
      </c>
      <c r="AC41" s="537" t="s">
        <v>2924</v>
      </c>
      <c r="AD41" s="535"/>
      <c r="AE41" s="538"/>
      <c r="AF41" s="504"/>
      <c r="AG41" s="494" t="s">
        <v>2917</v>
      </c>
      <c r="AH41" s="495" t="s">
        <v>2918</v>
      </c>
      <c r="AI41" s="505"/>
      <c r="AJ41" s="505"/>
      <c r="AK41" s="539">
        <f>_xll.GetCtData("COAMOUNT","CONSAMOUNT",$B$1:$B$7,$B41,AK$9,"#0")</f>
        <v>0</v>
      </c>
    </row>
    <row r="42" spans="2:37" ht="12" customHeight="1">
      <c r="B42" s="453" t="s">
        <v>3111</v>
      </c>
      <c r="C42" s="482" t="s">
        <v>2929</v>
      </c>
      <c r="D42" s="483">
        <v>44403</v>
      </c>
      <c r="E42" s="484" t="s">
        <v>2930</v>
      </c>
      <c r="F42" s="485">
        <v>7</v>
      </c>
      <c r="G42" s="547"/>
      <c r="H42" s="547"/>
      <c r="I42" s="547"/>
      <c r="J42" s="547"/>
      <c r="K42" s="547"/>
      <c r="L42" s="547"/>
      <c r="M42" s="548"/>
      <c r="N42" s="517" t="s">
        <v>3112</v>
      </c>
      <c r="O42" s="518">
        <v>9</v>
      </c>
      <c r="P42" s="519" t="s">
        <v>3113</v>
      </c>
      <c r="Q42" s="489">
        <v>44</v>
      </c>
      <c r="R42" s="519" t="s">
        <v>3113</v>
      </c>
      <c r="S42" s="518">
        <f t="shared" si="0"/>
        <v>44</v>
      </c>
      <c r="T42" s="519" t="s">
        <v>3114</v>
      </c>
      <c r="U42" s="518">
        <f t="shared" si="1"/>
        <v>22</v>
      </c>
      <c r="V42" s="519" t="s">
        <v>2922</v>
      </c>
      <c r="W42" s="519" t="s">
        <v>3115</v>
      </c>
      <c r="X42" s="491">
        <f t="shared" si="2"/>
        <v>76</v>
      </c>
      <c r="Y42" s="519" t="s">
        <v>3116</v>
      </c>
      <c r="Z42" s="518">
        <f t="shared" si="3"/>
        <v>70</v>
      </c>
      <c r="AA42" s="519" t="s">
        <v>3117</v>
      </c>
      <c r="AB42" s="518">
        <f t="shared" si="4"/>
        <v>25</v>
      </c>
      <c r="AC42" s="519" t="s">
        <v>2924</v>
      </c>
      <c r="AD42" s="518" t="s">
        <v>3118</v>
      </c>
      <c r="AE42" s="520" t="s">
        <v>3119</v>
      </c>
      <c r="AF42" s="504" t="s">
        <v>2939</v>
      </c>
      <c r="AG42" s="494" t="s">
        <v>2917</v>
      </c>
      <c r="AH42" s="494" t="s">
        <v>2917</v>
      </c>
      <c r="AI42" s="505"/>
      <c r="AJ42" s="505"/>
      <c r="AK42" s="521">
        <f>_xll.GetCtData("COAMOUNT","CONSAMOUNT",$B$1:$B$7,$B42,AK$9,"#")</f>
        <v>0</v>
      </c>
    </row>
    <row r="43" spans="2:37" ht="12" customHeight="1">
      <c r="B43" s="453" t="s">
        <v>3120</v>
      </c>
      <c r="C43" s="482" t="s">
        <v>2929</v>
      </c>
      <c r="D43" s="483">
        <v>44403</v>
      </c>
      <c r="E43" s="484" t="s">
        <v>2930</v>
      </c>
      <c r="F43" s="485">
        <v>7</v>
      </c>
      <c r="G43" s="547"/>
      <c r="H43" s="547"/>
      <c r="I43" s="547"/>
      <c r="J43" s="547"/>
      <c r="K43" s="547"/>
      <c r="L43" s="547"/>
      <c r="M43" s="548"/>
      <c r="N43" s="517" t="s">
        <v>3121</v>
      </c>
      <c r="O43" s="518">
        <v>9</v>
      </c>
      <c r="P43" s="519" t="s">
        <v>3122</v>
      </c>
      <c r="Q43" s="489">
        <v>33</v>
      </c>
      <c r="R43" s="519" t="s">
        <v>3122</v>
      </c>
      <c r="S43" s="518">
        <f t="shared" si="0"/>
        <v>33</v>
      </c>
      <c r="T43" s="519" t="s">
        <v>3123</v>
      </c>
      <c r="U43" s="518">
        <f t="shared" si="1"/>
        <v>17</v>
      </c>
      <c r="V43" s="519" t="s">
        <v>2922</v>
      </c>
      <c r="W43" s="519" t="s">
        <v>3124</v>
      </c>
      <c r="X43" s="491">
        <f t="shared" si="2"/>
        <v>62</v>
      </c>
      <c r="Y43" s="519" t="s">
        <v>3125</v>
      </c>
      <c r="Z43" s="518">
        <f t="shared" si="3"/>
        <v>56</v>
      </c>
      <c r="AA43" s="519" t="s">
        <v>3126</v>
      </c>
      <c r="AB43" s="518">
        <f t="shared" si="4"/>
        <v>27</v>
      </c>
      <c r="AC43" s="519" t="s">
        <v>2924</v>
      </c>
      <c r="AD43" s="518" t="s">
        <v>3127</v>
      </c>
      <c r="AE43" s="520" t="s">
        <v>3128</v>
      </c>
      <c r="AF43" s="504" t="s">
        <v>2939</v>
      </c>
      <c r="AG43" s="494" t="s">
        <v>2917</v>
      </c>
      <c r="AH43" s="494" t="s">
        <v>2917</v>
      </c>
      <c r="AI43" s="505"/>
      <c r="AJ43" s="505"/>
      <c r="AK43" s="521">
        <f>_xll.GetCtData("COAMOUNT","CONSAMOUNT",$B$1:$B$7,$B43,AK$9,"#0")</f>
        <v>0</v>
      </c>
    </row>
    <row r="44" spans="2:37" ht="12" customHeight="1">
      <c r="B44" s="453" t="s">
        <v>3129</v>
      </c>
      <c r="C44" s="482" t="s">
        <v>2929</v>
      </c>
      <c r="D44" s="483">
        <v>44403</v>
      </c>
      <c r="E44" s="484" t="s">
        <v>2930</v>
      </c>
      <c r="F44" s="485">
        <v>7</v>
      </c>
      <c r="G44" s="547"/>
      <c r="H44" s="547"/>
      <c r="I44" s="547"/>
      <c r="J44" s="547"/>
      <c r="K44" s="547"/>
      <c r="L44" s="547"/>
      <c r="M44" s="548"/>
      <c r="N44" s="517" t="s">
        <v>3130</v>
      </c>
      <c r="O44" s="518">
        <v>9</v>
      </c>
      <c r="P44" s="519" t="s">
        <v>3131</v>
      </c>
      <c r="Q44" s="489">
        <v>43</v>
      </c>
      <c r="R44" s="519" t="s">
        <v>3131</v>
      </c>
      <c r="S44" s="518">
        <f t="shared" si="0"/>
        <v>43</v>
      </c>
      <c r="T44" s="519" t="s">
        <v>3132</v>
      </c>
      <c r="U44" s="518">
        <f t="shared" si="1"/>
        <v>20</v>
      </c>
      <c r="V44" s="519" t="s">
        <v>2922</v>
      </c>
      <c r="W44" s="519" t="s">
        <v>3133</v>
      </c>
      <c r="X44" s="491">
        <f t="shared" si="2"/>
        <v>75</v>
      </c>
      <c r="Y44" s="519" t="s">
        <v>3134</v>
      </c>
      <c r="Z44" s="518">
        <f t="shared" si="3"/>
        <v>69</v>
      </c>
      <c r="AA44" s="519" t="s">
        <v>3135</v>
      </c>
      <c r="AB44" s="518">
        <f t="shared" si="4"/>
        <v>25</v>
      </c>
      <c r="AC44" s="519" t="s">
        <v>2924</v>
      </c>
      <c r="AD44" s="518" t="s">
        <v>3136</v>
      </c>
      <c r="AE44" s="520" t="s">
        <v>3137</v>
      </c>
      <c r="AF44" s="504" t="s">
        <v>2939</v>
      </c>
      <c r="AG44" s="494" t="s">
        <v>2917</v>
      </c>
      <c r="AH44" s="494" t="s">
        <v>2917</v>
      </c>
      <c r="AI44" s="505"/>
      <c r="AJ44" s="505"/>
      <c r="AK44" s="521">
        <f>_xll.GetCtData("COAMOUNT","CONSAMOUNT",$B$1:$B$7,$B44,AK$9,"#")</f>
        <v>0</v>
      </c>
    </row>
    <row r="45" spans="2:37" ht="12" customHeight="1">
      <c r="B45" s="453" t="s">
        <v>3138</v>
      </c>
      <c r="C45" s="482" t="s">
        <v>2911</v>
      </c>
      <c r="D45" s="483">
        <v>44378</v>
      </c>
      <c r="E45" s="484" t="s">
        <v>2912</v>
      </c>
      <c r="F45" s="485">
        <v>1</v>
      </c>
      <c r="G45" s="482"/>
      <c r="H45" s="497" t="s">
        <v>3139</v>
      </c>
      <c r="I45" s="497"/>
      <c r="J45" s="497"/>
      <c r="K45" s="497"/>
      <c r="L45" s="497"/>
      <c r="M45" s="498"/>
      <c r="N45" s="499"/>
      <c r="O45" s="500">
        <v>4</v>
      </c>
      <c r="P45" s="501" t="s">
        <v>1065</v>
      </c>
      <c r="Q45" s="489">
        <v>36</v>
      </c>
      <c r="R45" s="501" t="s">
        <v>1065</v>
      </c>
      <c r="S45" s="500">
        <f t="shared" si="0"/>
        <v>36</v>
      </c>
      <c r="T45" s="501" t="s">
        <v>3140</v>
      </c>
      <c r="U45" s="500">
        <f t="shared" si="1"/>
        <v>23</v>
      </c>
      <c r="V45" s="502" t="s">
        <v>2915</v>
      </c>
      <c r="W45" s="502" t="s">
        <v>3141</v>
      </c>
      <c r="X45" s="491">
        <f t="shared" si="2"/>
        <v>21</v>
      </c>
      <c r="Y45" s="502" t="s">
        <v>3141</v>
      </c>
      <c r="Z45" s="500">
        <f t="shared" si="3"/>
        <v>21</v>
      </c>
      <c r="AA45" s="502" t="s">
        <v>3142</v>
      </c>
      <c r="AB45" s="500">
        <f t="shared" si="4"/>
        <v>10</v>
      </c>
      <c r="AC45" s="502" t="s">
        <v>3143</v>
      </c>
      <c r="AD45" s="500"/>
      <c r="AE45" s="503"/>
      <c r="AF45" s="504"/>
      <c r="AG45" s="494" t="s">
        <v>2917</v>
      </c>
      <c r="AH45" s="495" t="s">
        <v>2918</v>
      </c>
      <c r="AI45" s="505"/>
      <c r="AJ45" s="505"/>
      <c r="AK45" s="506">
        <f>_xll.GetCtData("COAMOUNT","CONSAMOUNT",$B$1:$B$7,$B45,AK$9,"#395915266,98812")</f>
        <v>395915266</v>
      </c>
    </row>
    <row r="46" spans="2:37" ht="12" customHeight="1">
      <c r="B46" s="453" t="s">
        <v>881</v>
      </c>
      <c r="C46" s="482" t="s">
        <v>2911</v>
      </c>
      <c r="D46" s="483">
        <v>44378</v>
      </c>
      <c r="E46" s="484" t="s">
        <v>2912</v>
      </c>
      <c r="F46" s="485">
        <v>2</v>
      </c>
      <c r="G46" s="482"/>
      <c r="H46" s="507"/>
      <c r="I46" s="508" t="s">
        <v>3144</v>
      </c>
      <c r="J46" s="508"/>
      <c r="K46" s="508"/>
      <c r="L46" s="508"/>
      <c r="M46" s="509"/>
      <c r="N46" s="510"/>
      <c r="O46" s="511">
        <v>5</v>
      </c>
      <c r="P46" s="512" t="s">
        <v>1064</v>
      </c>
      <c r="Q46" s="489">
        <v>23</v>
      </c>
      <c r="R46" s="512" t="s">
        <v>1064</v>
      </c>
      <c r="S46" s="511">
        <f t="shared" si="0"/>
        <v>23</v>
      </c>
      <c r="T46" s="512" t="s">
        <v>3145</v>
      </c>
      <c r="U46" s="511">
        <f t="shared" si="1"/>
        <v>17</v>
      </c>
      <c r="V46" s="513" t="s">
        <v>3146</v>
      </c>
      <c r="W46" s="513" t="s">
        <v>3147</v>
      </c>
      <c r="X46" s="491">
        <f t="shared" si="2"/>
        <v>19</v>
      </c>
      <c r="Y46" s="513" t="s">
        <v>3147</v>
      </c>
      <c r="Z46" s="511">
        <f t="shared" si="3"/>
        <v>19</v>
      </c>
      <c r="AA46" s="513" t="s">
        <v>3148</v>
      </c>
      <c r="AB46" s="511">
        <f t="shared" si="4"/>
        <v>11</v>
      </c>
      <c r="AC46" s="549" t="s">
        <v>3149</v>
      </c>
      <c r="AD46" s="511"/>
      <c r="AE46" s="514"/>
      <c r="AF46" s="504" t="s">
        <v>3150</v>
      </c>
      <c r="AG46" s="494" t="s">
        <v>2917</v>
      </c>
      <c r="AH46" s="495" t="s">
        <v>2918</v>
      </c>
      <c r="AI46" s="505"/>
      <c r="AJ46" s="505"/>
      <c r="AK46" s="515">
        <f>_xll.GetCtData("COAMOUNT","CONSAMOUNT",$B$1:$B$7,$B46,AK$9,"#6107629,9140118")</f>
        <v>6107629</v>
      </c>
    </row>
    <row r="47" spans="2:37" ht="12" customHeight="1">
      <c r="B47" s="453" t="s">
        <v>3151</v>
      </c>
      <c r="C47" s="482" t="s">
        <v>2911</v>
      </c>
      <c r="D47" s="483">
        <v>44378</v>
      </c>
      <c r="E47" s="484" t="s">
        <v>2912</v>
      </c>
      <c r="F47" s="485">
        <v>3</v>
      </c>
      <c r="G47" s="482"/>
      <c r="H47" s="550"/>
      <c r="I47" s="550"/>
      <c r="J47" s="551" t="s">
        <v>3152</v>
      </c>
      <c r="K47" s="551"/>
      <c r="L47" s="551"/>
      <c r="M47" s="552"/>
      <c r="N47" s="553"/>
      <c r="O47" s="535">
        <v>6</v>
      </c>
      <c r="P47" s="536" t="s">
        <v>3153</v>
      </c>
      <c r="Q47" s="489">
        <v>42</v>
      </c>
      <c r="R47" s="536" t="s">
        <v>3153</v>
      </c>
      <c r="S47" s="535">
        <f t="shared" si="0"/>
        <v>42</v>
      </c>
      <c r="T47" s="536" t="s">
        <v>3154</v>
      </c>
      <c r="U47" s="535">
        <f t="shared" si="1"/>
        <v>23</v>
      </c>
      <c r="V47" s="537" t="s">
        <v>3146</v>
      </c>
      <c r="W47" s="537" t="s">
        <v>3155</v>
      </c>
      <c r="X47" s="491">
        <f t="shared" si="2"/>
        <v>39</v>
      </c>
      <c r="Y47" s="537" t="s">
        <v>3155</v>
      </c>
      <c r="Z47" s="535">
        <f t="shared" si="3"/>
        <v>39</v>
      </c>
      <c r="AA47" s="537" t="s">
        <v>3156</v>
      </c>
      <c r="AB47" s="535">
        <f t="shared" si="4"/>
        <v>22</v>
      </c>
      <c r="AC47" s="554" t="s">
        <v>3149</v>
      </c>
      <c r="AD47" s="535"/>
      <c r="AE47" s="538"/>
      <c r="AF47" s="504"/>
      <c r="AG47" s="494" t="s">
        <v>2917</v>
      </c>
      <c r="AH47" s="495" t="s">
        <v>2918</v>
      </c>
      <c r="AI47" s="505"/>
      <c r="AJ47" s="505"/>
      <c r="AK47" s="539">
        <f>_xll.GetCtData("COAMOUNT","CONSAMOUNT",$B$1:$B$7,$B47,AK$9,"#4564876,9140118")</f>
        <v>4564876</v>
      </c>
    </row>
    <row r="48" spans="2:37" ht="12" customHeight="1">
      <c r="B48" s="453" t="s">
        <v>961</v>
      </c>
      <c r="C48" s="482" t="s">
        <v>2911</v>
      </c>
      <c r="D48" s="483">
        <v>44378</v>
      </c>
      <c r="E48" s="484" t="s">
        <v>2912</v>
      </c>
      <c r="F48" s="485">
        <v>4</v>
      </c>
      <c r="G48" s="482"/>
      <c r="H48" s="550"/>
      <c r="I48" s="550"/>
      <c r="J48" s="550"/>
      <c r="K48" s="555" t="s">
        <v>891</v>
      </c>
      <c r="L48" s="555"/>
      <c r="M48" s="556"/>
      <c r="N48" s="557"/>
      <c r="O48" s="558">
        <v>7</v>
      </c>
      <c r="P48" s="559" t="s">
        <v>265</v>
      </c>
      <c r="Q48" s="489">
        <v>34</v>
      </c>
      <c r="R48" s="559" t="s">
        <v>265</v>
      </c>
      <c r="S48" s="558">
        <f t="shared" si="0"/>
        <v>34</v>
      </c>
      <c r="T48" s="559" t="s">
        <v>3157</v>
      </c>
      <c r="U48" s="558">
        <f t="shared" si="1"/>
        <v>17</v>
      </c>
      <c r="V48" s="560" t="s">
        <v>3146</v>
      </c>
      <c r="W48" s="560" t="s">
        <v>3158</v>
      </c>
      <c r="X48" s="491">
        <f t="shared" si="2"/>
        <v>26</v>
      </c>
      <c r="Y48" s="560" t="s">
        <v>3158</v>
      </c>
      <c r="Z48" s="558">
        <f t="shared" si="3"/>
        <v>26</v>
      </c>
      <c r="AA48" s="560" t="s">
        <v>3159</v>
      </c>
      <c r="AB48" s="558">
        <f t="shared" si="4"/>
        <v>16</v>
      </c>
      <c r="AC48" s="561" t="s">
        <v>3149</v>
      </c>
      <c r="AD48" s="558"/>
      <c r="AE48" s="562"/>
      <c r="AF48" s="504"/>
      <c r="AG48" s="494" t="s">
        <v>2917</v>
      </c>
      <c r="AH48" s="495" t="s">
        <v>2918</v>
      </c>
      <c r="AI48" s="505"/>
      <c r="AJ48" s="505"/>
      <c r="AK48" s="563">
        <f>_xll.GetCtData("COAMOUNT","CONSAMOUNT",$B$1:$B$7,$B48,AK$9,"#88682")</f>
        <v>88682</v>
      </c>
    </row>
    <row r="49" spans="2:37" ht="12" customHeight="1">
      <c r="B49" s="453" t="s">
        <v>283</v>
      </c>
      <c r="C49" s="482" t="s">
        <v>2929</v>
      </c>
      <c r="D49" s="483">
        <v>44403</v>
      </c>
      <c r="E49" s="484" t="s">
        <v>2930</v>
      </c>
      <c r="F49" s="485">
        <v>7</v>
      </c>
      <c r="G49" s="547"/>
      <c r="H49" s="547"/>
      <c r="I49" s="547"/>
      <c r="J49" s="547"/>
      <c r="K49" s="547"/>
      <c r="L49" s="547"/>
      <c r="M49" s="548"/>
      <c r="N49" s="517" t="s">
        <v>884</v>
      </c>
      <c r="O49" s="518">
        <v>10</v>
      </c>
      <c r="P49" s="519" t="s">
        <v>885</v>
      </c>
      <c r="Q49" s="489">
        <v>60</v>
      </c>
      <c r="R49" s="519" t="s">
        <v>261</v>
      </c>
      <c r="S49" s="518">
        <f t="shared" si="0"/>
        <v>42</v>
      </c>
      <c r="T49" s="519" t="s">
        <v>3160</v>
      </c>
      <c r="U49" s="518">
        <f t="shared" si="1"/>
        <v>23</v>
      </c>
      <c r="V49" s="519" t="s">
        <v>3146</v>
      </c>
      <c r="W49" s="519" t="s">
        <v>3161</v>
      </c>
      <c r="X49" s="491">
        <f t="shared" si="2"/>
        <v>39</v>
      </c>
      <c r="Y49" s="519" t="s">
        <v>3161</v>
      </c>
      <c r="Z49" s="518">
        <f t="shared" si="3"/>
        <v>39</v>
      </c>
      <c r="AA49" s="519" t="s">
        <v>3162</v>
      </c>
      <c r="AB49" s="518">
        <f t="shared" si="4"/>
        <v>13</v>
      </c>
      <c r="AC49" s="519" t="s">
        <v>3149</v>
      </c>
      <c r="AD49" s="518" t="s">
        <v>3163</v>
      </c>
      <c r="AE49" s="520" t="s">
        <v>3164</v>
      </c>
      <c r="AF49" s="504" t="s">
        <v>2939</v>
      </c>
      <c r="AG49" s="494" t="s">
        <v>2917</v>
      </c>
      <c r="AH49" s="494" t="s">
        <v>2917</v>
      </c>
      <c r="AI49" s="505"/>
      <c r="AJ49" s="505"/>
      <c r="AK49" s="521">
        <f>_xll.GetCtData("COAMOUNT","CONSAMOUNT",$B$1:$B$7,$B49,AK$9,"#56449")</f>
        <v>56449</v>
      </c>
    </row>
    <row r="50" spans="2:37" ht="12" customHeight="1">
      <c r="B50" s="453" t="s">
        <v>284</v>
      </c>
      <c r="C50" s="482" t="s">
        <v>2929</v>
      </c>
      <c r="D50" s="483">
        <v>44403</v>
      </c>
      <c r="E50" s="484" t="s">
        <v>2930</v>
      </c>
      <c r="F50" s="485">
        <v>7</v>
      </c>
      <c r="G50" s="547"/>
      <c r="H50" s="547"/>
      <c r="I50" s="547"/>
      <c r="J50" s="547"/>
      <c r="K50" s="547"/>
      <c r="L50" s="547"/>
      <c r="M50" s="548"/>
      <c r="N50" s="517" t="s">
        <v>886</v>
      </c>
      <c r="O50" s="518">
        <v>10</v>
      </c>
      <c r="P50" s="519" t="s">
        <v>887</v>
      </c>
      <c r="Q50" s="489">
        <v>53</v>
      </c>
      <c r="R50" s="519" t="s">
        <v>262</v>
      </c>
      <c r="S50" s="518">
        <f t="shared" si="0"/>
        <v>36</v>
      </c>
      <c r="T50" s="519" t="s">
        <v>3165</v>
      </c>
      <c r="U50" s="518">
        <f t="shared" si="1"/>
        <v>21</v>
      </c>
      <c r="V50" s="519" t="s">
        <v>3146</v>
      </c>
      <c r="W50" s="519" t="s">
        <v>3166</v>
      </c>
      <c r="X50" s="491">
        <f t="shared" si="2"/>
        <v>38</v>
      </c>
      <c r="Y50" s="519" t="s">
        <v>3166</v>
      </c>
      <c r="Z50" s="518">
        <f t="shared" si="3"/>
        <v>38</v>
      </c>
      <c r="AA50" s="519" t="s">
        <v>3167</v>
      </c>
      <c r="AB50" s="518">
        <f t="shared" si="4"/>
        <v>16</v>
      </c>
      <c r="AC50" s="519" t="s">
        <v>3149</v>
      </c>
      <c r="AD50" s="518" t="s">
        <v>3168</v>
      </c>
      <c r="AE50" s="520" t="s">
        <v>3169</v>
      </c>
      <c r="AF50" s="504" t="s">
        <v>2939</v>
      </c>
      <c r="AG50" s="494" t="s">
        <v>2917</v>
      </c>
      <c r="AH50" s="494" t="s">
        <v>2917</v>
      </c>
      <c r="AI50" s="505"/>
      <c r="AJ50" s="505"/>
      <c r="AK50" s="521">
        <f>_xll.GetCtData("COAMOUNT","CONSAMOUNT",$B$1:$B$7,$B50,AK$9,"#-23")</f>
        <v>-23</v>
      </c>
    </row>
    <row r="51" spans="2:37" ht="12" customHeight="1">
      <c r="B51" s="453" t="s">
        <v>285</v>
      </c>
      <c r="C51" s="482" t="s">
        <v>2929</v>
      </c>
      <c r="D51" s="483">
        <v>44403</v>
      </c>
      <c r="E51" s="484" t="s">
        <v>2930</v>
      </c>
      <c r="F51" s="485">
        <v>7</v>
      </c>
      <c r="G51" s="547"/>
      <c r="H51" s="547"/>
      <c r="I51" s="547"/>
      <c r="J51" s="547"/>
      <c r="K51" s="547"/>
      <c r="L51" s="547"/>
      <c r="M51" s="548"/>
      <c r="N51" s="517" t="s">
        <v>888</v>
      </c>
      <c r="O51" s="518">
        <v>10</v>
      </c>
      <c r="P51" s="519" t="s">
        <v>889</v>
      </c>
      <c r="Q51" s="489">
        <v>45</v>
      </c>
      <c r="R51" s="519" t="s">
        <v>263</v>
      </c>
      <c r="S51" s="518">
        <f t="shared" si="0"/>
        <v>38</v>
      </c>
      <c r="T51" s="519" t="s">
        <v>3170</v>
      </c>
      <c r="U51" s="518">
        <f t="shared" si="1"/>
        <v>21</v>
      </c>
      <c r="V51" s="519" t="s">
        <v>3146</v>
      </c>
      <c r="W51" s="519" t="s">
        <v>3171</v>
      </c>
      <c r="X51" s="491">
        <f t="shared" si="2"/>
        <v>39</v>
      </c>
      <c r="Y51" s="519" t="s">
        <v>3171</v>
      </c>
      <c r="Z51" s="518">
        <f t="shared" si="3"/>
        <v>39</v>
      </c>
      <c r="AA51" s="519" t="s">
        <v>3172</v>
      </c>
      <c r="AB51" s="518">
        <f t="shared" si="4"/>
        <v>11</v>
      </c>
      <c r="AC51" s="519" t="s">
        <v>3149</v>
      </c>
      <c r="AD51" s="518" t="s">
        <v>3173</v>
      </c>
      <c r="AE51" s="520" t="s">
        <v>3174</v>
      </c>
      <c r="AF51" s="504" t="s">
        <v>2939</v>
      </c>
      <c r="AG51" s="494" t="s">
        <v>2917</v>
      </c>
      <c r="AH51" s="494" t="s">
        <v>2917</v>
      </c>
      <c r="AI51" s="505"/>
      <c r="AJ51" s="505"/>
      <c r="AK51" s="521">
        <f>_xll.GetCtData("COAMOUNT","CONSAMOUNT",$B$1:$B$7,$B51,AK$9,"#122484")</f>
        <v>122484</v>
      </c>
    </row>
    <row r="52" spans="2:37" ht="12" customHeight="1">
      <c r="B52" s="453" t="s">
        <v>286</v>
      </c>
      <c r="C52" s="482" t="s">
        <v>2929</v>
      </c>
      <c r="D52" s="483">
        <v>44403</v>
      </c>
      <c r="E52" s="484" t="s">
        <v>2930</v>
      </c>
      <c r="F52" s="485">
        <v>7</v>
      </c>
      <c r="G52" s="547"/>
      <c r="H52" s="547"/>
      <c r="I52" s="547"/>
      <c r="J52" s="547"/>
      <c r="K52" s="547"/>
      <c r="L52" s="547"/>
      <c r="M52" s="548"/>
      <c r="N52" s="517" t="s">
        <v>890</v>
      </c>
      <c r="O52" s="518">
        <v>10</v>
      </c>
      <c r="P52" s="519" t="s">
        <v>264</v>
      </c>
      <c r="Q52" s="489">
        <v>37</v>
      </c>
      <c r="R52" s="519" t="s">
        <v>264</v>
      </c>
      <c r="S52" s="518">
        <f t="shared" si="0"/>
        <v>37</v>
      </c>
      <c r="T52" s="519" t="s">
        <v>3175</v>
      </c>
      <c r="U52" s="518">
        <f t="shared" si="1"/>
        <v>18</v>
      </c>
      <c r="V52" s="519" t="s">
        <v>3146</v>
      </c>
      <c r="W52" s="519" t="s">
        <v>3176</v>
      </c>
      <c r="X52" s="491">
        <f t="shared" si="2"/>
        <v>49</v>
      </c>
      <c r="Y52" s="519" t="s">
        <v>3176</v>
      </c>
      <c r="Z52" s="518">
        <f t="shared" si="3"/>
        <v>49</v>
      </c>
      <c r="AA52" s="519" t="s">
        <v>3177</v>
      </c>
      <c r="AB52" s="518">
        <f t="shared" si="4"/>
        <v>17</v>
      </c>
      <c r="AC52" s="519" t="s">
        <v>3149</v>
      </c>
      <c r="AD52" s="518" t="s">
        <v>3178</v>
      </c>
      <c r="AE52" s="520" t="s">
        <v>3179</v>
      </c>
      <c r="AF52" s="504" t="s">
        <v>2939</v>
      </c>
      <c r="AG52" s="494" t="s">
        <v>2917</v>
      </c>
      <c r="AH52" s="494" t="s">
        <v>2917</v>
      </c>
      <c r="AI52" s="505"/>
      <c r="AJ52" s="505"/>
      <c r="AK52" s="521">
        <f>_xll.GetCtData("COAMOUNT","CONSAMOUNT",$B$1:$B$7,$B52,AK$9,"#-90228")</f>
        <v>-90228</v>
      </c>
    </row>
    <row r="53" spans="2:37" ht="12" customHeight="1">
      <c r="B53" s="453" t="s">
        <v>962</v>
      </c>
      <c r="C53" s="482" t="s">
        <v>2911</v>
      </c>
      <c r="D53" s="483">
        <v>44378</v>
      </c>
      <c r="E53" s="484" t="s">
        <v>2912</v>
      </c>
      <c r="F53" s="485">
        <v>4</v>
      </c>
      <c r="G53" s="482"/>
      <c r="H53" s="550"/>
      <c r="I53" s="550"/>
      <c r="J53" s="550"/>
      <c r="K53" s="555" t="s">
        <v>902</v>
      </c>
      <c r="L53" s="555"/>
      <c r="M53" s="556"/>
      <c r="N53" s="557"/>
      <c r="O53" s="558">
        <v>7</v>
      </c>
      <c r="P53" s="559" t="s">
        <v>3180</v>
      </c>
      <c r="Q53" s="489">
        <v>96</v>
      </c>
      <c r="R53" s="559" t="s">
        <v>282</v>
      </c>
      <c r="S53" s="558">
        <f t="shared" si="0"/>
        <v>75</v>
      </c>
      <c r="T53" s="559" t="s">
        <v>3181</v>
      </c>
      <c r="U53" s="558">
        <f t="shared" si="1"/>
        <v>24</v>
      </c>
      <c r="V53" s="560" t="s">
        <v>3146</v>
      </c>
      <c r="W53" s="560" t="s">
        <v>3182</v>
      </c>
      <c r="X53" s="491">
        <f t="shared" si="2"/>
        <v>65</v>
      </c>
      <c r="Y53" s="560" t="s">
        <v>3182</v>
      </c>
      <c r="Z53" s="558">
        <f t="shared" si="3"/>
        <v>65</v>
      </c>
      <c r="AA53" s="560" t="s">
        <v>3183</v>
      </c>
      <c r="AB53" s="558">
        <f t="shared" si="4"/>
        <v>20</v>
      </c>
      <c r="AC53" s="561" t="s">
        <v>3149</v>
      </c>
      <c r="AD53" s="558"/>
      <c r="AE53" s="562"/>
      <c r="AF53" s="504"/>
      <c r="AG53" s="494" t="s">
        <v>2917</v>
      </c>
      <c r="AH53" s="495" t="s">
        <v>2918</v>
      </c>
      <c r="AI53" s="505"/>
      <c r="AJ53" s="505"/>
      <c r="AK53" s="563">
        <f>_xll.GetCtData("COAMOUNT","CONSAMOUNT",$B$1:$B$7,$B53,AK$9,"#40464")</f>
        <v>40464</v>
      </c>
    </row>
    <row r="54" spans="2:37" ht="12" customHeight="1">
      <c r="B54" s="453" t="s">
        <v>287</v>
      </c>
      <c r="C54" s="482" t="s">
        <v>2929</v>
      </c>
      <c r="D54" s="483">
        <v>44403</v>
      </c>
      <c r="E54" s="484" t="s">
        <v>2930</v>
      </c>
      <c r="F54" s="485">
        <v>7</v>
      </c>
      <c r="G54" s="547"/>
      <c r="H54" s="547"/>
      <c r="I54" s="547"/>
      <c r="J54" s="547"/>
      <c r="K54" s="547"/>
      <c r="L54" s="547"/>
      <c r="M54" s="548"/>
      <c r="N54" s="517" t="s">
        <v>892</v>
      </c>
      <c r="O54" s="518">
        <v>10</v>
      </c>
      <c r="P54" s="519" t="s">
        <v>893</v>
      </c>
      <c r="Q54" s="489">
        <v>121</v>
      </c>
      <c r="R54" s="519" t="s">
        <v>266</v>
      </c>
      <c r="S54" s="518">
        <f t="shared" si="0"/>
        <v>92</v>
      </c>
      <c r="T54" s="519" t="s">
        <v>3184</v>
      </c>
      <c r="U54" s="518">
        <f t="shared" si="1"/>
        <v>21</v>
      </c>
      <c r="V54" s="519" t="s">
        <v>3146</v>
      </c>
      <c r="W54" s="519" t="s">
        <v>3185</v>
      </c>
      <c r="X54" s="491">
        <f t="shared" si="2"/>
        <v>78</v>
      </c>
      <c r="Y54" s="519" t="s">
        <v>3185</v>
      </c>
      <c r="Z54" s="518">
        <f t="shared" si="3"/>
        <v>78</v>
      </c>
      <c r="AA54" s="519" t="s">
        <v>3186</v>
      </c>
      <c r="AB54" s="518">
        <f t="shared" si="4"/>
        <v>29</v>
      </c>
      <c r="AC54" s="519" t="s">
        <v>3149</v>
      </c>
      <c r="AD54" s="518" t="s">
        <v>3163</v>
      </c>
      <c r="AE54" s="520" t="s">
        <v>3164</v>
      </c>
      <c r="AF54" s="504" t="s">
        <v>2939</v>
      </c>
      <c r="AG54" s="494" t="s">
        <v>2917</v>
      </c>
      <c r="AH54" s="494" t="s">
        <v>2917</v>
      </c>
      <c r="AI54" s="505"/>
      <c r="AJ54" s="505"/>
      <c r="AK54" s="521">
        <f>_xll.GetCtData("COAMOUNT","CONSAMOUNT",$B$1:$B$7,$B54,AK$9,"#0")</f>
        <v>0</v>
      </c>
    </row>
    <row r="55" spans="2:37" ht="12" customHeight="1">
      <c r="B55" s="453" t="s">
        <v>288</v>
      </c>
      <c r="C55" s="482" t="s">
        <v>2929</v>
      </c>
      <c r="D55" s="483">
        <v>44403</v>
      </c>
      <c r="E55" s="484" t="s">
        <v>2930</v>
      </c>
      <c r="F55" s="485">
        <v>7</v>
      </c>
      <c r="G55" s="547"/>
      <c r="H55" s="547"/>
      <c r="I55" s="547"/>
      <c r="J55" s="547"/>
      <c r="K55" s="547"/>
      <c r="L55" s="547"/>
      <c r="M55" s="548"/>
      <c r="N55" s="517" t="s">
        <v>894</v>
      </c>
      <c r="O55" s="518">
        <v>10</v>
      </c>
      <c r="P55" s="519" t="s">
        <v>895</v>
      </c>
      <c r="Q55" s="489">
        <v>115</v>
      </c>
      <c r="R55" s="519" t="s">
        <v>267</v>
      </c>
      <c r="S55" s="518">
        <f t="shared" si="0"/>
        <v>86</v>
      </c>
      <c r="T55" s="519" t="s">
        <v>3187</v>
      </c>
      <c r="U55" s="518">
        <f t="shared" si="1"/>
        <v>19</v>
      </c>
      <c r="V55" s="519" t="s">
        <v>3146</v>
      </c>
      <c r="W55" s="519" t="s">
        <v>3188</v>
      </c>
      <c r="X55" s="491">
        <f t="shared" si="2"/>
        <v>77</v>
      </c>
      <c r="Y55" s="519" t="s">
        <v>3188</v>
      </c>
      <c r="Z55" s="518">
        <f t="shared" si="3"/>
        <v>77</v>
      </c>
      <c r="AA55" s="519" t="s">
        <v>3189</v>
      </c>
      <c r="AB55" s="518">
        <f t="shared" si="4"/>
        <v>28</v>
      </c>
      <c r="AC55" s="519" t="s">
        <v>3149</v>
      </c>
      <c r="AD55" s="518" t="s">
        <v>3168</v>
      </c>
      <c r="AE55" s="520" t="s">
        <v>3169</v>
      </c>
      <c r="AF55" s="504" t="s">
        <v>2939</v>
      </c>
      <c r="AG55" s="494" t="s">
        <v>2917</v>
      </c>
      <c r="AH55" s="494" t="s">
        <v>2917</v>
      </c>
      <c r="AI55" s="505"/>
      <c r="AJ55" s="505"/>
      <c r="AK55" s="521">
        <f>_xll.GetCtData("COAMOUNT","CONSAMOUNT",$B$1:$B$7,$B55,AK$9,"#0")</f>
        <v>0</v>
      </c>
    </row>
    <row r="56" spans="2:37" ht="12" customHeight="1">
      <c r="B56" s="453" t="s">
        <v>289</v>
      </c>
      <c r="C56" s="482" t="s">
        <v>2929</v>
      </c>
      <c r="D56" s="483">
        <v>44403</v>
      </c>
      <c r="E56" s="484" t="s">
        <v>2930</v>
      </c>
      <c r="F56" s="485">
        <v>7</v>
      </c>
      <c r="G56" s="547"/>
      <c r="H56" s="547"/>
      <c r="I56" s="547"/>
      <c r="J56" s="547"/>
      <c r="K56" s="547"/>
      <c r="L56" s="547"/>
      <c r="M56" s="548"/>
      <c r="N56" s="517" t="s">
        <v>896</v>
      </c>
      <c r="O56" s="518">
        <v>10</v>
      </c>
      <c r="P56" s="519" t="s">
        <v>897</v>
      </c>
      <c r="Q56" s="489">
        <v>107</v>
      </c>
      <c r="R56" s="519" t="s">
        <v>268</v>
      </c>
      <c r="S56" s="518">
        <f t="shared" si="0"/>
        <v>88</v>
      </c>
      <c r="T56" s="519" t="s">
        <v>3190</v>
      </c>
      <c r="U56" s="518">
        <f t="shared" si="1"/>
        <v>19</v>
      </c>
      <c r="V56" s="519" t="s">
        <v>3146</v>
      </c>
      <c r="W56" s="519" t="s">
        <v>3191</v>
      </c>
      <c r="X56" s="491">
        <f t="shared" si="2"/>
        <v>78</v>
      </c>
      <c r="Y56" s="519" t="s">
        <v>3191</v>
      </c>
      <c r="Z56" s="518">
        <f t="shared" si="3"/>
        <v>78</v>
      </c>
      <c r="AA56" s="519" t="s">
        <v>3192</v>
      </c>
      <c r="AB56" s="518">
        <f t="shared" si="4"/>
        <v>27</v>
      </c>
      <c r="AC56" s="519" t="s">
        <v>3149</v>
      </c>
      <c r="AD56" s="518" t="s">
        <v>3193</v>
      </c>
      <c r="AE56" s="520" t="s">
        <v>3194</v>
      </c>
      <c r="AF56" s="504" t="s">
        <v>2939</v>
      </c>
      <c r="AG56" s="494" t="s">
        <v>2917</v>
      </c>
      <c r="AH56" s="494" t="s">
        <v>2917</v>
      </c>
      <c r="AI56" s="505"/>
      <c r="AJ56" s="505"/>
      <c r="AK56" s="521">
        <f>_xll.GetCtData("COAMOUNT","CONSAMOUNT",$B$1:$B$7,$B56,AK$9,"#67182")</f>
        <v>67182</v>
      </c>
    </row>
    <row r="57" spans="2:37" ht="12" customHeight="1">
      <c r="B57" s="453" t="s">
        <v>290</v>
      </c>
      <c r="C57" s="482" t="s">
        <v>2929</v>
      </c>
      <c r="D57" s="483">
        <v>44403</v>
      </c>
      <c r="E57" s="484" t="s">
        <v>2930</v>
      </c>
      <c r="F57" s="485">
        <v>7</v>
      </c>
      <c r="G57" s="547"/>
      <c r="H57" s="547"/>
      <c r="I57" s="547"/>
      <c r="J57" s="547"/>
      <c r="K57" s="547"/>
      <c r="L57" s="547"/>
      <c r="M57" s="548"/>
      <c r="N57" s="517" t="s">
        <v>898</v>
      </c>
      <c r="O57" s="518">
        <v>10</v>
      </c>
      <c r="P57" s="519" t="s">
        <v>899</v>
      </c>
      <c r="Q57" s="489">
        <v>100</v>
      </c>
      <c r="R57" s="519" t="s">
        <v>269</v>
      </c>
      <c r="S57" s="518">
        <f t="shared" si="0"/>
        <v>77</v>
      </c>
      <c r="T57" s="519" t="s">
        <v>3195</v>
      </c>
      <c r="U57" s="518">
        <f t="shared" si="1"/>
        <v>14</v>
      </c>
      <c r="V57" s="519" t="s">
        <v>3146</v>
      </c>
      <c r="W57" s="519" t="s">
        <v>3196</v>
      </c>
      <c r="X57" s="491">
        <f t="shared" si="2"/>
        <v>75</v>
      </c>
      <c r="Y57" s="519" t="s">
        <v>3196</v>
      </c>
      <c r="Z57" s="518">
        <f t="shared" si="3"/>
        <v>75</v>
      </c>
      <c r="AA57" s="519" t="s">
        <v>3197</v>
      </c>
      <c r="AB57" s="518">
        <f t="shared" si="4"/>
        <v>29</v>
      </c>
      <c r="AC57" s="519" t="s">
        <v>3149</v>
      </c>
      <c r="AD57" s="518" t="s">
        <v>3198</v>
      </c>
      <c r="AE57" s="520" t="s">
        <v>3199</v>
      </c>
      <c r="AF57" s="504" t="s">
        <v>2939</v>
      </c>
      <c r="AG57" s="494" t="s">
        <v>2917</v>
      </c>
      <c r="AH57" s="494" t="s">
        <v>2917</v>
      </c>
      <c r="AI57" s="505"/>
      <c r="AJ57" s="505"/>
      <c r="AK57" s="521">
        <f>_xll.GetCtData("COAMOUNT","CONSAMOUNT",$B$1:$B$7,$B57,AK$9,"#-26718")</f>
        <v>-26718</v>
      </c>
    </row>
    <row r="58" spans="2:37" ht="12" customHeight="1">
      <c r="B58" s="453" t="s">
        <v>291</v>
      </c>
      <c r="C58" s="482" t="s">
        <v>2929</v>
      </c>
      <c r="D58" s="483">
        <v>44403</v>
      </c>
      <c r="E58" s="484" t="s">
        <v>2930</v>
      </c>
      <c r="F58" s="485">
        <v>7</v>
      </c>
      <c r="G58" s="547"/>
      <c r="H58" s="547"/>
      <c r="I58" s="547"/>
      <c r="J58" s="547"/>
      <c r="K58" s="547"/>
      <c r="L58" s="547"/>
      <c r="M58" s="548"/>
      <c r="N58" s="517" t="s">
        <v>900</v>
      </c>
      <c r="O58" s="518">
        <v>10</v>
      </c>
      <c r="P58" s="519" t="s">
        <v>901</v>
      </c>
      <c r="Q58" s="489">
        <v>99</v>
      </c>
      <c r="R58" s="519" t="s">
        <v>270</v>
      </c>
      <c r="S58" s="518">
        <f t="shared" si="0"/>
        <v>87</v>
      </c>
      <c r="T58" s="519" t="s">
        <v>3200</v>
      </c>
      <c r="U58" s="518">
        <f t="shared" si="1"/>
        <v>16</v>
      </c>
      <c r="V58" s="519" t="s">
        <v>3146</v>
      </c>
      <c r="W58" s="519" t="s">
        <v>3201</v>
      </c>
      <c r="X58" s="491">
        <f t="shared" si="2"/>
        <v>88</v>
      </c>
      <c r="Y58" s="519" t="s">
        <v>3201</v>
      </c>
      <c r="Z58" s="518">
        <f t="shared" si="3"/>
        <v>88</v>
      </c>
      <c r="AA58" s="519" t="s">
        <v>3202</v>
      </c>
      <c r="AB58" s="518">
        <f t="shared" si="4"/>
        <v>30</v>
      </c>
      <c r="AC58" s="519" t="s">
        <v>3149</v>
      </c>
      <c r="AD58" s="518" t="s">
        <v>3203</v>
      </c>
      <c r="AE58" s="520" t="s">
        <v>3204</v>
      </c>
      <c r="AF58" s="504" t="s">
        <v>2939</v>
      </c>
      <c r="AG58" s="494" t="s">
        <v>2917</v>
      </c>
      <c r="AH58" s="494" t="s">
        <v>2917</v>
      </c>
      <c r="AI58" s="505"/>
      <c r="AJ58" s="505"/>
      <c r="AK58" s="521">
        <f>_xll.GetCtData("COAMOUNT","CONSAMOUNT",$B$1:$B$7,$B58,AK$9,"#")</f>
        <v>0</v>
      </c>
    </row>
    <row r="59" spans="2:37" ht="12" customHeight="1">
      <c r="B59" s="453" t="s">
        <v>963</v>
      </c>
      <c r="C59" s="482" t="s">
        <v>2911</v>
      </c>
      <c r="D59" s="483">
        <v>44378</v>
      </c>
      <c r="E59" s="484" t="s">
        <v>2912</v>
      </c>
      <c r="F59" s="485">
        <v>4</v>
      </c>
      <c r="G59" s="482"/>
      <c r="H59" s="550"/>
      <c r="I59" s="550"/>
      <c r="J59" s="550"/>
      <c r="K59" s="555" t="s">
        <v>912</v>
      </c>
      <c r="L59" s="555"/>
      <c r="M59" s="556"/>
      <c r="N59" s="557"/>
      <c r="O59" s="558">
        <v>7</v>
      </c>
      <c r="P59" s="559" t="s">
        <v>271</v>
      </c>
      <c r="Q59" s="489">
        <v>70</v>
      </c>
      <c r="R59" s="559" t="s">
        <v>271</v>
      </c>
      <c r="S59" s="558">
        <f t="shared" si="0"/>
        <v>70</v>
      </c>
      <c r="T59" s="559" t="s">
        <v>3205</v>
      </c>
      <c r="U59" s="558">
        <f t="shared" si="1"/>
        <v>24</v>
      </c>
      <c r="V59" s="560" t="s">
        <v>3146</v>
      </c>
      <c r="W59" s="560" t="s">
        <v>3206</v>
      </c>
      <c r="X59" s="491">
        <f t="shared" si="2"/>
        <v>53</v>
      </c>
      <c r="Y59" s="560" t="s">
        <v>3206</v>
      </c>
      <c r="Z59" s="558">
        <f t="shared" si="3"/>
        <v>53</v>
      </c>
      <c r="AA59" s="560" t="s">
        <v>3207</v>
      </c>
      <c r="AB59" s="558">
        <f t="shared" si="4"/>
        <v>30</v>
      </c>
      <c r="AC59" s="561" t="s">
        <v>3149</v>
      </c>
      <c r="AD59" s="558"/>
      <c r="AE59" s="562"/>
      <c r="AF59" s="504"/>
      <c r="AG59" s="494" t="s">
        <v>2917</v>
      </c>
      <c r="AH59" s="495" t="s">
        <v>2918</v>
      </c>
      <c r="AI59" s="505"/>
      <c r="AJ59" s="505"/>
      <c r="AK59" s="563">
        <f>_xll.GetCtData("COAMOUNT","CONSAMOUNT",$B$1:$B$7,$B59,AK$9,"#4136302,9140118")</f>
        <v>4136302</v>
      </c>
    </row>
    <row r="60" spans="2:37" ht="12" customHeight="1">
      <c r="B60" s="453" t="s">
        <v>292</v>
      </c>
      <c r="C60" s="482" t="s">
        <v>2929</v>
      </c>
      <c r="D60" s="483">
        <v>44403</v>
      </c>
      <c r="E60" s="484" t="s">
        <v>2930</v>
      </c>
      <c r="F60" s="485">
        <v>7</v>
      </c>
      <c r="G60" s="547"/>
      <c r="H60" s="547"/>
      <c r="I60" s="547"/>
      <c r="J60" s="547"/>
      <c r="K60" s="547"/>
      <c r="L60" s="547"/>
      <c r="M60" s="548"/>
      <c r="N60" s="517" t="s">
        <v>903</v>
      </c>
      <c r="O60" s="518">
        <v>10</v>
      </c>
      <c r="P60" s="519" t="s">
        <v>904</v>
      </c>
      <c r="Q60" s="489">
        <v>95</v>
      </c>
      <c r="R60" s="519" t="s">
        <v>272</v>
      </c>
      <c r="S60" s="518">
        <f t="shared" si="0"/>
        <v>78</v>
      </c>
      <c r="T60" s="519" t="s">
        <v>3208</v>
      </c>
      <c r="U60" s="518">
        <f t="shared" si="1"/>
        <v>24</v>
      </c>
      <c r="V60" s="519" t="s">
        <v>3146</v>
      </c>
      <c r="W60" s="519" t="s">
        <v>3209</v>
      </c>
      <c r="X60" s="491">
        <f t="shared" si="2"/>
        <v>66</v>
      </c>
      <c r="Y60" s="519" t="s">
        <v>3209</v>
      </c>
      <c r="Z60" s="518">
        <f t="shared" si="3"/>
        <v>66</v>
      </c>
      <c r="AA60" s="519" t="s">
        <v>3210</v>
      </c>
      <c r="AB60" s="518">
        <f t="shared" si="4"/>
        <v>27</v>
      </c>
      <c r="AC60" s="519" t="s">
        <v>3149</v>
      </c>
      <c r="AD60" s="518" t="s">
        <v>3163</v>
      </c>
      <c r="AE60" s="520" t="s">
        <v>3164</v>
      </c>
      <c r="AF60" s="504" t="s">
        <v>2939</v>
      </c>
      <c r="AG60" s="494" t="s">
        <v>2917</v>
      </c>
      <c r="AH60" s="494" t="s">
        <v>2917</v>
      </c>
      <c r="AI60" s="505"/>
      <c r="AJ60" s="505"/>
      <c r="AK60" s="521">
        <f>_xll.GetCtData("COAMOUNT","CONSAMOUNT",$B$1:$B$7,$B60,AK$9,"#4032456,52634118")</f>
        <v>4032456</v>
      </c>
    </row>
    <row r="61" spans="2:37" ht="12" customHeight="1">
      <c r="B61" s="453" t="s">
        <v>293</v>
      </c>
      <c r="C61" s="482" t="s">
        <v>2929</v>
      </c>
      <c r="D61" s="483">
        <v>44403</v>
      </c>
      <c r="E61" s="484" t="s">
        <v>2930</v>
      </c>
      <c r="F61" s="485">
        <v>7</v>
      </c>
      <c r="G61" s="547"/>
      <c r="H61" s="547"/>
      <c r="I61" s="547"/>
      <c r="J61" s="547"/>
      <c r="K61" s="547"/>
      <c r="L61" s="547"/>
      <c r="M61" s="548"/>
      <c r="N61" s="517" t="s">
        <v>905</v>
      </c>
      <c r="O61" s="518">
        <v>10</v>
      </c>
      <c r="P61" s="519" t="s">
        <v>906</v>
      </c>
      <c r="Q61" s="489">
        <v>89</v>
      </c>
      <c r="R61" s="519" t="s">
        <v>273</v>
      </c>
      <c r="S61" s="518">
        <f t="shared" si="0"/>
        <v>72</v>
      </c>
      <c r="T61" s="519" t="s">
        <v>3211</v>
      </c>
      <c r="U61" s="518">
        <f t="shared" si="1"/>
        <v>22</v>
      </c>
      <c r="V61" s="519" t="s">
        <v>3146</v>
      </c>
      <c r="W61" s="519" t="s">
        <v>3212</v>
      </c>
      <c r="X61" s="491">
        <f t="shared" si="2"/>
        <v>65</v>
      </c>
      <c r="Y61" s="519" t="s">
        <v>3212</v>
      </c>
      <c r="Z61" s="518">
        <f t="shared" si="3"/>
        <v>65</v>
      </c>
      <c r="AA61" s="519" t="s">
        <v>3213</v>
      </c>
      <c r="AB61" s="518">
        <f t="shared" si="4"/>
        <v>30</v>
      </c>
      <c r="AC61" s="519" t="s">
        <v>3149</v>
      </c>
      <c r="AD61" s="518" t="s">
        <v>3168</v>
      </c>
      <c r="AE61" s="520" t="s">
        <v>3169</v>
      </c>
      <c r="AF61" s="504" t="s">
        <v>2939</v>
      </c>
      <c r="AG61" s="494" t="s">
        <v>2917</v>
      </c>
      <c r="AH61" s="494" t="s">
        <v>2917</v>
      </c>
      <c r="AI61" s="505"/>
      <c r="AJ61" s="505"/>
      <c r="AK61" s="521">
        <f>_xll.GetCtData("COAMOUNT","CONSAMOUNT",$B$1:$B$7,$B61,AK$9,"#25581,3876706146")</f>
        <v>25581</v>
      </c>
    </row>
    <row r="62" spans="2:37" ht="12" customHeight="1">
      <c r="B62" s="453" t="s">
        <v>294</v>
      </c>
      <c r="C62" s="482" t="s">
        <v>2929</v>
      </c>
      <c r="D62" s="483">
        <v>44403</v>
      </c>
      <c r="E62" s="484" t="s">
        <v>2930</v>
      </c>
      <c r="F62" s="485">
        <v>7</v>
      </c>
      <c r="G62" s="547"/>
      <c r="H62" s="547"/>
      <c r="I62" s="547"/>
      <c r="J62" s="547"/>
      <c r="K62" s="547"/>
      <c r="L62" s="547"/>
      <c r="M62" s="548"/>
      <c r="N62" s="517" t="s">
        <v>907</v>
      </c>
      <c r="O62" s="518">
        <v>10</v>
      </c>
      <c r="P62" s="519" t="s">
        <v>908</v>
      </c>
      <c r="Q62" s="489">
        <v>81</v>
      </c>
      <c r="R62" s="519" t="s">
        <v>274</v>
      </c>
      <c r="S62" s="518">
        <f t="shared" si="0"/>
        <v>74</v>
      </c>
      <c r="T62" s="519" t="s">
        <v>3214</v>
      </c>
      <c r="U62" s="518">
        <f t="shared" si="1"/>
        <v>22</v>
      </c>
      <c r="V62" s="519" t="s">
        <v>3146</v>
      </c>
      <c r="W62" s="519" t="s">
        <v>3215</v>
      </c>
      <c r="X62" s="491">
        <f t="shared" si="2"/>
        <v>66</v>
      </c>
      <c r="Y62" s="519" t="s">
        <v>3215</v>
      </c>
      <c r="Z62" s="518">
        <f t="shared" si="3"/>
        <v>66</v>
      </c>
      <c r="AA62" s="519" t="s">
        <v>3216</v>
      </c>
      <c r="AB62" s="518">
        <f t="shared" si="4"/>
        <v>25</v>
      </c>
      <c r="AC62" s="519" t="s">
        <v>3149</v>
      </c>
      <c r="AD62" s="518" t="s">
        <v>3217</v>
      </c>
      <c r="AE62" s="520" t="s">
        <v>3218</v>
      </c>
      <c r="AF62" s="504" t="s">
        <v>2939</v>
      </c>
      <c r="AG62" s="494" t="s">
        <v>2917</v>
      </c>
      <c r="AH62" s="494" t="s">
        <v>2917</v>
      </c>
      <c r="AI62" s="505"/>
      <c r="AJ62" s="505"/>
      <c r="AK62" s="521">
        <f>_xll.GetCtData("COAMOUNT","CONSAMOUNT",$B$1:$B$7,$B62,AK$9,"#100191")</f>
        <v>100191</v>
      </c>
    </row>
    <row r="63" spans="2:37" ht="12" customHeight="1">
      <c r="B63" s="453" t="s">
        <v>295</v>
      </c>
      <c r="C63" s="482" t="s">
        <v>2929</v>
      </c>
      <c r="D63" s="483">
        <v>44403</v>
      </c>
      <c r="E63" s="484" t="s">
        <v>2930</v>
      </c>
      <c r="F63" s="485">
        <v>7</v>
      </c>
      <c r="G63" s="547"/>
      <c r="H63" s="547"/>
      <c r="I63" s="547"/>
      <c r="J63" s="547"/>
      <c r="K63" s="547"/>
      <c r="L63" s="547"/>
      <c r="M63" s="548"/>
      <c r="N63" s="517" t="s">
        <v>909</v>
      </c>
      <c r="O63" s="518">
        <v>10</v>
      </c>
      <c r="P63" s="519" t="s">
        <v>910</v>
      </c>
      <c r="Q63" s="489">
        <v>74</v>
      </c>
      <c r="R63" s="519" t="s">
        <v>275</v>
      </c>
      <c r="S63" s="518">
        <f t="shared" si="0"/>
        <v>63</v>
      </c>
      <c r="T63" s="519" t="s">
        <v>3219</v>
      </c>
      <c r="U63" s="518">
        <f t="shared" si="1"/>
        <v>17</v>
      </c>
      <c r="V63" s="519" t="s">
        <v>3146</v>
      </c>
      <c r="W63" s="519" t="s">
        <v>3220</v>
      </c>
      <c r="X63" s="491">
        <f t="shared" si="2"/>
        <v>63</v>
      </c>
      <c r="Y63" s="519" t="s">
        <v>3220</v>
      </c>
      <c r="Z63" s="518">
        <f t="shared" si="3"/>
        <v>63</v>
      </c>
      <c r="AA63" s="519" t="s">
        <v>3221</v>
      </c>
      <c r="AB63" s="518">
        <f t="shared" si="4"/>
        <v>28</v>
      </c>
      <c r="AC63" s="519" t="s">
        <v>3149</v>
      </c>
      <c r="AD63" s="518" t="s">
        <v>3222</v>
      </c>
      <c r="AE63" s="520" t="s">
        <v>3223</v>
      </c>
      <c r="AF63" s="504" t="s">
        <v>2939</v>
      </c>
      <c r="AG63" s="494" t="s">
        <v>2917</v>
      </c>
      <c r="AH63" s="494" t="s">
        <v>2917</v>
      </c>
      <c r="AI63" s="505"/>
      <c r="AJ63" s="505"/>
      <c r="AK63" s="521">
        <f>_xll.GetCtData("COAMOUNT","CONSAMOUNT",$B$1:$B$7,$B63,AK$9,"#-21926")</f>
        <v>-21926</v>
      </c>
    </row>
    <row r="64" spans="2:37" ht="12" customHeight="1">
      <c r="B64" s="453" t="s">
        <v>296</v>
      </c>
      <c r="C64" s="482" t="s">
        <v>2929</v>
      </c>
      <c r="D64" s="483">
        <v>44403</v>
      </c>
      <c r="E64" s="484" t="s">
        <v>2930</v>
      </c>
      <c r="F64" s="485">
        <v>7</v>
      </c>
      <c r="G64" s="547"/>
      <c r="H64" s="547"/>
      <c r="I64" s="547"/>
      <c r="J64" s="547"/>
      <c r="K64" s="547"/>
      <c r="L64" s="547"/>
      <c r="M64" s="548"/>
      <c r="N64" s="517" t="s">
        <v>911</v>
      </c>
      <c r="O64" s="518">
        <v>10</v>
      </c>
      <c r="P64" s="519" t="s">
        <v>276</v>
      </c>
      <c r="Q64" s="489">
        <v>73</v>
      </c>
      <c r="R64" s="519" t="s">
        <v>276</v>
      </c>
      <c r="S64" s="518">
        <f t="shared" si="0"/>
        <v>73</v>
      </c>
      <c r="T64" s="519" t="s">
        <v>3224</v>
      </c>
      <c r="U64" s="518">
        <f t="shared" si="1"/>
        <v>19</v>
      </c>
      <c r="V64" s="519" t="s">
        <v>3146</v>
      </c>
      <c r="W64" s="519" t="s">
        <v>3225</v>
      </c>
      <c r="X64" s="491">
        <f t="shared" si="2"/>
        <v>63</v>
      </c>
      <c r="Y64" s="519" t="s">
        <v>3225</v>
      </c>
      <c r="Z64" s="518">
        <f t="shared" si="3"/>
        <v>63</v>
      </c>
      <c r="AA64" s="519" t="s">
        <v>3226</v>
      </c>
      <c r="AB64" s="518">
        <f t="shared" si="4"/>
        <v>27</v>
      </c>
      <c r="AC64" s="519" t="s">
        <v>3149</v>
      </c>
      <c r="AD64" s="518" t="s">
        <v>3227</v>
      </c>
      <c r="AE64" s="520" t="s">
        <v>3228</v>
      </c>
      <c r="AF64" s="504" t="s">
        <v>2939</v>
      </c>
      <c r="AG64" s="494" t="s">
        <v>2917</v>
      </c>
      <c r="AH64" s="494" t="s">
        <v>2917</v>
      </c>
      <c r="AI64" s="505"/>
      <c r="AJ64" s="505"/>
      <c r="AK64" s="521">
        <f>_xll.GetCtData("COAMOUNT","CONSAMOUNT",$B$1:$B$7,$B64,AK$9,"#")</f>
        <v>0</v>
      </c>
    </row>
    <row r="65" spans="2:37" ht="12" customHeight="1">
      <c r="B65" s="453" t="s">
        <v>964</v>
      </c>
      <c r="C65" s="482" t="s">
        <v>2911</v>
      </c>
      <c r="D65" s="483">
        <v>44378</v>
      </c>
      <c r="E65" s="484" t="s">
        <v>2912</v>
      </c>
      <c r="F65" s="485">
        <v>4</v>
      </c>
      <c r="G65" s="482"/>
      <c r="H65" s="550"/>
      <c r="I65" s="550"/>
      <c r="J65" s="550"/>
      <c r="K65" s="555" t="s">
        <v>920</v>
      </c>
      <c r="L65" s="555"/>
      <c r="M65" s="556"/>
      <c r="N65" s="557"/>
      <c r="O65" s="558">
        <v>7</v>
      </c>
      <c r="P65" s="559" t="s">
        <v>277</v>
      </c>
      <c r="Q65" s="489">
        <v>34</v>
      </c>
      <c r="R65" s="559" t="s">
        <v>277</v>
      </c>
      <c r="S65" s="558">
        <f t="shared" si="0"/>
        <v>34</v>
      </c>
      <c r="T65" s="559" t="s">
        <v>3229</v>
      </c>
      <c r="U65" s="558">
        <f t="shared" si="1"/>
        <v>17</v>
      </c>
      <c r="V65" s="560" t="s">
        <v>3146</v>
      </c>
      <c r="W65" s="560" t="s">
        <v>3230</v>
      </c>
      <c r="X65" s="491">
        <f t="shared" si="2"/>
        <v>40</v>
      </c>
      <c r="Y65" s="560" t="s">
        <v>3230</v>
      </c>
      <c r="Z65" s="558">
        <f t="shared" si="3"/>
        <v>40</v>
      </c>
      <c r="AA65" s="560" t="s">
        <v>3231</v>
      </c>
      <c r="AB65" s="558">
        <f t="shared" si="4"/>
        <v>23</v>
      </c>
      <c r="AC65" s="561" t="s">
        <v>3149</v>
      </c>
      <c r="AD65" s="558"/>
      <c r="AE65" s="562"/>
      <c r="AF65" s="504"/>
      <c r="AG65" s="494" t="s">
        <v>2917</v>
      </c>
      <c r="AH65" s="495" t="s">
        <v>2918</v>
      </c>
      <c r="AI65" s="505"/>
      <c r="AJ65" s="505"/>
      <c r="AK65" s="563">
        <f>_xll.GetCtData("COAMOUNT","CONSAMOUNT",$B$1:$B$7,$B65,AK$9,"#190413")</f>
        <v>190413</v>
      </c>
    </row>
    <row r="66" spans="2:37" ht="12" customHeight="1">
      <c r="B66" s="453" t="s">
        <v>297</v>
      </c>
      <c r="C66" s="482" t="s">
        <v>2929</v>
      </c>
      <c r="D66" s="483">
        <v>44403</v>
      </c>
      <c r="E66" s="484" t="s">
        <v>2930</v>
      </c>
      <c r="F66" s="485">
        <v>7</v>
      </c>
      <c r="G66" s="547"/>
      <c r="H66" s="547"/>
      <c r="I66" s="547"/>
      <c r="J66" s="547"/>
      <c r="K66" s="547"/>
      <c r="L66" s="547"/>
      <c r="M66" s="548"/>
      <c r="N66" s="517" t="s">
        <v>913</v>
      </c>
      <c r="O66" s="518">
        <v>10</v>
      </c>
      <c r="P66" s="519" t="s">
        <v>914</v>
      </c>
      <c r="Q66" s="489">
        <v>85</v>
      </c>
      <c r="R66" s="519" t="s">
        <v>278</v>
      </c>
      <c r="S66" s="518">
        <f t="shared" si="0"/>
        <v>68</v>
      </c>
      <c r="T66" s="519" t="s">
        <v>3232</v>
      </c>
      <c r="U66" s="518">
        <f t="shared" si="1"/>
        <v>30</v>
      </c>
      <c r="V66" s="519" t="s">
        <v>3146</v>
      </c>
      <c r="W66" s="519" t="s">
        <v>3233</v>
      </c>
      <c r="X66" s="491">
        <f t="shared" si="2"/>
        <v>75</v>
      </c>
      <c r="Y66" s="519" t="s">
        <v>3233</v>
      </c>
      <c r="Z66" s="518">
        <f t="shared" si="3"/>
        <v>75</v>
      </c>
      <c r="AA66" s="519" t="s">
        <v>3234</v>
      </c>
      <c r="AB66" s="518">
        <f t="shared" si="4"/>
        <v>30</v>
      </c>
      <c r="AC66" s="519" t="s">
        <v>3149</v>
      </c>
      <c r="AD66" s="518" t="s">
        <v>3163</v>
      </c>
      <c r="AE66" s="520" t="s">
        <v>3164</v>
      </c>
      <c r="AF66" s="504" t="s">
        <v>2939</v>
      </c>
      <c r="AG66" s="494" t="s">
        <v>2917</v>
      </c>
      <c r="AH66" s="494" t="s">
        <v>2917</v>
      </c>
      <c r="AI66" s="505"/>
      <c r="AJ66" s="505"/>
      <c r="AK66" s="521">
        <f>_xll.GetCtData("COAMOUNT","CONSAMOUNT",$B$1:$B$7,$B66,AK$9,"#180973")</f>
        <v>180973</v>
      </c>
    </row>
    <row r="67" spans="2:37" ht="12" customHeight="1">
      <c r="B67" s="453" t="s">
        <v>298</v>
      </c>
      <c r="C67" s="482" t="s">
        <v>2929</v>
      </c>
      <c r="D67" s="483">
        <v>44403</v>
      </c>
      <c r="E67" s="484" t="s">
        <v>2930</v>
      </c>
      <c r="F67" s="485">
        <v>7</v>
      </c>
      <c r="G67" s="547"/>
      <c r="H67" s="547"/>
      <c r="I67" s="547"/>
      <c r="J67" s="547"/>
      <c r="K67" s="547"/>
      <c r="L67" s="547"/>
      <c r="M67" s="548"/>
      <c r="N67" s="517" t="s">
        <v>915</v>
      </c>
      <c r="O67" s="518">
        <v>10</v>
      </c>
      <c r="P67" s="519" t="s">
        <v>916</v>
      </c>
      <c r="Q67" s="489">
        <v>79</v>
      </c>
      <c r="R67" s="519" t="s">
        <v>279</v>
      </c>
      <c r="S67" s="518">
        <f t="shared" si="0"/>
        <v>62</v>
      </c>
      <c r="T67" s="519" t="s">
        <v>3235</v>
      </c>
      <c r="U67" s="518">
        <f t="shared" si="1"/>
        <v>28</v>
      </c>
      <c r="V67" s="519" t="s">
        <v>3146</v>
      </c>
      <c r="W67" s="519" t="s">
        <v>3236</v>
      </c>
      <c r="X67" s="491">
        <f t="shared" si="2"/>
        <v>74</v>
      </c>
      <c r="Y67" s="519" t="s">
        <v>3236</v>
      </c>
      <c r="Z67" s="518">
        <f t="shared" si="3"/>
        <v>74</v>
      </c>
      <c r="AA67" s="519" t="s">
        <v>3237</v>
      </c>
      <c r="AB67" s="518">
        <f t="shared" si="4"/>
        <v>30</v>
      </c>
      <c r="AC67" s="519" t="s">
        <v>3149</v>
      </c>
      <c r="AD67" s="518" t="s">
        <v>3168</v>
      </c>
      <c r="AE67" s="520" t="s">
        <v>3169</v>
      </c>
      <c r="AF67" s="504" t="s">
        <v>2939</v>
      </c>
      <c r="AG67" s="494" t="s">
        <v>2917</v>
      </c>
      <c r="AH67" s="494" t="s">
        <v>2917</v>
      </c>
      <c r="AI67" s="505"/>
      <c r="AJ67" s="505"/>
      <c r="AK67" s="521">
        <f>_xll.GetCtData("COAMOUNT","CONSAMOUNT",$B$1:$B$7,$B67,AK$9,"#")</f>
        <v>0</v>
      </c>
    </row>
    <row r="68" spans="2:37" ht="12" customHeight="1">
      <c r="B68" s="453" t="s">
        <v>299</v>
      </c>
      <c r="C68" s="482" t="s">
        <v>2929</v>
      </c>
      <c r="D68" s="483">
        <v>44403</v>
      </c>
      <c r="E68" s="484" t="s">
        <v>2930</v>
      </c>
      <c r="F68" s="485">
        <v>7</v>
      </c>
      <c r="G68" s="547"/>
      <c r="H68" s="547"/>
      <c r="I68" s="547"/>
      <c r="J68" s="547"/>
      <c r="K68" s="547"/>
      <c r="L68" s="547"/>
      <c r="M68" s="548"/>
      <c r="N68" s="517" t="s">
        <v>917</v>
      </c>
      <c r="O68" s="518">
        <v>10</v>
      </c>
      <c r="P68" s="519" t="s">
        <v>918</v>
      </c>
      <c r="Q68" s="489">
        <v>71</v>
      </c>
      <c r="R68" s="519" t="s">
        <v>280</v>
      </c>
      <c r="S68" s="518">
        <f t="shared" si="0"/>
        <v>64</v>
      </c>
      <c r="T68" s="519" t="s">
        <v>3238</v>
      </c>
      <c r="U68" s="518">
        <f t="shared" si="1"/>
        <v>30</v>
      </c>
      <c r="V68" s="519" t="s">
        <v>3146</v>
      </c>
      <c r="W68" s="519" t="s">
        <v>3239</v>
      </c>
      <c r="X68" s="491">
        <f t="shared" si="2"/>
        <v>75</v>
      </c>
      <c r="Y68" s="519" t="s">
        <v>3239</v>
      </c>
      <c r="Z68" s="518">
        <f t="shared" si="3"/>
        <v>75</v>
      </c>
      <c r="AA68" s="519" t="s">
        <v>3240</v>
      </c>
      <c r="AB68" s="518">
        <f t="shared" si="4"/>
        <v>30</v>
      </c>
      <c r="AC68" s="519" t="s">
        <v>3149</v>
      </c>
      <c r="AD68" s="518" t="s">
        <v>3241</v>
      </c>
      <c r="AE68" s="520" t="s">
        <v>3242</v>
      </c>
      <c r="AF68" s="504" t="s">
        <v>2939</v>
      </c>
      <c r="AG68" s="494" t="s">
        <v>2917</v>
      </c>
      <c r="AH68" s="494" t="s">
        <v>2917</v>
      </c>
      <c r="AI68" s="505"/>
      <c r="AJ68" s="505"/>
      <c r="AK68" s="521">
        <f>_xll.GetCtData("COAMOUNT","CONSAMOUNT",$B$1:$B$7,$B68,AK$9,"#9440")</f>
        <v>9440</v>
      </c>
    </row>
    <row r="69" spans="2:37" ht="12" customHeight="1">
      <c r="B69" s="453" t="s">
        <v>300</v>
      </c>
      <c r="C69" s="482" t="s">
        <v>2929</v>
      </c>
      <c r="D69" s="483">
        <v>44403</v>
      </c>
      <c r="E69" s="484" t="s">
        <v>2930</v>
      </c>
      <c r="F69" s="485">
        <v>7</v>
      </c>
      <c r="G69" s="547"/>
      <c r="H69" s="547"/>
      <c r="I69" s="547"/>
      <c r="J69" s="547"/>
      <c r="K69" s="547"/>
      <c r="L69" s="547"/>
      <c r="M69" s="548"/>
      <c r="N69" s="517" t="s">
        <v>919</v>
      </c>
      <c r="O69" s="518">
        <v>10</v>
      </c>
      <c r="P69" s="519" t="s">
        <v>281</v>
      </c>
      <c r="Q69" s="489">
        <v>63</v>
      </c>
      <c r="R69" s="519" t="s">
        <v>281</v>
      </c>
      <c r="S69" s="518">
        <f t="shared" si="0"/>
        <v>63</v>
      </c>
      <c r="T69" s="519" t="s">
        <v>3243</v>
      </c>
      <c r="U69" s="518">
        <f t="shared" si="1"/>
        <v>27</v>
      </c>
      <c r="V69" s="519" t="s">
        <v>3146</v>
      </c>
      <c r="W69" s="519" t="s">
        <v>3244</v>
      </c>
      <c r="X69" s="491">
        <f t="shared" si="2"/>
        <v>72</v>
      </c>
      <c r="Y69" s="519" t="s">
        <v>3244</v>
      </c>
      <c r="Z69" s="518">
        <f t="shared" si="3"/>
        <v>72</v>
      </c>
      <c r="AA69" s="519" t="s">
        <v>3245</v>
      </c>
      <c r="AB69" s="518">
        <f t="shared" si="4"/>
        <v>30</v>
      </c>
      <c r="AC69" s="519" t="s">
        <v>3149</v>
      </c>
      <c r="AD69" s="518" t="s">
        <v>3246</v>
      </c>
      <c r="AE69" s="520" t="s">
        <v>3247</v>
      </c>
      <c r="AF69" s="504" t="s">
        <v>2939</v>
      </c>
      <c r="AG69" s="494" t="s">
        <v>2917</v>
      </c>
      <c r="AH69" s="494" t="s">
        <v>2917</v>
      </c>
      <c r="AI69" s="505"/>
      <c r="AJ69" s="505"/>
      <c r="AK69" s="521">
        <f>_xll.GetCtData("COAMOUNT","CONSAMOUNT",$B$1:$B$7,$B69,AK$9,"#")</f>
        <v>0</v>
      </c>
    </row>
    <row r="70" spans="2:37" ht="12" customHeight="1">
      <c r="B70" s="453" t="s">
        <v>1163</v>
      </c>
      <c r="C70" s="482" t="s">
        <v>2911</v>
      </c>
      <c r="D70" s="483">
        <v>44378</v>
      </c>
      <c r="E70" s="484" t="s">
        <v>2912</v>
      </c>
      <c r="F70" s="485">
        <v>3</v>
      </c>
      <c r="G70" s="482"/>
      <c r="H70" s="550"/>
      <c r="I70" s="550"/>
      <c r="J70" s="551" t="s">
        <v>3248</v>
      </c>
      <c r="K70" s="551"/>
      <c r="L70" s="551"/>
      <c r="M70" s="552"/>
      <c r="N70" s="553"/>
      <c r="O70" s="535">
        <v>6</v>
      </c>
      <c r="P70" s="536" t="s">
        <v>550</v>
      </c>
      <c r="Q70" s="489">
        <v>40</v>
      </c>
      <c r="R70" s="536" t="s">
        <v>550</v>
      </c>
      <c r="S70" s="535">
        <f t="shared" si="0"/>
        <v>40</v>
      </c>
      <c r="T70" s="536" t="s">
        <v>3249</v>
      </c>
      <c r="U70" s="535">
        <f t="shared" si="1"/>
        <v>20</v>
      </c>
      <c r="V70" s="537" t="s">
        <v>3146</v>
      </c>
      <c r="W70" s="537" t="s">
        <v>3250</v>
      </c>
      <c r="X70" s="491">
        <f t="shared" si="2"/>
        <v>35</v>
      </c>
      <c r="Y70" s="537" t="s">
        <v>3250</v>
      </c>
      <c r="Z70" s="535">
        <f t="shared" si="3"/>
        <v>35</v>
      </c>
      <c r="AA70" s="537" t="s">
        <v>3251</v>
      </c>
      <c r="AB70" s="535">
        <f t="shared" si="4"/>
        <v>18</v>
      </c>
      <c r="AC70" s="537" t="s">
        <v>3149</v>
      </c>
      <c r="AD70" s="535"/>
      <c r="AE70" s="538"/>
      <c r="AF70" s="504"/>
      <c r="AG70" s="494" t="s">
        <v>2917</v>
      </c>
      <c r="AH70" s="495" t="s">
        <v>2918</v>
      </c>
      <c r="AI70" s="505"/>
      <c r="AJ70" s="505"/>
      <c r="AK70" s="539">
        <f>_xll.GetCtData("COAMOUNT","CONSAMOUNT",$B$1:$B$7,$B70,AK$9,"#1542753")</f>
        <v>1542753</v>
      </c>
    </row>
    <row r="71" spans="2:37" ht="12" customHeight="1">
      <c r="B71" s="453" t="s">
        <v>313</v>
      </c>
      <c r="C71" s="482" t="s">
        <v>2929</v>
      </c>
      <c r="D71" s="483">
        <v>44403</v>
      </c>
      <c r="E71" s="484" t="s">
        <v>2930</v>
      </c>
      <c r="F71" s="485">
        <v>7</v>
      </c>
      <c r="G71" s="547"/>
      <c r="H71" s="547"/>
      <c r="I71" s="547"/>
      <c r="J71" s="547"/>
      <c r="K71" s="547"/>
      <c r="L71" s="547"/>
      <c r="M71" s="548"/>
      <c r="N71" s="517" t="s">
        <v>1154</v>
      </c>
      <c r="O71" s="518">
        <v>10</v>
      </c>
      <c r="P71" s="519" t="s">
        <v>550</v>
      </c>
      <c r="Q71" s="489">
        <v>40</v>
      </c>
      <c r="R71" s="519" t="s">
        <v>550</v>
      </c>
      <c r="S71" s="518">
        <f t="shared" si="0"/>
        <v>40</v>
      </c>
      <c r="T71" s="519" t="s">
        <v>3249</v>
      </c>
      <c r="U71" s="518">
        <f t="shared" si="1"/>
        <v>20</v>
      </c>
      <c r="V71" s="519" t="s">
        <v>3146</v>
      </c>
      <c r="W71" s="519" t="s">
        <v>3250</v>
      </c>
      <c r="X71" s="491">
        <f t="shared" si="2"/>
        <v>35</v>
      </c>
      <c r="Y71" s="519" t="s">
        <v>3250</v>
      </c>
      <c r="Z71" s="518">
        <f t="shared" si="3"/>
        <v>35</v>
      </c>
      <c r="AA71" s="519" t="s">
        <v>3251</v>
      </c>
      <c r="AB71" s="518">
        <f t="shared" si="4"/>
        <v>18</v>
      </c>
      <c r="AC71" s="519" t="s">
        <v>3149</v>
      </c>
      <c r="AD71" s="518" t="s">
        <v>3163</v>
      </c>
      <c r="AE71" s="520" t="s">
        <v>3164</v>
      </c>
      <c r="AF71" s="504" t="s">
        <v>2939</v>
      </c>
      <c r="AG71" s="494" t="s">
        <v>2917</v>
      </c>
      <c r="AH71" s="494" t="s">
        <v>2917</v>
      </c>
      <c r="AI71" s="505"/>
      <c r="AJ71" s="505"/>
      <c r="AK71" s="521">
        <f>_xll.GetCtData("COAMOUNT","CONSAMOUNT",$B$1:$B$7,$B71,AK$9,"#1542753")</f>
        <v>1542753</v>
      </c>
    </row>
    <row r="72" spans="2:37" ht="12" customHeight="1">
      <c r="B72" s="453" t="s">
        <v>879</v>
      </c>
      <c r="C72" s="482" t="s">
        <v>2911</v>
      </c>
      <c r="D72" s="483">
        <v>44378</v>
      </c>
      <c r="E72" s="484" t="s">
        <v>2912</v>
      </c>
      <c r="F72" s="485">
        <v>2</v>
      </c>
      <c r="G72" s="482"/>
      <c r="H72" s="507"/>
      <c r="I72" s="508" t="s">
        <v>3252</v>
      </c>
      <c r="J72" s="508"/>
      <c r="K72" s="508"/>
      <c r="L72" s="508"/>
      <c r="M72" s="509"/>
      <c r="N72" s="510"/>
      <c r="O72" s="511">
        <v>5</v>
      </c>
      <c r="P72" s="512" t="s">
        <v>3</v>
      </c>
      <c r="Q72" s="489">
        <v>32</v>
      </c>
      <c r="R72" s="512" t="s">
        <v>3</v>
      </c>
      <c r="S72" s="511">
        <f t="shared" si="0"/>
        <v>32</v>
      </c>
      <c r="T72" s="512" t="s">
        <v>3253</v>
      </c>
      <c r="U72" s="511">
        <f t="shared" si="1"/>
        <v>15</v>
      </c>
      <c r="V72" s="513" t="s">
        <v>3254</v>
      </c>
      <c r="W72" s="513" t="s">
        <v>3255</v>
      </c>
      <c r="X72" s="491">
        <f t="shared" si="2"/>
        <v>34</v>
      </c>
      <c r="Y72" s="513" t="s">
        <v>3255</v>
      </c>
      <c r="Z72" s="511">
        <f t="shared" si="3"/>
        <v>34</v>
      </c>
      <c r="AA72" s="513" t="s">
        <v>3256</v>
      </c>
      <c r="AB72" s="511">
        <f t="shared" si="4"/>
        <v>15</v>
      </c>
      <c r="AC72" s="549" t="s">
        <v>3257</v>
      </c>
      <c r="AD72" s="511"/>
      <c r="AE72" s="514"/>
      <c r="AF72" s="504"/>
      <c r="AG72" s="494" t="s">
        <v>2917</v>
      </c>
      <c r="AH72" s="495" t="s">
        <v>2918</v>
      </c>
      <c r="AI72" s="505"/>
      <c r="AJ72" s="505"/>
      <c r="AK72" s="515">
        <f>_xll.GetCtData("COAMOUNT","CONSAMOUNT",$B$1:$B$7,$B72,AK$9,"#3285058,02457473")</f>
        <v>3285058</v>
      </c>
    </row>
    <row r="73" spans="2:37" ht="12" customHeight="1">
      <c r="B73" s="453" t="s">
        <v>3258</v>
      </c>
      <c r="C73" s="482" t="s">
        <v>2911</v>
      </c>
      <c r="D73" s="483">
        <v>44378</v>
      </c>
      <c r="E73" s="484" t="s">
        <v>2912</v>
      </c>
      <c r="F73" s="485">
        <v>3</v>
      </c>
      <c r="G73" s="482"/>
      <c r="H73" s="550"/>
      <c r="I73" s="550"/>
      <c r="J73" s="551" t="s">
        <v>1077</v>
      </c>
      <c r="K73" s="551"/>
      <c r="L73" s="551"/>
      <c r="M73" s="552"/>
      <c r="N73" s="553"/>
      <c r="O73" s="535">
        <v>6</v>
      </c>
      <c r="P73" s="536" t="s">
        <v>70</v>
      </c>
      <c r="Q73" s="489">
        <v>11</v>
      </c>
      <c r="R73" s="536" t="s">
        <v>70</v>
      </c>
      <c r="S73" s="535">
        <f t="shared" si="0"/>
        <v>11</v>
      </c>
      <c r="T73" s="536" t="s">
        <v>3259</v>
      </c>
      <c r="U73" s="535">
        <f t="shared" si="1"/>
        <v>4</v>
      </c>
      <c r="V73" s="537" t="s">
        <v>3254</v>
      </c>
      <c r="W73" s="537" t="s">
        <v>3260</v>
      </c>
      <c r="X73" s="491">
        <f t="shared" si="2"/>
        <v>14</v>
      </c>
      <c r="Y73" s="537" t="s">
        <v>3260</v>
      </c>
      <c r="Z73" s="535">
        <f t="shared" si="3"/>
        <v>14</v>
      </c>
      <c r="AA73" s="537" t="s">
        <v>3261</v>
      </c>
      <c r="AB73" s="535">
        <f t="shared" si="4"/>
        <v>3</v>
      </c>
      <c r="AC73" s="554" t="s">
        <v>3257</v>
      </c>
      <c r="AD73" s="535"/>
      <c r="AE73" s="538"/>
      <c r="AF73" s="504"/>
      <c r="AG73" s="494" t="s">
        <v>2917</v>
      </c>
      <c r="AH73" s="495" t="s">
        <v>2918</v>
      </c>
      <c r="AI73" s="505"/>
      <c r="AJ73" s="505"/>
      <c r="AK73" s="539">
        <f>_xll.GetCtData("COAMOUNT","CONSAMOUNT",$B$1:$B$7,$B73,AK$9,"#3285058,02457473")</f>
        <v>3285058</v>
      </c>
    </row>
    <row r="74" spans="2:37" ht="12" customHeight="1">
      <c r="B74" s="453" t="s">
        <v>1149</v>
      </c>
      <c r="C74" s="482" t="s">
        <v>2911</v>
      </c>
      <c r="D74" s="483">
        <v>44378</v>
      </c>
      <c r="E74" s="484" t="s">
        <v>2912</v>
      </c>
      <c r="F74" s="485">
        <v>4</v>
      </c>
      <c r="G74" s="482"/>
      <c r="H74" s="507"/>
      <c r="I74" s="507"/>
      <c r="J74" s="507"/>
      <c r="K74" s="564" t="s">
        <v>3262</v>
      </c>
      <c r="L74" s="564"/>
      <c r="M74" s="565"/>
      <c r="N74" s="566"/>
      <c r="O74" s="558">
        <v>7</v>
      </c>
      <c r="P74" s="559" t="s">
        <v>2608</v>
      </c>
      <c r="Q74" s="489">
        <v>45</v>
      </c>
      <c r="R74" s="559" t="s">
        <v>2608</v>
      </c>
      <c r="S74" s="558">
        <f t="shared" si="0"/>
        <v>45</v>
      </c>
      <c r="T74" s="559" t="s">
        <v>3263</v>
      </c>
      <c r="U74" s="558">
        <f t="shared" si="1"/>
        <v>18</v>
      </c>
      <c r="V74" s="560" t="s">
        <v>3254</v>
      </c>
      <c r="W74" s="560" t="s">
        <v>3264</v>
      </c>
      <c r="X74" s="491">
        <f t="shared" si="2"/>
        <v>57</v>
      </c>
      <c r="Y74" s="560" t="s">
        <v>3264</v>
      </c>
      <c r="Z74" s="558">
        <f t="shared" si="3"/>
        <v>57</v>
      </c>
      <c r="AA74" s="560" t="s">
        <v>3265</v>
      </c>
      <c r="AB74" s="558">
        <f t="shared" si="4"/>
        <v>15</v>
      </c>
      <c r="AC74" s="561" t="s">
        <v>3257</v>
      </c>
      <c r="AD74" s="558"/>
      <c r="AE74" s="562"/>
      <c r="AF74" s="504"/>
      <c r="AG74" s="494" t="s">
        <v>2917</v>
      </c>
      <c r="AH74" s="495" t="s">
        <v>2918</v>
      </c>
      <c r="AI74" s="505"/>
      <c r="AJ74" s="505"/>
      <c r="AK74" s="563">
        <f>_xll.GetCtData("COAMOUNT","CONSAMOUNT",$B$1:$B$7,$B74,AK$9,"#1040633,02457473")</f>
        <v>1040633</v>
      </c>
    </row>
    <row r="75" spans="2:37" ht="12" customHeight="1">
      <c r="B75" s="453" t="s">
        <v>3266</v>
      </c>
      <c r="C75" s="482" t="s">
        <v>2911</v>
      </c>
      <c r="D75" s="483">
        <v>44378</v>
      </c>
      <c r="E75" s="484" t="s">
        <v>2912</v>
      </c>
      <c r="F75" s="485">
        <v>5</v>
      </c>
      <c r="G75" s="482"/>
      <c r="H75" s="567"/>
      <c r="I75" s="567"/>
      <c r="J75" s="567"/>
      <c r="K75" s="567"/>
      <c r="L75" s="568" t="s">
        <v>3267</v>
      </c>
      <c r="M75" s="569"/>
      <c r="N75" s="570"/>
      <c r="O75" s="571">
        <v>8</v>
      </c>
      <c r="P75" s="572" t="s">
        <v>3268</v>
      </c>
      <c r="Q75" s="489">
        <v>50</v>
      </c>
      <c r="R75" s="572" t="s">
        <v>3268</v>
      </c>
      <c r="S75" s="571">
        <f t="shared" si="0"/>
        <v>50</v>
      </c>
      <c r="T75" s="572" t="s">
        <v>3269</v>
      </c>
      <c r="U75" s="571">
        <f t="shared" si="1"/>
        <v>21</v>
      </c>
      <c r="V75" s="573" t="s">
        <v>3254</v>
      </c>
      <c r="W75" s="573" t="s">
        <v>3270</v>
      </c>
      <c r="X75" s="491">
        <f t="shared" si="2"/>
        <v>62</v>
      </c>
      <c r="Y75" s="573" t="s">
        <v>3270</v>
      </c>
      <c r="Z75" s="571">
        <f t="shared" si="3"/>
        <v>62</v>
      </c>
      <c r="AA75" s="573" t="s">
        <v>3271</v>
      </c>
      <c r="AB75" s="571">
        <f t="shared" si="4"/>
        <v>18</v>
      </c>
      <c r="AC75" s="574" t="s">
        <v>3257</v>
      </c>
      <c r="AD75" s="571"/>
      <c r="AE75" s="575"/>
      <c r="AF75" s="504"/>
      <c r="AG75" s="494" t="s">
        <v>2917</v>
      </c>
      <c r="AH75" s="495" t="s">
        <v>2918</v>
      </c>
      <c r="AI75" s="505"/>
      <c r="AJ75" s="505"/>
      <c r="AK75" s="576">
        <f>_xll.GetCtData("COAMOUNT","CONSAMOUNT",$B$1:$B$7,$B75,AK$9,"#1034143,02457473")</f>
        <v>1034143</v>
      </c>
    </row>
    <row r="76" spans="2:37" ht="12" customHeight="1">
      <c r="B76" s="453" t="s">
        <v>436</v>
      </c>
      <c r="C76" s="482" t="s">
        <v>2929</v>
      </c>
      <c r="D76" s="483">
        <v>44403</v>
      </c>
      <c r="E76" s="484" t="s">
        <v>2930</v>
      </c>
      <c r="F76" s="485">
        <v>7</v>
      </c>
      <c r="G76" s="547"/>
      <c r="H76" s="547"/>
      <c r="I76" s="547"/>
      <c r="J76" s="547"/>
      <c r="K76" s="547"/>
      <c r="L76" s="547"/>
      <c r="M76" s="548"/>
      <c r="N76" s="517" t="s">
        <v>3272</v>
      </c>
      <c r="O76" s="518">
        <v>10</v>
      </c>
      <c r="P76" s="519" t="s">
        <v>730</v>
      </c>
      <c r="Q76" s="489">
        <v>73</v>
      </c>
      <c r="R76" s="519" t="s">
        <v>3273</v>
      </c>
      <c r="S76" s="518">
        <f t="shared" ref="S76:S139" si="5">LEN(R76)</f>
        <v>66</v>
      </c>
      <c r="T76" s="519" t="s">
        <v>3274</v>
      </c>
      <c r="U76" s="518">
        <f t="shared" ref="U76:U139" si="6">LEN(T76)</f>
        <v>28</v>
      </c>
      <c r="V76" s="519" t="s">
        <v>3254</v>
      </c>
      <c r="W76" s="519" t="s">
        <v>3275</v>
      </c>
      <c r="X76" s="491">
        <f t="shared" ref="X76:X139" si="7">LEN(W76)</f>
        <v>80</v>
      </c>
      <c r="Y76" s="519" t="s">
        <v>3275</v>
      </c>
      <c r="Z76" s="518">
        <f t="shared" ref="Z76:Z139" si="8">LEN(Y76)</f>
        <v>80</v>
      </c>
      <c r="AA76" s="519" t="s">
        <v>3276</v>
      </c>
      <c r="AB76" s="518">
        <f t="shared" ref="AB76:AB139" si="9">LEN(AA76)</f>
        <v>21</v>
      </c>
      <c r="AC76" s="519" t="s">
        <v>3257</v>
      </c>
      <c r="AD76" s="518" t="s">
        <v>3277</v>
      </c>
      <c r="AE76" s="520" t="s">
        <v>3278</v>
      </c>
      <c r="AF76" s="504" t="s">
        <v>3279</v>
      </c>
      <c r="AG76" s="494" t="s">
        <v>2917</v>
      </c>
      <c r="AH76" s="494" t="s">
        <v>2917</v>
      </c>
      <c r="AI76" s="505"/>
      <c r="AJ76" s="505"/>
      <c r="AK76" s="521">
        <f>_xll.GetCtData("COAMOUNT","CONSAMOUNT",$B$1:$B$7,$B76,AK$9,"#990350,899662273")</f>
        <v>990350</v>
      </c>
    </row>
    <row r="77" spans="2:37" ht="12" customHeight="1">
      <c r="B77" s="453" t="s">
        <v>437</v>
      </c>
      <c r="C77" s="482" t="s">
        <v>2929</v>
      </c>
      <c r="D77" s="483">
        <v>44403</v>
      </c>
      <c r="E77" s="484" t="s">
        <v>2930</v>
      </c>
      <c r="F77" s="485">
        <v>7</v>
      </c>
      <c r="G77" s="547"/>
      <c r="H77" s="547"/>
      <c r="I77" s="547"/>
      <c r="J77" s="547"/>
      <c r="K77" s="547"/>
      <c r="L77" s="547"/>
      <c r="M77" s="548"/>
      <c r="N77" s="517" t="s">
        <v>3280</v>
      </c>
      <c r="O77" s="518">
        <v>10</v>
      </c>
      <c r="P77" s="519" t="s">
        <v>731</v>
      </c>
      <c r="Q77" s="489">
        <v>91</v>
      </c>
      <c r="R77" s="519" t="s">
        <v>731</v>
      </c>
      <c r="S77" s="518">
        <f t="shared" si="5"/>
        <v>91</v>
      </c>
      <c r="T77" s="519" t="s">
        <v>3281</v>
      </c>
      <c r="U77" s="518">
        <f t="shared" si="6"/>
        <v>28</v>
      </c>
      <c r="V77" s="519" t="s">
        <v>3254</v>
      </c>
      <c r="W77" s="519" t="s">
        <v>3282</v>
      </c>
      <c r="X77" s="491">
        <f t="shared" si="7"/>
        <v>117</v>
      </c>
      <c r="Y77" s="519" t="s">
        <v>3282</v>
      </c>
      <c r="Z77" s="518">
        <f t="shared" si="8"/>
        <v>117</v>
      </c>
      <c r="AA77" s="519" t="s">
        <v>3283</v>
      </c>
      <c r="AB77" s="518">
        <f t="shared" si="9"/>
        <v>22</v>
      </c>
      <c r="AC77" s="519" t="s">
        <v>3257</v>
      </c>
      <c r="AD77" s="518" t="s">
        <v>3284</v>
      </c>
      <c r="AE77" s="520" t="s">
        <v>3285</v>
      </c>
      <c r="AF77" s="504" t="s">
        <v>3279</v>
      </c>
      <c r="AG77" s="494" t="s">
        <v>2917</v>
      </c>
      <c r="AH77" s="494" t="s">
        <v>2917</v>
      </c>
      <c r="AI77" s="505"/>
      <c r="AJ77" s="505"/>
      <c r="AK77" s="521">
        <f>_xll.GetCtData("COAMOUNT","CONSAMOUNT",$B$1:$B$7,$B77,AK$9,"#10397")</f>
        <v>10397</v>
      </c>
    </row>
    <row r="78" spans="2:37" ht="12" customHeight="1">
      <c r="B78" s="453" t="s">
        <v>438</v>
      </c>
      <c r="C78" s="482" t="s">
        <v>2929</v>
      </c>
      <c r="D78" s="483">
        <v>44403</v>
      </c>
      <c r="E78" s="484" t="s">
        <v>2930</v>
      </c>
      <c r="F78" s="485">
        <v>7</v>
      </c>
      <c r="G78" s="547"/>
      <c r="H78" s="547"/>
      <c r="I78" s="547"/>
      <c r="J78" s="547"/>
      <c r="K78" s="547"/>
      <c r="L78" s="547"/>
      <c r="M78" s="548"/>
      <c r="N78" s="517" t="s">
        <v>3286</v>
      </c>
      <c r="O78" s="518">
        <v>10</v>
      </c>
      <c r="P78" s="519" t="s">
        <v>732</v>
      </c>
      <c r="Q78" s="489">
        <v>57</v>
      </c>
      <c r="R78" s="519" t="s">
        <v>732</v>
      </c>
      <c r="S78" s="518">
        <f t="shared" si="5"/>
        <v>57</v>
      </c>
      <c r="T78" s="519" t="s">
        <v>3287</v>
      </c>
      <c r="U78" s="518">
        <f t="shared" si="6"/>
        <v>25</v>
      </c>
      <c r="V78" s="519" t="s">
        <v>3254</v>
      </c>
      <c r="W78" s="519" t="s">
        <v>3288</v>
      </c>
      <c r="X78" s="491">
        <f t="shared" si="7"/>
        <v>81</v>
      </c>
      <c r="Y78" s="519" t="s">
        <v>3288</v>
      </c>
      <c r="Z78" s="518">
        <f t="shared" si="8"/>
        <v>81</v>
      </c>
      <c r="AA78" s="519" t="s">
        <v>3289</v>
      </c>
      <c r="AB78" s="518">
        <f t="shared" si="9"/>
        <v>25</v>
      </c>
      <c r="AC78" s="519" t="s">
        <v>3257</v>
      </c>
      <c r="AD78" s="518" t="s">
        <v>3290</v>
      </c>
      <c r="AE78" s="520" t="s">
        <v>3291</v>
      </c>
      <c r="AF78" s="504" t="s">
        <v>3279</v>
      </c>
      <c r="AG78" s="494" t="s">
        <v>2917</v>
      </c>
      <c r="AH78" s="494" t="s">
        <v>2917</v>
      </c>
      <c r="AI78" s="505"/>
      <c r="AJ78" s="505"/>
      <c r="AK78" s="521">
        <f>_xll.GetCtData("COAMOUNT","CONSAMOUNT",$B$1:$B$7,$B78,AK$9,"#33895,9190387997")</f>
        <v>33895</v>
      </c>
    </row>
    <row r="79" spans="2:37" ht="12" customHeight="1">
      <c r="B79" s="453" t="s">
        <v>439</v>
      </c>
      <c r="C79" s="482" t="s">
        <v>2929</v>
      </c>
      <c r="D79" s="483">
        <v>44403</v>
      </c>
      <c r="E79" s="484" t="s">
        <v>2930</v>
      </c>
      <c r="F79" s="485">
        <v>7</v>
      </c>
      <c r="G79" s="547"/>
      <c r="H79" s="547"/>
      <c r="I79" s="547"/>
      <c r="J79" s="547"/>
      <c r="K79" s="547"/>
      <c r="L79" s="547"/>
      <c r="M79" s="548"/>
      <c r="N79" s="517" t="s">
        <v>3292</v>
      </c>
      <c r="O79" s="518">
        <v>10</v>
      </c>
      <c r="P79" s="519" t="s">
        <v>733</v>
      </c>
      <c r="Q79" s="489">
        <v>65</v>
      </c>
      <c r="R79" s="519" t="s">
        <v>733</v>
      </c>
      <c r="S79" s="518">
        <f t="shared" si="5"/>
        <v>65</v>
      </c>
      <c r="T79" s="519" t="s">
        <v>3293</v>
      </c>
      <c r="U79" s="518">
        <f t="shared" si="6"/>
        <v>25</v>
      </c>
      <c r="V79" s="519" t="s">
        <v>3254</v>
      </c>
      <c r="W79" s="519" t="s">
        <v>3294</v>
      </c>
      <c r="X79" s="491">
        <f t="shared" si="7"/>
        <v>90</v>
      </c>
      <c r="Y79" s="519" t="s">
        <v>3294</v>
      </c>
      <c r="Z79" s="518">
        <f t="shared" si="8"/>
        <v>90</v>
      </c>
      <c r="AA79" s="519" t="s">
        <v>3295</v>
      </c>
      <c r="AB79" s="518">
        <f t="shared" si="9"/>
        <v>27</v>
      </c>
      <c r="AC79" s="519" t="s">
        <v>3257</v>
      </c>
      <c r="AD79" s="518" t="s">
        <v>3296</v>
      </c>
      <c r="AE79" s="520" t="s">
        <v>3297</v>
      </c>
      <c r="AF79" s="504" t="s">
        <v>3279</v>
      </c>
      <c r="AG79" s="494" t="s">
        <v>2917</v>
      </c>
      <c r="AH79" s="494" t="s">
        <v>2917</v>
      </c>
      <c r="AI79" s="505"/>
      <c r="AJ79" s="505"/>
      <c r="AK79" s="521">
        <f>_xll.GetCtData("COAMOUNT","CONSAMOUNT",$B$1:$B$7,$B79,AK$9,"#-500,794126344295")</f>
        <v>-500</v>
      </c>
    </row>
    <row r="80" spans="2:37" ht="12" customHeight="1">
      <c r="B80" s="453" t="s">
        <v>3298</v>
      </c>
      <c r="C80" s="482" t="s">
        <v>2911</v>
      </c>
      <c r="D80" s="483">
        <v>44378</v>
      </c>
      <c r="E80" s="484" t="s">
        <v>2912</v>
      </c>
      <c r="F80" s="485">
        <v>5</v>
      </c>
      <c r="G80" s="482"/>
      <c r="H80" s="567"/>
      <c r="I80" s="567"/>
      <c r="J80" s="567"/>
      <c r="K80" s="567"/>
      <c r="L80" s="568" t="s">
        <v>3299</v>
      </c>
      <c r="M80" s="569"/>
      <c r="N80" s="570"/>
      <c r="O80" s="571">
        <v>8</v>
      </c>
      <c r="P80" s="572" t="s">
        <v>3300</v>
      </c>
      <c r="Q80" s="489">
        <v>50</v>
      </c>
      <c r="R80" s="572" t="s">
        <v>3300</v>
      </c>
      <c r="S80" s="571">
        <f t="shared" si="5"/>
        <v>50</v>
      </c>
      <c r="T80" s="572" t="s">
        <v>3301</v>
      </c>
      <c r="U80" s="571">
        <f t="shared" si="6"/>
        <v>21</v>
      </c>
      <c r="V80" s="573" t="s">
        <v>3254</v>
      </c>
      <c r="W80" s="573" t="s">
        <v>3302</v>
      </c>
      <c r="X80" s="491">
        <f t="shared" si="7"/>
        <v>62</v>
      </c>
      <c r="Y80" s="573" t="s">
        <v>3302</v>
      </c>
      <c r="Z80" s="571">
        <f t="shared" si="8"/>
        <v>62</v>
      </c>
      <c r="AA80" s="573" t="s">
        <v>3303</v>
      </c>
      <c r="AB80" s="571">
        <f t="shared" si="9"/>
        <v>18</v>
      </c>
      <c r="AC80" s="574" t="s">
        <v>3257</v>
      </c>
      <c r="AD80" s="571"/>
      <c r="AE80" s="575"/>
      <c r="AF80" s="504"/>
      <c r="AG80" s="494" t="s">
        <v>2917</v>
      </c>
      <c r="AH80" s="495" t="s">
        <v>2918</v>
      </c>
      <c r="AI80" s="505"/>
      <c r="AJ80" s="505"/>
      <c r="AK80" s="576">
        <f>_xll.GetCtData("COAMOUNT","CONSAMOUNT",$B$1:$B$7,$B80,AK$9,"#6490")</f>
        <v>6490</v>
      </c>
    </row>
    <row r="81" spans="2:37" ht="12" customHeight="1">
      <c r="B81" s="453" t="s">
        <v>440</v>
      </c>
      <c r="C81" s="482" t="s">
        <v>2929</v>
      </c>
      <c r="D81" s="483">
        <v>44403</v>
      </c>
      <c r="E81" s="484" t="s">
        <v>2930</v>
      </c>
      <c r="F81" s="485">
        <v>7</v>
      </c>
      <c r="G81" s="547"/>
      <c r="H81" s="547"/>
      <c r="I81" s="547"/>
      <c r="J81" s="547"/>
      <c r="K81" s="547"/>
      <c r="L81" s="547"/>
      <c r="M81" s="548"/>
      <c r="N81" s="517" t="s">
        <v>3304</v>
      </c>
      <c r="O81" s="518">
        <v>10</v>
      </c>
      <c r="P81" s="519" t="s">
        <v>734</v>
      </c>
      <c r="Q81" s="489">
        <v>79</v>
      </c>
      <c r="R81" s="519" t="s">
        <v>3305</v>
      </c>
      <c r="S81" s="518">
        <f t="shared" si="5"/>
        <v>66</v>
      </c>
      <c r="T81" s="519" t="s">
        <v>3306</v>
      </c>
      <c r="U81" s="518">
        <f t="shared" si="6"/>
        <v>28</v>
      </c>
      <c r="V81" s="519" t="s">
        <v>3254</v>
      </c>
      <c r="W81" s="519" t="s">
        <v>3307</v>
      </c>
      <c r="X81" s="491">
        <f t="shared" si="7"/>
        <v>79</v>
      </c>
      <c r="Y81" s="519" t="s">
        <v>3307</v>
      </c>
      <c r="Z81" s="518">
        <f t="shared" si="8"/>
        <v>79</v>
      </c>
      <c r="AA81" s="519" t="s">
        <v>3308</v>
      </c>
      <c r="AB81" s="518">
        <f t="shared" si="9"/>
        <v>21</v>
      </c>
      <c r="AC81" s="519" t="s">
        <v>3257</v>
      </c>
      <c r="AD81" s="518" t="s">
        <v>3309</v>
      </c>
      <c r="AE81" s="520" t="s">
        <v>3310</v>
      </c>
      <c r="AF81" s="504" t="s">
        <v>3279</v>
      </c>
      <c r="AG81" s="494" t="s">
        <v>2917</v>
      </c>
      <c r="AH81" s="494" t="s">
        <v>2917</v>
      </c>
      <c r="AI81" s="505"/>
      <c r="AJ81" s="505"/>
      <c r="AK81" s="521">
        <f>_xll.GetCtData("COAMOUNT","CONSAMOUNT",$B$1:$B$7,$B81,AK$9,"#5138")</f>
        <v>5138</v>
      </c>
    </row>
    <row r="82" spans="2:37" ht="12" customHeight="1">
      <c r="B82" s="453" t="s">
        <v>441</v>
      </c>
      <c r="C82" s="482" t="s">
        <v>2929</v>
      </c>
      <c r="D82" s="483">
        <v>44403</v>
      </c>
      <c r="E82" s="484" t="s">
        <v>2930</v>
      </c>
      <c r="F82" s="485">
        <v>7</v>
      </c>
      <c r="G82" s="547"/>
      <c r="H82" s="547"/>
      <c r="I82" s="547"/>
      <c r="J82" s="547"/>
      <c r="K82" s="547"/>
      <c r="L82" s="547"/>
      <c r="M82" s="548"/>
      <c r="N82" s="517" t="s">
        <v>3311</v>
      </c>
      <c r="O82" s="518">
        <v>10</v>
      </c>
      <c r="P82" s="519" t="s">
        <v>735</v>
      </c>
      <c r="Q82" s="489">
        <v>91</v>
      </c>
      <c r="R82" s="519" t="s">
        <v>735</v>
      </c>
      <c r="S82" s="518">
        <f t="shared" si="5"/>
        <v>91</v>
      </c>
      <c r="T82" s="519" t="s">
        <v>3312</v>
      </c>
      <c r="U82" s="518">
        <f t="shared" si="6"/>
        <v>28</v>
      </c>
      <c r="V82" s="519" t="s">
        <v>3254</v>
      </c>
      <c r="W82" s="519" t="s">
        <v>3313</v>
      </c>
      <c r="X82" s="491">
        <f t="shared" si="7"/>
        <v>117</v>
      </c>
      <c r="Y82" s="519" t="s">
        <v>3313</v>
      </c>
      <c r="Z82" s="518">
        <f t="shared" si="8"/>
        <v>117</v>
      </c>
      <c r="AA82" s="519" t="s">
        <v>3314</v>
      </c>
      <c r="AB82" s="518">
        <f t="shared" si="9"/>
        <v>22</v>
      </c>
      <c r="AC82" s="519" t="s">
        <v>3257</v>
      </c>
      <c r="AD82" s="518" t="s">
        <v>3315</v>
      </c>
      <c r="AE82" s="520" t="s">
        <v>3316</v>
      </c>
      <c r="AF82" s="504" t="s">
        <v>3279</v>
      </c>
      <c r="AG82" s="494" t="s">
        <v>2917</v>
      </c>
      <c r="AH82" s="494" t="s">
        <v>2917</v>
      </c>
      <c r="AI82" s="505"/>
      <c r="AJ82" s="505"/>
      <c r="AK82" s="521">
        <f>_xll.GetCtData("COAMOUNT","CONSAMOUNT",$B$1:$B$7,$B82,AK$9,"#1098")</f>
        <v>1098</v>
      </c>
    </row>
    <row r="83" spans="2:37" ht="12" customHeight="1">
      <c r="B83" s="453" t="s">
        <v>442</v>
      </c>
      <c r="C83" s="482" t="s">
        <v>2929</v>
      </c>
      <c r="D83" s="483">
        <v>44403</v>
      </c>
      <c r="E83" s="484" t="s">
        <v>2930</v>
      </c>
      <c r="F83" s="485">
        <v>7</v>
      </c>
      <c r="G83" s="547"/>
      <c r="H83" s="547"/>
      <c r="I83" s="547"/>
      <c r="J83" s="547"/>
      <c r="K83" s="547"/>
      <c r="L83" s="547"/>
      <c r="M83" s="548"/>
      <c r="N83" s="517" t="s">
        <v>3317</v>
      </c>
      <c r="O83" s="518">
        <v>10</v>
      </c>
      <c r="P83" s="519" t="s">
        <v>736</v>
      </c>
      <c r="Q83" s="489">
        <v>57</v>
      </c>
      <c r="R83" s="519" t="s">
        <v>736</v>
      </c>
      <c r="S83" s="518">
        <f t="shared" si="5"/>
        <v>57</v>
      </c>
      <c r="T83" s="519" t="s">
        <v>3318</v>
      </c>
      <c r="U83" s="518">
        <f t="shared" si="6"/>
        <v>25</v>
      </c>
      <c r="V83" s="519" t="s">
        <v>3254</v>
      </c>
      <c r="W83" s="519" t="s">
        <v>3319</v>
      </c>
      <c r="X83" s="491">
        <f t="shared" si="7"/>
        <v>81</v>
      </c>
      <c r="Y83" s="519" t="s">
        <v>3319</v>
      </c>
      <c r="Z83" s="518">
        <f t="shared" si="8"/>
        <v>81</v>
      </c>
      <c r="AA83" s="519" t="s">
        <v>3320</v>
      </c>
      <c r="AB83" s="518">
        <f t="shared" si="9"/>
        <v>25</v>
      </c>
      <c r="AC83" s="519" t="s">
        <v>3257</v>
      </c>
      <c r="AD83" s="518" t="s">
        <v>3321</v>
      </c>
      <c r="AE83" s="520" t="s">
        <v>3322</v>
      </c>
      <c r="AF83" s="504" t="s">
        <v>3279</v>
      </c>
      <c r="AG83" s="494" t="s">
        <v>2917</v>
      </c>
      <c r="AH83" s="494" t="s">
        <v>2917</v>
      </c>
      <c r="AI83" s="505"/>
      <c r="AJ83" s="505"/>
      <c r="AK83" s="521">
        <f>_xll.GetCtData("COAMOUNT","CONSAMOUNT",$B$1:$B$7,$B83,AK$9,"#282")</f>
        <v>282</v>
      </c>
    </row>
    <row r="84" spans="2:37" ht="12" customHeight="1">
      <c r="B84" s="453" t="s">
        <v>443</v>
      </c>
      <c r="C84" s="482" t="s">
        <v>2929</v>
      </c>
      <c r="D84" s="483">
        <v>44403</v>
      </c>
      <c r="E84" s="484" t="s">
        <v>2930</v>
      </c>
      <c r="F84" s="485">
        <v>7</v>
      </c>
      <c r="G84" s="577"/>
      <c r="H84" s="577"/>
      <c r="I84" s="577"/>
      <c r="J84" s="577"/>
      <c r="K84" s="577"/>
      <c r="L84" s="577"/>
      <c r="M84" s="578"/>
      <c r="N84" s="517" t="s">
        <v>3323</v>
      </c>
      <c r="O84" s="518">
        <v>10</v>
      </c>
      <c r="P84" s="519" t="s">
        <v>737</v>
      </c>
      <c r="Q84" s="489">
        <v>65</v>
      </c>
      <c r="R84" s="519" t="s">
        <v>737</v>
      </c>
      <c r="S84" s="518">
        <f t="shared" si="5"/>
        <v>65</v>
      </c>
      <c r="T84" s="519" t="s">
        <v>3324</v>
      </c>
      <c r="U84" s="518">
        <f t="shared" si="6"/>
        <v>25</v>
      </c>
      <c r="V84" s="519" t="s">
        <v>3254</v>
      </c>
      <c r="W84" s="519" t="s">
        <v>3325</v>
      </c>
      <c r="X84" s="491">
        <f t="shared" si="7"/>
        <v>90</v>
      </c>
      <c r="Y84" s="519" t="s">
        <v>3325</v>
      </c>
      <c r="Z84" s="518">
        <f t="shared" si="8"/>
        <v>90</v>
      </c>
      <c r="AA84" s="519" t="s">
        <v>3326</v>
      </c>
      <c r="AB84" s="518">
        <f t="shared" si="9"/>
        <v>27</v>
      </c>
      <c r="AC84" s="519" t="s">
        <v>3257</v>
      </c>
      <c r="AD84" s="518" t="s">
        <v>3327</v>
      </c>
      <c r="AE84" s="520" t="s">
        <v>3328</v>
      </c>
      <c r="AF84" s="504" t="s">
        <v>3279</v>
      </c>
      <c r="AG84" s="494" t="s">
        <v>2917</v>
      </c>
      <c r="AH84" s="494" t="s">
        <v>2917</v>
      </c>
      <c r="AI84" s="505"/>
      <c r="AJ84" s="505"/>
      <c r="AK84" s="521">
        <f>_xll.GetCtData("COAMOUNT","CONSAMOUNT",$B$1:$B$7,$B84,AK$9,"#-28")</f>
        <v>-28</v>
      </c>
    </row>
    <row r="85" spans="2:37" ht="12" customHeight="1">
      <c r="B85" s="453" t="s">
        <v>3329</v>
      </c>
      <c r="C85" s="482" t="s">
        <v>2911</v>
      </c>
      <c r="D85" s="483">
        <v>44378</v>
      </c>
      <c r="E85" s="484" t="s">
        <v>2912</v>
      </c>
      <c r="F85" s="485">
        <v>5</v>
      </c>
      <c r="G85" s="482"/>
      <c r="H85" s="567"/>
      <c r="I85" s="567"/>
      <c r="J85" s="567"/>
      <c r="K85" s="567"/>
      <c r="L85" s="568" t="s">
        <v>3330</v>
      </c>
      <c r="M85" s="569"/>
      <c r="N85" s="570"/>
      <c r="O85" s="571">
        <v>8</v>
      </c>
      <c r="P85" s="572" t="s">
        <v>3331</v>
      </c>
      <c r="Q85" s="489">
        <v>50</v>
      </c>
      <c r="R85" s="572" t="s">
        <v>3331</v>
      </c>
      <c r="S85" s="571">
        <f t="shared" si="5"/>
        <v>50</v>
      </c>
      <c r="T85" s="572" t="s">
        <v>3332</v>
      </c>
      <c r="U85" s="571">
        <f t="shared" si="6"/>
        <v>21</v>
      </c>
      <c r="V85" s="573" t="s">
        <v>3254</v>
      </c>
      <c r="W85" s="573" t="s">
        <v>3333</v>
      </c>
      <c r="X85" s="491">
        <f t="shared" si="7"/>
        <v>62</v>
      </c>
      <c r="Y85" s="573" t="s">
        <v>3333</v>
      </c>
      <c r="Z85" s="571">
        <f t="shared" si="8"/>
        <v>62</v>
      </c>
      <c r="AA85" s="573" t="s">
        <v>3334</v>
      </c>
      <c r="AB85" s="571">
        <f t="shared" si="9"/>
        <v>18</v>
      </c>
      <c r="AC85" s="574" t="s">
        <v>3257</v>
      </c>
      <c r="AD85" s="571"/>
      <c r="AE85" s="575"/>
      <c r="AF85" s="504"/>
      <c r="AG85" s="494" t="s">
        <v>2917</v>
      </c>
      <c r="AH85" s="495" t="s">
        <v>2918</v>
      </c>
      <c r="AI85" s="505"/>
      <c r="AJ85" s="505"/>
      <c r="AK85" s="576">
        <f>_xll.GetCtData("COAMOUNT","CONSAMOUNT",$B$1:$B$7,$B85,AK$9,"#")</f>
        <v>0</v>
      </c>
    </row>
    <row r="86" spans="2:37" ht="12" customHeight="1">
      <c r="B86" s="453" t="s">
        <v>444</v>
      </c>
      <c r="C86" s="482" t="s">
        <v>2929</v>
      </c>
      <c r="D86" s="483">
        <v>44403</v>
      </c>
      <c r="E86" s="484" t="s">
        <v>2930</v>
      </c>
      <c r="F86" s="485">
        <v>7</v>
      </c>
      <c r="G86" s="547"/>
      <c r="H86" s="547"/>
      <c r="I86" s="547"/>
      <c r="J86" s="547"/>
      <c r="K86" s="547"/>
      <c r="L86" s="547"/>
      <c r="M86" s="548"/>
      <c r="N86" s="517" t="s">
        <v>3335</v>
      </c>
      <c r="O86" s="518">
        <v>10</v>
      </c>
      <c r="P86" s="519" t="s">
        <v>738</v>
      </c>
      <c r="Q86" s="489">
        <v>73</v>
      </c>
      <c r="R86" s="519" t="s">
        <v>3336</v>
      </c>
      <c r="S86" s="518">
        <f t="shared" si="5"/>
        <v>66</v>
      </c>
      <c r="T86" s="519" t="s">
        <v>3337</v>
      </c>
      <c r="U86" s="518">
        <f t="shared" si="6"/>
        <v>28</v>
      </c>
      <c r="V86" s="519" t="s">
        <v>3254</v>
      </c>
      <c r="W86" s="519" t="s">
        <v>3338</v>
      </c>
      <c r="X86" s="491">
        <f t="shared" si="7"/>
        <v>80</v>
      </c>
      <c r="Y86" s="519" t="s">
        <v>3338</v>
      </c>
      <c r="Z86" s="518">
        <f t="shared" si="8"/>
        <v>80</v>
      </c>
      <c r="AA86" s="519" t="s">
        <v>3339</v>
      </c>
      <c r="AB86" s="518">
        <f t="shared" si="9"/>
        <v>21</v>
      </c>
      <c r="AC86" s="519" t="s">
        <v>3257</v>
      </c>
      <c r="AD86" s="518" t="s">
        <v>3340</v>
      </c>
      <c r="AE86" s="520" t="s">
        <v>3341</v>
      </c>
      <c r="AF86" s="504" t="s">
        <v>3342</v>
      </c>
      <c r="AG86" s="494" t="s">
        <v>2917</v>
      </c>
      <c r="AH86" s="494" t="s">
        <v>2917</v>
      </c>
      <c r="AI86" s="505"/>
      <c r="AJ86" s="505"/>
      <c r="AK86" s="521">
        <f>_xll.GetCtData("COAMOUNT","CONSAMOUNT",$B$1:$B$7,$B86,AK$9,"#")</f>
        <v>0</v>
      </c>
    </row>
    <row r="87" spans="2:37" ht="12" customHeight="1">
      <c r="B87" s="453" t="s">
        <v>445</v>
      </c>
      <c r="C87" s="482" t="s">
        <v>2929</v>
      </c>
      <c r="D87" s="483">
        <v>44403</v>
      </c>
      <c r="E87" s="484" t="s">
        <v>2930</v>
      </c>
      <c r="F87" s="485">
        <v>7</v>
      </c>
      <c r="G87" s="547"/>
      <c r="H87" s="547"/>
      <c r="I87" s="547"/>
      <c r="J87" s="547"/>
      <c r="K87" s="547"/>
      <c r="L87" s="547"/>
      <c r="M87" s="548"/>
      <c r="N87" s="517" t="s">
        <v>3343</v>
      </c>
      <c r="O87" s="518">
        <v>10</v>
      </c>
      <c r="P87" s="519" t="s">
        <v>739</v>
      </c>
      <c r="Q87" s="489">
        <v>91</v>
      </c>
      <c r="R87" s="519" t="s">
        <v>739</v>
      </c>
      <c r="S87" s="518">
        <f t="shared" si="5"/>
        <v>91</v>
      </c>
      <c r="T87" s="519" t="s">
        <v>3344</v>
      </c>
      <c r="U87" s="518">
        <f t="shared" si="6"/>
        <v>29</v>
      </c>
      <c r="V87" s="519" t="s">
        <v>3254</v>
      </c>
      <c r="W87" s="519" t="s">
        <v>3345</v>
      </c>
      <c r="X87" s="491">
        <f t="shared" si="7"/>
        <v>117</v>
      </c>
      <c r="Y87" s="519" t="s">
        <v>3345</v>
      </c>
      <c r="Z87" s="518">
        <f t="shared" si="8"/>
        <v>117</v>
      </c>
      <c r="AA87" s="519" t="s">
        <v>3346</v>
      </c>
      <c r="AB87" s="518">
        <f t="shared" si="9"/>
        <v>22</v>
      </c>
      <c r="AC87" s="519" t="s">
        <v>3257</v>
      </c>
      <c r="AD87" s="518" t="s">
        <v>3347</v>
      </c>
      <c r="AE87" s="520" t="s">
        <v>3348</v>
      </c>
      <c r="AF87" s="504" t="s">
        <v>3342</v>
      </c>
      <c r="AG87" s="494" t="s">
        <v>2917</v>
      </c>
      <c r="AH87" s="494" t="s">
        <v>2917</v>
      </c>
      <c r="AI87" s="505"/>
      <c r="AJ87" s="505"/>
      <c r="AK87" s="521">
        <f>_xll.GetCtData("COAMOUNT","CONSAMOUNT",$B$1:$B$7,$B87,AK$9,"#")</f>
        <v>0</v>
      </c>
    </row>
    <row r="88" spans="2:37" ht="12" customHeight="1">
      <c r="B88" s="453" t="s">
        <v>446</v>
      </c>
      <c r="C88" s="482" t="s">
        <v>2929</v>
      </c>
      <c r="D88" s="483">
        <v>44403</v>
      </c>
      <c r="E88" s="484" t="s">
        <v>2930</v>
      </c>
      <c r="F88" s="485">
        <v>7</v>
      </c>
      <c r="G88" s="547"/>
      <c r="H88" s="547"/>
      <c r="I88" s="547"/>
      <c r="J88" s="547"/>
      <c r="K88" s="547"/>
      <c r="L88" s="547"/>
      <c r="M88" s="548"/>
      <c r="N88" s="517" t="s">
        <v>3349</v>
      </c>
      <c r="O88" s="518">
        <v>10</v>
      </c>
      <c r="P88" s="519" t="s">
        <v>740</v>
      </c>
      <c r="Q88" s="489">
        <v>57</v>
      </c>
      <c r="R88" s="519" t="s">
        <v>740</v>
      </c>
      <c r="S88" s="518">
        <f t="shared" si="5"/>
        <v>57</v>
      </c>
      <c r="T88" s="519" t="s">
        <v>3350</v>
      </c>
      <c r="U88" s="518">
        <f t="shared" si="6"/>
        <v>25</v>
      </c>
      <c r="V88" s="519" t="s">
        <v>3254</v>
      </c>
      <c r="W88" s="519" t="s">
        <v>3351</v>
      </c>
      <c r="X88" s="491">
        <f t="shared" si="7"/>
        <v>81</v>
      </c>
      <c r="Y88" s="519" t="s">
        <v>3351</v>
      </c>
      <c r="Z88" s="518">
        <f t="shared" si="8"/>
        <v>81</v>
      </c>
      <c r="AA88" s="519" t="s">
        <v>3352</v>
      </c>
      <c r="AB88" s="518">
        <f t="shared" si="9"/>
        <v>25</v>
      </c>
      <c r="AC88" s="519" t="s">
        <v>3257</v>
      </c>
      <c r="AD88" s="518" t="s">
        <v>3353</v>
      </c>
      <c r="AE88" s="520" t="s">
        <v>3354</v>
      </c>
      <c r="AF88" s="504" t="s">
        <v>3342</v>
      </c>
      <c r="AG88" s="494" t="s">
        <v>2917</v>
      </c>
      <c r="AH88" s="494" t="s">
        <v>2917</v>
      </c>
      <c r="AI88" s="505"/>
      <c r="AJ88" s="505"/>
      <c r="AK88" s="521">
        <f>_xll.GetCtData("COAMOUNT","CONSAMOUNT",$B$1:$B$7,$B88,AK$9,"#")</f>
        <v>0</v>
      </c>
    </row>
    <row r="89" spans="2:37" ht="12" customHeight="1">
      <c r="B89" s="453" t="s">
        <v>447</v>
      </c>
      <c r="C89" s="482" t="s">
        <v>2929</v>
      </c>
      <c r="D89" s="483">
        <v>44403</v>
      </c>
      <c r="E89" s="484" t="s">
        <v>2930</v>
      </c>
      <c r="F89" s="485">
        <v>7</v>
      </c>
      <c r="G89" s="577"/>
      <c r="H89" s="577"/>
      <c r="I89" s="577"/>
      <c r="J89" s="577"/>
      <c r="K89" s="577"/>
      <c r="L89" s="577"/>
      <c r="M89" s="578"/>
      <c r="N89" s="517" t="s">
        <v>3355</v>
      </c>
      <c r="O89" s="518">
        <v>10</v>
      </c>
      <c r="P89" s="519" t="s">
        <v>741</v>
      </c>
      <c r="Q89" s="489">
        <v>65</v>
      </c>
      <c r="R89" s="519" t="s">
        <v>741</v>
      </c>
      <c r="S89" s="518">
        <f t="shared" si="5"/>
        <v>65</v>
      </c>
      <c r="T89" s="519" t="s">
        <v>3356</v>
      </c>
      <c r="U89" s="518">
        <f t="shared" si="6"/>
        <v>25</v>
      </c>
      <c r="V89" s="519" t="s">
        <v>3254</v>
      </c>
      <c r="W89" s="519" t="s">
        <v>3357</v>
      </c>
      <c r="X89" s="491">
        <f t="shared" si="7"/>
        <v>90</v>
      </c>
      <c r="Y89" s="519" t="s">
        <v>3357</v>
      </c>
      <c r="Z89" s="518">
        <f t="shared" si="8"/>
        <v>90</v>
      </c>
      <c r="AA89" s="519" t="s">
        <v>3358</v>
      </c>
      <c r="AB89" s="518">
        <f t="shared" si="9"/>
        <v>27</v>
      </c>
      <c r="AC89" s="519" t="s">
        <v>3257</v>
      </c>
      <c r="AD89" s="518" t="s">
        <v>3359</v>
      </c>
      <c r="AE89" s="520" t="s">
        <v>3360</v>
      </c>
      <c r="AF89" s="504" t="s">
        <v>3342</v>
      </c>
      <c r="AG89" s="494" t="s">
        <v>2917</v>
      </c>
      <c r="AH89" s="494" t="s">
        <v>2917</v>
      </c>
      <c r="AI89" s="505"/>
      <c r="AJ89" s="505"/>
      <c r="AK89" s="521">
        <f>_xll.GetCtData("COAMOUNT","CONSAMOUNT",$B$1:$B$7,$B89,AK$9,"#")</f>
        <v>0</v>
      </c>
    </row>
    <row r="90" spans="2:37" ht="12" customHeight="1">
      <c r="B90" s="453" t="s">
        <v>3361</v>
      </c>
      <c r="C90" s="482" t="s">
        <v>2911</v>
      </c>
      <c r="D90" s="483">
        <v>44378</v>
      </c>
      <c r="E90" s="484" t="s">
        <v>2912</v>
      </c>
      <c r="F90" s="485">
        <v>5</v>
      </c>
      <c r="G90" s="482"/>
      <c r="H90" s="567"/>
      <c r="I90" s="567"/>
      <c r="J90" s="567"/>
      <c r="K90" s="567"/>
      <c r="L90" s="568" t="s">
        <v>3362</v>
      </c>
      <c r="M90" s="569"/>
      <c r="N90" s="570"/>
      <c r="O90" s="571">
        <v>8</v>
      </c>
      <c r="P90" s="572" t="s">
        <v>3363</v>
      </c>
      <c r="Q90" s="489">
        <v>52</v>
      </c>
      <c r="R90" s="572" t="s">
        <v>3363</v>
      </c>
      <c r="S90" s="571">
        <f t="shared" si="5"/>
        <v>52</v>
      </c>
      <c r="T90" s="572" t="s">
        <v>3364</v>
      </c>
      <c r="U90" s="571">
        <f t="shared" si="6"/>
        <v>23</v>
      </c>
      <c r="V90" s="573" t="s">
        <v>3254</v>
      </c>
      <c r="W90" s="573" t="s">
        <v>3365</v>
      </c>
      <c r="X90" s="491">
        <f t="shared" si="7"/>
        <v>64</v>
      </c>
      <c r="Y90" s="573" t="s">
        <v>3365</v>
      </c>
      <c r="Z90" s="571">
        <f t="shared" si="8"/>
        <v>64</v>
      </c>
      <c r="AA90" s="573" t="s">
        <v>3366</v>
      </c>
      <c r="AB90" s="571">
        <f t="shared" si="9"/>
        <v>20</v>
      </c>
      <c r="AC90" s="574" t="s">
        <v>3257</v>
      </c>
      <c r="AD90" s="571"/>
      <c r="AE90" s="575"/>
      <c r="AF90" s="504"/>
      <c r="AG90" s="494" t="s">
        <v>2917</v>
      </c>
      <c r="AH90" s="495" t="s">
        <v>2918</v>
      </c>
      <c r="AI90" s="505"/>
      <c r="AJ90" s="505"/>
      <c r="AK90" s="576">
        <f>_xll.GetCtData("COAMOUNT","CONSAMOUNT",$B$1:$B$7,$B90,AK$9,"#")</f>
        <v>0</v>
      </c>
    </row>
    <row r="91" spans="2:37" ht="12" customHeight="1">
      <c r="B91" s="453" t="s">
        <v>448</v>
      </c>
      <c r="C91" s="482" t="s">
        <v>2929</v>
      </c>
      <c r="D91" s="483">
        <v>44403</v>
      </c>
      <c r="E91" s="484" t="s">
        <v>2930</v>
      </c>
      <c r="F91" s="485">
        <v>7</v>
      </c>
      <c r="G91" s="577"/>
      <c r="H91" s="577"/>
      <c r="I91" s="577"/>
      <c r="J91" s="577"/>
      <c r="K91" s="577"/>
      <c r="L91" s="547"/>
      <c r="M91" s="578"/>
      <c r="N91" s="517" t="s">
        <v>3367</v>
      </c>
      <c r="O91" s="518">
        <v>10</v>
      </c>
      <c r="P91" s="519" t="s">
        <v>742</v>
      </c>
      <c r="Q91" s="489">
        <v>75</v>
      </c>
      <c r="R91" s="519" t="s">
        <v>3368</v>
      </c>
      <c r="S91" s="518">
        <f t="shared" si="5"/>
        <v>68</v>
      </c>
      <c r="T91" s="519" t="s">
        <v>3369</v>
      </c>
      <c r="U91" s="518">
        <f t="shared" si="6"/>
        <v>30</v>
      </c>
      <c r="V91" s="519" t="s">
        <v>3254</v>
      </c>
      <c r="W91" s="519" t="s">
        <v>3370</v>
      </c>
      <c r="X91" s="491">
        <f t="shared" si="7"/>
        <v>82</v>
      </c>
      <c r="Y91" s="519" t="s">
        <v>3370</v>
      </c>
      <c r="Z91" s="518">
        <f t="shared" si="8"/>
        <v>82</v>
      </c>
      <c r="AA91" s="519" t="s">
        <v>3371</v>
      </c>
      <c r="AB91" s="518">
        <f t="shared" si="9"/>
        <v>23</v>
      </c>
      <c r="AC91" s="519" t="s">
        <v>3257</v>
      </c>
      <c r="AD91" s="518" t="s">
        <v>3340</v>
      </c>
      <c r="AE91" s="520" t="s">
        <v>3341</v>
      </c>
      <c r="AF91" s="504" t="s">
        <v>3279</v>
      </c>
      <c r="AG91" s="494" t="s">
        <v>2917</v>
      </c>
      <c r="AH91" s="494" t="s">
        <v>2917</v>
      </c>
      <c r="AI91" s="505"/>
      <c r="AJ91" s="505"/>
      <c r="AK91" s="521">
        <f>_xll.GetCtData("COAMOUNT","CONSAMOUNT",$B$1:$B$7,$B91,AK$9,"#")</f>
        <v>0</v>
      </c>
    </row>
    <row r="92" spans="2:37" ht="12" customHeight="1">
      <c r="B92" s="453" t="s">
        <v>449</v>
      </c>
      <c r="C92" s="482" t="s">
        <v>2929</v>
      </c>
      <c r="D92" s="483">
        <v>44403</v>
      </c>
      <c r="E92" s="484" t="s">
        <v>2930</v>
      </c>
      <c r="F92" s="485">
        <v>7</v>
      </c>
      <c r="G92" s="577"/>
      <c r="H92" s="577"/>
      <c r="I92" s="577"/>
      <c r="J92" s="577"/>
      <c r="K92" s="577"/>
      <c r="L92" s="547"/>
      <c r="M92" s="578"/>
      <c r="N92" s="517" t="s">
        <v>3372</v>
      </c>
      <c r="O92" s="518">
        <v>10</v>
      </c>
      <c r="P92" s="519" t="s">
        <v>743</v>
      </c>
      <c r="Q92" s="489">
        <v>93</v>
      </c>
      <c r="R92" s="519" t="s">
        <v>743</v>
      </c>
      <c r="S92" s="518">
        <f t="shared" si="5"/>
        <v>93</v>
      </c>
      <c r="T92" s="519" t="s">
        <v>3373</v>
      </c>
      <c r="U92" s="518">
        <f t="shared" si="6"/>
        <v>30</v>
      </c>
      <c r="V92" s="519" t="s">
        <v>3254</v>
      </c>
      <c r="W92" s="519" t="s">
        <v>3374</v>
      </c>
      <c r="X92" s="491">
        <f t="shared" si="7"/>
        <v>119</v>
      </c>
      <c r="Y92" s="519" t="s">
        <v>3374</v>
      </c>
      <c r="Z92" s="518">
        <f t="shared" si="8"/>
        <v>119</v>
      </c>
      <c r="AA92" s="519" t="s">
        <v>3375</v>
      </c>
      <c r="AB92" s="518">
        <f t="shared" si="9"/>
        <v>24</v>
      </c>
      <c r="AC92" s="519" t="s">
        <v>3257</v>
      </c>
      <c r="AD92" s="518" t="s">
        <v>3347</v>
      </c>
      <c r="AE92" s="520" t="s">
        <v>3348</v>
      </c>
      <c r="AF92" s="504" t="s">
        <v>3279</v>
      </c>
      <c r="AG92" s="494" t="s">
        <v>2917</v>
      </c>
      <c r="AH92" s="494" t="s">
        <v>2917</v>
      </c>
      <c r="AI92" s="505"/>
      <c r="AJ92" s="505"/>
      <c r="AK92" s="521">
        <f>_xll.GetCtData("COAMOUNT","CONSAMOUNT",$B$1:$B$7,$B92,AK$9,"#")</f>
        <v>0</v>
      </c>
    </row>
    <row r="93" spans="2:37" ht="12" customHeight="1">
      <c r="B93" s="453" t="s">
        <v>450</v>
      </c>
      <c r="C93" s="482" t="s">
        <v>2929</v>
      </c>
      <c r="D93" s="483">
        <v>44403</v>
      </c>
      <c r="E93" s="484" t="s">
        <v>2930</v>
      </c>
      <c r="F93" s="485">
        <v>7</v>
      </c>
      <c r="G93" s="577"/>
      <c r="H93" s="577"/>
      <c r="I93" s="577"/>
      <c r="J93" s="577"/>
      <c r="K93" s="577"/>
      <c r="L93" s="547"/>
      <c r="M93" s="578"/>
      <c r="N93" s="517" t="s">
        <v>3376</v>
      </c>
      <c r="O93" s="518">
        <v>10</v>
      </c>
      <c r="P93" s="519" t="s">
        <v>744</v>
      </c>
      <c r="Q93" s="489">
        <v>59</v>
      </c>
      <c r="R93" s="519" t="s">
        <v>744</v>
      </c>
      <c r="S93" s="518">
        <f t="shared" si="5"/>
        <v>59</v>
      </c>
      <c r="T93" s="519" t="s">
        <v>3377</v>
      </c>
      <c r="U93" s="518">
        <f t="shared" si="6"/>
        <v>27</v>
      </c>
      <c r="V93" s="519" t="s">
        <v>3254</v>
      </c>
      <c r="W93" s="519" t="s">
        <v>3378</v>
      </c>
      <c r="X93" s="491">
        <f t="shared" si="7"/>
        <v>83</v>
      </c>
      <c r="Y93" s="519" t="s">
        <v>3378</v>
      </c>
      <c r="Z93" s="518">
        <f t="shared" si="8"/>
        <v>83</v>
      </c>
      <c r="AA93" s="519" t="s">
        <v>3379</v>
      </c>
      <c r="AB93" s="518">
        <f t="shared" si="9"/>
        <v>28</v>
      </c>
      <c r="AC93" s="519" t="s">
        <v>3257</v>
      </c>
      <c r="AD93" s="518" t="s">
        <v>3353</v>
      </c>
      <c r="AE93" s="520" t="s">
        <v>3354</v>
      </c>
      <c r="AF93" s="504" t="s">
        <v>3279</v>
      </c>
      <c r="AG93" s="494" t="s">
        <v>2917</v>
      </c>
      <c r="AH93" s="494" t="s">
        <v>2917</v>
      </c>
      <c r="AI93" s="505"/>
      <c r="AJ93" s="505"/>
      <c r="AK93" s="521">
        <f>_xll.GetCtData("COAMOUNT","CONSAMOUNT",$B$1:$B$7,$B93,AK$9,"#")</f>
        <v>0</v>
      </c>
    </row>
    <row r="94" spans="2:37" ht="12" customHeight="1">
      <c r="B94" s="453" t="s">
        <v>451</v>
      </c>
      <c r="C94" s="482" t="s">
        <v>2929</v>
      </c>
      <c r="D94" s="483">
        <v>44403</v>
      </c>
      <c r="E94" s="484" t="s">
        <v>2930</v>
      </c>
      <c r="F94" s="485">
        <v>7</v>
      </c>
      <c r="G94" s="577"/>
      <c r="H94" s="577"/>
      <c r="I94" s="577"/>
      <c r="J94" s="577"/>
      <c r="K94" s="577"/>
      <c r="L94" s="547"/>
      <c r="M94" s="578"/>
      <c r="N94" s="517" t="s">
        <v>3380</v>
      </c>
      <c r="O94" s="518">
        <v>10</v>
      </c>
      <c r="P94" s="519" t="s">
        <v>745</v>
      </c>
      <c r="Q94" s="489">
        <v>67</v>
      </c>
      <c r="R94" s="519" t="s">
        <v>745</v>
      </c>
      <c r="S94" s="518">
        <f t="shared" si="5"/>
        <v>67</v>
      </c>
      <c r="T94" s="519" t="s">
        <v>3381</v>
      </c>
      <c r="U94" s="518">
        <f t="shared" si="6"/>
        <v>27</v>
      </c>
      <c r="V94" s="519" t="s">
        <v>3254</v>
      </c>
      <c r="W94" s="519" t="s">
        <v>3382</v>
      </c>
      <c r="X94" s="491">
        <f t="shared" si="7"/>
        <v>92</v>
      </c>
      <c r="Y94" s="519" t="s">
        <v>3382</v>
      </c>
      <c r="Z94" s="518">
        <f t="shared" si="8"/>
        <v>92</v>
      </c>
      <c r="AA94" s="519" t="s">
        <v>3383</v>
      </c>
      <c r="AB94" s="518">
        <f t="shared" si="9"/>
        <v>28</v>
      </c>
      <c r="AC94" s="519" t="s">
        <v>3257</v>
      </c>
      <c r="AD94" s="518" t="s">
        <v>3359</v>
      </c>
      <c r="AE94" s="520" t="s">
        <v>3360</v>
      </c>
      <c r="AF94" s="504" t="s">
        <v>3279</v>
      </c>
      <c r="AG94" s="494" t="s">
        <v>2917</v>
      </c>
      <c r="AH94" s="494" t="s">
        <v>2917</v>
      </c>
      <c r="AI94" s="505"/>
      <c r="AJ94" s="505"/>
      <c r="AK94" s="521">
        <f>_xll.GetCtData("COAMOUNT","CONSAMOUNT",$B$1:$B$7,$B94,AK$9,"#")</f>
        <v>0</v>
      </c>
    </row>
    <row r="95" spans="2:37" ht="12" customHeight="1">
      <c r="B95" s="453" t="s">
        <v>1150</v>
      </c>
      <c r="C95" s="482" t="s">
        <v>2911</v>
      </c>
      <c r="D95" s="483">
        <v>44378</v>
      </c>
      <c r="E95" s="484" t="s">
        <v>2912</v>
      </c>
      <c r="F95" s="485">
        <v>4</v>
      </c>
      <c r="G95" s="482"/>
      <c r="H95" s="507"/>
      <c r="I95" s="507"/>
      <c r="J95" s="507"/>
      <c r="K95" s="564" t="s">
        <v>3384</v>
      </c>
      <c r="L95" s="564"/>
      <c r="M95" s="565"/>
      <c r="N95" s="566"/>
      <c r="O95" s="558">
        <v>7</v>
      </c>
      <c r="P95" s="559" t="s">
        <v>2609</v>
      </c>
      <c r="Q95" s="489">
        <v>52</v>
      </c>
      <c r="R95" s="559" t="s">
        <v>2609</v>
      </c>
      <c r="S95" s="558">
        <f t="shared" si="5"/>
        <v>52</v>
      </c>
      <c r="T95" s="559" t="s">
        <v>3385</v>
      </c>
      <c r="U95" s="558">
        <f t="shared" si="6"/>
        <v>19</v>
      </c>
      <c r="V95" s="560" t="s">
        <v>3254</v>
      </c>
      <c r="W95" s="560" t="s">
        <v>3386</v>
      </c>
      <c r="X95" s="491">
        <f t="shared" si="7"/>
        <v>47</v>
      </c>
      <c r="Y95" s="560" t="s">
        <v>3386</v>
      </c>
      <c r="Z95" s="558">
        <f t="shared" si="8"/>
        <v>47</v>
      </c>
      <c r="AA95" s="560" t="s">
        <v>3387</v>
      </c>
      <c r="AB95" s="558">
        <f t="shared" si="9"/>
        <v>17</v>
      </c>
      <c r="AC95" s="560" t="s">
        <v>3257</v>
      </c>
      <c r="AD95" s="558"/>
      <c r="AE95" s="562"/>
      <c r="AF95" s="504"/>
      <c r="AG95" s="494" t="s">
        <v>2917</v>
      </c>
      <c r="AH95" s="495" t="s">
        <v>2918</v>
      </c>
      <c r="AI95" s="505"/>
      <c r="AJ95" s="505"/>
      <c r="AK95" s="563">
        <f>_xll.GetCtData("COAMOUNT","CONSAMOUNT",$B$1:$B$7,$B95,AK$9,"#2148749")</f>
        <v>2148749</v>
      </c>
    </row>
    <row r="96" spans="2:37" ht="12" customHeight="1">
      <c r="B96" s="453" t="s">
        <v>3388</v>
      </c>
      <c r="C96" s="482" t="s">
        <v>2911</v>
      </c>
      <c r="D96" s="483">
        <v>44378</v>
      </c>
      <c r="E96" s="484" t="s">
        <v>2912</v>
      </c>
      <c r="F96" s="485">
        <v>5</v>
      </c>
      <c r="G96" s="482"/>
      <c r="H96" s="567"/>
      <c r="I96" s="567"/>
      <c r="J96" s="567"/>
      <c r="K96" s="567"/>
      <c r="L96" s="568" t="s">
        <v>3389</v>
      </c>
      <c r="M96" s="569"/>
      <c r="N96" s="570"/>
      <c r="O96" s="571">
        <v>8</v>
      </c>
      <c r="P96" s="572" t="s">
        <v>3390</v>
      </c>
      <c r="Q96" s="489">
        <v>57</v>
      </c>
      <c r="R96" s="572" t="s">
        <v>3390</v>
      </c>
      <c r="S96" s="571">
        <f t="shared" si="5"/>
        <v>57</v>
      </c>
      <c r="T96" s="572" t="s">
        <v>3391</v>
      </c>
      <c r="U96" s="571">
        <f t="shared" si="6"/>
        <v>22</v>
      </c>
      <c r="V96" s="573" t="s">
        <v>3254</v>
      </c>
      <c r="W96" s="573" t="s">
        <v>3392</v>
      </c>
      <c r="X96" s="491">
        <f t="shared" si="7"/>
        <v>52</v>
      </c>
      <c r="Y96" s="573" t="s">
        <v>3392</v>
      </c>
      <c r="Z96" s="571">
        <f t="shared" si="8"/>
        <v>52</v>
      </c>
      <c r="AA96" s="573" t="s">
        <v>3393</v>
      </c>
      <c r="AB96" s="571">
        <f t="shared" si="9"/>
        <v>20</v>
      </c>
      <c r="AC96" s="573" t="s">
        <v>3257</v>
      </c>
      <c r="AD96" s="571"/>
      <c r="AE96" s="575"/>
      <c r="AF96" s="504"/>
      <c r="AG96" s="494" t="s">
        <v>2917</v>
      </c>
      <c r="AH96" s="495" t="s">
        <v>2918</v>
      </c>
      <c r="AI96" s="505"/>
      <c r="AJ96" s="505"/>
      <c r="AK96" s="576">
        <f>_xll.GetCtData("COAMOUNT","CONSAMOUNT",$B$1:$B$7,$B96,AK$9,"#2134148")</f>
        <v>2134148</v>
      </c>
    </row>
    <row r="97" spans="2:37" ht="12" customHeight="1">
      <c r="B97" s="453" t="s">
        <v>364</v>
      </c>
      <c r="C97" s="482" t="s">
        <v>2929</v>
      </c>
      <c r="D97" s="483">
        <v>44403</v>
      </c>
      <c r="E97" s="484" t="s">
        <v>2930</v>
      </c>
      <c r="F97" s="485">
        <v>7</v>
      </c>
      <c r="G97" s="547"/>
      <c r="H97" s="547"/>
      <c r="I97" s="547"/>
      <c r="J97" s="547"/>
      <c r="K97" s="547"/>
      <c r="L97" s="547"/>
      <c r="M97" s="548"/>
      <c r="N97" s="517" t="s">
        <v>3394</v>
      </c>
      <c r="O97" s="518">
        <v>10</v>
      </c>
      <c r="P97" s="519" t="s">
        <v>746</v>
      </c>
      <c r="Q97" s="489">
        <v>79</v>
      </c>
      <c r="R97" s="519" t="s">
        <v>3395</v>
      </c>
      <c r="S97" s="518">
        <f t="shared" si="5"/>
        <v>73</v>
      </c>
      <c r="T97" s="519" t="s">
        <v>3396</v>
      </c>
      <c r="U97" s="518">
        <f t="shared" si="6"/>
        <v>29</v>
      </c>
      <c r="V97" s="519" t="s">
        <v>3254</v>
      </c>
      <c r="W97" s="519" t="s">
        <v>3397</v>
      </c>
      <c r="X97" s="491">
        <f t="shared" si="7"/>
        <v>70</v>
      </c>
      <c r="Y97" s="519" t="s">
        <v>3397</v>
      </c>
      <c r="Z97" s="518">
        <f t="shared" si="8"/>
        <v>70</v>
      </c>
      <c r="AA97" s="519" t="s">
        <v>3398</v>
      </c>
      <c r="AB97" s="518">
        <f t="shared" si="9"/>
        <v>23</v>
      </c>
      <c r="AC97" s="519" t="s">
        <v>3257</v>
      </c>
      <c r="AD97" s="518" t="s">
        <v>3399</v>
      </c>
      <c r="AE97" s="520" t="s">
        <v>3400</v>
      </c>
      <c r="AF97" s="504" t="s">
        <v>3279</v>
      </c>
      <c r="AG97" s="494" t="s">
        <v>2917</v>
      </c>
      <c r="AH97" s="494" t="s">
        <v>2917</v>
      </c>
      <c r="AI97" s="505"/>
      <c r="AJ97" s="505"/>
      <c r="AK97" s="521">
        <f>_xll.GetCtData("COAMOUNT","CONSAMOUNT",$B$1:$B$7,$B97,AK$9,"#2086675")</f>
        <v>2086675</v>
      </c>
    </row>
    <row r="98" spans="2:37" ht="12" customHeight="1">
      <c r="B98" s="453" t="s">
        <v>365</v>
      </c>
      <c r="C98" s="482" t="s">
        <v>2929</v>
      </c>
      <c r="D98" s="483">
        <v>44403</v>
      </c>
      <c r="E98" s="484" t="s">
        <v>2930</v>
      </c>
      <c r="F98" s="485">
        <v>7</v>
      </c>
      <c r="G98" s="547"/>
      <c r="H98" s="547"/>
      <c r="I98" s="547"/>
      <c r="J98" s="547"/>
      <c r="K98" s="547"/>
      <c r="L98" s="547"/>
      <c r="M98" s="548"/>
      <c r="N98" s="517" t="s">
        <v>3401</v>
      </c>
      <c r="O98" s="518">
        <v>10</v>
      </c>
      <c r="P98" s="519" t="s">
        <v>747</v>
      </c>
      <c r="Q98" s="489">
        <v>98</v>
      </c>
      <c r="R98" s="519" t="s">
        <v>747</v>
      </c>
      <c r="S98" s="518">
        <f t="shared" si="5"/>
        <v>98</v>
      </c>
      <c r="T98" s="519" t="s">
        <v>3402</v>
      </c>
      <c r="U98" s="518">
        <f t="shared" si="6"/>
        <v>29</v>
      </c>
      <c r="V98" s="519" t="s">
        <v>3254</v>
      </c>
      <c r="W98" s="519" t="s">
        <v>3403</v>
      </c>
      <c r="X98" s="491">
        <f t="shared" si="7"/>
        <v>107</v>
      </c>
      <c r="Y98" s="519" t="s">
        <v>3403</v>
      </c>
      <c r="Z98" s="518">
        <f t="shared" si="8"/>
        <v>107</v>
      </c>
      <c r="AA98" s="519" t="s">
        <v>3404</v>
      </c>
      <c r="AB98" s="518">
        <f t="shared" si="9"/>
        <v>24</v>
      </c>
      <c r="AC98" s="519" t="s">
        <v>3257</v>
      </c>
      <c r="AD98" s="518" t="s">
        <v>3405</v>
      </c>
      <c r="AE98" s="520" t="s">
        <v>3406</v>
      </c>
      <c r="AF98" s="504" t="s">
        <v>3279</v>
      </c>
      <c r="AG98" s="494" t="s">
        <v>2917</v>
      </c>
      <c r="AH98" s="494" t="s">
        <v>2917</v>
      </c>
      <c r="AI98" s="505"/>
      <c r="AJ98" s="505"/>
      <c r="AK98" s="521">
        <f>_xll.GetCtData("COAMOUNT","CONSAMOUNT",$B$1:$B$7,$B98,AK$9,"#8121")</f>
        <v>8121</v>
      </c>
    </row>
    <row r="99" spans="2:37" ht="12" customHeight="1">
      <c r="B99" s="453" t="s">
        <v>366</v>
      </c>
      <c r="C99" s="482" t="s">
        <v>2929</v>
      </c>
      <c r="D99" s="483">
        <v>44403</v>
      </c>
      <c r="E99" s="484" t="s">
        <v>2930</v>
      </c>
      <c r="F99" s="485">
        <v>7</v>
      </c>
      <c r="G99" s="547"/>
      <c r="H99" s="547"/>
      <c r="I99" s="547"/>
      <c r="J99" s="547"/>
      <c r="K99" s="547"/>
      <c r="L99" s="547"/>
      <c r="M99" s="548"/>
      <c r="N99" s="517" t="s">
        <v>3407</v>
      </c>
      <c r="O99" s="518">
        <v>10</v>
      </c>
      <c r="P99" s="519" t="s">
        <v>748</v>
      </c>
      <c r="Q99" s="489">
        <v>64</v>
      </c>
      <c r="R99" s="519" t="s">
        <v>748</v>
      </c>
      <c r="S99" s="518">
        <f t="shared" si="5"/>
        <v>64</v>
      </c>
      <c r="T99" s="519" t="s">
        <v>3408</v>
      </c>
      <c r="U99" s="518">
        <f t="shared" si="6"/>
        <v>26</v>
      </c>
      <c r="V99" s="519" t="s">
        <v>3254</v>
      </c>
      <c r="W99" s="519" t="s">
        <v>3409</v>
      </c>
      <c r="X99" s="491">
        <f t="shared" si="7"/>
        <v>71</v>
      </c>
      <c r="Y99" s="519" t="s">
        <v>3409</v>
      </c>
      <c r="Z99" s="518">
        <f t="shared" si="8"/>
        <v>71</v>
      </c>
      <c r="AA99" s="519" t="s">
        <v>3410</v>
      </c>
      <c r="AB99" s="518">
        <f t="shared" si="9"/>
        <v>28</v>
      </c>
      <c r="AC99" s="519" t="s">
        <v>3257</v>
      </c>
      <c r="AD99" s="518" t="s">
        <v>3411</v>
      </c>
      <c r="AE99" s="520" t="s">
        <v>3412</v>
      </c>
      <c r="AF99" s="504" t="s">
        <v>3279</v>
      </c>
      <c r="AG99" s="494" t="s">
        <v>2917</v>
      </c>
      <c r="AH99" s="494" t="s">
        <v>2917</v>
      </c>
      <c r="AI99" s="505"/>
      <c r="AJ99" s="505"/>
      <c r="AK99" s="521">
        <f>_xll.GetCtData("COAMOUNT","CONSAMOUNT",$B$1:$B$7,$B99,AK$9,"#43228")</f>
        <v>43228</v>
      </c>
    </row>
    <row r="100" spans="2:37" ht="12" customHeight="1">
      <c r="B100" s="453" t="s">
        <v>367</v>
      </c>
      <c r="C100" s="482" t="s">
        <v>2929</v>
      </c>
      <c r="D100" s="483">
        <v>44403</v>
      </c>
      <c r="E100" s="484" t="s">
        <v>2930</v>
      </c>
      <c r="F100" s="485">
        <v>7</v>
      </c>
      <c r="G100" s="547"/>
      <c r="H100" s="547"/>
      <c r="I100" s="547"/>
      <c r="J100" s="547"/>
      <c r="K100" s="547"/>
      <c r="L100" s="547"/>
      <c r="M100" s="548"/>
      <c r="N100" s="517" t="s">
        <v>3413</v>
      </c>
      <c r="O100" s="518">
        <v>10</v>
      </c>
      <c r="P100" s="519" t="s">
        <v>749</v>
      </c>
      <c r="Q100" s="489">
        <v>72</v>
      </c>
      <c r="R100" s="519" t="s">
        <v>749</v>
      </c>
      <c r="S100" s="518">
        <f t="shared" si="5"/>
        <v>72</v>
      </c>
      <c r="T100" s="519" t="s">
        <v>3414</v>
      </c>
      <c r="U100" s="518">
        <f t="shared" si="6"/>
        <v>26</v>
      </c>
      <c r="V100" s="519" t="s">
        <v>3254</v>
      </c>
      <c r="W100" s="519" t="s">
        <v>3415</v>
      </c>
      <c r="X100" s="491">
        <f t="shared" si="7"/>
        <v>80</v>
      </c>
      <c r="Y100" s="519" t="s">
        <v>3415</v>
      </c>
      <c r="Z100" s="518">
        <f t="shared" si="8"/>
        <v>80</v>
      </c>
      <c r="AA100" s="519" t="s">
        <v>3416</v>
      </c>
      <c r="AB100" s="518">
        <f t="shared" si="9"/>
        <v>28</v>
      </c>
      <c r="AC100" s="519" t="s">
        <v>3257</v>
      </c>
      <c r="AD100" s="518" t="s">
        <v>3417</v>
      </c>
      <c r="AE100" s="520" t="s">
        <v>3418</v>
      </c>
      <c r="AF100" s="504" t="s">
        <v>3279</v>
      </c>
      <c r="AG100" s="494" t="s">
        <v>2917</v>
      </c>
      <c r="AH100" s="494" t="s">
        <v>2917</v>
      </c>
      <c r="AI100" s="505"/>
      <c r="AJ100" s="505"/>
      <c r="AK100" s="521">
        <f>_xll.GetCtData("COAMOUNT","CONSAMOUNT",$B$1:$B$7,$B100,AK$9,"#-3876")</f>
        <v>-3876</v>
      </c>
    </row>
    <row r="101" spans="2:37" ht="12" customHeight="1">
      <c r="B101" s="453" t="s">
        <v>3419</v>
      </c>
      <c r="C101" s="482" t="s">
        <v>2911</v>
      </c>
      <c r="D101" s="483">
        <v>44378</v>
      </c>
      <c r="E101" s="484" t="s">
        <v>2912</v>
      </c>
      <c r="F101" s="485">
        <v>5</v>
      </c>
      <c r="G101" s="482"/>
      <c r="H101" s="567"/>
      <c r="I101" s="567"/>
      <c r="J101" s="567"/>
      <c r="K101" s="567"/>
      <c r="L101" s="568" t="s">
        <v>3420</v>
      </c>
      <c r="M101" s="569"/>
      <c r="N101" s="570"/>
      <c r="O101" s="571">
        <v>8</v>
      </c>
      <c r="P101" s="572" t="s">
        <v>3421</v>
      </c>
      <c r="Q101" s="489">
        <v>57</v>
      </c>
      <c r="R101" s="572" t="s">
        <v>3421</v>
      </c>
      <c r="S101" s="571">
        <f t="shared" si="5"/>
        <v>57</v>
      </c>
      <c r="T101" s="572" t="s">
        <v>3422</v>
      </c>
      <c r="U101" s="571">
        <f t="shared" si="6"/>
        <v>22</v>
      </c>
      <c r="V101" s="573" t="s">
        <v>3254</v>
      </c>
      <c r="W101" s="573" t="s">
        <v>3423</v>
      </c>
      <c r="X101" s="491">
        <f t="shared" si="7"/>
        <v>52</v>
      </c>
      <c r="Y101" s="573" t="s">
        <v>3423</v>
      </c>
      <c r="Z101" s="571">
        <f t="shared" si="8"/>
        <v>52</v>
      </c>
      <c r="AA101" s="573" t="s">
        <v>3424</v>
      </c>
      <c r="AB101" s="571">
        <f t="shared" si="9"/>
        <v>20</v>
      </c>
      <c r="AC101" s="573" t="s">
        <v>3257</v>
      </c>
      <c r="AD101" s="571"/>
      <c r="AE101" s="575"/>
      <c r="AF101" s="504"/>
      <c r="AG101" s="494" t="s">
        <v>2917</v>
      </c>
      <c r="AH101" s="495" t="s">
        <v>2918</v>
      </c>
      <c r="AI101" s="505"/>
      <c r="AJ101" s="505"/>
      <c r="AK101" s="576">
        <f>_xll.GetCtData("COAMOUNT","CONSAMOUNT",$B$1:$B$7,$B101,AK$9,"#14601")</f>
        <v>14601</v>
      </c>
    </row>
    <row r="102" spans="2:37" ht="12" customHeight="1">
      <c r="B102" s="453" t="s">
        <v>368</v>
      </c>
      <c r="C102" s="482" t="s">
        <v>2929</v>
      </c>
      <c r="D102" s="483">
        <v>44403</v>
      </c>
      <c r="E102" s="484" t="s">
        <v>2930</v>
      </c>
      <c r="F102" s="485">
        <v>7</v>
      </c>
      <c r="G102" s="547"/>
      <c r="H102" s="547"/>
      <c r="I102" s="547"/>
      <c r="J102" s="547"/>
      <c r="K102" s="547"/>
      <c r="L102" s="547"/>
      <c r="M102" s="548"/>
      <c r="N102" s="517" t="s">
        <v>3425</v>
      </c>
      <c r="O102" s="518">
        <v>10</v>
      </c>
      <c r="P102" s="519" t="s">
        <v>750</v>
      </c>
      <c r="Q102" s="489">
        <v>79</v>
      </c>
      <c r="R102" s="519" t="s">
        <v>3426</v>
      </c>
      <c r="S102" s="518">
        <f t="shared" si="5"/>
        <v>73</v>
      </c>
      <c r="T102" s="519" t="s">
        <v>3427</v>
      </c>
      <c r="U102" s="518">
        <f t="shared" si="6"/>
        <v>29</v>
      </c>
      <c r="V102" s="519" t="s">
        <v>3254</v>
      </c>
      <c r="W102" s="519" t="s">
        <v>3428</v>
      </c>
      <c r="X102" s="491">
        <f t="shared" si="7"/>
        <v>70</v>
      </c>
      <c r="Y102" s="519" t="s">
        <v>3428</v>
      </c>
      <c r="Z102" s="518">
        <f t="shared" si="8"/>
        <v>70</v>
      </c>
      <c r="AA102" s="519" t="s">
        <v>3429</v>
      </c>
      <c r="AB102" s="518">
        <f t="shared" si="9"/>
        <v>23</v>
      </c>
      <c r="AC102" s="519" t="s">
        <v>3257</v>
      </c>
      <c r="AD102" s="518" t="s">
        <v>3430</v>
      </c>
      <c r="AE102" s="520" t="s">
        <v>3431</v>
      </c>
      <c r="AF102" s="504" t="s">
        <v>3279</v>
      </c>
      <c r="AG102" s="494" t="s">
        <v>2917</v>
      </c>
      <c r="AH102" s="494" t="s">
        <v>2917</v>
      </c>
      <c r="AI102" s="505"/>
      <c r="AJ102" s="505"/>
      <c r="AK102" s="521">
        <f>_xll.GetCtData("COAMOUNT","CONSAMOUNT",$B$1:$B$7,$B102,AK$9,"#14281")</f>
        <v>14281</v>
      </c>
    </row>
    <row r="103" spans="2:37" ht="12" customHeight="1">
      <c r="B103" s="453" t="s">
        <v>369</v>
      </c>
      <c r="C103" s="482" t="s">
        <v>2929</v>
      </c>
      <c r="D103" s="483">
        <v>44403</v>
      </c>
      <c r="E103" s="484" t="s">
        <v>2930</v>
      </c>
      <c r="F103" s="485">
        <v>7</v>
      </c>
      <c r="G103" s="547"/>
      <c r="H103" s="547"/>
      <c r="I103" s="547"/>
      <c r="J103" s="547"/>
      <c r="K103" s="547"/>
      <c r="L103" s="547"/>
      <c r="M103" s="548"/>
      <c r="N103" s="517" t="s">
        <v>3432</v>
      </c>
      <c r="O103" s="518">
        <v>10</v>
      </c>
      <c r="P103" s="519" t="s">
        <v>751</v>
      </c>
      <c r="Q103" s="489">
        <v>98</v>
      </c>
      <c r="R103" s="519" t="s">
        <v>751</v>
      </c>
      <c r="S103" s="518">
        <f t="shared" si="5"/>
        <v>98</v>
      </c>
      <c r="T103" s="519" t="s">
        <v>3433</v>
      </c>
      <c r="U103" s="518">
        <f t="shared" si="6"/>
        <v>29</v>
      </c>
      <c r="V103" s="519" t="s">
        <v>3254</v>
      </c>
      <c r="W103" s="519" t="s">
        <v>3434</v>
      </c>
      <c r="X103" s="491">
        <f t="shared" si="7"/>
        <v>107</v>
      </c>
      <c r="Y103" s="519" t="s">
        <v>3434</v>
      </c>
      <c r="Z103" s="518">
        <f t="shared" si="8"/>
        <v>107</v>
      </c>
      <c r="AA103" s="519" t="s">
        <v>3435</v>
      </c>
      <c r="AB103" s="518">
        <f t="shared" si="9"/>
        <v>24</v>
      </c>
      <c r="AC103" s="519" t="s">
        <v>3257</v>
      </c>
      <c r="AD103" s="518" t="s">
        <v>3436</v>
      </c>
      <c r="AE103" s="520" t="s">
        <v>3437</v>
      </c>
      <c r="AF103" s="504" t="s">
        <v>3279</v>
      </c>
      <c r="AG103" s="494" t="s">
        <v>2917</v>
      </c>
      <c r="AH103" s="494" t="s">
        <v>2917</v>
      </c>
      <c r="AI103" s="505"/>
      <c r="AJ103" s="505"/>
      <c r="AK103" s="521">
        <f>_xll.GetCtData("COAMOUNT","CONSAMOUNT",$B$1:$B$7,$B103,AK$9,"#10")</f>
        <v>10</v>
      </c>
    </row>
    <row r="104" spans="2:37" ht="12" customHeight="1">
      <c r="B104" s="453" t="s">
        <v>370</v>
      </c>
      <c r="C104" s="482" t="s">
        <v>2929</v>
      </c>
      <c r="D104" s="483">
        <v>44403</v>
      </c>
      <c r="E104" s="484" t="s">
        <v>2930</v>
      </c>
      <c r="F104" s="485">
        <v>7</v>
      </c>
      <c r="G104" s="547"/>
      <c r="H104" s="547"/>
      <c r="I104" s="547"/>
      <c r="J104" s="547"/>
      <c r="K104" s="547"/>
      <c r="L104" s="547"/>
      <c r="M104" s="548"/>
      <c r="N104" s="517" t="s">
        <v>3438</v>
      </c>
      <c r="O104" s="518">
        <v>10</v>
      </c>
      <c r="P104" s="519" t="s">
        <v>752</v>
      </c>
      <c r="Q104" s="489">
        <v>64</v>
      </c>
      <c r="R104" s="519" t="s">
        <v>752</v>
      </c>
      <c r="S104" s="518">
        <f t="shared" si="5"/>
        <v>64</v>
      </c>
      <c r="T104" s="519" t="s">
        <v>3439</v>
      </c>
      <c r="U104" s="518">
        <f t="shared" si="6"/>
        <v>26</v>
      </c>
      <c r="V104" s="519" t="s">
        <v>3254</v>
      </c>
      <c r="W104" s="519" t="s">
        <v>3440</v>
      </c>
      <c r="X104" s="491">
        <f t="shared" si="7"/>
        <v>71</v>
      </c>
      <c r="Y104" s="519" t="s">
        <v>3440</v>
      </c>
      <c r="Z104" s="518">
        <f t="shared" si="8"/>
        <v>71</v>
      </c>
      <c r="AA104" s="519" t="s">
        <v>3441</v>
      </c>
      <c r="AB104" s="518">
        <f t="shared" si="9"/>
        <v>28</v>
      </c>
      <c r="AC104" s="519" t="s">
        <v>3257</v>
      </c>
      <c r="AD104" s="518" t="s">
        <v>3442</v>
      </c>
      <c r="AE104" s="520" t="s">
        <v>3443</v>
      </c>
      <c r="AF104" s="504" t="s">
        <v>3279</v>
      </c>
      <c r="AG104" s="494" t="s">
        <v>2917</v>
      </c>
      <c r="AH104" s="494" t="s">
        <v>2917</v>
      </c>
      <c r="AI104" s="505"/>
      <c r="AJ104" s="505"/>
      <c r="AK104" s="521">
        <f>_xll.GetCtData("COAMOUNT","CONSAMOUNT",$B$1:$B$7,$B104,AK$9,"#503")</f>
        <v>503</v>
      </c>
    </row>
    <row r="105" spans="2:37" ht="12" customHeight="1">
      <c r="B105" s="453" t="s">
        <v>371</v>
      </c>
      <c r="C105" s="482" t="s">
        <v>2929</v>
      </c>
      <c r="D105" s="483">
        <v>44403</v>
      </c>
      <c r="E105" s="484" t="s">
        <v>2930</v>
      </c>
      <c r="F105" s="485">
        <v>7</v>
      </c>
      <c r="G105" s="577"/>
      <c r="H105" s="577"/>
      <c r="I105" s="577"/>
      <c r="J105" s="577"/>
      <c r="K105" s="577"/>
      <c r="L105" s="577"/>
      <c r="M105" s="578"/>
      <c r="N105" s="517" t="s">
        <v>3444</v>
      </c>
      <c r="O105" s="518">
        <v>10</v>
      </c>
      <c r="P105" s="519" t="s">
        <v>753</v>
      </c>
      <c r="Q105" s="489">
        <v>72</v>
      </c>
      <c r="R105" s="519" t="s">
        <v>753</v>
      </c>
      <c r="S105" s="518">
        <f t="shared" si="5"/>
        <v>72</v>
      </c>
      <c r="T105" s="519" t="s">
        <v>3445</v>
      </c>
      <c r="U105" s="518">
        <f t="shared" si="6"/>
        <v>26</v>
      </c>
      <c r="V105" s="519" t="s">
        <v>3254</v>
      </c>
      <c r="W105" s="519" t="s">
        <v>3446</v>
      </c>
      <c r="X105" s="491">
        <f t="shared" si="7"/>
        <v>80</v>
      </c>
      <c r="Y105" s="519" t="s">
        <v>3446</v>
      </c>
      <c r="Z105" s="518">
        <f t="shared" si="8"/>
        <v>80</v>
      </c>
      <c r="AA105" s="519" t="s">
        <v>3447</v>
      </c>
      <c r="AB105" s="518">
        <f t="shared" si="9"/>
        <v>28</v>
      </c>
      <c r="AC105" s="519" t="s">
        <v>3257</v>
      </c>
      <c r="AD105" s="518" t="s">
        <v>3448</v>
      </c>
      <c r="AE105" s="520" t="s">
        <v>3449</v>
      </c>
      <c r="AF105" s="504" t="s">
        <v>3279</v>
      </c>
      <c r="AG105" s="494" t="s">
        <v>2917</v>
      </c>
      <c r="AH105" s="494" t="s">
        <v>2917</v>
      </c>
      <c r="AI105" s="505"/>
      <c r="AJ105" s="505"/>
      <c r="AK105" s="521">
        <f>_xll.GetCtData("COAMOUNT","CONSAMOUNT",$B$1:$B$7,$B105,AK$9,"#-193")</f>
        <v>-193</v>
      </c>
    </row>
    <row r="106" spans="2:37" ht="12" customHeight="1">
      <c r="B106" s="453" t="s">
        <v>3450</v>
      </c>
      <c r="C106" s="482" t="s">
        <v>2911</v>
      </c>
      <c r="D106" s="483">
        <v>44378</v>
      </c>
      <c r="E106" s="484" t="s">
        <v>2912</v>
      </c>
      <c r="F106" s="485">
        <v>5</v>
      </c>
      <c r="G106" s="482"/>
      <c r="H106" s="567"/>
      <c r="I106" s="567"/>
      <c r="J106" s="567"/>
      <c r="K106" s="567"/>
      <c r="L106" s="568" t="s">
        <v>3451</v>
      </c>
      <c r="M106" s="569"/>
      <c r="N106" s="570"/>
      <c r="O106" s="571">
        <v>8</v>
      </c>
      <c r="P106" s="572" t="s">
        <v>3452</v>
      </c>
      <c r="Q106" s="489">
        <v>57</v>
      </c>
      <c r="R106" s="572" t="s">
        <v>3452</v>
      </c>
      <c r="S106" s="571">
        <f t="shared" si="5"/>
        <v>57</v>
      </c>
      <c r="T106" s="572" t="s">
        <v>3453</v>
      </c>
      <c r="U106" s="571">
        <f t="shared" si="6"/>
        <v>22</v>
      </c>
      <c r="V106" s="573" t="s">
        <v>3254</v>
      </c>
      <c r="W106" s="573" t="s">
        <v>3454</v>
      </c>
      <c r="X106" s="491">
        <f t="shared" si="7"/>
        <v>52</v>
      </c>
      <c r="Y106" s="573" t="s">
        <v>3454</v>
      </c>
      <c r="Z106" s="571">
        <f t="shared" si="8"/>
        <v>52</v>
      </c>
      <c r="AA106" s="573" t="s">
        <v>3455</v>
      </c>
      <c r="AB106" s="571">
        <f t="shared" si="9"/>
        <v>20</v>
      </c>
      <c r="AC106" s="573" t="s">
        <v>3257</v>
      </c>
      <c r="AD106" s="571"/>
      <c r="AE106" s="575"/>
      <c r="AF106" s="504"/>
      <c r="AG106" s="494" t="s">
        <v>2917</v>
      </c>
      <c r="AH106" s="495" t="s">
        <v>2918</v>
      </c>
      <c r="AI106" s="505"/>
      <c r="AJ106" s="505"/>
      <c r="AK106" s="576">
        <f>_xll.GetCtData("COAMOUNT","CONSAMOUNT",$B$1:$B$7,$B106,AK$9,"#")</f>
        <v>0</v>
      </c>
    </row>
    <row r="107" spans="2:37" ht="12" customHeight="1">
      <c r="B107" s="453" t="s">
        <v>372</v>
      </c>
      <c r="C107" s="482" t="s">
        <v>2929</v>
      </c>
      <c r="D107" s="483">
        <v>44403</v>
      </c>
      <c r="E107" s="484" t="s">
        <v>2930</v>
      </c>
      <c r="F107" s="485">
        <v>7</v>
      </c>
      <c r="G107" s="547"/>
      <c r="H107" s="547"/>
      <c r="I107" s="547"/>
      <c r="J107" s="547"/>
      <c r="K107" s="547"/>
      <c r="L107" s="547"/>
      <c r="M107" s="548"/>
      <c r="N107" s="517" t="s">
        <v>3456</v>
      </c>
      <c r="O107" s="518">
        <v>10</v>
      </c>
      <c r="P107" s="519" t="s">
        <v>754</v>
      </c>
      <c r="Q107" s="489">
        <v>79</v>
      </c>
      <c r="R107" s="519" t="s">
        <v>3457</v>
      </c>
      <c r="S107" s="518">
        <f t="shared" si="5"/>
        <v>73</v>
      </c>
      <c r="T107" s="519" t="s">
        <v>3458</v>
      </c>
      <c r="U107" s="518">
        <f t="shared" si="6"/>
        <v>29</v>
      </c>
      <c r="V107" s="519" t="s">
        <v>3254</v>
      </c>
      <c r="W107" s="519" t="s">
        <v>3459</v>
      </c>
      <c r="X107" s="491">
        <f t="shared" si="7"/>
        <v>70</v>
      </c>
      <c r="Y107" s="519" t="s">
        <v>3459</v>
      </c>
      <c r="Z107" s="518">
        <f t="shared" si="8"/>
        <v>70</v>
      </c>
      <c r="AA107" s="519" t="s">
        <v>3460</v>
      </c>
      <c r="AB107" s="518">
        <f t="shared" si="9"/>
        <v>23</v>
      </c>
      <c r="AC107" s="519" t="s">
        <v>3257</v>
      </c>
      <c r="AD107" s="518" t="s">
        <v>3461</v>
      </c>
      <c r="AE107" s="520" t="s">
        <v>3462</v>
      </c>
      <c r="AF107" s="504" t="s">
        <v>3342</v>
      </c>
      <c r="AG107" s="494" t="s">
        <v>2917</v>
      </c>
      <c r="AH107" s="494" t="s">
        <v>2917</v>
      </c>
      <c r="AI107" s="505"/>
      <c r="AJ107" s="505"/>
      <c r="AK107" s="521">
        <f>_xll.GetCtData("COAMOUNT","CONSAMOUNT",$B$1:$B$7,$B107,AK$9,"#")</f>
        <v>0</v>
      </c>
    </row>
    <row r="108" spans="2:37" ht="12" customHeight="1">
      <c r="B108" s="453" t="s">
        <v>373</v>
      </c>
      <c r="C108" s="482" t="s">
        <v>2929</v>
      </c>
      <c r="D108" s="483">
        <v>44403</v>
      </c>
      <c r="E108" s="484" t="s">
        <v>2930</v>
      </c>
      <c r="F108" s="485">
        <v>7</v>
      </c>
      <c r="G108" s="547"/>
      <c r="H108" s="547"/>
      <c r="I108" s="547"/>
      <c r="J108" s="547"/>
      <c r="K108" s="547"/>
      <c r="L108" s="547"/>
      <c r="M108" s="548"/>
      <c r="N108" s="517" t="s">
        <v>3463</v>
      </c>
      <c r="O108" s="518">
        <v>10</v>
      </c>
      <c r="P108" s="519" t="s">
        <v>755</v>
      </c>
      <c r="Q108" s="489">
        <v>98</v>
      </c>
      <c r="R108" s="519" t="s">
        <v>755</v>
      </c>
      <c r="S108" s="518">
        <f t="shared" si="5"/>
        <v>98</v>
      </c>
      <c r="T108" s="519" t="s">
        <v>3464</v>
      </c>
      <c r="U108" s="518">
        <f t="shared" si="6"/>
        <v>29</v>
      </c>
      <c r="V108" s="519" t="s">
        <v>3254</v>
      </c>
      <c r="W108" s="519" t="s">
        <v>3465</v>
      </c>
      <c r="X108" s="491">
        <f t="shared" si="7"/>
        <v>107</v>
      </c>
      <c r="Y108" s="519" t="s">
        <v>3465</v>
      </c>
      <c r="Z108" s="518">
        <f t="shared" si="8"/>
        <v>107</v>
      </c>
      <c r="AA108" s="519" t="s">
        <v>3466</v>
      </c>
      <c r="AB108" s="518">
        <f t="shared" si="9"/>
        <v>24</v>
      </c>
      <c r="AC108" s="519" t="s">
        <v>3257</v>
      </c>
      <c r="AD108" s="518" t="s">
        <v>3467</v>
      </c>
      <c r="AE108" s="520" t="s">
        <v>3468</v>
      </c>
      <c r="AF108" s="504" t="s">
        <v>3342</v>
      </c>
      <c r="AG108" s="494" t="s">
        <v>2917</v>
      </c>
      <c r="AH108" s="494" t="s">
        <v>2917</v>
      </c>
      <c r="AI108" s="505"/>
      <c r="AJ108" s="505"/>
      <c r="AK108" s="521">
        <f>_xll.GetCtData("COAMOUNT","CONSAMOUNT",$B$1:$B$7,$B108,AK$9,"#")</f>
        <v>0</v>
      </c>
    </row>
    <row r="109" spans="2:37" ht="12" customHeight="1">
      <c r="B109" s="453" t="s">
        <v>374</v>
      </c>
      <c r="C109" s="482" t="s">
        <v>2929</v>
      </c>
      <c r="D109" s="483">
        <v>44403</v>
      </c>
      <c r="E109" s="484" t="s">
        <v>2930</v>
      </c>
      <c r="F109" s="485">
        <v>7</v>
      </c>
      <c r="G109" s="547"/>
      <c r="H109" s="547"/>
      <c r="I109" s="547"/>
      <c r="J109" s="547"/>
      <c r="K109" s="547"/>
      <c r="L109" s="547"/>
      <c r="M109" s="548"/>
      <c r="N109" s="517" t="s">
        <v>3469</v>
      </c>
      <c r="O109" s="518">
        <v>10</v>
      </c>
      <c r="P109" s="519" t="s">
        <v>756</v>
      </c>
      <c r="Q109" s="489">
        <v>64</v>
      </c>
      <c r="R109" s="519" t="s">
        <v>756</v>
      </c>
      <c r="S109" s="518">
        <f t="shared" si="5"/>
        <v>64</v>
      </c>
      <c r="T109" s="519" t="s">
        <v>3470</v>
      </c>
      <c r="U109" s="518">
        <f t="shared" si="6"/>
        <v>26</v>
      </c>
      <c r="V109" s="519" t="s">
        <v>3254</v>
      </c>
      <c r="W109" s="519" t="s">
        <v>3471</v>
      </c>
      <c r="X109" s="491">
        <f t="shared" si="7"/>
        <v>71</v>
      </c>
      <c r="Y109" s="519" t="s">
        <v>3471</v>
      </c>
      <c r="Z109" s="518">
        <f t="shared" si="8"/>
        <v>71</v>
      </c>
      <c r="AA109" s="519" t="s">
        <v>3472</v>
      </c>
      <c r="AB109" s="518">
        <f t="shared" si="9"/>
        <v>28</v>
      </c>
      <c r="AC109" s="519" t="s">
        <v>3257</v>
      </c>
      <c r="AD109" s="518" t="s">
        <v>3473</v>
      </c>
      <c r="AE109" s="520" t="s">
        <v>3474</v>
      </c>
      <c r="AF109" s="504" t="s">
        <v>3342</v>
      </c>
      <c r="AG109" s="494" t="s">
        <v>2917</v>
      </c>
      <c r="AH109" s="494" t="s">
        <v>2917</v>
      </c>
      <c r="AI109" s="505"/>
      <c r="AJ109" s="505"/>
      <c r="AK109" s="521">
        <f>_xll.GetCtData("COAMOUNT","CONSAMOUNT",$B$1:$B$7,$B109,AK$9,"#")</f>
        <v>0</v>
      </c>
    </row>
    <row r="110" spans="2:37" ht="12" customHeight="1">
      <c r="B110" s="453" t="s">
        <v>375</v>
      </c>
      <c r="C110" s="482" t="s">
        <v>2929</v>
      </c>
      <c r="D110" s="483">
        <v>44403</v>
      </c>
      <c r="E110" s="484" t="s">
        <v>2930</v>
      </c>
      <c r="F110" s="485">
        <v>7</v>
      </c>
      <c r="G110" s="577"/>
      <c r="H110" s="577"/>
      <c r="I110" s="577"/>
      <c r="J110" s="577"/>
      <c r="K110" s="577"/>
      <c r="L110" s="577"/>
      <c r="M110" s="578"/>
      <c r="N110" s="517" t="s">
        <v>3475</v>
      </c>
      <c r="O110" s="518">
        <v>10</v>
      </c>
      <c r="P110" s="519" t="s">
        <v>757</v>
      </c>
      <c r="Q110" s="489">
        <v>72</v>
      </c>
      <c r="R110" s="519" t="s">
        <v>757</v>
      </c>
      <c r="S110" s="518">
        <f t="shared" si="5"/>
        <v>72</v>
      </c>
      <c r="T110" s="519" t="s">
        <v>3476</v>
      </c>
      <c r="U110" s="518">
        <f t="shared" si="6"/>
        <v>26</v>
      </c>
      <c r="V110" s="519" t="s">
        <v>3254</v>
      </c>
      <c r="W110" s="519" t="s">
        <v>3477</v>
      </c>
      <c r="X110" s="491">
        <f t="shared" si="7"/>
        <v>80</v>
      </c>
      <c r="Y110" s="519" t="s">
        <v>3477</v>
      </c>
      <c r="Z110" s="518">
        <f t="shared" si="8"/>
        <v>80</v>
      </c>
      <c r="AA110" s="519" t="s">
        <v>3478</v>
      </c>
      <c r="AB110" s="518">
        <f t="shared" si="9"/>
        <v>28</v>
      </c>
      <c r="AC110" s="519" t="s">
        <v>3257</v>
      </c>
      <c r="AD110" s="518" t="s">
        <v>3479</v>
      </c>
      <c r="AE110" s="520" t="s">
        <v>3480</v>
      </c>
      <c r="AF110" s="504" t="s">
        <v>3342</v>
      </c>
      <c r="AG110" s="494" t="s">
        <v>2917</v>
      </c>
      <c r="AH110" s="494" t="s">
        <v>2917</v>
      </c>
      <c r="AI110" s="505"/>
      <c r="AJ110" s="505"/>
      <c r="AK110" s="521">
        <f>_xll.GetCtData("COAMOUNT","CONSAMOUNT",$B$1:$B$7,$B110,AK$9,"#")</f>
        <v>0</v>
      </c>
    </row>
    <row r="111" spans="2:37" ht="12" customHeight="1">
      <c r="B111" s="453" t="s">
        <v>3481</v>
      </c>
      <c r="C111" s="482" t="s">
        <v>2911</v>
      </c>
      <c r="D111" s="483">
        <v>44378</v>
      </c>
      <c r="E111" s="484" t="s">
        <v>2912</v>
      </c>
      <c r="F111" s="485">
        <v>5</v>
      </c>
      <c r="G111" s="482"/>
      <c r="H111" s="567"/>
      <c r="I111" s="567"/>
      <c r="J111" s="567"/>
      <c r="K111" s="567"/>
      <c r="L111" s="568" t="s">
        <v>3482</v>
      </c>
      <c r="M111" s="569"/>
      <c r="N111" s="570"/>
      <c r="O111" s="571">
        <v>8</v>
      </c>
      <c r="P111" s="572" t="s">
        <v>3483</v>
      </c>
      <c r="Q111" s="489">
        <v>59</v>
      </c>
      <c r="R111" s="572" t="s">
        <v>3483</v>
      </c>
      <c r="S111" s="571">
        <f t="shared" si="5"/>
        <v>59</v>
      </c>
      <c r="T111" s="572" t="s">
        <v>3484</v>
      </c>
      <c r="U111" s="571">
        <f t="shared" si="6"/>
        <v>23</v>
      </c>
      <c r="V111" s="573" t="s">
        <v>3254</v>
      </c>
      <c r="W111" s="573" t="s">
        <v>3485</v>
      </c>
      <c r="X111" s="491">
        <f t="shared" si="7"/>
        <v>54</v>
      </c>
      <c r="Y111" s="573" t="s">
        <v>3485</v>
      </c>
      <c r="Z111" s="571">
        <f t="shared" si="8"/>
        <v>54</v>
      </c>
      <c r="AA111" s="573" t="s">
        <v>3486</v>
      </c>
      <c r="AB111" s="571">
        <f t="shared" si="9"/>
        <v>22</v>
      </c>
      <c r="AC111" s="573" t="s">
        <v>3257</v>
      </c>
      <c r="AD111" s="571"/>
      <c r="AE111" s="575"/>
      <c r="AF111" s="504"/>
      <c r="AG111" s="494" t="s">
        <v>2917</v>
      </c>
      <c r="AH111" s="495" t="s">
        <v>2918</v>
      </c>
      <c r="AI111" s="505"/>
      <c r="AJ111" s="505"/>
      <c r="AK111" s="576">
        <f>_xll.GetCtData("COAMOUNT","CONSAMOUNT",$B$1:$B$7,$B111,AK$9,"#")</f>
        <v>0</v>
      </c>
    </row>
    <row r="112" spans="2:37" ht="12" customHeight="1">
      <c r="B112" s="453" t="s">
        <v>376</v>
      </c>
      <c r="C112" s="482" t="s">
        <v>2929</v>
      </c>
      <c r="D112" s="483">
        <v>44403</v>
      </c>
      <c r="E112" s="484" t="s">
        <v>2930</v>
      </c>
      <c r="F112" s="485">
        <v>7</v>
      </c>
      <c r="G112" s="577"/>
      <c r="H112" s="577"/>
      <c r="I112" s="577"/>
      <c r="J112" s="577"/>
      <c r="K112" s="577"/>
      <c r="L112" s="577"/>
      <c r="M112" s="578"/>
      <c r="N112" s="517" t="s">
        <v>3487</v>
      </c>
      <c r="O112" s="518">
        <v>10</v>
      </c>
      <c r="P112" s="519" t="s">
        <v>758</v>
      </c>
      <c r="Q112" s="489">
        <v>82</v>
      </c>
      <c r="R112" s="519" t="s">
        <v>3488</v>
      </c>
      <c r="S112" s="518">
        <f t="shared" si="5"/>
        <v>75</v>
      </c>
      <c r="T112" s="519" t="s">
        <v>3489</v>
      </c>
      <c r="U112" s="518">
        <f t="shared" si="6"/>
        <v>30</v>
      </c>
      <c r="V112" s="519" t="s">
        <v>3254</v>
      </c>
      <c r="W112" s="519" t="s">
        <v>3490</v>
      </c>
      <c r="X112" s="491">
        <f t="shared" si="7"/>
        <v>74</v>
      </c>
      <c r="Y112" s="519" t="s">
        <v>3490</v>
      </c>
      <c r="Z112" s="518">
        <f t="shared" si="8"/>
        <v>74</v>
      </c>
      <c r="AA112" s="519" t="s">
        <v>3491</v>
      </c>
      <c r="AB112" s="518">
        <f t="shared" si="9"/>
        <v>30</v>
      </c>
      <c r="AC112" s="519" t="s">
        <v>3257</v>
      </c>
      <c r="AD112" s="518" t="s">
        <v>3461</v>
      </c>
      <c r="AE112" s="520" t="s">
        <v>3462</v>
      </c>
      <c r="AF112" s="504" t="s">
        <v>2939</v>
      </c>
      <c r="AG112" s="494" t="s">
        <v>2917</v>
      </c>
      <c r="AH112" s="494" t="s">
        <v>2917</v>
      </c>
      <c r="AI112" s="505"/>
      <c r="AJ112" s="505"/>
      <c r="AK112" s="521">
        <f>_xll.GetCtData("COAMOUNT","CONSAMOUNT",$B$1:$B$7,$B112,AK$9,"#")</f>
        <v>0</v>
      </c>
    </row>
    <row r="113" spans="2:37" ht="12" customHeight="1">
      <c r="B113" s="453" t="s">
        <v>377</v>
      </c>
      <c r="C113" s="482" t="s">
        <v>2929</v>
      </c>
      <c r="D113" s="483">
        <v>44403</v>
      </c>
      <c r="E113" s="484" t="s">
        <v>2930</v>
      </c>
      <c r="F113" s="485">
        <v>7</v>
      </c>
      <c r="G113" s="577"/>
      <c r="H113" s="577"/>
      <c r="I113" s="577"/>
      <c r="J113" s="577"/>
      <c r="K113" s="577"/>
      <c r="L113" s="577"/>
      <c r="M113" s="578"/>
      <c r="N113" s="517" t="s">
        <v>3492</v>
      </c>
      <c r="O113" s="518">
        <v>10</v>
      </c>
      <c r="P113" s="519" t="s">
        <v>759</v>
      </c>
      <c r="Q113" s="489">
        <v>100</v>
      </c>
      <c r="R113" s="519" t="s">
        <v>759</v>
      </c>
      <c r="S113" s="518">
        <f t="shared" si="5"/>
        <v>100</v>
      </c>
      <c r="T113" s="519" t="s">
        <v>3493</v>
      </c>
      <c r="U113" s="518">
        <f t="shared" si="6"/>
        <v>30</v>
      </c>
      <c r="V113" s="519" t="s">
        <v>3254</v>
      </c>
      <c r="W113" s="519" t="s">
        <v>3494</v>
      </c>
      <c r="X113" s="491">
        <f t="shared" si="7"/>
        <v>109</v>
      </c>
      <c r="Y113" s="519" t="s">
        <v>3494</v>
      </c>
      <c r="Z113" s="518">
        <f t="shared" si="8"/>
        <v>109</v>
      </c>
      <c r="AA113" s="519" t="s">
        <v>3495</v>
      </c>
      <c r="AB113" s="518">
        <f t="shared" si="9"/>
        <v>26</v>
      </c>
      <c r="AC113" s="519" t="s">
        <v>3257</v>
      </c>
      <c r="AD113" s="518" t="s">
        <v>3467</v>
      </c>
      <c r="AE113" s="520" t="s">
        <v>3468</v>
      </c>
      <c r="AF113" s="504" t="s">
        <v>2939</v>
      </c>
      <c r="AG113" s="494" t="s">
        <v>2917</v>
      </c>
      <c r="AH113" s="494" t="s">
        <v>2917</v>
      </c>
      <c r="AI113" s="505"/>
      <c r="AJ113" s="505"/>
      <c r="AK113" s="521">
        <f>_xll.GetCtData("COAMOUNT","CONSAMOUNT",$B$1:$B$7,$B113,AK$9,"#")</f>
        <v>0</v>
      </c>
    </row>
    <row r="114" spans="2:37" ht="12" customHeight="1">
      <c r="B114" s="453" t="s">
        <v>378</v>
      </c>
      <c r="C114" s="482" t="s">
        <v>2929</v>
      </c>
      <c r="D114" s="483">
        <v>44403</v>
      </c>
      <c r="E114" s="484" t="s">
        <v>2930</v>
      </c>
      <c r="F114" s="485">
        <v>7</v>
      </c>
      <c r="G114" s="577"/>
      <c r="H114" s="577"/>
      <c r="I114" s="577"/>
      <c r="J114" s="577"/>
      <c r="K114" s="577"/>
      <c r="L114" s="577"/>
      <c r="M114" s="578"/>
      <c r="N114" s="517" t="s">
        <v>3496</v>
      </c>
      <c r="O114" s="518">
        <v>10</v>
      </c>
      <c r="P114" s="519" t="s">
        <v>760</v>
      </c>
      <c r="Q114" s="489">
        <v>66</v>
      </c>
      <c r="R114" s="519" t="s">
        <v>760</v>
      </c>
      <c r="S114" s="518">
        <f t="shared" si="5"/>
        <v>66</v>
      </c>
      <c r="T114" s="519" t="s">
        <v>3497</v>
      </c>
      <c r="U114" s="518">
        <f t="shared" si="6"/>
        <v>29</v>
      </c>
      <c r="V114" s="519" t="s">
        <v>3254</v>
      </c>
      <c r="W114" s="519" t="s">
        <v>3498</v>
      </c>
      <c r="X114" s="491">
        <f t="shared" si="7"/>
        <v>73</v>
      </c>
      <c r="Y114" s="519" t="s">
        <v>3498</v>
      </c>
      <c r="Z114" s="518">
        <f t="shared" si="8"/>
        <v>73</v>
      </c>
      <c r="AA114" s="519" t="s">
        <v>3499</v>
      </c>
      <c r="AB114" s="518">
        <f t="shared" si="9"/>
        <v>30</v>
      </c>
      <c r="AC114" s="519" t="s">
        <v>3257</v>
      </c>
      <c r="AD114" s="518" t="s">
        <v>3473</v>
      </c>
      <c r="AE114" s="520" t="s">
        <v>3474</v>
      </c>
      <c r="AF114" s="504" t="s">
        <v>2939</v>
      </c>
      <c r="AG114" s="494" t="s">
        <v>2917</v>
      </c>
      <c r="AH114" s="494" t="s">
        <v>2917</v>
      </c>
      <c r="AI114" s="505"/>
      <c r="AJ114" s="505"/>
      <c r="AK114" s="521">
        <f>_xll.GetCtData("COAMOUNT","CONSAMOUNT",$B$1:$B$7,$B114,AK$9,"#")</f>
        <v>0</v>
      </c>
    </row>
    <row r="115" spans="2:37" ht="12" customHeight="1">
      <c r="B115" s="453" t="s">
        <v>379</v>
      </c>
      <c r="C115" s="482" t="s">
        <v>2929</v>
      </c>
      <c r="D115" s="483">
        <v>44403</v>
      </c>
      <c r="E115" s="484" t="s">
        <v>2930</v>
      </c>
      <c r="F115" s="485">
        <v>7</v>
      </c>
      <c r="G115" s="577"/>
      <c r="H115" s="577"/>
      <c r="I115" s="577"/>
      <c r="J115" s="577"/>
      <c r="K115" s="577"/>
      <c r="L115" s="577"/>
      <c r="M115" s="578"/>
      <c r="N115" s="517" t="s">
        <v>3500</v>
      </c>
      <c r="O115" s="518">
        <v>10</v>
      </c>
      <c r="P115" s="519" t="s">
        <v>761</v>
      </c>
      <c r="Q115" s="489">
        <v>74</v>
      </c>
      <c r="R115" s="519" t="s">
        <v>761</v>
      </c>
      <c r="S115" s="518">
        <f t="shared" si="5"/>
        <v>74</v>
      </c>
      <c r="T115" s="519" t="s">
        <v>3501</v>
      </c>
      <c r="U115" s="518">
        <f t="shared" si="6"/>
        <v>29</v>
      </c>
      <c r="V115" s="519" t="s">
        <v>3254</v>
      </c>
      <c r="W115" s="519" t="s">
        <v>3502</v>
      </c>
      <c r="X115" s="491">
        <f t="shared" si="7"/>
        <v>82</v>
      </c>
      <c r="Y115" s="519" t="s">
        <v>3502</v>
      </c>
      <c r="Z115" s="518">
        <f t="shared" si="8"/>
        <v>82</v>
      </c>
      <c r="AA115" s="519" t="s">
        <v>3503</v>
      </c>
      <c r="AB115" s="518">
        <f t="shared" si="9"/>
        <v>30</v>
      </c>
      <c r="AC115" s="519" t="s">
        <v>3257</v>
      </c>
      <c r="AD115" s="518" t="s">
        <v>3479</v>
      </c>
      <c r="AE115" s="520" t="s">
        <v>3480</v>
      </c>
      <c r="AF115" s="504" t="s">
        <v>2939</v>
      </c>
      <c r="AG115" s="494" t="s">
        <v>2917</v>
      </c>
      <c r="AH115" s="494" t="s">
        <v>2917</v>
      </c>
      <c r="AI115" s="505"/>
      <c r="AJ115" s="505"/>
      <c r="AK115" s="521">
        <f>_xll.GetCtData("COAMOUNT","CONSAMOUNT",$B$1:$B$7,$B115,AK$9,"#")</f>
        <v>0</v>
      </c>
    </row>
    <row r="116" spans="2:37" ht="12" customHeight="1">
      <c r="B116" s="453" t="s">
        <v>1151</v>
      </c>
      <c r="C116" s="482" t="s">
        <v>2911</v>
      </c>
      <c r="D116" s="483">
        <v>44378</v>
      </c>
      <c r="E116" s="484" t="s">
        <v>2912</v>
      </c>
      <c r="F116" s="485">
        <v>4</v>
      </c>
      <c r="G116" s="482"/>
      <c r="H116" s="507"/>
      <c r="I116" s="507"/>
      <c r="J116" s="507"/>
      <c r="K116" s="564" t="s">
        <v>3504</v>
      </c>
      <c r="L116" s="564"/>
      <c r="M116" s="565"/>
      <c r="N116" s="566"/>
      <c r="O116" s="558">
        <v>7</v>
      </c>
      <c r="P116" s="559" t="s">
        <v>2610</v>
      </c>
      <c r="Q116" s="489">
        <v>48</v>
      </c>
      <c r="R116" s="559" t="s">
        <v>2610</v>
      </c>
      <c r="S116" s="558">
        <f t="shared" si="5"/>
        <v>48</v>
      </c>
      <c r="T116" s="559" t="s">
        <v>3505</v>
      </c>
      <c r="U116" s="558">
        <f t="shared" si="6"/>
        <v>16</v>
      </c>
      <c r="V116" s="560" t="s">
        <v>3254</v>
      </c>
      <c r="W116" s="560" t="s">
        <v>3506</v>
      </c>
      <c r="X116" s="491">
        <f t="shared" si="7"/>
        <v>45</v>
      </c>
      <c r="Y116" s="560" t="s">
        <v>3506</v>
      </c>
      <c r="Z116" s="558">
        <f t="shared" si="8"/>
        <v>45</v>
      </c>
      <c r="AA116" s="560" t="s">
        <v>3507</v>
      </c>
      <c r="AB116" s="558">
        <f t="shared" si="9"/>
        <v>15</v>
      </c>
      <c r="AC116" s="560" t="s">
        <v>3257</v>
      </c>
      <c r="AD116" s="558"/>
      <c r="AE116" s="562"/>
      <c r="AF116" s="504"/>
      <c r="AG116" s="494" t="s">
        <v>2917</v>
      </c>
      <c r="AH116" s="495" t="s">
        <v>2918</v>
      </c>
      <c r="AI116" s="505"/>
      <c r="AJ116" s="505"/>
      <c r="AK116" s="563">
        <f>_xll.GetCtData("COAMOUNT","CONSAMOUNT",$B$1:$B$7,$B116,AK$9,"#94675")</f>
        <v>94675</v>
      </c>
    </row>
    <row r="117" spans="2:37" ht="12" customHeight="1">
      <c r="B117" s="453" t="s">
        <v>3508</v>
      </c>
      <c r="C117" s="482" t="s">
        <v>2911</v>
      </c>
      <c r="D117" s="483">
        <v>44378</v>
      </c>
      <c r="E117" s="484" t="s">
        <v>2912</v>
      </c>
      <c r="F117" s="485">
        <v>5</v>
      </c>
      <c r="G117" s="482"/>
      <c r="H117" s="567"/>
      <c r="I117" s="567"/>
      <c r="J117" s="567"/>
      <c r="K117" s="567"/>
      <c r="L117" s="568" t="s">
        <v>3509</v>
      </c>
      <c r="M117" s="569"/>
      <c r="N117" s="570"/>
      <c r="O117" s="571">
        <v>8</v>
      </c>
      <c r="P117" s="572" t="s">
        <v>3510</v>
      </c>
      <c r="Q117" s="489">
        <v>53</v>
      </c>
      <c r="R117" s="572" t="s">
        <v>3510</v>
      </c>
      <c r="S117" s="571">
        <f t="shared" si="5"/>
        <v>53</v>
      </c>
      <c r="T117" s="572" t="s">
        <v>3511</v>
      </c>
      <c r="U117" s="571">
        <f t="shared" si="6"/>
        <v>19</v>
      </c>
      <c r="V117" s="573" t="s">
        <v>3254</v>
      </c>
      <c r="W117" s="573" t="s">
        <v>3512</v>
      </c>
      <c r="X117" s="491">
        <f t="shared" si="7"/>
        <v>50</v>
      </c>
      <c r="Y117" s="573" t="s">
        <v>3512</v>
      </c>
      <c r="Z117" s="571">
        <f t="shared" si="8"/>
        <v>50</v>
      </c>
      <c r="AA117" s="573" t="s">
        <v>3513</v>
      </c>
      <c r="AB117" s="571">
        <f t="shared" si="9"/>
        <v>18</v>
      </c>
      <c r="AC117" s="573" t="s">
        <v>3257</v>
      </c>
      <c r="AD117" s="571"/>
      <c r="AE117" s="575"/>
      <c r="AF117" s="504"/>
      <c r="AG117" s="494" t="s">
        <v>2917</v>
      </c>
      <c r="AH117" s="495" t="s">
        <v>2918</v>
      </c>
      <c r="AI117" s="505"/>
      <c r="AJ117" s="505"/>
      <c r="AK117" s="576">
        <f>_xll.GetCtData("COAMOUNT","CONSAMOUNT",$B$1:$B$7,$B117,AK$9,"#94675")</f>
        <v>94675</v>
      </c>
    </row>
    <row r="118" spans="2:37" ht="12" customHeight="1">
      <c r="B118" s="453" t="s">
        <v>380</v>
      </c>
      <c r="C118" s="482" t="s">
        <v>2929</v>
      </c>
      <c r="D118" s="483">
        <v>44403</v>
      </c>
      <c r="E118" s="484" t="s">
        <v>2930</v>
      </c>
      <c r="F118" s="485">
        <v>7</v>
      </c>
      <c r="G118" s="547"/>
      <c r="H118" s="547"/>
      <c r="I118" s="547"/>
      <c r="J118" s="547"/>
      <c r="K118" s="547"/>
      <c r="L118" s="547"/>
      <c r="M118" s="548"/>
      <c r="N118" s="517" t="s">
        <v>3514</v>
      </c>
      <c r="O118" s="518">
        <v>10</v>
      </c>
      <c r="P118" s="519" t="s">
        <v>762</v>
      </c>
      <c r="Q118" s="489">
        <v>75</v>
      </c>
      <c r="R118" s="519" t="s">
        <v>3515</v>
      </c>
      <c r="S118" s="518">
        <f t="shared" si="5"/>
        <v>69</v>
      </c>
      <c r="T118" s="519" t="s">
        <v>3516</v>
      </c>
      <c r="U118" s="518">
        <f t="shared" si="6"/>
        <v>27</v>
      </c>
      <c r="V118" s="519" t="s">
        <v>3254</v>
      </c>
      <c r="W118" s="519" t="s">
        <v>3517</v>
      </c>
      <c r="X118" s="491">
        <f t="shared" si="7"/>
        <v>68</v>
      </c>
      <c r="Y118" s="519" t="s">
        <v>3517</v>
      </c>
      <c r="Z118" s="518">
        <f t="shared" si="8"/>
        <v>68</v>
      </c>
      <c r="AA118" s="519" t="s">
        <v>3518</v>
      </c>
      <c r="AB118" s="518">
        <f t="shared" si="9"/>
        <v>21</v>
      </c>
      <c r="AC118" s="519" t="s">
        <v>3257</v>
      </c>
      <c r="AD118" s="518" t="s">
        <v>3519</v>
      </c>
      <c r="AE118" s="520" t="s">
        <v>3520</v>
      </c>
      <c r="AF118" s="504" t="s">
        <v>3279</v>
      </c>
      <c r="AG118" s="494" t="s">
        <v>2917</v>
      </c>
      <c r="AH118" s="494" t="s">
        <v>2917</v>
      </c>
      <c r="AI118" s="505"/>
      <c r="AJ118" s="505"/>
      <c r="AK118" s="521">
        <f>_xll.GetCtData("COAMOUNT","CONSAMOUNT",$B$1:$B$7,$B118,AK$9,"#92960")</f>
        <v>92960</v>
      </c>
    </row>
    <row r="119" spans="2:37" ht="12" customHeight="1">
      <c r="B119" s="453" t="s">
        <v>381</v>
      </c>
      <c r="C119" s="482" t="s">
        <v>2929</v>
      </c>
      <c r="D119" s="483">
        <v>44403</v>
      </c>
      <c r="E119" s="484" t="s">
        <v>2930</v>
      </c>
      <c r="F119" s="485">
        <v>7</v>
      </c>
      <c r="G119" s="547"/>
      <c r="H119" s="547"/>
      <c r="I119" s="547"/>
      <c r="J119" s="547"/>
      <c r="K119" s="547"/>
      <c r="L119" s="547"/>
      <c r="M119" s="548"/>
      <c r="N119" s="517" t="s">
        <v>3521</v>
      </c>
      <c r="O119" s="518">
        <v>10</v>
      </c>
      <c r="P119" s="519" t="s">
        <v>763</v>
      </c>
      <c r="Q119" s="489">
        <v>94</v>
      </c>
      <c r="R119" s="519" t="s">
        <v>763</v>
      </c>
      <c r="S119" s="518">
        <f t="shared" si="5"/>
        <v>94</v>
      </c>
      <c r="T119" s="519" t="s">
        <v>3522</v>
      </c>
      <c r="U119" s="518">
        <f t="shared" si="6"/>
        <v>27</v>
      </c>
      <c r="V119" s="519" t="s">
        <v>3254</v>
      </c>
      <c r="W119" s="519" t="s">
        <v>3523</v>
      </c>
      <c r="X119" s="491">
        <f t="shared" si="7"/>
        <v>105</v>
      </c>
      <c r="Y119" s="519" t="s">
        <v>3523</v>
      </c>
      <c r="Z119" s="518">
        <f t="shared" si="8"/>
        <v>105</v>
      </c>
      <c r="AA119" s="519" t="s">
        <v>3524</v>
      </c>
      <c r="AB119" s="518">
        <f t="shared" si="9"/>
        <v>22</v>
      </c>
      <c r="AC119" s="519" t="s">
        <v>3257</v>
      </c>
      <c r="AD119" s="518" t="s">
        <v>3525</v>
      </c>
      <c r="AE119" s="520" t="s">
        <v>3526</v>
      </c>
      <c r="AF119" s="504" t="s">
        <v>3279</v>
      </c>
      <c r="AG119" s="494" t="s">
        <v>2917</v>
      </c>
      <c r="AH119" s="494" t="s">
        <v>2917</v>
      </c>
      <c r="AI119" s="505"/>
      <c r="AJ119" s="505"/>
      <c r="AK119" s="521">
        <f>_xll.GetCtData("COAMOUNT","CONSAMOUNT",$B$1:$B$7,$B119,AK$9,"#28")</f>
        <v>28</v>
      </c>
    </row>
    <row r="120" spans="2:37" ht="12" customHeight="1">
      <c r="B120" s="453" t="s">
        <v>382</v>
      </c>
      <c r="C120" s="482" t="s">
        <v>2929</v>
      </c>
      <c r="D120" s="483">
        <v>44403</v>
      </c>
      <c r="E120" s="484" t="s">
        <v>2930</v>
      </c>
      <c r="F120" s="485">
        <v>7</v>
      </c>
      <c r="G120" s="547"/>
      <c r="H120" s="547"/>
      <c r="I120" s="547"/>
      <c r="J120" s="547"/>
      <c r="K120" s="547"/>
      <c r="L120" s="547"/>
      <c r="M120" s="548"/>
      <c r="N120" s="517" t="s">
        <v>3527</v>
      </c>
      <c r="O120" s="518">
        <v>10</v>
      </c>
      <c r="P120" s="519" t="s">
        <v>764</v>
      </c>
      <c r="Q120" s="489">
        <v>60</v>
      </c>
      <c r="R120" s="519" t="s">
        <v>764</v>
      </c>
      <c r="S120" s="518">
        <f t="shared" si="5"/>
        <v>60</v>
      </c>
      <c r="T120" s="519" t="s">
        <v>3528</v>
      </c>
      <c r="U120" s="518">
        <f t="shared" si="6"/>
        <v>24</v>
      </c>
      <c r="V120" s="519" t="s">
        <v>3254</v>
      </c>
      <c r="W120" s="519" t="s">
        <v>3529</v>
      </c>
      <c r="X120" s="491">
        <f t="shared" si="7"/>
        <v>69</v>
      </c>
      <c r="Y120" s="519" t="s">
        <v>3529</v>
      </c>
      <c r="Z120" s="518">
        <f t="shared" si="8"/>
        <v>69</v>
      </c>
      <c r="AA120" s="519" t="s">
        <v>3530</v>
      </c>
      <c r="AB120" s="518">
        <f t="shared" si="9"/>
        <v>25</v>
      </c>
      <c r="AC120" s="519" t="s">
        <v>3257</v>
      </c>
      <c r="AD120" s="518" t="s">
        <v>3531</v>
      </c>
      <c r="AE120" s="520" t="s">
        <v>3532</v>
      </c>
      <c r="AF120" s="504" t="s">
        <v>3279</v>
      </c>
      <c r="AG120" s="494" t="s">
        <v>2917</v>
      </c>
      <c r="AH120" s="494" t="s">
        <v>2917</v>
      </c>
      <c r="AI120" s="505"/>
      <c r="AJ120" s="505"/>
      <c r="AK120" s="521">
        <f>_xll.GetCtData("COAMOUNT","CONSAMOUNT",$B$1:$B$7,$B120,AK$9,"#1802")</f>
        <v>1802</v>
      </c>
    </row>
    <row r="121" spans="2:37" ht="12" customHeight="1">
      <c r="B121" s="453" t="s">
        <v>383</v>
      </c>
      <c r="C121" s="482" t="s">
        <v>2929</v>
      </c>
      <c r="D121" s="483">
        <v>44403</v>
      </c>
      <c r="E121" s="484" t="s">
        <v>2930</v>
      </c>
      <c r="F121" s="485">
        <v>7</v>
      </c>
      <c r="G121" s="547"/>
      <c r="H121" s="547"/>
      <c r="I121" s="547"/>
      <c r="J121" s="547"/>
      <c r="K121" s="547"/>
      <c r="L121" s="547"/>
      <c r="M121" s="548"/>
      <c r="N121" s="517" t="s">
        <v>3533</v>
      </c>
      <c r="O121" s="518">
        <v>10</v>
      </c>
      <c r="P121" s="519" t="s">
        <v>765</v>
      </c>
      <c r="Q121" s="489">
        <v>68</v>
      </c>
      <c r="R121" s="519" t="s">
        <v>765</v>
      </c>
      <c r="S121" s="518">
        <f t="shared" si="5"/>
        <v>68</v>
      </c>
      <c r="T121" s="519" t="s">
        <v>3534</v>
      </c>
      <c r="U121" s="518">
        <f t="shared" si="6"/>
        <v>24</v>
      </c>
      <c r="V121" s="519" t="s">
        <v>3254</v>
      </c>
      <c r="W121" s="519" t="s">
        <v>3535</v>
      </c>
      <c r="X121" s="491">
        <f t="shared" si="7"/>
        <v>78</v>
      </c>
      <c r="Y121" s="519" t="s">
        <v>3535</v>
      </c>
      <c r="Z121" s="518">
        <f t="shared" si="8"/>
        <v>78</v>
      </c>
      <c r="AA121" s="519" t="s">
        <v>3536</v>
      </c>
      <c r="AB121" s="518">
        <f t="shared" si="9"/>
        <v>27</v>
      </c>
      <c r="AC121" s="519" t="s">
        <v>3257</v>
      </c>
      <c r="AD121" s="518" t="s">
        <v>3537</v>
      </c>
      <c r="AE121" s="520" t="s">
        <v>3538</v>
      </c>
      <c r="AF121" s="504" t="s">
        <v>3279</v>
      </c>
      <c r="AG121" s="494" t="s">
        <v>2917</v>
      </c>
      <c r="AH121" s="494" t="s">
        <v>2917</v>
      </c>
      <c r="AI121" s="505"/>
      <c r="AJ121" s="505"/>
      <c r="AK121" s="521">
        <f>_xll.GetCtData("COAMOUNT","CONSAMOUNT",$B$1:$B$7,$B121,AK$9,"#-115")</f>
        <v>-115</v>
      </c>
    </row>
    <row r="122" spans="2:37" ht="12" customHeight="1">
      <c r="B122" s="453" t="s">
        <v>3539</v>
      </c>
      <c r="C122" s="482" t="s">
        <v>2911</v>
      </c>
      <c r="D122" s="483">
        <v>44378</v>
      </c>
      <c r="E122" s="484" t="s">
        <v>2912</v>
      </c>
      <c r="F122" s="485">
        <v>5</v>
      </c>
      <c r="G122" s="482"/>
      <c r="H122" s="567"/>
      <c r="I122" s="567"/>
      <c r="J122" s="567"/>
      <c r="K122" s="567"/>
      <c r="L122" s="568" t="s">
        <v>3540</v>
      </c>
      <c r="M122" s="569"/>
      <c r="N122" s="570"/>
      <c r="O122" s="571">
        <v>8</v>
      </c>
      <c r="P122" s="572" t="s">
        <v>3541</v>
      </c>
      <c r="Q122" s="489">
        <v>53</v>
      </c>
      <c r="R122" s="572" t="s">
        <v>3541</v>
      </c>
      <c r="S122" s="571">
        <f t="shared" si="5"/>
        <v>53</v>
      </c>
      <c r="T122" s="572" t="s">
        <v>3542</v>
      </c>
      <c r="U122" s="571">
        <f t="shared" si="6"/>
        <v>19</v>
      </c>
      <c r="V122" s="573" t="s">
        <v>3254</v>
      </c>
      <c r="W122" s="573" t="s">
        <v>3543</v>
      </c>
      <c r="X122" s="491">
        <f t="shared" si="7"/>
        <v>50</v>
      </c>
      <c r="Y122" s="573" t="s">
        <v>3543</v>
      </c>
      <c r="Z122" s="571">
        <f t="shared" si="8"/>
        <v>50</v>
      </c>
      <c r="AA122" s="573" t="s">
        <v>3544</v>
      </c>
      <c r="AB122" s="571">
        <f t="shared" si="9"/>
        <v>18</v>
      </c>
      <c r="AC122" s="573" t="s">
        <v>3257</v>
      </c>
      <c r="AD122" s="571"/>
      <c r="AE122" s="575"/>
      <c r="AF122" s="504"/>
      <c r="AG122" s="494" t="s">
        <v>2917</v>
      </c>
      <c r="AH122" s="495" t="s">
        <v>2918</v>
      </c>
      <c r="AI122" s="505"/>
      <c r="AJ122" s="505"/>
      <c r="AK122" s="576">
        <f>_xll.GetCtData("COAMOUNT","CONSAMOUNT",$B$1:$B$7,$B122,AK$9,"#")</f>
        <v>0</v>
      </c>
    </row>
    <row r="123" spans="2:37" ht="12" customHeight="1">
      <c r="B123" s="453" t="s">
        <v>384</v>
      </c>
      <c r="C123" s="482" t="s">
        <v>2929</v>
      </c>
      <c r="D123" s="483">
        <v>44403</v>
      </c>
      <c r="E123" s="484" t="s">
        <v>2930</v>
      </c>
      <c r="F123" s="485">
        <v>7</v>
      </c>
      <c r="G123" s="547"/>
      <c r="H123" s="547"/>
      <c r="I123" s="547"/>
      <c r="J123" s="547"/>
      <c r="K123" s="547"/>
      <c r="L123" s="547"/>
      <c r="M123" s="548"/>
      <c r="N123" s="517" t="s">
        <v>3545</v>
      </c>
      <c r="O123" s="518">
        <v>10</v>
      </c>
      <c r="P123" s="519" t="s">
        <v>766</v>
      </c>
      <c r="Q123" s="489">
        <v>75</v>
      </c>
      <c r="R123" s="519" t="s">
        <v>3546</v>
      </c>
      <c r="S123" s="518">
        <f t="shared" si="5"/>
        <v>69</v>
      </c>
      <c r="T123" s="519" t="s">
        <v>3547</v>
      </c>
      <c r="U123" s="518">
        <f t="shared" si="6"/>
        <v>27</v>
      </c>
      <c r="V123" s="519" t="s">
        <v>3254</v>
      </c>
      <c r="W123" s="519" t="s">
        <v>3548</v>
      </c>
      <c r="X123" s="491">
        <f t="shared" si="7"/>
        <v>68</v>
      </c>
      <c r="Y123" s="519" t="s">
        <v>3548</v>
      </c>
      <c r="Z123" s="518">
        <f t="shared" si="8"/>
        <v>68</v>
      </c>
      <c r="AA123" s="519" t="s">
        <v>3549</v>
      </c>
      <c r="AB123" s="518">
        <f t="shared" si="9"/>
        <v>21</v>
      </c>
      <c r="AC123" s="519" t="s">
        <v>3257</v>
      </c>
      <c r="AD123" s="518" t="s">
        <v>3550</v>
      </c>
      <c r="AE123" s="520" t="s">
        <v>3551</v>
      </c>
      <c r="AF123" s="504" t="s">
        <v>3279</v>
      </c>
      <c r="AG123" s="494" t="s">
        <v>2917</v>
      </c>
      <c r="AH123" s="494" t="s">
        <v>2917</v>
      </c>
      <c r="AI123" s="505"/>
      <c r="AJ123" s="505"/>
      <c r="AK123" s="521">
        <f>_xll.GetCtData("COAMOUNT","CONSAMOUNT",$B$1:$B$7,$B123,AK$9,"#")</f>
        <v>0</v>
      </c>
    </row>
    <row r="124" spans="2:37" ht="12" customHeight="1">
      <c r="B124" s="453" t="s">
        <v>385</v>
      </c>
      <c r="C124" s="482" t="s">
        <v>2929</v>
      </c>
      <c r="D124" s="483">
        <v>44403</v>
      </c>
      <c r="E124" s="484" t="s">
        <v>2930</v>
      </c>
      <c r="F124" s="485">
        <v>7</v>
      </c>
      <c r="G124" s="547"/>
      <c r="H124" s="547"/>
      <c r="I124" s="547"/>
      <c r="J124" s="547"/>
      <c r="K124" s="547"/>
      <c r="L124" s="547"/>
      <c r="M124" s="548"/>
      <c r="N124" s="517" t="s">
        <v>3552</v>
      </c>
      <c r="O124" s="518">
        <v>10</v>
      </c>
      <c r="P124" s="519" t="s">
        <v>767</v>
      </c>
      <c r="Q124" s="489">
        <v>94</v>
      </c>
      <c r="R124" s="519" t="s">
        <v>767</v>
      </c>
      <c r="S124" s="518">
        <f t="shared" si="5"/>
        <v>94</v>
      </c>
      <c r="T124" s="519" t="s">
        <v>3553</v>
      </c>
      <c r="U124" s="518">
        <f t="shared" si="6"/>
        <v>27</v>
      </c>
      <c r="V124" s="519" t="s">
        <v>3254</v>
      </c>
      <c r="W124" s="519" t="s">
        <v>3554</v>
      </c>
      <c r="X124" s="491">
        <f t="shared" si="7"/>
        <v>105</v>
      </c>
      <c r="Y124" s="519" t="s">
        <v>3554</v>
      </c>
      <c r="Z124" s="518">
        <f t="shared" si="8"/>
        <v>105</v>
      </c>
      <c r="AA124" s="519" t="s">
        <v>3555</v>
      </c>
      <c r="AB124" s="518">
        <f t="shared" si="9"/>
        <v>22</v>
      </c>
      <c r="AC124" s="519" t="s">
        <v>3257</v>
      </c>
      <c r="AD124" s="518" t="s">
        <v>3556</v>
      </c>
      <c r="AE124" s="520" t="s">
        <v>3557</v>
      </c>
      <c r="AF124" s="504" t="s">
        <v>3279</v>
      </c>
      <c r="AG124" s="494" t="s">
        <v>2917</v>
      </c>
      <c r="AH124" s="494" t="s">
        <v>2917</v>
      </c>
      <c r="AI124" s="505"/>
      <c r="AJ124" s="505"/>
      <c r="AK124" s="521">
        <f>_xll.GetCtData("COAMOUNT","CONSAMOUNT",$B$1:$B$7,$B124,AK$9,"#")</f>
        <v>0</v>
      </c>
    </row>
    <row r="125" spans="2:37" ht="12" customHeight="1">
      <c r="B125" s="453" t="s">
        <v>386</v>
      </c>
      <c r="C125" s="482" t="s">
        <v>2929</v>
      </c>
      <c r="D125" s="483">
        <v>44403</v>
      </c>
      <c r="E125" s="484" t="s">
        <v>2930</v>
      </c>
      <c r="F125" s="485">
        <v>7</v>
      </c>
      <c r="G125" s="547"/>
      <c r="H125" s="547"/>
      <c r="I125" s="547"/>
      <c r="J125" s="547"/>
      <c r="K125" s="547"/>
      <c r="L125" s="547"/>
      <c r="M125" s="548"/>
      <c r="N125" s="517" t="s">
        <v>3558</v>
      </c>
      <c r="O125" s="518">
        <v>10</v>
      </c>
      <c r="P125" s="519" t="s">
        <v>768</v>
      </c>
      <c r="Q125" s="489">
        <v>60</v>
      </c>
      <c r="R125" s="519" t="s">
        <v>768</v>
      </c>
      <c r="S125" s="518">
        <f t="shared" si="5"/>
        <v>60</v>
      </c>
      <c r="T125" s="519" t="s">
        <v>3559</v>
      </c>
      <c r="U125" s="518">
        <f t="shared" si="6"/>
        <v>24</v>
      </c>
      <c r="V125" s="519" t="s">
        <v>3254</v>
      </c>
      <c r="W125" s="519" t="s">
        <v>3560</v>
      </c>
      <c r="X125" s="491">
        <f t="shared" si="7"/>
        <v>69</v>
      </c>
      <c r="Y125" s="519" t="s">
        <v>3560</v>
      </c>
      <c r="Z125" s="518">
        <f t="shared" si="8"/>
        <v>69</v>
      </c>
      <c r="AA125" s="519" t="s">
        <v>3561</v>
      </c>
      <c r="AB125" s="518">
        <f t="shared" si="9"/>
        <v>25</v>
      </c>
      <c r="AC125" s="519" t="s">
        <v>3257</v>
      </c>
      <c r="AD125" s="518" t="s">
        <v>3562</v>
      </c>
      <c r="AE125" s="520" t="s">
        <v>3563</v>
      </c>
      <c r="AF125" s="504" t="s">
        <v>3279</v>
      </c>
      <c r="AG125" s="494" t="s">
        <v>2917</v>
      </c>
      <c r="AH125" s="494" t="s">
        <v>2917</v>
      </c>
      <c r="AI125" s="505"/>
      <c r="AJ125" s="505"/>
      <c r="AK125" s="521">
        <f>_xll.GetCtData("COAMOUNT","CONSAMOUNT",$B$1:$B$7,$B125,AK$9,"#")</f>
        <v>0</v>
      </c>
    </row>
    <row r="126" spans="2:37" ht="12" customHeight="1">
      <c r="B126" s="453" t="s">
        <v>387</v>
      </c>
      <c r="C126" s="482" t="s">
        <v>2929</v>
      </c>
      <c r="D126" s="483">
        <v>44403</v>
      </c>
      <c r="E126" s="484" t="s">
        <v>2930</v>
      </c>
      <c r="F126" s="485">
        <v>7</v>
      </c>
      <c r="G126" s="577"/>
      <c r="H126" s="577"/>
      <c r="I126" s="577"/>
      <c r="J126" s="577"/>
      <c r="K126" s="577"/>
      <c r="L126" s="577"/>
      <c r="M126" s="578"/>
      <c r="N126" s="517" t="s">
        <v>3564</v>
      </c>
      <c r="O126" s="518">
        <v>10</v>
      </c>
      <c r="P126" s="519" t="s">
        <v>769</v>
      </c>
      <c r="Q126" s="489">
        <v>68</v>
      </c>
      <c r="R126" s="519" t="s">
        <v>769</v>
      </c>
      <c r="S126" s="518">
        <f t="shared" si="5"/>
        <v>68</v>
      </c>
      <c r="T126" s="519" t="s">
        <v>3565</v>
      </c>
      <c r="U126" s="518">
        <f t="shared" si="6"/>
        <v>24</v>
      </c>
      <c r="V126" s="519" t="s">
        <v>3254</v>
      </c>
      <c r="W126" s="519" t="s">
        <v>3566</v>
      </c>
      <c r="X126" s="491">
        <f t="shared" si="7"/>
        <v>78</v>
      </c>
      <c r="Y126" s="519" t="s">
        <v>3566</v>
      </c>
      <c r="Z126" s="518">
        <f t="shared" si="8"/>
        <v>78</v>
      </c>
      <c r="AA126" s="519" t="s">
        <v>3567</v>
      </c>
      <c r="AB126" s="518">
        <f t="shared" si="9"/>
        <v>27</v>
      </c>
      <c r="AC126" s="519" t="s">
        <v>3257</v>
      </c>
      <c r="AD126" s="518" t="s">
        <v>3568</v>
      </c>
      <c r="AE126" s="520" t="s">
        <v>3569</v>
      </c>
      <c r="AF126" s="504" t="s">
        <v>3279</v>
      </c>
      <c r="AG126" s="494" t="s">
        <v>2917</v>
      </c>
      <c r="AH126" s="494" t="s">
        <v>2917</v>
      </c>
      <c r="AI126" s="505"/>
      <c r="AJ126" s="505"/>
      <c r="AK126" s="521">
        <f>_xll.GetCtData("COAMOUNT","CONSAMOUNT",$B$1:$B$7,$B126,AK$9,"#")</f>
        <v>0</v>
      </c>
    </row>
    <row r="127" spans="2:37" ht="12" customHeight="1">
      <c r="B127" s="453" t="s">
        <v>3570</v>
      </c>
      <c r="C127" s="482" t="s">
        <v>2911</v>
      </c>
      <c r="D127" s="483">
        <v>44378</v>
      </c>
      <c r="E127" s="484" t="s">
        <v>2912</v>
      </c>
      <c r="F127" s="485">
        <v>5</v>
      </c>
      <c r="G127" s="482"/>
      <c r="H127" s="567"/>
      <c r="I127" s="567"/>
      <c r="J127" s="567"/>
      <c r="K127" s="567"/>
      <c r="L127" s="568" t="s">
        <v>3571</v>
      </c>
      <c r="M127" s="569"/>
      <c r="N127" s="570"/>
      <c r="O127" s="571">
        <v>8</v>
      </c>
      <c r="P127" s="572" t="s">
        <v>3572</v>
      </c>
      <c r="Q127" s="489">
        <v>53</v>
      </c>
      <c r="R127" s="572" t="s">
        <v>3572</v>
      </c>
      <c r="S127" s="571">
        <f t="shared" si="5"/>
        <v>53</v>
      </c>
      <c r="T127" s="572" t="s">
        <v>3573</v>
      </c>
      <c r="U127" s="571">
        <f t="shared" si="6"/>
        <v>19</v>
      </c>
      <c r="V127" s="573" t="s">
        <v>3254</v>
      </c>
      <c r="W127" s="573" t="s">
        <v>3574</v>
      </c>
      <c r="X127" s="491">
        <f t="shared" si="7"/>
        <v>50</v>
      </c>
      <c r="Y127" s="573" t="s">
        <v>3574</v>
      </c>
      <c r="Z127" s="571">
        <f t="shared" si="8"/>
        <v>50</v>
      </c>
      <c r="AA127" s="573" t="s">
        <v>3575</v>
      </c>
      <c r="AB127" s="571">
        <f t="shared" si="9"/>
        <v>18</v>
      </c>
      <c r="AC127" s="573" t="s">
        <v>3257</v>
      </c>
      <c r="AD127" s="571"/>
      <c r="AE127" s="575"/>
      <c r="AF127" s="504"/>
      <c r="AG127" s="494" t="s">
        <v>2917</v>
      </c>
      <c r="AH127" s="495" t="s">
        <v>2918</v>
      </c>
      <c r="AI127" s="505"/>
      <c r="AJ127" s="505"/>
      <c r="AK127" s="576">
        <f>_xll.GetCtData("COAMOUNT","CONSAMOUNT",$B$1:$B$7,$B127,AK$9,"#")</f>
        <v>0</v>
      </c>
    </row>
    <row r="128" spans="2:37" ht="12" customHeight="1">
      <c r="B128" s="453" t="s">
        <v>388</v>
      </c>
      <c r="C128" s="482" t="s">
        <v>2929</v>
      </c>
      <c r="D128" s="483">
        <v>44403</v>
      </c>
      <c r="E128" s="484" t="s">
        <v>2930</v>
      </c>
      <c r="F128" s="485">
        <v>7</v>
      </c>
      <c r="G128" s="547"/>
      <c r="H128" s="547"/>
      <c r="I128" s="547"/>
      <c r="J128" s="547"/>
      <c r="K128" s="547"/>
      <c r="L128" s="547"/>
      <c r="M128" s="548"/>
      <c r="N128" s="517" t="s">
        <v>3576</v>
      </c>
      <c r="O128" s="518">
        <v>10</v>
      </c>
      <c r="P128" s="519" t="s">
        <v>770</v>
      </c>
      <c r="Q128" s="489">
        <v>75</v>
      </c>
      <c r="R128" s="519" t="s">
        <v>3577</v>
      </c>
      <c r="S128" s="518">
        <f t="shared" si="5"/>
        <v>69</v>
      </c>
      <c r="T128" s="519" t="s">
        <v>3578</v>
      </c>
      <c r="U128" s="518">
        <f t="shared" si="6"/>
        <v>27</v>
      </c>
      <c r="V128" s="519" t="s">
        <v>3254</v>
      </c>
      <c r="W128" s="519" t="s">
        <v>3579</v>
      </c>
      <c r="X128" s="491">
        <f t="shared" si="7"/>
        <v>68</v>
      </c>
      <c r="Y128" s="519" t="s">
        <v>3579</v>
      </c>
      <c r="Z128" s="518">
        <f t="shared" si="8"/>
        <v>68</v>
      </c>
      <c r="AA128" s="519" t="s">
        <v>3580</v>
      </c>
      <c r="AB128" s="518">
        <f t="shared" si="9"/>
        <v>21</v>
      </c>
      <c r="AC128" s="519" t="s">
        <v>3257</v>
      </c>
      <c r="AD128" s="518" t="s">
        <v>3581</v>
      </c>
      <c r="AE128" s="520" t="s">
        <v>3582</v>
      </c>
      <c r="AF128" s="504" t="s">
        <v>3342</v>
      </c>
      <c r="AG128" s="494" t="s">
        <v>2917</v>
      </c>
      <c r="AH128" s="494" t="s">
        <v>2917</v>
      </c>
      <c r="AI128" s="505"/>
      <c r="AJ128" s="505"/>
      <c r="AK128" s="521">
        <f>_xll.GetCtData("COAMOUNT","CONSAMOUNT",$B$1:$B$7,$B128,AK$9,"#")</f>
        <v>0</v>
      </c>
    </row>
    <row r="129" spans="2:37" ht="12" customHeight="1">
      <c r="B129" s="453" t="s">
        <v>389</v>
      </c>
      <c r="C129" s="482" t="s">
        <v>2929</v>
      </c>
      <c r="D129" s="483">
        <v>44403</v>
      </c>
      <c r="E129" s="484" t="s">
        <v>2930</v>
      </c>
      <c r="F129" s="485">
        <v>7</v>
      </c>
      <c r="G129" s="547"/>
      <c r="H129" s="547"/>
      <c r="I129" s="547"/>
      <c r="J129" s="547"/>
      <c r="K129" s="547"/>
      <c r="L129" s="547"/>
      <c r="M129" s="548"/>
      <c r="N129" s="517" t="s">
        <v>3583</v>
      </c>
      <c r="O129" s="518">
        <v>10</v>
      </c>
      <c r="P129" s="519" t="s">
        <v>771</v>
      </c>
      <c r="Q129" s="489">
        <v>94</v>
      </c>
      <c r="R129" s="519" t="s">
        <v>771</v>
      </c>
      <c r="S129" s="518">
        <f t="shared" si="5"/>
        <v>94</v>
      </c>
      <c r="T129" s="519" t="s">
        <v>3584</v>
      </c>
      <c r="U129" s="518">
        <f t="shared" si="6"/>
        <v>27</v>
      </c>
      <c r="V129" s="519" t="s">
        <v>3254</v>
      </c>
      <c r="W129" s="519" t="s">
        <v>3585</v>
      </c>
      <c r="X129" s="491">
        <f t="shared" si="7"/>
        <v>105</v>
      </c>
      <c r="Y129" s="519" t="s">
        <v>3585</v>
      </c>
      <c r="Z129" s="518">
        <f t="shared" si="8"/>
        <v>105</v>
      </c>
      <c r="AA129" s="519" t="s">
        <v>3586</v>
      </c>
      <c r="AB129" s="518">
        <f t="shared" si="9"/>
        <v>22</v>
      </c>
      <c r="AC129" s="519" t="s">
        <v>3257</v>
      </c>
      <c r="AD129" s="518" t="s">
        <v>3587</v>
      </c>
      <c r="AE129" s="520" t="s">
        <v>3588</v>
      </c>
      <c r="AF129" s="504" t="s">
        <v>3342</v>
      </c>
      <c r="AG129" s="494" t="s">
        <v>2917</v>
      </c>
      <c r="AH129" s="494" t="s">
        <v>2917</v>
      </c>
      <c r="AI129" s="505"/>
      <c r="AJ129" s="505"/>
      <c r="AK129" s="521">
        <f>_xll.GetCtData("COAMOUNT","CONSAMOUNT",$B$1:$B$7,$B129,AK$9,"#")</f>
        <v>0</v>
      </c>
    </row>
    <row r="130" spans="2:37" ht="12" customHeight="1">
      <c r="B130" s="453" t="s">
        <v>390</v>
      </c>
      <c r="C130" s="482" t="s">
        <v>2929</v>
      </c>
      <c r="D130" s="483">
        <v>44403</v>
      </c>
      <c r="E130" s="484" t="s">
        <v>2930</v>
      </c>
      <c r="F130" s="485">
        <v>7</v>
      </c>
      <c r="G130" s="547"/>
      <c r="H130" s="547"/>
      <c r="I130" s="547"/>
      <c r="J130" s="547"/>
      <c r="K130" s="547"/>
      <c r="L130" s="547"/>
      <c r="M130" s="548"/>
      <c r="N130" s="517" t="s">
        <v>3589</v>
      </c>
      <c r="O130" s="518">
        <v>10</v>
      </c>
      <c r="P130" s="519" t="s">
        <v>772</v>
      </c>
      <c r="Q130" s="489">
        <v>60</v>
      </c>
      <c r="R130" s="519" t="s">
        <v>772</v>
      </c>
      <c r="S130" s="518">
        <f t="shared" si="5"/>
        <v>60</v>
      </c>
      <c r="T130" s="519" t="s">
        <v>3590</v>
      </c>
      <c r="U130" s="518">
        <f t="shared" si="6"/>
        <v>24</v>
      </c>
      <c r="V130" s="519" t="s">
        <v>3254</v>
      </c>
      <c r="W130" s="519" t="s">
        <v>3591</v>
      </c>
      <c r="X130" s="491">
        <f t="shared" si="7"/>
        <v>69</v>
      </c>
      <c r="Y130" s="519" t="s">
        <v>3591</v>
      </c>
      <c r="Z130" s="518">
        <f t="shared" si="8"/>
        <v>69</v>
      </c>
      <c r="AA130" s="519" t="s">
        <v>3592</v>
      </c>
      <c r="AB130" s="518">
        <f t="shared" si="9"/>
        <v>25</v>
      </c>
      <c r="AC130" s="519" t="s">
        <v>3257</v>
      </c>
      <c r="AD130" s="518" t="s">
        <v>3593</v>
      </c>
      <c r="AE130" s="520" t="s">
        <v>3594</v>
      </c>
      <c r="AF130" s="504" t="s">
        <v>3342</v>
      </c>
      <c r="AG130" s="494" t="s">
        <v>2917</v>
      </c>
      <c r="AH130" s="494" t="s">
        <v>2917</v>
      </c>
      <c r="AI130" s="505"/>
      <c r="AJ130" s="505"/>
      <c r="AK130" s="521">
        <f>_xll.GetCtData("COAMOUNT","CONSAMOUNT",$B$1:$B$7,$B130,AK$9,"#")</f>
        <v>0</v>
      </c>
    </row>
    <row r="131" spans="2:37" ht="12" customHeight="1">
      <c r="B131" s="453" t="s">
        <v>391</v>
      </c>
      <c r="C131" s="482" t="s">
        <v>2929</v>
      </c>
      <c r="D131" s="483">
        <v>44403</v>
      </c>
      <c r="E131" s="484" t="s">
        <v>2930</v>
      </c>
      <c r="F131" s="485">
        <v>7</v>
      </c>
      <c r="G131" s="577"/>
      <c r="H131" s="577"/>
      <c r="I131" s="577"/>
      <c r="J131" s="577"/>
      <c r="K131" s="577"/>
      <c r="L131" s="577"/>
      <c r="M131" s="578"/>
      <c r="N131" s="517" t="s">
        <v>3595</v>
      </c>
      <c r="O131" s="518">
        <v>10</v>
      </c>
      <c r="P131" s="519" t="s">
        <v>773</v>
      </c>
      <c r="Q131" s="489">
        <v>68</v>
      </c>
      <c r="R131" s="519" t="s">
        <v>773</v>
      </c>
      <c r="S131" s="518">
        <f t="shared" si="5"/>
        <v>68</v>
      </c>
      <c r="T131" s="519" t="s">
        <v>3596</v>
      </c>
      <c r="U131" s="518">
        <f t="shared" si="6"/>
        <v>24</v>
      </c>
      <c r="V131" s="519" t="s">
        <v>3254</v>
      </c>
      <c r="W131" s="519" t="s">
        <v>3597</v>
      </c>
      <c r="X131" s="491">
        <f t="shared" si="7"/>
        <v>78</v>
      </c>
      <c r="Y131" s="519" t="s">
        <v>3597</v>
      </c>
      <c r="Z131" s="518">
        <f t="shared" si="8"/>
        <v>78</v>
      </c>
      <c r="AA131" s="519" t="s">
        <v>3598</v>
      </c>
      <c r="AB131" s="518">
        <f t="shared" si="9"/>
        <v>27</v>
      </c>
      <c r="AC131" s="519" t="s">
        <v>3257</v>
      </c>
      <c r="AD131" s="518" t="s">
        <v>3599</v>
      </c>
      <c r="AE131" s="520" t="s">
        <v>3600</v>
      </c>
      <c r="AF131" s="504" t="s">
        <v>3342</v>
      </c>
      <c r="AG131" s="494" t="s">
        <v>2917</v>
      </c>
      <c r="AH131" s="494" t="s">
        <v>2917</v>
      </c>
      <c r="AI131" s="505"/>
      <c r="AJ131" s="505"/>
      <c r="AK131" s="521">
        <f>_xll.GetCtData("COAMOUNT","CONSAMOUNT",$B$1:$B$7,$B131,AK$9,"#")</f>
        <v>0</v>
      </c>
    </row>
    <row r="132" spans="2:37" ht="12" customHeight="1">
      <c r="B132" s="453" t="s">
        <v>3601</v>
      </c>
      <c r="C132" s="482" t="s">
        <v>2911</v>
      </c>
      <c r="D132" s="483">
        <v>44378</v>
      </c>
      <c r="E132" s="484" t="s">
        <v>2912</v>
      </c>
      <c r="F132" s="485">
        <v>5</v>
      </c>
      <c r="G132" s="482"/>
      <c r="H132" s="567"/>
      <c r="I132" s="567"/>
      <c r="J132" s="567"/>
      <c r="K132" s="567"/>
      <c r="L132" s="568" t="s">
        <v>3602</v>
      </c>
      <c r="M132" s="569"/>
      <c r="N132" s="570"/>
      <c r="O132" s="571">
        <v>8</v>
      </c>
      <c r="P132" s="572" t="s">
        <v>3603</v>
      </c>
      <c r="Q132" s="489">
        <v>55</v>
      </c>
      <c r="R132" s="572" t="s">
        <v>3603</v>
      </c>
      <c r="S132" s="571">
        <f t="shared" si="5"/>
        <v>55</v>
      </c>
      <c r="T132" s="572" t="s">
        <v>3604</v>
      </c>
      <c r="U132" s="571">
        <f t="shared" si="6"/>
        <v>21</v>
      </c>
      <c r="V132" s="573" t="s">
        <v>3254</v>
      </c>
      <c r="W132" s="573" t="s">
        <v>3605</v>
      </c>
      <c r="X132" s="491">
        <f t="shared" si="7"/>
        <v>52</v>
      </c>
      <c r="Y132" s="573" t="s">
        <v>3605</v>
      </c>
      <c r="Z132" s="571">
        <f t="shared" si="8"/>
        <v>52</v>
      </c>
      <c r="AA132" s="573" t="s">
        <v>3606</v>
      </c>
      <c r="AB132" s="571">
        <f t="shared" si="9"/>
        <v>20</v>
      </c>
      <c r="AC132" s="573" t="s">
        <v>3257</v>
      </c>
      <c r="AD132" s="571"/>
      <c r="AE132" s="575"/>
      <c r="AF132" s="504"/>
      <c r="AG132" s="494" t="s">
        <v>2917</v>
      </c>
      <c r="AH132" s="495" t="s">
        <v>2918</v>
      </c>
      <c r="AI132" s="505"/>
      <c r="AJ132" s="505"/>
      <c r="AK132" s="576">
        <f>_xll.GetCtData("COAMOUNT","CONSAMOUNT",$B$1:$B$7,$B132,AK$9,"#")</f>
        <v>0</v>
      </c>
    </row>
    <row r="133" spans="2:37" ht="12" customHeight="1">
      <c r="B133" s="453" t="s">
        <v>392</v>
      </c>
      <c r="C133" s="482" t="s">
        <v>2929</v>
      </c>
      <c r="D133" s="483">
        <v>44403</v>
      </c>
      <c r="E133" s="484" t="s">
        <v>2930</v>
      </c>
      <c r="F133" s="485">
        <v>7</v>
      </c>
      <c r="G133" s="577"/>
      <c r="H133" s="577"/>
      <c r="I133" s="577"/>
      <c r="J133" s="577"/>
      <c r="K133" s="577"/>
      <c r="L133" s="577"/>
      <c r="M133" s="578"/>
      <c r="N133" s="517" t="s">
        <v>3607</v>
      </c>
      <c r="O133" s="518">
        <v>10</v>
      </c>
      <c r="P133" s="519" t="s">
        <v>774</v>
      </c>
      <c r="Q133" s="489">
        <v>78</v>
      </c>
      <c r="R133" s="519" t="s">
        <v>3608</v>
      </c>
      <c r="S133" s="518">
        <f t="shared" si="5"/>
        <v>71</v>
      </c>
      <c r="T133" s="519" t="s">
        <v>3609</v>
      </c>
      <c r="U133" s="518">
        <f t="shared" si="6"/>
        <v>29</v>
      </c>
      <c r="V133" s="519" t="s">
        <v>3254</v>
      </c>
      <c r="W133" s="519" t="s">
        <v>3610</v>
      </c>
      <c r="X133" s="491">
        <f t="shared" si="7"/>
        <v>70</v>
      </c>
      <c r="Y133" s="519" t="s">
        <v>3610</v>
      </c>
      <c r="Z133" s="518">
        <f t="shared" si="8"/>
        <v>70</v>
      </c>
      <c r="AA133" s="519" t="s">
        <v>3611</v>
      </c>
      <c r="AB133" s="518">
        <f t="shared" si="9"/>
        <v>23</v>
      </c>
      <c r="AC133" s="519" t="s">
        <v>3257</v>
      </c>
      <c r="AD133" s="518" t="s">
        <v>3581</v>
      </c>
      <c r="AE133" s="520" t="s">
        <v>3582</v>
      </c>
      <c r="AF133" s="504" t="s">
        <v>2939</v>
      </c>
      <c r="AG133" s="494" t="s">
        <v>2917</v>
      </c>
      <c r="AH133" s="494" t="s">
        <v>2917</v>
      </c>
      <c r="AI133" s="505"/>
      <c r="AJ133" s="505"/>
      <c r="AK133" s="521">
        <f>_xll.GetCtData("COAMOUNT","CONSAMOUNT",$B$1:$B$7,$B133,AK$9,"#")</f>
        <v>0</v>
      </c>
    </row>
    <row r="134" spans="2:37" ht="12" customHeight="1">
      <c r="B134" s="453" t="s">
        <v>393</v>
      </c>
      <c r="C134" s="482" t="s">
        <v>2929</v>
      </c>
      <c r="D134" s="483">
        <v>44403</v>
      </c>
      <c r="E134" s="484" t="s">
        <v>2930</v>
      </c>
      <c r="F134" s="485">
        <v>7</v>
      </c>
      <c r="G134" s="577"/>
      <c r="H134" s="577"/>
      <c r="I134" s="577"/>
      <c r="J134" s="577"/>
      <c r="K134" s="577"/>
      <c r="L134" s="577"/>
      <c r="M134" s="578"/>
      <c r="N134" s="517" t="s">
        <v>3612</v>
      </c>
      <c r="O134" s="518">
        <v>10</v>
      </c>
      <c r="P134" s="519" t="s">
        <v>775</v>
      </c>
      <c r="Q134" s="489">
        <v>96</v>
      </c>
      <c r="R134" s="519" t="s">
        <v>775</v>
      </c>
      <c r="S134" s="518">
        <f t="shared" si="5"/>
        <v>96</v>
      </c>
      <c r="T134" s="519" t="s">
        <v>3613</v>
      </c>
      <c r="U134" s="518">
        <f t="shared" si="6"/>
        <v>28</v>
      </c>
      <c r="V134" s="519" t="s">
        <v>3254</v>
      </c>
      <c r="W134" s="519" t="s">
        <v>3614</v>
      </c>
      <c r="X134" s="491">
        <f t="shared" si="7"/>
        <v>107</v>
      </c>
      <c r="Y134" s="519" t="s">
        <v>3614</v>
      </c>
      <c r="Z134" s="518">
        <f t="shared" si="8"/>
        <v>107</v>
      </c>
      <c r="AA134" s="519" t="s">
        <v>3615</v>
      </c>
      <c r="AB134" s="518">
        <f t="shared" si="9"/>
        <v>24</v>
      </c>
      <c r="AC134" s="519" t="s">
        <v>3257</v>
      </c>
      <c r="AD134" s="518" t="s">
        <v>3587</v>
      </c>
      <c r="AE134" s="520" t="s">
        <v>3588</v>
      </c>
      <c r="AF134" s="504" t="s">
        <v>2939</v>
      </c>
      <c r="AG134" s="494" t="s">
        <v>2917</v>
      </c>
      <c r="AH134" s="494" t="s">
        <v>2917</v>
      </c>
      <c r="AI134" s="505"/>
      <c r="AJ134" s="505"/>
      <c r="AK134" s="521">
        <f>_xll.GetCtData("COAMOUNT","CONSAMOUNT",$B$1:$B$7,$B134,AK$9,"#")</f>
        <v>0</v>
      </c>
    </row>
    <row r="135" spans="2:37" ht="12" customHeight="1">
      <c r="B135" s="453" t="s">
        <v>394</v>
      </c>
      <c r="C135" s="482" t="s">
        <v>2929</v>
      </c>
      <c r="D135" s="483">
        <v>44403</v>
      </c>
      <c r="E135" s="484" t="s">
        <v>2930</v>
      </c>
      <c r="F135" s="485">
        <v>7</v>
      </c>
      <c r="G135" s="577"/>
      <c r="H135" s="577"/>
      <c r="I135" s="577"/>
      <c r="J135" s="577"/>
      <c r="K135" s="577"/>
      <c r="L135" s="577"/>
      <c r="M135" s="578"/>
      <c r="N135" s="517" t="s">
        <v>3616</v>
      </c>
      <c r="O135" s="518">
        <v>10</v>
      </c>
      <c r="P135" s="519" t="s">
        <v>776</v>
      </c>
      <c r="Q135" s="489">
        <v>62</v>
      </c>
      <c r="R135" s="519" t="s">
        <v>776</v>
      </c>
      <c r="S135" s="518">
        <f t="shared" si="5"/>
        <v>62</v>
      </c>
      <c r="T135" s="519" t="s">
        <v>3617</v>
      </c>
      <c r="U135" s="518">
        <f t="shared" si="6"/>
        <v>25</v>
      </c>
      <c r="V135" s="519" t="s">
        <v>3254</v>
      </c>
      <c r="W135" s="519" t="s">
        <v>3618</v>
      </c>
      <c r="X135" s="491">
        <f t="shared" si="7"/>
        <v>71</v>
      </c>
      <c r="Y135" s="519" t="s">
        <v>3618</v>
      </c>
      <c r="Z135" s="518">
        <f t="shared" si="8"/>
        <v>71</v>
      </c>
      <c r="AA135" s="519" t="s">
        <v>3619</v>
      </c>
      <c r="AB135" s="518">
        <f t="shared" si="9"/>
        <v>28</v>
      </c>
      <c r="AC135" s="519" t="s">
        <v>3257</v>
      </c>
      <c r="AD135" s="518" t="s">
        <v>3593</v>
      </c>
      <c r="AE135" s="520" t="s">
        <v>3594</v>
      </c>
      <c r="AF135" s="504" t="s">
        <v>2939</v>
      </c>
      <c r="AG135" s="494" t="s">
        <v>2917</v>
      </c>
      <c r="AH135" s="494" t="s">
        <v>2917</v>
      </c>
      <c r="AI135" s="505"/>
      <c r="AJ135" s="505"/>
      <c r="AK135" s="521">
        <f>_xll.GetCtData("COAMOUNT","CONSAMOUNT",$B$1:$B$7,$B135,AK$9,"#")</f>
        <v>0</v>
      </c>
    </row>
    <row r="136" spans="2:37" ht="12" customHeight="1">
      <c r="B136" s="453" t="s">
        <v>395</v>
      </c>
      <c r="C136" s="482" t="s">
        <v>2929</v>
      </c>
      <c r="D136" s="483">
        <v>44403</v>
      </c>
      <c r="E136" s="484" t="s">
        <v>2930</v>
      </c>
      <c r="F136" s="485">
        <v>7</v>
      </c>
      <c r="G136" s="577"/>
      <c r="H136" s="577"/>
      <c r="I136" s="577"/>
      <c r="J136" s="577"/>
      <c r="K136" s="577"/>
      <c r="L136" s="577"/>
      <c r="M136" s="578"/>
      <c r="N136" s="517" t="s">
        <v>3620</v>
      </c>
      <c r="O136" s="518">
        <v>10</v>
      </c>
      <c r="P136" s="519" t="s">
        <v>777</v>
      </c>
      <c r="Q136" s="489">
        <v>70</v>
      </c>
      <c r="R136" s="519" t="s">
        <v>777</v>
      </c>
      <c r="S136" s="518">
        <f t="shared" si="5"/>
        <v>70</v>
      </c>
      <c r="T136" s="519" t="s">
        <v>3621</v>
      </c>
      <c r="U136" s="518">
        <f t="shared" si="6"/>
        <v>25</v>
      </c>
      <c r="V136" s="519" t="s">
        <v>3254</v>
      </c>
      <c r="W136" s="519" t="s">
        <v>3622</v>
      </c>
      <c r="X136" s="491">
        <f t="shared" si="7"/>
        <v>80</v>
      </c>
      <c r="Y136" s="519" t="s">
        <v>3622</v>
      </c>
      <c r="Z136" s="518">
        <f t="shared" si="8"/>
        <v>80</v>
      </c>
      <c r="AA136" s="519" t="s">
        <v>3623</v>
      </c>
      <c r="AB136" s="518">
        <f t="shared" si="9"/>
        <v>29</v>
      </c>
      <c r="AC136" s="519" t="s">
        <v>3257</v>
      </c>
      <c r="AD136" s="518" t="s">
        <v>3599</v>
      </c>
      <c r="AE136" s="520" t="s">
        <v>3600</v>
      </c>
      <c r="AF136" s="504" t="s">
        <v>2939</v>
      </c>
      <c r="AG136" s="494" t="s">
        <v>2917</v>
      </c>
      <c r="AH136" s="494" t="s">
        <v>2917</v>
      </c>
      <c r="AI136" s="505"/>
      <c r="AJ136" s="505"/>
      <c r="AK136" s="521">
        <f>_xll.GetCtData("COAMOUNT","CONSAMOUNT",$B$1:$B$7,$B136,AK$9,"#")</f>
        <v>0</v>
      </c>
    </row>
    <row r="137" spans="2:37" ht="12" customHeight="1">
      <c r="B137" s="453" t="s">
        <v>1152</v>
      </c>
      <c r="C137" s="482" t="s">
        <v>2911</v>
      </c>
      <c r="D137" s="483">
        <v>44378</v>
      </c>
      <c r="E137" s="484" t="s">
        <v>2912</v>
      </c>
      <c r="F137" s="485">
        <v>4</v>
      </c>
      <c r="G137" s="482"/>
      <c r="H137" s="507"/>
      <c r="I137" s="507"/>
      <c r="J137" s="507"/>
      <c r="K137" s="564" t="s">
        <v>3624</v>
      </c>
      <c r="L137" s="564"/>
      <c r="M137" s="565"/>
      <c r="N137" s="566"/>
      <c r="O137" s="558">
        <v>7</v>
      </c>
      <c r="P137" s="559" t="s">
        <v>2585</v>
      </c>
      <c r="Q137" s="489">
        <v>30</v>
      </c>
      <c r="R137" s="559" t="s">
        <v>2585</v>
      </c>
      <c r="S137" s="558">
        <f t="shared" si="5"/>
        <v>30</v>
      </c>
      <c r="T137" s="559" t="s">
        <v>3625</v>
      </c>
      <c r="U137" s="558">
        <f t="shared" si="6"/>
        <v>18</v>
      </c>
      <c r="V137" s="560" t="s">
        <v>3254</v>
      </c>
      <c r="W137" s="560" t="s">
        <v>3626</v>
      </c>
      <c r="X137" s="491">
        <f t="shared" si="7"/>
        <v>35</v>
      </c>
      <c r="Y137" s="560" t="s">
        <v>3626</v>
      </c>
      <c r="Z137" s="558">
        <f t="shared" si="8"/>
        <v>35</v>
      </c>
      <c r="AA137" s="560" t="s">
        <v>3627</v>
      </c>
      <c r="AB137" s="558">
        <f t="shared" si="9"/>
        <v>13</v>
      </c>
      <c r="AC137" s="560" t="s">
        <v>3257</v>
      </c>
      <c r="AD137" s="558"/>
      <c r="AE137" s="562"/>
      <c r="AF137" s="504"/>
      <c r="AG137" s="494" t="s">
        <v>2917</v>
      </c>
      <c r="AH137" s="495" t="s">
        <v>2918</v>
      </c>
      <c r="AI137" s="505"/>
      <c r="AJ137" s="505"/>
      <c r="AK137" s="563">
        <f>_xll.GetCtData("COAMOUNT","CONSAMOUNT",$B$1:$B$7,$B137,AK$9,"#1001")</f>
        <v>1001</v>
      </c>
    </row>
    <row r="138" spans="2:37" ht="12" customHeight="1">
      <c r="B138" s="453" t="s">
        <v>3628</v>
      </c>
      <c r="C138" s="482" t="s">
        <v>2911</v>
      </c>
      <c r="D138" s="483">
        <v>44378</v>
      </c>
      <c r="E138" s="484" t="s">
        <v>2912</v>
      </c>
      <c r="F138" s="485">
        <v>5</v>
      </c>
      <c r="G138" s="482"/>
      <c r="H138" s="567"/>
      <c r="I138" s="567"/>
      <c r="J138" s="567"/>
      <c r="K138" s="567"/>
      <c r="L138" s="568" t="s">
        <v>3629</v>
      </c>
      <c r="M138" s="569"/>
      <c r="N138" s="570"/>
      <c r="O138" s="571">
        <v>8</v>
      </c>
      <c r="P138" s="572" t="s">
        <v>3630</v>
      </c>
      <c r="Q138" s="489">
        <v>35</v>
      </c>
      <c r="R138" s="572" t="s">
        <v>3630</v>
      </c>
      <c r="S138" s="571">
        <f t="shared" si="5"/>
        <v>35</v>
      </c>
      <c r="T138" s="572" t="s">
        <v>3631</v>
      </c>
      <c r="U138" s="571">
        <f t="shared" si="6"/>
        <v>18</v>
      </c>
      <c r="V138" s="573" t="s">
        <v>3254</v>
      </c>
      <c r="W138" s="573" t="s">
        <v>3632</v>
      </c>
      <c r="X138" s="491">
        <f t="shared" si="7"/>
        <v>40</v>
      </c>
      <c r="Y138" s="573" t="s">
        <v>3632</v>
      </c>
      <c r="Z138" s="571">
        <f t="shared" si="8"/>
        <v>40</v>
      </c>
      <c r="AA138" s="573" t="s">
        <v>3633</v>
      </c>
      <c r="AB138" s="571">
        <f t="shared" si="9"/>
        <v>16</v>
      </c>
      <c r="AC138" s="573" t="s">
        <v>3257</v>
      </c>
      <c r="AD138" s="571"/>
      <c r="AE138" s="575"/>
      <c r="AF138" s="504"/>
      <c r="AG138" s="494" t="s">
        <v>2917</v>
      </c>
      <c r="AH138" s="495" t="s">
        <v>2918</v>
      </c>
      <c r="AI138" s="505"/>
      <c r="AJ138" s="505"/>
      <c r="AK138" s="576">
        <f>_xll.GetCtData("COAMOUNT","CONSAMOUNT",$B$1:$B$7,$B138,AK$9,"#1001")</f>
        <v>1001</v>
      </c>
    </row>
    <row r="139" spans="2:37" ht="12" customHeight="1">
      <c r="B139" s="453" t="s">
        <v>396</v>
      </c>
      <c r="C139" s="482" t="s">
        <v>2929</v>
      </c>
      <c r="D139" s="483">
        <v>44403</v>
      </c>
      <c r="E139" s="484" t="s">
        <v>2930</v>
      </c>
      <c r="F139" s="485">
        <v>7</v>
      </c>
      <c r="G139" s="547"/>
      <c r="H139" s="547"/>
      <c r="I139" s="547"/>
      <c r="J139" s="547"/>
      <c r="K139" s="547"/>
      <c r="L139" s="547"/>
      <c r="M139" s="548"/>
      <c r="N139" s="517" t="s">
        <v>3634</v>
      </c>
      <c r="O139" s="518">
        <v>10</v>
      </c>
      <c r="P139" s="519" t="s">
        <v>778</v>
      </c>
      <c r="Q139" s="489">
        <v>58</v>
      </c>
      <c r="R139" s="519" t="s">
        <v>3635</v>
      </c>
      <c r="S139" s="518">
        <f t="shared" si="5"/>
        <v>51</v>
      </c>
      <c r="T139" s="519" t="s">
        <v>3636</v>
      </c>
      <c r="U139" s="518">
        <f t="shared" si="6"/>
        <v>25</v>
      </c>
      <c r="V139" s="519" t="s">
        <v>3254</v>
      </c>
      <c r="W139" s="519" t="s">
        <v>3637</v>
      </c>
      <c r="X139" s="491">
        <f t="shared" si="7"/>
        <v>58</v>
      </c>
      <c r="Y139" s="519" t="s">
        <v>3637</v>
      </c>
      <c r="Z139" s="518">
        <f t="shared" si="8"/>
        <v>58</v>
      </c>
      <c r="AA139" s="519" t="s">
        <v>3638</v>
      </c>
      <c r="AB139" s="518">
        <f t="shared" si="9"/>
        <v>19</v>
      </c>
      <c r="AC139" s="519" t="s">
        <v>3257</v>
      </c>
      <c r="AD139" s="518" t="s">
        <v>3639</v>
      </c>
      <c r="AE139" s="520" t="s">
        <v>3640</v>
      </c>
      <c r="AF139" s="504" t="s">
        <v>3279</v>
      </c>
      <c r="AG139" s="494" t="s">
        <v>2917</v>
      </c>
      <c r="AH139" s="494" t="s">
        <v>2917</v>
      </c>
      <c r="AI139" s="505"/>
      <c r="AJ139" s="505"/>
      <c r="AK139" s="521">
        <f>_xll.GetCtData("COAMOUNT","CONSAMOUNT",$B$1:$B$7,$B139,AK$9,"#1001")</f>
        <v>1001</v>
      </c>
    </row>
    <row r="140" spans="2:37" ht="12" customHeight="1">
      <c r="B140" s="453" t="s">
        <v>397</v>
      </c>
      <c r="C140" s="482" t="s">
        <v>2929</v>
      </c>
      <c r="D140" s="483">
        <v>44403</v>
      </c>
      <c r="E140" s="484" t="s">
        <v>2930</v>
      </c>
      <c r="F140" s="485">
        <v>7</v>
      </c>
      <c r="G140" s="547"/>
      <c r="H140" s="547"/>
      <c r="I140" s="547"/>
      <c r="J140" s="547"/>
      <c r="K140" s="547"/>
      <c r="L140" s="547"/>
      <c r="M140" s="548"/>
      <c r="N140" s="517" t="s">
        <v>3641</v>
      </c>
      <c r="O140" s="518">
        <v>10</v>
      </c>
      <c r="P140" s="519" t="s">
        <v>779</v>
      </c>
      <c r="Q140" s="489">
        <v>76</v>
      </c>
      <c r="R140" s="519" t="s">
        <v>779</v>
      </c>
      <c r="S140" s="518">
        <f t="shared" ref="S140:S203" si="10">LEN(R140)</f>
        <v>76</v>
      </c>
      <c r="T140" s="519" t="s">
        <v>3642</v>
      </c>
      <c r="U140" s="518">
        <f t="shared" ref="U140:U203" si="11">LEN(T140)</f>
        <v>27</v>
      </c>
      <c r="V140" s="519" t="s">
        <v>3254</v>
      </c>
      <c r="W140" s="519" t="s">
        <v>3643</v>
      </c>
      <c r="X140" s="491">
        <f t="shared" ref="X140:X203" si="12">LEN(W140)</f>
        <v>95</v>
      </c>
      <c r="Y140" s="519" t="s">
        <v>3643</v>
      </c>
      <c r="Z140" s="518">
        <f t="shared" ref="Z140:Z203" si="13">LEN(Y140)</f>
        <v>95</v>
      </c>
      <c r="AA140" s="519" t="s">
        <v>3644</v>
      </c>
      <c r="AB140" s="518">
        <f t="shared" ref="AB140:AB203" si="14">LEN(AA140)</f>
        <v>20</v>
      </c>
      <c r="AC140" s="519" t="s">
        <v>3257</v>
      </c>
      <c r="AD140" s="518" t="s">
        <v>3639</v>
      </c>
      <c r="AE140" s="520" t="s">
        <v>3640</v>
      </c>
      <c r="AF140" s="504" t="s">
        <v>3279</v>
      </c>
      <c r="AG140" s="494" t="s">
        <v>2917</v>
      </c>
      <c r="AH140" s="494" t="s">
        <v>2917</v>
      </c>
      <c r="AI140" s="505"/>
      <c r="AJ140" s="505"/>
      <c r="AK140" s="521">
        <f>_xll.GetCtData("COAMOUNT","CONSAMOUNT",$B$1:$B$7,$B140,AK$9,"#")</f>
        <v>0</v>
      </c>
    </row>
    <row r="141" spans="2:37" ht="12" customHeight="1">
      <c r="B141" s="453" t="s">
        <v>398</v>
      </c>
      <c r="C141" s="482" t="s">
        <v>2929</v>
      </c>
      <c r="D141" s="483">
        <v>44403</v>
      </c>
      <c r="E141" s="484" t="s">
        <v>2930</v>
      </c>
      <c r="F141" s="485">
        <v>7</v>
      </c>
      <c r="G141" s="547"/>
      <c r="H141" s="547"/>
      <c r="I141" s="547"/>
      <c r="J141" s="547"/>
      <c r="K141" s="547"/>
      <c r="L141" s="547"/>
      <c r="M141" s="548"/>
      <c r="N141" s="517" t="s">
        <v>3645</v>
      </c>
      <c r="O141" s="518">
        <v>10</v>
      </c>
      <c r="P141" s="519" t="s">
        <v>780</v>
      </c>
      <c r="Q141" s="489">
        <v>42</v>
      </c>
      <c r="R141" s="519" t="s">
        <v>780</v>
      </c>
      <c r="S141" s="518">
        <f t="shared" si="10"/>
        <v>42</v>
      </c>
      <c r="T141" s="519" t="s">
        <v>3646</v>
      </c>
      <c r="U141" s="518">
        <f t="shared" si="11"/>
        <v>23</v>
      </c>
      <c r="V141" s="519" t="s">
        <v>3254</v>
      </c>
      <c r="W141" s="519" t="s">
        <v>3647</v>
      </c>
      <c r="X141" s="491">
        <f t="shared" si="12"/>
        <v>59</v>
      </c>
      <c r="Y141" s="519" t="s">
        <v>3647</v>
      </c>
      <c r="Z141" s="518">
        <f t="shared" si="13"/>
        <v>59</v>
      </c>
      <c r="AA141" s="519" t="s">
        <v>3648</v>
      </c>
      <c r="AB141" s="518">
        <f t="shared" si="14"/>
        <v>24</v>
      </c>
      <c r="AC141" s="519" t="s">
        <v>3257</v>
      </c>
      <c r="AD141" s="518" t="s">
        <v>3639</v>
      </c>
      <c r="AE141" s="520" t="s">
        <v>3640</v>
      </c>
      <c r="AF141" s="504" t="s">
        <v>3279</v>
      </c>
      <c r="AG141" s="494" t="s">
        <v>2917</v>
      </c>
      <c r="AH141" s="494" t="s">
        <v>2917</v>
      </c>
      <c r="AI141" s="505"/>
      <c r="AJ141" s="505"/>
      <c r="AK141" s="521">
        <f>_xll.GetCtData("COAMOUNT","CONSAMOUNT",$B$1:$B$7,$B141,AK$9,"#")</f>
        <v>0</v>
      </c>
    </row>
    <row r="142" spans="2:37" ht="12" customHeight="1">
      <c r="B142" s="453" t="s">
        <v>399</v>
      </c>
      <c r="C142" s="482" t="s">
        <v>2929</v>
      </c>
      <c r="D142" s="483">
        <v>44403</v>
      </c>
      <c r="E142" s="484" t="s">
        <v>2930</v>
      </c>
      <c r="F142" s="485">
        <v>7</v>
      </c>
      <c r="G142" s="547"/>
      <c r="H142" s="547"/>
      <c r="I142" s="547"/>
      <c r="J142" s="547"/>
      <c r="K142" s="547"/>
      <c r="L142" s="547"/>
      <c r="M142" s="548"/>
      <c r="N142" s="517" t="s">
        <v>3649</v>
      </c>
      <c r="O142" s="518">
        <v>10</v>
      </c>
      <c r="P142" s="519" t="s">
        <v>781</v>
      </c>
      <c r="Q142" s="489">
        <v>50</v>
      </c>
      <c r="R142" s="519" t="s">
        <v>781</v>
      </c>
      <c r="S142" s="518">
        <f t="shared" si="10"/>
        <v>50</v>
      </c>
      <c r="T142" s="519" t="s">
        <v>3650</v>
      </c>
      <c r="U142" s="518">
        <f t="shared" si="11"/>
        <v>23</v>
      </c>
      <c r="V142" s="519" t="s">
        <v>3254</v>
      </c>
      <c r="W142" s="519" t="s">
        <v>3651</v>
      </c>
      <c r="X142" s="491">
        <f t="shared" si="12"/>
        <v>68</v>
      </c>
      <c r="Y142" s="519" t="s">
        <v>3651</v>
      </c>
      <c r="Z142" s="518">
        <f t="shared" si="13"/>
        <v>68</v>
      </c>
      <c r="AA142" s="519" t="s">
        <v>3652</v>
      </c>
      <c r="AB142" s="518">
        <f t="shared" si="14"/>
        <v>25</v>
      </c>
      <c r="AC142" s="519" t="s">
        <v>3257</v>
      </c>
      <c r="AD142" s="518" t="s">
        <v>3639</v>
      </c>
      <c r="AE142" s="520" t="s">
        <v>3640</v>
      </c>
      <c r="AF142" s="504" t="s">
        <v>3279</v>
      </c>
      <c r="AG142" s="494" t="s">
        <v>2917</v>
      </c>
      <c r="AH142" s="494" t="s">
        <v>2917</v>
      </c>
      <c r="AI142" s="505"/>
      <c r="AJ142" s="505"/>
      <c r="AK142" s="521">
        <f>_xll.GetCtData("COAMOUNT","CONSAMOUNT",$B$1:$B$7,$B142,AK$9,"#0")</f>
        <v>0</v>
      </c>
    </row>
    <row r="143" spans="2:37" ht="12" customHeight="1">
      <c r="B143" s="453" t="s">
        <v>3653</v>
      </c>
      <c r="C143" s="482" t="s">
        <v>2911</v>
      </c>
      <c r="D143" s="483">
        <v>44378</v>
      </c>
      <c r="E143" s="484" t="s">
        <v>2912</v>
      </c>
      <c r="F143" s="485">
        <v>5</v>
      </c>
      <c r="G143" s="482"/>
      <c r="H143" s="567"/>
      <c r="I143" s="567"/>
      <c r="J143" s="567"/>
      <c r="K143" s="567"/>
      <c r="L143" s="568" t="s">
        <v>3654</v>
      </c>
      <c r="M143" s="569"/>
      <c r="N143" s="570"/>
      <c r="O143" s="571">
        <v>8</v>
      </c>
      <c r="P143" s="572" t="s">
        <v>3655</v>
      </c>
      <c r="Q143" s="489">
        <v>35</v>
      </c>
      <c r="R143" s="572" t="s">
        <v>3655</v>
      </c>
      <c r="S143" s="571">
        <f t="shared" si="10"/>
        <v>35</v>
      </c>
      <c r="T143" s="572" t="s">
        <v>3656</v>
      </c>
      <c r="U143" s="571">
        <f t="shared" si="11"/>
        <v>18</v>
      </c>
      <c r="V143" s="573" t="s">
        <v>3254</v>
      </c>
      <c r="W143" s="573" t="s">
        <v>3657</v>
      </c>
      <c r="X143" s="491">
        <f t="shared" si="12"/>
        <v>40</v>
      </c>
      <c r="Y143" s="573" t="s">
        <v>3657</v>
      </c>
      <c r="Z143" s="571">
        <f t="shared" si="13"/>
        <v>40</v>
      </c>
      <c r="AA143" s="573" t="s">
        <v>3658</v>
      </c>
      <c r="AB143" s="571">
        <f t="shared" si="14"/>
        <v>16</v>
      </c>
      <c r="AC143" s="573" t="s">
        <v>3257</v>
      </c>
      <c r="AD143" s="571"/>
      <c r="AE143" s="575"/>
      <c r="AF143" s="504"/>
      <c r="AG143" s="494" t="s">
        <v>2917</v>
      </c>
      <c r="AH143" s="495" t="s">
        <v>2918</v>
      </c>
      <c r="AI143" s="505"/>
      <c r="AJ143" s="505"/>
      <c r="AK143" s="576">
        <f>_xll.GetCtData("COAMOUNT","CONSAMOUNT",$B$1:$B$7,$B143,AK$9,"#")</f>
        <v>0</v>
      </c>
    </row>
    <row r="144" spans="2:37" ht="12" customHeight="1">
      <c r="B144" s="453" t="s">
        <v>400</v>
      </c>
      <c r="C144" s="482" t="s">
        <v>2929</v>
      </c>
      <c r="D144" s="483">
        <v>44403</v>
      </c>
      <c r="E144" s="484" t="s">
        <v>2930</v>
      </c>
      <c r="F144" s="485">
        <v>7</v>
      </c>
      <c r="G144" s="547"/>
      <c r="H144" s="547"/>
      <c r="I144" s="547"/>
      <c r="J144" s="547"/>
      <c r="K144" s="547"/>
      <c r="L144" s="547"/>
      <c r="M144" s="548"/>
      <c r="N144" s="517" t="s">
        <v>3659</v>
      </c>
      <c r="O144" s="518">
        <v>10</v>
      </c>
      <c r="P144" s="519" t="s">
        <v>782</v>
      </c>
      <c r="Q144" s="489">
        <v>58</v>
      </c>
      <c r="R144" s="519" t="s">
        <v>3660</v>
      </c>
      <c r="S144" s="518">
        <f t="shared" si="10"/>
        <v>51</v>
      </c>
      <c r="T144" s="519" t="s">
        <v>3661</v>
      </c>
      <c r="U144" s="518">
        <f t="shared" si="11"/>
        <v>25</v>
      </c>
      <c r="V144" s="519" t="s">
        <v>3254</v>
      </c>
      <c r="W144" s="519" t="s">
        <v>3662</v>
      </c>
      <c r="X144" s="491">
        <f t="shared" si="12"/>
        <v>58</v>
      </c>
      <c r="Y144" s="519" t="s">
        <v>3662</v>
      </c>
      <c r="Z144" s="518">
        <f t="shared" si="13"/>
        <v>58</v>
      </c>
      <c r="AA144" s="519" t="s">
        <v>3663</v>
      </c>
      <c r="AB144" s="518">
        <f t="shared" si="14"/>
        <v>19</v>
      </c>
      <c r="AC144" s="519" t="s">
        <v>3257</v>
      </c>
      <c r="AD144" s="518" t="s">
        <v>3639</v>
      </c>
      <c r="AE144" s="520" t="s">
        <v>3640</v>
      </c>
      <c r="AF144" s="504" t="s">
        <v>3279</v>
      </c>
      <c r="AG144" s="494" t="s">
        <v>2917</v>
      </c>
      <c r="AH144" s="494" t="s">
        <v>2917</v>
      </c>
      <c r="AI144" s="505"/>
      <c r="AJ144" s="505"/>
      <c r="AK144" s="521">
        <f>_xll.GetCtData("COAMOUNT","CONSAMOUNT",$B$1:$B$7,$B144,AK$9,"#")</f>
        <v>0</v>
      </c>
    </row>
    <row r="145" spans="2:37" ht="12" customHeight="1">
      <c r="B145" s="453" t="s">
        <v>401</v>
      </c>
      <c r="C145" s="482" t="s">
        <v>2929</v>
      </c>
      <c r="D145" s="483">
        <v>44403</v>
      </c>
      <c r="E145" s="484" t="s">
        <v>2930</v>
      </c>
      <c r="F145" s="485">
        <v>7</v>
      </c>
      <c r="G145" s="547"/>
      <c r="H145" s="547"/>
      <c r="I145" s="547"/>
      <c r="J145" s="547"/>
      <c r="K145" s="547"/>
      <c r="L145" s="547"/>
      <c r="M145" s="548"/>
      <c r="N145" s="517" t="s">
        <v>3664</v>
      </c>
      <c r="O145" s="518">
        <v>10</v>
      </c>
      <c r="P145" s="519" t="s">
        <v>783</v>
      </c>
      <c r="Q145" s="489">
        <v>76</v>
      </c>
      <c r="R145" s="519" t="s">
        <v>783</v>
      </c>
      <c r="S145" s="518">
        <f t="shared" si="10"/>
        <v>76</v>
      </c>
      <c r="T145" s="519" t="s">
        <v>3665</v>
      </c>
      <c r="U145" s="518">
        <f t="shared" si="11"/>
        <v>27</v>
      </c>
      <c r="V145" s="519" t="s">
        <v>3254</v>
      </c>
      <c r="W145" s="519" t="s">
        <v>3666</v>
      </c>
      <c r="X145" s="491">
        <f t="shared" si="12"/>
        <v>95</v>
      </c>
      <c r="Y145" s="519" t="s">
        <v>3666</v>
      </c>
      <c r="Z145" s="518">
        <f t="shared" si="13"/>
        <v>95</v>
      </c>
      <c r="AA145" s="519" t="s">
        <v>3667</v>
      </c>
      <c r="AB145" s="518">
        <f t="shared" si="14"/>
        <v>20</v>
      </c>
      <c r="AC145" s="519" t="s">
        <v>3257</v>
      </c>
      <c r="AD145" s="518" t="s">
        <v>3639</v>
      </c>
      <c r="AE145" s="520" t="s">
        <v>3640</v>
      </c>
      <c r="AF145" s="504" t="s">
        <v>3279</v>
      </c>
      <c r="AG145" s="494" t="s">
        <v>2917</v>
      </c>
      <c r="AH145" s="494" t="s">
        <v>2917</v>
      </c>
      <c r="AI145" s="505"/>
      <c r="AJ145" s="505"/>
      <c r="AK145" s="521">
        <f>_xll.GetCtData("COAMOUNT","CONSAMOUNT",$B$1:$B$7,$B145,AK$9,"#")</f>
        <v>0</v>
      </c>
    </row>
    <row r="146" spans="2:37" ht="12" customHeight="1">
      <c r="B146" s="453" t="s">
        <v>402</v>
      </c>
      <c r="C146" s="482" t="s">
        <v>2929</v>
      </c>
      <c r="D146" s="483">
        <v>44403</v>
      </c>
      <c r="E146" s="484" t="s">
        <v>2930</v>
      </c>
      <c r="F146" s="485">
        <v>7</v>
      </c>
      <c r="G146" s="547"/>
      <c r="H146" s="547"/>
      <c r="I146" s="547"/>
      <c r="J146" s="547"/>
      <c r="K146" s="547"/>
      <c r="L146" s="547"/>
      <c r="M146" s="548"/>
      <c r="N146" s="517" t="s">
        <v>3668</v>
      </c>
      <c r="O146" s="518">
        <v>10</v>
      </c>
      <c r="P146" s="519" t="s">
        <v>784</v>
      </c>
      <c r="Q146" s="489">
        <v>42</v>
      </c>
      <c r="R146" s="519" t="s">
        <v>784</v>
      </c>
      <c r="S146" s="518">
        <f t="shared" si="10"/>
        <v>42</v>
      </c>
      <c r="T146" s="519" t="s">
        <v>3669</v>
      </c>
      <c r="U146" s="518">
        <f t="shared" si="11"/>
        <v>23</v>
      </c>
      <c r="V146" s="519" t="s">
        <v>3254</v>
      </c>
      <c r="W146" s="519" t="s">
        <v>3670</v>
      </c>
      <c r="X146" s="491">
        <f t="shared" si="12"/>
        <v>59</v>
      </c>
      <c r="Y146" s="519" t="s">
        <v>3670</v>
      </c>
      <c r="Z146" s="518">
        <f t="shared" si="13"/>
        <v>59</v>
      </c>
      <c r="AA146" s="519" t="s">
        <v>3671</v>
      </c>
      <c r="AB146" s="518">
        <f t="shared" si="14"/>
        <v>24</v>
      </c>
      <c r="AC146" s="519" t="s">
        <v>3257</v>
      </c>
      <c r="AD146" s="518" t="s">
        <v>3639</v>
      </c>
      <c r="AE146" s="520" t="s">
        <v>3640</v>
      </c>
      <c r="AF146" s="504" t="s">
        <v>3279</v>
      </c>
      <c r="AG146" s="494" t="s">
        <v>2917</v>
      </c>
      <c r="AH146" s="494" t="s">
        <v>2917</v>
      </c>
      <c r="AI146" s="505"/>
      <c r="AJ146" s="505"/>
      <c r="AK146" s="521">
        <f>_xll.GetCtData("COAMOUNT","CONSAMOUNT",$B$1:$B$7,$B146,AK$9,"#")</f>
        <v>0</v>
      </c>
    </row>
    <row r="147" spans="2:37" ht="12" customHeight="1">
      <c r="B147" s="453" t="s">
        <v>403</v>
      </c>
      <c r="C147" s="482" t="s">
        <v>2929</v>
      </c>
      <c r="D147" s="483">
        <v>44403</v>
      </c>
      <c r="E147" s="484" t="s">
        <v>2930</v>
      </c>
      <c r="F147" s="485">
        <v>7</v>
      </c>
      <c r="G147" s="577"/>
      <c r="H147" s="577"/>
      <c r="I147" s="577"/>
      <c r="J147" s="577"/>
      <c r="K147" s="577"/>
      <c r="L147" s="577"/>
      <c r="M147" s="578"/>
      <c r="N147" s="517" t="s">
        <v>3672</v>
      </c>
      <c r="O147" s="518">
        <v>10</v>
      </c>
      <c r="P147" s="519" t="s">
        <v>785</v>
      </c>
      <c r="Q147" s="489">
        <v>50</v>
      </c>
      <c r="R147" s="519" t="s">
        <v>785</v>
      </c>
      <c r="S147" s="518">
        <f t="shared" si="10"/>
        <v>50</v>
      </c>
      <c r="T147" s="519" t="s">
        <v>3673</v>
      </c>
      <c r="U147" s="518">
        <f t="shared" si="11"/>
        <v>23</v>
      </c>
      <c r="V147" s="519" t="s">
        <v>3254</v>
      </c>
      <c r="W147" s="519" t="s">
        <v>3674</v>
      </c>
      <c r="X147" s="491">
        <f t="shared" si="12"/>
        <v>68</v>
      </c>
      <c r="Y147" s="519" t="s">
        <v>3674</v>
      </c>
      <c r="Z147" s="518">
        <f t="shared" si="13"/>
        <v>68</v>
      </c>
      <c r="AA147" s="519" t="s">
        <v>3675</v>
      </c>
      <c r="AB147" s="518">
        <f t="shared" si="14"/>
        <v>25</v>
      </c>
      <c r="AC147" s="519" t="s">
        <v>3257</v>
      </c>
      <c r="AD147" s="518" t="s">
        <v>3639</v>
      </c>
      <c r="AE147" s="520" t="s">
        <v>3640</v>
      </c>
      <c r="AF147" s="504" t="s">
        <v>3279</v>
      </c>
      <c r="AG147" s="494" t="s">
        <v>2917</v>
      </c>
      <c r="AH147" s="494" t="s">
        <v>2917</v>
      </c>
      <c r="AI147" s="505"/>
      <c r="AJ147" s="505"/>
      <c r="AK147" s="521">
        <f>_xll.GetCtData("COAMOUNT","CONSAMOUNT",$B$1:$B$7,$B147,AK$9,"#")</f>
        <v>0</v>
      </c>
    </row>
    <row r="148" spans="2:37" ht="12" customHeight="1">
      <c r="B148" s="453" t="s">
        <v>3676</v>
      </c>
      <c r="C148" s="482" t="s">
        <v>2911</v>
      </c>
      <c r="D148" s="483">
        <v>44378</v>
      </c>
      <c r="E148" s="484" t="s">
        <v>2912</v>
      </c>
      <c r="F148" s="485">
        <v>5</v>
      </c>
      <c r="G148" s="482"/>
      <c r="H148" s="567"/>
      <c r="I148" s="567"/>
      <c r="J148" s="567"/>
      <c r="K148" s="567"/>
      <c r="L148" s="568" t="s">
        <v>3677</v>
      </c>
      <c r="M148" s="569"/>
      <c r="N148" s="570"/>
      <c r="O148" s="571">
        <v>8</v>
      </c>
      <c r="P148" s="572" t="s">
        <v>3678</v>
      </c>
      <c r="Q148" s="489">
        <v>35</v>
      </c>
      <c r="R148" s="572" t="s">
        <v>3678</v>
      </c>
      <c r="S148" s="571">
        <f t="shared" si="10"/>
        <v>35</v>
      </c>
      <c r="T148" s="572" t="s">
        <v>3679</v>
      </c>
      <c r="U148" s="571">
        <f t="shared" si="11"/>
        <v>18</v>
      </c>
      <c r="V148" s="573" t="s">
        <v>3254</v>
      </c>
      <c r="W148" s="573" t="s">
        <v>3680</v>
      </c>
      <c r="X148" s="491">
        <f t="shared" si="12"/>
        <v>40</v>
      </c>
      <c r="Y148" s="573" t="s">
        <v>3680</v>
      </c>
      <c r="Z148" s="571">
        <f t="shared" si="13"/>
        <v>40</v>
      </c>
      <c r="AA148" s="573" t="s">
        <v>3681</v>
      </c>
      <c r="AB148" s="571">
        <f t="shared" si="14"/>
        <v>16</v>
      </c>
      <c r="AC148" s="573" t="s">
        <v>3257</v>
      </c>
      <c r="AD148" s="571"/>
      <c r="AE148" s="575"/>
      <c r="AF148" s="504"/>
      <c r="AG148" s="494" t="s">
        <v>2917</v>
      </c>
      <c r="AH148" s="495" t="s">
        <v>2918</v>
      </c>
      <c r="AI148" s="505"/>
      <c r="AJ148" s="505"/>
      <c r="AK148" s="576">
        <f>_xll.GetCtData("COAMOUNT","CONSAMOUNT",$B$1:$B$7,$B148,AK$9,"#0")</f>
        <v>0</v>
      </c>
    </row>
    <row r="149" spans="2:37" ht="12" customHeight="1">
      <c r="B149" s="453" t="s">
        <v>404</v>
      </c>
      <c r="C149" s="482" t="s">
        <v>2929</v>
      </c>
      <c r="D149" s="483">
        <v>44403</v>
      </c>
      <c r="E149" s="484" t="s">
        <v>2930</v>
      </c>
      <c r="F149" s="485">
        <v>7</v>
      </c>
      <c r="G149" s="547"/>
      <c r="H149" s="547"/>
      <c r="I149" s="547"/>
      <c r="J149" s="547"/>
      <c r="K149" s="547"/>
      <c r="L149" s="547"/>
      <c r="M149" s="548"/>
      <c r="N149" s="517" t="s">
        <v>3682</v>
      </c>
      <c r="O149" s="518">
        <v>10</v>
      </c>
      <c r="P149" s="519" t="s">
        <v>786</v>
      </c>
      <c r="Q149" s="489">
        <v>58</v>
      </c>
      <c r="R149" s="519" t="s">
        <v>3683</v>
      </c>
      <c r="S149" s="518">
        <f t="shared" si="10"/>
        <v>51</v>
      </c>
      <c r="T149" s="519" t="s">
        <v>3684</v>
      </c>
      <c r="U149" s="518">
        <f t="shared" si="11"/>
        <v>25</v>
      </c>
      <c r="V149" s="519" t="s">
        <v>3254</v>
      </c>
      <c r="W149" s="519" t="s">
        <v>3685</v>
      </c>
      <c r="X149" s="491">
        <f t="shared" si="12"/>
        <v>58</v>
      </c>
      <c r="Y149" s="519" t="s">
        <v>3685</v>
      </c>
      <c r="Z149" s="518">
        <f t="shared" si="13"/>
        <v>58</v>
      </c>
      <c r="AA149" s="519" t="s">
        <v>3686</v>
      </c>
      <c r="AB149" s="518">
        <f t="shared" si="14"/>
        <v>19</v>
      </c>
      <c r="AC149" s="519" t="s">
        <v>3257</v>
      </c>
      <c r="AD149" s="518" t="s">
        <v>3639</v>
      </c>
      <c r="AE149" s="520" t="s">
        <v>3640</v>
      </c>
      <c r="AF149" s="504" t="s">
        <v>3342</v>
      </c>
      <c r="AG149" s="494" t="s">
        <v>2917</v>
      </c>
      <c r="AH149" s="494" t="s">
        <v>2917</v>
      </c>
      <c r="AI149" s="505"/>
      <c r="AJ149" s="505"/>
      <c r="AK149" s="521">
        <f>_xll.GetCtData("COAMOUNT","CONSAMOUNT",$B$1:$B$7,$B149,AK$9,"#0")</f>
        <v>0</v>
      </c>
    </row>
    <row r="150" spans="2:37" ht="12" customHeight="1">
      <c r="B150" s="453" t="s">
        <v>405</v>
      </c>
      <c r="C150" s="482" t="s">
        <v>2929</v>
      </c>
      <c r="D150" s="483">
        <v>44403</v>
      </c>
      <c r="E150" s="484" t="s">
        <v>2930</v>
      </c>
      <c r="F150" s="485">
        <v>7</v>
      </c>
      <c r="G150" s="547"/>
      <c r="H150" s="547"/>
      <c r="I150" s="547"/>
      <c r="J150" s="547"/>
      <c r="K150" s="547"/>
      <c r="L150" s="547"/>
      <c r="M150" s="548"/>
      <c r="N150" s="517" t="s">
        <v>3687</v>
      </c>
      <c r="O150" s="518">
        <v>10</v>
      </c>
      <c r="P150" s="519" t="s">
        <v>787</v>
      </c>
      <c r="Q150" s="489">
        <v>76</v>
      </c>
      <c r="R150" s="519" t="s">
        <v>787</v>
      </c>
      <c r="S150" s="518">
        <f t="shared" si="10"/>
        <v>76</v>
      </c>
      <c r="T150" s="519" t="s">
        <v>3688</v>
      </c>
      <c r="U150" s="518">
        <f t="shared" si="11"/>
        <v>27</v>
      </c>
      <c r="V150" s="519" t="s">
        <v>3254</v>
      </c>
      <c r="W150" s="519" t="s">
        <v>3689</v>
      </c>
      <c r="X150" s="491">
        <f t="shared" si="12"/>
        <v>95</v>
      </c>
      <c r="Y150" s="519" t="s">
        <v>3689</v>
      </c>
      <c r="Z150" s="518">
        <f t="shared" si="13"/>
        <v>95</v>
      </c>
      <c r="AA150" s="519" t="s">
        <v>3690</v>
      </c>
      <c r="AB150" s="518">
        <f t="shared" si="14"/>
        <v>20</v>
      </c>
      <c r="AC150" s="519" t="s">
        <v>3257</v>
      </c>
      <c r="AD150" s="518" t="s">
        <v>3639</v>
      </c>
      <c r="AE150" s="520" t="s">
        <v>3640</v>
      </c>
      <c r="AF150" s="504" t="s">
        <v>3342</v>
      </c>
      <c r="AG150" s="494" t="s">
        <v>2917</v>
      </c>
      <c r="AH150" s="494" t="s">
        <v>2917</v>
      </c>
      <c r="AI150" s="505"/>
      <c r="AJ150" s="505"/>
      <c r="AK150" s="521">
        <f>_xll.GetCtData("COAMOUNT","CONSAMOUNT",$B$1:$B$7,$B150,AK$9,"#")</f>
        <v>0</v>
      </c>
    </row>
    <row r="151" spans="2:37" ht="12" customHeight="1">
      <c r="B151" s="453" t="s">
        <v>406</v>
      </c>
      <c r="C151" s="482" t="s">
        <v>2929</v>
      </c>
      <c r="D151" s="483">
        <v>44403</v>
      </c>
      <c r="E151" s="484" t="s">
        <v>2930</v>
      </c>
      <c r="F151" s="485">
        <v>7</v>
      </c>
      <c r="G151" s="547"/>
      <c r="H151" s="547"/>
      <c r="I151" s="547"/>
      <c r="J151" s="547"/>
      <c r="K151" s="547"/>
      <c r="L151" s="547"/>
      <c r="M151" s="548"/>
      <c r="N151" s="517" t="s">
        <v>3691</v>
      </c>
      <c r="O151" s="518">
        <v>10</v>
      </c>
      <c r="P151" s="519" t="s">
        <v>788</v>
      </c>
      <c r="Q151" s="489">
        <v>42</v>
      </c>
      <c r="R151" s="519" t="s">
        <v>788</v>
      </c>
      <c r="S151" s="518">
        <f t="shared" si="10"/>
        <v>42</v>
      </c>
      <c r="T151" s="519" t="s">
        <v>3692</v>
      </c>
      <c r="U151" s="518">
        <f t="shared" si="11"/>
        <v>23</v>
      </c>
      <c r="V151" s="519" t="s">
        <v>3254</v>
      </c>
      <c r="W151" s="519" t="s">
        <v>3693</v>
      </c>
      <c r="X151" s="491">
        <f t="shared" si="12"/>
        <v>59</v>
      </c>
      <c r="Y151" s="519" t="s">
        <v>3693</v>
      </c>
      <c r="Z151" s="518">
        <f t="shared" si="13"/>
        <v>59</v>
      </c>
      <c r="AA151" s="519" t="s">
        <v>3694</v>
      </c>
      <c r="AB151" s="518">
        <f t="shared" si="14"/>
        <v>24</v>
      </c>
      <c r="AC151" s="519" t="s">
        <v>3257</v>
      </c>
      <c r="AD151" s="518" t="s">
        <v>3639</v>
      </c>
      <c r="AE151" s="520" t="s">
        <v>3640</v>
      </c>
      <c r="AF151" s="504" t="s">
        <v>3342</v>
      </c>
      <c r="AG151" s="494" t="s">
        <v>2917</v>
      </c>
      <c r="AH151" s="494" t="s">
        <v>2917</v>
      </c>
      <c r="AI151" s="505"/>
      <c r="AJ151" s="505"/>
      <c r="AK151" s="521">
        <f>_xll.GetCtData("COAMOUNT","CONSAMOUNT",$B$1:$B$7,$B151,AK$9,"#")</f>
        <v>0</v>
      </c>
    </row>
    <row r="152" spans="2:37" ht="12" customHeight="1">
      <c r="B152" s="453" t="s">
        <v>407</v>
      </c>
      <c r="C152" s="482" t="s">
        <v>2929</v>
      </c>
      <c r="D152" s="483">
        <v>44403</v>
      </c>
      <c r="E152" s="484" t="s">
        <v>2930</v>
      </c>
      <c r="F152" s="485">
        <v>7</v>
      </c>
      <c r="G152" s="577"/>
      <c r="H152" s="577"/>
      <c r="I152" s="577"/>
      <c r="J152" s="577"/>
      <c r="K152" s="577"/>
      <c r="L152" s="577"/>
      <c r="M152" s="578"/>
      <c r="N152" s="517" t="s">
        <v>3695</v>
      </c>
      <c r="O152" s="518">
        <v>10</v>
      </c>
      <c r="P152" s="519" t="s">
        <v>789</v>
      </c>
      <c r="Q152" s="489">
        <v>50</v>
      </c>
      <c r="R152" s="519" t="s">
        <v>789</v>
      </c>
      <c r="S152" s="518">
        <f t="shared" si="10"/>
        <v>50</v>
      </c>
      <c r="T152" s="519" t="s">
        <v>3696</v>
      </c>
      <c r="U152" s="518">
        <f t="shared" si="11"/>
        <v>23</v>
      </c>
      <c r="V152" s="519" t="s">
        <v>3254</v>
      </c>
      <c r="W152" s="519" t="s">
        <v>3697</v>
      </c>
      <c r="X152" s="491">
        <f t="shared" si="12"/>
        <v>68</v>
      </c>
      <c r="Y152" s="519" t="s">
        <v>3697</v>
      </c>
      <c r="Z152" s="518">
        <f t="shared" si="13"/>
        <v>68</v>
      </c>
      <c r="AA152" s="519" t="s">
        <v>3698</v>
      </c>
      <c r="AB152" s="518">
        <f t="shared" si="14"/>
        <v>25</v>
      </c>
      <c r="AC152" s="519" t="s">
        <v>3257</v>
      </c>
      <c r="AD152" s="518" t="s">
        <v>3639</v>
      </c>
      <c r="AE152" s="520" t="s">
        <v>3640</v>
      </c>
      <c r="AF152" s="504" t="s">
        <v>3342</v>
      </c>
      <c r="AG152" s="494" t="s">
        <v>2917</v>
      </c>
      <c r="AH152" s="494" t="s">
        <v>2917</v>
      </c>
      <c r="AI152" s="505"/>
      <c r="AJ152" s="505"/>
      <c r="AK152" s="521">
        <f>_xll.GetCtData("COAMOUNT","CONSAMOUNT",$B$1:$B$7,$B152,AK$9,"#0")</f>
        <v>0</v>
      </c>
    </row>
    <row r="153" spans="2:37" ht="12" customHeight="1">
      <c r="B153" s="453" t="s">
        <v>3699</v>
      </c>
      <c r="C153" s="482" t="s">
        <v>2911</v>
      </c>
      <c r="D153" s="483">
        <v>44378</v>
      </c>
      <c r="E153" s="484" t="s">
        <v>2912</v>
      </c>
      <c r="F153" s="485">
        <v>5</v>
      </c>
      <c r="G153" s="482"/>
      <c r="H153" s="567"/>
      <c r="I153" s="567"/>
      <c r="J153" s="567"/>
      <c r="K153" s="567"/>
      <c r="L153" s="568" t="s">
        <v>3700</v>
      </c>
      <c r="M153" s="569"/>
      <c r="N153" s="570"/>
      <c r="O153" s="571">
        <v>8</v>
      </c>
      <c r="P153" s="572" t="s">
        <v>3701</v>
      </c>
      <c r="Q153" s="489">
        <v>37</v>
      </c>
      <c r="R153" s="572" t="s">
        <v>3701</v>
      </c>
      <c r="S153" s="571">
        <f t="shared" si="10"/>
        <v>37</v>
      </c>
      <c r="T153" s="572" t="s">
        <v>3702</v>
      </c>
      <c r="U153" s="571">
        <f t="shared" si="11"/>
        <v>20</v>
      </c>
      <c r="V153" s="573" t="s">
        <v>3254</v>
      </c>
      <c r="W153" s="573" t="s">
        <v>3703</v>
      </c>
      <c r="X153" s="491">
        <f t="shared" si="12"/>
        <v>42</v>
      </c>
      <c r="Y153" s="573" t="s">
        <v>3703</v>
      </c>
      <c r="Z153" s="571">
        <f t="shared" si="13"/>
        <v>42</v>
      </c>
      <c r="AA153" s="573" t="s">
        <v>3704</v>
      </c>
      <c r="AB153" s="571">
        <f t="shared" si="14"/>
        <v>18</v>
      </c>
      <c r="AC153" s="573" t="s">
        <v>3257</v>
      </c>
      <c r="AD153" s="571"/>
      <c r="AE153" s="575"/>
      <c r="AF153" s="504"/>
      <c r="AG153" s="494" t="s">
        <v>2917</v>
      </c>
      <c r="AH153" s="495" t="s">
        <v>2918</v>
      </c>
      <c r="AI153" s="505"/>
      <c r="AJ153" s="505"/>
      <c r="AK153" s="576">
        <f>_xll.GetCtData("COAMOUNT","CONSAMOUNT",$B$1:$B$7,$B153,AK$9,"#")</f>
        <v>0</v>
      </c>
    </row>
    <row r="154" spans="2:37" ht="12" customHeight="1">
      <c r="B154" s="453" t="s">
        <v>408</v>
      </c>
      <c r="C154" s="482" t="s">
        <v>2929</v>
      </c>
      <c r="D154" s="483">
        <v>44403</v>
      </c>
      <c r="E154" s="484" t="s">
        <v>2930</v>
      </c>
      <c r="F154" s="485">
        <v>7</v>
      </c>
      <c r="G154" s="577"/>
      <c r="H154" s="577"/>
      <c r="I154" s="577"/>
      <c r="J154" s="577"/>
      <c r="K154" s="577"/>
      <c r="L154" s="577"/>
      <c r="M154" s="578"/>
      <c r="N154" s="517" t="s">
        <v>3705</v>
      </c>
      <c r="O154" s="518">
        <v>10</v>
      </c>
      <c r="P154" s="519" t="s">
        <v>790</v>
      </c>
      <c r="Q154" s="489">
        <v>60</v>
      </c>
      <c r="R154" s="519" t="s">
        <v>3706</v>
      </c>
      <c r="S154" s="518">
        <f t="shared" si="10"/>
        <v>53</v>
      </c>
      <c r="T154" s="519" t="s">
        <v>3707</v>
      </c>
      <c r="U154" s="518">
        <f t="shared" si="11"/>
        <v>28</v>
      </c>
      <c r="V154" s="519" t="s">
        <v>3254</v>
      </c>
      <c r="W154" s="519" t="s">
        <v>3708</v>
      </c>
      <c r="X154" s="491">
        <f t="shared" si="12"/>
        <v>60</v>
      </c>
      <c r="Y154" s="519" t="s">
        <v>3708</v>
      </c>
      <c r="Z154" s="518">
        <f t="shared" si="13"/>
        <v>60</v>
      </c>
      <c r="AA154" s="519" t="s">
        <v>3709</v>
      </c>
      <c r="AB154" s="518">
        <f t="shared" si="14"/>
        <v>21</v>
      </c>
      <c r="AC154" s="519" t="s">
        <v>3257</v>
      </c>
      <c r="AD154" s="518" t="s">
        <v>3639</v>
      </c>
      <c r="AE154" s="520" t="s">
        <v>3640</v>
      </c>
      <c r="AF154" s="504" t="s">
        <v>2939</v>
      </c>
      <c r="AG154" s="494" t="s">
        <v>2917</v>
      </c>
      <c r="AH154" s="494" t="s">
        <v>2917</v>
      </c>
      <c r="AI154" s="505"/>
      <c r="AJ154" s="505"/>
      <c r="AK154" s="521">
        <f>_xll.GetCtData("COAMOUNT","CONSAMOUNT",$B$1:$B$7,$B154,AK$9,"#")</f>
        <v>0</v>
      </c>
    </row>
    <row r="155" spans="2:37" ht="12" customHeight="1">
      <c r="B155" s="453" t="s">
        <v>409</v>
      </c>
      <c r="C155" s="482" t="s">
        <v>2929</v>
      </c>
      <c r="D155" s="483">
        <v>44403</v>
      </c>
      <c r="E155" s="484" t="s">
        <v>2930</v>
      </c>
      <c r="F155" s="485">
        <v>7</v>
      </c>
      <c r="G155" s="577"/>
      <c r="H155" s="577"/>
      <c r="I155" s="577"/>
      <c r="J155" s="577"/>
      <c r="K155" s="577"/>
      <c r="L155" s="577"/>
      <c r="M155" s="578"/>
      <c r="N155" s="517" t="s">
        <v>3710</v>
      </c>
      <c r="O155" s="518">
        <v>10</v>
      </c>
      <c r="P155" s="519" t="s">
        <v>791</v>
      </c>
      <c r="Q155" s="489">
        <v>78</v>
      </c>
      <c r="R155" s="519" t="s">
        <v>791</v>
      </c>
      <c r="S155" s="518">
        <f t="shared" si="10"/>
        <v>78</v>
      </c>
      <c r="T155" s="519" t="s">
        <v>3711</v>
      </c>
      <c r="U155" s="518">
        <f t="shared" si="11"/>
        <v>27</v>
      </c>
      <c r="V155" s="519" t="s">
        <v>3254</v>
      </c>
      <c r="W155" s="519" t="s">
        <v>3712</v>
      </c>
      <c r="X155" s="491">
        <f t="shared" si="12"/>
        <v>97</v>
      </c>
      <c r="Y155" s="519" t="s">
        <v>3712</v>
      </c>
      <c r="Z155" s="518">
        <f t="shared" si="13"/>
        <v>97</v>
      </c>
      <c r="AA155" s="519" t="s">
        <v>3713</v>
      </c>
      <c r="AB155" s="518">
        <f t="shared" si="14"/>
        <v>22</v>
      </c>
      <c r="AC155" s="519" t="s">
        <v>3257</v>
      </c>
      <c r="AD155" s="518" t="s">
        <v>3639</v>
      </c>
      <c r="AE155" s="520" t="s">
        <v>3640</v>
      </c>
      <c r="AF155" s="504" t="s">
        <v>2939</v>
      </c>
      <c r="AG155" s="494" t="s">
        <v>2917</v>
      </c>
      <c r="AH155" s="494" t="s">
        <v>2917</v>
      </c>
      <c r="AI155" s="505"/>
      <c r="AJ155" s="505"/>
      <c r="AK155" s="521">
        <f>_xll.GetCtData("COAMOUNT","CONSAMOUNT",$B$1:$B$7,$B155,AK$9,"#")</f>
        <v>0</v>
      </c>
    </row>
    <row r="156" spans="2:37" ht="12" customHeight="1">
      <c r="B156" s="453" t="s">
        <v>410</v>
      </c>
      <c r="C156" s="482" t="s">
        <v>2929</v>
      </c>
      <c r="D156" s="483">
        <v>44403</v>
      </c>
      <c r="E156" s="484" t="s">
        <v>2930</v>
      </c>
      <c r="F156" s="485">
        <v>7</v>
      </c>
      <c r="G156" s="577"/>
      <c r="H156" s="577"/>
      <c r="I156" s="577"/>
      <c r="J156" s="577"/>
      <c r="K156" s="577"/>
      <c r="L156" s="577"/>
      <c r="M156" s="578"/>
      <c r="N156" s="517" t="s">
        <v>3714</v>
      </c>
      <c r="O156" s="518">
        <v>10</v>
      </c>
      <c r="P156" s="519" t="s">
        <v>792</v>
      </c>
      <c r="Q156" s="489">
        <v>44</v>
      </c>
      <c r="R156" s="519" t="s">
        <v>792</v>
      </c>
      <c r="S156" s="518">
        <f t="shared" si="10"/>
        <v>44</v>
      </c>
      <c r="T156" s="519" t="s">
        <v>3715</v>
      </c>
      <c r="U156" s="518">
        <f t="shared" si="11"/>
        <v>24</v>
      </c>
      <c r="V156" s="519" t="s">
        <v>3254</v>
      </c>
      <c r="W156" s="519" t="s">
        <v>3716</v>
      </c>
      <c r="X156" s="491">
        <f t="shared" si="12"/>
        <v>61</v>
      </c>
      <c r="Y156" s="519" t="s">
        <v>3716</v>
      </c>
      <c r="Z156" s="518">
        <f t="shared" si="13"/>
        <v>61</v>
      </c>
      <c r="AA156" s="519" t="s">
        <v>3717</v>
      </c>
      <c r="AB156" s="518">
        <f t="shared" si="14"/>
        <v>26</v>
      </c>
      <c r="AC156" s="519" t="s">
        <v>3257</v>
      </c>
      <c r="AD156" s="518" t="s">
        <v>3639</v>
      </c>
      <c r="AE156" s="520" t="s">
        <v>3640</v>
      </c>
      <c r="AF156" s="504" t="s">
        <v>2939</v>
      </c>
      <c r="AG156" s="494" t="s">
        <v>2917</v>
      </c>
      <c r="AH156" s="494" t="s">
        <v>2917</v>
      </c>
      <c r="AI156" s="505"/>
      <c r="AJ156" s="505"/>
      <c r="AK156" s="521">
        <f>_xll.GetCtData("COAMOUNT","CONSAMOUNT",$B$1:$B$7,$B156,AK$9,"#")</f>
        <v>0</v>
      </c>
    </row>
    <row r="157" spans="2:37" ht="12" customHeight="1">
      <c r="B157" s="453" t="s">
        <v>411</v>
      </c>
      <c r="C157" s="482" t="s">
        <v>2929</v>
      </c>
      <c r="D157" s="483">
        <v>44403</v>
      </c>
      <c r="E157" s="484" t="s">
        <v>2912</v>
      </c>
      <c r="F157" s="485">
        <v>7</v>
      </c>
      <c r="G157" s="577"/>
      <c r="H157" s="577"/>
      <c r="I157" s="577"/>
      <c r="J157" s="577"/>
      <c r="K157" s="577"/>
      <c r="L157" s="577"/>
      <c r="M157" s="578"/>
      <c r="N157" s="517" t="s">
        <v>3718</v>
      </c>
      <c r="O157" s="518">
        <v>10</v>
      </c>
      <c r="P157" s="519" t="s">
        <v>793</v>
      </c>
      <c r="Q157" s="489">
        <v>52</v>
      </c>
      <c r="R157" s="519" t="s">
        <v>793</v>
      </c>
      <c r="S157" s="518">
        <f t="shared" si="10"/>
        <v>52</v>
      </c>
      <c r="T157" s="519" t="s">
        <v>3719</v>
      </c>
      <c r="U157" s="518">
        <f t="shared" si="11"/>
        <v>24</v>
      </c>
      <c r="V157" s="519" t="s">
        <v>3254</v>
      </c>
      <c r="W157" s="519" t="s">
        <v>3720</v>
      </c>
      <c r="X157" s="491">
        <f t="shared" si="12"/>
        <v>70</v>
      </c>
      <c r="Y157" s="519" t="s">
        <v>3720</v>
      </c>
      <c r="Z157" s="518">
        <f t="shared" si="13"/>
        <v>70</v>
      </c>
      <c r="AA157" s="519" t="s">
        <v>3721</v>
      </c>
      <c r="AB157" s="518">
        <f t="shared" si="14"/>
        <v>27</v>
      </c>
      <c r="AC157" s="519" t="s">
        <v>3257</v>
      </c>
      <c r="AD157" s="518" t="s">
        <v>3639</v>
      </c>
      <c r="AE157" s="520" t="s">
        <v>3640</v>
      </c>
      <c r="AF157" s="504" t="s">
        <v>2939</v>
      </c>
      <c r="AG157" s="494" t="s">
        <v>2917</v>
      </c>
      <c r="AH157" s="494" t="s">
        <v>2917</v>
      </c>
      <c r="AI157" s="505"/>
      <c r="AJ157" s="505"/>
      <c r="AK157" s="521">
        <f>_xll.GetCtData("COAMOUNT","CONSAMOUNT",$B$1:$B$7,$B157,AK$9,"#")</f>
        <v>0</v>
      </c>
    </row>
    <row r="158" spans="2:37" ht="12" customHeight="1">
      <c r="B158" s="453" t="s">
        <v>3722</v>
      </c>
      <c r="C158" s="482" t="s">
        <v>2929</v>
      </c>
      <c r="D158" s="483">
        <v>44390</v>
      </c>
      <c r="E158" s="484" t="s">
        <v>2930</v>
      </c>
      <c r="F158" s="485">
        <v>7</v>
      </c>
      <c r="G158" s="482"/>
      <c r="H158" s="567"/>
      <c r="I158" s="567"/>
      <c r="J158" s="567"/>
      <c r="K158" s="567"/>
      <c r="L158" s="568" t="s">
        <v>3723</v>
      </c>
      <c r="M158" s="569"/>
      <c r="N158" s="570"/>
      <c r="O158" s="571">
        <v>8</v>
      </c>
      <c r="P158" s="572" t="s">
        <v>3724</v>
      </c>
      <c r="Q158" s="489">
        <v>42</v>
      </c>
      <c r="R158" s="572" t="s">
        <v>3724</v>
      </c>
      <c r="S158" s="571">
        <f t="shared" si="10"/>
        <v>42</v>
      </c>
      <c r="T158" s="572" t="s">
        <v>3725</v>
      </c>
      <c r="U158" s="571">
        <f t="shared" si="11"/>
        <v>23</v>
      </c>
      <c r="V158" s="573" t="s">
        <v>3254</v>
      </c>
      <c r="W158" s="573" t="s">
        <v>3726</v>
      </c>
      <c r="X158" s="491">
        <f t="shared" si="12"/>
        <v>50</v>
      </c>
      <c r="Y158" s="573" t="s">
        <v>3726</v>
      </c>
      <c r="Z158" s="571">
        <f t="shared" si="13"/>
        <v>50</v>
      </c>
      <c r="AA158" s="573" t="s">
        <v>3727</v>
      </c>
      <c r="AB158" s="571">
        <f t="shared" si="14"/>
        <v>15</v>
      </c>
      <c r="AC158" s="573" t="s">
        <v>3257</v>
      </c>
      <c r="AD158" s="571"/>
      <c r="AE158" s="575"/>
      <c r="AF158" s="504" t="s">
        <v>3728</v>
      </c>
      <c r="AG158" s="579" t="s">
        <v>3729</v>
      </c>
      <c r="AH158" s="495" t="s">
        <v>2918</v>
      </c>
      <c r="AI158" s="505"/>
      <c r="AJ158" s="505"/>
      <c r="AK158" s="576"/>
    </row>
    <row r="159" spans="2:37" ht="12" customHeight="1">
      <c r="B159" s="453" t="s">
        <v>1153</v>
      </c>
      <c r="C159" s="482" t="s">
        <v>2911</v>
      </c>
      <c r="D159" s="483">
        <v>44378</v>
      </c>
      <c r="E159" s="484" t="s">
        <v>2912</v>
      </c>
      <c r="F159" s="485">
        <v>4</v>
      </c>
      <c r="G159" s="482"/>
      <c r="H159" s="507"/>
      <c r="I159" s="507"/>
      <c r="J159" s="507"/>
      <c r="K159" s="564" t="s">
        <v>3730</v>
      </c>
      <c r="L159" s="564"/>
      <c r="M159" s="565"/>
      <c r="N159" s="566"/>
      <c r="O159" s="580">
        <v>7</v>
      </c>
      <c r="P159" s="581" t="s">
        <v>2611</v>
      </c>
      <c r="Q159" s="489">
        <v>17</v>
      </c>
      <c r="R159" s="581" t="s">
        <v>2611</v>
      </c>
      <c r="S159" s="580">
        <f t="shared" si="10"/>
        <v>17</v>
      </c>
      <c r="T159" s="581" t="s">
        <v>3731</v>
      </c>
      <c r="U159" s="580">
        <f t="shared" si="11"/>
        <v>8</v>
      </c>
      <c r="V159" s="581" t="s">
        <v>3254</v>
      </c>
      <c r="W159" s="581" t="s">
        <v>3732</v>
      </c>
      <c r="X159" s="491">
        <f t="shared" si="12"/>
        <v>43</v>
      </c>
      <c r="Y159" s="581" t="s">
        <v>3732</v>
      </c>
      <c r="Z159" s="580">
        <f t="shared" si="13"/>
        <v>43</v>
      </c>
      <c r="AA159" s="581" t="s">
        <v>3733</v>
      </c>
      <c r="AB159" s="580">
        <f t="shared" si="14"/>
        <v>15</v>
      </c>
      <c r="AC159" s="581" t="s">
        <v>3257</v>
      </c>
      <c r="AD159" s="580"/>
      <c r="AE159" s="582"/>
      <c r="AF159" s="504"/>
      <c r="AG159" s="494" t="s">
        <v>2917</v>
      </c>
      <c r="AH159" s="495" t="s">
        <v>2918</v>
      </c>
      <c r="AI159" s="505"/>
      <c r="AJ159" s="505"/>
      <c r="AK159" s="583">
        <f>_xll.GetCtData("COAMOUNT","CONSAMOUNT",$B$1:$B$7,$B159,AK$9,"#")</f>
        <v>0</v>
      </c>
    </row>
    <row r="160" spans="2:37" ht="12" customHeight="1">
      <c r="B160" s="453" t="s">
        <v>3734</v>
      </c>
      <c r="C160" s="482" t="s">
        <v>2911</v>
      </c>
      <c r="D160" s="483">
        <v>44378</v>
      </c>
      <c r="E160" s="484" t="s">
        <v>2912</v>
      </c>
      <c r="F160" s="485">
        <v>5</v>
      </c>
      <c r="G160" s="482"/>
      <c r="H160" s="567"/>
      <c r="I160" s="567"/>
      <c r="J160" s="567"/>
      <c r="K160" s="567"/>
      <c r="L160" s="568" t="s">
        <v>3735</v>
      </c>
      <c r="M160" s="569"/>
      <c r="N160" s="584"/>
      <c r="O160" s="571">
        <v>8</v>
      </c>
      <c r="P160" s="572" t="s">
        <v>3736</v>
      </c>
      <c r="Q160" s="489">
        <v>22</v>
      </c>
      <c r="R160" s="572" t="s">
        <v>3736</v>
      </c>
      <c r="S160" s="571">
        <f t="shared" si="10"/>
        <v>22</v>
      </c>
      <c r="T160" s="572" t="s">
        <v>3737</v>
      </c>
      <c r="U160" s="571">
        <f t="shared" si="11"/>
        <v>11</v>
      </c>
      <c r="V160" s="573" t="s">
        <v>3254</v>
      </c>
      <c r="W160" s="573" t="s">
        <v>3738</v>
      </c>
      <c r="X160" s="491">
        <f t="shared" si="12"/>
        <v>48</v>
      </c>
      <c r="Y160" s="573" t="s">
        <v>3738</v>
      </c>
      <c r="Z160" s="571">
        <f t="shared" si="13"/>
        <v>48</v>
      </c>
      <c r="AA160" s="573" t="s">
        <v>3739</v>
      </c>
      <c r="AB160" s="571">
        <f t="shared" si="14"/>
        <v>18</v>
      </c>
      <c r="AC160" s="573" t="s">
        <v>3257</v>
      </c>
      <c r="AD160" s="571"/>
      <c r="AE160" s="575"/>
      <c r="AF160" s="504"/>
      <c r="AG160" s="494" t="s">
        <v>2917</v>
      </c>
      <c r="AH160" s="495" t="s">
        <v>2918</v>
      </c>
      <c r="AI160" s="505"/>
      <c r="AJ160" s="505"/>
      <c r="AK160" s="576">
        <f>_xll.GetCtData("COAMOUNT","CONSAMOUNT",$B$1:$B$7,$B160,AK$9,"#")</f>
        <v>0</v>
      </c>
    </row>
    <row r="161" spans="2:37" ht="12" customHeight="1">
      <c r="B161" s="453" t="s">
        <v>412</v>
      </c>
      <c r="C161" s="482" t="s">
        <v>2929</v>
      </c>
      <c r="D161" s="483">
        <v>44403</v>
      </c>
      <c r="E161" s="484" t="s">
        <v>2930</v>
      </c>
      <c r="F161" s="485">
        <v>7</v>
      </c>
      <c r="G161" s="547"/>
      <c r="H161" s="547"/>
      <c r="I161" s="547"/>
      <c r="J161" s="547"/>
      <c r="K161" s="547"/>
      <c r="L161" s="547"/>
      <c r="M161" s="548"/>
      <c r="N161" s="517" t="s">
        <v>3740</v>
      </c>
      <c r="O161" s="518">
        <v>10</v>
      </c>
      <c r="P161" s="519" t="s">
        <v>794</v>
      </c>
      <c r="Q161" s="489">
        <v>45</v>
      </c>
      <c r="R161" s="519" t="s">
        <v>3741</v>
      </c>
      <c r="S161" s="518">
        <f t="shared" si="10"/>
        <v>38</v>
      </c>
      <c r="T161" s="519" t="s">
        <v>3742</v>
      </c>
      <c r="U161" s="518">
        <f t="shared" si="11"/>
        <v>19</v>
      </c>
      <c r="V161" s="519" t="s">
        <v>3254</v>
      </c>
      <c r="W161" s="519" t="s">
        <v>3743</v>
      </c>
      <c r="X161" s="491">
        <f t="shared" si="12"/>
        <v>68</v>
      </c>
      <c r="Y161" s="519" t="s">
        <v>3743</v>
      </c>
      <c r="Z161" s="518">
        <f t="shared" si="13"/>
        <v>68</v>
      </c>
      <c r="AA161" s="519" t="s">
        <v>3744</v>
      </c>
      <c r="AB161" s="518">
        <f t="shared" si="14"/>
        <v>28</v>
      </c>
      <c r="AC161" s="519" t="s">
        <v>3257</v>
      </c>
      <c r="AD161" s="518" t="s">
        <v>3745</v>
      </c>
      <c r="AE161" s="520" t="s">
        <v>3746</v>
      </c>
      <c r="AF161" s="504" t="s">
        <v>3279</v>
      </c>
      <c r="AG161" s="494" t="s">
        <v>2917</v>
      </c>
      <c r="AH161" s="494" t="s">
        <v>2917</v>
      </c>
      <c r="AI161" s="505"/>
      <c r="AJ161" s="505"/>
      <c r="AK161" s="521">
        <f>_xll.GetCtData("COAMOUNT","CONSAMOUNT",$B$1:$B$7,$B161,AK$9,"#")</f>
        <v>0</v>
      </c>
    </row>
    <row r="162" spans="2:37" ht="12" customHeight="1">
      <c r="B162" s="453" t="s">
        <v>413</v>
      </c>
      <c r="C162" s="482" t="s">
        <v>2929</v>
      </c>
      <c r="D162" s="483">
        <v>44403</v>
      </c>
      <c r="E162" s="484" t="s">
        <v>2930</v>
      </c>
      <c r="F162" s="485">
        <v>7</v>
      </c>
      <c r="G162" s="547"/>
      <c r="H162" s="547"/>
      <c r="I162" s="547"/>
      <c r="J162" s="547"/>
      <c r="K162" s="547"/>
      <c r="L162" s="547"/>
      <c r="M162" s="548"/>
      <c r="N162" s="517" t="s">
        <v>3747</v>
      </c>
      <c r="O162" s="518">
        <v>10</v>
      </c>
      <c r="P162" s="519" t="s">
        <v>795</v>
      </c>
      <c r="Q162" s="489">
        <v>63</v>
      </c>
      <c r="R162" s="519" t="s">
        <v>795</v>
      </c>
      <c r="S162" s="518">
        <f t="shared" si="10"/>
        <v>63</v>
      </c>
      <c r="T162" s="519" t="s">
        <v>3748</v>
      </c>
      <c r="U162" s="518">
        <f t="shared" si="11"/>
        <v>20</v>
      </c>
      <c r="V162" s="519" t="s">
        <v>3254</v>
      </c>
      <c r="W162" s="519" t="s">
        <v>3749</v>
      </c>
      <c r="X162" s="491">
        <f t="shared" si="12"/>
        <v>91</v>
      </c>
      <c r="Y162" s="519" t="s">
        <v>3749</v>
      </c>
      <c r="Z162" s="518">
        <f t="shared" si="13"/>
        <v>91</v>
      </c>
      <c r="AA162" s="519" t="s">
        <v>3750</v>
      </c>
      <c r="AB162" s="518">
        <f t="shared" si="14"/>
        <v>26</v>
      </c>
      <c r="AC162" s="519" t="s">
        <v>3257</v>
      </c>
      <c r="AD162" s="518" t="s">
        <v>3751</v>
      </c>
      <c r="AE162" s="520" t="s">
        <v>3752</v>
      </c>
      <c r="AF162" s="504" t="s">
        <v>3279</v>
      </c>
      <c r="AG162" s="494" t="s">
        <v>2917</v>
      </c>
      <c r="AH162" s="494" t="s">
        <v>2917</v>
      </c>
      <c r="AI162" s="505"/>
      <c r="AJ162" s="505"/>
      <c r="AK162" s="521">
        <f>_xll.GetCtData("COAMOUNT","CONSAMOUNT",$B$1:$B$7,$B162,AK$9,"#")</f>
        <v>0</v>
      </c>
    </row>
    <row r="163" spans="2:37" ht="12" customHeight="1">
      <c r="B163" s="453" t="s">
        <v>414</v>
      </c>
      <c r="C163" s="482" t="s">
        <v>2929</v>
      </c>
      <c r="D163" s="483">
        <v>44403</v>
      </c>
      <c r="E163" s="484" t="s">
        <v>2930</v>
      </c>
      <c r="F163" s="485">
        <v>7</v>
      </c>
      <c r="G163" s="547"/>
      <c r="H163" s="547"/>
      <c r="I163" s="547"/>
      <c r="J163" s="547"/>
      <c r="K163" s="547"/>
      <c r="L163" s="547"/>
      <c r="M163" s="548"/>
      <c r="N163" s="517" t="s">
        <v>3753</v>
      </c>
      <c r="O163" s="518">
        <v>10</v>
      </c>
      <c r="P163" s="519" t="s">
        <v>796</v>
      </c>
      <c r="Q163" s="489">
        <v>29</v>
      </c>
      <c r="R163" s="519" t="s">
        <v>796</v>
      </c>
      <c r="S163" s="518">
        <f t="shared" si="10"/>
        <v>29</v>
      </c>
      <c r="T163" s="519" t="s">
        <v>3754</v>
      </c>
      <c r="U163" s="518">
        <f t="shared" si="11"/>
        <v>16</v>
      </c>
      <c r="V163" s="519" t="s">
        <v>3254</v>
      </c>
      <c r="W163" s="519" t="s">
        <v>3755</v>
      </c>
      <c r="X163" s="491">
        <f t="shared" si="12"/>
        <v>67</v>
      </c>
      <c r="Y163" s="519" t="s">
        <v>3755</v>
      </c>
      <c r="Z163" s="518">
        <f t="shared" si="13"/>
        <v>67</v>
      </c>
      <c r="AA163" s="519" t="s">
        <v>3756</v>
      </c>
      <c r="AB163" s="518">
        <f t="shared" si="14"/>
        <v>26</v>
      </c>
      <c r="AC163" s="519" t="s">
        <v>3257</v>
      </c>
      <c r="AD163" s="518" t="s">
        <v>3757</v>
      </c>
      <c r="AE163" s="520" t="s">
        <v>3758</v>
      </c>
      <c r="AF163" s="504" t="s">
        <v>3279</v>
      </c>
      <c r="AG163" s="494" t="s">
        <v>2917</v>
      </c>
      <c r="AH163" s="494" t="s">
        <v>2917</v>
      </c>
      <c r="AI163" s="505"/>
      <c r="AJ163" s="505"/>
      <c r="AK163" s="521">
        <f>_xll.GetCtData("COAMOUNT","CONSAMOUNT",$B$1:$B$7,$B163,AK$9,"#")</f>
        <v>0</v>
      </c>
    </row>
    <row r="164" spans="2:37" ht="12" customHeight="1">
      <c r="B164" s="453" t="s">
        <v>415</v>
      </c>
      <c r="C164" s="482" t="s">
        <v>2929</v>
      </c>
      <c r="D164" s="483">
        <v>44403</v>
      </c>
      <c r="E164" s="484" t="s">
        <v>2930</v>
      </c>
      <c r="F164" s="485">
        <v>7</v>
      </c>
      <c r="G164" s="547"/>
      <c r="H164" s="547"/>
      <c r="I164" s="547"/>
      <c r="J164" s="547"/>
      <c r="K164" s="547"/>
      <c r="L164" s="547"/>
      <c r="M164" s="548"/>
      <c r="N164" s="517" t="s">
        <v>3759</v>
      </c>
      <c r="O164" s="518">
        <v>10</v>
      </c>
      <c r="P164" s="519" t="s">
        <v>797</v>
      </c>
      <c r="Q164" s="489">
        <v>37</v>
      </c>
      <c r="R164" s="519" t="s">
        <v>797</v>
      </c>
      <c r="S164" s="518">
        <f t="shared" si="10"/>
        <v>37</v>
      </c>
      <c r="T164" s="519" t="s">
        <v>3760</v>
      </c>
      <c r="U164" s="518">
        <f t="shared" si="11"/>
        <v>16</v>
      </c>
      <c r="V164" s="519" t="s">
        <v>3254</v>
      </c>
      <c r="W164" s="519" t="s">
        <v>3761</v>
      </c>
      <c r="X164" s="491">
        <f t="shared" si="12"/>
        <v>61</v>
      </c>
      <c r="Y164" s="519" t="s">
        <v>3761</v>
      </c>
      <c r="Z164" s="518">
        <f t="shared" si="13"/>
        <v>61</v>
      </c>
      <c r="AA164" s="519" t="s">
        <v>3762</v>
      </c>
      <c r="AB164" s="518">
        <f t="shared" si="14"/>
        <v>22</v>
      </c>
      <c r="AC164" s="519" t="s">
        <v>3257</v>
      </c>
      <c r="AD164" s="518" t="s">
        <v>3763</v>
      </c>
      <c r="AE164" s="520" t="s">
        <v>3764</v>
      </c>
      <c r="AF164" s="504" t="s">
        <v>3279</v>
      </c>
      <c r="AG164" s="494" t="s">
        <v>2917</v>
      </c>
      <c r="AH164" s="494" t="s">
        <v>2917</v>
      </c>
      <c r="AI164" s="505"/>
      <c r="AJ164" s="505"/>
      <c r="AK164" s="521">
        <f>_xll.GetCtData("COAMOUNT","CONSAMOUNT",$B$1:$B$7,$B164,AK$9,"#")</f>
        <v>0</v>
      </c>
    </row>
    <row r="165" spans="2:37" ht="12" customHeight="1">
      <c r="B165" s="453" t="s">
        <v>3765</v>
      </c>
      <c r="C165" s="482" t="s">
        <v>2911</v>
      </c>
      <c r="D165" s="483">
        <v>44378</v>
      </c>
      <c r="E165" s="484" t="s">
        <v>2912</v>
      </c>
      <c r="F165" s="485">
        <v>5</v>
      </c>
      <c r="G165" s="482"/>
      <c r="H165" s="567"/>
      <c r="I165" s="567"/>
      <c r="J165" s="567"/>
      <c r="K165" s="567"/>
      <c r="L165" s="568" t="s">
        <v>3766</v>
      </c>
      <c r="M165" s="569"/>
      <c r="N165" s="585"/>
      <c r="O165" s="571">
        <v>8</v>
      </c>
      <c r="P165" s="572" t="s">
        <v>3767</v>
      </c>
      <c r="Q165" s="489">
        <v>22</v>
      </c>
      <c r="R165" s="572" t="s">
        <v>3767</v>
      </c>
      <c r="S165" s="571">
        <f t="shared" si="10"/>
        <v>22</v>
      </c>
      <c r="T165" s="572" t="s">
        <v>3768</v>
      </c>
      <c r="U165" s="571">
        <f t="shared" si="11"/>
        <v>11</v>
      </c>
      <c r="V165" s="573" t="s">
        <v>3254</v>
      </c>
      <c r="W165" s="573" t="s">
        <v>3769</v>
      </c>
      <c r="X165" s="491">
        <f t="shared" si="12"/>
        <v>48</v>
      </c>
      <c r="Y165" s="573" t="s">
        <v>3769</v>
      </c>
      <c r="Z165" s="571">
        <f t="shared" si="13"/>
        <v>48</v>
      </c>
      <c r="AA165" s="573" t="s">
        <v>3770</v>
      </c>
      <c r="AB165" s="571">
        <f t="shared" si="14"/>
        <v>18</v>
      </c>
      <c r="AC165" s="573" t="s">
        <v>3257</v>
      </c>
      <c r="AD165" s="571"/>
      <c r="AE165" s="575"/>
      <c r="AF165" s="504"/>
      <c r="AG165" s="494" t="s">
        <v>2917</v>
      </c>
      <c r="AH165" s="495" t="s">
        <v>2918</v>
      </c>
      <c r="AI165" s="505"/>
      <c r="AJ165" s="505"/>
      <c r="AK165" s="576">
        <f>_xll.GetCtData("COAMOUNT","CONSAMOUNT",$B$1:$B$7,$B165,AK$9,"#")</f>
        <v>0</v>
      </c>
    </row>
    <row r="166" spans="2:37" ht="12" customHeight="1">
      <c r="B166" s="453" t="s">
        <v>416</v>
      </c>
      <c r="C166" s="482" t="s">
        <v>2929</v>
      </c>
      <c r="D166" s="483">
        <v>44403</v>
      </c>
      <c r="E166" s="484" t="s">
        <v>2930</v>
      </c>
      <c r="F166" s="485">
        <v>7</v>
      </c>
      <c r="G166" s="547"/>
      <c r="H166" s="547"/>
      <c r="I166" s="547"/>
      <c r="J166" s="547"/>
      <c r="K166" s="547"/>
      <c r="L166" s="547"/>
      <c r="M166" s="548"/>
      <c r="N166" s="517" t="s">
        <v>3771</v>
      </c>
      <c r="O166" s="518">
        <v>10</v>
      </c>
      <c r="P166" s="519" t="s">
        <v>798</v>
      </c>
      <c r="Q166" s="489">
        <v>45</v>
      </c>
      <c r="R166" s="519" t="s">
        <v>3772</v>
      </c>
      <c r="S166" s="518">
        <f t="shared" si="10"/>
        <v>38</v>
      </c>
      <c r="T166" s="519" t="s">
        <v>3773</v>
      </c>
      <c r="U166" s="518">
        <f t="shared" si="11"/>
        <v>19</v>
      </c>
      <c r="V166" s="519" t="s">
        <v>3254</v>
      </c>
      <c r="W166" s="519" t="s">
        <v>3774</v>
      </c>
      <c r="X166" s="491">
        <f t="shared" si="12"/>
        <v>68</v>
      </c>
      <c r="Y166" s="519" t="s">
        <v>3774</v>
      </c>
      <c r="Z166" s="518">
        <f t="shared" si="13"/>
        <v>68</v>
      </c>
      <c r="AA166" s="519" t="s">
        <v>3775</v>
      </c>
      <c r="AB166" s="518">
        <f t="shared" si="14"/>
        <v>28</v>
      </c>
      <c r="AC166" s="519" t="s">
        <v>3257</v>
      </c>
      <c r="AD166" s="518" t="s">
        <v>3776</v>
      </c>
      <c r="AE166" s="520" t="s">
        <v>3777</v>
      </c>
      <c r="AF166" s="504" t="s">
        <v>3279</v>
      </c>
      <c r="AG166" s="494" t="s">
        <v>2917</v>
      </c>
      <c r="AH166" s="494" t="s">
        <v>2917</v>
      </c>
      <c r="AI166" s="505"/>
      <c r="AJ166" s="505"/>
      <c r="AK166" s="521">
        <f>_xll.GetCtData("COAMOUNT","CONSAMOUNT",$B$1:$B$7,$B166,AK$9,"#")</f>
        <v>0</v>
      </c>
    </row>
    <row r="167" spans="2:37" ht="12" customHeight="1">
      <c r="B167" s="453" t="s">
        <v>417</v>
      </c>
      <c r="C167" s="482" t="s">
        <v>2929</v>
      </c>
      <c r="D167" s="483">
        <v>44403</v>
      </c>
      <c r="E167" s="484" t="s">
        <v>2930</v>
      </c>
      <c r="F167" s="485">
        <v>7</v>
      </c>
      <c r="G167" s="547"/>
      <c r="H167" s="547"/>
      <c r="I167" s="547"/>
      <c r="J167" s="547"/>
      <c r="K167" s="547"/>
      <c r="L167" s="547"/>
      <c r="M167" s="548"/>
      <c r="N167" s="517" t="s">
        <v>3778</v>
      </c>
      <c r="O167" s="518">
        <v>10</v>
      </c>
      <c r="P167" s="519" t="s">
        <v>799</v>
      </c>
      <c r="Q167" s="489">
        <v>63</v>
      </c>
      <c r="R167" s="519" t="s">
        <v>799</v>
      </c>
      <c r="S167" s="518">
        <f t="shared" si="10"/>
        <v>63</v>
      </c>
      <c r="T167" s="519" t="s">
        <v>3779</v>
      </c>
      <c r="U167" s="518">
        <f t="shared" si="11"/>
        <v>20</v>
      </c>
      <c r="V167" s="519" t="s">
        <v>3254</v>
      </c>
      <c r="W167" s="519" t="s">
        <v>3780</v>
      </c>
      <c r="X167" s="491">
        <f t="shared" si="12"/>
        <v>91</v>
      </c>
      <c r="Y167" s="519" t="s">
        <v>3780</v>
      </c>
      <c r="Z167" s="518">
        <f t="shared" si="13"/>
        <v>91</v>
      </c>
      <c r="AA167" s="519" t="s">
        <v>3781</v>
      </c>
      <c r="AB167" s="518">
        <f t="shared" si="14"/>
        <v>26</v>
      </c>
      <c r="AC167" s="519" t="s">
        <v>3257</v>
      </c>
      <c r="AD167" s="518" t="s">
        <v>3782</v>
      </c>
      <c r="AE167" s="520" t="s">
        <v>3783</v>
      </c>
      <c r="AF167" s="504" t="s">
        <v>3279</v>
      </c>
      <c r="AG167" s="494" t="s">
        <v>2917</v>
      </c>
      <c r="AH167" s="494" t="s">
        <v>2917</v>
      </c>
      <c r="AI167" s="505"/>
      <c r="AJ167" s="505"/>
      <c r="AK167" s="521">
        <f>_xll.GetCtData("COAMOUNT","CONSAMOUNT",$B$1:$B$7,$B167,AK$9,"#")</f>
        <v>0</v>
      </c>
    </row>
    <row r="168" spans="2:37" ht="12" customHeight="1">
      <c r="B168" s="453" t="s">
        <v>418</v>
      </c>
      <c r="C168" s="482" t="s">
        <v>2929</v>
      </c>
      <c r="D168" s="483">
        <v>44403</v>
      </c>
      <c r="E168" s="484" t="s">
        <v>2930</v>
      </c>
      <c r="F168" s="485">
        <v>7</v>
      </c>
      <c r="G168" s="547"/>
      <c r="H168" s="547"/>
      <c r="I168" s="547"/>
      <c r="J168" s="547"/>
      <c r="K168" s="547"/>
      <c r="L168" s="547"/>
      <c r="M168" s="548"/>
      <c r="N168" s="517" t="s">
        <v>3784</v>
      </c>
      <c r="O168" s="518">
        <v>10</v>
      </c>
      <c r="P168" s="519" t="s">
        <v>800</v>
      </c>
      <c r="Q168" s="489">
        <v>29</v>
      </c>
      <c r="R168" s="519" t="s">
        <v>800</v>
      </c>
      <c r="S168" s="518">
        <f t="shared" si="10"/>
        <v>29</v>
      </c>
      <c r="T168" s="519" t="s">
        <v>3785</v>
      </c>
      <c r="U168" s="518">
        <f t="shared" si="11"/>
        <v>16</v>
      </c>
      <c r="V168" s="519" t="s">
        <v>3254</v>
      </c>
      <c r="W168" s="519" t="s">
        <v>3786</v>
      </c>
      <c r="X168" s="491">
        <f t="shared" si="12"/>
        <v>67</v>
      </c>
      <c r="Y168" s="519" t="s">
        <v>3786</v>
      </c>
      <c r="Z168" s="518">
        <f t="shared" si="13"/>
        <v>67</v>
      </c>
      <c r="AA168" s="519" t="s">
        <v>3787</v>
      </c>
      <c r="AB168" s="518">
        <f t="shared" si="14"/>
        <v>26</v>
      </c>
      <c r="AC168" s="519" t="s">
        <v>3257</v>
      </c>
      <c r="AD168" s="518" t="s">
        <v>3788</v>
      </c>
      <c r="AE168" s="520" t="s">
        <v>3789</v>
      </c>
      <c r="AF168" s="504" t="s">
        <v>3279</v>
      </c>
      <c r="AG168" s="494" t="s">
        <v>2917</v>
      </c>
      <c r="AH168" s="494" t="s">
        <v>2917</v>
      </c>
      <c r="AI168" s="505"/>
      <c r="AJ168" s="505"/>
      <c r="AK168" s="521">
        <f>_xll.GetCtData("COAMOUNT","CONSAMOUNT",$B$1:$B$7,$B168,AK$9,"#")</f>
        <v>0</v>
      </c>
    </row>
    <row r="169" spans="2:37" ht="12" customHeight="1">
      <c r="B169" s="453" t="s">
        <v>419</v>
      </c>
      <c r="C169" s="482" t="s">
        <v>2929</v>
      </c>
      <c r="D169" s="483">
        <v>44403</v>
      </c>
      <c r="E169" s="484" t="s">
        <v>2930</v>
      </c>
      <c r="F169" s="485">
        <v>7</v>
      </c>
      <c r="G169" s="547"/>
      <c r="H169" s="547"/>
      <c r="I169" s="547"/>
      <c r="J169" s="547"/>
      <c r="K169" s="547"/>
      <c r="L169" s="547"/>
      <c r="M169" s="548"/>
      <c r="N169" s="517" t="s">
        <v>3790</v>
      </c>
      <c r="O169" s="518">
        <v>10</v>
      </c>
      <c r="P169" s="519" t="s">
        <v>801</v>
      </c>
      <c r="Q169" s="489">
        <v>37</v>
      </c>
      <c r="R169" s="519" t="s">
        <v>801</v>
      </c>
      <c r="S169" s="518">
        <f t="shared" si="10"/>
        <v>37</v>
      </c>
      <c r="T169" s="519" t="s">
        <v>3791</v>
      </c>
      <c r="U169" s="518">
        <f t="shared" si="11"/>
        <v>16</v>
      </c>
      <c r="V169" s="519" t="s">
        <v>3254</v>
      </c>
      <c r="W169" s="519" t="s">
        <v>3792</v>
      </c>
      <c r="X169" s="491">
        <f t="shared" si="12"/>
        <v>61</v>
      </c>
      <c r="Y169" s="519" t="s">
        <v>3792</v>
      </c>
      <c r="Z169" s="518">
        <f t="shared" si="13"/>
        <v>61</v>
      </c>
      <c r="AA169" s="519" t="s">
        <v>3793</v>
      </c>
      <c r="AB169" s="518">
        <f t="shared" si="14"/>
        <v>22</v>
      </c>
      <c r="AC169" s="519" t="s">
        <v>3257</v>
      </c>
      <c r="AD169" s="518" t="s">
        <v>3794</v>
      </c>
      <c r="AE169" s="520" t="s">
        <v>3795</v>
      </c>
      <c r="AF169" s="504" t="s">
        <v>3279</v>
      </c>
      <c r="AG169" s="494" t="s">
        <v>2917</v>
      </c>
      <c r="AH169" s="494" t="s">
        <v>2917</v>
      </c>
      <c r="AI169" s="505"/>
      <c r="AJ169" s="505"/>
      <c r="AK169" s="521">
        <f>_xll.GetCtData("COAMOUNT","CONSAMOUNT",$B$1:$B$7,$B169,AK$9,"#")</f>
        <v>0</v>
      </c>
    </row>
    <row r="170" spans="2:37" ht="12" customHeight="1">
      <c r="B170" s="453" t="s">
        <v>3796</v>
      </c>
      <c r="C170" s="482" t="s">
        <v>2911</v>
      </c>
      <c r="D170" s="483">
        <v>44378</v>
      </c>
      <c r="E170" s="484" t="s">
        <v>2912</v>
      </c>
      <c r="F170" s="485">
        <v>5</v>
      </c>
      <c r="G170" s="482"/>
      <c r="H170" s="567"/>
      <c r="I170" s="567"/>
      <c r="J170" s="567"/>
      <c r="K170" s="567"/>
      <c r="L170" s="568" t="s">
        <v>3797</v>
      </c>
      <c r="M170" s="569"/>
      <c r="N170" s="585"/>
      <c r="O170" s="571">
        <v>8</v>
      </c>
      <c r="P170" s="572" t="s">
        <v>3798</v>
      </c>
      <c r="Q170" s="489">
        <v>22</v>
      </c>
      <c r="R170" s="572" t="s">
        <v>3798</v>
      </c>
      <c r="S170" s="571">
        <f t="shared" si="10"/>
        <v>22</v>
      </c>
      <c r="T170" s="572" t="s">
        <v>3799</v>
      </c>
      <c r="U170" s="571">
        <f t="shared" si="11"/>
        <v>11</v>
      </c>
      <c r="V170" s="573" t="s">
        <v>3254</v>
      </c>
      <c r="W170" s="573" t="s">
        <v>3800</v>
      </c>
      <c r="X170" s="491">
        <f t="shared" si="12"/>
        <v>48</v>
      </c>
      <c r="Y170" s="573" t="s">
        <v>3800</v>
      </c>
      <c r="Z170" s="571">
        <f t="shared" si="13"/>
        <v>48</v>
      </c>
      <c r="AA170" s="573" t="s">
        <v>3801</v>
      </c>
      <c r="AB170" s="571">
        <f t="shared" si="14"/>
        <v>18</v>
      </c>
      <c r="AC170" s="573" t="s">
        <v>3257</v>
      </c>
      <c r="AD170" s="571"/>
      <c r="AE170" s="575"/>
      <c r="AF170" s="504"/>
      <c r="AG170" s="494" t="s">
        <v>2917</v>
      </c>
      <c r="AH170" s="495" t="s">
        <v>2918</v>
      </c>
      <c r="AI170" s="505"/>
      <c r="AJ170" s="505"/>
      <c r="AK170" s="576">
        <f>_xll.GetCtData("COAMOUNT","CONSAMOUNT",$B$1:$B$7,$B170,AK$9,"#")</f>
        <v>0</v>
      </c>
    </row>
    <row r="171" spans="2:37" ht="12" customHeight="1">
      <c r="B171" s="453" t="s">
        <v>420</v>
      </c>
      <c r="C171" s="482" t="s">
        <v>2929</v>
      </c>
      <c r="D171" s="483">
        <v>44403</v>
      </c>
      <c r="E171" s="484" t="s">
        <v>2930</v>
      </c>
      <c r="F171" s="485">
        <v>7</v>
      </c>
      <c r="G171" s="547"/>
      <c r="H171" s="547"/>
      <c r="I171" s="547"/>
      <c r="J171" s="547"/>
      <c r="K171" s="547"/>
      <c r="L171" s="547"/>
      <c r="M171" s="548"/>
      <c r="N171" s="517" t="s">
        <v>3802</v>
      </c>
      <c r="O171" s="518">
        <v>10</v>
      </c>
      <c r="P171" s="519" t="s">
        <v>802</v>
      </c>
      <c r="Q171" s="489">
        <v>45</v>
      </c>
      <c r="R171" s="519" t="s">
        <v>3803</v>
      </c>
      <c r="S171" s="518">
        <f t="shared" si="10"/>
        <v>38</v>
      </c>
      <c r="T171" s="519" t="s">
        <v>3804</v>
      </c>
      <c r="U171" s="518">
        <f t="shared" si="11"/>
        <v>19</v>
      </c>
      <c r="V171" s="519" t="s">
        <v>3254</v>
      </c>
      <c r="W171" s="519" t="s">
        <v>3805</v>
      </c>
      <c r="X171" s="491">
        <f t="shared" si="12"/>
        <v>68</v>
      </c>
      <c r="Y171" s="519" t="s">
        <v>3805</v>
      </c>
      <c r="Z171" s="518">
        <f t="shared" si="13"/>
        <v>68</v>
      </c>
      <c r="AA171" s="519" t="s">
        <v>3806</v>
      </c>
      <c r="AB171" s="518">
        <f t="shared" si="14"/>
        <v>28</v>
      </c>
      <c r="AC171" s="519" t="s">
        <v>3257</v>
      </c>
      <c r="AD171" s="518" t="s">
        <v>3807</v>
      </c>
      <c r="AE171" s="520" t="s">
        <v>3808</v>
      </c>
      <c r="AF171" s="504" t="s">
        <v>3342</v>
      </c>
      <c r="AG171" s="494" t="s">
        <v>2917</v>
      </c>
      <c r="AH171" s="494" t="s">
        <v>2917</v>
      </c>
      <c r="AI171" s="505"/>
      <c r="AJ171" s="505"/>
      <c r="AK171" s="521">
        <f>_xll.GetCtData("COAMOUNT","CONSAMOUNT",$B$1:$B$7,$B171,AK$9,"#")</f>
        <v>0</v>
      </c>
    </row>
    <row r="172" spans="2:37" ht="12" customHeight="1">
      <c r="B172" s="453" t="s">
        <v>421</v>
      </c>
      <c r="C172" s="482" t="s">
        <v>2929</v>
      </c>
      <c r="D172" s="483">
        <v>44403</v>
      </c>
      <c r="E172" s="484" t="s">
        <v>2930</v>
      </c>
      <c r="F172" s="485">
        <v>7</v>
      </c>
      <c r="G172" s="547"/>
      <c r="H172" s="547"/>
      <c r="I172" s="547"/>
      <c r="J172" s="547"/>
      <c r="K172" s="547"/>
      <c r="L172" s="547"/>
      <c r="M172" s="548"/>
      <c r="N172" s="517" t="s">
        <v>3809</v>
      </c>
      <c r="O172" s="518">
        <v>10</v>
      </c>
      <c r="P172" s="519" t="s">
        <v>803</v>
      </c>
      <c r="Q172" s="489">
        <v>63</v>
      </c>
      <c r="R172" s="519" t="s">
        <v>803</v>
      </c>
      <c r="S172" s="518">
        <f t="shared" si="10"/>
        <v>63</v>
      </c>
      <c r="T172" s="519" t="s">
        <v>3810</v>
      </c>
      <c r="U172" s="518">
        <f t="shared" si="11"/>
        <v>20</v>
      </c>
      <c r="V172" s="519" t="s">
        <v>3254</v>
      </c>
      <c r="W172" s="519" t="s">
        <v>3811</v>
      </c>
      <c r="X172" s="491">
        <f t="shared" si="12"/>
        <v>91</v>
      </c>
      <c r="Y172" s="519" t="s">
        <v>3811</v>
      </c>
      <c r="Z172" s="518">
        <f t="shared" si="13"/>
        <v>91</v>
      </c>
      <c r="AA172" s="519" t="s">
        <v>3812</v>
      </c>
      <c r="AB172" s="518">
        <f t="shared" si="14"/>
        <v>26</v>
      </c>
      <c r="AC172" s="519" t="s">
        <v>3257</v>
      </c>
      <c r="AD172" s="518" t="s">
        <v>3813</v>
      </c>
      <c r="AE172" s="520" t="s">
        <v>3814</v>
      </c>
      <c r="AF172" s="504" t="s">
        <v>3342</v>
      </c>
      <c r="AG172" s="494" t="s">
        <v>2917</v>
      </c>
      <c r="AH172" s="494" t="s">
        <v>2917</v>
      </c>
      <c r="AI172" s="505"/>
      <c r="AJ172" s="505"/>
      <c r="AK172" s="521">
        <f>_xll.GetCtData("COAMOUNT","CONSAMOUNT",$B$1:$B$7,$B172,AK$9,"#")</f>
        <v>0</v>
      </c>
    </row>
    <row r="173" spans="2:37" ht="12" customHeight="1">
      <c r="B173" s="453" t="s">
        <v>422</v>
      </c>
      <c r="C173" s="482" t="s">
        <v>2929</v>
      </c>
      <c r="D173" s="483">
        <v>44403</v>
      </c>
      <c r="E173" s="484" t="s">
        <v>2930</v>
      </c>
      <c r="F173" s="485">
        <v>7</v>
      </c>
      <c r="G173" s="547"/>
      <c r="H173" s="547"/>
      <c r="I173" s="547"/>
      <c r="J173" s="547"/>
      <c r="K173" s="547"/>
      <c r="L173" s="547"/>
      <c r="M173" s="548"/>
      <c r="N173" s="517" t="s">
        <v>3815</v>
      </c>
      <c r="O173" s="518">
        <v>10</v>
      </c>
      <c r="P173" s="519" t="s">
        <v>804</v>
      </c>
      <c r="Q173" s="489">
        <v>29</v>
      </c>
      <c r="R173" s="519" t="s">
        <v>804</v>
      </c>
      <c r="S173" s="518">
        <f t="shared" si="10"/>
        <v>29</v>
      </c>
      <c r="T173" s="519" t="s">
        <v>3816</v>
      </c>
      <c r="U173" s="518">
        <f t="shared" si="11"/>
        <v>16</v>
      </c>
      <c r="V173" s="519" t="s">
        <v>3254</v>
      </c>
      <c r="W173" s="519" t="s">
        <v>3817</v>
      </c>
      <c r="X173" s="491">
        <f t="shared" si="12"/>
        <v>67</v>
      </c>
      <c r="Y173" s="519" t="s">
        <v>3817</v>
      </c>
      <c r="Z173" s="518">
        <f t="shared" si="13"/>
        <v>67</v>
      </c>
      <c r="AA173" s="519" t="s">
        <v>3818</v>
      </c>
      <c r="AB173" s="518">
        <f t="shared" si="14"/>
        <v>26</v>
      </c>
      <c r="AC173" s="519" t="s">
        <v>3257</v>
      </c>
      <c r="AD173" s="518" t="s">
        <v>3819</v>
      </c>
      <c r="AE173" s="520" t="s">
        <v>3820</v>
      </c>
      <c r="AF173" s="504" t="s">
        <v>3342</v>
      </c>
      <c r="AG173" s="494" t="s">
        <v>2917</v>
      </c>
      <c r="AH173" s="494" t="s">
        <v>2917</v>
      </c>
      <c r="AI173" s="505"/>
      <c r="AJ173" s="505"/>
      <c r="AK173" s="521">
        <f>_xll.GetCtData("COAMOUNT","CONSAMOUNT",$B$1:$B$7,$B173,AK$9,"#")</f>
        <v>0</v>
      </c>
    </row>
    <row r="174" spans="2:37" ht="12" customHeight="1">
      <c r="B174" s="453" t="s">
        <v>423</v>
      </c>
      <c r="C174" s="482" t="s">
        <v>2929</v>
      </c>
      <c r="D174" s="483">
        <v>44403</v>
      </c>
      <c r="E174" s="484" t="s">
        <v>2930</v>
      </c>
      <c r="F174" s="485">
        <v>7</v>
      </c>
      <c r="G174" s="547"/>
      <c r="H174" s="547"/>
      <c r="I174" s="547"/>
      <c r="J174" s="547"/>
      <c r="K174" s="547"/>
      <c r="L174" s="547"/>
      <c r="M174" s="548"/>
      <c r="N174" s="517" t="s">
        <v>3821</v>
      </c>
      <c r="O174" s="518">
        <v>10</v>
      </c>
      <c r="P174" s="519" t="s">
        <v>805</v>
      </c>
      <c r="Q174" s="489">
        <v>37</v>
      </c>
      <c r="R174" s="519" t="s">
        <v>805</v>
      </c>
      <c r="S174" s="518">
        <f t="shared" si="10"/>
        <v>37</v>
      </c>
      <c r="T174" s="519" t="s">
        <v>3822</v>
      </c>
      <c r="U174" s="518">
        <f t="shared" si="11"/>
        <v>16</v>
      </c>
      <c r="V174" s="519" t="s">
        <v>3254</v>
      </c>
      <c r="W174" s="519" t="s">
        <v>3823</v>
      </c>
      <c r="X174" s="491">
        <f t="shared" si="12"/>
        <v>61</v>
      </c>
      <c r="Y174" s="519" t="s">
        <v>3823</v>
      </c>
      <c r="Z174" s="518">
        <f t="shared" si="13"/>
        <v>61</v>
      </c>
      <c r="AA174" s="519" t="s">
        <v>3824</v>
      </c>
      <c r="AB174" s="518">
        <f t="shared" si="14"/>
        <v>22</v>
      </c>
      <c r="AC174" s="519" t="s">
        <v>3257</v>
      </c>
      <c r="AD174" s="518" t="s">
        <v>3825</v>
      </c>
      <c r="AE174" s="520" t="s">
        <v>3826</v>
      </c>
      <c r="AF174" s="504" t="s">
        <v>3342</v>
      </c>
      <c r="AG174" s="494" t="s">
        <v>2917</v>
      </c>
      <c r="AH174" s="494" t="s">
        <v>2917</v>
      </c>
      <c r="AI174" s="505"/>
      <c r="AJ174" s="505"/>
      <c r="AK174" s="521">
        <f>_xll.GetCtData("COAMOUNT","CONSAMOUNT",$B$1:$B$7,$B174,AK$9,"#")</f>
        <v>0</v>
      </c>
    </row>
    <row r="175" spans="2:37" ht="12" customHeight="1">
      <c r="B175" s="453" t="s">
        <v>3827</v>
      </c>
      <c r="C175" s="482" t="s">
        <v>2911</v>
      </c>
      <c r="D175" s="483">
        <v>44378</v>
      </c>
      <c r="E175" s="484" t="s">
        <v>2912</v>
      </c>
      <c r="F175" s="485">
        <v>5</v>
      </c>
      <c r="G175" s="482"/>
      <c r="H175" s="567"/>
      <c r="I175" s="567"/>
      <c r="J175" s="567"/>
      <c r="K175" s="567"/>
      <c r="L175" s="568" t="s">
        <v>3828</v>
      </c>
      <c r="M175" s="569"/>
      <c r="N175" s="585"/>
      <c r="O175" s="571">
        <v>8</v>
      </c>
      <c r="P175" s="572" t="s">
        <v>3829</v>
      </c>
      <c r="Q175" s="489">
        <v>24</v>
      </c>
      <c r="R175" s="572" t="s">
        <v>3829</v>
      </c>
      <c r="S175" s="571">
        <f t="shared" si="10"/>
        <v>24</v>
      </c>
      <c r="T175" s="572" t="s">
        <v>3830</v>
      </c>
      <c r="U175" s="571">
        <f t="shared" si="11"/>
        <v>13</v>
      </c>
      <c r="V175" s="573" t="s">
        <v>3254</v>
      </c>
      <c r="W175" s="573" t="s">
        <v>3831</v>
      </c>
      <c r="X175" s="491">
        <f t="shared" si="12"/>
        <v>50</v>
      </c>
      <c r="Y175" s="573" t="s">
        <v>3831</v>
      </c>
      <c r="Z175" s="571">
        <f t="shared" si="13"/>
        <v>50</v>
      </c>
      <c r="AA175" s="573" t="s">
        <v>3832</v>
      </c>
      <c r="AB175" s="571">
        <f t="shared" si="14"/>
        <v>20</v>
      </c>
      <c r="AC175" s="573" t="s">
        <v>3257</v>
      </c>
      <c r="AD175" s="571"/>
      <c r="AE175" s="575"/>
      <c r="AF175" s="504"/>
      <c r="AG175" s="494" t="s">
        <v>2917</v>
      </c>
      <c r="AH175" s="495" t="s">
        <v>2918</v>
      </c>
      <c r="AI175" s="505"/>
      <c r="AJ175" s="505"/>
      <c r="AK175" s="576">
        <f>_xll.GetCtData("COAMOUNT","CONSAMOUNT",$B$1:$B$7,$B175,AK$9,"#")</f>
        <v>0</v>
      </c>
    </row>
    <row r="176" spans="2:37" ht="12" customHeight="1">
      <c r="B176" s="453" t="s">
        <v>424</v>
      </c>
      <c r="C176" s="482" t="s">
        <v>2929</v>
      </c>
      <c r="D176" s="483">
        <v>44403</v>
      </c>
      <c r="E176" s="484" t="s">
        <v>2930</v>
      </c>
      <c r="F176" s="485">
        <v>7</v>
      </c>
      <c r="G176" s="547"/>
      <c r="H176" s="547"/>
      <c r="I176" s="547"/>
      <c r="J176" s="547"/>
      <c r="K176" s="547"/>
      <c r="L176" s="547"/>
      <c r="M176" s="548"/>
      <c r="N176" s="517" t="s">
        <v>3833</v>
      </c>
      <c r="O176" s="518">
        <v>10</v>
      </c>
      <c r="P176" s="519" t="s">
        <v>806</v>
      </c>
      <c r="Q176" s="489">
        <v>47</v>
      </c>
      <c r="R176" s="519" t="s">
        <v>3834</v>
      </c>
      <c r="S176" s="518">
        <f t="shared" si="10"/>
        <v>40</v>
      </c>
      <c r="T176" s="519" t="s">
        <v>3835</v>
      </c>
      <c r="U176" s="518">
        <f t="shared" si="11"/>
        <v>21</v>
      </c>
      <c r="V176" s="519" t="s">
        <v>3254</v>
      </c>
      <c r="W176" s="519" t="s">
        <v>3836</v>
      </c>
      <c r="X176" s="491">
        <f t="shared" si="12"/>
        <v>70</v>
      </c>
      <c r="Y176" s="519" t="s">
        <v>3836</v>
      </c>
      <c r="Z176" s="518">
        <f t="shared" si="13"/>
        <v>70</v>
      </c>
      <c r="AA176" s="519" t="s">
        <v>3837</v>
      </c>
      <c r="AB176" s="518">
        <f t="shared" si="14"/>
        <v>30</v>
      </c>
      <c r="AC176" s="519" t="s">
        <v>3257</v>
      </c>
      <c r="AD176" s="518" t="s">
        <v>3807</v>
      </c>
      <c r="AE176" s="520" t="s">
        <v>3808</v>
      </c>
      <c r="AF176" s="504" t="s">
        <v>2939</v>
      </c>
      <c r="AG176" s="494" t="s">
        <v>2917</v>
      </c>
      <c r="AH176" s="494" t="s">
        <v>2917</v>
      </c>
      <c r="AI176" s="505"/>
      <c r="AJ176" s="505"/>
      <c r="AK176" s="521">
        <f>_xll.GetCtData("COAMOUNT","CONSAMOUNT",$B$1:$B$7,$B176,AK$9,"#")</f>
        <v>0</v>
      </c>
    </row>
    <row r="177" spans="2:37" ht="12" customHeight="1">
      <c r="B177" s="453" t="s">
        <v>425</v>
      </c>
      <c r="C177" s="482" t="s">
        <v>2929</v>
      </c>
      <c r="D177" s="483">
        <v>44403</v>
      </c>
      <c r="E177" s="484" t="s">
        <v>2930</v>
      </c>
      <c r="F177" s="485">
        <v>7</v>
      </c>
      <c r="G177" s="547"/>
      <c r="H177" s="547"/>
      <c r="I177" s="547"/>
      <c r="J177" s="547"/>
      <c r="K177" s="547"/>
      <c r="L177" s="547"/>
      <c r="M177" s="548"/>
      <c r="N177" s="517" t="s">
        <v>3838</v>
      </c>
      <c r="O177" s="518">
        <v>10</v>
      </c>
      <c r="P177" s="519" t="s">
        <v>807</v>
      </c>
      <c r="Q177" s="489">
        <v>65</v>
      </c>
      <c r="R177" s="519" t="s">
        <v>807</v>
      </c>
      <c r="S177" s="518">
        <f t="shared" si="10"/>
        <v>65</v>
      </c>
      <c r="T177" s="519" t="s">
        <v>3839</v>
      </c>
      <c r="U177" s="518">
        <f t="shared" si="11"/>
        <v>22</v>
      </c>
      <c r="V177" s="519" t="s">
        <v>3254</v>
      </c>
      <c r="W177" s="519" t="s">
        <v>3840</v>
      </c>
      <c r="X177" s="491">
        <f t="shared" si="12"/>
        <v>93</v>
      </c>
      <c r="Y177" s="519" t="s">
        <v>3840</v>
      </c>
      <c r="Z177" s="518">
        <f t="shared" si="13"/>
        <v>93</v>
      </c>
      <c r="AA177" s="519" t="s">
        <v>3841</v>
      </c>
      <c r="AB177" s="518">
        <f t="shared" si="14"/>
        <v>30</v>
      </c>
      <c r="AC177" s="519" t="s">
        <v>3257</v>
      </c>
      <c r="AD177" s="518" t="s">
        <v>3813</v>
      </c>
      <c r="AE177" s="520" t="s">
        <v>3814</v>
      </c>
      <c r="AF177" s="504" t="s">
        <v>2939</v>
      </c>
      <c r="AG177" s="494" t="s">
        <v>2917</v>
      </c>
      <c r="AH177" s="494" t="s">
        <v>2917</v>
      </c>
      <c r="AI177" s="505"/>
      <c r="AJ177" s="505"/>
      <c r="AK177" s="521">
        <f>_xll.GetCtData("COAMOUNT","CONSAMOUNT",$B$1:$B$7,$B177,AK$9,"#")</f>
        <v>0</v>
      </c>
    </row>
    <row r="178" spans="2:37" ht="12" customHeight="1">
      <c r="B178" s="453" t="s">
        <v>426</v>
      </c>
      <c r="C178" s="482" t="s">
        <v>2929</v>
      </c>
      <c r="D178" s="483">
        <v>44403</v>
      </c>
      <c r="E178" s="484" t="s">
        <v>2930</v>
      </c>
      <c r="F178" s="485">
        <v>7</v>
      </c>
      <c r="G178" s="547"/>
      <c r="H178" s="547"/>
      <c r="I178" s="547"/>
      <c r="J178" s="547"/>
      <c r="K178" s="547"/>
      <c r="L178" s="547"/>
      <c r="M178" s="548"/>
      <c r="N178" s="517" t="s">
        <v>3842</v>
      </c>
      <c r="O178" s="518">
        <v>10</v>
      </c>
      <c r="P178" s="519" t="s">
        <v>808</v>
      </c>
      <c r="Q178" s="489">
        <v>31</v>
      </c>
      <c r="R178" s="519" t="s">
        <v>808</v>
      </c>
      <c r="S178" s="518">
        <f t="shared" si="10"/>
        <v>31</v>
      </c>
      <c r="T178" s="519" t="s">
        <v>3843</v>
      </c>
      <c r="U178" s="518">
        <f t="shared" si="11"/>
        <v>18</v>
      </c>
      <c r="V178" s="519" t="s">
        <v>3254</v>
      </c>
      <c r="W178" s="519" t="s">
        <v>3844</v>
      </c>
      <c r="X178" s="491">
        <f t="shared" si="12"/>
        <v>69</v>
      </c>
      <c r="Y178" s="519" t="s">
        <v>3844</v>
      </c>
      <c r="Z178" s="518">
        <f t="shared" si="13"/>
        <v>69</v>
      </c>
      <c r="AA178" s="519" t="s">
        <v>3845</v>
      </c>
      <c r="AB178" s="518">
        <f t="shared" si="14"/>
        <v>29</v>
      </c>
      <c r="AC178" s="519" t="s">
        <v>3257</v>
      </c>
      <c r="AD178" s="518" t="s">
        <v>3819</v>
      </c>
      <c r="AE178" s="520" t="s">
        <v>3820</v>
      </c>
      <c r="AF178" s="504" t="s">
        <v>2939</v>
      </c>
      <c r="AG178" s="494" t="s">
        <v>2917</v>
      </c>
      <c r="AH178" s="494" t="s">
        <v>2917</v>
      </c>
      <c r="AI178" s="505"/>
      <c r="AJ178" s="505"/>
      <c r="AK178" s="521">
        <f>_xll.GetCtData("COAMOUNT","CONSAMOUNT",$B$1:$B$7,$B178,AK$9,"#")</f>
        <v>0</v>
      </c>
    </row>
    <row r="179" spans="2:37" ht="12" customHeight="1">
      <c r="B179" s="453" t="s">
        <v>427</v>
      </c>
      <c r="C179" s="482" t="s">
        <v>2929</v>
      </c>
      <c r="D179" s="483">
        <v>44403</v>
      </c>
      <c r="E179" s="484" t="s">
        <v>2930</v>
      </c>
      <c r="F179" s="485">
        <v>7</v>
      </c>
      <c r="G179" s="547"/>
      <c r="H179" s="547"/>
      <c r="I179" s="547"/>
      <c r="J179" s="547"/>
      <c r="K179" s="547"/>
      <c r="L179" s="547"/>
      <c r="M179" s="548"/>
      <c r="N179" s="517" t="s">
        <v>3846</v>
      </c>
      <c r="O179" s="518">
        <v>10</v>
      </c>
      <c r="P179" s="519" t="s">
        <v>809</v>
      </c>
      <c r="Q179" s="489">
        <v>39</v>
      </c>
      <c r="R179" s="519" t="s">
        <v>809</v>
      </c>
      <c r="S179" s="518">
        <f t="shared" si="10"/>
        <v>39</v>
      </c>
      <c r="T179" s="519" t="s">
        <v>3847</v>
      </c>
      <c r="U179" s="518">
        <f t="shared" si="11"/>
        <v>18</v>
      </c>
      <c r="V179" s="519" t="s">
        <v>3254</v>
      </c>
      <c r="W179" s="519" t="s">
        <v>3848</v>
      </c>
      <c r="X179" s="491">
        <f t="shared" si="12"/>
        <v>63</v>
      </c>
      <c r="Y179" s="519" t="s">
        <v>3848</v>
      </c>
      <c r="Z179" s="518">
        <f t="shared" si="13"/>
        <v>63</v>
      </c>
      <c r="AA179" s="519" t="s">
        <v>3849</v>
      </c>
      <c r="AB179" s="518">
        <f t="shared" si="14"/>
        <v>24</v>
      </c>
      <c r="AC179" s="519" t="s">
        <v>3257</v>
      </c>
      <c r="AD179" s="518" t="s">
        <v>3825</v>
      </c>
      <c r="AE179" s="520" t="s">
        <v>3826</v>
      </c>
      <c r="AF179" s="504" t="s">
        <v>2939</v>
      </c>
      <c r="AG179" s="494" t="s">
        <v>2917</v>
      </c>
      <c r="AH179" s="494" t="s">
        <v>2917</v>
      </c>
      <c r="AI179" s="505"/>
      <c r="AJ179" s="505"/>
      <c r="AK179" s="521">
        <f>_xll.GetCtData("COAMOUNT","CONSAMOUNT",$B$1:$B$7,$B179,AK$9,"#")</f>
        <v>0</v>
      </c>
    </row>
    <row r="180" spans="2:37" ht="12" customHeight="1">
      <c r="B180" s="453" t="s">
        <v>878</v>
      </c>
      <c r="C180" s="482" t="s">
        <v>2911</v>
      </c>
      <c r="D180" s="483">
        <v>44378</v>
      </c>
      <c r="E180" s="484" t="s">
        <v>2912</v>
      </c>
      <c r="F180" s="485">
        <v>2</v>
      </c>
      <c r="G180" s="482"/>
      <c r="H180" s="507"/>
      <c r="I180" s="508" t="s">
        <v>3850</v>
      </c>
      <c r="J180" s="508"/>
      <c r="K180" s="508"/>
      <c r="L180" s="508"/>
      <c r="M180" s="509"/>
      <c r="N180" s="586"/>
      <c r="O180" s="511">
        <v>5</v>
      </c>
      <c r="P180" s="512" t="s">
        <v>2428</v>
      </c>
      <c r="Q180" s="489">
        <v>63</v>
      </c>
      <c r="R180" s="512" t="s">
        <v>2428</v>
      </c>
      <c r="S180" s="511">
        <f t="shared" si="10"/>
        <v>63</v>
      </c>
      <c r="T180" s="512" t="s">
        <v>3851</v>
      </c>
      <c r="U180" s="511">
        <f t="shared" si="11"/>
        <v>27</v>
      </c>
      <c r="V180" s="513" t="s">
        <v>3852</v>
      </c>
      <c r="W180" s="513" t="s">
        <v>3853</v>
      </c>
      <c r="X180" s="491">
        <f t="shared" si="12"/>
        <v>34</v>
      </c>
      <c r="Y180" s="513" t="s">
        <v>3853</v>
      </c>
      <c r="Z180" s="511">
        <f t="shared" si="13"/>
        <v>34</v>
      </c>
      <c r="AA180" s="513" t="s">
        <v>3854</v>
      </c>
      <c r="AB180" s="511">
        <f t="shared" si="14"/>
        <v>18</v>
      </c>
      <c r="AC180" s="549" t="s">
        <v>3855</v>
      </c>
      <c r="AD180" s="511"/>
      <c r="AE180" s="514"/>
      <c r="AF180" s="504"/>
      <c r="AG180" s="494" t="s">
        <v>2917</v>
      </c>
      <c r="AH180" s="495" t="s">
        <v>2918</v>
      </c>
      <c r="AI180" s="505"/>
      <c r="AJ180" s="505"/>
      <c r="AK180" s="515">
        <f>_xll.GetCtData("COAMOUNT","CONSAMOUNT",$B$1:$B$7,$B180,AK$9,"#201019003,07788")</f>
        <v>201019003</v>
      </c>
    </row>
    <row r="181" spans="2:37" ht="12" customHeight="1">
      <c r="B181" s="453" t="s">
        <v>3856</v>
      </c>
      <c r="C181" s="482" t="s">
        <v>2911</v>
      </c>
      <c r="D181" s="483">
        <v>44378</v>
      </c>
      <c r="E181" s="484" t="s">
        <v>2912</v>
      </c>
      <c r="F181" s="485">
        <v>3</v>
      </c>
      <c r="G181" s="482"/>
      <c r="H181" s="507"/>
      <c r="I181" s="507"/>
      <c r="J181" s="532" t="s">
        <v>3857</v>
      </c>
      <c r="K181" s="532"/>
      <c r="L181" s="532"/>
      <c r="M181" s="533"/>
      <c r="N181" s="587"/>
      <c r="O181" s="535">
        <v>6</v>
      </c>
      <c r="P181" s="536" t="s">
        <v>3858</v>
      </c>
      <c r="Q181" s="489">
        <v>76</v>
      </c>
      <c r="R181" s="536" t="s">
        <v>1031</v>
      </c>
      <c r="S181" s="535">
        <f t="shared" si="10"/>
        <v>62</v>
      </c>
      <c r="T181" s="536" t="s">
        <v>3859</v>
      </c>
      <c r="U181" s="535">
        <f t="shared" si="11"/>
        <v>29</v>
      </c>
      <c r="V181" s="537" t="s">
        <v>3852</v>
      </c>
      <c r="W181" s="537" t="s">
        <v>3860</v>
      </c>
      <c r="X181" s="491">
        <f t="shared" si="12"/>
        <v>45</v>
      </c>
      <c r="Y181" s="537" t="s">
        <v>3860</v>
      </c>
      <c r="Z181" s="535">
        <f t="shared" si="13"/>
        <v>45</v>
      </c>
      <c r="AA181" s="537" t="s">
        <v>3861</v>
      </c>
      <c r="AB181" s="535">
        <f t="shared" si="14"/>
        <v>21</v>
      </c>
      <c r="AC181" s="554" t="s">
        <v>3855</v>
      </c>
      <c r="AD181" s="535"/>
      <c r="AE181" s="538"/>
      <c r="AF181" s="504"/>
      <c r="AG181" s="494" t="s">
        <v>2917</v>
      </c>
      <c r="AH181" s="495" t="s">
        <v>2918</v>
      </c>
      <c r="AI181" s="505"/>
      <c r="AJ181" s="505"/>
      <c r="AK181" s="539">
        <f>_xll.GetCtData("COAMOUNT","CONSAMOUNT",$B$1:$B$7,$B181,AK$9,"#186315159,07788")</f>
        <v>186315159</v>
      </c>
    </row>
    <row r="182" spans="2:37" ht="12" customHeight="1">
      <c r="B182" s="453" t="s">
        <v>955</v>
      </c>
      <c r="C182" s="482" t="s">
        <v>2911</v>
      </c>
      <c r="D182" s="483">
        <v>44378</v>
      </c>
      <c r="E182" s="484" t="s">
        <v>2912</v>
      </c>
      <c r="F182" s="485">
        <v>4</v>
      </c>
      <c r="G182" s="482"/>
      <c r="H182" s="507"/>
      <c r="I182" s="507"/>
      <c r="J182" s="507"/>
      <c r="K182" s="564" t="s">
        <v>3862</v>
      </c>
      <c r="L182" s="564"/>
      <c r="M182" s="565"/>
      <c r="N182" s="588"/>
      <c r="O182" s="558">
        <v>7</v>
      </c>
      <c r="P182" s="559" t="s">
        <v>2602</v>
      </c>
      <c r="Q182" s="489">
        <v>48</v>
      </c>
      <c r="R182" s="559" t="s">
        <v>2602</v>
      </c>
      <c r="S182" s="558">
        <f t="shared" si="10"/>
        <v>48</v>
      </c>
      <c r="T182" s="559" t="s">
        <v>3863</v>
      </c>
      <c r="U182" s="558">
        <f t="shared" si="11"/>
        <v>20</v>
      </c>
      <c r="V182" s="560" t="s">
        <v>3852</v>
      </c>
      <c r="W182" s="560" t="s">
        <v>3864</v>
      </c>
      <c r="X182" s="491">
        <f t="shared" si="12"/>
        <v>57</v>
      </c>
      <c r="Y182" s="560" t="s">
        <v>3864</v>
      </c>
      <c r="Z182" s="558">
        <f t="shared" si="13"/>
        <v>57</v>
      </c>
      <c r="AA182" s="560" t="s">
        <v>3865</v>
      </c>
      <c r="AB182" s="558">
        <f t="shared" si="14"/>
        <v>19</v>
      </c>
      <c r="AC182" s="561" t="s">
        <v>3855</v>
      </c>
      <c r="AD182" s="558"/>
      <c r="AE182" s="562"/>
      <c r="AF182" s="504"/>
      <c r="AG182" s="494" t="s">
        <v>2917</v>
      </c>
      <c r="AH182" s="495" t="s">
        <v>2918</v>
      </c>
      <c r="AI182" s="505"/>
      <c r="AJ182" s="505"/>
      <c r="AK182" s="563">
        <f>_xll.GetCtData("COAMOUNT","CONSAMOUNT",$B$1:$B$7,$B182,AK$9,"#88780456,0778796")</f>
        <v>88780456</v>
      </c>
    </row>
    <row r="183" spans="2:37" ht="12" customHeight="1">
      <c r="B183" s="453" t="s">
        <v>3866</v>
      </c>
      <c r="C183" s="482" t="s">
        <v>2911</v>
      </c>
      <c r="D183" s="483">
        <v>44378</v>
      </c>
      <c r="E183" s="484" t="s">
        <v>2912</v>
      </c>
      <c r="F183" s="485">
        <v>5</v>
      </c>
      <c r="G183" s="482"/>
      <c r="H183" s="567"/>
      <c r="I183" s="567"/>
      <c r="J183" s="567"/>
      <c r="K183" s="567"/>
      <c r="L183" s="568" t="s">
        <v>3867</v>
      </c>
      <c r="M183" s="569"/>
      <c r="N183" s="589"/>
      <c r="O183" s="571">
        <v>8</v>
      </c>
      <c r="P183" s="572" t="s">
        <v>3868</v>
      </c>
      <c r="Q183" s="489">
        <v>53</v>
      </c>
      <c r="R183" s="572" t="s">
        <v>3868</v>
      </c>
      <c r="S183" s="571">
        <f t="shared" si="10"/>
        <v>53</v>
      </c>
      <c r="T183" s="572" t="s">
        <v>3869</v>
      </c>
      <c r="U183" s="571">
        <f t="shared" si="11"/>
        <v>23</v>
      </c>
      <c r="V183" s="573" t="s">
        <v>3852</v>
      </c>
      <c r="W183" s="573" t="s">
        <v>3870</v>
      </c>
      <c r="X183" s="491">
        <f t="shared" si="12"/>
        <v>62</v>
      </c>
      <c r="Y183" s="573" t="s">
        <v>3870</v>
      </c>
      <c r="Z183" s="571">
        <f t="shared" si="13"/>
        <v>62</v>
      </c>
      <c r="AA183" s="573" t="s">
        <v>3871</v>
      </c>
      <c r="AB183" s="571">
        <f t="shared" si="14"/>
        <v>22</v>
      </c>
      <c r="AC183" s="574" t="s">
        <v>3855</v>
      </c>
      <c r="AD183" s="571"/>
      <c r="AE183" s="575"/>
      <c r="AF183" s="504"/>
      <c r="AG183" s="494" t="s">
        <v>2917</v>
      </c>
      <c r="AH183" s="495" t="s">
        <v>2918</v>
      </c>
      <c r="AI183" s="505"/>
      <c r="AJ183" s="505"/>
      <c r="AK183" s="576">
        <f>_xll.GetCtData("COAMOUNT","CONSAMOUNT",$B$1:$B$7,$B183,AK$9,"#88780456,0778796")</f>
        <v>88780456</v>
      </c>
    </row>
    <row r="184" spans="2:37" ht="12" customHeight="1">
      <c r="B184" s="453" t="s">
        <v>344</v>
      </c>
      <c r="C184" s="482" t="s">
        <v>2929</v>
      </c>
      <c r="D184" s="483">
        <v>44403</v>
      </c>
      <c r="E184" s="484" t="s">
        <v>2930</v>
      </c>
      <c r="F184" s="485">
        <v>7</v>
      </c>
      <c r="G184" s="547"/>
      <c r="H184" s="547"/>
      <c r="I184" s="547"/>
      <c r="J184" s="547"/>
      <c r="K184" s="547"/>
      <c r="L184" s="547"/>
      <c r="M184" s="548"/>
      <c r="N184" s="517" t="s">
        <v>3872</v>
      </c>
      <c r="O184" s="518">
        <v>10</v>
      </c>
      <c r="P184" s="519" t="s">
        <v>622</v>
      </c>
      <c r="Q184" s="489">
        <v>76</v>
      </c>
      <c r="R184" s="519" t="s">
        <v>3873</v>
      </c>
      <c r="S184" s="518">
        <f t="shared" si="10"/>
        <v>69</v>
      </c>
      <c r="T184" s="519" t="s">
        <v>3874</v>
      </c>
      <c r="U184" s="518">
        <f t="shared" si="11"/>
        <v>29</v>
      </c>
      <c r="V184" s="519" t="s">
        <v>3852</v>
      </c>
      <c r="W184" s="519" t="s">
        <v>3875</v>
      </c>
      <c r="X184" s="491">
        <f t="shared" si="12"/>
        <v>80</v>
      </c>
      <c r="Y184" s="519" t="s">
        <v>3875</v>
      </c>
      <c r="Z184" s="518">
        <f t="shared" si="13"/>
        <v>80</v>
      </c>
      <c r="AA184" s="519" t="s">
        <v>3876</v>
      </c>
      <c r="AB184" s="518">
        <f t="shared" si="14"/>
        <v>25</v>
      </c>
      <c r="AC184" s="519" t="s">
        <v>3855</v>
      </c>
      <c r="AD184" s="518" t="s">
        <v>3877</v>
      </c>
      <c r="AE184" s="520" t="s">
        <v>3878</v>
      </c>
      <c r="AF184" s="504" t="s">
        <v>3279</v>
      </c>
      <c r="AG184" s="494" t="s">
        <v>2917</v>
      </c>
      <c r="AH184" s="494" t="s">
        <v>2917</v>
      </c>
      <c r="AI184" s="505"/>
      <c r="AJ184" s="505"/>
      <c r="AK184" s="521">
        <f>_xll.GetCtData("COAMOUNT","CONSAMOUNT",$B$1:$B$7,$B184,AK$9,"#100974070,632904")</f>
        <v>100974070</v>
      </c>
    </row>
    <row r="185" spans="2:37" ht="12" customHeight="1">
      <c r="B185" s="453" t="s">
        <v>345</v>
      </c>
      <c r="C185" s="482" t="s">
        <v>2929</v>
      </c>
      <c r="D185" s="483">
        <v>44403</v>
      </c>
      <c r="E185" s="484" t="s">
        <v>2930</v>
      </c>
      <c r="F185" s="485">
        <v>7</v>
      </c>
      <c r="G185" s="547"/>
      <c r="H185" s="547"/>
      <c r="I185" s="547"/>
      <c r="J185" s="547"/>
      <c r="K185" s="547"/>
      <c r="L185" s="547"/>
      <c r="M185" s="548"/>
      <c r="N185" s="517" t="s">
        <v>3879</v>
      </c>
      <c r="O185" s="518">
        <v>10</v>
      </c>
      <c r="P185" s="519" t="s">
        <v>623</v>
      </c>
      <c r="Q185" s="489">
        <v>70</v>
      </c>
      <c r="R185" s="519" t="s">
        <v>3880</v>
      </c>
      <c r="S185" s="518">
        <f t="shared" si="10"/>
        <v>63</v>
      </c>
      <c r="T185" s="519" t="s">
        <v>3881</v>
      </c>
      <c r="U185" s="518">
        <f t="shared" si="11"/>
        <v>28</v>
      </c>
      <c r="V185" s="519" t="s">
        <v>3852</v>
      </c>
      <c r="W185" s="519" t="s">
        <v>3882</v>
      </c>
      <c r="X185" s="491">
        <f t="shared" si="12"/>
        <v>79</v>
      </c>
      <c r="Y185" s="519" t="s">
        <v>3882</v>
      </c>
      <c r="Z185" s="518">
        <f t="shared" si="13"/>
        <v>79</v>
      </c>
      <c r="AA185" s="519" t="s">
        <v>3883</v>
      </c>
      <c r="AB185" s="518">
        <f t="shared" si="14"/>
        <v>28</v>
      </c>
      <c r="AC185" s="519" t="s">
        <v>3855</v>
      </c>
      <c r="AD185" s="518" t="s">
        <v>3884</v>
      </c>
      <c r="AE185" s="520" t="s">
        <v>3885</v>
      </c>
      <c r="AF185" s="504" t="s">
        <v>3279</v>
      </c>
      <c r="AG185" s="494" t="s">
        <v>2917</v>
      </c>
      <c r="AH185" s="494" t="s">
        <v>2917</v>
      </c>
      <c r="AI185" s="505"/>
      <c r="AJ185" s="505"/>
      <c r="AK185" s="521">
        <f>_xll.GetCtData("COAMOUNT","CONSAMOUNT",$B$1:$B$7,$B185,AK$9,"#-14542874,1957885")</f>
        <v>-14542874</v>
      </c>
    </row>
    <row r="186" spans="2:37" ht="12" customHeight="1">
      <c r="B186" s="453" t="s">
        <v>346</v>
      </c>
      <c r="C186" s="482" t="s">
        <v>2929</v>
      </c>
      <c r="D186" s="483">
        <v>44403</v>
      </c>
      <c r="E186" s="484" t="s">
        <v>2930</v>
      </c>
      <c r="F186" s="485">
        <v>7</v>
      </c>
      <c r="G186" s="547"/>
      <c r="H186" s="547"/>
      <c r="I186" s="547"/>
      <c r="J186" s="547"/>
      <c r="K186" s="547"/>
      <c r="L186" s="547"/>
      <c r="M186" s="548"/>
      <c r="N186" s="517" t="s">
        <v>3886</v>
      </c>
      <c r="O186" s="518">
        <v>10</v>
      </c>
      <c r="P186" s="519" t="s">
        <v>624</v>
      </c>
      <c r="Q186" s="489">
        <v>94</v>
      </c>
      <c r="R186" s="519" t="s">
        <v>624</v>
      </c>
      <c r="S186" s="518">
        <f t="shared" si="10"/>
        <v>94</v>
      </c>
      <c r="T186" s="519" t="s">
        <v>3887</v>
      </c>
      <c r="U186" s="518">
        <f t="shared" si="11"/>
        <v>29</v>
      </c>
      <c r="V186" s="519" t="s">
        <v>3852</v>
      </c>
      <c r="W186" s="519" t="s">
        <v>3888</v>
      </c>
      <c r="X186" s="491">
        <f t="shared" si="12"/>
        <v>117</v>
      </c>
      <c r="Y186" s="519" t="s">
        <v>3888</v>
      </c>
      <c r="Z186" s="518">
        <f t="shared" si="13"/>
        <v>117</v>
      </c>
      <c r="AA186" s="519" t="s">
        <v>3889</v>
      </c>
      <c r="AB186" s="518">
        <f t="shared" si="14"/>
        <v>25</v>
      </c>
      <c r="AC186" s="519" t="s">
        <v>3855</v>
      </c>
      <c r="AD186" s="518" t="s">
        <v>3890</v>
      </c>
      <c r="AE186" s="520" t="s">
        <v>3891</v>
      </c>
      <c r="AF186" s="504" t="s">
        <v>3279</v>
      </c>
      <c r="AG186" s="494" t="s">
        <v>2917</v>
      </c>
      <c r="AH186" s="494" t="s">
        <v>2917</v>
      </c>
      <c r="AI186" s="505"/>
      <c r="AJ186" s="505"/>
      <c r="AK186" s="521">
        <f>_xll.GetCtData("COAMOUNT","CONSAMOUNT",$B$1:$B$7,$B186,AK$9,"#1503593")</f>
        <v>1503593</v>
      </c>
    </row>
    <row r="187" spans="2:37" ht="12" customHeight="1">
      <c r="B187" s="453" t="s">
        <v>347</v>
      </c>
      <c r="C187" s="482" t="s">
        <v>2929</v>
      </c>
      <c r="D187" s="483">
        <v>44403</v>
      </c>
      <c r="E187" s="484" t="s">
        <v>2930</v>
      </c>
      <c r="F187" s="485">
        <v>7</v>
      </c>
      <c r="G187" s="547"/>
      <c r="H187" s="547"/>
      <c r="I187" s="547"/>
      <c r="J187" s="547"/>
      <c r="K187" s="547"/>
      <c r="L187" s="547"/>
      <c r="M187" s="548"/>
      <c r="N187" s="517" t="s">
        <v>3892</v>
      </c>
      <c r="O187" s="518">
        <v>10</v>
      </c>
      <c r="P187" s="519" t="s">
        <v>625</v>
      </c>
      <c r="Q187" s="489">
        <v>60</v>
      </c>
      <c r="R187" s="519" t="s">
        <v>625</v>
      </c>
      <c r="S187" s="518">
        <f t="shared" si="10"/>
        <v>60</v>
      </c>
      <c r="T187" s="519" t="s">
        <v>3893</v>
      </c>
      <c r="U187" s="518">
        <f t="shared" si="11"/>
        <v>27</v>
      </c>
      <c r="V187" s="519" t="s">
        <v>3852</v>
      </c>
      <c r="W187" s="519" t="s">
        <v>3894</v>
      </c>
      <c r="X187" s="491">
        <f t="shared" si="12"/>
        <v>81</v>
      </c>
      <c r="Y187" s="519" t="s">
        <v>3894</v>
      </c>
      <c r="Z187" s="518">
        <f t="shared" si="13"/>
        <v>81</v>
      </c>
      <c r="AA187" s="519" t="s">
        <v>3895</v>
      </c>
      <c r="AB187" s="518">
        <f t="shared" si="14"/>
        <v>30</v>
      </c>
      <c r="AC187" s="519" t="s">
        <v>3855</v>
      </c>
      <c r="AD187" s="518" t="s">
        <v>3896</v>
      </c>
      <c r="AE187" s="520" t="s">
        <v>3897</v>
      </c>
      <c r="AF187" s="504" t="s">
        <v>3279</v>
      </c>
      <c r="AG187" s="494" t="s">
        <v>2917</v>
      </c>
      <c r="AH187" s="494" t="s">
        <v>2917</v>
      </c>
      <c r="AI187" s="505"/>
      <c r="AJ187" s="505"/>
      <c r="AK187" s="521">
        <f>_xll.GetCtData("COAMOUNT","CONSAMOUNT",$B$1:$B$7,$B187,AK$9,"#941215,181905903")</f>
        <v>941215</v>
      </c>
    </row>
    <row r="188" spans="2:37" ht="12" customHeight="1">
      <c r="B188" s="453" t="s">
        <v>348</v>
      </c>
      <c r="C188" s="482" t="s">
        <v>2929</v>
      </c>
      <c r="D188" s="483">
        <v>44403</v>
      </c>
      <c r="E188" s="484" t="s">
        <v>2930</v>
      </c>
      <c r="F188" s="485">
        <v>7</v>
      </c>
      <c r="G188" s="547"/>
      <c r="H188" s="547"/>
      <c r="I188" s="547"/>
      <c r="J188" s="547"/>
      <c r="K188" s="547"/>
      <c r="L188" s="547"/>
      <c r="M188" s="548"/>
      <c r="N188" s="517" t="s">
        <v>3898</v>
      </c>
      <c r="O188" s="518">
        <v>10</v>
      </c>
      <c r="P188" s="519" t="s">
        <v>626</v>
      </c>
      <c r="Q188" s="489">
        <v>68</v>
      </c>
      <c r="R188" s="519" t="s">
        <v>626</v>
      </c>
      <c r="S188" s="518">
        <f t="shared" si="10"/>
        <v>68</v>
      </c>
      <c r="T188" s="519" t="s">
        <v>3899</v>
      </c>
      <c r="U188" s="518">
        <f t="shared" si="11"/>
        <v>27</v>
      </c>
      <c r="V188" s="519" t="s">
        <v>3852</v>
      </c>
      <c r="W188" s="519" t="s">
        <v>3900</v>
      </c>
      <c r="X188" s="491">
        <f t="shared" si="12"/>
        <v>51</v>
      </c>
      <c r="Y188" s="519" t="s">
        <v>3900</v>
      </c>
      <c r="Z188" s="518">
        <f t="shared" si="13"/>
        <v>51</v>
      </c>
      <c r="AA188" s="519" t="s">
        <v>3901</v>
      </c>
      <c r="AB188" s="518">
        <f t="shared" si="14"/>
        <v>21</v>
      </c>
      <c r="AC188" s="519" t="s">
        <v>3855</v>
      </c>
      <c r="AD188" s="518" t="s">
        <v>3902</v>
      </c>
      <c r="AE188" s="520" t="s">
        <v>3903</v>
      </c>
      <c r="AF188" s="504" t="s">
        <v>3279</v>
      </c>
      <c r="AG188" s="494" t="s">
        <v>2917</v>
      </c>
      <c r="AH188" s="494" t="s">
        <v>2917</v>
      </c>
      <c r="AI188" s="505"/>
      <c r="AJ188" s="505"/>
      <c r="AK188" s="521">
        <f>_xll.GetCtData("COAMOUNT","CONSAMOUNT",$B$1:$B$7,$B188,AK$9,"#-95548,5411420478")</f>
        <v>-95548</v>
      </c>
    </row>
    <row r="189" spans="2:37" ht="12" customHeight="1">
      <c r="B189" s="453" t="s">
        <v>3904</v>
      </c>
      <c r="C189" s="482" t="s">
        <v>2911</v>
      </c>
      <c r="D189" s="483">
        <v>44378</v>
      </c>
      <c r="E189" s="484" t="s">
        <v>2912</v>
      </c>
      <c r="F189" s="485">
        <v>5</v>
      </c>
      <c r="G189" s="482"/>
      <c r="H189" s="567"/>
      <c r="I189" s="567"/>
      <c r="J189" s="567"/>
      <c r="K189" s="567"/>
      <c r="L189" s="568" t="s">
        <v>3905</v>
      </c>
      <c r="M189" s="569"/>
      <c r="N189" s="589"/>
      <c r="O189" s="571">
        <v>8</v>
      </c>
      <c r="P189" s="572" t="s">
        <v>3906</v>
      </c>
      <c r="Q189" s="489">
        <v>53</v>
      </c>
      <c r="R189" s="572" t="s">
        <v>3906</v>
      </c>
      <c r="S189" s="571">
        <f t="shared" si="10"/>
        <v>53</v>
      </c>
      <c r="T189" s="572" t="s">
        <v>3907</v>
      </c>
      <c r="U189" s="571">
        <f t="shared" si="11"/>
        <v>23</v>
      </c>
      <c r="V189" s="573" t="s">
        <v>3852</v>
      </c>
      <c r="W189" s="573" t="s">
        <v>3908</v>
      </c>
      <c r="X189" s="491">
        <f t="shared" si="12"/>
        <v>62</v>
      </c>
      <c r="Y189" s="573" t="s">
        <v>3908</v>
      </c>
      <c r="Z189" s="571">
        <f t="shared" si="13"/>
        <v>62</v>
      </c>
      <c r="AA189" s="573" t="s">
        <v>3909</v>
      </c>
      <c r="AB189" s="571">
        <f t="shared" si="14"/>
        <v>22</v>
      </c>
      <c r="AC189" s="573" t="s">
        <v>3855</v>
      </c>
      <c r="AD189" s="571"/>
      <c r="AE189" s="575"/>
      <c r="AF189" s="504"/>
      <c r="AG189" s="494" t="s">
        <v>2917</v>
      </c>
      <c r="AH189" s="495" t="s">
        <v>2918</v>
      </c>
      <c r="AI189" s="505"/>
      <c r="AJ189" s="505"/>
      <c r="AK189" s="576">
        <f>_xll.GetCtData("COAMOUNT","CONSAMOUNT",$B$1:$B$7,$B189,AK$9,"#")</f>
        <v>0</v>
      </c>
    </row>
    <row r="190" spans="2:37" ht="12" customHeight="1">
      <c r="B190" s="453" t="s">
        <v>349</v>
      </c>
      <c r="C190" s="482" t="s">
        <v>2929</v>
      </c>
      <c r="D190" s="483">
        <v>44403</v>
      </c>
      <c r="E190" s="484" t="s">
        <v>2930</v>
      </c>
      <c r="F190" s="485">
        <v>7</v>
      </c>
      <c r="G190" s="547"/>
      <c r="H190" s="547"/>
      <c r="I190" s="547"/>
      <c r="J190" s="547"/>
      <c r="K190" s="547"/>
      <c r="L190" s="547"/>
      <c r="M190" s="548"/>
      <c r="N190" s="517" t="s">
        <v>3910</v>
      </c>
      <c r="O190" s="518">
        <v>10</v>
      </c>
      <c r="P190" s="519" t="s">
        <v>627</v>
      </c>
      <c r="Q190" s="489">
        <v>76</v>
      </c>
      <c r="R190" s="519" t="s">
        <v>3911</v>
      </c>
      <c r="S190" s="518">
        <f t="shared" si="10"/>
        <v>69</v>
      </c>
      <c r="T190" s="519" t="s">
        <v>3912</v>
      </c>
      <c r="U190" s="518">
        <f t="shared" si="11"/>
        <v>29</v>
      </c>
      <c r="V190" s="519" t="s">
        <v>3852</v>
      </c>
      <c r="W190" s="519" t="s">
        <v>3913</v>
      </c>
      <c r="X190" s="491">
        <f t="shared" si="12"/>
        <v>80</v>
      </c>
      <c r="Y190" s="519" t="s">
        <v>3913</v>
      </c>
      <c r="Z190" s="518">
        <f t="shared" si="13"/>
        <v>80</v>
      </c>
      <c r="AA190" s="519" t="s">
        <v>3914</v>
      </c>
      <c r="AB190" s="518">
        <f t="shared" si="14"/>
        <v>25</v>
      </c>
      <c r="AC190" s="519" t="s">
        <v>3855</v>
      </c>
      <c r="AD190" s="518" t="s">
        <v>3915</v>
      </c>
      <c r="AE190" s="520" t="s">
        <v>3916</v>
      </c>
      <c r="AF190" s="504" t="s">
        <v>3279</v>
      </c>
      <c r="AG190" s="494" t="s">
        <v>2917</v>
      </c>
      <c r="AH190" s="494" t="s">
        <v>2917</v>
      </c>
      <c r="AI190" s="505"/>
      <c r="AJ190" s="505"/>
      <c r="AK190" s="521">
        <f>_xll.GetCtData("COAMOUNT","CONSAMOUNT",$B$1:$B$7,$B190,AK$9,"#")</f>
        <v>0</v>
      </c>
    </row>
    <row r="191" spans="2:37" ht="12" customHeight="1">
      <c r="B191" s="453" t="s">
        <v>350</v>
      </c>
      <c r="C191" s="482" t="s">
        <v>2929</v>
      </c>
      <c r="D191" s="483">
        <v>44403</v>
      </c>
      <c r="E191" s="484" t="s">
        <v>2930</v>
      </c>
      <c r="F191" s="485">
        <v>7</v>
      </c>
      <c r="G191" s="547"/>
      <c r="H191" s="547"/>
      <c r="I191" s="547"/>
      <c r="J191" s="547"/>
      <c r="K191" s="547"/>
      <c r="L191" s="547"/>
      <c r="M191" s="548"/>
      <c r="N191" s="517" t="s">
        <v>3917</v>
      </c>
      <c r="O191" s="518">
        <v>10</v>
      </c>
      <c r="P191" s="519" t="s">
        <v>628</v>
      </c>
      <c r="Q191" s="489">
        <v>70</v>
      </c>
      <c r="R191" s="519" t="s">
        <v>3918</v>
      </c>
      <c r="S191" s="518">
        <f t="shared" si="10"/>
        <v>63</v>
      </c>
      <c r="T191" s="519" t="s">
        <v>3919</v>
      </c>
      <c r="U191" s="518">
        <f t="shared" si="11"/>
        <v>28</v>
      </c>
      <c r="V191" s="519" t="s">
        <v>3852</v>
      </c>
      <c r="W191" s="519" t="s">
        <v>3920</v>
      </c>
      <c r="X191" s="491">
        <f t="shared" si="12"/>
        <v>79</v>
      </c>
      <c r="Y191" s="519" t="s">
        <v>3920</v>
      </c>
      <c r="Z191" s="518">
        <f t="shared" si="13"/>
        <v>79</v>
      </c>
      <c r="AA191" s="519" t="s">
        <v>3921</v>
      </c>
      <c r="AB191" s="518">
        <f t="shared" si="14"/>
        <v>28</v>
      </c>
      <c r="AC191" s="519" t="s">
        <v>3855</v>
      </c>
      <c r="AD191" s="518" t="s">
        <v>3922</v>
      </c>
      <c r="AE191" s="520" t="s">
        <v>3923</v>
      </c>
      <c r="AF191" s="504" t="s">
        <v>3279</v>
      </c>
      <c r="AG191" s="494" t="s">
        <v>2917</v>
      </c>
      <c r="AH191" s="494" t="s">
        <v>2917</v>
      </c>
      <c r="AI191" s="505"/>
      <c r="AJ191" s="505"/>
      <c r="AK191" s="521">
        <f>_xll.GetCtData("COAMOUNT","CONSAMOUNT",$B$1:$B$7,$B191,AK$9,"#")</f>
        <v>0</v>
      </c>
    </row>
    <row r="192" spans="2:37" ht="12" customHeight="1">
      <c r="B192" s="453" t="s">
        <v>351</v>
      </c>
      <c r="C192" s="482" t="s">
        <v>2929</v>
      </c>
      <c r="D192" s="483">
        <v>44403</v>
      </c>
      <c r="E192" s="484" t="s">
        <v>2930</v>
      </c>
      <c r="F192" s="485">
        <v>7</v>
      </c>
      <c r="G192" s="547"/>
      <c r="H192" s="547"/>
      <c r="I192" s="547"/>
      <c r="J192" s="547"/>
      <c r="K192" s="547"/>
      <c r="L192" s="547"/>
      <c r="M192" s="548"/>
      <c r="N192" s="517" t="s">
        <v>3924</v>
      </c>
      <c r="O192" s="518">
        <v>10</v>
      </c>
      <c r="P192" s="519" t="s">
        <v>629</v>
      </c>
      <c r="Q192" s="489">
        <v>94</v>
      </c>
      <c r="R192" s="519" t="s">
        <v>629</v>
      </c>
      <c r="S192" s="518">
        <f t="shared" si="10"/>
        <v>94</v>
      </c>
      <c r="T192" s="519" t="s">
        <v>3925</v>
      </c>
      <c r="U192" s="518">
        <f t="shared" si="11"/>
        <v>29</v>
      </c>
      <c r="V192" s="519" t="s">
        <v>3852</v>
      </c>
      <c r="W192" s="519" t="s">
        <v>3926</v>
      </c>
      <c r="X192" s="491">
        <f t="shared" si="12"/>
        <v>117</v>
      </c>
      <c r="Y192" s="519" t="s">
        <v>3926</v>
      </c>
      <c r="Z192" s="518">
        <f t="shared" si="13"/>
        <v>117</v>
      </c>
      <c r="AA192" s="519" t="s">
        <v>3927</v>
      </c>
      <c r="AB192" s="518">
        <f t="shared" si="14"/>
        <v>25</v>
      </c>
      <c r="AC192" s="519" t="s">
        <v>3855</v>
      </c>
      <c r="AD192" s="518" t="s">
        <v>3928</v>
      </c>
      <c r="AE192" s="520" t="s">
        <v>3929</v>
      </c>
      <c r="AF192" s="504" t="s">
        <v>3279</v>
      </c>
      <c r="AG192" s="494" t="s">
        <v>2917</v>
      </c>
      <c r="AH192" s="494" t="s">
        <v>2917</v>
      </c>
      <c r="AI192" s="505"/>
      <c r="AJ192" s="505"/>
      <c r="AK192" s="521">
        <f>_xll.GetCtData("COAMOUNT","CONSAMOUNT",$B$1:$B$7,$B192,AK$9,"#")</f>
        <v>0</v>
      </c>
    </row>
    <row r="193" spans="2:37" ht="12" customHeight="1">
      <c r="B193" s="453" t="s">
        <v>352</v>
      </c>
      <c r="C193" s="482" t="s">
        <v>2929</v>
      </c>
      <c r="D193" s="483">
        <v>44403</v>
      </c>
      <c r="E193" s="484" t="s">
        <v>2930</v>
      </c>
      <c r="F193" s="485">
        <v>7</v>
      </c>
      <c r="G193" s="547"/>
      <c r="H193" s="547"/>
      <c r="I193" s="547"/>
      <c r="J193" s="547"/>
      <c r="K193" s="547"/>
      <c r="L193" s="547"/>
      <c r="M193" s="548"/>
      <c r="N193" s="517" t="s">
        <v>3930</v>
      </c>
      <c r="O193" s="518">
        <v>10</v>
      </c>
      <c r="P193" s="519" t="s">
        <v>630</v>
      </c>
      <c r="Q193" s="489">
        <v>60</v>
      </c>
      <c r="R193" s="519" t="s">
        <v>630</v>
      </c>
      <c r="S193" s="518">
        <f t="shared" si="10"/>
        <v>60</v>
      </c>
      <c r="T193" s="519" t="s">
        <v>3931</v>
      </c>
      <c r="U193" s="518">
        <f t="shared" si="11"/>
        <v>27</v>
      </c>
      <c r="V193" s="519" t="s">
        <v>3852</v>
      </c>
      <c r="W193" s="519" t="s">
        <v>3932</v>
      </c>
      <c r="X193" s="491">
        <f t="shared" si="12"/>
        <v>81</v>
      </c>
      <c r="Y193" s="519" t="s">
        <v>3932</v>
      </c>
      <c r="Z193" s="518">
        <f t="shared" si="13"/>
        <v>81</v>
      </c>
      <c r="AA193" s="519" t="s">
        <v>3933</v>
      </c>
      <c r="AB193" s="518">
        <f t="shared" si="14"/>
        <v>30</v>
      </c>
      <c r="AC193" s="519" t="s">
        <v>3855</v>
      </c>
      <c r="AD193" s="518" t="s">
        <v>3934</v>
      </c>
      <c r="AE193" s="520" t="s">
        <v>3935</v>
      </c>
      <c r="AF193" s="504" t="s">
        <v>3279</v>
      </c>
      <c r="AG193" s="494" t="s">
        <v>2917</v>
      </c>
      <c r="AH193" s="494" t="s">
        <v>2917</v>
      </c>
      <c r="AI193" s="505"/>
      <c r="AJ193" s="505"/>
      <c r="AK193" s="521">
        <f>_xll.GetCtData("COAMOUNT","CONSAMOUNT",$B$1:$B$7,$B193,AK$9,"#")</f>
        <v>0</v>
      </c>
    </row>
    <row r="194" spans="2:37" ht="12" customHeight="1">
      <c r="B194" s="453" t="s">
        <v>353</v>
      </c>
      <c r="C194" s="482" t="s">
        <v>2929</v>
      </c>
      <c r="D194" s="483">
        <v>44403</v>
      </c>
      <c r="E194" s="484" t="s">
        <v>2930</v>
      </c>
      <c r="F194" s="485">
        <v>7</v>
      </c>
      <c r="G194" s="547"/>
      <c r="H194" s="547"/>
      <c r="I194" s="547"/>
      <c r="J194" s="547"/>
      <c r="K194" s="547"/>
      <c r="L194" s="547"/>
      <c r="M194" s="548"/>
      <c r="N194" s="517" t="s">
        <v>3936</v>
      </c>
      <c r="O194" s="518">
        <v>10</v>
      </c>
      <c r="P194" s="519" t="s">
        <v>631</v>
      </c>
      <c r="Q194" s="489">
        <v>68</v>
      </c>
      <c r="R194" s="519" t="s">
        <v>631</v>
      </c>
      <c r="S194" s="518">
        <f t="shared" si="10"/>
        <v>68</v>
      </c>
      <c r="T194" s="519" t="s">
        <v>3937</v>
      </c>
      <c r="U194" s="518">
        <f t="shared" si="11"/>
        <v>27</v>
      </c>
      <c r="V194" s="519" t="s">
        <v>3852</v>
      </c>
      <c r="W194" s="519" t="s">
        <v>3938</v>
      </c>
      <c r="X194" s="491">
        <f t="shared" si="12"/>
        <v>51</v>
      </c>
      <c r="Y194" s="519" t="s">
        <v>3938</v>
      </c>
      <c r="Z194" s="518">
        <f t="shared" si="13"/>
        <v>51</v>
      </c>
      <c r="AA194" s="519" t="s">
        <v>3939</v>
      </c>
      <c r="AB194" s="518">
        <f t="shared" si="14"/>
        <v>21</v>
      </c>
      <c r="AC194" s="519" t="s">
        <v>3855</v>
      </c>
      <c r="AD194" s="518" t="s">
        <v>3940</v>
      </c>
      <c r="AE194" s="520" t="s">
        <v>3941</v>
      </c>
      <c r="AF194" s="504" t="s">
        <v>3279</v>
      </c>
      <c r="AG194" s="494" t="s">
        <v>2917</v>
      </c>
      <c r="AH194" s="494" t="s">
        <v>2917</v>
      </c>
      <c r="AI194" s="505"/>
      <c r="AJ194" s="505"/>
      <c r="AK194" s="521">
        <f>_xll.GetCtData("COAMOUNT","CONSAMOUNT",$B$1:$B$7,$B194,AK$9,"#")</f>
        <v>0</v>
      </c>
    </row>
    <row r="195" spans="2:37" ht="12" customHeight="1">
      <c r="B195" s="453" t="s">
        <v>3942</v>
      </c>
      <c r="C195" s="482" t="s">
        <v>2911</v>
      </c>
      <c r="D195" s="483">
        <v>44378</v>
      </c>
      <c r="E195" s="484" t="s">
        <v>2912</v>
      </c>
      <c r="F195" s="485">
        <v>5</v>
      </c>
      <c r="G195" s="482"/>
      <c r="H195" s="567"/>
      <c r="I195" s="567"/>
      <c r="J195" s="567"/>
      <c r="K195" s="567"/>
      <c r="L195" s="568" t="s">
        <v>3943</v>
      </c>
      <c r="M195" s="569"/>
      <c r="N195" s="589"/>
      <c r="O195" s="571">
        <v>8</v>
      </c>
      <c r="P195" s="572" t="s">
        <v>3944</v>
      </c>
      <c r="Q195" s="489">
        <v>53</v>
      </c>
      <c r="R195" s="572" t="s">
        <v>3944</v>
      </c>
      <c r="S195" s="571">
        <f t="shared" si="10"/>
        <v>53</v>
      </c>
      <c r="T195" s="572" t="s">
        <v>3945</v>
      </c>
      <c r="U195" s="571">
        <f t="shared" si="11"/>
        <v>23</v>
      </c>
      <c r="V195" s="573" t="s">
        <v>3852</v>
      </c>
      <c r="W195" s="573" t="s">
        <v>3946</v>
      </c>
      <c r="X195" s="491">
        <f t="shared" si="12"/>
        <v>62</v>
      </c>
      <c r="Y195" s="573" t="s">
        <v>3946</v>
      </c>
      <c r="Z195" s="571">
        <f t="shared" si="13"/>
        <v>62</v>
      </c>
      <c r="AA195" s="573" t="s">
        <v>3947</v>
      </c>
      <c r="AB195" s="571">
        <f t="shared" si="14"/>
        <v>22</v>
      </c>
      <c r="AC195" s="573" t="s">
        <v>3855</v>
      </c>
      <c r="AD195" s="571"/>
      <c r="AE195" s="575"/>
      <c r="AF195" s="504"/>
      <c r="AG195" s="494" t="s">
        <v>2917</v>
      </c>
      <c r="AH195" s="495" t="s">
        <v>2918</v>
      </c>
      <c r="AI195" s="505"/>
      <c r="AJ195" s="505"/>
      <c r="AK195" s="576">
        <f>_xll.GetCtData("COAMOUNT","CONSAMOUNT",$B$1:$B$7,$B195,AK$9,"#")</f>
        <v>0</v>
      </c>
    </row>
    <row r="196" spans="2:37" ht="12" customHeight="1">
      <c r="B196" s="453" t="s">
        <v>354</v>
      </c>
      <c r="C196" s="482" t="s">
        <v>2929</v>
      </c>
      <c r="D196" s="483">
        <v>44403</v>
      </c>
      <c r="E196" s="484" t="s">
        <v>2930</v>
      </c>
      <c r="F196" s="485">
        <v>7</v>
      </c>
      <c r="G196" s="547"/>
      <c r="H196" s="547"/>
      <c r="I196" s="547"/>
      <c r="J196" s="547"/>
      <c r="K196" s="547"/>
      <c r="L196" s="547"/>
      <c r="M196" s="548"/>
      <c r="N196" s="517" t="s">
        <v>3948</v>
      </c>
      <c r="O196" s="518">
        <v>10</v>
      </c>
      <c r="P196" s="519" t="s">
        <v>632</v>
      </c>
      <c r="Q196" s="489">
        <v>76</v>
      </c>
      <c r="R196" s="519" t="s">
        <v>3949</v>
      </c>
      <c r="S196" s="518">
        <f t="shared" si="10"/>
        <v>69</v>
      </c>
      <c r="T196" s="519" t="s">
        <v>3950</v>
      </c>
      <c r="U196" s="518">
        <f t="shared" si="11"/>
        <v>29</v>
      </c>
      <c r="V196" s="519" t="s">
        <v>3852</v>
      </c>
      <c r="W196" s="519" t="s">
        <v>3951</v>
      </c>
      <c r="X196" s="491">
        <f t="shared" si="12"/>
        <v>80</v>
      </c>
      <c r="Y196" s="519" t="s">
        <v>3951</v>
      </c>
      <c r="Z196" s="518">
        <f t="shared" si="13"/>
        <v>80</v>
      </c>
      <c r="AA196" s="519" t="s">
        <v>3952</v>
      </c>
      <c r="AB196" s="518">
        <f t="shared" si="14"/>
        <v>25</v>
      </c>
      <c r="AC196" s="519" t="s">
        <v>3855</v>
      </c>
      <c r="AD196" s="518" t="s">
        <v>3953</v>
      </c>
      <c r="AE196" s="520" t="s">
        <v>3954</v>
      </c>
      <c r="AF196" s="504" t="s">
        <v>3342</v>
      </c>
      <c r="AG196" s="494" t="s">
        <v>2917</v>
      </c>
      <c r="AH196" s="494" t="s">
        <v>2917</v>
      </c>
      <c r="AI196" s="505"/>
      <c r="AJ196" s="505"/>
      <c r="AK196" s="521">
        <f>_xll.GetCtData("COAMOUNT","CONSAMOUNT",$B$1:$B$7,$B196,AK$9,"#")</f>
        <v>0</v>
      </c>
    </row>
    <row r="197" spans="2:37" ht="12" customHeight="1">
      <c r="B197" s="453" t="s">
        <v>355</v>
      </c>
      <c r="C197" s="482" t="s">
        <v>2929</v>
      </c>
      <c r="D197" s="483">
        <v>44403</v>
      </c>
      <c r="E197" s="484" t="s">
        <v>2930</v>
      </c>
      <c r="F197" s="485">
        <v>7</v>
      </c>
      <c r="G197" s="547"/>
      <c r="H197" s="547"/>
      <c r="I197" s="547"/>
      <c r="J197" s="547"/>
      <c r="K197" s="547"/>
      <c r="L197" s="547"/>
      <c r="M197" s="548"/>
      <c r="N197" s="517" t="s">
        <v>3955</v>
      </c>
      <c r="O197" s="518">
        <v>10</v>
      </c>
      <c r="P197" s="519" t="s">
        <v>633</v>
      </c>
      <c r="Q197" s="489">
        <v>70</v>
      </c>
      <c r="R197" s="519" t="s">
        <v>3956</v>
      </c>
      <c r="S197" s="518">
        <f t="shared" si="10"/>
        <v>63</v>
      </c>
      <c r="T197" s="519" t="s">
        <v>3957</v>
      </c>
      <c r="U197" s="518">
        <f t="shared" si="11"/>
        <v>28</v>
      </c>
      <c r="V197" s="519" t="s">
        <v>3852</v>
      </c>
      <c r="W197" s="519" t="s">
        <v>3958</v>
      </c>
      <c r="X197" s="491">
        <f t="shared" si="12"/>
        <v>79</v>
      </c>
      <c r="Y197" s="519" t="s">
        <v>3958</v>
      </c>
      <c r="Z197" s="518">
        <f t="shared" si="13"/>
        <v>79</v>
      </c>
      <c r="AA197" s="519" t="s">
        <v>3959</v>
      </c>
      <c r="AB197" s="518">
        <f t="shared" si="14"/>
        <v>28</v>
      </c>
      <c r="AC197" s="519" t="s">
        <v>3855</v>
      </c>
      <c r="AD197" s="518" t="s">
        <v>3960</v>
      </c>
      <c r="AE197" s="520" t="s">
        <v>3961</v>
      </c>
      <c r="AF197" s="504" t="s">
        <v>3342</v>
      </c>
      <c r="AG197" s="494" t="s">
        <v>2917</v>
      </c>
      <c r="AH197" s="494" t="s">
        <v>2917</v>
      </c>
      <c r="AI197" s="505"/>
      <c r="AJ197" s="505"/>
      <c r="AK197" s="521">
        <f>_xll.GetCtData("COAMOUNT","CONSAMOUNT",$B$1:$B$7,$B197,AK$9,"#")</f>
        <v>0</v>
      </c>
    </row>
    <row r="198" spans="2:37" ht="12" customHeight="1">
      <c r="B198" s="453" t="s">
        <v>356</v>
      </c>
      <c r="C198" s="482" t="s">
        <v>2929</v>
      </c>
      <c r="D198" s="483">
        <v>44403</v>
      </c>
      <c r="E198" s="484" t="s">
        <v>2930</v>
      </c>
      <c r="F198" s="485">
        <v>7</v>
      </c>
      <c r="G198" s="547"/>
      <c r="H198" s="547"/>
      <c r="I198" s="547"/>
      <c r="J198" s="547"/>
      <c r="K198" s="547"/>
      <c r="L198" s="547"/>
      <c r="M198" s="548"/>
      <c r="N198" s="517" t="s">
        <v>3962</v>
      </c>
      <c r="O198" s="518">
        <v>10</v>
      </c>
      <c r="P198" s="519" t="s">
        <v>634</v>
      </c>
      <c r="Q198" s="489">
        <v>94</v>
      </c>
      <c r="R198" s="519" t="s">
        <v>634</v>
      </c>
      <c r="S198" s="518">
        <f t="shared" si="10"/>
        <v>94</v>
      </c>
      <c r="T198" s="519" t="s">
        <v>3963</v>
      </c>
      <c r="U198" s="518">
        <f t="shared" si="11"/>
        <v>29</v>
      </c>
      <c r="V198" s="519" t="s">
        <v>3852</v>
      </c>
      <c r="W198" s="519" t="s">
        <v>3964</v>
      </c>
      <c r="X198" s="491">
        <f t="shared" si="12"/>
        <v>117</v>
      </c>
      <c r="Y198" s="519" t="s">
        <v>3964</v>
      </c>
      <c r="Z198" s="518">
        <f t="shared" si="13"/>
        <v>117</v>
      </c>
      <c r="AA198" s="519" t="s">
        <v>3965</v>
      </c>
      <c r="AB198" s="518">
        <f t="shared" si="14"/>
        <v>25</v>
      </c>
      <c r="AC198" s="519" t="s">
        <v>3855</v>
      </c>
      <c r="AD198" s="518" t="s">
        <v>3966</v>
      </c>
      <c r="AE198" s="520" t="s">
        <v>3967</v>
      </c>
      <c r="AF198" s="504" t="s">
        <v>3342</v>
      </c>
      <c r="AG198" s="494" t="s">
        <v>2917</v>
      </c>
      <c r="AH198" s="494" t="s">
        <v>2917</v>
      </c>
      <c r="AI198" s="505"/>
      <c r="AJ198" s="505"/>
      <c r="AK198" s="521">
        <f>_xll.GetCtData("COAMOUNT","CONSAMOUNT",$B$1:$B$7,$B198,AK$9,"#")</f>
        <v>0</v>
      </c>
    </row>
    <row r="199" spans="2:37" ht="12" customHeight="1">
      <c r="B199" s="453" t="s">
        <v>357</v>
      </c>
      <c r="C199" s="482" t="s">
        <v>2929</v>
      </c>
      <c r="D199" s="483">
        <v>44403</v>
      </c>
      <c r="E199" s="484" t="s">
        <v>2930</v>
      </c>
      <c r="F199" s="485">
        <v>7</v>
      </c>
      <c r="G199" s="547"/>
      <c r="H199" s="547"/>
      <c r="I199" s="547"/>
      <c r="J199" s="547"/>
      <c r="K199" s="547"/>
      <c r="L199" s="547"/>
      <c r="M199" s="548"/>
      <c r="N199" s="517" t="s">
        <v>3968</v>
      </c>
      <c r="O199" s="518">
        <v>10</v>
      </c>
      <c r="P199" s="519" t="s">
        <v>635</v>
      </c>
      <c r="Q199" s="489">
        <v>60</v>
      </c>
      <c r="R199" s="519" t="s">
        <v>635</v>
      </c>
      <c r="S199" s="518">
        <f t="shared" si="10"/>
        <v>60</v>
      </c>
      <c r="T199" s="519" t="s">
        <v>3969</v>
      </c>
      <c r="U199" s="518">
        <f t="shared" si="11"/>
        <v>27</v>
      </c>
      <c r="V199" s="519" t="s">
        <v>3852</v>
      </c>
      <c r="W199" s="519" t="s">
        <v>3970</v>
      </c>
      <c r="X199" s="491">
        <f t="shared" si="12"/>
        <v>81</v>
      </c>
      <c r="Y199" s="519" t="s">
        <v>3970</v>
      </c>
      <c r="Z199" s="518">
        <f t="shared" si="13"/>
        <v>81</v>
      </c>
      <c r="AA199" s="519" t="s">
        <v>3971</v>
      </c>
      <c r="AB199" s="518">
        <f t="shared" si="14"/>
        <v>30</v>
      </c>
      <c r="AC199" s="519" t="s">
        <v>3855</v>
      </c>
      <c r="AD199" s="518" t="s">
        <v>3972</v>
      </c>
      <c r="AE199" s="520" t="s">
        <v>3973</v>
      </c>
      <c r="AF199" s="504" t="s">
        <v>3342</v>
      </c>
      <c r="AG199" s="494" t="s">
        <v>2917</v>
      </c>
      <c r="AH199" s="494" t="s">
        <v>2917</v>
      </c>
      <c r="AI199" s="505"/>
      <c r="AJ199" s="505"/>
      <c r="AK199" s="521">
        <f>_xll.GetCtData("COAMOUNT","CONSAMOUNT",$B$1:$B$7,$B199,AK$9,"#")</f>
        <v>0</v>
      </c>
    </row>
    <row r="200" spans="2:37" ht="12" customHeight="1">
      <c r="B200" s="453" t="s">
        <v>358</v>
      </c>
      <c r="C200" s="482" t="s">
        <v>2929</v>
      </c>
      <c r="D200" s="483">
        <v>44403</v>
      </c>
      <c r="E200" s="484" t="s">
        <v>2930</v>
      </c>
      <c r="F200" s="485">
        <v>7</v>
      </c>
      <c r="G200" s="547"/>
      <c r="H200" s="547"/>
      <c r="I200" s="547"/>
      <c r="J200" s="547"/>
      <c r="K200" s="547"/>
      <c r="L200" s="547"/>
      <c r="M200" s="548"/>
      <c r="N200" s="517" t="s">
        <v>3974</v>
      </c>
      <c r="O200" s="518">
        <v>10</v>
      </c>
      <c r="P200" s="519" t="s">
        <v>636</v>
      </c>
      <c r="Q200" s="489">
        <v>68</v>
      </c>
      <c r="R200" s="519" t="s">
        <v>636</v>
      </c>
      <c r="S200" s="518">
        <f t="shared" si="10"/>
        <v>68</v>
      </c>
      <c r="T200" s="519" t="s">
        <v>3975</v>
      </c>
      <c r="U200" s="518">
        <f t="shared" si="11"/>
        <v>27</v>
      </c>
      <c r="V200" s="519" t="s">
        <v>3852</v>
      </c>
      <c r="W200" s="519" t="s">
        <v>3976</v>
      </c>
      <c r="X200" s="491">
        <f t="shared" si="12"/>
        <v>51</v>
      </c>
      <c r="Y200" s="519" t="s">
        <v>3976</v>
      </c>
      <c r="Z200" s="518">
        <f t="shared" si="13"/>
        <v>51</v>
      </c>
      <c r="AA200" s="519" t="s">
        <v>3977</v>
      </c>
      <c r="AB200" s="518">
        <f t="shared" si="14"/>
        <v>21</v>
      </c>
      <c r="AC200" s="519" t="s">
        <v>3855</v>
      </c>
      <c r="AD200" s="518" t="s">
        <v>3978</v>
      </c>
      <c r="AE200" s="520" t="s">
        <v>3979</v>
      </c>
      <c r="AF200" s="504" t="s">
        <v>3342</v>
      </c>
      <c r="AG200" s="494" t="s">
        <v>2917</v>
      </c>
      <c r="AH200" s="494" t="s">
        <v>2917</v>
      </c>
      <c r="AI200" s="505"/>
      <c r="AJ200" s="505"/>
      <c r="AK200" s="521">
        <f>_xll.GetCtData("COAMOUNT","CONSAMOUNT",$B$1:$B$7,$B200,AK$9,"#")</f>
        <v>0</v>
      </c>
    </row>
    <row r="201" spans="2:37" ht="12" customHeight="1">
      <c r="B201" s="453" t="s">
        <v>3980</v>
      </c>
      <c r="C201" s="482" t="s">
        <v>2911</v>
      </c>
      <c r="D201" s="483">
        <v>44378</v>
      </c>
      <c r="E201" s="484" t="s">
        <v>2912</v>
      </c>
      <c r="F201" s="485">
        <v>5</v>
      </c>
      <c r="G201" s="482"/>
      <c r="H201" s="567"/>
      <c r="I201" s="567"/>
      <c r="J201" s="567"/>
      <c r="K201" s="567"/>
      <c r="L201" s="568" t="s">
        <v>3981</v>
      </c>
      <c r="M201" s="569"/>
      <c r="N201" s="589"/>
      <c r="O201" s="571">
        <v>8</v>
      </c>
      <c r="P201" s="572" t="s">
        <v>3982</v>
      </c>
      <c r="Q201" s="489">
        <v>55</v>
      </c>
      <c r="R201" s="572" t="s">
        <v>3982</v>
      </c>
      <c r="S201" s="571">
        <f t="shared" si="10"/>
        <v>55</v>
      </c>
      <c r="T201" s="572" t="s">
        <v>3983</v>
      </c>
      <c r="U201" s="571">
        <f t="shared" si="11"/>
        <v>25</v>
      </c>
      <c r="V201" s="573" t="s">
        <v>3852</v>
      </c>
      <c r="W201" s="573" t="s">
        <v>3984</v>
      </c>
      <c r="X201" s="491">
        <f t="shared" si="12"/>
        <v>64</v>
      </c>
      <c r="Y201" s="573" t="s">
        <v>3984</v>
      </c>
      <c r="Z201" s="571">
        <f t="shared" si="13"/>
        <v>64</v>
      </c>
      <c r="AA201" s="573" t="s">
        <v>3985</v>
      </c>
      <c r="AB201" s="571">
        <f t="shared" si="14"/>
        <v>24</v>
      </c>
      <c r="AC201" s="573" t="s">
        <v>3855</v>
      </c>
      <c r="AD201" s="571"/>
      <c r="AE201" s="575"/>
      <c r="AF201" s="504"/>
      <c r="AG201" s="494" t="s">
        <v>2917</v>
      </c>
      <c r="AH201" s="495" t="s">
        <v>2918</v>
      </c>
      <c r="AI201" s="505"/>
      <c r="AJ201" s="505"/>
      <c r="AK201" s="576">
        <f>_xll.GetCtData("COAMOUNT","CONSAMOUNT",$B$1:$B$7,$B201,AK$9,"#")</f>
        <v>0</v>
      </c>
    </row>
    <row r="202" spans="2:37" ht="12" customHeight="1">
      <c r="B202" s="453" t="s">
        <v>359</v>
      </c>
      <c r="C202" s="482" t="s">
        <v>2929</v>
      </c>
      <c r="D202" s="483">
        <v>44403</v>
      </c>
      <c r="E202" s="484" t="s">
        <v>2930</v>
      </c>
      <c r="F202" s="485">
        <v>7</v>
      </c>
      <c r="G202" s="590"/>
      <c r="H202" s="590"/>
      <c r="I202" s="590"/>
      <c r="J202" s="590"/>
      <c r="K202" s="590"/>
      <c r="L202" s="590"/>
      <c r="M202" s="591"/>
      <c r="N202" s="517" t="s">
        <v>3986</v>
      </c>
      <c r="O202" s="518">
        <v>10</v>
      </c>
      <c r="P202" s="519" t="s">
        <v>637</v>
      </c>
      <c r="Q202" s="489">
        <v>78</v>
      </c>
      <c r="R202" s="519" t="s">
        <v>3987</v>
      </c>
      <c r="S202" s="518">
        <f t="shared" si="10"/>
        <v>71</v>
      </c>
      <c r="T202" s="519" t="s">
        <v>3988</v>
      </c>
      <c r="U202" s="518">
        <f t="shared" si="11"/>
        <v>30</v>
      </c>
      <c r="V202" s="519" t="s">
        <v>3852</v>
      </c>
      <c r="W202" s="519" t="s">
        <v>3989</v>
      </c>
      <c r="X202" s="491">
        <f t="shared" si="12"/>
        <v>82</v>
      </c>
      <c r="Y202" s="519" t="s">
        <v>3989</v>
      </c>
      <c r="Z202" s="518">
        <f t="shared" si="13"/>
        <v>82</v>
      </c>
      <c r="AA202" s="519" t="s">
        <v>3990</v>
      </c>
      <c r="AB202" s="518">
        <f t="shared" si="14"/>
        <v>27</v>
      </c>
      <c r="AC202" s="519" t="s">
        <v>3855</v>
      </c>
      <c r="AD202" s="518" t="s">
        <v>3953</v>
      </c>
      <c r="AE202" s="520" t="s">
        <v>3954</v>
      </c>
      <c r="AF202" s="504" t="s">
        <v>2939</v>
      </c>
      <c r="AG202" s="494" t="s">
        <v>2917</v>
      </c>
      <c r="AH202" s="494" t="s">
        <v>2917</v>
      </c>
      <c r="AI202" s="505"/>
      <c r="AJ202" s="505"/>
      <c r="AK202" s="521">
        <f>_xll.GetCtData("COAMOUNT","CONSAMOUNT",$B$1:$B$7,$B202,AK$9,"#")</f>
        <v>0</v>
      </c>
    </row>
    <row r="203" spans="2:37" ht="12" customHeight="1">
      <c r="B203" s="453" t="s">
        <v>360</v>
      </c>
      <c r="C203" s="482" t="s">
        <v>2929</v>
      </c>
      <c r="D203" s="483">
        <v>44403</v>
      </c>
      <c r="E203" s="484" t="s">
        <v>2930</v>
      </c>
      <c r="F203" s="485">
        <v>7</v>
      </c>
      <c r="G203" s="547"/>
      <c r="H203" s="547"/>
      <c r="I203" s="547"/>
      <c r="J203" s="547"/>
      <c r="K203" s="547"/>
      <c r="L203" s="547"/>
      <c r="M203" s="548"/>
      <c r="N203" s="517" t="s">
        <v>3991</v>
      </c>
      <c r="O203" s="518">
        <v>10</v>
      </c>
      <c r="P203" s="519" t="s">
        <v>638</v>
      </c>
      <c r="Q203" s="489">
        <v>72</v>
      </c>
      <c r="R203" s="519" t="s">
        <v>3992</v>
      </c>
      <c r="S203" s="518">
        <f t="shared" si="10"/>
        <v>65</v>
      </c>
      <c r="T203" s="519" t="s">
        <v>3993</v>
      </c>
      <c r="U203" s="518">
        <f t="shared" si="11"/>
        <v>29</v>
      </c>
      <c r="V203" s="519" t="s">
        <v>3852</v>
      </c>
      <c r="W203" s="519" t="s">
        <v>3994</v>
      </c>
      <c r="X203" s="491">
        <f t="shared" si="12"/>
        <v>81</v>
      </c>
      <c r="Y203" s="519" t="s">
        <v>3994</v>
      </c>
      <c r="Z203" s="518">
        <f t="shared" si="13"/>
        <v>81</v>
      </c>
      <c r="AA203" s="519" t="s">
        <v>3995</v>
      </c>
      <c r="AB203" s="518">
        <f t="shared" si="14"/>
        <v>30</v>
      </c>
      <c r="AC203" s="519" t="s">
        <v>3855</v>
      </c>
      <c r="AD203" s="518" t="s">
        <v>3960</v>
      </c>
      <c r="AE203" s="520" t="s">
        <v>3961</v>
      </c>
      <c r="AF203" s="504" t="s">
        <v>2939</v>
      </c>
      <c r="AG203" s="494" t="s">
        <v>2917</v>
      </c>
      <c r="AH203" s="494" t="s">
        <v>2917</v>
      </c>
      <c r="AI203" s="505"/>
      <c r="AJ203" s="505"/>
      <c r="AK203" s="521">
        <f>_xll.GetCtData("COAMOUNT","CONSAMOUNT",$B$1:$B$7,$B203,AK$9,"#")</f>
        <v>0</v>
      </c>
    </row>
    <row r="204" spans="2:37" ht="12" customHeight="1">
      <c r="B204" s="453" t="s">
        <v>361</v>
      </c>
      <c r="C204" s="482" t="s">
        <v>2929</v>
      </c>
      <c r="D204" s="483">
        <v>44403</v>
      </c>
      <c r="E204" s="484" t="s">
        <v>2930</v>
      </c>
      <c r="F204" s="485">
        <v>7</v>
      </c>
      <c r="G204" s="577"/>
      <c r="H204" s="577"/>
      <c r="I204" s="577"/>
      <c r="J204" s="577"/>
      <c r="K204" s="577"/>
      <c r="L204" s="577"/>
      <c r="M204" s="578"/>
      <c r="N204" s="517" t="s">
        <v>3996</v>
      </c>
      <c r="O204" s="518">
        <v>10</v>
      </c>
      <c r="P204" s="519" t="s">
        <v>639</v>
      </c>
      <c r="Q204" s="489">
        <v>96</v>
      </c>
      <c r="R204" s="519" t="s">
        <v>639</v>
      </c>
      <c r="S204" s="518">
        <f t="shared" ref="S204:S267" si="15">LEN(R204)</f>
        <v>96</v>
      </c>
      <c r="T204" s="519" t="s">
        <v>3997</v>
      </c>
      <c r="U204" s="518">
        <f t="shared" ref="U204:U267" si="16">LEN(T204)</f>
        <v>30</v>
      </c>
      <c r="V204" s="519" t="s">
        <v>3852</v>
      </c>
      <c r="W204" s="519" t="s">
        <v>3998</v>
      </c>
      <c r="X204" s="491">
        <f t="shared" ref="X204:X267" si="17">LEN(W204)</f>
        <v>119</v>
      </c>
      <c r="Y204" s="519" t="s">
        <v>3998</v>
      </c>
      <c r="Z204" s="518">
        <f t="shared" ref="Z204:Z267" si="18">LEN(Y204)</f>
        <v>119</v>
      </c>
      <c r="AA204" s="519" t="s">
        <v>3999</v>
      </c>
      <c r="AB204" s="518">
        <f t="shared" ref="AB204:AB267" si="19">LEN(AA204)</f>
        <v>28</v>
      </c>
      <c r="AC204" s="519" t="s">
        <v>3855</v>
      </c>
      <c r="AD204" s="518" t="s">
        <v>3966</v>
      </c>
      <c r="AE204" s="520" t="s">
        <v>3967</v>
      </c>
      <c r="AF204" s="504" t="s">
        <v>2939</v>
      </c>
      <c r="AG204" s="494" t="s">
        <v>2917</v>
      </c>
      <c r="AH204" s="494" t="s">
        <v>2917</v>
      </c>
      <c r="AI204" s="505"/>
      <c r="AJ204" s="505"/>
      <c r="AK204" s="521">
        <f>_xll.GetCtData("COAMOUNT","CONSAMOUNT",$B$1:$B$7,$B204,AK$9,"#")</f>
        <v>0</v>
      </c>
    </row>
    <row r="205" spans="2:37" ht="12" customHeight="1">
      <c r="B205" s="453" t="s">
        <v>362</v>
      </c>
      <c r="C205" s="482" t="s">
        <v>2929</v>
      </c>
      <c r="D205" s="483">
        <v>44403</v>
      </c>
      <c r="E205" s="484" t="s">
        <v>2930</v>
      </c>
      <c r="F205" s="485">
        <v>7</v>
      </c>
      <c r="G205" s="577"/>
      <c r="H205" s="577"/>
      <c r="I205" s="577"/>
      <c r="J205" s="577"/>
      <c r="K205" s="577"/>
      <c r="L205" s="577"/>
      <c r="M205" s="578"/>
      <c r="N205" s="517" t="s">
        <v>4000</v>
      </c>
      <c r="O205" s="518">
        <v>10</v>
      </c>
      <c r="P205" s="519" t="s">
        <v>640</v>
      </c>
      <c r="Q205" s="489">
        <v>62</v>
      </c>
      <c r="R205" s="519" t="s">
        <v>640</v>
      </c>
      <c r="S205" s="518">
        <f t="shared" si="15"/>
        <v>62</v>
      </c>
      <c r="T205" s="519" t="s">
        <v>4001</v>
      </c>
      <c r="U205" s="518">
        <f t="shared" si="16"/>
        <v>29</v>
      </c>
      <c r="V205" s="519" t="s">
        <v>3852</v>
      </c>
      <c r="W205" s="519" t="s">
        <v>4002</v>
      </c>
      <c r="X205" s="491">
        <f t="shared" si="17"/>
        <v>83</v>
      </c>
      <c r="Y205" s="519" t="s">
        <v>4002</v>
      </c>
      <c r="Z205" s="518">
        <f t="shared" si="18"/>
        <v>83</v>
      </c>
      <c r="AA205" s="519" t="s">
        <v>4003</v>
      </c>
      <c r="AB205" s="518">
        <f t="shared" si="19"/>
        <v>30</v>
      </c>
      <c r="AC205" s="519" t="s">
        <v>3855</v>
      </c>
      <c r="AD205" s="518" t="s">
        <v>3972</v>
      </c>
      <c r="AE205" s="520" t="s">
        <v>3973</v>
      </c>
      <c r="AF205" s="504" t="s">
        <v>2939</v>
      </c>
      <c r="AG205" s="494" t="s">
        <v>2917</v>
      </c>
      <c r="AH205" s="494" t="s">
        <v>2917</v>
      </c>
      <c r="AI205" s="505"/>
      <c r="AJ205" s="505"/>
      <c r="AK205" s="521">
        <f>_xll.GetCtData("COAMOUNT","CONSAMOUNT",$B$1:$B$7,$B205,AK$9,"#")</f>
        <v>0</v>
      </c>
    </row>
    <row r="206" spans="2:37" ht="12" customHeight="1">
      <c r="B206" s="453" t="s">
        <v>363</v>
      </c>
      <c r="C206" s="482" t="s">
        <v>2929</v>
      </c>
      <c r="D206" s="483">
        <v>44403</v>
      </c>
      <c r="E206" s="484" t="s">
        <v>2930</v>
      </c>
      <c r="F206" s="485">
        <v>7</v>
      </c>
      <c r="G206" s="577"/>
      <c r="H206" s="577"/>
      <c r="I206" s="577"/>
      <c r="J206" s="577"/>
      <c r="K206" s="577"/>
      <c r="L206" s="577"/>
      <c r="M206" s="578"/>
      <c r="N206" s="517" t="s">
        <v>4004</v>
      </c>
      <c r="O206" s="518">
        <v>10</v>
      </c>
      <c r="P206" s="519" t="s">
        <v>641</v>
      </c>
      <c r="Q206" s="489">
        <v>70</v>
      </c>
      <c r="R206" s="519" t="s">
        <v>641</v>
      </c>
      <c r="S206" s="518">
        <f t="shared" si="15"/>
        <v>70</v>
      </c>
      <c r="T206" s="519" t="s">
        <v>4005</v>
      </c>
      <c r="U206" s="518">
        <f t="shared" si="16"/>
        <v>29</v>
      </c>
      <c r="V206" s="519" t="s">
        <v>3852</v>
      </c>
      <c r="W206" s="519" t="s">
        <v>4006</v>
      </c>
      <c r="X206" s="491">
        <f t="shared" si="17"/>
        <v>53</v>
      </c>
      <c r="Y206" s="519" t="s">
        <v>4006</v>
      </c>
      <c r="Z206" s="518">
        <f t="shared" si="18"/>
        <v>53</v>
      </c>
      <c r="AA206" s="519" t="s">
        <v>4007</v>
      </c>
      <c r="AB206" s="518">
        <f t="shared" si="19"/>
        <v>23</v>
      </c>
      <c r="AC206" s="519" t="s">
        <v>3855</v>
      </c>
      <c r="AD206" s="518" t="s">
        <v>3978</v>
      </c>
      <c r="AE206" s="520" t="s">
        <v>3979</v>
      </c>
      <c r="AF206" s="504" t="s">
        <v>2939</v>
      </c>
      <c r="AG206" s="494" t="s">
        <v>2917</v>
      </c>
      <c r="AH206" s="494" t="s">
        <v>2917</v>
      </c>
      <c r="AI206" s="505"/>
      <c r="AJ206" s="505"/>
      <c r="AK206" s="521">
        <f>_xll.GetCtData("COAMOUNT","CONSAMOUNT",$B$1:$B$7,$B206,AK$9,"#")</f>
        <v>0</v>
      </c>
    </row>
    <row r="207" spans="2:37" ht="12" customHeight="1">
      <c r="B207" s="453" t="s">
        <v>956</v>
      </c>
      <c r="C207" s="482" t="s">
        <v>2911</v>
      </c>
      <c r="D207" s="483">
        <v>44378</v>
      </c>
      <c r="E207" s="484" t="s">
        <v>2912</v>
      </c>
      <c r="F207" s="485">
        <v>4</v>
      </c>
      <c r="G207" s="482"/>
      <c r="H207" s="507"/>
      <c r="I207" s="507"/>
      <c r="J207" s="507"/>
      <c r="K207" s="564" t="s">
        <v>4008</v>
      </c>
      <c r="L207" s="564"/>
      <c r="M207" s="565"/>
      <c r="N207" s="588"/>
      <c r="O207" s="558">
        <v>7</v>
      </c>
      <c r="P207" s="559" t="s">
        <v>2603</v>
      </c>
      <c r="Q207" s="489">
        <v>55</v>
      </c>
      <c r="R207" s="559" t="s">
        <v>2603</v>
      </c>
      <c r="S207" s="558">
        <f t="shared" si="15"/>
        <v>55</v>
      </c>
      <c r="T207" s="559" t="s">
        <v>4009</v>
      </c>
      <c r="U207" s="558">
        <f t="shared" si="16"/>
        <v>21</v>
      </c>
      <c r="V207" s="560" t="s">
        <v>3852</v>
      </c>
      <c r="W207" s="560" t="s">
        <v>4010</v>
      </c>
      <c r="X207" s="491">
        <f t="shared" si="17"/>
        <v>47</v>
      </c>
      <c r="Y207" s="560" t="s">
        <v>4010</v>
      </c>
      <c r="Z207" s="558">
        <f t="shared" si="18"/>
        <v>47</v>
      </c>
      <c r="AA207" s="560" t="s">
        <v>4011</v>
      </c>
      <c r="AB207" s="558">
        <f t="shared" si="19"/>
        <v>20</v>
      </c>
      <c r="AC207" s="560" t="s">
        <v>3855</v>
      </c>
      <c r="AD207" s="558"/>
      <c r="AE207" s="562"/>
      <c r="AF207" s="504"/>
      <c r="AG207" s="494" t="s">
        <v>2917</v>
      </c>
      <c r="AH207" s="495" t="s">
        <v>2918</v>
      </c>
      <c r="AI207" s="505"/>
      <c r="AJ207" s="505"/>
      <c r="AK207" s="563">
        <f>_xll.GetCtData("COAMOUNT","CONSAMOUNT",$B$1:$B$7,$B207,AK$9,"#83035295")</f>
        <v>83035295</v>
      </c>
    </row>
    <row r="208" spans="2:37" ht="12" customHeight="1">
      <c r="B208" s="453" t="s">
        <v>4012</v>
      </c>
      <c r="C208" s="482" t="s">
        <v>2911</v>
      </c>
      <c r="D208" s="483">
        <v>44378</v>
      </c>
      <c r="E208" s="484" t="s">
        <v>2912</v>
      </c>
      <c r="F208" s="485">
        <v>5</v>
      </c>
      <c r="G208" s="482"/>
      <c r="H208" s="567"/>
      <c r="I208" s="567"/>
      <c r="J208" s="567"/>
      <c r="K208" s="567"/>
      <c r="L208" s="568" t="s">
        <v>4013</v>
      </c>
      <c r="M208" s="569"/>
      <c r="N208" s="589"/>
      <c r="O208" s="571">
        <v>8</v>
      </c>
      <c r="P208" s="572" t="s">
        <v>4014</v>
      </c>
      <c r="Q208" s="489">
        <v>60</v>
      </c>
      <c r="R208" s="572" t="s">
        <v>4014</v>
      </c>
      <c r="S208" s="571">
        <f t="shared" si="15"/>
        <v>60</v>
      </c>
      <c r="T208" s="572" t="s">
        <v>4015</v>
      </c>
      <c r="U208" s="571">
        <f t="shared" si="16"/>
        <v>23</v>
      </c>
      <c r="V208" s="573" t="s">
        <v>3852</v>
      </c>
      <c r="W208" s="573" t="s">
        <v>4016</v>
      </c>
      <c r="X208" s="491">
        <f t="shared" si="17"/>
        <v>52</v>
      </c>
      <c r="Y208" s="573" t="s">
        <v>4016</v>
      </c>
      <c r="Z208" s="571">
        <f t="shared" si="18"/>
        <v>52</v>
      </c>
      <c r="AA208" s="573" t="s">
        <v>4017</v>
      </c>
      <c r="AB208" s="571">
        <f t="shared" si="19"/>
        <v>23</v>
      </c>
      <c r="AC208" s="573" t="s">
        <v>3855</v>
      </c>
      <c r="AD208" s="571"/>
      <c r="AE208" s="575"/>
      <c r="AF208" s="504"/>
      <c r="AG208" s="494" t="s">
        <v>2917</v>
      </c>
      <c r="AH208" s="495" t="s">
        <v>2918</v>
      </c>
      <c r="AI208" s="505"/>
      <c r="AJ208" s="505"/>
      <c r="AK208" s="576">
        <f>_xll.GetCtData("COAMOUNT","CONSAMOUNT",$B$1:$B$7,$B208,AK$9,"#82947571")</f>
        <v>82947571</v>
      </c>
    </row>
    <row r="209" spans="2:37" ht="12" customHeight="1">
      <c r="B209" s="453" t="s">
        <v>459</v>
      </c>
      <c r="C209" s="482" t="s">
        <v>2929</v>
      </c>
      <c r="D209" s="483">
        <v>44403</v>
      </c>
      <c r="E209" s="484" t="s">
        <v>2930</v>
      </c>
      <c r="F209" s="485">
        <v>7</v>
      </c>
      <c r="G209" s="547"/>
      <c r="H209" s="547"/>
      <c r="I209" s="547"/>
      <c r="J209" s="547"/>
      <c r="K209" s="547"/>
      <c r="L209" s="547"/>
      <c r="M209" s="548"/>
      <c r="N209" s="517" t="s">
        <v>4018</v>
      </c>
      <c r="O209" s="518">
        <v>10</v>
      </c>
      <c r="P209" s="519" t="s">
        <v>642</v>
      </c>
      <c r="Q209" s="489">
        <v>83</v>
      </c>
      <c r="R209" s="519" t="s">
        <v>4019</v>
      </c>
      <c r="S209" s="518">
        <f t="shared" si="15"/>
        <v>76</v>
      </c>
      <c r="T209" s="519" t="s">
        <v>4020</v>
      </c>
      <c r="U209" s="518">
        <f t="shared" si="16"/>
        <v>29</v>
      </c>
      <c r="V209" s="519" t="s">
        <v>3852</v>
      </c>
      <c r="W209" s="519" t="s">
        <v>4021</v>
      </c>
      <c r="X209" s="491">
        <f t="shared" si="17"/>
        <v>70</v>
      </c>
      <c r="Y209" s="519" t="s">
        <v>4021</v>
      </c>
      <c r="Z209" s="518">
        <f t="shared" si="18"/>
        <v>70</v>
      </c>
      <c r="AA209" s="519" t="s">
        <v>4022</v>
      </c>
      <c r="AB209" s="518">
        <f t="shared" si="19"/>
        <v>26</v>
      </c>
      <c r="AC209" s="519" t="s">
        <v>3855</v>
      </c>
      <c r="AD209" s="518" t="s">
        <v>4023</v>
      </c>
      <c r="AE209" s="520" t="s">
        <v>4024</v>
      </c>
      <c r="AF209" s="504" t="s">
        <v>3279</v>
      </c>
      <c r="AG209" s="494" t="s">
        <v>2917</v>
      </c>
      <c r="AH209" s="494" t="s">
        <v>2917</v>
      </c>
      <c r="AI209" s="505"/>
      <c r="AJ209" s="505"/>
      <c r="AK209" s="521">
        <f>_xll.GetCtData("COAMOUNT","CONSAMOUNT",$B$1:$B$7,$B209,AK$9,"#87579982")</f>
        <v>87579982</v>
      </c>
    </row>
    <row r="210" spans="2:37" ht="12" customHeight="1">
      <c r="B210" s="453" t="s">
        <v>460</v>
      </c>
      <c r="C210" s="482" t="s">
        <v>2929</v>
      </c>
      <c r="D210" s="483">
        <v>44403</v>
      </c>
      <c r="E210" s="484" t="s">
        <v>2930</v>
      </c>
      <c r="F210" s="485">
        <v>7</v>
      </c>
      <c r="G210" s="547"/>
      <c r="H210" s="547"/>
      <c r="I210" s="547"/>
      <c r="J210" s="547"/>
      <c r="K210" s="547"/>
      <c r="L210" s="547"/>
      <c r="M210" s="548"/>
      <c r="N210" s="517" t="s">
        <v>4025</v>
      </c>
      <c r="O210" s="518">
        <v>10</v>
      </c>
      <c r="P210" s="519" t="s">
        <v>643</v>
      </c>
      <c r="Q210" s="489">
        <v>77</v>
      </c>
      <c r="R210" s="519" t="s">
        <v>4026</v>
      </c>
      <c r="S210" s="518">
        <f t="shared" si="15"/>
        <v>70</v>
      </c>
      <c r="T210" s="519" t="s">
        <v>4027</v>
      </c>
      <c r="U210" s="518">
        <f t="shared" si="16"/>
        <v>29</v>
      </c>
      <c r="V210" s="519" t="s">
        <v>3852</v>
      </c>
      <c r="W210" s="519" t="s">
        <v>4028</v>
      </c>
      <c r="X210" s="491">
        <f t="shared" si="17"/>
        <v>69</v>
      </c>
      <c r="Y210" s="519" t="s">
        <v>4028</v>
      </c>
      <c r="Z210" s="518">
        <f t="shared" si="18"/>
        <v>69</v>
      </c>
      <c r="AA210" s="519" t="s">
        <v>4029</v>
      </c>
      <c r="AB210" s="518">
        <f t="shared" si="19"/>
        <v>29</v>
      </c>
      <c r="AC210" s="519" t="s">
        <v>3855</v>
      </c>
      <c r="AD210" s="518" t="s">
        <v>4030</v>
      </c>
      <c r="AE210" s="520" t="s">
        <v>4031</v>
      </c>
      <c r="AF210" s="504" t="s">
        <v>3279</v>
      </c>
      <c r="AG210" s="494" t="s">
        <v>2917</v>
      </c>
      <c r="AH210" s="494" t="s">
        <v>2917</v>
      </c>
      <c r="AI210" s="505"/>
      <c r="AJ210" s="505"/>
      <c r="AK210" s="521">
        <f>_xll.GetCtData("COAMOUNT","CONSAMOUNT",$B$1:$B$7,$B210,AK$9,"#-5592683")</f>
        <v>-5592683</v>
      </c>
    </row>
    <row r="211" spans="2:37" ht="12" customHeight="1">
      <c r="B211" s="453" t="s">
        <v>461</v>
      </c>
      <c r="C211" s="482" t="s">
        <v>2929</v>
      </c>
      <c r="D211" s="483">
        <v>44403</v>
      </c>
      <c r="E211" s="484" t="s">
        <v>2930</v>
      </c>
      <c r="F211" s="485">
        <v>7</v>
      </c>
      <c r="G211" s="547"/>
      <c r="H211" s="547"/>
      <c r="I211" s="547"/>
      <c r="J211" s="547"/>
      <c r="K211" s="547"/>
      <c r="L211" s="547"/>
      <c r="M211" s="548"/>
      <c r="N211" s="517" t="s">
        <v>4032</v>
      </c>
      <c r="O211" s="518">
        <v>10</v>
      </c>
      <c r="P211" s="519" t="s">
        <v>644</v>
      </c>
      <c r="Q211" s="489">
        <v>101</v>
      </c>
      <c r="R211" s="519" t="s">
        <v>644</v>
      </c>
      <c r="S211" s="518">
        <f t="shared" si="15"/>
        <v>101</v>
      </c>
      <c r="T211" s="519" t="s">
        <v>4033</v>
      </c>
      <c r="U211" s="518">
        <f t="shared" si="16"/>
        <v>30</v>
      </c>
      <c r="V211" s="519" t="s">
        <v>3852</v>
      </c>
      <c r="W211" s="519" t="s">
        <v>4034</v>
      </c>
      <c r="X211" s="491">
        <f t="shared" si="17"/>
        <v>107</v>
      </c>
      <c r="Y211" s="519" t="s">
        <v>4034</v>
      </c>
      <c r="Z211" s="518">
        <f t="shared" si="18"/>
        <v>107</v>
      </c>
      <c r="AA211" s="519" t="s">
        <v>4035</v>
      </c>
      <c r="AB211" s="518">
        <f t="shared" si="19"/>
        <v>27</v>
      </c>
      <c r="AC211" s="519" t="s">
        <v>3855</v>
      </c>
      <c r="AD211" s="518" t="s">
        <v>4036</v>
      </c>
      <c r="AE211" s="520" t="s">
        <v>4037</v>
      </c>
      <c r="AF211" s="504" t="s">
        <v>3279</v>
      </c>
      <c r="AG211" s="494" t="s">
        <v>2917</v>
      </c>
      <c r="AH211" s="494" t="s">
        <v>2917</v>
      </c>
      <c r="AI211" s="505"/>
      <c r="AJ211" s="505"/>
      <c r="AK211" s="521">
        <f>_xll.GetCtData("COAMOUNT","CONSAMOUNT",$B$1:$B$7,$B211,AK$9,"#251055")</f>
        <v>251055</v>
      </c>
    </row>
    <row r="212" spans="2:37" ht="12" customHeight="1">
      <c r="B212" s="453" t="s">
        <v>462</v>
      </c>
      <c r="C212" s="482" t="s">
        <v>2929</v>
      </c>
      <c r="D212" s="483">
        <v>44403</v>
      </c>
      <c r="E212" s="484" t="s">
        <v>2930</v>
      </c>
      <c r="F212" s="485">
        <v>7</v>
      </c>
      <c r="G212" s="547"/>
      <c r="H212" s="547"/>
      <c r="I212" s="547"/>
      <c r="J212" s="547"/>
      <c r="K212" s="547"/>
      <c r="L212" s="547"/>
      <c r="M212" s="548"/>
      <c r="N212" s="517" t="s">
        <v>4038</v>
      </c>
      <c r="O212" s="518">
        <v>10</v>
      </c>
      <c r="P212" s="519" t="s">
        <v>645</v>
      </c>
      <c r="Q212" s="489">
        <v>67</v>
      </c>
      <c r="R212" s="519" t="s">
        <v>645</v>
      </c>
      <c r="S212" s="518">
        <f t="shared" si="15"/>
        <v>67</v>
      </c>
      <c r="T212" s="519" t="s">
        <v>4039</v>
      </c>
      <c r="U212" s="518">
        <f t="shared" si="16"/>
        <v>28</v>
      </c>
      <c r="V212" s="519" t="s">
        <v>3852</v>
      </c>
      <c r="W212" s="519" t="s">
        <v>4040</v>
      </c>
      <c r="X212" s="491">
        <f t="shared" si="17"/>
        <v>71</v>
      </c>
      <c r="Y212" s="519" t="s">
        <v>4040</v>
      </c>
      <c r="Z212" s="518">
        <f t="shared" si="18"/>
        <v>71</v>
      </c>
      <c r="AA212" s="519" t="s">
        <v>4041</v>
      </c>
      <c r="AB212" s="518">
        <f t="shared" si="19"/>
        <v>30</v>
      </c>
      <c r="AC212" s="519" t="s">
        <v>3855</v>
      </c>
      <c r="AD212" s="518" t="s">
        <v>4042</v>
      </c>
      <c r="AE212" s="520" t="s">
        <v>4043</v>
      </c>
      <c r="AF212" s="504" t="s">
        <v>3279</v>
      </c>
      <c r="AG212" s="494" t="s">
        <v>2917</v>
      </c>
      <c r="AH212" s="494" t="s">
        <v>2917</v>
      </c>
      <c r="AI212" s="505"/>
      <c r="AJ212" s="505"/>
      <c r="AK212" s="521">
        <f>_xll.GetCtData("COAMOUNT","CONSAMOUNT",$B$1:$B$7,$B212,AK$9,"#879996")</f>
        <v>879996</v>
      </c>
    </row>
    <row r="213" spans="2:37" ht="12" customHeight="1">
      <c r="B213" s="453" t="s">
        <v>463</v>
      </c>
      <c r="C213" s="482" t="s">
        <v>2929</v>
      </c>
      <c r="D213" s="483">
        <v>44403</v>
      </c>
      <c r="E213" s="484" t="s">
        <v>2930</v>
      </c>
      <c r="F213" s="485">
        <v>7</v>
      </c>
      <c r="G213" s="547"/>
      <c r="H213" s="547"/>
      <c r="I213" s="547"/>
      <c r="J213" s="547"/>
      <c r="K213" s="547"/>
      <c r="L213" s="547"/>
      <c r="M213" s="548"/>
      <c r="N213" s="517" t="s">
        <v>4044</v>
      </c>
      <c r="O213" s="518">
        <v>10</v>
      </c>
      <c r="P213" s="519" t="s">
        <v>646</v>
      </c>
      <c r="Q213" s="489">
        <v>75</v>
      </c>
      <c r="R213" s="519" t="s">
        <v>646</v>
      </c>
      <c r="S213" s="518">
        <f t="shared" si="15"/>
        <v>75</v>
      </c>
      <c r="T213" s="519" t="s">
        <v>4045</v>
      </c>
      <c r="U213" s="518">
        <f t="shared" si="16"/>
        <v>28</v>
      </c>
      <c r="V213" s="519" t="s">
        <v>3852</v>
      </c>
      <c r="W213" s="519" t="s">
        <v>4046</v>
      </c>
      <c r="X213" s="491">
        <f t="shared" si="17"/>
        <v>65</v>
      </c>
      <c r="Y213" s="519" t="s">
        <v>4046</v>
      </c>
      <c r="Z213" s="518">
        <f t="shared" si="18"/>
        <v>65</v>
      </c>
      <c r="AA213" s="519" t="s">
        <v>4047</v>
      </c>
      <c r="AB213" s="518">
        <f t="shared" si="19"/>
        <v>27</v>
      </c>
      <c r="AC213" s="519" t="s">
        <v>3855</v>
      </c>
      <c r="AD213" s="518" t="s">
        <v>4048</v>
      </c>
      <c r="AE213" s="520" t="s">
        <v>4049</v>
      </c>
      <c r="AF213" s="504" t="s">
        <v>3279</v>
      </c>
      <c r="AG213" s="494" t="s">
        <v>2917</v>
      </c>
      <c r="AH213" s="494" t="s">
        <v>2917</v>
      </c>
      <c r="AI213" s="505"/>
      <c r="AJ213" s="505"/>
      <c r="AK213" s="521">
        <f>_xll.GetCtData("COAMOUNT","CONSAMOUNT",$B$1:$B$7,$B213,AK$9,"#-170779")</f>
        <v>-170779</v>
      </c>
    </row>
    <row r="214" spans="2:37" ht="12" customHeight="1">
      <c r="B214" s="453" t="s">
        <v>4050</v>
      </c>
      <c r="C214" s="482" t="s">
        <v>2911</v>
      </c>
      <c r="D214" s="483">
        <v>44378</v>
      </c>
      <c r="E214" s="484" t="s">
        <v>2912</v>
      </c>
      <c r="F214" s="485">
        <v>5</v>
      </c>
      <c r="G214" s="482"/>
      <c r="H214" s="567"/>
      <c r="I214" s="567"/>
      <c r="J214" s="567"/>
      <c r="K214" s="567"/>
      <c r="L214" s="568" t="s">
        <v>4051</v>
      </c>
      <c r="M214" s="569"/>
      <c r="N214" s="589"/>
      <c r="O214" s="571">
        <v>8</v>
      </c>
      <c r="P214" s="572" t="s">
        <v>4052</v>
      </c>
      <c r="Q214" s="489">
        <v>60</v>
      </c>
      <c r="R214" s="572" t="s">
        <v>4052</v>
      </c>
      <c r="S214" s="571">
        <f t="shared" si="15"/>
        <v>60</v>
      </c>
      <c r="T214" s="572" t="s">
        <v>4053</v>
      </c>
      <c r="U214" s="571">
        <f t="shared" si="16"/>
        <v>23</v>
      </c>
      <c r="V214" s="573" t="s">
        <v>3852</v>
      </c>
      <c r="W214" s="573" t="s">
        <v>4054</v>
      </c>
      <c r="X214" s="491">
        <f t="shared" si="17"/>
        <v>52</v>
      </c>
      <c r="Y214" s="573" t="s">
        <v>4054</v>
      </c>
      <c r="Z214" s="571">
        <f t="shared" si="18"/>
        <v>52</v>
      </c>
      <c r="AA214" s="573" t="s">
        <v>4055</v>
      </c>
      <c r="AB214" s="571">
        <f t="shared" si="19"/>
        <v>23</v>
      </c>
      <c r="AC214" s="573" t="s">
        <v>3855</v>
      </c>
      <c r="AD214" s="571"/>
      <c r="AE214" s="575"/>
      <c r="AF214" s="504"/>
      <c r="AG214" s="494" t="s">
        <v>2917</v>
      </c>
      <c r="AH214" s="495" t="s">
        <v>2918</v>
      </c>
      <c r="AI214" s="505"/>
      <c r="AJ214" s="505"/>
      <c r="AK214" s="576">
        <f>_xll.GetCtData("COAMOUNT","CONSAMOUNT",$B$1:$B$7,$B214,AK$9,"#87724")</f>
        <v>87724</v>
      </c>
    </row>
    <row r="215" spans="2:37" ht="12" customHeight="1">
      <c r="B215" s="453" t="s">
        <v>464</v>
      </c>
      <c r="C215" s="482" t="s">
        <v>2929</v>
      </c>
      <c r="D215" s="483">
        <v>44403</v>
      </c>
      <c r="E215" s="484" t="s">
        <v>2930</v>
      </c>
      <c r="F215" s="485">
        <v>7</v>
      </c>
      <c r="G215" s="547"/>
      <c r="H215" s="547"/>
      <c r="I215" s="547"/>
      <c r="J215" s="547"/>
      <c r="K215" s="547"/>
      <c r="L215" s="547"/>
      <c r="M215" s="548"/>
      <c r="N215" s="517" t="s">
        <v>4056</v>
      </c>
      <c r="O215" s="518">
        <v>10</v>
      </c>
      <c r="P215" s="519" t="s">
        <v>647</v>
      </c>
      <c r="Q215" s="489">
        <v>83</v>
      </c>
      <c r="R215" s="519" t="s">
        <v>4057</v>
      </c>
      <c r="S215" s="518">
        <f t="shared" si="15"/>
        <v>76</v>
      </c>
      <c r="T215" s="519" t="s">
        <v>4058</v>
      </c>
      <c r="U215" s="518">
        <f t="shared" si="16"/>
        <v>29</v>
      </c>
      <c r="V215" s="519" t="s">
        <v>3852</v>
      </c>
      <c r="W215" s="519" t="s">
        <v>4059</v>
      </c>
      <c r="X215" s="491">
        <f t="shared" si="17"/>
        <v>70</v>
      </c>
      <c r="Y215" s="519" t="s">
        <v>4059</v>
      </c>
      <c r="Z215" s="518">
        <f t="shared" si="18"/>
        <v>70</v>
      </c>
      <c r="AA215" s="519" t="s">
        <v>4060</v>
      </c>
      <c r="AB215" s="518">
        <f t="shared" si="19"/>
        <v>26</v>
      </c>
      <c r="AC215" s="519" t="s">
        <v>3855</v>
      </c>
      <c r="AD215" s="518" t="s">
        <v>4061</v>
      </c>
      <c r="AE215" s="520" t="s">
        <v>4062</v>
      </c>
      <c r="AF215" s="504" t="s">
        <v>3279</v>
      </c>
      <c r="AG215" s="494" t="s">
        <v>2917</v>
      </c>
      <c r="AH215" s="494" t="s">
        <v>2917</v>
      </c>
      <c r="AI215" s="505"/>
      <c r="AJ215" s="505"/>
      <c r="AK215" s="521">
        <f>_xll.GetCtData("COAMOUNT","CONSAMOUNT",$B$1:$B$7,$B215,AK$9,"#87853")</f>
        <v>87853</v>
      </c>
    </row>
    <row r="216" spans="2:37" ht="12" customHeight="1">
      <c r="B216" s="453" t="s">
        <v>465</v>
      </c>
      <c r="C216" s="482" t="s">
        <v>2929</v>
      </c>
      <c r="D216" s="483">
        <v>44403</v>
      </c>
      <c r="E216" s="484" t="s">
        <v>2930</v>
      </c>
      <c r="F216" s="485">
        <v>7</v>
      </c>
      <c r="G216" s="547"/>
      <c r="H216" s="547"/>
      <c r="I216" s="547"/>
      <c r="J216" s="547"/>
      <c r="K216" s="547"/>
      <c r="L216" s="547"/>
      <c r="M216" s="548"/>
      <c r="N216" s="517" t="s">
        <v>4063</v>
      </c>
      <c r="O216" s="518">
        <v>10</v>
      </c>
      <c r="P216" s="519" t="s">
        <v>648</v>
      </c>
      <c r="Q216" s="489">
        <v>77</v>
      </c>
      <c r="R216" s="519" t="s">
        <v>4064</v>
      </c>
      <c r="S216" s="518">
        <f t="shared" si="15"/>
        <v>70</v>
      </c>
      <c r="T216" s="519" t="s">
        <v>4065</v>
      </c>
      <c r="U216" s="518">
        <f t="shared" si="16"/>
        <v>29</v>
      </c>
      <c r="V216" s="519" t="s">
        <v>3852</v>
      </c>
      <c r="W216" s="519" t="s">
        <v>4066</v>
      </c>
      <c r="X216" s="491">
        <f t="shared" si="17"/>
        <v>69</v>
      </c>
      <c r="Y216" s="519" t="s">
        <v>4066</v>
      </c>
      <c r="Z216" s="518">
        <f t="shared" si="18"/>
        <v>69</v>
      </c>
      <c r="AA216" s="519" t="s">
        <v>4067</v>
      </c>
      <c r="AB216" s="518">
        <f t="shared" si="19"/>
        <v>29</v>
      </c>
      <c r="AC216" s="519" t="s">
        <v>3855</v>
      </c>
      <c r="AD216" s="518" t="s">
        <v>4068</v>
      </c>
      <c r="AE216" s="520" t="s">
        <v>4069</v>
      </c>
      <c r="AF216" s="504" t="s">
        <v>3279</v>
      </c>
      <c r="AG216" s="494" t="s">
        <v>2917</v>
      </c>
      <c r="AH216" s="494" t="s">
        <v>2917</v>
      </c>
      <c r="AI216" s="505"/>
      <c r="AJ216" s="505"/>
      <c r="AK216" s="521">
        <f>_xll.GetCtData("COAMOUNT","CONSAMOUNT",$B$1:$B$7,$B216,AK$9,"#-1634")</f>
        <v>-1634</v>
      </c>
    </row>
    <row r="217" spans="2:37" ht="12" customHeight="1">
      <c r="B217" s="453" t="s">
        <v>466</v>
      </c>
      <c r="C217" s="482" t="s">
        <v>2929</v>
      </c>
      <c r="D217" s="483">
        <v>44403</v>
      </c>
      <c r="E217" s="484" t="s">
        <v>2930</v>
      </c>
      <c r="F217" s="485">
        <v>7</v>
      </c>
      <c r="G217" s="547"/>
      <c r="H217" s="547"/>
      <c r="I217" s="547"/>
      <c r="J217" s="547"/>
      <c r="K217" s="547"/>
      <c r="L217" s="547"/>
      <c r="M217" s="548"/>
      <c r="N217" s="517" t="s">
        <v>4070</v>
      </c>
      <c r="O217" s="518">
        <v>10</v>
      </c>
      <c r="P217" s="519" t="s">
        <v>649</v>
      </c>
      <c r="Q217" s="489">
        <v>101</v>
      </c>
      <c r="R217" s="519" t="s">
        <v>649</v>
      </c>
      <c r="S217" s="518">
        <f t="shared" si="15"/>
        <v>101</v>
      </c>
      <c r="T217" s="519" t="s">
        <v>4071</v>
      </c>
      <c r="U217" s="518">
        <f t="shared" si="16"/>
        <v>30</v>
      </c>
      <c r="V217" s="519" t="s">
        <v>3852</v>
      </c>
      <c r="W217" s="519" t="s">
        <v>4072</v>
      </c>
      <c r="X217" s="491">
        <f t="shared" si="17"/>
        <v>107</v>
      </c>
      <c r="Y217" s="519" t="s">
        <v>4072</v>
      </c>
      <c r="Z217" s="518">
        <f t="shared" si="18"/>
        <v>107</v>
      </c>
      <c r="AA217" s="519" t="s">
        <v>4073</v>
      </c>
      <c r="AB217" s="518">
        <f t="shared" si="19"/>
        <v>27</v>
      </c>
      <c r="AC217" s="519" t="s">
        <v>3855</v>
      </c>
      <c r="AD217" s="518" t="s">
        <v>4074</v>
      </c>
      <c r="AE217" s="520" t="s">
        <v>4075</v>
      </c>
      <c r="AF217" s="504" t="s">
        <v>3279</v>
      </c>
      <c r="AG217" s="494" t="s">
        <v>2917</v>
      </c>
      <c r="AH217" s="494" t="s">
        <v>2917</v>
      </c>
      <c r="AI217" s="505"/>
      <c r="AJ217" s="505"/>
      <c r="AK217" s="521">
        <f>_xll.GetCtData("COAMOUNT","CONSAMOUNT",$B$1:$B$7,$B217,AK$9,"#845")</f>
        <v>845</v>
      </c>
    </row>
    <row r="218" spans="2:37" ht="12" customHeight="1">
      <c r="B218" s="453" t="s">
        <v>467</v>
      </c>
      <c r="C218" s="482" t="s">
        <v>2929</v>
      </c>
      <c r="D218" s="483">
        <v>44403</v>
      </c>
      <c r="E218" s="484" t="s">
        <v>2930</v>
      </c>
      <c r="F218" s="485">
        <v>7</v>
      </c>
      <c r="G218" s="547"/>
      <c r="H218" s="547"/>
      <c r="I218" s="547"/>
      <c r="J218" s="547"/>
      <c r="K218" s="547"/>
      <c r="L218" s="547"/>
      <c r="M218" s="548"/>
      <c r="N218" s="517" t="s">
        <v>4076</v>
      </c>
      <c r="O218" s="518">
        <v>10</v>
      </c>
      <c r="P218" s="519" t="s">
        <v>650</v>
      </c>
      <c r="Q218" s="489">
        <v>67</v>
      </c>
      <c r="R218" s="519" t="s">
        <v>650</v>
      </c>
      <c r="S218" s="518">
        <f t="shared" si="15"/>
        <v>67</v>
      </c>
      <c r="T218" s="519" t="s">
        <v>4077</v>
      </c>
      <c r="U218" s="518">
        <f t="shared" si="16"/>
        <v>28</v>
      </c>
      <c r="V218" s="519" t="s">
        <v>3852</v>
      </c>
      <c r="W218" s="519" t="s">
        <v>4078</v>
      </c>
      <c r="X218" s="491">
        <f t="shared" si="17"/>
        <v>71</v>
      </c>
      <c r="Y218" s="519" t="s">
        <v>4078</v>
      </c>
      <c r="Z218" s="518">
        <f t="shared" si="18"/>
        <v>71</v>
      </c>
      <c r="AA218" s="519" t="s">
        <v>4079</v>
      </c>
      <c r="AB218" s="518">
        <f t="shared" si="19"/>
        <v>30</v>
      </c>
      <c r="AC218" s="519" t="s">
        <v>3855</v>
      </c>
      <c r="AD218" s="518" t="s">
        <v>4080</v>
      </c>
      <c r="AE218" s="520" t="s">
        <v>4081</v>
      </c>
      <c r="AF218" s="504" t="s">
        <v>3279</v>
      </c>
      <c r="AG218" s="494" t="s">
        <v>2917</v>
      </c>
      <c r="AH218" s="494" t="s">
        <v>2917</v>
      </c>
      <c r="AI218" s="505"/>
      <c r="AJ218" s="505"/>
      <c r="AK218" s="521">
        <f>_xll.GetCtData("COAMOUNT","CONSAMOUNT",$B$1:$B$7,$B218,AK$9,"#1742")</f>
        <v>1742</v>
      </c>
    </row>
    <row r="219" spans="2:37" ht="12" customHeight="1">
      <c r="B219" s="453" t="s">
        <v>468</v>
      </c>
      <c r="C219" s="482" t="s">
        <v>2929</v>
      </c>
      <c r="D219" s="483">
        <v>44403</v>
      </c>
      <c r="E219" s="484" t="s">
        <v>2930</v>
      </c>
      <c r="F219" s="485">
        <v>7</v>
      </c>
      <c r="G219" s="547"/>
      <c r="H219" s="547"/>
      <c r="I219" s="547"/>
      <c r="J219" s="547"/>
      <c r="K219" s="547"/>
      <c r="L219" s="547"/>
      <c r="M219" s="548"/>
      <c r="N219" s="517" t="s">
        <v>4082</v>
      </c>
      <c r="O219" s="518">
        <v>10</v>
      </c>
      <c r="P219" s="519" t="s">
        <v>651</v>
      </c>
      <c r="Q219" s="489">
        <v>75</v>
      </c>
      <c r="R219" s="519" t="s">
        <v>651</v>
      </c>
      <c r="S219" s="518">
        <f t="shared" si="15"/>
        <v>75</v>
      </c>
      <c r="T219" s="519" t="s">
        <v>4083</v>
      </c>
      <c r="U219" s="518">
        <f t="shared" si="16"/>
        <v>28</v>
      </c>
      <c r="V219" s="519" t="s">
        <v>3852</v>
      </c>
      <c r="W219" s="519" t="s">
        <v>4084</v>
      </c>
      <c r="X219" s="491">
        <f t="shared" si="17"/>
        <v>65</v>
      </c>
      <c r="Y219" s="519" t="s">
        <v>4084</v>
      </c>
      <c r="Z219" s="518">
        <f t="shared" si="18"/>
        <v>65</v>
      </c>
      <c r="AA219" s="519" t="s">
        <v>4085</v>
      </c>
      <c r="AB219" s="518">
        <f t="shared" si="19"/>
        <v>27</v>
      </c>
      <c r="AC219" s="519" t="s">
        <v>3855</v>
      </c>
      <c r="AD219" s="518" t="s">
        <v>4086</v>
      </c>
      <c r="AE219" s="520" t="s">
        <v>4087</v>
      </c>
      <c r="AF219" s="504" t="s">
        <v>3279</v>
      </c>
      <c r="AG219" s="494" t="s">
        <v>2917</v>
      </c>
      <c r="AH219" s="494" t="s">
        <v>2917</v>
      </c>
      <c r="AI219" s="505"/>
      <c r="AJ219" s="505"/>
      <c r="AK219" s="521">
        <f>_xll.GetCtData("COAMOUNT","CONSAMOUNT",$B$1:$B$7,$B219,AK$9,"#-1082")</f>
        <v>-1082</v>
      </c>
    </row>
    <row r="220" spans="2:37" ht="12" customHeight="1">
      <c r="B220" s="453" t="s">
        <v>4088</v>
      </c>
      <c r="C220" s="482" t="s">
        <v>2911</v>
      </c>
      <c r="D220" s="483">
        <v>44378</v>
      </c>
      <c r="E220" s="484" t="s">
        <v>2912</v>
      </c>
      <c r="F220" s="485">
        <v>5</v>
      </c>
      <c r="G220" s="482"/>
      <c r="H220" s="567"/>
      <c r="I220" s="567"/>
      <c r="J220" s="567"/>
      <c r="K220" s="567"/>
      <c r="L220" s="568" t="s">
        <v>4089</v>
      </c>
      <c r="M220" s="569"/>
      <c r="N220" s="589"/>
      <c r="O220" s="571">
        <v>8</v>
      </c>
      <c r="P220" s="572" t="s">
        <v>4090</v>
      </c>
      <c r="Q220" s="489">
        <v>60</v>
      </c>
      <c r="R220" s="572" t="s">
        <v>4090</v>
      </c>
      <c r="S220" s="571">
        <f t="shared" si="15"/>
        <v>60</v>
      </c>
      <c r="T220" s="572" t="s">
        <v>4091</v>
      </c>
      <c r="U220" s="571">
        <f t="shared" si="16"/>
        <v>23</v>
      </c>
      <c r="V220" s="573" t="s">
        <v>3852</v>
      </c>
      <c r="W220" s="573" t="s">
        <v>4092</v>
      </c>
      <c r="X220" s="491">
        <f t="shared" si="17"/>
        <v>52</v>
      </c>
      <c r="Y220" s="573" t="s">
        <v>4092</v>
      </c>
      <c r="Z220" s="571">
        <f t="shared" si="18"/>
        <v>52</v>
      </c>
      <c r="AA220" s="573" t="s">
        <v>4093</v>
      </c>
      <c r="AB220" s="571">
        <f t="shared" si="19"/>
        <v>23</v>
      </c>
      <c r="AC220" s="573" t="s">
        <v>3855</v>
      </c>
      <c r="AD220" s="571"/>
      <c r="AE220" s="575"/>
      <c r="AF220" s="504"/>
      <c r="AG220" s="494" t="s">
        <v>2917</v>
      </c>
      <c r="AH220" s="495" t="s">
        <v>2918</v>
      </c>
      <c r="AI220" s="505"/>
      <c r="AJ220" s="505"/>
      <c r="AK220" s="576">
        <f>_xll.GetCtData("COAMOUNT","CONSAMOUNT",$B$1:$B$7,$B220,AK$9,"#0")</f>
        <v>0</v>
      </c>
    </row>
    <row r="221" spans="2:37" ht="12" customHeight="1">
      <c r="B221" s="453" t="s">
        <v>469</v>
      </c>
      <c r="C221" s="482" t="s">
        <v>2929</v>
      </c>
      <c r="D221" s="483">
        <v>44403</v>
      </c>
      <c r="E221" s="484" t="s">
        <v>2930</v>
      </c>
      <c r="F221" s="485">
        <v>7</v>
      </c>
      <c r="G221" s="547"/>
      <c r="H221" s="547"/>
      <c r="I221" s="547"/>
      <c r="J221" s="547"/>
      <c r="K221" s="547"/>
      <c r="L221" s="547"/>
      <c r="M221" s="548"/>
      <c r="N221" s="517" t="s">
        <v>4094</v>
      </c>
      <c r="O221" s="518">
        <v>10</v>
      </c>
      <c r="P221" s="519" t="s">
        <v>652</v>
      </c>
      <c r="Q221" s="489">
        <v>83</v>
      </c>
      <c r="R221" s="519" t="s">
        <v>4095</v>
      </c>
      <c r="S221" s="518">
        <f t="shared" si="15"/>
        <v>76</v>
      </c>
      <c r="T221" s="519" t="s">
        <v>4096</v>
      </c>
      <c r="U221" s="518">
        <f t="shared" si="16"/>
        <v>29</v>
      </c>
      <c r="V221" s="519" t="s">
        <v>3852</v>
      </c>
      <c r="W221" s="519" t="s">
        <v>4097</v>
      </c>
      <c r="X221" s="491">
        <f t="shared" si="17"/>
        <v>70</v>
      </c>
      <c r="Y221" s="519" t="s">
        <v>4097</v>
      </c>
      <c r="Z221" s="518">
        <f t="shared" si="18"/>
        <v>70</v>
      </c>
      <c r="AA221" s="519" t="s">
        <v>4098</v>
      </c>
      <c r="AB221" s="518">
        <f t="shared" si="19"/>
        <v>26</v>
      </c>
      <c r="AC221" s="519" t="s">
        <v>3855</v>
      </c>
      <c r="AD221" s="518" t="s">
        <v>4099</v>
      </c>
      <c r="AE221" s="520" t="s">
        <v>4100</v>
      </c>
      <c r="AF221" s="504" t="s">
        <v>3342</v>
      </c>
      <c r="AG221" s="494" t="s">
        <v>2917</v>
      </c>
      <c r="AH221" s="494" t="s">
        <v>2917</v>
      </c>
      <c r="AI221" s="505"/>
      <c r="AJ221" s="505"/>
      <c r="AK221" s="521">
        <f>_xll.GetCtData("COAMOUNT","CONSAMOUNT",$B$1:$B$7,$B221,AK$9,"#0")</f>
        <v>0</v>
      </c>
    </row>
    <row r="222" spans="2:37" ht="12" customHeight="1">
      <c r="B222" s="453" t="s">
        <v>470</v>
      </c>
      <c r="C222" s="482" t="s">
        <v>2929</v>
      </c>
      <c r="D222" s="483">
        <v>44403</v>
      </c>
      <c r="E222" s="484" t="s">
        <v>2930</v>
      </c>
      <c r="F222" s="485">
        <v>7</v>
      </c>
      <c r="G222" s="547"/>
      <c r="H222" s="547"/>
      <c r="I222" s="547"/>
      <c r="J222" s="547"/>
      <c r="K222" s="547"/>
      <c r="L222" s="547"/>
      <c r="M222" s="548"/>
      <c r="N222" s="517" t="s">
        <v>4101</v>
      </c>
      <c r="O222" s="518">
        <v>10</v>
      </c>
      <c r="P222" s="519" t="s">
        <v>653</v>
      </c>
      <c r="Q222" s="489">
        <v>77</v>
      </c>
      <c r="R222" s="519" t="s">
        <v>4102</v>
      </c>
      <c r="S222" s="518">
        <f t="shared" si="15"/>
        <v>70</v>
      </c>
      <c r="T222" s="519" t="s">
        <v>4103</v>
      </c>
      <c r="U222" s="518">
        <f t="shared" si="16"/>
        <v>29</v>
      </c>
      <c r="V222" s="519" t="s">
        <v>3852</v>
      </c>
      <c r="W222" s="519" t="s">
        <v>4104</v>
      </c>
      <c r="X222" s="491">
        <f t="shared" si="17"/>
        <v>69</v>
      </c>
      <c r="Y222" s="519" t="s">
        <v>4104</v>
      </c>
      <c r="Z222" s="518">
        <f t="shared" si="18"/>
        <v>69</v>
      </c>
      <c r="AA222" s="519" t="s">
        <v>4105</v>
      </c>
      <c r="AB222" s="518">
        <f t="shared" si="19"/>
        <v>29</v>
      </c>
      <c r="AC222" s="519" t="s">
        <v>3855</v>
      </c>
      <c r="AD222" s="518" t="s">
        <v>4106</v>
      </c>
      <c r="AE222" s="520" t="s">
        <v>4107</v>
      </c>
      <c r="AF222" s="504" t="s">
        <v>3342</v>
      </c>
      <c r="AG222" s="494" t="s">
        <v>2917</v>
      </c>
      <c r="AH222" s="494" t="s">
        <v>2917</v>
      </c>
      <c r="AI222" s="505"/>
      <c r="AJ222" s="505"/>
      <c r="AK222" s="521">
        <f>_xll.GetCtData("COAMOUNT","CONSAMOUNT",$B$1:$B$7,$B222,AK$9,"#")</f>
        <v>0</v>
      </c>
    </row>
    <row r="223" spans="2:37" ht="12" customHeight="1">
      <c r="B223" s="453" t="s">
        <v>471</v>
      </c>
      <c r="C223" s="482" t="s">
        <v>2929</v>
      </c>
      <c r="D223" s="483">
        <v>44403</v>
      </c>
      <c r="E223" s="484" t="s">
        <v>2930</v>
      </c>
      <c r="F223" s="485">
        <v>7</v>
      </c>
      <c r="G223" s="547"/>
      <c r="H223" s="547"/>
      <c r="I223" s="547"/>
      <c r="J223" s="547"/>
      <c r="K223" s="547"/>
      <c r="L223" s="547"/>
      <c r="M223" s="548"/>
      <c r="N223" s="517" t="s">
        <v>4108</v>
      </c>
      <c r="O223" s="518">
        <v>10</v>
      </c>
      <c r="P223" s="519" t="s">
        <v>654</v>
      </c>
      <c r="Q223" s="489">
        <v>101</v>
      </c>
      <c r="R223" s="519" t="s">
        <v>654</v>
      </c>
      <c r="S223" s="518">
        <f t="shared" si="15"/>
        <v>101</v>
      </c>
      <c r="T223" s="519" t="s">
        <v>4109</v>
      </c>
      <c r="U223" s="518">
        <f t="shared" si="16"/>
        <v>30</v>
      </c>
      <c r="V223" s="519" t="s">
        <v>3852</v>
      </c>
      <c r="W223" s="519" t="s">
        <v>4110</v>
      </c>
      <c r="X223" s="491">
        <f t="shared" si="17"/>
        <v>107</v>
      </c>
      <c r="Y223" s="519" t="s">
        <v>4110</v>
      </c>
      <c r="Z223" s="518">
        <f t="shared" si="18"/>
        <v>107</v>
      </c>
      <c r="AA223" s="519" t="s">
        <v>4111</v>
      </c>
      <c r="AB223" s="518">
        <f t="shared" si="19"/>
        <v>27</v>
      </c>
      <c r="AC223" s="519" t="s">
        <v>3855</v>
      </c>
      <c r="AD223" s="518" t="s">
        <v>4112</v>
      </c>
      <c r="AE223" s="520" t="s">
        <v>4113</v>
      </c>
      <c r="AF223" s="504" t="s">
        <v>3342</v>
      </c>
      <c r="AG223" s="494" t="s">
        <v>2917</v>
      </c>
      <c r="AH223" s="494" t="s">
        <v>2917</v>
      </c>
      <c r="AI223" s="505"/>
      <c r="AJ223" s="505"/>
      <c r="AK223" s="521">
        <f>_xll.GetCtData("COAMOUNT","CONSAMOUNT",$B$1:$B$7,$B223,AK$9,"#")</f>
        <v>0</v>
      </c>
    </row>
    <row r="224" spans="2:37" ht="12" customHeight="1">
      <c r="B224" s="453" t="s">
        <v>472</v>
      </c>
      <c r="C224" s="482" t="s">
        <v>2929</v>
      </c>
      <c r="D224" s="483">
        <v>44403</v>
      </c>
      <c r="E224" s="484" t="s">
        <v>2930</v>
      </c>
      <c r="F224" s="485">
        <v>7</v>
      </c>
      <c r="G224" s="547"/>
      <c r="H224" s="547"/>
      <c r="I224" s="547"/>
      <c r="J224" s="547"/>
      <c r="K224" s="547"/>
      <c r="L224" s="547"/>
      <c r="M224" s="548"/>
      <c r="N224" s="517" t="s">
        <v>4114</v>
      </c>
      <c r="O224" s="518">
        <v>10</v>
      </c>
      <c r="P224" s="519" t="s">
        <v>655</v>
      </c>
      <c r="Q224" s="489">
        <v>67</v>
      </c>
      <c r="R224" s="519" t="s">
        <v>655</v>
      </c>
      <c r="S224" s="518">
        <f t="shared" si="15"/>
        <v>67</v>
      </c>
      <c r="T224" s="519" t="s">
        <v>4115</v>
      </c>
      <c r="U224" s="518">
        <f t="shared" si="16"/>
        <v>28</v>
      </c>
      <c r="V224" s="519" t="s">
        <v>3852</v>
      </c>
      <c r="W224" s="519" t="s">
        <v>4116</v>
      </c>
      <c r="X224" s="491">
        <f t="shared" si="17"/>
        <v>71</v>
      </c>
      <c r="Y224" s="519" t="s">
        <v>4116</v>
      </c>
      <c r="Z224" s="518">
        <f t="shared" si="18"/>
        <v>71</v>
      </c>
      <c r="AA224" s="519" t="s">
        <v>4117</v>
      </c>
      <c r="AB224" s="518">
        <f t="shared" si="19"/>
        <v>30</v>
      </c>
      <c r="AC224" s="519" t="s">
        <v>3855</v>
      </c>
      <c r="AD224" s="518" t="s">
        <v>4118</v>
      </c>
      <c r="AE224" s="520" t="s">
        <v>4119</v>
      </c>
      <c r="AF224" s="504" t="s">
        <v>3342</v>
      </c>
      <c r="AG224" s="494" t="s">
        <v>2917</v>
      </c>
      <c r="AH224" s="494" t="s">
        <v>2917</v>
      </c>
      <c r="AI224" s="505"/>
      <c r="AJ224" s="505"/>
      <c r="AK224" s="521">
        <f>_xll.GetCtData("COAMOUNT","CONSAMOUNT",$B$1:$B$7,$B224,AK$9,"#")</f>
        <v>0</v>
      </c>
    </row>
    <row r="225" spans="2:37" ht="12" customHeight="1">
      <c r="B225" s="453" t="s">
        <v>473</v>
      </c>
      <c r="C225" s="482" t="s">
        <v>2929</v>
      </c>
      <c r="D225" s="483">
        <v>44403</v>
      </c>
      <c r="E225" s="484" t="s">
        <v>2930</v>
      </c>
      <c r="F225" s="485">
        <v>7</v>
      </c>
      <c r="G225" s="547"/>
      <c r="H225" s="547"/>
      <c r="I225" s="547"/>
      <c r="J225" s="547"/>
      <c r="K225" s="547"/>
      <c r="L225" s="547"/>
      <c r="M225" s="548"/>
      <c r="N225" s="517" t="s">
        <v>4120</v>
      </c>
      <c r="O225" s="518">
        <v>10</v>
      </c>
      <c r="P225" s="519" t="s">
        <v>656</v>
      </c>
      <c r="Q225" s="489">
        <v>75</v>
      </c>
      <c r="R225" s="519" t="s">
        <v>656</v>
      </c>
      <c r="S225" s="518">
        <f t="shared" si="15"/>
        <v>75</v>
      </c>
      <c r="T225" s="519" t="s">
        <v>4121</v>
      </c>
      <c r="U225" s="518">
        <f t="shared" si="16"/>
        <v>28</v>
      </c>
      <c r="V225" s="519" t="s">
        <v>3852</v>
      </c>
      <c r="W225" s="519" t="s">
        <v>4122</v>
      </c>
      <c r="X225" s="491">
        <f t="shared" si="17"/>
        <v>65</v>
      </c>
      <c r="Y225" s="519" t="s">
        <v>4122</v>
      </c>
      <c r="Z225" s="518">
        <f t="shared" si="18"/>
        <v>65</v>
      </c>
      <c r="AA225" s="519" t="s">
        <v>4123</v>
      </c>
      <c r="AB225" s="518">
        <f t="shared" si="19"/>
        <v>27</v>
      </c>
      <c r="AC225" s="519" t="s">
        <v>3855</v>
      </c>
      <c r="AD225" s="518" t="s">
        <v>4124</v>
      </c>
      <c r="AE225" s="520" t="s">
        <v>4125</v>
      </c>
      <c r="AF225" s="504" t="s">
        <v>3342</v>
      </c>
      <c r="AG225" s="494" t="s">
        <v>2917</v>
      </c>
      <c r="AH225" s="494" t="s">
        <v>2917</v>
      </c>
      <c r="AI225" s="505"/>
      <c r="AJ225" s="505"/>
      <c r="AK225" s="521">
        <f>_xll.GetCtData("COAMOUNT","CONSAMOUNT",$B$1:$B$7,$B225,AK$9,"#0")</f>
        <v>0</v>
      </c>
    </row>
    <row r="226" spans="2:37" ht="12" customHeight="1">
      <c r="B226" s="453" t="s">
        <v>4126</v>
      </c>
      <c r="C226" s="482" t="s">
        <v>2911</v>
      </c>
      <c r="D226" s="483">
        <v>44378</v>
      </c>
      <c r="E226" s="484" t="s">
        <v>2912</v>
      </c>
      <c r="F226" s="485">
        <v>5</v>
      </c>
      <c r="G226" s="482"/>
      <c r="H226" s="567"/>
      <c r="I226" s="567"/>
      <c r="J226" s="567"/>
      <c r="K226" s="567"/>
      <c r="L226" s="568" t="s">
        <v>4127</v>
      </c>
      <c r="M226" s="569"/>
      <c r="N226" s="589"/>
      <c r="O226" s="571">
        <v>8</v>
      </c>
      <c r="P226" s="572" t="s">
        <v>4128</v>
      </c>
      <c r="Q226" s="489">
        <v>62</v>
      </c>
      <c r="R226" s="572" t="s">
        <v>4128</v>
      </c>
      <c r="S226" s="571">
        <f t="shared" si="15"/>
        <v>62</v>
      </c>
      <c r="T226" s="572" t="s">
        <v>4129</v>
      </c>
      <c r="U226" s="571">
        <f t="shared" si="16"/>
        <v>25</v>
      </c>
      <c r="V226" s="573" t="s">
        <v>3852</v>
      </c>
      <c r="W226" s="573" t="s">
        <v>4130</v>
      </c>
      <c r="X226" s="491">
        <f t="shared" si="17"/>
        <v>54</v>
      </c>
      <c r="Y226" s="573" t="s">
        <v>4130</v>
      </c>
      <c r="Z226" s="571">
        <f t="shared" si="18"/>
        <v>54</v>
      </c>
      <c r="AA226" s="573" t="s">
        <v>4131</v>
      </c>
      <c r="AB226" s="571">
        <f t="shared" si="19"/>
        <v>25</v>
      </c>
      <c r="AC226" s="573" t="s">
        <v>3855</v>
      </c>
      <c r="AD226" s="571"/>
      <c r="AE226" s="575"/>
      <c r="AF226" s="504"/>
      <c r="AG226" s="494" t="s">
        <v>2917</v>
      </c>
      <c r="AH226" s="495" t="s">
        <v>2918</v>
      </c>
      <c r="AI226" s="505"/>
      <c r="AJ226" s="505"/>
      <c r="AK226" s="576">
        <f>_xll.GetCtData("COAMOUNT","CONSAMOUNT",$B$1:$B$7,$B226,AK$9,"#")</f>
        <v>0</v>
      </c>
    </row>
    <row r="227" spans="2:37" ht="12" customHeight="1">
      <c r="B227" s="453" t="s">
        <v>474</v>
      </c>
      <c r="C227" s="482" t="s">
        <v>2929</v>
      </c>
      <c r="D227" s="483">
        <v>44403</v>
      </c>
      <c r="E227" s="484" t="s">
        <v>2930</v>
      </c>
      <c r="F227" s="485">
        <v>7</v>
      </c>
      <c r="G227" s="547"/>
      <c r="H227" s="547"/>
      <c r="I227" s="547"/>
      <c r="J227" s="547"/>
      <c r="K227" s="547"/>
      <c r="L227" s="547"/>
      <c r="M227" s="548"/>
      <c r="N227" s="517" t="s">
        <v>4132</v>
      </c>
      <c r="O227" s="518">
        <v>10</v>
      </c>
      <c r="P227" s="519" t="s">
        <v>657</v>
      </c>
      <c r="Q227" s="489">
        <v>85</v>
      </c>
      <c r="R227" s="519" t="s">
        <v>4133</v>
      </c>
      <c r="S227" s="518">
        <f t="shared" si="15"/>
        <v>78</v>
      </c>
      <c r="T227" s="519" t="s">
        <v>4134</v>
      </c>
      <c r="U227" s="518">
        <f t="shared" si="16"/>
        <v>29</v>
      </c>
      <c r="V227" s="519" t="s">
        <v>3852</v>
      </c>
      <c r="W227" s="519" t="s">
        <v>4135</v>
      </c>
      <c r="X227" s="491">
        <f t="shared" si="17"/>
        <v>72</v>
      </c>
      <c r="Y227" s="519" t="s">
        <v>4135</v>
      </c>
      <c r="Z227" s="518">
        <f t="shared" si="18"/>
        <v>72</v>
      </c>
      <c r="AA227" s="519" t="s">
        <v>4136</v>
      </c>
      <c r="AB227" s="518">
        <f t="shared" si="19"/>
        <v>28</v>
      </c>
      <c r="AC227" s="519" t="s">
        <v>3855</v>
      </c>
      <c r="AD227" s="518" t="s">
        <v>4099</v>
      </c>
      <c r="AE227" s="520" t="s">
        <v>4100</v>
      </c>
      <c r="AF227" s="504" t="s">
        <v>2939</v>
      </c>
      <c r="AG227" s="494" t="s">
        <v>2917</v>
      </c>
      <c r="AH227" s="494" t="s">
        <v>2917</v>
      </c>
      <c r="AI227" s="505"/>
      <c r="AJ227" s="505"/>
      <c r="AK227" s="521">
        <f>_xll.GetCtData("COAMOUNT","CONSAMOUNT",$B$1:$B$7,$B227,AK$9,"#")</f>
        <v>0</v>
      </c>
    </row>
    <row r="228" spans="2:37" ht="12" customHeight="1">
      <c r="B228" s="453" t="s">
        <v>475</v>
      </c>
      <c r="C228" s="482" t="s">
        <v>2929</v>
      </c>
      <c r="D228" s="483">
        <v>44403</v>
      </c>
      <c r="E228" s="484" t="s">
        <v>2930</v>
      </c>
      <c r="F228" s="485">
        <v>7</v>
      </c>
      <c r="G228" s="577"/>
      <c r="H228" s="577"/>
      <c r="I228" s="577"/>
      <c r="J228" s="577"/>
      <c r="K228" s="577"/>
      <c r="L228" s="577"/>
      <c r="M228" s="578"/>
      <c r="N228" s="517" t="s">
        <v>4137</v>
      </c>
      <c r="O228" s="518">
        <v>10</v>
      </c>
      <c r="P228" s="519" t="s">
        <v>658</v>
      </c>
      <c r="Q228" s="489">
        <v>79</v>
      </c>
      <c r="R228" s="519" t="s">
        <v>4138</v>
      </c>
      <c r="S228" s="518">
        <f t="shared" si="15"/>
        <v>72</v>
      </c>
      <c r="T228" s="519" t="s">
        <v>4139</v>
      </c>
      <c r="U228" s="518">
        <f t="shared" si="16"/>
        <v>30</v>
      </c>
      <c r="V228" s="519" t="s">
        <v>3852</v>
      </c>
      <c r="W228" s="519" t="s">
        <v>4140</v>
      </c>
      <c r="X228" s="491">
        <f t="shared" si="17"/>
        <v>71</v>
      </c>
      <c r="Y228" s="519" t="s">
        <v>4140</v>
      </c>
      <c r="Z228" s="518">
        <f t="shared" si="18"/>
        <v>71</v>
      </c>
      <c r="AA228" s="519" t="s">
        <v>4141</v>
      </c>
      <c r="AB228" s="518">
        <f t="shared" si="19"/>
        <v>30</v>
      </c>
      <c r="AC228" s="519" t="s">
        <v>3855</v>
      </c>
      <c r="AD228" s="518" t="s">
        <v>4106</v>
      </c>
      <c r="AE228" s="520" t="s">
        <v>4107</v>
      </c>
      <c r="AF228" s="504" t="s">
        <v>2939</v>
      </c>
      <c r="AG228" s="494" t="s">
        <v>2917</v>
      </c>
      <c r="AH228" s="494" t="s">
        <v>2917</v>
      </c>
      <c r="AI228" s="505"/>
      <c r="AJ228" s="505"/>
      <c r="AK228" s="521">
        <f>_xll.GetCtData("COAMOUNT","CONSAMOUNT",$B$1:$B$7,$B228,AK$9,"#")</f>
        <v>0</v>
      </c>
    </row>
    <row r="229" spans="2:37" ht="12" customHeight="1">
      <c r="B229" s="453" t="s">
        <v>476</v>
      </c>
      <c r="C229" s="482" t="s">
        <v>2929</v>
      </c>
      <c r="D229" s="483">
        <v>44403</v>
      </c>
      <c r="E229" s="484" t="s">
        <v>2930</v>
      </c>
      <c r="F229" s="485">
        <v>7</v>
      </c>
      <c r="G229" s="590"/>
      <c r="H229" s="590"/>
      <c r="I229" s="590"/>
      <c r="J229" s="590"/>
      <c r="K229" s="590"/>
      <c r="L229" s="590"/>
      <c r="M229" s="591"/>
      <c r="N229" s="517" t="s">
        <v>4142</v>
      </c>
      <c r="O229" s="518">
        <v>10</v>
      </c>
      <c r="P229" s="519" t="s">
        <v>659</v>
      </c>
      <c r="Q229" s="489">
        <v>103</v>
      </c>
      <c r="R229" s="519" t="s">
        <v>659</v>
      </c>
      <c r="S229" s="518">
        <f t="shared" si="15"/>
        <v>103</v>
      </c>
      <c r="T229" s="519" t="s">
        <v>4143</v>
      </c>
      <c r="U229" s="518">
        <f t="shared" si="16"/>
        <v>30</v>
      </c>
      <c r="V229" s="519" t="s">
        <v>3852</v>
      </c>
      <c r="W229" s="519" t="s">
        <v>4144</v>
      </c>
      <c r="X229" s="491">
        <f t="shared" si="17"/>
        <v>109</v>
      </c>
      <c r="Y229" s="519" t="s">
        <v>4144</v>
      </c>
      <c r="Z229" s="518">
        <f t="shared" si="18"/>
        <v>109</v>
      </c>
      <c r="AA229" s="519" t="s">
        <v>4145</v>
      </c>
      <c r="AB229" s="518">
        <f t="shared" si="19"/>
        <v>30</v>
      </c>
      <c r="AC229" s="519" t="s">
        <v>3855</v>
      </c>
      <c r="AD229" s="518" t="s">
        <v>4112</v>
      </c>
      <c r="AE229" s="520" t="s">
        <v>4113</v>
      </c>
      <c r="AF229" s="504" t="s">
        <v>2939</v>
      </c>
      <c r="AG229" s="494" t="s">
        <v>2917</v>
      </c>
      <c r="AH229" s="494" t="s">
        <v>2917</v>
      </c>
      <c r="AI229" s="505"/>
      <c r="AJ229" s="505"/>
      <c r="AK229" s="521">
        <f>_xll.GetCtData("COAMOUNT","CONSAMOUNT",$B$1:$B$7,$B229,AK$9,"#")</f>
        <v>0</v>
      </c>
    </row>
    <row r="230" spans="2:37" ht="12" customHeight="1">
      <c r="B230" s="453" t="s">
        <v>477</v>
      </c>
      <c r="C230" s="482" t="s">
        <v>2929</v>
      </c>
      <c r="D230" s="483">
        <v>44403</v>
      </c>
      <c r="E230" s="484" t="s">
        <v>2930</v>
      </c>
      <c r="F230" s="485">
        <v>7</v>
      </c>
      <c r="G230" s="547"/>
      <c r="H230" s="547"/>
      <c r="I230" s="547"/>
      <c r="J230" s="547"/>
      <c r="K230" s="547"/>
      <c r="L230" s="547"/>
      <c r="M230" s="548"/>
      <c r="N230" s="517" t="s">
        <v>4146</v>
      </c>
      <c r="O230" s="518">
        <v>10</v>
      </c>
      <c r="P230" s="519" t="s">
        <v>660</v>
      </c>
      <c r="Q230" s="489">
        <v>69</v>
      </c>
      <c r="R230" s="519" t="s">
        <v>660</v>
      </c>
      <c r="S230" s="518">
        <f t="shared" si="15"/>
        <v>69</v>
      </c>
      <c r="T230" s="519" t="s">
        <v>4147</v>
      </c>
      <c r="U230" s="518">
        <f t="shared" si="16"/>
        <v>29</v>
      </c>
      <c r="V230" s="519" t="s">
        <v>3852</v>
      </c>
      <c r="W230" s="519" t="s">
        <v>4148</v>
      </c>
      <c r="X230" s="491">
        <f t="shared" si="17"/>
        <v>73</v>
      </c>
      <c r="Y230" s="519" t="s">
        <v>4148</v>
      </c>
      <c r="Z230" s="518">
        <f t="shared" si="18"/>
        <v>73</v>
      </c>
      <c r="AA230" s="519" t="s">
        <v>4149</v>
      </c>
      <c r="AB230" s="518">
        <f t="shared" si="19"/>
        <v>30</v>
      </c>
      <c r="AC230" s="519" t="s">
        <v>3855</v>
      </c>
      <c r="AD230" s="518" t="s">
        <v>4118</v>
      </c>
      <c r="AE230" s="520" t="s">
        <v>4119</v>
      </c>
      <c r="AF230" s="504" t="s">
        <v>2939</v>
      </c>
      <c r="AG230" s="494" t="s">
        <v>2917</v>
      </c>
      <c r="AH230" s="494" t="s">
        <v>2917</v>
      </c>
      <c r="AI230" s="505"/>
      <c r="AJ230" s="505"/>
      <c r="AK230" s="521">
        <f>_xll.GetCtData("COAMOUNT","CONSAMOUNT",$B$1:$B$7,$B230,AK$9,"#")</f>
        <v>0</v>
      </c>
    </row>
    <row r="231" spans="2:37" ht="12" customHeight="1">
      <c r="B231" s="453" t="s">
        <v>478</v>
      </c>
      <c r="C231" s="482" t="s">
        <v>2929</v>
      </c>
      <c r="D231" s="483">
        <v>44403</v>
      </c>
      <c r="E231" s="484" t="s">
        <v>2930</v>
      </c>
      <c r="F231" s="485">
        <v>7</v>
      </c>
      <c r="G231" s="547"/>
      <c r="H231" s="547"/>
      <c r="I231" s="547"/>
      <c r="J231" s="547"/>
      <c r="K231" s="547"/>
      <c r="L231" s="547"/>
      <c r="M231" s="548"/>
      <c r="N231" s="517" t="s">
        <v>4150</v>
      </c>
      <c r="O231" s="518">
        <v>10</v>
      </c>
      <c r="P231" s="519" t="s">
        <v>661</v>
      </c>
      <c r="Q231" s="489">
        <v>77</v>
      </c>
      <c r="R231" s="519" t="s">
        <v>661</v>
      </c>
      <c r="S231" s="518">
        <f t="shared" si="15"/>
        <v>77</v>
      </c>
      <c r="T231" s="519" t="s">
        <v>4151</v>
      </c>
      <c r="U231" s="518">
        <f t="shared" si="16"/>
        <v>29</v>
      </c>
      <c r="V231" s="519" t="s">
        <v>3852</v>
      </c>
      <c r="W231" s="519" t="s">
        <v>4152</v>
      </c>
      <c r="X231" s="491">
        <f t="shared" si="17"/>
        <v>67</v>
      </c>
      <c r="Y231" s="519" t="s">
        <v>4152</v>
      </c>
      <c r="Z231" s="518">
        <f t="shared" si="18"/>
        <v>67</v>
      </c>
      <c r="AA231" s="519" t="s">
        <v>4153</v>
      </c>
      <c r="AB231" s="518">
        <f t="shared" si="19"/>
        <v>30</v>
      </c>
      <c r="AC231" s="519" t="s">
        <v>3855</v>
      </c>
      <c r="AD231" s="518" t="s">
        <v>4124</v>
      </c>
      <c r="AE231" s="520" t="s">
        <v>4125</v>
      </c>
      <c r="AF231" s="504" t="s">
        <v>2939</v>
      </c>
      <c r="AG231" s="494" t="s">
        <v>2917</v>
      </c>
      <c r="AH231" s="494" t="s">
        <v>2917</v>
      </c>
      <c r="AI231" s="505"/>
      <c r="AJ231" s="505"/>
      <c r="AK231" s="521">
        <f>_xll.GetCtData("COAMOUNT","CONSAMOUNT",$B$1:$B$7,$B231,AK$9,"#")</f>
        <v>0</v>
      </c>
    </row>
    <row r="232" spans="2:37" ht="12" customHeight="1">
      <c r="B232" s="453" t="s">
        <v>957</v>
      </c>
      <c r="C232" s="482" t="s">
        <v>2911</v>
      </c>
      <c r="D232" s="483">
        <v>44378</v>
      </c>
      <c r="E232" s="484" t="s">
        <v>2912</v>
      </c>
      <c r="F232" s="485">
        <v>4</v>
      </c>
      <c r="G232" s="482"/>
      <c r="H232" s="507"/>
      <c r="I232" s="507"/>
      <c r="J232" s="507"/>
      <c r="K232" s="564" t="s">
        <v>4154</v>
      </c>
      <c r="L232" s="564"/>
      <c r="M232" s="565"/>
      <c r="N232" s="588"/>
      <c r="O232" s="558">
        <v>7</v>
      </c>
      <c r="P232" s="559" t="s">
        <v>2604</v>
      </c>
      <c r="Q232" s="489">
        <v>51</v>
      </c>
      <c r="R232" s="559" t="s">
        <v>2604</v>
      </c>
      <c r="S232" s="558">
        <f t="shared" si="15"/>
        <v>51</v>
      </c>
      <c r="T232" s="559" t="s">
        <v>4155</v>
      </c>
      <c r="U232" s="558">
        <f t="shared" si="16"/>
        <v>18</v>
      </c>
      <c r="V232" s="560" t="s">
        <v>3852</v>
      </c>
      <c r="W232" s="560" t="s">
        <v>4156</v>
      </c>
      <c r="X232" s="491">
        <f t="shared" si="17"/>
        <v>45</v>
      </c>
      <c r="Y232" s="560" t="s">
        <v>4156</v>
      </c>
      <c r="Z232" s="558">
        <f t="shared" si="18"/>
        <v>45</v>
      </c>
      <c r="AA232" s="560" t="s">
        <v>4157</v>
      </c>
      <c r="AB232" s="558">
        <f t="shared" si="19"/>
        <v>18</v>
      </c>
      <c r="AC232" s="560" t="s">
        <v>3855</v>
      </c>
      <c r="AD232" s="558"/>
      <c r="AE232" s="562"/>
      <c r="AF232" s="504"/>
      <c r="AG232" s="494" t="s">
        <v>2917</v>
      </c>
      <c r="AH232" s="495" t="s">
        <v>2918</v>
      </c>
      <c r="AI232" s="505"/>
      <c r="AJ232" s="505"/>
      <c r="AK232" s="563">
        <f>_xll.GetCtData("COAMOUNT","CONSAMOUNT",$B$1:$B$7,$B232,AK$9,"#2843438")</f>
        <v>2843438</v>
      </c>
    </row>
    <row r="233" spans="2:37" ht="12" customHeight="1">
      <c r="B233" s="453" t="s">
        <v>4158</v>
      </c>
      <c r="C233" s="482" t="s">
        <v>2911</v>
      </c>
      <c r="D233" s="483">
        <v>44378</v>
      </c>
      <c r="E233" s="484" t="s">
        <v>2912</v>
      </c>
      <c r="F233" s="485">
        <v>5</v>
      </c>
      <c r="G233" s="482"/>
      <c r="H233" s="567"/>
      <c r="I233" s="567"/>
      <c r="J233" s="567"/>
      <c r="K233" s="567"/>
      <c r="L233" s="568" t="s">
        <v>4159</v>
      </c>
      <c r="M233" s="569"/>
      <c r="N233" s="589"/>
      <c r="O233" s="571">
        <v>8</v>
      </c>
      <c r="P233" s="572" t="s">
        <v>4160</v>
      </c>
      <c r="Q233" s="489">
        <v>56</v>
      </c>
      <c r="R233" s="572" t="s">
        <v>4160</v>
      </c>
      <c r="S233" s="571">
        <f t="shared" si="15"/>
        <v>56</v>
      </c>
      <c r="T233" s="572" t="s">
        <v>4161</v>
      </c>
      <c r="U233" s="571">
        <f t="shared" si="16"/>
        <v>21</v>
      </c>
      <c r="V233" s="573" t="s">
        <v>3852</v>
      </c>
      <c r="W233" s="573" t="s">
        <v>4162</v>
      </c>
      <c r="X233" s="491">
        <f t="shared" si="17"/>
        <v>50</v>
      </c>
      <c r="Y233" s="573" t="s">
        <v>4162</v>
      </c>
      <c r="Z233" s="571">
        <f t="shared" si="18"/>
        <v>50</v>
      </c>
      <c r="AA233" s="573" t="s">
        <v>4163</v>
      </c>
      <c r="AB233" s="571">
        <f t="shared" si="19"/>
        <v>21</v>
      </c>
      <c r="AC233" s="573" t="s">
        <v>3855</v>
      </c>
      <c r="AD233" s="571"/>
      <c r="AE233" s="575"/>
      <c r="AF233" s="504"/>
      <c r="AG233" s="494" t="s">
        <v>2917</v>
      </c>
      <c r="AH233" s="495" t="s">
        <v>2918</v>
      </c>
      <c r="AI233" s="505"/>
      <c r="AJ233" s="505"/>
      <c r="AK233" s="576">
        <f>_xll.GetCtData("COAMOUNT","CONSAMOUNT",$B$1:$B$7,$B233,AK$9,"#2843438")</f>
        <v>2843438</v>
      </c>
    </row>
    <row r="234" spans="2:37" ht="12" customHeight="1">
      <c r="B234" s="453" t="s">
        <v>479</v>
      </c>
      <c r="C234" s="482" t="s">
        <v>2929</v>
      </c>
      <c r="D234" s="483">
        <v>44403</v>
      </c>
      <c r="E234" s="484" t="s">
        <v>2930</v>
      </c>
      <c r="F234" s="485">
        <v>7</v>
      </c>
      <c r="G234" s="547"/>
      <c r="H234" s="547"/>
      <c r="I234" s="547"/>
      <c r="J234" s="547"/>
      <c r="K234" s="547"/>
      <c r="L234" s="547"/>
      <c r="M234" s="548"/>
      <c r="N234" s="517" t="s">
        <v>4164</v>
      </c>
      <c r="O234" s="518">
        <v>10</v>
      </c>
      <c r="P234" s="519" t="s">
        <v>662</v>
      </c>
      <c r="Q234" s="489">
        <v>79</v>
      </c>
      <c r="R234" s="519" t="s">
        <v>4165</v>
      </c>
      <c r="S234" s="518">
        <f t="shared" si="15"/>
        <v>72</v>
      </c>
      <c r="T234" s="519" t="s">
        <v>4166</v>
      </c>
      <c r="U234" s="518">
        <f t="shared" si="16"/>
        <v>27</v>
      </c>
      <c r="V234" s="519" t="s">
        <v>3852</v>
      </c>
      <c r="W234" s="519" t="s">
        <v>4167</v>
      </c>
      <c r="X234" s="491">
        <f t="shared" si="17"/>
        <v>68</v>
      </c>
      <c r="Y234" s="519" t="s">
        <v>4167</v>
      </c>
      <c r="Z234" s="518">
        <f t="shared" si="18"/>
        <v>68</v>
      </c>
      <c r="AA234" s="519" t="s">
        <v>4168</v>
      </c>
      <c r="AB234" s="518">
        <f t="shared" si="19"/>
        <v>24</v>
      </c>
      <c r="AC234" s="519" t="s">
        <v>3855</v>
      </c>
      <c r="AD234" s="518" t="s">
        <v>4169</v>
      </c>
      <c r="AE234" s="520" t="s">
        <v>4170</v>
      </c>
      <c r="AF234" s="504" t="s">
        <v>3279</v>
      </c>
      <c r="AG234" s="494" t="s">
        <v>2917</v>
      </c>
      <c r="AH234" s="494" t="s">
        <v>2917</v>
      </c>
      <c r="AI234" s="505"/>
      <c r="AJ234" s="505"/>
      <c r="AK234" s="521">
        <f>_xll.GetCtData("COAMOUNT","CONSAMOUNT",$B$1:$B$7,$B234,AK$9,"#3013184")</f>
        <v>3013184</v>
      </c>
    </row>
    <row r="235" spans="2:37" ht="12" customHeight="1">
      <c r="B235" s="453" t="s">
        <v>480</v>
      </c>
      <c r="C235" s="482" t="s">
        <v>2929</v>
      </c>
      <c r="D235" s="483">
        <v>44403</v>
      </c>
      <c r="E235" s="484" t="s">
        <v>2930</v>
      </c>
      <c r="F235" s="485">
        <v>7</v>
      </c>
      <c r="G235" s="547"/>
      <c r="H235" s="547"/>
      <c r="I235" s="547"/>
      <c r="J235" s="547"/>
      <c r="K235" s="547"/>
      <c r="L235" s="547"/>
      <c r="M235" s="548"/>
      <c r="N235" s="517" t="s">
        <v>4171</v>
      </c>
      <c r="O235" s="518">
        <v>10</v>
      </c>
      <c r="P235" s="519" t="s">
        <v>663</v>
      </c>
      <c r="Q235" s="489">
        <v>73</v>
      </c>
      <c r="R235" s="519" t="s">
        <v>4172</v>
      </c>
      <c r="S235" s="518">
        <f t="shared" si="15"/>
        <v>66</v>
      </c>
      <c r="T235" s="519" t="s">
        <v>4173</v>
      </c>
      <c r="U235" s="518">
        <f t="shared" si="16"/>
        <v>26</v>
      </c>
      <c r="V235" s="519" t="s">
        <v>3852</v>
      </c>
      <c r="W235" s="519" t="s">
        <v>4174</v>
      </c>
      <c r="X235" s="491">
        <f t="shared" si="17"/>
        <v>67</v>
      </c>
      <c r="Y235" s="519" t="s">
        <v>4174</v>
      </c>
      <c r="Z235" s="518">
        <f t="shared" si="18"/>
        <v>67</v>
      </c>
      <c r="AA235" s="519" t="s">
        <v>4175</v>
      </c>
      <c r="AB235" s="518">
        <f t="shared" si="19"/>
        <v>27</v>
      </c>
      <c r="AC235" s="519" t="s">
        <v>3855</v>
      </c>
      <c r="AD235" s="518" t="s">
        <v>4176</v>
      </c>
      <c r="AE235" s="520" t="s">
        <v>4177</v>
      </c>
      <c r="AF235" s="504" t="s">
        <v>3279</v>
      </c>
      <c r="AG235" s="494" t="s">
        <v>2917</v>
      </c>
      <c r="AH235" s="494" t="s">
        <v>2917</v>
      </c>
      <c r="AI235" s="505"/>
      <c r="AJ235" s="505"/>
      <c r="AK235" s="521">
        <f>_xll.GetCtData("COAMOUNT","CONSAMOUNT",$B$1:$B$7,$B235,AK$9,"#-193996")</f>
        <v>-193996</v>
      </c>
    </row>
    <row r="236" spans="2:37" ht="12" customHeight="1">
      <c r="B236" s="453" t="s">
        <v>481</v>
      </c>
      <c r="C236" s="482" t="s">
        <v>2929</v>
      </c>
      <c r="D236" s="483">
        <v>44403</v>
      </c>
      <c r="E236" s="484" t="s">
        <v>2930</v>
      </c>
      <c r="F236" s="485">
        <v>7</v>
      </c>
      <c r="G236" s="547"/>
      <c r="H236" s="547"/>
      <c r="I236" s="547"/>
      <c r="J236" s="547"/>
      <c r="K236" s="547"/>
      <c r="L236" s="547"/>
      <c r="M236" s="548"/>
      <c r="N236" s="517" t="s">
        <v>4178</v>
      </c>
      <c r="O236" s="518">
        <v>10</v>
      </c>
      <c r="P236" s="519" t="s">
        <v>664</v>
      </c>
      <c r="Q236" s="489">
        <v>97</v>
      </c>
      <c r="R236" s="519" t="s">
        <v>664</v>
      </c>
      <c r="S236" s="518">
        <f t="shared" si="15"/>
        <v>97</v>
      </c>
      <c r="T236" s="519" t="s">
        <v>4179</v>
      </c>
      <c r="U236" s="518">
        <f t="shared" si="16"/>
        <v>29</v>
      </c>
      <c r="V236" s="519" t="s">
        <v>3852</v>
      </c>
      <c r="W236" s="519" t="s">
        <v>4180</v>
      </c>
      <c r="X236" s="491">
        <f t="shared" si="17"/>
        <v>105</v>
      </c>
      <c r="Y236" s="519" t="s">
        <v>4180</v>
      </c>
      <c r="Z236" s="518">
        <f t="shared" si="18"/>
        <v>105</v>
      </c>
      <c r="AA236" s="519" t="s">
        <v>4181</v>
      </c>
      <c r="AB236" s="518">
        <f t="shared" si="19"/>
        <v>25</v>
      </c>
      <c r="AC236" s="519" t="s">
        <v>3855</v>
      </c>
      <c r="AD236" s="518" t="s">
        <v>4182</v>
      </c>
      <c r="AE236" s="520" t="s">
        <v>4183</v>
      </c>
      <c r="AF236" s="504" t="s">
        <v>3279</v>
      </c>
      <c r="AG236" s="494" t="s">
        <v>2917</v>
      </c>
      <c r="AH236" s="494" t="s">
        <v>2917</v>
      </c>
      <c r="AI236" s="505"/>
      <c r="AJ236" s="505"/>
      <c r="AK236" s="521">
        <f>_xll.GetCtData("COAMOUNT","CONSAMOUNT",$B$1:$B$7,$B236,AK$9,"#-9230")</f>
        <v>-9230</v>
      </c>
    </row>
    <row r="237" spans="2:37" ht="12" customHeight="1">
      <c r="B237" s="453" t="s">
        <v>482</v>
      </c>
      <c r="C237" s="482" t="s">
        <v>2929</v>
      </c>
      <c r="D237" s="483">
        <v>44403</v>
      </c>
      <c r="E237" s="484" t="s">
        <v>2930</v>
      </c>
      <c r="F237" s="485">
        <v>7</v>
      </c>
      <c r="G237" s="547"/>
      <c r="H237" s="547"/>
      <c r="I237" s="547"/>
      <c r="J237" s="547"/>
      <c r="K237" s="547"/>
      <c r="L237" s="547"/>
      <c r="M237" s="548"/>
      <c r="N237" s="517" t="s">
        <v>4184</v>
      </c>
      <c r="O237" s="518">
        <v>10</v>
      </c>
      <c r="P237" s="519" t="s">
        <v>665</v>
      </c>
      <c r="Q237" s="489">
        <v>63</v>
      </c>
      <c r="R237" s="519" t="s">
        <v>665</v>
      </c>
      <c r="S237" s="518">
        <f t="shared" si="15"/>
        <v>63</v>
      </c>
      <c r="T237" s="519" t="s">
        <v>4185</v>
      </c>
      <c r="U237" s="518">
        <f t="shared" si="16"/>
        <v>25</v>
      </c>
      <c r="V237" s="519" t="s">
        <v>3852</v>
      </c>
      <c r="W237" s="519" t="s">
        <v>4186</v>
      </c>
      <c r="X237" s="491">
        <f t="shared" si="17"/>
        <v>69</v>
      </c>
      <c r="Y237" s="519" t="s">
        <v>4186</v>
      </c>
      <c r="Z237" s="518">
        <f t="shared" si="18"/>
        <v>69</v>
      </c>
      <c r="AA237" s="519" t="s">
        <v>4187</v>
      </c>
      <c r="AB237" s="518">
        <f t="shared" si="19"/>
        <v>30</v>
      </c>
      <c r="AC237" s="519" t="s">
        <v>3855</v>
      </c>
      <c r="AD237" s="518" t="s">
        <v>4188</v>
      </c>
      <c r="AE237" s="520" t="s">
        <v>4189</v>
      </c>
      <c r="AF237" s="504" t="s">
        <v>3279</v>
      </c>
      <c r="AG237" s="494" t="s">
        <v>2917</v>
      </c>
      <c r="AH237" s="494" t="s">
        <v>2917</v>
      </c>
      <c r="AI237" s="505"/>
      <c r="AJ237" s="505"/>
      <c r="AK237" s="521">
        <f>_xll.GetCtData("COAMOUNT","CONSAMOUNT",$B$1:$B$7,$B237,AK$9,"#39143")</f>
        <v>39143</v>
      </c>
    </row>
    <row r="238" spans="2:37" ht="12" customHeight="1">
      <c r="B238" s="453" t="s">
        <v>483</v>
      </c>
      <c r="C238" s="482" t="s">
        <v>2929</v>
      </c>
      <c r="D238" s="483">
        <v>44403</v>
      </c>
      <c r="E238" s="484" t="s">
        <v>2930</v>
      </c>
      <c r="F238" s="485">
        <v>7</v>
      </c>
      <c r="G238" s="547"/>
      <c r="H238" s="547"/>
      <c r="I238" s="547"/>
      <c r="J238" s="547"/>
      <c r="K238" s="547"/>
      <c r="L238" s="547"/>
      <c r="M238" s="548"/>
      <c r="N238" s="517" t="s">
        <v>4190</v>
      </c>
      <c r="O238" s="518">
        <v>10</v>
      </c>
      <c r="P238" s="519" t="s">
        <v>666</v>
      </c>
      <c r="Q238" s="489">
        <v>71</v>
      </c>
      <c r="R238" s="519" t="s">
        <v>666</v>
      </c>
      <c r="S238" s="518">
        <f t="shared" si="15"/>
        <v>71</v>
      </c>
      <c r="T238" s="519" t="s">
        <v>4191</v>
      </c>
      <c r="U238" s="518">
        <f t="shared" si="16"/>
        <v>25</v>
      </c>
      <c r="V238" s="519" t="s">
        <v>3852</v>
      </c>
      <c r="W238" s="519" t="s">
        <v>4192</v>
      </c>
      <c r="X238" s="491">
        <f t="shared" si="17"/>
        <v>63</v>
      </c>
      <c r="Y238" s="519" t="s">
        <v>4192</v>
      </c>
      <c r="Z238" s="518">
        <f t="shared" si="18"/>
        <v>63</v>
      </c>
      <c r="AA238" s="519" t="s">
        <v>4193</v>
      </c>
      <c r="AB238" s="518">
        <f t="shared" si="19"/>
        <v>25</v>
      </c>
      <c r="AC238" s="519" t="s">
        <v>3855</v>
      </c>
      <c r="AD238" s="518" t="s">
        <v>4194</v>
      </c>
      <c r="AE238" s="520" t="s">
        <v>4195</v>
      </c>
      <c r="AF238" s="504" t="s">
        <v>3279</v>
      </c>
      <c r="AG238" s="494" t="s">
        <v>2917</v>
      </c>
      <c r="AH238" s="494" t="s">
        <v>2917</v>
      </c>
      <c r="AI238" s="505"/>
      <c r="AJ238" s="505"/>
      <c r="AK238" s="521">
        <f>_xll.GetCtData("COAMOUNT","CONSAMOUNT",$B$1:$B$7,$B238,AK$9,"#-5663")</f>
        <v>-5663</v>
      </c>
    </row>
    <row r="239" spans="2:37" ht="12" customHeight="1">
      <c r="B239" s="453" t="s">
        <v>4196</v>
      </c>
      <c r="C239" s="482" t="s">
        <v>2911</v>
      </c>
      <c r="D239" s="483">
        <v>44378</v>
      </c>
      <c r="E239" s="484" t="s">
        <v>2912</v>
      </c>
      <c r="F239" s="485">
        <v>5</v>
      </c>
      <c r="G239" s="482"/>
      <c r="H239" s="567"/>
      <c r="I239" s="567"/>
      <c r="J239" s="567"/>
      <c r="K239" s="567"/>
      <c r="L239" s="568" t="s">
        <v>4197</v>
      </c>
      <c r="M239" s="569"/>
      <c r="N239" s="589"/>
      <c r="O239" s="571">
        <v>8</v>
      </c>
      <c r="P239" s="572" t="s">
        <v>4198</v>
      </c>
      <c r="Q239" s="489">
        <v>56</v>
      </c>
      <c r="R239" s="572" t="s">
        <v>4198</v>
      </c>
      <c r="S239" s="571">
        <f t="shared" si="15"/>
        <v>56</v>
      </c>
      <c r="T239" s="572" t="s">
        <v>4199</v>
      </c>
      <c r="U239" s="571">
        <f t="shared" si="16"/>
        <v>21</v>
      </c>
      <c r="V239" s="573" t="s">
        <v>3852</v>
      </c>
      <c r="W239" s="573" t="s">
        <v>4200</v>
      </c>
      <c r="X239" s="491">
        <f t="shared" si="17"/>
        <v>50</v>
      </c>
      <c r="Y239" s="573" t="s">
        <v>4200</v>
      </c>
      <c r="Z239" s="571">
        <f t="shared" si="18"/>
        <v>50</v>
      </c>
      <c r="AA239" s="573" t="s">
        <v>4201</v>
      </c>
      <c r="AB239" s="571">
        <f t="shared" si="19"/>
        <v>21</v>
      </c>
      <c r="AC239" s="573" t="s">
        <v>3855</v>
      </c>
      <c r="AD239" s="571"/>
      <c r="AE239" s="575"/>
      <c r="AF239" s="504"/>
      <c r="AG239" s="494" t="s">
        <v>2917</v>
      </c>
      <c r="AH239" s="495" t="s">
        <v>2918</v>
      </c>
      <c r="AI239" s="505"/>
      <c r="AJ239" s="505"/>
      <c r="AK239" s="576">
        <f>_xll.GetCtData("COAMOUNT","CONSAMOUNT",$B$1:$B$7,$B239,AK$9,"#")</f>
        <v>0</v>
      </c>
    </row>
    <row r="240" spans="2:37" ht="12" customHeight="1">
      <c r="B240" s="453" t="s">
        <v>484</v>
      </c>
      <c r="C240" s="482" t="s">
        <v>2929</v>
      </c>
      <c r="D240" s="483">
        <v>44403</v>
      </c>
      <c r="E240" s="484" t="s">
        <v>2930</v>
      </c>
      <c r="F240" s="485">
        <v>7</v>
      </c>
      <c r="G240" s="547"/>
      <c r="H240" s="547"/>
      <c r="I240" s="547"/>
      <c r="J240" s="547"/>
      <c r="K240" s="547"/>
      <c r="L240" s="547"/>
      <c r="M240" s="548"/>
      <c r="N240" s="517" t="s">
        <v>4202</v>
      </c>
      <c r="O240" s="518">
        <v>10</v>
      </c>
      <c r="P240" s="519" t="s">
        <v>667</v>
      </c>
      <c r="Q240" s="489">
        <v>79</v>
      </c>
      <c r="R240" s="519" t="s">
        <v>4203</v>
      </c>
      <c r="S240" s="518">
        <f t="shared" si="15"/>
        <v>72</v>
      </c>
      <c r="T240" s="519" t="s">
        <v>4204</v>
      </c>
      <c r="U240" s="518">
        <f t="shared" si="16"/>
        <v>27</v>
      </c>
      <c r="V240" s="519" t="s">
        <v>3852</v>
      </c>
      <c r="W240" s="519" t="s">
        <v>4205</v>
      </c>
      <c r="X240" s="491">
        <f t="shared" si="17"/>
        <v>68</v>
      </c>
      <c r="Y240" s="519" t="s">
        <v>4205</v>
      </c>
      <c r="Z240" s="518">
        <f t="shared" si="18"/>
        <v>68</v>
      </c>
      <c r="AA240" s="519" t="s">
        <v>4206</v>
      </c>
      <c r="AB240" s="518">
        <f t="shared" si="19"/>
        <v>24</v>
      </c>
      <c r="AC240" s="519" t="s">
        <v>3855</v>
      </c>
      <c r="AD240" s="518" t="s">
        <v>4207</v>
      </c>
      <c r="AE240" s="520" t="s">
        <v>4208</v>
      </c>
      <c r="AF240" s="504" t="s">
        <v>3279</v>
      </c>
      <c r="AG240" s="494" t="s">
        <v>2917</v>
      </c>
      <c r="AH240" s="494" t="s">
        <v>2917</v>
      </c>
      <c r="AI240" s="505"/>
      <c r="AJ240" s="505"/>
      <c r="AK240" s="521">
        <f>_xll.GetCtData("COAMOUNT","CONSAMOUNT",$B$1:$B$7,$B240,AK$9,"#")</f>
        <v>0</v>
      </c>
    </row>
    <row r="241" spans="2:37" ht="12" customHeight="1">
      <c r="B241" s="453" t="s">
        <v>485</v>
      </c>
      <c r="C241" s="482" t="s">
        <v>2929</v>
      </c>
      <c r="D241" s="483">
        <v>44403</v>
      </c>
      <c r="E241" s="484" t="s">
        <v>2930</v>
      </c>
      <c r="F241" s="485">
        <v>7</v>
      </c>
      <c r="G241" s="547"/>
      <c r="H241" s="547"/>
      <c r="I241" s="547"/>
      <c r="J241" s="547"/>
      <c r="K241" s="547"/>
      <c r="L241" s="547"/>
      <c r="M241" s="548"/>
      <c r="N241" s="517" t="s">
        <v>4209</v>
      </c>
      <c r="O241" s="518">
        <v>10</v>
      </c>
      <c r="P241" s="519" t="s">
        <v>668</v>
      </c>
      <c r="Q241" s="489">
        <v>73</v>
      </c>
      <c r="R241" s="519" t="s">
        <v>4210</v>
      </c>
      <c r="S241" s="518">
        <f t="shared" si="15"/>
        <v>66</v>
      </c>
      <c r="T241" s="519" t="s">
        <v>4211</v>
      </c>
      <c r="U241" s="518">
        <f t="shared" si="16"/>
        <v>26</v>
      </c>
      <c r="V241" s="519" t="s">
        <v>3852</v>
      </c>
      <c r="W241" s="519" t="s">
        <v>4212</v>
      </c>
      <c r="X241" s="491">
        <f t="shared" si="17"/>
        <v>67</v>
      </c>
      <c r="Y241" s="519" t="s">
        <v>4212</v>
      </c>
      <c r="Z241" s="518">
        <f t="shared" si="18"/>
        <v>67</v>
      </c>
      <c r="AA241" s="519" t="s">
        <v>4213</v>
      </c>
      <c r="AB241" s="518">
        <f t="shared" si="19"/>
        <v>27</v>
      </c>
      <c r="AC241" s="519" t="s">
        <v>3855</v>
      </c>
      <c r="AD241" s="518" t="s">
        <v>4214</v>
      </c>
      <c r="AE241" s="520" t="s">
        <v>4215</v>
      </c>
      <c r="AF241" s="504" t="s">
        <v>3279</v>
      </c>
      <c r="AG241" s="494" t="s">
        <v>2917</v>
      </c>
      <c r="AH241" s="494" t="s">
        <v>2917</v>
      </c>
      <c r="AI241" s="505"/>
      <c r="AJ241" s="505"/>
      <c r="AK241" s="521">
        <f>_xll.GetCtData("COAMOUNT","CONSAMOUNT",$B$1:$B$7,$B241,AK$9,"#")</f>
        <v>0</v>
      </c>
    </row>
    <row r="242" spans="2:37" ht="12" customHeight="1">
      <c r="B242" s="453" t="s">
        <v>486</v>
      </c>
      <c r="C242" s="482" t="s">
        <v>2929</v>
      </c>
      <c r="D242" s="483">
        <v>44403</v>
      </c>
      <c r="E242" s="484" t="s">
        <v>2930</v>
      </c>
      <c r="F242" s="485">
        <v>7</v>
      </c>
      <c r="G242" s="547"/>
      <c r="H242" s="547"/>
      <c r="I242" s="547"/>
      <c r="J242" s="547"/>
      <c r="K242" s="547"/>
      <c r="L242" s="547"/>
      <c r="M242" s="548"/>
      <c r="N242" s="517" t="s">
        <v>4216</v>
      </c>
      <c r="O242" s="518">
        <v>10</v>
      </c>
      <c r="P242" s="519" t="s">
        <v>669</v>
      </c>
      <c r="Q242" s="489">
        <v>97</v>
      </c>
      <c r="R242" s="519" t="s">
        <v>669</v>
      </c>
      <c r="S242" s="518">
        <f t="shared" si="15"/>
        <v>97</v>
      </c>
      <c r="T242" s="519" t="s">
        <v>4217</v>
      </c>
      <c r="U242" s="518">
        <f t="shared" si="16"/>
        <v>28</v>
      </c>
      <c r="V242" s="519" t="s">
        <v>3852</v>
      </c>
      <c r="W242" s="519" t="s">
        <v>4218</v>
      </c>
      <c r="X242" s="491">
        <f t="shared" si="17"/>
        <v>105</v>
      </c>
      <c r="Y242" s="519" t="s">
        <v>4218</v>
      </c>
      <c r="Z242" s="518">
        <f t="shared" si="18"/>
        <v>105</v>
      </c>
      <c r="AA242" s="519" t="s">
        <v>4219</v>
      </c>
      <c r="AB242" s="518">
        <f t="shared" si="19"/>
        <v>25</v>
      </c>
      <c r="AC242" s="519" t="s">
        <v>3855</v>
      </c>
      <c r="AD242" s="518" t="s">
        <v>4220</v>
      </c>
      <c r="AE242" s="520" t="s">
        <v>4221</v>
      </c>
      <c r="AF242" s="504" t="s">
        <v>3279</v>
      </c>
      <c r="AG242" s="494" t="s">
        <v>2917</v>
      </c>
      <c r="AH242" s="494" t="s">
        <v>2917</v>
      </c>
      <c r="AI242" s="505"/>
      <c r="AJ242" s="505"/>
      <c r="AK242" s="521">
        <f>_xll.GetCtData("COAMOUNT","CONSAMOUNT",$B$1:$B$7,$B242,AK$9,"#")</f>
        <v>0</v>
      </c>
    </row>
    <row r="243" spans="2:37" ht="12" customHeight="1">
      <c r="B243" s="453" t="s">
        <v>487</v>
      </c>
      <c r="C243" s="482" t="s">
        <v>2929</v>
      </c>
      <c r="D243" s="483">
        <v>44403</v>
      </c>
      <c r="E243" s="484" t="s">
        <v>2930</v>
      </c>
      <c r="F243" s="485">
        <v>7</v>
      </c>
      <c r="G243" s="547"/>
      <c r="H243" s="547"/>
      <c r="I243" s="547"/>
      <c r="J243" s="547"/>
      <c r="K243" s="547"/>
      <c r="L243" s="547"/>
      <c r="M243" s="548"/>
      <c r="N243" s="517" t="s">
        <v>4222</v>
      </c>
      <c r="O243" s="518">
        <v>10</v>
      </c>
      <c r="P243" s="519" t="s">
        <v>670</v>
      </c>
      <c r="Q243" s="489">
        <v>63</v>
      </c>
      <c r="R243" s="519" t="s">
        <v>670</v>
      </c>
      <c r="S243" s="518">
        <f t="shared" si="15"/>
        <v>63</v>
      </c>
      <c r="T243" s="519" t="s">
        <v>4223</v>
      </c>
      <c r="U243" s="518">
        <f t="shared" si="16"/>
        <v>25</v>
      </c>
      <c r="V243" s="519" t="s">
        <v>3852</v>
      </c>
      <c r="W243" s="519" t="s">
        <v>4224</v>
      </c>
      <c r="X243" s="491">
        <f t="shared" si="17"/>
        <v>69</v>
      </c>
      <c r="Y243" s="519" t="s">
        <v>4224</v>
      </c>
      <c r="Z243" s="518">
        <f t="shared" si="18"/>
        <v>69</v>
      </c>
      <c r="AA243" s="519" t="s">
        <v>4225</v>
      </c>
      <c r="AB243" s="518">
        <f t="shared" si="19"/>
        <v>30</v>
      </c>
      <c r="AC243" s="519" t="s">
        <v>3855</v>
      </c>
      <c r="AD243" s="518" t="s">
        <v>4226</v>
      </c>
      <c r="AE243" s="520" t="s">
        <v>4227</v>
      </c>
      <c r="AF243" s="504" t="s">
        <v>3279</v>
      </c>
      <c r="AG243" s="494" t="s">
        <v>2917</v>
      </c>
      <c r="AH243" s="494" t="s">
        <v>2917</v>
      </c>
      <c r="AI243" s="505"/>
      <c r="AJ243" s="505"/>
      <c r="AK243" s="521">
        <f>_xll.GetCtData("COAMOUNT","CONSAMOUNT",$B$1:$B$7,$B243,AK$9,"#")</f>
        <v>0</v>
      </c>
    </row>
    <row r="244" spans="2:37" ht="12" customHeight="1">
      <c r="B244" s="453" t="s">
        <v>488</v>
      </c>
      <c r="C244" s="482" t="s">
        <v>2929</v>
      </c>
      <c r="D244" s="483">
        <v>44403</v>
      </c>
      <c r="E244" s="484" t="s">
        <v>2930</v>
      </c>
      <c r="F244" s="485">
        <v>7</v>
      </c>
      <c r="G244" s="547"/>
      <c r="H244" s="547"/>
      <c r="I244" s="547"/>
      <c r="J244" s="547"/>
      <c r="K244" s="547"/>
      <c r="L244" s="547"/>
      <c r="M244" s="548"/>
      <c r="N244" s="517" t="s">
        <v>4228</v>
      </c>
      <c r="O244" s="518">
        <v>10</v>
      </c>
      <c r="P244" s="519" t="s">
        <v>671</v>
      </c>
      <c r="Q244" s="489">
        <v>71</v>
      </c>
      <c r="R244" s="519" t="s">
        <v>671</v>
      </c>
      <c r="S244" s="518">
        <f t="shared" si="15"/>
        <v>71</v>
      </c>
      <c r="T244" s="519" t="s">
        <v>4229</v>
      </c>
      <c r="U244" s="518">
        <f t="shared" si="16"/>
        <v>25</v>
      </c>
      <c r="V244" s="519" t="s">
        <v>3852</v>
      </c>
      <c r="W244" s="519" t="s">
        <v>4230</v>
      </c>
      <c r="X244" s="491">
        <f t="shared" si="17"/>
        <v>63</v>
      </c>
      <c r="Y244" s="519" t="s">
        <v>4230</v>
      </c>
      <c r="Z244" s="518">
        <f t="shared" si="18"/>
        <v>63</v>
      </c>
      <c r="AA244" s="519" t="s">
        <v>4231</v>
      </c>
      <c r="AB244" s="518">
        <f t="shared" si="19"/>
        <v>25</v>
      </c>
      <c r="AC244" s="519" t="s">
        <v>3855</v>
      </c>
      <c r="AD244" s="518" t="s">
        <v>4232</v>
      </c>
      <c r="AE244" s="520" t="s">
        <v>4233</v>
      </c>
      <c r="AF244" s="504" t="s">
        <v>3279</v>
      </c>
      <c r="AG244" s="494" t="s">
        <v>2917</v>
      </c>
      <c r="AH244" s="494" t="s">
        <v>2917</v>
      </c>
      <c r="AI244" s="505"/>
      <c r="AJ244" s="505"/>
      <c r="AK244" s="521">
        <f>_xll.GetCtData("COAMOUNT","CONSAMOUNT",$B$1:$B$7,$B244,AK$9,"#")</f>
        <v>0</v>
      </c>
    </row>
    <row r="245" spans="2:37" ht="12" customHeight="1">
      <c r="B245" s="453" t="s">
        <v>4234</v>
      </c>
      <c r="C245" s="482" t="s">
        <v>2911</v>
      </c>
      <c r="D245" s="483">
        <v>44378</v>
      </c>
      <c r="E245" s="484" t="s">
        <v>2912</v>
      </c>
      <c r="F245" s="485">
        <v>5</v>
      </c>
      <c r="G245" s="482"/>
      <c r="H245" s="567"/>
      <c r="I245" s="567"/>
      <c r="J245" s="567"/>
      <c r="K245" s="567"/>
      <c r="L245" s="568" t="s">
        <v>4235</v>
      </c>
      <c r="M245" s="569"/>
      <c r="N245" s="589"/>
      <c r="O245" s="571">
        <v>8</v>
      </c>
      <c r="P245" s="572" t="s">
        <v>4236</v>
      </c>
      <c r="Q245" s="489">
        <v>56</v>
      </c>
      <c r="R245" s="572" t="s">
        <v>4236</v>
      </c>
      <c r="S245" s="571">
        <f t="shared" si="15"/>
        <v>56</v>
      </c>
      <c r="T245" s="572" t="s">
        <v>4237</v>
      </c>
      <c r="U245" s="571">
        <f t="shared" si="16"/>
        <v>21</v>
      </c>
      <c r="V245" s="573" t="s">
        <v>3852</v>
      </c>
      <c r="W245" s="573" t="s">
        <v>4238</v>
      </c>
      <c r="X245" s="491">
        <f t="shared" si="17"/>
        <v>50</v>
      </c>
      <c r="Y245" s="573" t="s">
        <v>4238</v>
      </c>
      <c r="Z245" s="571">
        <f t="shared" si="18"/>
        <v>50</v>
      </c>
      <c r="AA245" s="573" t="s">
        <v>4239</v>
      </c>
      <c r="AB245" s="571">
        <f t="shared" si="19"/>
        <v>21</v>
      </c>
      <c r="AC245" s="573" t="s">
        <v>3855</v>
      </c>
      <c r="AD245" s="571"/>
      <c r="AE245" s="575"/>
      <c r="AF245" s="504"/>
      <c r="AG245" s="494" t="s">
        <v>2917</v>
      </c>
      <c r="AH245" s="495" t="s">
        <v>2918</v>
      </c>
      <c r="AI245" s="505"/>
      <c r="AJ245" s="505"/>
      <c r="AK245" s="576">
        <f>_xll.GetCtData("COAMOUNT","CONSAMOUNT",$B$1:$B$7,$B245,AK$9,"#")</f>
        <v>0</v>
      </c>
    </row>
    <row r="246" spans="2:37" ht="12" customHeight="1">
      <c r="B246" s="453" t="s">
        <v>489</v>
      </c>
      <c r="C246" s="482" t="s">
        <v>2929</v>
      </c>
      <c r="D246" s="483">
        <v>44403</v>
      </c>
      <c r="E246" s="484" t="s">
        <v>2930</v>
      </c>
      <c r="F246" s="485">
        <v>7</v>
      </c>
      <c r="G246" s="547"/>
      <c r="H246" s="547"/>
      <c r="I246" s="547"/>
      <c r="J246" s="547"/>
      <c r="K246" s="547"/>
      <c r="L246" s="547"/>
      <c r="M246" s="548"/>
      <c r="N246" s="517" t="s">
        <v>4240</v>
      </c>
      <c r="O246" s="518">
        <v>10</v>
      </c>
      <c r="P246" s="519" t="s">
        <v>672</v>
      </c>
      <c r="Q246" s="489">
        <v>79</v>
      </c>
      <c r="R246" s="519" t="s">
        <v>4241</v>
      </c>
      <c r="S246" s="518">
        <f t="shared" si="15"/>
        <v>72</v>
      </c>
      <c r="T246" s="519" t="s">
        <v>4242</v>
      </c>
      <c r="U246" s="518">
        <f t="shared" si="16"/>
        <v>27</v>
      </c>
      <c r="V246" s="519" t="s">
        <v>3852</v>
      </c>
      <c r="W246" s="519" t="s">
        <v>4243</v>
      </c>
      <c r="X246" s="491">
        <f t="shared" si="17"/>
        <v>68</v>
      </c>
      <c r="Y246" s="519" t="s">
        <v>4243</v>
      </c>
      <c r="Z246" s="518">
        <f t="shared" si="18"/>
        <v>68</v>
      </c>
      <c r="AA246" s="519" t="s">
        <v>4244</v>
      </c>
      <c r="AB246" s="518">
        <f t="shared" si="19"/>
        <v>24</v>
      </c>
      <c r="AC246" s="519" t="s">
        <v>3855</v>
      </c>
      <c r="AD246" s="518" t="s">
        <v>4245</v>
      </c>
      <c r="AE246" s="520" t="s">
        <v>4246</v>
      </c>
      <c r="AF246" s="504" t="s">
        <v>3342</v>
      </c>
      <c r="AG246" s="494" t="s">
        <v>2917</v>
      </c>
      <c r="AH246" s="494" t="s">
        <v>2917</v>
      </c>
      <c r="AI246" s="505"/>
      <c r="AJ246" s="505"/>
      <c r="AK246" s="521">
        <f>_xll.GetCtData("COAMOUNT","CONSAMOUNT",$B$1:$B$7,$B246,AK$9,"#")</f>
        <v>0</v>
      </c>
    </row>
    <row r="247" spans="2:37" ht="12" customHeight="1">
      <c r="B247" s="453" t="s">
        <v>490</v>
      </c>
      <c r="C247" s="482" t="s">
        <v>2929</v>
      </c>
      <c r="D247" s="483">
        <v>44403</v>
      </c>
      <c r="E247" s="484" t="s">
        <v>2930</v>
      </c>
      <c r="F247" s="485">
        <v>7</v>
      </c>
      <c r="G247" s="547"/>
      <c r="H247" s="547"/>
      <c r="I247" s="547"/>
      <c r="J247" s="547"/>
      <c r="K247" s="547"/>
      <c r="L247" s="547"/>
      <c r="M247" s="548"/>
      <c r="N247" s="517" t="s">
        <v>4247</v>
      </c>
      <c r="O247" s="518">
        <v>10</v>
      </c>
      <c r="P247" s="519" t="s">
        <v>673</v>
      </c>
      <c r="Q247" s="489">
        <v>73</v>
      </c>
      <c r="R247" s="519" t="s">
        <v>4248</v>
      </c>
      <c r="S247" s="518">
        <f t="shared" si="15"/>
        <v>66</v>
      </c>
      <c r="T247" s="519" t="s">
        <v>4249</v>
      </c>
      <c r="U247" s="518">
        <f t="shared" si="16"/>
        <v>26</v>
      </c>
      <c r="V247" s="519" t="s">
        <v>3852</v>
      </c>
      <c r="W247" s="519" t="s">
        <v>4250</v>
      </c>
      <c r="X247" s="491">
        <f t="shared" si="17"/>
        <v>67</v>
      </c>
      <c r="Y247" s="519" t="s">
        <v>4250</v>
      </c>
      <c r="Z247" s="518">
        <f t="shared" si="18"/>
        <v>67</v>
      </c>
      <c r="AA247" s="519" t="s">
        <v>4251</v>
      </c>
      <c r="AB247" s="518">
        <f t="shared" si="19"/>
        <v>27</v>
      </c>
      <c r="AC247" s="519" t="s">
        <v>3855</v>
      </c>
      <c r="AD247" s="518" t="s">
        <v>4252</v>
      </c>
      <c r="AE247" s="520" t="s">
        <v>4253</v>
      </c>
      <c r="AF247" s="504" t="s">
        <v>3342</v>
      </c>
      <c r="AG247" s="494" t="s">
        <v>2917</v>
      </c>
      <c r="AH247" s="494" t="s">
        <v>2917</v>
      </c>
      <c r="AI247" s="505"/>
      <c r="AJ247" s="505"/>
      <c r="AK247" s="521">
        <f>_xll.GetCtData("COAMOUNT","CONSAMOUNT",$B$1:$B$7,$B247,AK$9,"#")</f>
        <v>0</v>
      </c>
    </row>
    <row r="248" spans="2:37" ht="12" customHeight="1">
      <c r="B248" s="453" t="s">
        <v>491</v>
      </c>
      <c r="C248" s="482" t="s">
        <v>2929</v>
      </c>
      <c r="D248" s="483">
        <v>44403</v>
      </c>
      <c r="E248" s="484" t="s">
        <v>2930</v>
      </c>
      <c r="F248" s="485">
        <v>7</v>
      </c>
      <c r="G248" s="547"/>
      <c r="H248" s="547"/>
      <c r="I248" s="547"/>
      <c r="J248" s="547"/>
      <c r="K248" s="547"/>
      <c r="L248" s="547"/>
      <c r="M248" s="548"/>
      <c r="N248" s="517" t="s">
        <v>4254</v>
      </c>
      <c r="O248" s="518">
        <v>10</v>
      </c>
      <c r="P248" s="519" t="s">
        <v>674</v>
      </c>
      <c r="Q248" s="489">
        <v>97</v>
      </c>
      <c r="R248" s="519" t="s">
        <v>674</v>
      </c>
      <c r="S248" s="518">
        <f t="shared" si="15"/>
        <v>97</v>
      </c>
      <c r="T248" s="519" t="s">
        <v>4255</v>
      </c>
      <c r="U248" s="518">
        <f t="shared" si="16"/>
        <v>29</v>
      </c>
      <c r="V248" s="519" t="s">
        <v>3852</v>
      </c>
      <c r="W248" s="519" t="s">
        <v>4256</v>
      </c>
      <c r="X248" s="491">
        <f t="shared" si="17"/>
        <v>105</v>
      </c>
      <c r="Y248" s="519" t="s">
        <v>4256</v>
      </c>
      <c r="Z248" s="518">
        <f t="shared" si="18"/>
        <v>105</v>
      </c>
      <c r="AA248" s="519" t="s">
        <v>4257</v>
      </c>
      <c r="AB248" s="518">
        <f t="shared" si="19"/>
        <v>25</v>
      </c>
      <c r="AC248" s="519" t="s">
        <v>3855</v>
      </c>
      <c r="AD248" s="518" t="s">
        <v>4258</v>
      </c>
      <c r="AE248" s="520" t="s">
        <v>4259</v>
      </c>
      <c r="AF248" s="504" t="s">
        <v>3342</v>
      </c>
      <c r="AG248" s="494" t="s">
        <v>2917</v>
      </c>
      <c r="AH248" s="494" t="s">
        <v>2917</v>
      </c>
      <c r="AI248" s="505"/>
      <c r="AJ248" s="505"/>
      <c r="AK248" s="521">
        <f>_xll.GetCtData("COAMOUNT","CONSAMOUNT",$B$1:$B$7,$B248,AK$9,"#")</f>
        <v>0</v>
      </c>
    </row>
    <row r="249" spans="2:37" ht="12" customHeight="1">
      <c r="B249" s="453" t="s">
        <v>492</v>
      </c>
      <c r="C249" s="482" t="s">
        <v>2929</v>
      </c>
      <c r="D249" s="483">
        <v>44403</v>
      </c>
      <c r="E249" s="484" t="s">
        <v>2930</v>
      </c>
      <c r="F249" s="485">
        <v>7</v>
      </c>
      <c r="G249" s="547"/>
      <c r="H249" s="547"/>
      <c r="I249" s="547"/>
      <c r="J249" s="547"/>
      <c r="K249" s="547"/>
      <c r="L249" s="547"/>
      <c r="M249" s="548"/>
      <c r="N249" s="517" t="s">
        <v>4260</v>
      </c>
      <c r="O249" s="518">
        <v>10</v>
      </c>
      <c r="P249" s="519" t="s">
        <v>675</v>
      </c>
      <c r="Q249" s="489">
        <v>63</v>
      </c>
      <c r="R249" s="519" t="s">
        <v>675</v>
      </c>
      <c r="S249" s="518">
        <f t="shared" si="15"/>
        <v>63</v>
      </c>
      <c r="T249" s="519" t="s">
        <v>4261</v>
      </c>
      <c r="U249" s="518">
        <f t="shared" si="16"/>
        <v>25</v>
      </c>
      <c r="V249" s="519" t="s">
        <v>3852</v>
      </c>
      <c r="W249" s="519" t="s">
        <v>4262</v>
      </c>
      <c r="X249" s="491">
        <f t="shared" si="17"/>
        <v>69</v>
      </c>
      <c r="Y249" s="519" t="s">
        <v>4262</v>
      </c>
      <c r="Z249" s="518">
        <f t="shared" si="18"/>
        <v>69</v>
      </c>
      <c r="AA249" s="519" t="s">
        <v>4263</v>
      </c>
      <c r="AB249" s="518">
        <f t="shared" si="19"/>
        <v>30</v>
      </c>
      <c r="AC249" s="519" t="s">
        <v>3855</v>
      </c>
      <c r="AD249" s="518" t="s">
        <v>4264</v>
      </c>
      <c r="AE249" s="520" t="s">
        <v>4265</v>
      </c>
      <c r="AF249" s="504" t="s">
        <v>3342</v>
      </c>
      <c r="AG249" s="494" t="s">
        <v>2917</v>
      </c>
      <c r="AH249" s="494" t="s">
        <v>2917</v>
      </c>
      <c r="AI249" s="505"/>
      <c r="AJ249" s="505"/>
      <c r="AK249" s="521">
        <f>_xll.GetCtData("COAMOUNT","CONSAMOUNT",$B$1:$B$7,$B249,AK$9,"#")</f>
        <v>0</v>
      </c>
    </row>
    <row r="250" spans="2:37" ht="12" customHeight="1">
      <c r="B250" s="453" t="s">
        <v>493</v>
      </c>
      <c r="C250" s="482" t="s">
        <v>2929</v>
      </c>
      <c r="D250" s="483">
        <v>44403</v>
      </c>
      <c r="E250" s="484" t="s">
        <v>2930</v>
      </c>
      <c r="F250" s="485">
        <v>7</v>
      </c>
      <c r="G250" s="547"/>
      <c r="H250" s="547"/>
      <c r="I250" s="547"/>
      <c r="J250" s="547"/>
      <c r="K250" s="547"/>
      <c r="L250" s="547"/>
      <c r="M250" s="548"/>
      <c r="N250" s="517" t="s">
        <v>4266</v>
      </c>
      <c r="O250" s="518">
        <v>10</v>
      </c>
      <c r="P250" s="519" t="s">
        <v>676</v>
      </c>
      <c r="Q250" s="489">
        <v>71</v>
      </c>
      <c r="R250" s="519" t="s">
        <v>676</v>
      </c>
      <c r="S250" s="518">
        <f t="shared" si="15"/>
        <v>71</v>
      </c>
      <c r="T250" s="519" t="s">
        <v>4267</v>
      </c>
      <c r="U250" s="518">
        <f t="shared" si="16"/>
        <v>25</v>
      </c>
      <c r="V250" s="519" t="s">
        <v>3852</v>
      </c>
      <c r="W250" s="519" t="s">
        <v>4268</v>
      </c>
      <c r="X250" s="491">
        <f t="shared" si="17"/>
        <v>63</v>
      </c>
      <c r="Y250" s="519" t="s">
        <v>4268</v>
      </c>
      <c r="Z250" s="518">
        <f t="shared" si="18"/>
        <v>63</v>
      </c>
      <c r="AA250" s="519" t="s">
        <v>4269</v>
      </c>
      <c r="AB250" s="518">
        <f t="shared" si="19"/>
        <v>25</v>
      </c>
      <c r="AC250" s="519" t="s">
        <v>3855</v>
      </c>
      <c r="AD250" s="518" t="s">
        <v>4270</v>
      </c>
      <c r="AE250" s="520" t="s">
        <v>4271</v>
      </c>
      <c r="AF250" s="504" t="s">
        <v>3342</v>
      </c>
      <c r="AG250" s="494" t="s">
        <v>2917</v>
      </c>
      <c r="AH250" s="494" t="s">
        <v>2917</v>
      </c>
      <c r="AI250" s="505"/>
      <c r="AJ250" s="505"/>
      <c r="AK250" s="521">
        <f>_xll.GetCtData("COAMOUNT","CONSAMOUNT",$B$1:$B$7,$B250,AK$9,"#")</f>
        <v>0</v>
      </c>
    </row>
    <row r="251" spans="2:37" ht="12" customHeight="1">
      <c r="B251" s="453" t="s">
        <v>4272</v>
      </c>
      <c r="C251" s="482" t="s">
        <v>2911</v>
      </c>
      <c r="D251" s="483">
        <v>44378</v>
      </c>
      <c r="E251" s="484" t="s">
        <v>2912</v>
      </c>
      <c r="F251" s="485">
        <v>5</v>
      </c>
      <c r="G251" s="482"/>
      <c r="H251" s="567"/>
      <c r="I251" s="567"/>
      <c r="J251" s="567"/>
      <c r="K251" s="567"/>
      <c r="L251" s="568" t="s">
        <v>4273</v>
      </c>
      <c r="M251" s="569"/>
      <c r="N251" s="589"/>
      <c r="O251" s="571">
        <v>8</v>
      </c>
      <c r="P251" s="572" t="s">
        <v>4274</v>
      </c>
      <c r="Q251" s="489">
        <v>58</v>
      </c>
      <c r="R251" s="572" t="s">
        <v>4274</v>
      </c>
      <c r="S251" s="571">
        <f t="shared" si="15"/>
        <v>58</v>
      </c>
      <c r="T251" s="572" t="s">
        <v>4275</v>
      </c>
      <c r="U251" s="571">
        <f t="shared" si="16"/>
        <v>23</v>
      </c>
      <c r="V251" s="573" t="s">
        <v>3852</v>
      </c>
      <c r="W251" s="573" t="s">
        <v>4276</v>
      </c>
      <c r="X251" s="491">
        <f t="shared" si="17"/>
        <v>52</v>
      </c>
      <c r="Y251" s="573" t="s">
        <v>4276</v>
      </c>
      <c r="Z251" s="571">
        <f t="shared" si="18"/>
        <v>52</v>
      </c>
      <c r="AA251" s="573" t="s">
        <v>4277</v>
      </c>
      <c r="AB251" s="571">
        <f t="shared" si="19"/>
        <v>23</v>
      </c>
      <c r="AC251" s="573" t="s">
        <v>3855</v>
      </c>
      <c r="AD251" s="571"/>
      <c r="AE251" s="575"/>
      <c r="AF251" s="504"/>
      <c r="AG251" s="494" t="s">
        <v>2917</v>
      </c>
      <c r="AH251" s="495" t="s">
        <v>2918</v>
      </c>
      <c r="AI251" s="505"/>
      <c r="AJ251" s="505"/>
      <c r="AK251" s="576">
        <f>_xll.GetCtData("COAMOUNT","CONSAMOUNT",$B$1:$B$7,$B251,AK$9,"#")</f>
        <v>0</v>
      </c>
    </row>
    <row r="252" spans="2:37" ht="12" customHeight="1">
      <c r="B252" s="453" t="s">
        <v>494</v>
      </c>
      <c r="C252" s="482" t="s">
        <v>2929</v>
      </c>
      <c r="D252" s="483">
        <v>44403</v>
      </c>
      <c r="E252" s="484" t="s">
        <v>2930</v>
      </c>
      <c r="F252" s="485">
        <v>7</v>
      </c>
      <c r="G252" s="517"/>
      <c r="H252" s="517"/>
      <c r="I252" s="517"/>
      <c r="J252" s="517"/>
      <c r="K252" s="517"/>
      <c r="L252" s="517"/>
      <c r="M252" s="399"/>
      <c r="N252" s="517" t="s">
        <v>4278</v>
      </c>
      <c r="O252" s="518">
        <v>10</v>
      </c>
      <c r="P252" s="519" t="s">
        <v>677</v>
      </c>
      <c r="Q252" s="489">
        <v>81</v>
      </c>
      <c r="R252" s="519" t="s">
        <v>4279</v>
      </c>
      <c r="S252" s="518">
        <f t="shared" si="15"/>
        <v>74</v>
      </c>
      <c r="T252" s="519" t="s">
        <v>4280</v>
      </c>
      <c r="U252" s="518">
        <f t="shared" si="16"/>
        <v>29</v>
      </c>
      <c r="V252" s="519" t="s">
        <v>3852</v>
      </c>
      <c r="W252" s="519" t="s">
        <v>4281</v>
      </c>
      <c r="X252" s="491">
        <f t="shared" si="17"/>
        <v>70</v>
      </c>
      <c r="Y252" s="519" t="s">
        <v>4281</v>
      </c>
      <c r="Z252" s="518">
        <f t="shared" si="18"/>
        <v>70</v>
      </c>
      <c r="AA252" s="519" t="s">
        <v>4282</v>
      </c>
      <c r="AB252" s="518">
        <f t="shared" si="19"/>
        <v>26</v>
      </c>
      <c r="AC252" s="519" t="s">
        <v>3855</v>
      </c>
      <c r="AD252" s="518" t="s">
        <v>4245</v>
      </c>
      <c r="AE252" s="520" t="s">
        <v>4246</v>
      </c>
      <c r="AF252" s="504" t="s">
        <v>2939</v>
      </c>
      <c r="AG252" s="494" t="s">
        <v>2917</v>
      </c>
      <c r="AH252" s="494" t="s">
        <v>2917</v>
      </c>
      <c r="AI252" s="505"/>
      <c r="AJ252" s="505"/>
      <c r="AK252" s="521">
        <f>_xll.GetCtData("COAMOUNT","CONSAMOUNT",$B$1:$B$7,$B252,AK$9,"#")</f>
        <v>0</v>
      </c>
    </row>
    <row r="253" spans="2:37" ht="12" customHeight="1">
      <c r="B253" s="453" t="s">
        <v>495</v>
      </c>
      <c r="C253" s="482" t="s">
        <v>2929</v>
      </c>
      <c r="D253" s="483">
        <v>44403</v>
      </c>
      <c r="E253" s="484" t="s">
        <v>2930</v>
      </c>
      <c r="F253" s="485">
        <v>7</v>
      </c>
      <c r="G253" s="517"/>
      <c r="H253" s="517"/>
      <c r="I253" s="517"/>
      <c r="J253" s="517"/>
      <c r="K253" s="517"/>
      <c r="L253" s="517"/>
      <c r="M253" s="399"/>
      <c r="N253" s="517" t="s">
        <v>4283</v>
      </c>
      <c r="O253" s="518">
        <v>10</v>
      </c>
      <c r="P253" s="519" t="s">
        <v>678</v>
      </c>
      <c r="Q253" s="489">
        <v>75</v>
      </c>
      <c r="R253" s="519" t="s">
        <v>4284</v>
      </c>
      <c r="S253" s="518">
        <f t="shared" si="15"/>
        <v>68</v>
      </c>
      <c r="T253" s="519" t="s">
        <v>4285</v>
      </c>
      <c r="U253" s="518">
        <f t="shared" si="16"/>
        <v>28</v>
      </c>
      <c r="V253" s="519" t="s">
        <v>3852</v>
      </c>
      <c r="W253" s="519" t="s">
        <v>4286</v>
      </c>
      <c r="X253" s="491">
        <f t="shared" si="17"/>
        <v>69</v>
      </c>
      <c r="Y253" s="519" t="s">
        <v>4286</v>
      </c>
      <c r="Z253" s="518">
        <f t="shared" si="18"/>
        <v>69</v>
      </c>
      <c r="AA253" s="519" t="s">
        <v>4287</v>
      </c>
      <c r="AB253" s="518">
        <f t="shared" si="19"/>
        <v>30</v>
      </c>
      <c r="AC253" s="519" t="s">
        <v>3855</v>
      </c>
      <c r="AD253" s="518" t="s">
        <v>4252</v>
      </c>
      <c r="AE253" s="520" t="s">
        <v>4253</v>
      </c>
      <c r="AF253" s="504" t="s">
        <v>2939</v>
      </c>
      <c r="AG253" s="494" t="s">
        <v>2917</v>
      </c>
      <c r="AH253" s="494" t="s">
        <v>2917</v>
      </c>
      <c r="AI253" s="505"/>
      <c r="AJ253" s="505"/>
      <c r="AK253" s="521">
        <f>_xll.GetCtData("COAMOUNT","CONSAMOUNT",$B$1:$B$7,$B253,AK$9,"#")</f>
        <v>0</v>
      </c>
    </row>
    <row r="254" spans="2:37" ht="12" customHeight="1">
      <c r="B254" s="453" t="s">
        <v>496</v>
      </c>
      <c r="C254" s="482" t="s">
        <v>2929</v>
      </c>
      <c r="D254" s="483">
        <v>44403</v>
      </c>
      <c r="E254" s="484" t="s">
        <v>2930</v>
      </c>
      <c r="F254" s="485">
        <v>7</v>
      </c>
      <c r="G254" s="517"/>
      <c r="H254" s="517"/>
      <c r="I254" s="517"/>
      <c r="J254" s="517"/>
      <c r="K254" s="517"/>
      <c r="L254" s="517"/>
      <c r="M254" s="399"/>
      <c r="N254" s="517" t="s">
        <v>4288</v>
      </c>
      <c r="O254" s="518">
        <v>10</v>
      </c>
      <c r="P254" s="519" t="s">
        <v>679</v>
      </c>
      <c r="Q254" s="489">
        <v>99</v>
      </c>
      <c r="R254" s="519" t="s">
        <v>679</v>
      </c>
      <c r="S254" s="518">
        <f t="shared" si="15"/>
        <v>99</v>
      </c>
      <c r="T254" s="519" t="s">
        <v>4289</v>
      </c>
      <c r="U254" s="518">
        <f t="shared" si="16"/>
        <v>30</v>
      </c>
      <c r="V254" s="519" t="s">
        <v>3852</v>
      </c>
      <c r="W254" s="519" t="s">
        <v>4290</v>
      </c>
      <c r="X254" s="491">
        <f t="shared" si="17"/>
        <v>106</v>
      </c>
      <c r="Y254" s="519" t="s">
        <v>4290</v>
      </c>
      <c r="Z254" s="518">
        <f t="shared" si="18"/>
        <v>106</v>
      </c>
      <c r="AA254" s="519" t="s">
        <v>4291</v>
      </c>
      <c r="AB254" s="518">
        <f t="shared" si="19"/>
        <v>27</v>
      </c>
      <c r="AC254" s="519" t="s">
        <v>3855</v>
      </c>
      <c r="AD254" s="518" t="s">
        <v>4258</v>
      </c>
      <c r="AE254" s="520" t="s">
        <v>4259</v>
      </c>
      <c r="AF254" s="504" t="s">
        <v>2939</v>
      </c>
      <c r="AG254" s="494" t="s">
        <v>2917</v>
      </c>
      <c r="AH254" s="494" t="s">
        <v>2917</v>
      </c>
      <c r="AI254" s="505"/>
      <c r="AJ254" s="505"/>
      <c r="AK254" s="521">
        <f>_xll.GetCtData("COAMOUNT","CONSAMOUNT",$B$1:$B$7,$B254,AK$9,"#")</f>
        <v>0</v>
      </c>
    </row>
    <row r="255" spans="2:37" ht="12" customHeight="1">
      <c r="B255" s="453" t="s">
        <v>497</v>
      </c>
      <c r="C255" s="482" t="s">
        <v>2929</v>
      </c>
      <c r="D255" s="483">
        <v>44403</v>
      </c>
      <c r="E255" s="484" t="s">
        <v>2930</v>
      </c>
      <c r="F255" s="485">
        <v>7</v>
      </c>
      <c r="G255" s="517"/>
      <c r="H255" s="517"/>
      <c r="I255" s="517"/>
      <c r="J255" s="517"/>
      <c r="K255" s="517"/>
      <c r="L255" s="517"/>
      <c r="M255" s="399"/>
      <c r="N255" s="517" t="s">
        <v>4292</v>
      </c>
      <c r="O255" s="518">
        <v>10</v>
      </c>
      <c r="P255" s="519" t="s">
        <v>680</v>
      </c>
      <c r="Q255" s="489">
        <v>65</v>
      </c>
      <c r="R255" s="519" t="s">
        <v>680</v>
      </c>
      <c r="S255" s="518">
        <f t="shared" si="15"/>
        <v>65</v>
      </c>
      <c r="T255" s="519" t="s">
        <v>4293</v>
      </c>
      <c r="U255" s="518">
        <f t="shared" si="16"/>
        <v>27</v>
      </c>
      <c r="V255" s="519" t="s">
        <v>3852</v>
      </c>
      <c r="W255" s="519" t="s">
        <v>4294</v>
      </c>
      <c r="X255" s="491">
        <f t="shared" si="17"/>
        <v>71</v>
      </c>
      <c r="Y255" s="519" t="s">
        <v>4294</v>
      </c>
      <c r="Z255" s="518">
        <f t="shared" si="18"/>
        <v>71</v>
      </c>
      <c r="AA255" s="519" t="s">
        <v>4149</v>
      </c>
      <c r="AB255" s="518">
        <f t="shared" si="19"/>
        <v>30</v>
      </c>
      <c r="AC255" s="519" t="s">
        <v>3855</v>
      </c>
      <c r="AD255" s="518" t="s">
        <v>4264</v>
      </c>
      <c r="AE255" s="520" t="s">
        <v>4265</v>
      </c>
      <c r="AF255" s="504" t="s">
        <v>2939</v>
      </c>
      <c r="AG255" s="494" t="s">
        <v>2917</v>
      </c>
      <c r="AH255" s="494" t="s">
        <v>2917</v>
      </c>
      <c r="AI255" s="505"/>
      <c r="AJ255" s="505"/>
      <c r="AK255" s="521">
        <f>_xll.GetCtData("COAMOUNT","CONSAMOUNT",$B$1:$B$7,$B255,AK$9,"#")</f>
        <v>0</v>
      </c>
    </row>
    <row r="256" spans="2:37" ht="12" customHeight="1">
      <c r="B256" s="453" t="s">
        <v>498</v>
      </c>
      <c r="C256" s="482" t="s">
        <v>2929</v>
      </c>
      <c r="D256" s="483">
        <v>44403</v>
      </c>
      <c r="E256" s="484" t="s">
        <v>2930</v>
      </c>
      <c r="F256" s="485">
        <v>7</v>
      </c>
      <c r="G256" s="517"/>
      <c r="H256" s="517"/>
      <c r="I256" s="517"/>
      <c r="J256" s="517"/>
      <c r="K256" s="517"/>
      <c r="L256" s="517"/>
      <c r="M256" s="399"/>
      <c r="N256" s="517" t="s">
        <v>4295</v>
      </c>
      <c r="O256" s="518">
        <v>10</v>
      </c>
      <c r="P256" s="519" t="s">
        <v>681</v>
      </c>
      <c r="Q256" s="489">
        <v>73</v>
      </c>
      <c r="R256" s="519" t="s">
        <v>681</v>
      </c>
      <c r="S256" s="518">
        <f t="shared" si="15"/>
        <v>73</v>
      </c>
      <c r="T256" s="519" t="s">
        <v>4296</v>
      </c>
      <c r="U256" s="518">
        <f t="shared" si="16"/>
        <v>27</v>
      </c>
      <c r="V256" s="519" t="s">
        <v>3852</v>
      </c>
      <c r="W256" s="519" t="s">
        <v>4297</v>
      </c>
      <c r="X256" s="491">
        <f t="shared" si="17"/>
        <v>65</v>
      </c>
      <c r="Y256" s="519" t="s">
        <v>4297</v>
      </c>
      <c r="Z256" s="518">
        <f t="shared" si="18"/>
        <v>65</v>
      </c>
      <c r="AA256" s="519" t="s">
        <v>4298</v>
      </c>
      <c r="AB256" s="518">
        <f t="shared" si="19"/>
        <v>27</v>
      </c>
      <c r="AC256" s="519" t="s">
        <v>3855</v>
      </c>
      <c r="AD256" s="518" t="s">
        <v>4270</v>
      </c>
      <c r="AE256" s="520" t="s">
        <v>4271</v>
      </c>
      <c r="AF256" s="504" t="s">
        <v>2939</v>
      </c>
      <c r="AG256" s="494" t="s">
        <v>2917</v>
      </c>
      <c r="AH256" s="494" t="s">
        <v>2917</v>
      </c>
      <c r="AI256" s="505"/>
      <c r="AJ256" s="505"/>
      <c r="AK256" s="521">
        <f>_xll.GetCtData("COAMOUNT","CONSAMOUNT",$B$1:$B$7,$B256,AK$9,"#")</f>
        <v>0</v>
      </c>
    </row>
    <row r="257" spans="2:37" ht="12" customHeight="1">
      <c r="B257" s="453" t="s">
        <v>958</v>
      </c>
      <c r="C257" s="482" t="s">
        <v>2911</v>
      </c>
      <c r="D257" s="483">
        <v>44378</v>
      </c>
      <c r="E257" s="484" t="s">
        <v>2912</v>
      </c>
      <c r="F257" s="485">
        <v>4</v>
      </c>
      <c r="G257" s="482"/>
      <c r="H257" s="507"/>
      <c r="I257" s="507"/>
      <c r="J257" s="507"/>
      <c r="K257" s="564" t="s">
        <v>4299</v>
      </c>
      <c r="L257" s="564"/>
      <c r="M257" s="565"/>
      <c r="N257" s="588"/>
      <c r="O257" s="558">
        <v>7</v>
      </c>
      <c r="P257" s="559" t="s">
        <v>2605</v>
      </c>
      <c r="Q257" s="489">
        <v>33</v>
      </c>
      <c r="R257" s="559" t="s">
        <v>2605</v>
      </c>
      <c r="S257" s="558">
        <f t="shared" si="15"/>
        <v>33</v>
      </c>
      <c r="T257" s="559" t="s">
        <v>4300</v>
      </c>
      <c r="U257" s="558">
        <f t="shared" si="16"/>
        <v>17</v>
      </c>
      <c r="V257" s="560" t="s">
        <v>3852</v>
      </c>
      <c r="W257" s="560" t="s">
        <v>4301</v>
      </c>
      <c r="X257" s="491">
        <f t="shared" si="17"/>
        <v>35</v>
      </c>
      <c r="Y257" s="560" t="s">
        <v>4301</v>
      </c>
      <c r="Z257" s="558">
        <f t="shared" si="18"/>
        <v>35</v>
      </c>
      <c r="AA257" s="560" t="s">
        <v>4302</v>
      </c>
      <c r="AB257" s="558">
        <f t="shared" si="19"/>
        <v>16</v>
      </c>
      <c r="AC257" s="560" t="s">
        <v>3855</v>
      </c>
      <c r="AD257" s="558"/>
      <c r="AE257" s="562"/>
      <c r="AF257" s="504"/>
      <c r="AG257" s="494" t="s">
        <v>2917</v>
      </c>
      <c r="AH257" s="495" t="s">
        <v>2918</v>
      </c>
      <c r="AI257" s="505"/>
      <c r="AJ257" s="505"/>
      <c r="AK257" s="563">
        <f>_xll.GetCtData("COAMOUNT","CONSAMOUNT",$B$1:$B$7,$B257,AK$9,"#")</f>
        <v>0</v>
      </c>
    </row>
    <row r="258" spans="2:37" ht="12" customHeight="1">
      <c r="B258" s="453" t="s">
        <v>4303</v>
      </c>
      <c r="C258" s="482" t="s">
        <v>2911</v>
      </c>
      <c r="D258" s="483">
        <v>44378</v>
      </c>
      <c r="E258" s="484" t="s">
        <v>2912</v>
      </c>
      <c r="F258" s="485">
        <v>5</v>
      </c>
      <c r="G258" s="482"/>
      <c r="H258" s="567"/>
      <c r="I258" s="567"/>
      <c r="J258" s="567"/>
      <c r="K258" s="567"/>
      <c r="L258" s="568" t="s">
        <v>4304</v>
      </c>
      <c r="M258" s="569"/>
      <c r="N258" s="589"/>
      <c r="O258" s="571">
        <v>8</v>
      </c>
      <c r="P258" s="572" t="s">
        <v>4305</v>
      </c>
      <c r="Q258" s="489">
        <v>38</v>
      </c>
      <c r="R258" s="572" t="s">
        <v>4305</v>
      </c>
      <c r="S258" s="571">
        <f t="shared" si="15"/>
        <v>38</v>
      </c>
      <c r="T258" s="572" t="s">
        <v>4306</v>
      </c>
      <c r="U258" s="571">
        <f t="shared" si="16"/>
        <v>20</v>
      </c>
      <c r="V258" s="573" t="s">
        <v>3852</v>
      </c>
      <c r="W258" s="573" t="s">
        <v>4307</v>
      </c>
      <c r="X258" s="491">
        <f t="shared" si="17"/>
        <v>40</v>
      </c>
      <c r="Y258" s="573" t="s">
        <v>4307</v>
      </c>
      <c r="Z258" s="571">
        <f t="shared" si="18"/>
        <v>40</v>
      </c>
      <c r="AA258" s="573" t="s">
        <v>4308</v>
      </c>
      <c r="AB258" s="571">
        <f t="shared" si="19"/>
        <v>19</v>
      </c>
      <c r="AC258" s="573" t="s">
        <v>3855</v>
      </c>
      <c r="AD258" s="571"/>
      <c r="AE258" s="575"/>
      <c r="AF258" s="504"/>
      <c r="AG258" s="494" t="s">
        <v>2917</v>
      </c>
      <c r="AH258" s="495" t="s">
        <v>2918</v>
      </c>
      <c r="AI258" s="505"/>
      <c r="AJ258" s="505"/>
      <c r="AK258" s="576">
        <f>_xll.GetCtData("COAMOUNT","CONSAMOUNT",$B$1:$B$7,$B258,AK$9,"#")</f>
        <v>0</v>
      </c>
    </row>
    <row r="259" spans="2:37" ht="12" customHeight="1">
      <c r="B259" s="453" t="s">
        <v>499</v>
      </c>
      <c r="C259" s="482" t="s">
        <v>2929</v>
      </c>
      <c r="D259" s="483">
        <v>44403</v>
      </c>
      <c r="E259" s="484" t="s">
        <v>2930</v>
      </c>
      <c r="F259" s="485">
        <v>7</v>
      </c>
      <c r="G259" s="547"/>
      <c r="H259" s="547"/>
      <c r="I259" s="547"/>
      <c r="J259" s="547"/>
      <c r="K259" s="547"/>
      <c r="L259" s="547"/>
      <c r="M259" s="548"/>
      <c r="N259" s="517" t="s">
        <v>4309</v>
      </c>
      <c r="O259" s="518">
        <v>10</v>
      </c>
      <c r="P259" s="519" t="s">
        <v>682</v>
      </c>
      <c r="Q259" s="489">
        <v>61</v>
      </c>
      <c r="R259" s="519" t="s">
        <v>4310</v>
      </c>
      <c r="S259" s="518">
        <f t="shared" si="15"/>
        <v>54</v>
      </c>
      <c r="T259" s="519" t="s">
        <v>4311</v>
      </c>
      <c r="U259" s="518">
        <f t="shared" si="16"/>
        <v>26</v>
      </c>
      <c r="V259" s="519" t="s">
        <v>3852</v>
      </c>
      <c r="W259" s="519" t="s">
        <v>4312</v>
      </c>
      <c r="X259" s="491">
        <f t="shared" si="17"/>
        <v>58</v>
      </c>
      <c r="Y259" s="519" t="s">
        <v>4312</v>
      </c>
      <c r="Z259" s="518">
        <f t="shared" si="18"/>
        <v>58</v>
      </c>
      <c r="AA259" s="519" t="s">
        <v>4313</v>
      </c>
      <c r="AB259" s="518">
        <f t="shared" si="19"/>
        <v>22</v>
      </c>
      <c r="AC259" s="519" t="s">
        <v>3855</v>
      </c>
      <c r="AD259" s="518" t="s">
        <v>4314</v>
      </c>
      <c r="AE259" s="520" t="s">
        <v>4315</v>
      </c>
      <c r="AF259" s="504" t="s">
        <v>3279</v>
      </c>
      <c r="AG259" s="494" t="s">
        <v>2917</v>
      </c>
      <c r="AH259" s="494" t="s">
        <v>2917</v>
      </c>
      <c r="AI259" s="505"/>
      <c r="AJ259" s="505"/>
      <c r="AK259" s="521">
        <f>_xll.GetCtData("COAMOUNT","CONSAMOUNT",$B$1:$B$7,$B259,AK$9,"#")</f>
        <v>0</v>
      </c>
    </row>
    <row r="260" spans="2:37" ht="12" customHeight="1">
      <c r="B260" s="453" t="s">
        <v>500</v>
      </c>
      <c r="C260" s="482" t="s">
        <v>2929</v>
      </c>
      <c r="D260" s="483">
        <v>44403</v>
      </c>
      <c r="E260" s="484" t="s">
        <v>2930</v>
      </c>
      <c r="F260" s="485">
        <v>7</v>
      </c>
      <c r="G260" s="547"/>
      <c r="H260" s="547"/>
      <c r="I260" s="547"/>
      <c r="J260" s="547"/>
      <c r="K260" s="547"/>
      <c r="L260" s="547"/>
      <c r="M260" s="548"/>
      <c r="N260" s="517" t="s">
        <v>4316</v>
      </c>
      <c r="O260" s="518">
        <v>10</v>
      </c>
      <c r="P260" s="519" t="s">
        <v>683</v>
      </c>
      <c r="Q260" s="489">
        <v>55</v>
      </c>
      <c r="R260" s="519" t="s">
        <v>4317</v>
      </c>
      <c r="S260" s="518">
        <f t="shared" si="15"/>
        <v>48</v>
      </c>
      <c r="T260" s="519" t="s">
        <v>4318</v>
      </c>
      <c r="U260" s="518">
        <f t="shared" si="16"/>
        <v>25</v>
      </c>
      <c r="V260" s="519" t="s">
        <v>3852</v>
      </c>
      <c r="W260" s="519" t="s">
        <v>4319</v>
      </c>
      <c r="X260" s="491">
        <f t="shared" si="17"/>
        <v>57</v>
      </c>
      <c r="Y260" s="519" t="s">
        <v>4319</v>
      </c>
      <c r="Z260" s="518">
        <f t="shared" si="18"/>
        <v>57</v>
      </c>
      <c r="AA260" s="519" t="s">
        <v>4320</v>
      </c>
      <c r="AB260" s="518">
        <f t="shared" si="19"/>
        <v>25</v>
      </c>
      <c r="AC260" s="519" t="s">
        <v>3855</v>
      </c>
      <c r="AD260" s="518" t="s">
        <v>4321</v>
      </c>
      <c r="AE260" s="520" t="s">
        <v>4322</v>
      </c>
      <c r="AF260" s="504" t="s">
        <v>3279</v>
      </c>
      <c r="AG260" s="494" t="s">
        <v>2917</v>
      </c>
      <c r="AH260" s="494" t="s">
        <v>2917</v>
      </c>
      <c r="AI260" s="505"/>
      <c r="AJ260" s="505"/>
      <c r="AK260" s="521">
        <f>_xll.GetCtData("COAMOUNT","CONSAMOUNT",$B$1:$B$7,$B260,AK$9,"#")</f>
        <v>0</v>
      </c>
    </row>
    <row r="261" spans="2:37" ht="12" customHeight="1">
      <c r="B261" s="453" t="s">
        <v>501</v>
      </c>
      <c r="C261" s="482" t="s">
        <v>2929</v>
      </c>
      <c r="D261" s="483">
        <v>44403</v>
      </c>
      <c r="E261" s="484" t="s">
        <v>2930</v>
      </c>
      <c r="F261" s="485">
        <v>7</v>
      </c>
      <c r="G261" s="547"/>
      <c r="H261" s="547"/>
      <c r="I261" s="547"/>
      <c r="J261" s="547"/>
      <c r="K261" s="547"/>
      <c r="L261" s="547"/>
      <c r="M261" s="548"/>
      <c r="N261" s="517" t="s">
        <v>4323</v>
      </c>
      <c r="O261" s="518">
        <v>10</v>
      </c>
      <c r="P261" s="519" t="s">
        <v>684</v>
      </c>
      <c r="Q261" s="489">
        <v>79</v>
      </c>
      <c r="R261" s="519" t="s">
        <v>684</v>
      </c>
      <c r="S261" s="518">
        <f t="shared" si="15"/>
        <v>79</v>
      </c>
      <c r="T261" s="519" t="s">
        <v>4324</v>
      </c>
      <c r="U261" s="518">
        <f t="shared" si="16"/>
        <v>27</v>
      </c>
      <c r="V261" s="519" t="s">
        <v>3852</v>
      </c>
      <c r="W261" s="519" t="s">
        <v>4325</v>
      </c>
      <c r="X261" s="491">
        <f t="shared" si="17"/>
        <v>95</v>
      </c>
      <c r="Y261" s="519" t="s">
        <v>4325</v>
      </c>
      <c r="Z261" s="518">
        <f t="shared" si="18"/>
        <v>95</v>
      </c>
      <c r="AA261" s="519" t="s">
        <v>4326</v>
      </c>
      <c r="AB261" s="518">
        <f t="shared" si="19"/>
        <v>23</v>
      </c>
      <c r="AC261" s="519" t="s">
        <v>3855</v>
      </c>
      <c r="AD261" s="518" t="s">
        <v>4314</v>
      </c>
      <c r="AE261" s="520" t="s">
        <v>4315</v>
      </c>
      <c r="AF261" s="504" t="s">
        <v>3279</v>
      </c>
      <c r="AG261" s="494" t="s">
        <v>2917</v>
      </c>
      <c r="AH261" s="494" t="s">
        <v>2917</v>
      </c>
      <c r="AI261" s="505"/>
      <c r="AJ261" s="505"/>
      <c r="AK261" s="521">
        <f>_xll.GetCtData("COAMOUNT","CONSAMOUNT",$B$1:$B$7,$B261,AK$9,"#")</f>
        <v>0</v>
      </c>
    </row>
    <row r="262" spans="2:37" ht="12" customHeight="1">
      <c r="B262" s="453" t="s">
        <v>502</v>
      </c>
      <c r="C262" s="482" t="s">
        <v>2929</v>
      </c>
      <c r="D262" s="483">
        <v>44403</v>
      </c>
      <c r="E262" s="484" t="s">
        <v>2930</v>
      </c>
      <c r="F262" s="485">
        <v>7</v>
      </c>
      <c r="G262" s="547"/>
      <c r="H262" s="547"/>
      <c r="I262" s="547"/>
      <c r="J262" s="547"/>
      <c r="K262" s="547"/>
      <c r="L262" s="547"/>
      <c r="M262" s="548"/>
      <c r="N262" s="517" t="s">
        <v>4327</v>
      </c>
      <c r="O262" s="518">
        <v>10</v>
      </c>
      <c r="P262" s="519" t="s">
        <v>685</v>
      </c>
      <c r="Q262" s="489">
        <v>45</v>
      </c>
      <c r="R262" s="519" t="s">
        <v>685</v>
      </c>
      <c r="S262" s="518">
        <f t="shared" si="15"/>
        <v>45</v>
      </c>
      <c r="T262" s="519" t="s">
        <v>4328</v>
      </c>
      <c r="U262" s="518">
        <f t="shared" si="16"/>
        <v>24</v>
      </c>
      <c r="V262" s="519" t="s">
        <v>3852</v>
      </c>
      <c r="W262" s="519" t="s">
        <v>4329</v>
      </c>
      <c r="X262" s="491">
        <f t="shared" si="17"/>
        <v>59</v>
      </c>
      <c r="Y262" s="519" t="s">
        <v>4329</v>
      </c>
      <c r="Z262" s="518">
        <f t="shared" si="18"/>
        <v>59</v>
      </c>
      <c r="AA262" s="519" t="s">
        <v>4330</v>
      </c>
      <c r="AB262" s="518">
        <f t="shared" si="19"/>
        <v>26</v>
      </c>
      <c r="AC262" s="519" t="s">
        <v>3855</v>
      </c>
      <c r="AD262" s="518" t="s">
        <v>4331</v>
      </c>
      <c r="AE262" s="520" t="s">
        <v>4332</v>
      </c>
      <c r="AF262" s="504" t="s">
        <v>3279</v>
      </c>
      <c r="AG262" s="494" t="s">
        <v>2917</v>
      </c>
      <c r="AH262" s="494" t="s">
        <v>2917</v>
      </c>
      <c r="AI262" s="505"/>
      <c r="AJ262" s="505"/>
      <c r="AK262" s="521">
        <f>_xll.GetCtData("COAMOUNT","CONSAMOUNT",$B$1:$B$7,$B262,AK$9,"#")</f>
        <v>0</v>
      </c>
    </row>
    <row r="263" spans="2:37" ht="12" customHeight="1">
      <c r="B263" s="453" t="s">
        <v>503</v>
      </c>
      <c r="C263" s="482" t="s">
        <v>2929</v>
      </c>
      <c r="D263" s="483">
        <v>44403</v>
      </c>
      <c r="E263" s="484" t="s">
        <v>2930</v>
      </c>
      <c r="F263" s="485">
        <v>7</v>
      </c>
      <c r="G263" s="547"/>
      <c r="H263" s="547"/>
      <c r="I263" s="547"/>
      <c r="J263" s="547"/>
      <c r="K263" s="547"/>
      <c r="L263" s="547"/>
      <c r="M263" s="548"/>
      <c r="N263" s="517" t="s">
        <v>4333</v>
      </c>
      <c r="O263" s="518">
        <v>10</v>
      </c>
      <c r="P263" s="519" t="s">
        <v>686</v>
      </c>
      <c r="Q263" s="489">
        <v>53</v>
      </c>
      <c r="R263" s="519" t="s">
        <v>686</v>
      </c>
      <c r="S263" s="518">
        <f t="shared" si="15"/>
        <v>53</v>
      </c>
      <c r="T263" s="519" t="s">
        <v>4334</v>
      </c>
      <c r="U263" s="518">
        <f t="shared" si="16"/>
        <v>24</v>
      </c>
      <c r="V263" s="519" t="s">
        <v>3852</v>
      </c>
      <c r="W263" s="519" t="s">
        <v>4335</v>
      </c>
      <c r="X263" s="491">
        <f t="shared" si="17"/>
        <v>56</v>
      </c>
      <c r="Y263" s="519" t="s">
        <v>4336</v>
      </c>
      <c r="Z263" s="518">
        <f t="shared" si="18"/>
        <v>53</v>
      </c>
      <c r="AA263" s="519" t="s">
        <v>4337</v>
      </c>
      <c r="AB263" s="518">
        <f t="shared" si="19"/>
        <v>26</v>
      </c>
      <c r="AC263" s="519" t="s">
        <v>3855</v>
      </c>
      <c r="AD263" s="518" t="s">
        <v>4338</v>
      </c>
      <c r="AE263" s="520" t="s">
        <v>4339</v>
      </c>
      <c r="AF263" s="504" t="s">
        <v>3279</v>
      </c>
      <c r="AG263" s="494" t="s">
        <v>2917</v>
      </c>
      <c r="AH263" s="494" t="s">
        <v>2917</v>
      </c>
      <c r="AI263" s="505"/>
      <c r="AJ263" s="505"/>
      <c r="AK263" s="521">
        <f>_xll.GetCtData("COAMOUNT","CONSAMOUNT",$B$1:$B$7,$B263,AK$9,"#")</f>
        <v>0</v>
      </c>
    </row>
    <row r="264" spans="2:37" ht="12" customHeight="1">
      <c r="B264" s="453" t="s">
        <v>4340</v>
      </c>
      <c r="C264" s="482" t="s">
        <v>2911</v>
      </c>
      <c r="D264" s="483">
        <v>44378</v>
      </c>
      <c r="E264" s="484" t="s">
        <v>2912</v>
      </c>
      <c r="F264" s="485">
        <v>5</v>
      </c>
      <c r="G264" s="482"/>
      <c r="H264" s="567"/>
      <c r="I264" s="567"/>
      <c r="J264" s="567"/>
      <c r="K264" s="567"/>
      <c r="L264" s="568" t="s">
        <v>4341</v>
      </c>
      <c r="M264" s="569"/>
      <c r="N264" s="589"/>
      <c r="O264" s="571">
        <v>8</v>
      </c>
      <c r="P264" s="572" t="s">
        <v>4342</v>
      </c>
      <c r="Q264" s="489">
        <v>38</v>
      </c>
      <c r="R264" s="572" t="s">
        <v>4342</v>
      </c>
      <c r="S264" s="571">
        <f t="shared" si="15"/>
        <v>38</v>
      </c>
      <c r="T264" s="572" t="s">
        <v>4343</v>
      </c>
      <c r="U264" s="571">
        <f t="shared" si="16"/>
        <v>20</v>
      </c>
      <c r="V264" s="573" t="s">
        <v>3852</v>
      </c>
      <c r="W264" s="573" t="s">
        <v>4344</v>
      </c>
      <c r="X264" s="491">
        <f t="shared" si="17"/>
        <v>40</v>
      </c>
      <c r="Y264" s="573" t="s">
        <v>4344</v>
      </c>
      <c r="Z264" s="571">
        <f t="shared" si="18"/>
        <v>40</v>
      </c>
      <c r="AA264" s="573" t="s">
        <v>4345</v>
      </c>
      <c r="AB264" s="571">
        <f t="shared" si="19"/>
        <v>19</v>
      </c>
      <c r="AC264" s="573" t="s">
        <v>3855</v>
      </c>
      <c r="AD264" s="571"/>
      <c r="AE264" s="575"/>
      <c r="AF264" s="504"/>
      <c r="AG264" s="494" t="s">
        <v>2917</v>
      </c>
      <c r="AH264" s="495" t="s">
        <v>2918</v>
      </c>
      <c r="AI264" s="505"/>
      <c r="AJ264" s="505"/>
      <c r="AK264" s="576">
        <f>_xll.GetCtData("COAMOUNT","CONSAMOUNT",$B$1:$B$7,$B264,AK$9,"#")</f>
        <v>0</v>
      </c>
    </row>
    <row r="265" spans="2:37" ht="12" customHeight="1">
      <c r="B265" s="453" t="s">
        <v>504</v>
      </c>
      <c r="C265" s="482" t="s">
        <v>2929</v>
      </c>
      <c r="D265" s="483">
        <v>44403</v>
      </c>
      <c r="E265" s="484" t="s">
        <v>2930</v>
      </c>
      <c r="F265" s="485">
        <v>7</v>
      </c>
      <c r="G265" s="547"/>
      <c r="H265" s="547"/>
      <c r="I265" s="547"/>
      <c r="J265" s="547"/>
      <c r="K265" s="547"/>
      <c r="L265" s="547"/>
      <c r="M265" s="548"/>
      <c r="N265" s="517" t="s">
        <v>4346</v>
      </c>
      <c r="O265" s="518">
        <v>10</v>
      </c>
      <c r="P265" s="519" t="s">
        <v>687</v>
      </c>
      <c r="Q265" s="489">
        <v>61</v>
      </c>
      <c r="R265" s="519" t="s">
        <v>4347</v>
      </c>
      <c r="S265" s="518">
        <f t="shared" si="15"/>
        <v>54</v>
      </c>
      <c r="T265" s="519" t="s">
        <v>4348</v>
      </c>
      <c r="U265" s="518">
        <f t="shared" si="16"/>
        <v>26</v>
      </c>
      <c r="V265" s="519" t="s">
        <v>3852</v>
      </c>
      <c r="W265" s="519" t="s">
        <v>4349</v>
      </c>
      <c r="X265" s="491">
        <f t="shared" si="17"/>
        <v>58</v>
      </c>
      <c r="Y265" s="519" t="s">
        <v>4349</v>
      </c>
      <c r="Z265" s="518">
        <f t="shared" si="18"/>
        <v>58</v>
      </c>
      <c r="AA265" s="519" t="s">
        <v>4350</v>
      </c>
      <c r="AB265" s="518">
        <f t="shared" si="19"/>
        <v>22</v>
      </c>
      <c r="AC265" s="519" t="s">
        <v>3855</v>
      </c>
      <c r="AD265" s="518" t="s">
        <v>4351</v>
      </c>
      <c r="AE265" s="520" t="s">
        <v>4352</v>
      </c>
      <c r="AF265" s="504" t="s">
        <v>3279</v>
      </c>
      <c r="AG265" s="494" t="s">
        <v>2917</v>
      </c>
      <c r="AH265" s="494" t="s">
        <v>2917</v>
      </c>
      <c r="AI265" s="505"/>
      <c r="AJ265" s="505"/>
      <c r="AK265" s="521">
        <f>_xll.GetCtData("COAMOUNT","CONSAMOUNT",$B$1:$B$7,$B265,AK$9,"#")</f>
        <v>0</v>
      </c>
    </row>
    <row r="266" spans="2:37" ht="12" customHeight="1">
      <c r="B266" s="453" t="s">
        <v>505</v>
      </c>
      <c r="C266" s="482" t="s">
        <v>2929</v>
      </c>
      <c r="D266" s="483">
        <v>44403</v>
      </c>
      <c r="E266" s="484" t="s">
        <v>2930</v>
      </c>
      <c r="F266" s="485">
        <v>7</v>
      </c>
      <c r="G266" s="547"/>
      <c r="H266" s="547"/>
      <c r="I266" s="547"/>
      <c r="J266" s="547"/>
      <c r="K266" s="547"/>
      <c r="L266" s="547"/>
      <c r="M266" s="548"/>
      <c r="N266" s="517" t="s">
        <v>4353</v>
      </c>
      <c r="O266" s="518">
        <v>10</v>
      </c>
      <c r="P266" s="519" t="s">
        <v>688</v>
      </c>
      <c r="Q266" s="489">
        <v>55</v>
      </c>
      <c r="R266" s="519" t="s">
        <v>4354</v>
      </c>
      <c r="S266" s="518">
        <f t="shared" si="15"/>
        <v>48</v>
      </c>
      <c r="T266" s="519" t="s">
        <v>4355</v>
      </c>
      <c r="U266" s="518">
        <f t="shared" si="16"/>
        <v>26</v>
      </c>
      <c r="V266" s="519" t="s">
        <v>3852</v>
      </c>
      <c r="W266" s="519" t="s">
        <v>4356</v>
      </c>
      <c r="X266" s="491">
        <f t="shared" si="17"/>
        <v>57</v>
      </c>
      <c r="Y266" s="519" t="s">
        <v>4356</v>
      </c>
      <c r="Z266" s="518">
        <f t="shared" si="18"/>
        <v>57</v>
      </c>
      <c r="AA266" s="519" t="s">
        <v>4357</v>
      </c>
      <c r="AB266" s="518">
        <f t="shared" si="19"/>
        <v>25</v>
      </c>
      <c r="AC266" s="519" t="s">
        <v>3855</v>
      </c>
      <c r="AD266" s="518" t="s">
        <v>4358</v>
      </c>
      <c r="AE266" s="520" t="s">
        <v>4359</v>
      </c>
      <c r="AF266" s="504" t="s">
        <v>3279</v>
      </c>
      <c r="AG266" s="494" t="s">
        <v>2917</v>
      </c>
      <c r="AH266" s="494" t="s">
        <v>2917</v>
      </c>
      <c r="AI266" s="505"/>
      <c r="AJ266" s="505"/>
      <c r="AK266" s="521">
        <f>_xll.GetCtData("COAMOUNT","CONSAMOUNT",$B$1:$B$7,$B266,AK$9,"#")</f>
        <v>0</v>
      </c>
    </row>
    <row r="267" spans="2:37" ht="12" customHeight="1">
      <c r="B267" s="453" t="s">
        <v>506</v>
      </c>
      <c r="C267" s="482" t="s">
        <v>2929</v>
      </c>
      <c r="D267" s="483">
        <v>44403</v>
      </c>
      <c r="E267" s="484" t="s">
        <v>2930</v>
      </c>
      <c r="F267" s="485">
        <v>7</v>
      </c>
      <c r="G267" s="547"/>
      <c r="H267" s="547"/>
      <c r="I267" s="547"/>
      <c r="J267" s="547"/>
      <c r="K267" s="547"/>
      <c r="L267" s="547"/>
      <c r="M267" s="548"/>
      <c r="N267" s="517" t="s">
        <v>4360</v>
      </c>
      <c r="O267" s="518">
        <v>10</v>
      </c>
      <c r="P267" s="519" t="s">
        <v>689</v>
      </c>
      <c r="Q267" s="489">
        <v>79</v>
      </c>
      <c r="R267" s="519" t="s">
        <v>689</v>
      </c>
      <c r="S267" s="518">
        <f t="shared" si="15"/>
        <v>79</v>
      </c>
      <c r="T267" s="519" t="s">
        <v>4361</v>
      </c>
      <c r="U267" s="518">
        <f t="shared" si="16"/>
        <v>27</v>
      </c>
      <c r="V267" s="519" t="s">
        <v>3852</v>
      </c>
      <c r="W267" s="519" t="s">
        <v>4362</v>
      </c>
      <c r="X267" s="491">
        <f t="shared" si="17"/>
        <v>95</v>
      </c>
      <c r="Y267" s="519" t="s">
        <v>4362</v>
      </c>
      <c r="Z267" s="518">
        <f t="shared" si="18"/>
        <v>95</v>
      </c>
      <c r="AA267" s="519" t="s">
        <v>4363</v>
      </c>
      <c r="AB267" s="518">
        <f t="shared" si="19"/>
        <v>23</v>
      </c>
      <c r="AC267" s="519" t="s">
        <v>3855</v>
      </c>
      <c r="AD267" s="518" t="s">
        <v>4351</v>
      </c>
      <c r="AE267" s="520" t="s">
        <v>4352</v>
      </c>
      <c r="AF267" s="504" t="s">
        <v>3279</v>
      </c>
      <c r="AG267" s="494" t="s">
        <v>2917</v>
      </c>
      <c r="AH267" s="494" t="s">
        <v>2917</v>
      </c>
      <c r="AI267" s="505"/>
      <c r="AJ267" s="505"/>
      <c r="AK267" s="521">
        <f>_xll.GetCtData("COAMOUNT","CONSAMOUNT",$B$1:$B$7,$B267,AK$9,"#")</f>
        <v>0</v>
      </c>
    </row>
    <row r="268" spans="2:37" ht="12" customHeight="1">
      <c r="B268" s="453" t="s">
        <v>507</v>
      </c>
      <c r="C268" s="482" t="s">
        <v>2929</v>
      </c>
      <c r="D268" s="483">
        <v>44403</v>
      </c>
      <c r="E268" s="484" t="s">
        <v>2930</v>
      </c>
      <c r="F268" s="485">
        <v>7</v>
      </c>
      <c r="G268" s="547"/>
      <c r="H268" s="547"/>
      <c r="I268" s="547"/>
      <c r="J268" s="547"/>
      <c r="K268" s="547"/>
      <c r="L268" s="547"/>
      <c r="M268" s="548"/>
      <c r="N268" s="517" t="s">
        <v>4364</v>
      </c>
      <c r="O268" s="518">
        <v>10</v>
      </c>
      <c r="P268" s="519" t="s">
        <v>690</v>
      </c>
      <c r="Q268" s="489">
        <v>45</v>
      </c>
      <c r="R268" s="519" t="s">
        <v>690</v>
      </c>
      <c r="S268" s="518">
        <f t="shared" ref="S268:S331" si="20">LEN(R268)</f>
        <v>45</v>
      </c>
      <c r="T268" s="519" t="s">
        <v>4365</v>
      </c>
      <c r="U268" s="518">
        <f t="shared" ref="U268:U331" si="21">LEN(T268)</f>
        <v>24</v>
      </c>
      <c r="V268" s="519" t="s">
        <v>3852</v>
      </c>
      <c r="W268" s="519" t="s">
        <v>4366</v>
      </c>
      <c r="X268" s="491">
        <f t="shared" ref="X268:X331" si="22">LEN(W268)</f>
        <v>59</v>
      </c>
      <c r="Y268" s="519" t="s">
        <v>4366</v>
      </c>
      <c r="Z268" s="518">
        <f t="shared" ref="Z268:Z331" si="23">LEN(Y268)</f>
        <v>59</v>
      </c>
      <c r="AA268" s="519" t="s">
        <v>4367</v>
      </c>
      <c r="AB268" s="518">
        <f t="shared" ref="AB268:AB331" si="24">LEN(AA268)</f>
        <v>26</v>
      </c>
      <c r="AC268" s="519" t="s">
        <v>3855</v>
      </c>
      <c r="AD268" s="518" t="s">
        <v>4368</v>
      </c>
      <c r="AE268" s="520" t="s">
        <v>4369</v>
      </c>
      <c r="AF268" s="504" t="s">
        <v>3279</v>
      </c>
      <c r="AG268" s="494" t="s">
        <v>2917</v>
      </c>
      <c r="AH268" s="494" t="s">
        <v>2917</v>
      </c>
      <c r="AI268" s="505"/>
      <c r="AJ268" s="505"/>
      <c r="AK268" s="521">
        <f>_xll.GetCtData("COAMOUNT","CONSAMOUNT",$B$1:$B$7,$B268,AK$9,"#")</f>
        <v>0</v>
      </c>
    </row>
    <row r="269" spans="2:37" ht="12" customHeight="1">
      <c r="B269" s="453" t="s">
        <v>508</v>
      </c>
      <c r="C269" s="482" t="s">
        <v>2929</v>
      </c>
      <c r="D269" s="483">
        <v>44403</v>
      </c>
      <c r="E269" s="484" t="s">
        <v>2930</v>
      </c>
      <c r="F269" s="485">
        <v>7</v>
      </c>
      <c r="G269" s="547"/>
      <c r="H269" s="547"/>
      <c r="I269" s="547"/>
      <c r="J269" s="547"/>
      <c r="K269" s="547"/>
      <c r="L269" s="547"/>
      <c r="M269" s="548"/>
      <c r="N269" s="517" t="s">
        <v>4370</v>
      </c>
      <c r="O269" s="518">
        <v>10</v>
      </c>
      <c r="P269" s="519" t="s">
        <v>691</v>
      </c>
      <c r="Q269" s="489">
        <v>53</v>
      </c>
      <c r="R269" s="519" t="s">
        <v>691</v>
      </c>
      <c r="S269" s="518">
        <f t="shared" si="20"/>
        <v>53</v>
      </c>
      <c r="T269" s="519" t="s">
        <v>4371</v>
      </c>
      <c r="U269" s="518">
        <f t="shared" si="21"/>
        <v>24</v>
      </c>
      <c r="V269" s="519" t="s">
        <v>3852</v>
      </c>
      <c r="W269" s="519" t="s">
        <v>4372</v>
      </c>
      <c r="X269" s="491">
        <f t="shared" si="22"/>
        <v>56</v>
      </c>
      <c r="Y269" s="519" t="s">
        <v>4373</v>
      </c>
      <c r="Z269" s="518">
        <f t="shared" si="23"/>
        <v>53</v>
      </c>
      <c r="AA269" s="519" t="s">
        <v>4374</v>
      </c>
      <c r="AB269" s="518">
        <f t="shared" si="24"/>
        <v>26</v>
      </c>
      <c r="AC269" s="519" t="s">
        <v>3855</v>
      </c>
      <c r="AD269" s="518" t="s">
        <v>4375</v>
      </c>
      <c r="AE269" s="520" t="s">
        <v>4376</v>
      </c>
      <c r="AF269" s="504" t="s">
        <v>3279</v>
      </c>
      <c r="AG269" s="494" t="s">
        <v>2917</v>
      </c>
      <c r="AH269" s="494" t="s">
        <v>2917</v>
      </c>
      <c r="AI269" s="505"/>
      <c r="AJ269" s="505"/>
      <c r="AK269" s="521">
        <f>_xll.GetCtData("COAMOUNT","CONSAMOUNT",$B$1:$B$7,$B269,AK$9,"#")</f>
        <v>0</v>
      </c>
    </row>
    <row r="270" spans="2:37" ht="12" customHeight="1">
      <c r="B270" s="453" t="s">
        <v>4377</v>
      </c>
      <c r="C270" s="482" t="s">
        <v>2911</v>
      </c>
      <c r="D270" s="483">
        <v>44378</v>
      </c>
      <c r="E270" s="484" t="s">
        <v>2912</v>
      </c>
      <c r="F270" s="485">
        <v>5</v>
      </c>
      <c r="G270" s="482"/>
      <c r="H270" s="567"/>
      <c r="I270" s="567"/>
      <c r="J270" s="567"/>
      <c r="K270" s="567"/>
      <c r="L270" s="568" t="s">
        <v>4378</v>
      </c>
      <c r="M270" s="569"/>
      <c r="N270" s="589"/>
      <c r="O270" s="571">
        <v>8</v>
      </c>
      <c r="P270" s="572" t="s">
        <v>4379</v>
      </c>
      <c r="Q270" s="489">
        <v>38</v>
      </c>
      <c r="R270" s="572" t="s">
        <v>4379</v>
      </c>
      <c r="S270" s="571">
        <f t="shared" si="20"/>
        <v>38</v>
      </c>
      <c r="T270" s="572" t="s">
        <v>4380</v>
      </c>
      <c r="U270" s="571">
        <f t="shared" si="21"/>
        <v>20</v>
      </c>
      <c r="V270" s="573" t="s">
        <v>3852</v>
      </c>
      <c r="W270" s="573" t="s">
        <v>4381</v>
      </c>
      <c r="X270" s="491">
        <f t="shared" si="22"/>
        <v>40</v>
      </c>
      <c r="Y270" s="573" t="s">
        <v>4381</v>
      </c>
      <c r="Z270" s="571">
        <f t="shared" si="23"/>
        <v>40</v>
      </c>
      <c r="AA270" s="573" t="s">
        <v>4382</v>
      </c>
      <c r="AB270" s="571">
        <f t="shared" si="24"/>
        <v>19</v>
      </c>
      <c r="AC270" s="573" t="s">
        <v>3855</v>
      </c>
      <c r="AD270" s="571"/>
      <c r="AE270" s="575"/>
      <c r="AF270" s="504"/>
      <c r="AG270" s="494" t="s">
        <v>2917</v>
      </c>
      <c r="AH270" s="495" t="s">
        <v>2918</v>
      </c>
      <c r="AI270" s="505"/>
      <c r="AJ270" s="505"/>
      <c r="AK270" s="576">
        <f>_xll.GetCtData("COAMOUNT","CONSAMOUNT",$B$1:$B$7,$B270,AK$9,"#")</f>
        <v>0</v>
      </c>
    </row>
    <row r="271" spans="2:37" ht="12" customHeight="1">
      <c r="B271" s="453" t="s">
        <v>509</v>
      </c>
      <c r="C271" s="482" t="s">
        <v>2929</v>
      </c>
      <c r="D271" s="483">
        <v>44403</v>
      </c>
      <c r="E271" s="484" t="s">
        <v>2930</v>
      </c>
      <c r="F271" s="485">
        <v>7</v>
      </c>
      <c r="G271" s="547"/>
      <c r="H271" s="547"/>
      <c r="I271" s="547"/>
      <c r="J271" s="547"/>
      <c r="K271" s="547"/>
      <c r="L271" s="547"/>
      <c r="M271" s="548"/>
      <c r="N271" s="517" t="s">
        <v>4383</v>
      </c>
      <c r="O271" s="518">
        <v>10</v>
      </c>
      <c r="P271" s="519" t="s">
        <v>692</v>
      </c>
      <c r="Q271" s="489">
        <v>61</v>
      </c>
      <c r="R271" s="519" t="s">
        <v>4384</v>
      </c>
      <c r="S271" s="518">
        <f t="shared" si="20"/>
        <v>54</v>
      </c>
      <c r="T271" s="519" t="s">
        <v>4385</v>
      </c>
      <c r="U271" s="518">
        <f t="shared" si="21"/>
        <v>26</v>
      </c>
      <c r="V271" s="519" t="s">
        <v>3852</v>
      </c>
      <c r="W271" s="519" t="s">
        <v>4386</v>
      </c>
      <c r="X271" s="491">
        <f t="shared" si="22"/>
        <v>58</v>
      </c>
      <c r="Y271" s="519" t="s">
        <v>4386</v>
      </c>
      <c r="Z271" s="518">
        <f t="shared" si="23"/>
        <v>58</v>
      </c>
      <c r="AA271" s="519" t="s">
        <v>4387</v>
      </c>
      <c r="AB271" s="518">
        <f t="shared" si="24"/>
        <v>22</v>
      </c>
      <c r="AC271" s="519" t="s">
        <v>3855</v>
      </c>
      <c r="AD271" s="518" t="s">
        <v>4388</v>
      </c>
      <c r="AE271" s="520" t="s">
        <v>4389</v>
      </c>
      <c r="AF271" s="504" t="s">
        <v>3342</v>
      </c>
      <c r="AG271" s="494" t="s">
        <v>2917</v>
      </c>
      <c r="AH271" s="494" t="s">
        <v>2917</v>
      </c>
      <c r="AI271" s="505"/>
      <c r="AJ271" s="505"/>
      <c r="AK271" s="521">
        <f>_xll.GetCtData("COAMOUNT","CONSAMOUNT",$B$1:$B$7,$B271,AK$9,"#")</f>
        <v>0</v>
      </c>
    </row>
    <row r="272" spans="2:37" ht="12" customHeight="1">
      <c r="B272" s="453" t="s">
        <v>510</v>
      </c>
      <c r="C272" s="482" t="s">
        <v>2929</v>
      </c>
      <c r="D272" s="483">
        <v>44403</v>
      </c>
      <c r="E272" s="484" t="s">
        <v>2930</v>
      </c>
      <c r="F272" s="485">
        <v>7</v>
      </c>
      <c r="G272" s="547"/>
      <c r="H272" s="547"/>
      <c r="I272" s="547"/>
      <c r="J272" s="547"/>
      <c r="K272" s="547"/>
      <c r="L272" s="547"/>
      <c r="M272" s="548"/>
      <c r="N272" s="517" t="s">
        <v>4390</v>
      </c>
      <c r="O272" s="518">
        <v>10</v>
      </c>
      <c r="P272" s="519" t="s">
        <v>693</v>
      </c>
      <c r="Q272" s="489">
        <v>55</v>
      </c>
      <c r="R272" s="519" t="s">
        <v>4391</v>
      </c>
      <c r="S272" s="518">
        <f t="shared" si="20"/>
        <v>48</v>
      </c>
      <c r="T272" s="519" t="s">
        <v>4392</v>
      </c>
      <c r="U272" s="518">
        <f t="shared" si="21"/>
        <v>26</v>
      </c>
      <c r="V272" s="519" t="s">
        <v>3852</v>
      </c>
      <c r="W272" s="519" t="s">
        <v>4393</v>
      </c>
      <c r="X272" s="491">
        <f t="shared" si="22"/>
        <v>57</v>
      </c>
      <c r="Y272" s="519" t="s">
        <v>4393</v>
      </c>
      <c r="Z272" s="518">
        <f t="shared" si="23"/>
        <v>57</v>
      </c>
      <c r="AA272" s="519" t="s">
        <v>4394</v>
      </c>
      <c r="AB272" s="518">
        <f t="shared" si="24"/>
        <v>25</v>
      </c>
      <c r="AC272" s="519" t="s">
        <v>3855</v>
      </c>
      <c r="AD272" s="518" t="s">
        <v>4395</v>
      </c>
      <c r="AE272" s="520" t="s">
        <v>4396</v>
      </c>
      <c r="AF272" s="504" t="s">
        <v>3342</v>
      </c>
      <c r="AG272" s="494" t="s">
        <v>2917</v>
      </c>
      <c r="AH272" s="494" t="s">
        <v>2917</v>
      </c>
      <c r="AI272" s="505"/>
      <c r="AJ272" s="505"/>
      <c r="AK272" s="521">
        <f>_xll.GetCtData("COAMOUNT","CONSAMOUNT",$B$1:$B$7,$B272,AK$9,"#")</f>
        <v>0</v>
      </c>
    </row>
    <row r="273" spans="2:37" ht="12" customHeight="1">
      <c r="B273" s="453" t="s">
        <v>511</v>
      </c>
      <c r="C273" s="482" t="s">
        <v>2929</v>
      </c>
      <c r="D273" s="483">
        <v>44403</v>
      </c>
      <c r="E273" s="484" t="s">
        <v>2930</v>
      </c>
      <c r="F273" s="485">
        <v>7</v>
      </c>
      <c r="G273" s="547"/>
      <c r="H273" s="547"/>
      <c r="I273" s="547"/>
      <c r="J273" s="547"/>
      <c r="K273" s="547"/>
      <c r="L273" s="547"/>
      <c r="M273" s="548"/>
      <c r="N273" s="517" t="s">
        <v>4397</v>
      </c>
      <c r="O273" s="518">
        <v>10</v>
      </c>
      <c r="P273" s="519" t="s">
        <v>694</v>
      </c>
      <c r="Q273" s="489">
        <v>79</v>
      </c>
      <c r="R273" s="519" t="s">
        <v>694</v>
      </c>
      <c r="S273" s="518">
        <f t="shared" si="20"/>
        <v>79</v>
      </c>
      <c r="T273" s="519" t="s">
        <v>4398</v>
      </c>
      <c r="U273" s="518">
        <f t="shared" si="21"/>
        <v>27</v>
      </c>
      <c r="V273" s="519" t="s">
        <v>3852</v>
      </c>
      <c r="W273" s="519" t="s">
        <v>4399</v>
      </c>
      <c r="X273" s="491">
        <f t="shared" si="22"/>
        <v>95</v>
      </c>
      <c r="Y273" s="519" t="s">
        <v>4399</v>
      </c>
      <c r="Z273" s="518">
        <f t="shared" si="23"/>
        <v>95</v>
      </c>
      <c r="AA273" s="519" t="s">
        <v>4400</v>
      </c>
      <c r="AB273" s="518">
        <f t="shared" si="24"/>
        <v>23</v>
      </c>
      <c r="AC273" s="519" t="s">
        <v>3855</v>
      </c>
      <c r="AD273" s="518" t="s">
        <v>4388</v>
      </c>
      <c r="AE273" s="520" t="s">
        <v>4389</v>
      </c>
      <c r="AF273" s="504" t="s">
        <v>3342</v>
      </c>
      <c r="AG273" s="494" t="s">
        <v>2917</v>
      </c>
      <c r="AH273" s="494" t="s">
        <v>2917</v>
      </c>
      <c r="AI273" s="505"/>
      <c r="AJ273" s="505"/>
      <c r="AK273" s="521">
        <f>_xll.GetCtData("COAMOUNT","CONSAMOUNT",$B$1:$B$7,$B273,AK$9,"#")</f>
        <v>0</v>
      </c>
    </row>
    <row r="274" spans="2:37" ht="12" customHeight="1">
      <c r="B274" s="453" t="s">
        <v>512</v>
      </c>
      <c r="C274" s="482" t="s">
        <v>2929</v>
      </c>
      <c r="D274" s="483">
        <v>44403</v>
      </c>
      <c r="E274" s="484" t="s">
        <v>2930</v>
      </c>
      <c r="F274" s="485">
        <v>7</v>
      </c>
      <c r="G274" s="547"/>
      <c r="H274" s="547"/>
      <c r="I274" s="547"/>
      <c r="J274" s="547"/>
      <c r="K274" s="547"/>
      <c r="L274" s="547"/>
      <c r="M274" s="548"/>
      <c r="N274" s="517" t="s">
        <v>4401</v>
      </c>
      <c r="O274" s="518">
        <v>10</v>
      </c>
      <c r="P274" s="519" t="s">
        <v>695</v>
      </c>
      <c r="Q274" s="489">
        <v>45</v>
      </c>
      <c r="R274" s="519" t="s">
        <v>695</v>
      </c>
      <c r="S274" s="518">
        <f t="shared" si="20"/>
        <v>45</v>
      </c>
      <c r="T274" s="519" t="s">
        <v>4402</v>
      </c>
      <c r="U274" s="518">
        <f t="shared" si="21"/>
        <v>24</v>
      </c>
      <c r="V274" s="519" t="s">
        <v>3852</v>
      </c>
      <c r="W274" s="519" t="s">
        <v>4403</v>
      </c>
      <c r="X274" s="491">
        <f t="shared" si="22"/>
        <v>59</v>
      </c>
      <c r="Y274" s="519" t="s">
        <v>4403</v>
      </c>
      <c r="Z274" s="518">
        <f t="shared" si="23"/>
        <v>59</v>
      </c>
      <c r="AA274" s="519" t="s">
        <v>4404</v>
      </c>
      <c r="AB274" s="518">
        <f t="shared" si="24"/>
        <v>26</v>
      </c>
      <c r="AC274" s="519" t="s">
        <v>3855</v>
      </c>
      <c r="AD274" s="518" t="s">
        <v>4405</v>
      </c>
      <c r="AE274" s="520" t="s">
        <v>4406</v>
      </c>
      <c r="AF274" s="504" t="s">
        <v>3342</v>
      </c>
      <c r="AG274" s="494" t="s">
        <v>2917</v>
      </c>
      <c r="AH274" s="494" t="s">
        <v>2917</v>
      </c>
      <c r="AI274" s="505"/>
      <c r="AJ274" s="505"/>
      <c r="AK274" s="521">
        <f>_xll.GetCtData("COAMOUNT","CONSAMOUNT",$B$1:$B$7,$B274,AK$9,"#")</f>
        <v>0</v>
      </c>
    </row>
    <row r="275" spans="2:37" ht="12" customHeight="1">
      <c r="B275" s="453" t="s">
        <v>513</v>
      </c>
      <c r="C275" s="482" t="s">
        <v>2929</v>
      </c>
      <c r="D275" s="483">
        <v>44403</v>
      </c>
      <c r="E275" s="484" t="s">
        <v>2930</v>
      </c>
      <c r="F275" s="485">
        <v>7</v>
      </c>
      <c r="G275" s="547"/>
      <c r="H275" s="547"/>
      <c r="I275" s="547"/>
      <c r="J275" s="547"/>
      <c r="K275" s="547"/>
      <c r="L275" s="547"/>
      <c r="M275" s="548"/>
      <c r="N275" s="517" t="s">
        <v>4407</v>
      </c>
      <c r="O275" s="518">
        <v>10</v>
      </c>
      <c r="P275" s="519" t="s">
        <v>696</v>
      </c>
      <c r="Q275" s="489">
        <v>53</v>
      </c>
      <c r="R275" s="519" t="s">
        <v>696</v>
      </c>
      <c r="S275" s="518">
        <f t="shared" si="20"/>
        <v>53</v>
      </c>
      <c r="T275" s="519" t="s">
        <v>4408</v>
      </c>
      <c r="U275" s="518">
        <f t="shared" si="21"/>
        <v>24</v>
      </c>
      <c r="V275" s="519" t="s">
        <v>3852</v>
      </c>
      <c r="W275" s="519" t="s">
        <v>4409</v>
      </c>
      <c r="X275" s="491">
        <f t="shared" si="22"/>
        <v>56</v>
      </c>
      <c r="Y275" s="519" t="s">
        <v>4410</v>
      </c>
      <c r="Z275" s="518">
        <f t="shared" si="23"/>
        <v>53</v>
      </c>
      <c r="AA275" s="519" t="s">
        <v>4411</v>
      </c>
      <c r="AB275" s="518">
        <f t="shared" si="24"/>
        <v>26</v>
      </c>
      <c r="AC275" s="519" t="s">
        <v>3855</v>
      </c>
      <c r="AD275" s="518" t="s">
        <v>4412</v>
      </c>
      <c r="AE275" s="520" t="s">
        <v>4413</v>
      </c>
      <c r="AF275" s="504" t="s">
        <v>3342</v>
      </c>
      <c r="AG275" s="494" t="s">
        <v>2917</v>
      </c>
      <c r="AH275" s="494" t="s">
        <v>2917</v>
      </c>
      <c r="AI275" s="505"/>
      <c r="AJ275" s="505"/>
      <c r="AK275" s="521">
        <f>_xll.GetCtData("COAMOUNT","CONSAMOUNT",$B$1:$B$7,$B275,AK$9,"#")</f>
        <v>0</v>
      </c>
    </row>
    <row r="276" spans="2:37" ht="12" customHeight="1">
      <c r="B276" s="453" t="s">
        <v>4414</v>
      </c>
      <c r="C276" s="482" t="s">
        <v>2911</v>
      </c>
      <c r="D276" s="483">
        <v>44378</v>
      </c>
      <c r="E276" s="484" t="s">
        <v>2912</v>
      </c>
      <c r="F276" s="485">
        <v>5</v>
      </c>
      <c r="G276" s="482"/>
      <c r="H276" s="567"/>
      <c r="I276" s="567"/>
      <c r="J276" s="567"/>
      <c r="K276" s="567"/>
      <c r="L276" s="568" t="s">
        <v>4415</v>
      </c>
      <c r="M276" s="569"/>
      <c r="N276" s="589"/>
      <c r="O276" s="571">
        <v>8</v>
      </c>
      <c r="P276" s="572" t="s">
        <v>4416</v>
      </c>
      <c r="Q276" s="489">
        <v>40</v>
      </c>
      <c r="R276" s="572" t="s">
        <v>4416</v>
      </c>
      <c r="S276" s="571">
        <f t="shared" si="20"/>
        <v>40</v>
      </c>
      <c r="T276" s="572" t="s">
        <v>4417</v>
      </c>
      <c r="U276" s="571">
        <f t="shared" si="21"/>
        <v>22</v>
      </c>
      <c r="V276" s="573" t="s">
        <v>3852</v>
      </c>
      <c r="W276" s="573" t="s">
        <v>4418</v>
      </c>
      <c r="X276" s="491">
        <f t="shared" si="22"/>
        <v>42</v>
      </c>
      <c r="Y276" s="573" t="s">
        <v>4418</v>
      </c>
      <c r="Z276" s="571">
        <f t="shared" si="23"/>
        <v>42</v>
      </c>
      <c r="AA276" s="573" t="s">
        <v>4419</v>
      </c>
      <c r="AB276" s="571">
        <f t="shared" si="24"/>
        <v>21</v>
      </c>
      <c r="AC276" s="573" t="s">
        <v>3855</v>
      </c>
      <c r="AD276" s="571"/>
      <c r="AE276" s="575"/>
      <c r="AF276" s="504"/>
      <c r="AG276" s="494" t="s">
        <v>2917</v>
      </c>
      <c r="AH276" s="495" t="s">
        <v>2918</v>
      </c>
      <c r="AI276" s="505"/>
      <c r="AJ276" s="505"/>
      <c r="AK276" s="576">
        <f>_xll.GetCtData("COAMOUNT","CONSAMOUNT",$B$1:$B$7,$B276,AK$9,"#")</f>
        <v>0</v>
      </c>
    </row>
    <row r="277" spans="2:37" ht="12" customHeight="1">
      <c r="B277" s="453" t="s">
        <v>514</v>
      </c>
      <c r="C277" s="482" t="s">
        <v>2929</v>
      </c>
      <c r="D277" s="483">
        <v>44403</v>
      </c>
      <c r="E277" s="484" t="s">
        <v>2930</v>
      </c>
      <c r="F277" s="485">
        <v>7</v>
      </c>
      <c r="G277" s="547"/>
      <c r="H277" s="547"/>
      <c r="I277" s="547"/>
      <c r="J277" s="547"/>
      <c r="K277" s="547"/>
      <c r="L277" s="547"/>
      <c r="M277" s="548"/>
      <c r="N277" s="517" t="s">
        <v>4420</v>
      </c>
      <c r="O277" s="518">
        <v>10</v>
      </c>
      <c r="P277" s="519" t="s">
        <v>697</v>
      </c>
      <c r="Q277" s="489">
        <v>63</v>
      </c>
      <c r="R277" s="519" t="s">
        <v>4421</v>
      </c>
      <c r="S277" s="518">
        <f t="shared" si="20"/>
        <v>56</v>
      </c>
      <c r="T277" s="519" t="s">
        <v>4422</v>
      </c>
      <c r="U277" s="518">
        <f t="shared" si="21"/>
        <v>26</v>
      </c>
      <c r="V277" s="519" t="s">
        <v>3852</v>
      </c>
      <c r="W277" s="519" t="s">
        <v>4423</v>
      </c>
      <c r="X277" s="491">
        <f t="shared" si="22"/>
        <v>60</v>
      </c>
      <c r="Y277" s="519" t="s">
        <v>4423</v>
      </c>
      <c r="Z277" s="518">
        <f t="shared" si="23"/>
        <v>60</v>
      </c>
      <c r="AA277" s="519" t="s">
        <v>4424</v>
      </c>
      <c r="AB277" s="518">
        <f t="shared" si="24"/>
        <v>24</v>
      </c>
      <c r="AC277" s="519" t="s">
        <v>3855</v>
      </c>
      <c r="AD277" s="518" t="s">
        <v>4388</v>
      </c>
      <c r="AE277" s="520" t="s">
        <v>4389</v>
      </c>
      <c r="AF277" s="504" t="s">
        <v>2939</v>
      </c>
      <c r="AG277" s="494" t="s">
        <v>2917</v>
      </c>
      <c r="AH277" s="494" t="s">
        <v>2917</v>
      </c>
      <c r="AI277" s="505"/>
      <c r="AJ277" s="505"/>
      <c r="AK277" s="521">
        <f>_xll.GetCtData("COAMOUNT","CONSAMOUNT",$B$1:$B$7,$B277,AK$9,"#")</f>
        <v>0</v>
      </c>
    </row>
    <row r="278" spans="2:37" ht="12" customHeight="1">
      <c r="B278" s="453" t="s">
        <v>515</v>
      </c>
      <c r="C278" s="482" t="s">
        <v>2929</v>
      </c>
      <c r="D278" s="483">
        <v>44403</v>
      </c>
      <c r="E278" s="484" t="s">
        <v>2930</v>
      </c>
      <c r="F278" s="485">
        <v>7</v>
      </c>
      <c r="G278" s="547"/>
      <c r="H278" s="547"/>
      <c r="I278" s="547"/>
      <c r="J278" s="547"/>
      <c r="K278" s="547"/>
      <c r="L278" s="547"/>
      <c r="M278" s="548"/>
      <c r="N278" s="517" t="s">
        <v>4425</v>
      </c>
      <c r="O278" s="518">
        <v>10</v>
      </c>
      <c r="P278" s="519" t="s">
        <v>698</v>
      </c>
      <c r="Q278" s="489">
        <v>57</v>
      </c>
      <c r="R278" s="519" t="s">
        <v>4426</v>
      </c>
      <c r="S278" s="518">
        <f t="shared" si="20"/>
        <v>50</v>
      </c>
      <c r="T278" s="519" t="s">
        <v>4427</v>
      </c>
      <c r="U278" s="518">
        <f t="shared" si="21"/>
        <v>26</v>
      </c>
      <c r="V278" s="519" t="s">
        <v>3852</v>
      </c>
      <c r="W278" s="519" t="s">
        <v>4428</v>
      </c>
      <c r="X278" s="491">
        <f t="shared" si="22"/>
        <v>59</v>
      </c>
      <c r="Y278" s="519" t="s">
        <v>4428</v>
      </c>
      <c r="Z278" s="518">
        <f t="shared" si="23"/>
        <v>59</v>
      </c>
      <c r="AA278" s="519" t="s">
        <v>4429</v>
      </c>
      <c r="AB278" s="518">
        <f t="shared" si="24"/>
        <v>27</v>
      </c>
      <c r="AC278" s="519" t="s">
        <v>3855</v>
      </c>
      <c r="AD278" s="518" t="s">
        <v>4395</v>
      </c>
      <c r="AE278" s="520" t="s">
        <v>4396</v>
      </c>
      <c r="AF278" s="504" t="s">
        <v>2939</v>
      </c>
      <c r="AG278" s="494" t="s">
        <v>2917</v>
      </c>
      <c r="AH278" s="494" t="s">
        <v>2917</v>
      </c>
      <c r="AI278" s="505"/>
      <c r="AJ278" s="505"/>
      <c r="AK278" s="521">
        <f>_xll.GetCtData("COAMOUNT","CONSAMOUNT",$B$1:$B$7,$B278,AK$9,"#")</f>
        <v>0</v>
      </c>
    </row>
    <row r="279" spans="2:37" ht="12" customHeight="1">
      <c r="B279" s="453" t="s">
        <v>516</v>
      </c>
      <c r="C279" s="482" t="s">
        <v>2929</v>
      </c>
      <c r="D279" s="483">
        <v>44403</v>
      </c>
      <c r="E279" s="484" t="s">
        <v>2930</v>
      </c>
      <c r="F279" s="485">
        <v>7</v>
      </c>
      <c r="G279" s="547"/>
      <c r="H279" s="547"/>
      <c r="I279" s="547"/>
      <c r="J279" s="547"/>
      <c r="K279" s="547"/>
      <c r="L279" s="547"/>
      <c r="M279" s="548"/>
      <c r="N279" s="517" t="s">
        <v>4430</v>
      </c>
      <c r="O279" s="518">
        <v>10</v>
      </c>
      <c r="P279" s="519" t="s">
        <v>699</v>
      </c>
      <c r="Q279" s="489">
        <v>81</v>
      </c>
      <c r="R279" s="519" t="s">
        <v>699</v>
      </c>
      <c r="S279" s="518">
        <f t="shared" si="20"/>
        <v>81</v>
      </c>
      <c r="T279" s="519" t="s">
        <v>4431</v>
      </c>
      <c r="U279" s="518">
        <f t="shared" si="21"/>
        <v>29</v>
      </c>
      <c r="V279" s="519" t="s">
        <v>3852</v>
      </c>
      <c r="W279" s="519" t="s">
        <v>4432</v>
      </c>
      <c r="X279" s="491">
        <f t="shared" si="22"/>
        <v>97</v>
      </c>
      <c r="Y279" s="519" t="s">
        <v>4432</v>
      </c>
      <c r="Z279" s="518">
        <f t="shared" si="23"/>
        <v>97</v>
      </c>
      <c r="AA279" s="519" t="s">
        <v>4433</v>
      </c>
      <c r="AB279" s="518">
        <f t="shared" si="24"/>
        <v>25</v>
      </c>
      <c r="AC279" s="519" t="s">
        <v>3855</v>
      </c>
      <c r="AD279" s="518" t="s">
        <v>4388</v>
      </c>
      <c r="AE279" s="520" t="s">
        <v>4389</v>
      </c>
      <c r="AF279" s="504" t="s">
        <v>2939</v>
      </c>
      <c r="AG279" s="494" t="s">
        <v>2917</v>
      </c>
      <c r="AH279" s="494" t="s">
        <v>2917</v>
      </c>
      <c r="AI279" s="505"/>
      <c r="AJ279" s="505"/>
      <c r="AK279" s="521">
        <f>_xll.GetCtData("COAMOUNT","CONSAMOUNT",$B$1:$B$7,$B279,AK$9,"#")</f>
        <v>0</v>
      </c>
    </row>
    <row r="280" spans="2:37" ht="12" customHeight="1">
      <c r="B280" s="453" t="s">
        <v>517</v>
      </c>
      <c r="C280" s="482" t="s">
        <v>2929</v>
      </c>
      <c r="D280" s="483">
        <v>44403</v>
      </c>
      <c r="E280" s="484" t="s">
        <v>2930</v>
      </c>
      <c r="F280" s="485">
        <v>7</v>
      </c>
      <c r="G280" s="547"/>
      <c r="H280" s="547"/>
      <c r="I280" s="547"/>
      <c r="J280" s="547"/>
      <c r="K280" s="547"/>
      <c r="L280" s="547"/>
      <c r="M280" s="548"/>
      <c r="N280" s="517" t="s">
        <v>4434</v>
      </c>
      <c r="O280" s="518">
        <v>10</v>
      </c>
      <c r="P280" s="519" t="s">
        <v>700</v>
      </c>
      <c r="Q280" s="489">
        <v>47</v>
      </c>
      <c r="R280" s="519" t="s">
        <v>700</v>
      </c>
      <c r="S280" s="518">
        <f t="shared" si="20"/>
        <v>47</v>
      </c>
      <c r="T280" s="519" t="s">
        <v>4435</v>
      </c>
      <c r="U280" s="518">
        <f t="shared" si="21"/>
        <v>27</v>
      </c>
      <c r="V280" s="519" t="s">
        <v>3852</v>
      </c>
      <c r="W280" s="519" t="s">
        <v>4436</v>
      </c>
      <c r="X280" s="491">
        <f t="shared" si="22"/>
        <v>49</v>
      </c>
      <c r="Y280" s="519" t="s">
        <v>4436</v>
      </c>
      <c r="Z280" s="518">
        <f t="shared" si="23"/>
        <v>49</v>
      </c>
      <c r="AA280" s="519" t="s">
        <v>4437</v>
      </c>
      <c r="AB280" s="518">
        <f t="shared" si="24"/>
        <v>26</v>
      </c>
      <c r="AC280" s="519" t="s">
        <v>3855</v>
      </c>
      <c r="AD280" s="518" t="s">
        <v>4405</v>
      </c>
      <c r="AE280" s="520" t="s">
        <v>4406</v>
      </c>
      <c r="AF280" s="504" t="s">
        <v>2939</v>
      </c>
      <c r="AG280" s="494" t="s">
        <v>2917</v>
      </c>
      <c r="AH280" s="494" t="s">
        <v>2917</v>
      </c>
      <c r="AI280" s="505"/>
      <c r="AJ280" s="505"/>
      <c r="AK280" s="521">
        <f>_xll.GetCtData("COAMOUNT","CONSAMOUNT",$B$1:$B$7,$B280,AK$9,"#")</f>
        <v>0</v>
      </c>
    </row>
    <row r="281" spans="2:37" ht="12" customHeight="1">
      <c r="B281" s="453" t="s">
        <v>518</v>
      </c>
      <c r="C281" s="482" t="s">
        <v>2929</v>
      </c>
      <c r="D281" s="483">
        <v>44403</v>
      </c>
      <c r="E281" s="484" t="s">
        <v>2930</v>
      </c>
      <c r="F281" s="485">
        <v>7</v>
      </c>
      <c r="G281" s="547"/>
      <c r="H281" s="547"/>
      <c r="I281" s="547"/>
      <c r="J281" s="547"/>
      <c r="K281" s="547"/>
      <c r="L281" s="547"/>
      <c r="M281" s="548"/>
      <c r="N281" s="517" t="s">
        <v>4438</v>
      </c>
      <c r="O281" s="518">
        <v>10</v>
      </c>
      <c r="P281" s="519" t="s">
        <v>701</v>
      </c>
      <c r="Q281" s="489">
        <v>55</v>
      </c>
      <c r="R281" s="519" t="s">
        <v>701</v>
      </c>
      <c r="S281" s="518">
        <f t="shared" si="20"/>
        <v>55</v>
      </c>
      <c r="T281" s="519" t="s">
        <v>4439</v>
      </c>
      <c r="U281" s="518">
        <f t="shared" si="21"/>
        <v>27</v>
      </c>
      <c r="V281" s="519" t="s">
        <v>3852</v>
      </c>
      <c r="W281" s="519" t="s">
        <v>4440</v>
      </c>
      <c r="X281" s="491">
        <f t="shared" si="22"/>
        <v>58</v>
      </c>
      <c r="Y281" s="519" t="s">
        <v>4441</v>
      </c>
      <c r="Z281" s="518">
        <f t="shared" si="23"/>
        <v>55</v>
      </c>
      <c r="AA281" s="519" t="s">
        <v>4442</v>
      </c>
      <c r="AB281" s="518">
        <f t="shared" si="24"/>
        <v>25</v>
      </c>
      <c r="AC281" s="519" t="s">
        <v>3855</v>
      </c>
      <c r="AD281" s="518" t="s">
        <v>4412</v>
      </c>
      <c r="AE281" s="520" t="s">
        <v>4413</v>
      </c>
      <c r="AF281" s="504" t="s">
        <v>2939</v>
      </c>
      <c r="AG281" s="494" t="s">
        <v>2917</v>
      </c>
      <c r="AH281" s="494" t="s">
        <v>2917</v>
      </c>
      <c r="AI281" s="505"/>
      <c r="AJ281" s="505"/>
      <c r="AK281" s="521">
        <f>_xll.GetCtData("COAMOUNT","CONSAMOUNT",$B$1:$B$7,$B281,AK$9,"#")</f>
        <v>0</v>
      </c>
    </row>
    <row r="282" spans="2:37" ht="12" customHeight="1">
      <c r="B282" s="453" t="s">
        <v>960</v>
      </c>
      <c r="C282" s="482" t="s">
        <v>2911</v>
      </c>
      <c r="D282" s="483">
        <v>44378</v>
      </c>
      <c r="E282" s="484" t="s">
        <v>2912</v>
      </c>
      <c r="F282" s="485">
        <v>4</v>
      </c>
      <c r="G282" s="482"/>
      <c r="H282" s="507"/>
      <c r="I282" s="507"/>
      <c r="J282" s="507"/>
      <c r="K282" s="564" t="s">
        <v>4443</v>
      </c>
      <c r="L282" s="564"/>
      <c r="M282" s="565"/>
      <c r="N282" s="566"/>
      <c r="O282" s="580">
        <v>7</v>
      </c>
      <c r="P282" s="581" t="s">
        <v>2606</v>
      </c>
      <c r="Q282" s="489">
        <v>20</v>
      </c>
      <c r="R282" s="581" t="s">
        <v>2606</v>
      </c>
      <c r="S282" s="580">
        <f t="shared" si="20"/>
        <v>20</v>
      </c>
      <c r="T282" s="581" t="s">
        <v>4444</v>
      </c>
      <c r="U282" s="580">
        <f t="shared" si="21"/>
        <v>10</v>
      </c>
      <c r="V282" s="581" t="s">
        <v>3852</v>
      </c>
      <c r="W282" s="581" t="s">
        <v>4445</v>
      </c>
      <c r="X282" s="491">
        <f t="shared" si="22"/>
        <v>43</v>
      </c>
      <c r="Y282" s="581" t="s">
        <v>4445</v>
      </c>
      <c r="Z282" s="580">
        <f t="shared" si="23"/>
        <v>43</v>
      </c>
      <c r="AA282" s="581" t="s">
        <v>4446</v>
      </c>
      <c r="AB282" s="580">
        <f t="shared" si="24"/>
        <v>21</v>
      </c>
      <c r="AC282" s="581" t="s">
        <v>3855</v>
      </c>
      <c r="AD282" s="580"/>
      <c r="AE282" s="582"/>
      <c r="AF282" s="504"/>
      <c r="AG282" s="494" t="s">
        <v>2917</v>
      </c>
      <c r="AH282" s="495" t="s">
        <v>2918</v>
      </c>
      <c r="AI282" s="505"/>
      <c r="AJ282" s="505"/>
      <c r="AK282" s="583">
        <f>_xll.GetCtData("COAMOUNT","CONSAMOUNT",$B$1:$B$7,$B282,AK$9,"#11655970")</f>
        <v>11655970</v>
      </c>
    </row>
    <row r="283" spans="2:37" ht="12" customHeight="1">
      <c r="B283" s="453" t="s">
        <v>4447</v>
      </c>
      <c r="C283" s="482" t="s">
        <v>2911</v>
      </c>
      <c r="D283" s="483">
        <v>44378</v>
      </c>
      <c r="E283" s="484" t="s">
        <v>2912</v>
      </c>
      <c r="F283" s="485">
        <v>5</v>
      </c>
      <c r="G283" s="482"/>
      <c r="H283" s="567"/>
      <c r="I283" s="567"/>
      <c r="J283" s="567"/>
      <c r="K283" s="567"/>
      <c r="L283" s="568" t="s">
        <v>4448</v>
      </c>
      <c r="M283" s="569"/>
      <c r="N283" s="570"/>
      <c r="O283" s="571">
        <v>8</v>
      </c>
      <c r="P283" s="572" t="s">
        <v>4449</v>
      </c>
      <c r="Q283" s="489">
        <v>25</v>
      </c>
      <c r="R283" s="572" t="s">
        <v>4449</v>
      </c>
      <c r="S283" s="571">
        <f t="shared" si="20"/>
        <v>25</v>
      </c>
      <c r="T283" s="572" t="s">
        <v>4450</v>
      </c>
      <c r="U283" s="571">
        <f t="shared" si="21"/>
        <v>13</v>
      </c>
      <c r="V283" s="573" t="s">
        <v>3852</v>
      </c>
      <c r="W283" s="573" t="s">
        <v>4451</v>
      </c>
      <c r="X283" s="491">
        <f t="shared" si="22"/>
        <v>48</v>
      </c>
      <c r="Y283" s="573" t="s">
        <v>4451</v>
      </c>
      <c r="Z283" s="571">
        <f t="shared" si="23"/>
        <v>48</v>
      </c>
      <c r="AA283" s="573" t="s">
        <v>4452</v>
      </c>
      <c r="AB283" s="571">
        <f t="shared" si="24"/>
        <v>24</v>
      </c>
      <c r="AC283" s="573" t="s">
        <v>3855</v>
      </c>
      <c r="AD283" s="571"/>
      <c r="AE283" s="575"/>
      <c r="AF283" s="504"/>
      <c r="AG283" s="494" t="s">
        <v>2917</v>
      </c>
      <c r="AH283" s="495" t="s">
        <v>2918</v>
      </c>
      <c r="AI283" s="505"/>
      <c r="AJ283" s="505"/>
      <c r="AK283" s="576">
        <f>_xll.GetCtData("COAMOUNT","CONSAMOUNT",$B$1:$B$7,$B283,AK$9,"#11655970")</f>
        <v>11655970</v>
      </c>
    </row>
    <row r="284" spans="2:37" ht="12" customHeight="1">
      <c r="B284" s="453" t="s">
        <v>519</v>
      </c>
      <c r="C284" s="482" t="s">
        <v>2929</v>
      </c>
      <c r="D284" s="483">
        <v>44403</v>
      </c>
      <c r="E284" s="484" t="s">
        <v>2930</v>
      </c>
      <c r="F284" s="485">
        <v>7</v>
      </c>
      <c r="G284" s="482"/>
      <c r="H284" s="482"/>
      <c r="I284" s="482"/>
      <c r="J284" s="482"/>
      <c r="K284" s="482"/>
      <c r="L284" s="482"/>
      <c r="M284" s="516"/>
      <c r="N284" s="517" t="s">
        <v>4453</v>
      </c>
      <c r="O284" s="518">
        <v>10</v>
      </c>
      <c r="P284" s="519" t="s">
        <v>702</v>
      </c>
      <c r="Q284" s="489">
        <v>48</v>
      </c>
      <c r="R284" s="519" t="s">
        <v>4454</v>
      </c>
      <c r="S284" s="518">
        <f t="shared" si="20"/>
        <v>41</v>
      </c>
      <c r="T284" s="519" t="s">
        <v>4455</v>
      </c>
      <c r="U284" s="518">
        <f t="shared" si="21"/>
        <v>20</v>
      </c>
      <c r="V284" s="519" t="s">
        <v>3852</v>
      </c>
      <c r="W284" s="519" t="s">
        <v>4456</v>
      </c>
      <c r="X284" s="491">
        <f t="shared" si="22"/>
        <v>68</v>
      </c>
      <c r="Y284" s="519" t="s">
        <v>4456</v>
      </c>
      <c r="Z284" s="518">
        <f t="shared" si="23"/>
        <v>68</v>
      </c>
      <c r="AA284" s="519" t="s">
        <v>4457</v>
      </c>
      <c r="AB284" s="518">
        <f t="shared" si="24"/>
        <v>27</v>
      </c>
      <c r="AC284" s="519" t="s">
        <v>3855</v>
      </c>
      <c r="AD284" s="518" t="s">
        <v>4458</v>
      </c>
      <c r="AE284" s="520" t="s">
        <v>4459</v>
      </c>
      <c r="AF284" s="504" t="s">
        <v>3279</v>
      </c>
      <c r="AG284" s="494" t="s">
        <v>2917</v>
      </c>
      <c r="AH284" s="494" t="s">
        <v>2917</v>
      </c>
      <c r="AI284" s="505"/>
      <c r="AJ284" s="505"/>
      <c r="AK284" s="521">
        <f>_xll.GetCtData("COAMOUNT","CONSAMOUNT",$B$1:$B$7,$B284,AK$9,"#11442151")</f>
        <v>11442151</v>
      </c>
    </row>
    <row r="285" spans="2:37" ht="12" customHeight="1">
      <c r="B285" s="453" t="s">
        <v>520</v>
      </c>
      <c r="C285" s="482" t="s">
        <v>2929</v>
      </c>
      <c r="D285" s="483">
        <v>44403</v>
      </c>
      <c r="E285" s="484" t="s">
        <v>2930</v>
      </c>
      <c r="F285" s="485">
        <v>7</v>
      </c>
      <c r="G285" s="482"/>
      <c r="H285" s="482"/>
      <c r="I285" s="482"/>
      <c r="J285" s="482"/>
      <c r="K285" s="482"/>
      <c r="L285" s="482"/>
      <c r="M285" s="516"/>
      <c r="N285" s="517" t="s">
        <v>4460</v>
      </c>
      <c r="O285" s="518">
        <v>10</v>
      </c>
      <c r="P285" s="519" t="s">
        <v>703</v>
      </c>
      <c r="Q285" s="489">
        <v>42</v>
      </c>
      <c r="R285" s="519" t="s">
        <v>4461</v>
      </c>
      <c r="S285" s="518">
        <f t="shared" si="20"/>
        <v>35</v>
      </c>
      <c r="T285" s="519" t="s">
        <v>4462</v>
      </c>
      <c r="U285" s="518">
        <f t="shared" si="21"/>
        <v>19</v>
      </c>
      <c r="V285" s="519" t="s">
        <v>3852</v>
      </c>
      <c r="W285" s="519" t="s">
        <v>4463</v>
      </c>
      <c r="X285" s="491">
        <f t="shared" si="22"/>
        <v>65</v>
      </c>
      <c r="Y285" s="519" t="s">
        <v>4463</v>
      </c>
      <c r="Z285" s="518">
        <f t="shared" si="23"/>
        <v>65</v>
      </c>
      <c r="AA285" s="519" t="s">
        <v>4464</v>
      </c>
      <c r="AB285" s="518">
        <f t="shared" si="24"/>
        <v>27</v>
      </c>
      <c r="AC285" s="519" t="s">
        <v>3855</v>
      </c>
      <c r="AD285" s="518" t="s">
        <v>4465</v>
      </c>
      <c r="AE285" s="520" t="s">
        <v>4466</v>
      </c>
      <c r="AF285" s="504" t="s">
        <v>3279</v>
      </c>
      <c r="AG285" s="494" t="s">
        <v>2917</v>
      </c>
      <c r="AH285" s="494" t="s">
        <v>2917</v>
      </c>
      <c r="AI285" s="505"/>
      <c r="AJ285" s="505"/>
      <c r="AK285" s="521">
        <f>_xll.GetCtData("COAMOUNT","CONSAMOUNT",$B$1:$B$7,$B285,AK$9,"#32965")</f>
        <v>32965</v>
      </c>
    </row>
    <row r="286" spans="2:37" ht="12" customHeight="1">
      <c r="B286" s="453" t="s">
        <v>521</v>
      </c>
      <c r="C286" s="482" t="s">
        <v>2929</v>
      </c>
      <c r="D286" s="483">
        <v>44403</v>
      </c>
      <c r="E286" s="484" t="s">
        <v>2930</v>
      </c>
      <c r="F286" s="485">
        <v>7</v>
      </c>
      <c r="G286" s="482"/>
      <c r="H286" s="482"/>
      <c r="I286" s="482"/>
      <c r="J286" s="482"/>
      <c r="K286" s="482"/>
      <c r="L286" s="482"/>
      <c r="M286" s="516"/>
      <c r="N286" s="517" t="s">
        <v>4467</v>
      </c>
      <c r="O286" s="518">
        <v>10</v>
      </c>
      <c r="P286" s="519" t="s">
        <v>704</v>
      </c>
      <c r="Q286" s="489">
        <v>66</v>
      </c>
      <c r="R286" s="519" t="s">
        <v>704</v>
      </c>
      <c r="S286" s="518">
        <f t="shared" si="20"/>
        <v>66</v>
      </c>
      <c r="T286" s="519" t="s">
        <v>4468</v>
      </c>
      <c r="U286" s="518">
        <f t="shared" si="21"/>
        <v>22</v>
      </c>
      <c r="V286" s="519" t="s">
        <v>3852</v>
      </c>
      <c r="W286" s="519" t="s">
        <v>4469</v>
      </c>
      <c r="X286" s="491">
        <f t="shared" si="22"/>
        <v>90</v>
      </c>
      <c r="Y286" s="519" t="s">
        <v>4469</v>
      </c>
      <c r="Z286" s="518">
        <f t="shared" si="23"/>
        <v>90</v>
      </c>
      <c r="AA286" s="519" t="s">
        <v>4470</v>
      </c>
      <c r="AB286" s="518">
        <f t="shared" si="24"/>
        <v>29</v>
      </c>
      <c r="AC286" s="519" t="s">
        <v>3855</v>
      </c>
      <c r="AD286" s="518" t="s">
        <v>4471</v>
      </c>
      <c r="AE286" s="520" t="s">
        <v>4472</v>
      </c>
      <c r="AF286" s="504" t="s">
        <v>3279</v>
      </c>
      <c r="AG286" s="494" t="s">
        <v>2917</v>
      </c>
      <c r="AH286" s="494" t="s">
        <v>2917</v>
      </c>
      <c r="AI286" s="505"/>
      <c r="AJ286" s="505"/>
      <c r="AK286" s="521">
        <f>_xll.GetCtData("COAMOUNT","CONSAMOUNT",$B$1:$B$7,$B286,AK$9,"#189983")</f>
        <v>189983</v>
      </c>
    </row>
    <row r="287" spans="2:37" ht="12" customHeight="1">
      <c r="B287" s="453" t="s">
        <v>522</v>
      </c>
      <c r="C287" s="482" t="s">
        <v>2929</v>
      </c>
      <c r="D287" s="483">
        <v>44403</v>
      </c>
      <c r="E287" s="484" t="s">
        <v>2930</v>
      </c>
      <c r="F287" s="485">
        <v>7</v>
      </c>
      <c r="G287" s="547"/>
      <c r="H287" s="547"/>
      <c r="I287" s="547"/>
      <c r="J287" s="547"/>
      <c r="K287" s="547"/>
      <c r="L287" s="547"/>
      <c r="M287" s="548"/>
      <c r="N287" s="517" t="s">
        <v>4473</v>
      </c>
      <c r="O287" s="518">
        <v>10</v>
      </c>
      <c r="P287" s="519" t="s">
        <v>705</v>
      </c>
      <c r="Q287" s="489">
        <v>32</v>
      </c>
      <c r="R287" s="519" t="s">
        <v>705</v>
      </c>
      <c r="S287" s="518">
        <f t="shared" si="20"/>
        <v>32</v>
      </c>
      <c r="T287" s="519" t="s">
        <v>4474</v>
      </c>
      <c r="U287" s="518">
        <f t="shared" si="21"/>
        <v>18</v>
      </c>
      <c r="V287" s="519" t="s">
        <v>3852</v>
      </c>
      <c r="W287" s="519" t="s">
        <v>4475</v>
      </c>
      <c r="X287" s="491">
        <f t="shared" si="22"/>
        <v>67</v>
      </c>
      <c r="Y287" s="519" t="s">
        <v>4475</v>
      </c>
      <c r="Z287" s="518">
        <f t="shared" si="23"/>
        <v>67</v>
      </c>
      <c r="AA287" s="519" t="s">
        <v>4476</v>
      </c>
      <c r="AB287" s="518">
        <f t="shared" si="24"/>
        <v>29</v>
      </c>
      <c r="AC287" s="519" t="s">
        <v>3855</v>
      </c>
      <c r="AD287" s="518" t="s">
        <v>4477</v>
      </c>
      <c r="AE287" s="520" t="s">
        <v>4478</v>
      </c>
      <c r="AF287" s="504" t="s">
        <v>3279</v>
      </c>
      <c r="AG287" s="494" t="s">
        <v>2917</v>
      </c>
      <c r="AH287" s="494" t="s">
        <v>2917</v>
      </c>
      <c r="AI287" s="505"/>
      <c r="AJ287" s="505"/>
      <c r="AK287" s="521">
        <f>_xll.GetCtData("COAMOUNT","CONSAMOUNT",$B$1:$B$7,$B287,AK$9,"#")</f>
        <v>0</v>
      </c>
    </row>
    <row r="288" spans="2:37" ht="12" customHeight="1">
      <c r="B288" s="453" t="s">
        <v>523</v>
      </c>
      <c r="C288" s="482" t="s">
        <v>2929</v>
      </c>
      <c r="D288" s="483">
        <v>44403</v>
      </c>
      <c r="E288" s="484" t="s">
        <v>2930</v>
      </c>
      <c r="F288" s="485">
        <v>7</v>
      </c>
      <c r="G288" s="547"/>
      <c r="H288" s="547"/>
      <c r="I288" s="547"/>
      <c r="J288" s="547"/>
      <c r="K288" s="547"/>
      <c r="L288" s="547"/>
      <c r="M288" s="548"/>
      <c r="N288" s="517" t="s">
        <v>4479</v>
      </c>
      <c r="O288" s="518">
        <v>10</v>
      </c>
      <c r="P288" s="519" t="s">
        <v>706</v>
      </c>
      <c r="Q288" s="489">
        <v>40</v>
      </c>
      <c r="R288" s="519" t="s">
        <v>706</v>
      </c>
      <c r="S288" s="518">
        <f t="shared" si="20"/>
        <v>40</v>
      </c>
      <c r="T288" s="519" t="s">
        <v>4480</v>
      </c>
      <c r="U288" s="518">
        <f t="shared" si="21"/>
        <v>18</v>
      </c>
      <c r="V288" s="519" t="s">
        <v>3852</v>
      </c>
      <c r="W288" s="519" t="s">
        <v>4481</v>
      </c>
      <c r="X288" s="491">
        <f t="shared" si="22"/>
        <v>61</v>
      </c>
      <c r="Y288" s="519" t="s">
        <v>4481</v>
      </c>
      <c r="Z288" s="518">
        <f t="shared" si="23"/>
        <v>61</v>
      </c>
      <c r="AA288" s="519" t="s">
        <v>4482</v>
      </c>
      <c r="AB288" s="518">
        <f t="shared" si="24"/>
        <v>25</v>
      </c>
      <c r="AC288" s="519" t="s">
        <v>3855</v>
      </c>
      <c r="AD288" s="518" t="s">
        <v>4483</v>
      </c>
      <c r="AE288" s="520" t="s">
        <v>4484</v>
      </c>
      <c r="AF288" s="504" t="s">
        <v>3279</v>
      </c>
      <c r="AG288" s="494" t="s">
        <v>2917</v>
      </c>
      <c r="AH288" s="494" t="s">
        <v>2917</v>
      </c>
      <c r="AI288" s="505"/>
      <c r="AJ288" s="505"/>
      <c r="AK288" s="521">
        <f>_xll.GetCtData("COAMOUNT","CONSAMOUNT",$B$1:$B$7,$B288,AK$9,"#-9129")</f>
        <v>-9129</v>
      </c>
    </row>
    <row r="289" spans="2:37" ht="12" customHeight="1">
      <c r="B289" s="453" t="s">
        <v>4485</v>
      </c>
      <c r="C289" s="482" t="s">
        <v>2911</v>
      </c>
      <c r="D289" s="483">
        <v>44378</v>
      </c>
      <c r="E289" s="484" t="s">
        <v>2912</v>
      </c>
      <c r="F289" s="485">
        <v>5</v>
      </c>
      <c r="G289" s="482"/>
      <c r="H289" s="567"/>
      <c r="I289" s="567"/>
      <c r="J289" s="567"/>
      <c r="K289" s="567"/>
      <c r="L289" s="568" t="s">
        <v>4486</v>
      </c>
      <c r="M289" s="569"/>
      <c r="N289" s="585"/>
      <c r="O289" s="571">
        <v>8</v>
      </c>
      <c r="P289" s="572" t="s">
        <v>4487</v>
      </c>
      <c r="Q289" s="489">
        <v>25</v>
      </c>
      <c r="R289" s="572" t="s">
        <v>4487</v>
      </c>
      <c r="S289" s="571">
        <f t="shared" si="20"/>
        <v>25</v>
      </c>
      <c r="T289" s="572" t="s">
        <v>4488</v>
      </c>
      <c r="U289" s="571">
        <f t="shared" si="21"/>
        <v>13</v>
      </c>
      <c r="V289" s="573" t="s">
        <v>3852</v>
      </c>
      <c r="W289" s="573" t="s">
        <v>4489</v>
      </c>
      <c r="X289" s="491">
        <f t="shared" si="22"/>
        <v>48</v>
      </c>
      <c r="Y289" s="573" t="s">
        <v>4489</v>
      </c>
      <c r="Z289" s="571">
        <f t="shared" si="23"/>
        <v>48</v>
      </c>
      <c r="AA289" s="573" t="s">
        <v>4490</v>
      </c>
      <c r="AB289" s="571">
        <f t="shared" si="24"/>
        <v>24</v>
      </c>
      <c r="AC289" s="573" t="s">
        <v>3855</v>
      </c>
      <c r="AD289" s="571"/>
      <c r="AE289" s="575"/>
      <c r="AF289" s="504"/>
      <c r="AG289" s="494" t="s">
        <v>2917</v>
      </c>
      <c r="AH289" s="495" t="s">
        <v>2918</v>
      </c>
      <c r="AI289" s="505"/>
      <c r="AJ289" s="505"/>
      <c r="AK289" s="576">
        <f>_xll.GetCtData("COAMOUNT","CONSAMOUNT",$B$1:$B$7,$B289,AK$9,"#")</f>
        <v>0</v>
      </c>
    </row>
    <row r="290" spans="2:37" ht="12" customHeight="1">
      <c r="B290" s="453" t="s">
        <v>524</v>
      </c>
      <c r="C290" s="482" t="s">
        <v>2929</v>
      </c>
      <c r="D290" s="483">
        <v>44403</v>
      </c>
      <c r="E290" s="484" t="s">
        <v>2930</v>
      </c>
      <c r="F290" s="485">
        <v>7</v>
      </c>
      <c r="G290" s="547"/>
      <c r="H290" s="547"/>
      <c r="I290" s="547"/>
      <c r="J290" s="547"/>
      <c r="K290" s="547"/>
      <c r="L290" s="547"/>
      <c r="M290" s="548"/>
      <c r="N290" s="517" t="s">
        <v>4491</v>
      </c>
      <c r="O290" s="518">
        <v>10</v>
      </c>
      <c r="P290" s="519" t="s">
        <v>707</v>
      </c>
      <c r="Q290" s="489">
        <v>48</v>
      </c>
      <c r="R290" s="519" t="s">
        <v>4492</v>
      </c>
      <c r="S290" s="518">
        <f t="shared" si="20"/>
        <v>41</v>
      </c>
      <c r="T290" s="519" t="s">
        <v>4493</v>
      </c>
      <c r="U290" s="518">
        <f t="shared" si="21"/>
        <v>20</v>
      </c>
      <c r="V290" s="519" t="s">
        <v>3852</v>
      </c>
      <c r="W290" s="519" t="s">
        <v>4494</v>
      </c>
      <c r="X290" s="491">
        <f t="shared" si="22"/>
        <v>68</v>
      </c>
      <c r="Y290" s="519" t="s">
        <v>4494</v>
      </c>
      <c r="Z290" s="518">
        <f t="shared" si="23"/>
        <v>68</v>
      </c>
      <c r="AA290" s="519" t="s">
        <v>4495</v>
      </c>
      <c r="AB290" s="518">
        <f t="shared" si="24"/>
        <v>27</v>
      </c>
      <c r="AC290" s="519" t="s">
        <v>3855</v>
      </c>
      <c r="AD290" s="518" t="s">
        <v>4496</v>
      </c>
      <c r="AE290" s="520" t="s">
        <v>4497</v>
      </c>
      <c r="AF290" s="504" t="s">
        <v>3279</v>
      </c>
      <c r="AG290" s="494" t="s">
        <v>2917</v>
      </c>
      <c r="AH290" s="494" t="s">
        <v>2917</v>
      </c>
      <c r="AI290" s="505"/>
      <c r="AJ290" s="505"/>
      <c r="AK290" s="521">
        <f>_xll.GetCtData("COAMOUNT","CONSAMOUNT",$B$1:$B$7,$B290,AK$9,"#")</f>
        <v>0</v>
      </c>
    </row>
    <row r="291" spans="2:37" ht="12" customHeight="1">
      <c r="B291" s="453" t="s">
        <v>525</v>
      </c>
      <c r="C291" s="482" t="s">
        <v>2929</v>
      </c>
      <c r="D291" s="483">
        <v>44403</v>
      </c>
      <c r="E291" s="484" t="s">
        <v>2930</v>
      </c>
      <c r="F291" s="485">
        <v>7</v>
      </c>
      <c r="G291" s="547"/>
      <c r="H291" s="547"/>
      <c r="I291" s="547"/>
      <c r="J291" s="547"/>
      <c r="K291" s="547"/>
      <c r="L291" s="547"/>
      <c r="M291" s="548"/>
      <c r="N291" s="517" t="s">
        <v>4498</v>
      </c>
      <c r="O291" s="518">
        <v>10</v>
      </c>
      <c r="P291" s="519" t="s">
        <v>708</v>
      </c>
      <c r="Q291" s="489">
        <v>42</v>
      </c>
      <c r="R291" s="519" t="s">
        <v>4499</v>
      </c>
      <c r="S291" s="518">
        <f t="shared" si="20"/>
        <v>35</v>
      </c>
      <c r="T291" s="519" t="s">
        <v>4500</v>
      </c>
      <c r="U291" s="518">
        <f t="shared" si="21"/>
        <v>19</v>
      </c>
      <c r="V291" s="519" t="s">
        <v>3852</v>
      </c>
      <c r="W291" s="519" t="s">
        <v>4501</v>
      </c>
      <c r="X291" s="491">
        <f t="shared" si="22"/>
        <v>65</v>
      </c>
      <c r="Y291" s="519" t="s">
        <v>4501</v>
      </c>
      <c r="Z291" s="518">
        <f t="shared" si="23"/>
        <v>65</v>
      </c>
      <c r="AA291" s="519" t="s">
        <v>4502</v>
      </c>
      <c r="AB291" s="518">
        <f t="shared" si="24"/>
        <v>27</v>
      </c>
      <c r="AC291" s="519" t="s">
        <v>3855</v>
      </c>
      <c r="AD291" s="518" t="s">
        <v>4503</v>
      </c>
      <c r="AE291" s="520" t="s">
        <v>4504</v>
      </c>
      <c r="AF291" s="504" t="s">
        <v>3279</v>
      </c>
      <c r="AG291" s="494" t="s">
        <v>2917</v>
      </c>
      <c r="AH291" s="494" t="s">
        <v>2917</v>
      </c>
      <c r="AI291" s="505"/>
      <c r="AJ291" s="505"/>
      <c r="AK291" s="521">
        <f>_xll.GetCtData("COAMOUNT","CONSAMOUNT",$B$1:$B$7,$B291,AK$9,"#")</f>
        <v>0</v>
      </c>
    </row>
    <row r="292" spans="2:37" ht="12" customHeight="1">
      <c r="B292" s="453" t="s">
        <v>526</v>
      </c>
      <c r="C292" s="482" t="s">
        <v>2929</v>
      </c>
      <c r="D292" s="483">
        <v>44403</v>
      </c>
      <c r="E292" s="484" t="s">
        <v>2930</v>
      </c>
      <c r="F292" s="485">
        <v>7</v>
      </c>
      <c r="G292" s="547"/>
      <c r="H292" s="547"/>
      <c r="I292" s="547"/>
      <c r="J292" s="547"/>
      <c r="K292" s="547"/>
      <c r="L292" s="547"/>
      <c r="M292" s="548"/>
      <c r="N292" s="517" t="s">
        <v>4505</v>
      </c>
      <c r="O292" s="518">
        <v>10</v>
      </c>
      <c r="P292" s="519" t="s">
        <v>709</v>
      </c>
      <c r="Q292" s="489">
        <v>66</v>
      </c>
      <c r="R292" s="519" t="s">
        <v>709</v>
      </c>
      <c r="S292" s="518">
        <f t="shared" si="20"/>
        <v>66</v>
      </c>
      <c r="T292" s="519" t="s">
        <v>4506</v>
      </c>
      <c r="U292" s="518">
        <f t="shared" si="21"/>
        <v>22</v>
      </c>
      <c r="V292" s="519" t="s">
        <v>3852</v>
      </c>
      <c r="W292" s="519" t="s">
        <v>4507</v>
      </c>
      <c r="X292" s="491">
        <f t="shared" si="22"/>
        <v>91</v>
      </c>
      <c r="Y292" s="519" t="s">
        <v>4507</v>
      </c>
      <c r="Z292" s="518">
        <f t="shared" si="23"/>
        <v>91</v>
      </c>
      <c r="AA292" s="519" t="s">
        <v>4508</v>
      </c>
      <c r="AB292" s="518">
        <f t="shared" si="24"/>
        <v>29</v>
      </c>
      <c r="AC292" s="519" t="s">
        <v>3855</v>
      </c>
      <c r="AD292" s="518" t="s">
        <v>4509</v>
      </c>
      <c r="AE292" s="520" t="s">
        <v>4510</v>
      </c>
      <c r="AF292" s="504" t="s">
        <v>3279</v>
      </c>
      <c r="AG292" s="494" t="s">
        <v>2917</v>
      </c>
      <c r="AH292" s="494" t="s">
        <v>2917</v>
      </c>
      <c r="AI292" s="505"/>
      <c r="AJ292" s="505"/>
      <c r="AK292" s="521">
        <f>_xll.GetCtData("COAMOUNT","CONSAMOUNT",$B$1:$B$7,$B292,AK$9,"#")</f>
        <v>0</v>
      </c>
    </row>
    <row r="293" spans="2:37" ht="12" customHeight="1">
      <c r="B293" s="453" t="s">
        <v>527</v>
      </c>
      <c r="C293" s="482" t="s">
        <v>2929</v>
      </c>
      <c r="D293" s="483">
        <v>44403</v>
      </c>
      <c r="E293" s="484" t="s">
        <v>2930</v>
      </c>
      <c r="F293" s="485">
        <v>7</v>
      </c>
      <c r="G293" s="547"/>
      <c r="H293" s="547"/>
      <c r="I293" s="547"/>
      <c r="J293" s="547"/>
      <c r="K293" s="547"/>
      <c r="L293" s="547"/>
      <c r="M293" s="548"/>
      <c r="N293" s="517" t="s">
        <v>4511</v>
      </c>
      <c r="O293" s="518">
        <v>10</v>
      </c>
      <c r="P293" s="519" t="s">
        <v>710</v>
      </c>
      <c r="Q293" s="489">
        <v>32</v>
      </c>
      <c r="R293" s="519" t="s">
        <v>710</v>
      </c>
      <c r="S293" s="518">
        <f t="shared" si="20"/>
        <v>32</v>
      </c>
      <c r="T293" s="519" t="s">
        <v>4512</v>
      </c>
      <c r="U293" s="518">
        <f t="shared" si="21"/>
        <v>18</v>
      </c>
      <c r="V293" s="519" t="s">
        <v>3852</v>
      </c>
      <c r="W293" s="519" t="s">
        <v>4513</v>
      </c>
      <c r="X293" s="491">
        <f t="shared" si="22"/>
        <v>67</v>
      </c>
      <c r="Y293" s="519" t="s">
        <v>4513</v>
      </c>
      <c r="Z293" s="518">
        <f t="shared" si="23"/>
        <v>67</v>
      </c>
      <c r="AA293" s="519" t="s">
        <v>4514</v>
      </c>
      <c r="AB293" s="518">
        <f t="shared" si="24"/>
        <v>29</v>
      </c>
      <c r="AC293" s="519" t="s">
        <v>3855</v>
      </c>
      <c r="AD293" s="518" t="s">
        <v>4515</v>
      </c>
      <c r="AE293" s="520" t="s">
        <v>4516</v>
      </c>
      <c r="AF293" s="504" t="s">
        <v>3279</v>
      </c>
      <c r="AG293" s="494" t="s">
        <v>2917</v>
      </c>
      <c r="AH293" s="494" t="s">
        <v>2917</v>
      </c>
      <c r="AI293" s="505"/>
      <c r="AJ293" s="505"/>
      <c r="AK293" s="521">
        <f>_xll.GetCtData("COAMOUNT","CONSAMOUNT",$B$1:$B$7,$B293,AK$9,"#")</f>
        <v>0</v>
      </c>
    </row>
    <row r="294" spans="2:37" ht="12" customHeight="1">
      <c r="B294" s="453" t="s">
        <v>528</v>
      </c>
      <c r="C294" s="482" t="s">
        <v>2929</v>
      </c>
      <c r="D294" s="483">
        <v>44403</v>
      </c>
      <c r="E294" s="484" t="s">
        <v>2930</v>
      </c>
      <c r="F294" s="485">
        <v>7</v>
      </c>
      <c r="G294" s="547"/>
      <c r="H294" s="547"/>
      <c r="I294" s="547"/>
      <c r="J294" s="547"/>
      <c r="K294" s="547"/>
      <c r="L294" s="547"/>
      <c r="M294" s="548"/>
      <c r="N294" s="517" t="s">
        <v>4517</v>
      </c>
      <c r="O294" s="518">
        <v>10</v>
      </c>
      <c r="P294" s="519" t="s">
        <v>711</v>
      </c>
      <c r="Q294" s="489">
        <v>40</v>
      </c>
      <c r="R294" s="519" t="s">
        <v>711</v>
      </c>
      <c r="S294" s="518">
        <f t="shared" si="20"/>
        <v>40</v>
      </c>
      <c r="T294" s="519" t="s">
        <v>4518</v>
      </c>
      <c r="U294" s="518">
        <f t="shared" si="21"/>
        <v>18</v>
      </c>
      <c r="V294" s="519" t="s">
        <v>3852</v>
      </c>
      <c r="W294" s="519" t="s">
        <v>4519</v>
      </c>
      <c r="X294" s="491">
        <f t="shared" si="22"/>
        <v>61</v>
      </c>
      <c r="Y294" s="519" t="s">
        <v>4519</v>
      </c>
      <c r="Z294" s="518">
        <f t="shared" si="23"/>
        <v>61</v>
      </c>
      <c r="AA294" s="519" t="s">
        <v>4520</v>
      </c>
      <c r="AB294" s="518">
        <f t="shared" si="24"/>
        <v>25</v>
      </c>
      <c r="AC294" s="519" t="s">
        <v>3855</v>
      </c>
      <c r="AD294" s="518" t="s">
        <v>4521</v>
      </c>
      <c r="AE294" s="520" t="s">
        <v>4522</v>
      </c>
      <c r="AF294" s="504" t="s">
        <v>3279</v>
      </c>
      <c r="AG294" s="494" t="s">
        <v>2917</v>
      </c>
      <c r="AH294" s="494" t="s">
        <v>2917</v>
      </c>
      <c r="AI294" s="505"/>
      <c r="AJ294" s="505"/>
      <c r="AK294" s="521">
        <f>_xll.GetCtData("COAMOUNT","CONSAMOUNT",$B$1:$B$7,$B294,AK$9,"#")</f>
        <v>0</v>
      </c>
    </row>
    <row r="295" spans="2:37" ht="12" customHeight="1">
      <c r="B295" s="453" t="s">
        <v>4523</v>
      </c>
      <c r="C295" s="482" t="s">
        <v>2911</v>
      </c>
      <c r="D295" s="483">
        <v>44378</v>
      </c>
      <c r="E295" s="484" t="s">
        <v>2912</v>
      </c>
      <c r="F295" s="485">
        <v>5</v>
      </c>
      <c r="G295" s="482"/>
      <c r="H295" s="567"/>
      <c r="I295" s="567"/>
      <c r="J295" s="567"/>
      <c r="K295" s="567"/>
      <c r="L295" s="568" t="s">
        <v>4524</v>
      </c>
      <c r="M295" s="569"/>
      <c r="N295" s="585"/>
      <c r="O295" s="571">
        <v>8</v>
      </c>
      <c r="P295" s="572" t="s">
        <v>4525</v>
      </c>
      <c r="Q295" s="489">
        <v>25</v>
      </c>
      <c r="R295" s="572" t="s">
        <v>4525</v>
      </c>
      <c r="S295" s="571">
        <f t="shared" si="20"/>
        <v>25</v>
      </c>
      <c r="T295" s="572" t="s">
        <v>4526</v>
      </c>
      <c r="U295" s="571">
        <f t="shared" si="21"/>
        <v>13</v>
      </c>
      <c r="V295" s="573" t="s">
        <v>3852</v>
      </c>
      <c r="W295" s="573" t="s">
        <v>4527</v>
      </c>
      <c r="X295" s="491">
        <f t="shared" si="22"/>
        <v>48</v>
      </c>
      <c r="Y295" s="573" t="s">
        <v>4527</v>
      </c>
      <c r="Z295" s="571">
        <f t="shared" si="23"/>
        <v>48</v>
      </c>
      <c r="AA295" s="573" t="s">
        <v>4528</v>
      </c>
      <c r="AB295" s="571">
        <f t="shared" si="24"/>
        <v>24</v>
      </c>
      <c r="AC295" s="573" t="s">
        <v>3855</v>
      </c>
      <c r="AD295" s="571"/>
      <c r="AE295" s="575"/>
      <c r="AF295" s="504"/>
      <c r="AG295" s="494" t="s">
        <v>2917</v>
      </c>
      <c r="AH295" s="495" t="s">
        <v>2918</v>
      </c>
      <c r="AI295" s="505"/>
      <c r="AJ295" s="505"/>
      <c r="AK295" s="576">
        <f>_xll.GetCtData("COAMOUNT","CONSAMOUNT",$B$1:$B$7,$B295,AK$9,"#")</f>
        <v>0</v>
      </c>
    </row>
    <row r="296" spans="2:37" ht="12" customHeight="1">
      <c r="B296" s="453" t="s">
        <v>529</v>
      </c>
      <c r="C296" s="482" t="s">
        <v>2929</v>
      </c>
      <c r="D296" s="483">
        <v>44403</v>
      </c>
      <c r="E296" s="484" t="s">
        <v>2930</v>
      </c>
      <c r="F296" s="485">
        <v>7</v>
      </c>
      <c r="G296" s="547"/>
      <c r="H296" s="547"/>
      <c r="I296" s="547"/>
      <c r="J296" s="547"/>
      <c r="K296" s="547"/>
      <c r="L296" s="547"/>
      <c r="M296" s="548"/>
      <c r="N296" s="517" t="s">
        <v>4529</v>
      </c>
      <c r="O296" s="518">
        <v>10</v>
      </c>
      <c r="P296" s="519" t="s">
        <v>712</v>
      </c>
      <c r="Q296" s="489">
        <v>48</v>
      </c>
      <c r="R296" s="519" t="s">
        <v>4530</v>
      </c>
      <c r="S296" s="518">
        <f t="shared" si="20"/>
        <v>41</v>
      </c>
      <c r="T296" s="519" t="s">
        <v>4531</v>
      </c>
      <c r="U296" s="518">
        <f t="shared" si="21"/>
        <v>20</v>
      </c>
      <c r="V296" s="519" t="s">
        <v>3852</v>
      </c>
      <c r="W296" s="519" t="s">
        <v>4532</v>
      </c>
      <c r="X296" s="491">
        <f t="shared" si="22"/>
        <v>68</v>
      </c>
      <c r="Y296" s="519" t="s">
        <v>4532</v>
      </c>
      <c r="Z296" s="518">
        <f t="shared" si="23"/>
        <v>68</v>
      </c>
      <c r="AA296" s="519" t="s">
        <v>4533</v>
      </c>
      <c r="AB296" s="518">
        <f t="shared" si="24"/>
        <v>27</v>
      </c>
      <c r="AC296" s="519" t="s">
        <v>3855</v>
      </c>
      <c r="AD296" s="518" t="s">
        <v>4534</v>
      </c>
      <c r="AE296" s="520" t="s">
        <v>4535</v>
      </c>
      <c r="AF296" s="504" t="s">
        <v>3342</v>
      </c>
      <c r="AG296" s="494" t="s">
        <v>2917</v>
      </c>
      <c r="AH296" s="494" t="s">
        <v>2917</v>
      </c>
      <c r="AI296" s="505"/>
      <c r="AJ296" s="505"/>
      <c r="AK296" s="521">
        <f>_xll.GetCtData("COAMOUNT","CONSAMOUNT",$B$1:$B$7,$B296,AK$9,"#")</f>
        <v>0</v>
      </c>
    </row>
    <row r="297" spans="2:37" ht="12" customHeight="1">
      <c r="B297" s="453" t="s">
        <v>530</v>
      </c>
      <c r="C297" s="482" t="s">
        <v>2929</v>
      </c>
      <c r="D297" s="483">
        <v>44403</v>
      </c>
      <c r="E297" s="484" t="s">
        <v>2930</v>
      </c>
      <c r="F297" s="485">
        <v>7</v>
      </c>
      <c r="G297" s="547"/>
      <c r="H297" s="547"/>
      <c r="I297" s="547"/>
      <c r="J297" s="547"/>
      <c r="K297" s="547"/>
      <c r="L297" s="547"/>
      <c r="M297" s="548"/>
      <c r="N297" s="517" t="s">
        <v>4536</v>
      </c>
      <c r="O297" s="518">
        <v>10</v>
      </c>
      <c r="P297" s="519" t="s">
        <v>713</v>
      </c>
      <c r="Q297" s="489">
        <v>42</v>
      </c>
      <c r="R297" s="519" t="s">
        <v>4537</v>
      </c>
      <c r="S297" s="518">
        <f t="shared" si="20"/>
        <v>35</v>
      </c>
      <c r="T297" s="519" t="s">
        <v>4538</v>
      </c>
      <c r="U297" s="518">
        <f t="shared" si="21"/>
        <v>19</v>
      </c>
      <c r="V297" s="519" t="s">
        <v>3852</v>
      </c>
      <c r="W297" s="519" t="s">
        <v>4539</v>
      </c>
      <c r="X297" s="491">
        <f t="shared" si="22"/>
        <v>65</v>
      </c>
      <c r="Y297" s="519" t="s">
        <v>4539</v>
      </c>
      <c r="Z297" s="518">
        <f t="shared" si="23"/>
        <v>65</v>
      </c>
      <c r="AA297" s="519" t="s">
        <v>4540</v>
      </c>
      <c r="AB297" s="518">
        <f t="shared" si="24"/>
        <v>27</v>
      </c>
      <c r="AC297" s="519" t="s">
        <v>3855</v>
      </c>
      <c r="AD297" s="518" t="s">
        <v>4541</v>
      </c>
      <c r="AE297" s="520" t="s">
        <v>4542</v>
      </c>
      <c r="AF297" s="504" t="s">
        <v>3342</v>
      </c>
      <c r="AG297" s="494" t="s">
        <v>2917</v>
      </c>
      <c r="AH297" s="494" t="s">
        <v>2917</v>
      </c>
      <c r="AI297" s="505"/>
      <c r="AJ297" s="505"/>
      <c r="AK297" s="521">
        <f>_xll.GetCtData("COAMOUNT","CONSAMOUNT",$B$1:$B$7,$B297,AK$9,"#")</f>
        <v>0</v>
      </c>
    </row>
    <row r="298" spans="2:37" ht="12" customHeight="1">
      <c r="B298" s="453" t="s">
        <v>531</v>
      </c>
      <c r="C298" s="482" t="s">
        <v>2929</v>
      </c>
      <c r="D298" s="483">
        <v>44403</v>
      </c>
      <c r="E298" s="484" t="s">
        <v>2930</v>
      </c>
      <c r="F298" s="485">
        <v>7</v>
      </c>
      <c r="G298" s="547"/>
      <c r="H298" s="547"/>
      <c r="I298" s="547"/>
      <c r="J298" s="547"/>
      <c r="K298" s="547"/>
      <c r="L298" s="547"/>
      <c r="M298" s="548"/>
      <c r="N298" s="517" t="s">
        <v>4543</v>
      </c>
      <c r="O298" s="518">
        <v>10</v>
      </c>
      <c r="P298" s="519" t="s">
        <v>714</v>
      </c>
      <c r="Q298" s="489">
        <v>66</v>
      </c>
      <c r="R298" s="519" t="s">
        <v>714</v>
      </c>
      <c r="S298" s="518">
        <f t="shared" si="20"/>
        <v>66</v>
      </c>
      <c r="T298" s="519" t="s">
        <v>4544</v>
      </c>
      <c r="U298" s="518">
        <f t="shared" si="21"/>
        <v>22</v>
      </c>
      <c r="V298" s="519" t="s">
        <v>3852</v>
      </c>
      <c r="W298" s="519" t="s">
        <v>4545</v>
      </c>
      <c r="X298" s="491">
        <f t="shared" si="22"/>
        <v>91</v>
      </c>
      <c r="Y298" s="519" t="s">
        <v>4545</v>
      </c>
      <c r="Z298" s="518">
        <f t="shared" si="23"/>
        <v>91</v>
      </c>
      <c r="AA298" s="519" t="s">
        <v>4546</v>
      </c>
      <c r="AB298" s="518">
        <f t="shared" si="24"/>
        <v>29</v>
      </c>
      <c r="AC298" s="519" t="s">
        <v>3855</v>
      </c>
      <c r="AD298" s="518" t="s">
        <v>4547</v>
      </c>
      <c r="AE298" s="520" t="s">
        <v>4548</v>
      </c>
      <c r="AF298" s="504" t="s">
        <v>3342</v>
      </c>
      <c r="AG298" s="494" t="s">
        <v>2917</v>
      </c>
      <c r="AH298" s="494" t="s">
        <v>2917</v>
      </c>
      <c r="AI298" s="505"/>
      <c r="AJ298" s="505"/>
      <c r="AK298" s="521">
        <f>_xll.GetCtData("COAMOUNT","CONSAMOUNT",$B$1:$B$7,$B298,AK$9,"#")</f>
        <v>0</v>
      </c>
    </row>
    <row r="299" spans="2:37" ht="12" customHeight="1">
      <c r="B299" s="453" t="s">
        <v>532</v>
      </c>
      <c r="C299" s="482" t="s">
        <v>2929</v>
      </c>
      <c r="D299" s="483">
        <v>44403</v>
      </c>
      <c r="E299" s="484" t="s">
        <v>2930</v>
      </c>
      <c r="F299" s="485">
        <v>7</v>
      </c>
      <c r="G299" s="547"/>
      <c r="H299" s="547"/>
      <c r="I299" s="547"/>
      <c r="J299" s="547"/>
      <c r="K299" s="547"/>
      <c r="L299" s="547"/>
      <c r="M299" s="548"/>
      <c r="N299" s="517" t="s">
        <v>4549</v>
      </c>
      <c r="O299" s="518">
        <v>10</v>
      </c>
      <c r="P299" s="519" t="s">
        <v>715</v>
      </c>
      <c r="Q299" s="489">
        <v>32</v>
      </c>
      <c r="R299" s="519" t="s">
        <v>715</v>
      </c>
      <c r="S299" s="518">
        <f t="shared" si="20"/>
        <v>32</v>
      </c>
      <c r="T299" s="519" t="s">
        <v>4550</v>
      </c>
      <c r="U299" s="518">
        <f t="shared" si="21"/>
        <v>18</v>
      </c>
      <c r="V299" s="519" t="s">
        <v>3852</v>
      </c>
      <c r="W299" s="519" t="s">
        <v>4551</v>
      </c>
      <c r="X299" s="491">
        <f t="shared" si="22"/>
        <v>67</v>
      </c>
      <c r="Y299" s="519" t="s">
        <v>4551</v>
      </c>
      <c r="Z299" s="518">
        <f t="shared" si="23"/>
        <v>67</v>
      </c>
      <c r="AA299" s="519" t="s">
        <v>4552</v>
      </c>
      <c r="AB299" s="518">
        <f t="shared" si="24"/>
        <v>29</v>
      </c>
      <c r="AC299" s="519" t="s">
        <v>3855</v>
      </c>
      <c r="AD299" s="518" t="s">
        <v>4553</v>
      </c>
      <c r="AE299" s="520" t="s">
        <v>4554</v>
      </c>
      <c r="AF299" s="504" t="s">
        <v>3342</v>
      </c>
      <c r="AG299" s="494" t="s">
        <v>2917</v>
      </c>
      <c r="AH299" s="494" t="s">
        <v>2917</v>
      </c>
      <c r="AI299" s="505"/>
      <c r="AJ299" s="505"/>
      <c r="AK299" s="521">
        <f>_xll.GetCtData("COAMOUNT","CONSAMOUNT",$B$1:$B$7,$B299,AK$9,"#")</f>
        <v>0</v>
      </c>
    </row>
    <row r="300" spans="2:37" ht="12" customHeight="1">
      <c r="B300" s="453" t="s">
        <v>533</v>
      </c>
      <c r="C300" s="482" t="s">
        <v>2929</v>
      </c>
      <c r="D300" s="483">
        <v>44403</v>
      </c>
      <c r="E300" s="484" t="s">
        <v>2930</v>
      </c>
      <c r="F300" s="485">
        <v>7</v>
      </c>
      <c r="G300" s="547"/>
      <c r="H300" s="547"/>
      <c r="I300" s="547"/>
      <c r="J300" s="547"/>
      <c r="K300" s="547"/>
      <c r="L300" s="547"/>
      <c r="M300" s="548"/>
      <c r="N300" s="517" t="s">
        <v>4555</v>
      </c>
      <c r="O300" s="518">
        <v>10</v>
      </c>
      <c r="P300" s="519" t="s">
        <v>716</v>
      </c>
      <c r="Q300" s="489">
        <v>40</v>
      </c>
      <c r="R300" s="519" t="s">
        <v>716</v>
      </c>
      <c r="S300" s="518">
        <f t="shared" si="20"/>
        <v>40</v>
      </c>
      <c r="T300" s="519" t="s">
        <v>4556</v>
      </c>
      <c r="U300" s="518">
        <f t="shared" si="21"/>
        <v>18</v>
      </c>
      <c r="V300" s="519" t="s">
        <v>3852</v>
      </c>
      <c r="W300" s="519" t="s">
        <v>4557</v>
      </c>
      <c r="X300" s="491">
        <f t="shared" si="22"/>
        <v>61</v>
      </c>
      <c r="Y300" s="519" t="s">
        <v>4557</v>
      </c>
      <c r="Z300" s="518">
        <f t="shared" si="23"/>
        <v>61</v>
      </c>
      <c r="AA300" s="519" t="s">
        <v>4558</v>
      </c>
      <c r="AB300" s="518">
        <f t="shared" si="24"/>
        <v>25</v>
      </c>
      <c r="AC300" s="519" t="s">
        <v>3855</v>
      </c>
      <c r="AD300" s="518" t="s">
        <v>4559</v>
      </c>
      <c r="AE300" s="520" t="s">
        <v>4560</v>
      </c>
      <c r="AF300" s="504" t="s">
        <v>3342</v>
      </c>
      <c r="AG300" s="494" t="s">
        <v>2917</v>
      </c>
      <c r="AH300" s="494" t="s">
        <v>2917</v>
      </c>
      <c r="AI300" s="505"/>
      <c r="AJ300" s="505"/>
      <c r="AK300" s="521">
        <f>_xll.GetCtData("COAMOUNT","CONSAMOUNT",$B$1:$B$7,$B300,AK$9,"#")</f>
        <v>0</v>
      </c>
    </row>
    <row r="301" spans="2:37" ht="12" customHeight="1">
      <c r="B301" s="453" t="s">
        <v>4561</v>
      </c>
      <c r="C301" s="482" t="s">
        <v>2911</v>
      </c>
      <c r="D301" s="483">
        <v>44378</v>
      </c>
      <c r="E301" s="484" t="s">
        <v>2912</v>
      </c>
      <c r="F301" s="485">
        <v>5</v>
      </c>
      <c r="G301" s="482"/>
      <c r="H301" s="567"/>
      <c r="I301" s="567"/>
      <c r="J301" s="567"/>
      <c r="K301" s="567"/>
      <c r="L301" s="568" t="s">
        <v>4562</v>
      </c>
      <c r="M301" s="569"/>
      <c r="N301" s="585"/>
      <c r="O301" s="571">
        <v>8</v>
      </c>
      <c r="P301" s="572" t="s">
        <v>4563</v>
      </c>
      <c r="Q301" s="489">
        <v>27</v>
      </c>
      <c r="R301" s="572" t="s">
        <v>4563</v>
      </c>
      <c r="S301" s="571">
        <f t="shared" si="20"/>
        <v>27</v>
      </c>
      <c r="T301" s="572" t="s">
        <v>4564</v>
      </c>
      <c r="U301" s="571">
        <f t="shared" si="21"/>
        <v>15</v>
      </c>
      <c r="V301" s="573" t="s">
        <v>3852</v>
      </c>
      <c r="W301" s="573" t="s">
        <v>4565</v>
      </c>
      <c r="X301" s="491">
        <f t="shared" si="22"/>
        <v>50</v>
      </c>
      <c r="Y301" s="573" t="s">
        <v>4565</v>
      </c>
      <c r="Z301" s="571">
        <f t="shared" si="23"/>
        <v>50</v>
      </c>
      <c r="AA301" s="573" t="s">
        <v>4566</v>
      </c>
      <c r="AB301" s="571">
        <f t="shared" si="24"/>
        <v>23</v>
      </c>
      <c r="AC301" s="573" t="s">
        <v>3855</v>
      </c>
      <c r="AD301" s="571"/>
      <c r="AE301" s="575"/>
      <c r="AF301" s="504"/>
      <c r="AG301" s="494" t="s">
        <v>2917</v>
      </c>
      <c r="AH301" s="495" t="s">
        <v>2918</v>
      </c>
      <c r="AI301" s="505"/>
      <c r="AJ301" s="505"/>
      <c r="AK301" s="576">
        <f>_xll.GetCtData("COAMOUNT","CONSAMOUNT",$B$1:$B$7,$B301,AK$9,"#")</f>
        <v>0</v>
      </c>
    </row>
    <row r="302" spans="2:37" ht="12" customHeight="1">
      <c r="B302" s="453" t="s">
        <v>534</v>
      </c>
      <c r="C302" s="482" t="s">
        <v>2929</v>
      </c>
      <c r="D302" s="483">
        <v>44403</v>
      </c>
      <c r="E302" s="484" t="s">
        <v>2930</v>
      </c>
      <c r="F302" s="485">
        <v>7</v>
      </c>
      <c r="G302" s="547"/>
      <c r="H302" s="547"/>
      <c r="I302" s="547"/>
      <c r="J302" s="547"/>
      <c r="K302" s="547"/>
      <c r="L302" s="547"/>
      <c r="M302" s="548"/>
      <c r="N302" s="517" t="s">
        <v>4567</v>
      </c>
      <c r="O302" s="518">
        <v>10</v>
      </c>
      <c r="P302" s="519" t="s">
        <v>717</v>
      </c>
      <c r="Q302" s="489">
        <v>50</v>
      </c>
      <c r="R302" s="519" t="s">
        <v>4568</v>
      </c>
      <c r="S302" s="518">
        <f t="shared" si="20"/>
        <v>43</v>
      </c>
      <c r="T302" s="519" t="s">
        <v>4569</v>
      </c>
      <c r="U302" s="518">
        <f t="shared" si="21"/>
        <v>22</v>
      </c>
      <c r="V302" s="519" t="s">
        <v>3852</v>
      </c>
      <c r="W302" s="519" t="s">
        <v>4570</v>
      </c>
      <c r="X302" s="491">
        <f t="shared" si="22"/>
        <v>70</v>
      </c>
      <c r="Y302" s="519" t="s">
        <v>4570</v>
      </c>
      <c r="Z302" s="518">
        <f t="shared" si="23"/>
        <v>70</v>
      </c>
      <c r="AA302" s="519" t="s">
        <v>4571</v>
      </c>
      <c r="AB302" s="518">
        <f t="shared" si="24"/>
        <v>29</v>
      </c>
      <c r="AC302" s="519" t="s">
        <v>3855</v>
      </c>
      <c r="AD302" s="518" t="s">
        <v>4534</v>
      </c>
      <c r="AE302" s="520" t="s">
        <v>4535</v>
      </c>
      <c r="AF302" s="504" t="s">
        <v>2939</v>
      </c>
      <c r="AG302" s="494" t="s">
        <v>2917</v>
      </c>
      <c r="AH302" s="494" t="s">
        <v>2917</v>
      </c>
      <c r="AI302" s="505"/>
      <c r="AJ302" s="505"/>
      <c r="AK302" s="521">
        <f>_xll.GetCtData("COAMOUNT","CONSAMOUNT",$B$1:$B$7,$B302,AK$9,"#")</f>
        <v>0</v>
      </c>
    </row>
    <row r="303" spans="2:37" ht="12" customHeight="1">
      <c r="B303" s="453" t="s">
        <v>535</v>
      </c>
      <c r="C303" s="482" t="s">
        <v>2929</v>
      </c>
      <c r="D303" s="483">
        <v>44403</v>
      </c>
      <c r="E303" s="484" t="s">
        <v>2930</v>
      </c>
      <c r="F303" s="485">
        <v>7</v>
      </c>
      <c r="G303" s="547"/>
      <c r="H303" s="547"/>
      <c r="I303" s="547"/>
      <c r="J303" s="547"/>
      <c r="K303" s="547"/>
      <c r="L303" s="547"/>
      <c r="M303" s="548"/>
      <c r="N303" s="517" t="s">
        <v>4572</v>
      </c>
      <c r="O303" s="518">
        <v>10</v>
      </c>
      <c r="P303" s="519" t="s">
        <v>718</v>
      </c>
      <c r="Q303" s="489">
        <v>44</v>
      </c>
      <c r="R303" s="519" t="s">
        <v>4573</v>
      </c>
      <c r="S303" s="518">
        <f t="shared" si="20"/>
        <v>37</v>
      </c>
      <c r="T303" s="519" t="s">
        <v>4574</v>
      </c>
      <c r="U303" s="518">
        <f t="shared" si="21"/>
        <v>21</v>
      </c>
      <c r="V303" s="519" t="s">
        <v>3852</v>
      </c>
      <c r="W303" s="519" t="s">
        <v>4575</v>
      </c>
      <c r="X303" s="491">
        <f t="shared" si="22"/>
        <v>67</v>
      </c>
      <c r="Y303" s="519" t="s">
        <v>4575</v>
      </c>
      <c r="Z303" s="518">
        <f t="shared" si="23"/>
        <v>67</v>
      </c>
      <c r="AA303" s="519" t="s">
        <v>4576</v>
      </c>
      <c r="AB303" s="518">
        <f t="shared" si="24"/>
        <v>29</v>
      </c>
      <c r="AC303" s="519" t="s">
        <v>3855</v>
      </c>
      <c r="AD303" s="518" t="s">
        <v>4541</v>
      </c>
      <c r="AE303" s="520" t="s">
        <v>4542</v>
      </c>
      <c r="AF303" s="504" t="s">
        <v>2939</v>
      </c>
      <c r="AG303" s="494" t="s">
        <v>2917</v>
      </c>
      <c r="AH303" s="494" t="s">
        <v>2917</v>
      </c>
      <c r="AI303" s="505"/>
      <c r="AJ303" s="505"/>
      <c r="AK303" s="521">
        <f>_xll.GetCtData("COAMOUNT","CONSAMOUNT",$B$1:$B$7,$B303,AK$9,"#")</f>
        <v>0</v>
      </c>
    </row>
    <row r="304" spans="2:37" ht="12" customHeight="1">
      <c r="B304" s="453" t="s">
        <v>536</v>
      </c>
      <c r="C304" s="482" t="s">
        <v>2929</v>
      </c>
      <c r="D304" s="483">
        <v>44403</v>
      </c>
      <c r="E304" s="484" t="s">
        <v>2930</v>
      </c>
      <c r="F304" s="485">
        <v>7</v>
      </c>
      <c r="G304" s="547"/>
      <c r="H304" s="547"/>
      <c r="I304" s="547"/>
      <c r="J304" s="547"/>
      <c r="K304" s="547"/>
      <c r="L304" s="547"/>
      <c r="M304" s="548"/>
      <c r="N304" s="517" t="s">
        <v>4577</v>
      </c>
      <c r="O304" s="518">
        <v>10</v>
      </c>
      <c r="P304" s="519" t="s">
        <v>719</v>
      </c>
      <c r="Q304" s="489">
        <v>68</v>
      </c>
      <c r="R304" s="519" t="s">
        <v>719</v>
      </c>
      <c r="S304" s="518">
        <f t="shared" si="20"/>
        <v>68</v>
      </c>
      <c r="T304" s="519" t="s">
        <v>4578</v>
      </c>
      <c r="U304" s="518">
        <f t="shared" si="21"/>
        <v>24</v>
      </c>
      <c r="V304" s="519" t="s">
        <v>3852</v>
      </c>
      <c r="W304" s="519" t="s">
        <v>4579</v>
      </c>
      <c r="X304" s="491">
        <f t="shared" si="22"/>
        <v>93</v>
      </c>
      <c r="Y304" s="519" t="s">
        <v>4579</v>
      </c>
      <c r="Z304" s="518">
        <f t="shared" si="23"/>
        <v>93</v>
      </c>
      <c r="AA304" s="519" t="s">
        <v>4580</v>
      </c>
      <c r="AB304" s="518">
        <f t="shared" si="24"/>
        <v>30</v>
      </c>
      <c r="AC304" s="519" t="s">
        <v>3855</v>
      </c>
      <c r="AD304" s="518" t="s">
        <v>4547</v>
      </c>
      <c r="AE304" s="520" t="s">
        <v>4548</v>
      </c>
      <c r="AF304" s="504" t="s">
        <v>2939</v>
      </c>
      <c r="AG304" s="494" t="s">
        <v>2917</v>
      </c>
      <c r="AH304" s="494" t="s">
        <v>2917</v>
      </c>
      <c r="AI304" s="505"/>
      <c r="AJ304" s="505"/>
      <c r="AK304" s="521">
        <f>_xll.GetCtData("COAMOUNT","CONSAMOUNT",$B$1:$B$7,$B304,AK$9,"#")</f>
        <v>0</v>
      </c>
    </row>
    <row r="305" spans="2:37" ht="12" customHeight="1">
      <c r="B305" s="453" t="s">
        <v>537</v>
      </c>
      <c r="C305" s="482" t="s">
        <v>2929</v>
      </c>
      <c r="D305" s="483">
        <v>44403</v>
      </c>
      <c r="E305" s="484" t="s">
        <v>2930</v>
      </c>
      <c r="F305" s="485">
        <v>7</v>
      </c>
      <c r="G305" s="547"/>
      <c r="H305" s="547"/>
      <c r="I305" s="547"/>
      <c r="J305" s="547"/>
      <c r="K305" s="547"/>
      <c r="L305" s="547"/>
      <c r="M305" s="548"/>
      <c r="N305" s="517" t="s">
        <v>4581</v>
      </c>
      <c r="O305" s="518">
        <v>10</v>
      </c>
      <c r="P305" s="519" t="s">
        <v>720</v>
      </c>
      <c r="Q305" s="489">
        <v>34</v>
      </c>
      <c r="R305" s="519" t="s">
        <v>720</v>
      </c>
      <c r="S305" s="518">
        <f t="shared" si="20"/>
        <v>34</v>
      </c>
      <c r="T305" s="519" t="s">
        <v>4582</v>
      </c>
      <c r="U305" s="518">
        <f t="shared" si="21"/>
        <v>20</v>
      </c>
      <c r="V305" s="519" t="s">
        <v>3852</v>
      </c>
      <c r="W305" s="519" t="s">
        <v>4583</v>
      </c>
      <c r="X305" s="491">
        <f t="shared" si="22"/>
        <v>69</v>
      </c>
      <c r="Y305" s="519" t="s">
        <v>4583</v>
      </c>
      <c r="Z305" s="518">
        <f t="shared" si="23"/>
        <v>69</v>
      </c>
      <c r="AA305" s="519" t="s">
        <v>4584</v>
      </c>
      <c r="AB305" s="518">
        <f t="shared" si="24"/>
        <v>30</v>
      </c>
      <c r="AC305" s="519" t="s">
        <v>3855</v>
      </c>
      <c r="AD305" s="518" t="s">
        <v>4553</v>
      </c>
      <c r="AE305" s="520" t="s">
        <v>4554</v>
      </c>
      <c r="AF305" s="504" t="s">
        <v>2939</v>
      </c>
      <c r="AG305" s="494" t="s">
        <v>2917</v>
      </c>
      <c r="AH305" s="494" t="s">
        <v>2917</v>
      </c>
      <c r="AI305" s="505"/>
      <c r="AJ305" s="505"/>
      <c r="AK305" s="521">
        <f>_xll.GetCtData("COAMOUNT","CONSAMOUNT",$B$1:$B$7,$B305,AK$9,"#")</f>
        <v>0</v>
      </c>
    </row>
    <row r="306" spans="2:37" ht="12" customHeight="1">
      <c r="B306" s="453" t="s">
        <v>538</v>
      </c>
      <c r="C306" s="482" t="s">
        <v>2929</v>
      </c>
      <c r="D306" s="483">
        <v>44403</v>
      </c>
      <c r="E306" s="484" t="s">
        <v>2930</v>
      </c>
      <c r="F306" s="485">
        <v>7</v>
      </c>
      <c r="G306" s="547"/>
      <c r="H306" s="547"/>
      <c r="I306" s="547"/>
      <c r="J306" s="547"/>
      <c r="K306" s="547"/>
      <c r="L306" s="547"/>
      <c r="M306" s="548"/>
      <c r="N306" s="517" t="s">
        <v>4585</v>
      </c>
      <c r="O306" s="518">
        <v>10</v>
      </c>
      <c r="P306" s="519" t="s">
        <v>721</v>
      </c>
      <c r="Q306" s="489">
        <v>42</v>
      </c>
      <c r="R306" s="519" t="s">
        <v>721</v>
      </c>
      <c r="S306" s="518">
        <f t="shared" si="20"/>
        <v>42</v>
      </c>
      <c r="T306" s="519" t="s">
        <v>4586</v>
      </c>
      <c r="U306" s="518">
        <f t="shared" si="21"/>
        <v>20</v>
      </c>
      <c r="V306" s="519" t="s">
        <v>3852</v>
      </c>
      <c r="W306" s="519" t="s">
        <v>4587</v>
      </c>
      <c r="X306" s="491">
        <f t="shared" si="22"/>
        <v>63</v>
      </c>
      <c r="Y306" s="519" t="s">
        <v>4587</v>
      </c>
      <c r="Z306" s="518">
        <f t="shared" si="23"/>
        <v>63</v>
      </c>
      <c r="AA306" s="519" t="s">
        <v>4588</v>
      </c>
      <c r="AB306" s="518">
        <f t="shared" si="24"/>
        <v>27</v>
      </c>
      <c r="AC306" s="519" t="s">
        <v>3855</v>
      </c>
      <c r="AD306" s="518" t="s">
        <v>4559</v>
      </c>
      <c r="AE306" s="520" t="s">
        <v>4560</v>
      </c>
      <c r="AF306" s="504" t="s">
        <v>2939</v>
      </c>
      <c r="AG306" s="494" t="s">
        <v>2917</v>
      </c>
      <c r="AH306" s="494" t="s">
        <v>2917</v>
      </c>
      <c r="AI306" s="505"/>
      <c r="AJ306" s="505"/>
      <c r="AK306" s="521">
        <f>_xll.GetCtData("COAMOUNT","CONSAMOUNT",$B$1:$B$7,$B306,AK$9,"#")</f>
        <v>0</v>
      </c>
    </row>
    <row r="307" spans="2:37" ht="12" customHeight="1">
      <c r="B307" s="453" t="s">
        <v>1162</v>
      </c>
      <c r="C307" s="482" t="s">
        <v>2911</v>
      </c>
      <c r="D307" s="483">
        <v>44378</v>
      </c>
      <c r="E307" s="484" t="s">
        <v>2912</v>
      </c>
      <c r="F307" s="485">
        <v>3</v>
      </c>
      <c r="G307" s="482"/>
      <c r="H307" s="507"/>
      <c r="I307" s="507"/>
      <c r="J307" s="532" t="s">
        <v>4589</v>
      </c>
      <c r="K307" s="532"/>
      <c r="L307" s="532"/>
      <c r="M307" s="533"/>
      <c r="N307" s="534"/>
      <c r="O307" s="535">
        <v>6</v>
      </c>
      <c r="P307" s="536" t="s">
        <v>4590</v>
      </c>
      <c r="Q307" s="489">
        <v>80</v>
      </c>
      <c r="R307" s="536" t="s">
        <v>1032</v>
      </c>
      <c r="S307" s="535">
        <f t="shared" si="20"/>
        <v>66</v>
      </c>
      <c r="T307" s="536" t="s">
        <v>4591</v>
      </c>
      <c r="U307" s="535">
        <f t="shared" si="21"/>
        <v>30</v>
      </c>
      <c r="V307" s="537" t="s">
        <v>4592</v>
      </c>
      <c r="W307" s="537" t="s">
        <v>4593</v>
      </c>
      <c r="X307" s="491">
        <f t="shared" si="22"/>
        <v>49</v>
      </c>
      <c r="Y307" s="537" t="s">
        <v>4593</v>
      </c>
      <c r="Z307" s="535">
        <f t="shared" si="23"/>
        <v>49</v>
      </c>
      <c r="AA307" s="537" t="s">
        <v>4594</v>
      </c>
      <c r="AB307" s="535">
        <f t="shared" si="24"/>
        <v>25</v>
      </c>
      <c r="AC307" s="537" t="s">
        <v>4595</v>
      </c>
      <c r="AD307" s="535"/>
      <c r="AE307" s="538"/>
      <c r="AF307" s="504"/>
      <c r="AG307" s="494" t="s">
        <v>2917</v>
      </c>
      <c r="AH307" s="495" t="s">
        <v>2918</v>
      </c>
      <c r="AI307" s="505"/>
      <c r="AJ307" s="505"/>
      <c r="AK307" s="539">
        <f>_xll.GetCtData("COAMOUNT","CONSAMOUNT",$B$1:$B$7,$B307,AK$9,"#14703844")</f>
        <v>14703844</v>
      </c>
    </row>
    <row r="308" spans="2:37" ht="12" customHeight="1">
      <c r="B308" s="453" t="s">
        <v>4596</v>
      </c>
      <c r="C308" s="482" t="s">
        <v>2911</v>
      </c>
      <c r="D308" s="483">
        <v>44378</v>
      </c>
      <c r="E308" s="484" t="s">
        <v>2912</v>
      </c>
      <c r="F308" s="485">
        <v>4</v>
      </c>
      <c r="G308" s="482"/>
      <c r="H308" s="507"/>
      <c r="I308" s="507"/>
      <c r="J308" s="507"/>
      <c r="K308" s="564" t="s">
        <v>4597</v>
      </c>
      <c r="L308" s="564"/>
      <c r="M308" s="565"/>
      <c r="N308" s="566"/>
      <c r="O308" s="558">
        <v>7</v>
      </c>
      <c r="P308" s="559" t="s">
        <v>2607</v>
      </c>
      <c r="Q308" s="489">
        <v>52</v>
      </c>
      <c r="R308" s="559" t="s">
        <v>2607</v>
      </c>
      <c r="S308" s="558">
        <f t="shared" si="20"/>
        <v>52</v>
      </c>
      <c r="T308" s="559" t="s">
        <v>4598</v>
      </c>
      <c r="U308" s="558">
        <f t="shared" si="21"/>
        <v>22</v>
      </c>
      <c r="V308" s="560" t="s">
        <v>4592</v>
      </c>
      <c r="W308" s="560" t="s">
        <v>4599</v>
      </c>
      <c r="X308" s="491">
        <f t="shared" si="22"/>
        <v>39</v>
      </c>
      <c r="Y308" s="560" t="s">
        <v>4599</v>
      </c>
      <c r="Z308" s="558">
        <f t="shared" si="23"/>
        <v>39</v>
      </c>
      <c r="AA308" s="560" t="s">
        <v>4600</v>
      </c>
      <c r="AB308" s="558">
        <f t="shared" si="24"/>
        <v>18</v>
      </c>
      <c r="AC308" s="560" t="s">
        <v>4595</v>
      </c>
      <c r="AD308" s="558"/>
      <c r="AE308" s="562"/>
      <c r="AF308" s="504"/>
      <c r="AG308" s="494" t="s">
        <v>2917</v>
      </c>
      <c r="AH308" s="495" t="s">
        <v>2918</v>
      </c>
      <c r="AI308" s="505"/>
      <c r="AJ308" s="505"/>
      <c r="AK308" s="563">
        <f>_xll.GetCtData("COAMOUNT","CONSAMOUNT",$B$1:$B$7,$B308,AK$9,"#14703844")</f>
        <v>14703844</v>
      </c>
    </row>
    <row r="309" spans="2:37" ht="12" customHeight="1">
      <c r="B309" s="453" t="s">
        <v>1155</v>
      </c>
      <c r="C309" s="482" t="s">
        <v>2911</v>
      </c>
      <c r="D309" s="483">
        <v>44378</v>
      </c>
      <c r="E309" s="484" t="s">
        <v>2912</v>
      </c>
      <c r="F309" s="485">
        <v>5</v>
      </c>
      <c r="G309" s="482"/>
      <c r="H309" s="567"/>
      <c r="I309" s="567"/>
      <c r="J309" s="567"/>
      <c r="K309" s="567"/>
      <c r="L309" s="568" t="s">
        <v>4601</v>
      </c>
      <c r="M309" s="569"/>
      <c r="N309" s="570"/>
      <c r="O309" s="571">
        <v>8</v>
      </c>
      <c r="P309" s="572" t="s">
        <v>4602</v>
      </c>
      <c r="Q309" s="489">
        <v>75</v>
      </c>
      <c r="R309" s="572" t="s">
        <v>4602</v>
      </c>
      <c r="S309" s="571">
        <f t="shared" si="20"/>
        <v>75</v>
      </c>
      <c r="T309" s="572" t="s">
        <v>4603</v>
      </c>
      <c r="U309" s="571">
        <f t="shared" si="21"/>
        <v>21</v>
      </c>
      <c r="V309" s="573" t="s">
        <v>4592</v>
      </c>
      <c r="W309" s="573" t="s">
        <v>4604</v>
      </c>
      <c r="X309" s="491">
        <f t="shared" si="22"/>
        <v>73</v>
      </c>
      <c r="Y309" s="573" t="s">
        <v>4604</v>
      </c>
      <c r="Z309" s="571">
        <f t="shared" si="23"/>
        <v>73</v>
      </c>
      <c r="AA309" s="573" t="s">
        <v>4605</v>
      </c>
      <c r="AB309" s="571">
        <f t="shared" si="24"/>
        <v>27</v>
      </c>
      <c r="AC309" s="573" t="s">
        <v>4595</v>
      </c>
      <c r="AD309" s="571"/>
      <c r="AE309" s="575"/>
      <c r="AF309" s="504"/>
      <c r="AG309" s="494" t="s">
        <v>2917</v>
      </c>
      <c r="AH309" s="495" t="s">
        <v>2918</v>
      </c>
      <c r="AI309" s="505"/>
      <c r="AJ309" s="505"/>
      <c r="AK309" s="576">
        <f>_xll.GetCtData("COAMOUNT","CONSAMOUNT",$B$1:$B$7,$B309,AK$9,"#14703844")</f>
        <v>14703844</v>
      </c>
    </row>
    <row r="310" spans="2:37" ht="12" customHeight="1">
      <c r="B310" s="453" t="s">
        <v>428</v>
      </c>
      <c r="C310" s="482" t="s">
        <v>2929</v>
      </c>
      <c r="D310" s="483">
        <v>44403</v>
      </c>
      <c r="E310" s="484" t="s">
        <v>2930</v>
      </c>
      <c r="F310" s="485">
        <v>7</v>
      </c>
      <c r="G310" s="547"/>
      <c r="H310" s="547"/>
      <c r="I310" s="547"/>
      <c r="J310" s="547"/>
      <c r="K310" s="547"/>
      <c r="L310" s="547"/>
      <c r="M310" s="548"/>
      <c r="N310" s="517" t="s">
        <v>4606</v>
      </c>
      <c r="O310" s="518">
        <v>10</v>
      </c>
      <c r="P310" s="519" t="s">
        <v>722</v>
      </c>
      <c r="Q310" s="489">
        <v>64</v>
      </c>
      <c r="R310" s="519" t="s">
        <v>4607</v>
      </c>
      <c r="S310" s="518">
        <f t="shared" si="20"/>
        <v>57</v>
      </c>
      <c r="T310" s="519" t="s">
        <v>4608</v>
      </c>
      <c r="U310" s="518">
        <f t="shared" si="21"/>
        <v>17</v>
      </c>
      <c r="V310" s="519" t="s">
        <v>4592</v>
      </c>
      <c r="W310" s="519" t="s">
        <v>4609</v>
      </c>
      <c r="X310" s="491">
        <f t="shared" si="22"/>
        <v>70</v>
      </c>
      <c r="Y310" s="519" t="s">
        <v>4609</v>
      </c>
      <c r="Z310" s="518">
        <f t="shared" si="23"/>
        <v>70</v>
      </c>
      <c r="AA310" s="519" t="s">
        <v>4610</v>
      </c>
      <c r="AB310" s="518">
        <f t="shared" si="24"/>
        <v>25</v>
      </c>
      <c r="AC310" s="519" t="s">
        <v>4595</v>
      </c>
      <c r="AD310" s="518" t="s">
        <v>4611</v>
      </c>
      <c r="AE310" s="520" t="s">
        <v>4612</v>
      </c>
      <c r="AF310" s="504" t="s">
        <v>2939</v>
      </c>
      <c r="AG310" s="494" t="s">
        <v>2917</v>
      </c>
      <c r="AH310" s="494" t="s">
        <v>2917</v>
      </c>
      <c r="AI310" s="505"/>
      <c r="AJ310" s="505"/>
      <c r="AK310" s="521">
        <f>_xll.GetCtData("COAMOUNT","CONSAMOUNT",$B$1:$B$7,$B310,AK$9,"#9759201")</f>
        <v>9759201</v>
      </c>
    </row>
    <row r="311" spans="2:37" ht="12" customHeight="1">
      <c r="B311" s="453" t="s">
        <v>429</v>
      </c>
      <c r="C311" s="482" t="s">
        <v>2929</v>
      </c>
      <c r="D311" s="483">
        <v>44403</v>
      </c>
      <c r="E311" s="484" t="s">
        <v>2930</v>
      </c>
      <c r="F311" s="485">
        <v>7</v>
      </c>
      <c r="G311" s="547"/>
      <c r="H311" s="547"/>
      <c r="I311" s="547"/>
      <c r="J311" s="547"/>
      <c r="K311" s="547"/>
      <c r="L311" s="547"/>
      <c r="M311" s="548"/>
      <c r="N311" s="517" t="s">
        <v>4613</v>
      </c>
      <c r="O311" s="518">
        <v>10</v>
      </c>
      <c r="P311" s="519" t="s">
        <v>723</v>
      </c>
      <c r="Q311" s="489">
        <v>58</v>
      </c>
      <c r="R311" s="519" t="s">
        <v>4614</v>
      </c>
      <c r="S311" s="518">
        <f t="shared" si="20"/>
        <v>51</v>
      </c>
      <c r="T311" s="519" t="s">
        <v>4615</v>
      </c>
      <c r="U311" s="518">
        <f t="shared" si="21"/>
        <v>15</v>
      </c>
      <c r="V311" s="519" t="s">
        <v>4592</v>
      </c>
      <c r="W311" s="519" t="s">
        <v>4616</v>
      </c>
      <c r="X311" s="491">
        <f t="shared" si="22"/>
        <v>69</v>
      </c>
      <c r="Y311" s="519" t="s">
        <v>4616</v>
      </c>
      <c r="Z311" s="518">
        <f t="shared" si="23"/>
        <v>69</v>
      </c>
      <c r="AA311" s="519" t="s">
        <v>4617</v>
      </c>
      <c r="AB311" s="518">
        <f t="shared" si="24"/>
        <v>28</v>
      </c>
      <c r="AC311" s="519" t="s">
        <v>4595</v>
      </c>
      <c r="AD311" s="518" t="s">
        <v>4618</v>
      </c>
      <c r="AE311" s="520" t="s">
        <v>4619</v>
      </c>
      <c r="AF311" s="504" t="s">
        <v>2939</v>
      </c>
      <c r="AG311" s="494" t="s">
        <v>2917</v>
      </c>
      <c r="AH311" s="494" t="s">
        <v>2917</v>
      </c>
      <c r="AI311" s="505"/>
      <c r="AJ311" s="505"/>
      <c r="AK311" s="521">
        <f>_xll.GetCtData("COAMOUNT","CONSAMOUNT",$B$1:$B$7,$B311,AK$9,"#4944643")</f>
        <v>4944643</v>
      </c>
    </row>
    <row r="312" spans="2:37" ht="12" customHeight="1">
      <c r="B312" s="453" t="s">
        <v>1156</v>
      </c>
      <c r="C312" s="482" t="s">
        <v>2911</v>
      </c>
      <c r="D312" s="483">
        <v>44378</v>
      </c>
      <c r="E312" s="484" t="s">
        <v>2912</v>
      </c>
      <c r="F312" s="485">
        <v>5</v>
      </c>
      <c r="G312" s="482"/>
      <c r="H312" s="567"/>
      <c r="I312" s="567"/>
      <c r="J312" s="567"/>
      <c r="K312" s="567"/>
      <c r="L312" s="568" t="s">
        <v>4620</v>
      </c>
      <c r="M312" s="569"/>
      <c r="N312" s="570"/>
      <c r="O312" s="571">
        <v>8</v>
      </c>
      <c r="P312" s="572" t="s">
        <v>4621</v>
      </c>
      <c r="Q312" s="489">
        <v>95</v>
      </c>
      <c r="R312" s="572" t="s">
        <v>4621</v>
      </c>
      <c r="S312" s="571">
        <f t="shared" si="20"/>
        <v>95</v>
      </c>
      <c r="T312" s="572" t="s">
        <v>4622</v>
      </c>
      <c r="U312" s="571">
        <f t="shared" si="21"/>
        <v>30</v>
      </c>
      <c r="V312" s="573" t="s">
        <v>4592</v>
      </c>
      <c r="W312" s="573" t="s">
        <v>4623</v>
      </c>
      <c r="X312" s="491">
        <f t="shared" si="22"/>
        <v>70</v>
      </c>
      <c r="Y312" s="573" t="s">
        <v>4624</v>
      </c>
      <c r="Z312" s="571">
        <f t="shared" si="23"/>
        <v>70</v>
      </c>
      <c r="AA312" s="573" t="s">
        <v>4625</v>
      </c>
      <c r="AB312" s="571">
        <f t="shared" si="24"/>
        <v>29</v>
      </c>
      <c r="AC312" s="573" t="s">
        <v>4595</v>
      </c>
      <c r="AD312" s="571"/>
      <c r="AE312" s="575"/>
      <c r="AF312" s="504"/>
      <c r="AG312" s="494" t="s">
        <v>2917</v>
      </c>
      <c r="AH312" s="495" t="s">
        <v>2918</v>
      </c>
      <c r="AI312" s="505"/>
      <c r="AJ312" s="505"/>
      <c r="AK312" s="576">
        <f>_xll.GetCtData("COAMOUNT","CONSAMOUNT",$B$1:$B$7,$B312,AK$9,"#0")</f>
        <v>0</v>
      </c>
    </row>
    <row r="313" spans="2:37" ht="12" customHeight="1">
      <c r="B313" s="453" t="s">
        <v>430</v>
      </c>
      <c r="C313" s="482" t="s">
        <v>2929</v>
      </c>
      <c r="D313" s="483">
        <v>44403</v>
      </c>
      <c r="E313" s="484" t="s">
        <v>2930</v>
      </c>
      <c r="F313" s="485">
        <v>7</v>
      </c>
      <c r="G313" s="547"/>
      <c r="H313" s="547"/>
      <c r="I313" s="547"/>
      <c r="J313" s="547"/>
      <c r="K313" s="547"/>
      <c r="L313" s="547"/>
      <c r="M313" s="548"/>
      <c r="N313" s="517" t="s">
        <v>4626</v>
      </c>
      <c r="O313" s="518">
        <v>10</v>
      </c>
      <c r="P313" s="519" t="s">
        <v>724</v>
      </c>
      <c r="Q313" s="489">
        <v>84</v>
      </c>
      <c r="R313" s="519" t="s">
        <v>4627</v>
      </c>
      <c r="S313" s="518">
        <f t="shared" si="20"/>
        <v>77</v>
      </c>
      <c r="T313" s="519" t="s">
        <v>4628</v>
      </c>
      <c r="U313" s="518">
        <f t="shared" si="21"/>
        <v>27</v>
      </c>
      <c r="V313" s="519" t="s">
        <v>4592</v>
      </c>
      <c r="W313" s="519" t="s">
        <v>4629</v>
      </c>
      <c r="X313" s="491">
        <f t="shared" si="22"/>
        <v>67</v>
      </c>
      <c r="Y313" s="519" t="s">
        <v>4630</v>
      </c>
      <c r="Z313" s="518">
        <f t="shared" si="23"/>
        <v>67</v>
      </c>
      <c r="AA313" s="519" t="s">
        <v>4631</v>
      </c>
      <c r="AB313" s="518">
        <f t="shared" si="24"/>
        <v>25</v>
      </c>
      <c r="AC313" s="519" t="s">
        <v>4595</v>
      </c>
      <c r="AD313" s="518" t="s">
        <v>4632</v>
      </c>
      <c r="AE313" s="520" t="s">
        <v>4633</v>
      </c>
      <c r="AF313" s="504" t="s">
        <v>2939</v>
      </c>
      <c r="AG313" s="494" t="s">
        <v>2917</v>
      </c>
      <c r="AH313" s="494" t="s">
        <v>2917</v>
      </c>
      <c r="AI313" s="505"/>
      <c r="AJ313" s="505"/>
      <c r="AK313" s="521">
        <f>_xll.GetCtData("COAMOUNT","CONSAMOUNT",$B$1:$B$7,$B313,AK$9,"#0")</f>
        <v>0</v>
      </c>
    </row>
    <row r="314" spans="2:37" ht="12" customHeight="1">
      <c r="B314" s="453" t="s">
        <v>431</v>
      </c>
      <c r="C314" s="482" t="s">
        <v>2929</v>
      </c>
      <c r="D314" s="483">
        <v>44403</v>
      </c>
      <c r="E314" s="484" t="s">
        <v>2930</v>
      </c>
      <c r="F314" s="485">
        <v>7</v>
      </c>
      <c r="G314" s="577"/>
      <c r="H314" s="577"/>
      <c r="I314" s="577"/>
      <c r="J314" s="577"/>
      <c r="K314" s="577"/>
      <c r="L314" s="577"/>
      <c r="M314" s="578"/>
      <c r="N314" s="517" t="s">
        <v>4634</v>
      </c>
      <c r="O314" s="518">
        <v>10</v>
      </c>
      <c r="P314" s="519" t="s">
        <v>725</v>
      </c>
      <c r="Q314" s="489">
        <v>70</v>
      </c>
      <c r="R314" s="519" t="s">
        <v>725</v>
      </c>
      <c r="S314" s="518">
        <f t="shared" si="20"/>
        <v>70</v>
      </c>
      <c r="T314" s="519" t="s">
        <v>4635</v>
      </c>
      <c r="U314" s="518">
        <f t="shared" si="21"/>
        <v>25</v>
      </c>
      <c r="V314" s="519" t="s">
        <v>4592</v>
      </c>
      <c r="W314" s="519" t="s">
        <v>4636</v>
      </c>
      <c r="X314" s="491">
        <f t="shared" si="22"/>
        <v>66</v>
      </c>
      <c r="Y314" s="519" t="s">
        <v>4637</v>
      </c>
      <c r="Z314" s="518">
        <f t="shared" si="23"/>
        <v>66</v>
      </c>
      <c r="AA314" s="519" t="s">
        <v>4638</v>
      </c>
      <c r="AB314" s="518">
        <f t="shared" si="24"/>
        <v>28</v>
      </c>
      <c r="AC314" s="519" t="s">
        <v>4595</v>
      </c>
      <c r="AD314" s="518" t="s">
        <v>4639</v>
      </c>
      <c r="AE314" s="520" t="s">
        <v>4640</v>
      </c>
      <c r="AF314" s="504" t="s">
        <v>2939</v>
      </c>
      <c r="AG314" s="494" t="s">
        <v>2917</v>
      </c>
      <c r="AH314" s="494" t="s">
        <v>2917</v>
      </c>
      <c r="AI314" s="505"/>
      <c r="AJ314" s="505"/>
      <c r="AK314" s="521">
        <f>_xll.GetCtData("COAMOUNT","CONSAMOUNT",$B$1:$B$7,$B314,AK$9,"#")</f>
        <v>0</v>
      </c>
    </row>
    <row r="315" spans="2:37" ht="12" customHeight="1">
      <c r="B315" s="453" t="s">
        <v>1157</v>
      </c>
      <c r="C315" s="482" t="s">
        <v>2911</v>
      </c>
      <c r="D315" s="483">
        <v>44378</v>
      </c>
      <c r="E315" s="484" t="s">
        <v>2912</v>
      </c>
      <c r="F315" s="485">
        <v>5</v>
      </c>
      <c r="G315" s="482"/>
      <c r="H315" s="567"/>
      <c r="I315" s="567"/>
      <c r="J315" s="567"/>
      <c r="K315" s="567"/>
      <c r="L315" s="568" t="s">
        <v>4641</v>
      </c>
      <c r="M315" s="569"/>
      <c r="N315" s="570"/>
      <c r="O315" s="571">
        <v>8</v>
      </c>
      <c r="P315" s="572" t="s">
        <v>4642</v>
      </c>
      <c r="Q315" s="489">
        <v>95</v>
      </c>
      <c r="R315" s="572" t="s">
        <v>4642</v>
      </c>
      <c r="S315" s="571">
        <f t="shared" si="20"/>
        <v>95</v>
      </c>
      <c r="T315" s="572" t="s">
        <v>4643</v>
      </c>
      <c r="U315" s="571">
        <f t="shared" si="21"/>
        <v>28</v>
      </c>
      <c r="V315" s="573" t="s">
        <v>4592</v>
      </c>
      <c r="W315" s="573" t="s">
        <v>4644</v>
      </c>
      <c r="X315" s="491">
        <f t="shared" si="22"/>
        <v>86</v>
      </c>
      <c r="Y315" s="573" t="s">
        <v>4644</v>
      </c>
      <c r="Z315" s="571">
        <f t="shared" si="23"/>
        <v>86</v>
      </c>
      <c r="AA315" s="573" t="s">
        <v>4645</v>
      </c>
      <c r="AB315" s="571">
        <f t="shared" si="24"/>
        <v>30</v>
      </c>
      <c r="AC315" s="573" t="s">
        <v>4595</v>
      </c>
      <c r="AD315" s="571"/>
      <c r="AE315" s="575"/>
      <c r="AF315" s="504"/>
      <c r="AG315" s="494" t="s">
        <v>2917</v>
      </c>
      <c r="AH315" s="495" t="s">
        <v>2918</v>
      </c>
      <c r="AI315" s="505"/>
      <c r="AJ315" s="505"/>
      <c r="AK315" s="576">
        <f>_xll.GetCtData("COAMOUNT","CONSAMOUNT",$B$1:$B$7,$B315,AK$9,"#0")</f>
        <v>0</v>
      </c>
    </row>
    <row r="316" spans="2:37" ht="12" customHeight="1">
      <c r="B316" s="453" t="s">
        <v>432</v>
      </c>
      <c r="C316" s="482" t="s">
        <v>2929</v>
      </c>
      <c r="D316" s="483">
        <v>44403</v>
      </c>
      <c r="E316" s="484" t="s">
        <v>2930</v>
      </c>
      <c r="F316" s="485">
        <v>7</v>
      </c>
      <c r="G316" s="547"/>
      <c r="H316" s="547"/>
      <c r="I316" s="547"/>
      <c r="J316" s="547"/>
      <c r="K316" s="547"/>
      <c r="L316" s="547"/>
      <c r="M316" s="548"/>
      <c r="N316" s="517" t="s">
        <v>4646</v>
      </c>
      <c r="O316" s="518">
        <v>10</v>
      </c>
      <c r="P316" s="519" t="s">
        <v>726</v>
      </c>
      <c r="Q316" s="489">
        <v>84</v>
      </c>
      <c r="R316" s="519" t="s">
        <v>4647</v>
      </c>
      <c r="S316" s="518">
        <f t="shared" si="20"/>
        <v>77</v>
      </c>
      <c r="T316" s="519" t="s">
        <v>4648</v>
      </c>
      <c r="U316" s="518">
        <f t="shared" si="21"/>
        <v>24</v>
      </c>
      <c r="V316" s="519" t="s">
        <v>4592</v>
      </c>
      <c r="W316" s="519" t="s">
        <v>4649</v>
      </c>
      <c r="X316" s="491">
        <f t="shared" si="22"/>
        <v>83</v>
      </c>
      <c r="Y316" s="519" t="s">
        <v>4649</v>
      </c>
      <c r="Z316" s="518">
        <f t="shared" si="23"/>
        <v>83</v>
      </c>
      <c r="AA316" s="519" t="s">
        <v>4650</v>
      </c>
      <c r="AB316" s="518">
        <f t="shared" si="24"/>
        <v>25</v>
      </c>
      <c r="AC316" s="519" t="s">
        <v>4595</v>
      </c>
      <c r="AD316" s="518" t="s">
        <v>4651</v>
      </c>
      <c r="AE316" s="520" t="s">
        <v>4652</v>
      </c>
      <c r="AF316" s="504" t="s">
        <v>2939</v>
      </c>
      <c r="AG316" s="494" t="s">
        <v>2917</v>
      </c>
      <c r="AH316" s="494" t="s">
        <v>2917</v>
      </c>
      <c r="AI316" s="505"/>
      <c r="AJ316" s="505"/>
      <c r="AK316" s="521">
        <f>_xll.GetCtData("COAMOUNT","CONSAMOUNT",$B$1:$B$7,$B316,AK$9,"#0")</f>
        <v>0</v>
      </c>
    </row>
    <row r="317" spans="2:37" ht="12" customHeight="1">
      <c r="B317" s="453" t="s">
        <v>433</v>
      </c>
      <c r="C317" s="482" t="s">
        <v>2929</v>
      </c>
      <c r="D317" s="483">
        <v>44403</v>
      </c>
      <c r="E317" s="484" t="s">
        <v>2930</v>
      </c>
      <c r="F317" s="485">
        <v>7</v>
      </c>
      <c r="G317" s="547"/>
      <c r="H317" s="547"/>
      <c r="I317" s="547"/>
      <c r="J317" s="547"/>
      <c r="K317" s="547"/>
      <c r="L317" s="547"/>
      <c r="M317" s="548"/>
      <c r="N317" s="517" t="s">
        <v>4653</v>
      </c>
      <c r="O317" s="518">
        <v>10</v>
      </c>
      <c r="P317" s="519" t="s">
        <v>727</v>
      </c>
      <c r="Q317" s="489">
        <v>78</v>
      </c>
      <c r="R317" s="519" t="s">
        <v>4654</v>
      </c>
      <c r="S317" s="518">
        <f t="shared" si="20"/>
        <v>71</v>
      </c>
      <c r="T317" s="519" t="s">
        <v>4655</v>
      </c>
      <c r="U317" s="518">
        <f t="shared" si="21"/>
        <v>22</v>
      </c>
      <c r="V317" s="519" t="s">
        <v>4592</v>
      </c>
      <c r="W317" s="519" t="s">
        <v>4656</v>
      </c>
      <c r="X317" s="491">
        <f t="shared" si="22"/>
        <v>82</v>
      </c>
      <c r="Y317" s="519" t="s">
        <v>4656</v>
      </c>
      <c r="Z317" s="518">
        <f t="shared" si="23"/>
        <v>82</v>
      </c>
      <c r="AA317" s="519" t="s">
        <v>4657</v>
      </c>
      <c r="AB317" s="518">
        <f t="shared" si="24"/>
        <v>26</v>
      </c>
      <c r="AC317" s="519" t="s">
        <v>4595</v>
      </c>
      <c r="AD317" s="518" t="s">
        <v>4658</v>
      </c>
      <c r="AE317" s="520" t="s">
        <v>4659</v>
      </c>
      <c r="AF317" s="504" t="s">
        <v>2939</v>
      </c>
      <c r="AG317" s="494" t="s">
        <v>2917</v>
      </c>
      <c r="AH317" s="494" t="s">
        <v>2917</v>
      </c>
      <c r="AI317" s="505"/>
      <c r="AJ317" s="505"/>
      <c r="AK317" s="521">
        <f>_xll.GetCtData("COAMOUNT","CONSAMOUNT",$B$1:$B$7,$B317,AK$9,"#0")</f>
        <v>0</v>
      </c>
    </row>
    <row r="318" spans="2:37" ht="12" customHeight="1">
      <c r="B318" s="453" t="s">
        <v>1158</v>
      </c>
      <c r="C318" s="482" t="s">
        <v>2911</v>
      </c>
      <c r="D318" s="483">
        <v>44378</v>
      </c>
      <c r="E318" s="484" t="s">
        <v>2912</v>
      </c>
      <c r="F318" s="485">
        <v>5</v>
      </c>
      <c r="G318" s="482"/>
      <c r="H318" s="567"/>
      <c r="I318" s="567"/>
      <c r="J318" s="567"/>
      <c r="K318" s="567"/>
      <c r="L318" s="568" t="s">
        <v>4660</v>
      </c>
      <c r="M318" s="569"/>
      <c r="N318" s="570"/>
      <c r="O318" s="571">
        <v>8</v>
      </c>
      <c r="P318" s="572" t="s">
        <v>4661</v>
      </c>
      <c r="Q318" s="489">
        <v>61</v>
      </c>
      <c r="R318" s="572" t="s">
        <v>4661</v>
      </c>
      <c r="S318" s="571">
        <f t="shared" si="20"/>
        <v>61</v>
      </c>
      <c r="T318" s="572" t="s">
        <v>4662</v>
      </c>
      <c r="U318" s="571">
        <f t="shared" si="21"/>
        <v>30</v>
      </c>
      <c r="V318" s="573" t="s">
        <v>4592</v>
      </c>
      <c r="W318" s="573" t="s">
        <v>4663</v>
      </c>
      <c r="X318" s="491">
        <f t="shared" si="22"/>
        <v>47</v>
      </c>
      <c r="Y318" s="573" t="s">
        <v>4663</v>
      </c>
      <c r="Z318" s="571">
        <f t="shared" si="23"/>
        <v>47</v>
      </c>
      <c r="AA318" s="573" t="s">
        <v>4664</v>
      </c>
      <c r="AB318" s="571">
        <f t="shared" si="24"/>
        <v>24</v>
      </c>
      <c r="AC318" s="573" t="s">
        <v>4595</v>
      </c>
      <c r="AD318" s="571"/>
      <c r="AE318" s="575"/>
      <c r="AF318" s="504"/>
      <c r="AG318" s="494" t="s">
        <v>2917</v>
      </c>
      <c r="AH318" s="495" t="s">
        <v>2918</v>
      </c>
      <c r="AI318" s="505"/>
      <c r="AJ318" s="505"/>
      <c r="AK318" s="576">
        <f>_xll.GetCtData("COAMOUNT","CONSAMOUNT",$B$1:$B$7,$B318,AK$9,"#0")</f>
        <v>0</v>
      </c>
    </row>
    <row r="319" spans="2:37" ht="12" customHeight="1">
      <c r="B319" s="453" t="s">
        <v>434</v>
      </c>
      <c r="C319" s="482" t="s">
        <v>2929</v>
      </c>
      <c r="D319" s="483">
        <v>44403</v>
      </c>
      <c r="E319" s="484" t="s">
        <v>2930</v>
      </c>
      <c r="F319" s="485">
        <v>7</v>
      </c>
      <c r="G319" s="547"/>
      <c r="H319" s="547"/>
      <c r="I319" s="547"/>
      <c r="J319" s="547"/>
      <c r="K319" s="547"/>
      <c r="L319" s="547"/>
      <c r="M319" s="548"/>
      <c r="N319" s="517" t="s">
        <v>4665</v>
      </c>
      <c r="O319" s="518">
        <v>10</v>
      </c>
      <c r="P319" s="519" t="s">
        <v>728</v>
      </c>
      <c r="Q319" s="489">
        <v>50</v>
      </c>
      <c r="R319" s="519" t="s">
        <v>4666</v>
      </c>
      <c r="S319" s="518">
        <f t="shared" si="20"/>
        <v>43</v>
      </c>
      <c r="T319" s="519" t="s">
        <v>4667</v>
      </c>
      <c r="U319" s="518">
        <f t="shared" si="21"/>
        <v>27</v>
      </c>
      <c r="V319" s="519" t="s">
        <v>4592</v>
      </c>
      <c r="W319" s="519" t="s">
        <v>4668</v>
      </c>
      <c r="X319" s="491">
        <f t="shared" si="22"/>
        <v>44</v>
      </c>
      <c r="Y319" s="519" t="s">
        <v>4668</v>
      </c>
      <c r="Z319" s="518">
        <f t="shared" si="23"/>
        <v>44</v>
      </c>
      <c r="AA319" s="519" t="s">
        <v>4669</v>
      </c>
      <c r="AB319" s="518">
        <f t="shared" si="24"/>
        <v>17</v>
      </c>
      <c r="AC319" s="519" t="s">
        <v>4595</v>
      </c>
      <c r="AD319" s="518" t="s">
        <v>4651</v>
      </c>
      <c r="AE319" s="520" t="s">
        <v>4652</v>
      </c>
      <c r="AF319" s="504" t="s">
        <v>2939</v>
      </c>
      <c r="AG319" s="494" t="s">
        <v>2917</v>
      </c>
      <c r="AH319" s="494" t="s">
        <v>2917</v>
      </c>
      <c r="AI319" s="505"/>
      <c r="AJ319" s="505"/>
      <c r="AK319" s="521">
        <f>_xll.GetCtData("COAMOUNT","CONSAMOUNT",$B$1:$B$7,$B319,AK$9,"#0")</f>
        <v>0</v>
      </c>
    </row>
    <row r="320" spans="2:37" ht="12" customHeight="1">
      <c r="B320" s="453" t="s">
        <v>435</v>
      </c>
      <c r="C320" s="482" t="s">
        <v>2929</v>
      </c>
      <c r="D320" s="483">
        <v>44403</v>
      </c>
      <c r="E320" s="484" t="s">
        <v>2930</v>
      </c>
      <c r="F320" s="485">
        <v>7</v>
      </c>
      <c r="G320" s="547"/>
      <c r="H320" s="547"/>
      <c r="I320" s="547"/>
      <c r="J320" s="547"/>
      <c r="K320" s="547"/>
      <c r="L320" s="547"/>
      <c r="M320" s="548"/>
      <c r="N320" s="517" t="s">
        <v>4670</v>
      </c>
      <c r="O320" s="518">
        <v>10</v>
      </c>
      <c r="P320" s="519" t="s">
        <v>729</v>
      </c>
      <c r="Q320" s="489">
        <v>44</v>
      </c>
      <c r="R320" s="519" t="s">
        <v>4671</v>
      </c>
      <c r="S320" s="518">
        <f t="shared" si="20"/>
        <v>37</v>
      </c>
      <c r="T320" s="519" t="s">
        <v>4672</v>
      </c>
      <c r="U320" s="518">
        <f t="shared" si="21"/>
        <v>25</v>
      </c>
      <c r="V320" s="519" t="s">
        <v>4592</v>
      </c>
      <c r="W320" s="519" t="s">
        <v>4673</v>
      </c>
      <c r="X320" s="491">
        <f t="shared" si="22"/>
        <v>43</v>
      </c>
      <c r="Y320" s="519" t="s">
        <v>4673</v>
      </c>
      <c r="Z320" s="518">
        <f t="shared" si="23"/>
        <v>43</v>
      </c>
      <c r="AA320" s="519" t="s">
        <v>4674</v>
      </c>
      <c r="AB320" s="518">
        <f t="shared" si="24"/>
        <v>20</v>
      </c>
      <c r="AC320" s="519" t="s">
        <v>4595</v>
      </c>
      <c r="AD320" s="518" t="s">
        <v>4658</v>
      </c>
      <c r="AE320" s="520" t="s">
        <v>4659</v>
      </c>
      <c r="AF320" s="504" t="s">
        <v>2939</v>
      </c>
      <c r="AG320" s="494" t="s">
        <v>2917</v>
      </c>
      <c r="AH320" s="494" t="s">
        <v>2917</v>
      </c>
      <c r="AI320" s="505"/>
      <c r="AJ320" s="505"/>
      <c r="AK320" s="521">
        <f>_xll.GetCtData("COAMOUNT","CONSAMOUNT",$B$1:$B$7,$B320,AK$9,"#")</f>
        <v>0</v>
      </c>
    </row>
    <row r="321" spans="2:37" ht="12" customHeight="1">
      <c r="B321" s="453" t="s">
        <v>877</v>
      </c>
      <c r="C321" s="482" t="s">
        <v>2911</v>
      </c>
      <c r="D321" s="483">
        <v>44378</v>
      </c>
      <c r="E321" s="484" t="s">
        <v>2912</v>
      </c>
      <c r="F321" s="485">
        <v>2</v>
      </c>
      <c r="G321" s="482"/>
      <c r="H321" s="507"/>
      <c r="I321" s="508" t="s">
        <v>4675</v>
      </c>
      <c r="J321" s="508"/>
      <c r="K321" s="508"/>
      <c r="L321" s="508"/>
      <c r="M321" s="509"/>
      <c r="N321" s="510"/>
      <c r="O321" s="511">
        <v>5</v>
      </c>
      <c r="P321" s="512" t="s">
        <v>1439</v>
      </c>
      <c r="Q321" s="489">
        <v>44</v>
      </c>
      <c r="R321" s="512" t="s">
        <v>1439</v>
      </c>
      <c r="S321" s="511">
        <f t="shared" si="20"/>
        <v>44</v>
      </c>
      <c r="T321" s="512" t="s">
        <v>4676</v>
      </c>
      <c r="U321" s="511">
        <f t="shared" si="21"/>
        <v>27</v>
      </c>
      <c r="V321" s="513" t="s">
        <v>4677</v>
      </c>
      <c r="W321" s="513" t="s">
        <v>4678</v>
      </c>
      <c r="X321" s="491">
        <f t="shared" si="22"/>
        <v>34</v>
      </c>
      <c r="Y321" s="513" t="s">
        <v>4678</v>
      </c>
      <c r="Z321" s="511">
        <f t="shared" si="23"/>
        <v>34</v>
      </c>
      <c r="AA321" s="513" t="s">
        <v>4679</v>
      </c>
      <c r="AB321" s="511">
        <f t="shared" si="24"/>
        <v>17</v>
      </c>
      <c r="AC321" s="549" t="s">
        <v>4680</v>
      </c>
      <c r="AD321" s="511"/>
      <c r="AE321" s="514"/>
      <c r="AF321" s="504"/>
      <c r="AG321" s="494" t="s">
        <v>2917</v>
      </c>
      <c r="AH321" s="495" t="s">
        <v>2918</v>
      </c>
      <c r="AI321" s="505"/>
      <c r="AJ321" s="505"/>
      <c r="AK321" s="515">
        <f>_xll.GetCtData("COAMOUNT","CONSAMOUNT",$B$1:$B$7,$B321,AK$9,"#184517524,971654")</f>
        <v>184517524</v>
      </c>
    </row>
    <row r="322" spans="2:37" ht="12" customHeight="1">
      <c r="B322" s="453" t="s">
        <v>1225</v>
      </c>
      <c r="C322" s="482" t="s">
        <v>2911</v>
      </c>
      <c r="D322" s="483">
        <v>44378</v>
      </c>
      <c r="E322" s="484" t="s">
        <v>2912</v>
      </c>
      <c r="F322" s="485">
        <v>3</v>
      </c>
      <c r="G322" s="482"/>
      <c r="H322" s="507"/>
      <c r="I322" s="507"/>
      <c r="J322" s="532" t="s">
        <v>4681</v>
      </c>
      <c r="K322" s="532"/>
      <c r="L322" s="532"/>
      <c r="M322" s="533"/>
      <c r="N322" s="534"/>
      <c r="O322" s="535">
        <v>6</v>
      </c>
      <c r="P322" s="536" t="s">
        <v>1167</v>
      </c>
      <c r="Q322" s="489">
        <v>40</v>
      </c>
      <c r="R322" s="536" t="s">
        <v>1167</v>
      </c>
      <c r="S322" s="535">
        <f t="shared" si="20"/>
        <v>40</v>
      </c>
      <c r="T322" s="536" t="s">
        <v>4682</v>
      </c>
      <c r="U322" s="535">
        <f t="shared" si="21"/>
        <v>22</v>
      </c>
      <c r="V322" s="537" t="s">
        <v>4677</v>
      </c>
      <c r="W322" s="537" t="s">
        <v>4678</v>
      </c>
      <c r="X322" s="491">
        <f t="shared" si="22"/>
        <v>34</v>
      </c>
      <c r="Y322" s="537" t="s">
        <v>4678</v>
      </c>
      <c r="Z322" s="535">
        <f t="shared" si="23"/>
        <v>34</v>
      </c>
      <c r="AA322" s="537" t="s">
        <v>4679</v>
      </c>
      <c r="AB322" s="535">
        <f t="shared" si="24"/>
        <v>17</v>
      </c>
      <c r="AC322" s="554" t="s">
        <v>4680</v>
      </c>
      <c r="AD322" s="535"/>
      <c r="AE322" s="538"/>
      <c r="AF322" s="504"/>
      <c r="AG322" s="494" t="s">
        <v>2917</v>
      </c>
      <c r="AH322" s="495" t="s">
        <v>2918</v>
      </c>
      <c r="AI322" s="505"/>
      <c r="AJ322" s="505"/>
      <c r="AK322" s="539">
        <f>_xll.GetCtData("COAMOUNT","CONSAMOUNT",$B$1:$B$7,$B322,AK$9,"#181574617,971654")</f>
        <v>181574617</v>
      </c>
    </row>
    <row r="323" spans="2:37" ht="12" customHeight="1">
      <c r="B323" s="453" t="s">
        <v>4683</v>
      </c>
      <c r="C323" s="482" t="s">
        <v>2911</v>
      </c>
      <c r="D323" s="483">
        <v>44378</v>
      </c>
      <c r="E323" s="484" t="s">
        <v>2912</v>
      </c>
      <c r="F323" s="485">
        <v>4</v>
      </c>
      <c r="G323" s="482"/>
      <c r="H323" s="507"/>
      <c r="I323" s="507"/>
      <c r="J323" s="507"/>
      <c r="K323" s="564" t="s">
        <v>4684</v>
      </c>
      <c r="L323" s="564"/>
      <c r="M323" s="565"/>
      <c r="N323" s="566"/>
      <c r="O323" s="558">
        <v>7</v>
      </c>
      <c r="P323" s="559" t="s">
        <v>4685</v>
      </c>
      <c r="Q323" s="489">
        <v>35</v>
      </c>
      <c r="R323" s="559" t="s">
        <v>1033</v>
      </c>
      <c r="S323" s="558">
        <f t="shared" si="20"/>
        <v>25</v>
      </c>
      <c r="T323" s="559" t="s">
        <v>4686</v>
      </c>
      <c r="U323" s="558">
        <f t="shared" si="21"/>
        <v>21</v>
      </c>
      <c r="V323" s="560" t="s">
        <v>4677</v>
      </c>
      <c r="W323" s="560" t="s">
        <v>4687</v>
      </c>
      <c r="X323" s="491">
        <f t="shared" si="22"/>
        <v>23</v>
      </c>
      <c r="Y323" s="560" t="s">
        <v>4687</v>
      </c>
      <c r="Z323" s="558">
        <f t="shared" si="23"/>
        <v>23</v>
      </c>
      <c r="AA323" s="560" t="s">
        <v>4688</v>
      </c>
      <c r="AB323" s="558">
        <f t="shared" si="24"/>
        <v>14</v>
      </c>
      <c r="AC323" s="561" t="s">
        <v>4680</v>
      </c>
      <c r="AD323" s="558"/>
      <c r="AE323" s="562"/>
      <c r="AF323" s="504"/>
      <c r="AG323" s="494" t="s">
        <v>2917</v>
      </c>
      <c r="AH323" s="495" t="s">
        <v>2918</v>
      </c>
      <c r="AI323" s="505"/>
      <c r="AJ323" s="505"/>
      <c r="AK323" s="563">
        <f>_xll.GetCtData("COAMOUNT","CONSAMOUNT",$B$1:$B$7,$B323,AK$9,"#90721524,845652")</f>
        <v>90721524</v>
      </c>
    </row>
    <row r="324" spans="2:37" ht="12" customHeight="1">
      <c r="B324" s="453" t="s">
        <v>4689</v>
      </c>
      <c r="C324" s="482" t="s">
        <v>2911</v>
      </c>
      <c r="D324" s="483">
        <v>44378</v>
      </c>
      <c r="E324" s="484" t="s">
        <v>2912</v>
      </c>
      <c r="F324" s="485">
        <v>5</v>
      </c>
      <c r="G324" s="482"/>
      <c r="H324" s="567"/>
      <c r="I324" s="567"/>
      <c r="J324" s="567"/>
      <c r="K324" s="567"/>
      <c r="L324" s="568" t="s">
        <v>4690</v>
      </c>
      <c r="M324" s="569"/>
      <c r="N324" s="570"/>
      <c r="O324" s="571">
        <v>8</v>
      </c>
      <c r="P324" s="572" t="s">
        <v>4691</v>
      </c>
      <c r="Q324" s="489">
        <v>49</v>
      </c>
      <c r="R324" s="572" t="s">
        <v>4692</v>
      </c>
      <c r="S324" s="571">
        <f t="shared" si="20"/>
        <v>39</v>
      </c>
      <c r="T324" s="572" t="s">
        <v>4693</v>
      </c>
      <c r="U324" s="571">
        <f t="shared" si="21"/>
        <v>23</v>
      </c>
      <c r="V324" s="573" t="s">
        <v>4677</v>
      </c>
      <c r="W324" s="573" t="s">
        <v>4694</v>
      </c>
      <c r="X324" s="491">
        <f t="shared" si="22"/>
        <v>33</v>
      </c>
      <c r="Y324" s="573" t="s">
        <v>4694</v>
      </c>
      <c r="Z324" s="571">
        <f t="shared" si="23"/>
        <v>33</v>
      </c>
      <c r="AA324" s="573" t="s">
        <v>4695</v>
      </c>
      <c r="AB324" s="571">
        <f t="shared" si="24"/>
        <v>15</v>
      </c>
      <c r="AC324" s="573" t="s">
        <v>4680</v>
      </c>
      <c r="AD324" s="571"/>
      <c r="AE324" s="575"/>
      <c r="AF324" s="504"/>
      <c r="AG324" s="494" t="s">
        <v>2917</v>
      </c>
      <c r="AH324" s="495" t="s">
        <v>2918</v>
      </c>
      <c r="AI324" s="505"/>
      <c r="AJ324" s="505"/>
      <c r="AK324" s="576">
        <f>_xll.GetCtData("COAMOUNT","CONSAMOUNT",$B$1:$B$7,$B324,AK$9,"#74482998,3147928")</f>
        <v>74482998</v>
      </c>
    </row>
    <row r="325" spans="2:37" ht="12" customHeight="1">
      <c r="B325" s="453" t="s">
        <v>4696</v>
      </c>
      <c r="C325" s="482" t="s">
        <v>2911</v>
      </c>
      <c r="D325" s="483">
        <v>44378</v>
      </c>
      <c r="E325" s="484" t="s">
        <v>2912</v>
      </c>
      <c r="F325" s="485">
        <v>6</v>
      </c>
      <c r="G325" s="482"/>
      <c r="H325" s="567"/>
      <c r="I325" s="567"/>
      <c r="J325" s="567"/>
      <c r="K325" s="567"/>
      <c r="L325" s="567"/>
      <c r="M325" s="592" t="s">
        <v>4697</v>
      </c>
      <c r="N325" s="593"/>
      <c r="O325" s="594">
        <v>9</v>
      </c>
      <c r="P325" s="595" t="s">
        <v>4698</v>
      </c>
      <c r="Q325" s="489">
        <v>59</v>
      </c>
      <c r="R325" s="595" t="s">
        <v>452</v>
      </c>
      <c r="S325" s="594">
        <f t="shared" si="20"/>
        <v>49</v>
      </c>
      <c r="T325" s="595" t="s">
        <v>4699</v>
      </c>
      <c r="U325" s="594">
        <f t="shared" si="21"/>
        <v>20</v>
      </c>
      <c r="V325" s="596" t="s">
        <v>4677</v>
      </c>
      <c r="W325" s="596" t="s">
        <v>4700</v>
      </c>
      <c r="X325" s="491">
        <f t="shared" si="22"/>
        <v>57</v>
      </c>
      <c r="Y325" s="596" t="s">
        <v>4700</v>
      </c>
      <c r="Z325" s="594">
        <f t="shared" si="23"/>
        <v>57</v>
      </c>
      <c r="AA325" s="596" t="s">
        <v>4701</v>
      </c>
      <c r="AB325" s="594">
        <f t="shared" si="24"/>
        <v>19</v>
      </c>
      <c r="AC325" s="596" t="s">
        <v>4680</v>
      </c>
      <c r="AD325" s="594"/>
      <c r="AE325" s="597"/>
      <c r="AF325" s="504"/>
      <c r="AG325" s="494" t="s">
        <v>2917</v>
      </c>
      <c r="AH325" s="495" t="s">
        <v>2918</v>
      </c>
      <c r="AI325" s="505"/>
      <c r="AJ325" s="505"/>
      <c r="AK325" s="598">
        <f>_xll.GetCtData("COAMOUNT","CONSAMOUNT",$B$1:$B$7,$B325,AK$9,"#665395,635988393")</f>
        <v>665395</v>
      </c>
    </row>
    <row r="326" spans="2:37" ht="12" customHeight="1">
      <c r="B326" s="453" t="s">
        <v>314</v>
      </c>
      <c r="C326" s="482" t="s">
        <v>2929</v>
      </c>
      <c r="D326" s="483">
        <v>44403</v>
      </c>
      <c r="E326" s="484" t="s">
        <v>2930</v>
      </c>
      <c r="F326" s="485">
        <v>7</v>
      </c>
      <c r="G326" s="547"/>
      <c r="H326" s="547"/>
      <c r="I326" s="547"/>
      <c r="J326" s="547"/>
      <c r="K326" s="547"/>
      <c r="L326" s="547"/>
      <c r="M326" s="548"/>
      <c r="N326" s="517" t="s">
        <v>4702</v>
      </c>
      <c r="O326" s="518">
        <v>10</v>
      </c>
      <c r="P326" s="519" t="s">
        <v>4703</v>
      </c>
      <c r="Q326" s="489">
        <v>82</v>
      </c>
      <c r="R326" s="519" t="s">
        <v>584</v>
      </c>
      <c r="S326" s="518">
        <f t="shared" si="20"/>
        <v>65</v>
      </c>
      <c r="T326" s="519" t="s">
        <v>4704</v>
      </c>
      <c r="U326" s="518">
        <f t="shared" si="21"/>
        <v>28</v>
      </c>
      <c r="V326" s="519" t="s">
        <v>4677</v>
      </c>
      <c r="W326" s="519" t="s">
        <v>4705</v>
      </c>
      <c r="X326" s="491">
        <f t="shared" si="22"/>
        <v>75</v>
      </c>
      <c r="Y326" s="519" t="s">
        <v>4705</v>
      </c>
      <c r="Z326" s="518">
        <f t="shared" si="23"/>
        <v>75</v>
      </c>
      <c r="AA326" s="519" t="s">
        <v>4706</v>
      </c>
      <c r="AB326" s="518">
        <f t="shared" si="24"/>
        <v>22</v>
      </c>
      <c r="AC326" s="519" t="s">
        <v>4680</v>
      </c>
      <c r="AD326" s="518" t="s">
        <v>4707</v>
      </c>
      <c r="AE326" s="520" t="s">
        <v>4708</v>
      </c>
      <c r="AF326" s="504" t="s">
        <v>2939</v>
      </c>
      <c r="AG326" s="494" t="s">
        <v>2917</v>
      </c>
      <c r="AH326" s="494" t="s">
        <v>2917</v>
      </c>
      <c r="AI326" s="505"/>
      <c r="AJ326" s="505"/>
      <c r="AK326" s="521">
        <f>_xll.GetCtData("COAMOUNT","CONSAMOUNT",$B$1:$B$7,$B326,AK$9,"#677685,549351474")</f>
        <v>677685</v>
      </c>
    </row>
    <row r="327" spans="2:37" ht="12" customHeight="1">
      <c r="B327" s="453" t="s">
        <v>315</v>
      </c>
      <c r="C327" s="482" t="s">
        <v>2929</v>
      </c>
      <c r="D327" s="483">
        <v>44403</v>
      </c>
      <c r="E327" s="484" t="s">
        <v>2930</v>
      </c>
      <c r="F327" s="485">
        <v>7</v>
      </c>
      <c r="G327" s="547"/>
      <c r="H327" s="547"/>
      <c r="I327" s="547"/>
      <c r="J327" s="547"/>
      <c r="K327" s="547"/>
      <c r="L327" s="547"/>
      <c r="M327" s="548"/>
      <c r="N327" s="517" t="s">
        <v>4709</v>
      </c>
      <c r="O327" s="518">
        <v>10</v>
      </c>
      <c r="P327" s="519" t="s">
        <v>4710</v>
      </c>
      <c r="Q327" s="489">
        <v>76</v>
      </c>
      <c r="R327" s="519" t="s">
        <v>585</v>
      </c>
      <c r="S327" s="518">
        <f t="shared" si="20"/>
        <v>59</v>
      </c>
      <c r="T327" s="519" t="s">
        <v>4711</v>
      </c>
      <c r="U327" s="518">
        <f t="shared" si="21"/>
        <v>26</v>
      </c>
      <c r="V327" s="519" t="s">
        <v>4677</v>
      </c>
      <c r="W327" s="519" t="s">
        <v>4712</v>
      </c>
      <c r="X327" s="491">
        <f t="shared" si="22"/>
        <v>74</v>
      </c>
      <c r="Y327" s="519" t="s">
        <v>4712</v>
      </c>
      <c r="Z327" s="518">
        <f t="shared" si="23"/>
        <v>74</v>
      </c>
      <c r="AA327" s="519" t="s">
        <v>4713</v>
      </c>
      <c r="AB327" s="518">
        <f t="shared" si="24"/>
        <v>25</v>
      </c>
      <c r="AC327" s="519" t="s">
        <v>4680</v>
      </c>
      <c r="AD327" s="518" t="s">
        <v>4707</v>
      </c>
      <c r="AE327" s="520" t="s">
        <v>4708</v>
      </c>
      <c r="AF327" s="504" t="s">
        <v>2939</v>
      </c>
      <c r="AG327" s="494" t="s">
        <v>2917</v>
      </c>
      <c r="AH327" s="494" t="s">
        <v>2917</v>
      </c>
      <c r="AI327" s="505"/>
      <c r="AJ327" s="505"/>
      <c r="AK327" s="521">
        <f>_xll.GetCtData("COAMOUNT","CONSAMOUNT",$B$1:$B$7,$B327,AK$9,"#-20745,8008448454")</f>
        <v>-20745</v>
      </c>
    </row>
    <row r="328" spans="2:37" ht="12" customHeight="1">
      <c r="B328" s="453" t="s">
        <v>316</v>
      </c>
      <c r="C328" s="482" t="s">
        <v>2929</v>
      </c>
      <c r="D328" s="483">
        <v>44403</v>
      </c>
      <c r="E328" s="484" t="s">
        <v>2930</v>
      </c>
      <c r="F328" s="485">
        <v>7</v>
      </c>
      <c r="G328" s="547"/>
      <c r="H328" s="547"/>
      <c r="I328" s="547"/>
      <c r="J328" s="547"/>
      <c r="K328" s="547"/>
      <c r="L328" s="547"/>
      <c r="M328" s="548"/>
      <c r="N328" s="517" t="s">
        <v>4714</v>
      </c>
      <c r="O328" s="518">
        <v>10</v>
      </c>
      <c r="P328" s="519" t="s">
        <v>4715</v>
      </c>
      <c r="Q328" s="489">
        <v>100</v>
      </c>
      <c r="R328" s="519" t="s">
        <v>586</v>
      </c>
      <c r="S328" s="518">
        <f t="shared" si="20"/>
        <v>90</v>
      </c>
      <c r="T328" s="519" t="s">
        <v>4716</v>
      </c>
      <c r="U328" s="518">
        <f t="shared" si="21"/>
        <v>28</v>
      </c>
      <c r="V328" s="519" t="s">
        <v>4677</v>
      </c>
      <c r="W328" s="519" t="s">
        <v>4717</v>
      </c>
      <c r="X328" s="491">
        <f t="shared" si="22"/>
        <v>112</v>
      </c>
      <c r="Y328" s="519" t="s">
        <v>4717</v>
      </c>
      <c r="Z328" s="518">
        <f t="shared" si="23"/>
        <v>112</v>
      </c>
      <c r="AA328" s="519" t="s">
        <v>4718</v>
      </c>
      <c r="AB328" s="518">
        <f t="shared" si="24"/>
        <v>24</v>
      </c>
      <c r="AC328" s="519" t="s">
        <v>4680</v>
      </c>
      <c r="AD328" s="518" t="s">
        <v>4707</v>
      </c>
      <c r="AE328" s="520" t="s">
        <v>4708</v>
      </c>
      <c r="AF328" s="504" t="s">
        <v>2939</v>
      </c>
      <c r="AG328" s="494" t="s">
        <v>2917</v>
      </c>
      <c r="AH328" s="494" t="s">
        <v>2917</v>
      </c>
      <c r="AI328" s="505"/>
      <c r="AJ328" s="505"/>
      <c r="AK328" s="521">
        <f>_xll.GetCtData("COAMOUNT","CONSAMOUNT",$B$1:$B$7,$B328,AK$9,"#-17268")</f>
        <v>-17268</v>
      </c>
    </row>
    <row r="329" spans="2:37" ht="12" customHeight="1">
      <c r="B329" s="453" t="s">
        <v>317</v>
      </c>
      <c r="C329" s="482" t="s">
        <v>2929</v>
      </c>
      <c r="D329" s="483">
        <v>44403</v>
      </c>
      <c r="E329" s="484" t="s">
        <v>2930</v>
      </c>
      <c r="F329" s="485">
        <v>7</v>
      </c>
      <c r="G329" s="547"/>
      <c r="H329" s="547"/>
      <c r="I329" s="547"/>
      <c r="J329" s="547"/>
      <c r="K329" s="547"/>
      <c r="L329" s="547"/>
      <c r="M329" s="548"/>
      <c r="N329" s="517" t="s">
        <v>4719</v>
      </c>
      <c r="O329" s="518">
        <v>10</v>
      </c>
      <c r="P329" s="519" t="s">
        <v>4720</v>
      </c>
      <c r="Q329" s="489">
        <v>66</v>
      </c>
      <c r="R329" s="519" t="s">
        <v>587</v>
      </c>
      <c r="S329" s="518">
        <f t="shared" si="20"/>
        <v>56</v>
      </c>
      <c r="T329" s="519" t="s">
        <v>4721</v>
      </c>
      <c r="U329" s="518">
        <f t="shared" si="21"/>
        <v>28</v>
      </c>
      <c r="V329" s="519" t="s">
        <v>4677</v>
      </c>
      <c r="W329" s="519" t="s">
        <v>4722</v>
      </c>
      <c r="X329" s="491">
        <f t="shared" si="22"/>
        <v>76</v>
      </c>
      <c r="Y329" s="519" t="s">
        <v>4722</v>
      </c>
      <c r="Z329" s="518">
        <f t="shared" si="23"/>
        <v>76</v>
      </c>
      <c r="AA329" s="519" t="s">
        <v>4723</v>
      </c>
      <c r="AB329" s="518">
        <f t="shared" si="24"/>
        <v>27</v>
      </c>
      <c r="AC329" s="519" t="s">
        <v>4680</v>
      </c>
      <c r="AD329" s="518" t="s">
        <v>4707</v>
      </c>
      <c r="AE329" s="520" t="s">
        <v>4708</v>
      </c>
      <c r="AF329" s="504" t="s">
        <v>2939</v>
      </c>
      <c r="AG329" s="494" t="s">
        <v>2917</v>
      </c>
      <c r="AH329" s="494" t="s">
        <v>2917</v>
      </c>
      <c r="AI329" s="505"/>
      <c r="AJ329" s="505"/>
      <c r="AK329" s="521">
        <f>_xll.GetCtData("COAMOUNT","CONSAMOUNT",$B$1:$B$7,$B329,AK$9,"#25723,8874817638")</f>
        <v>25723</v>
      </c>
    </row>
    <row r="330" spans="2:37" ht="12" customHeight="1">
      <c r="B330" s="453" t="s">
        <v>4724</v>
      </c>
      <c r="C330" s="482" t="s">
        <v>2911</v>
      </c>
      <c r="D330" s="483">
        <v>44378</v>
      </c>
      <c r="E330" s="484" t="s">
        <v>2912</v>
      </c>
      <c r="F330" s="485">
        <v>6</v>
      </c>
      <c r="G330" s="482"/>
      <c r="H330" s="567"/>
      <c r="I330" s="567"/>
      <c r="J330" s="567"/>
      <c r="K330" s="567"/>
      <c r="L330" s="567"/>
      <c r="M330" s="592" t="s">
        <v>4725</v>
      </c>
      <c r="N330" s="593"/>
      <c r="O330" s="594">
        <v>9</v>
      </c>
      <c r="P330" s="595" t="s">
        <v>4726</v>
      </c>
      <c r="Q330" s="489">
        <v>66</v>
      </c>
      <c r="R330" s="595" t="s">
        <v>2589</v>
      </c>
      <c r="S330" s="594">
        <f t="shared" si="20"/>
        <v>56</v>
      </c>
      <c r="T330" s="595" t="s">
        <v>4727</v>
      </c>
      <c r="U330" s="594">
        <f t="shared" si="21"/>
        <v>21</v>
      </c>
      <c r="V330" s="596" t="s">
        <v>4677</v>
      </c>
      <c r="W330" s="596" t="s">
        <v>4728</v>
      </c>
      <c r="X330" s="491">
        <f t="shared" si="22"/>
        <v>47</v>
      </c>
      <c r="Y330" s="596" t="s">
        <v>4728</v>
      </c>
      <c r="Z330" s="594">
        <f t="shared" si="23"/>
        <v>47</v>
      </c>
      <c r="AA330" s="596" t="s">
        <v>4729</v>
      </c>
      <c r="AB330" s="594">
        <f t="shared" si="24"/>
        <v>21</v>
      </c>
      <c r="AC330" s="596" t="s">
        <v>4680</v>
      </c>
      <c r="AD330" s="594"/>
      <c r="AE330" s="597"/>
      <c r="AF330" s="504"/>
      <c r="AG330" s="494" t="s">
        <v>2917</v>
      </c>
      <c r="AH330" s="495" t="s">
        <v>2918</v>
      </c>
      <c r="AI330" s="505"/>
      <c r="AJ330" s="505"/>
      <c r="AK330" s="598">
        <f>_xll.GetCtData("COAMOUNT","CONSAMOUNT",$B$1:$B$7,$B330,AK$9,"#7349615,25354831")</f>
        <v>7349615</v>
      </c>
    </row>
    <row r="331" spans="2:37" ht="12" customHeight="1">
      <c r="B331" s="453" t="s">
        <v>318</v>
      </c>
      <c r="C331" s="482" t="s">
        <v>2929</v>
      </c>
      <c r="D331" s="483">
        <v>44403</v>
      </c>
      <c r="E331" s="484" t="s">
        <v>2930</v>
      </c>
      <c r="F331" s="485">
        <v>7</v>
      </c>
      <c r="G331" s="547"/>
      <c r="H331" s="547"/>
      <c r="I331" s="547"/>
      <c r="J331" s="547"/>
      <c r="K331" s="547"/>
      <c r="L331" s="547"/>
      <c r="M331" s="548"/>
      <c r="N331" s="517" t="s">
        <v>4730</v>
      </c>
      <c r="O331" s="518">
        <v>10</v>
      </c>
      <c r="P331" s="519" t="s">
        <v>4731</v>
      </c>
      <c r="Q331" s="489">
        <v>89</v>
      </c>
      <c r="R331" s="519" t="s">
        <v>588</v>
      </c>
      <c r="S331" s="518">
        <f t="shared" si="20"/>
        <v>72</v>
      </c>
      <c r="T331" s="519" t="s">
        <v>4732</v>
      </c>
      <c r="U331" s="518">
        <f t="shared" si="21"/>
        <v>29</v>
      </c>
      <c r="V331" s="519" t="s">
        <v>4677</v>
      </c>
      <c r="W331" s="519" t="s">
        <v>4733</v>
      </c>
      <c r="X331" s="491">
        <f t="shared" si="22"/>
        <v>65</v>
      </c>
      <c r="Y331" s="519" t="s">
        <v>4733</v>
      </c>
      <c r="Z331" s="518">
        <f t="shared" si="23"/>
        <v>65</v>
      </c>
      <c r="AA331" s="519" t="s">
        <v>4734</v>
      </c>
      <c r="AB331" s="518">
        <f t="shared" si="24"/>
        <v>24</v>
      </c>
      <c r="AC331" s="519" t="s">
        <v>4680</v>
      </c>
      <c r="AD331" s="518" t="s">
        <v>4735</v>
      </c>
      <c r="AE331" s="520" t="s">
        <v>4736</v>
      </c>
      <c r="AF331" s="504" t="s">
        <v>2939</v>
      </c>
      <c r="AG331" s="494" t="s">
        <v>2917</v>
      </c>
      <c r="AH331" s="494" t="s">
        <v>2917</v>
      </c>
      <c r="AI331" s="505"/>
      <c r="AJ331" s="505"/>
      <c r="AK331" s="521">
        <f>_xll.GetCtData("COAMOUNT","CONSAMOUNT",$B$1:$B$7,$B331,AK$9,"#7306157,06688734")</f>
        <v>7306157</v>
      </c>
    </row>
    <row r="332" spans="2:37" ht="12" customHeight="1">
      <c r="B332" s="453" t="s">
        <v>319</v>
      </c>
      <c r="C332" s="482" t="s">
        <v>2929</v>
      </c>
      <c r="D332" s="483">
        <v>44403</v>
      </c>
      <c r="E332" s="484" t="s">
        <v>2930</v>
      </c>
      <c r="F332" s="485">
        <v>7</v>
      </c>
      <c r="G332" s="547"/>
      <c r="H332" s="547"/>
      <c r="I332" s="547"/>
      <c r="J332" s="547"/>
      <c r="K332" s="547"/>
      <c r="L332" s="547"/>
      <c r="M332" s="548"/>
      <c r="N332" s="517" t="s">
        <v>4737</v>
      </c>
      <c r="O332" s="518">
        <v>10</v>
      </c>
      <c r="P332" s="519" t="s">
        <v>4738</v>
      </c>
      <c r="Q332" s="489">
        <v>83</v>
      </c>
      <c r="R332" s="519" t="s">
        <v>589</v>
      </c>
      <c r="S332" s="518">
        <f t="shared" ref="S332:S395" si="25">LEN(R332)</f>
        <v>66</v>
      </c>
      <c r="T332" s="519" t="s">
        <v>4739</v>
      </c>
      <c r="U332" s="518">
        <f t="shared" ref="U332:U395" si="26">LEN(T332)</f>
        <v>27</v>
      </c>
      <c r="V332" s="519" t="s">
        <v>4677</v>
      </c>
      <c r="W332" s="519" t="s">
        <v>4740</v>
      </c>
      <c r="X332" s="491">
        <f t="shared" ref="X332:X395" si="27">LEN(W332)</f>
        <v>64</v>
      </c>
      <c r="Y332" s="519" t="s">
        <v>4740</v>
      </c>
      <c r="Z332" s="518">
        <f t="shared" ref="Z332:Z395" si="28">LEN(Y332)</f>
        <v>64</v>
      </c>
      <c r="AA332" s="519" t="s">
        <v>4741</v>
      </c>
      <c r="AB332" s="518">
        <f t="shared" ref="AB332:AB395" si="29">LEN(AA332)</f>
        <v>27</v>
      </c>
      <c r="AC332" s="519" t="s">
        <v>4680</v>
      </c>
      <c r="AD332" s="518" t="s">
        <v>4735</v>
      </c>
      <c r="AE332" s="520" t="s">
        <v>4736</v>
      </c>
      <c r="AF332" s="504" t="s">
        <v>2939</v>
      </c>
      <c r="AG332" s="494" t="s">
        <v>2917</v>
      </c>
      <c r="AH332" s="494" t="s">
        <v>2917</v>
      </c>
      <c r="AI332" s="505"/>
      <c r="AJ332" s="505"/>
      <c r="AK332" s="521">
        <f>_xll.GetCtData("COAMOUNT","CONSAMOUNT",$B$1:$B$7,$B332,AK$9,"#-39374,5927072814")</f>
        <v>-39374</v>
      </c>
    </row>
    <row r="333" spans="2:37" ht="12" customHeight="1">
      <c r="B333" s="453" t="s">
        <v>320</v>
      </c>
      <c r="C333" s="482" t="s">
        <v>2929</v>
      </c>
      <c r="D333" s="483">
        <v>44403</v>
      </c>
      <c r="E333" s="484" t="s">
        <v>2930</v>
      </c>
      <c r="F333" s="485">
        <v>7</v>
      </c>
      <c r="G333" s="547"/>
      <c r="H333" s="547"/>
      <c r="I333" s="547"/>
      <c r="J333" s="547"/>
      <c r="K333" s="547"/>
      <c r="L333" s="547"/>
      <c r="M333" s="548"/>
      <c r="N333" s="517" t="s">
        <v>4742</v>
      </c>
      <c r="O333" s="518">
        <v>10</v>
      </c>
      <c r="P333" s="519" t="s">
        <v>4743</v>
      </c>
      <c r="Q333" s="489">
        <v>107</v>
      </c>
      <c r="R333" s="519" t="s">
        <v>590</v>
      </c>
      <c r="S333" s="518">
        <f t="shared" si="25"/>
        <v>97</v>
      </c>
      <c r="T333" s="519" t="s">
        <v>4744</v>
      </c>
      <c r="U333" s="518">
        <f t="shared" si="26"/>
        <v>29</v>
      </c>
      <c r="V333" s="519" t="s">
        <v>4677</v>
      </c>
      <c r="W333" s="519" t="s">
        <v>4745</v>
      </c>
      <c r="X333" s="491">
        <f t="shared" si="27"/>
        <v>101</v>
      </c>
      <c r="Y333" s="519" t="s">
        <v>4745</v>
      </c>
      <c r="Z333" s="518">
        <f t="shared" si="28"/>
        <v>101</v>
      </c>
      <c r="AA333" s="519" t="s">
        <v>4746</v>
      </c>
      <c r="AB333" s="518">
        <f t="shared" si="29"/>
        <v>26</v>
      </c>
      <c r="AC333" s="519" t="s">
        <v>4680</v>
      </c>
      <c r="AD333" s="518" t="s">
        <v>4735</v>
      </c>
      <c r="AE333" s="520" t="s">
        <v>4736</v>
      </c>
      <c r="AF333" s="504" t="s">
        <v>2939</v>
      </c>
      <c r="AG333" s="494" t="s">
        <v>2917</v>
      </c>
      <c r="AH333" s="494" t="s">
        <v>2917</v>
      </c>
      <c r="AI333" s="505"/>
      <c r="AJ333" s="505"/>
      <c r="AK333" s="521">
        <f>_xll.GetCtData("COAMOUNT","CONSAMOUNT",$B$1:$B$7,$B333,AK$9,"#24130")</f>
        <v>24130</v>
      </c>
    </row>
    <row r="334" spans="2:37" ht="12" customHeight="1">
      <c r="B334" s="453" t="s">
        <v>321</v>
      </c>
      <c r="C334" s="482" t="s">
        <v>2929</v>
      </c>
      <c r="D334" s="483">
        <v>44403</v>
      </c>
      <c r="E334" s="484" t="s">
        <v>2930</v>
      </c>
      <c r="F334" s="485">
        <v>7</v>
      </c>
      <c r="G334" s="547"/>
      <c r="H334" s="547"/>
      <c r="I334" s="547"/>
      <c r="J334" s="547"/>
      <c r="K334" s="547"/>
      <c r="L334" s="547"/>
      <c r="M334" s="548"/>
      <c r="N334" s="517" t="s">
        <v>4747</v>
      </c>
      <c r="O334" s="518">
        <v>10</v>
      </c>
      <c r="P334" s="519" t="s">
        <v>4748</v>
      </c>
      <c r="Q334" s="489">
        <v>73</v>
      </c>
      <c r="R334" s="519" t="s">
        <v>591</v>
      </c>
      <c r="S334" s="518">
        <f t="shared" si="25"/>
        <v>63</v>
      </c>
      <c r="T334" s="519" t="s">
        <v>4749</v>
      </c>
      <c r="U334" s="518">
        <f t="shared" si="26"/>
        <v>26</v>
      </c>
      <c r="V334" s="519" t="s">
        <v>4677</v>
      </c>
      <c r="W334" s="519" t="s">
        <v>4750</v>
      </c>
      <c r="X334" s="491">
        <f t="shared" si="27"/>
        <v>66</v>
      </c>
      <c r="Y334" s="519" t="s">
        <v>4750</v>
      </c>
      <c r="Z334" s="518">
        <f t="shared" si="28"/>
        <v>66</v>
      </c>
      <c r="AA334" s="519" t="s">
        <v>4751</v>
      </c>
      <c r="AB334" s="518">
        <f t="shared" si="29"/>
        <v>29</v>
      </c>
      <c r="AC334" s="519" t="s">
        <v>4680</v>
      </c>
      <c r="AD334" s="518" t="s">
        <v>4735</v>
      </c>
      <c r="AE334" s="520" t="s">
        <v>4736</v>
      </c>
      <c r="AF334" s="504" t="s">
        <v>2939</v>
      </c>
      <c r="AG334" s="494" t="s">
        <v>2917</v>
      </c>
      <c r="AH334" s="494" t="s">
        <v>2917</v>
      </c>
      <c r="AI334" s="505"/>
      <c r="AJ334" s="505"/>
      <c r="AK334" s="521">
        <f>_xll.GetCtData("COAMOUNT","CONSAMOUNT",$B$1:$B$7,$B334,AK$9,"#58702,7793682467")</f>
        <v>58702</v>
      </c>
    </row>
    <row r="335" spans="2:37" ht="12" customHeight="1">
      <c r="B335" s="453" t="s">
        <v>4752</v>
      </c>
      <c r="C335" s="482" t="s">
        <v>2911</v>
      </c>
      <c r="D335" s="483">
        <v>44378</v>
      </c>
      <c r="E335" s="484" t="s">
        <v>2912</v>
      </c>
      <c r="F335" s="485">
        <v>6</v>
      </c>
      <c r="G335" s="482"/>
      <c r="H335" s="567"/>
      <c r="I335" s="567"/>
      <c r="J335" s="567"/>
      <c r="K335" s="567"/>
      <c r="L335" s="567"/>
      <c r="M335" s="592" t="s">
        <v>4753</v>
      </c>
      <c r="N335" s="593"/>
      <c r="O335" s="594">
        <v>9</v>
      </c>
      <c r="P335" s="595" t="s">
        <v>4754</v>
      </c>
      <c r="Q335" s="489">
        <v>62</v>
      </c>
      <c r="R335" s="595" t="s">
        <v>2590</v>
      </c>
      <c r="S335" s="594">
        <f t="shared" si="25"/>
        <v>52</v>
      </c>
      <c r="T335" s="595" t="s">
        <v>4755</v>
      </c>
      <c r="U335" s="594">
        <f t="shared" si="26"/>
        <v>18</v>
      </c>
      <c r="V335" s="596" t="s">
        <v>4677</v>
      </c>
      <c r="W335" s="596" t="s">
        <v>4756</v>
      </c>
      <c r="X335" s="491">
        <f t="shared" si="27"/>
        <v>45</v>
      </c>
      <c r="Y335" s="596" t="s">
        <v>4756</v>
      </c>
      <c r="Z335" s="594">
        <f t="shared" si="28"/>
        <v>45</v>
      </c>
      <c r="AA335" s="596" t="s">
        <v>4757</v>
      </c>
      <c r="AB335" s="594">
        <f t="shared" si="29"/>
        <v>19</v>
      </c>
      <c r="AC335" s="596" t="s">
        <v>4680</v>
      </c>
      <c r="AD335" s="594"/>
      <c r="AE335" s="597"/>
      <c r="AF335" s="504"/>
      <c r="AG335" s="494" t="s">
        <v>2917</v>
      </c>
      <c r="AH335" s="495" t="s">
        <v>2918</v>
      </c>
      <c r="AI335" s="505"/>
      <c r="AJ335" s="505"/>
      <c r="AK335" s="598">
        <f>_xll.GetCtData("COAMOUNT","CONSAMOUNT",$B$1:$B$7,$B335,AK$9,"#4125023")</f>
        <v>4125023</v>
      </c>
    </row>
    <row r="336" spans="2:37" ht="12" customHeight="1">
      <c r="B336" s="453" t="s">
        <v>322</v>
      </c>
      <c r="C336" s="482" t="s">
        <v>2929</v>
      </c>
      <c r="D336" s="483">
        <v>44403</v>
      </c>
      <c r="E336" s="484" t="s">
        <v>2930</v>
      </c>
      <c r="F336" s="485">
        <v>7</v>
      </c>
      <c r="G336" s="547"/>
      <c r="H336" s="547"/>
      <c r="I336" s="547"/>
      <c r="J336" s="547"/>
      <c r="K336" s="547"/>
      <c r="L336" s="547"/>
      <c r="M336" s="548"/>
      <c r="N336" s="517" t="s">
        <v>4758</v>
      </c>
      <c r="O336" s="518">
        <v>10</v>
      </c>
      <c r="P336" s="519" t="s">
        <v>4759</v>
      </c>
      <c r="Q336" s="489">
        <v>85</v>
      </c>
      <c r="R336" s="519" t="s">
        <v>592</v>
      </c>
      <c r="S336" s="518">
        <f t="shared" si="25"/>
        <v>68</v>
      </c>
      <c r="T336" s="519" t="s">
        <v>4760</v>
      </c>
      <c r="U336" s="518">
        <f t="shared" si="26"/>
        <v>26</v>
      </c>
      <c r="V336" s="519" t="s">
        <v>4677</v>
      </c>
      <c r="W336" s="519" t="s">
        <v>4761</v>
      </c>
      <c r="X336" s="491">
        <f t="shared" si="27"/>
        <v>63</v>
      </c>
      <c r="Y336" s="519" t="s">
        <v>4761</v>
      </c>
      <c r="Z336" s="518">
        <f t="shared" si="28"/>
        <v>63</v>
      </c>
      <c r="AA336" s="519" t="s">
        <v>4762</v>
      </c>
      <c r="AB336" s="518">
        <f t="shared" si="29"/>
        <v>22</v>
      </c>
      <c r="AC336" s="519" t="s">
        <v>4680</v>
      </c>
      <c r="AD336" s="518" t="s">
        <v>4763</v>
      </c>
      <c r="AE336" s="520" t="s">
        <v>4764</v>
      </c>
      <c r="AF336" s="504" t="s">
        <v>2939</v>
      </c>
      <c r="AG336" s="494" t="s">
        <v>2917</v>
      </c>
      <c r="AH336" s="494" t="s">
        <v>2917</v>
      </c>
      <c r="AI336" s="505"/>
      <c r="AJ336" s="505"/>
      <c r="AK336" s="521">
        <f>_xll.GetCtData("COAMOUNT","CONSAMOUNT",$B$1:$B$7,$B336,AK$9,"#4379017")</f>
        <v>4379017</v>
      </c>
    </row>
    <row r="337" spans="2:37" ht="12" customHeight="1">
      <c r="B337" s="453" t="s">
        <v>323</v>
      </c>
      <c r="C337" s="482" t="s">
        <v>2929</v>
      </c>
      <c r="D337" s="483">
        <v>44403</v>
      </c>
      <c r="E337" s="484" t="s">
        <v>2930</v>
      </c>
      <c r="F337" s="485">
        <v>7</v>
      </c>
      <c r="G337" s="547"/>
      <c r="H337" s="547"/>
      <c r="I337" s="547"/>
      <c r="J337" s="547"/>
      <c r="K337" s="547"/>
      <c r="L337" s="547"/>
      <c r="M337" s="548"/>
      <c r="N337" s="517" t="s">
        <v>4765</v>
      </c>
      <c r="O337" s="518">
        <v>10</v>
      </c>
      <c r="P337" s="519" t="s">
        <v>4766</v>
      </c>
      <c r="Q337" s="489">
        <v>79</v>
      </c>
      <c r="R337" s="519" t="s">
        <v>593</v>
      </c>
      <c r="S337" s="518">
        <f t="shared" si="25"/>
        <v>62</v>
      </c>
      <c r="T337" s="519" t="s">
        <v>4767</v>
      </c>
      <c r="U337" s="518">
        <f t="shared" si="26"/>
        <v>23</v>
      </c>
      <c r="V337" s="519" t="s">
        <v>4677</v>
      </c>
      <c r="W337" s="519" t="s">
        <v>4768</v>
      </c>
      <c r="X337" s="491">
        <f t="shared" si="27"/>
        <v>62</v>
      </c>
      <c r="Y337" s="519" t="s">
        <v>4768</v>
      </c>
      <c r="Z337" s="518">
        <f t="shared" si="28"/>
        <v>62</v>
      </c>
      <c r="AA337" s="519" t="s">
        <v>4769</v>
      </c>
      <c r="AB337" s="518">
        <f t="shared" si="29"/>
        <v>25</v>
      </c>
      <c r="AC337" s="519" t="s">
        <v>4680</v>
      </c>
      <c r="AD337" s="518" t="s">
        <v>4763</v>
      </c>
      <c r="AE337" s="520" t="s">
        <v>4764</v>
      </c>
      <c r="AF337" s="504" t="s">
        <v>2939</v>
      </c>
      <c r="AG337" s="494" t="s">
        <v>2917</v>
      </c>
      <c r="AH337" s="494" t="s">
        <v>2917</v>
      </c>
      <c r="AI337" s="505"/>
      <c r="AJ337" s="505"/>
      <c r="AK337" s="521">
        <f>_xll.GetCtData("COAMOUNT","CONSAMOUNT",$B$1:$B$7,$B337,AK$9,"#-310612")</f>
        <v>-310612</v>
      </c>
    </row>
    <row r="338" spans="2:37" ht="12" customHeight="1">
      <c r="B338" s="453" t="s">
        <v>324</v>
      </c>
      <c r="C338" s="482" t="s">
        <v>2929</v>
      </c>
      <c r="D338" s="483">
        <v>44403</v>
      </c>
      <c r="E338" s="484" t="s">
        <v>2930</v>
      </c>
      <c r="F338" s="485">
        <v>7</v>
      </c>
      <c r="G338" s="547"/>
      <c r="H338" s="547"/>
      <c r="I338" s="547"/>
      <c r="J338" s="547"/>
      <c r="K338" s="547"/>
      <c r="L338" s="547"/>
      <c r="M338" s="548"/>
      <c r="N338" s="517" t="s">
        <v>4770</v>
      </c>
      <c r="O338" s="518">
        <v>10</v>
      </c>
      <c r="P338" s="519" t="s">
        <v>4771</v>
      </c>
      <c r="Q338" s="489">
        <v>103</v>
      </c>
      <c r="R338" s="519" t="s">
        <v>594</v>
      </c>
      <c r="S338" s="518">
        <f t="shared" si="25"/>
        <v>93</v>
      </c>
      <c r="T338" s="519" t="s">
        <v>4772</v>
      </c>
      <c r="U338" s="518">
        <f t="shared" si="26"/>
        <v>28</v>
      </c>
      <c r="V338" s="519" t="s">
        <v>4677</v>
      </c>
      <c r="W338" s="519" t="s">
        <v>4773</v>
      </c>
      <c r="X338" s="491">
        <f t="shared" si="27"/>
        <v>100</v>
      </c>
      <c r="Y338" s="519" t="s">
        <v>4773</v>
      </c>
      <c r="Z338" s="518">
        <f t="shared" si="28"/>
        <v>100</v>
      </c>
      <c r="AA338" s="519" t="s">
        <v>4774</v>
      </c>
      <c r="AB338" s="518">
        <f t="shared" si="29"/>
        <v>24</v>
      </c>
      <c r="AC338" s="519" t="s">
        <v>4680</v>
      </c>
      <c r="AD338" s="518" t="s">
        <v>4763</v>
      </c>
      <c r="AE338" s="520" t="s">
        <v>4764</v>
      </c>
      <c r="AF338" s="504" t="s">
        <v>2939</v>
      </c>
      <c r="AG338" s="494" t="s">
        <v>2917</v>
      </c>
      <c r="AH338" s="494" t="s">
        <v>2917</v>
      </c>
      <c r="AI338" s="505"/>
      <c r="AJ338" s="505"/>
      <c r="AK338" s="521">
        <f>_xll.GetCtData("COAMOUNT","CONSAMOUNT",$B$1:$B$7,$B338,AK$9,"#-4083")</f>
        <v>-4083</v>
      </c>
    </row>
    <row r="339" spans="2:37" ht="12" customHeight="1">
      <c r="B339" s="453" t="s">
        <v>325</v>
      </c>
      <c r="C339" s="482" t="s">
        <v>2929</v>
      </c>
      <c r="D339" s="483">
        <v>44403</v>
      </c>
      <c r="E339" s="484" t="s">
        <v>2930</v>
      </c>
      <c r="F339" s="485">
        <v>7</v>
      </c>
      <c r="G339" s="547"/>
      <c r="H339" s="547"/>
      <c r="I339" s="547"/>
      <c r="J339" s="547"/>
      <c r="K339" s="547"/>
      <c r="L339" s="547"/>
      <c r="M339" s="548"/>
      <c r="N339" s="517" t="s">
        <v>4775</v>
      </c>
      <c r="O339" s="518">
        <v>10</v>
      </c>
      <c r="P339" s="519" t="s">
        <v>4776</v>
      </c>
      <c r="Q339" s="489">
        <v>69</v>
      </c>
      <c r="R339" s="519" t="s">
        <v>595</v>
      </c>
      <c r="S339" s="518">
        <f t="shared" si="25"/>
        <v>59</v>
      </c>
      <c r="T339" s="519" t="s">
        <v>4777</v>
      </c>
      <c r="U339" s="518">
        <f t="shared" si="26"/>
        <v>23</v>
      </c>
      <c r="V339" s="519" t="s">
        <v>4677</v>
      </c>
      <c r="W339" s="519" t="s">
        <v>4778</v>
      </c>
      <c r="X339" s="491">
        <f t="shared" si="27"/>
        <v>64</v>
      </c>
      <c r="Y339" s="519" t="s">
        <v>4778</v>
      </c>
      <c r="Z339" s="518">
        <f t="shared" si="28"/>
        <v>64</v>
      </c>
      <c r="AA339" s="519" t="s">
        <v>4779</v>
      </c>
      <c r="AB339" s="518">
        <f t="shared" si="29"/>
        <v>27</v>
      </c>
      <c r="AC339" s="519" t="s">
        <v>4680</v>
      </c>
      <c r="AD339" s="518" t="s">
        <v>4763</v>
      </c>
      <c r="AE339" s="520" t="s">
        <v>4764</v>
      </c>
      <c r="AF339" s="504" t="s">
        <v>2939</v>
      </c>
      <c r="AG339" s="494" t="s">
        <v>2917</v>
      </c>
      <c r="AH339" s="494" t="s">
        <v>2917</v>
      </c>
      <c r="AI339" s="505"/>
      <c r="AJ339" s="505"/>
      <c r="AK339" s="521">
        <f>_xll.GetCtData("COAMOUNT","CONSAMOUNT",$B$1:$B$7,$B339,AK$9,"#60701")</f>
        <v>60701</v>
      </c>
    </row>
    <row r="340" spans="2:37" ht="12" customHeight="1">
      <c r="B340" s="453" t="s">
        <v>959</v>
      </c>
      <c r="C340" s="482" t="s">
        <v>2911</v>
      </c>
      <c r="D340" s="483">
        <v>44378</v>
      </c>
      <c r="E340" s="484" t="s">
        <v>2912</v>
      </c>
      <c r="F340" s="485">
        <v>6</v>
      </c>
      <c r="G340" s="482"/>
      <c r="H340" s="567"/>
      <c r="I340" s="567"/>
      <c r="J340" s="567"/>
      <c r="K340" s="567"/>
      <c r="L340" s="567"/>
      <c r="M340" s="592" t="s">
        <v>4780</v>
      </c>
      <c r="N340" s="593"/>
      <c r="O340" s="594">
        <v>9</v>
      </c>
      <c r="P340" s="595" t="s">
        <v>4781</v>
      </c>
      <c r="Q340" s="489">
        <v>44</v>
      </c>
      <c r="R340" s="595" t="s">
        <v>2591</v>
      </c>
      <c r="S340" s="594">
        <f t="shared" si="25"/>
        <v>34</v>
      </c>
      <c r="T340" s="595" t="s">
        <v>4782</v>
      </c>
      <c r="U340" s="594">
        <f t="shared" si="26"/>
        <v>20</v>
      </c>
      <c r="V340" s="596" t="s">
        <v>4677</v>
      </c>
      <c r="W340" s="596" t="s">
        <v>4783</v>
      </c>
      <c r="X340" s="491">
        <f t="shared" si="27"/>
        <v>35</v>
      </c>
      <c r="Y340" s="596" t="s">
        <v>4783</v>
      </c>
      <c r="Z340" s="594">
        <f t="shared" si="28"/>
        <v>35</v>
      </c>
      <c r="AA340" s="596" t="s">
        <v>4784</v>
      </c>
      <c r="AB340" s="594">
        <f t="shared" si="29"/>
        <v>15</v>
      </c>
      <c r="AC340" s="596" t="s">
        <v>4680</v>
      </c>
      <c r="AD340" s="594"/>
      <c r="AE340" s="597"/>
      <c r="AF340" s="504"/>
      <c r="AG340" s="494" t="s">
        <v>2917</v>
      </c>
      <c r="AH340" s="495" t="s">
        <v>2918</v>
      </c>
      <c r="AI340" s="505"/>
      <c r="AJ340" s="505"/>
      <c r="AK340" s="598">
        <f>_xll.GetCtData("COAMOUNT","CONSAMOUNT",$B$1:$B$7,$B340,AK$9,"#3944816,55779465")</f>
        <v>3944816</v>
      </c>
    </row>
    <row r="341" spans="2:37" ht="12" customHeight="1">
      <c r="B341" s="453" t="s">
        <v>326</v>
      </c>
      <c r="C341" s="482" t="s">
        <v>2929</v>
      </c>
      <c r="D341" s="483">
        <v>44403</v>
      </c>
      <c r="E341" s="484" t="s">
        <v>2930</v>
      </c>
      <c r="F341" s="485">
        <v>7</v>
      </c>
      <c r="G341" s="590"/>
      <c r="H341" s="590"/>
      <c r="I341" s="590"/>
      <c r="J341" s="590"/>
      <c r="K341" s="590"/>
      <c r="L341" s="590"/>
      <c r="M341" s="591"/>
      <c r="N341" s="517" t="s">
        <v>4785</v>
      </c>
      <c r="O341" s="518">
        <v>10</v>
      </c>
      <c r="P341" s="519" t="s">
        <v>4786</v>
      </c>
      <c r="Q341" s="489">
        <v>67</v>
      </c>
      <c r="R341" s="519" t="s">
        <v>596</v>
      </c>
      <c r="S341" s="518">
        <f t="shared" si="25"/>
        <v>50</v>
      </c>
      <c r="T341" s="519" t="s">
        <v>4787</v>
      </c>
      <c r="U341" s="518">
        <f t="shared" si="26"/>
        <v>25</v>
      </c>
      <c r="V341" s="519" t="s">
        <v>4677</v>
      </c>
      <c r="W341" s="519" t="s">
        <v>4788</v>
      </c>
      <c r="X341" s="491">
        <f t="shared" si="27"/>
        <v>53</v>
      </c>
      <c r="Y341" s="519" t="s">
        <v>4788</v>
      </c>
      <c r="Z341" s="518">
        <f t="shared" si="28"/>
        <v>53</v>
      </c>
      <c r="AA341" s="519" t="s">
        <v>4789</v>
      </c>
      <c r="AB341" s="518">
        <f t="shared" si="29"/>
        <v>18</v>
      </c>
      <c r="AC341" s="519" t="s">
        <v>4680</v>
      </c>
      <c r="AD341" s="518" t="s">
        <v>4790</v>
      </c>
      <c r="AE341" s="520" t="s">
        <v>4791</v>
      </c>
      <c r="AF341" s="504" t="s">
        <v>2939</v>
      </c>
      <c r="AG341" s="494" t="s">
        <v>2917</v>
      </c>
      <c r="AH341" s="494" t="s">
        <v>2917</v>
      </c>
      <c r="AI341" s="505"/>
      <c r="AJ341" s="505"/>
      <c r="AK341" s="521">
        <f>_xll.GetCtData("COAMOUNT","CONSAMOUNT",$B$1:$B$7,$B341,AK$9,"#3753524,55779465")</f>
        <v>3753524</v>
      </c>
    </row>
    <row r="342" spans="2:37" ht="12" customHeight="1">
      <c r="B342" s="453" t="s">
        <v>327</v>
      </c>
      <c r="C342" s="482" t="s">
        <v>2929</v>
      </c>
      <c r="D342" s="483">
        <v>44403</v>
      </c>
      <c r="E342" s="484" t="s">
        <v>2930</v>
      </c>
      <c r="F342" s="485">
        <v>7</v>
      </c>
      <c r="G342" s="547"/>
      <c r="H342" s="547"/>
      <c r="I342" s="547"/>
      <c r="J342" s="547"/>
      <c r="K342" s="547"/>
      <c r="L342" s="547"/>
      <c r="M342" s="548"/>
      <c r="N342" s="517" t="s">
        <v>4792</v>
      </c>
      <c r="O342" s="518">
        <v>10</v>
      </c>
      <c r="P342" s="519" t="s">
        <v>4793</v>
      </c>
      <c r="Q342" s="489">
        <v>61</v>
      </c>
      <c r="R342" s="519" t="s">
        <v>597</v>
      </c>
      <c r="S342" s="518">
        <f t="shared" si="25"/>
        <v>44</v>
      </c>
      <c r="T342" s="519" t="s">
        <v>4794</v>
      </c>
      <c r="U342" s="518">
        <f t="shared" si="26"/>
        <v>24</v>
      </c>
      <c r="V342" s="519" t="s">
        <v>4677</v>
      </c>
      <c r="W342" s="519" t="s">
        <v>4795</v>
      </c>
      <c r="X342" s="491">
        <f t="shared" si="27"/>
        <v>52</v>
      </c>
      <c r="Y342" s="519" t="s">
        <v>4795</v>
      </c>
      <c r="Z342" s="518">
        <f t="shared" si="28"/>
        <v>52</v>
      </c>
      <c r="AA342" s="519" t="s">
        <v>4796</v>
      </c>
      <c r="AB342" s="518">
        <f t="shared" si="29"/>
        <v>21</v>
      </c>
      <c r="AC342" s="519" t="s">
        <v>4680</v>
      </c>
      <c r="AD342" s="518" t="s">
        <v>4790</v>
      </c>
      <c r="AE342" s="520" t="s">
        <v>4791</v>
      </c>
      <c r="AF342" s="504" t="s">
        <v>2939</v>
      </c>
      <c r="AG342" s="494" t="s">
        <v>2917</v>
      </c>
      <c r="AH342" s="494" t="s">
        <v>2917</v>
      </c>
      <c r="AI342" s="505"/>
      <c r="AJ342" s="505"/>
      <c r="AK342" s="521">
        <f>_xll.GetCtData("COAMOUNT","CONSAMOUNT",$B$1:$B$7,$B342,AK$9,"#-24754")</f>
        <v>-24754</v>
      </c>
    </row>
    <row r="343" spans="2:37" ht="12" customHeight="1">
      <c r="B343" s="453" t="s">
        <v>328</v>
      </c>
      <c r="C343" s="482" t="s">
        <v>2929</v>
      </c>
      <c r="D343" s="483">
        <v>44403</v>
      </c>
      <c r="E343" s="484" t="s">
        <v>2930</v>
      </c>
      <c r="F343" s="485">
        <v>7</v>
      </c>
      <c r="G343" s="547"/>
      <c r="H343" s="547"/>
      <c r="I343" s="547"/>
      <c r="J343" s="547"/>
      <c r="K343" s="547"/>
      <c r="L343" s="547"/>
      <c r="M343" s="548"/>
      <c r="N343" s="517" t="s">
        <v>4797</v>
      </c>
      <c r="O343" s="518">
        <v>10</v>
      </c>
      <c r="P343" s="519" t="s">
        <v>4798</v>
      </c>
      <c r="Q343" s="489">
        <v>85</v>
      </c>
      <c r="R343" s="519" t="s">
        <v>598</v>
      </c>
      <c r="S343" s="518">
        <f t="shared" si="25"/>
        <v>75</v>
      </c>
      <c r="T343" s="519" t="s">
        <v>4799</v>
      </c>
      <c r="U343" s="518">
        <f t="shared" si="26"/>
        <v>25</v>
      </c>
      <c r="V343" s="519" t="s">
        <v>4677</v>
      </c>
      <c r="W343" s="519" t="s">
        <v>4800</v>
      </c>
      <c r="X343" s="491">
        <f t="shared" si="27"/>
        <v>90</v>
      </c>
      <c r="Y343" s="519" t="s">
        <v>4800</v>
      </c>
      <c r="Z343" s="518">
        <f t="shared" si="28"/>
        <v>90</v>
      </c>
      <c r="AA343" s="519" t="s">
        <v>4801</v>
      </c>
      <c r="AB343" s="518">
        <f t="shared" si="29"/>
        <v>20</v>
      </c>
      <c r="AC343" s="519" t="s">
        <v>4680</v>
      </c>
      <c r="AD343" s="518" t="s">
        <v>4790</v>
      </c>
      <c r="AE343" s="520" t="s">
        <v>4791</v>
      </c>
      <c r="AF343" s="504" t="s">
        <v>2939</v>
      </c>
      <c r="AG343" s="494" t="s">
        <v>2917</v>
      </c>
      <c r="AH343" s="494" t="s">
        <v>2917</v>
      </c>
      <c r="AI343" s="505"/>
      <c r="AJ343" s="505"/>
      <c r="AK343" s="521">
        <f>_xll.GetCtData("COAMOUNT","CONSAMOUNT",$B$1:$B$7,$B343,AK$9,"#")</f>
        <v>0</v>
      </c>
    </row>
    <row r="344" spans="2:37" ht="12" customHeight="1">
      <c r="B344" s="453" t="s">
        <v>329</v>
      </c>
      <c r="C344" s="482" t="s">
        <v>2929</v>
      </c>
      <c r="D344" s="483">
        <v>44403</v>
      </c>
      <c r="E344" s="484" t="s">
        <v>2930</v>
      </c>
      <c r="F344" s="485">
        <v>7</v>
      </c>
      <c r="G344" s="547"/>
      <c r="H344" s="547"/>
      <c r="I344" s="547"/>
      <c r="J344" s="547"/>
      <c r="K344" s="547"/>
      <c r="L344" s="547"/>
      <c r="M344" s="548"/>
      <c r="N344" s="517" t="s">
        <v>4802</v>
      </c>
      <c r="O344" s="518">
        <v>10</v>
      </c>
      <c r="P344" s="519" t="s">
        <v>4803</v>
      </c>
      <c r="Q344" s="489">
        <v>51</v>
      </c>
      <c r="R344" s="519" t="s">
        <v>599</v>
      </c>
      <c r="S344" s="518">
        <f t="shared" si="25"/>
        <v>41</v>
      </c>
      <c r="T344" s="519" t="s">
        <v>4804</v>
      </c>
      <c r="U344" s="518">
        <f t="shared" si="26"/>
        <v>22</v>
      </c>
      <c r="V344" s="519" t="s">
        <v>4677</v>
      </c>
      <c r="W344" s="519" t="s">
        <v>4805</v>
      </c>
      <c r="X344" s="491">
        <f t="shared" si="27"/>
        <v>54</v>
      </c>
      <c r="Y344" s="519" t="s">
        <v>4805</v>
      </c>
      <c r="Z344" s="518">
        <f t="shared" si="28"/>
        <v>54</v>
      </c>
      <c r="AA344" s="519" t="s">
        <v>4806</v>
      </c>
      <c r="AB344" s="518">
        <f t="shared" si="29"/>
        <v>23</v>
      </c>
      <c r="AC344" s="519" t="s">
        <v>4680</v>
      </c>
      <c r="AD344" s="518" t="s">
        <v>4790</v>
      </c>
      <c r="AE344" s="520" t="s">
        <v>4791</v>
      </c>
      <c r="AF344" s="504" t="s">
        <v>2939</v>
      </c>
      <c r="AG344" s="494" t="s">
        <v>2917</v>
      </c>
      <c r="AH344" s="494" t="s">
        <v>2917</v>
      </c>
      <c r="AI344" s="505"/>
      <c r="AJ344" s="505"/>
      <c r="AK344" s="521">
        <f>_xll.GetCtData("COAMOUNT","CONSAMOUNT",$B$1:$B$7,$B344,AK$9,"#216046")</f>
        <v>216046</v>
      </c>
    </row>
    <row r="345" spans="2:37" ht="12" customHeight="1">
      <c r="B345" s="453" t="s">
        <v>4807</v>
      </c>
      <c r="C345" s="482" t="s">
        <v>2911</v>
      </c>
      <c r="D345" s="483">
        <v>44378</v>
      </c>
      <c r="E345" s="484" t="s">
        <v>2912</v>
      </c>
      <c r="F345" s="485">
        <v>6</v>
      </c>
      <c r="G345" s="482"/>
      <c r="H345" s="567"/>
      <c r="I345" s="567"/>
      <c r="J345" s="567"/>
      <c r="K345" s="567"/>
      <c r="L345" s="567"/>
      <c r="M345" s="592" t="s">
        <v>4808</v>
      </c>
      <c r="N345" s="593"/>
      <c r="O345" s="594">
        <v>9</v>
      </c>
      <c r="P345" s="595" t="s">
        <v>4809</v>
      </c>
      <c r="Q345" s="489">
        <v>31</v>
      </c>
      <c r="R345" s="595" t="s">
        <v>2592</v>
      </c>
      <c r="S345" s="594">
        <f t="shared" si="25"/>
        <v>21</v>
      </c>
      <c r="T345" s="595" t="s">
        <v>4810</v>
      </c>
      <c r="U345" s="594">
        <f t="shared" si="26"/>
        <v>15</v>
      </c>
      <c r="V345" s="596" t="s">
        <v>4677</v>
      </c>
      <c r="W345" s="596" t="s">
        <v>4811</v>
      </c>
      <c r="X345" s="491">
        <f t="shared" si="27"/>
        <v>43</v>
      </c>
      <c r="Y345" s="596" t="s">
        <v>4811</v>
      </c>
      <c r="Z345" s="594">
        <f t="shared" si="28"/>
        <v>43</v>
      </c>
      <c r="AA345" s="596" t="s">
        <v>4812</v>
      </c>
      <c r="AB345" s="594">
        <f t="shared" si="29"/>
        <v>20</v>
      </c>
      <c r="AC345" s="596" t="s">
        <v>4680</v>
      </c>
      <c r="AD345" s="594"/>
      <c r="AE345" s="597"/>
      <c r="AF345" s="504"/>
      <c r="AG345" s="494" t="s">
        <v>2917</v>
      </c>
      <c r="AH345" s="495" t="s">
        <v>2918</v>
      </c>
      <c r="AI345" s="505"/>
      <c r="AJ345" s="505"/>
      <c r="AK345" s="598">
        <f>_xll.GetCtData("COAMOUNT","CONSAMOUNT",$B$1:$B$7,$B345,AK$9,"#882530")</f>
        <v>882530</v>
      </c>
    </row>
    <row r="346" spans="2:37" ht="12" customHeight="1">
      <c r="B346" s="453" t="s">
        <v>330</v>
      </c>
      <c r="C346" s="482" t="s">
        <v>2929</v>
      </c>
      <c r="D346" s="483">
        <v>44403</v>
      </c>
      <c r="E346" s="484" t="s">
        <v>2930</v>
      </c>
      <c r="F346" s="485">
        <v>7</v>
      </c>
      <c r="G346" s="547"/>
      <c r="H346" s="547"/>
      <c r="I346" s="547"/>
      <c r="J346" s="547"/>
      <c r="K346" s="547"/>
      <c r="L346" s="547"/>
      <c r="M346" s="548"/>
      <c r="N346" s="517" t="s">
        <v>4813</v>
      </c>
      <c r="O346" s="518">
        <v>10</v>
      </c>
      <c r="P346" s="519" t="s">
        <v>4814</v>
      </c>
      <c r="Q346" s="489">
        <v>54</v>
      </c>
      <c r="R346" s="519" t="s">
        <v>600</v>
      </c>
      <c r="S346" s="518">
        <f t="shared" si="25"/>
        <v>37</v>
      </c>
      <c r="T346" s="519" t="s">
        <v>4815</v>
      </c>
      <c r="U346" s="518">
        <f t="shared" si="26"/>
        <v>18</v>
      </c>
      <c r="V346" s="519" t="s">
        <v>4677</v>
      </c>
      <c r="W346" s="519" t="s">
        <v>4816</v>
      </c>
      <c r="X346" s="491">
        <f t="shared" si="27"/>
        <v>63</v>
      </c>
      <c r="Y346" s="519" t="s">
        <v>4816</v>
      </c>
      <c r="Z346" s="518">
        <f t="shared" si="28"/>
        <v>63</v>
      </c>
      <c r="AA346" s="519" t="s">
        <v>4817</v>
      </c>
      <c r="AB346" s="518">
        <f t="shared" si="29"/>
        <v>29</v>
      </c>
      <c r="AC346" s="519" t="s">
        <v>4680</v>
      </c>
      <c r="AD346" s="518" t="s">
        <v>4818</v>
      </c>
      <c r="AE346" s="520" t="s">
        <v>4819</v>
      </c>
      <c r="AF346" s="504" t="s">
        <v>2939</v>
      </c>
      <c r="AG346" s="494" t="s">
        <v>2917</v>
      </c>
      <c r="AH346" s="494" t="s">
        <v>2917</v>
      </c>
      <c r="AI346" s="505"/>
      <c r="AJ346" s="505"/>
      <c r="AK346" s="521">
        <f>_xll.GetCtData("COAMOUNT","CONSAMOUNT",$B$1:$B$7,$B346,AK$9,"#869974")</f>
        <v>869974</v>
      </c>
    </row>
    <row r="347" spans="2:37" ht="12" customHeight="1">
      <c r="B347" s="453" t="s">
        <v>331</v>
      </c>
      <c r="C347" s="482" t="s">
        <v>2929</v>
      </c>
      <c r="D347" s="483">
        <v>44403</v>
      </c>
      <c r="E347" s="484" t="s">
        <v>2930</v>
      </c>
      <c r="F347" s="485">
        <v>7</v>
      </c>
      <c r="G347" s="547"/>
      <c r="H347" s="547"/>
      <c r="I347" s="547"/>
      <c r="J347" s="547"/>
      <c r="K347" s="547"/>
      <c r="L347" s="547"/>
      <c r="M347" s="548"/>
      <c r="N347" s="517" t="s">
        <v>4820</v>
      </c>
      <c r="O347" s="518">
        <v>10</v>
      </c>
      <c r="P347" s="519" t="s">
        <v>4821</v>
      </c>
      <c r="Q347" s="489">
        <v>48</v>
      </c>
      <c r="R347" s="519" t="s">
        <v>601</v>
      </c>
      <c r="S347" s="518">
        <f t="shared" si="25"/>
        <v>31</v>
      </c>
      <c r="T347" s="519" t="s">
        <v>4822</v>
      </c>
      <c r="U347" s="518">
        <f t="shared" si="26"/>
        <v>17</v>
      </c>
      <c r="V347" s="519" t="s">
        <v>4677</v>
      </c>
      <c r="W347" s="519" t="s">
        <v>4823</v>
      </c>
      <c r="X347" s="491">
        <f t="shared" si="27"/>
        <v>60</v>
      </c>
      <c r="Y347" s="519" t="s">
        <v>4823</v>
      </c>
      <c r="Z347" s="518">
        <f t="shared" si="28"/>
        <v>60</v>
      </c>
      <c r="AA347" s="519" t="s">
        <v>4824</v>
      </c>
      <c r="AB347" s="518">
        <f t="shared" si="29"/>
        <v>24</v>
      </c>
      <c r="AC347" s="519" t="s">
        <v>4680</v>
      </c>
      <c r="AD347" s="518" t="s">
        <v>4818</v>
      </c>
      <c r="AE347" s="520" t="s">
        <v>4819</v>
      </c>
      <c r="AF347" s="504" t="s">
        <v>2939</v>
      </c>
      <c r="AG347" s="494" t="s">
        <v>2917</v>
      </c>
      <c r="AH347" s="494" t="s">
        <v>2917</v>
      </c>
      <c r="AI347" s="505"/>
      <c r="AJ347" s="505"/>
      <c r="AK347" s="521">
        <f>_xll.GetCtData("COAMOUNT","CONSAMOUNT",$B$1:$B$7,$B347,AK$9,"#12556")</f>
        <v>12556</v>
      </c>
    </row>
    <row r="348" spans="2:37" ht="12" customHeight="1">
      <c r="B348" s="453" t="s">
        <v>332</v>
      </c>
      <c r="C348" s="482" t="s">
        <v>2929</v>
      </c>
      <c r="D348" s="483">
        <v>44403</v>
      </c>
      <c r="E348" s="484" t="s">
        <v>2930</v>
      </c>
      <c r="F348" s="485">
        <v>7</v>
      </c>
      <c r="G348" s="547"/>
      <c r="H348" s="547"/>
      <c r="I348" s="547"/>
      <c r="J348" s="547"/>
      <c r="K348" s="547"/>
      <c r="L348" s="547"/>
      <c r="M348" s="548"/>
      <c r="N348" s="517" t="s">
        <v>4825</v>
      </c>
      <c r="O348" s="518">
        <v>10</v>
      </c>
      <c r="P348" s="519" t="s">
        <v>4826</v>
      </c>
      <c r="Q348" s="489">
        <v>72</v>
      </c>
      <c r="R348" s="519" t="s">
        <v>602</v>
      </c>
      <c r="S348" s="518">
        <f t="shared" si="25"/>
        <v>62</v>
      </c>
      <c r="T348" s="519" t="s">
        <v>4827</v>
      </c>
      <c r="U348" s="518">
        <f t="shared" si="26"/>
        <v>19</v>
      </c>
      <c r="V348" s="519" t="s">
        <v>4677</v>
      </c>
      <c r="W348" s="519" t="s">
        <v>4828</v>
      </c>
      <c r="X348" s="491">
        <f t="shared" si="27"/>
        <v>86</v>
      </c>
      <c r="Y348" s="519" t="s">
        <v>4828</v>
      </c>
      <c r="Z348" s="518">
        <f t="shared" si="28"/>
        <v>86</v>
      </c>
      <c r="AA348" s="519" t="s">
        <v>4829</v>
      </c>
      <c r="AB348" s="518">
        <f t="shared" si="29"/>
        <v>29</v>
      </c>
      <c r="AC348" s="519" t="s">
        <v>4680</v>
      </c>
      <c r="AD348" s="518" t="s">
        <v>4818</v>
      </c>
      <c r="AE348" s="520" t="s">
        <v>4819</v>
      </c>
      <c r="AF348" s="504" t="s">
        <v>2939</v>
      </c>
      <c r="AG348" s="494" t="s">
        <v>2917</v>
      </c>
      <c r="AH348" s="494" t="s">
        <v>2917</v>
      </c>
      <c r="AI348" s="505"/>
      <c r="AJ348" s="505"/>
      <c r="AK348" s="521">
        <f>_xll.GetCtData("COAMOUNT","CONSAMOUNT",$B$1:$B$7,$B348,AK$9,"#")</f>
        <v>0</v>
      </c>
    </row>
    <row r="349" spans="2:37" ht="12" customHeight="1">
      <c r="B349" s="453" t="s">
        <v>333</v>
      </c>
      <c r="C349" s="482" t="s">
        <v>2929</v>
      </c>
      <c r="D349" s="483">
        <v>44403</v>
      </c>
      <c r="E349" s="484" t="s">
        <v>2930</v>
      </c>
      <c r="F349" s="485">
        <v>7</v>
      </c>
      <c r="G349" s="547"/>
      <c r="H349" s="547"/>
      <c r="I349" s="547"/>
      <c r="J349" s="547"/>
      <c r="K349" s="547"/>
      <c r="L349" s="547"/>
      <c r="M349" s="548"/>
      <c r="N349" s="517" t="s">
        <v>4830</v>
      </c>
      <c r="O349" s="518">
        <v>10</v>
      </c>
      <c r="P349" s="519" t="s">
        <v>4831</v>
      </c>
      <c r="Q349" s="489">
        <v>38</v>
      </c>
      <c r="R349" s="519" t="s">
        <v>603</v>
      </c>
      <c r="S349" s="518">
        <f t="shared" si="25"/>
        <v>28</v>
      </c>
      <c r="T349" s="519" t="s">
        <v>4832</v>
      </c>
      <c r="U349" s="518">
        <f t="shared" si="26"/>
        <v>20</v>
      </c>
      <c r="V349" s="519" t="s">
        <v>4677</v>
      </c>
      <c r="W349" s="519" t="s">
        <v>4833</v>
      </c>
      <c r="X349" s="491">
        <f t="shared" si="27"/>
        <v>62</v>
      </c>
      <c r="Y349" s="519" t="s">
        <v>4833</v>
      </c>
      <c r="Z349" s="518">
        <f t="shared" si="28"/>
        <v>62</v>
      </c>
      <c r="AA349" s="519" t="s">
        <v>4834</v>
      </c>
      <c r="AB349" s="518">
        <f t="shared" si="29"/>
        <v>25</v>
      </c>
      <c r="AC349" s="519" t="s">
        <v>4680</v>
      </c>
      <c r="AD349" s="518" t="s">
        <v>4818</v>
      </c>
      <c r="AE349" s="520" t="s">
        <v>4819</v>
      </c>
      <c r="AF349" s="504" t="s">
        <v>2939</v>
      </c>
      <c r="AG349" s="494" t="s">
        <v>2917</v>
      </c>
      <c r="AH349" s="494" t="s">
        <v>2917</v>
      </c>
      <c r="AI349" s="505"/>
      <c r="AJ349" s="505"/>
      <c r="AK349" s="521">
        <f>_xll.GetCtData("COAMOUNT","CONSAMOUNT",$B$1:$B$7,$B349,AK$9,"#")</f>
        <v>0</v>
      </c>
    </row>
    <row r="350" spans="2:37" ht="12" customHeight="1">
      <c r="B350" s="453" t="s">
        <v>4835</v>
      </c>
      <c r="C350" s="482" t="s">
        <v>2911</v>
      </c>
      <c r="D350" s="483">
        <v>44378</v>
      </c>
      <c r="E350" s="484" t="s">
        <v>2912</v>
      </c>
      <c r="F350" s="485">
        <v>6</v>
      </c>
      <c r="G350" s="482"/>
      <c r="H350" s="567"/>
      <c r="I350" s="567"/>
      <c r="J350" s="567"/>
      <c r="K350" s="567"/>
      <c r="L350" s="567"/>
      <c r="M350" s="592" t="s">
        <v>4836</v>
      </c>
      <c r="N350" s="593"/>
      <c r="O350" s="594">
        <v>9</v>
      </c>
      <c r="P350" s="595" t="s">
        <v>4837</v>
      </c>
      <c r="Q350" s="489">
        <v>33</v>
      </c>
      <c r="R350" s="595" t="s">
        <v>2593</v>
      </c>
      <c r="S350" s="594">
        <f t="shared" si="25"/>
        <v>23</v>
      </c>
      <c r="T350" s="595" t="s">
        <v>4838</v>
      </c>
      <c r="U350" s="594">
        <f t="shared" si="26"/>
        <v>17</v>
      </c>
      <c r="V350" s="596" t="s">
        <v>4677</v>
      </c>
      <c r="W350" s="596" t="s">
        <v>4839</v>
      </c>
      <c r="X350" s="491">
        <f t="shared" si="27"/>
        <v>20</v>
      </c>
      <c r="Y350" s="596" t="s">
        <v>4839</v>
      </c>
      <c r="Z350" s="594">
        <f t="shared" si="28"/>
        <v>20</v>
      </c>
      <c r="AA350" s="596" t="s">
        <v>4840</v>
      </c>
      <c r="AB350" s="594">
        <f t="shared" si="29"/>
        <v>9</v>
      </c>
      <c r="AC350" s="596" t="s">
        <v>4680</v>
      </c>
      <c r="AD350" s="594"/>
      <c r="AE350" s="597"/>
      <c r="AF350" s="504"/>
      <c r="AG350" s="599" t="s">
        <v>4841</v>
      </c>
      <c r="AH350" s="495" t="s">
        <v>2918</v>
      </c>
      <c r="AI350" s="505"/>
      <c r="AJ350" s="505"/>
      <c r="AK350" s="598">
        <f>_xll.GetCtData("COAMOUNT","CONSAMOUNT",$B$1:$B$7,$B350,AK$9,"#57515617,8674614")</f>
        <v>57515617</v>
      </c>
    </row>
    <row r="351" spans="2:37" ht="12" customHeight="1">
      <c r="B351" s="453" t="s">
        <v>338</v>
      </c>
      <c r="C351" s="482" t="s">
        <v>2929</v>
      </c>
      <c r="D351" s="483">
        <v>44403</v>
      </c>
      <c r="E351" s="484" t="s">
        <v>2930</v>
      </c>
      <c r="F351" s="485">
        <v>7</v>
      </c>
      <c r="G351" s="547"/>
      <c r="H351" s="547"/>
      <c r="I351" s="547"/>
      <c r="J351" s="547"/>
      <c r="K351" s="547"/>
      <c r="L351" s="547"/>
      <c r="M351" s="548"/>
      <c r="N351" s="517" t="s">
        <v>4842</v>
      </c>
      <c r="O351" s="518">
        <v>10</v>
      </c>
      <c r="P351" s="519" t="s">
        <v>4843</v>
      </c>
      <c r="Q351" s="489">
        <v>56</v>
      </c>
      <c r="R351" s="519" t="s">
        <v>604</v>
      </c>
      <c r="S351" s="518">
        <f t="shared" si="25"/>
        <v>39</v>
      </c>
      <c r="T351" s="519" t="s">
        <v>4844</v>
      </c>
      <c r="U351" s="518">
        <f t="shared" si="26"/>
        <v>20</v>
      </c>
      <c r="V351" s="519" t="s">
        <v>4677</v>
      </c>
      <c r="W351" s="519" t="s">
        <v>4845</v>
      </c>
      <c r="X351" s="491">
        <f t="shared" si="27"/>
        <v>38</v>
      </c>
      <c r="Y351" s="519" t="s">
        <v>4845</v>
      </c>
      <c r="Z351" s="518">
        <f t="shared" si="28"/>
        <v>38</v>
      </c>
      <c r="AA351" s="519" t="s">
        <v>4846</v>
      </c>
      <c r="AB351" s="518">
        <f t="shared" si="29"/>
        <v>12</v>
      </c>
      <c r="AC351" s="519" t="s">
        <v>4680</v>
      </c>
      <c r="AD351" s="518" t="s">
        <v>4847</v>
      </c>
      <c r="AE351" s="520" t="s">
        <v>4848</v>
      </c>
      <c r="AF351" s="504" t="s">
        <v>2939</v>
      </c>
      <c r="AG351" s="599" t="s">
        <v>4841</v>
      </c>
      <c r="AH351" s="494" t="s">
        <v>2917</v>
      </c>
      <c r="AI351" s="505" t="s">
        <v>4849</v>
      </c>
      <c r="AJ351" s="505"/>
      <c r="AK351" s="521">
        <f>_xll.GetCtData("COAMOUNT","CONSAMOUNT",$B$1:$B$7,$B351,AK$9,"#51019593,7456306")</f>
        <v>51019593</v>
      </c>
    </row>
    <row r="352" spans="2:37" ht="12" customHeight="1">
      <c r="B352" s="453" t="s">
        <v>339</v>
      </c>
      <c r="C352" s="482" t="s">
        <v>2929</v>
      </c>
      <c r="D352" s="483">
        <v>44403</v>
      </c>
      <c r="E352" s="484" t="s">
        <v>2930</v>
      </c>
      <c r="F352" s="485">
        <v>7</v>
      </c>
      <c r="G352" s="547"/>
      <c r="H352" s="547"/>
      <c r="I352" s="547"/>
      <c r="J352" s="547"/>
      <c r="K352" s="547"/>
      <c r="L352" s="547"/>
      <c r="M352" s="548"/>
      <c r="N352" s="517" t="s">
        <v>4850</v>
      </c>
      <c r="O352" s="518">
        <v>10</v>
      </c>
      <c r="P352" s="519" t="s">
        <v>4851</v>
      </c>
      <c r="Q352" s="489">
        <v>50</v>
      </c>
      <c r="R352" s="519" t="s">
        <v>605</v>
      </c>
      <c r="S352" s="518">
        <f t="shared" si="25"/>
        <v>33</v>
      </c>
      <c r="T352" s="519" t="s">
        <v>4852</v>
      </c>
      <c r="U352" s="518">
        <f t="shared" si="26"/>
        <v>19</v>
      </c>
      <c r="V352" s="519" t="s">
        <v>4677</v>
      </c>
      <c r="W352" s="519" t="s">
        <v>4853</v>
      </c>
      <c r="X352" s="491">
        <f t="shared" si="27"/>
        <v>37</v>
      </c>
      <c r="Y352" s="519" t="s">
        <v>4853</v>
      </c>
      <c r="Z352" s="518">
        <f t="shared" si="28"/>
        <v>37</v>
      </c>
      <c r="AA352" s="519" t="s">
        <v>4854</v>
      </c>
      <c r="AB352" s="518">
        <f t="shared" si="29"/>
        <v>15</v>
      </c>
      <c r="AC352" s="519" t="s">
        <v>4680</v>
      </c>
      <c r="AD352" s="518" t="s">
        <v>4847</v>
      </c>
      <c r="AE352" s="520" t="s">
        <v>4848</v>
      </c>
      <c r="AF352" s="504" t="s">
        <v>2939</v>
      </c>
      <c r="AG352" s="599" t="s">
        <v>4841</v>
      </c>
      <c r="AH352" s="494" t="s">
        <v>2917</v>
      </c>
      <c r="AI352" s="505" t="s">
        <v>4849</v>
      </c>
      <c r="AJ352" s="505"/>
      <c r="AK352" s="521">
        <f>_xll.GetCtData("COAMOUNT","CONSAMOUNT",$B$1:$B$7,$B352,AK$9,"#6496024,12183089")</f>
        <v>6496024</v>
      </c>
    </row>
    <row r="353" spans="2:37" ht="12" customHeight="1">
      <c r="B353" s="453" t="s">
        <v>4855</v>
      </c>
      <c r="C353" s="482" t="s">
        <v>2911</v>
      </c>
      <c r="D353" s="483">
        <v>44378</v>
      </c>
      <c r="E353" s="484" t="s">
        <v>2912</v>
      </c>
      <c r="F353" s="485">
        <v>5</v>
      </c>
      <c r="G353" s="482"/>
      <c r="H353" s="567"/>
      <c r="I353" s="567"/>
      <c r="J353" s="567"/>
      <c r="K353" s="567"/>
      <c r="L353" s="568" t="s">
        <v>4856</v>
      </c>
      <c r="M353" s="569"/>
      <c r="N353" s="570"/>
      <c r="O353" s="571">
        <v>8</v>
      </c>
      <c r="P353" s="572" t="s">
        <v>4857</v>
      </c>
      <c r="Q353" s="489">
        <v>59</v>
      </c>
      <c r="R353" s="572" t="s">
        <v>4858</v>
      </c>
      <c r="S353" s="571">
        <f t="shared" si="25"/>
        <v>49</v>
      </c>
      <c r="T353" s="572" t="s">
        <v>4859</v>
      </c>
      <c r="U353" s="571">
        <f t="shared" si="26"/>
        <v>30</v>
      </c>
      <c r="V353" s="573" t="s">
        <v>4677</v>
      </c>
      <c r="W353" s="573" t="s">
        <v>4860</v>
      </c>
      <c r="X353" s="491">
        <f t="shared" si="27"/>
        <v>35</v>
      </c>
      <c r="Y353" s="573" t="s">
        <v>4860</v>
      </c>
      <c r="Z353" s="571">
        <f t="shared" si="28"/>
        <v>35</v>
      </c>
      <c r="AA353" s="573" t="s">
        <v>4861</v>
      </c>
      <c r="AB353" s="571">
        <f t="shared" si="29"/>
        <v>17</v>
      </c>
      <c r="AC353" s="573" t="s">
        <v>4680</v>
      </c>
      <c r="AD353" s="571"/>
      <c r="AE353" s="575"/>
      <c r="AF353" s="504"/>
      <c r="AG353" s="494" t="s">
        <v>2917</v>
      </c>
      <c r="AH353" s="495" t="s">
        <v>2918</v>
      </c>
      <c r="AI353" s="505"/>
      <c r="AJ353" s="505"/>
      <c r="AK353" s="576">
        <f>_xll.GetCtData("COAMOUNT","CONSAMOUNT",$B$1:$B$7,$B353,AK$9,"#16238526,5308592")</f>
        <v>16238526</v>
      </c>
    </row>
    <row r="354" spans="2:37" ht="12" customHeight="1">
      <c r="B354" s="453" t="s">
        <v>4862</v>
      </c>
      <c r="C354" s="482" t="s">
        <v>2911</v>
      </c>
      <c r="D354" s="483">
        <v>44378</v>
      </c>
      <c r="E354" s="484" t="s">
        <v>2912</v>
      </c>
      <c r="F354" s="485">
        <v>6</v>
      </c>
      <c r="G354" s="482"/>
      <c r="H354" s="567"/>
      <c r="I354" s="567"/>
      <c r="J354" s="567"/>
      <c r="K354" s="567"/>
      <c r="L354" s="567"/>
      <c r="M354" s="592" t="s">
        <v>4863</v>
      </c>
      <c r="N354" s="593"/>
      <c r="O354" s="594">
        <v>9</v>
      </c>
      <c r="P354" s="595" t="s">
        <v>4864</v>
      </c>
      <c r="Q354" s="489">
        <v>48</v>
      </c>
      <c r="R354" s="595" t="s">
        <v>2594</v>
      </c>
      <c r="S354" s="594">
        <f t="shared" si="25"/>
        <v>38</v>
      </c>
      <c r="T354" s="595" t="s">
        <v>4865</v>
      </c>
      <c r="U354" s="594">
        <f t="shared" si="26"/>
        <v>19</v>
      </c>
      <c r="V354" s="596" t="s">
        <v>4677</v>
      </c>
      <c r="W354" s="596" t="s">
        <v>4866</v>
      </c>
      <c r="X354" s="491">
        <f t="shared" si="27"/>
        <v>47</v>
      </c>
      <c r="Y354" s="596" t="s">
        <v>4866</v>
      </c>
      <c r="Z354" s="594">
        <f t="shared" si="28"/>
        <v>47</v>
      </c>
      <c r="AA354" s="596" t="s">
        <v>4867</v>
      </c>
      <c r="AB354" s="594">
        <f t="shared" si="29"/>
        <v>19</v>
      </c>
      <c r="AC354" s="596" t="s">
        <v>4680</v>
      </c>
      <c r="AD354" s="594"/>
      <c r="AE354" s="597"/>
      <c r="AF354" s="504"/>
      <c r="AG354" s="494" t="s">
        <v>2917</v>
      </c>
      <c r="AH354" s="495" t="s">
        <v>2918</v>
      </c>
      <c r="AI354" s="505"/>
      <c r="AJ354" s="505"/>
      <c r="AK354" s="598">
        <f>_xll.GetCtData("COAMOUNT","CONSAMOUNT",$B$1:$B$7,$B354,AK$9,"#6383877,52386659")</f>
        <v>6383877</v>
      </c>
    </row>
    <row r="355" spans="2:37" ht="12" customHeight="1">
      <c r="B355" s="453" t="s">
        <v>334</v>
      </c>
      <c r="C355" s="482" t="s">
        <v>2929</v>
      </c>
      <c r="D355" s="483">
        <v>44403</v>
      </c>
      <c r="E355" s="484" t="s">
        <v>2930</v>
      </c>
      <c r="F355" s="485">
        <v>7</v>
      </c>
      <c r="G355" s="547"/>
      <c r="H355" s="547"/>
      <c r="I355" s="547"/>
      <c r="J355" s="547"/>
      <c r="K355" s="547"/>
      <c r="L355" s="547"/>
      <c r="M355" s="548"/>
      <c r="N355" s="517" t="s">
        <v>4868</v>
      </c>
      <c r="O355" s="518">
        <v>10</v>
      </c>
      <c r="P355" s="519" t="s">
        <v>4869</v>
      </c>
      <c r="Q355" s="489">
        <v>71</v>
      </c>
      <c r="R355" s="519" t="s">
        <v>606</v>
      </c>
      <c r="S355" s="518">
        <f t="shared" si="25"/>
        <v>54</v>
      </c>
      <c r="T355" s="519" t="s">
        <v>4870</v>
      </c>
      <c r="U355" s="518">
        <f t="shared" si="26"/>
        <v>27</v>
      </c>
      <c r="V355" s="519" t="s">
        <v>4677</v>
      </c>
      <c r="W355" s="519" t="s">
        <v>4871</v>
      </c>
      <c r="X355" s="491">
        <f t="shared" si="27"/>
        <v>66</v>
      </c>
      <c r="Y355" s="519" t="s">
        <v>4871</v>
      </c>
      <c r="Z355" s="518">
        <f t="shared" si="28"/>
        <v>66</v>
      </c>
      <c r="AA355" s="519" t="s">
        <v>4872</v>
      </c>
      <c r="AB355" s="518">
        <f t="shared" si="29"/>
        <v>22</v>
      </c>
      <c r="AC355" s="519" t="s">
        <v>4680</v>
      </c>
      <c r="AD355" s="518" t="s">
        <v>4873</v>
      </c>
      <c r="AE355" s="520" t="s">
        <v>4874</v>
      </c>
      <c r="AF355" s="504" t="s">
        <v>2939</v>
      </c>
      <c r="AG355" s="494" t="s">
        <v>2917</v>
      </c>
      <c r="AH355" s="494" t="s">
        <v>2917</v>
      </c>
      <c r="AI355" s="505"/>
      <c r="AJ355" s="505"/>
      <c r="AK355" s="521">
        <f>_xll.GetCtData("COAMOUNT","CONSAMOUNT",$B$1:$B$7,$B355,AK$9,"#4916416,96241421")</f>
        <v>4916416</v>
      </c>
    </row>
    <row r="356" spans="2:37" ht="12" customHeight="1">
      <c r="B356" s="453" t="s">
        <v>335</v>
      </c>
      <c r="C356" s="482" t="s">
        <v>2929</v>
      </c>
      <c r="D356" s="483">
        <v>44403</v>
      </c>
      <c r="E356" s="484" t="s">
        <v>2930</v>
      </c>
      <c r="F356" s="485">
        <v>7</v>
      </c>
      <c r="G356" s="547"/>
      <c r="H356" s="547"/>
      <c r="I356" s="547"/>
      <c r="J356" s="547"/>
      <c r="K356" s="547"/>
      <c r="L356" s="547"/>
      <c r="M356" s="548"/>
      <c r="N356" s="517" t="s">
        <v>4875</v>
      </c>
      <c r="O356" s="518">
        <v>10</v>
      </c>
      <c r="P356" s="519" t="s">
        <v>4876</v>
      </c>
      <c r="Q356" s="489">
        <v>65</v>
      </c>
      <c r="R356" s="519" t="s">
        <v>607</v>
      </c>
      <c r="S356" s="518">
        <f t="shared" si="25"/>
        <v>48</v>
      </c>
      <c r="T356" s="519" t="s">
        <v>4877</v>
      </c>
      <c r="U356" s="518">
        <f t="shared" si="26"/>
        <v>25</v>
      </c>
      <c r="V356" s="519" t="s">
        <v>4677</v>
      </c>
      <c r="W356" s="519" t="s">
        <v>4878</v>
      </c>
      <c r="X356" s="491">
        <f t="shared" si="27"/>
        <v>65</v>
      </c>
      <c r="Y356" s="519" t="s">
        <v>4878</v>
      </c>
      <c r="Z356" s="518">
        <f t="shared" si="28"/>
        <v>65</v>
      </c>
      <c r="AA356" s="519" t="s">
        <v>4879</v>
      </c>
      <c r="AB356" s="518">
        <f t="shared" si="29"/>
        <v>25</v>
      </c>
      <c r="AC356" s="519" t="s">
        <v>4680</v>
      </c>
      <c r="AD356" s="518" t="s">
        <v>4873</v>
      </c>
      <c r="AE356" s="520" t="s">
        <v>4874</v>
      </c>
      <c r="AF356" s="504" t="s">
        <v>2939</v>
      </c>
      <c r="AG356" s="494" t="s">
        <v>2917</v>
      </c>
      <c r="AH356" s="494" t="s">
        <v>2917</v>
      </c>
      <c r="AI356" s="505"/>
      <c r="AJ356" s="505"/>
      <c r="AK356" s="521">
        <f>_xll.GetCtData("COAMOUNT","CONSAMOUNT",$B$1:$B$7,$B356,AK$9,"#1467460,56145238")</f>
        <v>1467460</v>
      </c>
    </row>
    <row r="357" spans="2:37" ht="12" customHeight="1">
      <c r="B357" s="453" t="s">
        <v>4880</v>
      </c>
      <c r="C357" s="482" t="s">
        <v>2911</v>
      </c>
      <c r="D357" s="483">
        <v>44378</v>
      </c>
      <c r="E357" s="484" t="s">
        <v>2912</v>
      </c>
      <c r="F357" s="485">
        <v>6</v>
      </c>
      <c r="G357" s="482"/>
      <c r="H357" s="567"/>
      <c r="I357" s="567"/>
      <c r="J357" s="567"/>
      <c r="K357" s="567"/>
      <c r="L357" s="567"/>
      <c r="M357" s="592" t="s">
        <v>4881</v>
      </c>
      <c r="N357" s="593"/>
      <c r="O357" s="594">
        <v>9</v>
      </c>
      <c r="P357" s="595" t="s">
        <v>4882</v>
      </c>
      <c r="Q357" s="489">
        <v>68</v>
      </c>
      <c r="R357" s="595" t="s">
        <v>2595</v>
      </c>
      <c r="S357" s="594">
        <f t="shared" si="25"/>
        <v>58</v>
      </c>
      <c r="T357" s="595" t="s">
        <v>4883</v>
      </c>
      <c r="U357" s="594">
        <f t="shared" si="26"/>
        <v>27</v>
      </c>
      <c r="V357" s="596" t="s">
        <v>4677</v>
      </c>
      <c r="W357" s="596" t="s">
        <v>4884</v>
      </c>
      <c r="X357" s="491">
        <f t="shared" si="27"/>
        <v>61</v>
      </c>
      <c r="Y357" s="596" t="s">
        <v>4884</v>
      </c>
      <c r="Z357" s="594">
        <f t="shared" si="28"/>
        <v>61</v>
      </c>
      <c r="AA357" s="596" t="s">
        <v>4885</v>
      </c>
      <c r="AB357" s="594">
        <f t="shared" si="29"/>
        <v>27</v>
      </c>
      <c r="AC357" s="596" t="s">
        <v>4680</v>
      </c>
      <c r="AD357" s="594"/>
      <c r="AE357" s="597"/>
      <c r="AF357" s="504"/>
      <c r="AG357" s="494" t="s">
        <v>2917</v>
      </c>
      <c r="AH357" s="495" t="s">
        <v>2918</v>
      </c>
      <c r="AI357" s="505"/>
      <c r="AJ357" s="505"/>
      <c r="AK357" s="598">
        <f>_xll.GetCtData("COAMOUNT","CONSAMOUNT",$B$1:$B$7,$B357,AK$9,"#8646767")</f>
        <v>8646767</v>
      </c>
    </row>
    <row r="358" spans="2:37" ht="12" customHeight="1">
      <c r="B358" s="453" t="s">
        <v>340</v>
      </c>
      <c r="C358" s="482" t="s">
        <v>2929</v>
      </c>
      <c r="D358" s="483">
        <v>44403</v>
      </c>
      <c r="E358" s="484" t="s">
        <v>2930</v>
      </c>
      <c r="F358" s="485">
        <v>7</v>
      </c>
      <c r="G358" s="547"/>
      <c r="H358" s="547"/>
      <c r="I358" s="547"/>
      <c r="J358" s="547"/>
      <c r="K358" s="547"/>
      <c r="L358" s="547"/>
      <c r="M358" s="548"/>
      <c r="N358" s="517" t="s">
        <v>4886</v>
      </c>
      <c r="O358" s="518">
        <v>10</v>
      </c>
      <c r="P358" s="519" t="s">
        <v>4887</v>
      </c>
      <c r="Q358" s="489">
        <v>91</v>
      </c>
      <c r="R358" s="519" t="s">
        <v>608</v>
      </c>
      <c r="S358" s="518">
        <f t="shared" si="25"/>
        <v>74</v>
      </c>
      <c r="T358" s="519" t="s">
        <v>4888</v>
      </c>
      <c r="U358" s="518">
        <f t="shared" si="26"/>
        <v>30</v>
      </c>
      <c r="V358" s="519" t="s">
        <v>4677</v>
      </c>
      <c r="W358" s="519" t="s">
        <v>4889</v>
      </c>
      <c r="X358" s="491">
        <f t="shared" si="27"/>
        <v>79</v>
      </c>
      <c r="Y358" s="519" t="s">
        <v>4889</v>
      </c>
      <c r="Z358" s="518">
        <f t="shared" si="28"/>
        <v>79</v>
      </c>
      <c r="AA358" s="519" t="s">
        <v>4890</v>
      </c>
      <c r="AB358" s="518">
        <f t="shared" si="29"/>
        <v>27</v>
      </c>
      <c r="AC358" s="519" t="s">
        <v>4680</v>
      </c>
      <c r="AD358" s="518" t="s">
        <v>4873</v>
      </c>
      <c r="AE358" s="520" t="s">
        <v>4874</v>
      </c>
      <c r="AF358" s="504" t="s">
        <v>2939</v>
      </c>
      <c r="AG358" s="494" t="s">
        <v>2917</v>
      </c>
      <c r="AH358" s="494" t="s">
        <v>2917</v>
      </c>
      <c r="AI358" s="505"/>
      <c r="AJ358" s="505"/>
      <c r="AK358" s="521">
        <f>_xll.GetCtData("COAMOUNT","CONSAMOUNT",$B$1:$B$7,$B358,AK$9,"#7695587")</f>
        <v>7695587</v>
      </c>
    </row>
    <row r="359" spans="2:37" ht="12" customHeight="1">
      <c r="B359" s="453" t="s">
        <v>341</v>
      </c>
      <c r="C359" s="482" t="s">
        <v>2929</v>
      </c>
      <c r="D359" s="483">
        <v>44403</v>
      </c>
      <c r="E359" s="484" t="s">
        <v>2930</v>
      </c>
      <c r="F359" s="485">
        <v>7</v>
      </c>
      <c r="G359" s="547"/>
      <c r="H359" s="547"/>
      <c r="I359" s="547"/>
      <c r="J359" s="547"/>
      <c r="K359" s="547"/>
      <c r="L359" s="547"/>
      <c r="M359" s="548"/>
      <c r="N359" s="517" t="s">
        <v>4891</v>
      </c>
      <c r="O359" s="518">
        <v>10</v>
      </c>
      <c r="P359" s="519" t="s">
        <v>4892</v>
      </c>
      <c r="Q359" s="489">
        <v>85</v>
      </c>
      <c r="R359" s="519" t="s">
        <v>609</v>
      </c>
      <c r="S359" s="518">
        <f t="shared" si="25"/>
        <v>68</v>
      </c>
      <c r="T359" s="519" t="s">
        <v>4893</v>
      </c>
      <c r="U359" s="518">
        <f t="shared" si="26"/>
        <v>30</v>
      </c>
      <c r="V359" s="519" t="s">
        <v>4677</v>
      </c>
      <c r="W359" s="519" t="s">
        <v>4894</v>
      </c>
      <c r="X359" s="491">
        <f t="shared" si="27"/>
        <v>78</v>
      </c>
      <c r="Y359" s="519" t="s">
        <v>4894</v>
      </c>
      <c r="Z359" s="518">
        <f t="shared" si="28"/>
        <v>78</v>
      </c>
      <c r="AA359" s="519" t="s">
        <v>4895</v>
      </c>
      <c r="AB359" s="518">
        <f t="shared" si="29"/>
        <v>30</v>
      </c>
      <c r="AC359" s="519" t="s">
        <v>4680</v>
      </c>
      <c r="AD359" s="518" t="s">
        <v>4873</v>
      </c>
      <c r="AE359" s="520" t="s">
        <v>4874</v>
      </c>
      <c r="AF359" s="504" t="s">
        <v>2939</v>
      </c>
      <c r="AG359" s="494" t="s">
        <v>2917</v>
      </c>
      <c r="AH359" s="494" t="s">
        <v>2917</v>
      </c>
      <c r="AI359" s="505"/>
      <c r="AJ359" s="505"/>
      <c r="AK359" s="521">
        <f>_xll.GetCtData("COAMOUNT","CONSAMOUNT",$B$1:$B$7,$B359,AK$9,"#951180")</f>
        <v>951180</v>
      </c>
    </row>
    <row r="360" spans="2:37" ht="12" customHeight="1">
      <c r="B360" s="453" t="s">
        <v>4896</v>
      </c>
      <c r="C360" s="482" t="s">
        <v>2911</v>
      </c>
      <c r="D360" s="483">
        <v>44378</v>
      </c>
      <c r="E360" s="484" t="s">
        <v>2912</v>
      </c>
      <c r="F360" s="485">
        <v>6</v>
      </c>
      <c r="G360" s="482"/>
      <c r="H360" s="567"/>
      <c r="I360" s="567"/>
      <c r="J360" s="567"/>
      <c r="K360" s="567"/>
      <c r="L360" s="567"/>
      <c r="M360" s="592" t="s">
        <v>4897</v>
      </c>
      <c r="N360" s="593"/>
      <c r="O360" s="594">
        <v>9</v>
      </c>
      <c r="P360" s="595" t="s">
        <v>4898</v>
      </c>
      <c r="Q360" s="489">
        <v>40</v>
      </c>
      <c r="R360" s="595" t="s">
        <v>2596</v>
      </c>
      <c r="S360" s="594">
        <f t="shared" si="25"/>
        <v>30</v>
      </c>
      <c r="T360" s="595" t="s">
        <v>4899</v>
      </c>
      <c r="U360" s="594">
        <f t="shared" si="26"/>
        <v>23</v>
      </c>
      <c r="V360" s="596" t="s">
        <v>4677</v>
      </c>
      <c r="W360" s="596" t="s">
        <v>4900</v>
      </c>
      <c r="X360" s="491">
        <f t="shared" si="27"/>
        <v>28</v>
      </c>
      <c r="Y360" s="596" t="s">
        <v>4900</v>
      </c>
      <c r="Z360" s="594">
        <f t="shared" si="28"/>
        <v>28</v>
      </c>
      <c r="AA360" s="596" t="s">
        <v>4901</v>
      </c>
      <c r="AB360" s="594">
        <f t="shared" si="29"/>
        <v>17</v>
      </c>
      <c r="AC360" s="596" t="s">
        <v>4680</v>
      </c>
      <c r="AD360" s="594"/>
      <c r="AE360" s="597"/>
      <c r="AF360" s="504"/>
      <c r="AG360" s="494" t="s">
        <v>2917</v>
      </c>
      <c r="AH360" s="495" t="s">
        <v>2918</v>
      </c>
      <c r="AI360" s="505"/>
      <c r="AJ360" s="505"/>
      <c r="AK360" s="598">
        <f>_xll.GetCtData("COAMOUNT","CONSAMOUNT",$B$1:$B$7,$B360,AK$9,"#1179326,72608741")</f>
        <v>1179326</v>
      </c>
    </row>
    <row r="361" spans="2:37" ht="12" customHeight="1">
      <c r="B361" s="453" t="s">
        <v>342</v>
      </c>
      <c r="C361" s="482" t="s">
        <v>2929</v>
      </c>
      <c r="D361" s="483">
        <v>44403</v>
      </c>
      <c r="E361" s="484" t="s">
        <v>2930</v>
      </c>
      <c r="F361" s="485">
        <v>7</v>
      </c>
      <c r="G361" s="547"/>
      <c r="H361" s="547"/>
      <c r="I361" s="547"/>
      <c r="J361" s="547"/>
      <c r="K361" s="547"/>
      <c r="L361" s="547"/>
      <c r="M361" s="548"/>
      <c r="N361" s="517" t="s">
        <v>4902</v>
      </c>
      <c r="O361" s="518">
        <v>10</v>
      </c>
      <c r="P361" s="519" t="s">
        <v>4903</v>
      </c>
      <c r="Q361" s="489">
        <v>63</v>
      </c>
      <c r="R361" s="519" t="s">
        <v>610</v>
      </c>
      <c r="S361" s="518">
        <f t="shared" si="25"/>
        <v>46</v>
      </c>
      <c r="T361" s="519" t="s">
        <v>4904</v>
      </c>
      <c r="U361" s="518">
        <f t="shared" si="26"/>
        <v>26</v>
      </c>
      <c r="V361" s="519" t="s">
        <v>4677</v>
      </c>
      <c r="W361" s="519" t="s">
        <v>4905</v>
      </c>
      <c r="X361" s="491">
        <f t="shared" si="27"/>
        <v>46</v>
      </c>
      <c r="Y361" s="519" t="s">
        <v>4905</v>
      </c>
      <c r="Z361" s="518">
        <f t="shared" si="28"/>
        <v>46</v>
      </c>
      <c r="AA361" s="519" t="s">
        <v>4906</v>
      </c>
      <c r="AB361" s="518">
        <f t="shared" si="29"/>
        <v>20</v>
      </c>
      <c r="AC361" s="519" t="s">
        <v>4680</v>
      </c>
      <c r="AD361" s="518" t="s">
        <v>4873</v>
      </c>
      <c r="AE361" s="520" t="s">
        <v>4874</v>
      </c>
      <c r="AF361" s="504" t="s">
        <v>2939</v>
      </c>
      <c r="AG361" s="494" t="s">
        <v>2917</v>
      </c>
      <c r="AH361" s="494" t="s">
        <v>2917</v>
      </c>
      <c r="AI361" s="505"/>
      <c r="AJ361" s="505"/>
      <c r="AK361" s="521">
        <f>_xll.GetCtData("COAMOUNT","CONSAMOUNT",$B$1:$B$7,$B361,AK$9,"#999761,964424699")</f>
        <v>999761</v>
      </c>
    </row>
    <row r="362" spans="2:37" ht="12" customHeight="1">
      <c r="B362" s="453" t="s">
        <v>343</v>
      </c>
      <c r="C362" s="482" t="s">
        <v>2929</v>
      </c>
      <c r="D362" s="483">
        <v>44403</v>
      </c>
      <c r="E362" s="484" t="s">
        <v>2930</v>
      </c>
      <c r="F362" s="485">
        <v>7</v>
      </c>
      <c r="G362" s="547"/>
      <c r="H362" s="547"/>
      <c r="I362" s="547"/>
      <c r="J362" s="547"/>
      <c r="K362" s="547"/>
      <c r="L362" s="547"/>
      <c r="M362" s="548"/>
      <c r="N362" s="517" t="s">
        <v>4907</v>
      </c>
      <c r="O362" s="518">
        <v>10</v>
      </c>
      <c r="P362" s="519" t="s">
        <v>4908</v>
      </c>
      <c r="Q362" s="489">
        <v>57</v>
      </c>
      <c r="R362" s="519" t="s">
        <v>611</v>
      </c>
      <c r="S362" s="518">
        <f t="shared" si="25"/>
        <v>40</v>
      </c>
      <c r="T362" s="519" t="s">
        <v>4909</v>
      </c>
      <c r="U362" s="518">
        <f t="shared" si="26"/>
        <v>24</v>
      </c>
      <c r="V362" s="519" t="s">
        <v>4677</v>
      </c>
      <c r="W362" s="519" t="s">
        <v>4910</v>
      </c>
      <c r="X362" s="491">
        <f t="shared" si="27"/>
        <v>45</v>
      </c>
      <c r="Y362" s="519" t="s">
        <v>4910</v>
      </c>
      <c r="Z362" s="518">
        <f t="shared" si="28"/>
        <v>45</v>
      </c>
      <c r="AA362" s="519" t="s">
        <v>4911</v>
      </c>
      <c r="AB362" s="518">
        <f t="shared" si="29"/>
        <v>23</v>
      </c>
      <c r="AC362" s="519" t="s">
        <v>4680</v>
      </c>
      <c r="AD362" s="518" t="s">
        <v>4873</v>
      </c>
      <c r="AE362" s="520" t="s">
        <v>4874</v>
      </c>
      <c r="AF362" s="504" t="s">
        <v>2939</v>
      </c>
      <c r="AG362" s="494" t="s">
        <v>2917</v>
      </c>
      <c r="AH362" s="494" t="s">
        <v>2917</v>
      </c>
      <c r="AI362" s="505"/>
      <c r="AJ362" s="505"/>
      <c r="AK362" s="521">
        <f>_xll.GetCtData("COAMOUNT","CONSAMOUNT",$B$1:$B$7,$B362,AK$9,"#179564,761662712")</f>
        <v>179564</v>
      </c>
    </row>
    <row r="363" spans="2:37" ht="12" customHeight="1">
      <c r="B363" s="453" t="s">
        <v>4912</v>
      </c>
      <c r="C363" s="482" t="s">
        <v>2911</v>
      </c>
      <c r="D363" s="483">
        <v>44378</v>
      </c>
      <c r="E363" s="484" t="s">
        <v>2912</v>
      </c>
      <c r="F363" s="485">
        <v>6</v>
      </c>
      <c r="G363" s="482"/>
      <c r="H363" s="567"/>
      <c r="I363" s="567"/>
      <c r="J363" s="567"/>
      <c r="K363" s="567"/>
      <c r="L363" s="567"/>
      <c r="M363" s="592" t="s">
        <v>4913</v>
      </c>
      <c r="N363" s="600"/>
      <c r="O363" s="601">
        <v>9</v>
      </c>
      <c r="P363" s="602" t="s">
        <v>4914</v>
      </c>
      <c r="Q363" s="489">
        <v>66</v>
      </c>
      <c r="R363" s="602" t="s">
        <v>2597</v>
      </c>
      <c r="S363" s="601">
        <f t="shared" si="25"/>
        <v>51</v>
      </c>
      <c r="T363" s="602" t="s">
        <v>4915</v>
      </c>
      <c r="U363" s="601">
        <f t="shared" si="26"/>
        <v>29</v>
      </c>
      <c r="V363" s="602" t="s">
        <v>4677</v>
      </c>
      <c r="W363" s="602" t="s">
        <v>4916</v>
      </c>
      <c r="X363" s="491">
        <f t="shared" si="27"/>
        <v>51</v>
      </c>
      <c r="Y363" s="602" t="s">
        <v>4916</v>
      </c>
      <c r="Z363" s="601">
        <f t="shared" si="28"/>
        <v>51</v>
      </c>
      <c r="AA363" s="602" t="s">
        <v>4917</v>
      </c>
      <c r="AB363" s="601">
        <f t="shared" si="29"/>
        <v>26</v>
      </c>
      <c r="AC363" s="602" t="s">
        <v>4680</v>
      </c>
      <c r="AD363" s="601"/>
      <c r="AE363" s="603"/>
      <c r="AF363" s="504"/>
      <c r="AG363" s="494" t="s">
        <v>2917</v>
      </c>
      <c r="AH363" s="495" t="s">
        <v>2918</v>
      </c>
      <c r="AI363" s="505"/>
      <c r="AJ363" s="505"/>
      <c r="AK363" s="604">
        <f>_xll.GetCtData("COAMOUNT","CONSAMOUNT",$B$1:$B$7,$B363,AK$9,"#28555,2809051717")</f>
        <v>28555</v>
      </c>
    </row>
    <row r="364" spans="2:37" ht="12" customHeight="1">
      <c r="B364" s="453" t="s">
        <v>336</v>
      </c>
      <c r="C364" s="482" t="s">
        <v>2929</v>
      </c>
      <c r="D364" s="483">
        <v>44403</v>
      </c>
      <c r="E364" s="484" t="s">
        <v>2930</v>
      </c>
      <c r="F364" s="485">
        <v>7</v>
      </c>
      <c r="G364" s="547"/>
      <c r="H364" s="547"/>
      <c r="I364" s="547"/>
      <c r="J364" s="547"/>
      <c r="K364" s="547"/>
      <c r="L364" s="547"/>
      <c r="M364" s="548"/>
      <c r="N364" s="517" t="s">
        <v>4918</v>
      </c>
      <c r="O364" s="518">
        <v>10</v>
      </c>
      <c r="P364" s="519" t="s">
        <v>4919</v>
      </c>
      <c r="Q364" s="489">
        <v>89</v>
      </c>
      <c r="R364" s="519" t="s">
        <v>612</v>
      </c>
      <c r="S364" s="518">
        <f t="shared" si="25"/>
        <v>71</v>
      </c>
      <c r="T364" s="519" t="s">
        <v>4920</v>
      </c>
      <c r="U364" s="518">
        <f t="shared" si="26"/>
        <v>30</v>
      </c>
      <c r="V364" s="519" t="s">
        <v>4677</v>
      </c>
      <c r="W364" s="519" t="s">
        <v>4921</v>
      </c>
      <c r="X364" s="491">
        <f t="shared" si="27"/>
        <v>71</v>
      </c>
      <c r="Y364" s="519" t="s">
        <v>4921</v>
      </c>
      <c r="Z364" s="518">
        <f t="shared" si="28"/>
        <v>71</v>
      </c>
      <c r="AA364" s="519" t="s">
        <v>4922</v>
      </c>
      <c r="AB364" s="518">
        <f t="shared" si="29"/>
        <v>28</v>
      </c>
      <c r="AC364" s="519" t="s">
        <v>4680</v>
      </c>
      <c r="AD364" s="518" t="s">
        <v>4923</v>
      </c>
      <c r="AE364" s="520" t="s">
        <v>4924</v>
      </c>
      <c r="AF364" s="504" t="s">
        <v>2939</v>
      </c>
      <c r="AG364" s="494" t="s">
        <v>2917</v>
      </c>
      <c r="AH364" s="494" t="s">
        <v>2917</v>
      </c>
      <c r="AI364" s="505"/>
      <c r="AJ364" s="505"/>
      <c r="AK364" s="521">
        <f>_xll.GetCtData("COAMOUNT","CONSAMOUNT",$B$1:$B$7,$B364,AK$9,"#26575,3902541516")</f>
        <v>26575</v>
      </c>
    </row>
    <row r="365" spans="2:37" ht="12" customHeight="1">
      <c r="B365" s="453" t="s">
        <v>337</v>
      </c>
      <c r="C365" s="482" t="s">
        <v>2929</v>
      </c>
      <c r="D365" s="483">
        <v>44403</v>
      </c>
      <c r="E365" s="484" t="s">
        <v>2930</v>
      </c>
      <c r="F365" s="485">
        <v>7</v>
      </c>
      <c r="G365" s="547"/>
      <c r="H365" s="547"/>
      <c r="I365" s="547"/>
      <c r="J365" s="547"/>
      <c r="K365" s="547"/>
      <c r="L365" s="547"/>
      <c r="M365" s="548"/>
      <c r="N365" s="517" t="s">
        <v>4925</v>
      </c>
      <c r="O365" s="518">
        <v>10</v>
      </c>
      <c r="P365" s="519" t="s">
        <v>4926</v>
      </c>
      <c r="Q365" s="489">
        <v>75</v>
      </c>
      <c r="R365" s="519" t="s">
        <v>613</v>
      </c>
      <c r="S365" s="518">
        <f t="shared" si="25"/>
        <v>65</v>
      </c>
      <c r="T365" s="519" t="s">
        <v>4927</v>
      </c>
      <c r="U365" s="518">
        <f t="shared" si="26"/>
        <v>30</v>
      </c>
      <c r="V365" s="519" t="s">
        <v>4677</v>
      </c>
      <c r="W365" s="519" t="s">
        <v>4928</v>
      </c>
      <c r="X365" s="491">
        <f t="shared" si="27"/>
        <v>68</v>
      </c>
      <c r="Y365" s="519" t="s">
        <v>4928</v>
      </c>
      <c r="Z365" s="518">
        <f t="shared" si="28"/>
        <v>68</v>
      </c>
      <c r="AA365" s="519" t="s">
        <v>4929</v>
      </c>
      <c r="AB365" s="518">
        <f t="shared" si="29"/>
        <v>27</v>
      </c>
      <c r="AC365" s="519" t="s">
        <v>4680</v>
      </c>
      <c r="AD365" s="518" t="s">
        <v>4923</v>
      </c>
      <c r="AE365" s="520" t="s">
        <v>4924</v>
      </c>
      <c r="AF365" s="504" t="s">
        <v>2939</v>
      </c>
      <c r="AG365" s="494" t="s">
        <v>2917</v>
      </c>
      <c r="AH365" s="494" t="s">
        <v>2917</v>
      </c>
      <c r="AI365" s="505"/>
      <c r="AJ365" s="505"/>
      <c r="AK365" s="521">
        <f>_xll.GetCtData("COAMOUNT","CONSAMOUNT",$B$1:$B$7,$B365,AK$9,"#1979,89065102019")</f>
        <v>1979</v>
      </c>
    </row>
    <row r="366" spans="2:37" ht="12" customHeight="1">
      <c r="B366" s="453" t="s">
        <v>4930</v>
      </c>
      <c r="C366" s="482" t="s">
        <v>2911</v>
      </c>
      <c r="D366" s="483">
        <v>44378</v>
      </c>
      <c r="E366" s="484" t="s">
        <v>2912</v>
      </c>
      <c r="F366" s="485">
        <v>4</v>
      </c>
      <c r="G366" s="482"/>
      <c r="H366" s="507"/>
      <c r="I366" s="507"/>
      <c r="J366" s="507"/>
      <c r="K366" s="564" t="s">
        <v>4931</v>
      </c>
      <c r="L366" s="564"/>
      <c r="M366" s="565"/>
      <c r="N366" s="566"/>
      <c r="O366" s="558">
        <v>7</v>
      </c>
      <c r="P366" s="559" t="s">
        <v>4932</v>
      </c>
      <c r="Q366" s="489">
        <v>42</v>
      </c>
      <c r="R366" s="559" t="s">
        <v>1166</v>
      </c>
      <c r="S366" s="558">
        <f t="shared" si="25"/>
        <v>32</v>
      </c>
      <c r="T366" s="559" t="s">
        <v>4933</v>
      </c>
      <c r="U366" s="558">
        <f t="shared" si="26"/>
        <v>21</v>
      </c>
      <c r="V366" s="560" t="s">
        <v>4934</v>
      </c>
      <c r="W366" s="560" t="s">
        <v>4935</v>
      </c>
      <c r="X366" s="491">
        <f t="shared" si="27"/>
        <v>30</v>
      </c>
      <c r="Y366" s="560" t="s">
        <v>4935</v>
      </c>
      <c r="Z366" s="558">
        <f t="shared" si="28"/>
        <v>30</v>
      </c>
      <c r="AA366" s="560" t="s">
        <v>4936</v>
      </c>
      <c r="AB366" s="558">
        <f t="shared" si="29"/>
        <v>12</v>
      </c>
      <c r="AC366" s="561" t="s">
        <v>4937</v>
      </c>
      <c r="AD366" s="558"/>
      <c r="AE366" s="562"/>
      <c r="AF366" s="504"/>
      <c r="AG366" s="494" t="s">
        <v>2917</v>
      </c>
      <c r="AH366" s="495" t="s">
        <v>2918</v>
      </c>
      <c r="AI366" s="505"/>
      <c r="AJ366" s="505"/>
      <c r="AK366" s="563">
        <f>_xll.GetCtData("COAMOUNT","CONSAMOUNT",$B$1:$B$7,$B366,AK$9,"#90853093,1260019")</f>
        <v>90853093</v>
      </c>
    </row>
    <row r="367" spans="2:37" ht="12" customHeight="1">
      <c r="B367" s="453" t="s">
        <v>4938</v>
      </c>
      <c r="C367" s="482" t="s">
        <v>2911</v>
      </c>
      <c r="D367" s="483">
        <v>44378</v>
      </c>
      <c r="E367" s="484" t="s">
        <v>2912</v>
      </c>
      <c r="F367" s="485">
        <v>5</v>
      </c>
      <c r="G367" s="482"/>
      <c r="H367" s="567"/>
      <c r="I367" s="567"/>
      <c r="J367" s="567"/>
      <c r="K367" s="567"/>
      <c r="L367" s="568" t="s">
        <v>4939</v>
      </c>
      <c r="M367" s="569"/>
      <c r="N367" s="570"/>
      <c r="O367" s="571">
        <v>8</v>
      </c>
      <c r="P367" s="572" t="s">
        <v>4940</v>
      </c>
      <c r="Q367" s="489">
        <v>76</v>
      </c>
      <c r="R367" s="572" t="s">
        <v>614</v>
      </c>
      <c r="S367" s="571">
        <f t="shared" si="25"/>
        <v>66</v>
      </c>
      <c r="T367" s="572" t="s">
        <v>4941</v>
      </c>
      <c r="U367" s="571">
        <f t="shared" si="26"/>
        <v>30</v>
      </c>
      <c r="V367" s="573" t="s">
        <v>4934</v>
      </c>
      <c r="W367" s="573" t="s">
        <v>4942</v>
      </c>
      <c r="X367" s="491">
        <f t="shared" si="27"/>
        <v>73</v>
      </c>
      <c r="Y367" s="573" t="s">
        <v>4942</v>
      </c>
      <c r="Z367" s="571">
        <f t="shared" si="28"/>
        <v>73</v>
      </c>
      <c r="AA367" s="573" t="s">
        <v>4943</v>
      </c>
      <c r="AB367" s="571">
        <f t="shared" si="29"/>
        <v>26</v>
      </c>
      <c r="AC367" s="573" t="s">
        <v>4937</v>
      </c>
      <c r="AD367" s="571"/>
      <c r="AE367" s="575"/>
      <c r="AF367" s="504"/>
      <c r="AG367" s="494" t="s">
        <v>2917</v>
      </c>
      <c r="AH367" s="495" t="s">
        <v>2918</v>
      </c>
      <c r="AI367" s="505"/>
      <c r="AJ367" s="505"/>
      <c r="AK367" s="576">
        <f>_xll.GetCtData("COAMOUNT","CONSAMOUNT",$B$1:$B$7,$B367,AK$9,"#22566115,0262245")</f>
        <v>22566115</v>
      </c>
    </row>
    <row r="368" spans="2:37" ht="12" customHeight="1">
      <c r="B368" s="453" t="s">
        <v>453</v>
      </c>
      <c r="C368" s="482" t="s">
        <v>2929</v>
      </c>
      <c r="D368" s="483">
        <v>44403</v>
      </c>
      <c r="E368" s="484" t="s">
        <v>2930</v>
      </c>
      <c r="F368" s="485">
        <v>7</v>
      </c>
      <c r="G368" s="547"/>
      <c r="H368" s="547"/>
      <c r="I368" s="547"/>
      <c r="J368" s="547"/>
      <c r="K368" s="547"/>
      <c r="L368" s="547"/>
      <c r="M368" s="548"/>
      <c r="N368" s="517" t="s">
        <v>4944</v>
      </c>
      <c r="O368" s="518">
        <v>10</v>
      </c>
      <c r="P368" s="519" t="s">
        <v>4940</v>
      </c>
      <c r="Q368" s="489">
        <v>76</v>
      </c>
      <c r="R368" s="519" t="s">
        <v>614</v>
      </c>
      <c r="S368" s="518">
        <f t="shared" si="25"/>
        <v>66</v>
      </c>
      <c r="T368" s="519" t="s">
        <v>4941</v>
      </c>
      <c r="U368" s="518">
        <f t="shared" si="26"/>
        <v>30</v>
      </c>
      <c r="V368" s="519" t="s">
        <v>4934</v>
      </c>
      <c r="W368" s="519" t="s">
        <v>4942</v>
      </c>
      <c r="X368" s="491">
        <f t="shared" si="27"/>
        <v>73</v>
      </c>
      <c r="Y368" s="519" t="s">
        <v>4942</v>
      </c>
      <c r="Z368" s="518">
        <f t="shared" si="28"/>
        <v>73</v>
      </c>
      <c r="AA368" s="519" t="s">
        <v>4943</v>
      </c>
      <c r="AB368" s="518">
        <f t="shared" si="29"/>
        <v>26</v>
      </c>
      <c r="AC368" s="519" t="s">
        <v>4937</v>
      </c>
      <c r="AD368" s="518" t="s">
        <v>4945</v>
      </c>
      <c r="AE368" s="520" t="s">
        <v>4946</v>
      </c>
      <c r="AF368" s="504" t="s">
        <v>2939</v>
      </c>
      <c r="AG368" s="494" t="s">
        <v>2917</v>
      </c>
      <c r="AH368" s="494" t="s">
        <v>2917</v>
      </c>
      <c r="AI368" s="505"/>
      <c r="AJ368" s="505"/>
      <c r="AK368" s="521">
        <f>_xll.GetCtData("COAMOUNT","CONSAMOUNT",$B$1:$B$7,$B368,AK$9,"#22566115,0262245")</f>
        <v>22566115</v>
      </c>
    </row>
    <row r="369" spans="2:37" ht="12" customHeight="1">
      <c r="B369" s="453" t="s">
        <v>4947</v>
      </c>
      <c r="C369" s="482" t="s">
        <v>2911</v>
      </c>
      <c r="D369" s="483">
        <v>44378</v>
      </c>
      <c r="E369" s="484" t="s">
        <v>2912</v>
      </c>
      <c r="F369" s="485">
        <v>5</v>
      </c>
      <c r="G369" s="482"/>
      <c r="H369" s="567"/>
      <c r="I369" s="567"/>
      <c r="J369" s="567"/>
      <c r="K369" s="567"/>
      <c r="L369" s="568" t="s">
        <v>4948</v>
      </c>
      <c r="M369" s="569"/>
      <c r="N369" s="570"/>
      <c r="O369" s="571">
        <v>8</v>
      </c>
      <c r="P369" s="572" t="s">
        <v>4949</v>
      </c>
      <c r="Q369" s="489">
        <v>83</v>
      </c>
      <c r="R369" s="572" t="s">
        <v>615</v>
      </c>
      <c r="S369" s="571">
        <f t="shared" si="25"/>
        <v>73</v>
      </c>
      <c r="T369" s="572" t="s">
        <v>4950</v>
      </c>
      <c r="U369" s="571">
        <f t="shared" si="26"/>
        <v>30</v>
      </c>
      <c r="V369" s="573" t="s">
        <v>4934</v>
      </c>
      <c r="W369" s="573" t="s">
        <v>4951</v>
      </c>
      <c r="X369" s="491">
        <f t="shared" si="27"/>
        <v>63</v>
      </c>
      <c r="Y369" s="573" t="s">
        <v>4951</v>
      </c>
      <c r="Z369" s="571">
        <f t="shared" si="28"/>
        <v>63</v>
      </c>
      <c r="AA369" s="573" t="s">
        <v>4952</v>
      </c>
      <c r="AB369" s="571">
        <f t="shared" si="29"/>
        <v>26</v>
      </c>
      <c r="AC369" s="573" t="s">
        <v>4937</v>
      </c>
      <c r="AD369" s="571"/>
      <c r="AE369" s="575"/>
      <c r="AF369" s="504"/>
      <c r="AG369" s="494" t="s">
        <v>2917</v>
      </c>
      <c r="AH369" s="495" t="s">
        <v>2918</v>
      </c>
      <c r="AI369" s="505"/>
      <c r="AJ369" s="505"/>
      <c r="AK369" s="576">
        <f>_xll.GetCtData("COAMOUNT","CONSAMOUNT",$B$1:$B$7,$B369,AK$9,"#14677854,141363")</f>
        <v>14677854</v>
      </c>
    </row>
    <row r="370" spans="2:37" ht="12" customHeight="1">
      <c r="B370" s="453" t="s">
        <v>454</v>
      </c>
      <c r="C370" s="482" t="s">
        <v>2929</v>
      </c>
      <c r="D370" s="483">
        <v>44403</v>
      </c>
      <c r="E370" s="484" t="s">
        <v>2930</v>
      </c>
      <c r="F370" s="485">
        <v>7</v>
      </c>
      <c r="G370" s="547"/>
      <c r="H370" s="547"/>
      <c r="I370" s="547"/>
      <c r="J370" s="547"/>
      <c r="K370" s="547"/>
      <c r="L370" s="547"/>
      <c r="M370" s="548"/>
      <c r="N370" s="517" t="s">
        <v>4953</v>
      </c>
      <c r="O370" s="518">
        <v>10</v>
      </c>
      <c r="P370" s="519" t="s">
        <v>4949</v>
      </c>
      <c r="Q370" s="489">
        <v>83</v>
      </c>
      <c r="R370" s="519" t="s">
        <v>615</v>
      </c>
      <c r="S370" s="518">
        <f t="shared" si="25"/>
        <v>73</v>
      </c>
      <c r="T370" s="519" t="s">
        <v>4950</v>
      </c>
      <c r="U370" s="518">
        <f t="shared" si="26"/>
        <v>30</v>
      </c>
      <c r="V370" s="519" t="s">
        <v>4934</v>
      </c>
      <c r="W370" s="519" t="s">
        <v>4951</v>
      </c>
      <c r="X370" s="491">
        <f t="shared" si="27"/>
        <v>63</v>
      </c>
      <c r="Y370" s="519" t="s">
        <v>4951</v>
      </c>
      <c r="Z370" s="518">
        <f t="shared" si="28"/>
        <v>63</v>
      </c>
      <c r="AA370" s="519" t="s">
        <v>4952</v>
      </c>
      <c r="AB370" s="518">
        <f t="shared" si="29"/>
        <v>26</v>
      </c>
      <c r="AC370" s="519" t="s">
        <v>4937</v>
      </c>
      <c r="AD370" s="518" t="s">
        <v>4954</v>
      </c>
      <c r="AE370" s="520" t="s">
        <v>4955</v>
      </c>
      <c r="AF370" s="504" t="s">
        <v>2939</v>
      </c>
      <c r="AG370" s="494" t="s">
        <v>2917</v>
      </c>
      <c r="AH370" s="494" t="s">
        <v>2917</v>
      </c>
      <c r="AI370" s="505"/>
      <c r="AJ370" s="505"/>
      <c r="AK370" s="521">
        <f>_xll.GetCtData("COAMOUNT","CONSAMOUNT",$B$1:$B$7,$B370,AK$9,"#14677854,141363")</f>
        <v>14677854</v>
      </c>
    </row>
    <row r="371" spans="2:37" ht="12" customHeight="1">
      <c r="B371" s="453" t="s">
        <v>4956</v>
      </c>
      <c r="C371" s="482" t="s">
        <v>2911</v>
      </c>
      <c r="D371" s="483">
        <v>44378</v>
      </c>
      <c r="E371" s="484" t="s">
        <v>2912</v>
      </c>
      <c r="F371" s="485">
        <v>5</v>
      </c>
      <c r="G371" s="482"/>
      <c r="H371" s="567"/>
      <c r="I371" s="567"/>
      <c r="J371" s="567"/>
      <c r="K371" s="567"/>
      <c r="L371" s="568" t="s">
        <v>4957</v>
      </c>
      <c r="M371" s="569"/>
      <c r="N371" s="570"/>
      <c r="O371" s="571">
        <v>8</v>
      </c>
      <c r="P371" s="572" t="s">
        <v>4958</v>
      </c>
      <c r="Q371" s="489">
        <v>79</v>
      </c>
      <c r="R371" s="572" t="s">
        <v>616</v>
      </c>
      <c r="S371" s="571">
        <f t="shared" si="25"/>
        <v>69</v>
      </c>
      <c r="T371" s="572" t="s">
        <v>4959</v>
      </c>
      <c r="U371" s="571">
        <f t="shared" si="26"/>
        <v>28</v>
      </c>
      <c r="V371" s="573" t="s">
        <v>4934</v>
      </c>
      <c r="W371" s="573" t="s">
        <v>4960</v>
      </c>
      <c r="X371" s="491">
        <f t="shared" si="27"/>
        <v>61</v>
      </c>
      <c r="Y371" s="573" t="s">
        <v>4960</v>
      </c>
      <c r="Z371" s="571">
        <f t="shared" si="28"/>
        <v>61</v>
      </c>
      <c r="AA371" s="573" t="s">
        <v>4961</v>
      </c>
      <c r="AB371" s="571">
        <f t="shared" si="29"/>
        <v>26</v>
      </c>
      <c r="AC371" s="573" t="s">
        <v>4937</v>
      </c>
      <c r="AD371" s="571"/>
      <c r="AE371" s="575"/>
      <c r="AF371" s="504"/>
      <c r="AG371" s="494" t="s">
        <v>2917</v>
      </c>
      <c r="AH371" s="495" t="s">
        <v>2918</v>
      </c>
      <c r="AI371" s="505"/>
      <c r="AJ371" s="505"/>
      <c r="AK371" s="576">
        <f>_xll.GetCtData("COAMOUNT","CONSAMOUNT",$B$1:$B$7,$B371,AK$9,"#24037")</f>
        <v>24037</v>
      </c>
    </row>
    <row r="372" spans="2:37" ht="12" customHeight="1">
      <c r="B372" s="453" t="s">
        <v>455</v>
      </c>
      <c r="C372" s="482" t="s">
        <v>2929</v>
      </c>
      <c r="D372" s="483">
        <v>44403</v>
      </c>
      <c r="E372" s="484" t="s">
        <v>2930</v>
      </c>
      <c r="F372" s="485">
        <v>7</v>
      </c>
      <c r="G372" s="547"/>
      <c r="H372" s="547"/>
      <c r="I372" s="547"/>
      <c r="J372" s="547"/>
      <c r="K372" s="547"/>
      <c r="L372" s="547"/>
      <c r="M372" s="548"/>
      <c r="N372" s="517" t="s">
        <v>4962</v>
      </c>
      <c r="O372" s="518">
        <v>10</v>
      </c>
      <c r="P372" s="519" t="s">
        <v>4958</v>
      </c>
      <c r="Q372" s="489">
        <v>79</v>
      </c>
      <c r="R372" s="519" t="s">
        <v>616</v>
      </c>
      <c r="S372" s="518">
        <f t="shared" si="25"/>
        <v>69</v>
      </c>
      <c r="T372" s="519" t="s">
        <v>4959</v>
      </c>
      <c r="U372" s="518">
        <f t="shared" si="26"/>
        <v>28</v>
      </c>
      <c r="V372" s="519" t="s">
        <v>4934</v>
      </c>
      <c r="W372" s="519" t="s">
        <v>4960</v>
      </c>
      <c r="X372" s="491">
        <f t="shared" si="27"/>
        <v>61</v>
      </c>
      <c r="Y372" s="519" t="s">
        <v>4960</v>
      </c>
      <c r="Z372" s="518">
        <f t="shared" si="28"/>
        <v>61</v>
      </c>
      <c r="AA372" s="519" t="s">
        <v>4961</v>
      </c>
      <c r="AB372" s="518">
        <f t="shared" si="29"/>
        <v>26</v>
      </c>
      <c r="AC372" s="519" t="s">
        <v>4937</v>
      </c>
      <c r="AD372" s="518" t="s">
        <v>4963</v>
      </c>
      <c r="AE372" s="520" t="s">
        <v>4964</v>
      </c>
      <c r="AF372" s="504" t="s">
        <v>2939</v>
      </c>
      <c r="AG372" s="494" t="s">
        <v>2917</v>
      </c>
      <c r="AH372" s="494" t="s">
        <v>2917</v>
      </c>
      <c r="AI372" s="505"/>
      <c r="AJ372" s="505"/>
      <c r="AK372" s="521">
        <f>_xll.GetCtData("COAMOUNT","CONSAMOUNT",$B$1:$B$7,$B372,AK$9,"#24037")</f>
        <v>24037</v>
      </c>
    </row>
    <row r="373" spans="2:37" ht="12" customHeight="1">
      <c r="B373" s="453" t="s">
        <v>4965</v>
      </c>
      <c r="C373" s="482" t="s">
        <v>2911</v>
      </c>
      <c r="D373" s="483">
        <v>44378</v>
      </c>
      <c r="E373" s="484" t="s">
        <v>2912</v>
      </c>
      <c r="F373" s="485">
        <v>5</v>
      </c>
      <c r="G373" s="482"/>
      <c r="H373" s="567"/>
      <c r="I373" s="567"/>
      <c r="J373" s="567"/>
      <c r="K373" s="567"/>
      <c r="L373" s="568" t="s">
        <v>4966</v>
      </c>
      <c r="M373" s="569"/>
      <c r="N373" s="605"/>
      <c r="O373" s="571">
        <v>8</v>
      </c>
      <c r="P373" s="572" t="s">
        <v>4967</v>
      </c>
      <c r="Q373" s="489">
        <v>48</v>
      </c>
      <c r="R373" s="572" t="s">
        <v>617</v>
      </c>
      <c r="S373" s="571">
        <f t="shared" si="25"/>
        <v>38</v>
      </c>
      <c r="T373" s="572" t="s">
        <v>4968</v>
      </c>
      <c r="U373" s="571">
        <f t="shared" si="26"/>
        <v>25</v>
      </c>
      <c r="V373" s="573" t="s">
        <v>4934</v>
      </c>
      <c r="W373" s="573" t="s">
        <v>4969</v>
      </c>
      <c r="X373" s="491">
        <f t="shared" si="27"/>
        <v>58</v>
      </c>
      <c r="Y373" s="573" t="s">
        <v>4969</v>
      </c>
      <c r="Z373" s="571">
        <f t="shared" si="28"/>
        <v>58</v>
      </c>
      <c r="AA373" s="573" t="s">
        <v>4970</v>
      </c>
      <c r="AB373" s="571">
        <f t="shared" si="29"/>
        <v>29</v>
      </c>
      <c r="AC373" s="573" t="s">
        <v>4937</v>
      </c>
      <c r="AD373" s="571"/>
      <c r="AE373" s="575"/>
      <c r="AF373" s="504"/>
      <c r="AG373" s="494" t="s">
        <v>2917</v>
      </c>
      <c r="AH373" s="495" t="s">
        <v>2918</v>
      </c>
      <c r="AI373" s="505"/>
      <c r="AJ373" s="505"/>
      <c r="AK373" s="576">
        <f>_xll.GetCtData("COAMOUNT","CONSAMOUNT",$B$1:$B$7,$B373,AK$9,"#")</f>
        <v>0</v>
      </c>
    </row>
    <row r="374" spans="2:37" ht="12" customHeight="1">
      <c r="B374" s="453" t="s">
        <v>456</v>
      </c>
      <c r="C374" s="482" t="s">
        <v>2929</v>
      </c>
      <c r="D374" s="483">
        <v>44403</v>
      </c>
      <c r="E374" s="484" t="s">
        <v>2930</v>
      </c>
      <c r="F374" s="485">
        <v>7</v>
      </c>
      <c r="G374" s="547"/>
      <c r="H374" s="547"/>
      <c r="I374" s="547"/>
      <c r="J374" s="547"/>
      <c r="K374" s="547"/>
      <c r="L374" s="547"/>
      <c r="M374" s="548"/>
      <c r="N374" s="517" t="s">
        <v>4971</v>
      </c>
      <c r="O374" s="518">
        <v>10</v>
      </c>
      <c r="P374" s="519" t="s">
        <v>4967</v>
      </c>
      <c r="Q374" s="489">
        <v>48</v>
      </c>
      <c r="R374" s="519" t="s">
        <v>617</v>
      </c>
      <c r="S374" s="518">
        <f t="shared" si="25"/>
        <v>38</v>
      </c>
      <c r="T374" s="519" t="s">
        <v>4968</v>
      </c>
      <c r="U374" s="518">
        <f t="shared" si="26"/>
        <v>25</v>
      </c>
      <c r="V374" s="519" t="s">
        <v>4934</v>
      </c>
      <c r="W374" s="519" t="s">
        <v>4969</v>
      </c>
      <c r="X374" s="491">
        <f t="shared" si="27"/>
        <v>58</v>
      </c>
      <c r="Y374" s="519" t="s">
        <v>4969</v>
      </c>
      <c r="Z374" s="518">
        <f t="shared" si="28"/>
        <v>58</v>
      </c>
      <c r="AA374" s="519" t="s">
        <v>4970</v>
      </c>
      <c r="AB374" s="518">
        <f t="shared" si="29"/>
        <v>29</v>
      </c>
      <c r="AC374" s="519" t="s">
        <v>4937</v>
      </c>
      <c r="AD374" s="518" t="s">
        <v>4954</v>
      </c>
      <c r="AE374" s="520" t="s">
        <v>4955</v>
      </c>
      <c r="AF374" s="504" t="s">
        <v>2939</v>
      </c>
      <c r="AG374" s="494" t="s">
        <v>2917</v>
      </c>
      <c r="AH374" s="494" t="s">
        <v>2917</v>
      </c>
      <c r="AI374" s="505"/>
      <c r="AJ374" s="505"/>
      <c r="AK374" s="521">
        <f>_xll.GetCtData("COAMOUNT","CONSAMOUNT",$B$1:$B$7,$B374,AK$9,"#")</f>
        <v>0</v>
      </c>
    </row>
    <row r="375" spans="2:37" ht="12" customHeight="1">
      <c r="B375" s="453" t="s">
        <v>4972</v>
      </c>
      <c r="C375" s="482" t="s">
        <v>2911</v>
      </c>
      <c r="D375" s="483">
        <v>44378</v>
      </c>
      <c r="E375" s="484" t="s">
        <v>2912</v>
      </c>
      <c r="F375" s="485">
        <v>5</v>
      </c>
      <c r="G375" s="482"/>
      <c r="H375" s="567"/>
      <c r="I375" s="567"/>
      <c r="J375" s="567"/>
      <c r="K375" s="567"/>
      <c r="L375" s="568" t="s">
        <v>4973</v>
      </c>
      <c r="M375" s="569"/>
      <c r="N375" s="570"/>
      <c r="O375" s="571">
        <v>8</v>
      </c>
      <c r="P375" s="572" t="s">
        <v>4974</v>
      </c>
      <c r="Q375" s="489">
        <v>65</v>
      </c>
      <c r="R375" s="572" t="s">
        <v>618</v>
      </c>
      <c r="S375" s="571">
        <f t="shared" si="25"/>
        <v>55</v>
      </c>
      <c r="T375" s="572" t="s">
        <v>4975</v>
      </c>
      <c r="U375" s="571">
        <f t="shared" si="26"/>
        <v>27</v>
      </c>
      <c r="V375" s="573" t="s">
        <v>4934</v>
      </c>
      <c r="W375" s="573" t="s">
        <v>4976</v>
      </c>
      <c r="X375" s="491">
        <f t="shared" si="27"/>
        <v>64</v>
      </c>
      <c r="Y375" s="573" t="s">
        <v>4976</v>
      </c>
      <c r="Z375" s="571">
        <f t="shared" si="28"/>
        <v>64</v>
      </c>
      <c r="AA375" s="573" t="s">
        <v>4977</v>
      </c>
      <c r="AB375" s="571">
        <f t="shared" si="29"/>
        <v>26</v>
      </c>
      <c r="AC375" s="573" t="s">
        <v>4937</v>
      </c>
      <c r="AD375" s="571"/>
      <c r="AE375" s="575"/>
      <c r="AF375" s="504"/>
      <c r="AG375" s="494" t="s">
        <v>2917</v>
      </c>
      <c r="AH375" s="495" t="s">
        <v>2918</v>
      </c>
      <c r="AI375" s="505"/>
      <c r="AJ375" s="505"/>
      <c r="AK375" s="576">
        <f>_xll.GetCtData("COAMOUNT","CONSAMOUNT",$B$1:$B$7,$B375,AK$9,"#3599624,41261887")</f>
        <v>3599624</v>
      </c>
    </row>
    <row r="376" spans="2:37" ht="12" customHeight="1">
      <c r="B376" s="453" t="s">
        <v>458</v>
      </c>
      <c r="C376" s="482" t="s">
        <v>2929</v>
      </c>
      <c r="D376" s="483">
        <v>44403</v>
      </c>
      <c r="E376" s="484" t="s">
        <v>2930</v>
      </c>
      <c r="F376" s="485">
        <v>7</v>
      </c>
      <c r="G376" s="577"/>
      <c r="H376" s="577"/>
      <c r="I376" s="577"/>
      <c r="J376" s="577"/>
      <c r="K376" s="577"/>
      <c r="L376" s="577"/>
      <c r="M376" s="578"/>
      <c r="N376" s="517" t="s">
        <v>4978</v>
      </c>
      <c r="O376" s="518">
        <v>10</v>
      </c>
      <c r="P376" s="519" t="s">
        <v>4974</v>
      </c>
      <c r="Q376" s="489">
        <v>65</v>
      </c>
      <c r="R376" s="519" t="s">
        <v>618</v>
      </c>
      <c r="S376" s="518">
        <f t="shared" si="25"/>
        <v>55</v>
      </c>
      <c r="T376" s="519" t="s">
        <v>4979</v>
      </c>
      <c r="U376" s="518">
        <f t="shared" si="26"/>
        <v>29</v>
      </c>
      <c r="V376" s="519" t="s">
        <v>4934</v>
      </c>
      <c r="W376" s="519" t="s">
        <v>4976</v>
      </c>
      <c r="X376" s="491">
        <f t="shared" si="27"/>
        <v>64</v>
      </c>
      <c r="Y376" s="519" t="s">
        <v>4976</v>
      </c>
      <c r="Z376" s="518">
        <f t="shared" si="28"/>
        <v>64</v>
      </c>
      <c r="AA376" s="519" t="s">
        <v>4977</v>
      </c>
      <c r="AB376" s="518">
        <f t="shared" si="29"/>
        <v>26</v>
      </c>
      <c r="AC376" s="519" t="s">
        <v>4937</v>
      </c>
      <c r="AD376" s="518" t="s">
        <v>4980</v>
      </c>
      <c r="AE376" s="520" t="s">
        <v>4981</v>
      </c>
      <c r="AF376" s="504" t="s">
        <v>2939</v>
      </c>
      <c r="AG376" s="494" t="s">
        <v>2917</v>
      </c>
      <c r="AH376" s="494" t="s">
        <v>2917</v>
      </c>
      <c r="AI376" s="505"/>
      <c r="AJ376" s="505"/>
      <c r="AK376" s="521">
        <f>_xll.GetCtData("COAMOUNT","CONSAMOUNT",$B$1:$B$7,$B376,AK$9,"#3599624,41261887")</f>
        <v>3599624</v>
      </c>
    </row>
    <row r="377" spans="2:37" ht="12" customHeight="1">
      <c r="B377" s="453" t="s">
        <v>4982</v>
      </c>
      <c r="C377" s="482" t="s">
        <v>2911</v>
      </c>
      <c r="D377" s="483">
        <v>44378</v>
      </c>
      <c r="E377" s="484" t="s">
        <v>2912</v>
      </c>
      <c r="F377" s="485">
        <v>5</v>
      </c>
      <c r="G377" s="482"/>
      <c r="H377" s="567"/>
      <c r="I377" s="567"/>
      <c r="J377" s="567"/>
      <c r="K377" s="567"/>
      <c r="L377" s="568" t="s">
        <v>4983</v>
      </c>
      <c r="M377" s="569"/>
      <c r="N377" s="570"/>
      <c r="O377" s="571">
        <v>8</v>
      </c>
      <c r="P377" s="572" t="s">
        <v>4984</v>
      </c>
      <c r="Q377" s="489">
        <v>50</v>
      </c>
      <c r="R377" s="572" t="s">
        <v>619</v>
      </c>
      <c r="S377" s="571">
        <f t="shared" si="25"/>
        <v>40</v>
      </c>
      <c r="T377" s="572" t="s">
        <v>4985</v>
      </c>
      <c r="U377" s="571">
        <f t="shared" si="26"/>
        <v>21</v>
      </c>
      <c r="V377" s="573" t="s">
        <v>4934</v>
      </c>
      <c r="W377" s="573" t="s">
        <v>4986</v>
      </c>
      <c r="X377" s="491">
        <f t="shared" si="27"/>
        <v>36</v>
      </c>
      <c r="Y377" s="573" t="s">
        <v>4986</v>
      </c>
      <c r="Z377" s="571">
        <f t="shared" si="28"/>
        <v>36</v>
      </c>
      <c r="AA377" s="573" t="s">
        <v>4987</v>
      </c>
      <c r="AB377" s="571">
        <f t="shared" si="29"/>
        <v>16</v>
      </c>
      <c r="AC377" s="573" t="s">
        <v>4937</v>
      </c>
      <c r="AD377" s="571"/>
      <c r="AE377" s="575"/>
      <c r="AF377" s="504"/>
      <c r="AG377" s="494" t="s">
        <v>2917</v>
      </c>
      <c r="AH377" s="495" t="s">
        <v>2918</v>
      </c>
      <c r="AI377" s="505"/>
      <c r="AJ377" s="505"/>
      <c r="AK377" s="576">
        <f>_xll.GetCtData("COAMOUNT","CONSAMOUNT",$B$1:$B$7,$B377,AK$9,"#48126707,5457955")</f>
        <v>48126707</v>
      </c>
    </row>
    <row r="378" spans="2:37" ht="12" customHeight="1">
      <c r="B378" s="453" t="s">
        <v>457</v>
      </c>
      <c r="C378" s="482" t="s">
        <v>2929</v>
      </c>
      <c r="D378" s="483">
        <v>44403</v>
      </c>
      <c r="E378" s="484" t="s">
        <v>2930</v>
      </c>
      <c r="F378" s="485">
        <v>7</v>
      </c>
      <c r="G378" s="577"/>
      <c r="H378" s="577"/>
      <c r="I378" s="577"/>
      <c r="J378" s="577"/>
      <c r="K378" s="577"/>
      <c r="L378" s="577"/>
      <c r="M378" s="578"/>
      <c r="N378" s="517" t="s">
        <v>4988</v>
      </c>
      <c r="O378" s="518">
        <v>10</v>
      </c>
      <c r="P378" s="519" t="s">
        <v>4984</v>
      </c>
      <c r="Q378" s="489">
        <v>50</v>
      </c>
      <c r="R378" s="519" t="s">
        <v>619</v>
      </c>
      <c r="S378" s="518">
        <f t="shared" si="25"/>
        <v>40</v>
      </c>
      <c r="T378" s="519" t="s">
        <v>4985</v>
      </c>
      <c r="U378" s="518">
        <f t="shared" si="26"/>
        <v>21</v>
      </c>
      <c r="V378" s="519" t="s">
        <v>4934</v>
      </c>
      <c r="W378" s="519" t="s">
        <v>4986</v>
      </c>
      <c r="X378" s="491">
        <f t="shared" si="27"/>
        <v>36</v>
      </c>
      <c r="Y378" s="519" t="s">
        <v>4986</v>
      </c>
      <c r="Z378" s="518">
        <f t="shared" si="28"/>
        <v>36</v>
      </c>
      <c r="AA378" s="519" t="s">
        <v>4987</v>
      </c>
      <c r="AB378" s="518">
        <f t="shared" si="29"/>
        <v>16</v>
      </c>
      <c r="AC378" s="519" t="s">
        <v>4937</v>
      </c>
      <c r="AD378" s="518" t="s">
        <v>4989</v>
      </c>
      <c r="AE378" s="520" t="s">
        <v>4990</v>
      </c>
      <c r="AF378" s="504" t="s">
        <v>2939</v>
      </c>
      <c r="AG378" s="494" t="s">
        <v>2917</v>
      </c>
      <c r="AH378" s="494" t="s">
        <v>2917</v>
      </c>
      <c r="AI378" s="505" t="s">
        <v>4849</v>
      </c>
      <c r="AJ378" s="505"/>
      <c r="AK378" s="521">
        <f>_xll.GetCtData("COAMOUNT","CONSAMOUNT",$B$1:$B$7,$B378,AK$9,"#48126707,5457955")</f>
        <v>48126707</v>
      </c>
    </row>
    <row r="379" spans="2:37" ht="12" customHeight="1">
      <c r="B379" s="453" t="s">
        <v>4991</v>
      </c>
      <c r="C379" s="482" t="s">
        <v>2911</v>
      </c>
      <c r="D379" s="483">
        <v>44378</v>
      </c>
      <c r="E379" s="484" t="s">
        <v>2912</v>
      </c>
      <c r="F379" s="485">
        <v>5</v>
      </c>
      <c r="G379" s="482"/>
      <c r="H379" s="567"/>
      <c r="I379" s="567"/>
      <c r="J379" s="567"/>
      <c r="K379" s="567"/>
      <c r="L379" s="568" t="s">
        <v>4992</v>
      </c>
      <c r="M379" s="569"/>
      <c r="N379" s="570"/>
      <c r="O379" s="571">
        <v>8</v>
      </c>
      <c r="P379" s="572" t="s">
        <v>4993</v>
      </c>
      <c r="Q379" s="489">
        <v>85</v>
      </c>
      <c r="R379" s="572" t="s">
        <v>620</v>
      </c>
      <c r="S379" s="571">
        <f t="shared" si="25"/>
        <v>75</v>
      </c>
      <c r="T379" s="572" t="s">
        <v>4994</v>
      </c>
      <c r="U379" s="571">
        <f t="shared" si="26"/>
        <v>30</v>
      </c>
      <c r="V379" s="573" t="s">
        <v>4934</v>
      </c>
      <c r="W379" s="573" t="s">
        <v>4995</v>
      </c>
      <c r="X379" s="491">
        <f t="shared" si="27"/>
        <v>77</v>
      </c>
      <c r="Y379" s="573" t="s">
        <v>4995</v>
      </c>
      <c r="Z379" s="571">
        <f t="shared" si="28"/>
        <v>77</v>
      </c>
      <c r="AA379" s="573" t="s">
        <v>4996</v>
      </c>
      <c r="AB379" s="571">
        <f t="shared" si="29"/>
        <v>30</v>
      </c>
      <c r="AC379" s="573" t="s">
        <v>4937</v>
      </c>
      <c r="AD379" s="571"/>
      <c r="AE379" s="575"/>
      <c r="AF379" s="504"/>
      <c r="AG379" s="494" t="s">
        <v>2917</v>
      </c>
      <c r="AH379" s="495" t="s">
        <v>2918</v>
      </c>
      <c r="AI379" s="505"/>
      <c r="AJ379" s="505"/>
      <c r="AK379" s="576">
        <f>_xll.GetCtData("COAMOUNT","CONSAMOUNT",$B$1:$B$7,$B379,AK$9,"#")</f>
        <v>0</v>
      </c>
    </row>
    <row r="380" spans="2:37" ht="12" customHeight="1">
      <c r="B380" s="453" t="s">
        <v>571</v>
      </c>
      <c r="C380" s="482" t="s">
        <v>2929</v>
      </c>
      <c r="D380" s="483">
        <v>44403</v>
      </c>
      <c r="E380" s="484" t="s">
        <v>2930</v>
      </c>
      <c r="F380" s="485">
        <v>7</v>
      </c>
      <c r="G380" s="577"/>
      <c r="H380" s="577"/>
      <c r="I380" s="577"/>
      <c r="J380" s="577"/>
      <c r="K380" s="577"/>
      <c r="L380" s="577"/>
      <c r="M380" s="578"/>
      <c r="N380" s="517" t="s">
        <v>4997</v>
      </c>
      <c r="O380" s="518">
        <v>10</v>
      </c>
      <c r="P380" s="519" t="s">
        <v>4993</v>
      </c>
      <c r="Q380" s="489">
        <v>85</v>
      </c>
      <c r="R380" s="519" t="s">
        <v>620</v>
      </c>
      <c r="S380" s="518">
        <f t="shared" si="25"/>
        <v>75</v>
      </c>
      <c r="T380" s="519" t="s">
        <v>4994</v>
      </c>
      <c r="U380" s="518">
        <f t="shared" si="26"/>
        <v>30</v>
      </c>
      <c r="V380" s="519" t="s">
        <v>4934</v>
      </c>
      <c r="W380" s="519" t="s">
        <v>4995</v>
      </c>
      <c r="X380" s="491">
        <f t="shared" si="27"/>
        <v>77</v>
      </c>
      <c r="Y380" s="519" t="s">
        <v>4995</v>
      </c>
      <c r="Z380" s="518">
        <f t="shared" si="28"/>
        <v>77</v>
      </c>
      <c r="AA380" s="519" t="s">
        <v>4996</v>
      </c>
      <c r="AB380" s="518">
        <f t="shared" si="29"/>
        <v>30</v>
      </c>
      <c r="AC380" s="519" t="s">
        <v>4937</v>
      </c>
      <c r="AD380" s="518" t="s">
        <v>4980</v>
      </c>
      <c r="AE380" s="520" t="s">
        <v>4981</v>
      </c>
      <c r="AF380" s="504" t="s">
        <v>2939</v>
      </c>
      <c r="AG380" s="494" t="s">
        <v>2917</v>
      </c>
      <c r="AH380" s="494" t="s">
        <v>2917</v>
      </c>
      <c r="AI380" s="505"/>
      <c r="AJ380" s="505"/>
      <c r="AK380" s="521">
        <f>_xll.GetCtData("COAMOUNT","CONSAMOUNT",$B$1:$B$7,$B380,AK$9,"#")</f>
        <v>0</v>
      </c>
    </row>
    <row r="381" spans="2:37" ht="12" customHeight="1">
      <c r="B381" s="453" t="s">
        <v>4998</v>
      </c>
      <c r="C381" s="482" t="s">
        <v>2911</v>
      </c>
      <c r="D381" s="483">
        <v>44378</v>
      </c>
      <c r="E381" s="484" t="s">
        <v>2912</v>
      </c>
      <c r="F381" s="485">
        <v>5</v>
      </c>
      <c r="G381" s="482"/>
      <c r="H381" s="567"/>
      <c r="I381" s="567"/>
      <c r="J381" s="567"/>
      <c r="K381" s="567"/>
      <c r="L381" s="568" t="s">
        <v>4999</v>
      </c>
      <c r="M381" s="569"/>
      <c r="N381" s="570"/>
      <c r="O381" s="571">
        <v>8</v>
      </c>
      <c r="P381" s="572" t="s">
        <v>5000</v>
      </c>
      <c r="Q381" s="489">
        <v>57</v>
      </c>
      <c r="R381" s="572" t="s">
        <v>621</v>
      </c>
      <c r="S381" s="571">
        <f t="shared" si="25"/>
        <v>47</v>
      </c>
      <c r="T381" s="572" t="s">
        <v>5001</v>
      </c>
      <c r="U381" s="571">
        <f t="shared" si="26"/>
        <v>28</v>
      </c>
      <c r="V381" s="573" t="s">
        <v>4934</v>
      </c>
      <c r="W381" s="573" t="s">
        <v>5002</v>
      </c>
      <c r="X381" s="491">
        <f t="shared" si="27"/>
        <v>44</v>
      </c>
      <c r="Y381" s="573" t="s">
        <v>5002</v>
      </c>
      <c r="Z381" s="571">
        <f t="shared" si="28"/>
        <v>44</v>
      </c>
      <c r="AA381" s="573" t="s">
        <v>5003</v>
      </c>
      <c r="AB381" s="571">
        <f t="shared" si="29"/>
        <v>24</v>
      </c>
      <c r="AC381" s="573" t="s">
        <v>4937</v>
      </c>
      <c r="AD381" s="571"/>
      <c r="AE381" s="575"/>
      <c r="AF381" s="504"/>
      <c r="AG381" s="494" t="s">
        <v>2917</v>
      </c>
      <c r="AH381" s="495" t="s">
        <v>2918</v>
      </c>
      <c r="AI381" s="505"/>
      <c r="AJ381" s="505"/>
      <c r="AK381" s="576">
        <f>_xll.GetCtData("COAMOUNT","CONSAMOUNT",$B$1:$B$7,$B381,AK$9,"#1858755")</f>
        <v>1858755</v>
      </c>
    </row>
    <row r="382" spans="2:37" ht="12" customHeight="1">
      <c r="B382" s="453" t="s">
        <v>543</v>
      </c>
      <c r="C382" s="482" t="s">
        <v>2929</v>
      </c>
      <c r="D382" s="483">
        <v>44403</v>
      </c>
      <c r="E382" s="484" t="s">
        <v>2930</v>
      </c>
      <c r="F382" s="485">
        <v>7</v>
      </c>
      <c r="G382" s="577"/>
      <c r="H382" s="577"/>
      <c r="I382" s="577"/>
      <c r="J382" s="577"/>
      <c r="K382" s="577"/>
      <c r="L382" s="577"/>
      <c r="M382" s="578"/>
      <c r="N382" s="517" t="s">
        <v>5004</v>
      </c>
      <c r="O382" s="518">
        <v>10</v>
      </c>
      <c r="P382" s="519" t="s">
        <v>5000</v>
      </c>
      <c r="Q382" s="489">
        <v>57</v>
      </c>
      <c r="R382" s="519" t="s">
        <v>621</v>
      </c>
      <c r="S382" s="518">
        <f t="shared" si="25"/>
        <v>47</v>
      </c>
      <c r="T382" s="519" t="s">
        <v>5001</v>
      </c>
      <c r="U382" s="518">
        <f t="shared" si="26"/>
        <v>28</v>
      </c>
      <c r="V382" s="519" t="s">
        <v>4934</v>
      </c>
      <c r="W382" s="519" t="s">
        <v>5002</v>
      </c>
      <c r="X382" s="491">
        <f t="shared" si="27"/>
        <v>44</v>
      </c>
      <c r="Y382" s="519" t="s">
        <v>5002</v>
      </c>
      <c r="Z382" s="518">
        <f t="shared" si="28"/>
        <v>44</v>
      </c>
      <c r="AA382" s="519" t="s">
        <v>5003</v>
      </c>
      <c r="AB382" s="518">
        <f t="shared" si="29"/>
        <v>24</v>
      </c>
      <c r="AC382" s="519" t="s">
        <v>4937</v>
      </c>
      <c r="AD382" s="518" t="s">
        <v>4980</v>
      </c>
      <c r="AE382" s="520" t="s">
        <v>4981</v>
      </c>
      <c r="AF382" s="504" t="s">
        <v>2939</v>
      </c>
      <c r="AG382" s="494" t="s">
        <v>2917</v>
      </c>
      <c r="AH382" s="494" t="s">
        <v>2917</v>
      </c>
      <c r="AI382" s="505"/>
      <c r="AJ382" s="505"/>
      <c r="AK382" s="521">
        <f>_xll.GetCtData("COAMOUNT","CONSAMOUNT",$B$1:$B$7,$B382,AK$9,"#1858755")</f>
        <v>1858755</v>
      </c>
    </row>
    <row r="383" spans="2:37" ht="12" customHeight="1">
      <c r="B383" s="453" t="s">
        <v>5005</v>
      </c>
      <c r="C383" s="482" t="s">
        <v>2911</v>
      </c>
      <c r="D383" s="483">
        <v>44378</v>
      </c>
      <c r="E383" s="484" t="s">
        <v>2912</v>
      </c>
      <c r="F383" s="485">
        <v>3</v>
      </c>
      <c r="G383" s="482"/>
      <c r="H383" s="507"/>
      <c r="I383" s="507"/>
      <c r="J383" s="532" t="s">
        <v>5006</v>
      </c>
      <c r="K383" s="532"/>
      <c r="L383" s="532"/>
      <c r="M383" s="533"/>
      <c r="N383" s="534"/>
      <c r="O383" s="535">
        <v>6</v>
      </c>
      <c r="P383" s="536" t="s">
        <v>1168</v>
      </c>
      <c r="Q383" s="489">
        <v>51</v>
      </c>
      <c r="R383" s="536" t="s">
        <v>1168</v>
      </c>
      <c r="S383" s="535">
        <f t="shared" si="25"/>
        <v>51</v>
      </c>
      <c r="T383" s="536" t="s">
        <v>5007</v>
      </c>
      <c r="U383" s="535">
        <f t="shared" si="26"/>
        <v>20</v>
      </c>
      <c r="V383" s="537" t="s">
        <v>5008</v>
      </c>
      <c r="W383" s="537" t="s">
        <v>5009</v>
      </c>
      <c r="X383" s="491">
        <f t="shared" si="27"/>
        <v>41</v>
      </c>
      <c r="Y383" s="537" t="s">
        <v>5009</v>
      </c>
      <c r="Z383" s="535">
        <f t="shared" si="28"/>
        <v>41</v>
      </c>
      <c r="AA383" s="537" t="s">
        <v>5010</v>
      </c>
      <c r="AB383" s="535">
        <f t="shared" si="29"/>
        <v>19</v>
      </c>
      <c r="AC383" s="537" t="s">
        <v>5011</v>
      </c>
      <c r="AD383" s="535"/>
      <c r="AE383" s="538"/>
      <c r="AF383" s="504"/>
      <c r="AG383" s="494" t="s">
        <v>2917</v>
      </c>
      <c r="AH383" s="495" t="s">
        <v>2918</v>
      </c>
      <c r="AI383" s="505"/>
      <c r="AJ383" s="505"/>
      <c r="AK383" s="539">
        <f>_xll.GetCtData("COAMOUNT","CONSAMOUNT",$B$1:$B$7,$B383,AK$9,"#2942907")</f>
        <v>2942907</v>
      </c>
    </row>
    <row r="384" spans="2:37" ht="12" customHeight="1">
      <c r="B384" s="453" t="s">
        <v>5012</v>
      </c>
      <c r="C384" s="482" t="s">
        <v>2911</v>
      </c>
      <c r="D384" s="483">
        <v>44378</v>
      </c>
      <c r="E384" s="484" t="s">
        <v>2912</v>
      </c>
      <c r="F384" s="485">
        <v>4</v>
      </c>
      <c r="G384" s="482"/>
      <c r="H384" s="507"/>
      <c r="I384" s="507"/>
      <c r="J384" s="507"/>
      <c r="K384" s="564" t="s">
        <v>5013</v>
      </c>
      <c r="L384" s="564"/>
      <c r="M384" s="565"/>
      <c r="N384" s="566"/>
      <c r="O384" s="558">
        <v>7</v>
      </c>
      <c r="P384" s="559" t="s">
        <v>5014</v>
      </c>
      <c r="Q384" s="489">
        <v>46</v>
      </c>
      <c r="R384" s="559" t="s">
        <v>5015</v>
      </c>
      <c r="S384" s="558">
        <f t="shared" si="25"/>
        <v>36</v>
      </c>
      <c r="T384" s="559" t="s">
        <v>5016</v>
      </c>
      <c r="U384" s="558">
        <f t="shared" si="26"/>
        <v>20</v>
      </c>
      <c r="V384" s="560" t="s">
        <v>5008</v>
      </c>
      <c r="W384" s="560" t="s">
        <v>5017</v>
      </c>
      <c r="X384" s="491">
        <f t="shared" si="27"/>
        <v>30</v>
      </c>
      <c r="Y384" s="560" t="s">
        <v>5017</v>
      </c>
      <c r="Z384" s="558">
        <f t="shared" si="28"/>
        <v>30</v>
      </c>
      <c r="AA384" s="560" t="s">
        <v>5018</v>
      </c>
      <c r="AB384" s="558">
        <f t="shared" si="29"/>
        <v>17</v>
      </c>
      <c r="AC384" s="560" t="s">
        <v>5011</v>
      </c>
      <c r="AD384" s="558"/>
      <c r="AE384" s="562"/>
      <c r="AF384" s="504"/>
      <c r="AG384" s="494" t="s">
        <v>2917</v>
      </c>
      <c r="AH384" s="495" t="s">
        <v>2918</v>
      </c>
      <c r="AI384" s="505"/>
      <c r="AJ384" s="505"/>
      <c r="AK384" s="563">
        <f>_xll.GetCtData("COAMOUNT","CONSAMOUNT",$B$1:$B$7,$B384,AK$9,"#2942907")</f>
        <v>2942907</v>
      </c>
    </row>
    <row r="385" spans="2:37" ht="12" customHeight="1">
      <c r="B385" s="453" t="s">
        <v>1145</v>
      </c>
      <c r="C385" s="482" t="s">
        <v>2911</v>
      </c>
      <c r="D385" s="483">
        <v>44378</v>
      </c>
      <c r="E385" s="484" t="s">
        <v>2912</v>
      </c>
      <c r="F385" s="485">
        <v>5</v>
      </c>
      <c r="G385" s="482"/>
      <c r="H385" s="567"/>
      <c r="I385" s="567"/>
      <c r="J385" s="567"/>
      <c r="K385" s="567"/>
      <c r="L385" s="568" t="s">
        <v>5019</v>
      </c>
      <c r="M385" s="569"/>
      <c r="N385" s="570"/>
      <c r="O385" s="571">
        <v>8</v>
      </c>
      <c r="P385" s="572" t="s">
        <v>5020</v>
      </c>
      <c r="Q385" s="489">
        <v>70</v>
      </c>
      <c r="R385" s="572" t="s">
        <v>2598</v>
      </c>
      <c r="S385" s="571">
        <f t="shared" si="25"/>
        <v>60</v>
      </c>
      <c r="T385" s="572" t="s">
        <v>5021</v>
      </c>
      <c r="U385" s="571">
        <f t="shared" si="26"/>
        <v>26</v>
      </c>
      <c r="V385" s="573" t="s">
        <v>5008</v>
      </c>
      <c r="W385" s="573" t="s">
        <v>5022</v>
      </c>
      <c r="X385" s="491">
        <f t="shared" si="27"/>
        <v>64</v>
      </c>
      <c r="Y385" s="573" t="s">
        <v>5022</v>
      </c>
      <c r="Z385" s="571">
        <f t="shared" si="28"/>
        <v>64</v>
      </c>
      <c r="AA385" s="573" t="s">
        <v>5023</v>
      </c>
      <c r="AB385" s="571">
        <f t="shared" si="29"/>
        <v>20</v>
      </c>
      <c r="AC385" s="573" t="s">
        <v>5011</v>
      </c>
      <c r="AD385" s="571"/>
      <c r="AE385" s="575"/>
      <c r="AF385" s="504"/>
      <c r="AG385" s="494" t="s">
        <v>2917</v>
      </c>
      <c r="AH385" s="495" t="s">
        <v>2918</v>
      </c>
      <c r="AI385" s="505"/>
      <c r="AJ385" s="505"/>
      <c r="AK385" s="576">
        <f>_xll.GetCtData("COAMOUNT","CONSAMOUNT",$B$1:$B$7,$B385,AK$9,"#1434562")</f>
        <v>1434562</v>
      </c>
    </row>
    <row r="386" spans="2:37" ht="12" customHeight="1">
      <c r="B386" s="453" t="s">
        <v>554</v>
      </c>
      <c r="C386" s="482" t="s">
        <v>2929</v>
      </c>
      <c r="D386" s="483">
        <v>44403</v>
      </c>
      <c r="E386" s="484" t="s">
        <v>2930</v>
      </c>
      <c r="F386" s="485">
        <v>7</v>
      </c>
      <c r="G386" s="547"/>
      <c r="H386" s="547"/>
      <c r="I386" s="547"/>
      <c r="J386" s="547"/>
      <c r="K386" s="547"/>
      <c r="L386" s="547"/>
      <c r="M386" s="548"/>
      <c r="N386" s="517" t="s">
        <v>5024</v>
      </c>
      <c r="O386" s="518">
        <v>10</v>
      </c>
      <c r="P386" s="519" t="s">
        <v>5025</v>
      </c>
      <c r="Q386" s="489">
        <v>93</v>
      </c>
      <c r="R386" s="519" t="s">
        <v>836</v>
      </c>
      <c r="S386" s="518">
        <f t="shared" si="25"/>
        <v>76</v>
      </c>
      <c r="T386" s="519" t="s">
        <v>5026</v>
      </c>
      <c r="U386" s="518">
        <f t="shared" si="26"/>
        <v>29</v>
      </c>
      <c r="V386" s="519" t="s">
        <v>5008</v>
      </c>
      <c r="W386" s="519" t="s">
        <v>5027</v>
      </c>
      <c r="X386" s="491">
        <f t="shared" si="27"/>
        <v>82</v>
      </c>
      <c r="Y386" s="519" t="s">
        <v>5027</v>
      </c>
      <c r="Z386" s="518">
        <f t="shared" si="28"/>
        <v>82</v>
      </c>
      <c r="AA386" s="519" t="s">
        <v>5028</v>
      </c>
      <c r="AB386" s="518">
        <f t="shared" si="29"/>
        <v>23</v>
      </c>
      <c r="AC386" s="519" t="s">
        <v>5011</v>
      </c>
      <c r="AD386" s="518" t="s">
        <v>5029</v>
      </c>
      <c r="AE386" s="520" t="s">
        <v>5030</v>
      </c>
      <c r="AF386" s="504" t="s">
        <v>2939</v>
      </c>
      <c r="AG386" s="494" t="s">
        <v>2917</v>
      </c>
      <c r="AH386" s="494" t="s">
        <v>2917</v>
      </c>
      <c r="AI386" s="505"/>
      <c r="AJ386" s="505"/>
      <c r="AK386" s="521">
        <f>_xll.GetCtData("COAMOUNT","CONSAMOUNT",$B$1:$B$7,$B386,AK$9,"#885655")</f>
        <v>885655</v>
      </c>
    </row>
    <row r="387" spans="2:37" ht="12" customHeight="1">
      <c r="B387" s="453" t="s">
        <v>555</v>
      </c>
      <c r="C387" s="482" t="s">
        <v>2929</v>
      </c>
      <c r="D387" s="483">
        <v>44403</v>
      </c>
      <c r="E387" s="484" t="s">
        <v>2930</v>
      </c>
      <c r="F387" s="485">
        <v>7</v>
      </c>
      <c r="G387" s="547"/>
      <c r="H387" s="547"/>
      <c r="I387" s="547"/>
      <c r="J387" s="547"/>
      <c r="K387" s="547"/>
      <c r="L387" s="547"/>
      <c r="M387" s="548"/>
      <c r="N387" s="517" t="s">
        <v>5031</v>
      </c>
      <c r="O387" s="518">
        <v>10</v>
      </c>
      <c r="P387" s="519" t="s">
        <v>5032</v>
      </c>
      <c r="Q387" s="489">
        <v>87</v>
      </c>
      <c r="R387" s="519" t="s">
        <v>837</v>
      </c>
      <c r="S387" s="518">
        <f t="shared" si="25"/>
        <v>70</v>
      </c>
      <c r="T387" s="519" t="s">
        <v>5033</v>
      </c>
      <c r="U387" s="518">
        <f t="shared" si="26"/>
        <v>28</v>
      </c>
      <c r="V387" s="519" t="s">
        <v>5008</v>
      </c>
      <c r="W387" s="519" t="s">
        <v>5034</v>
      </c>
      <c r="X387" s="491">
        <f t="shared" si="27"/>
        <v>81</v>
      </c>
      <c r="Y387" s="519" t="s">
        <v>5034</v>
      </c>
      <c r="Z387" s="518">
        <f t="shared" si="28"/>
        <v>81</v>
      </c>
      <c r="AA387" s="519" t="s">
        <v>5035</v>
      </c>
      <c r="AB387" s="518">
        <f t="shared" si="29"/>
        <v>26</v>
      </c>
      <c r="AC387" s="519" t="s">
        <v>5011</v>
      </c>
      <c r="AD387" s="518" t="s">
        <v>5029</v>
      </c>
      <c r="AE387" s="520" t="s">
        <v>5030</v>
      </c>
      <c r="AF387" s="504" t="s">
        <v>2939</v>
      </c>
      <c r="AG387" s="494" t="s">
        <v>2917</v>
      </c>
      <c r="AH387" s="494" t="s">
        <v>2917</v>
      </c>
      <c r="AI387" s="505"/>
      <c r="AJ387" s="505"/>
      <c r="AK387" s="521">
        <f>_xll.GetCtData("COAMOUNT","CONSAMOUNT",$B$1:$B$7,$B387,AK$9,"#233342")</f>
        <v>233342</v>
      </c>
    </row>
    <row r="388" spans="2:37" ht="12" customHeight="1">
      <c r="B388" s="453" t="s">
        <v>556</v>
      </c>
      <c r="C388" s="482" t="s">
        <v>2929</v>
      </c>
      <c r="D388" s="483">
        <v>44403</v>
      </c>
      <c r="E388" s="484" t="s">
        <v>2930</v>
      </c>
      <c r="F388" s="485">
        <v>7</v>
      </c>
      <c r="G388" s="547"/>
      <c r="H388" s="547"/>
      <c r="I388" s="547"/>
      <c r="J388" s="547"/>
      <c r="K388" s="547"/>
      <c r="L388" s="547"/>
      <c r="M388" s="548"/>
      <c r="N388" s="517" t="s">
        <v>5036</v>
      </c>
      <c r="O388" s="518">
        <v>10</v>
      </c>
      <c r="P388" s="519" t="s">
        <v>5037</v>
      </c>
      <c r="Q388" s="489">
        <v>111</v>
      </c>
      <c r="R388" s="519" t="s">
        <v>838</v>
      </c>
      <c r="S388" s="518">
        <f t="shared" si="25"/>
        <v>101</v>
      </c>
      <c r="T388" s="519" t="s">
        <v>5038</v>
      </c>
      <c r="U388" s="518">
        <f t="shared" si="26"/>
        <v>30</v>
      </c>
      <c r="V388" s="519" t="s">
        <v>5008</v>
      </c>
      <c r="W388" s="519" t="s">
        <v>5039</v>
      </c>
      <c r="X388" s="491">
        <f t="shared" si="27"/>
        <v>119</v>
      </c>
      <c r="Y388" s="519" t="s">
        <v>5039</v>
      </c>
      <c r="Z388" s="518">
        <f t="shared" si="28"/>
        <v>119</v>
      </c>
      <c r="AA388" s="519" t="s">
        <v>5040</v>
      </c>
      <c r="AB388" s="518">
        <f t="shared" si="29"/>
        <v>25</v>
      </c>
      <c r="AC388" s="519" t="s">
        <v>5011</v>
      </c>
      <c r="AD388" s="518" t="s">
        <v>5029</v>
      </c>
      <c r="AE388" s="520" t="s">
        <v>5030</v>
      </c>
      <c r="AF388" s="504" t="s">
        <v>2939</v>
      </c>
      <c r="AG388" s="494" t="s">
        <v>2917</v>
      </c>
      <c r="AH388" s="494" t="s">
        <v>2917</v>
      </c>
      <c r="AI388" s="505"/>
      <c r="AJ388" s="505"/>
      <c r="AK388" s="521">
        <f>_xll.GetCtData("COAMOUNT","CONSAMOUNT",$B$1:$B$7,$B388,AK$9,"#307952")</f>
        <v>307952</v>
      </c>
    </row>
    <row r="389" spans="2:37" ht="12" customHeight="1">
      <c r="B389" s="453" t="s">
        <v>557</v>
      </c>
      <c r="C389" s="482" t="s">
        <v>2929</v>
      </c>
      <c r="D389" s="483">
        <v>44403</v>
      </c>
      <c r="E389" s="484" t="s">
        <v>2930</v>
      </c>
      <c r="F389" s="485">
        <v>7</v>
      </c>
      <c r="G389" s="547"/>
      <c r="H389" s="547"/>
      <c r="I389" s="547"/>
      <c r="J389" s="547"/>
      <c r="K389" s="547"/>
      <c r="L389" s="547"/>
      <c r="M389" s="548"/>
      <c r="N389" s="517" t="s">
        <v>5041</v>
      </c>
      <c r="O389" s="518">
        <v>10</v>
      </c>
      <c r="P389" s="519" t="s">
        <v>5042</v>
      </c>
      <c r="Q389" s="489">
        <v>77</v>
      </c>
      <c r="R389" s="519" t="s">
        <v>839</v>
      </c>
      <c r="S389" s="518">
        <f t="shared" si="25"/>
        <v>67</v>
      </c>
      <c r="T389" s="519" t="s">
        <v>5043</v>
      </c>
      <c r="U389" s="518">
        <f t="shared" si="26"/>
        <v>27</v>
      </c>
      <c r="V389" s="519" t="s">
        <v>5008</v>
      </c>
      <c r="W389" s="519" t="s">
        <v>5044</v>
      </c>
      <c r="X389" s="491">
        <f t="shared" si="27"/>
        <v>83</v>
      </c>
      <c r="Y389" s="519" t="s">
        <v>5044</v>
      </c>
      <c r="Z389" s="518">
        <f t="shared" si="28"/>
        <v>83</v>
      </c>
      <c r="AA389" s="519" t="s">
        <v>5045</v>
      </c>
      <c r="AB389" s="518">
        <f t="shared" si="29"/>
        <v>27</v>
      </c>
      <c r="AC389" s="519" t="s">
        <v>5011</v>
      </c>
      <c r="AD389" s="518" t="s">
        <v>5029</v>
      </c>
      <c r="AE389" s="520" t="s">
        <v>5030</v>
      </c>
      <c r="AF389" s="504" t="s">
        <v>2939</v>
      </c>
      <c r="AG389" s="494" t="s">
        <v>2917</v>
      </c>
      <c r="AH389" s="494" t="s">
        <v>2917</v>
      </c>
      <c r="AI389" s="505"/>
      <c r="AJ389" s="505"/>
      <c r="AK389" s="521">
        <f>_xll.GetCtData("COAMOUNT","CONSAMOUNT",$B$1:$B$7,$B389,AK$9,"#7613")</f>
        <v>7613</v>
      </c>
    </row>
    <row r="390" spans="2:37" ht="12" customHeight="1">
      <c r="B390" s="453" t="s">
        <v>1146</v>
      </c>
      <c r="C390" s="482" t="s">
        <v>2911</v>
      </c>
      <c r="D390" s="483">
        <v>44378</v>
      </c>
      <c r="E390" s="484" t="s">
        <v>2912</v>
      </c>
      <c r="F390" s="485">
        <v>5</v>
      </c>
      <c r="G390" s="482"/>
      <c r="H390" s="567"/>
      <c r="I390" s="567"/>
      <c r="J390" s="567"/>
      <c r="K390" s="567"/>
      <c r="L390" s="568" t="s">
        <v>5046</v>
      </c>
      <c r="M390" s="569"/>
      <c r="N390" s="570"/>
      <c r="O390" s="571">
        <v>8</v>
      </c>
      <c r="P390" s="572" t="s">
        <v>5047</v>
      </c>
      <c r="Q390" s="489">
        <v>77</v>
      </c>
      <c r="R390" s="572" t="s">
        <v>2599</v>
      </c>
      <c r="S390" s="571">
        <f t="shared" si="25"/>
        <v>67</v>
      </c>
      <c r="T390" s="572" t="s">
        <v>5048</v>
      </c>
      <c r="U390" s="571">
        <f t="shared" si="26"/>
        <v>27</v>
      </c>
      <c r="V390" s="573" t="s">
        <v>5008</v>
      </c>
      <c r="W390" s="573" t="s">
        <v>5049</v>
      </c>
      <c r="X390" s="491">
        <f t="shared" si="27"/>
        <v>54</v>
      </c>
      <c r="Y390" s="573" t="s">
        <v>5049</v>
      </c>
      <c r="Z390" s="571">
        <f t="shared" si="28"/>
        <v>54</v>
      </c>
      <c r="AA390" s="573" t="s">
        <v>5050</v>
      </c>
      <c r="AB390" s="571">
        <f t="shared" si="29"/>
        <v>22</v>
      </c>
      <c r="AC390" s="573" t="s">
        <v>5011</v>
      </c>
      <c r="AD390" s="571"/>
      <c r="AE390" s="575"/>
      <c r="AF390" s="504"/>
      <c r="AG390" s="494" t="s">
        <v>2917</v>
      </c>
      <c r="AH390" s="495" t="s">
        <v>2918</v>
      </c>
      <c r="AI390" s="505"/>
      <c r="AJ390" s="505"/>
      <c r="AK390" s="576">
        <f>_xll.GetCtData("COAMOUNT","CONSAMOUNT",$B$1:$B$7,$B390,AK$9,"#1461070")</f>
        <v>1461070</v>
      </c>
    </row>
    <row r="391" spans="2:37" ht="12" customHeight="1">
      <c r="B391" s="453" t="s">
        <v>558</v>
      </c>
      <c r="C391" s="482" t="s">
        <v>2929</v>
      </c>
      <c r="D391" s="483">
        <v>44403</v>
      </c>
      <c r="E391" s="484" t="s">
        <v>2930</v>
      </c>
      <c r="F391" s="485">
        <v>7</v>
      </c>
      <c r="G391" s="547"/>
      <c r="H391" s="547"/>
      <c r="I391" s="547"/>
      <c r="J391" s="547"/>
      <c r="K391" s="547"/>
      <c r="L391" s="547"/>
      <c r="M391" s="548"/>
      <c r="N391" s="517" t="s">
        <v>5051</v>
      </c>
      <c r="O391" s="518">
        <v>10</v>
      </c>
      <c r="P391" s="519" t="s">
        <v>5052</v>
      </c>
      <c r="Q391" s="489">
        <v>100</v>
      </c>
      <c r="R391" s="519" t="s">
        <v>840</v>
      </c>
      <c r="S391" s="518">
        <f t="shared" si="25"/>
        <v>83</v>
      </c>
      <c r="T391" s="519" t="s">
        <v>5053</v>
      </c>
      <c r="U391" s="518">
        <f t="shared" si="26"/>
        <v>29</v>
      </c>
      <c r="V391" s="519" t="s">
        <v>5008</v>
      </c>
      <c r="W391" s="519" t="s">
        <v>5054</v>
      </c>
      <c r="X391" s="491">
        <f t="shared" si="27"/>
        <v>72</v>
      </c>
      <c r="Y391" s="519" t="s">
        <v>5054</v>
      </c>
      <c r="Z391" s="518">
        <f t="shared" si="28"/>
        <v>72</v>
      </c>
      <c r="AA391" s="519" t="s">
        <v>5055</v>
      </c>
      <c r="AB391" s="518">
        <f t="shared" si="29"/>
        <v>25</v>
      </c>
      <c r="AC391" s="519" t="s">
        <v>5011</v>
      </c>
      <c r="AD391" s="518" t="s">
        <v>5056</v>
      </c>
      <c r="AE391" s="520" t="s">
        <v>5057</v>
      </c>
      <c r="AF391" s="504" t="s">
        <v>2939</v>
      </c>
      <c r="AG391" s="494" t="s">
        <v>2917</v>
      </c>
      <c r="AH391" s="494" t="s">
        <v>2917</v>
      </c>
      <c r="AI391" s="505"/>
      <c r="AJ391" s="505"/>
      <c r="AK391" s="521">
        <f>_xll.GetCtData("COAMOUNT","CONSAMOUNT",$B$1:$B$7,$B391,AK$9,"#1383858")</f>
        <v>1383858</v>
      </c>
    </row>
    <row r="392" spans="2:37" ht="12" customHeight="1">
      <c r="B392" s="453" t="s">
        <v>559</v>
      </c>
      <c r="C392" s="482" t="s">
        <v>2929</v>
      </c>
      <c r="D392" s="483">
        <v>44403</v>
      </c>
      <c r="E392" s="484" t="s">
        <v>2930</v>
      </c>
      <c r="F392" s="485">
        <v>7</v>
      </c>
      <c r="G392" s="547"/>
      <c r="H392" s="547"/>
      <c r="I392" s="547"/>
      <c r="J392" s="547"/>
      <c r="K392" s="547"/>
      <c r="L392" s="547"/>
      <c r="M392" s="548"/>
      <c r="N392" s="517" t="s">
        <v>5058</v>
      </c>
      <c r="O392" s="518">
        <v>10</v>
      </c>
      <c r="P392" s="519" t="s">
        <v>5059</v>
      </c>
      <c r="Q392" s="489">
        <v>94</v>
      </c>
      <c r="R392" s="519" t="s">
        <v>841</v>
      </c>
      <c r="S392" s="518">
        <f t="shared" si="25"/>
        <v>77</v>
      </c>
      <c r="T392" s="519" t="s">
        <v>5060</v>
      </c>
      <c r="U392" s="518">
        <f t="shared" si="26"/>
        <v>28</v>
      </c>
      <c r="V392" s="519" t="s">
        <v>5008</v>
      </c>
      <c r="W392" s="519" t="s">
        <v>5061</v>
      </c>
      <c r="X392" s="491">
        <f t="shared" si="27"/>
        <v>71</v>
      </c>
      <c r="Y392" s="519" t="s">
        <v>5061</v>
      </c>
      <c r="Z392" s="518">
        <f t="shared" si="28"/>
        <v>71</v>
      </c>
      <c r="AA392" s="519" t="s">
        <v>5062</v>
      </c>
      <c r="AB392" s="518">
        <f t="shared" si="29"/>
        <v>27</v>
      </c>
      <c r="AC392" s="519" t="s">
        <v>5011</v>
      </c>
      <c r="AD392" s="518" t="s">
        <v>5056</v>
      </c>
      <c r="AE392" s="520" t="s">
        <v>5057</v>
      </c>
      <c r="AF392" s="504" t="s">
        <v>2939</v>
      </c>
      <c r="AG392" s="494" t="s">
        <v>2917</v>
      </c>
      <c r="AH392" s="494" t="s">
        <v>2917</v>
      </c>
      <c r="AI392" s="505"/>
      <c r="AJ392" s="505"/>
      <c r="AK392" s="521">
        <f>_xll.GetCtData("COAMOUNT","CONSAMOUNT",$B$1:$B$7,$B392,AK$9,"#91349")</f>
        <v>91349</v>
      </c>
    </row>
    <row r="393" spans="2:37" ht="12" customHeight="1">
      <c r="B393" s="453" t="s">
        <v>560</v>
      </c>
      <c r="C393" s="482" t="s">
        <v>2929</v>
      </c>
      <c r="D393" s="483">
        <v>44403</v>
      </c>
      <c r="E393" s="484" t="s">
        <v>2930</v>
      </c>
      <c r="F393" s="485">
        <v>7</v>
      </c>
      <c r="G393" s="547"/>
      <c r="H393" s="547"/>
      <c r="I393" s="547"/>
      <c r="J393" s="547"/>
      <c r="K393" s="547"/>
      <c r="L393" s="547"/>
      <c r="M393" s="548"/>
      <c r="N393" s="517" t="s">
        <v>5063</v>
      </c>
      <c r="O393" s="518">
        <v>10</v>
      </c>
      <c r="P393" s="519" t="s">
        <v>5064</v>
      </c>
      <c r="Q393" s="489">
        <v>118</v>
      </c>
      <c r="R393" s="519" t="s">
        <v>842</v>
      </c>
      <c r="S393" s="518">
        <f t="shared" si="25"/>
        <v>108</v>
      </c>
      <c r="T393" s="519" t="s">
        <v>5065</v>
      </c>
      <c r="U393" s="518">
        <f t="shared" si="26"/>
        <v>30</v>
      </c>
      <c r="V393" s="519" t="s">
        <v>5008</v>
      </c>
      <c r="W393" s="519" t="s">
        <v>5066</v>
      </c>
      <c r="X393" s="491">
        <f t="shared" si="27"/>
        <v>109</v>
      </c>
      <c r="Y393" s="519" t="s">
        <v>5066</v>
      </c>
      <c r="Z393" s="518">
        <f t="shared" si="28"/>
        <v>109</v>
      </c>
      <c r="AA393" s="519" t="s">
        <v>5067</v>
      </c>
      <c r="AB393" s="518">
        <f t="shared" si="29"/>
        <v>27</v>
      </c>
      <c r="AC393" s="519" t="s">
        <v>5011</v>
      </c>
      <c r="AD393" s="518" t="s">
        <v>5056</v>
      </c>
      <c r="AE393" s="520" t="s">
        <v>5057</v>
      </c>
      <c r="AF393" s="504" t="s">
        <v>2939</v>
      </c>
      <c r="AG393" s="494" t="s">
        <v>2917</v>
      </c>
      <c r="AH393" s="494" t="s">
        <v>2917</v>
      </c>
      <c r="AI393" s="505"/>
      <c r="AJ393" s="505"/>
      <c r="AK393" s="521">
        <f>_xll.GetCtData("COAMOUNT","CONSAMOUNT",$B$1:$B$7,$B393,AK$9,"#-25183")</f>
        <v>-25183</v>
      </c>
    </row>
    <row r="394" spans="2:37" ht="12" customHeight="1">
      <c r="B394" s="453" t="s">
        <v>561</v>
      </c>
      <c r="C394" s="482" t="s">
        <v>2929</v>
      </c>
      <c r="D394" s="483">
        <v>44403</v>
      </c>
      <c r="E394" s="484" t="s">
        <v>2930</v>
      </c>
      <c r="F394" s="485">
        <v>7</v>
      </c>
      <c r="G394" s="547"/>
      <c r="H394" s="547"/>
      <c r="I394" s="547"/>
      <c r="J394" s="547"/>
      <c r="K394" s="547"/>
      <c r="L394" s="547"/>
      <c r="M394" s="548"/>
      <c r="N394" s="517" t="s">
        <v>5068</v>
      </c>
      <c r="O394" s="518">
        <v>10</v>
      </c>
      <c r="P394" s="519" t="s">
        <v>5069</v>
      </c>
      <c r="Q394" s="489">
        <v>84</v>
      </c>
      <c r="R394" s="519" t="s">
        <v>843</v>
      </c>
      <c r="S394" s="518">
        <f t="shared" si="25"/>
        <v>74</v>
      </c>
      <c r="T394" s="519" t="s">
        <v>5070</v>
      </c>
      <c r="U394" s="518">
        <f t="shared" si="26"/>
        <v>28</v>
      </c>
      <c r="V394" s="519" t="s">
        <v>5008</v>
      </c>
      <c r="W394" s="519" t="s">
        <v>5071</v>
      </c>
      <c r="X394" s="491">
        <f t="shared" si="27"/>
        <v>73</v>
      </c>
      <c r="Y394" s="519" t="s">
        <v>5071</v>
      </c>
      <c r="Z394" s="518">
        <f t="shared" si="28"/>
        <v>73</v>
      </c>
      <c r="AA394" s="519" t="s">
        <v>5072</v>
      </c>
      <c r="AB394" s="518">
        <f t="shared" si="29"/>
        <v>29</v>
      </c>
      <c r="AC394" s="519" t="s">
        <v>5011</v>
      </c>
      <c r="AD394" s="518" t="s">
        <v>5056</v>
      </c>
      <c r="AE394" s="520" t="s">
        <v>5057</v>
      </c>
      <c r="AF394" s="504" t="s">
        <v>2939</v>
      </c>
      <c r="AG394" s="494" t="s">
        <v>2917</v>
      </c>
      <c r="AH394" s="494" t="s">
        <v>2917</v>
      </c>
      <c r="AI394" s="505"/>
      <c r="AJ394" s="505"/>
      <c r="AK394" s="521">
        <f>_xll.GetCtData("COAMOUNT","CONSAMOUNT",$B$1:$B$7,$B394,AK$9,"#11046")</f>
        <v>11046</v>
      </c>
    </row>
    <row r="395" spans="2:37" ht="12" customHeight="1">
      <c r="B395" s="453" t="s">
        <v>1147</v>
      </c>
      <c r="C395" s="482" t="s">
        <v>2911</v>
      </c>
      <c r="D395" s="483">
        <v>44378</v>
      </c>
      <c r="E395" s="484" t="s">
        <v>2912</v>
      </c>
      <c r="F395" s="485">
        <v>5</v>
      </c>
      <c r="G395" s="482"/>
      <c r="H395" s="567"/>
      <c r="I395" s="567"/>
      <c r="J395" s="567"/>
      <c r="K395" s="567"/>
      <c r="L395" s="568" t="s">
        <v>5073</v>
      </c>
      <c r="M395" s="569"/>
      <c r="N395" s="570"/>
      <c r="O395" s="571">
        <v>8</v>
      </c>
      <c r="P395" s="572" t="s">
        <v>5074</v>
      </c>
      <c r="Q395" s="489">
        <v>73</v>
      </c>
      <c r="R395" s="572" t="s">
        <v>2600</v>
      </c>
      <c r="S395" s="571">
        <f t="shared" si="25"/>
        <v>63</v>
      </c>
      <c r="T395" s="572" t="s">
        <v>5075</v>
      </c>
      <c r="U395" s="571">
        <f t="shared" si="26"/>
        <v>26</v>
      </c>
      <c r="V395" s="573" t="s">
        <v>5008</v>
      </c>
      <c r="W395" s="573" t="s">
        <v>5076</v>
      </c>
      <c r="X395" s="491">
        <f t="shared" si="27"/>
        <v>52</v>
      </c>
      <c r="Y395" s="573" t="s">
        <v>5076</v>
      </c>
      <c r="Z395" s="571">
        <f t="shared" si="28"/>
        <v>52</v>
      </c>
      <c r="AA395" s="573" t="s">
        <v>5077</v>
      </c>
      <c r="AB395" s="571">
        <f t="shared" si="29"/>
        <v>20</v>
      </c>
      <c r="AC395" s="573" t="s">
        <v>5011</v>
      </c>
      <c r="AD395" s="571"/>
      <c r="AE395" s="575"/>
      <c r="AF395" s="504"/>
      <c r="AG395" s="494" t="s">
        <v>2917</v>
      </c>
      <c r="AH395" s="495" t="s">
        <v>2918</v>
      </c>
      <c r="AI395" s="505"/>
      <c r="AJ395" s="505"/>
      <c r="AK395" s="576">
        <f>_xll.GetCtData("COAMOUNT","CONSAMOUNT",$B$1:$B$7,$B395,AK$9,"#47275")</f>
        <v>47275</v>
      </c>
    </row>
    <row r="396" spans="2:37" ht="12" customHeight="1">
      <c r="B396" s="453" t="s">
        <v>562</v>
      </c>
      <c r="C396" s="482" t="s">
        <v>2929</v>
      </c>
      <c r="D396" s="483">
        <v>44403</v>
      </c>
      <c r="E396" s="484" t="s">
        <v>2930</v>
      </c>
      <c r="F396" s="485">
        <v>7</v>
      </c>
      <c r="G396" s="547"/>
      <c r="H396" s="547"/>
      <c r="I396" s="547"/>
      <c r="J396" s="547"/>
      <c r="K396" s="547"/>
      <c r="L396" s="547"/>
      <c r="M396" s="548"/>
      <c r="N396" s="517" t="s">
        <v>5078</v>
      </c>
      <c r="O396" s="518">
        <v>10</v>
      </c>
      <c r="P396" s="519" t="s">
        <v>5079</v>
      </c>
      <c r="Q396" s="489">
        <v>96</v>
      </c>
      <c r="R396" s="519" t="s">
        <v>844</v>
      </c>
      <c r="S396" s="518">
        <f t="shared" ref="S396:S459" si="30">LEN(R396)</f>
        <v>79</v>
      </c>
      <c r="T396" s="519" t="s">
        <v>5080</v>
      </c>
      <c r="U396" s="518">
        <f t="shared" ref="U396:U459" si="31">LEN(T396)</f>
        <v>28</v>
      </c>
      <c r="V396" s="519" t="s">
        <v>5008</v>
      </c>
      <c r="W396" s="519" t="s">
        <v>5081</v>
      </c>
      <c r="X396" s="491">
        <f t="shared" ref="X396:X459" si="32">LEN(W396)</f>
        <v>70</v>
      </c>
      <c r="Y396" s="519" t="s">
        <v>5081</v>
      </c>
      <c r="Z396" s="518">
        <f t="shared" ref="Z396:Z459" si="33">LEN(Y396)</f>
        <v>70</v>
      </c>
      <c r="AA396" s="519" t="s">
        <v>5082</v>
      </c>
      <c r="AB396" s="518">
        <f t="shared" ref="AB396:AB459" si="34">LEN(AA396)</f>
        <v>23</v>
      </c>
      <c r="AC396" s="519" t="s">
        <v>5011</v>
      </c>
      <c r="AD396" s="518" t="s">
        <v>5083</v>
      </c>
      <c r="AE396" s="520" t="s">
        <v>5084</v>
      </c>
      <c r="AF396" s="504" t="s">
        <v>2939</v>
      </c>
      <c r="AG396" s="494" t="s">
        <v>2917</v>
      </c>
      <c r="AH396" s="494" t="s">
        <v>2917</v>
      </c>
      <c r="AI396" s="505"/>
      <c r="AJ396" s="505"/>
      <c r="AK396" s="521">
        <f>_xll.GetCtData("COAMOUNT","CONSAMOUNT",$B$1:$B$7,$B396,AK$9,"#45433")</f>
        <v>45433</v>
      </c>
    </row>
    <row r="397" spans="2:37" ht="12" customHeight="1">
      <c r="B397" s="453" t="s">
        <v>563</v>
      </c>
      <c r="C397" s="482" t="s">
        <v>2929</v>
      </c>
      <c r="D397" s="483">
        <v>44403</v>
      </c>
      <c r="E397" s="484" t="s">
        <v>2930</v>
      </c>
      <c r="F397" s="485">
        <v>7</v>
      </c>
      <c r="G397" s="547"/>
      <c r="H397" s="547"/>
      <c r="I397" s="547"/>
      <c r="J397" s="547"/>
      <c r="K397" s="547"/>
      <c r="L397" s="547"/>
      <c r="M397" s="548"/>
      <c r="N397" s="517" t="s">
        <v>5085</v>
      </c>
      <c r="O397" s="518">
        <v>10</v>
      </c>
      <c r="P397" s="519" t="s">
        <v>5086</v>
      </c>
      <c r="Q397" s="489">
        <v>90</v>
      </c>
      <c r="R397" s="519" t="s">
        <v>845</v>
      </c>
      <c r="S397" s="518">
        <f t="shared" si="30"/>
        <v>73</v>
      </c>
      <c r="T397" s="519" t="s">
        <v>5087</v>
      </c>
      <c r="U397" s="518">
        <f t="shared" si="31"/>
        <v>27</v>
      </c>
      <c r="V397" s="519" t="s">
        <v>5008</v>
      </c>
      <c r="W397" s="519" t="s">
        <v>5088</v>
      </c>
      <c r="X397" s="491">
        <f t="shared" si="32"/>
        <v>69</v>
      </c>
      <c r="Y397" s="519" t="s">
        <v>5088</v>
      </c>
      <c r="Z397" s="518">
        <f t="shared" si="33"/>
        <v>69</v>
      </c>
      <c r="AA397" s="519" t="s">
        <v>5089</v>
      </c>
      <c r="AB397" s="518">
        <f t="shared" si="34"/>
        <v>26</v>
      </c>
      <c r="AC397" s="519" t="s">
        <v>5011</v>
      </c>
      <c r="AD397" s="518" t="s">
        <v>5083</v>
      </c>
      <c r="AE397" s="520" t="s">
        <v>5084</v>
      </c>
      <c r="AF397" s="504" t="s">
        <v>2939</v>
      </c>
      <c r="AG397" s="494" t="s">
        <v>2917</v>
      </c>
      <c r="AH397" s="494" t="s">
        <v>2917</v>
      </c>
      <c r="AI397" s="505"/>
      <c r="AJ397" s="505"/>
      <c r="AK397" s="521">
        <f>_xll.GetCtData("COAMOUNT","CONSAMOUNT",$B$1:$B$7,$B397,AK$9,"#-917")</f>
        <v>-917</v>
      </c>
    </row>
    <row r="398" spans="2:37" ht="12" customHeight="1">
      <c r="B398" s="453" t="s">
        <v>564</v>
      </c>
      <c r="C398" s="482" t="s">
        <v>2929</v>
      </c>
      <c r="D398" s="483">
        <v>44403</v>
      </c>
      <c r="E398" s="484" t="s">
        <v>2930</v>
      </c>
      <c r="F398" s="485">
        <v>7</v>
      </c>
      <c r="G398" s="547"/>
      <c r="H398" s="547"/>
      <c r="I398" s="547"/>
      <c r="J398" s="547"/>
      <c r="K398" s="547"/>
      <c r="L398" s="547"/>
      <c r="M398" s="548"/>
      <c r="N398" s="517" t="s">
        <v>5090</v>
      </c>
      <c r="O398" s="518">
        <v>10</v>
      </c>
      <c r="P398" s="519" t="s">
        <v>5091</v>
      </c>
      <c r="Q398" s="489">
        <v>114</v>
      </c>
      <c r="R398" s="519" t="s">
        <v>846</v>
      </c>
      <c r="S398" s="518">
        <f t="shared" si="30"/>
        <v>104</v>
      </c>
      <c r="T398" s="519" t="s">
        <v>5092</v>
      </c>
      <c r="U398" s="518">
        <f t="shared" si="31"/>
        <v>29</v>
      </c>
      <c r="V398" s="519" t="s">
        <v>5008</v>
      </c>
      <c r="W398" s="519" t="s">
        <v>5093</v>
      </c>
      <c r="X398" s="491">
        <f t="shared" si="32"/>
        <v>107</v>
      </c>
      <c r="Y398" s="519" t="s">
        <v>5093</v>
      </c>
      <c r="Z398" s="518">
        <f t="shared" si="33"/>
        <v>107</v>
      </c>
      <c r="AA398" s="519" t="s">
        <v>5094</v>
      </c>
      <c r="AB398" s="518">
        <f t="shared" si="34"/>
        <v>25</v>
      </c>
      <c r="AC398" s="519" t="s">
        <v>5011</v>
      </c>
      <c r="AD398" s="518" t="s">
        <v>5083</v>
      </c>
      <c r="AE398" s="520" t="s">
        <v>5084</v>
      </c>
      <c r="AF398" s="504" t="s">
        <v>2939</v>
      </c>
      <c r="AG398" s="494" t="s">
        <v>2917</v>
      </c>
      <c r="AH398" s="494" t="s">
        <v>2917</v>
      </c>
      <c r="AI398" s="505"/>
      <c r="AJ398" s="505"/>
      <c r="AK398" s="521">
        <f>_xll.GetCtData("COAMOUNT","CONSAMOUNT",$B$1:$B$7,$B398,AK$9,"#2695")</f>
        <v>2695</v>
      </c>
    </row>
    <row r="399" spans="2:37" ht="12" customHeight="1">
      <c r="B399" s="453" t="s">
        <v>565</v>
      </c>
      <c r="C399" s="482" t="s">
        <v>2929</v>
      </c>
      <c r="D399" s="483">
        <v>44403</v>
      </c>
      <c r="E399" s="484" t="s">
        <v>2930</v>
      </c>
      <c r="F399" s="485">
        <v>7</v>
      </c>
      <c r="G399" s="547"/>
      <c r="H399" s="547"/>
      <c r="I399" s="547"/>
      <c r="J399" s="547"/>
      <c r="K399" s="547"/>
      <c r="L399" s="547"/>
      <c r="M399" s="548"/>
      <c r="N399" s="517" t="s">
        <v>5095</v>
      </c>
      <c r="O399" s="518">
        <v>10</v>
      </c>
      <c r="P399" s="519" t="s">
        <v>5096</v>
      </c>
      <c r="Q399" s="489">
        <v>80</v>
      </c>
      <c r="R399" s="519" t="s">
        <v>847</v>
      </c>
      <c r="S399" s="518">
        <f t="shared" si="30"/>
        <v>70</v>
      </c>
      <c r="T399" s="519" t="s">
        <v>5097</v>
      </c>
      <c r="U399" s="518">
        <f t="shared" si="31"/>
        <v>26</v>
      </c>
      <c r="V399" s="519" t="s">
        <v>5008</v>
      </c>
      <c r="W399" s="519" t="s">
        <v>5098</v>
      </c>
      <c r="X399" s="491">
        <f t="shared" si="32"/>
        <v>71</v>
      </c>
      <c r="Y399" s="519" t="s">
        <v>5098</v>
      </c>
      <c r="Z399" s="518">
        <f t="shared" si="33"/>
        <v>71</v>
      </c>
      <c r="AA399" s="519" t="s">
        <v>5099</v>
      </c>
      <c r="AB399" s="518">
        <f t="shared" si="34"/>
        <v>27</v>
      </c>
      <c r="AC399" s="519" t="s">
        <v>5011</v>
      </c>
      <c r="AD399" s="518" t="s">
        <v>5083</v>
      </c>
      <c r="AE399" s="520" t="s">
        <v>5084</v>
      </c>
      <c r="AF399" s="504" t="s">
        <v>2939</v>
      </c>
      <c r="AG399" s="494" t="s">
        <v>2917</v>
      </c>
      <c r="AH399" s="494" t="s">
        <v>2917</v>
      </c>
      <c r="AI399" s="505"/>
      <c r="AJ399" s="505"/>
      <c r="AK399" s="521">
        <f>_xll.GetCtData("COAMOUNT","CONSAMOUNT",$B$1:$B$7,$B399,AK$9,"#64")</f>
        <v>64</v>
      </c>
    </row>
    <row r="400" spans="2:37" ht="12" customHeight="1">
      <c r="B400" s="453" t="s">
        <v>1148</v>
      </c>
      <c r="C400" s="482" t="s">
        <v>2911</v>
      </c>
      <c r="D400" s="483">
        <v>44378</v>
      </c>
      <c r="E400" s="484" t="s">
        <v>2912</v>
      </c>
      <c r="F400" s="485">
        <v>5</v>
      </c>
      <c r="G400" s="482"/>
      <c r="H400" s="567"/>
      <c r="I400" s="567"/>
      <c r="J400" s="567"/>
      <c r="K400" s="567"/>
      <c r="L400" s="568" t="s">
        <v>5100</v>
      </c>
      <c r="M400" s="569"/>
      <c r="N400" s="570"/>
      <c r="O400" s="571">
        <v>8</v>
      </c>
      <c r="P400" s="572" t="s">
        <v>5101</v>
      </c>
      <c r="Q400" s="489">
        <v>55</v>
      </c>
      <c r="R400" s="572" t="s">
        <v>2601</v>
      </c>
      <c r="S400" s="571">
        <f t="shared" si="30"/>
        <v>45</v>
      </c>
      <c r="T400" s="572" t="s">
        <v>5102</v>
      </c>
      <c r="U400" s="571">
        <f t="shared" si="31"/>
        <v>27</v>
      </c>
      <c r="V400" s="573" t="s">
        <v>5008</v>
      </c>
      <c r="W400" s="573" t="s">
        <v>5103</v>
      </c>
      <c r="X400" s="491">
        <f t="shared" si="32"/>
        <v>42</v>
      </c>
      <c r="Y400" s="573" t="s">
        <v>5103</v>
      </c>
      <c r="Z400" s="571">
        <f t="shared" si="33"/>
        <v>42</v>
      </c>
      <c r="AA400" s="573" t="s">
        <v>5104</v>
      </c>
      <c r="AB400" s="571">
        <f t="shared" si="34"/>
        <v>18</v>
      </c>
      <c r="AC400" s="573" t="s">
        <v>5011</v>
      </c>
      <c r="AD400" s="571"/>
      <c r="AE400" s="575"/>
      <c r="AF400" s="504"/>
      <c r="AG400" s="494" t="s">
        <v>2917</v>
      </c>
      <c r="AH400" s="495" t="s">
        <v>2918</v>
      </c>
      <c r="AI400" s="505"/>
      <c r="AJ400" s="505"/>
      <c r="AK400" s="576">
        <f>_xll.GetCtData("COAMOUNT","CONSAMOUNT",$B$1:$B$7,$B400,AK$9,"#")</f>
        <v>0</v>
      </c>
    </row>
    <row r="401" spans="2:37" ht="12" customHeight="1">
      <c r="B401" s="453" t="s">
        <v>566</v>
      </c>
      <c r="C401" s="482" t="s">
        <v>2929</v>
      </c>
      <c r="D401" s="483">
        <v>44403</v>
      </c>
      <c r="E401" s="484" t="s">
        <v>2930</v>
      </c>
      <c r="F401" s="485">
        <v>7</v>
      </c>
      <c r="G401" s="590"/>
      <c r="H401" s="590"/>
      <c r="I401" s="590"/>
      <c r="J401" s="590"/>
      <c r="K401" s="590"/>
      <c r="L401" s="590"/>
      <c r="M401" s="591"/>
      <c r="N401" s="517" t="s">
        <v>5105</v>
      </c>
      <c r="O401" s="518">
        <v>10</v>
      </c>
      <c r="P401" s="519" t="s">
        <v>5106</v>
      </c>
      <c r="Q401" s="489">
        <v>78</v>
      </c>
      <c r="R401" s="519" t="s">
        <v>848</v>
      </c>
      <c r="S401" s="518">
        <f t="shared" si="30"/>
        <v>61</v>
      </c>
      <c r="T401" s="519" t="s">
        <v>5107</v>
      </c>
      <c r="U401" s="518">
        <f t="shared" si="31"/>
        <v>29</v>
      </c>
      <c r="V401" s="519" t="s">
        <v>5008</v>
      </c>
      <c r="W401" s="519" t="s">
        <v>5108</v>
      </c>
      <c r="X401" s="491">
        <f t="shared" si="32"/>
        <v>60</v>
      </c>
      <c r="Y401" s="519" t="s">
        <v>5108</v>
      </c>
      <c r="Z401" s="518">
        <f t="shared" si="33"/>
        <v>60</v>
      </c>
      <c r="AA401" s="519" t="s">
        <v>5109</v>
      </c>
      <c r="AB401" s="518">
        <f t="shared" si="34"/>
        <v>21</v>
      </c>
      <c r="AC401" s="519" t="s">
        <v>5011</v>
      </c>
      <c r="AD401" s="518" t="s">
        <v>5110</v>
      </c>
      <c r="AE401" s="520" t="s">
        <v>5111</v>
      </c>
      <c r="AF401" s="504" t="s">
        <v>2939</v>
      </c>
      <c r="AG401" s="494" t="s">
        <v>2917</v>
      </c>
      <c r="AH401" s="494" t="s">
        <v>2917</v>
      </c>
      <c r="AI401" s="505"/>
      <c r="AJ401" s="505"/>
      <c r="AK401" s="521">
        <f>_xll.GetCtData("COAMOUNT","CONSAMOUNT",$B$1:$B$7,$B401,AK$9,"#")</f>
        <v>0</v>
      </c>
    </row>
    <row r="402" spans="2:37" ht="12" customHeight="1">
      <c r="B402" s="453" t="s">
        <v>567</v>
      </c>
      <c r="C402" s="482" t="s">
        <v>2929</v>
      </c>
      <c r="D402" s="483">
        <v>44403</v>
      </c>
      <c r="E402" s="484" t="s">
        <v>2930</v>
      </c>
      <c r="F402" s="485">
        <v>7</v>
      </c>
      <c r="G402" s="547"/>
      <c r="H402" s="547"/>
      <c r="I402" s="547"/>
      <c r="J402" s="547"/>
      <c r="K402" s="547"/>
      <c r="L402" s="547"/>
      <c r="M402" s="548"/>
      <c r="N402" s="517" t="s">
        <v>5112</v>
      </c>
      <c r="O402" s="518">
        <v>10</v>
      </c>
      <c r="P402" s="519" t="s">
        <v>5113</v>
      </c>
      <c r="Q402" s="489">
        <v>72</v>
      </c>
      <c r="R402" s="519" t="s">
        <v>849</v>
      </c>
      <c r="S402" s="518">
        <f t="shared" si="30"/>
        <v>55</v>
      </c>
      <c r="T402" s="519" t="s">
        <v>5114</v>
      </c>
      <c r="U402" s="518">
        <f t="shared" si="31"/>
        <v>27</v>
      </c>
      <c r="V402" s="519" t="s">
        <v>5008</v>
      </c>
      <c r="W402" s="519" t="s">
        <v>5115</v>
      </c>
      <c r="X402" s="491">
        <f t="shared" si="32"/>
        <v>59</v>
      </c>
      <c r="Y402" s="519" t="s">
        <v>5115</v>
      </c>
      <c r="Z402" s="518">
        <f t="shared" si="33"/>
        <v>59</v>
      </c>
      <c r="AA402" s="519" t="s">
        <v>5116</v>
      </c>
      <c r="AB402" s="518">
        <f t="shared" si="34"/>
        <v>24</v>
      </c>
      <c r="AC402" s="519" t="s">
        <v>5011</v>
      </c>
      <c r="AD402" s="518" t="s">
        <v>5110</v>
      </c>
      <c r="AE402" s="520" t="s">
        <v>5111</v>
      </c>
      <c r="AF402" s="504" t="s">
        <v>2939</v>
      </c>
      <c r="AG402" s="494" t="s">
        <v>2917</v>
      </c>
      <c r="AH402" s="494" t="s">
        <v>2917</v>
      </c>
      <c r="AI402" s="505"/>
      <c r="AJ402" s="505"/>
      <c r="AK402" s="521">
        <f>_xll.GetCtData("COAMOUNT","CONSAMOUNT",$B$1:$B$7,$B402,AK$9,"#")</f>
        <v>0</v>
      </c>
    </row>
    <row r="403" spans="2:37" ht="12" customHeight="1">
      <c r="B403" s="453" t="s">
        <v>568</v>
      </c>
      <c r="C403" s="482" t="s">
        <v>2929</v>
      </c>
      <c r="D403" s="483">
        <v>44403</v>
      </c>
      <c r="E403" s="484" t="s">
        <v>2930</v>
      </c>
      <c r="F403" s="485">
        <v>7</v>
      </c>
      <c r="G403" s="547"/>
      <c r="H403" s="547"/>
      <c r="I403" s="547"/>
      <c r="J403" s="547"/>
      <c r="K403" s="547"/>
      <c r="L403" s="547"/>
      <c r="M403" s="548"/>
      <c r="N403" s="517" t="s">
        <v>5117</v>
      </c>
      <c r="O403" s="518">
        <v>10</v>
      </c>
      <c r="P403" s="519" t="s">
        <v>5118</v>
      </c>
      <c r="Q403" s="489">
        <v>62</v>
      </c>
      <c r="R403" s="606" t="s">
        <v>850</v>
      </c>
      <c r="S403" s="518">
        <f t="shared" si="30"/>
        <v>52</v>
      </c>
      <c r="T403" s="519" t="s">
        <v>5119</v>
      </c>
      <c r="U403" s="518">
        <f t="shared" si="31"/>
        <v>26</v>
      </c>
      <c r="V403" s="519" t="s">
        <v>5008</v>
      </c>
      <c r="W403" s="519" t="s">
        <v>5120</v>
      </c>
      <c r="X403" s="491">
        <f t="shared" si="32"/>
        <v>61</v>
      </c>
      <c r="Y403" s="519" t="s">
        <v>5120</v>
      </c>
      <c r="Z403" s="518">
        <f t="shared" si="33"/>
        <v>61</v>
      </c>
      <c r="AA403" s="519" t="s">
        <v>5121</v>
      </c>
      <c r="AB403" s="518">
        <f t="shared" si="34"/>
        <v>26</v>
      </c>
      <c r="AC403" s="519" t="s">
        <v>5011</v>
      </c>
      <c r="AD403" s="518" t="s">
        <v>5110</v>
      </c>
      <c r="AE403" s="520" t="s">
        <v>5111</v>
      </c>
      <c r="AF403" s="504" t="s">
        <v>2939</v>
      </c>
      <c r="AG403" s="494" t="s">
        <v>2917</v>
      </c>
      <c r="AH403" s="494" t="s">
        <v>2917</v>
      </c>
      <c r="AI403" s="505"/>
      <c r="AJ403" s="505"/>
      <c r="AK403" s="521">
        <f>_xll.GetCtData("COAMOUNT","CONSAMOUNT",$B$1:$B$7,$B403,AK$9,"#")</f>
        <v>0</v>
      </c>
    </row>
    <row r="404" spans="2:37" ht="12" customHeight="1">
      <c r="B404" s="453" t="s">
        <v>880</v>
      </c>
      <c r="C404" s="482" t="s">
        <v>2911</v>
      </c>
      <c r="D404" s="483">
        <v>44378</v>
      </c>
      <c r="E404" s="484" t="s">
        <v>2912</v>
      </c>
      <c r="F404" s="485">
        <v>2</v>
      </c>
      <c r="G404" s="482"/>
      <c r="H404" s="507"/>
      <c r="I404" s="508" t="s">
        <v>5122</v>
      </c>
      <c r="J404" s="508"/>
      <c r="K404" s="508"/>
      <c r="L404" s="508"/>
      <c r="M404" s="509"/>
      <c r="N404" s="510"/>
      <c r="O404" s="511">
        <v>5</v>
      </c>
      <c r="P404" s="512" t="s">
        <v>4</v>
      </c>
      <c r="Q404" s="489">
        <v>19</v>
      </c>
      <c r="R404" s="512" t="s">
        <v>4</v>
      </c>
      <c r="S404" s="511">
        <f t="shared" si="30"/>
        <v>19</v>
      </c>
      <c r="T404" s="512" t="s">
        <v>5123</v>
      </c>
      <c r="U404" s="511">
        <f t="shared" si="31"/>
        <v>17</v>
      </c>
      <c r="V404" s="513" t="s">
        <v>5124</v>
      </c>
      <c r="W404" s="513" t="s">
        <v>5125</v>
      </c>
      <c r="X404" s="491">
        <f t="shared" si="32"/>
        <v>22</v>
      </c>
      <c r="Y404" s="513" t="s">
        <v>5125</v>
      </c>
      <c r="Z404" s="511">
        <f t="shared" si="33"/>
        <v>22</v>
      </c>
      <c r="AA404" s="513" t="s">
        <v>5126</v>
      </c>
      <c r="AB404" s="511">
        <f t="shared" si="34"/>
        <v>10</v>
      </c>
      <c r="AC404" s="513" t="s">
        <v>5127</v>
      </c>
      <c r="AD404" s="511"/>
      <c r="AE404" s="514"/>
      <c r="AF404" s="504"/>
      <c r="AG404" s="494" t="s">
        <v>2917</v>
      </c>
      <c r="AH404" s="495" t="s">
        <v>2918</v>
      </c>
      <c r="AI404" s="505"/>
      <c r="AJ404" s="505"/>
      <c r="AK404" s="515">
        <f>_xll.GetCtData("COAMOUNT","CONSAMOUNT",$B$1:$B$7,$B404,AK$9,"#986051")</f>
        <v>986051</v>
      </c>
    </row>
    <row r="405" spans="2:37" ht="12" customHeight="1">
      <c r="B405" s="453" t="s">
        <v>5128</v>
      </c>
      <c r="C405" s="482" t="s">
        <v>2911</v>
      </c>
      <c r="D405" s="483">
        <v>44378</v>
      </c>
      <c r="E405" s="484" t="s">
        <v>2912</v>
      </c>
      <c r="F405" s="485">
        <v>3</v>
      </c>
      <c r="G405" s="482"/>
      <c r="H405" s="507"/>
      <c r="I405" s="507"/>
      <c r="J405" s="532" t="s">
        <v>5129</v>
      </c>
      <c r="K405" s="532"/>
      <c r="L405" s="532"/>
      <c r="M405" s="533"/>
      <c r="N405" s="534"/>
      <c r="O405" s="535">
        <v>6</v>
      </c>
      <c r="P405" s="536" t="s">
        <v>5130</v>
      </c>
      <c r="Q405" s="489">
        <v>36</v>
      </c>
      <c r="R405" s="536" t="s">
        <v>5130</v>
      </c>
      <c r="S405" s="535">
        <f t="shared" si="30"/>
        <v>36</v>
      </c>
      <c r="T405" s="536" t="s">
        <v>5131</v>
      </c>
      <c r="U405" s="535">
        <f t="shared" si="31"/>
        <v>25</v>
      </c>
      <c r="V405" s="537" t="s">
        <v>5124</v>
      </c>
      <c r="W405" s="537" t="s">
        <v>5132</v>
      </c>
      <c r="X405" s="491">
        <f t="shared" si="32"/>
        <v>51</v>
      </c>
      <c r="Y405" s="537" t="s">
        <v>5132</v>
      </c>
      <c r="Z405" s="535">
        <f t="shared" si="33"/>
        <v>51</v>
      </c>
      <c r="AA405" s="537" t="s">
        <v>5133</v>
      </c>
      <c r="AB405" s="535">
        <f t="shared" si="34"/>
        <v>17</v>
      </c>
      <c r="AC405" s="537" t="s">
        <v>5127</v>
      </c>
      <c r="AD405" s="535"/>
      <c r="AE405" s="538"/>
      <c r="AF405" s="504"/>
      <c r="AG405" s="494" t="s">
        <v>2917</v>
      </c>
      <c r="AH405" s="495" t="s">
        <v>2918</v>
      </c>
      <c r="AI405" s="505"/>
      <c r="AJ405" s="505"/>
      <c r="AK405" s="539">
        <f>_xll.GetCtData("COAMOUNT","CONSAMOUNT",$B$1:$B$7,$B405,AK$9,"#0")</f>
        <v>0</v>
      </c>
    </row>
    <row r="406" spans="2:37" ht="12" customHeight="1">
      <c r="B406" s="453" t="s">
        <v>851</v>
      </c>
      <c r="C406" s="482" t="s">
        <v>2929</v>
      </c>
      <c r="D406" s="483">
        <v>44403</v>
      </c>
      <c r="E406" s="484" t="s">
        <v>2930</v>
      </c>
      <c r="F406" s="485">
        <v>7</v>
      </c>
      <c r="G406" s="547"/>
      <c r="H406" s="547"/>
      <c r="I406" s="547"/>
      <c r="J406" s="547"/>
      <c r="K406" s="547"/>
      <c r="L406" s="547"/>
      <c r="M406" s="548"/>
      <c r="N406" s="517" t="s">
        <v>5134</v>
      </c>
      <c r="O406" s="518">
        <v>10</v>
      </c>
      <c r="P406" s="519" t="s">
        <v>810</v>
      </c>
      <c r="Q406" s="489">
        <v>36</v>
      </c>
      <c r="R406" s="519" t="s">
        <v>810</v>
      </c>
      <c r="S406" s="518">
        <f t="shared" si="30"/>
        <v>36</v>
      </c>
      <c r="T406" s="519" t="s">
        <v>5135</v>
      </c>
      <c r="U406" s="518">
        <f t="shared" si="31"/>
        <v>27</v>
      </c>
      <c r="V406" s="519" t="s">
        <v>5124</v>
      </c>
      <c r="W406" s="519" t="s">
        <v>5136</v>
      </c>
      <c r="X406" s="491">
        <f t="shared" si="32"/>
        <v>36</v>
      </c>
      <c r="Y406" s="519" t="s">
        <v>5136</v>
      </c>
      <c r="Z406" s="518">
        <f t="shared" si="33"/>
        <v>36</v>
      </c>
      <c r="AA406" s="519" t="s">
        <v>5137</v>
      </c>
      <c r="AB406" s="518">
        <f t="shared" si="34"/>
        <v>28</v>
      </c>
      <c r="AC406" s="519" t="s">
        <v>5127</v>
      </c>
      <c r="AD406" s="518" t="s">
        <v>5138</v>
      </c>
      <c r="AE406" s="520" t="s">
        <v>5139</v>
      </c>
      <c r="AF406" s="504" t="s">
        <v>2939</v>
      </c>
      <c r="AG406" s="494" t="s">
        <v>2917</v>
      </c>
      <c r="AH406" s="494" t="s">
        <v>2917</v>
      </c>
      <c r="AI406" s="505"/>
      <c r="AJ406" s="505"/>
      <c r="AK406" s="521">
        <f>_xll.GetCtData("COAMOUNT","CONSAMOUNT",$B$1:$B$7,$B406,AK$9,"#")</f>
        <v>0</v>
      </c>
    </row>
    <row r="407" spans="2:37" ht="12" customHeight="1">
      <c r="B407" s="453" t="s">
        <v>852</v>
      </c>
      <c r="C407" s="482" t="s">
        <v>2929</v>
      </c>
      <c r="D407" s="483">
        <v>44403</v>
      </c>
      <c r="E407" s="484" t="s">
        <v>2930</v>
      </c>
      <c r="F407" s="485">
        <v>7</v>
      </c>
      <c r="G407" s="547"/>
      <c r="H407" s="547"/>
      <c r="I407" s="547"/>
      <c r="J407" s="547"/>
      <c r="K407" s="547"/>
      <c r="L407" s="547"/>
      <c r="M407" s="548"/>
      <c r="N407" s="517" t="s">
        <v>5140</v>
      </c>
      <c r="O407" s="518">
        <v>10</v>
      </c>
      <c r="P407" s="519" t="s">
        <v>5141</v>
      </c>
      <c r="Q407" s="489">
        <v>32</v>
      </c>
      <c r="R407" s="519" t="s">
        <v>811</v>
      </c>
      <c r="S407" s="518">
        <f t="shared" si="30"/>
        <v>25</v>
      </c>
      <c r="T407" s="519" t="s">
        <v>5142</v>
      </c>
      <c r="U407" s="518">
        <f t="shared" si="31"/>
        <v>19</v>
      </c>
      <c r="V407" s="519" t="s">
        <v>5124</v>
      </c>
      <c r="W407" s="519" t="s">
        <v>5143</v>
      </c>
      <c r="X407" s="491">
        <f t="shared" si="32"/>
        <v>33</v>
      </c>
      <c r="Y407" s="519" t="s">
        <v>5143</v>
      </c>
      <c r="Z407" s="518">
        <f t="shared" si="33"/>
        <v>33</v>
      </c>
      <c r="AA407" s="519" t="s">
        <v>5144</v>
      </c>
      <c r="AB407" s="518">
        <f t="shared" si="34"/>
        <v>20</v>
      </c>
      <c r="AC407" s="519" t="s">
        <v>5127</v>
      </c>
      <c r="AD407" s="518" t="s">
        <v>5138</v>
      </c>
      <c r="AE407" s="520" t="s">
        <v>5139</v>
      </c>
      <c r="AF407" s="504" t="s">
        <v>2939</v>
      </c>
      <c r="AG407" s="494" t="s">
        <v>2917</v>
      </c>
      <c r="AH407" s="494" t="s">
        <v>2917</v>
      </c>
      <c r="AI407" s="505"/>
      <c r="AJ407" s="505"/>
      <c r="AK407" s="521">
        <f>_xll.GetCtData("COAMOUNT","CONSAMOUNT",$B$1:$B$7,$B407,AK$9,"#")</f>
        <v>0</v>
      </c>
    </row>
    <row r="408" spans="2:37" ht="12" customHeight="1">
      <c r="B408" s="453" t="s">
        <v>853</v>
      </c>
      <c r="C408" s="482" t="s">
        <v>2929</v>
      </c>
      <c r="D408" s="483">
        <v>44403</v>
      </c>
      <c r="E408" s="484" t="s">
        <v>2930</v>
      </c>
      <c r="F408" s="485">
        <v>7</v>
      </c>
      <c r="G408" s="547"/>
      <c r="H408" s="547"/>
      <c r="I408" s="547"/>
      <c r="J408" s="547"/>
      <c r="K408" s="547"/>
      <c r="L408" s="547"/>
      <c r="M408" s="548"/>
      <c r="N408" s="517" t="s">
        <v>5145</v>
      </c>
      <c r="O408" s="518">
        <v>10</v>
      </c>
      <c r="P408" s="519" t="s">
        <v>812</v>
      </c>
      <c r="Q408" s="489">
        <v>24</v>
      </c>
      <c r="R408" s="519" t="s">
        <v>812</v>
      </c>
      <c r="S408" s="518">
        <f t="shared" si="30"/>
        <v>24</v>
      </c>
      <c r="T408" s="519" t="s">
        <v>5146</v>
      </c>
      <c r="U408" s="518">
        <f t="shared" si="31"/>
        <v>19</v>
      </c>
      <c r="V408" s="519" t="s">
        <v>5124</v>
      </c>
      <c r="W408" s="519" t="s">
        <v>5147</v>
      </c>
      <c r="X408" s="491">
        <f t="shared" si="32"/>
        <v>40</v>
      </c>
      <c r="Y408" s="519" t="s">
        <v>5147</v>
      </c>
      <c r="Z408" s="518">
        <f t="shared" si="33"/>
        <v>40</v>
      </c>
      <c r="AA408" s="519" t="s">
        <v>5148</v>
      </c>
      <c r="AB408" s="518">
        <f t="shared" si="34"/>
        <v>25</v>
      </c>
      <c r="AC408" s="519" t="s">
        <v>5127</v>
      </c>
      <c r="AD408" s="518" t="s">
        <v>5138</v>
      </c>
      <c r="AE408" s="520" t="s">
        <v>5139</v>
      </c>
      <c r="AF408" s="504" t="s">
        <v>2939</v>
      </c>
      <c r="AG408" s="494" t="s">
        <v>2917</v>
      </c>
      <c r="AH408" s="494" t="s">
        <v>2917</v>
      </c>
      <c r="AI408" s="505"/>
      <c r="AJ408" s="505"/>
      <c r="AK408" s="521">
        <f>_xll.GetCtData("COAMOUNT","CONSAMOUNT",$B$1:$B$7,$B408,AK$9,"#")</f>
        <v>0</v>
      </c>
    </row>
    <row r="409" spans="2:37" ht="12" customHeight="1">
      <c r="B409" s="453" t="s">
        <v>854</v>
      </c>
      <c r="C409" s="482" t="s">
        <v>2929</v>
      </c>
      <c r="D409" s="483">
        <v>44403</v>
      </c>
      <c r="E409" s="484" t="s">
        <v>2930</v>
      </c>
      <c r="F409" s="485">
        <v>7</v>
      </c>
      <c r="G409" s="547"/>
      <c r="H409" s="547"/>
      <c r="I409" s="547"/>
      <c r="J409" s="547"/>
      <c r="K409" s="547"/>
      <c r="L409" s="547"/>
      <c r="M409" s="548"/>
      <c r="N409" s="517" t="s">
        <v>5149</v>
      </c>
      <c r="O409" s="518">
        <v>10</v>
      </c>
      <c r="P409" s="519" t="s">
        <v>813</v>
      </c>
      <c r="Q409" s="489">
        <v>22</v>
      </c>
      <c r="R409" s="519" t="s">
        <v>813</v>
      </c>
      <c r="S409" s="518">
        <f t="shared" si="30"/>
        <v>22</v>
      </c>
      <c r="T409" s="519" t="s">
        <v>5150</v>
      </c>
      <c r="U409" s="518">
        <f t="shared" si="31"/>
        <v>17</v>
      </c>
      <c r="V409" s="519" t="s">
        <v>5124</v>
      </c>
      <c r="W409" s="519" t="s">
        <v>5151</v>
      </c>
      <c r="X409" s="491">
        <f t="shared" si="32"/>
        <v>35</v>
      </c>
      <c r="Y409" s="519" t="s">
        <v>5151</v>
      </c>
      <c r="Z409" s="518">
        <f t="shared" si="33"/>
        <v>35</v>
      </c>
      <c r="AA409" s="519" t="s">
        <v>5152</v>
      </c>
      <c r="AB409" s="518">
        <f t="shared" si="34"/>
        <v>22</v>
      </c>
      <c r="AC409" s="519" t="s">
        <v>5127</v>
      </c>
      <c r="AD409" s="518" t="s">
        <v>5138</v>
      </c>
      <c r="AE409" s="520" t="s">
        <v>5139</v>
      </c>
      <c r="AF409" s="504" t="s">
        <v>2939</v>
      </c>
      <c r="AG409" s="494" t="s">
        <v>2917</v>
      </c>
      <c r="AH409" s="494" t="s">
        <v>2917</v>
      </c>
      <c r="AI409" s="505"/>
      <c r="AJ409" s="505"/>
      <c r="AK409" s="521">
        <f>_xll.GetCtData("COAMOUNT","CONSAMOUNT",$B$1:$B$7,$B409,AK$9,"#")</f>
        <v>0</v>
      </c>
    </row>
    <row r="410" spans="2:37" ht="12" customHeight="1">
      <c r="B410" s="453" t="s">
        <v>5153</v>
      </c>
      <c r="C410" s="482" t="s">
        <v>2911</v>
      </c>
      <c r="D410" s="483">
        <v>44378</v>
      </c>
      <c r="E410" s="484" t="s">
        <v>2912</v>
      </c>
      <c r="F410" s="485">
        <v>3</v>
      </c>
      <c r="G410" s="482"/>
      <c r="H410" s="507"/>
      <c r="I410" s="507"/>
      <c r="J410" s="532" t="s">
        <v>5154</v>
      </c>
      <c r="K410" s="532"/>
      <c r="L410" s="532"/>
      <c r="M410" s="533"/>
      <c r="N410" s="534"/>
      <c r="O410" s="535">
        <v>6</v>
      </c>
      <c r="P410" s="536" t="s">
        <v>5155</v>
      </c>
      <c r="Q410" s="489">
        <v>57</v>
      </c>
      <c r="R410" s="536" t="s">
        <v>5155</v>
      </c>
      <c r="S410" s="535">
        <f t="shared" si="30"/>
        <v>57</v>
      </c>
      <c r="T410" s="536" t="s">
        <v>5156</v>
      </c>
      <c r="U410" s="535">
        <f t="shared" si="31"/>
        <v>24</v>
      </c>
      <c r="V410" s="537" t="s">
        <v>5124</v>
      </c>
      <c r="W410" s="537" t="s">
        <v>5157</v>
      </c>
      <c r="X410" s="491">
        <f t="shared" si="32"/>
        <v>66</v>
      </c>
      <c r="Y410" s="537" t="s">
        <v>5157</v>
      </c>
      <c r="Z410" s="535">
        <f t="shared" si="33"/>
        <v>66</v>
      </c>
      <c r="AA410" s="537" t="s">
        <v>5158</v>
      </c>
      <c r="AB410" s="535">
        <f t="shared" si="34"/>
        <v>19</v>
      </c>
      <c r="AC410" s="537" t="s">
        <v>5127</v>
      </c>
      <c r="AD410" s="535"/>
      <c r="AE410" s="538"/>
      <c r="AF410" s="504"/>
      <c r="AG410" s="494" t="s">
        <v>2917</v>
      </c>
      <c r="AH410" s="495" t="s">
        <v>2918</v>
      </c>
      <c r="AI410" s="505"/>
      <c r="AJ410" s="505"/>
      <c r="AK410" s="539">
        <f>_xll.GetCtData("COAMOUNT","CONSAMOUNT",$B$1:$B$7,$B410,AK$9,"#206620")</f>
        <v>206620</v>
      </c>
    </row>
    <row r="411" spans="2:37" ht="12" customHeight="1">
      <c r="B411" s="453" t="s">
        <v>855</v>
      </c>
      <c r="C411" s="482" t="s">
        <v>2929</v>
      </c>
      <c r="D411" s="483">
        <v>44403</v>
      </c>
      <c r="E411" s="484" t="s">
        <v>2930</v>
      </c>
      <c r="F411" s="485">
        <v>7</v>
      </c>
      <c r="G411" s="547"/>
      <c r="H411" s="547"/>
      <c r="I411" s="547"/>
      <c r="J411" s="547"/>
      <c r="K411" s="547"/>
      <c r="L411" s="547"/>
      <c r="M411" s="548"/>
      <c r="N411" s="517" t="s">
        <v>5159</v>
      </c>
      <c r="O411" s="518">
        <v>10</v>
      </c>
      <c r="P411" s="519" t="s">
        <v>5160</v>
      </c>
      <c r="Q411" s="489">
        <v>57</v>
      </c>
      <c r="R411" s="519" t="s">
        <v>814</v>
      </c>
      <c r="S411" s="518">
        <f t="shared" si="30"/>
        <v>56</v>
      </c>
      <c r="T411" s="519" t="s">
        <v>5161</v>
      </c>
      <c r="U411" s="518">
        <f t="shared" si="31"/>
        <v>23</v>
      </c>
      <c r="V411" s="519" t="s">
        <v>5124</v>
      </c>
      <c r="W411" s="519" t="s">
        <v>5162</v>
      </c>
      <c r="X411" s="491">
        <f t="shared" si="32"/>
        <v>62</v>
      </c>
      <c r="Y411" s="519" t="s">
        <v>5162</v>
      </c>
      <c r="Z411" s="518">
        <f t="shared" si="33"/>
        <v>62</v>
      </c>
      <c r="AA411" s="519" t="s">
        <v>5163</v>
      </c>
      <c r="AB411" s="518">
        <f t="shared" si="34"/>
        <v>25</v>
      </c>
      <c r="AC411" s="519" t="s">
        <v>5127</v>
      </c>
      <c r="AD411" s="518" t="s">
        <v>5164</v>
      </c>
      <c r="AE411" s="520" t="s">
        <v>5165</v>
      </c>
      <c r="AF411" s="504" t="s">
        <v>5166</v>
      </c>
      <c r="AG411" s="494" t="s">
        <v>2917</v>
      </c>
      <c r="AH411" s="494" t="s">
        <v>2917</v>
      </c>
      <c r="AI411" s="505"/>
      <c r="AJ411" s="505"/>
      <c r="AK411" s="521">
        <f>_xll.GetCtData("COAMOUNT","CONSAMOUNT",$B$1:$B$7,$B411,AK$9,"#291759")</f>
        <v>291759</v>
      </c>
    </row>
    <row r="412" spans="2:37" ht="12" customHeight="1">
      <c r="B412" s="453" t="s">
        <v>856</v>
      </c>
      <c r="C412" s="482" t="s">
        <v>2929</v>
      </c>
      <c r="D412" s="483">
        <v>44403</v>
      </c>
      <c r="E412" s="484" t="s">
        <v>2930</v>
      </c>
      <c r="F412" s="485">
        <v>7</v>
      </c>
      <c r="G412" s="547"/>
      <c r="H412" s="547"/>
      <c r="I412" s="547"/>
      <c r="J412" s="547"/>
      <c r="K412" s="547"/>
      <c r="L412" s="547"/>
      <c r="M412" s="548"/>
      <c r="N412" s="517" t="s">
        <v>5167</v>
      </c>
      <c r="O412" s="518">
        <v>10</v>
      </c>
      <c r="P412" s="519" t="s">
        <v>5168</v>
      </c>
      <c r="Q412" s="489">
        <v>64</v>
      </c>
      <c r="R412" s="519" t="s">
        <v>815</v>
      </c>
      <c r="S412" s="518">
        <f t="shared" si="30"/>
        <v>56</v>
      </c>
      <c r="T412" s="519" t="s">
        <v>5169</v>
      </c>
      <c r="U412" s="518">
        <f t="shared" si="31"/>
        <v>24</v>
      </c>
      <c r="V412" s="519" t="s">
        <v>5124</v>
      </c>
      <c r="W412" s="519" t="s">
        <v>5170</v>
      </c>
      <c r="X412" s="491">
        <f t="shared" si="32"/>
        <v>68</v>
      </c>
      <c r="Y412" s="519" t="s">
        <v>5170</v>
      </c>
      <c r="Z412" s="518">
        <f t="shared" si="33"/>
        <v>68</v>
      </c>
      <c r="AA412" s="519" t="s">
        <v>5171</v>
      </c>
      <c r="AB412" s="518">
        <f t="shared" si="34"/>
        <v>23</v>
      </c>
      <c r="AC412" s="519" t="s">
        <v>5127</v>
      </c>
      <c r="AD412" s="518" t="s">
        <v>5164</v>
      </c>
      <c r="AE412" s="520" t="s">
        <v>5165</v>
      </c>
      <c r="AF412" s="504" t="s">
        <v>5166</v>
      </c>
      <c r="AG412" s="494" t="s">
        <v>2917</v>
      </c>
      <c r="AH412" s="494" t="s">
        <v>2917</v>
      </c>
      <c r="AI412" s="505"/>
      <c r="AJ412" s="505"/>
      <c r="AK412" s="521">
        <f>_xll.GetCtData("COAMOUNT","CONSAMOUNT",$B$1:$B$7,$B412,AK$9,"#-85139")</f>
        <v>-85139</v>
      </c>
    </row>
    <row r="413" spans="2:37" ht="12" customHeight="1">
      <c r="B413" s="453" t="s">
        <v>857</v>
      </c>
      <c r="C413" s="482" t="s">
        <v>2929</v>
      </c>
      <c r="D413" s="483">
        <v>44403</v>
      </c>
      <c r="E413" s="484" t="s">
        <v>2930</v>
      </c>
      <c r="F413" s="485">
        <v>7</v>
      </c>
      <c r="G413" s="547"/>
      <c r="H413" s="547"/>
      <c r="I413" s="547"/>
      <c r="J413" s="547"/>
      <c r="K413" s="547"/>
      <c r="L413" s="547"/>
      <c r="M413" s="548"/>
      <c r="N413" s="517" t="s">
        <v>5172</v>
      </c>
      <c r="O413" s="518">
        <v>10</v>
      </c>
      <c r="P413" s="519" t="s">
        <v>5173</v>
      </c>
      <c r="Q413" s="489">
        <v>55</v>
      </c>
      <c r="R413" s="519" t="s">
        <v>816</v>
      </c>
      <c r="S413" s="518">
        <f t="shared" si="30"/>
        <v>54</v>
      </c>
      <c r="T413" s="519" t="s">
        <v>5174</v>
      </c>
      <c r="U413" s="518">
        <f t="shared" si="31"/>
        <v>22</v>
      </c>
      <c r="V413" s="519" t="s">
        <v>5124</v>
      </c>
      <c r="W413" s="519" t="s">
        <v>5175</v>
      </c>
      <c r="X413" s="491">
        <f t="shared" si="32"/>
        <v>70</v>
      </c>
      <c r="Y413" s="519" t="s">
        <v>5175</v>
      </c>
      <c r="Z413" s="518">
        <f t="shared" si="33"/>
        <v>70</v>
      </c>
      <c r="AA413" s="519" t="s">
        <v>5176</v>
      </c>
      <c r="AB413" s="518">
        <f t="shared" si="34"/>
        <v>25</v>
      </c>
      <c r="AC413" s="519" t="s">
        <v>5127</v>
      </c>
      <c r="AD413" s="518" t="s">
        <v>5164</v>
      </c>
      <c r="AE413" s="520" t="s">
        <v>5165</v>
      </c>
      <c r="AF413" s="504" t="s">
        <v>5166</v>
      </c>
      <c r="AG413" s="494" t="s">
        <v>2917</v>
      </c>
      <c r="AH413" s="494" t="s">
        <v>2917</v>
      </c>
      <c r="AI413" s="505"/>
      <c r="AJ413" s="505"/>
      <c r="AK413" s="521">
        <f>_xll.GetCtData("COAMOUNT","CONSAMOUNT",$B$1:$B$7,$B413,AK$9,"#")</f>
        <v>0</v>
      </c>
    </row>
    <row r="414" spans="2:37" ht="12" customHeight="1">
      <c r="B414" s="453" t="s">
        <v>5177</v>
      </c>
      <c r="C414" s="482" t="s">
        <v>2911</v>
      </c>
      <c r="D414" s="483">
        <v>44378</v>
      </c>
      <c r="E414" s="484" t="s">
        <v>2912</v>
      </c>
      <c r="F414" s="485">
        <v>3</v>
      </c>
      <c r="G414" s="482"/>
      <c r="H414" s="507"/>
      <c r="I414" s="507"/>
      <c r="J414" s="532" t="s">
        <v>5178</v>
      </c>
      <c r="K414" s="532"/>
      <c r="L414" s="532"/>
      <c r="M414" s="533"/>
      <c r="N414" s="534"/>
      <c r="O414" s="535">
        <v>6</v>
      </c>
      <c r="P414" s="536" t="s">
        <v>5179</v>
      </c>
      <c r="Q414" s="489">
        <v>34</v>
      </c>
      <c r="R414" s="536" t="s">
        <v>5179</v>
      </c>
      <c r="S414" s="535">
        <f t="shared" si="30"/>
        <v>34</v>
      </c>
      <c r="T414" s="536" t="s">
        <v>5180</v>
      </c>
      <c r="U414" s="535">
        <f t="shared" si="31"/>
        <v>23</v>
      </c>
      <c r="V414" s="537" t="s">
        <v>5124</v>
      </c>
      <c r="W414" s="537" t="s">
        <v>5181</v>
      </c>
      <c r="X414" s="491">
        <f t="shared" si="32"/>
        <v>49</v>
      </c>
      <c r="Y414" s="537" t="s">
        <v>5181</v>
      </c>
      <c r="Z414" s="535">
        <f t="shared" si="33"/>
        <v>49</v>
      </c>
      <c r="AA414" s="537" t="s">
        <v>5182</v>
      </c>
      <c r="AB414" s="535">
        <f t="shared" si="34"/>
        <v>15</v>
      </c>
      <c r="AC414" s="537" t="s">
        <v>5127</v>
      </c>
      <c r="AD414" s="535"/>
      <c r="AE414" s="538"/>
      <c r="AF414" s="504"/>
      <c r="AG414" s="494" t="s">
        <v>2917</v>
      </c>
      <c r="AH414" s="495" t="s">
        <v>2918</v>
      </c>
      <c r="AI414" s="505"/>
      <c r="AJ414" s="505"/>
      <c r="AK414" s="539">
        <f>_xll.GetCtData("COAMOUNT","CONSAMOUNT",$B$1:$B$7,$B414,AK$9,"#60459")</f>
        <v>60459</v>
      </c>
    </row>
    <row r="415" spans="2:37" ht="12" customHeight="1">
      <c r="B415" s="453" t="s">
        <v>858</v>
      </c>
      <c r="C415" s="482" t="s">
        <v>2929</v>
      </c>
      <c r="D415" s="483">
        <v>44403</v>
      </c>
      <c r="E415" s="484" t="s">
        <v>2930</v>
      </c>
      <c r="F415" s="485">
        <v>7</v>
      </c>
      <c r="G415" s="547"/>
      <c r="H415" s="547"/>
      <c r="I415" s="547"/>
      <c r="J415" s="547"/>
      <c r="K415" s="547"/>
      <c r="L415" s="547"/>
      <c r="M415" s="548"/>
      <c r="N415" s="517" t="s">
        <v>5183</v>
      </c>
      <c r="O415" s="518">
        <v>10</v>
      </c>
      <c r="P415" s="519" t="s">
        <v>817</v>
      </c>
      <c r="Q415" s="489">
        <v>34</v>
      </c>
      <c r="R415" s="519" t="s">
        <v>817</v>
      </c>
      <c r="S415" s="518">
        <f t="shared" si="30"/>
        <v>34</v>
      </c>
      <c r="T415" s="519" t="s">
        <v>5184</v>
      </c>
      <c r="U415" s="518">
        <f t="shared" si="31"/>
        <v>25</v>
      </c>
      <c r="V415" s="519" t="s">
        <v>5124</v>
      </c>
      <c r="W415" s="519" t="s">
        <v>5185</v>
      </c>
      <c r="X415" s="491">
        <f t="shared" si="32"/>
        <v>34</v>
      </c>
      <c r="Y415" s="519" t="s">
        <v>5185</v>
      </c>
      <c r="Z415" s="518">
        <f t="shared" si="33"/>
        <v>34</v>
      </c>
      <c r="AA415" s="519" t="s">
        <v>5186</v>
      </c>
      <c r="AB415" s="518">
        <f t="shared" si="34"/>
        <v>26</v>
      </c>
      <c r="AC415" s="519" t="s">
        <v>5127</v>
      </c>
      <c r="AD415" s="518" t="s">
        <v>5187</v>
      </c>
      <c r="AE415" s="520" t="s">
        <v>5188</v>
      </c>
      <c r="AF415" s="504" t="s">
        <v>5189</v>
      </c>
      <c r="AG415" s="494" t="s">
        <v>2917</v>
      </c>
      <c r="AH415" s="494" t="s">
        <v>2917</v>
      </c>
      <c r="AI415" s="505"/>
      <c r="AJ415" s="505" t="s">
        <v>5190</v>
      </c>
      <c r="AK415" s="521">
        <f>_xll.GetCtData("COAMOUNT","CONSAMOUNT",$B$1:$B$7,$B415,AK$9,"#")</f>
        <v>0</v>
      </c>
    </row>
    <row r="416" spans="2:37" ht="12" customHeight="1">
      <c r="B416" s="453" t="s">
        <v>859</v>
      </c>
      <c r="C416" s="482" t="s">
        <v>2929</v>
      </c>
      <c r="D416" s="483">
        <v>44403</v>
      </c>
      <c r="E416" s="484" t="s">
        <v>2930</v>
      </c>
      <c r="F416" s="485">
        <v>7</v>
      </c>
      <c r="G416" s="547"/>
      <c r="H416" s="547"/>
      <c r="I416" s="547"/>
      <c r="J416" s="547"/>
      <c r="K416" s="547"/>
      <c r="L416" s="547"/>
      <c r="M416" s="548"/>
      <c r="N416" s="517" t="s">
        <v>5191</v>
      </c>
      <c r="O416" s="518">
        <v>10</v>
      </c>
      <c r="P416" s="519" t="s">
        <v>5192</v>
      </c>
      <c r="Q416" s="489">
        <v>30</v>
      </c>
      <c r="R416" s="519" t="s">
        <v>818</v>
      </c>
      <c r="S416" s="518">
        <f t="shared" si="30"/>
        <v>23</v>
      </c>
      <c r="T416" s="519" t="s">
        <v>5193</v>
      </c>
      <c r="U416" s="518">
        <f t="shared" si="31"/>
        <v>17</v>
      </c>
      <c r="V416" s="519" t="s">
        <v>5124</v>
      </c>
      <c r="W416" s="519" t="s">
        <v>5194</v>
      </c>
      <c r="X416" s="491">
        <f t="shared" si="32"/>
        <v>31</v>
      </c>
      <c r="Y416" s="519" t="s">
        <v>5194</v>
      </c>
      <c r="Z416" s="518">
        <f t="shared" si="33"/>
        <v>31</v>
      </c>
      <c r="AA416" s="519" t="s">
        <v>5195</v>
      </c>
      <c r="AB416" s="518">
        <f t="shared" si="34"/>
        <v>18</v>
      </c>
      <c r="AC416" s="519" t="s">
        <v>5127</v>
      </c>
      <c r="AD416" s="518" t="s">
        <v>5187</v>
      </c>
      <c r="AE416" s="520" t="s">
        <v>5188</v>
      </c>
      <c r="AF416" s="504" t="s">
        <v>5189</v>
      </c>
      <c r="AG416" s="494" t="s">
        <v>2917</v>
      </c>
      <c r="AH416" s="494" t="s">
        <v>2917</v>
      </c>
      <c r="AI416" s="505"/>
      <c r="AJ416" s="505" t="s">
        <v>5190</v>
      </c>
      <c r="AK416" s="521">
        <f>_xll.GetCtData("COAMOUNT","CONSAMOUNT",$B$1:$B$7,$B416,AK$9,"#65275")</f>
        <v>65275</v>
      </c>
    </row>
    <row r="417" spans="2:37" ht="12" customHeight="1">
      <c r="B417" s="453" t="s">
        <v>860</v>
      </c>
      <c r="C417" s="482" t="s">
        <v>2929</v>
      </c>
      <c r="D417" s="483">
        <v>44403</v>
      </c>
      <c r="E417" s="484" t="s">
        <v>2930</v>
      </c>
      <c r="F417" s="485">
        <v>7</v>
      </c>
      <c r="G417" s="547"/>
      <c r="H417" s="547"/>
      <c r="I417" s="547"/>
      <c r="J417" s="547"/>
      <c r="K417" s="547"/>
      <c r="L417" s="547"/>
      <c r="M417" s="548"/>
      <c r="N417" s="517" t="s">
        <v>5196</v>
      </c>
      <c r="O417" s="518">
        <v>10</v>
      </c>
      <c r="P417" s="519" t="s">
        <v>819</v>
      </c>
      <c r="Q417" s="489">
        <v>22</v>
      </c>
      <c r="R417" s="519" t="s">
        <v>819</v>
      </c>
      <c r="S417" s="518">
        <f t="shared" si="30"/>
        <v>22</v>
      </c>
      <c r="T417" s="519" t="s">
        <v>5197</v>
      </c>
      <c r="U417" s="518">
        <f t="shared" si="31"/>
        <v>17</v>
      </c>
      <c r="V417" s="519" t="s">
        <v>5124</v>
      </c>
      <c r="W417" s="519" t="s">
        <v>5198</v>
      </c>
      <c r="X417" s="491">
        <f t="shared" si="32"/>
        <v>38</v>
      </c>
      <c r="Y417" s="519" t="s">
        <v>5198</v>
      </c>
      <c r="Z417" s="518">
        <f t="shared" si="33"/>
        <v>38</v>
      </c>
      <c r="AA417" s="519" t="s">
        <v>5199</v>
      </c>
      <c r="AB417" s="518">
        <f t="shared" si="34"/>
        <v>23</v>
      </c>
      <c r="AC417" s="519" t="s">
        <v>5127</v>
      </c>
      <c r="AD417" s="518" t="s">
        <v>5187</v>
      </c>
      <c r="AE417" s="520" t="s">
        <v>5188</v>
      </c>
      <c r="AF417" s="504" t="s">
        <v>5189</v>
      </c>
      <c r="AG417" s="494" t="s">
        <v>2917</v>
      </c>
      <c r="AH417" s="494" t="s">
        <v>2917</v>
      </c>
      <c r="AI417" s="505"/>
      <c r="AJ417" s="505" t="s">
        <v>5190</v>
      </c>
      <c r="AK417" s="521">
        <f>_xll.GetCtData("COAMOUNT","CONSAMOUNT",$B$1:$B$7,$B417,AK$9,"#")</f>
        <v>0</v>
      </c>
    </row>
    <row r="418" spans="2:37" ht="12" customHeight="1">
      <c r="B418" s="453" t="s">
        <v>861</v>
      </c>
      <c r="C418" s="482" t="s">
        <v>2929</v>
      </c>
      <c r="D418" s="483">
        <v>44403</v>
      </c>
      <c r="E418" s="484" t="s">
        <v>2930</v>
      </c>
      <c r="F418" s="485">
        <v>7</v>
      </c>
      <c r="G418" s="547"/>
      <c r="H418" s="547"/>
      <c r="I418" s="547"/>
      <c r="J418" s="547"/>
      <c r="K418" s="547"/>
      <c r="L418" s="547"/>
      <c r="M418" s="548"/>
      <c r="N418" s="517" t="s">
        <v>5200</v>
      </c>
      <c r="O418" s="518">
        <v>10</v>
      </c>
      <c r="P418" s="519" t="s">
        <v>820</v>
      </c>
      <c r="Q418" s="489">
        <v>20</v>
      </c>
      <c r="R418" s="519" t="s">
        <v>820</v>
      </c>
      <c r="S418" s="518">
        <f t="shared" si="30"/>
        <v>20</v>
      </c>
      <c r="T418" s="519" t="s">
        <v>5201</v>
      </c>
      <c r="U418" s="518">
        <f t="shared" si="31"/>
        <v>15</v>
      </c>
      <c r="V418" s="519" t="s">
        <v>5124</v>
      </c>
      <c r="W418" s="519" t="s">
        <v>5202</v>
      </c>
      <c r="X418" s="491">
        <f t="shared" si="32"/>
        <v>33</v>
      </c>
      <c r="Y418" s="519" t="s">
        <v>5202</v>
      </c>
      <c r="Z418" s="518">
        <f t="shared" si="33"/>
        <v>33</v>
      </c>
      <c r="AA418" s="519" t="s">
        <v>5203</v>
      </c>
      <c r="AB418" s="518">
        <f t="shared" si="34"/>
        <v>20</v>
      </c>
      <c r="AC418" s="519" t="s">
        <v>5127</v>
      </c>
      <c r="AD418" s="518" t="s">
        <v>5187</v>
      </c>
      <c r="AE418" s="520" t="s">
        <v>5188</v>
      </c>
      <c r="AF418" s="504" t="s">
        <v>5189</v>
      </c>
      <c r="AG418" s="494" t="s">
        <v>2917</v>
      </c>
      <c r="AH418" s="494" t="s">
        <v>2917</v>
      </c>
      <c r="AI418" s="505"/>
      <c r="AJ418" s="505" t="s">
        <v>5190</v>
      </c>
      <c r="AK418" s="521">
        <f>_xll.GetCtData("COAMOUNT","CONSAMOUNT",$B$1:$B$7,$B418,AK$9,"#-4816")</f>
        <v>-4816</v>
      </c>
    </row>
    <row r="419" spans="2:37" ht="12" customHeight="1">
      <c r="B419" s="453" t="s">
        <v>5204</v>
      </c>
      <c r="C419" s="482" t="s">
        <v>2911</v>
      </c>
      <c r="D419" s="483">
        <v>44378</v>
      </c>
      <c r="E419" s="484" t="s">
        <v>2912</v>
      </c>
      <c r="F419" s="485">
        <v>3</v>
      </c>
      <c r="G419" s="482"/>
      <c r="H419" s="507"/>
      <c r="I419" s="507"/>
      <c r="J419" s="532" t="s">
        <v>5205</v>
      </c>
      <c r="K419" s="532"/>
      <c r="L419" s="532"/>
      <c r="M419" s="533"/>
      <c r="N419" s="534"/>
      <c r="O419" s="535">
        <v>6</v>
      </c>
      <c r="P419" s="536" t="s">
        <v>5206</v>
      </c>
      <c r="Q419" s="489">
        <v>37</v>
      </c>
      <c r="R419" s="536" t="s">
        <v>5206</v>
      </c>
      <c r="S419" s="535">
        <f t="shared" si="30"/>
        <v>37</v>
      </c>
      <c r="T419" s="536" t="s">
        <v>5207</v>
      </c>
      <c r="U419" s="535">
        <f t="shared" si="31"/>
        <v>26</v>
      </c>
      <c r="V419" s="537" t="s">
        <v>5124</v>
      </c>
      <c r="W419" s="537" t="s">
        <v>5208</v>
      </c>
      <c r="X419" s="491">
        <f t="shared" si="32"/>
        <v>52</v>
      </c>
      <c r="Y419" s="537" t="s">
        <v>5208</v>
      </c>
      <c r="Z419" s="535">
        <f t="shared" si="33"/>
        <v>52</v>
      </c>
      <c r="AA419" s="537" t="s">
        <v>5209</v>
      </c>
      <c r="AB419" s="535">
        <f t="shared" si="34"/>
        <v>17</v>
      </c>
      <c r="AC419" s="537" t="s">
        <v>5127</v>
      </c>
      <c r="AD419" s="535"/>
      <c r="AE419" s="538"/>
      <c r="AF419" s="504"/>
      <c r="AG419" s="494" t="s">
        <v>2917</v>
      </c>
      <c r="AH419" s="495" t="s">
        <v>2918</v>
      </c>
      <c r="AI419" s="505"/>
      <c r="AJ419" s="505"/>
      <c r="AK419" s="539">
        <f>_xll.GetCtData("COAMOUNT","CONSAMOUNT",$B$1:$B$7,$B419,AK$9,"#")</f>
        <v>0</v>
      </c>
    </row>
    <row r="420" spans="2:37" ht="12" customHeight="1">
      <c r="B420" s="453" t="s">
        <v>862</v>
      </c>
      <c r="C420" s="482" t="s">
        <v>2929</v>
      </c>
      <c r="D420" s="483">
        <v>44403</v>
      </c>
      <c r="E420" s="484" t="s">
        <v>2930</v>
      </c>
      <c r="F420" s="485">
        <v>7</v>
      </c>
      <c r="G420" s="547"/>
      <c r="H420" s="547"/>
      <c r="I420" s="547"/>
      <c r="J420" s="547"/>
      <c r="K420" s="547"/>
      <c r="L420" s="547"/>
      <c r="M420" s="548"/>
      <c r="N420" s="517" t="s">
        <v>5210</v>
      </c>
      <c r="O420" s="518">
        <v>10</v>
      </c>
      <c r="P420" s="519" t="s">
        <v>821</v>
      </c>
      <c r="Q420" s="489">
        <v>37</v>
      </c>
      <c r="R420" s="519" t="s">
        <v>821</v>
      </c>
      <c r="S420" s="518">
        <f t="shared" si="30"/>
        <v>37</v>
      </c>
      <c r="T420" s="519" t="s">
        <v>5211</v>
      </c>
      <c r="U420" s="518">
        <f t="shared" si="31"/>
        <v>28</v>
      </c>
      <c r="V420" s="519" t="s">
        <v>5124</v>
      </c>
      <c r="W420" s="519" t="s">
        <v>5212</v>
      </c>
      <c r="X420" s="491">
        <f t="shared" si="32"/>
        <v>37</v>
      </c>
      <c r="Y420" s="519" t="s">
        <v>5212</v>
      </c>
      <c r="Z420" s="518">
        <f t="shared" si="33"/>
        <v>37</v>
      </c>
      <c r="AA420" s="519" t="s">
        <v>5213</v>
      </c>
      <c r="AB420" s="518">
        <f t="shared" si="34"/>
        <v>29</v>
      </c>
      <c r="AC420" s="519" t="s">
        <v>5127</v>
      </c>
      <c r="AD420" s="518" t="s">
        <v>5138</v>
      </c>
      <c r="AE420" s="520" t="s">
        <v>5139</v>
      </c>
      <c r="AF420" s="504" t="s">
        <v>2939</v>
      </c>
      <c r="AG420" s="494" t="s">
        <v>2917</v>
      </c>
      <c r="AH420" s="494" t="s">
        <v>2917</v>
      </c>
      <c r="AI420" s="505"/>
      <c r="AJ420" s="505"/>
      <c r="AK420" s="521">
        <f>_xll.GetCtData("COAMOUNT","CONSAMOUNT",$B$1:$B$7,$B420,AK$9,"#")</f>
        <v>0</v>
      </c>
    </row>
    <row r="421" spans="2:37" ht="12" customHeight="1">
      <c r="B421" s="453" t="s">
        <v>863</v>
      </c>
      <c r="C421" s="482" t="s">
        <v>2929</v>
      </c>
      <c r="D421" s="483">
        <v>44403</v>
      </c>
      <c r="E421" s="484" t="s">
        <v>2930</v>
      </c>
      <c r="F421" s="485">
        <v>7</v>
      </c>
      <c r="G421" s="547"/>
      <c r="H421" s="547"/>
      <c r="I421" s="547"/>
      <c r="J421" s="547"/>
      <c r="K421" s="547"/>
      <c r="L421" s="547"/>
      <c r="M421" s="548"/>
      <c r="N421" s="517" t="s">
        <v>5214</v>
      </c>
      <c r="O421" s="518">
        <v>10</v>
      </c>
      <c r="P421" s="519" t="s">
        <v>5215</v>
      </c>
      <c r="Q421" s="489">
        <v>33</v>
      </c>
      <c r="R421" s="519" t="s">
        <v>822</v>
      </c>
      <c r="S421" s="518">
        <f t="shared" si="30"/>
        <v>26</v>
      </c>
      <c r="T421" s="519" t="s">
        <v>5216</v>
      </c>
      <c r="U421" s="518">
        <f t="shared" si="31"/>
        <v>20</v>
      </c>
      <c r="V421" s="519" t="s">
        <v>5124</v>
      </c>
      <c r="W421" s="519" t="s">
        <v>5217</v>
      </c>
      <c r="X421" s="491">
        <f t="shared" si="32"/>
        <v>34</v>
      </c>
      <c r="Y421" s="519" t="s">
        <v>5217</v>
      </c>
      <c r="Z421" s="518">
        <f t="shared" si="33"/>
        <v>34</v>
      </c>
      <c r="AA421" s="519" t="s">
        <v>5218</v>
      </c>
      <c r="AB421" s="518">
        <f t="shared" si="34"/>
        <v>21</v>
      </c>
      <c r="AC421" s="519" t="s">
        <v>5127</v>
      </c>
      <c r="AD421" s="518" t="s">
        <v>5138</v>
      </c>
      <c r="AE421" s="520" t="s">
        <v>5139</v>
      </c>
      <c r="AF421" s="504" t="s">
        <v>2939</v>
      </c>
      <c r="AG421" s="494" t="s">
        <v>2917</v>
      </c>
      <c r="AH421" s="494" t="s">
        <v>2917</v>
      </c>
      <c r="AI421" s="505"/>
      <c r="AJ421" s="505"/>
      <c r="AK421" s="521">
        <f>_xll.GetCtData("COAMOUNT","CONSAMOUNT",$B$1:$B$7,$B421,AK$9,"#")</f>
        <v>0</v>
      </c>
    </row>
    <row r="422" spans="2:37" ht="12" customHeight="1">
      <c r="B422" s="453" t="s">
        <v>864</v>
      </c>
      <c r="C422" s="482" t="s">
        <v>2929</v>
      </c>
      <c r="D422" s="483">
        <v>44403</v>
      </c>
      <c r="E422" s="484" t="s">
        <v>2930</v>
      </c>
      <c r="F422" s="485">
        <v>7</v>
      </c>
      <c r="G422" s="547"/>
      <c r="H422" s="547"/>
      <c r="I422" s="547"/>
      <c r="J422" s="547"/>
      <c r="K422" s="547"/>
      <c r="L422" s="547"/>
      <c r="M422" s="548"/>
      <c r="N422" s="517" t="s">
        <v>5219</v>
      </c>
      <c r="O422" s="518">
        <v>10</v>
      </c>
      <c r="P422" s="519" t="s">
        <v>823</v>
      </c>
      <c r="Q422" s="489">
        <v>25</v>
      </c>
      <c r="R422" s="519" t="s">
        <v>823</v>
      </c>
      <c r="S422" s="518">
        <f t="shared" si="30"/>
        <v>25</v>
      </c>
      <c r="T422" s="519" t="s">
        <v>5220</v>
      </c>
      <c r="U422" s="518">
        <f t="shared" si="31"/>
        <v>20</v>
      </c>
      <c r="V422" s="519" t="s">
        <v>5124</v>
      </c>
      <c r="W422" s="519" t="s">
        <v>5221</v>
      </c>
      <c r="X422" s="491">
        <f t="shared" si="32"/>
        <v>41</v>
      </c>
      <c r="Y422" s="519" t="s">
        <v>5221</v>
      </c>
      <c r="Z422" s="518">
        <f t="shared" si="33"/>
        <v>41</v>
      </c>
      <c r="AA422" s="519" t="s">
        <v>5222</v>
      </c>
      <c r="AB422" s="518">
        <f t="shared" si="34"/>
        <v>26</v>
      </c>
      <c r="AC422" s="519" t="s">
        <v>5127</v>
      </c>
      <c r="AD422" s="518" t="s">
        <v>5138</v>
      </c>
      <c r="AE422" s="520" t="s">
        <v>5139</v>
      </c>
      <c r="AF422" s="504" t="s">
        <v>2939</v>
      </c>
      <c r="AG422" s="494" t="s">
        <v>2917</v>
      </c>
      <c r="AH422" s="494" t="s">
        <v>2917</v>
      </c>
      <c r="AI422" s="505"/>
      <c r="AJ422" s="505"/>
      <c r="AK422" s="521">
        <f>_xll.GetCtData("COAMOUNT","CONSAMOUNT",$B$1:$B$7,$B422,AK$9,"#")</f>
        <v>0</v>
      </c>
    </row>
    <row r="423" spans="2:37" ht="12" customHeight="1">
      <c r="B423" s="453" t="s">
        <v>865</v>
      </c>
      <c r="C423" s="482" t="s">
        <v>2929</v>
      </c>
      <c r="D423" s="483">
        <v>44403</v>
      </c>
      <c r="E423" s="484" t="s">
        <v>2930</v>
      </c>
      <c r="F423" s="485">
        <v>7</v>
      </c>
      <c r="G423" s="547"/>
      <c r="H423" s="547"/>
      <c r="I423" s="547"/>
      <c r="J423" s="547"/>
      <c r="K423" s="547"/>
      <c r="L423" s="547"/>
      <c r="M423" s="548"/>
      <c r="N423" s="517" t="s">
        <v>5223</v>
      </c>
      <c r="O423" s="518">
        <v>10</v>
      </c>
      <c r="P423" s="519" t="s">
        <v>824</v>
      </c>
      <c r="Q423" s="489">
        <v>23</v>
      </c>
      <c r="R423" s="519" t="s">
        <v>824</v>
      </c>
      <c r="S423" s="518">
        <f t="shared" si="30"/>
        <v>23</v>
      </c>
      <c r="T423" s="519" t="s">
        <v>5224</v>
      </c>
      <c r="U423" s="518">
        <f t="shared" si="31"/>
        <v>18</v>
      </c>
      <c r="V423" s="519" t="s">
        <v>5124</v>
      </c>
      <c r="W423" s="519" t="s">
        <v>5225</v>
      </c>
      <c r="X423" s="491">
        <f t="shared" si="32"/>
        <v>36</v>
      </c>
      <c r="Y423" s="519" t="s">
        <v>5225</v>
      </c>
      <c r="Z423" s="518">
        <f t="shared" si="33"/>
        <v>36</v>
      </c>
      <c r="AA423" s="519" t="s">
        <v>5226</v>
      </c>
      <c r="AB423" s="518">
        <f t="shared" si="34"/>
        <v>23</v>
      </c>
      <c r="AC423" s="519" t="s">
        <v>5127</v>
      </c>
      <c r="AD423" s="518" t="s">
        <v>5138</v>
      </c>
      <c r="AE423" s="520" t="s">
        <v>5139</v>
      </c>
      <c r="AF423" s="504" t="s">
        <v>2939</v>
      </c>
      <c r="AG423" s="494" t="s">
        <v>2917</v>
      </c>
      <c r="AH423" s="494" t="s">
        <v>2917</v>
      </c>
      <c r="AI423" s="505"/>
      <c r="AJ423" s="505"/>
      <c r="AK423" s="521">
        <f>_xll.GetCtData("COAMOUNT","CONSAMOUNT",$B$1:$B$7,$B423,AK$9,"#")</f>
        <v>0</v>
      </c>
    </row>
    <row r="424" spans="2:37" ht="12" customHeight="1">
      <c r="B424" s="453" t="s">
        <v>5227</v>
      </c>
      <c r="C424" s="482" t="s">
        <v>2911</v>
      </c>
      <c r="D424" s="483">
        <v>44378</v>
      </c>
      <c r="E424" s="484" t="s">
        <v>2912</v>
      </c>
      <c r="F424" s="485">
        <v>3</v>
      </c>
      <c r="G424" s="482"/>
      <c r="H424" s="507"/>
      <c r="I424" s="507"/>
      <c r="J424" s="532" t="s">
        <v>5228</v>
      </c>
      <c r="K424" s="532"/>
      <c r="L424" s="532"/>
      <c r="M424" s="533"/>
      <c r="N424" s="534"/>
      <c r="O424" s="535">
        <v>6</v>
      </c>
      <c r="P424" s="536" t="s">
        <v>5229</v>
      </c>
      <c r="Q424" s="489">
        <v>32</v>
      </c>
      <c r="R424" s="536" t="s">
        <v>5229</v>
      </c>
      <c r="S424" s="535">
        <f t="shared" si="30"/>
        <v>32</v>
      </c>
      <c r="T424" s="536" t="s">
        <v>5230</v>
      </c>
      <c r="U424" s="535">
        <f t="shared" si="31"/>
        <v>26</v>
      </c>
      <c r="V424" s="537" t="s">
        <v>5124</v>
      </c>
      <c r="W424" s="537" t="s">
        <v>5231</v>
      </c>
      <c r="X424" s="491">
        <f t="shared" si="32"/>
        <v>48</v>
      </c>
      <c r="Y424" s="537" t="s">
        <v>5231</v>
      </c>
      <c r="Z424" s="535">
        <f t="shared" si="33"/>
        <v>48</v>
      </c>
      <c r="AA424" s="537" t="s">
        <v>5232</v>
      </c>
      <c r="AB424" s="535">
        <f t="shared" si="34"/>
        <v>14</v>
      </c>
      <c r="AC424" s="537" t="s">
        <v>5127</v>
      </c>
      <c r="AD424" s="535"/>
      <c r="AE424" s="538"/>
      <c r="AF424" s="504"/>
      <c r="AG424" s="494" t="s">
        <v>2917</v>
      </c>
      <c r="AH424" s="495" t="s">
        <v>2918</v>
      </c>
      <c r="AI424" s="505"/>
      <c r="AJ424" s="505"/>
      <c r="AK424" s="539">
        <f>_xll.GetCtData("COAMOUNT","CONSAMOUNT",$B$1:$B$7,$B424,AK$9,"#501265")</f>
        <v>501265</v>
      </c>
    </row>
    <row r="425" spans="2:37" ht="12" customHeight="1">
      <c r="B425" s="453" t="s">
        <v>866</v>
      </c>
      <c r="C425" s="482" t="s">
        <v>2929</v>
      </c>
      <c r="D425" s="483">
        <v>44403</v>
      </c>
      <c r="E425" s="484" t="s">
        <v>2930</v>
      </c>
      <c r="F425" s="485">
        <v>7</v>
      </c>
      <c r="G425" s="547"/>
      <c r="H425" s="547"/>
      <c r="I425" s="547"/>
      <c r="J425" s="547"/>
      <c r="K425" s="547"/>
      <c r="L425" s="547"/>
      <c r="M425" s="548"/>
      <c r="N425" s="517" t="s">
        <v>5233</v>
      </c>
      <c r="O425" s="518">
        <v>10</v>
      </c>
      <c r="P425" s="519" t="s">
        <v>825</v>
      </c>
      <c r="Q425" s="489">
        <v>20</v>
      </c>
      <c r="R425" s="519" t="s">
        <v>825</v>
      </c>
      <c r="S425" s="518">
        <f t="shared" si="30"/>
        <v>20</v>
      </c>
      <c r="T425" s="519" t="s">
        <v>5234</v>
      </c>
      <c r="U425" s="518">
        <f t="shared" si="31"/>
        <v>15</v>
      </c>
      <c r="V425" s="519" t="s">
        <v>5124</v>
      </c>
      <c r="W425" s="519" t="s">
        <v>5235</v>
      </c>
      <c r="X425" s="491">
        <f t="shared" si="32"/>
        <v>24</v>
      </c>
      <c r="Y425" s="519" t="s">
        <v>5235</v>
      </c>
      <c r="Z425" s="518">
        <f t="shared" si="33"/>
        <v>24</v>
      </c>
      <c r="AA425" s="519" t="s">
        <v>5236</v>
      </c>
      <c r="AB425" s="518">
        <f t="shared" si="34"/>
        <v>20</v>
      </c>
      <c r="AC425" s="519" t="s">
        <v>5127</v>
      </c>
      <c r="AD425" s="518" t="s">
        <v>5237</v>
      </c>
      <c r="AE425" s="520" t="s">
        <v>5238</v>
      </c>
      <c r="AF425" s="504" t="s">
        <v>2939</v>
      </c>
      <c r="AG425" s="494" t="s">
        <v>2917</v>
      </c>
      <c r="AH425" s="494" t="s">
        <v>2917</v>
      </c>
      <c r="AI425" s="505"/>
      <c r="AJ425" s="505"/>
      <c r="AK425" s="521">
        <f>_xll.GetCtData("COAMOUNT","CONSAMOUNT",$B$1:$B$7,$B425,AK$9,"#415774")</f>
        <v>415774</v>
      </c>
    </row>
    <row r="426" spans="2:37" ht="12" customHeight="1">
      <c r="B426" s="453" t="s">
        <v>867</v>
      </c>
      <c r="C426" s="482" t="s">
        <v>2929</v>
      </c>
      <c r="D426" s="483">
        <v>44403</v>
      </c>
      <c r="E426" s="484" t="s">
        <v>2930</v>
      </c>
      <c r="F426" s="485">
        <v>7</v>
      </c>
      <c r="G426" s="547"/>
      <c r="H426" s="547"/>
      <c r="I426" s="547"/>
      <c r="J426" s="547"/>
      <c r="K426" s="547"/>
      <c r="L426" s="547"/>
      <c r="M426" s="548"/>
      <c r="N426" s="517" t="s">
        <v>5239</v>
      </c>
      <c r="O426" s="518">
        <v>10</v>
      </c>
      <c r="P426" s="519" t="s">
        <v>5240</v>
      </c>
      <c r="Q426" s="489">
        <v>28</v>
      </c>
      <c r="R426" s="519" t="s">
        <v>826</v>
      </c>
      <c r="S426" s="518">
        <f t="shared" si="30"/>
        <v>21</v>
      </c>
      <c r="T426" s="519" t="s">
        <v>5241</v>
      </c>
      <c r="U426" s="518">
        <f t="shared" si="31"/>
        <v>15</v>
      </c>
      <c r="V426" s="519" t="s">
        <v>5124</v>
      </c>
      <c r="W426" s="519" t="s">
        <v>5242</v>
      </c>
      <c r="X426" s="491">
        <f t="shared" si="32"/>
        <v>30</v>
      </c>
      <c r="Y426" s="519" t="s">
        <v>5242</v>
      </c>
      <c r="Z426" s="518">
        <f t="shared" si="33"/>
        <v>30</v>
      </c>
      <c r="AA426" s="519" t="s">
        <v>5243</v>
      </c>
      <c r="AB426" s="518">
        <f t="shared" si="34"/>
        <v>17</v>
      </c>
      <c r="AC426" s="519" t="s">
        <v>5127</v>
      </c>
      <c r="AD426" s="518" t="s">
        <v>5237</v>
      </c>
      <c r="AE426" s="520" t="s">
        <v>5238</v>
      </c>
      <c r="AF426" s="504" t="s">
        <v>2939</v>
      </c>
      <c r="AG426" s="494" t="s">
        <v>2917</v>
      </c>
      <c r="AH426" s="494" t="s">
        <v>2917</v>
      </c>
      <c r="AI426" s="505"/>
      <c r="AJ426" s="505"/>
      <c r="AK426" s="521">
        <f>_xll.GetCtData("COAMOUNT","CONSAMOUNT",$B$1:$B$7,$B426,AK$9,"#76742")</f>
        <v>76742</v>
      </c>
    </row>
    <row r="427" spans="2:37" ht="12" customHeight="1">
      <c r="B427" s="453" t="s">
        <v>868</v>
      </c>
      <c r="C427" s="482" t="s">
        <v>2929</v>
      </c>
      <c r="D427" s="483">
        <v>44403</v>
      </c>
      <c r="E427" s="484" t="s">
        <v>2930</v>
      </c>
      <c r="F427" s="485">
        <v>7</v>
      </c>
      <c r="G427" s="547"/>
      <c r="H427" s="547"/>
      <c r="I427" s="547"/>
      <c r="J427" s="547"/>
      <c r="K427" s="547"/>
      <c r="L427" s="547"/>
      <c r="M427" s="548"/>
      <c r="N427" s="517" t="s">
        <v>5244</v>
      </c>
      <c r="O427" s="518">
        <v>10</v>
      </c>
      <c r="P427" s="519" t="s">
        <v>827</v>
      </c>
      <c r="Q427" s="489">
        <v>18</v>
      </c>
      <c r="R427" s="519" t="s">
        <v>827</v>
      </c>
      <c r="S427" s="518">
        <f t="shared" si="30"/>
        <v>18</v>
      </c>
      <c r="T427" s="519" t="s">
        <v>5245</v>
      </c>
      <c r="U427" s="518">
        <f t="shared" si="31"/>
        <v>13</v>
      </c>
      <c r="V427" s="519" t="s">
        <v>5124</v>
      </c>
      <c r="W427" s="519" t="s">
        <v>5246</v>
      </c>
      <c r="X427" s="491">
        <f t="shared" si="32"/>
        <v>32</v>
      </c>
      <c r="Y427" s="519" t="s">
        <v>5246</v>
      </c>
      <c r="Z427" s="518">
        <f t="shared" si="33"/>
        <v>32</v>
      </c>
      <c r="AA427" s="519" t="s">
        <v>5247</v>
      </c>
      <c r="AB427" s="518">
        <f t="shared" si="34"/>
        <v>19</v>
      </c>
      <c r="AC427" s="519" t="s">
        <v>5127</v>
      </c>
      <c r="AD427" s="518" t="s">
        <v>5237</v>
      </c>
      <c r="AE427" s="520" t="s">
        <v>5238</v>
      </c>
      <c r="AF427" s="504" t="s">
        <v>2939</v>
      </c>
      <c r="AG427" s="494" t="s">
        <v>2917</v>
      </c>
      <c r="AH427" s="494" t="s">
        <v>2917</v>
      </c>
      <c r="AI427" s="505"/>
      <c r="AJ427" s="505"/>
      <c r="AK427" s="521">
        <f>_xll.GetCtData("COAMOUNT","CONSAMOUNT",$B$1:$B$7,$B427,AK$9,"#8749")</f>
        <v>8749</v>
      </c>
    </row>
    <row r="428" spans="2:37" ht="12" customHeight="1">
      <c r="B428" s="453" t="s">
        <v>5248</v>
      </c>
      <c r="C428" s="482" t="s">
        <v>2911</v>
      </c>
      <c r="D428" s="483">
        <v>44378</v>
      </c>
      <c r="E428" s="484" t="s">
        <v>2912</v>
      </c>
      <c r="F428" s="485">
        <v>3</v>
      </c>
      <c r="G428" s="482"/>
      <c r="H428" s="507"/>
      <c r="I428" s="507"/>
      <c r="J428" s="532" t="s">
        <v>5249</v>
      </c>
      <c r="K428" s="532"/>
      <c r="L428" s="532"/>
      <c r="M428" s="533"/>
      <c r="N428" s="534"/>
      <c r="O428" s="535">
        <v>6</v>
      </c>
      <c r="P428" s="536" t="s">
        <v>5250</v>
      </c>
      <c r="Q428" s="489">
        <v>34</v>
      </c>
      <c r="R428" s="536" t="s">
        <v>5250</v>
      </c>
      <c r="S428" s="535">
        <f t="shared" si="30"/>
        <v>34</v>
      </c>
      <c r="T428" s="536" t="s">
        <v>5251</v>
      </c>
      <c r="U428" s="535">
        <f t="shared" si="31"/>
        <v>23</v>
      </c>
      <c r="V428" s="537" t="s">
        <v>5124</v>
      </c>
      <c r="W428" s="537" t="s">
        <v>5252</v>
      </c>
      <c r="X428" s="491">
        <f t="shared" si="32"/>
        <v>50</v>
      </c>
      <c r="Y428" s="537" t="s">
        <v>5252</v>
      </c>
      <c r="Z428" s="535">
        <f t="shared" si="33"/>
        <v>50</v>
      </c>
      <c r="AA428" s="537" t="s">
        <v>5253</v>
      </c>
      <c r="AB428" s="535">
        <f t="shared" si="34"/>
        <v>16</v>
      </c>
      <c r="AC428" s="537" t="s">
        <v>5127</v>
      </c>
      <c r="AD428" s="535"/>
      <c r="AE428" s="538"/>
      <c r="AF428" s="504"/>
      <c r="AG428" s="494" t="s">
        <v>2917</v>
      </c>
      <c r="AH428" s="495" t="s">
        <v>2918</v>
      </c>
      <c r="AI428" s="505"/>
      <c r="AJ428" s="505"/>
      <c r="AK428" s="539">
        <f>_xll.GetCtData("COAMOUNT","CONSAMOUNT",$B$1:$B$7,$B428,AK$9,"#131977")</f>
        <v>131977</v>
      </c>
    </row>
    <row r="429" spans="2:37" ht="12" customHeight="1">
      <c r="B429" s="453" t="s">
        <v>869</v>
      </c>
      <c r="C429" s="482" t="s">
        <v>2929</v>
      </c>
      <c r="D429" s="483">
        <v>44403</v>
      </c>
      <c r="E429" s="484" t="s">
        <v>2930</v>
      </c>
      <c r="F429" s="485">
        <v>7</v>
      </c>
      <c r="G429" s="547"/>
      <c r="H429" s="547"/>
      <c r="I429" s="547"/>
      <c r="J429" s="547"/>
      <c r="K429" s="547"/>
      <c r="L429" s="547"/>
      <c r="M429" s="548"/>
      <c r="N429" s="517" t="s">
        <v>5254</v>
      </c>
      <c r="O429" s="518">
        <v>10</v>
      </c>
      <c r="P429" s="519" t="s">
        <v>828</v>
      </c>
      <c r="Q429" s="489">
        <v>22</v>
      </c>
      <c r="R429" s="519" t="s">
        <v>828</v>
      </c>
      <c r="S429" s="518">
        <f t="shared" si="30"/>
        <v>22</v>
      </c>
      <c r="T429" s="519" t="s">
        <v>5255</v>
      </c>
      <c r="U429" s="518">
        <f t="shared" si="31"/>
        <v>17</v>
      </c>
      <c r="V429" s="519" t="s">
        <v>5124</v>
      </c>
      <c r="W429" s="519" t="s">
        <v>5256</v>
      </c>
      <c r="X429" s="491">
        <f t="shared" si="32"/>
        <v>26</v>
      </c>
      <c r="Y429" s="519" t="s">
        <v>5256</v>
      </c>
      <c r="Z429" s="518">
        <f t="shared" si="33"/>
        <v>26</v>
      </c>
      <c r="AA429" s="519" t="s">
        <v>5257</v>
      </c>
      <c r="AB429" s="518">
        <f t="shared" si="34"/>
        <v>22</v>
      </c>
      <c r="AC429" s="519" t="s">
        <v>5127</v>
      </c>
      <c r="AD429" s="518" t="s">
        <v>5237</v>
      </c>
      <c r="AE429" s="520" t="s">
        <v>5238</v>
      </c>
      <c r="AF429" s="504" t="s">
        <v>2939</v>
      </c>
      <c r="AG429" s="494" t="s">
        <v>2917</v>
      </c>
      <c r="AH429" s="494" t="s">
        <v>2917</v>
      </c>
      <c r="AI429" s="505"/>
      <c r="AJ429" s="505"/>
      <c r="AK429" s="521">
        <f>_xll.GetCtData("COAMOUNT","CONSAMOUNT",$B$1:$B$7,$B429,AK$9,"#205501")</f>
        <v>205501</v>
      </c>
    </row>
    <row r="430" spans="2:37" ht="12" customHeight="1">
      <c r="B430" s="453" t="s">
        <v>870</v>
      </c>
      <c r="C430" s="482" t="s">
        <v>2929</v>
      </c>
      <c r="D430" s="483">
        <v>44403</v>
      </c>
      <c r="E430" s="484" t="s">
        <v>2930</v>
      </c>
      <c r="F430" s="485">
        <v>7</v>
      </c>
      <c r="G430" s="547"/>
      <c r="H430" s="547"/>
      <c r="I430" s="547"/>
      <c r="J430" s="547"/>
      <c r="K430" s="547"/>
      <c r="L430" s="547"/>
      <c r="M430" s="548"/>
      <c r="N430" s="517" t="s">
        <v>5258</v>
      </c>
      <c r="O430" s="518">
        <v>10</v>
      </c>
      <c r="P430" s="519" t="s">
        <v>5259</v>
      </c>
      <c r="Q430" s="489">
        <v>30</v>
      </c>
      <c r="R430" s="519" t="s">
        <v>829</v>
      </c>
      <c r="S430" s="518">
        <f t="shared" si="30"/>
        <v>23</v>
      </c>
      <c r="T430" s="519" t="s">
        <v>5260</v>
      </c>
      <c r="U430" s="518">
        <f t="shared" si="31"/>
        <v>17</v>
      </c>
      <c r="V430" s="519" t="s">
        <v>5124</v>
      </c>
      <c r="W430" s="519" t="s">
        <v>5261</v>
      </c>
      <c r="X430" s="491">
        <f t="shared" si="32"/>
        <v>32</v>
      </c>
      <c r="Y430" s="519" t="s">
        <v>5261</v>
      </c>
      <c r="Z430" s="518">
        <f t="shared" si="33"/>
        <v>32</v>
      </c>
      <c r="AA430" s="519" t="s">
        <v>5262</v>
      </c>
      <c r="AB430" s="518">
        <f t="shared" si="34"/>
        <v>19</v>
      </c>
      <c r="AC430" s="519" t="s">
        <v>5127</v>
      </c>
      <c r="AD430" s="518" t="s">
        <v>5237</v>
      </c>
      <c r="AE430" s="520" t="s">
        <v>5238</v>
      </c>
      <c r="AF430" s="504" t="s">
        <v>2939</v>
      </c>
      <c r="AG430" s="494" t="s">
        <v>2917</v>
      </c>
      <c r="AH430" s="494" t="s">
        <v>2917</v>
      </c>
      <c r="AI430" s="505"/>
      <c r="AJ430" s="505"/>
      <c r="AK430" s="521">
        <f>_xll.GetCtData("COAMOUNT","CONSAMOUNT",$B$1:$B$7,$B430,AK$9,"#-73524")</f>
        <v>-73524</v>
      </c>
    </row>
    <row r="431" spans="2:37" ht="12" customHeight="1">
      <c r="B431" s="453" t="s">
        <v>871</v>
      </c>
      <c r="C431" s="482" t="s">
        <v>2929</v>
      </c>
      <c r="D431" s="483">
        <v>44403</v>
      </c>
      <c r="E431" s="484" t="s">
        <v>2930</v>
      </c>
      <c r="F431" s="485">
        <v>7</v>
      </c>
      <c r="G431" s="547"/>
      <c r="H431" s="547"/>
      <c r="I431" s="547"/>
      <c r="J431" s="547"/>
      <c r="K431" s="547"/>
      <c r="L431" s="547"/>
      <c r="M431" s="548"/>
      <c r="N431" s="517" t="s">
        <v>5263</v>
      </c>
      <c r="O431" s="518">
        <v>10</v>
      </c>
      <c r="P431" s="519" t="s">
        <v>830</v>
      </c>
      <c r="Q431" s="489">
        <v>20</v>
      </c>
      <c r="R431" s="519" t="s">
        <v>830</v>
      </c>
      <c r="S431" s="518">
        <f t="shared" si="30"/>
        <v>20</v>
      </c>
      <c r="T431" s="519" t="s">
        <v>5264</v>
      </c>
      <c r="U431" s="518">
        <f t="shared" si="31"/>
        <v>15</v>
      </c>
      <c r="V431" s="519" t="s">
        <v>5124</v>
      </c>
      <c r="W431" s="519" t="s">
        <v>5265</v>
      </c>
      <c r="X431" s="491">
        <f t="shared" si="32"/>
        <v>34</v>
      </c>
      <c r="Y431" s="519" t="s">
        <v>5265</v>
      </c>
      <c r="Z431" s="518">
        <f t="shared" si="33"/>
        <v>34</v>
      </c>
      <c r="AA431" s="519" t="s">
        <v>5266</v>
      </c>
      <c r="AB431" s="518">
        <f t="shared" si="34"/>
        <v>21</v>
      </c>
      <c r="AC431" s="519" t="s">
        <v>5127</v>
      </c>
      <c r="AD431" s="518" t="s">
        <v>5237</v>
      </c>
      <c r="AE431" s="520" t="s">
        <v>5238</v>
      </c>
      <c r="AF431" s="504" t="s">
        <v>2939</v>
      </c>
      <c r="AG431" s="494" t="s">
        <v>2917</v>
      </c>
      <c r="AH431" s="494" t="s">
        <v>2917</v>
      </c>
      <c r="AI431" s="505"/>
      <c r="AJ431" s="505"/>
      <c r="AK431" s="521">
        <f>_xll.GetCtData("COAMOUNT","CONSAMOUNT",$B$1:$B$7,$B431,AK$9,"#")</f>
        <v>0</v>
      </c>
    </row>
    <row r="432" spans="2:37" ht="12" customHeight="1">
      <c r="B432" s="453" t="s">
        <v>5267</v>
      </c>
      <c r="C432" s="482" t="s">
        <v>2911</v>
      </c>
      <c r="D432" s="483">
        <v>44378</v>
      </c>
      <c r="E432" s="484" t="s">
        <v>2912</v>
      </c>
      <c r="F432" s="485">
        <v>3</v>
      </c>
      <c r="G432" s="482"/>
      <c r="H432" s="507"/>
      <c r="I432" s="507"/>
      <c r="J432" s="532" t="s">
        <v>5268</v>
      </c>
      <c r="K432" s="532"/>
      <c r="L432" s="532"/>
      <c r="M432" s="533"/>
      <c r="N432" s="534"/>
      <c r="O432" s="535">
        <v>6</v>
      </c>
      <c r="P432" s="536" t="s">
        <v>5269</v>
      </c>
      <c r="Q432" s="489">
        <v>46</v>
      </c>
      <c r="R432" s="536" t="s">
        <v>5269</v>
      </c>
      <c r="S432" s="535">
        <f t="shared" si="30"/>
        <v>46</v>
      </c>
      <c r="T432" s="536" t="s">
        <v>5270</v>
      </c>
      <c r="U432" s="535">
        <f t="shared" si="31"/>
        <v>28</v>
      </c>
      <c r="V432" s="537" t="s">
        <v>5124</v>
      </c>
      <c r="W432" s="537" t="s">
        <v>5271</v>
      </c>
      <c r="X432" s="491">
        <f t="shared" si="32"/>
        <v>62</v>
      </c>
      <c r="Y432" s="537" t="s">
        <v>5271</v>
      </c>
      <c r="Z432" s="535">
        <f t="shared" si="33"/>
        <v>62</v>
      </c>
      <c r="AA432" s="537" t="s">
        <v>5272</v>
      </c>
      <c r="AB432" s="535">
        <f t="shared" si="34"/>
        <v>20</v>
      </c>
      <c r="AC432" s="537" t="s">
        <v>5127</v>
      </c>
      <c r="AD432" s="535"/>
      <c r="AE432" s="538"/>
      <c r="AF432" s="504"/>
      <c r="AG432" s="494" t="s">
        <v>2917</v>
      </c>
      <c r="AH432" s="495" t="s">
        <v>2918</v>
      </c>
      <c r="AI432" s="505"/>
      <c r="AJ432" s="505"/>
      <c r="AK432" s="539">
        <f>_xll.GetCtData("COAMOUNT","CONSAMOUNT",$B$1:$B$7,$B432,AK$9,"#0")</f>
        <v>0</v>
      </c>
    </row>
    <row r="433" spans="2:37" ht="12" customHeight="1">
      <c r="B433" s="453" t="s">
        <v>872</v>
      </c>
      <c r="C433" s="482" t="s">
        <v>2929</v>
      </c>
      <c r="D433" s="483">
        <v>44403</v>
      </c>
      <c r="E433" s="484" t="s">
        <v>2930</v>
      </c>
      <c r="F433" s="485">
        <v>7</v>
      </c>
      <c r="G433" s="547"/>
      <c r="H433" s="547"/>
      <c r="I433" s="547"/>
      <c r="J433" s="547"/>
      <c r="K433" s="547"/>
      <c r="L433" s="547"/>
      <c r="M433" s="548"/>
      <c r="N433" s="517" t="s">
        <v>5273</v>
      </c>
      <c r="O433" s="518">
        <v>10</v>
      </c>
      <c r="P433" s="519" t="s">
        <v>831</v>
      </c>
      <c r="Q433" s="489">
        <v>46</v>
      </c>
      <c r="R433" s="519" t="s">
        <v>831</v>
      </c>
      <c r="S433" s="518">
        <f t="shared" si="30"/>
        <v>46</v>
      </c>
      <c r="T433" s="519" t="s">
        <v>5274</v>
      </c>
      <c r="U433" s="518">
        <f t="shared" si="31"/>
        <v>30</v>
      </c>
      <c r="V433" s="519" t="s">
        <v>5124</v>
      </c>
      <c r="W433" s="519" t="s">
        <v>5275</v>
      </c>
      <c r="X433" s="491">
        <f t="shared" si="32"/>
        <v>47</v>
      </c>
      <c r="Y433" s="519" t="s">
        <v>5275</v>
      </c>
      <c r="Z433" s="518">
        <f t="shared" si="33"/>
        <v>47</v>
      </c>
      <c r="AA433" s="519" t="s">
        <v>5276</v>
      </c>
      <c r="AB433" s="518">
        <f t="shared" si="34"/>
        <v>30</v>
      </c>
      <c r="AC433" s="519" t="s">
        <v>5127</v>
      </c>
      <c r="AD433" s="518" t="s">
        <v>5277</v>
      </c>
      <c r="AE433" s="520" t="s">
        <v>5278</v>
      </c>
      <c r="AF433" s="504" t="s">
        <v>2939</v>
      </c>
      <c r="AG433" s="494" t="s">
        <v>2917</v>
      </c>
      <c r="AH433" s="494" t="s">
        <v>2917</v>
      </c>
      <c r="AI433" s="505"/>
      <c r="AJ433" s="505"/>
      <c r="AK433" s="521">
        <f>_xll.GetCtData("COAMOUNT","CONSAMOUNT",$B$1:$B$7,$B433,AK$9,"#")</f>
        <v>0</v>
      </c>
    </row>
    <row r="434" spans="2:37" ht="12" customHeight="1">
      <c r="B434" s="453" t="s">
        <v>873</v>
      </c>
      <c r="C434" s="482" t="s">
        <v>2929</v>
      </c>
      <c r="D434" s="483">
        <v>44403</v>
      </c>
      <c r="E434" s="484" t="s">
        <v>2930</v>
      </c>
      <c r="F434" s="485">
        <v>7</v>
      </c>
      <c r="G434" s="547"/>
      <c r="H434" s="547"/>
      <c r="I434" s="547"/>
      <c r="J434" s="547"/>
      <c r="K434" s="547"/>
      <c r="L434" s="547"/>
      <c r="M434" s="548"/>
      <c r="N434" s="517" t="s">
        <v>5279</v>
      </c>
      <c r="O434" s="518">
        <v>10</v>
      </c>
      <c r="P434" s="519" t="s">
        <v>5280</v>
      </c>
      <c r="Q434" s="489">
        <v>42</v>
      </c>
      <c r="R434" s="519" t="s">
        <v>832</v>
      </c>
      <c r="S434" s="518">
        <f t="shared" si="30"/>
        <v>35</v>
      </c>
      <c r="T434" s="519" t="s">
        <v>5281</v>
      </c>
      <c r="U434" s="518">
        <f t="shared" si="31"/>
        <v>21</v>
      </c>
      <c r="V434" s="519" t="s">
        <v>5124</v>
      </c>
      <c r="W434" s="519" t="s">
        <v>5282</v>
      </c>
      <c r="X434" s="491">
        <f t="shared" si="32"/>
        <v>44</v>
      </c>
      <c r="Y434" s="519" t="s">
        <v>5282</v>
      </c>
      <c r="Z434" s="518">
        <f t="shared" si="33"/>
        <v>44</v>
      </c>
      <c r="AA434" s="519" t="s">
        <v>5283</v>
      </c>
      <c r="AB434" s="518">
        <f t="shared" si="34"/>
        <v>23</v>
      </c>
      <c r="AC434" s="519" t="s">
        <v>5127</v>
      </c>
      <c r="AD434" s="518" t="s">
        <v>5277</v>
      </c>
      <c r="AE434" s="520" t="s">
        <v>5278</v>
      </c>
      <c r="AF434" s="504" t="s">
        <v>2939</v>
      </c>
      <c r="AG434" s="494" t="s">
        <v>2917</v>
      </c>
      <c r="AH434" s="494" t="s">
        <v>2917</v>
      </c>
      <c r="AI434" s="505"/>
      <c r="AJ434" s="505"/>
      <c r="AK434" s="521">
        <f>_xll.GetCtData("COAMOUNT","CONSAMOUNT",$B$1:$B$7,$B434,AK$9,"#")</f>
        <v>0</v>
      </c>
    </row>
    <row r="435" spans="2:37" ht="12" customHeight="1">
      <c r="B435" s="453" t="s">
        <v>874</v>
      </c>
      <c r="C435" s="482" t="s">
        <v>2929</v>
      </c>
      <c r="D435" s="483">
        <v>44403</v>
      </c>
      <c r="E435" s="484" t="s">
        <v>2930</v>
      </c>
      <c r="F435" s="485">
        <v>7</v>
      </c>
      <c r="G435" s="547"/>
      <c r="H435" s="547"/>
      <c r="I435" s="547"/>
      <c r="J435" s="547"/>
      <c r="K435" s="547"/>
      <c r="L435" s="547"/>
      <c r="M435" s="548"/>
      <c r="N435" s="517" t="s">
        <v>5284</v>
      </c>
      <c r="O435" s="518">
        <v>10</v>
      </c>
      <c r="P435" s="519" t="s">
        <v>833</v>
      </c>
      <c r="Q435" s="489">
        <v>34</v>
      </c>
      <c r="R435" s="519" t="s">
        <v>833</v>
      </c>
      <c r="S435" s="518">
        <f t="shared" si="30"/>
        <v>34</v>
      </c>
      <c r="T435" s="519" t="s">
        <v>5285</v>
      </c>
      <c r="U435" s="518">
        <f t="shared" si="31"/>
        <v>24</v>
      </c>
      <c r="V435" s="519" t="s">
        <v>5124</v>
      </c>
      <c r="W435" s="519" t="s">
        <v>5286</v>
      </c>
      <c r="X435" s="491">
        <f t="shared" si="32"/>
        <v>51</v>
      </c>
      <c r="Y435" s="519" t="s">
        <v>5286</v>
      </c>
      <c r="Z435" s="518">
        <f t="shared" si="33"/>
        <v>51</v>
      </c>
      <c r="AA435" s="519" t="s">
        <v>5287</v>
      </c>
      <c r="AB435" s="518">
        <f t="shared" si="34"/>
        <v>28</v>
      </c>
      <c r="AC435" s="519" t="s">
        <v>5127</v>
      </c>
      <c r="AD435" s="518" t="s">
        <v>5277</v>
      </c>
      <c r="AE435" s="520" t="s">
        <v>5278</v>
      </c>
      <c r="AF435" s="504" t="s">
        <v>2939</v>
      </c>
      <c r="AG435" s="494" t="s">
        <v>2917</v>
      </c>
      <c r="AH435" s="494" t="s">
        <v>2917</v>
      </c>
      <c r="AI435" s="505"/>
      <c r="AJ435" s="505"/>
      <c r="AK435" s="521">
        <f>_xll.GetCtData("COAMOUNT","CONSAMOUNT",$B$1:$B$7,$B435,AK$9,"#")</f>
        <v>0</v>
      </c>
    </row>
    <row r="436" spans="2:37" ht="12" customHeight="1">
      <c r="B436" s="453" t="s">
        <v>875</v>
      </c>
      <c r="C436" s="482" t="s">
        <v>2929</v>
      </c>
      <c r="D436" s="483">
        <v>44403</v>
      </c>
      <c r="E436" s="484" t="s">
        <v>2930</v>
      </c>
      <c r="F436" s="485">
        <v>7</v>
      </c>
      <c r="G436" s="547"/>
      <c r="H436" s="547"/>
      <c r="I436" s="547"/>
      <c r="J436" s="547"/>
      <c r="K436" s="547"/>
      <c r="L436" s="547"/>
      <c r="M436" s="548"/>
      <c r="N436" s="517" t="s">
        <v>5288</v>
      </c>
      <c r="O436" s="518">
        <v>10</v>
      </c>
      <c r="P436" s="519" t="s">
        <v>834</v>
      </c>
      <c r="Q436" s="489">
        <v>32</v>
      </c>
      <c r="R436" s="519" t="s">
        <v>834</v>
      </c>
      <c r="S436" s="518">
        <f t="shared" si="30"/>
        <v>32</v>
      </c>
      <c r="T436" s="519" t="s">
        <v>5289</v>
      </c>
      <c r="U436" s="518">
        <f t="shared" si="31"/>
        <v>22</v>
      </c>
      <c r="V436" s="519" t="s">
        <v>5124</v>
      </c>
      <c r="W436" s="519" t="s">
        <v>5290</v>
      </c>
      <c r="X436" s="491">
        <f t="shared" si="32"/>
        <v>46</v>
      </c>
      <c r="Y436" s="519" t="s">
        <v>5290</v>
      </c>
      <c r="Z436" s="518">
        <f t="shared" si="33"/>
        <v>46</v>
      </c>
      <c r="AA436" s="519" t="s">
        <v>5291</v>
      </c>
      <c r="AB436" s="518">
        <f t="shared" si="34"/>
        <v>25</v>
      </c>
      <c r="AC436" s="519" t="s">
        <v>5127</v>
      </c>
      <c r="AD436" s="518" t="s">
        <v>5277</v>
      </c>
      <c r="AE436" s="520" t="s">
        <v>5278</v>
      </c>
      <c r="AF436" s="504" t="s">
        <v>2939</v>
      </c>
      <c r="AG436" s="494" t="s">
        <v>2917</v>
      </c>
      <c r="AH436" s="494" t="s">
        <v>2917</v>
      </c>
      <c r="AI436" s="505"/>
      <c r="AJ436" s="505"/>
      <c r="AK436" s="521">
        <f>_xll.GetCtData("COAMOUNT","CONSAMOUNT",$B$1:$B$7,$B436,AK$9,"#")</f>
        <v>0</v>
      </c>
    </row>
    <row r="437" spans="2:37" ht="12" customHeight="1">
      <c r="B437" s="453" t="s">
        <v>5292</v>
      </c>
      <c r="C437" s="482" t="s">
        <v>2911</v>
      </c>
      <c r="D437" s="483">
        <v>44378</v>
      </c>
      <c r="E437" s="484" t="s">
        <v>2912</v>
      </c>
      <c r="F437" s="485">
        <v>3</v>
      </c>
      <c r="G437" s="482"/>
      <c r="H437" s="507"/>
      <c r="I437" s="507"/>
      <c r="J437" s="532" t="s">
        <v>5293</v>
      </c>
      <c r="K437" s="532"/>
      <c r="L437" s="532"/>
      <c r="M437" s="533"/>
      <c r="N437" s="534"/>
      <c r="O437" s="535">
        <v>6</v>
      </c>
      <c r="P437" s="536" t="s">
        <v>5294</v>
      </c>
      <c r="Q437" s="489">
        <v>89</v>
      </c>
      <c r="R437" s="536" t="s">
        <v>835</v>
      </c>
      <c r="S437" s="535">
        <f t="shared" si="30"/>
        <v>78</v>
      </c>
      <c r="T437" s="536" t="s">
        <v>5295</v>
      </c>
      <c r="U437" s="535">
        <f t="shared" si="31"/>
        <v>30</v>
      </c>
      <c r="V437" s="537" t="s">
        <v>5124</v>
      </c>
      <c r="W437" s="537" t="s">
        <v>5296</v>
      </c>
      <c r="X437" s="491">
        <f t="shared" si="32"/>
        <v>97</v>
      </c>
      <c r="Y437" s="537" t="s">
        <v>5296</v>
      </c>
      <c r="Z437" s="535">
        <f t="shared" si="33"/>
        <v>97</v>
      </c>
      <c r="AA437" s="537" t="s">
        <v>5297</v>
      </c>
      <c r="AB437" s="535">
        <f t="shared" si="34"/>
        <v>27</v>
      </c>
      <c r="AC437" s="537" t="s">
        <v>5127</v>
      </c>
      <c r="AD437" s="535"/>
      <c r="AE437" s="538"/>
      <c r="AF437" s="504"/>
      <c r="AG437" s="494" t="s">
        <v>2917</v>
      </c>
      <c r="AH437" s="495" t="s">
        <v>2918</v>
      </c>
      <c r="AI437" s="505"/>
      <c r="AJ437" s="505"/>
      <c r="AK437" s="539">
        <f>_xll.GetCtData("COAMOUNT","CONSAMOUNT",$B$1:$B$7,$B437,AK$9,"#85730")</f>
        <v>85730</v>
      </c>
    </row>
    <row r="438" spans="2:37" ht="12" customHeight="1">
      <c r="B438" s="453" t="s">
        <v>876</v>
      </c>
      <c r="C438" s="482" t="s">
        <v>2929</v>
      </c>
      <c r="D438" s="483">
        <v>44403</v>
      </c>
      <c r="E438" s="484" t="s">
        <v>2930</v>
      </c>
      <c r="F438" s="485">
        <v>7</v>
      </c>
      <c r="G438" s="547"/>
      <c r="H438" s="547"/>
      <c r="I438" s="547"/>
      <c r="J438" s="547"/>
      <c r="K438" s="547"/>
      <c r="L438" s="547"/>
      <c r="M438" s="548"/>
      <c r="N438" s="517" t="s">
        <v>5298</v>
      </c>
      <c r="O438" s="518">
        <v>10</v>
      </c>
      <c r="P438" s="519" t="s">
        <v>5294</v>
      </c>
      <c r="Q438" s="489">
        <v>89</v>
      </c>
      <c r="R438" s="519" t="s">
        <v>835</v>
      </c>
      <c r="S438" s="518">
        <f t="shared" si="30"/>
        <v>78</v>
      </c>
      <c r="T438" s="519" t="s">
        <v>5299</v>
      </c>
      <c r="U438" s="518">
        <f t="shared" si="31"/>
        <v>30</v>
      </c>
      <c r="V438" s="519" t="s">
        <v>5124</v>
      </c>
      <c r="W438" s="519" t="s">
        <v>5296</v>
      </c>
      <c r="X438" s="491">
        <f t="shared" si="32"/>
        <v>97</v>
      </c>
      <c r="Y438" s="519" t="s">
        <v>5296</v>
      </c>
      <c r="Z438" s="518">
        <f t="shared" si="33"/>
        <v>97</v>
      </c>
      <c r="AA438" s="519" t="s">
        <v>5297</v>
      </c>
      <c r="AB438" s="518">
        <f t="shared" si="34"/>
        <v>27</v>
      </c>
      <c r="AC438" s="519" t="s">
        <v>5127</v>
      </c>
      <c r="AD438" s="518" t="s">
        <v>5300</v>
      </c>
      <c r="AE438" s="520" t="s">
        <v>5301</v>
      </c>
      <c r="AF438" s="504" t="s">
        <v>2939</v>
      </c>
      <c r="AG438" s="494" t="s">
        <v>2917</v>
      </c>
      <c r="AH438" s="494" t="s">
        <v>2917</v>
      </c>
      <c r="AI438" s="505"/>
      <c r="AJ438" s="505"/>
      <c r="AK438" s="521">
        <f>_xll.GetCtData("COAMOUNT","CONSAMOUNT",$B$1:$B$7,$B438,AK$9,"#85730")</f>
        <v>85730</v>
      </c>
    </row>
    <row r="439" spans="2:37" ht="12" customHeight="1">
      <c r="B439" s="453" t="s">
        <v>5302</v>
      </c>
      <c r="C439" s="482" t="s">
        <v>2911</v>
      </c>
      <c r="D439" s="483">
        <v>44378</v>
      </c>
      <c r="E439" s="484" t="s">
        <v>2912</v>
      </c>
      <c r="F439" s="485">
        <v>1</v>
      </c>
      <c r="G439" s="482"/>
      <c r="H439" s="497" t="s">
        <v>5303</v>
      </c>
      <c r="I439" s="497"/>
      <c r="J439" s="497"/>
      <c r="K439" s="497"/>
      <c r="L439" s="497"/>
      <c r="M439" s="498"/>
      <c r="N439" s="499"/>
      <c r="O439" s="500">
        <v>4</v>
      </c>
      <c r="P439" s="501" t="s">
        <v>1066</v>
      </c>
      <c r="Q439" s="489">
        <v>31</v>
      </c>
      <c r="R439" s="501" t="s">
        <v>1066</v>
      </c>
      <c r="S439" s="500">
        <f t="shared" si="30"/>
        <v>31</v>
      </c>
      <c r="T439" s="501" t="s">
        <v>5304</v>
      </c>
      <c r="U439" s="500">
        <f t="shared" si="31"/>
        <v>21</v>
      </c>
      <c r="V439" s="502" t="s">
        <v>5305</v>
      </c>
      <c r="W439" s="502" t="s">
        <v>5306</v>
      </c>
      <c r="X439" s="491">
        <f t="shared" si="32"/>
        <v>17</v>
      </c>
      <c r="Y439" s="502" t="s">
        <v>5306</v>
      </c>
      <c r="Z439" s="500">
        <f t="shared" si="33"/>
        <v>17</v>
      </c>
      <c r="AA439" s="502" t="s">
        <v>5307</v>
      </c>
      <c r="AB439" s="500">
        <f t="shared" si="34"/>
        <v>12</v>
      </c>
      <c r="AC439" s="502" t="s">
        <v>5308</v>
      </c>
      <c r="AD439" s="500"/>
      <c r="AE439" s="503"/>
      <c r="AF439" s="504"/>
      <c r="AG439" s="494" t="s">
        <v>2917</v>
      </c>
      <c r="AH439" s="495" t="s">
        <v>2918</v>
      </c>
      <c r="AI439" s="505"/>
      <c r="AJ439" s="505"/>
      <c r="AK439" s="506">
        <f>_xll.GetCtData("COAMOUNT","CONSAMOUNT",$B$1:$B$7,$B439,AK$9,"#")</f>
        <v>0</v>
      </c>
    </row>
    <row r="440" spans="2:37" ht="12" customHeight="1">
      <c r="B440" s="453" t="s">
        <v>5309</v>
      </c>
      <c r="C440" s="482" t="s">
        <v>2911</v>
      </c>
      <c r="D440" s="483">
        <v>44378</v>
      </c>
      <c r="E440" s="484" t="s">
        <v>2912</v>
      </c>
      <c r="F440" s="485">
        <v>2</v>
      </c>
      <c r="G440" s="482"/>
      <c r="H440" s="507"/>
      <c r="I440" s="508" t="s">
        <v>5310</v>
      </c>
      <c r="J440" s="508"/>
      <c r="K440" s="508"/>
      <c r="L440" s="508"/>
      <c r="M440" s="509"/>
      <c r="N440" s="510"/>
      <c r="O440" s="511">
        <v>5</v>
      </c>
      <c r="P440" s="512" t="s">
        <v>1066</v>
      </c>
      <c r="Q440" s="489">
        <v>31</v>
      </c>
      <c r="R440" s="512" t="s">
        <v>1066</v>
      </c>
      <c r="S440" s="511">
        <f t="shared" si="30"/>
        <v>31</v>
      </c>
      <c r="T440" s="512" t="s">
        <v>5304</v>
      </c>
      <c r="U440" s="511">
        <f t="shared" si="31"/>
        <v>21</v>
      </c>
      <c r="V440" s="513" t="s">
        <v>5305</v>
      </c>
      <c r="W440" s="513" t="s">
        <v>5306</v>
      </c>
      <c r="X440" s="491">
        <f t="shared" si="32"/>
        <v>17</v>
      </c>
      <c r="Y440" s="513" t="s">
        <v>5306</v>
      </c>
      <c r="Z440" s="511">
        <f t="shared" si="33"/>
        <v>17</v>
      </c>
      <c r="AA440" s="513" t="s">
        <v>5307</v>
      </c>
      <c r="AB440" s="511">
        <f t="shared" si="34"/>
        <v>12</v>
      </c>
      <c r="AC440" s="513" t="s">
        <v>5308</v>
      </c>
      <c r="AD440" s="511"/>
      <c r="AE440" s="514"/>
      <c r="AF440" s="504"/>
      <c r="AG440" s="494" t="s">
        <v>2917</v>
      </c>
      <c r="AH440" s="495" t="s">
        <v>2918</v>
      </c>
      <c r="AI440" s="505"/>
      <c r="AJ440" s="505"/>
      <c r="AK440" s="515">
        <f>_xll.GetCtData("COAMOUNT","CONSAMOUNT",$B$1:$B$7,$B440,AK$9,"#")</f>
        <v>0</v>
      </c>
    </row>
    <row r="441" spans="2:37" ht="12" customHeight="1">
      <c r="B441" s="453" t="s">
        <v>5311</v>
      </c>
      <c r="C441" s="482" t="s">
        <v>2929</v>
      </c>
      <c r="D441" s="483">
        <v>44403</v>
      </c>
      <c r="E441" s="484" t="s">
        <v>2930</v>
      </c>
      <c r="F441" s="485">
        <v>7</v>
      </c>
      <c r="G441" s="547"/>
      <c r="H441" s="547"/>
      <c r="I441" s="547"/>
      <c r="J441" s="547"/>
      <c r="K441" s="547"/>
      <c r="L441" s="547"/>
      <c r="M441" s="548"/>
      <c r="N441" s="517" t="s">
        <v>5312</v>
      </c>
      <c r="O441" s="518">
        <v>9</v>
      </c>
      <c r="P441" s="519" t="s">
        <v>5313</v>
      </c>
      <c r="Q441" s="489">
        <v>54</v>
      </c>
      <c r="R441" s="519" t="s">
        <v>5314</v>
      </c>
      <c r="S441" s="518">
        <f t="shared" si="30"/>
        <v>47</v>
      </c>
      <c r="T441" s="519" t="s">
        <v>5315</v>
      </c>
      <c r="U441" s="518">
        <f t="shared" si="31"/>
        <v>25</v>
      </c>
      <c r="V441" s="519" t="s">
        <v>5305</v>
      </c>
      <c r="W441" s="519" t="s">
        <v>5316</v>
      </c>
      <c r="X441" s="491">
        <f t="shared" si="32"/>
        <v>35</v>
      </c>
      <c r="Y441" s="519" t="s">
        <v>5316</v>
      </c>
      <c r="Z441" s="518">
        <f t="shared" si="33"/>
        <v>35</v>
      </c>
      <c r="AA441" s="519" t="s">
        <v>5317</v>
      </c>
      <c r="AB441" s="518">
        <f t="shared" si="34"/>
        <v>15</v>
      </c>
      <c r="AC441" s="519" t="s">
        <v>5308</v>
      </c>
      <c r="AD441" s="518" t="s">
        <v>3217</v>
      </c>
      <c r="AE441" s="520" t="s">
        <v>3218</v>
      </c>
      <c r="AF441" s="504" t="s">
        <v>2939</v>
      </c>
      <c r="AG441" s="494" t="s">
        <v>2917</v>
      </c>
      <c r="AH441" s="494" t="s">
        <v>2917</v>
      </c>
      <c r="AI441" s="505"/>
      <c r="AJ441" s="505"/>
      <c r="AK441" s="521">
        <f>_xll.GetCtData("COAMOUNT","CONSAMOUNT",$B$1:$B$7,$B441,AK$9,"#")</f>
        <v>0</v>
      </c>
    </row>
    <row r="442" spans="2:37" ht="12" customHeight="1">
      <c r="B442" s="453" t="s">
        <v>5318</v>
      </c>
      <c r="C442" s="482" t="s">
        <v>2929</v>
      </c>
      <c r="D442" s="483">
        <v>44403</v>
      </c>
      <c r="E442" s="484" t="s">
        <v>2930</v>
      </c>
      <c r="F442" s="485">
        <v>7</v>
      </c>
      <c r="G442" s="547"/>
      <c r="H442" s="547"/>
      <c r="I442" s="547"/>
      <c r="J442" s="547"/>
      <c r="K442" s="547"/>
      <c r="L442" s="547"/>
      <c r="M442" s="548"/>
      <c r="N442" s="517" t="s">
        <v>5319</v>
      </c>
      <c r="O442" s="518">
        <v>9</v>
      </c>
      <c r="P442" s="519" t="s">
        <v>5320</v>
      </c>
      <c r="Q442" s="489">
        <v>48</v>
      </c>
      <c r="R442" s="519" t="s">
        <v>5321</v>
      </c>
      <c r="S442" s="518">
        <f t="shared" si="30"/>
        <v>41</v>
      </c>
      <c r="T442" s="519" t="s">
        <v>5322</v>
      </c>
      <c r="U442" s="518">
        <f t="shared" si="31"/>
        <v>23</v>
      </c>
      <c r="V442" s="519" t="s">
        <v>5305</v>
      </c>
      <c r="W442" s="519" t="s">
        <v>5323</v>
      </c>
      <c r="X442" s="491">
        <f t="shared" si="32"/>
        <v>34</v>
      </c>
      <c r="Y442" s="519" t="s">
        <v>5323</v>
      </c>
      <c r="Z442" s="518">
        <f t="shared" si="33"/>
        <v>34</v>
      </c>
      <c r="AA442" s="519" t="s">
        <v>5324</v>
      </c>
      <c r="AB442" s="518">
        <f t="shared" si="34"/>
        <v>18</v>
      </c>
      <c r="AC442" s="519" t="s">
        <v>5308</v>
      </c>
      <c r="AD442" s="518" t="s">
        <v>3217</v>
      </c>
      <c r="AE442" s="520" t="s">
        <v>3218</v>
      </c>
      <c r="AF442" s="504" t="s">
        <v>2939</v>
      </c>
      <c r="AG442" s="494" t="s">
        <v>2917</v>
      </c>
      <c r="AH442" s="494" t="s">
        <v>2917</v>
      </c>
      <c r="AI442" s="505"/>
      <c r="AJ442" s="505"/>
      <c r="AK442" s="521">
        <f>_xll.GetCtData("COAMOUNT","CONSAMOUNT",$B$1:$B$7,$B442,AK$9,"#")</f>
        <v>0</v>
      </c>
    </row>
    <row r="443" spans="2:37" ht="12" customHeight="1">
      <c r="B443" s="453" t="s">
        <v>5325</v>
      </c>
      <c r="C443" s="482" t="s">
        <v>2929</v>
      </c>
      <c r="D443" s="483">
        <v>44403</v>
      </c>
      <c r="E443" s="484" t="s">
        <v>2930</v>
      </c>
      <c r="F443" s="485">
        <v>7</v>
      </c>
      <c r="G443" s="547"/>
      <c r="H443" s="547"/>
      <c r="I443" s="547"/>
      <c r="J443" s="547"/>
      <c r="K443" s="547"/>
      <c r="L443" s="547"/>
      <c r="M443" s="548"/>
      <c r="N443" s="517" t="s">
        <v>5326</v>
      </c>
      <c r="O443" s="518">
        <v>9</v>
      </c>
      <c r="P443" s="519" t="s">
        <v>5327</v>
      </c>
      <c r="Q443" s="489">
        <v>47</v>
      </c>
      <c r="R443" s="519" t="s">
        <v>5328</v>
      </c>
      <c r="S443" s="518">
        <f t="shared" si="30"/>
        <v>36</v>
      </c>
      <c r="T443" s="519" t="s">
        <v>5329</v>
      </c>
      <c r="U443" s="518">
        <f t="shared" si="31"/>
        <v>24</v>
      </c>
      <c r="V443" s="519" t="s">
        <v>5305</v>
      </c>
      <c r="W443" s="519" t="s">
        <v>5330</v>
      </c>
      <c r="X443" s="491">
        <f t="shared" si="32"/>
        <v>32</v>
      </c>
      <c r="Y443" s="519" t="s">
        <v>5330</v>
      </c>
      <c r="Z443" s="518">
        <f t="shared" si="33"/>
        <v>32</v>
      </c>
      <c r="AA443" s="519" t="s">
        <v>5331</v>
      </c>
      <c r="AB443" s="518">
        <f t="shared" si="34"/>
        <v>18</v>
      </c>
      <c r="AC443" s="519" t="s">
        <v>5308</v>
      </c>
      <c r="AD443" s="518" t="s">
        <v>3222</v>
      </c>
      <c r="AE443" s="520" t="s">
        <v>3223</v>
      </c>
      <c r="AF443" s="504" t="s">
        <v>2939</v>
      </c>
      <c r="AG443" s="494" t="s">
        <v>2917</v>
      </c>
      <c r="AH443" s="494" t="s">
        <v>2917</v>
      </c>
      <c r="AI443" s="505"/>
      <c r="AJ443" s="505"/>
      <c r="AK443" s="521">
        <f>_xll.GetCtData("COAMOUNT","CONSAMOUNT",$B$1:$B$7,$B443,AK$9,"#")</f>
        <v>0</v>
      </c>
    </row>
    <row r="444" spans="2:37" ht="12" customHeight="1">
      <c r="B444" s="453" t="s">
        <v>5332</v>
      </c>
      <c r="C444" s="482" t="s">
        <v>2929</v>
      </c>
      <c r="D444" s="483">
        <v>44403</v>
      </c>
      <c r="E444" s="484" t="s">
        <v>2930</v>
      </c>
      <c r="F444" s="485">
        <v>7</v>
      </c>
      <c r="G444" s="547"/>
      <c r="H444" s="547"/>
      <c r="I444" s="547"/>
      <c r="J444" s="547"/>
      <c r="K444" s="547"/>
      <c r="L444" s="547"/>
      <c r="M444" s="548"/>
      <c r="N444" s="517" t="s">
        <v>5333</v>
      </c>
      <c r="O444" s="518">
        <v>9</v>
      </c>
      <c r="P444" s="519" t="s">
        <v>5334</v>
      </c>
      <c r="Q444" s="489">
        <v>46</v>
      </c>
      <c r="R444" s="519" t="s">
        <v>5334</v>
      </c>
      <c r="S444" s="518">
        <f t="shared" si="30"/>
        <v>46</v>
      </c>
      <c r="T444" s="519" t="s">
        <v>5335</v>
      </c>
      <c r="U444" s="518">
        <f t="shared" si="31"/>
        <v>26</v>
      </c>
      <c r="V444" s="519" t="s">
        <v>5305</v>
      </c>
      <c r="W444" s="519" t="s">
        <v>5336</v>
      </c>
      <c r="X444" s="491">
        <f t="shared" si="32"/>
        <v>45</v>
      </c>
      <c r="Y444" s="519" t="s">
        <v>5336</v>
      </c>
      <c r="Z444" s="518">
        <f t="shared" si="33"/>
        <v>45</v>
      </c>
      <c r="AA444" s="519" t="s">
        <v>5337</v>
      </c>
      <c r="AB444" s="518">
        <f t="shared" si="34"/>
        <v>21</v>
      </c>
      <c r="AC444" s="519" t="s">
        <v>5308</v>
      </c>
      <c r="AD444" s="518" t="s">
        <v>3227</v>
      </c>
      <c r="AE444" s="520" t="s">
        <v>3228</v>
      </c>
      <c r="AF444" s="504" t="s">
        <v>2939</v>
      </c>
      <c r="AG444" s="494" t="s">
        <v>2917</v>
      </c>
      <c r="AH444" s="494" t="s">
        <v>2917</v>
      </c>
      <c r="AI444" s="505"/>
      <c r="AJ444" s="505"/>
      <c r="AK444" s="521">
        <f>_xll.GetCtData("COAMOUNT","CONSAMOUNT",$B$1:$B$7,$B444,AK$9,"#")</f>
        <v>0</v>
      </c>
    </row>
    <row r="445" spans="2:37" ht="12" customHeight="1">
      <c r="B445" s="453" t="s">
        <v>5338</v>
      </c>
      <c r="C445" s="482" t="s">
        <v>2911</v>
      </c>
      <c r="D445" s="483">
        <v>44378</v>
      </c>
      <c r="E445" s="484" t="s">
        <v>2912</v>
      </c>
      <c r="F445" s="485">
        <v>1</v>
      </c>
      <c r="G445" s="482"/>
      <c r="H445" s="497" t="s">
        <v>5339</v>
      </c>
      <c r="I445" s="497"/>
      <c r="J445" s="497"/>
      <c r="K445" s="497"/>
      <c r="L445" s="497"/>
      <c r="M445" s="498"/>
      <c r="N445" s="499"/>
      <c r="O445" s="500">
        <v>4</v>
      </c>
      <c r="P445" s="501" t="s">
        <v>5340</v>
      </c>
      <c r="Q445" s="489">
        <v>42</v>
      </c>
      <c r="R445" s="501" t="s">
        <v>5340</v>
      </c>
      <c r="S445" s="500">
        <f t="shared" si="30"/>
        <v>42</v>
      </c>
      <c r="T445" s="501" t="s">
        <v>5341</v>
      </c>
      <c r="U445" s="500">
        <f t="shared" si="31"/>
        <v>17</v>
      </c>
      <c r="V445" s="502" t="s">
        <v>5342</v>
      </c>
      <c r="W445" s="502" t="s">
        <v>5343</v>
      </c>
      <c r="X445" s="491">
        <f t="shared" si="32"/>
        <v>25</v>
      </c>
      <c r="Y445" s="502" t="s">
        <v>5343</v>
      </c>
      <c r="Z445" s="500">
        <f t="shared" si="33"/>
        <v>25</v>
      </c>
      <c r="AA445" s="502" t="s">
        <v>5344</v>
      </c>
      <c r="AB445" s="500">
        <f t="shared" si="34"/>
        <v>20</v>
      </c>
      <c r="AC445" s="502" t="s">
        <v>5345</v>
      </c>
      <c r="AD445" s="500"/>
      <c r="AE445" s="503"/>
      <c r="AF445" s="504"/>
      <c r="AG445" s="494" t="s">
        <v>2917</v>
      </c>
      <c r="AH445" s="495" t="s">
        <v>2918</v>
      </c>
      <c r="AI445" s="505"/>
      <c r="AJ445" s="505"/>
      <c r="AK445" s="506">
        <f>_xll.GetCtData("COAMOUNT","CONSAMOUNT",$B$1:$B$7,$B445,AK$9,"#1096111,65167183")</f>
        <v>1096111</v>
      </c>
    </row>
    <row r="446" spans="2:37" ht="12" customHeight="1">
      <c r="B446" s="453" t="s">
        <v>5346</v>
      </c>
      <c r="C446" s="482" t="s">
        <v>2911</v>
      </c>
      <c r="D446" s="483">
        <v>44378</v>
      </c>
      <c r="E446" s="484" t="s">
        <v>2912</v>
      </c>
      <c r="F446" s="485">
        <v>2</v>
      </c>
      <c r="G446" s="482"/>
      <c r="H446" s="507"/>
      <c r="I446" s="508" t="s">
        <v>5347</v>
      </c>
      <c r="J446" s="508"/>
      <c r="K446" s="508"/>
      <c r="L446" s="508"/>
      <c r="M446" s="509"/>
      <c r="N446" s="510"/>
      <c r="O446" s="511">
        <v>5</v>
      </c>
      <c r="P446" s="512" t="s">
        <v>5340</v>
      </c>
      <c r="Q446" s="489">
        <v>42</v>
      </c>
      <c r="R446" s="512" t="s">
        <v>5340</v>
      </c>
      <c r="S446" s="511">
        <f t="shared" si="30"/>
        <v>42</v>
      </c>
      <c r="T446" s="512" t="s">
        <v>5341</v>
      </c>
      <c r="U446" s="511">
        <f t="shared" si="31"/>
        <v>17</v>
      </c>
      <c r="V446" s="513" t="s">
        <v>5342</v>
      </c>
      <c r="W446" s="513" t="s">
        <v>5343</v>
      </c>
      <c r="X446" s="491">
        <f t="shared" si="32"/>
        <v>25</v>
      </c>
      <c r="Y446" s="513" t="s">
        <v>5343</v>
      </c>
      <c r="Z446" s="511">
        <f t="shared" si="33"/>
        <v>25</v>
      </c>
      <c r="AA446" s="513" t="s">
        <v>5344</v>
      </c>
      <c r="AB446" s="511">
        <f t="shared" si="34"/>
        <v>20</v>
      </c>
      <c r="AC446" s="513" t="s">
        <v>5345</v>
      </c>
      <c r="AD446" s="511"/>
      <c r="AE446" s="514"/>
      <c r="AF446" s="504"/>
      <c r="AG446" s="494" t="s">
        <v>2917</v>
      </c>
      <c r="AH446" s="495" t="s">
        <v>2918</v>
      </c>
      <c r="AI446" s="505"/>
      <c r="AJ446" s="505"/>
      <c r="AK446" s="515">
        <f>_xll.GetCtData("COAMOUNT","CONSAMOUNT",$B$1:$B$7,$B446,AK$9,"#1096111,65167182")</f>
        <v>1096111</v>
      </c>
    </row>
    <row r="447" spans="2:37" ht="12" customHeight="1">
      <c r="B447" s="453" t="s">
        <v>5348</v>
      </c>
      <c r="C447" s="482" t="s">
        <v>2911</v>
      </c>
      <c r="D447" s="483">
        <v>44378</v>
      </c>
      <c r="E447" s="484" t="s">
        <v>2912</v>
      </c>
      <c r="F447" s="485">
        <v>3</v>
      </c>
      <c r="G447" s="482"/>
      <c r="H447" s="507"/>
      <c r="I447" s="507"/>
      <c r="J447" s="532" t="s">
        <v>5349</v>
      </c>
      <c r="K447" s="532"/>
      <c r="L447" s="532"/>
      <c r="M447" s="533"/>
      <c r="N447" s="534"/>
      <c r="O447" s="535">
        <v>6</v>
      </c>
      <c r="P447" s="536" t="s">
        <v>5350</v>
      </c>
      <c r="Q447" s="489">
        <v>39</v>
      </c>
      <c r="R447" s="536" t="s">
        <v>5350</v>
      </c>
      <c r="S447" s="535">
        <f t="shared" si="30"/>
        <v>39</v>
      </c>
      <c r="T447" s="536" t="s">
        <v>5351</v>
      </c>
      <c r="U447" s="535">
        <f t="shared" si="31"/>
        <v>20</v>
      </c>
      <c r="V447" s="537" t="s">
        <v>5342</v>
      </c>
      <c r="W447" s="537" t="s">
        <v>5352</v>
      </c>
      <c r="X447" s="491">
        <f t="shared" si="32"/>
        <v>35</v>
      </c>
      <c r="Y447" s="537" t="s">
        <v>5352</v>
      </c>
      <c r="Z447" s="535">
        <f t="shared" si="33"/>
        <v>35</v>
      </c>
      <c r="AA447" s="537" t="s">
        <v>5353</v>
      </c>
      <c r="AB447" s="535">
        <f t="shared" si="34"/>
        <v>19</v>
      </c>
      <c r="AC447" s="537" t="s">
        <v>5345</v>
      </c>
      <c r="AD447" s="535"/>
      <c r="AE447" s="538"/>
      <c r="AF447" s="504"/>
      <c r="AG447" s="494" t="s">
        <v>2917</v>
      </c>
      <c r="AH447" s="495" t="s">
        <v>2918</v>
      </c>
      <c r="AI447" s="505"/>
      <c r="AJ447" s="505"/>
      <c r="AK447" s="539">
        <f>_xll.GetCtData("COAMOUNT","CONSAMOUNT",$B$1:$B$7,$B447,AK$9,"#-103")</f>
        <v>-103</v>
      </c>
    </row>
    <row r="448" spans="2:37" ht="12" customHeight="1">
      <c r="B448" s="453" t="s">
        <v>5354</v>
      </c>
      <c r="C448" s="482" t="s">
        <v>2929</v>
      </c>
      <c r="D448" s="483">
        <v>44403</v>
      </c>
      <c r="E448" s="484" t="s">
        <v>2930</v>
      </c>
      <c r="F448" s="485">
        <v>7</v>
      </c>
      <c r="G448" s="547"/>
      <c r="H448" s="547"/>
      <c r="I448" s="547"/>
      <c r="J448" s="547"/>
      <c r="K448" s="547"/>
      <c r="L448" s="547"/>
      <c r="M448" s="548"/>
      <c r="N448" s="517" t="s">
        <v>5355</v>
      </c>
      <c r="O448" s="518">
        <v>10</v>
      </c>
      <c r="P448" s="519" t="s">
        <v>5350</v>
      </c>
      <c r="Q448" s="489">
        <v>39</v>
      </c>
      <c r="R448" s="519" t="s">
        <v>5350</v>
      </c>
      <c r="S448" s="518">
        <f t="shared" si="30"/>
        <v>39</v>
      </c>
      <c r="T448" s="519" t="s">
        <v>5356</v>
      </c>
      <c r="U448" s="518">
        <f t="shared" si="31"/>
        <v>19</v>
      </c>
      <c r="V448" s="519" t="s">
        <v>5342</v>
      </c>
      <c r="W448" s="519" t="s">
        <v>5352</v>
      </c>
      <c r="X448" s="491">
        <f t="shared" si="32"/>
        <v>35</v>
      </c>
      <c r="Y448" s="519" t="s">
        <v>5352</v>
      </c>
      <c r="Z448" s="518">
        <f t="shared" si="33"/>
        <v>35</v>
      </c>
      <c r="AA448" s="519" t="s">
        <v>5357</v>
      </c>
      <c r="AB448" s="518">
        <f t="shared" si="34"/>
        <v>18</v>
      </c>
      <c r="AC448" s="519" t="s">
        <v>5345</v>
      </c>
      <c r="AD448" s="518" t="s">
        <v>5358</v>
      </c>
      <c r="AE448" s="520" t="s">
        <v>67</v>
      </c>
      <c r="AF448" s="504" t="s">
        <v>2939</v>
      </c>
      <c r="AG448" s="494" t="s">
        <v>2917</v>
      </c>
      <c r="AH448" s="494" t="s">
        <v>2917</v>
      </c>
      <c r="AI448" s="505" t="s">
        <v>5359</v>
      </c>
      <c r="AJ448" s="505"/>
      <c r="AK448" s="521">
        <f>_xll.GetCtData("COAMOUNT","CONSAMOUNT",$B$1:$B$7,$B448,AK$9,"#0")</f>
        <v>0</v>
      </c>
    </row>
    <row r="449" spans="2:37" ht="12" customHeight="1">
      <c r="B449" s="453" t="s">
        <v>5360</v>
      </c>
      <c r="C449" s="482" t="s">
        <v>2929</v>
      </c>
      <c r="D449" s="483">
        <v>44403</v>
      </c>
      <c r="E449" s="484" t="s">
        <v>2930</v>
      </c>
      <c r="F449" s="485">
        <v>7</v>
      </c>
      <c r="G449" s="547"/>
      <c r="H449" s="547"/>
      <c r="I449" s="547"/>
      <c r="J449" s="547"/>
      <c r="K449" s="547"/>
      <c r="L449" s="547"/>
      <c r="M449" s="548"/>
      <c r="N449" s="517" t="s">
        <v>5361</v>
      </c>
      <c r="O449" s="518">
        <v>10</v>
      </c>
      <c r="P449" s="519" t="s">
        <v>5362</v>
      </c>
      <c r="Q449" s="489">
        <v>46</v>
      </c>
      <c r="R449" s="519" t="s">
        <v>5362</v>
      </c>
      <c r="S449" s="518">
        <f t="shared" si="30"/>
        <v>46</v>
      </c>
      <c r="T449" s="519" t="s">
        <v>5363</v>
      </c>
      <c r="U449" s="518">
        <f t="shared" si="31"/>
        <v>24</v>
      </c>
      <c r="V449" s="519" t="s">
        <v>5342</v>
      </c>
      <c r="W449" s="519" t="s">
        <v>5364</v>
      </c>
      <c r="X449" s="491">
        <f t="shared" si="32"/>
        <v>54</v>
      </c>
      <c r="Y449" s="519" t="s">
        <v>5364</v>
      </c>
      <c r="Z449" s="518">
        <f t="shared" si="33"/>
        <v>54</v>
      </c>
      <c r="AA449" s="519" t="s">
        <v>5365</v>
      </c>
      <c r="AB449" s="518">
        <f t="shared" si="34"/>
        <v>24</v>
      </c>
      <c r="AC449" s="519" t="s">
        <v>5345</v>
      </c>
      <c r="AD449" s="518" t="s">
        <v>5358</v>
      </c>
      <c r="AE449" s="520" t="s">
        <v>67</v>
      </c>
      <c r="AF449" s="504" t="s">
        <v>2939</v>
      </c>
      <c r="AG449" s="494" t="s">
        <v>2917</v>
      </c>
      <c r="AH449" s="494" t="s">
        <v>2917</v>
      </c>
      <c r="AI449" s="505" t="s">
        <v>5359</v>
      </c>
      <c r="AJ449" s="505"/>
      <c r="AK449" s="521">
        <f>_xll.GetCtData("COAMOUNT","CONSAMOUNT",$B$1:$B$7,$B449,AK$9,"#0")</f>
        <v>0</v>
      </c>
    </row>
    <row r="450" spans="2:37" ht="12" customHeight="1">
      <c r="B450" s="453" t="s">
        <v>5366</v>
      </c>
      <c r="C450" s="482" t="s">
        <v>2929</v>
      </c>
      <c r="D450" s="483">
        <v>44403</v>
      </c>
      <c r="E450" s="484" t="s">
        <v>2930</v>
      </c>
      <c r="F450" s="485">
        <v>7</v>
      </c>
      <c r="G450" s="547"/>
      <c r="H450" s="547"/>
      <c r="I450" s="547"/>
      <c r="J450" s="547"/>
      <c r="K450" s="547"/>
      <c r="L450" s="547"/>
      <c r="M450" s="548"/>
      <c r="N450" s="517" t="s">
        <v>5367</v>
      </c>
      <c r="O450" s="518">
        <v>10</v>
      </c>
      <c r="P450" s="519" t="s">
        <v>5368</v>
      </c>
      <c r="Q450" s="489">
        <v>49</v>
      </c>
      <c r="R450" s="519" t="s">
        <v>5368</v>
      </c>
      <c r="S450" s="518">
        <f t="shared" si="30"/>
        <v>49</v>
      </c>
      <c r="T450" s="519" t="s">
        <v>5369</v>
      </c>
      <c r="U450" s="518">
        <f t="shared" si="31"/>
        <v>21</v>
      </c>
      <c r="V450" s="519" t="s">
        <v>5342</v>
      </c>
      <c r="W450" s="519" t="s">
        <v>5370</v>
      </c>
      <c r="X450" s="491">
        <f t="shared" si="32"/>
        <v>47</v>
      </c>
      <c r="Y450" s="519" t="s">
        <v>5370</v>
      </c>
      <c r="Z450" s="518">
        <f t="shared" si="33"/>
        <v>47</v>
      </c>
      <c r="AA450" s="519" t="s">
        <v>5371</v>
      </c>
      <c r="AB450" s="518">
        <f t="shared" si="34"/>
        <v>24</v>
      </c>
      <c r="AC450" s="519" t="s">
        <v>5345</v>
      </c>
      <c r="AD450" s="518" t="s">
        <v>5358</v>
      </c>
      <c r="AE450" s="520" t="s">
        <v>67</v>
      </c>
      <c r="AF450" s="504" t="s">
        <v>2939</v>
      </c>
      <c r="AG450" s="494" t="s">
        <v>2917</v>
      </c>
      <c r="AH450" s="494" t="s">
        <v>2917</v>
      </c>
      <c r="AI450" s="505" t="s">
        <v>5359</v>
      </c>
      <c r="AJ450" s="505"/>
      <c r="AK450" s="521">
        <f>_xll.GetCtData("COAMOUNT","CONSAMOUNT",$B$1:$B$7,$B450,AK$9,"#0")</f>
        <v>0</v>
      </c>
    </row>
    <row r="451" spans="2:37" ht="12" customHeight="1">
      <c r="B451" s="453" t="s">
        <v>5372</v>
      </c>
      <c r="C451" s="482" t="s">
        <v>2929</v>
      </c>
      <c r="D451" s="483">
        <v>44403</v>
      </c>
      <c r="E451" s="484" t="s">
        <v>2930</v>
      </c>
      <c r="F451" s="485">
        <v>7</v>
      </c>
      <c r="G451" s="547"/>
      <c r="H451" s="547"/>
      <c r="I451" s="547"/>
      <c r="J451" s="547"/>
      <c r="K451" s="547"/>
      <c r="L451" s="547"/>
      <c r="M451" s="548"/>
      <c r="N451" s="517" t="s">
        <v>5373</v>
      </c>
      <c r="O451" s="518">
        <v>10</v>
      </c>
      <c r="P451" s="519" t="s">
        <v>5374</v>
      </c>
      <c r="Q451" s="489">
        <v>56</v>
      </c>
      <c r="R451" s="519" t="s">
        <v>5374</v>
      </c>
      <c r="S451" s="518">
        <f t="shared" si="30"/>
        <v>56</v>
      </c>
      <c r="T451" s="519" t="s">
        <v>5375</v>
      </c>
      <c r="U451" s="518">
        <f t="shared" si="31"/>
        <v>26</v>
      </c>
      <c r="V451" s="519" t="s">
        <v>5342</v>
      </c>
      <c r="W451" s="519" t="s">
        <v>5376</v>
      </c>
      <c r="X451" s="491">
        <f t="shared" si="32"/>
        <v>66</v>
      </c>
      <c r="Y451" s="519" t="s">
        <v>5376</v>
      </c>
      <c r="Z451" s="518">
        <f t="shared" si="33"/>
        <v>66</v>
      </c>
      <c r="AA451" s="519" t="s">
        <v>5377</v>
      </c>
      <c r="AB451" s="518">
        <f t="shared" si="34"/>
        <v>28</v>
      </c>
      <c r="AC451" s="519" t="s">
        <v>5345</v>
      </c>
      <c r="AD451" s="518" t="s">
        <v>5358</v>
      </c>
      <c r="AE451" s="520" t="s">
        <v>67</v>
      </c>
      <c r="AF451" s="504" t="s">
        <v>2939</v>
      </c>
      <c r="AG451" s="494" t="s">
        <v>2917</v>
      </c>
      <c r="AH451" s="494" t="s">
        <v>2917</v>
      </c>
      <c r="AI451" s="505" t="s">
        <v>5359</v>
      </c>
      <c r="AJ451" s="505"/>
      <c r="AK451" s="521">
        <f>_xll.GetCtData("COAMOUNT","CONSAMOUNT",$B$1:$B$7,$B451,AK$9,"#-103")</f>
        <v>-103</v>
      </c>
    </row>
    <row r="452" spans="2:37" ht="12" customHeight="1">
      <c r="B452" s="453" t="s">
        <v>5378</v>
      </c>
      <c r="C452" s="482" t="s">
        <v>2911</v>
      </c>
      <c r="D452" s="483">
        <v>44378</v>
      </c>
      <c r="E452" s="484" t="s">
        <v>2912</v>
      </c>
      <c r="F452" s="485">
        <v>3</v>
      </c>
      <c r="G452" s="482"/>
      <c r="H452" s="507"/>
      <c r="I452" s="507"/>
      <c r="J452" s="532" t="s">
        <v>5379</v>
      </c>
      <c r="K452" s="532"/>
      <c r="L452" s="532"/>
      <c r="M452" s="533"/>
      <c r="N452" s="534"/>
      <c r="O452" s="535">
        <v>6</v>
      </c>
      <c r="P452" s="536" t="s">
        <v>5380</v>
      </c>
      <c r="Q452" s="489">
        <v>28</v>
      </c>
      <c r="R452" s="536" t="s">
        <v>5380</v>
      </c>
      <c r="S452" s="535">
        <f t="shared" si="30"/>
        <v>28</v>
      </c>
      <c r="T452" s="536" t="s">
        <v>5381</v>
      </c>
      <c r="U452" s="535">
        <f t="shared" si="31"/>
        <v>13</v>
      </c>
      <c r="V452" s="537" t="s">
        <v>5342</v>
      </c>
      <c r="W452" s="537" t="s">
        <v>5382</v>
      </c>
      <c r="X452" s="491">
        <f t="shared" si="32"/>
        <v>23</v>
      </c>
      <c r="Y452" s="537" t="s">
        <v>5382</v>
      </c>
      <c r="Z452" s="535">
        <f t="shared" si="33"/>
        <v>23</v>
      </c>
      <c r="AA452" s="537" t="s">
        <v>5383</v>
      </c>
      <c r="AB452" s="535">
        <f t="shared" si="34"/>
        <v>9</v>
      </c>
      <c r="AC452" s="537" t="s">
        <v>5345</v>
      </c>
      <c r="AD452" s="535"/>
      <c r="AE452" s="538"/>
      <c r="AF452" s="504"/>
      <c r="AG452" s="494" t="s">
        <v>2917</v>
      </c>
      <c r="AH452" s="495" t="s">
        <v>2918</v>
      </c>
      <c r="AI452" s="505"/>
      <c r="AJ452" s="505"/>
      <c r="AK452" s="539">
        <f>_xll.GetCtData("COAMOUNT","CONSAMOUNT",$B$1:$B$7,$B452,AK$9,"#-220,059492492228")</f>
        <v>-220</v>
      </c>
    </row>
    <row r="453" spans="2:37" ht="12" customHeight="1">
      <c r="B453" s="453" t="s">
        <v>5384</v>
      </c>
      <c r="C453" s="482" t="s">
        <v>2911</v>
      </c>
      <c r="D453" s="483">
        <v>44378</v>
      </c>
      <c r="E453" s="484" t="s">
        <v>2912</v>
      </c>
      <c r="F453" s="485">
        <v>4</v>
      </c>
      <c r="G453" s="482"/>
      <c r="H453" s="507"/>
      <c r="I453" s="507"/>
      <c r="J453" s="507"/>
      <c r="K453" s="564" t="s">
        <v>5385</v>
      </c>
      <c r="L453" s="564"/>
      <c r="M453" s="565"/>
      <c r="N453" s="566"/>
      <c r="O453" s="558">
        <v>7</v>
      </c>
      <c r="P453" s="559" t="s">
        <v>5386</v>
      </c>
      <c r="Q453" s="489">
        <v>54</v>
      </c>
      <c r="R453" s="559" t="s">
        <v>5386</v>
      </c>
      <c r="S453" s="558">
        <f t="shared" si="30"/>
        <v>54</v>
      </c>
      <c r="T453" s="559" t="s">
        <v>5387</v>
      </c>
      <c r="U453" s="558">
        <f t="shared" si="31"/>
        <v>22</v>
      </c>
      <c r="V453" s="560" t="s">
        <v>5342</v>
      </c>
      <c r="W453" s="560" t="s">
        <v>5388</v>
      </c>
      <c r="X453" s="491">
        <f t="shared" si="32"/>
        <v>37</v>
      </c>
      <c r="Y453" s="560" t="s">
        <v>5388</v>
      </c>
      <c r="Z453" s="558">
        <f t="shared" si="33"/>
        <v>37</v>
      </c>
      <c r="AA453" s="560" t="s">
        <v>5389</v>
      </c>
      <c r="AB453" s="558">
        <f t="shared" si="34"/>
        <v>16</v>
      </c>
      <c r="AC453" s="560" t="s">
        <v>5345</v>
      </c>
      <c r="AD453" s="558"/>
      <c r="AE453" s="562"/>
      <c r="AF453" s="504"/>
      <c r="AG453" s="494" t="s">
        <v>2917</v>
      </c>
      <c r="AH453" s="495" t="s">
        <v>2918</v>
      </c>
      <c r="AI453" s="505"/>
      <c r="AJ453" s="505"/>
      <c r="AK453" s="563">
        <f>_xll.GetCtData("COAMOUNT","CONSAMOUNT",$B$1:$B$7,$B453,AK$9,"#12,8612695097345")</f>
        <v>12</v>
      </c>
    </row>
    <row r="454" spans="2:37" ht="12" customHeight="1">
      <c r="B454" s="453" t="s">
        <v>5390</v>
      </c>
      <c r="C454" s="482" t="s">
        <v>2929</v>
      </c>
      <c r="D454" s="483">
        <v>44403</v>
      </c>
      <c r="E454" s="484" t="s">
        <v>2930</v>
      </c>
      <c r="F454" s="485">
        <v>7</v>
      </c>
      <c r="G454" s="547"/>
      <c r="H454" s="547"/>
      <c r="I454" s="547"/>
      <c r="J454" s="547"/>
      <c r="K454" s="547"/>
      <c r="L454" s="547"/>
      <c r="M454" s="548"/>
      <c r="N454" s="517" t="s">
        <v>5391</v>
      </c>
      <c r="O454" s="518">
        <v>10</v>
      </c>
      <c r="P454" s="519" t="s">
        <v>5392</v>
      </c>
      <c r="Q454" s="489">
        <v>77</v>
      </c>
      <c r="R454" s="519" t="s">
        <v>5392</v>
      </c>
      <c r="S454" s="518">
        <f t="shared" si="30"/>
        <v>77</v>
      </c>
      <c r="T454" s="519" t="s">
        <v>5393</v>
      </c>
      <c r="U454" s="518">
        <f t="shared" si="31"/>
        <v>29</v>
      </c>
      <c r="V454" s="519" t="s">
        <v>5342</v>
      </c>
      <c r="W454" s="519" t="s">
        <v>5394</v>
      </c>
      <c r="X454" s="491">
        <f t="shared" si="32"/>
        <v>55</v>
      </c>
      <c r="Y454" s="519" t="s">
        <v>5394</v>
      </c>
      <c r="Z454" s="518">
        <f t="shared" si="33"/>
        <v>55</v>
      </c>
      <c r="AA454" s="519" t="s">
        <v>5395</v>
      </c>
      <c r="AB454" s="518">
        <f t="shared" si="34"/>
        <v>19</v>
      </c>
      <c r="AC454" s="519" t="s">
        <v>5345</v>
      </c>
      <c r="AD454" s="518" t="s">
        <v>5358</v>
      </c>
      <c r="AE454" s="520" t="s">
        <v>67</v>
      </c>
      <c r="AF454" s="504" t="s">
        <v>2939</v>
      </c>
      <c r="AG454" s="494" t="s">
        <v>2917</v>
      </c>
      <c r="AH454" s="494" t="s">
        <v>2917</v>
      </c>
      <c r="AI454" s="505" t="s">
        <v>4849</v>
      </c>
      <c r="AJ454" s="505"/>
      <c r="AK454" s="521">
        <f>_xll.GetCtData("COAMOUNT","CONSAMOUNT",$B$1:$B$7,$B454,AK$9,"#11,3112695097527")</f>
        <v>11</v>
      </c>
    </row>
    <row r="455" spans="2:37" ht="12" customHeight="1">
      <c r="B455" s="453" t="s">
        <v>5396</v>
      </c>
      <c r="C455" s="482" t="s">
        <v>2929</v>
      </c>
      <c r="D455" s="483">
        <v>44403</v>
      </c>
      <c r="E455" s="484" t="s">
        <v>2930</v>
      </c>
      <c r="F455" s="485">
        <v>7</v>
      </c>
      <c r="G455" s="547"/>
      <c r="H455" s="547"/>
      <c r="I455" s="547"/>
      <c r="J455" s="547"/>
      <c r="K455" s="547"/>
      <c r="L455" s="547"/>
      <c r="M455" s="548"/>
      <c r="N455" s="517" t="s">
        <v>5397</v>
      </c>
      <c r="O455" s="518">
        <v>10</v>
      </c>
      <c r="P455" s="519" t="s">
        <v>5398</v>
      </c>
      <c r="Q455" s="489">
        <v>69</v>
      </c>
      <c r="R455" s="519" t="s">
        <v>5398</v>
      </c>
      <c r="S455" s="518">
        <f t="shared" si="30"/>
        <v>69</v>
      </c>
      <c r="T455" s="519" t="s">
        <v>5399</v>
      </c>
      <c r="U455" s="518">
        <f t="shared" si="31"/>
        <v>27</v>
      </c>
      <c r="V455" s="519" t="s">
        <v>5342</v>
      </c>
      <c r="W455" s="519" t="s">
        <v>5400</v>
      </c>
      <c r="X455" s="491">
        <f t="shared" si="32"/>
        <v>65</v>
      </c>
      <c r="Y455" s="519" t="s">
        <v>5400</v>
      </c>
      <c r="Z455" s="518">
        <f t="shared" si="33"/>
        <v>65</v>
      </c>
      <c r="AA455" s="519" t="s">
        <v>5401</v>
      </c>
      <c r="AB455" s="518">
        <f t="shared" si="34"/>
        <v>25</v>
      </c>
      <c r="AC455" s="519" t="s">
        <v>5345</v>
      </c>
      <c r="AD455" s="518" t="s">
        <v>5358</v>
      </c>
      <c r="AE455" s="520" t="s">
        <v>67</v>
      </c>
      <c r="AF455" s="504" t="s">
        <v>2939</v>
      </c>
      <c r="AG455" s="494" t="s">
        <v>2917</v>
      </c>
      <c r="AH455" s="494" t="s">
        <v>2917</v>
      </c>
      <c r="AI455" s="505" t="s">
        <v>4849</v>
      </c>
      <c r="AJ455" s="505"/>
      <c r="AK455" s="521">
        <f>_xll.GetCtData("COAMOUNT","CONSAMOUNT",$B$1:$B$7,$B455,AK$9,"#1,54999999998179")</f>
        <v>1</v>
      </c>
    </row>
    <row r="456" spans="2:37" ht="12" customHeight="1">
      <c r="B456" s="453" t="s">
        <v>5402</v>
      </c>
      <c r="C456" s="482" t="s">
        <v>2911</v>
      </c>
      <c r="D456" s="483">
        <v>44378</v>
      </c>
      <c r="E456" s="484" t="s">
        <v>2912</v>
      </c>
      <c r="F456" s="485">
        <v>4</v>
      </c>
      <c r="G456" s="482"/>
      <c r="H456" s="507"/>
      <c r="I456" s="507"/>
      <c r="J456" s="507"/>
      <c r="K456" s="564" t="s">
        <v>5403</v>
      </c>
      <c r="L456" s="564"/>
      <c r="M456" s="565"/>
      <c r="N456" s="566"/>
      <c r="O456" s="558">
        <v>7</v>
      </c>
      <c r="P456" s="559" t="s">
        <v>5404</v>
      </c>
      <c r="Q456" s="489">
        <v>36</v>
      </c>
      <c r="R456" s="559" t="s">
        <v>5404</v>
      </c>
      <c r="S456" s="558">
        <f t="shared" si="30"/>
        <v>36</v>
      </c>
      <c r="T456" s="559" t="s">
        <v>5405</v>
      </c>
      <c r="U456" s="558">
        <f t="shared" si="31"/>
        <v>19</v>
      </c>
      <c r="V456" s="560" t="s">
        <v>5342</v>
      </c>
      <c r="W456" s="560" t="s">
        <v>5406</v>
      </c>
      <c r="X456" s="491">
        <f t="shared" si="32"/>
        <v>29</v>
      </c>
      <c r="Y456" s="560" t="s">
        <v>5406</v>
      </c>
      <c r="Z456" s="558">
        <f t="shared" si="33"/>
        <v>29</v>
      </c>
      <c r="AA456" s="560" t="s">
        <v>5407</v>
      </c>
      <c r="AB456" s="558">
        <f t="shared" si="34"/>
        <v>13</v>
      </c>
      <c r="AC456" s="560" t="s">
        <v>5345</v>
      </c>
      <c r="AD456" s="558"/>
      <c r="AE456" s="562"/>
      <c r="AF456" s="504"/>
      <c r="AG456" s="494" t="s">
        <v>2917</v>
      </c>
      <c r="AH456" s="495" t="s">
        <v>2918</v>
      </c>
      <c r="AI456" s="505"/>
      <c r="AJ456" s="505"/>
      <c r="AK456" s="563" t="str">
        <f>_xll.GetCtData("COAMOUNT","CONSAMOUNT",$B$1:$B$7,$B456,AK$9,"#-4,89671147762476E-08")</f>
        <v>-4,89671147762476E-08</v>
      </c>
    </row>
    <row r="457" spans="2:37" ht="12" customHeight="1">
      <c r="B457" s="453" t="s">
        <v>5408</v>
      </c>
      <c r="C457" s="482" t="s">
        <v>2929</v>
      </c>
      <c r="D457" s="483">
        <v>44403</v>
      </c>
      <c r="E457" s="484" t="s">
        <v>5409</v>
      </c>
      <c r="F457" s="485">
        <v>7</v>
      </c>
      <c r="G457" s="547"/>
      <c r="H457" s="547"/>
      <c r="I457" s="547"/>
      <c r="J457" s="547"/>
      <c r="K457" s="547"/>
      <c r="L457" s="547"/>
      <c r="M457" s="548"/>
      <c r="N457" s="517" t="s">
        <v>5410</v>
      </c>
      <c r="O457" s="518">
        <v>10</v>
      </c>
      <c r="P457" s="519" t="s">
        <v>5411</v>
      </c>
      <c r="Q457" s="489">
        <v>59</v>
      </c>
      <c r="R457" s="519" t="s">
        <v>5411</v>
      </c>
      <c r="S457" s="518">
        <f t="shared" si="30"/>
        <v>59</v>
      </c>
      <c r="T457" s="519" t="s">
        <v>5412</v>
      </c>
      <c r="U457" s="518">
        <f t="shared" si="31"/>
        <v>27</v>
      </c>
      <c r="V457" s="519" t="s">
        <v>5342</v>
      </c>
      <c r="W457" s="519" t="s">
        <v>5413</v>
      </c>
      <c r="X457" s="491">
        <f t="shared" si="32"/>
        <v>47</v>
      </c>
      <c r="Y457" s="519" t="s">
        <v>5413</v>
      </c>
      <c r="Z457" s="518">
        <f t="shared" si="33"/>
        <v>47</v>
      </c>
      <c r="AA457" s="519" t="s">
        <v>5414</v>
      </c>
      <c r="AB457" s="518">
        <f t="shared" si="34"/>
        <v>16</v>
      </c>
      <c r="AC457" s="519" t="s">
        <v>5345</v>
      </c>
      <c r="AD457" s="518" t="s">
        <v>5358</v>
      </c>
      <c r="AE457" s="520" t="s">
        <v>67</v>
      </c>
      <c r="AF457" s="504" t="s">
        <v>2939</v>
      </c>
      <c r="AG457" s="599" t="s">
        <v>5415</v>
      </c>
      <c r="AH457" s="494" t="s">
        <v>2917</v>
      </c>
      <c r="AI457" s="505" t="s">
        <v>4849</v>
      </c>
      <c r="AJ457" s="505"/>
      <c r="AK457" s="521" t="str">
        <f>_xll.GetCtData("COAMOUNT","CONSAMOUNT",$B$1:$B$7,$B457,AK$9,"#-4,59074658087827E-10")</f>
        <v>-4,59074658087827E-10</v>
      </c>
    </row>
    <row r="458" spans="2:37" ht="12" customHeight="1">
      <c r="B458" s="453" t="s">
        <v>5416</v>
      </c>
      <c r="C458" s="482" t="s">
        <v>2929</v>
      </c>
      <c r="D458" s="483">
        <v>44403</v>
      </c>
      <c r="E458" s="484" t="s">
        <v>5409</v>
      </c>
      <c r="F458" s="485">
        <v>7</v>
      </c>
      <c r="G458" s="547"/>
      <c r="H458" s="547"/>
      <c r="I458" s="547"/>
      <c r="J458" s="547"/>
      <c r="K458" s="547"/>
      <c r="L458" s="547"/>
      <c r="M458" s="548"/>
      <c r="N458" s="517" t="s">
        <v>5417</v>
      </c>
      <c r="O458" s="518">
        <v>10</v>
      </c>
      <c r="P458" s="519" t="s">
        <v>5418</v>
      </c>
      <c r="Q458" s="489">
        <v>53</v>
      </c>
      <c r="R458" s="519" t="s">
        <v>5418</v>
      </c>
      <c r="S458" s="518">
        <f t="shared" si="30"/>
        <v>53</v>
      </c>
      <c r="T458" s="519" t="s">
        <v>5419</v>
      </c>
      <c r="U458" s="518">
        <f t="shared" si="31"/>
        <v>25</v>
      </c>
      <c r="V458" s="519" t="s">
        <v>5342</v>
      </c>
      <c r="W458" s="519" t="s">
        <v>5420</v>
      </c>
      <c r="X458" s="491">
        <f t="shared" si="32"/>
        <v>46</v>
      </c>
      <c r="Y458" s="519" t="s">
        <v>5420</v>
      </c>
      <c r="Z458" s="518">
        <f t="shared" si="33"/>
        <v>46</v>
      </c>
      <c r="AA458" s="519" t="s">
        <v>5421</v>
      </c>
      <c r="AB458" s="518">
        <f t="shared" si="34"/>
        <v>19</v>
      </c>
      <c r="AC458" s="519" t="s">
        <v>5345</v>
      </c>
      <c r="AD458" s="518" t="s">
        <v>5358</v>
      </c>
      <c r="AE458" s="520" t="s">
        <v>67</v>
      </c>
      <c r="AF458" s="504" t="s">
        <v>2939</v>
      </c>
      <c r="AG458" s="599" t="s">
        <v>5415</v>
      </c>
      <c r="AH458" s="494" t="s">
        <v>2917</v>
      </c>
      <c r="AI458" s="505" t="s">
        <v>4849</v>
      </c>
      <c r="AJ458" s="505"/>
      <c r="AK458" s="521" t="str">
        <f>_xll.GetCtData("COAMOUNT","CONSAMOUNT",$B$1:$B$7,$B458,AK$9,"#1,01291660037083E-11")</f>
        <v>1,01291660037083E-11</v>
      </c>
    </row>
    <row r="459" spans="2:37" ht="12" customHeight="1">
      <c r="B459" s="453" t="s">
        <v>5422</v>
      </c>
      <c r="C459" s="482" t="s">
        <v>2929</v>
      </c>
      <c r="D459" s="483">
        <v>44403</v>
      </c>
      <c r="E459" s="484" t="s">
        <v>5409</v>
      </c>
      <c r="F459" s="485">
        <v>7</v>
      </c>
      <c r="G459" s="547"/>
      <c r="H459" s="547"/>
      <c r="I459" s="547"/>
      <c r="J459" s="547"/>
      <c r="K459" s="547"/>
      <c r="L459" s="547"/>
      <c r="M459" s="548"/>
      <c r="N459" s="517" t="s">
        <v>5423</v>
      </c>
      <c r="O459" s="518">
        <v>10</v>
      </c>
      <c r="P459" s="519" t="s">
        <v>5424</v>
      </c>
      <c r="Q459" s="489">
        <v>53</v>
      </c>
      <c r="R459" s="519" t="s">
        <v>5424</v>
      </c>
      <c r="S459" s="518">
        <f t="shared" si="30"/>
        <v>53</v>
      </c>
      <c r="T459" s="519" t="s">
        <v>5425</v>
      </c>
      <c r="U459" s="518">
        <f t="shared" si="31"/>
        <v>29</v>
      </c>
      <c r="V459" s="519" t="s">
        <v>5342</v>
      </c>
      <c r="W459" s="519" t="s">
        <v>5426</v>
      </c>
      <c r="X459" s="491">
        <f t="shared" si="32"/>
        <v>45</v>
      </c>
      <c r="Y459" s="519" t="s">
        <v>5426</v>
      </c>
      <c r="Z459" s="518">
        <f t="shared" si="33"/>
        <v>45</v>
      </c>
      <c r="AA459" s="519" t="s">
        <v>5427</v>
      </c>
      <c r="AB459" s="518">
        <f t="shared" si="34"/>
        <v>20</v>
      </c>
      <c r="AC459" s="519" t="s">
        <v>5345</v>
      </c>
      <c r="AD459" s="518" t="s">
        <v>5358</v>
      </c>
      <c r="AE459" s="520" t="s">
        <v>67</v>
      </c>
      <c r="AF459" s="504" t="s">
        <v>2939</v>
      </c>
      <c r="AG459" s="599" t="s">
        <v>5415</v>
      </c>
      <c r="AH459" s="494" t="s">
        <v>2917</v>
      </c>
      <c r="AI459" s="505" t="s">
        <v>4849</v>
      </c>
      <c r="AJ459" s="505"/>
      <c r="AK459" s="521" t="str">
        <f>_xll.GetCtData("COAMOUNT","CONSAMOUNT",$B$1:$B$7,$B459,AK$9,"#-4,85181692841635E-08")</f>
        <v>-4,85181692841635E-08</v>
      </c>
    </row>
    <row r="460" spans="2:37" ht="12" customHeight="1">
      <c r="B460" s="453" t="s">
        <v>5428</v>
      </c>
      <c r="C460" s="482" t="s">
        <v>2911</v>
      </c>
      <c r="D460" s="483">
        <v>44378</v>
      </c>
      <c r="E460" s="484" t="s">
        <v>2912</v>
      </c>
      <c r="F460" s="485">
        <v>4</v>
      </c>
      <c r="G460" s="482"/>
      <c r="H460" s="507"/>
      <c r="I460" s="507"/>
      <c r="J460" s="507"/>
      <c r="K460" s="564" t="s">
        <v>5429</v>
      </c>
      <c r="L460" s="564"/>
      <c r="M460" s="565"/>
      <c r="N460" s="566"/>
      <c r="O460" s="558">
        <v>7</v>
      </c>
      <c r="P460" s="559" t="s">
        <v>5430</v>
      </c>
      <c r="Q460" s="489">
        <v>34</v>
      </c>
      <c r="R460" s="559" t="s">
        <v>5430</v>
      </c>
      <c r="S460" s="558">
        <f t="shared" ref="S460:S476" si="35">LEN(R460)</f>
        <v>34</v>
      </c>
      <c r="T460" s="559" t="s">
        <v>5431</v>
      </c>
      <c r="U460" s="558">
        <f t="shared" ref="U460:U523" si="36">LEN(T460)</f>
        <v>17</v>
      </c>
      <c r="V460" s="560" t="s">
        <v>5342</v>
      </c>
      <c r="W460" s="560" t="s">
        <v>5432</v>
      </c>
      <c r="X460" s="491">
        <f t="shared" ref="X460:X534" si="37">LEN(W460)</f>
        <v>40</v>
      </c>
      <c r="Y460" s="560" t="s">
        <v>5432</v>
      </c>
      <c r="Z460" s="558">
        <f t="shared" ref="Z460:Z530" si="38">LEN(Y460)</f>
        <v>40</v>
      </c>
      <c r="AA460" s="560" t="s">
        <v>5433</v>
      </c>
      <c r="AB460" s="558">
        <f t="shared" ref="AB460:AB523" si="39">LEN(AA460)</f>
        <v>17</v>
      </c>
      <c r="AC460" s="560" t="s">
        <v>5345</v>
      </c>
      <c r="AD460" s="558"/>
      <c r="AE460" s="562"/>
      <c r="AF460" s="504"/>
      <c r="AG460" s="494" t="s">
        <v>2917</v>
      </c>
      <c r="AH460" s="495" t="s">
        <v>2918</v>
      </c>
      <c r="AI460" s="505"/>
      <c r="AJ460" s="505"/>
      <c r="AK460" s="563" t="str">
        <f>_xll.GetCtData("COAMOUNT","CONSAMOUNT",$B$1:$B$7,$B460,AK$9,"#7,92380470041648E-02")</f>
        <v>7,92380470041648E-02</v>
      </c>
    </row>
    <row r="461" spans="2:37" ht="12" customHeight="1">
      <c r="B461" s="453" t="s">
        <v>5434</v>
      </c>
      <c r="C461" s="482" t="s">
        <v>2929</v>
      </c>
      <c r="D461" s="483">
        <v>44403</v>
      </c>
      <c r="E461" s="484" t="s">
        <v>2930</v>
      </c>
      <c r="F461" s="485">
        <v>7</v>
      </c>
      <c r="G461" s="547"/>
      <c r="H461" s="547"/>
      <c r="I461" s="547"/>
      <c r="J461" s="547"/>
      <c r="K461" s="547"/>
      <c r="L461" s="547"/>
      <c r="M461" s="548"/>
      <c r="N461" s="517" t="s">
        <v>5435</v>
      </c>
      <c r="O461" s="518">
        <v>10</v>
      </c>
      <c r="P461" s="519" t="s">
        <v>5436</v>
      </c>
      <c r="Q461" s="489">
        <v>57</v>
      </c>
      <c r="R461" s="519" t="s">
        <v>5436</v>
      </c>
      <c r="S461" s="518">
        <f t="shared" si="35"/>
        <v>57</v>
      </c>
      <c r="T461" s="519" t="s">
        <v>5437</v>
      </c>
      <c r="U461" s="518">
        <f t="shared" si="36"/>
        <v>25</v>
      </c>
      <c r="V461" s="519" t="s">
        <v>5342</v>
      </c>
      <c r="W461" s="519" t="s">
        <v>5438</v>
      </c>
      <c r="X461" s="491">
        <f t="shared" si="37"/>
        <v>58</v>
      </c>
      <c r="Y461" s="519" t="s">
        <v>5438</v>
      </c>
      <c r="Z461" s="518">
        <f t="shared" si="38"/>
        <v>58</v>
      </c>
      <c r="AA461" s="519" t="s">
        <v>5439</v>
      </c>
      <c r="AB461" s="518">
        <f t="shared" si="39"/>
        <v>20</v>
      </c>
      <c r="AC461" s="519" t="s">
        <v>5345</v>
      </c>
      <c r="AD461" s="518" t="s">
        <v>5358</v>
      </c>
      <c r="AE461" s="520" t="s">
        <v>67</v>
      </c>
      <c r="AF461" s="504" t="s">
        <v>2939</v>
      </c>
      <c r="AG461" s="494" t="s">
        <v>2917</v>
      </c>
      <c r="AH461" s="494" t="s">
        <v>2917</v>
      </c>
      <c r="AI461" s="505" t="s">
        <v>4849</v>
      </c>
      <c r="AJ461" s="505"/>
      <c r="AK461" s="521" t="str">
        <f>_xll.GetCtData("COAMOUNT","CONSAMOUNT",$B$1:$B$7,$B461,AK$9,"#7,92380470041648E-02")</f>
        <v>7,92380470041648E-02</v>
      </c>
    </row>
    <row r="462" spans="2:37" ht="12" customHeight="1">
      <c r="B462" s="453" t="s">
        <v>5440</v>
      </c>
      <c r="C462" s="482" t="s">
        <v>2929</v>
      </c>
      <c r="D462" s="483">
        <v>44403</v>
      </c>
      <c r="E462" s="484" t="s">
        <v>2930</v>
      </c>
      <c r="F462" s="485">
        <v>7</v>
      </c>
      <c r="G462" s="547"/>
      <c r="H462" s="547"/>
      <c r="I462" s="547"/>
      <c r="J462" s="547"/>
      <c r="K462" s="547"/>
      <c r="L462" s="547"/>
      <c r="M462" s="548"/>
      <c r="N462" s="517" t="s">
        <v>5441</v>
      </c>
      <c r="O462" s="518">
        <v>10</v>
      </c>
      <c r="P462" s="519" t="s">
        <v>5442</v>
      </c>
      <c r="Q462" s="489">
        <v>49</v>
      </c>
      <c r="R462" s="519" t="s">
        <v>5442</v>
      </c>
      <c r="S462" s="518">
        <f t="shared" si="35"/>
        <v>49</v>
      </c>
      <c r="T462" s="519" t="s">
        <v>5443</v>
      </c>
      <c r="U462" s="518">
        <f t="shared" si="36"/>
        <v>22</v>
      </c>
      <c r="V462" s="519" t="s">
        <v>5342</v>
      </c>
      <c r="W462" s="519" t="s">
        <v>5444</v>
      </c>
      <c r="X462" s="491">
        <f t="shared" si="37"/>
        <v>68</v>
      </c>
      <c r="Y462" s="519" t="s">
        <v>5444</v>
      </c>
      <c r="Z462" s="518">
        <f t="shared" si="38"/>
        <v>68</v>
      </c>
      <c r="AA462" s="519" t="s">
        <v>5445</v>
      </c>
      <c r="AB462" s="518">
        <f t="shared" si="39"/>
        <v>26</v>
      </c>
      <c r="AC462" s="519" t="s">
        <v>5345</v>
      </c>
      <c r="AD462" s="518" t="s">
        <v>5358</v>
      </c>
      <c r="AE462" s="520" t="s">
        <v>67</v>
      </c>
      <c r="AF462" s="504" t="s">
        <v>2939</v>
      </c>
      <c r="AG462" s="494" t="s">
        <v>2917</v>
      </c>
      <c r="AH462" s="494" t="s">
        <v>2917</v>
      </c>
      <c r="AI462" s="505" t="s">
        <v>4849</v>
      </c>
      <c r="AJ462" s="505"/>
      <c r="AK462" s="521">
        <f>_xll.GetCtData("COAMOUNT","CONSAMOUNT",$B$1:$B$7,$B462,AK$9,"#0")</f>
        <v>0</v>
      </c>
    </row>
    <row r="463" spans="2:37" ht="12" customHeight="1">
      <c r="B463" s="453" t="s">
        <v>5446</v>
      </c>
      <c r="C463" s="482" t="s">
        <v>2929</v>
      </c>
      <c r="D463" s="483">
        <v>44403</v>
      </c>
      <c r="E463" s="484" t="s">
        <v>2930</v>
      </c>
      <c r="F463" s="485">
        <v>7</v>
      </c>
      <c r="G463" s="547"/>
      <c r="H463" s="547"/>
      <c r="I463" s="547"/>
      <c r="J463" s="547"/>
      <c r="K463" s="547"/>
      <c r="L463" s="547"/>
      <c r="M463" s="548"/>
      <c r="N463" s="517" t="s">
        <v>5447</v>
      </c>
      <c r="O463" s="518">
        <v>10</v>
      </c>
      <c r="P463" s="519" t="s">
        <v>5448</v>
      </c>
      <c r="Q463" s="489">
        <v>74</v>
      </c>
      <c r="R463" s="519" t="s">
        <v>5448</v>
      </c>
      <c r="S463" s="518">
        <f t="shared" si="35"/>
        <v>74</v>
      </c>
      <c r="T463" s="519" t="s">
        <v>5449</v>
      </c>
      <c r="U463" s="518">
        <f t="shared" si="36"/>
        <v>30</v>
      </c>
      <c r="V463" s="519" t="s">
        <v>5342</v>
      </c>
      <c r="W463" s="519" t="s">
        <v>5450</v>
      </c>
      <c r="X463" s="491">
        <f t="shared" si="37"/>
        <v>79</v>
      </c>
      <c r="Y463" s="519" t="s">
        <v>5450</v>
      </c>
      <c r="Z463" s="518">
        <f t="shared" si="38"/>
        <v>79</v>
      </c>
      <c r="AA463" s="519" t="s">
        <v>5451</v>
      </c>
      <c r="AB463" s="518">
        <f t="shared" si="39"/>
        <v>30</v>
      </c>
      <c r="AC463" s="519" t="s">
        <v>5345</v>
      </c>
      <c r="AD463" s="518" t="s">
        <v>5358</v>
      </c>
      <c r="AE463" s="520" t="s">
        <v>67</v>
      </c>
      <c r="AF463" s="504" t="s">
        <v>2939</v>
      </c>
      <c r="AG463" s="494" t="s">
        <v>2917</v>
      </c>
      <c r="AH463" s="494" t="s">
        <v>2917</v>
      </c>
      <c r="AI463" s="505" t="s">
        <v>4849</v>
      </c>
      <c r="AJ463" s="505"/>
      <c r="AK463" s="521">
        <f>_xll.GetCtData("COAMOUNT","CONSAMOUNT",$B$1:$B$7,$B463,AK$9,"#0")</f>
        <v>0</v>
      </c>
    </row>
    <row r="464" spans="2:37" ht="12" customHeight="1">
      <c r="B464" s="453" t="s">
        <v>5452</v>
      </c>
      <c r="C464" s="482" t="s">
        <v>2911</v>
      </c>
      <c r="D464" s="483">
        <v>44378</v>
      </c>
      <c r="E464" s="484" t="s">
        <v>2912</v>
      </c>
      <c r="F464" s="485">
        <v>4</v>
      </c>
      <c r="G464" s="482"/>
      <c r="H464" s="507"/>
      <c r="I464" s="507"/>
      <c r="J464" s="507"/>
      <c r="K464" s="564" t="s">
        <v>5453</v>
      </c>
      <c r="L464" s="564"/>
      <c r="M464" s="565"/>
      <c r="N464" s="566"/>
      <c r="O464" s="558">
        <v>7</v>
      </c>
      <c r="P464" s="559" t="s">
        <v>5454</v>
      </c>
      <c r="Q464" s="489">
        <v>65</v>
      </c>
      <c r="R464" s="559" t="s">
        <v>5454</v>
      </c>
      <c r="S464" s="558">
        <f t="shared" si="35"/>
        <v>65</v>
      </c>
      <c r="T464" s="559" t="s">
        <v>5455</v>
      </c>
      <c r="U464" s="558">
        <f t="shared" si="36"/>
        <v>30</v>
      </c>
      <c r="V464" s="560" t="s">
        <v>5342</v>
      </c>
      <c r="W464" s="560" t="s">
        <v>5456</v>
      </c>
      <c r="X464" s="491">
        <f t="shared" si="37"/>
        <v>85</v>
      </c>
      <c r="Y464" s="560" t="s">
        <v>5456</v>
      </c>
      <c r="Z464" s="558">
        <f t="shared" si="38"/>
        <v>85</v>
      </c>
      <c r="AA464" s="560" t="s">
        <v>5457</v>
      </c>
      <c r="AB464" s="558">
        <f t="shared" si="39"/>
        <v>30</v>
      </c>
      <c r="AC464" s="560" t="s">
        <v>5345</v>
      </c>
      <c r="AD464" s="558"/>
      <c r="AE464" s="562"/>
      <c r="AF464" s="504"/>
      <c r="AG464" s="494" t="s">
        <v>2917</v>
      </c>
      <c r="AH464" s="495" t="s">
        <v>2918</v>
      </c>
      <c r="AI464" s="505"/>
      <c r="AJ464" s="505"/>
      <c r="AK464" s="563">
        <f>_xll.GetCtData("COAMOUNT","CONSAMOUNT",$B$1:$B$7,$B464,AK$9,"#-233")</f>
        <v>-233</v>
      </c>
    </row>
    <row r="465" spans="2:39" ht="12" customHeight="1">
      <c r="B465" s="453" t="s">
        <v>5458</v>
      </c>
      <c r="C465" s="482" t="s">
        <v>2929</v>
      </c>
      <c r="D465" s="483">
        <v>44403</v>
      </c>
      <c r="E465" s="484" t="s">
        <v>2930</v>
      </c>
      <c r="F465" s="485">
        <v>7</v>
      </c>
      <c r="G465" s="547"/>
      <c r="H465" s="547"/>
      <c r="I465" s="547"/>
      <c r="J465" s="547"/>
      <c r="K465" s="547"/>
      <c r="L465" s="547"/>
      <c r="M465" s="548"/>
      <c r="N465" s="517" t="s">
        <v>5459</v>
      </c>
      <c r="O465" s="518">
        <v>10</v>
      </c>
      <c r="P465" s="519" t="s">
        <v>5460</v>
      </c>
      <c r="Q465" s="489">
        <v>47</v>
      </c>
      <c r="R465" s="519" t="s">
        <v>5460</v>
      </c>
      <c r="S465" s="518">
        <f t="shared" si="35"/>
        <v>47</v>
      </c>
      <c r="T465" s="519" t="s">
        <v>5461</v>
      </c>
      <c r="U465" s="518">
        <f t="shared" si="36"/>
        <v>24</v>
      </c>
      <c r="V465" s="519" t="s">
        <v>5342</v>
      </c>
      <c r="W465" s="519" t="s">
        <v>5462</v>
      </c>
      <c r="X465" s="491">
        <f t="shared" si="37"/>
        <v>61</v>
      </c>
      <c r="Y465" s="519" t="s">
        <v>5462</v>
      </c>
      <c r="Z465" s="518">
        <f t="shared" si="38"/>
        <v>61</v>
      </c>
      <c r="AA465" s="519" t="s">
        <v>5463</v>
      </c>
      <c r="AB465" s="518">
        <f t="shared" si="39"/>
        <v>27</v>
      </c>
      <c r="AC465" s="519" t="s">
        <v>5345</v>
      </c>
      <c r="AD465" s="518" t="s">
        <v>5358</v>
      </c>
      <c r="AE465" s="520" t="s">
        <v>67</v>
      </c>
      <c r="AF465" s="504" t="s">
        <v>2939</v>
      </c>
      <c r="AG465" s="494" t="s">
        <v>2917</v>
      </c>
      <c r="AH465" s="494" t="s">
        <v>2917</v>
      </c>
      <c r="AI465" s="505" t="s">
        <v>5359</v>
      </c>
      <c r="AJ465" s="505"/>
      <c r="AK465" s="521">
        <f>_xll.GetCtData("COAMOUNT","CONSAMOUNT",$B$1:$B$7,$B465,AK$9,"#3")</f>
        <v>3</v>
      </c>
    </row>
    <row r="466" spans="2:39" ht="12" customHeight="1">
      <c r="B466" s="453" t="s">
        <v>5464</v>
      </c>
      <c r="C466" s="482" t="s">
        <v>2929</v>
      </c>
      <c r="D466" s="483">
        <v>44403</v>
      </c>
      <c r="E466" s="484" t="s">
        <v>2930</v>
      </c>
      <c r="F466" s="485">
        <v>7</v>
      </c>
      <c r="G466" s="547"/>
      <c r="H466" s="547"/>
      <c r="I466" s="547"/>
      <c r="J466" s="547"/>
      <c r="K466" s="547"/>
      <c r="L466" s="547"/>
      <c r="M466" s="548"/>
      <c r="N466" s="517" t="s">
        <v>5465</v>
      </c>
      <c r="O466" s="518">
        <v>10</v>
      </c>
      <c r="P466" s="519" t="s">
        <v>5466</v>
      </c>
      <c r="Q466" s="489">
        <v>50</v>
      </c>
      <c r="R466" s="519" t="s">
        <v>5466</v>
      </c>
      <c r="S466" s="518">
        <f t="shared" si="35"/>
        <v>50</v>
      </c>
      <c r="T466" s="519" t="s">
        <v>5467</v>
      </c>
      <c r="U466" s="518">
        <f t="shared" si="36"/>
        <v>26</v>
      </c>
      <c r="V466" s="519" t="s">
        <v>5342</v>
      </c>
      <c r="W466" s="519" t="s">
        <v>5468</v>
      </c>
      <c r="X466" s="491">
        <f t="shared" si="37"/>
        <v>62</v>
      </c>
      <c r="Y466" s="519" t="s">
        <v>5468</v>
      </c>
      <c r="Z466" s="518">
        <f t="shared" si="38"/>
        <v>62</v>
      </c>
      <c r="AA466" s="519" t="s">
        <v>5469</v>
      </c>
      <c r="AB466" s="518">
        <f t="shared" si="39"/>
        <v>28</v>
      </c>
      <c r="AC466" s="519" t="s">
        <v>5345</v>
      </c>
      <c r="AD466" s="518" t="s">
        <v>5358</v>
      </c>
      <c r="AE466" s="520" t="s">
        <v>67</v>
      </c>
      <c r="AF466" s="504" t="s">
        <v>2939</v>
      </c>
      <c r="AG466" s="494" t="s">
        <v>2917</v>
      </c>
      <c r="AH466" s="494" t="s">
        <v>2917</v>
      </c>
      <c r="AI466" s="505" t="s">
        <v>5359</v>
      </c>
      <c r="AJ466" s="505"/>
      <c r="AK466" s="521">
        <f>_xll.GetCtData("COAMOUNT","CONSAMOUNT",$B$1:$B$7,$B466,AK$9,"#0")</f>
        <v>0</v>
      </c>
    </row>
    <row r="467" spans="2:39" ht="12" customHeight="1">
      <c r="B467" s="453" t="s">
        <v>5470</v>
      </c>
      <c r="C467" s="482" t="s">
        <v>2929</v>
      </c>
      <c r="D467" s="483">
        <v>44403</v>
      </c>
      <c r="E467" s="484" t="s">
        <v>2930</v>
      </c>
      <c r="F467" s="485">
        <v>7</v>
      </c>
      <c r="G467" s="547"/>
      <c r="H467" s="547"/>
      <c r="I467" s="547"/>
      <c r="J467" s="547"/>
      <c r="K467" s="547"/>
      <c r="L467" s="547"/>
      <c r="M467" s="548"/>
      <c r="N467" s="517" t="s">
        <v>5471</v>
      </c>
      <c r="O467" s="518">
        <v>10</v>
      </c>
      <c r="P467" s="519" t="s">
        <v>5472</v>
      </c>
      <c r="Q467" s="489">
        <v>59</v>
      </c>
      <c r="R467" s="519" t="s">
        <v>5472</v>
      </c>
      <c r="S467" s="518">
        <f t="shared" si="35"/>
        <v>59</v>
      </c>
      <c r="T467" s="519" t="s">
        <v>5473</v>
      </c>
      <c r="U467" s="518">
        <f t="shared" si="36"/>
        <v>18</v>
      </c>
      <c r="V467" s="519" t="s">
        <v>5342</v>
      </c>
      <c r="W467" s="519" t="s">
        <v>5474</v>
      </c>
      <c r="X467" s="491">
        <f t="shared" si="37"/>
        <v>68</v>
      </c>
      <c r="Y467" s="519" t="s">
        <v>5474</v>
      </c>
      <c r="Z467" s="518">
        <f t="shared" si="38"/>
        <v>68</v>
      </c>
      <c r="AA467" s="519" t="s">
        <v>5475</v>
      </c>
      <c r="AB467" s="518">
        <f t="shared" si="39"/>
        <v>30</v>
      </c>
      <c r="AC467" s="519" t="s">
        <v>5345</v>
      </c>
      <c r="AD467" s="518" t="s">
        <v>5358</v>
      </c>
      <c r="AE467" s="520" t="s">
        <v>67</v>
      </c>
      <c r="AF467" s="504" t="s">
        <v>2939</v>
      </c>
      <c r="AG467" s="494" t="s">
        <v>2917</v>
      </c>
      <c r="AH467" s="494" t="s">
        <v>2917</v>
      </c>
      <c r="AI467" s="505" t="s">
        <v>5359</v>
      </c>
      <c r="AJ467" s="505"/>
      <c r="AK467" s="521">
        <f>_xll.GetCtData("COAMOUNT","CONSAMOUNT",$B$1:$B$7,$B467,AK$9,"#-236")</f>
        <v>-236</v>
      </c>
    </row>
    <row r="468" spans="2:39" ht="12" customHeight="1">
      <c r="B468" s="453" t="s">
        <v>5476</v>
      </c>
      <c r="C468" s="482" t="s">
        <v>2911</v>
      </c>
      <c r="D468" s="483">
        <v>44378</v>
      </c>
      <c r="E468" s="484" t="s">
        <v>2912</v>
      </c>
      <c r="F468" s="485">
        <v>3</v>
      </c>
      <c r="G468" s="482"/>
      <c r="H468" s="507"/>
      <c r="I468" s="507"/>
      <c r="J468" s="532" t="s">
        <v>5477</v>
      </c>
      <c r="K468" s="532"/>
      <c r="L468" s="532"/>
      <c r="M468" s="533"/>
      <c r="N468" s="534"/>
      <c r="O468" s="535">
        <v>6</v>
      </c>
      <c r="P468" s="536" t="s">
        <v>5478</v>
      </c>
      <c r="Q468" s="489">
        <v>25</v>
      </c>
      <c r="R468" s="536" t="s">
        <v>5478</v>
      </c>
      <c r="S468" s="535">
        <f t="shared" si="35"/>
        <v>25</v>
      </c>
      <c r="T468" s="536" t="s">
        <v>5479</v>
      </c>
      <c r="U468" s="535">
        <f t="shared" si="36"/>
        <v>18</v>
      </c>
      <c r="V468" s="537" t="s">
        <v>5342</v>
      </c>
      <c r="W468" s="537" t="s">
        <v>5343</v>
      </c>
      <c r="X468" s="491">
        <f t="shared" si="37"/>
        <v>25</v>
      </c>
      <c r="Y468" s="537" t="s">
        <v>5343</v>
      </c>
      <c r="Z468" s="535">
        <f t="shared" si="38"/>
        <v>25</v>
      </c>
      <c r="AA468" s="537" t="s">
        <v>5344</v>
      </c>
      <c r="AB468" s="535">
        <f t="shared" si="39"/>
        <v>20</v>
      </c>
      <c r="AC468" s="537" t="s">
        <v>3143</v>
      </c>
      <c r="AD468" s="535"/>
      <c r="AE468" s="538"/>
      <c r="AF468" s="504"/>
      <c r="AG468" s="494" t="s">
        <v>2917</v>
      </c>
      <c r="AH468" s="495" t="s">
        <v>2918</v>
      </c>
      <c r="AI468" s="505"/>
      <c r="AJ468" s="505"/>
      <c r="AK468" s="539">
        <f>_xll.GetCtData("COAMOUNT","CONSAMOUNT",$B$1:$B$7,$B468,AK$9,"#1096432,01832351")</f>
        <v>1096432</v>
      </c>
    </row>
    <row r="469" spans="2:39" ht="12" customHeight="1">
      <c r="B469" s="453" t="s">
        <v>5480</v>
      </c>
      <c r="C469" s="482" t="s">
        <v>2911</v>
      </c>
      <c r="D469" s="483"/>
      <c r="E469" s="484" t="s">
        <v>5409</v>
      </c>
      <c r="F469" s="485">
        <v>7</v>
      </c>
      <c r="G469" s="547"/>
      <c r="H469" s="547"/>
      <c r="I469" s="547"/>
      <c r="J469" s="547"/>
      <c r="K469" s="547"/>
      <c r="L469" s="547"/>
      <c r="M469" s="548"/>
      <c r="N469" s="517" t="s">
        <v>5481</v>
      </c>
      <c r="O469" s="518">
        <v>9</v>
      </c>
      <c r="P469" s="519" t="s">
        <v>5482</v>
      </c>
      <c r="Q469" s="489">
        <v>48</v>
      </c>
      <c r="R469" s="519" t="s">
        <v>5482</v>
      </c>
      <c r="S469" s="518">
        <f t="shared" si="35"/>
        <v>48</v>
      </c>
      <c r="T469" s="519" t="s">
        <v>5483</v>
      </c>
      <c r="U469" s="518">
        <f t="shared" si="36"/>
        <v>26</v>
      </c>
      <c r="V469" s="519" t="s">
        <v>5342</v>
      </c>
      <c r="W469" s="519" t="s">
        <v>5484</v>
      </c>
      <c r="X469" s="491">
        <f t="shared" si="37"/>
        <v>43</v>
      </c>
      <c r="Y469" s="519" t="s">
        <v>5484</v>
      </c>
      <c r="Z469" s="518">
        <f t="shared" si="38"/>
        <v>43</v>
      </c>
      <c r="AA469" s="519" t="s">
        <v>5485</v>
      </c>
      <c r="AB469" s="518">
        <f t="shared" si="39"/>
        <v>23</v>
      </c>
      <c r="AC469" s="519" t="s">
        <v>5345</v>
      </c>
      <c r="AD469" s="518" t="s">
        <v>5486</v>
      </c>
      <c r="AE469" s="520" t="s">
        <v>5487</v>
      </c>
      <c r="AF469" s="504" t="s">
        <v>5488</v>
      </c>
      <c r="AG469" s="494" t="s">
        <v>2917</v>
      </c>
      <c r="AH469" s="494" t="s">
        <v>2917</v>
      </c>
      <c r="AI469" s="505"/>
      <c r="AJ469" s="505"/>
      <c r="AK469" s="521">
        <f>_xll.GetCtData("COAMOUNT","CONSAMOUNT",$B$1:$B$7,$B469,AK$9,"#1086853,47724372")</f>
        <v>1086853</v>
      </c>
    </row>
    <row r="470" spans="2:39" ht="12" customHeight="1">
      <c r="B470" s="453" t="s">
        <v>5489</v>
      </c>
      <c r="C470" s="482" t="s">
        <v>2911</v>
      </c>
      <c r="D470" s="483"/>
      <c r="E470" s="484" t="s">
        <v>5409</v>
      </c>
      <c r="F470" s="485">
        <v>7</v>
      </c>
      <c r="G470" s="547"/>
      <c r="H470" s="547"/>
      <c r="I470" s="547"/>
      <c r="J470" s="547"/>
      <c r="K470" s="547"/>
      <c r="L470" s="547"/>
      <c r="M470" s="548"/>
      <c r="N470" s="517" t="s">
        <v>5490</v>
      </c>
      <c r="O470" s="518">
        <v>9</v>
      </c>
      <c r="P470" s="519" t="s">
        <v>5491</v>
      </c>
      <c r="Q470" s="489">
        <v>40</v>
      </c>
      <c r="R470" s="519" t="s">
        <v>5491</v>
      </c>
      <c r="S470" s="518">
        <f t="shared" si="35"/>
        <v>40</v>
      </c>
      <c r="T470" s="519" t="s">
        <v>5492</v>
      </c>
      <c r="U470" s="518">
        <f t="shared" si="36"/>
        <v>23</v>
      </c>
      <c r="V470" s="519" t="s">
        <v>5342</v>
      </c>
      <c r="W470" s="519" t="s">
        <v>5493</v>
      </c>
      <c r="X470" s="491">
        <f t="shared" si="37"/>
        <v>53</v>
      </c>
      <c r="Y470" s="519" t="s">
        <v>5493</v>
      </c>
      <c r="Z470" s="518">
        <f t="shared" si="38"/>
        <v>53</v>
      </c>
      <c r="AA470" s="519" t="s">
        <v>5494</v>
      </c>
      <c r="AB470" s="518">
        <f t="shared" si="39"/>
        <v>29</v>
      </c>
      <c r="AC470" s="519" t="s">
        <v>5345</v>
      </c>
      <c r="AD470" s="518" t="s">
        <v>5486</v>
      </c>
      <c r="AE470" s="520" t="s">
        <v>5487</v>
      </c>
      <c r="AF470" s="504"/>
      <c r="AG470" s="494" t="s">
        <v>2917</v>
      </c>
      <c r="AH470" s="494" t="s">
        <v>2917</v>
      </c>
      <c r="AI470" s="505"/>
      <c r="AJ470" s="505"/>
      <c r="AK470" s="521">
        <f>_xll.GetCtData("COAMOUNT","CONSAMOUNT",$B$1:$B$7,$B470,AK$9,"#")</f>
        <v>0</v>
      </c>
    </row>
    <row r="471" spans="2:39" ht="12" customHeight="1">
      <c r="B471" s="453" t="s">
        <v>5495</v>
      </c>
      <c r="C471" s="482" t="s">
        <v>2962</v>
      </c>
      <c r="D471" s="483">
        <v>44515</v>
      </c>
      <c r="E471" s="484" t="s">
        <v>5409</v>
      </c>
      <c r="F471" s="485">
        <v>7</v>
      </c>
      <c r="G471" s="547"/>
      <c r="H471" s="547"/>
      <c r="I471" s="547"/>
      <c r="J471" s="547"/>
      <c r="K471" s="547"/>
      <c r="L471" s="547"/>
      <c r="M471" s="548"/>
      <c r="N471" s="517" t="s">
        <v>5496</v>
      </c>
      <c r="O471" s="518">
        <v>9</v>
      </c>
      <c r="P471" s="519" t="s">
        <v>5497</v>
      </c>
      <c r="Q471" s="489">
        <v>54</v>
      </c>
      <c r="R471" s="519" t="s">
        <v>5497</v>
      </c>
      <c r="S471" s="518">
        <f t="shared" si="35"/>
        <v>54</v>
      </c>
      <c r="T471" s="519" t="s">
        <v>5498</v>
      </c>
      <c r="U471" s="518">
        <f t="shared" si="36"/>
        <v>28</v>
      </c>
      <c r="V471" s="519" t="s">
        <v>5342</v>
      </c>
      <c r="W471" s="519" t="s">
        <v>5499</v>
      </c>
      <c r="X471" s="491">
        <f t="shared" si="37"/>
        <v>44</v>
      </c>
      <c r="Y471" s="519" t="s">
        <v>5499</v>
      </c>
      <c r="Z471" s="518">
        <f t="shared" si="38"/>
        <v>44</v>
      </c>
      <c r="AA471" s="519" t="s">
        <v>5500</v>
      </c>
      <c r="AB471" s="518">
        <f t="shared" si="39"/>
        <v>30</v>
      </c>
      <c r="AC471" s="519" t="s">
        <v>5345</v>
      </c>
      <c r="AD471" s="518"/>
      <c r="AE471" s="520"/>
      <c r="AF471" s="504" t="s">
        <v>5501</v>
      </c>
      <c r="AG471" s="530" t="s">
        <v>2969</v>
      </c>
      <c r="AH471" s="495" t="s">
        <v>2918</v>
      </c>
      <c r="AI471" s="505"/>
      <c r="AJ471" s="505"/>
      <c r="AK471" s="521">
        <f>_xll.GetCtData("COAMOUNT","CONSAMOUNT",$B$1:$B$7,$B471,AK$9,"#9578,54107979394")</f>
        <v>9578</v>
      </c>
    </row>
    <row r="472" spans="2:39" ht="12" customHeight="1">
      <c r="B472" s="453" t="s">
        <v>5502</v>
      </c>
      <c r="C472" s="482" t="s">
        <v>2962</v>
      </c>
      <c r="D472" s="483">
        <v>44515</v>
      </c>
      <c r="E472" s="484" t="s">
        <v>5409</v>
      </c>
      <c r="F472" s="485">
        <v>7</v>
      </c>
      <c r="G472" s="547"/>
      <c r="H472" s="547"/>
      <c r="I472" s="547"/>
      <c r="J472" s="547"/>
      <c r="K472" s="547"/>
      <c r="L472" s="547"/>
      <c r="M472" s="548"/>
      <c r="N472" s="517" t="s">
        <v>5503</v>
      </c>
      <c r="O472" s="518">
        <v>9</v>
      </c>
      <c r="P472" s="519" t="s">
        <v>5504</v>
      </c>
      <c r="Q472" s="489">
        <v>63</v>
      </c>
      <c r="R472" s="519" t="s">
        <v>5504</v>
      </c>
      <c r="S472" s="518">
        <f t="shared" si="35"/>
        <v>63</v>
      </c>
      <c r="T472" s="519" t="s">
        <v>5505</v>
      </c>
      <c r="U472" s="518">
        <f t="shared" si="36"/>
        <v>29</v>
      </c>
      <c r="V472" s="519" t="s">
        <v>5342</v>
      </c>
      <c r="W472" s="519" t="s">
        <v>5506</v>
      </c>
      <c r="X472" s="491">
        <f t="shared" si="37"/>
        <v>64</v>
      </c>
      <c r="Y472" s="519" t="s">
        <v>5506</v>
      </c>
      <c r="Z472" s="518">
        <f t="shared" si="38"/>
        <v>64</v>
      </c>
      <c r="AA472" s="519" t="s">
        <v>5507</v>
      </c>
      <c r="AB472" s="518">
        <f t="shared" si="39"/>
        <v>27</v>
      </c>
      <c r="AC472" s="519" t="s">
        <v>5345</v>
      </c>
      <c r="AD472" s="518"/>
      <c r="AE472" s="520"/>
      <c r="AF472" s="504" t="s">
        <v>5501</v>
      </c>
      <c r="AG472" s="530" t="s">
        <v>2969</v>
      </c>
      <c r="AH472" s="495" t="s">
        <v>2918</v>
      </c>
      <c r="AI472" s="505"/>
      <c r="AJ472" s="505"/>
      <c r="AK472" s="521">
        <f>_xll.GetCtData("COAMOUNT","CONSAMOUNT",$B$1:$B$7,$B472,AK$9,"#")</f>
        <v>0</v>
      </c>
    </row>
    <row r="473" spans="2:39" ht="12" customHeight="1">
      <c r="B473" s="453" t="s">
        <v>5508</v>
      </c>
      <c r="C473" s="482" t="s">
        <v>2911</v>
      </c>
      <c r="D473" s="483">
        <v>44378</v>
      </c>
      <c r="E473" s="484" t="s">
        <v>2912</v>
      </c>
      <c r="F473" s="485">
        <v>3</v>
      </c>
      <c r="G473" s="482"/>
      <c r="H473" s="507"/>
      <c r="I473" s="507"/>
      <c r="J473" s="532" t="s">
        <v>5509</v>
      </c>
      <c r="K473" s="532"/>
      <c r="L473" s="532"/>
      <c r="M473" s="533"/>
      <c r="N473" s="534"/>
      <c r="O473" s="535">
        <v>6</v>
      </c>
      <c r="P473" s="536" t="s">
        <v>5510</v>
      </c>
      <c r="Q473" s="489">
        <v>44</v>
      </c>
      <c r="R473" s="536" t="s">
        <v>5510</v>
      </c>
      <c r="S473" s="535">
        <f t="shared" si="35"/>
        <v>44</v>
      </c>
      <c r="T473" s="536" t="s">
        <v>5511</v>
      </c>
      <c r="U473" s="535">
        <f t="shared" si="36"/>
        <v>30</v>
      </c>
      <c r="V473" s="537" t="s">
        <v>2915</v>
      </c>
      <c r="W473" s="537" t="s">
        <v>5512</v>
      </c>
      <c r="X473" s="491">
        <f t="shared" si="37"/>
        <v>42</v>
      </c>
      <c r="Y473" s="537" t="s">
        <v>5512</v>
      </c>
      <c r="Z473" s="535">
        <f t="shared" si="38"/>
        <v>42</v>
      </c>
      <c r="AA473" s="537" t="s">
        <v>5513</v>
      </c>
      <c r="AB473" s="535">
        <f t="shared" si="39"/>
        <v>23</v>
      </c>
      <c r="AC473" s="537" t="s">
        <v>3143</v>
      </c>
      <c r="AD473" s="535"/>
      <c r="AE473" s="538"/>
      <c r="AF473" s="504"/>
      <c r="AG473" s="494" t="s">
        <v>2917</v>
      </c>
      <c r="AH473" s="495" t="s">
        <v>2918</v>
      </c>
      <c r="AI473" s="505"/>
      <c r="AJ473" s="505"/>
      <c r="AK473" s="539">
        <f>_xll.GetCtData("COAMOUNT","CONSAMOUNT",$B$1:$B$7,$B473,AK$9,"#2,69284080546338")</f>
        <v>2</v>
      </c>
    </row>
    <row r="474" spans="2:39" ht="12" customHeight="1">
      <c r="B474" s="453" t="s">
        <v>5514</v>
      </c>
      <c r="C474" s="482" t="s">
        <v>2911</v>
      </c>
      <c r="D474" s="483"/>
      <c r="E474" s="484" t="s">
        <v>5409</v>
      </c>
      <c r="F474" s="485">
        <v>7</v>
      </c>
      <c r="G474" s="547"/>
      <c r="H474" s="547"/>
      <c r="I474" s="547"/>
      <c r="J474" s="547"/>
      <c r="K474" s="547"/>
      <c r="L474" s="547"/>
      <c r="M474" s="548"/>
      <c r="N474" s="517" t="s">
        <v>5515</v>
      </c>
      <c r="O474" s="518">
        <v>10</v>
      </c>
      <c r="P474" s="519" t="s">
        <v>5516</v>
      </c>
      <c r="Q474" s="489">
        <v>70</v>
      </c>
      <c r="R474" s="519" t="s">
        <v>5517</v>
      </c>
      <c r="S474" s="518">
        <f t="shared" si="35"/>
        <v>58</v>
      </c>
      <c r="T474" s="519" t="s">
        <v>5518</v>
      </c>
      <c r="U474" s="518">
        <f t="shared" si="36"/>
        <v>29</v>
      </c>
      <c r="V474" s="519" t="s">
        <v>2915</v>
      </c>
      <c r="W474" s="519" t="s">
        <v>5519</v>
      </c>
      <c r="X474" s="491">
        <f t="shared" si="37"/>
        <v>68</v>
      </c>
      <c r="Y474" s="519" t="s">
        <v>5519</v>
      </c>
      <c r="Z474" s="518">
        <f t="shared" si="38"/>
        <v>68</v>
      </c>
      <c r="AA474" s="519" t="s">
        <v>5520</v>
      </c>
      <c r="AB474" s="518">
        <f t="shared" si="39"/>
        <v>30</v>
      </c>
      <c r="AC474" s="519" t="s">
        <v>3143</v>
      </c>
      <c r="AD474" s="518" t="s">
        <v>5521</v>
      </c>
      <c r="AE474" s="520" t="s">
        <v>5522</v>
      </c>
      <c r="AF474" s="504"/>
      <c r="AG474" s="494" t="s">
        <v>2917</v>
      </c>
      <c r="AH474" s="494" t="s">
        <v>2917</v>
      </c>
      <c r="AI474" s="505"/>
      <c r="AJ474" s="505"/>
      <c r="AK474" s="521">
        <f>_xll.GetCtData("COAMOUNT","CONSAMOUNT",$B$1:$B$7,$B474,AK$9,"#-62856889,0205361")</f>
        <v>-62856889</v>
      </c>
    </row>
    <row r="475" spans="2:39" ht="12" customHeight="1">
      <c r="B475" s="453" t="s">
        <v>5523</v>
      </c>
      <c r="C475" s="482" t="s">
        <v>2911</v>
      </c>
      <c r="D475" s="483"/>
      <c r="E475" s="484" t="s">
        <v>5409</v>
      </c>
      <c r="F475" s="485">
        <v>7</v>
      </c>
      <c r="G475" s="547"/>
      <c r="H475" s="547"/>
      <c r="I475" s="547"/>
      <c r="J475" s="547"/>
      <c r="K475" s="547"/>
      <c r="L475" s="547"/>
      <c r="M475" s="548"/>
      <c r="N475" s="517" t="s">
        <v>5524</v>
      </c>
      <c r="O475" s="518">
        <v>10</v>
      </c>
      <c r="P475" s="519" t="s">
        <v>5525</v>
      </c>
      <c r="Q475" s="489">
        <v>73</v>
      </c>
      <c r="R475" s="519" t="s">
        <v>5526</v>
      </c>
      <c r="S475" s="518">
        <f t="shared" si="35"/>
        <v>61</v>
      </c>
      <c r="T475" s="519" t="s">
        <v>5527</v>
      </c>
      <c r="U475" s="518">
        <f t="shared" si="36"/>
        <v>30</v>
      </c>
      <c r="V475" s="519" t="s">
        <v>2915</v>
      </c>
      <c r="W475" s="519" t="s">
        <v>5528</v>
      </c>
      <c r="X475" s="491">
        <f t="shared" si="37"/>
        <v>72</v>
      </c>
      <c r="Y475" s="519" t="s">
        <v>5528</v>
      </c>
      <c r="Z475" s="518">
        <f t="shared" si="38"/>
        <v>72</v>
      </c>
      <c r="AA475" s="519" t="s">
        <v>5529</v>
      </c>
      <c r="AB475" s="518">
        <f t="shared" si="39"/>
        <v>28</v>
      </c>
      <c r="AC475" s="519" t="s">
        <v>3143</v>
      </c>
      <c r="AD475" s="518" t="s">
        <v>5530</v>
      </c>
      <c r="AE475" s="520" t="s">
        <v>5531</v>
      </c>
      <c r="AF475" s="504"/>
      <c r="AG475" s="494" t="s">
        <v>2917</v>
      </c>
      <c r="AH475" s="494" t="s">
        <v>2917</v>
      </c>
      <c r="AI475" s="505"/>
      <c r="AJ475" s="505"/>
      <c r="AK475" s="521">
        <f>_xll.GetCtData("COAMOUNT","CONSAMOUNT",$B$1:$B$7,$B475,AK$9,"#62856891,7133769")</f>
        <v>62856891</v>
      </c>
    </row>
    <row r="476" spans="2:39" ht="12" customHeight="1">
      <c r="B476" s="453" t="s">
        <v>5532</v>
      </c>
      <c r="C476" s="482" t="s">
        <v>2911</v>
      </c>
      <c r="D476" s="483">
        <v>44378</v>
      </c>
      <c r="E476" s="484" t="s">
        <v>2912</v>
      </c>
      <c r="F476" s="485">
        <v>1</v>
      </c>
      <c r="G476" s="482"/>
      <c r="H476" s="497" t="s">
        <v>5533</v>
      </c>
      <c r="I476" s="497"/>
      <c r="J476" s="497"/>
      <c r="K476" s="497"/>
      <c r="L476" s="497"/>
      <c r="M476" s="498"/>
      <c r="N476" s="607"/>
      <c r="O476" s="608">
        <v>0</v>
      </c>
      <c r="P476" s="609" t="s">
        <v>1443</v>
      </c>
      <c r="Q476" s="489">
        <v>40</v>
      </c>
      <c r="R476" s="609" t="s">
        <v>1443</v>
      </c>
      <c r="S476" s="608">
        <f t="shared" si="35"/>
        <v>40</v>
      </c>
      <c r="T476" s="609" t="s">
        <v>5534</v>
      </c>
      <c r="U476" s="608">
        <f t="shared" si="36"/>
        <v>27</v>
      </c>
      <c r="V476" s="609" t="s">
        <v>2915</v>
      </c>
      <c r="W476" s="609" t="s">
        <v>5535</v>
      </c>
      <c r="X476" s="491">
        <f t="shared" si="37"/>
        <v>37</v>
      </c>
      <c r="Y476" s="609" t="s">
        <v>5535</v>
      </c>
      <c r="Z476" s="608">
        <f t="shared" si="38"/>
        <v>37</v>
      </c>
      <c r="AA476" s="609" t="s">
        <v>5536</v>
      </c>
      <c r="AB476" s="608">
        <f t="shared" si="39"/>
        <v>19</v>
      </c>
      <c r="AC476" s="609" t="s">
        <v>3143</v>
      </c>
      <c r="AD476" s="608"/>
      <c r="AE476" s="609"/>
      <c r="AF476" s="504"/>
      <c r="AG476" s="530" t="s">
        <v>2969</v>
      </c>
      <c r="AH476" s="495" t="s">
        <v>2918</v>
      </c>
      <c r="AI476" s="505"/>
      <c r="AJ476" s="505"/>
      <c r="AK476" s="610">
        <f>_xll.GetCtData("COAMOUNT","CONSAMOUNT",$B$1:$B$7,$B476,AK$9,"#333202,44843533")</f>
        <v>333202</v>
      </c>
    </row>
    <row r="477" spans="2:39" ht="12" customHeight="1">
      <c r="B477" s="453" t="s">
        <v>5537</v>
      </c>
      <c r="C477" s="482" t="s">
        <v>2911</v>
      </c>
      <c r="D477" s="483">
        <v>44378</v>
      </c>
      <c r="E477" s="484" t="s">
        <v>2912</v>
      </c>
      <c r="F477" s="485">
        <v>2</v>
      </c>
      <c r="G477" s="611"/>
      <c r="H477" s="611"/>
      <c r="I477" s="612" t="s">
        <v>5538</v>
      </c>
      <c r="J477" s="612"/>
      <c r="K477" s="612"/>
      <c r="L477" s="612"/>
      <c r="M477" s="613"/>
      <c r="N477" s="510"/>
      <c r="O477" s="614">
        <v>0</v>
      </c>
      <c r="P477" s="615" t="s">
        <v>5539</v>
      </c>
      <c r="Q477" s="489">
        <v>18</v>
      </c>
      <c r="R477" s="615" t="s">
        <v>5539</v>
      </c>
      <c r="S477" s="614"/>
      <c r="T477" s="615" t="s">
        <v>5540</v>
      </c>
      <c r="U477" s="614">
        <f t="shared" si="36"/>
        <v>9</v>
      </c>
      <c r="V477" s="615" t="s">
        <v>2915</v>
      </c>
      <c r="W477" s="615" t="s">
        <v>5535</v>
      </c>
      <c r="X477" s="491">
        <f t="shared" si="37"/>
        <v>37</v>
      </c>
      <c r="Y477" s="615" t="s">
        <v>5535</v>
      </c>
      <c r="Z477" s="614">
        <f t="shared" si="38"/>
        <v>37</v>
      </c>
      <c r="AA477" s="615" t="s">
        <v>5536</v>
      </c>
      <c r="AB477" s="614">
        <f t="shared" si="39"/>
        <v>19</v>
      </c>
      <c r="AC477" s="615" t="s">
        <v>3143</v>
      </c>
      <c r="AD477" s="614"/>
      <c r="AE477" s="615"/>
      <c r="AF477" s="504"/>
      <c r="AG477" s="530" t="s">
        <v>2969</v>
      </c>
      <c r="AH477" s="495" t="s">
        <v>2918</v>
      </c>
      <c r="AI477" s="505"/>
      <c r="AJ477" s="505"/>
      <c r="AK477" s="616">
        <f>_xll.GetCtData("COAMOUNT","CONSAMOUNT",$B$1:$B$7,$B477,AK$9,"#333202,44843533")</f>
        <v>333202</v>
      </c>
    </row>
    <row r="478" spans="2:39" ht="12" customHeight="1">
      <c r="B478" s="453" t="s">
        <v>5541</v>
      </c>
      <c r="C478" s="482" t="s">
        <v>2911</v>
      </c>
      <c r="D478" s="483">
        <v>44378</v>
      </c>
      <c r="E478" s="484" t="s">
        <v>2912</v>
      </c>
      <c r="F478" s="485">
        <v>3</v>
      </c>
      <c r="G478" s="482"/>
      <c r="H478" s="507"/>
      <c r="I478" s="507"/>
      <c r="J478" s="532" t="s">
        <v>5542</v>
      </c>
      <c r="K478" s="532"/>
      <c r="L478" s="532"/>
      <c r="M478" s="533"/>
      <c r="N478" s="587"/>
      <c r="O478" s="617">
        <v>0</v>
      </c>
      <c r="P478" s="618" t="s">
        <v>5543</v>
      </c>
      <c r="Q478" s="489">
        <v>48</v>
      </c>
      <c r="R478" s="618" t="s">
        <v>5544</v>
      </c>
      <c r="S478" s="617">
        <f t="shared" ref="S478:S517" si="40">LEN(R478)</f>
        <v>43</v>
      </c>
      <c r="T478" s="618" t="s">
        <v>5545</v>
      </c>
      <c r="U478" s="617">
        <f t="shared" si="36"/>
        <v>27</v>
      </c>
      <c r="V478" s="618" t="s">
        <v>5546</v>
      </c>
      <c r="W478" s="618" t="s">
        <v>5547</v>
      </c>
      <c r="X478" s="491">
        <f t="shared" si="37"/>
        <v>58</v>
      </c>
      <c r="Y478" s="618" t="s">
        <v>5547</v>
      </c>
      <c r="Z478" s="617">
        <f t="shared" si="38"/>
        <v>58</v>
      </c>
      <c r="AA478" s="618" t="s">
        <v>5548</v>
      </c>
      <c r="AB478" s="617">
        <f t="shared" si="39"/>
        <v>28</v>
      </c>
      <c r="AC478" s="618" t="s">
        <v>5549</v>
      </c>
      <c r="AD478" s="617"/>
      <c r="AE478" s="618"/>
      <c r="AF478" s="504"/>
      <c r="AG478" s="530" t="s">
        <v>2969</v>
      </c>
      <c r="AH478" s="495" t="s">
        <v>2918</v>
      </c>
      <c r="AI478" s="505"/>
      <c r="AJ478" s="505"/>
      <c r="AK478" s="619">
        <f>_xll.GetCtData("COAMOUNT","CONSAMOUNT",$B$1:$B$7,$B478,AK$9,"#241787,44843533")</f>
        <v>241787</v>
      </c>
    </row>
    <row r="479" spans="2:39" ht="12" customHeight="1">
      <c r="B479" s="453" t="s">
        <v>5550</v>
      </c>
      <c r="C479" s="482" t="s">
        <v>2911</v>
      </c>
      <c r="D479" s="483">
        <v>44378</v>
      </c>
      <c r="E479" s="484" t="s">
        <v>2912</v>
      </c>
      <c r="F479" s="485">
        <v>4</v>
      </c>
      <c r="G479" s="507"/>
      <c r="H479" s="507"/>
      <c r="I479" s="507"/>
      <c r="J479" s="507"/>
      <c r="K479" s="564" t="s">
        <v>5551</v>
      </c>
      <c r="L479" s="564"/>
      <c r="M479" s="565"/>
      <c r="N479" s="620"/>
      <c r="O479" s="621">
        <v>0</v>
      </c>
      <c r="P479" s="622" t="s">
        <v>5552</v>
      </c>
      <c r="Q479" s="489">
        <v>40</v>
      </c>
      <c r="R479" s="622" t="s">
        <v>5553</v>
      </c>
      <c r="S479" s="621">
        <f t="shared" si="40"/>
        <v>35</v>
      </c>
      <c r="T479" s="622" t="s">
        <v>5554</v>
      </c>
      <c r="U479" s="621">
        <f t="shared" si="36"/>
        <v>19</v>
      </c>
      <c r="V479" s="622" t="s">
        <v>5546</v>
      </c>
      <c r="W479" s="561" t="s">
        <v>5555</v>
      </c>
      <c r="X479" s="491">
        <f t="shared" si="37"/>
        <v>49</v>
      </c>
      <c r="Y479" s="561" t="s">
        <v>5555</v>
      </c>
      <c r="Z479" s="621">
        <f t="shared" si="38"/>
        <v>49</v>
      </c>
      <c r="AA479" s="561" t="s">
        <v>5556</v>
      </c>
      <c r="AB479" s="621">
        <f t="shared" si="39"/>
        <v>20</v>
      </c>
      <c r="AC479" s="622" t="s">
        <v>5549</v>
      </c>
      <c r="AD479" s="621"/>
      <c r="AE479" s="562"/>
      <c r="AF479" s="504" t="s">
        <v>5557</v>
      </c>
      <c r="AG479" s="530" t="s">
        <v>2969</v>
      </c>
      <c r="AH479" s="495" t="s">
        <v>2918</v>
      </c>
      <c r="AI479" s="505"/>
      <c r="AJ479" s="505"/>
      <c r="AK479" s="563">
        <f>_xll.GetCtData("COAMOUNT","CONSAMOUNT",$B$1:$B$7,$B479,AK$9,"#241787,175052842")</f>
        <v>241787</v>
      </c>
    </row>
    <row r="480" spans="2:39" ht="12" customHeight="1">
      <c r="B480" s="453" t="s">
        <v>2046</v>
      </c>
      <c r="C480" s="482" t="s">
        <v>2911</v>
      </c>
      <c r="D480" s="483">
        <v>44378</v>
      </c>
      <c r="E480" s="484" t="s">
        <v>2912</v>
      </c>
      <c r="F480" s="485">
        <v>5</v>
      </c>
      <c r="G480" s="507"/>
      <c r="H480" s="507"/>
      <c r="I480" s="507"/>
      <c r="J480" s="507"/>
      <c r="K480" s="623"/>
      <c r="L480" s="624" t="s">
        <v>5558</v>
      </c>
      <c r="M480" s="625"/>
      <c r="N480" s="626"/>
      <c r="O480" s="627">
        <v>0</v>
      </c>
      <c r="P480" s="628" t="s">
        <v>5559</v>
      </c>
      <c r="Q480" s="489">
        <v>67</v>
      </c>
      <c r="R480" s="628" t="s">
        <v>5560</v>
      </c>
      <c r="S480" s="627">
        <f t="shared" si="40"/>
        <v>62</v>
      </c>
      <c r="T480" s="628" t="s">
        <v>5561</v>
      </c>
      <c r="U480" s="627">
        <f t="shared" si="36"/>
        <v>28</v>
      </c>
      <c r="V480" s="628" t="s">
        <v>5546</v>
      </c>
      <c r="W480" s="629" t="s">
        <v>5562</v>
      </c>
      <c r="X480" s="491">
        <f t="shared" si="37"/>
        <v>73</v>
      </c>
      <c r="Y480" s="629" t="s">
        <v>5562</v>
      </c>
      <c r="Z480" s="627">
        <f t="shared" si="38"/>
        <v>73</v>
      </c>
      <c r="AA480" s="629" t="s">
        <v>5563</v>
      </c>
      <c r="AB480" s="627">
        <f t="shared" si="39"/>
        <v>15</v>
      </c>
      <c r="AC480" s="628" t="s">
        <v>5549</v>
      </c>
      <c r="AD480" s="627"/>
      <c r="AE480" s="630"/>
      <c r="AF480" s="504" t="s">
        <v>5564</v>
      </c>
      <c r="AG480" s="530" t="s">
        <v>2969</v>
      </c>
      <c r="AH480" s="495" t="s">
        <v>2918</v>
      </c>
      <c r="AI480" s="505"/>
      <c r="AJ480" s="505"/>
      <c r="AK480" s="631">
        <f>_xll.GetCtData("COAMOUNT","CONSAMOUNT",$B$1:$B$7,$B480,AK$9,"#840269,437328533")</f>
        <v>840269</v>
      </c>
      <c r="AM480" s="632">
        <f>AK480+AK488+AK500+AK506+AK494</f>
        <v>788855</v>
      </c>
    </row>
    <row r="481" spans="2:37" ht="12" customHeight="1">
      <c r="B481" s="453" t="s">
        <v>1516</v>
      </c>
      <c r="C481" s="482" t="s">
        <v>2929</v>
      </c>
      <c r="D481" s="483">
        <v>44403</v>
      </c>
      <c r="E481" s="484" t="s">
        <v>2930</v>
      </c>
      <c r="F481" s="485">
        <v>7</v>
      </c>
      <c r="G481" s="623"/>
      <c r="H481" s="623"/>
      <c r="I481" s="623"/>
      <c r="J481" s="623"/>
      <c r="K481" s="623"/>
      <c r="L481" s="623"/>
      <c r="M481" s="633"/>
      <c r="N481" s="634" t="s">
        <v>1517</v>
      </c>
      <c r="O481" s="518">
        <v>10</v>
      </c>
      <c r="P481" s="519" t="s">
        <v>5565</v>
      </c>
      <c r="Q481" s="489">
        <v>93</v>
      </c>
      <c r="R481" s="519" t="s">
        <v>1518</v>
      </c>
      <c r="S481" s="518">
        <f t="shared" si="40"/>
        <v>87</v>
      </c>
      <c r="T481" s="519" t="s">
        <v>5566</v>
      </c>
      <c r="U481" s="518">
        <f t="shared" si="36"/>
        <v>14</v>
      </c>
      <c r="V481" s="519" t="s">
        <v>5546</v>
      </c>
      <c r="W481" s="519" t="s">
        <v>5567</v>
      </c>
      <c r="X481" s="491">
        <f t="shared" si="37"/>
        <v>96</v>
      </c>
      <c r="Y481" s="519" t="s">
        <v>5567</v>
      </c>
      <c r="Z481" s="518">
        <f t="shared" si="38"/>
        <v>96</v>
      </c>
      <c r="AA481" s="519" t="s">
        <v>5563</v>
      </c>
      <c r="AB481" s="518">
        <f t="shared" si="39"/>
        <v>15</v>
      </c>
      <c r="AC481" s="519" t="s">
        <v>5549</v>
      </c>
      <c r="AD481" s="518"/>
      <c r="AE481" s="520"/>
      <c r="AF481" s="504" t="s">
        <v>5568</v>
      </c>
      <c r="AG481" s="530" t="s">
        <v>2969</v>
      </c>
      <c r="AH481" s="530" t="s">
        <v>2969</v>
      </c>
      <c r="AI481" s="505" t="s">
        <v>5359</v>
      </c>
      <c r="AJ481" s="505"/>
      <c r="AK481" s="521">
        <f>_xll.GetCtData("COAMOUNT","CONSAMOUNT",$B$1:$B$7,$B481,AK$9,"#844054,001967027")</f>
        <v>844054</v>
      </c>
    </row>
    <row r="482" spans="2:37" ht="12" customHeight="1">
      <c r="B482" s="635" t="s">
        <v>5569</v>
      </c>
      <c r="C482" s="482" t="s">
        <v>2929</v>
      </c>
      <c r="D482" s="483">
        <v>44403</v>
      </c>
      <c r="E482" s="484" t="s">
        <v>2930</v>
      </c>
      <c r="F482" s="485">
        <v>7</v>
      </c>
      <c r="G482" s="547"/>
      <c r="H482" s="547"/>
      <c r="I482" s="547"/>
      <c r="J482" s="547"/>
      <c r="K482" s="636"/>
      <c r="L482" s="636"/>
      <c r="M482" s="637"/>
      <c r="N482" s="638" t="s">
        <v>5570</v>
      </c>
      <c r="O482" s="639">
        <v>10</v>
      </c>
      <c r="P482" s="640" t="s">
        <v>5571</v>
      </c>
      <c r="Q482" s="641">
        <v>115</v>
      </c>
      <c r="R482" s="640" t="s">
        <v>5572</v>
      </c>
      <c r="S482" s="639">
        <f t="shared" si="40"/>
        <v>109</v>
      </c>
      <c r="T482" s="640" t="s">
        <v>5573</v>
      </c>
      <c r="U482" s="639">
        <f t="shared" si="36"/>
        <v>19</v>
      </c>
      <c r="V482" s="640" t="s">
        <v>5546</v>
      </c>
      <c r="W482" s="640" t="s">
        <v>5574</v>
      </c>
      <c r="X482" s="642">
        <f t="shared" si="37"/>
        <v>113</v>
      </c>
      <c r="Y482" s="640" t="s">
        <v>5574</v>
      </c>
      <c r="Z482" s="639">
        <f t="shared" si="38"/>
        <v>113</v>
      </c>
      <c r="AA482" s="640" t="s">
        <v>5575</v>
      </c>
      <c r="AB482" s="639">
        <f t="shared" si="39"/>
        <v>24</v>
      </c>
      <c r="AC482" s="640" t="s">
        <v>5549</v>
      </c>
      <c r="AD482" s="639"/>
      <c r="AE482" s="643"/>
      <c r="AF482" s="644" t="s">
        <v>5576</v>
      </c>
      <c r="AG482" s="645" t="s">
        <v>5577</v>
      </c>
      <c r="AH482" s="645" t="s">
        <v>5577</v>
      </c>
      <c r="AI482" s="646" t="s">
        <v>5359</v>
      </c>
      <c r="AJ482" s="646"/>
      <c r="AK482" s="647"/>
    </row>
    <row r="483" spans="2:37" ht="12" customHeight="1">
      <c r="B483" s="453" t="s">
        <v>1519</v>
      </c>
      <c r="C483" s="482" t="s">
        <v>2929</v>
      </c>
      <c r="D483" s="483">
        <v>44403</v>
      </c>
      <c r="E483" s="484" t="s">
        <v>2930</v>
      </c>
      <c r="F483" s="485">
        <v>7</v>
      </c>
      <c r="G483" s="623"/>
      <c r="H483" s="623"/>
      <c r="I483" s="623"/>
      <c r="J483" s="623"/>
      <c r="K483" s="623"/>
      <c r="L483" s="623"/>
      <c r="M483" s="633"/>
      <c r="N483" s="634" t="s">
        <v>1520</v>
      </c>
      <c r="O483" s="518">
        <v>10</v>
      </c>
      <c r="P483" s="519" t="s">
        <v>5578</v>
      </c>
      <c r="Q483" s="489">
        <v>92</v>
      </c>
      <c r="R483" s="519" t="s">
        <v>1521</v>
      </c>
      <c r="S483" s="518">
        <f t="shared" si="40"/>
        <v>86</v>
      </c>
      <c r="T483" s="519" t="s">
        <v>5579</v>
      </c>
      <c r="U483" s="518">
        <f t="shared" si="36"/>
        <v>27</v>
      </c>
      <c r="V483" s="519" t="s">
        <v>5546</v>
      </c>
      <c r="W483" s="519" t="s">
        <v>5580</v>
      </c>
      <c r="X483" s="491">
        <f t="shared" si="37"/>
        <v>93</v>
      </c>
      <c r="Y483" s="519" t="s">
        <v>5580</v>
      </c>
      <c r="Z483" s="518">
        <f t="shared" si="38"/>
        <v>93</v>
      </c>
      <c r="AA483" s="519" t="s">
        <v>5581</v>
      </c>
      <c r="AB483" s="518">
        <f t="shared" si="39"/>
        <v>22</v>
      </c>
      <c r="AC483" s="519" t="s">
        <v>5549</v>
      </c>
      <c r="AD483" s="518"/>
      <c r="AE483" s="520"/>
      <c r="AF483" s="504" t="s">
        <v>5582</v>
      </c>
      <c r="AG483" s="530" t="s">
        <v>2969</v>
      </c>
      <c r="AH483" s="530" t="s">
        <v>2969</v>
      </c>
      <c r="AI483" s="505" t="s">
        <v>5359</v>
      </c>
      <c r="AJ483" s="505"/>
      <c r="AK483" s="521">
        <f>_xll.GetCtData("COAMOUNT","CONSAMOUNT",$B$1:$B$7,$B483,AK$9,"#-115798,067778936")</f>
        <v>-115798</v>
      </c>
    </row>
    <row r="484" spans="2:37" ht="12" customHeight="1">
      <c r="B484" s="453" t="s">
        <v>1522</v>
      </c>
      <c r="C484" s="482" t="s">
        <v>2929</v>
      </c>
      <c r="D484" s="483">
        <v>44403</v>
      </c>
      <c r="E484" s="484" t="s">
        <v>2930</v>
      </c>
      <c r="F484" s="485">
        <v>7</v>
      </c>
      <c r="G484" s="547"/>
      <c r="H484" s="547"/>
      <c r="I484" s="547"/>
      <c r="J484" s="547"/>
      <c r="K484" s="547"/>
      <c r="L484" s="547"/>
      <c r="M484" s="548"/>
      <c r="N484" s="634" t="s">
        <v>1523</v>
      </c>
      <c r="O484" s="518">
        <v>10</v>
      </c>
      <c r="P484" s="648" t="s">
        <v>5583</v>
      </c>
      <c r="Q484" s="489">
        <v>103</v>
      </c>
      <c r="R484" s="519" t="s">
        <v>1524</v>
      </c>
      <c r="S484" s="518">
        <f t="shared" si="40"/>
        <v>103</v>
      </c>
      <c r="T484" s="519" t="s">
        <v>5584</v>
      </c>
      <c r="U484" s="518">
        <f t="shared" si="36"/>
        <v>26</v>
      </c>
      <c r="V484" s="519" t="s">
        <v>5546</v>
      </c>
      <c r="W484" s="519" t="s">
        <v>5585</v>
      </c>
      <c r="X484" s="491">
        <f t="shared" si="37"/>
        <v>114</v>
      </c>
      <c r="Y484" s="519" t="s">
        <v>5585</v>
      </c>
      <c r="Z484" s="518">
        <f t="shared" si="38"/>
        <v>114</v>
      </c>
      <c r="AA484" s="519" t="s">
        <v>5586</v>
      </c>
      <c r="AB484" s="518">
        <f t="shared" si="39"/>
        <v>23</v>
      </c>
      <c r="AC484" s="519" t="s">
        <v>5549</v>
      </c>
      <c r="AD484" s="518" t="s">
        <v>5587</v>
      </c>
      <c r="AE484" s="520" t="s">
        <v>5588</v>
      </c>
      <c r="AF484" s="504" t="s">
        <v>5589</v>
      </c>
      <c r="AG484" s="530" t="s">
        <v>2969</v>
      </c>
      <c r="AH484" s="530" t="s">
        <v>2969</v>
      </c>
      <c r="AI484" s="505" t="s">
        <v>5359</v>
      </c>
      <c r="AJ484" s="505"/>
      <c r="AK484" s="521">
        <f>_xll.GetCtData("COAMOUNT","CONSAMOUNT",$B$1:$B$7,$B484,AK$9,"#108653,193116008")</f>
        <v>108653</v>
      </c>
    </row>
    <row r="485" spans="2:37" ht="12" customHeight="1">
      <c r="B485" s="453" t="s">
        <v>1546</v>
      </c>
      <c r="C485" s="649" t="s">
        <v>2962</v>
      </c>
      <c r="D485" s="650">
        <v>44515</v>
      </c>
      <c r="E485" s="484" t="s">
        <v>2930</v>
      </c>
      <c r="F485" s="485">
        <v>7</v>
      </c>
      <c r="G485" s="547"/>
      <c r="H485" s="547"/>
      <c r="I485" s="547"/>
      <c r="J485" s="547"/>
      <c r="K485" s="547"/>
      <c r="L485" s="547"/>
      <c r="M485" s="548"/>
      <c r="N485" s="634" t="s">
        <v>1547</v>
      </c>
      <c r="O485" s="518">
        <v>10</v>
      </c>
      <c r="P485" s="648" t="s">
        <v>5590</v>
      </c>
      <c r="Q485" s="489">
        <v>101</v>
      </c>
      <c r="R485" s="519" t="s">
        <v>5591</v>
      </c>
      <c r="S485" s="518">
        <f t="shared" si="40"/>
        <v>101</v>
      </c>
      <c r="T485" s="519" t="s">
        <v>5592</v>
      </c>
      <c r="U485" s="518">
        <f t="shared" si="36"/>
        <v>25</v>
      </c>
      <c r="V485" s="519" t="s">
        <v>5546</v>
      </c>
      <c r="W485" s="519" t="s">
        <v>5593</v>
      </c>
      <c r="X485" s="491">
        <f t="shared" si="37"/>
        <v>111</v>
      </c>
      <c r="Y485" s="519" t="s">
        <v>5594</v>
      </c>
      <c r="Z485" s="518">
        <f t="shared" si="38"/>
        <v>89</v>
      </c>
      <c r="AA485" s="519" t="s">
        <v>5586</v>
      </c>
      <c r="AB485" s="518">
        <f t="shared" si="39"/>
        <v>23</v>
      </c>
      <c r="AC485" s="519" t="s">
        <v>5549</v>
      </c>
      <c r="AD485" s="518" t="s">
        <v>5587</v>
      </c>
      <c r="AE485" s="520" t="s">
        <v>5588</v>
      </c>
      <c r="AF485" s="651" t="s">
        <v>5595</v>
      </c>
      <c r="AG485" s="530" t="s">
        <v>2969</v>
      </c>
      <c r="AH485" s="530" t="s">
        <v>2969</v>
      </c>
      <c r="AI485" s="505" t="s">
        <v>5359</v>
      </c>
      <c r="AJ485" s="505"/>
      <c r="AK485" s="521">
        <f>_xll.GetCtData("COAMOUNT","CONSAMOUNT",$B$1:$B$7,$B485,AK$9,"#3360,31002443466")</f>
        <v>3360</v>
      </c>
    </row>
    <row r="486" spans="2:37" ht="12" customHeight="1">
      <c r="B486" s="635" t="s">
        <v>5596</v>
      </c>
      <c r="C486" s="482" t="s">
        <v>2929</v>
      </c>
      <c r="D486" s="483">
        <v>44403</v>
      </c>
      <c r="E486" s="484" t="s">
        <v>2930</v>
      </c>
      <c r="F486" s="485">
        <v>7</v>
      </c>
      <c r="G486" s="547"/>
      <c r="H486" s="547"/>
      <c r="I486" s="547"/>
      <c r="J486" s="547"/>
      <c r="K486" s="636"/>
      <c r="L486" s="636"/>
      <c r="M486" s="637"/>
      <c r="N486" s="638" t="s">
        <v>5597</v>
      </c>
      <c r="O486" s="639">
        <v>9</v>
      </c>
      <c r="P486" s="640" t="s">
        <v>5598</v>
      </c>
      <c r="Q486" s="641">
        <v>90</v>
      </c>
      <c r="R486" s="640" t="s">
        <v>5599</v>
      </c>
      <c r="S486" s="639">
        <f t="shared" si="40"/>
        <v>85</v>
      </c>
      <c r="T486" s="640" t="s">
        <v>5600</v>
      </c>
      <c r="U486" s="639">
        <f t="shared" si="36"/>
        <v>25</v>
      </c>
      <c r="V486" s="640" t="s">
        <v>5546</v>
      </c>
      <c r="W486" s="640" t="s">
        <v>5601</v>
      </c>
      <c r="X486" s="642">
        <f t="shared" si="37"/>
        <v>56</v>
      </c>
      <c r="Y486" s="640" t="s">
        <v>5601</v>
      </c>
      <c r="Z486" s="639">
        <f t="shared" si="38"/>
        <v>56</v>
      </c>
      <c r="AA486" s="640" t="s">
        <v>5602</v>
      </c>
      <c r="AB486" s="639">
        <f t="shared" si="39"/>
        <v>24</v>
      </c>
      <c r="AC486" s="640" t="s">
        <v>5549</v>
      </c>
      <c r="AD486" s="639" t="s">
        <v>5587</v>
      </c>
      <c r="AE486" s="643" t="s">
        <v>5588</v>
      </c>
      <c r="AF486" s="644" t="s">
        <v>5603</v>
      </c>
      <c r="AG486" s="645" t="s">
        <v>5577</v>
      </c>
      <c r="AH486" s="645" t="s">
        <v>5577</v>
      </c>
      <c r="AI486" s="646" t="s">
        <v>5359</v>
      </c>
      <c r="AJ486" s="646"/>
      <c r="AK486" s="647"/>
    </row>
    <row r="487" spans="2:37" ht="12" customHeight="1">
      <c r="B487" s="635" t="s">
        <v>5604</v>
      </c>
      <c r="C487" s="482" t="s">
        <v>2929</v>
      </c>
      <c r="D487" s="483">
        <v>44403</v>
      </c>
      <c r="E487" s="484" t="s">
        <v>2930</v>
      </c>
      <c r="F487" s="485">
        <v>7</v>
      </c>
      <c r="G487" s="547"/>
      <c r="H487" s="547"/>
      <c r="I487" s="547"/>
      <c r="J487" s="547"/>
      <c r="K487" s="636"/>
      <c r="L487" s="636"/>
      <c r="M487" s="637"/>
      <c r="N487" s="638" t="s">
        <v>5605</v>
      </c>
      <c r="O487" s="639">
        <v>9</v>
      </c>
      <c r="P487" s="640" t="s">
        <v>5606</v>
      </c>
      <c r="Q487" s="641">
        <v>96</v>
      </c>
      <c r="R487" s="640" t="s">
        <v>5607</v>
      </c>
      <c r="S487" s="639">
        <f t="shared" si="40"/>
        <v>89</v>
      </c>
      <c r="T487" s="640" t="s">
        <v>5608</v>
      </c>
      <c r="U487" s="639">
        <f t="shared" si="36"/>
        <v>23</v>
      </c>
      <c r="V487" s="640" t="s">
        <v>5546</v>
      </c>
      <c r="W487" s="640" t="s">
        <v>5601</v>
      </c>
      <c r="X487" s="642">
        <f t="shared" si="37"/>
        <v>56</v>
      </c>
      <c r="Y487" s="640" t="s">
        <v>5601</v>
      </c>
      <c r="Z487" s="639">
        <f t="shared" si="38"/>
        <v>56</v>
      </c>
      <c r="AA487" s="640" t="s">
        <v>5602</v>
      </c>
      <c r="AB487" s="639">
        <f t="shared" si="39"/>
        <v>24</v>
      </c>
      <c r="AC487" s="640" t="s">
        <v>5549</v>
      </c>
      <c r="AD487" s="639" t="s">
        <v>5609</v>
      </c>
      <c r="AE487" s="643" t="s">
        <v>5610</v>
      </c>
      <c r="AF487" s="644" t="s">
        <v>2939</v>
      </c>
      <c r="AG487" s="645" t="s">
        <v>5577</v>
      </c>
      <c r="AH487" s="645" t="s">
        <v>5577</v>
      </c>
      <c r="AI487" s="646" t="s">
        <v>4849</v>
      </c>
      <c r="AJ487" s="646"/>
      <c r="AK487" s="647"/>
    </row>
    <row r="488" spans="2:37" ht="12" customHeight="1">
      <c r="B488" s="453" t="s">
        <v>2047</v>
      </c>
      <c r="C488" s="482" t="s">
        <v>2911</v>
      </c>
      <c r="D488" s="483">
        <v>44378</v>
      </c>
      <c r="E488" s="484" t="s">
        <v>2912</v>
      </c>
      <c r="F488" s="485">
        <v>5</v>
      </c>
      <c r="G488" s="507"/>
      <c r="H488" s="507"/>
      <c r="I488" s="507"/>
      <c r="J488" s="507"/>
      <c r="K488" s="547"/>
      <c r="L488" s="624" t="s">
        <v>5611</v>
      </c>
      <c r="M488" s="625"/>
      <c r="N488" s="626"/>
      <c r="O488" s="627">
        <v>0</v>
      </c>
      <c r="P488" s="628" t="s">
        <v>5612</v>
      </c>
      <c r="Q488" s="489">
        <v>65</v>
      </c>
      <c r="R488" s="628" t="s">
        <v>5613</v>
      </c>
      <c r="S488" s="627">
        <f t="shared" si="40"/>
        <v>60</v>
      </c>
      <c r="T488" s="628" t="s">
        <v>5614</v>
      </c>
      <c r="U488" s="627">
        <f t="shared" si="36"/>
        <v>26</v>
      </c>
      <c r="V488" s="628" t="s">
        <v>5546</v>
      </c>
      <c r="W488" s="629" t="s">
        <v>5615</v>
      </c>
      <c r="X488" s="491">
        <f t="shared" si="37"/>
        <v>67</v>
      </c>
      <c r="Y488" s="629" t="s">
        <v>5615</v>
      </c>
      <c r="Z488" s="627">
        <f t="shared" si="38"/>
        <v>67</v>
      </c>
      <c r="AA488" s="629" t="s">
        <v>5616</v>
      </c>
      <c r="AB488" s="627">
        <f t="shared" si="39"/>
        <v>29</v>
      </c>
      <c r="AC488" s="628" t="s">
        <v>5549</v>
      </c>
      <c r="AD488" s="627"/>
      <c r="AE488" s="630"/>
      <c r="AF488" s="504" t="s">
        <v>5617</v>
      </c>
      <c r="AG488" s="530" t="s">
        <v>2969</v>
      </c>
      <c r="AH488" s="495" t="s">
        <v>2918</v>
      </c>
      <c r="AI488" s="505"/>
      <c r="AJ488" s="505"/>
      <c r="AK488" s="631">
        <f>_xll.GetCtData("COAMOUNT","CONSAMOUNT",$B$1:$B$7,$B488,AK$9,"#-51414,5811246168")</f>
        <v>-51414</v>
      </c>
    </row>
    <row r="489" spans="2:37" ht="12" customHeight="1">
      <c r="B489" s="453" t="s">
        <v>1552</v>
      </c>
      <c r="C489" s="482" t="s">
        <v>2929</v>
      </c>
      <c r="D489" s="483">
        <v>44403</v>
      </c>
      <c r="E489" s="484" t="s">
        <v>2930</v>
      </c>
      <c r="F489" s="485">
        <v>7</v>
      </c>
      <c r="G489" s="623"/>
      <c r="H489" s="623"/>
      <c r="I489" s="623"/>
      <c r="J489" s="623"/>
      <c r="K489" s="623"/>
      <c r="L489" s="623"/>
      <c r="M489" s="633"/>
      <c r="N489" s="634" t="s">
        <v>1553</v>
      </c>
      <c r="O489" s="518">
        <v>10</v>
      </c>
      <c r="P489" s="519" t="s">
        <v>5618</v>
      </c>
      <c r="Q489" s="489">
        <v>91</v>
      </c>
      <c r="R489" s="652" t="s">
        <v>1554</v>
      </c>
      <c r="S489" s="518">
        <f t="shared" si="40"/>
        <v>85</v>
      </c>
      <c r="T489" s="652" t="s">
        <v>5619</v>
      </c>
      <c r="U489" s="518">
        <f t="shared" si="36"/>
        <v>19</v>
      </c>
      <c r="V489" s="652" t="s">
        <v>5546</v>
      </c>
      <c r="W489" s="652" t="s">
        <v>5620</v>
      </c>
      <c r="X489" s="491">
        <f t="shared" si="37"/>
        <v>90</v>
      </c>
      <c r="Y489" s="519" t="s">
        <v>5620</v>
      </c>
      <c r="Z489" s="518">
        <f t="shared" si="38"/>
        <v>90</v>
      </c>
      <c r="AA489" s="652" t="s">
        <v>5621</v>
      </c>
      <c r="AB489" s="518">
        <f t="shared" si="39"/>
        <v>12</v>
      </c>
      <c r="AC489" s="652" t="s">
        <v>5549</v>
      </c>
      <c r="AD489" s="518"/>
      <c r="AE489" s="520"/>
      <c r="AF489" s="504" t="s">
        <v>5622</v>
      </c>
      <c r="AG489" s="530" t="s">
        <v>2969</v>
      </c>
      <c r="AH489" s="530" t="s">
        <v>2969</v>
      </c>
      <c r="AI489" s="505" t="s">
        <v>5359</v>
      </c>
      <c r="AJ489" s="505"/>
      <c r="AK489" s="653">
        <f>_xll.GetCtData("COAMOUNT","CONSAMOUNT",$B$1:$B$7,$B489,AK$9,"#-47871,7595598649")</f>
        <v>-47871</v>
      </c>
    </row>
    <row r="490" spans="2:37" ht="12" customHeight="1">
      <c r="B490" s="635" t="s">
        <v>5623</v>
      </c>
      <c r="C490" s="482" t="s">
        <v>2929</v>
      </c>
      <c r="D490" s="483">
        <v>44403</v>
      </c>
      <c r="E490" s="484" t="s">
        <v>2930</v>
      </c>
      <c r="F490" s="485">
        <v>7</v>
      </c>
      <c r="G490" s="547"/>
      <c r="H490" s="547"/>
      <c r="I490" s="547"/>
      <c r="J490" s="547"/>
      <c r="K490" s="636"/>
      <c r="L490" s="636"/>
      <c r="M490" s="637"/>
      <c r="N490" s="638" t="s">
        <v>5624</v>
      </c>
      <c r="O490" s="639">
        <v>10</v>
      </c>
      <c r="P490" s="640" t="s">
        <v>5625</v>
      </c>
      <c r="Q490" s="641">
        <v>113</v>
      </c>
      <c r="R490" s="640" t="s">
        <v>5626</v>
      </c>
      <c r="S490" s="639">
        <f t="shared" si="40"/>
        <v>107</v>
      </c>
      <c r="T490" s="640" t="s">
        <v>5627</v>
      </c>
      <c r="U490" s="639">
        <f t="shared" si="36"/>
        <v>24</v>
      </c>
      <c r="V490" s="640" t="s">
        <v>5546</v>
      </c>
      <c r="W490" s="640" t="s">
        <v>5628</v>
      </c>
      <c r="X490" s="642">
        <f t="shared" si="37"/>
        <v>107</v>
      </c>
      <c r="Y490" s="640" t="s">
        <v>5628</v>
      </c>
      <c r="Z490" s="639">
        <f t="shared" si="38"/>
        <v>107</v>
      </c>
      <c r="AA490" s="640" t="s">
        <v>5629</v>
      </c>
      <c r="AB490" s="639">
        <f t="shared" si="39"/>
        <v>21</v>
      </c>
      <c r="AC490" s="640" t="s">
        <v>5549</v>
      </c>
      <c r="AD490" s="639"/>
      <c r="AE490" s="643"/>
      <c r="AF490" s="644" t="s">
        <v>5630</v>
      </c>
      <c r="AG490" s="645" t="s">
        <v>5577</v>
      </c>
      <c r="AH490" s="645" t="s">
        <v>5577</v>
      </c>
      <c r="AI490" s="646" t="s">
        <v>5359</v>
      </c>
      <c r="AJ490" s="646"/>
      <c r="AK490" s="647"/>
    </row>
    <row r="491" spans="2:37" ht="12" customHeight="1">
      <c r="B491" s="453" t="s">
        <v>1555</v>
      </c>
      <c r="C491" s="482" t="s">
        <v>2929</v>
      </c>
      <c r="D491" s="483">
        <v>44403</v>
      </c>
      <c r="E491" s="484" t="s">
        <v>2930</v>
      </c>
      <c r="F491" s="485">
        <v>7</v>
      </c>
      <c r="G491" s="623"/>
      <c r="H491" s="623"/>
      <c r="I491" s="623"/>
      <c r="J491" s="623"/>
      <c r="K491" s="623"/>
      <c r="L491" s="623"/>
      <c r="M491" s="633"/>
      <c r="N491" s="634" t="s">
        <v>1556</v>
      </c>
      <c r="O491" s="518">
        <v>10</v>
      </c>
      <c r="P491" s="519" t="s">
        <v>5631</v>
      </c>
      <c r="Q491" s="489">
        <v>90</v>
      </c>
      <c r="R491" s="652" t="s">
        <v>1557</v>
      </c>
      <c r="S491" s="518">
        <f t="shared" si="40"/>
        <v>84</v>
      </c>
      <c r="T491" s="652" t="s">
        <v>5632</v>
      </c>
      <c r="U491" s="518">
        <f t="shared" si="36"/>
        <v>23</v>
      </c>
      <c r="V491" s="652" t="s">
        <v>5546</v>
      </c>
      <c r="W491" s="652" t="s">
        <v>5633</v>
      </c>
      <c r="X491" s="491">
        <f t="shared" si="37"/>
        <v>87</v>
      </c>
      <c r="Y491" s="519" t="s">
        <v>5634</v>
      </c>
      <c r="Z491" s="518">
        <f t="shared" si="38"/>
        <v>87</v>
      </c>
      <c r="AA491" s="652" t="s">
        <v>5635</v>
      </c>
      <c r="AB491" s="518">
        <f t="shared" si="39"/>
        <v>19</v>
      </c>
      <c r="AC491" s="652" t="s">
        <v>5549</v>
      </c>
      <c r="AD491" s="518"/>
      <c r="AE491" s="520"/>
      <c r="AF491" s="504" t="s">
        <v>5636</v>
      </c>
      <c r="AG491" s="530" t="s">
        <v>2969</v>
      </c>
      <c r="AH491" s="530" t="s">
        <v>2969</v>
      </c>
      <c r="AI491" s="505" t="s">
        <v>5359</v>
      </c>
      <c r="AJ491" s="505"/>
      <c r="AK491" s="653">
        <f>_xll.GetCtData("COAMOUNT","CONSAMOUNT",$B$1:$B$7,$B491,AK$9,"#-3542,82156475184")</f>
        <v>-3542</v>
      </c>
    </row>
    <row r="492" spans="2:37" ht="12" customHeight="1">
      <c r="B492" s="453" t="s">
        <v>2048</v>
      </c>
      <c r="C492" s="482" t="s">
        <v>2911</v>
      </c>
      <c r="D492" s="483">
        <v>44378</v>
      </c>
      <c r="E492" s="484" t="s">
        <v>2912</v>
      </c>
      <c r="F492" s="485">
        <v>5</v>
      </c>
      <c r="G492" s="507"/>
      <c r="H492" s="507"/>
      <c r="I492" s="507"/>
      <c r="J492" s="507"/>
      <c r="K492" s="547"/>
      <c r="L492" s="624" t="s">
        <v>5637</v>
      </c>
      <c r="M492" s="625"/>
      <c r="N492" s="626"/>
      <c r="O492" s="627">
        <v>0</v>
      </c>
      <c r="P492" s="628" t="s">
        <v>5638</v>
      </c>
      <c r="Q492" s="489">
        <v>74</v>
      </c>
      <c r="R492" s="628" t="s">
        <v>5639</v>
      </c>
      <c r="S492" s="627">
        <f t="shared" si="40"/>
        <v>69</v>
      </c>
      <c r="T492" s="628" t="s">
        <v>5640</v>
      </c>
      <c r="U492" s="627">
        <f t="shared" si="36"/>
        <v>20</v>
      </c>
      <c r="V492" s="628" t="s">
        <v>5546</v>
      </c>
      <c r="W492" s="629" t="s">
        <v>5641</v>
      </c>
      <c r="X492" s="491">
        <f t="shared" si="37"/>
        <v>78</v>
      </c>
      <c r="Y492" s="629" t="s">
        <v>5641</v>
      </c>
      <c r="Z492" s="627">
        <f t="shared" si="38"/>
        <v>78</v>
      </c>
      <c r="AA492" s="629" t="s">
        <v>5642</v>
      </c>
      <c r="AB492" s="627">
        <f t="shared" si="39"/>
        <v>25</v>
      </c>
      <c r="AC492" s="628" t="s">
        <v>5549</v>
      </c>
      <c r="AD492" s="627"/>
      <c r="AE492" s="630"/>
      <c r="AF492" s="504" t="s">
        <v>5564</v>
      </c>
      <c r="AG492" s="530" t="s">
        <v>2969</v>
      </c>
      <c r="AH492" s="495" t="s">
        <v>2918</v>
      </c>
      <c r="AI492" s="505"/>
      <c r="AJ492" s="505"/>
      <c r="AK492" s="631">
        <f>_xll.GetCtData("COAMOUNT","CONSAMOUNT",$B$1:$B$7,$B492,AK$9,"#-547067,681151075")</f>
        <v>-547067</v>
      </c>
    </row>
    <row r="493" spans="2:37" ht="12" customHeight="1">
      <c r="B493" s="453" t="s">
        <v>1564</v>
      </c>
      <c r="C493" s="482" t="s">
        <v>2929</v>
      </c>
      <c r="D493" s="483">
        <v>44403</v>
      </c>
      <c r="E493" s="484" t="s">
        <v>2930</v>
      </c>
      <c r="F493" s="485">
        <v>7</v>
      </c>
      <c r="G493" s="623"/>
      <c r="H493" s="623"/>
      <c r="I493" s="623"/>
      <c r="J493" s="623"/>
      <c r="K493" s="623"/>
      <c r="L493" s="623"/>
      <c r="M493" s="633"/>
      <c r="N493" s="634" t="s">
        <v>1565</v>
      </c>
      <c r="O493" s="518">
        <v>10</v>
      </c>
      <c r="P493" s="519" t="s">
        <v>5643</v>
      </c>
      <c r="Q493" s="489">
        <v>101</v>
      </c>
      <c r="R493" s="519" t="s">
        <v>1566</v>
      </c>
      <c r="S493" s="518">
        <f t="shared" si="40"/>
        <v>94</v>
      </c>
      <c r="T493" s="519" t="s">
        <v>5644</v>
      </c>
      <c r="U493" s="518">
        <f t="shared" si="36"/>
        <v>24</v>
      </c>
      <c r="V493" s="519" t="s">
        <v>5546</v>
      </c>
      <c r="W493" s="652" t="s">
        <v>5645</v>
      </c>
      <c r="X493" s="491">
        <f t="shared" si="37"/>
        <v>101</v>
      </c>
      <c r="Y493" s="652" t="s">
        <v>5646</v>
      </c>
      <c r="Z493" s="518">
        <f t="shared" si="38"/>
        <v>78</v>
      </c>
      <c r="AA493" s="652" t="s">
        <v>5647</v>
      </c>
      <c r="AB493" s="518">
        <f t="shared" si="39"/>
        <v>24</v>
      </c>
      <c r="AC493" s="519" t="s">
        <v>5549</v>
      </c>
      <c r="AD493" s="518"/>
      <c r="AE493" s="520"/>
      <c r="AF493" s="504" t="s">
        <v>5648</v>
      </c>
      <c r="AG493" s="530" t="s">
        <v>2969</v>
      </c>
      <c r="AH493" s="530" t="s">
        <v>2969</v>
      </c>
      <c r="AI493" s="505" t="s">
        <v>5359</v>
      </c>
      <c r="AJ493" s="505"/>
      <c r="AK493" s="521">
        <f>_xll.GetCtData("COAMOUNT","CONSAMOUNT",$B$1:$B$7,$B493,AK$9,"#-547067,681151075")</f>
        <v>-547067</v>
      </c>
    </row>
    <row r="494" spans="2:37" ht="12" customHeight="1">
      <c r="B494" s="453" t="s">
        <v>2055</v>
      </c>
      <c r="C494" s="482" t="s">
        <v>2911</v>
      </c>
      <c r="D494" s="483">
        <v>44378</v>
      </c>
      <c r="E494" s="484" t="s">
        <v>2912</v>
      </c>
      <c r="F494" s="485">
        <v>5</v>
      </c>
      <c r="G494" s="507"/>
      <c r="H494" s="507"/>
      <c r="I494" s="507"/>
      <c r="J494" s="507"/>
      <c r="K494" s="547"/>
      <c r="L494" s="624" t="s">
        <v>5649</v>
      </c>
      <c r="M494" s="625"/>
      <c r="N494" s="626"/>
      <c r="O494" s="627">
        <v>0</v>
      </c>
      <c r="P494" s="628" t="s">
        <v>5650</v>
      </c>
      <c r="Q494" s="489">
        <v>65</v>
      </c>
      <c r="R494" s="628" t="s">
        <v>5651</v>
      </c>
      <c r="S494" s="627">
        <f t="shared" si="40"/>
        <v>59</v>
      </c>
      <c r="T494" s="628" t="s">
        <v>5652</v>
      </c>
      <c r="U494" s="627">
        <f t="shared" si="36"/>
        <v>30</v>
      </c>
      <c r="V494" s="628" t="s">
        <v>2915</v>
      </c>
      <c r="W494" s="629" t="s">
        <v>5653</v>
      </c>
      <c r="X494" s="491">
        <f t="shared" si="37"/>
        <v>77</v>
      </c>
      <c r="Y494" s="629" t="s">
        <v>5653</v>
      </c>
      <c r="Z494" s="627">
        <f t="shared" si="38"/>
        <v>77</v>
      </c>
      <c r="AA494" s="629" t="s">
        <v>5654</v>
      </c>
      <c r="AB494" s="627">
        <f t="shared" si="39"/>
        <v>22</v>
      </c>
      <c r="AC494" s="628" t="s">
        <v>2915</v>
      </c>
      <c r="AD494" s="627"/>
      <c r="AE494" s="630"/>
      <c r="AF494" s="504" t="s">
        <v>5655</v>
      </c>
      <c r="AG494" s="530" t="s">
        <v>2969</v>
      </c>
      <c r="AH494" s="495" t="s">
        <v>2918</v>
      </c>
      <c r="AI494" s="505"/>
      <c r="AJ494" s="505"/>
      <c r="AK494" s="631">
        <f>_xll.GetCtData("COAMOUNT","CONSAMOUNT",$B$1:$B$7,$B494,AK$9,"#0")</f>
        <v>0</v>
      </c>
    </row>
    <row r="495" spans="2:37" ht="12" customHeight="1">
      <c r="B495" s="453" t="s">
        <v>2642</v>
      </c>
      <c r="C495" s="654" t="s">
        <v>5656</v>
      </c>
      <c r="D495" s="655">
        <v>44603</v>
      </c>
      <c r="E495" s="484" t="s">
        <v>5409</v>
      </c>
      <c r="F495" s="485">
        <v>7</v>
      </c>
      <c r="G495" s="623"/>
      <c r="H495" s="623"/>
      <c r="I495" s="623"/>
      <c r="J495" s="623"/>
      <c r="K495" s="623"/>
      <c r="L495" s="623"/>
      <c r="M495" s="633"/>
      <c r="N495" s="517" t="s">
        <v>5657</v>
      </c>
      <c r="O495" s="518">
        <v>10</v>
      </c>
      <c r="P495" s="519" t="s">
        <v>5658</v>
      </c>
      <c r="Q495" s="489">
        <v>72</v>
      </c>
      <c r="R495" s="519" t="s">
        <v>2643</v>
      </c>
      <c r="S495" s="518">
        <f t="shared" si="40"/>
        <v>66</v>
      </c>
      <c r="T495" s="519" t="s">
        <v>5659</v>
      </c>
      <c r="U495" s="518">
        <f t="shared" si="36"/>
        <v>29</v>
      </c>
      <c r="V495" s="519" t="s">
        <v>2915</v>
      </c>
      <c r="W495" s="519" t="s">
        <v>5660</v>
      </c>
      <c r="X495" s="491">
        <f t="shared" si="37"/>
        <v>87</v>
      </c>
      <c r="Y495" s="519" t="s">
        <v>5660</v>
      </c>
      <c r="Z495" s="518">
        <f t="shared" si="38"/>
        <v>87</v>
      </c>
      <c r="AA495" s="519" t="s">
        <v>5661</v>
      </c>
      <c r="AB495" s="518">
        <f t="shared" si="39"/>
        <v>25</v>
      </c>
      <c r="AC495" s="519" t="s">
        <v>2915</v>
      </c>
      <c r="AD495" s="518"/>
      <c r="AE495" s="520"/>
      <c r="AF495" s="504" t="s">
        <v>5662</v>
      </c>
      <c r="AG495" s="656" t="s">
        <v>2721</v>
      </c>
      <c r="AH495" s="530" t="s">
        <v>2969</v>
      </c>
      <c r="AI495" s="505"/>
      <c r="AJ495" s="505"/>
      <c r="AK495" s="521">
        <f>_xll.GetCtData("COAMOUNT","CONSAMOUNT",$B$1:$B$7,$B495,AK$9,"#0")</f>
        <v>0</v>
      </c>
    </row>
    <row r="496" spans="2:37" ht="12" customHeight="1">
      <c r="B496" s="453" t="s">
        <v>1534</v>
      </c>
      <c r="C496" s="654" t="s">
        <v>5656</v>
      </c>
      <c r="D496" s="655">
        <v>44603</v>
      </c>
      <c r="E496" s="484" t="s">
        <v>5409</v>
      </c>
      <c r="F496" s="485">
        <v>7</v>
      </c>
      <c r="G496" s="623"/>
      <c r="H496" s="623"/>
      <c r="I496" s="623"/>
      <c r="J496" s="623"/>
      <c r="K496" s="623"/>
      <c r="L496" s="623"/>
      <c r="M496" s="633"/>
      <c r="N496" s="517" t="s">
        <v>1535</v>
      </c>
      <c r="O496" s="518">
        <v>10</v>
      </c>
      <c r="P496" s="519" t="s">
        <v>5663</v>
      </c>
      <c r="Q496" s="489">
        <v>75</v>
      </c>
      <c r="R496" s="519" t="s">
        <v>1536</v>
      </c>
      <c r="S496" s="518">
        <f t="shared" si="40"/>
        <v>69</v>
      </c>
      <c r="T496" s="519" t="s">
        <v>5664</v>
      </c>
      <c r="U496" s="518">
        <f t="shared" si="36"/>
        <v>29</v>
      </c>
      <c r="V496" s="519" t="s">
        <v>2915</v>
      </c>
      <c r="W496" s="519" t="s">
        <v>5665</v>
      </c>
      <c r="X496" s="491">
        <f t="shared" si="37"/>
        <v>82</v>
      </c>
      <c r="Y496" s="519" t="s">
        <v>5665</v>
      </c>
      <c r="Z496" s="518">
        <f t="shared" si="38"/>
        <v>82</v>
      </c>
      <c r="AA496" s="519" t="s">
        <v>5666</v>
      </c>
      <c r="AB496" s="518">
        <f t="shared" si="39"/>
        <v>30</v>
      </c>
      <c r="AC496" s="519" t="s">
        <v>2915</v>
      </c>
      <c r="AD496" s="518"/>
      <c r="AE496" s="520"/>
      <c r="AF496" s="504" t="s">
        <v>5662</v>
      </c>
      <c r="AG496" s="656" t="s">
        <v>2721</v>
      </c>
      <c r="AH496" s="530" t="s">
        <v>2969</v>
      </c>
      <c r="AI496" s="505" t="s">
        <v>5359</v>
      </c>
      <c r="AJ496" s="505"/>
      <c r="AK496" s="521">
        <f>_xll.GetCtData("COAMOUNT","CONSAMOUNT",$B$1:$B$7,$B496,AK$9,"#0")</f>
        <v>0</v>
      </c>
    </row>
    <row r="497" spans="2:37" ht="12" customHeight="1">
      <c r="B497" s="453" t="s">
        <v>5667</v>
      </c>
      <c r="C497" s="654" t="s">
        <v>5656</v>
      </c>
      <c r="D497" s="655">
        <v>44603</v>
      </c>
      <c r="E497" s="484" t="s">
        <v>5409</v>
      </c>
      <c r="F497" s="485">
        <v>7</v>
      </c>
      <c r="G497" s="623"/>
      <c r="H497" s="623"/>
      <c r="I497" s="623"/>
      <c r="J497" s="623"/>
      <c r="K497" s="623"/>
      <c r="L497" s="623"/>
      <c r="M497" s="633"/>
      <c r="N497" s="517" t="s">
        <v>5668</v>
      </c>
      <c r="O497" s="518">
        <v>10</v>
      </c>
      <c r="P497" s="519" t="s">
        <v>5669</v>
      </c>
      <c r="Q497" s="489">
        <v>72</v>
      </c>
      <c r="R497" s="519" t="s">
        <v>5670</v>
      </c>
      <c r="S497" s="518">
        <f t="shared" si="40"/>
        <v>67</v>
      </c>
      <c r="T497" s="519" t="s">
        <v>5671</v>
      </c>
      <c r="U497" s="518">
        <f t="shared" si="36"/>
        <v>30</v>
      </c>
      <c r="V497" s="519" t="s">
        <v>2915</v>
      </c>
      <c r="W497" s="519" t="s">
        <v>5672</v>
      </c>
      <c r="X497" s="491">
        <f t="shared" si="37"/>
        <v>84</v>
      </c>
      <c r="Y497" s="519" t="s">
        <v>5672</v>
      </c>
      <c r="Z497" s="518">
        <f t="shared" si="38"/>
        <v>84</v>
      </c>
      <c r="AA497" s="519" t="s">
        <v>5673</v>
      </c>
      <c r="AB497" s="518">
        <f t="shared" si="39"/>
        <v>24</v>
      </c>
      <c r="AC497" s="519" t="s">
        <v>2915</v>
      </c>
      <c r="AD497" s="657"/>
      <c r="AE497" s="520"/>
      <c r="AF497" s="504" t="s">
        <v>5674</v>
      </c>
      <c r="AG497" s="530" t="s">
        <v>2969</v>
      </c>
      <c r="AH497" s="530" t="s">
        <v>2969</v>
      </c>
      <c r="AI497" s="505" t="s">
        <v>5359</v>
      </c>
      <c r="AJ497" s="505"/>
      <c r="AK497" s="521">
        <f>_xll.GetCtData("COAMOUNT","CONSAMOUNT",$B$1:$B$7,$B497,AK$9,"#")</f>
        <v>0</v>
      </c>
    </row>
    <row r="498" spans="2:37" ht="12" customHeight="1">
      <c r="B498" s="453" t="s">
        <v>1540</v>
      </c>
      <c r="C498" s="654" t="s">
        <v>5656</v>
      </c>
      <c r="D498" s="655">
        <v>44603</v>
      </c>
      <c r="E498" s="484" t="s">
        <v>5409</v>
      </c>
      <c r="F498" s="485">
        <v>7</v>
      </c>
      <c r="G498" s="623"/>
      <c r="H498" s="623"/>
      <c r="I498" s="623"/>
      <c r="J498" s="623"/>
      <c r="K498" s="623"/>
      <c r="L498" s="623"/>
      <c r="M498" s="633"/>
      <c r="N498" s="517" t="s">
        <v>1541</v>
      </c>
      <c r="O498" s="518">
        <v>10</v>
      </c>
      <c r="P498" s="519" t="s">
        <v>1542</v>
      </c>
      <c r="Q498" s="489">
        <v>68</v>
      </c>
      <c r="R498" s="519" t="s">
        <v>1542</v>
      </c>
      <c r="S498" s="518">
        <f t="shared" si="40"/>
        <v>68</v>
      </c>
      <c r="T498" s="519" t="s">
        <v>5675</v>
      </c>
      <c r="U498" s="518">
        <f t="shared" si="36"/>
        <v>30</v>
      </c>
      <c r="V498" s="519" t="s">
        <v>2915</v>
      </c>
      <c r="W498" s="519" t="s">
        <v>5676</v>
      </c>
      <c r="X498" s="491">
        <f t="shared" si="37"/>
        <v>79</v>
      </c>
      <c r="Y498" s="519" t="s">
        <v>5676</v>
      </c>
      <c r="Z498" s="518">
        <f t="shared" si="38"/>
        <v>79</v>
      </c>
      <c r="AA498" s="519" t="s">
        <v>5677</v>
      </c>
      <c r="AB498" s="518">
        <f t="shared" si="39"/>
        <v>30</v>
      </c>
      <c r="AC498" s="519" t="s">
        <v>2915</v>
      </c>
      <c r="AD498" s="657"/>
      <c r="AE498" s="520"/>
      <c r="AF498" s="504" t="s">
        <v>5674</v>
      </c>
      <c r="AG498" s="530" t="s">
        <v>2969</v>
      </c>
      <c r="AH498" s="530" t="s">
        <v>2969</v>
      </c>
      <c r="AI498" s="505" t="s">
        <v>5359</v>
      </c>
      <c r="AJ498" s="505"/>
      <c r="AK498" s="521">
        <f>_xll.GetCtData("COAMOUNT","CONSAMOUNT",$B$1:$B$7,$B498,AK$9,"#")</f>
        <v>0</v>
      </c>
    </row>
    <row r="499" spans="2:37" ht="12" customHeight="1">
      <c r="B499" s="453" t="s">
        <v>5678</v>
      </c>
      <c r="C499" s="482" t="s">
        <v>2911</v>
      </c>
      <c r="D499" s="483">
        <v>44378</v>
      </c>
      <c r="E499" s="484" t="s">
        <v>2912</v>
      </c>
      <c r="F499" s="485">
        <v>4</v>
      </c>
      <c r="G499" s="507"/>
      <c r="H499" s="507"/>
      <c r="I499" s="507"/>
      <c r="J499" s="507"/>
      <c r="K499" s="564" t="s">
        <v>5679</v>
      </c>
      <c r="L499" s="564"/>
      <c r="M499" s="565"/>
      <c r="N499" s="620"/>
      <c r="O499" s="621">
        <v>0</v>
      </c>
      <c r="P499" s="622" t="s">
        <v>5680</v>
      </c>
      <c r="Q499" s="489">
        <v>41</v>
      </c>
      <c r="R499" s="622" t="s">
        <v>5681</v>
      </c>
      <c r="S499" s="621">
        <f t="shared" si="40"/>
        <v>35</v>
      </c>
      <c r="T499" s="622" t="s">
        <v>5682</v>
      </c>
      <c r="U499" s="621">
        <f t="shared" si="36"/>
        <v>19</v>
      </c>
      <c r="V499" s="622" t="s">
        <v>5546</v>
      </c>
      <c r="W499" s="561" t="s">
        <v>5683</v>
      </c>
      <c r="X499" s="491">
        <f t="shared" si="37"/>
        <v>49</v>
      </c>
      <c r="Y499" s="561" t="s">
        <v>5683</v>
      </c>
      <c r="Z499" s="621">
        <f t="shared" si="38"/>
        <v>49</v>
      </c>
      <c r="AA499" s="561" t="s">
        <v>5684</v>
      </c>
      <c r="AB499" s="621">
        <f t="shared" si="39"/>
        <v>20</v>
      </c>
      <c r="AC499" s="622" t="s">
        <v>5549</v>
      </c>
      <c r="AD499" s="621"/>
      <c r="AE499" s="562"/>
      <c r="AF499" s="504" t="s">
        <v>5685</v>
      </c>
      <c r="AG499" s="530" t="s">
        <v>2969</v>
      </c>
      <c r="AH499" s="495" t="s">
        <v>2918</v>
      </c>
      <c r="AI499" s="505"/>
      <c r="AJ499" s="505"/>
      <c r="AK499" s="563">
        <f>_xll.GetCtData("COAMOUNT","CONSAMOUNT",$B$1:$B$7,$B499,AK$9,"#0,273382488503424")</f>
        <v>0</v>
      </c>
    </row>
    <row r="500" spans="2:37" ht="12" customHeight="1">
      <c r="B500" s="453" t="s">
        <v>2049</v>
      </c>
      <c r="C500" s="482" t="s">
        <v>2911</v>
      </c>
      <c r="D500" s="483">
        <v>44378</v>
      </c>
      <c r="E500" s="484" t="s">
        <v>2912</v>
      </c>
      <c r="F500" s="485">
        <v>5</v>
      </c>
      <c r="G500" s="507"/>
      <c r="H500" s="507"/>
      <c r="I500" s="507"/>
      <c r="J500" s="507"/>
      <c r="K500" s="547"/>
      <c r="L500" s="624" t="s">
        <v>5686</v>
      </c>
      <c r="M500" s="625"/>
      <c r="N500" s="626"/>
      <c r="O500" s="627">
        <v>0</v>
      </c>
      <c r="P500" s="628" t="s">
        <v>5687</v>
      </c>
      <c r="Q500" s="489">
        <v>67</v>
      </c>
      <c r="R500" s="628" t="s">
        <v>5688</v>
      </c>
      <c r="S500" s="627">
        <f t="shared" si="40"/>
        <v>61</v>
      </c>
      <c r="T500" s="628" t="s">
        <v>5689</v>
      </c>
      <c r="U500" s="627">
        <f t="shared" si="36"/>
        <v>28</v>
      </c>
      <c r="V500" s="628" t="s">
        <v>5546</v>
      </c>
      <c r="W500" s="629" t="s">
        <v>5690</v>
      </c>
      <c r="X500" s="491">
        <f t="shared" si="37"/>
        <v>73</v>
      </c>
      <c r="Y500" s="629" t="s">
        <v>5690</v>
      </c>
      <c r="Z500" s="627">
        <f t="shared" si="38"/>
        <v>73</v>
      </c>
      <c r="AA500" s="629" t="s">
        <v>5691</v>
      </c>
      <c r="AB500" s="627">
        <f t="shared" si="39"/>
        <v>15</v>
      </c>
      <c r="AC500" s="628" t="s">
        <v>5549</v>
      </c>
      <c r="AD500" s="627"/>
      <c r="AE500" s="630"/>
      <c r="AF500" s="504" t="s">
        <v>5564</v>
      </c>
      <c r="AG500" s="530" t="s">
        <v>2969</v>
      </c>
      <c r="AH500" s="495" t="s">
        <v>2918</v>
      </c>
      <c r="AI500" s="505"/>
      <c r="AJ500" s="505"/>
      <c r="AK500" s="631">
        <f>_xll.GetCtData("COAMOUNT","CONSAMOUNT",$B$1:$B$7,$B500,AK$9,"#0,273382488503424")</f>
        <v>0</v>
      </c>
    </row>
    <row r="501" spans="2:37" ht="12" customHeight="1">
      <c r="B501" s="453" t="s">
        <v>1525</v>
      </c>
      <c r="C501" s="482" t="s">
        <v>2929</v>
      </c>
      <c r="D501" s="483">
        <v>44403</v>
      </c>
      <c r="E501" s="484" t="s">
        <v>2930</v>
      </c>
      <c r="F501" s="485">
        <v>7</v>
      </c>
      <c r="G501" s="623"/>
      <c r="H501" s="623"/>
      <c r="I501" s="623"/>
      <c r="J501" s="623"/>
      <c r="K501" s="623"/>
      <c r="L501" s="623"/>
      <c r="M501" s="633"/>
      <c r="N501" s="634" t="s">
        <v>1526</v>
      </c>
      <c r="O501" s="518">
        <v>10</v>
      </c>
      <c r="P501" s="519" t="s">
        <v>5692</v>
      </c>
      <c r="Q501" s="489">
        <v>93</v>
      </c>
      <c r="R501" s="519" t="s">
        <v>1527</v>
      </c>
      <c r="S501" s="518">
        <f t="shared" si="40"/>
        <v>87</v>
      </c>
      <c r="T501" s="519" t="s">
        <v>5693</v>
      </c>
      <c r="U501" s="518">
        <f t="shared" si="36"/>
        <v>14</v>
      </c>
      <c r="V501" s="519" t="s">
        <v>5546</v>
      </c>
      <c r="W501" s="652" t="s">
        <v>5694</v>
      </c>
      <c r="X501" s="491">
        <f t="shared" si="37"/>
        <v>96</v>
      </c>
      <c r="Y501" s="652" t="s">
        <v>5694</v>
      </c>
      <c r="Z501" s="518">
        <f t="shared" si="38"/>
        <v>96</v>
      </c>
      <c r="AA501" s="519" t="s">
        <v>5691</v>
      </c>
      <c r="AB501" s="518">
        <f t="shared" si="39"/>
        <v>15</v>
      </c>
      <c r="AC501" s="519" t="s">
        <v>5549</v>
      </c>
      <c r="AD501" s="518"/>
      <c r="AE501" s="520"/>
      <c r="AF501" s="504" t="s">
        <v>5695</v>
      </c>
      <c r="AG501" s="530" t="s">
        <v>2969</v>
      </c>
      <c r="AH501" s="530" t="s">
        <v>2969</v>
      </c>
      <c r="AI501" s="505" t="s">
        <v>5359</v>
      </c>
      <c r="AJ501" s="505"/>
      <c r="AK501" s="521">
        <f>_xll.GetCtData("COAMOUNT","CONSAMOUNT",$B$1:$B$7,$B501,AK$9,"#0")</f>
        <v>0</v>
      </c>
    </row>
    <row r="502" spans="2:37" ht="12" customHeight="1">
      <c r="B502" s="635" t="s">
        <v>5696</v>
      </c>
      <c r="C502" s="482" t="s">
        <v>2929</v>
      </c>
      <c r="D502" s="483">
        <v>44403</v>
      </c>
      <c r="E502" s="484" t="s">
        <v>2930</v>
      </c>
      <c r="F502" s="485">
        <v>7</v>
      </c>
      <c r="G502" s="547"/>
      <c r="H502" s="547"/>
      <c r="I502" s="547"/>
      <c r="J502" s="547"/>
      <c r="K502" s="636"/>
      <c r="L502" s="636"/>
      <c r="M502" s="637"/>
      <c r="N502" s="638" t="s">
        <v>5697</v>
      </c>
      <c r="O502" s="639">
        <v>10</v>
      </c>
      <c r="P502" s="640" t="s">
        <v>5698</v>
      </c>
      <c r="Q502" s="641">
        <v>115</v>
      </c>
      <c r="R502" s="640" t="s">
        <v>5699</v>
      </c>
      <c r="S502" s="639">
        <f t="shared" si="40"/>
        <v>109</v>
      </c>
      <c r="T502" s="640" t="s">
        <v>5700</v>
      </c>
      <c r="U502" s="639">
        <f t="shared" si="36"/>
        <v>19</v>
      </c>
      <c r="V502" s="640" t="s">
        <v>5546</v>
      </c>
      <c r="W502" s="640" t="s">
        <v>5701</v>
      </c>
      <c r="X502" s="642">
        <f t="shared" si="37"/>
        <v>113</v>
      </c>
      <c r="Y502" s="640" t="s">
        <v>5701</v>
      </c>
      <c r="Z502" s="639">
        <f t="shared" si="38"/>
        <v>113</v>
      </c>
      <c r="AA502" s="640" t="s">
        <v>5702</v>
      </c>
      <c r="AB502" s="639">
        <f t="shared" si="39"/>
        <v>24</v>
      </c>
      <c r="AC502" s="640" t="s">
        <v>5549</v>
      </c>
      <c r="AD502" s="639"/>
      <c r="AE502" s="643"/>
      <c r="AF502" s="644" t="s">
        <v>5695</v>
      </c>
      <c r="AG502" s="645" t="s">
        <v>5577</v>
      </c>
      <c r="AH502" s="645" t="s">
        <v>5577</v>
      </c>
      <c r="AI502" s="646" t="s">
        <v>5359</v>
      </c>
      <c r="AJ502" s="646"/>
      <c r="AK502" s="647"/>
    </row>
    <row r="503" spans="2:37" ht="12" customHeight="1">
      <c r="B503" s="453" t="s">
        <v>1528</v>
      </c>
      <c r="C503" s="482" t="s">
        <v>2929</v>
      </c>
      <c r="D503" s="483">
        <v>44403</v>
      </c>
      <c r="E503" s="484" t="s">
        <v>2930</v>
      </c>
      <c r="F503" s="485">
        <v>7</v>
      </c>
      <c r="G503" s="623"/>
      <c r="H503" s="623"/>
      <c r="I503" s="623"/>
      <c r="J503" s="623"/>
      <c r="K503" s="623"/>
      <c r="L503" s="623"/>
      <c r="M503" s="633"/>
      <c r="N503" s="634" t="s">
        <v>1529</v>
      </c>
      <c r="O503" s="518">
        <v>10</v>
      </c>
      <c r="P503" s="519" t="s">
        <v>5703</v>
      </c>
      <c r="Q503" s="489">
        <v>92</v>
      </c>
      <c r="R503" s="519" t="s">
        <v>1530</v>
      </c>
      <c r="S503" s="518">
        <f t="shared" si="40"/>
        <v>86</v>
      </c>
      <c r="T503" s="519" t="s">
        <v>5704</v>
      </c>
      <c r="U503" s="518">
        <f t="shared" si="36"/>
        <v>27</v>
      </c>
      <c r="V503" s="519" t="s">
        <v>5546</v>
      </c>
      <c r="W503" s="652" t="s">
        <v>5705</v>
      </c>
      <c r="X503" s="491">
        <f t="shared" si="37"/>
        <v>93</v>
      </c>
      <c r="Y503" s="652" t="s">
        <v>5705</v>
      </c>
      <c r="Z503" s="518">
        <f t="shared" si="38"/>
        <v>93</v>
      </c>
      <c r="AA503" s="519" t="s">
        <v>5706</v>
      </c>
      <c r="AB503" s="518">
        <f t="shared" si="39"/>
        <v>22</v>
      </c>
      <c r="AC503" s="519" t="s">
        <v>5549</v>
      </c>
      <c r="AD503" s="518"/>
      <c r="AE503" s="520"/>
      <c r="AF503" s="504" t="s">
        <v>5582</v>
      </c>
      <c r="AG503" s="530" t="s">
        <v>2969</v>
      </c>
      <c r="AH503" s="530" t="s">
        <v>2969</v>
      </c>
      <c r="AI503" s="505" t="s">
        <v>5359</v>
      </c>
      <c r="AJ503" s="505"/>
      <c r="AK503" s="521">
        <f>_xll.GetCtData("COAMOUNT","CONSAMOUNT",$B$1:$B$7,$B503,AK$9,"#")</f>
        <v>0</v>
      </c>
    </row>
    <row r="504" spans="2:37" ht="12" customHeight="1">
      <c r="B504" s="453" t="s">
        <v>1531</v>
      </c>
      <c r="C504" s="482" t="s">
        <v>2929</v>
      </c>
      <c r="D504" s="483">
        <v>44403</v>
      </c>
      <c r="E504" s="484" t="s">
        <v>2930</v>
      </c>
      <c r="F504" s="485">
        <v>7</v>
      </c>
      <c r="G504" s="623"/>
      <c r="H504" s="623"/>
      <c r="I504" s="623"/>
      <c r="J504" s="623"/>
      <c r="K504" s="623"/>
      <c r="L504" s="623"/>
      <c r="M504" s="633"/>
      <c r="N504" s="634" t="s">
        <v>1532</v>
      </c>
      <c r="O504" s="518">
        <v>10</v>
      </c>
      <c r="P504" s="519" t="s">
        <v>5707</v>
      </c>
      <c r="Q504" s="489">
        <v>104</v>
      </c>
      <c r="R504" s="519" t="s">
        <v>1533</v>
      </c>
      <c r="S504" s="518">
        <f t="shared" si="40"/>
        <v>104</v>
      </c>
      <c r="T504" s="519" t="s">
        <v>5708</v>
      </c>
      <c r="U504" s="518">
        <f t="shared" si="36"/>
        <v>26</v>
      </c>
      <c r="V504" s="519" t="s">
        <v>5546</v>
      </c>
      <c r="W504" s="652" t="s">
        <v>5709</v>
      </c>
      <c r="X504" s="491">
        <f t="shared" si="37"/>
        <v>114</v>
      </c>
      <c r="Y504" s="652" t="s">
        <v>5709</v>
      </c>
      <c r="Z504" s="518">
        <f t="shared" si="38"/>
        <v>114</v>
      </c>
      <c r="AA504" s="519" t="s">
        <v>5710</v>
      </c>
      <c r="AB504" s="518">
        <f t="shared" si="39"/>
        <v>23</v>
      </c>
      <c r="AC504" s="519" t="s">
        <v>5549</v>
      </c>
      <c r="AD504" s="518" t="s">
        <v>5587</v>
      </c>
      <c r="AE504" s="520" t="s">
        <v>5588</v>
      </c>
      <c r="AF504" s="504" t="s">
        <v>5711</v>
      </c>
      <c r="AG504" s="530" t="s">
        <v>2969</v>
      </c>
      <c r="AH504" s="530" t="s">
        <v>2969</v>
      </c>
      <c r="AI504" s="505" t="s">
        <v>5359</v>
      </c>
      <c r="AJ504" s="505"/>
      <c r="AK504" s="521">
        <f>_xll.GetCtData("COAMOUNT","CONSAMOUNT",$B$1:$B$7,$B504,AK$9,"#0,273382488503424")</f>
        <v>0</v>
      </c>
    </row>
    <row r="505" spans="2:37" ht="12" customHeight="1">
      <c r="B505" s="453" t="s">
        <v>1549</v>
      </c>
      <c r="C505" s="649" t="s">
        <v>2962</v>
      </c>
      <c r="D505" s="650">
        <v>44515</v>
      </c>
      <c r="E505" s="484" t="s">
        <v>2930</v>
      </c>
      <c r="F505" s="485">
        <v>7</v>
      </c>
      <c r="G505" s="623"/>
      <c r="H505" s="623"/>
      <c r="I505" s="623"/>
      <c r="J505" s="623"/>
      <c r="K505" s="623"/>
      <c r="L505" s="623"/>
      <c r="M505" s="633"/>
      <c r="N505" s="634" t="s">
        <v>1550</v>
      </c>
      <c r="O505" s="518">
        <v>10</v>
      </c>
      <c r="P505" s="519" t="s">
        <v>5712</v>
      </c>
      <c r="Q505" s="489">
        <v>102</v>
      </c>
      <c r="R505" s="519" t="s">
        <v>5713</v>
      </c>
      <c r="S505" s="518">
        <f t="shared" si="40"/>
        <v>102</v>
      </c>
      <c r="T505" s="519" t="s">
        <v>5714</v>
      </c>
      <c r="U505" s="518">
        <f t="shared" si="36"/>
        <v>25</v>
      </c>
      <c r="V505" s="519" t="s">
        <v>5546</v>
      </c>
      <c r="W505" s="652" t="s">
        <v>5715</v>
      </c>
      <c r="X505" s="491">
        <f t="shared" si="37"/>
        <v>111</v>
      </c>
      <c r="Y505" s="652" t="s">
        <v>5715</v>
      </c>
      <c r="Z505" s="518">
        <f t="shared" si="38"/>
        <v>111</v>
      </c>
      <c r="AA505" s="519" t="s">
        <v>5710</v>
      </c>
      <c r="AB505" s="518">
        <f t="shared" si="39"/>
        <v>23</v>
      </c>
      <c r="AC505" s="519" t="s">
        <v>5549</v>
      </c>
      <c r="AD505" s="518" t="s">
        <v>5587</v>
      </c>
      <c r="AE505" s="520" t="s">
        <v>5588</v>
      </c>
      <c r="AF505" s="651" t="s">
        <v>5716</v>
      </c>
      <c r="AG505" s="530" t="s">
        <v>2969</v>
      </c>
      <c r="AH505" s="530" t="s">
        <v>2969</v>
      </c>
      <c r="AI505" s="505" t="s">
        <v>5359</v>
      </c>
      <c r="AJ505" s="505"/>
      <c r="AK505" s="521">
        <f>_xll.GetCtData("COAMOUNT","CONSAMOUNT",$B$1:$B$7,$B505,AK$9,"#")</f>
        <v>0</v>
      </c>
    </row>
    <row r="506" spans="2:37" ht="12" customHeight="1">
      <c r="B506" s="453" t="s">
        <v>2050</v>
      </c>
      <c r="C506" s="482" t="s">
        <v>2911</v>
      </c>
      <c r="D506" s="483">
        <v>44378</v>
      </c>
      <c r="E506" s="484" t="s">
        <v>2912</v>
      </c>
      <c r="F506" s="485">
        <v>5</v>
      </c>
      <c r="G506" s="507"/>
      <c r="H506" s="507"/>
      <c r="I506" s="507"/>
      <c r="J506" s="507"/>
      <c r="K506" s="547"/>
      <c r="L506" s="624" t="s">
        <v>5717</v>
      </c>
      <c r="M506" s="625"/>
      <c r="N506" s="658"/>
      <c r="O506" s="627">
        <v>0</v>
      </c>
      <c r="P506" s="628" t="s">
        <v>5718</v>
      </c>
      <c r="Q506" s="489">
        <v>65</v>
      </c>
      <c r="R506" s="628" t="s">
        <v>5719</v>
      </c>
      <c r="S506" s="627">
        <f t="shared" si="40"/>
        <v>60</v>
      </c>
      <c r="T506" s="628" t="s">
        <v>5720</v>
      </c>
      <c r="U506" s="627">
        <f t="shared" si="36"/>
        <v>26</v>
      </c>
      <c r="V506" s="628" t="s">
        <v>5546</v>
      </c>
      <c r="W506" s="629" t="s">
        <v>5721</v>
      </c>
      <c r="X506" s="491">
        <f t="shared" si="37"/>
        <v>67</v>
      </c>
      <c r="Y506" s="629" t="s">
        <v>5721</v>
      </c>
      <c r="Z506" s="627">
        <f t="shared" si="38"/>
        <v>67</v>
      </c>
      <c r="AA506" s="629" t="s">
        <v>5722</v>
      </c>
      <c r="AB506" s="627">
        <f t="shared" si="39"/>
        <v>29</v>
      </c>
      <c r="AC506" s="628" t="s">
        <v>5549</v>
      </c>
      <c r="AD506" s="627"/>
      <c r="AE506" s="630"/>
      <c r="AF506" s="504" t="s">
        <v>5617</v>
      </c>
      <c r="AG506" s="530" t="s">
        <v>2969</v>
      </c>
      <c r="AH506" s="495" t="s">
        <v>2918</v>
      </c>
      <c r="AI506" s="505"/>
      <c r="AJ506" s="505"/>
      <c r="AK506" s="631">
        <f>_xll.GetCtData("COAMOUNT","CONSAMOUNT",$B$1:$B$7,$B506,AK$9,"#0")</f>
        <v>0</v>
      </c>
    </row>
    <row r="507" spans="2:37" ht="12" customHeight="1">
      <c r="B507" s="453" t="s">
        <v>1558</v>
      </c>
      <c r="C507" s="482" t="s">
        <v>2929</v>
      </c>
      <c r="D507" s="483">
        <v>44403</v>
      </c>
      <c r="E507" s="484" t="s">
        <v>2930</v>
      </c>
      <c r="F507" s="485">
        <v>7</v>
      </c>
      <c r="G507" s="623"/>
      <c r="H507" s="623"/>
      <c r="I507" s="623"/>
      <c r="J507" s="623"/>
      <c r="K507" s="623"/>
      <c r="L507" s="623"/>
      <c r="M507" s="633"/>
      <c r="N507" s="634" t="s">
        <v>1559</v>
      </c>
      <c r="O507" s="518">
        <v>10</v>
      </c>
      <c r="P507" s="519" t="s">
        <v>5723</v>
      </c>
      <c r="Q507" s="489">
        <v>91</v>
      </c>
      <c r="R507" s="519" t="s">
        <v>1560</v>
      </c>
      <c r="S507" s="518">
        <f t="shared" si="40"/>
        <v>85</v>
      </c>
      <c r="T507" s="519" t="s">
        <v>5724</v>
      </c>
      <c r="U507" s="518">
        <f t="shared" si="36"/>
        <v>19</v>
      </c>
      <c r="V507" s="519" t="s">
        <v>5546</v>
      </c>
      <c r="W507" s="519" t="s">
        <v>5725</v>
      </c>
      <c r="X507" s="491">
        <f t="shared" si="37"/>
        <v>89</v>
      </c>
      <c r="Y507" s="519" t="s">
        <v>5726</v>
      </c>
      <c r="Z507" s="518">
        <f t="shared" si="38"/>
        <v>90</v>
      </c>
      <c r="AA507" s="519" t="s">
        <v>5727</v>
      </c>
      <c r="AB507" s="518">
        <f t="shared" si="39"/>
        <v>12</v>
      </c>
      <c r="AC507" s="519" t="s">
        <v>5549</v>
      </c>
      <c r="AD507" s="518"/>
      <c r="AE507" s="520"/>
      <c r="AF507" s="504" t="s">
        <v>5695</v>
      </c>
      <c r="AG507" s="530" t="s">
        <v>2969</v>
      </c>
      <c r="AH507" s="530" t="s">
        <v>2969</v>
      </c>
      <c r="AI507" s="505" t="s">
        <v>5359</v>
      </c>
      <c r="AJ507" s="505"/>
      <c r="AK507" s="521">
        <f>_xll.GetCtData("COAMOUNT","CONSAMOUNT",$B$1:$B$7,$B507,AK$9,"#0")</f>
        <v>0</v>
      </c>
    </row>
    <row r="508" spans="2:37" ht="12" customHeight="1">
      <c r="B508" s="635" t="s">
        <v>5728</v>
      </c>
      <c r="C508" s="482" t="s">
        <v>2929</v>
      </c>
      <c r="D508" s="483">
        <v>44403</v>
      </c>
      <c r="E508" s="484" t="s">
        <v>2930</v>
      </c>
      <c r="F508" s="485">
        <v>7</v>
      </c>
      <c r="G508" s="547"/>
      <c r="H508" s="547"/>
      <c r="I508" s="547"/>
      <c r="J508" s="547"/>
      <c r="K508" s="636"/>
      <c r="L508" s="636"/>
      <c r="M508" s="637"/>
      <c r="N508" s="638" t="s">
        <v>5729</v>
      </c>
      <c r="O508" s="639">
        <v>10</v>
      </c>
      <c r="P508" s="640" t="s">
        <v>5730</v>
      </c>
      <c r="Q508" s="641">
        <v>113</v>
      </c>
      <c r="R508" s="640" t="s">
        <v>5731</v>
      </c>
      <c r="S508" s="639">
        <f t="shared" si="40"/>
        <v>107</v>
      </c>
      <c r="T508" s="640" t="s">
        <v>5732</v>
      </c>
      <c r="U508" s="639">
        <f t="shared" si="36"/>
        <v>24</v>
      </c>
      <c r="V508" s="640" t="s">
        <v>5546</v>
      </c>
      <c r="W508" s="640" t="s">
        <v>5733</v>
      </c>
      <c r="X508" s="642">
        <f t="shared" si="37"/>
        <v>107</v>
      </c>
      <c r="Y508" s="640" t="s">
        <v>5733</v>
      </c>
      <c r="Z508" s="639">
        <f t="shared" si="38"/>
        <v>107</v>
      </c>
      <c r="AA508" s="640" t="s">
        <v>5734</v>
      </c>
      <c r="AB508" s="639">
        <f t="shared" si="39"/>
        <v>21</v>
      </c>
      <c r="AC508" s="640" t="s">
        <v>5549</v>
      </c>
      <c r="AD508" s="639"/>
      <c r="AE508" s="643"/>
      <c r="AF508" s="644" t="s">
        <v>5630</v>
      </c>
      <c r="AG508" s="645" t="s">
        <v>5577</v>
      </c>
      <c r="AH508" s="645" t="s">
        <v>5577</v>
      </c>
      <c r="AI508" s="646" t="s">
        <v>5359</v>
      </c>
      <c r="AJ508" s="646"/>
      <c r="AK508" s="647"/>
    </row>
    <row r="509" spans="2:37" ht="12" customHeight="1">
      <c r="B509" s="453" t="s">
        <v>1561</v>
      </c>
      <c r="C509" s="482" t="s">
        <v>2929</v>
      </c>
      <c r="D509" s="483">
        <v>44403</v>
      </c>
      <c r="E509" s="484" t="s">
        <v>2930</v>
      </c>
      <c r="F509" s="485">
        <v>7</v>
      </c>
      <c r="G509" s="623"/>
      <c r="H509" s="623"/>
      <c r="I509" s="623"/>
      <c r="J509" s="623"/>
      <c r="K509" s="623"/>
      <c r="L509" s="623"/>
      <c r="M509" s="633"/>
      <c r="N509" s="634" t="s">
        <v>1562</v>
      </c>
      <c r="O509" s="518">
        <v>10</v>
      </c>
      <c r="P509" s="519" t="s">
        <v>5735</v>
      </c>
      <c r="Q509" s="489">
        <v>90</v>
      </c>
      <c r="R509" s="519" t="s">
        <v>1563</v>
      </c>
      <c r="S509" s="518">
        <f t="shared" si="40"/>
        <v>84</v>
      </c>
      <c r="T509" s="519" t="s">
        <v>5736</v>
      </c>
      <c r="U509" s="518">
        <f t="shared" si="36"/>
        <v>23</v>
      </c>
      <c r="V509" s="519" t="s">
        <v>5546</v>
      </c>
      <c r="W509" s="519" t="s">
        <v>5737</v>
      </c>
      <c r="X509" s="491">
        <f t="shared" si="37"/>
        <v>87</v>
      </c>
      <c r="Y509" s="519" t="s">
        <v>5737</v>
      </c>
      <c r="Z509" s="518">
        <f t="shared" si="38"/>
        <v>87</v>
      </c>
      <c r="AA509" s="519" t="s">
        <v>5738</v>
      </c>
      <c r="AB509" s="518">
        <f t="shared" si="39"/>
        <v>19</v>
      </c>
      <c r="AC509" s="519" t="s">
        <v>5549</v>
      </c>
      <c r="AD509" s="518"/>
      <c r="AE509" s="520"/>
      <c r="AF509" s="504" t="s">
        <v>5739</v>
      </c>
      <c r="AG509" s="530" t="s">
        <v>2969</v>
      </c>
      <c r="AH509" s="530" t="s">
        <v>2969</v>
      </c>
      <c r="AI509" s="505" t="s">
        <v>5359</v>
      </c>
      <c r="AJ509" s="505"/>
      <c r="AK509" s="521">
        <f>_xll.GetCtData("COAMOUNT","CONSAMOUNT",$B$1:$B$7,$B509,AK$9,"#")</f>
        <v>0</v>
      </c>
    </row>
    <row r="510" spans="2:37" ht="12" customHeight="1">
      <c r="B510" s="453" t="s">
        <v>2051</v>
      </c>
      <c r="C510" s="482" t="s">
        <v>2911</v>
      </c>
      <c r="D510" s="483">
        <v>44378</v>
      </c>
      <c r="E510" s="484" t="s">
        <v>2912</v>
      </c>
      <c r="F510" s="485">
        <v>5</v>
      </c>
      <c r="G510" s="507"/>
      <c r="H510" s="507"/>
      <c r="I510" s="507"/>
      <c r="J510" s="507"/>
      <c r="K510" s="547"/>
      <c r="L510" s="624" t="s">
        <v>5740</v>
      </c>
      <c r="M510" s="625"/>
      <c r="N510" s="659"/>
      <c r="O510" s="627">
        <v>0</v>
      </c>
      <c r="P510" s="628" t="s">
        <v>5741</v>
      </c>
      <c r="Q510" s="489">
        <v>74</v>
      </c>
      <c r="R510" s="628" t="s">
        <v>5742</v>
      </c>
      <c r="S510" s="627">
        <f t="shared" si="40"/>
        <v>69</v>
      </c>
      <c r="T510" s="628" t="s">
        <v>5743</v>
      </c>
      <c r="U510" s="627">
        <f t="shared" si="36"/>
        <v>18</v>
      </c>
      <c r="V510" s="628" t="s">
        <v>5546</v>
      </c>
      <c r="W510" s="629" t="s">
        <v>5744</v>
      </c>
      <c r="X510" s="491">
        <f t="shared" si="37"/>
        <v>78</v>
      </c>
      <c r="Y510" s="629" t="s">
        <v>5744</v>
      </c>
      <c r="Z510" s="627">
        <f t="shared" si="38"/>
        <v>78</v>
      </c>
      <c r="AA510" s="629" t="s">
        <v>5745</v>
      </c>
      <c r="AB510" s="627">
        <f t="shared" si="39"/>
        <v>25</v>
      </c>
      <c r="AC510" s="628" t="s">
        <v>5549</v>
      </c>
      <c r="AD510" s="627"/>
      <c r="AE510" s="630"/>
      <c r="AF510" s="504" t="s">
        <v>5564</v>
      </c>
      <c r="AG510" s="530" t="s">
        <v>2969</v>
      </c>
      <c r="AH510" s="495" t="s">
        <v>2918</v>
      </c>
      <c r="AI510" s="505"/>
      <c r="AJ510" s="505"/>
      <c r="AK510" s="631">
        <f>_xll.GetCtData("COAMOUNT","CONSAMOUNT",$B$1:$B$7,$B510,AK$9,"#0")</f>
        <v>0</v>
      </c>
    </row>
    <row r="511" spans="2:37" ht="12" customHeight="1">
      <c r="B511" s="453" t="s">
        <v>1567</v>
      </c>
      <c r="C511" s="482" t="s">
        <v>2929</v>
      </c>
      <c r="D511" s="483">
        <v>44403</v>
      </c>
      <c r="E511" s="484" t="s">
        <v>2930</v>
      </c>
      <c r="F511" s="485">
        <v>7</v>
      </c>
      <c r="G511" s="623"/>
      <c r="H511" s="623"/>
      <c r="I511" s="623"/>
      <c r="J511" s="623"/>
      <c r="K511" s="623"/>
      <c r="L511" s="623"/>
      <c r="M511" s="633"/>
      <c r="N511" s="634" t="s">
        <v>1568</v>
      </c>
      <c r="O511" s="518">
        <v>10</v>
      </c>
      <c r="P511" s="519" t="s">
        <v>5746</v>
      </c>
      <c r="Q511" s="489">
        <v>100</v>
      </c>
      <c r="R511" s="519" t="s">
        <v>1569</v>
      </c>
      <c r="S511" s="518">
        <f t="shared" si="40"/>
        <v>94</v>
      </c>
      <c r="T511" s="519" t="s">
        <v>5747</v>
      </c>
      <c r="U511" s="518">
        <f t="shared" si="36"/>
        <v>24</v>
      </c>
      <c r="V511" s="519" t="s">
        <v>5546</v>
      </c>
      <c r="W511" s="519" t="s">
        <v>5748</v>
      </c>
      <c r="X511" s="491">
        <f t="shared" si="37"/>
        <v>101</v>
      </c>
      <c r="Y511" s="519" t="s">
        <v>5749</v>
      </c>
      <c r="Z511" s="518">
        <f t="shared" si="38"/>
        <v>78</v>
      </c>
      <c r="AA511" s="519" t="s">
        <v>5750</v>
      </c>
      <c r="AB511" s="518">
        <f t="shared" si="39"/>
        <v>25</v>
      </c>
      <c r="AC511" s="519" t="s">
        <v>5549</v>
      </c>
      <c r="AD511" s="518"/>
      <c r="AE511" s="520"/>
      <c r="AF511" s="504" t="s">
        <v>5648</v>
      </c>
      <c r="AG511" s="530" t="s">
        <v>2969</v>
      </c>
      <c r="AH511" s="530" t="s">
        <v>2969</v>
      </c>
      <c r="AI511" s="505" t="s">
        <v>5359</v>
      </c>
      <c r="AJ511" s="505"/>
      <c r="AK511" s="521">
        <f>_xll.GetCtData("COAMOUNT","CONSAMOUNT",$B$1:$B$7,$B511,AK$9,"#0")</f>
        <v>0</v>
      </c>
    </row>
    <row r="512" spans="2:37" ht="12" customHeight="1">
      <c r="B512" s="453" t="s">
        <v>2056</v>
      </c>
      <c r="C512" s="482" t="s">
        <v>2911</v>
      </c>
      <c r="D512" s="483">
        <v>44378</v>
      </c>
      <c r="E512" s="484" t="s">
        <v>2912</v>
      </c>
      <c r="F512" s="485">
        <v>5</v>
      </c>
      <c r="G512" s="507"/>
      <c r="H512" s="507"/>
      <c r="I512" s="507"/>
      <c r="J512" s="507"/>
      <c r="K512" s="547"/>
      <c r="L512" s="624" t="s">
        <v>5751</v>
      </c>
      <c r="M512" s="625"/>
      <c r="N512" s="626"/>
      <c r="O512" s="627">
        <v>0</v>
      </c>
      <c r="P512" s="628" t="s">
        <v>5752</v>
      </c>
      <c r="Q512" s="489">
        <v>72</v>
      </c>
      <c r="R512" s="628" t="s">
        <v>5753</v>
      </c>
      <c r="S512" s="627">
        <f t="shared" si="40"/>
        <v>59</v>
      </c>
      <c r="T512" s="628" t="s">
        <v>5754</v>
      </c>
      <c r="U512" s="627">
        <f t="shared" si="36"/>
        <v>30</v>
      </c>
      <c r="V512" s="628" t="s">
        <v>2915</v>
      </c>
      <c r="W512" s="629" t="s">
        <v>5755</v>
      </c>
      <c r="X512" s="491">
        <f t="shared" si="37"/>
        <v>77</v>
      </c>
      <c r="Y512" s="629" t="s">
        <v>5755</v>
      </c>
      <c r="Z512" s="627">
        <f t="shared" si="38"/>
        <v>77</v>
      </c>
      <c r="AA512" s="629" t="s">
        <v>5756</v>
      </c>
      <c r="AB512" s="627">
        <f t="shared" si="39"/>
        <v>22</v>
      </c>
      <c r="AC512" s="628" t="s">
        <v>2915</v>
      </c>
      <c r="AD512" s="627"/>
      <c r="AE512" s="630"/>
      <c r="AF512" s="504" t="s">
        <v>5655</v>
      </c>
      <c r="AG512" s="530" t="s">
        <v>2969</v>
      </c>
      <c r="AH512" s="495" t="s">
        <v>2918</v>
      </c>
      <c r="AI512" s="505"/>
      <c r="AJ512" s="505"/>
      <c r="AK512" s="631">
        <f>_xll.GetCtData("COAMOUNT","CONSAMOUNT",$B$1:$B$7,$B512,AK$9,"#")</f>
        <v>0</v>
      </c>
    </row>
    <row r="513" spans="2:37" ht="12" customHeight="1">
      <c r="B513" s="453" t="s">
        <v>2646</v>
      </c>
      <c r="C513" s="654" t="s">
        <v>5656</v>
      </c>
      <c r="D513" s="655">
        <v>44603</v>
      </c>
      <c r="E513" s="484" t="s">
        <v>5409</v>
      </c>
      <c r="F513" s="485">
        <v>7</v>
      </c>
      <c r="G513" s="623"/>
      <c r="H513" s="623"/>
      <c r="I513" s="623"/>
      <c r="J513" s="623"/>
      <c r="K513" s="623"/>
      <c r="L513" s="623"/>
      <c r="M513" s="633"/>
      <c r="N513" s="517" t="s">
        <v>5757</v>
      </c>
      <c r="O513" s="518">
        <v>10</v>
      </c>
      <c r="P513" s="519" t="s">
        <v>5758</v>
      </c>
      <c r="Q513" s="489">
        <v>71</v>
      </c>
      <c r="R513" s="660" t="s">
        <v>2647</v>
      </c>
      <c r="S513" s="518">
        <f t="shared" si="40"/>
        <v>65</v>
      </c>
      <c r="T513" s="660" t="s">
        <v>5759</v>
      </c>
      <c r="U513" s="518">
        <f t="shared" si="36"/>
        <v>29</v>
      </c>
      <c r="V513" s="519" t="s">
        <v>2915</v>
      </c>
      <c r="W513" s="519" t="s">
        <v>5760</v>
      </c>
      <c r="X513" s="491">
        <f t="shared" si="37"/>
        <v>87</v>
      </c>
      <c r="Y513" s="519" t="s">
        <v>5760</v>
      </c>
      <c r="Z513" s="518">
        <f t="shared" si="38"/>
        <v>87</v>
      </c>
      <c r="AA513" s="519" t="s">
        <v>5761</v>
      </c>
      <c r="AB513" s="518">
        <f t="shared" si="39"/>
        <v>25</v>
      </c>
      <c r="AC513" s="519" t="s">
        <v>2915</v>
      </c>
      <c r="AD513" s="518"/>
      <c r="AE513" s="520"/>
      <c r="AF513" s="504" t="s">
        <v>5762</v>
      </c>
      <c r="AG513" s="656" t="s">
        <v>2721</v>
      </c>
      <c r="AH513" s="530" t="s">
        <v>2969</v>
      </c>
      <c r="AI513" s="505"/>
      <c r="AJ513" s="505"/>
      <c r="AK513" s="661">
        <f>_xll.GetCtData("COAMOUNT","CONSAMOUNT",$B$1:$B$7,$B513,AK$9,"#")</f>
        <v>0</v>
      </c>
    </row>
    <row r="514" spans="2:37" ht="12" customHeight="1">
      <c r="B514" s="453" t="s">
        <v>1537</v>
      </c>
      <c r="C514" s="654" t="s">
        <v>5656</v>
      </c>
      <c r="D514" s="655">
        <v>44603</v>
      </c>
      <c r="E514" s="484" t="s">
        <v>5409</v>
      </c>
      <c r="F514" s="485">
        <v>7</v>
      </c>
      <c r="G514" s="623"/>
      <c r="H514" s="623"/>
      <c r="I514" s="623"/>
      <c r="J514" s="623"/>
      <c r="K514" s="623"/>
      <c r="L514" s="623"/>
      <c r="M514" s="633"/>
      <c r="N514" s="517" t="s">
        <v>1538</v>
      </c>
      <c r="O514" s="518">
        <v>10</v>
      </c>
      <c r="P514" s="519" t="s">
        <v>5763</v>
      </c>
      <c r="Q514" s="489">
        <v>75</v>
      </c>
      <c r="R514" s="519" t="s">
        <v>1539</v>
      </c>
      <c r="S514" s="518">
        <f t="shared" si="40"/>
        <v>69</v>
      </c>
      <c r="T514" s="660" t="s">
        <v>5764</v>
      </c>
      <c r="U514" s="518">
        <f t="shared" si="36"/>
        <v>29</v>
      </c>
      <c r="V514" s="519" t="s">
        <v>2915</v>
      </c>
      <c r="W514" s="519" t="s">
        <v>5765</v>
      </c>
      <c r="X514" s="491">
        <f t="shared" si="37"/>
        <v>82</v>
      </c>
      <c r="Y514" s="519" t="s">
        <v>5765</v>
      </c>
      <c r="Z514" s="518">
        <f t="shared" si="38"/>
        <v>82</v>
      </c>
      <c r="AA514" s="519" t="s">
        <v>5766</v>
      </c>
      <c r="AB514" s="518">
        <f t="shared" si="39"/>
        <v>30</v>
      </c>
      <c r="AC514" s="519" t="s">
        <v>2915</v>
      </c>
      <c r="AD514" s="518"/>
      <c r="AE514" s="520"/>
      <c r="AF514" s="504" t="s">
        <v>5767</v>
      </c>
      <c r="AG514" s="656" t="s">
        <v>2721</v>
      </c>
      <c r="AH514" s="530" t="s">
        <v>2969</v>
      </c>
      <c r="AI514" s="505" t="s">
        <v>5359</v>
      </c>
      <c r="AJ514" s="505"/>
      <c r="AK514" s="521">
        <f>_xll.GetCtData("COAMOUNT","CONSAMOUNT",$B$1:$B$7,$B514,AK$9,"#")</f>
        <v>0</v>
      </c>
    </row>
    <row r="515" spans="2:37" ht="12" customHeight="1">
      <c r="B515" s="453" t="s">
        <v>2644</v>
      </c>
      <c r="C515" s="654" t="s">
        <v>5656</v>
      </c>
      <c r="D515" s="655">
        <v>44603</v>
      </c>
      <c r="E515" s="484" t="s">
        <v>5409</v>
      </c>
      <c r="F515" s="485">
        <v>7</v>
      </c>
      <c r="G515" s="623"/>
      <c r="H515" s="623"/>
      <c r="I515" s="623"/>
      <c r="J515" s="623"/>
      <c r="K515" s="623"/>
      <c r="L515" s="623"/>
      <c r="M515" s="633"/>
      <c r="N515" s="517" t="s">
        <v>5768</v>
      </c>
      <c r="O515" s="518">
        <v>10</v>
      </c>
      <c r="P515" s="519" t="s">
        <v>5769</v>
      </c>
      <c r="Q515" s="489">
        <v>71</v>
      </c>
      <c r="R515" s="519" t="s">
        <v>2645</v>
      </c>
      <c r="S515" s="518">
        <f t="shared" si="40"/>
        <v>67</v>
      </c>
      <c r="T515" s="519" t="s">
        <v>5770</v>
      </c>
      <c r="U515" s="518">
        <f t="shared" si="36"/>
        <v>30</v>
      </c>
      <c r="V515" s="519" t="s">
        <v>2915</v>
      </c>
      <c r="W515" s="519" t="s">
        <v>5771</v>
      </c>
      <c r="X515" s="491">
        <f t="shared" si="37"/>
        <v>84</v>
      </c>
      <c r="Y515" s="519" t="s">
        <v>5771</v>
      </c>
      <c r="Z515" s="518">
        <f t="shared" si="38"/>
        <v>84</v>
      </c>
      <c r="AA515" s="519" t="s">
        <v>5772</v>
      </c>
      <c r="AB515" s="518">
        <f t="shared" si="39"/>
        <v>24</v>
      </c>
      <c r="AC515" s="519" t="s">
        <v>2915</v>
      </c>
      <c r="AD515" s="662"/>
      <c r="AE515" s="663"/>
      <c r="AF515" s="504" t="s">
        <v>5674</v>
      </c>
      <c r="AG515" s="530" t="s">
        <v>2969</v>
      </c>
      <c r="AH515" s="530" t="s">
        <v>2969</v>
      </c>
      <c r="AI515" s="505" t="s">
        <v>5359</v>
      </c>
      <c r="AJ515" s="505"/>
      <c r="AK515" s="521">
        <f>_xll.GetCtData("COAMOUNT","CONSAMOUNT",$B$1:$B$7,$B515,AK$9,"#")</f>
        <v>0</v>
      </c>
    </row>
    <row r="516" spans="2:37" ht="12" customHeight="1">
      <c r="B516" s="453" t="s">
        <v>1543</v>
      </c>
      <c r="C516" s="654" t="s">
        <v>5656</v>
      </c>
      <c r="D516" s="655">
        <v>44603</v>
      </c>
      <c r="E516" s="484" t="s">
        <v>5409</v>
      </c>
      <c r="F516" s="485">
        <v>7</v>
      </c>
      <c r="G516" s="623"/>
      <c r="H516" s="623"/>
      <c r="I516" s="623"/>
      <c r="J516" s="623"/>
      <c r="K516" s="623"/>
      <c r="L516" s="623"/>
      <c r="M516" s="633"/>
      <c r="N516" s="517" t="s">
        <v>1544</v>
      </c>
      <c r="O516" s="518">
        <v>10</v>
      </c>
      <c r="P516" s="519" t="s">
        <v>1545</v>
      </c>
      <c r="Q516" s="489">
        <v>68</v>
      </c>
      <c r="R516" s="519" t="s">
        <v>1545</v>
      </c>
      <c r="S516" s="518">
        <f t="shared" si="40"/>
        <v>68</v>
      </c>
      <c r="T516" s="519" t="s">
        <v>5773</v>
      </c>
      <c r="U516" s="518">
        <f t="shared" si="36"/>
        <v>30</v>
      </c>
      <c r="V516" s="519" t="s">
        <v>2915</v>
      </c>
      <c r="W516" s="519" t="s">
        <v>5774</v>
      </c>
      <c r="X516" s="491">
        <f t="shared" si="37"/>
        <v>79</v>
      </c>
      <c r="Y516" s="519" t="s">
        <v>5774</v>
      </c>
      <c r="Z516" s="518">
        <f t="shared" si="38"/>
        <v>79</v>
      </c>
      <c r="AA516" s="519" t="s">
        <v>5775</v>
      </c>
      <c r="AB516" s="518">
        <f t="shared" si="39"/>
        <v>30</v>
      </c>
      <c r="AC516" s="519" t="s">
        <v>2915</v>
      </c>
      <c r="AD516" s="662"/>
      <c r="AE516" s="663"/>
      <c r="AF516" s="504" t="s">
        <v>5674</v>
      </c>
      <c r="AG516" s="530" t="s">
        <v>2969</v>
      </c>
      <c r="AH516" s="530" t="s">
        <v>2969</v>
      </c>
      <c r="AI516" s="505" t="s">
        <v>5359</v>
      </c>
      <c r="AJ516" s="505"/>
      <c r="AK516" s="521">
        <f>_xll.GetCtData("COAMOUNT","CONSAMOUNT",$B$1:$B$7,$B516,AK$9,"#")</f>
        <v>0</v>
      </c>
    </row>
    <row r="517" spans="2:37" ht="12" customHeight="1">
      <c r="B517" s="453" t="s">
        <v>2492</v>
      </c>
      <c r="C517" s="482" t="s">
        <v>2911</v>
      </c>
      <c r="D517" s="483">
        <v>44378</v>
      </c>
      <c r="E517" s="484" t="s">
        <v>2912</v>
      </c>
      <c r="F517" s="485">
        <v>3</v>
      </c>
      <c r="G517" s="482"/>
      <c r="H517" s="507"/>
      <c r="I517" s="507"/>
      <c r="J517" s="532" t="s">
        <v>5776</v>
      </c>
      <c r="K517" s="532"/>
      <c r="L517" s="532"/>
      <c r="M517" s="533"/>
      <c r="N517" s="587"/>
      <c r="O517" s="617">
        <v>0</v>
      </c>
      <c r="P517" s="618" t="s">
        <v>5777</v>
      </c>
      <c r="Q517" s="489">
        <v>40</v>
      </c>
      <c r="R517" s="618" t="s">
        <v>5778</v>
      </c>
      <c r="S517" s="617">
        <f t="shared" si="40"/>
        <v>35</v>
      </c>
      <c r="T517" s="618" t="s">
        <v>5779</v>
      </c>
      <c r="U517" s="617">
        <f t="shared" si="36"/>
        <v>19</v>
      </c>
      <c r="V517" s="618" t="s">
        <v>5780</v>
      </c>
      <c r="W517" s="618" t="s">
        <v>5781</v>
      </c>
      <c r="X517" s="491">
        <f t="shared" si="37"/>
        <v>49</v>
      </c>
      <c r="Y517" s="618" t="s">
        <v>5781</v>
      </c>
      <c r="Z517" s="617">
        <f t="shared" si="38"/>
        <v>49</v>
      </c>
      <c r="AA517" s="618" t="s">
        <v>5782</v>
      </c>
      <c r="AB517" s="617">
        <f t="shared" si="39"/>
        <v>20</v>
      </c>
      <c r="AC517" s="618" t="s">
        <v>5783</v>
      </c>
      <c r="AD517" s="617"/>
      <c r="AE517" s="618"/>
      <c r="AF517" s="504" t="s">
        <v>5784</v>
      </c>
      <c r="AG517" s="530" t="s">
        <v>2969</v>
      </c>
      <c r="AH517" s="495" t="s">
        <v>2918</v>
      </c>
      <c r="AI517" s="505"/>
      <c r="AJ517" s="505"/>
      <c r="AK517" s="619">
        <f>_xll.GetCtData("COAMOUNT","CONSAMOUNT",$B$1:$B$7,$B517,AK$9,"#91415")</f>
        <v>91415</v>
      </c>
    </row>
    <row r="518" spans="2:37" ht="12" customHeight="1">
      <c r="B518" s="453" t="s">
        <v>5785</v>
      </c>
      <c r="C518" s="482" t="s">
        <v>2911</v>
      </c>
      <c r="D518" s="483">
        <v>44378</v>
      </c>
      <c r="E518" s="484" t="s">
        <v>2912</v>
      </c>
      <c r="F518" s="485">
        <v>4</v>
      </c>
      <c r="G518" s="507"/>
      <c r="H518" s="507"/>
      <c r="I518" s="507"/>
      <c r="J518" s="507"/>
      <c r="K518" s="564" t="s">
        <v>5786</v>
      </c>
      <c r="L518" s="564"/>
      <c r="M518" s="565"/>
      <c r="N518" s="620"/>
      <c r="O518" s="621">
        <v>0</v>
      </c>
      <c r="P518" s="622" t="s">
        <v>5777</v>
      </c>
      <c r="Q518" s="489">
        <v>40</v>
      </c>
      <c r="R518" s="622" t="s">
        <v>5778</v>
      </c>
      <c r="S518" s="621">
        <v>35</v>
      </c>
      <c r="T518" s="622" t="s">
        <v>5787</v>
      </c>
      <c r="U518" s="621">
        <f t="shared" si="36"/>
        <v>20</v>
      </c>
      <c r="V518" s="622" t="s">
        <v>5780</v>
      </c>
      <c r="W518" s="561" t="s">
        <v>5781</v>
      </c>
      <c r="X518" s="491">
        <f t="shared" si="37"/>
        <v>49</v>
      </c>
      <c r="Y518" s="561" t="s">
        <v>5781</v>
      </c>
      <c r="Z518" s="621">
        <f t="shared" si="38"/>
        <v>49</v>
      </c>
      <c r="AA518" s="561" t="s">
        <v>5782</v>
      </c>
      <c r="AB518" s="621">
        <f t="shared" si="39"/>
        <v>20</v>
      </c>
      <c r="AC518" s="622" t="s">
        <v>5783</v>
      </c>
      <c r="AD518" s="621"/>
      <c r="AE518" s="562"/>
      <c r="AF518" s="504" t="s">
        <v>5788</v>
      </c>
      <c r="AG518" s="530" t="s">
        <v>2969</v>
      </c>
      <c r="AH518" s="495" t="s">
        <v>2918</v>
      </c>
      <c r="AI518" s="505"/>
      <c r="AJ518" s="505"/>
      <c r="AK518" s="563">
        <f>_xll.GetCtData("COAMOUNT","CONSAMOUNT",$B$1:$B$7,$B518,AK$9,"#91415")</f>
        <v>91415</v>
      </c>
    </row>
    <row r="519" spans="2:37" ht="12" customHeight="1">
      <c r="B519" s="453" t="s">
        <v>2052</v>
      </c>
      <c r="C519" s="482" t="s">
        <v>2911</v>
      </c>
      <c r="D519" s="483">
        <v>44378</v>
      </c>
      <c r="E519" s="484" t="s">
        <v>2912</v>
      </c>
      <c r="F519" s="485">
        <v>5</v>
      </c>
      <c r="G519" s="507"/>
      <c r="H519" s="507"/>
      <c r="I519" s="507"/>
      <c r="J519" s="507"/>
      <c r="K519" s="547"/>
      <c r="L519" s="624" t="s">
        <v>5789</v>
      </c>
      <c r="M519" s="625"/>
      <c r="N519" s="626"/>
      <c r="O519" s="627">
        <v>0</v>
      </c>
      <c r="P519" s="628" t="s">
        <v>5790</v>
      </c>
      <c r="Q519" s="489">
        <v>67</v>
      </c>
      <c r="R519" s="628" t="s">
        <v>5791</v>
      </c>
      <c r="S519" s="627">
        <f t="shared" ref="S519:S574" si="41">LEN(R519)</f>
        <v>62</v>
      </c>
      <c r="T519" s="628" t="s">
        <v>5792</v>
      </c>
      <c r="U519" s="627">
        <f t="shared" si="36"/>
        <v>28</v>
      </c>
      <c r="V519" s="628" t="s">
        <v>5780</v>
      </c>
      <c r="W519" s="629" t="s">
        <v>5793</v>
      </c>
      <c r="X519" s="491">
        <f t="shared" si="37"/>
        <v>73</v>
      </c>
      <c r="Y519" s="629" t="s">
        <v>5793</v>
      </c>
      <c r="Z519" s="627">
        <f t="shared" si="38"/>
        <v>73</v>
      </c>
      <c r="AA519" s="629" t="s">
        <v>5794</v>
      </c>
      <c r="AB519" s="627">
        <f t="shared" si="39"/>
        <v>15</v>
      </c>
      <c r="AC519" s="628" t="s">
        <v>5783</v>
      </c>
      <c r="AD519" s="627"/>
      <c r="AE519" s="630"/>
      <c r="AF519" s="504" t="s">
        <v>5795</v>
      </c>
      <c r="AG519" s="530" t="s">
        <v>2969</v>
      </c>
      <c r="AH519" s="495" t="s">
        <v>2918</v>
      </c>
      <c r="AI519" s="505"/>
      <c r="AJ519" s="505"/>
      <c r="AK519" s="631">
        <f>_xll.GetCtData("COAMOUNT","CONSAMOUNT",$B$1:$B$7,$B519,AK$9,"#91415")</f>
        <v>91415</v>
      </c>
    </row>
    <row r="520" spans="2:37" ht="12" customHeight="1">
      <c r="B520" s="453" t="s">
        <v>2722</v>
      </c>
      <c r="C520" s="482" t="s">
        <v>2929</v>
      </c>
      <c r="D520" s="483">
        <v>44403</v>
      </c>
      <c r="E520" s="484" t="s">
        <v>2930</v>
      </c>
      <c r="F520" s="485">
        <v>7</v>
      </c>
      <c r="G520" s="623"/>
      <c r="H520" s="623"/>
      <c r="I520" s="623"/>
      <c r="J520" s="623"/>
      <c r="K520" s="623"/>
      <c r="L520" s="623"/>
      <c r="M520" s="633"/>
      <c r="N520" s="634" t="s">
        <v>2723</v>
      </c>
      <c r="O520" s="518">
        <v>10</v>
      </c>
      <c r="P520" s="519" t="s">
        <v>5796</v>
      </c>
      <c r="Q520" s="489">
        <v>93</v>
      </c>
      <c r="R520" s="652" t="s">
        <v>2724</v>
      </c>
      <c r="S520" s="518">
        <f t="shared" si="41"/>
        <v>87</v>
      </c>
      <c r="T520" s="652" t="s">
        <v>5797</v>
      </c>
      <c r="U520" s="518">
        <f t="shared" si="36"/>
        <v>14</v>
      </c>
      <c r="V520" s="652" t="s">
        <v>5780</v>
      </c>
      <c r="W520" s="519" t="s">
        <v>5798</v>
      </c>
      <c r="X520" s="491">
        <f t="shared" si="37"/>
        <v>96</v>
      </c>
      <c r="Y520" s="519" t="s">
        <v>5798</v>
      </c>
      <c r="Z520" s="518">
        <f t="shared" si="38"/>
        <v>96</v>
      </c>
      <c r="AA520" s="519" t="s">
        <v>5794</v>
      </c>
      <c r="AB520" s="518">
        <f t="shared" si="39"/>
        <v>15</v>
      </c>
      <c r="AC520" s="652" t="s">
        <v>5783</v>
      </c>
      <c r="AD520" s="518"/>
      <c r="AE520" s="520"/>
      <c r="AF520" s="504" t="s">
        <v>5799</v>
      </c>
      <c r="AG520" s="530" t="s">
        <v>2969</v>
      </c>
      <c r="AH520" s="530" t="s">
        <v>2969</v>
      </c>
      <c r="AI520" s="505" t="s">
        <v>5359</v>
      </c>
      <c r="AJ520" s="505"/>
      <c r="AK520" s="653">
        <f>_xll.GetCtData("COAMOUNT","CONSAMOUNT",$B$1:$B$7,$B520,AK$9,"#91415")</f>
        <v>91415</v>
      </c>
    </row>
    <row r="521" spans="2:37" ht="12" customHeight="1">
      <c r="B521" s="635" t="s">
        <v>5800</v>
      </c>
      <c r="C521" s="482" t="s">
        <v>2929</v>
      </c>
      <c r="D521" s="483">
        <v>44403</v>
      </c>
      <c r="E521" s="484" t="s">
        <v>2930</v>
      </c>
      <c r="F521" s="485">
        <v>7</v>
      </c>
      <c r="G521" s="547"/>
      <c r="H521" s="547"/>
      <c r="I521" s="547"/>
      <c r="J521" s="547"/>
      <c r="K521" s="636"/>
      <c r="L521" s="636"/>
      <c r="M521" s="637"/>
      <c r="N521" s="638" t="s">
        <v>5801</v>
      </c>
      <c r="O521" s="639">
        <v>10</v>
      </c>
      <c r="P521" s="640" t="s">
        <v>5802</v>
      </c>
      <c r="Q521" s="641">
        <v>115</v>
      </c>
      <c r="R521" s="640" t="s">
        <v>5803</v>
      </c>
      <c r="S521" s="639">
        <f t="shared" si="41"/>
        <v>109</v>
      </c>
      <c r="T521" s="640" t="s">
        <v>5804</v>
      </c>
      <c r="U521" s="639">
        <f t="shared" si="36"/>
        <v>19</v>
      </c>
      <c r="V521" s="640" t="s">
        <v>5780</v>
      </c>
      <c r="W521" s="640" t="s">
        <v>5805</v>
      </c>
      <c r="X521" s="642">
        <f t="shared" si="37"/>
        <v>113</v>
      </c>
      <c r="Y521" s="640" t="s">
        <v>5805</v>
      </c>
      <c r="Z521" s="639">
        <f t="shared" si="38"/>
        <v>113</v>
      </c>
      <c r="AA521" s="640" t="s">
        <v>5806</v>
      </c>
      <c r="AB521" s="639">
        <f t="shared" si="39"/>
        <v>24</v>
      </c>
      <c r="AC521" s="640" t="s">
        <v>5783</v>
      </c>
      <c r="AD521" s="639"/>
      <c r="AE521" s="643"/>
      <c r="AF521" s="644" t="s">
        <v>5807</v>
      </c>
      <c r="AG521" s="645" t="s">
        <v>5577</v>
      </c>
      <c r="AH521" s="645" t="s">
        <v>5577</v>
      </c>
      <c r="AI521" s="646" t="s">
        <v>5359</v>
      </c>
      <c r="AJ521" s="646"/>
      <c r="AK521" s="647"/>
    </row>
    <row r="522" spans="2:37" ht="12" customHeight="1">
      <c r="B522" s="453" t="s">
        <v>2731</v>
      </c>
      <c r="C522" s="482" t="s">
        <v>2929</v>
      </c>
      <c r="D522" s="483">
        <v>44403</v>
      </c>
      <c r="E522" s="484" t="s">
        <v>2930</v>
      </c>
      <c r="F522" s="485">
        <v>7</v>
      </c>
      <c r="G522" s="623"/>
      <c r="H522" s="623"/>
      <c r="I522" s="623"/>
      <c r="J522" s="623"/>
      <c r="K522" s="623"/>
      <c r="L522" s="623"/>
      <c r="M522" s="633"/>
      <c r="N522" s="634" t="s">
        <v>2732</v>
      </c>
      <c r="O522" s="518">
        <v>10</v>
      </c>
      <c r="P522" s="519" t="s">
        <v>5808</v>
      </c>
      <c r="Q522" s="489">
        <v>92</v>
      </c>
      <c r="R522" s="652" t="s">
        <v>2733</v>
      </c>
      <c r="S522" s="518">
        <f t="shared" si="41"/>
        <v>86</v>
      </c>
      <c r="T522" s="652" t="s">
        <v>5809</v>
      </c>
      <c r="U522" s="518">
        <f t="shared" si="36"/>
        <v>27</v>
      </c>
      <c r="V522" s="652" t="s">
        <v>5780</v>
      </c>
      <c r="W522" s="519" t="s">
        <v>5810</v>
      </c>
      <c r="X522" s="491">
        <f t="shared" si="37"/>
        <v>93</v>
      </c>
      <c r="Y522" s="519" t="s">
        <v>5810</v>
      </c>
      <c r="Z522" s="518">
        <f t="shared" si="38"/>
        <v>93</v>
      </c>
      <c r="AA522" s="519" t="s">
        <v>5811</v>
      </c>
      <c r="AB522" s="518">
        <f t="shared" si="39"/>
        <v>22</v>
      </c>
      <c r="AC522" s="652" t="s">
        <v>5783</v>
      </c>
      <c r="AD522" s="518"/>
      <c r="AE522" s="520"/>
      <c r="AF522" s="504" t="s">
        <v>5812</v>
      </c>
      <c r="AG522" s="530" t="s">
        <v>2969</v>
      </c>
      <c r="AH522" s="530" t="s">
        <v>2969</v>
      </c>
      <c r="AI522" s="505" t="s">
        <v>5359</v>
      </c>
      <c r="AJ522" s="505"/>
      <c r="AK522" s="653">
        <f>_xll.GetCtData("COAMOUNT","CONSAMOUNT",$B$1:$B$7,$B522,AK$9,"#")</f>
        <v>0</v>
      </c>
    </row>
    <row r="523" spans="2:37" ht="12" customHeight="1">
      <c r="B523" s="453" t="s">
        <v>2725</v>
      </c>
      <c r="C523" s="482" t="s">
        <v>2929</v>
      </c>
      <c r="D523" s="483">
        <v>44403</v>
      </c>
      <c r="E523" s="484" t="s">
        <v>2930</v>
      </c>
      <c r="F523" s="485">
        <v>7</v>
      </c>
      <c r="G523" s="547"/>
      <c r="H523" s="547"/>
      <c r="I523" s="547"/>
      <c r="J523" s="547"/>
      <c r="K523" s="547"/>
      <c r="L523" s="547"/>
      <c r="M523" s="548"/>
      <c r="N523" s="634" t="s">
        <v>2726</v>
      </c>
      <c r="O523" s="518">
        <v>10</v>
      </c>
      <c r="P523" s="664" t="s">
        <v>5813</v>
      </c>
      <c r="Q523" s="489">
        <v>103</v>
      </c>
      <c r="R523" s="652" t="s">
        <v>2727</v>
      </c>
      <c r="S523" s="518">
        <f t="shared" si="41"/>
        <v>103</v>
      </c>
      <c r="T523" s="652" t="s">
        <v>5814</v>
      </c>
      <c r="U523" s="518">
        <f t="shared" si="36"/>
        <v>26</v>
      </c>
      <c r="V523" s="652" t="s">
        <v>5780</v>
      </c>
      <c r="W523" s="519" t="s">
        <v>5815</v>
      </c>
      <c r="X523" s="491">
        <f t="shared" si="37"/>
        <v>114</v>
      </c>
      <c r="Y523" s="519" t="s">
        <v>5815</v>
      </c>
      <c r="Z523" s="518">
        <f t="shared" si="38"/>
        <v>114</v>
      </c>
      <c r="AA523" s="519" t="s">
        <v>5816</v>
      </c>
      <c r="AB523" s="518">
        <f t="shared" si="39"/>
        <v>23</v>
      </c>
      <c r="AC523" s="652" t="s">
        <v>5783</v>
      </c>
      <c r="AD523" s="518" t="s">
        <v>5587</v>
      </c>
      <c r="AE523" s="520" t="s">
        <v>5588</v>
      </c>
      <c r="AF523" s="504" t="s">
        <v>5817</v>
      </c>
      <c r="AG523" s="530" t="s">
        <v>2969</v>
      </c>
      <c r="AH523" s="530" t="s">
        <v>2969</v>
      </c>
      <c r="AI523" s="505" t="s">
        <v>5359</v>
      </c>
      <c r="AJ523" s="505"/>
      <c r="AK523" s="653">
        <f>_xll.GetCtData("COAMOUNT","CONSAMOUNT",$B$1:$B$7,$B523,AK$9,"#0")</f>
        <v>0</v>
      </c>
    </row>
    <row r="524" spans="2:37" ht="12" customHeight="1">
      <c r="B524" s="453" t="s">
        <v>2734</v>
      </c>
      <c r="C524" s="649" t="s">
        <v>2962</v>
      </c>
      <c r="D524" s="650">
        <v>44515</v>
      </c>
      <c r="E524" s="484" t="s">
        <v>2930</v>
      </c>
      <c r="F524" s="485">
        <v>7</v>
      </c>
      <c r="G524" s="547"/>
      <c r="H524" s="547"/>
      <c r="I524" s="547"/>
      <c r="J524" s="547"/>
      <c r="K524" s="547"/>
      <c r="L524" s="547"/>
      <c r="M524" s="548"/>
      <c r="N524" s="634" t="s">
        <v>2735</v>
      </c>
      <c r="O524" s="518">
        <v>10</v>
      </c>
      <c r="P524" s="664" t="s">
        <v>5818</v>
      </c>
      <c r="Q524" s="489">
        <v>101</v>
      </c>
      <c r="R524" s="652" t="s">
        <v>5819</v>
      </c>
      <c r="S524" s="518">
        <f t="shared" si="41"/>
        <v>101</v>
      </c>
      <c r="T524" s="652" t="s">
        <v>5820</v>
      </c>
      <c r="U524" s="518">
        <f t="shared" ref="U524:U582" si="42">LEN(T524)</f>
        <v>25</v>
      </c>
      <c r="V524" s="652" t="s">
        <v>5780</v>
      </c>
      <c r="W524" s="519" t="s">
        <v>5821</v>
      </c>
      <c r="X524" s="491">
        <f t="shared" si="37"/>
        <v>111</v>
      </c>
      <c r="Y524" s="519" t="s">
        <v>5821</v>
      </c>
      <c r="Z524" s="518">
        <f t="shared" si="38"/>
        <v>111</v>
      </c>
      <c r="AA524" s="519" t="s">
        <v>5816</v>
      </c>
      <c r="AB524" s="518">
        <f t="shared" ref="AB524:AB598" si="43">LEN(AA524)</f>
        <v>23</v>
      </c>
      <c r="AC524" s="652" t="s">
        <v>5783</v>
      </c>
      <c r="AD524" s="518" t="s">
        <v>5587</v>
      </c>
      <c r="AE524" s="520" t="s">
        <v>5588</v>
      </c>
      <c r="AF524" s="651" t="s">
        <v>5716</v>
      </c>
      <c r="AG524" s="530" t="s">
        <v>2969</v>
      </c>
      <c r="AH524" s="530" t="s">
        <v>2969</v>
      </c>
      <c r="AI524" s="505" t="s">
        <v>5359</v>
      </c>
      <c r="AJ524" s="505"/>
      <c r="AK524" s="653">
        <f>_xll.GetCtData("COAMOUNT","CONSAMOUNT",$B$1:$B$7,$B524,AK$9,"#")</f>
        <v>0</v>
      </c>
    </row>
    <row r="525" spans="2:37" ht="12" customHeight="1">
      <c r="B525" s="635" t="s">
        <v>5596</v>
      </c>
      <c r="C525" s="482" t="s">
        <v>2929</v>
      </c>
      <c r="D525" s="483">
        <v>44403</v>
      </c>
      <c r="E525" s="484" t="s">
        <v>2930</v>
      </c>
      <c r="F525" s="485">
        <v>7</v>
      </c>
      <c r="G525" s="547"/>
      <c r="H525" s="547"/>
      <c r="I525" s="547"/>
      <c r="J525" s="547"/>
      <c r="K525" s="636"/>
      <c r="L525" s="636"/>
      <c r="M525" s="637"/>
      <c r="N525" s="638" t="s">
        <v>5597</v>
      </c>
      <c r="O525" s="639">
        <v>9</v>
      </c>
      <c r="P525" s="640" t="s">
        <v>5822</v>
      </c>
      <c r="Q525" s="641">
        <v>90</v>
      </c>
      <c r="R525" s="640" t="s">
        <v>5823</v>
      </c>
      <c r="S525" s="639">
        <f t="shared" si="41"/>
        <v>85</v>
      </c>
      <c r="T525" s="640" t="s">
        <v>5824</v>
      </c>
      <c r="U525" s="639">
        <f t="shared" si="42"/>
        <v>26</v>
      </c>
      <c r="V525" s="640" t="s">
        <v>5780</v>
      </c>
      <c r="W525" s="640" t="s">
        <v>5825</v>
      </c>
      <c r="X525" s="642">
        <f t="shared" si="37"/>
        <v>107</v>
      </c>
      <c r="Y525" s="640" t="s">
        <v>5825</v>
      </c>
      <c r="Z525" s="639">
        <f t="shared" si="38"/>
        <v>107</v>
      </c>
      <c r="AA525" s="640" t="s">
        <v>5826</v>
      </c>
      <c r="AB525" s="639">
        <f t="shared" si="43"/>
        <v>6</v>
      </c>
      <c r="AC525" s="640" t="s">
        <v>5783</v>
      </c>
      <c r="AD525" s="639" t="s">
        <v>5587</v>
      </c>
      <c r="AE525" s="643" t="s">
        <v>5588</v>
      </c>
      <c r="AF525" s="644" t="s">
        <v>5827</v>
      </c>
      <c r="AG525" s="645" t="s">
        <v>5577</v>
      </c>
      <c r="AH525" s="645" t="s">
        <v>5577</v>
      </c>
      <c r="AI525" s="646" t="s">
        <v>5359</v>
      </c>
      <c r="AJ525" s="646"/>
      <c r="AK525" s="647"/>
    </row>
    <row r="526" spans="2:37" ht="12" customHeight="1">
      <c r="B526" s="635" t="s">
        <v>5604</v>
      </c>
      <c r="C526" s="482" t="s">
        <v>2929</v>
      </c>
      <c r="D526" s="483">
        <v>44403</v>
      </c>
      <c r="E526" s="484" t="s">
        <v>2930</v>
      </c>
      <c r="F526" s="485">
        <v>7</v>
      </c>
      <c r="G526" s="547"/>
      <c r="H526" s="547"/>
      <c r="I526" s="547"/>
      <c r="J526" s="547"/>
      <c r="K526" s="636"/>
      <c r="L526" s="636"/>
      <c r="M526" s="637"/>
      <c r="N526" s="638" t="s">
        <v>5605</v>
      </c>
      <c r="O526" s="639">
        <v>9</v>
      </c>
      <c r="P526" s="640" t="s">
        <v>5828</v>
      </c>
      <c r="Q526" s="641">
        <v>95</v>
      </c>
      <c r="R526" s="640" t="s">
        <v>5829</v>
      </c>
      <c r="S526" s="639">
        <f t="shared" si="41"/>
        <v>90</v>
      </c>
      <c r="T526" s="640" t="s">
        <v>5830</v>
      </c>
      <c r="U526" s="639">
        <f t="shared" si="42"/>
        <v>25</v>
      </c>
      <c r="V526" s="640" t="s">
        <v>5780</v>
      </c>
      <c r="W526" s="640" t="s">
        <v>5831</v>
      </c>
      <c r="X526" s="642">
        <f t="shared" si="37"/>
        <v>127</v>
      </c>
      <c r="Y526" s="640" t="s">
        <v>5832</v>
      </c>
      <c r="Z526" s="639">
        <f t="shared" si="38"/>
        <v>117</v>
      </c>
      <c r="AA526" s="640" t="s">
        <v>5826</v>
      </c>
      <c r="AB526" s="639">
        <f t="shared" si="43"/>
        <v>6</v>
      </c>
      <c r="AC526" s="640" t="s">
        <v>5783</v>
      </c>
      <c r="AD526" s="639" t="s">
        <v>5609</v>
      </c>
      <c r="AE526" s="643" t="s">
        <v>5610</v>
      </c>
      <c r="AF526" s="644" t="s">
        <v>5827</v>
      </c>
      <c r="AG526" s="645" t="s">
        <v>5577</v>
      </c>
      <c r="AH526" s="645" t="s">
        <v>5577</v>
      </c>
      <c r="AI526" s="646" t="s">
        <v>4849</v>
      </c>
      <c r="AJ526" s="646"/>
      <c r="AK526" s="647"/>
    </row>
    <row r="527" spans="2:37" ht="12" customHeight="1">
      <c r="B527" s="453" t="s">
        <v>2053</v>
      </c>
      <c r="C527" s="482" t="s">
        <v>2911</v>
      </c>
      <c r="D527" s="483">
        <v>44378</v>
      </c>
      <c r="E527" s="484" t="s">
        <v>2912</v>
      </c>
      <c r="F527" s="485">
        <v>5</v>
      </c>
      <c r="G527" s="507"/>
      <c r="H527" s="507"/>
      <c r="I527" s="507"/>
      <c r="J527" s="507"/>
      <c r="K527" s="547"/>
      <c r="L527" s="624" t="s">
        <v>5833</v>
      </c>
      <c r="M527" s="625"/>
      <c r="N527" s="626"/>
      <c r="O527" s="627">
        <v>0</v>
      </c>
      <c r="P527" s="628" t="s">
        <v>5834</v>
      </c>
      <c r="Q527" s="489">
        <v>65</v>
      </c>
      <c r="R527" s="628" t="s">
        <v>5835</v>
      </c>
      <c r="S527" s="627">
        <f t="shared" si="41"/>
        <v>60</v>
      </c>
      <c r="T527" s="628" t="s">
        <v>5836</v>
      </c>
      <c r="U527" s="627">
        <f t="shared" si="42"/>
        <v>26</v>
      </c>
      <c r="V527" s="628" t="s">
        <v>5780</v>
      </c>
      <c r="W527" s="629" t="s">
        <v>5837</v>
      </c>
      <c r="X527" s="491">
        <f t="shared" si="37"/>
        <v>67</v>
      </c>
      <c r="Y527" s="629" t="s">
        <v>5837</v>
      </c>
      <c r="Z527" s="627">
        <f t="shared" si="38"/>
        <v>67</v>
      </c>
      <c r="AA527" s="629" t="s">
        <v>5838</v>
      </c>
      <c r="AB527" s="627">
        <f t="shared" si="43"/>
        <v>29</v>
      </c>
      <c r="AC527" s="628" t="s">
        <v>5783</v>
      </c>
      <c r="AD527" s="627"/>
      <c r="AE527" s="630"/>
      <c r="AF527" s="504"/>
      <c r="AG527" s="530" t="s">
        <v>2969</v>
      </c>
      <c r="AH527" s="495" t="s">
        <v>2918</v>
      </c>
      <c r="AI527" s="505"/>
      <c r="AJ527" s="505"/>
      <c r="AK527" s="631">
        <f>_xll.GetCtData("COAMOUNT","CONSAMOUNT",$B$1:$B$7,$B527,AK$9,"#")</f>
        <v>0</v>
      </c>
    </row>
    <row r="528" spans="2:37" ht="12" customHeight="1">
      <c r="B528" s="453" t="s">
        <v>2739</v>
      </c>
      <c r="C528" s="482" t="s">
        <v>2929</v>
      </c>
      <c r="D528" s="483">
        <v>44403</v>
      </c>
      <c r="E528" s="484" t="s">
        <v>2930</v>
      </c>
      <c r="F528" s="485">
        <v>7</v>
      </c>
      <c r="G528" s="623"/>
      <c r="H528" s="623"/>
      <c r="I528" s="623"/>
      <c r="J528" s="623"/>
      <c r="K528" s="623"/>
      <c r="L528" s="623"/>
      <c r="M528" s="633"/>
      <c r="N528" s="634" t="s">
        <v>2740</v>
      </c>
      <c r="O528" s="518">
        <v>10</v>
      </c>
      <c r="P528" s="519" t="s">
        <v>5839</v>
      </c>
      <c r="Q528" s="489">
        <v>90</v>
      </c>
      <c r="R528" s="519" t="s">
        <v>2741</v>
      </c>
      <c r="S528" s="518">
        <f t="shared" si="41"/>
        <v>84</v>
      </c>
      <c r="T528" s="519" t="s">
        <v>5840</v>
      </c>
      <c r="U528" s="518">
        <f t="shared" si="42"/>
        <v>23</v>
      </c>
      <c r="V528" s="519" t="s">
        <v>5780</v>
      </c>
      <c r="W528" s="519" t="s">
        <v>5841</v>
      </c>
      <c r="X528" s="491">
        <f t="shared" si="37"/>
        <v>87</v>
      </c>
      <c r="Y528" s="519" t="s">
        <v>5841</v>
      </c>
      <c r="Z528" s="518">
        <f t="shared" si="38"/>
        <v>87</v>
      </c>
      <c r="AA528" s="519" t="s">
        <v>5842</v>
      </c>
      <c r="AB528" s="518">
        <f t="shared" si="43"/>
        <v>19</v>
      </c>
      <c r="AC528" s="519" t="s">
        <v>5783</v>
      </c>
      <c r="AD528" s="518"/>
      <c r="AE528" s="520"/>
      <c r="AF528" s="504" t="s">
        <v>5843</v>
      </c>
      <c r="AG528" s="530" t="s">
        <v>2969</v>
      </c>
      <c r="AH528" s="530" t="s">
        <v>2969</v>
      </c>
      <c r="AI528" s="505" t="s">
        <v>5359</v>
      </c>
      <c r="AJ528" s="505"/>
      <c r="AK528" s="521">
        <f>_xll.GetCtData("COAMOUNT","CONSAMOUNT",$B$1:$B$7,$B528,AK$9,"#")</f>
        <v>0</v>
      </c>
    </row>
    <row r="529" spans="2:37" ht="12" customHeight="1">
      <c r="B529" s="453" t="s">
        <v>2057</v>
      </c>
      <c r="C529" s="482" t="s">
        <v>2911</v>
      </c>
      <c r="D529" s="483">
        <v>44378</v>
      </c>
      <c r="E529" s="484" t="s">
        <v>2912</v>
      </c>
      <c r="F529" s="485">
        <v>5</v>
      </c>
      <c r="G529" s="507"/>
      <c r="H529" s="507"/>
      <c r="I529" s="507"/>
      <c r="J529" s="507"/>
      <c r="K529" s="547"/>
      <c r="L529" s="624" t="s">
        <v>5844</v>
      </c>
      <c r="M529" s="625"/>
      <c r="N529" s="658"/>
      <c r="O529" s="627">
        <v>0</v>
      </c>
      <c r="P529" s="628" t="s">
        <v>5845</v>
      </c>
      <c r="Q529" s="489">
        <v>75</v>
      </c>
      <c r="R529" s="628" t="s">
        <v>5846</v>
      </c>
      <c r="S529" s="627">
        <f t="shared" si="41"/>
        <v>59</v>
      </c>
      <c r="T529" s="628" t="s">
        <v>5847</v>
      </c>
      <c r="U529" s="627">
        <f t="shared" si="42"/>
        <v>30</v>
      </c>
      <c r="V529" s="628" t="s">
        <v>2915</v>
      </c>
      <c r="W529" s="629" t="s">
        <v>5848</v>
      </c>
      <c r="X529" s="491">
        <f t="shared" si="37"/>
        <v>77</v>
      </c>
      <c r="Y529" s="629" t="s">
        <v>5848</v>
      </c>
      <c r="Z529" s="627">
        <f t="shared" si="38"/>
        <v>77</v>
      </c>
      <c r="AA529" s="629" t="s">
        <v>5849</v>
      </c>
      <c r="AB529" s="627">
        <f t="shared" si="43"/>
        <v>22</v>
      </c>
      <c r="AC529" s="628" t="s">
        <v>2915</v>
      </c>
      <c r="AD529" s="627"/>
      <c r="AE529" s="630"/>
      <c r="AF529" s="504"/>
      <c r="AG529" s="530" t="s">
        <v>2969</v>
      </c>
      <c r="AH529" s="495" t="s">
        <v>2918</v>
      </c>
      <c r="AI529" s="505"/>
      <c r="AJ529" s="505"/>
      <c r="AK529" s="631">
        <f>_xll.GetCtData("COAMOUNT","CONSAMOUNT",$B$1:$B$7,$B529,AK$9,"#")</f>
        <v>0</v>
      </c>
    </row>
    <row r="530" spans="2:37" ht="12" customHeight="1">
      <c r="B530" s="453" t="s">
        <v>5850</v>
      </c>
      <c r="C530" s="654" t="s">
        <v>5656</v>
      </c>
      <c r="D530" s="655">
        <v>44603</v>
      </c>
      <c r="E530" s="484" t="s">
        <v>5409</v>
      </c>
      <c r="F530" s="485">
        <v>7</v>
      </c>
      <c r="G530" s="547"/>
      <c r="H530" s="547"/>
      <c r="I530" s="547"/>
      <c r="J530" s="547"/>
      <c r="K530" s="547"/>
      <c r="L530" s="547"/>
      <c r="M530" s="548"/>
      <c r="N530" s="517" t="s">
        <v>5851</v>
      </c>
      <c r="O530" s="518">
        <v>10</v>
      </c>
      <c r="P530" s="519" t="s">
        <v>5852</v>
      </c>
      <c r="Q530" s="489">
        <v>72</v>
      </c>
      <c r="R530" s="519" t="s">
        <v>5853</v>
      </c>
      <c r="S530" s="518">
        <f t="shared" si="41"/>
        <v>65</v>
      </c>
      <c r="T530" s="519" t="s">
        <v>5854</v>
      </c>
      <c r="U530" s="518">
        <f t="shared" si="42"/>
        <v>29</v>
      </c>
      <c r="V530" s="519" t="s">
        <v>2915</v>
      </c>
      <c r="W530" s="519" t="s">
        <v>5855</v>
      </c>
      <c r="X530" s="491">
        <f t="shared" si="37"/>
        <v>87</v>
      </c>
      <c r="Y530" s="519" t="s">
        <v>5855</v>
      </c>
      <c r="Z530" s="518">
        <f t="shared" si="38"/>
        <v>87</v>
      </c>
      <c r="AA530" s="519" t="s">
        <v>5856</v>
      </c>
      <c r="AB530" s="518">
        <f t="shared" si="43"/>
        <v>22</v>
      </c>
      <c r="AC530" s="519" t="s">
        <v>2915</v>
      </c>
      <c r="AD530" s="518"/>
      <c r="AE530" s="520"/>
      <c r="AF530" s="504" t="s">
        <v>5857</v>
      </c>
      <c r="AG530" s="656" t="s">
        <v>2721</v>
      </c>
      <c r="AH530" s="530" t="s">
        <v>2969</v>
      </c>
      <c r="AI530" s="505"/>
      <c r="AJ530" s="505"/>
      <c r="AK530" s="521">
        <f>_xll.GetCtData("COAMOUNT","CONSAMOUNT",$B$1:$B$7,$B530,AK$9,"#")</f>
        <v>0</v>
      </c>
    </row>
    <row r="531" spans="2:37" ht="12" customHeight="1">
      <c r="B531" s="453" t="s">
        <v>2728</v>
      </c>
      <c r="C531" s="654" t="s">
        <v>5656</v>
      </c>
      <c r="D531" s="655">
        <v>44603</v>
      </c>
      <c r="E531" s="484" t="s">
        <v>5409</v>
      </c>
      <c r="F531" s="485">
        <v>7</v>
      </c>
      <c r="G531" s="547"/>
      <c r="H531" s="547"/>
      <c r="I531" s="547"/>
      <c r="J531" s="547"/>
      <c r="K531" s="547"/>
      <c r="L531" s="547"/>
      <c r="M531" s="548"/>
      <c r="N531" s="517" t="s">
        <v>2729</v>
      </c>
      <c r="O531" s="518">
        <v>10</v>
      </c>
      <c r="P531" s="519" t="s">
        <v>5858</v>
      </c>
      <c r="Q531" s="489">
        <v>75</v>
      </c>
      <c r="R531" s="519" t="s">
        <v>2730</v>
      </c>
      <c r="S531" s="518">
        <f t="shared" si="41"/>
        <v>63</v>
      </c>
      <c r="T531" s="519" t="s">
        <v>5859</v>
      </c>
      <c r="U531" s="518">
        <f t="shared" si="42"/>
        <v>30</v>
      </c>
      <c r="V531" s="519" t="s">
        <v>2915</v>
      </c>
      <c r="W531" s="519" t="s">
        <v>5860</v>
      </c>
      <c r="X531" s="491">
        <f t="shared" si="37"/>
        <v>82</v>
      </c>
      <c r="Y531" s="519" t="s">
        <v>5860</v>
      </c>
      <c r="Z531" s="518">
        <f t="shared" ref="Z531:Z594" si="44">LEN(Y531)</f>
        <v>82</v>
      </c>
      <c r="AA531" s="519" t="s">
        <v>5861</v>
      </c>
      <c r="AB531" s="518">
        <f t="shared" si="43"/>
        <v>17</v>
      </c>
      <c r="AC531" s="519" t="s">
        <v>2915</v>
      </c>
      <c r="AD531" s="518"/>
      <c r="AE531" s="520"/>
      <c r="AF531" s="504" t="s">
        <v>5862</v>
      </c>
      <c r="AG531" s="656" t="s">
        <v>2721</v>
      </c>
      <c r="AH531" s="530" t="s">
        <v>2969</v>
      </c>
      <c r="AI531" s="505" t="s">
        <v>5359</v>
      </c>
      <c r="AJ531" s="505"/>
      <c r="AK531" s="521">
        <f>_xll.GetCtData("COAMOUNT","CONSAMOUNT",$B$1:$B$7,$B531,AK$9,"#")</f>
        <v>0</v>
      </c>
    </row>
    <row r="532" spans="2:37" ht="12" customHeight="1">
      <c r="B532" s="453" t="s">
        <v>2648</v>
      </c>
      <c r="C532" s="654" t="s">
        <v>5656</v>
      </c>
      <c r="D532" s="655">
        <v>44603</v>
      </c>
      <c r="E532" s="484" t="s">
        <v>5409</v>
      </c>
      <c r="F532" s="485">
        <v>7</v>
      </c>
      <c r="G532" s="547"/>
      <c r="H532" s="547"/>
      <c r="I532" s="547"/>
      <c r="J532" s="547"/>
      <c r="K532" s="547"/>
      <c r="L532" s="547"/>
      <c r="M532" s="548"/>
      <c r="N532" s="517" t="s">
        <v>5863</v>
      </c>
      <c r="O532" s="518">
        <v>10</v>
      </c>
      <c r="P532" s="519" t="s">
        <v>5864</v>
      </c>
      <c r="Q532" s="489">
        <v>71</v>
      </c>
      <c r="R532" s="519" t="s">
        <v>2649</v>
      </c>
      <c r="S532" s="518">
        <f t="shared" si="41"/>
        <v>67</v>
      </c>
      <c r="T532" s="519" t="s">
        <v>5865</v>
      </c>
      <c r="U532" s="518">
        <f t="shared" si="42"/>
        <v>30</v>
      </c>
      <c r="V532" s="519" t="s">
        <v>2915</v>
      </c>
      <c r="W532" s="519" t="s">
        <v>5866</v>
      </c>
      <c r="X532" s="491">
        <f t="shared" si="37"/>
        <v>84</v>
      </c>
      <c r="Y532" s="519" t="s">
        <v>5866</v>
      </c>
      <c r="Z532" s="518">
        <f t="shared" si="44"/>
        <v>84</v>
      </c>
      <c r="AA532" s="519" t="s">
        <v>5867</v>
      </c>
      <c r="AB532" s="518">
        <f t="shared" si="43"/>
        <v>21</v>
      </c>
      <c r="AC532" s="519" t="s">
        <v>2915</v>
      </c>
      <c r="AD532" s="662"/>
      <c r="AE532" s="663"/>
      <c r="AF532" s="504" t="s">
        <v>5674</v>
      </c>
      <c r="AG532" s="530" t="s">
        <v>2969</v>
      </c>
      <c r="AH532" s="530" t="s">
        <v>2969</v>
      </c>
      <c r="AI532" s="505" t="s">
        <v>5359</v>
      </c>
      <c r="AJ532" s="505"/>
      <c r="AK532" s="521">
        <f>_xll.GetCtData("COAMOUNT","CONSAMOUNT",$B$1:$B$7,$B532,AK$9,"#")</f>
        <v>0</v>
      </c>
    </row>
    <row r="533" spans="2:37" ht="12" customHeight="1">
      <c r="B533" s="453" t="s">
        <v>2736</v>
      </c>
      <c r="C533" s="654" t="s">
        <v>5656</v>
      </c>
      <c r="D533" s="655">
        <v>44603</v>
      </c>
      <c r="E533" s="484" t="s">
        <v>5409</v>
      </c>
      <c r="F533" s="485">
        <v>7</v>
      </c>
      <c r="G533" s="547"/>
      <c r="H533" s="547"/>
      <c r="I533" s="547"/>
      <c r="J533" s="547"/>
      <c r="K533" s="547"/>
      <c r="L533" s="547"/>
      <c r="M533" s="548"/>
      <c r="N533" s="517" t="s">
        <v>2737</v>
      </c>
      <c r="O533" s="518">
        <v>10</v>
      </c>
      <c r="P533" s="519" t="s">
        <v>5868</v>
      </c>
      <c r="Q533" s="489">
        <v>62</v>
      </c>
      <c r="R533" s="519" t="s">
        <v>2738</v>
      </c>
      <c r="S533" s="518">
        <f t="shared" si="41"/>
        <v>68</v>
      </c>
      <c r="T533" s="519" t="s">
        <v>5869</v>
      </c>
      <c r="U533" s="518">
        <f t="shared" si="42"/>
        <v>30</v>
      </c>
      <c r="V533" s="519" t="s">
        <v>2915</v>
      </c>
      <c r="W533" s="519" t="s">
        <v>5870</v>
      </c>
      <c r="X533" s="491">
        <f t="shared" si="37"/>
        <v>79</v>
      </c>
      <c r="Y533" s="519" t="s">
        <v>5870</v>
      </c>
      <c r="Z533" s="518">
        <f t="shared" si="44"/>
        <v>79</v>
      </c>
      <c r="AA533" s="519" t="s">
        <v>5871</v>
      </c>
      <c r="AB533" s="518">
        <f t="shared" si="43"/>
        <v>16</v>
      </c>
      <c r="AC533" s="519" t="s">
        <v>2915</v>
      </c>
      <c r="AD533" s="662"/>
      <c r="AE533" s="663"/>
      <c r="AF533" s="504" t="s">
        <v>5674</v>
      </c>
      <c r="AG533" s="530" t="s">
        <v>2969</v>
      </c>
      <c r="AH533" s="530" t="s">
        <v>2969</v>
      </c>
      <c r="AI533" s="505" t="s">
        <v>5359</v>
      </c>
      <c r="AJ533" s="505"/>
      <c r="AK533" s="521">
        <f>_xll.GetCtData("COAMOUNT","CONSAMOUNT",$B$1:$B$7,$B533,AK$9,"#")</f>
        <v>0</v>
      </c>
    </row>
    <row r="534" spans="2:37" ht="12" customHeight="1">
      <c r="B534" s="453" t="s">
        <v>2494</v>
      </c>
      <c r="C534" s="482" t="s">
        <v>2962</v>
      </c>
      <c r="D534" s="483">
        <v>44515</v>
      </c>
      <c r="E534" s="484" t="s">
        <v>2912</v>
      </c>
      <c r="F534" s="485">
        <v>3</v>
      </c>
      <c r="G534" s="482"/>
      <c r="H534" s="507"/>
      <c r="I534" s="507"/>
      <c r="J534" s="532" t="s">
        <v>5872</v>
      </c>
      <c r="K534" s="532"/>
      <c r="L534" s="532"/>
      <c r="M534" s="533"/>
      <c r="N534" s="665"/>
      <c r="O534" s="617">
        <v>0</v>
      </c>
      <c r="P534" s="618" t="s">
        <v>2478</v>
      </c>
      <c r="Q534" s="489">
        <v>77</v>
      </c>
      <c r="R534" s="618" t="s">
        <v>2478</v>
      </c>
      <c r="S534" s="666">
        <f t="shared" si="41"/>
        <v>77</v>
      </c>
      <c r="T534" s="618" t="s">
        <v>5873</v>
      </c>
      <c r="U534" s="666">
        <f t="shared" si="42"/>
        <v>30</v>
      </c>
      <c r="V534" s="618" t="s">
        <v>5874</v>
      </c>
      <c r="W534" s="618" t="s">
        <v>5875</v>
      </c>
      <c r="X534" s="491">
        <f t="shared" si="37"/>
        <v>72</v>
      </c>
      <c r="Y534" s="618" t="s">
        <v>5875</v>
      </c>
      <c r="Z534" s="666">
        <f t="shared" si="44"/>
        <v>72</v>
      </c>
      <c r="AA534" s="618" t="s">
        <v>5876</v>
      </c>
      <c r="AB534" s="666">
        <f t="shared" si="43"/>
        <v>29</v>
      </c>
      <c r="AC534" s="618" t="s">
        <v>5877</v>
      </c>
      <c r="AD534" s="666"/>
      <c r="AE534" s="667"/>
      <c r="AF534" s="504" t="s">
        <v>5878</v>
      </c>
      <c r="AG534" s="668" t="s">
        <v>2721</v>
      </c>
      <c r="AH534" s="495" t="s">
        <v>2918</v>
      </c>
      <c r="AI534" s="505"/>
      <c r="AJ534" s="505"/>
      <c r="AK534" s="619">
        <f>_xll.GetCtData("COAMOUNT","CONSAMOUNT",$B$1:$B$7,$B534,AK$9,"#0")</f>
        <v>0</v>
      </c>
    </row>
    <row r="535" spans="2:37" ht="12" customHeight="1">
      <c r="B535" s="453" t="s">
        <v>2036</v>
      </c>
      <c r="C535" s="482" t="s">
        <v>2911</v>
      </c>
      <c r="D535" s="483">
        <v>44378</v>
      </c>
      <c r="E535" s="484" t="s">
        <v>2912</v>
      </c>
      <c r="F535" s="485">
        <v>4</v>
      </c>
      <c r="G535" s="507"/>
      <c r="H535" s="507"/>
      <c r="I535" s="507"/>
      <c r="J535" s="507"/>
      <c r="K535" s="564" t="s">
        <v>2668</v>
      </c>
      <c r="L535" s="564"/>
      <c r="M535" s="565"/>
      <c r="N535" s="620"/>
      <c r="O535" s="621"/>
      <c r="P535" s="622" t="s">
        <v>2669</v>
      </c>
      <c r="Q535" s="489">
        <v>37</v>
      </c>
      <c r="R535" s="622" t="s">
        <v>2669</v>
      </c>
      <c r="S535" s="666">
        <f t="shared" si="41"/>
        <v>37</v>
      </c>
      <c r="T535" s="622" t="s">
        <v>5879</v>
      </c>
      <c r="U535" s="666">
        <f t="shared" si="42"/>
        <v>24</v>
      </c>
      <c r="V535" s="622" t="s">
        <v>5874</v>
      </c>
      <c r="W535" s="622" t="s">
        <v>5880</v>
      </c>
      <c r="X535" s="491">
        <f t="shared" ref="X535:X598" si="45">LEN(W535)</f>
        <v>47</v>
      </c>
      <c r="Y535" s="622" t="s">
        <v>5880</v>
      </c>
      <c r="Z535" s="666">
        <f t="shared" si="44"/>
        <v>47</v>
      </c>
      <c r="AA535" s="622" t="s">
        <v>5880</v>
      </c>
      <c r="AB535" s="666">
        <f t="shared" si="43"/>
        <v>47</v>
      </c>
      <c r="AC535" s="622" t="s">
        <v>5877</v>
      </c>
      <c r="AD535" s="666"/>
      <c r="AE535" s="667"/>
      <c r="AF535" s="504" t="s">
        <v>5881</v>
      </c>
      <c r="AG535" s="530" t="s">
        <v>2969</v>
      </c>
      <c r="AH535" s="495" t="s">
        <v>2918</v>
      </c>
      <c r="AI535" s="505"/>
      <c r="AJ535" s="505"/>
      <c r="AK535" s="563">
        <f>_xll.GetCtData("COAMOUNT","CONSAMOUNT",$B$1:$B$7,$B535,AK$9,"#0")</f>
        <v>0</v>
      </c>
    </row>
    <row r="536" spans="2:37" ht="12" customHeight="1">
      <c r="B536" s="453" t="s">
        <v>5882</v>
      </c>
      <c r="C536" s="482" t="s">
        <v>2911</v>
      </c>
      <c r="D536" s="483">
        <v>44378</v>
      </c>
      <c r="E536" s="484" t="s">
        <v>2912</v>
      </c>
      <c r="F536" s="485">
        <v>5</v>
      </c>
      <c r="G536" s="507"/>
      <c r="H536" s="507"/>
      <c r="I536" s="507"/>
      <c r="J536" s="507"/>
      <c r="K536" s="547"/>
      <c r="L536" s="624" t="s">
        <v>5883</v>
      </c>
      <c r="M536" s="625"/>
      <c r="N536" s="626"/>
      <c r="O536" s="627"/>
      <c r="P536" s="628" t="s">
        <v>2504</v>
      </c>
      <c r="Q536" s="489">
        <v>29</v>
      </c>
      <c r="R536" s="628" t="s">
        <v>2504</v>
      </c>
      <c r="S536" s="666">
        <f t="shared" si="41"/>
        <v>29</v>
      </c>
      <c r="T536" s="628" t="s">
        <v>5884</v>
      </c>
      <c r="U536" s="666">
        <f t="shared" si="42"/>
        <v>20</v>
      </c>
      <c r="V536" s="628" t="s">
        <v>5874</v>
      </c>
      <c r="W536" s="628" t="s">
        <v>5885</v>
      </c>
      <c r="X536" s="491">
        <f t="shared" si="45"/>
        <v>38</v>
      </c>
      <c r="Y536" s="628" t="s">
        <v>5885</v>
      </c>
      <c r="Z536" s="666">
        <f t="shared" si="44"/>
        <v>38</v>
      </c>
      <c r="AA536" s="628" t="s">
        <v>5886</v>
      </c>
      <c r="AB536" s="666">
        <f t="shared" si="43"/>
        <v>7</v>
      </c>
      <c r="AC536" s="628" t="s">
        <v>5877</v>
      </c>
      <c r="AD536" s="666"/>
      <c r="AE536" s="667"/>
      <c r="AF536" s="504" t="s">
        <v>5881</v>
      </c>
      <c r="AG536" s="530" t="s">
        <v>2969</v>
      </c>
      <c r="AH536" s="495" t="s">
        <v>2918</v>
      </c>
      <c r="AI536" s="505"/>
      <c r="AJ536" s="505"/>
      <c r="AK536" s="631">
        <f>_xll.GetCtData("COAMOUNT","CONSAMOUNT",$B$1:$B$7,$B536,AK$9,"#0")</f>
        <v>0</v>
      </c>
    </row>
    <row r="537" spans="2:37" ht="12" customHeight="1">
      <c r="B537" s="453" t="s">
        <v>2713</v>
      </c>
      <c r="C537" s="482" t="s">
        <v>2929</v>
      </c>
      <c r="D537" s="483">
        <v>44403</v>
      </c>
      <c r="E537" s="484" t="s">
        <v>2930</v>
      </c>
      <c r="F537" s="485">
        <v>7</v>
      </c>
      <c r="G537" s="547"/>
      <c r="H537" s="547"/>
      <c r="I537" s="547"/>
      <c r="J537" s="547"/>
      <c r="K537" s="547"/>
      <c r="L537" s="547"/>
      <c r="M537" s="548"/>
      <c r="N537" s="517" t="s">
        <v>2714</v>
      </c>
      <c r="O537" s="518">
        <v>10</v>
      </c>
      <c r="P537" s="519" t="s">
        <v>2504</v>
      </c>
      <c r="Q537" s="489">
        <v>29</v>
      </c>
      <c r="R537" s="519" t="s">
        <v>2504</v>
      </c>
      <c r="S537" s="666">
        <f t="shared" si="41"/>
        <v>29</v>
      </c>
      <c r="T537" s="519" t="s">
        <v>5884</v>
      </c>
      <c r="U537" s="666">
        <f t="shared" si="42"/>
        <v>20</v>
      </c>
      <c r="V537" s="519" t="s">
        <v>5874</v>
      </c>
      <c r="W537" s="519" t="s">
        <v>5885</v>
      </c>
      <c r="X537" s="491">
        <f t="shared" si="45"/>
        <v>38</v>
      </c>
      <c r="Y537" s="519" t="s">
        <v>5885</v>
      </c>
      <c r="Z537" s="666">
        <f t="shared" si="44"/>
        <v>38</v>
      </c>
      <c r="AA537" s="519" t="s">
        <v>5886</v>
      </c>
      <c r="AB537" s="666">
        <f t="shared" si="43"/>
        <v>7</v>
      </c>
      <c r="AC537" s="519" t="s">
        <v>5877</v>
      </c>
      <c r="AD537" s="666"/>
      <c r="AE537" s="667"/>
      <c r="AF537" s="504" t="s">
        <v>5887</v>
      </c>
      <c r="AG537" s="530" t="s">
        <v>2969</v>
      </c>
      <c r="AH537" s="530" t="s">
        <v>2969</v>
      </c>
      <c r="AI537" s="505"/>
      <c r="AJ537" s="505"/>
      <c r="AK537" s="521">
        <f>_xll.GetCtData("COAMOUNT","CONSAMOUNT",$B$1:$B$7,$B537,AK$9,"#0")</f>
        <v>0</v>
      </c>
    </row>
    <row r="538" spans="2:37" ht="12" customHeight="1">
      <c r="B538" s="453" t="s">
        <v>2717</v>
      </c>
      <c r="C538" s="482" t="s">
        <v>2929</v>
      </c>
      <c r="D538" s="483">
        <v>44403</v>
      </c>
      <c r="E538" s="484" t="s">
        <v>2930</v>
      </c>
      <c r="F538" s="485">
        <v>7</v>
      </c>
      <c r="G538" s="547"/>
      <c r="H538" s="547"/>
      <c r="I538" s="547"/>
      <c r="J538" s="547"/>
      <c r="K538" s="547"/>
      <c r="L538" s="547"/>
      <c r="M538" s="548"/>
      <c r="N538" s="517" t="s">
        <v>5888</v>
      </c>
      <c r="O538" s="518">
        <v>10</v>
      </c>
      <c r="P538" s="519" t="s">
        <v>2718</v>
      </c>
      <c r="Q538" s="489">
        <v>44</v>
      </c>
      <c r="R538" s="519" t="s">
        <v>2718</v>
      </c>
      <c r="S538" s="666">
        <f t="shared" si="41"/>
        <v>44</v>
      </c>
      <c r="T538" s="519" t="s">
        <v>5889</v>
      </c>
      <c r="U538" s="666">
        <f t="shared" si="42"/>
        <v>20</v>
      </c>
      <c r="V538" s="519" t="s">
        <v>5874</v>
      </c>
      <c r="W538" s="519" t="s">
        <v>5890</v>
      </c>
      <c r="X538" s="491">
        <f t="shared" si="45"/>
        <v>66</v>
      </c>
      <c r="Y538" s="519" t="s">
        <v>5890</v>
      </c>
      <c r="Z538" s="666">
        <f t="shared" si="44"/>
        <v>66</v>
      </c>
      <c r="AA538" s="519" t="s">
        <v>5891</v>
      </c>
      <c r="AB538" s="666">
        <f t="shared" si="43"/>
        <v>18</v>
      </c>
      <c r="AC538" s="519" t="s">
        <v>5877</v>
      </c>
      <c r="AD538" s="666"/>
      <c r="AE538" s="667"/>
      <c r="AF538" s="504" t="s">
        <v>5887</v>
      </c>
      <c r="AG538" s="530" t="s">
        <v>2969</v>
      </c>
      <c r="AH538" s="530" t="s">
        <v>2969</v>
      </c>
      <c r="AI538" s="505"/>
      <c r="AJ538" s="505"/>
      <c r="AK538" s="521">
        <f>_xll.GetCtData("COAMOUNT","CONSAMOUNT",$B$1:$B$7,$B538,AK$9,"#")</f>
        <v>0</v>
      </c>
    </row>
    <row r="539" spans="2:37" ht="12" customHeight="1">
      <c r="B539" s="453" t="s">
        <v>5892</v>
      </c>
      <c r="C539" s="482" t="s">
        <v>2911</v>
      </c>
      <c r="D539" s="483">
        <v>44378</v>
      </c>
      <c r="E539" s="484" t="s">
        <v>2912</v>
      </c>
      <c r="F539" s="485">
        <v>5</v>
      </c>
      <c r="G539" s="507"/>
      <c r="H539" s="507"/>
      <c r="I539" s="507"/>
      <c r="J539" s="507"/>
      <c r="K539" s="547"/>
      <c r="L539" s="624" t="s">
        <v>5893</v>
      </c>
      <c r="M539" s="625"/>
      <c r="N539" s="626"/>
      <c r="O539" s="627"/>
      <c r="P539" s="628" t="s">
        <v>2510</v>
      </c>
      <c r="Q539" s="489">
        <v>29</v>
      </c>
      <c r="R539" s="628" t="s">
        <v>2510</v>
      </c>
      <c r="S539" s="666">
        <f t="shared" si="41"/>
        <v>29</v>
      </c>
      <c r="T539" s="628" t="s">
        <v>5894</v>
      </c>
      <c r="U539" s="666">
        <f t="shared" si="42"/>
        <v>20</v>
      </c>
      <c r="V539" s="628" t="s">
        <v>5874</v>
      </c>
      <c r="W539" s="628" t="s">
        <v>5895</v>
      </c>
      <c r="X539" s="491">
        <f t="shared" si="45"/>
        <v>38</v>
      </c>
      <c r="Y539" s="628" t="s">
        <v>5895</v>
      </c>
      <c r="Z539" s="666">
        <f t="shared" si="44"/>
        <v>38</v>
      </c>
      <c r="AA539" s="628" t="s">
        <v>5896</v>
      </c>
      <c r="AB539" s="666">
        <f t="shared" si="43"/>
        <v>7</v>
      </c>
      <c r="AC539" s="628" t="s">
        <v>5877</v>
      </c>
      <c r="AD539" s="666"/>
      <c r="AE539" s="667"/>
      <c r="AF539" s="504" t="s">
        <v>5881</v>
      </c>
      <c r="AG539" s="530" t="s">
        <v>2969</v>
      </c>
      <c r="AH539" s="495" t="s">
        <v>2918</v>
      </c>
      <c r="AI539" s="505"/>
      <c r="AJ539" s="505"/>
      <c r="AK539" s="631">
        <f>_xll.GetCtData("COAMOUNT","CONSAMOUNT",$B$1:$B$7,$B539,AK$9,"#0")</f>
        <v>0</v>
      </c>
    </row>
    <row r="540" spans="2:37" ht="12" customHeight="1">
      <c r="B540" s="453" t="s">
        <v>2715</v>
      </c>
      <c r="C540" s="482" t="s">
        <v>2929</v>
      </c>
      <c r="D540" s="483">
        <v>44403</v>
      </c>
      <c r="E540" s="484" t="s">
        <v>2930</v>
      </c>
      <c r="F540" s="485">
        <v>7</v>
      </c>
      <c r="G540" s="547"/>
      <c r="H540" s="547"/>
      <c r="I540" s="547"/>
      <c r="J540" s="547"/>
      <c r="K540" s="547"/>
      <c r="L540" s="547"/>
      <c r="M540" s="548"/>
      <c r="N540" s="517" t="s">
        <v>2716</v>
      </c>
      <c r="O540" s="518">
        <v>10</v>
      </c>
      <c r="P540" s="519" t="s">
        <v>2510</v>
      </c>
      <c r="Q540" s="489">
        <v>29</v>
      </c>
      <c r="R540" s="519" t="s">
        <v>2510</v>
      </c>
      <c r="S540" s="666">
        <f t="shared" si="41"/>
        <v>29</v>
      </c>
      <c r="T540" s="519" t="s">
        <v>5884</v>
      </c>
      <c r="U540" s="666">
        <f t="shared" si="42"/>
        <v>20</v>
      </c>
      <c r="V540" s="519" t="s">
        <v>5874</v>
      </c>
      <c r="W540" s="519" t="s">
        <v>5895</v>
      </c>
      <c r="X540" s="491">
        <f t="shared" si="45"/>
        <v>38</v>
      </c>
      <c r="Y540" s="519" t="s">
        <v>5895</v>
      </c>
      <c r="Z540" s="666">
        <f t="shared" si="44"/>
        <v>38</v>
      </c>
      <c r="AA540" s="519" t="s">
        <v>5896</v>
      </c>
      <c r="AB540" s="666">
        <f t="shared" si="43"/>
        <v>7</v>
      </c>
      <c r="AC540" s="519" t="s">
        <v>5877</v>
      </c>
      <c r="AD540" s="666"/>
      <c r="AE540" s="667"/>
      <c r="AF540" s="504" t="s">
        <v>5897</v>
      </c>
      <c r="AG540" s="530" t="s">
        <v>2969</v>
      </c>
      <c r="AH540" s="530" t="s">
        <v>2969</v>
      </c>
      <c r="AI540" s="505"/>
      <c r="AJ540" s="505"/>
      <c r="AK540" s="521">
        <f>_xll.GetCtData("COAMOUNT","CONSAMOUNT",$B$1:$B$7,$B540,AK$9,"#0")</f>
        <v>0</v>
      </c>
    </row>
    <row r="541" spans="2:37" ht="12" customHeight="1">
      <c r="B541" s="453" t="s">
        <v>2719</v>
      </c>
      <c r="C541" s="482" t="s">
        <v>2929</v>
      </c>
      <c r="D541" s="483">
        <v>44403</v>
      </c>
      <c r="E541" s="484" t="s">
        <v>2930</v>
      </c>
      <c r="F541" s="485">
        <v>7</v>
      </c>
      <c r="G541" s="547"/>
      <c r="H541" s="547"/>
      <c r="I541" s="547"/>
      <c r="J541" s="547"/>
      <c r="K541" s="547"/>
      <c r="L541" s="547"/>
      <c r="M541" s="548"/>
      <c r="N541" s="517" t="s">
        <v>5898</v>
      </c>
      <c r="O541" s="518">
        <v>10</v>
      </c>
      <c r="P541" s="519" t="s">
        <v>2720</v>
      </c>
      <c r="Q541" s="489">
        <v>44</v>
      </c>
      <c r="R541" s="519" t="s">
        <v>2720</v>
      </c>
      <c r="S541" s="666">
        <f t="shared" si="41"/>
        <v>44</v>
      </c>
      <c r="T541" s="519" t="s">
        <v>5889</v>
      </c>
      <c r="U541" s="666">
        <f t="shared" si="42"/>
        <v>20</v>
      </c>
      <c r="V541" s="519" t="s">
        <v>5874</v>
      </c>
      <c r="W541" s="519" t="s">
        <v>5899</v>
      </c>
      <c r="X541" s="491">
        <f t="shared" si="45"/>
        <v>66</v>
      </c>
      <c r="Y541" s="519" t="s">
        <v>5899</v>
      </c>
      <c r="Z541" s="666">
        <f t="shared" si="44"/>
        <v>66</v>
      </c>
      <c r="AA541" s="519" t="s">
        <v>5900</v>
      </c>
      <c r="AB541" s="666">
        <f t="shared" si="43"/>
        <v>18</v>
      </c>
      <c r="AC541" s="519" t="s">
        <v>5877</v>
      </c>
      <c r="AD541" s="666"/>
      <c r="AE541" s="667"/>
      <c r="AF541" s="504" t="s">
        <v>5887</v>
      </c>
      <c r="AG541" s="530" t="s">
        <v>2969</v>
      </c>
      <c r="AH541" s="530" t="s">
        <v>2969</v>
      </c>
      <c r="AI541" s="505"/>
      <c r="AJ541" s="505"/>
      <c r="AK541" s="521">
        <f>_xll.GetCtData("COAMOUNT","CONSAMOUNT",$B$1:$B$7,$B541,AK$9,"#")</f>
        <v>0</v>
      </c>
    </row>
    <row r="542" spans="2:37" ht="12" customHeight="1">
      <c r="B542" s="453" t="s">
        <v>2037</v>
      </c>
      <c r="C542" s="482" t="s">
        <v>2911</v>
      </c>
      <c r="D542" s="483">
        <v>44378</v>
      </c>
      <c r="E542" s="484" t="s">
        <v>2912</v>
      </c>
      <c r="F542" s="485">
        <v>4</v>
      </c>
      <c r="G542" s="507"/>
      <c r="H542" s="507"/>
      <c r="I542" s="507"/>
      <c r="J542" s="507"/>
      <c r="K542" s="564" t="s">
        <v>2742</v>
      </c>
      <c r="L542" s="564"/>
      <c r="M542" s="565"/>
      <c r="N542" s="620"/>
      <c r="O542" s="621"/>
      <c r="P542" s="622" t="s">
        <v>2743</v>
      </c>
      <c r="Q542" s="489">
        <v>29</v>
      </c>
      <c r="R542" s="622" t="s">
        <v>2743</v>
      </c>
      <c r="S542" s="666">
        <f t="shared" si="41"/>
        <v>29</v>
      </c>
      <c r="T542" s="622" t="s">
        <v>5901</v>
      </c>
      <c r="U542" s="666">
        <f t="shared" si="42"/>
        <v>20</v>
      </c>
      <c r="V542" s="622" t="s">
        <v>5874</v>
      </c>
      <c r="W542" s="622" t="s">
        <v>5902</v>
      </c>
      <c r="X542" s="491">
        <f t="shared" si="45"/>
        <v>38</v>
      </c>
      <c r="Y542" s="622" t="s">
        <v>5902</v>
      </c>
      <c r="Z542" s="666">
        <f t="shared" si="44"/>
        <v>38</v>
      </c>
      <c r="AA542" s="622" t="s">
        <v>5903</v>
      </c>
      <c r="AB542" s="666">
        <f t="shared" si="43"/>
        <v>7</v>
      </c>
      <c r="AC542" s="622" t="s">
        <v>5877</v>
      </c>
      <c r="AD542" s="666"/>
      <c r="AE542" s="667"/>
      <c r="AF542" s="504" t="s">
        <v>5881</v>
      </c>
      <c r="AG542" s="530" t="s">
        <v>2969</v>
      </c>
      <c r="AH542" s="495" t="s">
        <v>2918</v>
      </c>
      <c r="AI542" s="505"/>
      <c r="AJ542" s="505"/>
      <c r="AK542" s="563">
        <f>_xll.GetCtData("COAMOUNT","CONSAMOUNT",$B$1:$B$7,$B542,AK$9,"#0")</f>
        <v>0</v>
      </c>
    </row>
    <row r="543" spans="2:37" ht="12" customHeight="1">
      <c r="B543" s="453" t="s">
        <v>5904</v>
      </c>
      <c r="C543" s="482" t="s">
        <v>2911</v>
      </c>
      <c r="D543" s="483">
        <v>44378</v>
      </c>
      <c r="E543" s="484" t="s">
        <v>2912</v>
      </c>
      <c r="F543" s="485">
        <v>5</v>
      </c>
      <c r="G543" s="507"/>
      <c r="H543" s="507"/>
      <c r="I543" s="507"/>
      <c r="J543" s="507"/>
      <c r="K543" s="547"/>
      <c r="L543" s="624" t="s">
        <v>5905</v>
      </c>
      <c r="M543" s="625"/>
      <c r="N543" s="626"/>
      <c r="O543" s="627"/>
      <c r="P543" s="628" t="s">
        <v>2743</v>
      </c>
      <c r="Q543" s="489">
        <v>29</v>
      </c>
      <c r="R543" s="628" t="s">
        <v>2743</v>
      </c>
      <c r="S543" s="666">
        <f t="shared" si="41"/>
        <v>29</v>
      </c>
      <c r="T543" s="628" t="s">
        <v>5901</v>
      </c>
      <c r="U543" s="666">
        <f t="shared" si="42"/>
        <v>20</v>
      </c>
      <c r="V543" s="628" t="s">
        <v>5874</v>
      </c>
      <c r="W543" s="628" t="s">
        <v>5902</v>
      </c>
      <c r="X543" s="491">
        <f t="shared" si="45"/>
        <v>38</v>
      </c>
      <c r="Y543" s="628" t="s">
        <v>5902</v>
      </c>
      <c r="Z543" s="666">
        <f t="shared" si="44"/>
        <v>38</v>
      </c>
      <c r="AA543" s="628" t="s">
        <v>5903</v>
      </c>
      <c r="AB543" s="666">
        <f t="shared" si="43"/>
        <v>7</v>
      </c>
      <c r="AC543" s="628" t="s">
        <v>5877</v>
      </c>
      <c r="AD543" s="666"/>
      <c r="AE543" s="667"/>
      <c r="AF543" s="504" t="s">
        <v>5881</v>
      </c>
      <c r="AG543" s="530" t="s">
        <v>2969</v>
      </c>
      <c r="AH543" s="495" t="s">
        <v>2918</v>
      </c>
      <c r="AI543" s="505"/>
      <c r="AJ543" s="505"/>
      <c r="AK543" s="631">
        <f>_xll.GetCtData("COAMOUNT","CONSAMOUNT",$B$1:$B$7,$B543,AK$9,"#0")</f>
        <v>0</v>
      </c>
    </row>
    <row r="544" spans="2:37" ht="12" customHeight="1">
      <c r="B544" s="453" t="s">
        <v>2795</v>
      </c>
      <c r="C544" s="482" t="s">
        <v>2929</v>
      </c>
      <c r="D544" s="483">
        <v>44403</v>
      </c>
      <c r="E544" s="484" t="s">
        <v>2930</v>
      </c>
      <c r="F544" s="485">
        <v>7</v>
      </c>
      <c r="G544" s="547"/>
      <c r="H544" s="547"/>
      <c r="I544" s="547"/>
      <c r="J544" s="547"/>
      <c r="K544" s="547"/>
      <c r="L544" s="547"/>
      <c r="M544" s="548"/>
      <c r="N544" s="517" t="s">
        <v>2796</v>
      </c>
      <c r="O544" s="518">
        <v>10</v>
      </c>
      <c r="P544" s="519" t="s">
        <v>2743</v>
      </c>
      <c r="Q544" s="489">
        <v>29</v>
      </c>
      <c r="R544" s="519" t="s">
        <v>2743</v>
      </c>
      <c r="S544" s="666">
        <f t="shared" si="41"/>
        <v>29</v>
      </c>
      <c r="T544" s="519" t="s">
        <v>5901</v>
      </c>
      <c r="U544" s="666">
        <f t="shared" si="42"/>
        <v>20</v>
      </c>
      <c r="V544" s="519" t="s">
        <v>5874</v>
      </c>
      <c r="W544" s="519" t="s">
        <v>5902</v>
      </c>
      <c r="X544" s="491">
        <f t="shared" si="45"/>
        <v>38</v>
      </c>
      <c r="Y544" s="519" t="s">
        <v>5902</v>
      </c>
      <c r="Z544" s="666">
        <f t="shared" si="44"/>
        <v>38</v>
      </c>
      <c r="AA544" s="519" t="s">
        <v>5903</v>
      </c>
      <c r="AB544" s="666">
        <f t="shared" si="43"/>
        <v>7</v>
      </c>
      <c r="AC544" s="519" t="s">
        <v>5877</v>
      </c>
      <c r="AD544" s="666"/>
      <c r="AE544" s="667"/>
      <c r="AF544" s="504" t="s">
        <v>5887</v>
      </c>
      <c r="AG544" s="530" t="s">
        <v>2969</v>
      </c>
      <c r="AH544" s="530" t="s">
        <v>2969</v>
      </c>
      <c r="AI544" s="505"/>
      <c r="AJ544" s="505"/>
      <c r="AK544" s="521">
        <f>_xll.GetCtData("COAMOUNT","CONSAMOUNT",$B$1:$B$7,$B544,AK$9,"#0")</f>
        <v>0</v>
      </c>
    </row>
    <row r="545" spans="2:39" ht="12" customHeight="1">
      <c r="B545" s="453" t="s">
        <v>2799</v>
      </c>
      <c r="C545" s="482" t="s">
        <v>2929</v>
      </c>
      <c r="D545" s="483">
        <v>44403</v>
      </c>
      <c r="E545" s="484" t="s">
        <v>2930</v>
      </c>
      <c r="F545" s="485">
        <v>7</v>
      </c>
      <c r="G545" s="547"/>
      <c r="H545" s="547"/>
      <c r="I545" s="547"/>
      <c r="J545" s="547"/>
      <c r="K545" s="547"/>
      <c r="L545" s="547"/>
      <c r="M545" s="548"/>
      <c r="N545" s="517" t="s">
        <v>5906</v>
      </c>
      <c r="O545" s="518">
        <v>10</v>
      </c>
      <c r="P545" s="519" t="s">
        <v>2800</v>
      </c>
      <c r="Q545" s="489">
        <v>44</v>
      </c>
      <c r="R545" s="519" t="s">
        <v>2800</v>
      </c>
      <c r="S545" s="666">
        <f t="shared" si="41"/>
        <v>44</v>
      </c>
      <c r="T545" s="519" t="s">
        <v>5907</v>
      </c>
      <c r="U545" s="666">
        <f t="shared" si="42"/>
        <v>20</v>
      </c>
      <c r="V545" s="519" t="s">
        <v>5874</v>
      </c>
      <c r="W545" s="519" t="s">
        <v>5908</v>
      </c>
      <c r="X545" s="491">
        <f t="shared" si="45"/>
        <v>66</v>
      </c>
      <c r="Y545" s="519" t="s">
        <v>5908</v>
      </c>
      <c r="Z545" s="666">
        <f t="shared" si="44"/>
        <v>66</v>
      </c>
      <c r="AA545" s="519" t="s">
        <v>5909</v>
      </c>
      <c r="AB545" s="666">
        <f t="shared" si="43"/>
        <v>18</v>
      </c>
      <c r="AC545" s="519" t="s">
        <v>5877</v>
      </c>
      <c r="AD545" s="666"/>
      <c r="AE545" s="667"/>
      <c r="AF545" s="504" t="s">
        <v>5887</v>
      </c>
      <c r="AG545" s="530" t="s">
        <v>2969</v>
      </c>
      <c r="AH545" s="530" t="s">
        <v>2969</v>
      </c>
      <c r="AI545" s="505"/>
      <c r="AJ545" s="505"/>
      <c r="AK545" s="521">
        <f>_xll.GetCtData("COAMOUNT","CONSAMOUNT",$B$1:$B$7,$B545,AK$9,"#")</f>
        <v>0</v>
      </c>
    </row>
    <row r="546" spans="2:39" ht="12" customHeight="1">
      <c r="B546" s="635" t="s">
        <v>5910</v>
      </c>
      <c r="C546" s="482" t="s">
        <v>2929</v>
      </c>
      <c r="D546" s="483">
        <v>44403</v>
      </c>
      <c r="E546" s="484" t="s">
        <v>2930</v>
      </c>
      <c r="F546" s="485">
        <v>7</v>
      </c>
      <c r="G546" s="547"/>
      <c r="H546" s="547"/>
      <c r="I546" s="547"/>
      <c r="J546" s="547"/>
      <c r="K546" s="636"/>
      <c r="L546" s="636"/>
      <c r="M546" s="637"/>
      <c r="N546" s="638" t="s">
        <v>5911</v>
      </c>
      <c r="O546" s="639">
        <v>9</v>
      </c>
      <c r="P546" s="640" t="s">
        <v>5912</v>
      </c>
      <c r="Q546" s="641">
        <v>19</v>
      </c>
      <c r="R546" s="640" t="s">
        <v>5912</v>
      </c>
      <c r="S546" s="639">
        <f t="shared" si="41"/>
        <v>19</v>
      </c>
      <c r="T546" s="640" t="s">
        <v>5913</v>
      </c>
      <c r="U546" s="639">
        <f t="shared" si="42"/>
        <v>18</v>
      </c>
      <c r="V546" s="640" t="s">
        <v>2915</v>
      </c>
      <c r="W546" s="640" t="s">
        <v>5914</v>
      </c>
      <c r="X546" s="642">
        <f t="shared" si="45"/>
        <v>23</v>
      </c>
      <c r="Y546" s="640" t="s">
        <v>5914</v>
      </c>
      <c r="Z546" s="639">
        <f t="shared" si="44"/>
        <v>23</v>
      </c>
      <c r="AA546" s="640" t="s">
        <v>5915</v>
      </c>
      <c r="AB546" s="639">
        <f t="shared" si="43"/>
        <v>18</v>
      </c>
      <c r="AC546" s="640" t="s">
        <v>3143</v>
      </c>
      <c r="AD546" s="639"/>
      <c r="AE546" s="643"/>
      <c r="AF546" s="644" t="s">
        <v>2939</v>
      </c>
      <c r="AG546" s="645" t="s">
        <v>3729</v>
      </c>
      <c r="AH546" s="645" t="s">
        <v>5577</v>
      </c>
      <c r="AI546" s="646" t="s">
        <v>5359</v>
      </c>
      <c r="AJ546" s="646"/>
      <c r="AK546" s="647"/>
    </row>
    <row r="547" spans="2:39" ht="12" customHeight="1">
      <c r="B547" s="635" t="s">
        <v>5532</v>
      </c>
      <c r="C547" s="482" t="s">
        <v>2911</v>
      </c>
      <c r="D547" s="483">
        <v>44378</v>
      </c>
      <c r="E547" s="484" t="s">
        <v>2912</v>
      </c>
      <c r="F547" s="485">
        <v>1</v>
      </c>
      <c r="G547" s="547"/>
      <c r="H547" s="547" t="s">
        <v>5533</v>
      </c>
      <c r="I547" s="547"/>
      <c r="J547" s="547"/>
      <c r="K547" s="636"/>
      <c r="L547" s="636"/>
      <c r="M547" s="637"/>
      <c r="N547" s="638"/>
      <c r="O547" s="639">
        <v>4</v>
      </c>
      <c r="P547" s="640" t="s">
        <v>5916</v>
      </c>
      <c r="Q547" s="641">
        <v>102</v>
      </c>
      <c r="R547" s="640" t="s">
        <v>5916</v>
      </c>
      <c r="S547" s="639">
        <f t="shared" si="41"/>
        <v>102</v>
      </c>
      <c r="T547" s="640" t="s">
        <v>5917</v>
      </c>
      <c r="U547" s="639">
        <f t="shared" si="42"/>
        <v>27</v>
      </c>
      <c r="V547" s="640"/>
      <c r="W547" s="640" t="s">
        <v>5918</v>
      </c>
      <c r="X547" s="642">
        <f t="shared" si="45"/>
        <v>18</v>
      </c>
      <c r="Y547" s="640" t="s">
        <v>5918</v>
      </c>
      <c r="Z547" s="639">
        <f t="shared" si="44"/>
        <v>18</v>
      </c>
      <c r="AA547" s="640" t="s">
        <v>5919</v>
      </c>
      <c r="AB547" s="639">
        <f t="shared" si="43"/>
        <v>12</v>
      </c>
      <c r="AC547" s="640"/>
      <c r="AD547" s="639"/>
      <c r="AE547" s="643"/>
      <c r="AF547" s="644"/>
      <c r="AG547" s="645" t="s">
        <v>5577</v>
      </c>
      <c r="AH547" s="645" t="s">
        <v>2918</v>
      </c>
      <c r="AI547" s="646"/>
      <c r="AJ547" s="646"/>
      <c r="AK547" s="647"/>
    </row>
    <row r="548" spans="2:39" ht="12" customHeight="1">
      <c r="B548" s="635" t="s">
        <v>5537</v>
      </c>
      <c r="C548" s="482" t="s">
        <v>2911</v>
      </c>
      <c r="D548" s="483">
        <v>44378</v>
      </c>
      <c r="E548" s="484" t="s">
        <v>2912</v>
      </c>
      <c r="F548" s="485">
        <v>2</v>
      </c>
      <c r="G548" s="547"/>
      <c r="H548" s="547"/>
      <c r="I548" s="547" t="s">
        <v>5538</v>
      </c>
      <c r="J548" s="547"/>
      <c r="K548" s="636"/>
      <c r="L548" s="636"/>
      <c r="M548" s="637"/>
      <c r="N548" s="638"/>
      <c r="O548" s="639">
        <v>5</v>
      </c>
      <c r="P548" s="640" t="s">
        <v>5920</v>
      </c>
      <c r="Q548" s="641">
        <v>72</v>
      </c>
      <c r="R548" s="640" t="s">
        <v>5921</v>
      </c>
      <c r="S548" s="639">
        <f t="shared" si="41"/>
        <v>67</v>
      </c>
      <c r="T548" s="640" t="s">
        <v>5922</v>
      </c>
      <c r="U548" s="639">
        <f t="shared" si="42"/>
        <v>27</v>
      </c>
      <c r="V548" s="640"/>
      <c r="W548" s="640" t="s">
        <v>5923</v>
      </c>
      <c r="X548" s="642">
        <f t="shared" si="45"/>
        <v>42</v>
      </c>
      <c r="Y548" s="640" t="s">
        <v>5923</v>
      </c>
      <c r="Z548" s="639">
        <f t="shared" si="44"/>
        <v>42</v>
      </c>
      <c r="AA548" s="640" t="s">
        <v>5924</v>
      </c>
      <c r="AB548" s="639">
        <f t="shared" si="43"/>
        <v>28</v>
      </c>
      <c r="AC548" s="640"/>
      <c r="AD548" s="639"/>
      <c r="AE548" s="643"/>
      <c r="AF548" s="644"/>
      <c r="AG548" s="645" t="s">
        <v>5577</v>
      </c>
      <c r="AH548" s="645" t="s">
        <v>2918</v>
      </c>
      <c r="AI548" s="646"/>
      <c r="AJ548" s="646"/>
      <c r="AK548" s="647"/>
    </row>
    <row r="549" spans="2:39" ht="12" customHeight="1">
      <c r="B549" s="453" t="s">
        <v>5925</v>
      </c>
      <c r="C549" s="482" t="s">
        <v>2911</v>
      </c>
      <c r="D549" s="483">
        <v>44378</v>
      </c>
      <c r="E549" s="484" t="s">
        <v>2912</v>
      </c>
      <c r="F549" s="485">
        <v>1</v>
      </c>
      <c r="G549" s="482"/>
      <c r="H549" s="497" t="s">
        <v>5926</v>
      </c>
      <c r="I549" s="497"/>
      <c r="J549" s="497"/>
      <c r="K549" s="497"/>
      <c r="L549" s="497"/>
      <c r="M549" s="498"/>
      <c r="N549" s="499"/>
      <c r="O549" s="608">
        <v>4</v>
      </c>
      <c r="P549" s="609" t="s">
        <v>2637</v>
      </c>
      <c r="Q549" s="489">
        <v>43</v>
      </c>
      <c r="R549" s="609" t="s">
        <v>2637</v>
      </c>
      <c r="S549" s="608">
        <f t="shared" si="41"/>
        <v>43</v>
      </c>
      <c r="T549" s="609" t="s">
        <v>5927</v>
      </c>
      <c r="U549" s="608">
        <f t="shared" si="42"/>
        <v>26</v>
      </c>
      <c r="V549" s="609" t="s">
        <v>2915</v>
      </c>
      <c r="W549" s="609" t="s">
        <v>5928</v>
      </c>
      <c r="X549" s="491">
        <f t="shared" si="45"/>
        <v>39</v>
      </c>
      <c r="Y549" s="609" t="s">
        <v>5928</v>
      </c>
      <c r="Z549" s="608">
        <f t="shared" si="44"/>
        <v>39</v>
      </c>
      <c r="AA549" s="609" t="s">
        <v>5929</v>
      </c>
      <c r="AB549" s="608">
        <f t="shared" si="43"/>
        <v>22</v>
      </c>
      <c r="AC549" s="609" t="s">
        <v>3143</v>
      </c>
      <c r="AD549" s="608"/>
      <c r="AE549" s="609"/>
      <c r="AF549" s="504" t="s">
        <v>5930</v>
      </c>
      <c r="AG549" s="530" t="s">
        <v>2969</v>
      </c>
      <c r="AH549" s="495" t="s">
        <v>2918</v>
      </c>
      <c r="AI549" s="505"/>
      <c r="AJ549" s="505"/>
      <c r="AK549" s="610">
        <f>_xll.GetCtData("COAMOUNT","CONSAMOUNT",$B$1:$B$7,$B549,AK$9,"#5981205,01651285")</f>
        <v>5981205</v>
      </c>
    </row>
    <row r="550" spans="2:39" ht="12" customHeight="1">
      <c r="B550" s="453" t="s">
        <v>5931</v>
      </c>
      <c r="C550" s="482" t="s">
        <v>2911</v>
      </c>
      <c r="D550" s="483">
        <v>44378</v>
      </c>
      <c r="E550" s="484" t="s">
        <v>2912</v>
      </c>
      <c r="F550" s="485">
        <v>2</v>
      </c>
      <c r="G550" s="611"/>
      <c r="H550" s="611"/>
      <c r="I550" s="612" t="s">
        <v>5932</v>
      </c>
      <c r="J550" s="612"/>
      <c r="K550" s="612"/>
      <c r="L550" s="612"/>
      <c r="M550" s="613"/>
      <c r="N550" s="510"/>
      <c r="O550" s="614"/>
      <c r="P550" s="615" t="s">
        <v>5933</v>
      </c>
      <c r="Q550" s="489">
        <v>21</v>
      </c>
      <c r="R550" s="615" t="s">
        <v>5933</v>
      </c>
      <c r="S550" s="614">
        <f t="shared" si="41"/>
        <v>21</v>
      </c>
      <c r="T550" s="615" t="s">
        <v>5934</v>
      </c>
      <c r="U550" s="614">
        <f t="shared" si="42"/>
        <v>14</v>
      </c>
      <c r="V550" s="615" t="s">
        <v>2915</v>
      </c>
      <c r="W550" s="615" t="s">
        <v>5935</v>
      </c>
      <c r="X550" s="491">
        <f t="shared" si="45"/>
        <v>39</v>
      </c>
      <c r="Y550" s="615" t="s">
        <v>5935</v>
      </c>
      <c r="Z550" s="614">
        <f t="shared" si="44"/>
        <v>39</v>
      </c>
      <c r="AA550" s="615" t="s">
        <v>5929</v>
      </c>
      <c r="AB550" s="614">
        <f t="shared" si="43"/>
        <v>22</v>
      </c>
      <c r="AC550" s="615" t="s">
        <v>3143</v>
      </c>
      <c r="AD550" s="614"/>
      <c r="AE550" s="615"/>
      <c r="AF550" s="504" t="s">
        <v>5936</v>
      </c>
      <c r="AG550" s="530" t="s">
        <v>2969</v>
      </c>
      <c r="AH550" s="495" t="s">
        <v>2918</v>
      </c>
      <c r="AI550" s="505"/>
      <c r="AJ550" s="505"/>
      <c r="AK550" s="616">
        <f>_xll.GetCtData("COAMOUNT","CONSAMOUNT",$B$1:$B$7,$B550,AK$9,"#5981205,01651285")</f>
        <v>5981205</v>
      </c>
    </row>
    <row r="551" spans="2:39" ht="12" customHeight="1">
      <c r="B551" s="453" t="s">
        <v>1865</v>
      </c>
      <c r="C551" s="482" t="s">
        <v>2911</v>
      </c>
      <c r="D551" s="483">
        <v>44378</v>
      </c>
      <c r="E551" s="484" t="s">
        <v>2912</v>
      </c>
      <c r="F551" s="485">
        <v>3</v>
      </c>
      <c r="G551" s="507"/>
      <c r="H551" s="507"/>
      <c r="I551" s="507"/>
      <c r="J551" s="532" t="s">
        <v>5937</v>
      </c>
      <c r="K551" s="532"/>
      <c r="L551" s="532"/>
      <c r="M551" s="533"/>
      <c r="N551" s="534"/>
      <c r="O551" s="617">
        <v>0</v>
      </c>
      <c r="P551" s="618" t="s">
        <v>5938</v>
      </c>
      <c r="Q551" s="489">
        <v>92</v>
      </c>
      <c r="R551" s="618" t="s">
        <v>5939</v>
      </c>
      <c r="S551" s="617">
        <f t="shared" si="41"/>
        <v>87</v>
      </c>
      <c r="T551" s="618" t="s">
        <v>5940</v>
      </c>
      <c r="U551" s="617">
        <f t="shared" si="42"/>
        <v>30</v>
      </c>
      <c r="V551" s="618" t="s">
        <v>5941</v>
      </c>
      <c r="W551" s="618" t="s">
        <v>5942</v>
      </c>
      <c r="X551" s="491">
        <f t="shared" si="45"/>
        <v>72</v>
      </c>
      <c r="Y551" s="618" t="s">
        <v>5942</v>
      </c>
      <c r="Z551" s="617">
        <f t="shared" si="44"/>
        <v>72</v>
      </c>
      <c r="AA551" s="618" t="s">
        <v>5943</v>
      </c>
      <c r="AB551" s="617">
        <f t="shared" si="43"/>
        <v>22</v>
      </c>
      <c r="AC551" s="618" t="s">
        <v>5944</v>
      </c>
      <c r="AD551" s="617"/>
      <c r="AE551" s="618"/>
      <c r="AF551" s="504" t="s">
        <v>5784</v>
      </c>
      <c r="AG551" s="530" t="s">
        <v>2969</v>
      </c>
      <c r="AH551" s="495" t="s">
        <v>2918</v>
      </c>
      <c r="AI551" s="505"/>
      <c r="AJ551" s="505"/>
      <c r="AK551" s="619">
        <f>_xll.GetCtData("COAMOUNT","CONSAMOUNT",$B$1:$B$7,$B551,AK$9,"#5920322")</f>
        <v>5920322</v>
      </c>
    </row>
    <row r="552" spans="2:39" ht="12" customHeight="1">
      <c r="B552" s="453" t="s">
        <v>5945</v>
      </c>
      <c r="C552" s="482" t="s">
        <v>2911</v>
      </c>
      <c r="D552" s="483">
        <v>44378</v>
      </c>
      <c r="E552" s="484" t="s">
        <v>2912</v>
      </c>
      <c r="F552" s="485">
        <v>4</v>
      </c>
      <c r="G552" s="507"/>
      <c r="H552" s="507"/>
      <c r="I552" s="507"/>
      <c r="J552" s="507"/>
      <c r="K552" s="564" t="s">
        <v>5946</v>
      </c>
      <c r="L552" s="564"/>
      <c r="M552" s="565"/>
      <c r="N552" s="620"/>
      <c r="O552" s="621">
        <v>0</v>
      </c>
      <c r="P552" s="622" t="s">
        <v>5947</v>
      </c>
      <c r="Q552" s="489">
        <v>84</v>
      </c>
      <c r="R552" s="622" t="s">
        <v>5948</v>
      </c>
      <c r="S552" s="621">
        <f t="shared" si="41"/>
        <v>79</v>
      </c>
      <c r="T552" s="622" t="s">
        <v>5949</v>
      </c>
      <c r="U552" s="621">
        <f t="shared" si="42"/>
        <v>18</v>
      </c>
      <c r="V552" s="622" t="s">
        <v>5941</v>
      </c>
      <c r="W552" s="561" t="s">
        <v>5950</v>
      </c>
      <c r="X552" s="491">
        <f t="shared" si="45"/>
        <v>63</v>
      </c>
      <c r="Y552" s="561" t="s">
        <v>5950</v>
      </c>
      <c r="Z552" s="621">
        <f t="shared" si="44"/>
        <v>63</v>
      </c>
      <c r="AA552" s="561" t="s">
        <v>5951</v>
      </c>
      <c r="AB552" s="621">
        <f t="shared" si="43"/>
        <v>17</v>
      </c>
      <c r="AC552" s="622" t="s">
        <v>5944</v>
      </c>
      <c r="AD552" s="621"/>
      <c r="AE552" s="562"/>
      <c r="AF552" s="504" t="s">
        <v>5557</v>
      </c>
      <c r="AG552" s="530" t="s">
        <v>2969</v>
      </c>
      <c r="AH552" s="495" t="s">
        <v>2918</v>
      </c>
      <c r="AI552" s="505"/>
      <c r="AJ552" s="505"/>
      <c r="AK552" s="563">
        <f>_xll.GetCtData("COAMOUNT","CONSAMOUNT",$B$1:$B$7,$B552,AK$9,"#14933514")</f>
        <v>14933514</v>
      </c>
    </row>
    <row r="553" spans="2:39" ht="12" customHeight="1">
      <c r="B553" s="453" t="s">
        <v>2061</v>
      </c>
      <c r="C553" s="482" t="s">
        <v>2911</v>
      </c>
      <c r="D553" s="483">
        <v>44378</v>
      </c>
      <c r="E553" s="484" t="s">
        <v>2912</v>
      </c>
      <c r="F553" s="485">
        <v>5</v>
      </c>
      <c r="G553" s="507"/>
      <c r="H553" s="507"/>
      <c r="I553" s="507"/>
      <c r="J553" s="507"/>
      <c r="K553" s="669"/>
      <c r="L553" s="624" t="s">
        <v>5952</v>
      </c>
      <c r="M553" s="625"/>
      <c r="N553" s="626"/>
      <c r="O553" s="627">
        <v>0</v>
      </c>
      <c r="P553" s="628" t="s">
        <v>5953</v>
      </c>
      <c r="Q553" s="489">
        <v>81</v>
      </c>
      <c r="R553" s="628" t="s">
        <v>2656</v>
      </c>
      <c r="S553" s="627">
        <f t="shared" si="41"/>
        <v>69</v>
      </c>
      <c r="T553" s="628" t="s">
        <v>5954</v>
      </c>
      <c r="U553" s="627">
        <f t="shared" si="42"/>
        <v>29</v>
      </c>
      <c r="V553" s="628" t="s">
        <v>5941</v>
      </c>
      <c r="W553" s="629" t="s">
        <v>5955</v>
      </c>
      <c r="X553" s="491">
        <f t="shared" si="45"/>
        <v>86</v>
      </c>
      <c r="Y553" s="629" t="s">
        <v>5956</v>
      </c>
      <c r="Z553" s="627">
        <f t="shared" si="44"/>
        <v>87</v>
      </c>
      <c r="AA553" s="629" t="s">
        <v>5957</v>
      </c>
      <c r="AB553" s="627">
        <f t="shared" si="43"/>
        <v>21</v>
      </c>
      <c r="AC553" s="628" t="s">
        <v>5944</v>
      </c>
      <c r="AD553" s="627"/>
      <c r="AE553" s="630"/>
      <c r="AF553" s="504" t="s">
        <v>5564</v>
      </c>
      <c r="AG553" s="530" t="s">
        <v>2969</v>
      </c>
      <c r="AH553" s="495" t="s">
        <v>2918</v>
      </c>
      <c r="AI553" s="505"/>
      <c r="AJ553" s="505"/>
      <c r="AK553" s="631">
        <f>_xll.GetCtData("COAMOUNT","CONSAMOUNT",$B$1:$B$7,$B553,AK$9,"#14564538")</f>
        <v>14564538</v>
      </c>
      <c r="AM553" s="632">
        <f>AK553+AK558+AK564+AK569+AK576+AK581</f>
        <v>5586998</v>
      </c>
    </row>
    <row r="554" spans="2:39" ht="12" customHeight="1">
      <c r="B554" s="453" t="s">
        <v>1689</v>
      </c>
      <c r="C554" s="482" t="s">
        <v>2929</v>
      </c>
      <c r="D554" s="483">
        <v>44403</v>
      </c>
      <c r="E554" s="484" t="s">
        <v>2930</v>
      </c>
      <c r="F554" s="485">
        <v>7</v>
      </c>
      <c r="G554" s="669"/>
      <c r="H554" s="669"/>
      <c r="I554" s="669"/>
      <c r="J554" s="669"/>
      <c r="K554" s="669"/>
      <c r="L554" s="669"/>
      <c r="M554" s="670"/>
      <c r="N554" s="517" t="s">
        <v>1690</v>
      </c>
      <c r="O554" s="518">
        <v>10</v>
      </c>
      <c r="P554" s="519" t="s">
        <v>5958</v>
      </c>
      <c r="Q554" s="489">
        <v>107</v>
      </c>
      <c r="R554" s="519" t="s">
        <v>1691</v>
      </c>
      <c r="S554" s="518">
        <f t="shared" si="41"/>
        <v>94</v>
      </c>
      <c r="T554" s="519" t="s">
        <v>5959</v>
      </c>
      <c r="U554" s="518">
        <f t="shared" si="42"/>
        <v>19</v>
      </c>
      <c r="V554" s="519" t="s">
        <v>5941</v>
      </c>
      <c r="W554" s="519" t="s">
        <v>5960</v>
      </c>
      <c r="X554" s="491">
        <f t="shared" si="45"/>
        <v>110</v>
      </c>
      <c r="Y554" s="519" t="s">
        <v>5961</v>
      </c>
      <c r="Z554" s="518">
        <f t="shared" si="44"/>
        <v>92</v>
      </c>
      <c r="AA554" s="519" t="s">
        <v>5957</v>
      </c>
      <c r="AB554" s="518">
        <f t="shared" si="43"/>
        <v>21</v>
      </c>
      <c r="AC554" s="519" t="s">
        <v>5944</v>
      </c>
      <c r="AD554" s="518"/>
      <c r="AE554" s="520"/>
      <c r="AF554" s="504" t="s">
        <v>5630</v>
      </c>
      <c r="AG554" s="530" t="s">
        <v>2969</v>
      </c>
      <c r="AH554" s="530" t="s">
        <v>2969</v>
      </c>
      <c r="AI554" s="505" t="s">
        <v>5359</v>
      </c>
      <c r="AJ554" s="505"/>
      <c r="AK554" s="521">
        <f>_xll.GetCtData("COAMOUNT","CONSAMOUNT",$B$1:$B$7,$B554,AK$9,"#14716529")</f>
        <v>14716529</v>
      </c>
    </row>
    <row r="555" spans="2:39" ht="12" customHeight="1">
      <c r="B555" s="453" t="s">
        <v>1713</v>
      </c>
      <c r="C555" s="482" t="s">
        <v>2929</v>
      </c>
      <c r="D555" s="483">
        <v>44403</v>
      </c>
      <c r="E555" s="484" t="s">
        <v>2930</v>
      </c>
      <c r="F555" s="485">
        <v>7</v>
      </c>
      <c r="G555" s="669"/>
      <c r="H555" s="669"/>
      <c r="I555" s="669"/>
      <c r="J555" s="669"/>
      <c r="K555" s="669"/>
      <c r="L555" s="669"/>
      <c r="M555" s="670"/>
      <c r="N555" s="517" t="s">
        <v>1714</v>
      </c>
      <c r="O555" s="518">
        <v>10</v>
      </c>
      <c r="P555" s="519" t="s">
        <v>5962</v>
      </c>
      <c r="Q555" s="489">
        <v>106</v>
      </c>
      <c r="R555" s="519" t="s">
        <v>1715</v>
      </c>
      <c r="S555" s="518">
        <f t="shared" si="41"/>
        <v>93</v>
      </c>
      <c r="T555" s="519" t="s">
        <v>5963</v>
      </c>
      <c r="U555" s="518">
        <f t="shared" si="42"/>
        <v>27</v>
      </c>
      <c r="V555" s="519" t="s">
        <v>5941</v>
      </c>
      <c r="W555" s="519" t="s">
        <v>5964</v>
      </c>
      <c r="X555" s="491">
        <f t="shared" si="45"/>
        <v>107</v>
      </c>
      <c r="Y555" s="519" t="s">
        <v>5965</v>
      </c>
      <c r="Z555" s="518">
        <f t="shared" si="44"/>
        <v>89</v>
      </c>
      <c r="AA555" s="519" t="s">
        <v>5966</v>
      </c>
      <c r="AB555" s="518">
        <f t="shared" si="43"/>
        <v>28</v>
      </c>
      <c r="AC555" s="519" t="s">
        <v>5944</v>
      </c>
      <c r="AD555" s="518"/>
      <c r="AE555" s="520"/>
      <c r="AF555" s="504" t="s">
        <v>5967</v>
      </c>
      <c r="AG555" s="530" t="s">
        <v>2969</v>
      </c>
      <c r="AH555" s="530" t="s">
        <v>2969</v>
      </c>
      <c r="AI555" s="505" t="s">
        <v>5359</v>
      </c>
      <c r="AJ555" s="505"/>
      <c r="AK555" s="521">
        <f>_xll.GetCtData("COAMOUNT","CONSAMOUNT",$B$1:$B$7,$B555,AK$9,"#154736")</f>
        <v>154736</v>
      </c>
    </row>
    <row r="556" spans="2:39" ht="12" customHeight="1">
      <c r="B556" s="453" t="s">
        <v>1707</v>
      </c>
      <c r="C556" s="482" t="s">
        <v>2929</v>
      </c>
      <c r="D556" s="483">
        <v>44403</v>
      </c>
      <c r="E556" s="484" t="s">
        <v>2930</v>
      </c>
      <c r="F556" s="485">
        <v>7</v>
      </c>
      <c r="G556" s="669"/>
      <c r="H556" s="669"/>
      <c r="I556" s="669"/>
      <c r="J556" s="669"/>
      <c r="K556" s="669"/>
      <c r="L556" s="669"/>
      <c r="M556" s="670"/>
      <c r="N556" s="517" t="s">
        <v>1708</v>
      </c>
      <c r="O556" s="518">
        <v>10</v>
      </c>
      <c r="P556" s="648" t="s">
        <v>5968</v>
      </c>
      <c r="Q556" s="489">
        <v>110</v>
      </c>
      <c r="R556" s="519" t="s">
        <v>1709</v>
      </c>
      <c r="S556" s="518">
        <f t="shared" si="41"/>
        <v>110</v>
      </c>
      <c r="T556" s="519" t="s">
        <v>5969</v>
      </c>
      <c r="U556" s="518">
        <f t="shared" si="42"/>
        <v>30</v>
      </c>
      <c r="V556" s="519" t="s">
        <v>5941</v>
      </c>
      <c r="W556" s="519" t="s">
        <v>5970</v>
      </c>
      <c r="X556" s="491">
        <f t="shared" si="45"/>
        <v>128</v>
      </c>
      <c r="Y556" s="519" t="s">
        <v>5971</v>
      </c>
      <c r="Z556" s="518">
        <f t="shared" si="44"/>
        <v>110</v>
      </c>
      <c r="AA556" s="519" t="s">
        <v>5972</v>
      </c>
      <c r="AB556" s="518">
        <f t="shared" si="43"/>
        <v>29</v>
      </c>
      <c r="AC556" s="519" t="s">
        <v>5944</v>
      </c>
      <c r="AD556" s="518" t="s">
        <v>5973</v>
      </c>
      <c r="AE556" s="520" t="s">
        <v>5974</v>
      </c>
      <c r="AF556" s="504" t="s">
        <v>5975</v>
      </c>
      <c r="AG556" s="530" t="s">
        <v>2969</v>
      </c>
      <c r="AH556" s="530" t="s">
        <v>2969</v>
      </c>
      <c r="AI556" s="505" t="s">
        <v>5359</v>
      </c>
      <c r="AJ556" s="505"/>
      <c r="AK556" s="521">
        <f>_xll.GetCtData("COAMOUNT","CONSAMOUNT",$B$1:$B$7,$B556,AK$9,"#-317060")</f>
        <v>-317060</v>
      </c>
    </row>
    <row r="557" spans="2:39" ht="12" customHeight="1">
      <c r="B557" s="453" t="s">
        <v>1725</v>
      </c>
      <c r="C557" s="649" t="s">
        <v>2962</v>
      </c>
      <c r="D557" s="650">
        <v>44515</v>
      </c>
      <c r="E557" s="484" t="s">
        <v>2930</v>
      </c>
      <c r="F557" s="485">
        <v>7</v>
      </c>
      <c r="G557" s="669"/>
      <c r="H557" s="669"/>
      <c r="I557" s="669"/>
      <c r="J557" s="669"/>
      <c r="K557" s="669"/>
      <c r="L557" s="669"/>
      <c r="M557" s="670"/>
      <c r="N557" s="517" t="s">
        <v>1726</v>
      </c>
      <c r="O557" s="518">
        <v>10</v>
      </c>
      <c r="P557" s="648" t="s">
        <v>5976</v>
      </c>
      <c r="Q557" s="489">
        <v>108</v>
      </c>
      <c r="R557" s="519" t="s">
        <v>1727</v>
      </c>
      <c r="S557" s="518">
        <f t="shared" si="41"/>
        <v>108</v>
      </c>
      <c r="T557" s="519" t="s">
        <v>5977</v>
      </c>
      <c r="U557" s="518">
        <f t="shared" si="42"/>
        <v>30</v>
      </c>
      <c r="V557" s="519" t="s">
        <v>5941</v>
      </c>
      <c r="W557" s="519" t="s">
        <v>5978</v>
      </c>
      <c r="X557" s="491">
        <f t="shared" si="45"/>
        <v>125</v>
      </c>
      <c r="Y557" s="519" t="s">
        <v>5979</v>
      </c>
      <c r="Z557" s="518">
        <f t="shared" si="44"/>
        <v>107</v>
      </c>
      <c r="AA557" s="519" t="s">
        <v>5972</v>
      </c>
      <c r="AB557" s="518">
        <f t="shared" si="43"/>
        <v>29</v>
      </c>
      <c r="AC557" s="519" t="s">
        <v>5944</v>
      </c>
      <c r="AD557" s="518" t="s">
        <v>5973</v>
      </c>
      <c r="AE557" s="520" t="s">
        <v>5974</v>
      </c>
      <c r="AF557" s="651" t="s">
        <v>5716</v>
      </c>
      <c r="AG557" s="530" t="s">
        <v>2969</v>
      </c>
      <c r="AH557" s="530" t="s">
        <v>2969</v>
      </c>
      <c r="AI557" s="505" t="s">
        <v>5359</v>
      </c>
      <c r="AJ557" s="505"/>
      <c r="AK557" s="521">
        <f>_xll.GetCtData("COAMOUNT","CONSAMOUNT",$B$1:$B$7,$B557,AK$9,"#10333")</f>
        <v>10333</v>
      </c>
    </row>
    <row r="558" spans="2:39" ht="12" customHeight="1">
      <c r="B558" s="453" t="s">
        <v>2067</v>
      </c>
      <c r="C558" s="482" t="s">
        <v>2911</v>
      </c>
      <c r="D558" s="483">
        <v>44378</v>
      </c>
      <c r="E558" s="484" t="s">
        <v>2912</v>
      </c>
      <c r="F558" s="485">
        <v>5</v>
      </c>
      <c r="G558" s="507"/>
      <c r="H558" s="507"/>
      <c r="I558" s="507"/>
      <c r="J558" s="507"/>
      <c r="K558" s="669"/>
      <c r="L558" s="624" t="s">
        <v>5980</v>
      </c>
      <c r="M558" s="625"/>
      <c r="N558" s="626"/>
      <c r="O558" s="627">
        <v>0</v>
      </c>
      <c r="P558" s="628" t="s">
        <v>5981</v>
      </c>
      <c r="Q558" s="489">
        <v>79</v>
      </c>
      <c r="R558" s="628" t="s">
        <v>2657</v>
      </c>
      <c r="S558" s="627">
        <f t="shared" si="41"/>
        <v>67</v>
      </c>
      <c r="T558" s="628" t="s">
        <v>5982</v>
      </c>
      <c r="U558" s="627">
        <f t="shared" si="42"/>
        <v>27</v>
      </c>
      <c r="V558" s="628" t="s">
        <v>5941</v>
      </c>
      <c r="W558" s="629" t="s">
        <v>5983</v>
      </c>
      <c r="X558" s="491">
        <f t="shared" si="45"/>
        <v>81</v>
      </c>
      <c r="Y558" s="629" t="s">
        <v>5983</v>
      </c>
      <c r="Z558" s="627">
        <f t="shared" si="44"/>
        <v>81</v>
      </c>
      <c r="AA558" s="629" t="s">
        <v>5984</v>
      </c>
      <c r="AB558" s="627">
        <f t="shared" si="43"/>
        <v>26</v>
      </c>
      <c r="AC558" s="628" t="s">
        <v>5944</v>
      </c>
      <c r="AD558" s="627"/>
      <c r="AE558" s="630"/>
      <c r="AF558" s="504" t="s">
        <v>5985</v>
      </c>
      <c r="AG558" s="530" t="s">
        <v>2969</v>
      </c>
      <c r="AH558" s="495" t="s">
        <v>2918</v>
      </c>
      <c r="AI558" s="505"/>
      <c r="AJ558" s="505"/>
      <c r="AK558" s="631">
        <f>_xll.GetCtData("COAMOUNT","CONSAMOUNT",$B$1:$B$7,$B558,AK$9,"#66352")</f>
        <v>66352</v>
      </c>
    </row>
    <row r="559" spans="2:39" ht="12" customHeight="1">
      <c r="B559" s="453" t="s">
        <v>1695</v>
      </c>
      <c r="C559" s="482" t="s">
        <v>2929</v>
      </c>
      <c r="D559" s="483">
        <v>44403</v>
      </c>
      <c r="E559" s="484" t="s">
        <v>2930</v>
      </c>
      <c r="F559" s="485">
        <v>7</v>
      </c>
      <c r="G559" s="669"/>
      <c r="H559" s="669"/>
      <c r="I559" s="669"/>
      <c r="J559" s="669"/>
      <c r="K559" s="669"/>
      <c r="L559" s="669"/>
      <c r="M559" s="670"/>
      <c r="N559" s="517" t="s">
        <v>1696</v>
      </c>
      <c r="O559" s="518">
        <v>10</v>
      </c>
      <c r="P559" s="519" t="s">
        <v>5986</v>
      </c>
      <c r="Q559" s="489">
        <v>105</v>
      </c>
      <c r="R559" s="519" t="s">
        <v>1697</v>
      </c>
      <c r="S559" s="518">
        <f t="shared" si="41"/>
        <v>92</v>
      </c>
      <c r="T559" s="519" t="s">
        <v>5987</v>
      </c>
      <c r="U559" s="518">
        <f t="shared" si="42"/>
        <v>15</v>
      </c>
      <c r="V559" s="519" t="s">
        <v>5941</v>
      </c>
      <c r="W559" s="519" t="s">
        <v>5988</v>
      </c>
      <c r="X559" s="491">
        <f t="shared" si="45"/>
        <v>104</v>
      </c>
      <c r="Y559" s="519" t="s">
        <v>5989</v>
      </c>
      <c r="Z559" s="518">
        <f t="shared" si="44"/>
        <v>86</v>
      </c>
      <c r="AA559" s="519" t="s">
        <v>5990</v>
      </c>
      <c r="AB559" s="518">
        <f t="shared" si="43"/>
        <v>18</v>
      </c>
      <c r="AC559" s="519" t="s">
        <v>5944</v>
      </c>
      <c r="AD559" s="518"/>
      <c r="AE559" s="520"/>
      <c r="AF559" s="504" t="s">
        <v>5630</v>
      </c>
      <c r="AG559" s="530" t="s">
        <v>2969</v>
      </c>
      <c r="AH559" s="530" t="s">
        <v>2969</v>
      </c>
      <c r="AI559" s="505" t="s">
        <v>5359</v>
      </c>
      <c r="AJ559" s="505"/>
      <c r="AK559" s="521">
        <f>_xll.GetCtData("COAMOUNT","CONSAMOUNT",$B$1:$B$7,$B559,AK$9,"#65669")</f>
        <v>65669</v>
      </c>
    </row>
    <row r="560" spans="2:39" ht="12" customHeight="1">
      <c r="B560" s="453" t="s">
        <v>1719</v>
      </c>
      <c r="C560" s="482" t="s">
        <v>2929</v>
      </c>
      <c r="D560" s="483">
        <v>44403</v>
      </c>
      <c r="E560" s="484" t="s">
        <v>2930</v>
      </c>
      <c r="F560" s="485">
        <v>7</v>
      </c>
      <c r="G560" s="669"/>
      <c r="H560" s="669"/>
      <c r="I560" s="669"/>
      <c r="J560" s="669"/>
      <c r="K560" s="669"/>
      <c r="L560" s="669"/>
      <c r="M560" s="670"/>
      <c r="N560" s="517" t="s">
        <v>1720</v>
      </c>
      <c r="O560" s="518">
        <v>10</v>
      </c>
      <c r="P560" s="519" t="s">
        <v>5991</v>
      </c>
      <c r="Q560" s="489">
        <v>104</v>
      </c>
      <c r="R560" s="519" t="s">
        <v>1721</v>
      </c>
      <c r="S560" s="518">
        <f t="shared" si="41"/>
        <v>91</v>
      </c>
      <c r="T560" s="519" t="s">
        <v>5992</v>
      </c>
      <c r="U560" s="518">
        <f t="shared" si="42"/>
        <v>29</v>
      </c>
      <c r="V560" s="519" t="s">
        <v>5941</v>
      </c>
      <c r="W560" s="519" t="s">
        <v>5993</v>
      </c>
      <c r="X560" s="491">
        <f t="shared" si="45"/>
        <v>103</v>
      </c>
      <c r="Y560" s="519" t="s">
        <v>5994</v>
      </c>
      <c r="Z560" s="518">
        <f t="shared" si="44"/>
        <v>83</v>
      </c>
      <c r="AA560" s="519" t="s">
        <v>5995</v>
      </c>
      <c r="AB560" s="518">
        <f t="shared" si="43"/>
        <v>25</v>
      </c>
      <c r="AC560" s="519" t="s">
        <v>5944</v>
      </c>
      <c r="AD560" s="518"/>
      <c r="AE560" s="520"/>
      <c r="AF560" s="504" t="s">
        <v>5843</v>
      </c>
      <c r="AG560" s="530" t="s">
        <v>2969</v>
      </c>
      <c r="AH560" s="530" t="s">
        <v>2969</v>
      </c>
      <c r="AI560" s="505" t="s">
        <v>5359</v>
      </c>
      <c r="AJ560" s="505"/>
      <c r="AK560" s="521">
        <f>_xll.GetCtData("COAMOUNT","CONSAMOUNT",$B$1:$B$7,$B560,AK$9,"#683")</f>
        <v>683</v>
      </c>
    </row>
    <row r="561" spans="2:37" ht="12" customHeight="1">
      <c r="B561" s="453" t="s">
        <v>2612</v>
      </c>
      <c r="C561" s="482" t="s">
        <v>2911</v>
      </c>
      <c r="D561" s="483">
        <v>44378</v>
      </c>
      <c r="E561" s="484" t="s">
        <v>2912</v>
      </c>
      <c r="F561" s="485">
        <v>5</v>
      </c>
      <c r="G561" s="507"/>
      <c r="H561" s="507"/>
      <c r="I561" s="507"/>
      <c r="J561" s="507"/>
      <c r="K561" s="669"/>
      <c r="L561" s="624" t="s">
        <v>5996</v>
      </c>
      <c r="M561" s="625"/>
      <c r="N561" s="626"/>
      <c r="O561" s="627">
        <v>0</v>
      </c>
      <c r="P561" s="628" t="s">
        <v>5997</v>
      </c>
      <c r="Q561" s="489">
        <v>88</v>
      </c>
      <c r="R561" s="628" t="s">
        <v>5998</v>
      </c>
      <c r="S561" s="627">
        <f t="shared" si="41"/>
        <v>76</v>
      </c>
      <c r="T561" s="628" t="s">
        <v>5999</v>
      </c>
      <c r="U561" s="627">
        <f t="shared" si="42"/>
        <v>18</v>
      </c>
      <c r="V561" s="628" t="s">
        <v>5941</v>
      </c>
      <c r="W561" s="629" t="s">
        <v>6000</v>
      </c>
      <c r="X561" s="491">
        <f t="shared" si="45"/>
        <v>69</v>
      </c>
      <c r="Y561" s="629" t="s">
        <v>6000</v>
      </c>
      <c r="Z561" s="627">
        <f t="shared" si="44"/>
        <v>69</v>
      </c>
      <c r="AA561" s="629" t="s">
        <v>6001</v>
      </c>
      <c r="AB561" s="627">
        <f t="shared" si="43"/>
        <v>21</v>
      </c>
      <c r="AC561" s="628" t="s">
        <v>5944</v>
      </c>
      <c r="AD561" s="627"/>
      <c r="AE561" s="630"/>
      <c r="AF561" s="504" t="s">
        <v>5564</v>
      </c>
      <c r="AG561" s="530" t="s">
        <v>2969</v>
      </c>
      <c r="AH561" s="495" t="s">
        <v>2918</v>
      </c>
      <c r="AI561" s="505"/>
      <c r="AJ561" s="505"/>
      <c r="AK561" s="631">
        <f>_xll.GetCtData("COAMOUNT","CONSAMOUNT",$B$1:$B$7,$B561,AK$9,"#302624")</f>
        <v>302624</v>
      </c>
    </row>
    <row r="562" spans="2:37" ht="12" customHeight="1">
      <c r="B562" s="453" t="s">
        <v>1701</v>
      </c>
      <c r="C562" s="482" t="s">
        <v>2929</v>
      </c>
      <c r="D562" s="483">
        <v>44403</v>
      </c>
      <c r="E562" s="484" t="s">
        <v>2930</v>
      </c>
      <c r="F562" s="485">
        <v>7</v>
      </c>
      <c r="G562" s="669"/>
      <c r="H562" s="669"/>
      <c r="I562" s="669"/>
      <c r="J562" s="669"/>
      <c r="K562" s="669"/>
      <c r="L562" s="669"/>
      <c r="M562" s="670"/>
      <c r="N562" s="517" t="s">
        <v>1702</v>
      </c>
      <c r="O562" s="518">
        <v>10</v>
      </c>
      <c r="P562" s="519" t="s">
        <v>6002</v>
      </c>
      <c r="Q562" s="489">
        <v>114</v>
      </c>
      <c r="R562" s="519" t="s">
        <v>1703</v>
      </c>
      <c r="S562" s="518">
        <f t="shared" si="41"/>
        <v>101</v>
      </c>
      <c r="T562" s="519" t="s">
        <v>6003</v>
      </c>
      <c r="U562" s="518">
        <f t="shared" si="42"/>
        <v>29</v>
      </c>
      <c r="V562" s="519" t="s">
        <v>5941</v>
      </c>
      <c r="W562" s="519" t="s">
        <v>6004</v>
      </c>
      <c r="X562" s="491">
        <f t="shared" si="45"/>
        <v>92</v>
      </c>
      <c r="Y562" s="519" t="s">
        <v>6005</v>
      </c>
      <c r="Z562" s="518">
        <f t="shared" si="44"/>
        <v>74</v>
      </c>
      <c r="AA562" s="519" t="s">
        <v>6006</v>
      </c>
      <c r="AB562" s="518">
        <f t="shared" si="43"/>
        <v>13</v>
      </c>
      <c r="AC562" s="519" t="s">
        <v>5944</v>
      </c>
      <c r="AD562" s="518"/>
      <c r="AE562" s="520"/>
      <c r="AF562" s="504" t="s">
        <v>6007</v>
      </c>
      <c r="AG562" s="530" t="s">
        <v>2969</v>
      </c>
      <c r="AH562" s="530" t="s">
        <v>2969</v>
      </c>
      <c r="AI562" s="505" t="s">
        <v>5359</v>
      </c>
      <c r="AJ562" s="505"/>
      <c r="AK562" s="521">
        <f>_xll.GetCtData("COAMOUNT","CONSAMOUNT",$B$1:$B$7,$B562,AK$9,"#302624")</f>
        <v>302624</v>
      </c>
    </row>
    <row r="563" spans="2:37" ht="12" customHeight="1">
      <c r="B563" s="453" t="s">
        <v>6008</v>
      </c>
      <c r="C563" s="482" t="s">
        <v>2911</v>
      </c>
      <c r="D563" s="483">
        <v>44378</v>
      </c>
      <c r="E563" s="484" t="s">
        <v>2912</v>
      </c>
      <c r="F563" s="485">
        <v>4</v>
      </c>
      <c r="G563" s="507"/>
      <c r="H563" s="507"/>
      <c r="I563" s="507"/>
      <c r="J563" s="507"/>
      <c r="K563" s="564" t="s">
        <v>6009</v>
      </c>
      <c r="L563" s="564"/>
      <c r="M563" s="565"/>
      <c r="N563" s="620"/>
      <c r="O563" s="621">
        <v>0</v>
      </c>
      <c r="P563" s="622" t="s">
        <v>6010</v>
      </c>
      <c r="Q563" s="489">
        <v>85</v>
      </c>
      <c r="R563" s="622" t="s">
        <v>6011</v>
      </c>
      <c r="S563" s="621">
        <f t="shared" si="41"/>
        <v>79</v>
      </c>
      <c r="T563" s="622" t="s">
        <v>6012</v>
      </c>
      <c r="U563" s="621">
        <f t="shared" si="42"/>
        <v>18</v>
      </c>
      <c r="V563" s="622" t="s">
        <v>5941</v>
      </c>
      <c r="W563" s="561" t="s">
        <v>6013</v>
      </c>
      <c r="X563" s="491">
        <f t="shared" si="45"/>
        <v>63</v>
      </c>
      <c r="Y563" s="561" t="s">
        <v>6013</v>
      </c>
      <c r="Z563" s="621">
        <f t="shared" si="44"/>
        <v>63</v>
      </c>
      <c r="AA563" s="561" t="s">
        <v>6014</v>
      </c>
      <c r="AB563" s="621">
        <f t="shared" si="43"/>
        <v>17</v>
      </c>
      <c r="AC563" s="622" t="s">
        <v>5944</v>
      </c>
      <c r="AD563" s="621"/>
      <c r="AE563" s="562"/>
      <c r="AF563" s="504" t="s">
        <v>5557</v>
      </c>
      <c r="AG563" s="530" t="s">
        <v>2969</v>
      </c>
      <c r="AH563" s="495" t="s">
        <v>2918</v>
      </c>
      <c r="AI563" s="505"/>
      <c r="AJ563" s="505"/>
      <c r="AK563" s="563">
        <f>_xll.GetCtData("COAMOUNT","CONSAMOUNT",$B$1:$B$7,$B563,AK$9,"#-9013192")</f>
        <v>-9013192</v>
      </c>
    </row>
    <row r="564" spans="2:37" ht="12" customHeight="1">
      <c r="B564" s="453" t="s">
        <v>2062</v>
      </c>
      <c r="C564" s="482" t="s">
        <v>2911</v>
      </c>
      <c r="D564" s="483">
        <v>44378</v>
      </c>
      <c r="E564" s="484" t="s">
        <v>2912</v>
      </c>
      <c r="F564" s="485">
        <v>5</v>
      </c>
      <c r="G564" s="507"/>
      <c r="H564" s="507"/>
      <c r="I564" s="507"/>
      <c r="J564" s="507"/>
      <c r="K564" s="669"/>
      <c r="L564" s="624" t="s">
        <v>6015</v>
      </c>
      <c r="M564" s="625"/>
      <c r="N564" s="626"/>
      <c r="O564" s="627">
        <v>0</v>
      </c>
      <c r="P564" s="628" t="s">
        <v>6016</v>
      </c>
      <c r="Q564" s="489">
        <v>81</v>
      </c>
      <c r="R564" s="628" t="s">
        <v>2658</v>
      </c>
      <c r="S564" s="627">
        <f t="shared" si="41"/>
        <v>69</v>
      </c>
      <c r="T564" s="628" t="s">
        <v>6017</v>
      </c>
      <c r="U564" s="627">
        <f t="shared" si="42"/>
        <v>29</v>
      </c>
      <c r="V564" s="628" t="s">
        <v>5941</v>
      </c>
      <c r="W564" s="629" t="s">
        <v>6018</v>
      </c>
      <c r="X564" s="491">
        <f t="shared" si="45"/>
        <v>87</v>
      </c>
      <c r="Y564" s="629" t="s">
        <v>6018</v>
      </c>
      <c r="Z564" s="627">
        <f t="shared" si="44"/>
        <v>87</v>
      </c>
      <c r="AA564" s="629" t="s">
        <v>6019</v>
      </c>
      <c r="AB564" s="627">
        <f t="shared" si="43"/>
        <v>21</v>
      </c>
      <c r="AC564" s="628" t="s">
        <v>5944</v>
      </c>
      <c r="AD564" s="627"/>
      <c r="AE564" s="630"/>
      <c r="AF564" s="504" t="s">
        <v>5564</v>
      </c>
      <c r="AG564" s="530" t="s">
        <v>2969</v>
      </c>
      <c r="AH564" s="495" t="s">
        <v>2918</v>
      </c>
      <c r="AI564" s="505"/>
      <c r="AJ564" s="505"/>
      <c r="AK564" s="631">
        <f>_xll.GetCtData("COAMOUNT","CONSAMOUNT",$B$1:$B$7,$B564,AK$9,"#-9105985")</f>
        <v>-9105985</v>
      </c>
    </row>
    <row r="565" spans="2:37" ht="12" customHeight="1">
      <c r="B565" s="453" t="s">
        <v>1692</v>
      </c>
      <c r="C565" s="482" t="s">
        <v>2929</v>
      </c>
      <c r="D565" s="483">
        <v>44403</v>
      </c>
      <c r="E565" s="484" t="s">
        <v>2930</v>
      </c>
      <c r="F565" s="485">
        <v>7</v>
      </c>
      <c r="G565" s="669"/>
      <c r="H565" s="669"/>
      <c r="I565" s="669"/>
      <c r="J565" s="669"/>
      <c r="K565" s="669"/>
      <c r="L565" s="669"/>
      <c r="M565" s="670"/>
      <c r="N565" s="517" t="s">
        <v>1693</v>
      </c>
      <c r="O565" s="518">
        <v>10</v>
      </c>
      <c r="P565" s="519" t="s">
        <v>6020</v>
      </c>
      <c r="Q565" s="489">
        <v>107</v>
      </c>
      <c r="R565" s="519" t="s">
        <v>1694</v>
      </c>
      <c r="S565" s="518">
        <f t="shared" si="41"/>
        <v>94</v>
      </c>
      <c r="T565" s="519" t="s">
        <v>6021</v>
      </c>
      <c r="U565" s="518">
        <f t="shared" si="42"/>
        <v>19</v>
      </c>
      <c r="V565" s="519" t="s">
        <v>5941</v>
      </c>
      <c r="W565" s="519" t="s">
        <v>6022</v>
      </c>
      <c r="X565" s="491">
        <f t="shared" si="45"/>
        <v>110</v>
      </c>
      <c r="Y565" s="519" t="s">
        <v>6023</v>
      </c>
      <c r="Z565" s="518">
        <f t="shared" si="44"/>
        <v>92</v>
      </c>
      <c r="AA565" s="519" t="s">
        <v>6019</v>
      </c>
      <c r="AB565" s="518">
        <f t="shared" si="43"/>
        <v>21</v>
      </c>
      <c r="AC565" s="519" t="s">
        <v>5944</v>
      </c>
      <c r="AD565" s="518"/>
      <c r="AE565" s="520"/>
      <c r="AF565" s="504" t="s">
        <v>5630</v>
      </c>
      <c r="AG565" s="530" t="s">
        <v>2969</v>
      </c>
      <c r="AH565" s="530" t="s">
        <v>2969</v>
      </c>
      <c r="AI565" s="505" t="s">
        <v>5359</v>
      </c>
      <c r="AJ565" s="505"/>
      <c r="AK565" s="521">
        <f>_xll.GetCtData("COAMOUNT","CONSAMOUNT",$B$1:$B$7,$B565,AK$9,"#837001")</f>
        <v>837001</v>
      </c>
    </row>
    <row r="566" spans="2:37" ht="12" customHeight="1">
      <c r="B566" s="453" t="s">
        <v>1716</v>
      </c>
      <c r="C566" s="482" t="s">
        <v>2929</v>
      </c>
      <c r="D566" s="483">
        <v>44403</v>
      </c>
      <c r="E566" s="484" t="s">
        <v>2930</v>
      </c>
      <c r="F566" s="485">
        <v>7</v>
      </c>
      <c r="G566" s="669"/>
      <c r="H566" s="669"/>
      <c r="I566" s="669"/>
      <c r="J566" s="669"/>
      <c r="K566" s="669"/>
      <c r="L566" s="669"/>
      <c r="M566" s="670"/>
      <c r="N566" s="517" t="s">
        <v>1717</v>
      </c>
      <c r="O566" s="518">
        <v>10</v>
      </c>
      <c r="P566" s="519" t="s">
        <v>6024</v>
      </c>
      <c r="Q566" s="489">
        <v>106</v>
      </c>
      <c r="R566" s="519" t="s">
        <v>1718</v>
      </c>
      <c r="S566" s="518">
        <f t="shared" si="41"/>
        <v>93</v>
      </c>
      <c r="T566" s="519" t="s">
        <v>6025</v>
      </c>
      <c r="U566" s="518">
        <f t="shared" si="42"/>
        <v>27</v>
      </c>
      <c r="V566" s="519" t="s">
        <v>5941</v>
      </c>
      <c r="W566" s="519" t="s">
        <v>6026</v>
      </c>
      <c r="X566" s="491">
        <f t="shared" si="45"/>
        <v>107</v>
      </c>
      <c r="Y566" s="519" t="s">
        <v>6027</v>
      </c>
      <c r="Z566" s="518">
        <f t="shared" si="44"/>
        <v>89</v>
      </c>
      <c r="AA566" s="519" t="s">
        <v>6028</v>
      </c>
      <c r="AB566" s="518">
        <f t="shared" si="43"/>
        <v>28</v>
      </c>
      <c r="AC566" s="519" t="s">
        <v>5944</v>
      </c>
      <c r="AD566" s="518"/>
      <c r="AE566" s="520"/>
      <c r="AF566" s="504" t="s">
        <v>5843</v>
      </c>
      <c r="AG566" s="530" t="s">
        <v>2969</v>
      </c>
      <c r="AH566" s="530" t="s">
        <v>2969</v>
      </c>
      <c r="AI566" s="505" t="s">
        <v>5359</v>
      </c>
      <c r="AJ566" s="505"/>
      <c r="AK566" s="521">
        <f>_xll.GetCtData("COAMOUNT","CONSAMOUNT",$B$1:$B$7,$B566,AK$9,"#")</f>
        <v>0</v>
      </c>
    </row>
    <row r="567" spans="2:37" ht="12" customHeight="1">
      <c r="B567" s="453" t="s">
        <v>1710</v>
      </c>
      <c r="C567" s="482" t="s">
        <v>2929</v>
      </c>
      <c r="D567" s="483">
        <v>44403</v>
      </c>
      <c r="E567" s="484" t="s">
        <v>2930</v>
      </c>
      <c r="F567" s="485">
        <v>7</v>
      </c>
      <c r="G567" s="669"/>
      <c r="H567" s="669"/>
      <c r="I567" s="669"/>
      <c r="J567" s="669"/>
      <c r="K567" s="669"/>
      <c r="L567" s="669"/>
      <c r="M567" s="670"/>
      <c r="N567" s="517" t="s">
        <v>1711</v>
      </c>
      <c r="O567" s="518">
        <v>10</v>
      </c>
      <c r="P567" s="648" t="s">
        <v>6029</v>
      </c>
      <c r="Q567" s="489">
        <v>111</v>
      </c>
      <c r="R567" s="519" t="s">
        <v>1712</v>
      </c>
      <c r="S567" s="518">
        <f t="shared" si="41"/>
        <v>111</v>
      </c>
      <c r="T567" s="519" t="s">
        <v>6030</v>
      </c>
      <c r="U567" s="518">
        <f t="shared" si="42"/>
        <v>30</v>
      </c>
      <c r="V567" s="519" t="s">
        <v>5941</v>
      </c>
      <c r="W567" s="519" t="s">
        <v>6031</v>
      </c>
      <c r="X567" s="491">
        <f t="shared" si="45"/>
        <v>128</v>
      </c>
      <c r="Y567" s="519" t="s">
        <v>6032</v>
      </c>
      <c r="Z567" s="518">
        <f t="shared" si="44"/>
        <v>110</v>
      </c>
      <c r="AA567" s="519" t="s">
        <v>6033</v>
      </c>
      <c r="AB567" s="518">
        <f t="shared" si="43"/>
        <v>29</v>
      </c>
      <c r="AC567" s="519" t="s">
        <v>5944</v>
      </c>
      <c r="AD567" s="518" t="s">
        <v>5587</v>
      </c>
      <c r="AE567" s="520" t="s">
        <v>5588</v>
      </c>
      <c r="AF567" s="504" t="s">
        <v>6034</v>
      </c>
      <c r="AG567" s="530" t="s">
        <v>2969</v>
      </c>
      <c r="AH567" s="530" t="s">
        <v>2969</v>
      </c>
      <c r="AI567" s="505" t="s">
        <v>5359</v>
      </c>
      <c r="AJ567" s="505"/>
      <c r="AK567" s="521">
        <f>_xll.GetCtData("COAMOUNT","CONSAMOUNT",$B$1:$B$7,$B567,AK$9,"#-10192428")</f>
        <v>-10192428</v>
      </c>
    </row>
    <row r="568" spans="2:37" ht="12" customHeight="1">
      <c r="B568" s="453" t="s">
        <v>1728</v>
      </c>
      <c r="C568" s="649" t="s">
        <v>2962</v>
      </c>
      <c r="D568" s="650">
        <v>44515</v>
      </c>
      <c r="E568" s="484" t="s">
        <v>2930</v>
      </c>
      <c r="F568" s="485">
        <v>7</v>
      </c>
      <c r="G568" s="669"/>
      <c r="H568" s="669"/>
      <c r="I568" s="669"/>
      <c r="J568" s="669"/>
      <c r="K568" s="669"/>
      <c r="L568" s="669"/>
      <c r="M568" s="670"/>
      <c r="N568" s="517" t="s">
        <v>1729</v>
      </c>
      <c r="O568" s="518">
        <v>10</v>
      </c>
      <c r="P568" s="648" t="s">
        <v>6035</v>
      </c>
      <c r="Q568" s="489">
        <v>109</v>
      </c>
      <c r="R568" s="519" t="s">
        <v>1730</v>
      </c>
      <c r="S568" s="518">
        <f t="shared" si="41"/>
        <v>109</v>
      </c>
      <c r="T568" s="519" t="s">
        <v>6036</v>
      </c>
      <c r="U568" s="518">
        <f t="shared" si="42"/>
        <v>30</v>
      </c>
      <c r="V568" s="519" t="s">
        <v>5941</v>
      </c>
      <c r="W568" s="519" t="s">
        <v>6037</v>
      </c>
      <c r="X568" s="491">
        <f t="shared" si="45"/>
        <v>125</v>
      </c>
      <c r="Y568" s="519" t="s">
        <v>6038</v>
      </c>
      <c r="Z568" s="518">
        <f t="shared" si="44"/>
        <v>107</v>
      </c>
      <c r="AA568" s="519" t="s">
        <v>6033</v>
      </c>
      <c r="AB568" s="518">
        <f t="shared" si="43"/>
        <v>29</v>
      </c>
      <c r="AC568" s="519" t="s">
        <v>5944</v>
      </c>
      <c r="AD568" s="518" t="s">
        <v>5587</v>
      </c>
      <c r="AE568" s="520" t="s">
        <v>5588</v>
      </c>
      <c r="AF568" s="651" t="s">
        <v>5716</v>
      </c>
      <c r="AG568" s="530" t="s">
        <v>2969</v>
      </c>
      <c r="AH568" s="530" t="s">
        <v>2969</v>
      </c>
      <c r="AI568" s="505" t="s">
        <v>5359</v>
      </c>
      <c r="AJ568" s="505"/>
      <c r="AK568" s="521">
        <f>_xll.GetCtData("COAMOUNT","CONSAMOUNT",$B$1:$B$7,$B568,AK$9,"#249442")</f>
        <v>249442</v>
      </c>
    </row>
    <row r="569" spans="2:37" ht="12" customHeight="1">
      <c r="B569" s="453" t="s">
        <v>2068</v>
      </c>
      <c r="C569" s="482" t="s">
        <v>2911</v>
      </c>
      <c r="D569" s="483">
        <v>44378</v>
      </c>
      <c r="E569" s="484" t="s">
        <v>2912</v>
      </c>
      <c r="F569" s="485">
        <v>5</v>
      </c>
      <c r="G569" s="507"/>
      <c r="H569" s="507"/>
      <c r="I569" s="507"/>
      <c r="J569" s="507"/>
      <c r="K569" s="669"/>
      <c r="L569" s="624" t="s">
        <v>6039</v>
      </c>
      <c r="M569" s="625"/>
      <c r="N569" s="626"/>
      <c r="O569" s="627">
        <v>0</v>
      </c>
      <c r="P569" s="628" t="s">
        <v>6040</v>
      </c>
      <c r="Q569" s="489">
        <v>79</v>
      </c>
      <c r="R569" s="628" t="s">
        <v>2659</v>
      </c>
      <c r="S569" s="627">
        <f t="shared" si="41"/>
        <v>67</v>
      </c>
      <c r="T569" s="628" t="s">
        <v>6041</v>
      </c>
      <c r="U569" s="627">
        <f t="shared" si="42"/>
        <v>26</v>
      </c>
      <c r="V569" s="628" t="s">
        <v>5941</v>
      </c>
      <c r="W569" s="629" t="s">
        <v>6042</v>
      </c>
      <c r="X569" s="491">
        <f t="shared" si="45"/>
        <v>81</v>
      </c>
      <c r="Y569" s="629" t="s">
        <v>6042</v>
      </c>
      <c r="Z569" s="627">
        <f t="shared" si="44"/>
        <v>81</v>
      </c>
      <c r="AA569" s="629" t="s">
        <v>6043</v>
      </c>
      <c r="AB569" s="627">
        <f t="shared" si="43"/>
        <v>26</v>
      </c>
      <c r="AC569" s="628" t="s">
        <v>5944</v>
      </c>
      <c r="AD569" s="627"/>
      <c r="AE569" s="630"/>
      <c r="AF569" s="504" t="s">
        <v>5985</v>
      </c>
      <c r="AG569" s="530" t="s">
        <v>2969</v>
      </c>
      <c r="AH569" s="495" t="s">
        <v>2918</v>
      </c>
      <c r="AI569" s="505"/>
      <c r="AJ569" s="505"/>
      <c r="AK569" s="631">
        <f>_xll.GetCtData("COAMOUNT","CONSAMOUNT",$B$1:$B$7,$B569,AK$9,"#1210")</f>
        <v>1210</v>
      </c>
    </row>
    <row r="570" spans="2:37" ht="12" customHeight="1">
      <c r="B570" s="453" t="s">
        <v>1698</v>
      </c>
      <c r="C570" s="482" t="s">
        <v>2929</v>
      </c>
      <c r="D570" s="483">
        <v>44403</v>
      </c>
      <c r="E570" s="484" t="s">
        <v>2930</v>
      </c>
      <c r="F570" s="485">
        <v>7</v>
      </c>
      <c r="G570" s="669"/>
      <c r="H570" s="669"/>
      <c r="I570" s="669"/>
      <c r="J570" s="669"/>
      <c r="K570" s="669"/>
      <c r="L570" s="669"/>
      <c r="M570" s="670"/>
      <c r="N570" s="517" t="s">
        <v>1699</v>
      </c>
      <c r="O570" s="518">
        <v>10</v>
      </c>
      <c r="P570" s="519" t="s">
        <v>6044</v>
      </c>
      <c r="Q570" s="489">
        <v>105</v>
      </c>
      <c r="R570" s="519" t="s">
        <v>1700</v>
      </c>
      <c r="S570" s="518">
        <f t="shared" si="41"/>
        <v>92</v>
      </c>
      <c r="T570" s="519" t="s">
        <v>6045</v>
      </c>
      <c r="U570" s="518">
        <f t="shared" si="42"/>
        <v>15</v>
      </c>
      <c r="V570" s="519" t="s">
        <v>5941</v>
      </c>
      <c r="W570" s="519" t="s">
        <v>6046</v>
      </c>
      <c r="X570" s="491">
        <f t="shared" si="45"/>
        <v>104</v>
      </c>
      <c r="Y570" s="519" t="s">
        <v>6047</v>
      </c>
      <c r="Z570" s="518">
        <f t="shared" si="44"/>
        <v>86</v>
      </c>
      <c r="AA570" s="519" t="s">
        <v>6048</v>
      </c>
      <c r="AB570" s="518">
        <f t="shared" si="43"/>
        <v>18</v>
      </c>
      <c r="AC570" s="519" t="s">
        <v>5944</v>
      </c>
      <c r="AD570" s="518"/>
      <c r="AE570" s="520"/>
      <c r="AF570" s="504" t="s">
        <v>5630</v>
      </c>
      <c r="AG570" s="530" t="s">
        <v>2969</v>
      </c>
      <c r="AH570" s="530" t="s">
        <v>2969</v>
      </c>
      <c r="AI570" s="505" t="s">
        <v>5359</v>
      </c>
      <c r="AJ570" s="505"/>
      <c r="AK570" s="521">
        <f>_xll.GetCtData("COAMOUNT","CONSAMOUNT",$B$1:$B$7,$B570,AK$9,"#1210")</f>
        <v>1210</v>
      </c>
    </row>
    <row r="571" spans="2:37" ht="12" customHeight="1">
      <c r="B571" s="453" t="s">
        <v>1722</v>
      </c>
      <c r="C571" s="482" t="s">
        <v>2929</v>
      </c>
      <c r="D571" s="483">
        <v>44403</v>
      </c>
      <c r="E571" s="484" t="s">
        <v>2930</v>
      </c>
      <c r="F571" s="485">
        <v>7</v>
      </c>
      <c r="G571" s="669"/>
      <c r="H571" s="669"/>
      <c r="I571" s="669"/>
      <c r="J571" s="669"/>
      <c r="K571" s="669"/>
      <c r="L571" s="669"/>
      <c r="M571" s="670"/>
      <c r="N571" s="517" t="s">
        <v>1723</v>
      </c>
      <c r="O571" s="518">
        <v>10</v>
      </c>
      <c r="P571" s="519" t="s">
        <v>6049</v>
      </c>
      <c r="Q571" s="489">
        <v>104</v>
      </c>
      <c r="R571" s="519" t="s">
        <v>1724</v>
      </c>
      <c r="S571" s="518">
        <f t="shared" si="41"/>
        <v>91</v>
      </c>
      <c r="T571" s="519" t="s">
        <v>6050</v>
      </c>
      <c r="U571" s="518">
        <f t="shared" si="42"/>
        <v>29</v>
      </c>
      <c r="V571" s="519" t="s">
        <v>5941</v>
      </c>
      <c r="W571" s="519" t="s">
        <v>6051</v>
      </c>
      <c r="X571" s="491">
        <f t="shared" si="45"/>
        <v>103</v>
      </c>
      <c r="Y571" s="519" t="s">
        <v>6052</v>
      </c>
      <c r="Z571" s="518">
        <f t="shared" si="44"/>
        <v>85</v>
      </c>
      <c r="AA571" s="519" t="s">
        <v>6053</v>
      </c>
      <c r="AB571" s="518">
        <f t="shared" si="43"/>
        <v>25</v>
      </c>
      <c r="AC571" s="519" t="s">
        <v>5944</v>
      </c>
      <c r="AD571" s="518"/>
      <c r="AE571" s="520"/>
      <c r="AF571" s="504" t="s">
        <v>5739</v>
      </c>
      <c r="AG571" s="530" t="s">
        <v>2969</v>
      </c>
      <c r="AH571" s="530" t="s">
        <v>2969</v>
      </c>
      <c r="AI571" s="505" t="s">
        <v>5359</v>
      </c>
      <c r="AJ571" s="505"/>
      <c r="AK571" s="521">
        <f>_xll.GetCtData("COAMOUNT","CONSAMOUNT",$B$1:$B$7,$B571,AK$9,"#")</f>
        <v>0</v>
      </c>
    </row>
    <row r="572" spans="2:37" ht="12" customHeight="1">
      <c r="B572" s="453" t="s">
        <v>2613</v>
      </c>
      <c r="C572" s="482" t="s">
        <v>2911</v>
      </c>
      <c r="D572" s="483">
        <v>44378</v>
      </c>
      <c r="E572" s="484" t="s">
        <v>2912</v>
      </c>
      <c r="F572" s="485">
        <v>5</v>
      </c>
      <c r="G572" s="507"/>
      <c r="H572" s="507"/>
      <c r="I572" s="507"/>
      <c r="J572" s="507"/>
      <c r="K572" s="669"/>
      <c r="L572" s="624" t="s">
        <v>6054</v>
      </c>
      <c r="M572" s="625"/>
      <c r="N572" s="626"/>
      <c r="O572" s="627">
        <v>0</v>
      </c>
      <c r="P572" s="628" t="s">
        <v>6055</v>
      </c>
      <c r="Q572" s="489">
        <v>88</v>
      </c>
      <c r="R572" s="628" t="s">
        <v>6056</v>
      </c>
      <c r="S572" s="627">
        <f t="shared" si="41"/>
        <v>76</v>
      </c>
      <c r="T572" s="628" t="s">
        <v>5743</v>
      </c>
      <c r="U572" s="627">
        <f t="shared" si="42"/>
        <v>18</v>
      </c>
      <c r="V572" s="628" t="s">
        <v>5941</v>
      </c>
      <c r="W572" s="629" t="s">
        <v>6057</v>
      </c>
      <c r="X572" s="491">
        <f t="shared" si="45"/>
        <v>69</v>
      </c>
      <c r="Y572" s="629" t="s">
        <v>6057</v>
      </c>
      <c r="Z572" s="627">
        <f t="shared" si="44"/>
        <v>69</v>
      </c>
      <c r="AA572" s="629" t="s">
        <v>6058</v>
      </c>
      <c r="AB572" s="627">
        <f t="shared" si="43"/>
        <v>21</v>
      </c>
      <c r="AC572" s="628" t="s">
        <v>5944</v>
      </c>
      <c r="AD572" s="627"/>
      <c r="AE572" s="630"/>
      <c r="AF572" s="504" t="s">
        <v>5564</v>
      </c>
      <c r="AG572" s="530" t="s">
        <v>2969</v>
      </c>
      <c r="AH572" s="495" t="s">
        <v>2918</v>
      </c>
      <c r="AI572" s="505"/>
      <c r="AJ572" s="505"/>
      <c r="AK572" s="631">
        <f>_xll.GetCtData("COAMOUNT","CONSAMOUNT",$B$1:$B$7,$B572,AK$9,"#91583")</f>
        <v>91583</v>
      </c>
    </row>
    <row r="573" spans="2:37" ht="12" customHeight="1">
      <c r="B573" s="453" t="s">
        <v>1704</v>
      </c>
      <c r="C573" s="482" t="s">
        <v>2929</v>
      </c>
      <c r="D573" s="483">
        <v>44403</v>
      </c>
      <c r="E573" s="484" t="s">
        <v>2930</v>
      </c>
      <c r="F573" s="485">
        <v>7</v>
      </c>
      <c r="G573" s="669"/>
      <c r="H573" s="669"/>
      <c r="I573" s="669"/>
      <c r="J573" s="669"/>
      <c r="K573" s="669"/>
      <c r="L573" s="669"/>
      <c r="M573" s="670"/>
      <c r="N573" s="517" t="s">
        <v>1705</v>
      </c>
      <c r="O573" s="518">
        <v>10</v>
      </c>
      <c r="P573" s="519" t="s">
        <v>6059</v>
      </c>
      <c r="Q573" s="489">
        <v>114</v>
      </c>
      <c r="R573" s="519" t="s">
        <v>1706</v>
      </c>
      <c r="S573" s="518">
        <f t="shared" si="41"/>
        <v>101</v>
      </c>
      <c r="T573" s="519" t="s">
        <v>6060</v>
      </c>
      <c r="U573" s="518">
        <f t="shared" si="42"/>
        <v>29</v>
      </c>
      <c r="V573" s="519" t="s">
        <v>5941</v>
      </c>
      <c r="W573" s="519" t="s">
        <v>6061</v>
      </c>
      <c r="X573" s="491">
        <f t="shared" si="45"/>
        <v>92</v>
      </c>
      <c r="Y573" s="519" t="s">
        <v>6062</v>
      </c>
      <c r="Z573" s="518">
        <f t="shared" si="44"/>
        <v>74</v>
      </c>
      <c r="AA573" s="519" t="s">
        <v>6063</v>
      </c>
      <c r="AB573" s="518">
        <f t="shared" si="43"/>
        <v>13</v>
      </c>
      <c r="AC573" s="519" t="s">
        <v>5944</v>
      </c>
      <c r="AD573" s="518"/>
      <c r="AE573" s="520"/>
      <c r="AF573" s="504" t="s">
        <v>6007</v>
      </c>
      <c r="AG573" s="530" t="s">
        <v>2969</v>
      </c>
      <c r="AH573" s="530" t="s">
        <v>2969</v>
      </c>
      <c r="AI573" s="505" t="s">
        <v>5359</v>
      </c>
      <c r="AJ573" s="505"/>
      <c r="AK573" s="521">
        <f>_xll.GetCtData("COAMOUNT","CONSAMOUNT",$B$1:$B$7,$B573,AK$9,"#91583")</f>
        <v>91583</v>
      </c>
    </row>
    <row r="574" spans="2:37" ht="12" customHeight="1">
      <c r="B574" s="453" t="s">
        <v>1866</v>
      </c>
      <c r="C574" s="482" t="s">
        <v>2911</v>
      </c>
      <c r="D574" s="483">
        <v>44378</v>
      </c>
      <c r="E574" s="484" t="s">
        <v>2912</v>
      </c>
      <c r="F574" s="485">
        <v>3</v>
      </c>
      <c r="G574" s="507"/>
      <c r="H574" s="507"/>
      <c r="I574" s="507"/>
      <c r="J574" s="532" t="s">
        <v>6064</v>
      </c>
      <c r="K574" s="532"/>
      <c r="L574" s="532"/>
      <c r="M574" s="533"/>
      <c r="N574" s="534"/>
      <c r="O574" s="617">
        <v>0</v>
      </c>
      <c r="P574" s="618" t="s">
        <v>6065</v>
      </c>
      <c r="Q574" s="489">
        <v>84</v>
      </c>
      <c r="R574" s="618" t="s">
        <v>6066</v>
      </c>
      <c r="S574" s="617">
        <f t="shared" si="41"/>
        <v>79</v>
      </c>
      <c r="T574" s="618" t="s">
        <v>6067</v>
      </c>
      <c r="U574" s="617">
        <f t="shared" si="42"/>
        <v>27</v>
      </c>
      <c r="V574" s="618" t="s">
        <v>6068</v>
      </c>
      <c r="W574" s="618" t="s">
        <v>6069</v>
      </c>
      <c r="X574" s="491">
        <f t="shared" si="45"/>
        <v>63</v>
      </c>
      <c r="Y574" s="618" t="s">
        <v>6069</v>
      </c>
      <c r="Z574" s="617">
        <f t="shared" si="44"/>
        <v>63</v>
      </c>
      <c r="AA574" s="618" t="s">
        <v>6070</v>
      </c>
      <c r="AB574" s="617">
        <f t="shared" si="43"/>
        <v>19</v>
      </c>
      <c r="AC574" s="618" t="s">
        <v>6071</v>
      </c>
      <c r="AD574" s="617"/>
      <c r="AE574" s="618"/>
      <c r="AF574" s="504" t="s">
        <v>6072</v>
      </c>
      <c r="AG574" s="530" t="s">
        <v>2969</v>
      </c>
      <c r="AH574" s="495" t="s">
        <v>2918</v>
      </c>
      <c r="AI574" s="505"/>
      <c r="AJ574" s="505"/>
      <c r="AK574" s="619">
        <f>_xll.GetCtData("COAMOUNT","CONSAMOUNT",$B$1:$B$7,$B574,AK$9,"#60883,0165128477")</f>
        <v>60883</v>
      </c>
    </row>
    <row r="575" spans="2:37" ht="12" customHeight="1">
      <c r="B575" s="453" t="s">
        <v>1160</v>
      </c>
      <c r="C575" s="482" t="s">
        <v>2911</v>
      </c>
      <c r="D575" s="483">
        <v>44378</v>
      </c>
      <c r="E575" s="484" t="s">
        <v>2912</v>
      </c>
      <c r="F575" s="485">
        <v>4</v>
      </c>
      <c r="G575" s="507"/>
      <c r="H575" s="507"/>
      <c r="I575" s="507"/>
      <c r="J575" s="507"/>
      <c r="K575" s="564" t="s">
        <v>6073</v>
      </c>
      <c r="L575" s="564"/>
      <c r="M575" s="565"/>
      <c r="N575" s="620"/>
      <c r="O575" s="621">
        <v>0</v>
      </c>
      <c r="P575" s="622" t="s">
        <v>6065</v>
      </c>
      <c r="Q575" s="489">
        <v>84</v>
      </c>
      <c r="R575" s="622" t="s">
        <v>6066</v>
      </c>
      <c r="S575" s="621">
        <v>79</v>
      </c>
      <c r="T575" s="622" t="s">
        <v>6074</v>
      </c>
      <c r="U575" s="621">
        <f t="shared" si="42"/>
        <v>18</v>
      </c>
      <c r="V575" s="622" t="s">
        <v>6068</v>
      </c>
      <c r="W575" s="561" t="s">
        <v>6069</v>
      </c>
      <c r="X575" s="491">
        <f t="shared" si="45"/>
        <v>63</v>
      </c>
      <c r="Y575" s="561" t="s">
        <v>6069</v>
      </c>
      <c r="Z575" s="621">
        <f t="shared" si="44"/>
        <v>63</v>
      </c>
      <c r="AA575" s="561" t="s">
        <v>6075</v>
      </c>
      <c r="AB575" s="621">
        <f t="shared" si="43"/>
        <v>17</v>
      </c>
      <c r="AC575" s="622" t="s">
        <v>6071</v>
      </c>
      <c r="AD575" s="621"/>
      <c r="AE575" s="562"/>
      <c r="AF575" s="504" t="s">
        <v>6072</v>
      </c>
      <c r="AG575" s="530" t="s">
        <v>2969</v>
      </c>
      <c r="AH575" s="495" t="s">
        <v>2918</v>
      </c>
      <c r="AI575" s="505"/>
      <c r="AJ575" s="505"/>
      <c r="AK575" s="563">
        <f>_xll.GetCtData("COAMOUNT","CONSAMOUNT",$B$1:$B$7,$B575,AK$9,"#60883,0165128477")</f>
        <v>60883</v>
      </c>
    </row>
    <row r="576" spans="2:37" ht="12" customHeight="1">
      <c r="B576" s="453" t="s">
        <v>2063</v>
      </c>
      <c r="C576" s="482" t="s">
        <v>2911</v>
      </c>
      <c r="D576" s="483">
        <v>44378</v>
      </c>
      <c r="E576" s="484" t="s">
        <v>2912</v>
      </c>
      <c r="F576" s="485">
        <v>5</v>
      </c>
      <c r="G576" s="507"/>
      <c r="H576" s="507"/>
      <c r="I576" s="507"/>
      <c r="J576" s="507"/>
      <c r="K576" s="669"/>
      <c r="L576" s="624" t="s">
        <v>6076</v>
      </c>
      <c r="M576" s="625"/>
      <c r="N576" s="626"/>
      <c r="O576" s="627">
        <v>0</v>
      </c>
      <c r="P576" s="628" t="s">
        <v>6077</v>
      </c>
      <c r="Q576" s="489">
        <v>74</v>
      </c>
      <c r="R576" s="628" t="s">
        <v>2660</v>
      </c>
      <c r="S576" s="627">
        <f t="shared" ref="S576:S639" si="46">LEN(R576)</f>
        <v>69</v>
      </c>
      <c r="T576" s="628" t="s">
        <v>6078</v>
      </c>
      <c r="U576" s="627">
        <f t="shared" si="42"/>
        <v>29</v>
      </c>
      <c r="V576" s="628" t="s">
        <v>6068</v>
      </c>
      <c r="W576" s="629" t="s">
        <v>6079</v>
      </c>
      <c r="X576" s="491">
        <f t="shared" si="45"/>
        <v>87</v>
      </c>
      <c r="Y576" s="629" t="s">
        <v>6079</v>
      </c>
      <c r="Z576" s="627">
        <f t="shared" si="44"/>
        <v>87</v>
      </c>
      <c r="AA576" s="629" t="s">
        <v>6080</v>
      </c>
      <c r="AB576" s="627">
        <f t="shared" si="43"/>
        <v>21</v>
      </c>
      <c r="AC576" s="628" t="s">
        <v>6071</v>
      </c>
      <c r="AD576" s="627"/>
      <c r="AE576" s="630"/>
      <c r="AF576" s="504"/>
      <c r="AG576" s="530" t="s">
        <v>2969</v>
      </c>
      <c r="AH576" s="495" t="s">
        <v>2918</v>
      </c>
      <c r="AI576" s="505"/>
      <c r="AJ576" s="505"/>
      <c r="AK576" s="631">
        <f>_xll.GetCtData("COAMOUNT","CONSAMOUNT",$B$1:$B$7,$B576,AK$9,"#61246,0165128477")</f>
        <v>61246</v>
      </c>
    </row>
    <row r="577" spans="2:37" ht="12" customHeight="1">
      <c r="B577" s="453" t="s">
        <v>2825</v>
      </c>
      <c r="C577" s="482" t="s">
        <v>2929</v>
      </c>
      <c r="D577" s="483">
        <v>44403</v>
      </c>
      <c r="E577" s="484" t="s">
        <v>2930</v>
      </c>
      <c r="F577" s="485">
        <v>7</v>
      </c>
      <c r="G577" s="669"/>
      <c r="H577" s="669"/>
      <c r="I577" s="669"/>
      <c r="J577" s="669"/>
      <c r="K577" s="669"/>
      <c r="L577" s="669"/>
      <c r="M577" s="670"/>
      <c r="N577" s="517" t="s">
        <v>2826</v>
      </c>
      <c r="O577" s="518">
        <v>10</v>
      </c>
      <c r="P577" s="519" t="s">
        <v>6081</v>
      </c>
      <c r="Q577" s="489">
        <v>99</v>
      </c>
      <c r="R577" s="519" t="s">
        <v>2827</v>
      </c>
      <c r="S577" s="518">
        <f t="shared" si="46"/>
        <v>93</v>
      </c>
      <c r="T577" s="519" t="s">
        <v>6082</v>
      </c>
      <c r="U577" s="518">
        <f t="shared" si="42"/>
        <v>19</v>
      </c>
      <c r="V577" s="519" t="s">
        <v>6068</v>
      </c>
      <c r="W577" s="519" t="s">
        <v>6083</v>
      </c>
      <c r="X577" s="491">
        <f t="shared" si="45"/>
        <v>110</v>
      </c>
      <c r="Y577" s="519" t="s">
        <v>6084</v>
      </c>
      <c r="Z577" s="518">
        <f t="shared" si="44"/>
        <v>92</v>
      </c>
      <c r="AA577" s="519" t="s">
        <v>6080</v>
      </c>
      <c r="AB577" s="518">
        <f t="shared" si="43"/>
        <v>21</v>
      </c>
      <c r="AC577" s="519" t="s">
        <v>6071</v>
      </c>
      <c r="AD577" s="518"/>
      <c r="AE577" s="520"/>
      <c r="AF577" s="504" t="s">
        <v>6085</v>
      </c>
      <c r="AG577" s="530" t="s">
        <v>2969</v>
      </c>
      <c r="AH577" s="530" t="s">
        <v>2969</v>
      </c>
      <c r="AI577" s="505" t="s">
        <v>5359</v>
      </c>
      <c r="AJ577" s="505"/>
      <c r="AK577" s="521">
        <f>_xll.GetCtData("COAMOUNT","CONSAMOUNT",$B$1:$B$7,$B577,AK$9,"#38057,8758657183")</f>
        <v>38057</v>
      </c>
    </row>
    <row r="578" spans="2:37" ht="12" customHeight="1">
      <c r="B578" s="453" t="s">
        <v>2831</v>
      </c>
      <c r="C578" s="482" t="s">
        <v>2929</v>
      </c>
      <c r="D578" s="483">
        <v>44403</v>
      </c>
      <c r="E578" s="484" t="s">
        <v>2930</v>
      </c>
      <c r="F578" s="485">
        <v>7</v>
      </c>
      <c r="G578" s="669"/>
      <c r="H578" s="669"/>
      <c r="I578" s="669"/>
      <c r="J578" s="669"/>
      <c r="K578" s="669"/>
      <c r="L578" s="669"/>
      <c r="M578" s="670"/>
      <c r="N578" s="517" t="s">
        <v>2832</v>
      </c>
      <c r="O578" s="518">
        <v>10</v>
      </c>
      <c r="P578" s="519" t="s">
        <v>6086</v>
      </c>
      <c r="Q578" s="489">
        <v>98</v>
      </c>
      <c r="R578" s="519" t="s">
        <v>2833</v>
      </c>
      <c r="S578" s="518">
        <f t="shared" si="46"/>
        <v>93</v>
      </c>
      <c r="T578" s="519" t="s">
        <v>6087</v>
      </c>
      <c r="U578" s="518">
        <f t="shared" si="42"/>
        <v>27</v>
      </c>
      <c r="V578" s="519" t="s">
        <v>6068</v>
      </c>
      <c r="W578" s="519" t="s">
        <v>6088</v>
      </c>
      <c r="X578" s="491">
        <f t="shared" si="45"/>
        <v>107</v>
      </c>
      <c r="Y578" s="519" t="s">
        <v>6089</v>
      </c>
      <c r="Z578" s="518">
        <f t="shared" si="44"/>
        <v>89</v>
      </c>
      <c r="AA578" s="519" t="s">
        <v>6090</v>
      </c>
      <c r="AB578" s="518">
        <f t="shared" si="43"/>
        <v>28</v>
      </c>
      <c r="AC578" s="519" t="s">
        <v>6071</v>
      </c>
      <c r="AD578" s="518"/>
      <c r="AE578" s="520"/>
      <c r="AF578" s="504" t="s">
        <v>5843</v>
      </c>
      <c r="AG578" s="530" t="s">
        <v>2969</v>
      </c>
      <c r="AH578" s="530" t="s">
        <v>2969</v>
      </c>
      <c r="AI578" s="505" t="s">
        <v>5359</v>
      </c>
      <c r="AJ578" s="505"/>
      <c r="AK578" s="521">
        <f>_xll.GetCtData("COAMOUNT","CONSAMOUNT",$B$1:$B$7,$B578,AK$9,"#23465,1406471293")</f>
        <v>23465</v>
      </c>
    </row>
    <row r="579" spans="2:37" ht="12" customHeight="1">
      <c r="B579" s="453" t="s">
        <v>2828</v>
      </c>
      <c r="C579" s="482" t="s">
        <v>2929</v>
      </c>
      <c r="D579" s="483">
        <v>44403</v>
      </c>
      <c r="E579" s="484" t="s">
        <v>2930</v>
      </c>
      <c r="F579" s="485">
        <v>7</v>
      </c>
      <c r="G579" s="547"/>
      <c r="H579" s="547"/>
      <c r="I579" s="547"/>
      <c r="J579" s="547"/>
      <c r="K579" s="547"/>
      <c r="L579" s="547"/>
      <c r="M579" s="548"/>
      <c r="N579" s="517" t="s">
        <v>2829</v>
      </c>
      <c r="O579" s="518">
        <v>10</v>
      </c>
      <c r="P579" s="648" t="s">
        <v>6091</v>
      </c>
      <c r="Q579" s="489">
        <v>110</v>
      </c>
      <c r="R579" s="519" t="s">
        <v>2830</v>
      </c>
      <c r="S579" s="518">
        <f t="shared" si="46"/>
        <v>110</v>
      </c>
      <c r="T579" s="519" t="s">
        <v>6092</v>
      </c>
      <c r="U579" s="518">
        <f t="shared" si="42"/>
        <v>30</v>
      </c>
      <c r="V579" s="519" t="s">
        <v>6068</v>
      </c>
      <c r="W579" s="519" t="s">
        <v>6093</v>
      </c>
      <c r="X579" s="491">
        <f t="shared" si="45"/>
        <v>128</v>
      </c>
      <c r="Y579" s="519" t="s">
        <v>6094</v>
      </c>
      <c r="Z579" s="518">
        <f t="shared" si="44"/>
        <v>110</v>
      </c>
      <c r="AA579" s="519" t="s">
        <v>6095</v>
      </c>
      <c r="AB579" s="518">
        <f t="shared" si="43"/>
        <v>29</v>
      </c>
      <c r="AC579" s="519" t="s">
        <v>6071</v>
      </c>
      <c r="AD579" s="518" t="s">
        <v>5973</v>
      </c>
      <c r="AE579" s="520" t="s">
        <v>5974</v>
      </c>
      <c r="AF579" s="504" t="s">
        <v>6096</v>
      </c>
      <c r="AG579" s="530" t="s">
        <v>2969</v>
      </c>
      <c r="AH579" s="530" t="s">
        <v>2969</v>
      </c>
      <c r="AI579" s="505" t="s">
        <v>5359</v>
      </c>
      <c r="AJ579" s="505"/>
      <c r="AK579" s="521">
        <f>_xll.GetCtData("COAMOUNT","CONSAMOUNT",$B$1:$B$7,$B579,AK$9,"#-281")</f>
        <v>-281</v>
      </c>
    </row>
    <row r="580" spans="2:37" ht="12" customHeight="1">
      <c r="B580" s="453" t="s">
        <v>2834</v>
      </c>
      <c r="C580" s="649" t="s">
        <v>2962</v>
      </c>
      <c r="D580" s="650">
        <v>44515</v>
      </c>
      <c r="E580" s="484" t="s">
        <v>2930</v>
      </c>
      <c r="F580" s="485">
        <v>7</v>
      </c>
      <c r="G580" s="547"/>
      <c r="H580" s="547"/>
      <c r="I580" s="547"/>
      <c r="J580" s="547"/>
      <c r="K580" s="547"/>
      <c r="L580" s="547"/>
      <c r="M580" s="548"/>
      <c r="N580" s="517" t="s">
        <v>2835</v>
      </c>
      <c r="O580" s="518">
        <v>10</v>
      </c>
      <c r="P580" s="648" t="s">
        <v>6097</v>
      </c>
      <c r="Q580" s="489">
        <v>108</v>
      </c>
      <c r="R580" s="519" t="s">
        <v>2836</v>
      </c>
      <c r="S580" s="518">
        <f t="shared" si="46"/>
        <v>108</v>
      </c>
      <c r="T580" s="519" t="s">
        <v>6098</v>
      </c>
      <c r="U580" s="518">
        <f t="shared" si="42"/>
        <v>30</v>
      </c>
      <c r="V580" s="519" t="s">
        <v>6068</v>
      </c>
      <c r="W580" s="519" t="s">
        <v>6099</v>
      </c>
      <c r="X580" s="491">
        <f t="shared" si="45"/>
        <v>125</v>
      </c>
      <c r="Y580" s="519" t="s">
        <v>6100</v>
      </c>
      <c r="Z580" s="518">
        <f t="shared" si="44"/>
        <v>107</v>
      </c>
      <c r="AA580" s="519" t="s">
        <v>6095</v>
      </c>
      <c r="AB580" s="518">
        <f t="shared" si="43"/>
        <v>29</v>
      </c>
      <c r="AC580" s="519" t="s">
        <v>6071</v>
      </c>
      <c r="AD580" s="518" t="s">
        <v>5973</v>
      </c>
      <c r="AE580" s="520" t="s">
        <v>5974</v>
      </c>
      <c r="AF580" s="651" t="s">
        <v>5716</v>
      </c>
      <c r="AG580" s="530" t="s">
        <v>2969</v>
      </c>
      <c r="AH580" s="530" t="s">
        <v>2969</v>
      </c>
      <c r="AI580" s="505" t="s">
        <v>5359</v>
      </c>
      <c r="AJ580" s="505"/>
      <c r="AK580" s="521">
        <f>_xll.GetCtData("COAMOUNT","CONSAMOUNT",$B$1:$B$7,$B580,AK$9,"#4")</f>
        <v>4</v>
      </c>
    </row>
    <row r="581" spans="2:37" ht="12" customHeight="1">
      <c r="B581" s="453" t="s">
        <v>2069</v>
      </c>
      <c r="C581" s="482" t="s">
        <v>2911</v>
      </c>
      <c r="D581" s="483">
        <v>44378</v>
      </c>
      <c r="E581" s="484" t="s">
        <v>2912</v>
      </c>
      <c r="F581" s="485">
        <v>5</v>
      </c>
      <c r="G581" s="507"/>
      <c r="H581" s="507"/>
      <c r="I581" s="507"/>
      <c r="J581" s="507"/>
      <c r="K581" s="547"/>
      <c r="L581" s="624" t="s">
        <v>6101</v>
      </c>
      <c r="M581" s="625"/>
      <c r="N581" s="626"/>
      <c r="O581" s="627">
        <v>0</v>
      </c>
      <c r="P581" s="628" t="s">
        <v>6102</v>
      </c>
      <c r="Q581" s="489">
        <v>72</v>
      </c>
      <c r="R581" s="628" t="s">
        <v>2661</v>
      </c>
      <c r="S581" s="627">
        <f t="shared" si="46"/>
        <v>67</v>
      </c>
      <c r="T581" s="628" t="s">
        <v>6103</v>
      </c>
      <c r="U581" s="627">
        <f t="shared" si="42"/>
        <v>26</v>
      </c>
      <c r="V581" s="628" t="s">
        <v>6068</v>
      </c>
      <c r="W581" s="629" t="s">
        <v>6104</v>
      </c>
      <c r="X581" s="491">
        <f t="shared" si="45"/>
        <v>81</v>
      </c>
      <c r="Y581" s="629" t="s">
        <v>6104</v>
      </c>
      <c r="Z581" s="627">
        <f t="shared" si="44"/>
        <v>81</v>
      </c>
      <c r="AA581" s="629" t="s">
        <v>6105</v>
      </c>
      <c r="AB581" s="627">
        <f t="shared" si="43"/>
        <v>26</v>
      </c>
      <c r="AC581" s="628" t="s">
        <v>6071</v>
      </c>
      <c r="AD581" s="627"/>
      <c r="AE581" s="630"/>
      <c r="AF581" s="504" t="s">
        <v>6106</v>
      </c>
      <c r="AG581" s="530" t="s">
        <v>2969</v>
      </c>
      <c r="AH581" s="495" t="s">
        <v>2918</v>
      </c>
      <c r="AI581" s="505"/>
      <c r="AJ581" s="505"/>
      <c r="AK581" s="631">
        <f>_xll.GetCtData("COAMOUNT","CONSAMOUNT",$B$1:$B$7,$B581,AK$9,"#-363")</f>
        <v>-363</v>
      </c>
    </row>
    <row r="582" spans="2:37" ht="12" customHeight="1">
      <c r="B582" s="453" t="s">
        <v>2837</v>
      </c>
      <c r="C582" s="482" t="s">
        <v>2929</v>
      </c>
      <c r="D582" s="483">
        <v>44403</v>
      </c>
      <c r="E582" s="484" t="s">
        <v>2930</v>
      </c>
      <c r="F582" s="485">
        <v>7</v>
      </c>
      <c r="G582" s="669"/>
      <c r="H582" s="669"/>
      <c r="I582" s="669"/>
      <c r="J582" s="669"/>
      <c r="K582" s="669"/>
      <c r="L582" s="669"/>
      <c r="M582" s="670"/>
      <c r="N582" s="517" t="s">
        <v>2838</v>
      </c>
      <c r="O582" s="518">
        <v>10</v>
      </c>
      <c r="P582" s="519" t="s">
        <v>6107</v>
      </c>
      <c r="Q582" s="489">
        <v>106</v>
      </c>
      <c r="R582" s="519" t="s">
        <v>2839</v>
      </c>
      <c r="S582" s="518">
        <f t="shared" si="46"/>
        <v>101</v>
      </c>
      <c r="T582" s="519" t="s">
        <v>6108</v>
      </c>
      <c r="U582" s="518">
        <f t="shared" si="42"/>
        <v>29</v>
      </c>
      <c r="V582" s="519" t="s">
        <v>6068</v>
      </c>
      <c r="W582" s="519" t="s">
        <v>6109</v>
      </c>
      <c r="X582" s="491">
        <f t="shared" si="45"/>
        <v>101</v>
      </c>
      <c r="Y582" s="519" t="s">
        <v>6110</v>
      </c>
      <c r="Z582" s="518">
        <f t="shared" si="44"/>
        <v>83</v>
      </c>
      <c r="AA582" s="519" t="s">
        <v>6111</v>
      </c>
      <c r="AB582" s="518">
        <f t="shared" si="43"/>
        <v>25</v>
      </c>
      <c r="AC582" s="519" t="s">
        <v>6071</v>
      </c>
      <c r="AD582" s="518"/>
      <c r="AE582" s="520"/>
      <c r="AF582" s="504" t="s">
        <v>2939</v>
      </c>
      <c r="AG582" s="530" t="s">
        <v>2969</v>
      </c>
      <c r="AH582" s="530" t="s">
        <v>2969</v>
      </c>
      <c r="AI582" s="505" t="s">
        <v>5359</v>
      </c>
      <c r="AJ582" s="505"/>
      <c r="AK582" s="521">
        <f>_xll.GetCtData("COAMOUNT","CONSAMOUNT",$B$1:$B$7,$B582,AK$9,"#-363")</f>
        <v>-363</v>
      </c>
    </row>
    <row r="583" spans="2:37" ht="12" customHeight="1">
      <c r="B583" s="453" t="s">
        <v>6112</v>
      </c>
      <c r="C583" s="482" t="s">
        <v>2911</v>
      </c>
      <c r="D583" s="483">
        <v>44378</v>
      </c>
      <c r="E583" s="484" t="s">
        <v>2912</v>
      </c>
      <c r="F583" s="485">
        <v>1</v>
      </c>
      <c r="G583" s="482"/>
      <c r="H583" s="497" t="s">
        <v>6113</v>
      </c>
      <c r="I583" s="497"/>
      <c r="J583" s="497"/>
      <c r="K583" s="497"/>
      <c r="L583" s="497"/>
      <c r="M583" s="498"/>
      <c r="N583" s="499"/>
      <c r="O583" s="500">
        <v>4</v>
      </c>
      <c r="P583" s="501" t="s">
        <v>7</v>
      </c>
      <c r="Q583" s="489">
        <v>13</v>
      </c>
      <c r="R583" s="501" t="s">
        <v>7</v>
      </c>
      <c r="S583" s="500">
        <f t="shared" si="46"/>
        <v>13</v>
      </c>
      <c r="T583" s="501" t="s">
        <v>6114</v>
      </c>
      <c r="U583" s="500">
        <f>LEN(T583)</f>
        <v>10</v>
      </c>
      <c r="V583" s="501" t="s">
        <v>2915</v>
      </c>
      <c r="W583" s="502" t="s">
        <v>6115</v>
      </c>
      <c r="X583" s="491">
        <f t="shared" si="45"/>
        <v>12</v>
      </c>
      <c r="Y583" s="502" t="s">
        <v>6115</v>
      </c>
      <c r="Z583" s="500">
        <f t="shared" si="44"/>
        <v>12</v>
      </c>
      <c r="AA583" s="502" t="s">
        <v>6115</v>
      </c>
      <c r="AB583" s="500">
        <f t="shared" si="43"/>
        <v>12</v>
      </c>
      <c r="AC583" s="501" t="s">
        <v>3143</v>
      </c>
      <c r="AD583" s="500"/>
      <c r="AE583" s="503"/>
      <c r="AF583" s="504"/>
      <c r="AG583" s="494" t="s">
        <v>2917</v>
      </c>
      <c r="AH583" s="495" t="s">
        <v>2918</v>
      </c>
      <c r="AI583" s="505"/>
      <c r="AJ583" s="505"/>
      <c r="AK583" s="506">
        <f>_xll.GetCtData("COAMOUNT","CONSAMOUNT",$B$1:$B$7,$B583,AK$9,"#9855331,29885298")</f>
        <v>9855331</v>
      </c>
    </row>
    <row r="584" spans="2:37" ht="12" customHeight="1">
      <c r="B584" s="453" t="s">
        <v>6116</v>
      </c>
      <c r="C584" s="482" t="s">
        <v>2962</v>
      </c>
      <c r="D584" s="483">
        <v>44516</v>
      </c>
      <c r="E584" s="484" t="s">
        <v>2912</v>
      </c>
      <c r="F584" s="485">
        <v>2</v>
      </c>
      <c r="G584" s="482"/>
      <c r="H584" s="507"/>
      <c r="I584" s="508" t="s">
        <v>6117</v>
      </c>
      <c r="J584" s="508"/>
      <c r="K584" s="508"/>
      <c r="L584" s="508"/>
      <c r="M584" s="509"/>
      <c r="N584" s="510"/>
      <c r="O584" s="511">
        <v>5</v>
      </c>
      <c r="P584" s="512" t="s">
        <v>6118</v>
      </c>
      <c r="Q584" s="489">
        <v>74</v>
      </c>
      <c r="R584" s="512" t="s">
        <v>6118</v>
      </c>
      <c r="S584" s="511">
        <f t="shared" si="46"/>
        <v>74</v>
      </c>
      <c r="T584" s="512" t="s">
        <v>6119</v>
      </c>
      <c r="U584" s="511">
        <f t="shared" ref="U584:U647" si="47">LEN(T584)</f>
        <v>28</v>
      </c>
      <c r="V584" s="513"/>
      <c r="W584" s="513" t="s">
        <v>6120</v>
      </c>
      <c r="X584" s="491">
        <f t="shared" si="45"/>
        <v>68</v>
      </c>
      <c r="Y584" s="513" t="s">
        <v>6120</v>
      </c>
      <c r="Z584" s="511">
        <f t="shared" si="44"/>
        <v>68</v>
      </c>
      <c r="AA584" s="513" t="s">
        <v>6121</v>
      </c>
      <c r="AB584" s="511">
        <f t="shared" si="43"/>
        <v>30</v>
      </c>
      <c r="AC584" s="513"/>
      <c r="AD584" s="511"/>
      <c r="AE584" s="514"/>
      <c r="AF584" s="504" t="s">
        <v>6122</v>
      </c>
      <c r="AG584" s="530" t="s">
        <v>2969</v>
      </c>
      <c r="AH584" s="494" t="s">
        <v>2969</v>
      </c>
      <c r="AI584" s="505"/>
      <c r="AJ584" s="505"/>
      <c r="AK584" s="515">
        <f>_xll.GetCtData("COAMOUNT","CONSAMOUNT",$B$1:$B$7,$B584,AK$9,"#14484,8066914296")</f>
        <v>14484</v>
      </c>
    </row>
    <row r="585" spans="2:37" ht="12" customHeight="1">
      <c r="B585" s="453" t="s">
        <v>5910</v>
      </c>
      <c r="C585" s="482" t="s">
        <v>2962</v>
      </c>
      <c r="D585" s="483">
        <v>44516</v>
      </c>
      <c r="E585" s="484" t="s">
        <v>2930</v>
      </c>
      <c r="F585" s="485">
        <v>7</v>
      </c>
      <c r="G585" s="547"/>
      <c r="H585" s="547"/>
      <c r="I585" s="547"/>
      <c r="J585" s="547"/>
      <c r="K585" s="547"/>
      <c r="L585" s="547"/>
      <c r="M585" s="548"/>
      <c r="N585" s="517" t="s">
        <v>5911</v>
      </c>
      <c r="O585" s="518">
        <v>9</v>
      </c>
      <c r="P585" s="519" t="s">
        <v>6123</v>
      </c>
      <c r="Q585" s="489">
        <v>74</v>
      </c>
      <c r="R585" s="519" t="s">
        <v>6123</v>
      </c>
      <c r="S585" s="518">
        <f t="shared" si="46"/>
        <v>74</v>
      </c>
      <c r="T585" s="519" t="s">
        <v>6124</v>
      </c>
      <c r="U585" s="518">
        <f t="shared" si="47"/>
        <v>23</v>
      </c>
      <c r="V585" s="519" t="s">
        <v>3254</v>
      </c>
      <c r="W585" s="519" t="s">
        <v>6125</v>
      </c>
      <c r="X585" s="491">
        <f t="shared" si="45"/>
        <v>36</v>
      </c>
      <c r="Y585" s="519" t="s">
        <v>6125</v>
      </c>
      <c r="Z585" s="518">
        <f t="shared" si="44"/>
        <v>36</v>
      </c>
      <c r="AA585" s="519" t="s">
        <v>6126</v>
      </c>
      <c r="AB585" s="518">
        <f t="shared" si="43"/>
        <v>21</v>
      </c>
      <c r="AC585" s="519" t="s">
        <v>3257</v>
      </c>
      <c r="AD585" s="518"/>
      <c r="AE585" s="520"/>
      <c r="AF585" s="504" t="s">
        <v>6127</v>
      </c>
      <c r="AG585" s="671" t="s">
        <v>6128</v>
      </c>
      <c r="AH585" s="494" t="s">
        <v>2917</v>
      </c>
      <c r="AI585" s="505" t="s">
        <v>5359</v>
      </c>
      <c r="AJ585" s="505"/>
      <c r="AK585" s="521">
        <f>_xll.GetCtData("COAMOUNT","CONSAMOUNT",$B$1:$B$7,$B585,AK$9,"#")</f>
        <v>0</v>
      </c>
    </row>
    <row r="586" spans="2:37" ht="12" customHeight="1">
      <c r="B586" s="453" t="s">
        <v>6129</v>
      </c>
      <c r="C586" s="482" t="s">
        <v>2962</v>
      </c>
      <c r="D586" s="483">
        <v>44516</v>
      </c>
      <c r="E586" s="484" t="s">
        <v>2930</v>
      </c>
      <c r="F586" s="485">
        <v>7</v>
      </c>
      <c r="G586" s="547"/>
      <c r="H586" s="547"/>
      <c r="I586" s="547"/>
      <c r="J586" s="547"/>
      <c r="K586" s="547"/>
      <c r="L586" s="547"/>
      <c r="M586" s="548"/>
      <c r="N586" s="517" t="s">
        <v>6130</v>
      </c>
      <c r="O586" s="518">
        <v>9</v>
      </c>
      <c r="P586" s="519" t="s">
        <v>6131</v>
      </c>
      <c r="Q586" s="489">
        <v>73</v>
      </c>
      <c r="R586" s="519" t="s">
        <v>6131</v>
      </c>
      <c r="S586" s="518">
        <f t="shared" si="46"/>
        <v>73</v>
      </c>
      <c r="T586" s="519" t="s">
        <v>6132</v>
      </c>
      <c r="U586" s="518">
        <f t="shared" si="47"/>
        <v>26</v>
      </c>
      <c r="V586" s="519" t="s">
        <v>6133</v>
      </c>
      <c r="W586" s="519" t="s">
        <v>6134</v>
      </c>
      <c r="X586" s="491">
        <f t="shared" si="45"/>
        <v>65</v>
      </c>
      <c r="Y586" s="519" t="s">
        <v>6134</v>
      </c>
      <c r="Z586" s="518">
        <f t="shared" si="44"/>
        <v>65</v>
      </c>
      <c r="AA586" s="519" t="s">
        <v>6135</v>
      </c>
      <c r="AB586" s="518">
        <f t="shared" si="43"/>
        <v>29</v>
      </c>
      <c r="AC586" s="519" t="s">
        <v>6136</v>
      </c>
      <c r="AD586" s="518"/>
      <c r="AE586" s="520"/>
      <c r="AF586" s="504" t="s">
        <v>6137</v>
      </c>
      <c r="AG586" s="530" t="s">
        <v>2969</v>
      </c>
      <c r="AH586" s="494" t="s">
        <v>2969</v>
      </c>
      <c r="AI586" s="505" t="s">
        <v>5359</v>
      </c>
      <c r="AJ586" s="505"/>
      <c r="AK586" s="521">
        <f>_xll.GetCtData("COAMOUNT","CONSAMOUNT",$B$1:$B$7,$B586,AK$9,"#14530")</f>
        <v>14530</v>
      </c>
    </row>
    <row r="587" spans="2:37" ht="12" customHeight="1">
      <c r="B587" s="453" t="s">
        <v>6138</v>
      </c>
      <c r="C587" s="482" t="s">
        <v>2929</v>
      </c>
      <c r="D587" s="483">
        <v>44390</v>
      </c>
      <c r="E587" s="484" t="s">
        <v>2912</v>
      </c>
      <c r="F587" s="485">
        <v>2</v>
      </c>
      <c r="G587" s="482"/>
      <c r="H587" s="507"/>
      <c r="I587" s="508" t="s">
        <v>6139</v>
      </c>
      <c r="J587" s="508"/>
      <c r="K587" s="508"/>
      <c r="L587" s="508"/>
      <c r="M587" s="509"/>
      <c r="N587" s="510"/>
      <c r="O587" s="511">
        <v>5</v>
      </c>
      <c r="P587" s="512" t="s">
        <v>1067</v>
      </c>
      <c r="Q587" s="489">
        <v>27</v>
      </c>
      <c r="R587" s="512" t="s">
        <v>1067</v>
      </c>
      <c r="S587" s="511">
        <f t="shared" si="46"/>
        <v>27</v>
      </c>
      <c r="T587" s="672" t="s">
        <v>6140</v>
      </c>
      <c r="U587" s="511">
        <f t="shared" si="47"/>
        <v>25</v>
      </c>
      <c r="V587" s="513" t="s">
        <v>6133</v>
      </c>
      <c r="W587" s="513" t="s">
        <v>6141</v>
      </c>
      <c r="X587" s="491">
        <f t="shared" si="45"/>
        <v>18</v>
      </c>
      <c r="Y587" s="513" t="s">
        <v>6141</v>
      </c>
      <c r="Z587" s="511">
        <f t="shared" si="44"/>
        <v>18</v>
      </c>
      <c r="AA587" s="513" t="s">
        <v>6141</v>
      </c>
      <c r="AB587" s="511">
        <f t="shared" si="43"/>
        <v>18</v>
      </c>
      <c r="AC587" s="513" t="s">
        <v>6136</v>
      </c>
      <c r="AD587" s="511"/>
      <c r="AE587" s="514"/>
      <c r="AF587" s="504" t="s">
        <v>3150</v>
      </c>
      <c r="AG587" s="673" t="s">
        <v>2917</v>
      </c>
      <c r="AH587" s="495" t="s">
        <v>2918</v>
      </c>
      <c r="AI587" s="505"/>
      <c r="AJ587" s="505"/>
      <c r="AK587" s="515">
        <f>_xll.GetCtData("COAMOUNT","CONSAMOUNT",$B$1:$B$7,$B587,AK$9,"#120767,330968916")</f>
        <v>120767</v>
      </c>
    </row>
    <row r="588" spans="2:37" ht="12" customHeight="1">
      <c r="B588" s="453" t="s">
        <v>2641</v>
      </c>
      <c r="C588" s="482" t="s">
        <v>2929</v>
      </c>
      <c r="D588" s="483">
        <v>44403</v>
      </c>
      <c r="E588" s="484" t="s">
        <v>2930</v>
      </c>
      <c r="F588" s="485">
        <v>7</v>
      </c>
      <c r="G588" s="547"/>
      <c r="H588" s="547"/>
      <c r="I588" s="547"/>
      <c r="J588" s="547"/>
      <c r="K588" s="547"/>
      <c r="L588" s="547"/>
      <c r="M588" s="548"/>
      <c r="N588" s="517" t="s">
        <v>6142</v>
      </c>
      <c r="O588" s="518">
        <v>9</v>
      </c>
      <c r="P588" s="519" t="s">
        <v>1067</v>
      </c>
      <c r="Q588" s="489">
        <v>27</v>
      </c>
      <c r="R588" s="519" t="s">
        <v>1067</v>
      </c>
      <c r="S588" s="518">
        <f t="shared" si="46"/>
        <v>27</v>
      </c>
      <c r="T588" s="519" t="s">
        <v>6143</v>
      </c>
      <c r="U588" s="518">
        <f t="shared" si="47"/>
        <v>22</v>
      </c>
      <c r="V588" s="519" t="s">
        <v>6133</v>
      </c>
      <c r="W588" s="519" t="s">
        <v>6141</v>
      </c>
      <c r="X588" s="491">
        <f t="shared" si="45"/>
        <v>18</v>
      </c>
      <c r="Y588" s="519" t="s">
        <v>6141</v>
      </c>
      <c r="Z588" s="518">
        <f t="shared" si="44"/>
        <v>18</v>
      </c>
      <c r="AA588" s="519" t="s">
        <v>6141</v>
      </c>
      <c r="AB588" s="518">
        <f t="shared" si="43"/>
        <v>18</v>
      </c>
      <c r="AC588" s="519" t="s">
        <v>6136</v>
      </c>
      <c r="AD588" s="518" t="s">
        <v>6144</v>
      </c>
      <c r="AE588" s="520" t="s">
        <v>6145</v>
      </c>
      <c r="AF588" s="504" t="s">
        <v>6146</v>
      </c>
      <c r="AG588" s="673" t="s">
        <v>2917</v>
      </c>
      <c r="AH588" s="494" t="s">
        <v>2917</v>
      </c>
      <c r="AI588" s="505"/>
      <c r="AJ588" s="505"/>
      <c r="AK588" s="521">
        <f>_xll.GetCtData("COAMOUNT","CONSAMOUNT",$B$1:$B$7,$B588,AK$9,"#109243,330968916")</f>
        <v>109243</v>
      </c>
    </row>
    <row r="589" spans="2:37" ht="12" customHeight="1">
      <c r="B589" s="453" t="s">
        <v>6147</v>
      </c>
      <c r="C589" s="482" t="s">
        <v>2929</v>
      </c>
      <c r="D589" s="483">
        <v>44403</v>
      </c>
      <c r="E589" s="484" t="s">
        <v>2930</v>
      </c>
      <c r="F589" s="485">
        <v>7</v>
      </c>
      <c r="G589" s="547"/>
      <c r="H589" s="547"/>
      <c r="I589" s="547"/>
      <c r="J589" s="547"/>
      <c r="K589" s="547"/>
      <c r="L589" s="547"/>
      <c r="M589" s="548"/>
      <c r="N589" s="517" t="s">
        <v>6148</v>
      </c>
      <c r="O589" s="518">
        <v>9</v>
      </c>
      <c r="P589" s="519" t="s">
        <v>6149</v>
      </c>
      <c r="Q589" s="489">
        <v>29</v>
      </c>
      <c r="R589" s="519" t="s">
        <v>6149</v>
      </c>
      <c r="S589" s="518">
        <f t="shared" si="46"/>
        <v>29</v>
      </c>
      <c r="T589" s="519" t="s">
        <v>6150</v>
      </c>
      <c r="U589" s="518">
        <f t="shared" si="47"/>
        <v>27</v>
      </c>
      <c r="V589" s="519" t="s">
        <v>6133</v>
      </c>
      <c r="W589" s="519" t="s">
        <v>6151</v>
      </c>
      <c r="X589" s="491">
        <f t="shared" si="45"/>
        <v>24</v>
      </c>
      <c r="Y589" s="519" t="s">
        <v>6151</v>
      </c>
      <c r="Z589" s="518">
        <f t="shared" si="44"/>
        <v>24</v>
      </c>
      <c r="AA589" s="519" t="s">
        <v>6152</v>
      </c>
      <c r="AB589" s="518">
        <f t="shared" si="43"/>
        <v>19</v>
      </c>
      <c r="AC589" s="519" t="s">
        <v>6136</v>
      </c>
      <c r="AD589" s="518" t="s">
        <v>6153</v>
      </c>
      <c r="AE589" s="520" t="s">
        <v>6149</v>
      </c>
      <c r="AF589" s="504" t="s">
        <v>2939</v>
      </c>
      <c r="AG589" s="673" t="s">
        <v>2917</v>
      </c>
      <c r="AH589" s="494" t="s">
        <v>2917</v>
      </c>
      <c r="AI589" s="505" t="s">
        <v>5359</v>
      </c>
      <c r="AJ589" s="505"/>
      <c r="AK589" s="521">
        <f>_xll.GetCtData("COAMOUNT","CONSAMOUNT",$B$1:$B$7,$B589,AK$9,"#11524")</f>
        <v>11524</v>
      </c>
    </row>
    <row r="590" spans="2:37" ht="12" customHeight="1">
      <c r="B590" s="453" t="s">
        <v>6154</v>
      </c>
      <c r="C590" s="482" t="s">
        <v>2911</v>
      </c>
      <c r="D590" s="483">
        <v>44378</v>
      </c>
      <c r="E590" s="484" t="s">
        <v>2912</v>
      </c>
      <c r="F590" s="485">
        <v>2</v>
      </c>
      <c r="G590" s="482"/>
      <c r="H590" s="507"/>
      <c r="I590" s="508" t="s">
        <v>6155</v>
      </c>
      <c r="J590" s="508"/>
      <c r="K590" s="508"/>
      <c r="L590" s="508"/>
      <c r="M590" s="509"/>
      <c r="N590" s="510"/>
      <c r="O590" s="511">
        <v>5</v>
      </c>
      <c r="P590" s="512" t="s">
        <v>6</v>
      </c>
      <c r="Q590" s="489">
        <v>15</v>
      </c>
      <c r="R590" s="512" t="s">
        <v>6</v>
      </c>
      <c r="S590" s="511">
        <f t="shared" si="46"/>
        <v>15</v>
      </c>
      <c r="T590" s="512" t="s">
        <v>6156</v>
      </c>
      <c r="U590" s="511">
        <f t="shared" si="47"/>
        <v>13</v>
      </c>
      <c r="V590" s="513" t="s">
        <v>6133</v>
      </c>
      <c r="W590" s="513" t="s">
        <v>6157</v>
      </c>
      <c r="X590" s="491">
        <f t="shared" si="45"/>
        <v>17</v>
      </c>
      <c r="Y590" s="513" t="s">
        <v>6157</v>
      </c>
      <c r="Z590" s="511">
        <f t="shared" si="44"/>
        <v>17</v>
      </c>
      <c r="AA590" s="513" t="s">
        <v>6158</v>
      </c>
      <c r="AB590" s="511">
        <f t="shared" si="43"/>
        <v>12</v>
      </c>
      <c r="AC590" s="513" t="s">
        <v>6136</v>
      </c>
      <c r="AD590" s="511"/>
      <c r="AE590" s="514"/>
      <c r="AF590" s="504"/>
      <c r="AG590" s="673" t="s">
        <v>2917</v>
      </c>
      <c r="AH590" s="495" t="s">
        <v>2918</v>
      </c>
      <c r="AI590" s="505"/>
      <c r="AJ590" s="505"/>
      <c r="AK590" s="515">
        <f>_xll.GetCtData("COAMOUNT","CONSAMOUNT",$B$1:$B$7,$B590,AK$9,"#7683566,62502048")</f>
        <v>7683566</v>
      </c>
    </row>
    <row r="591" spans="2:37" ht="12" customHeight="1">
      <c r="B591" s="453" t="s">
        <v>6159</v>
      </c>
      <c r="C591" s="482" t="s">
        <v>2911</v>
      </c>
      <c r="D591" s="483">
        <v>44378</v>
      </c>
      <c r="E591" s="484" t="s">
        <v>2912</v>
      </c>
      <c r="F591" s="485">
        <v>3</v>
      </c>
      <c r="G591" s="482"/>
      <c r="H591" s="507"/>
      <c r="I591" s="507"/>
      <c r="J591" s="532" t="s">
        <v>6160</v>
      </c>
      <c r="K591" s="532"/>
      <c r="L591" s="532"/>
      <c r="M591" s="533"/>
      <c r="N591" s="534"/>
      <c r="O591" s="535">
        <v>6</v>
      </c>
      <c r="P591" s="536" t="s">
        <v>2454</v>
      </c>
      <c r="Q591" s="489">
        <v>21</v>
      </c>
      <c r="R591" s="536" t="s">
        <v>2454</v>
      </c>
      <c r="S591" s="535">
        <f t="shared" si="46"/>
        <v>21</v>
      </c>
      <c r="T591" s="536" t="s">
        <v>6161</v>
      </c>
      <c r="U591" s="535">
        <f t="shared" si="47"/>
        <v>19</v>
      </c>
      <c r="V591" s="537" t="s">
        <v>6133</v>
      </c>
      <c r="W591" s="537" t="s">
        <v>6162</v>
      </c>
      <c r="X591" s="491">
        <f t="shared" si="45"/>
        <v>27</v>
      </c>
      <c r="Y591" s="537" t="s">
        <v>6162</v>
      </c>
      <c r="Z591" s="535">
        <f t="shared" si="44"/>
        <v>27</v>
      </c>
      <c r="AA591" s="537" t="s">
        <v>6163</v>
      </c>
      <c r="AB591" s="535">
        <f t="shared" si="43"/>
        <v>18</v>
      </c>
      <c r="AC591" s="537" t="s">
        <v>6136</v>
      </c>
      <c r="AD591" s="535"/>
      <c r="AE591" s="538"/>
      <c r="AF591" s="504"/>
      <c r="AG591" s="673" t="s">
        <v>2917</v>
      </c>
      <c r="AH591" s="495" t="s">
        <v>2918</v>
      </c>
      <c r="AI591" s="505"/>
      <c r="AJ591" s="505"/>
      <c r="AK591" s="539">
        <f>_xll.GetCtData("COAMOUNT","CONSAMOUNT",$B$1:$B$7,$B591,AK$9,"#3059,87482178457")</f>
        <v>3059</v>
      </c>
    </row>
    <row r="592" spans="2:37" ht="12" customHeight="1">
      <c r="B592" s="453" t="s">
        <v>2448</v>
      </c>
      <c r="C592" s="482" t="s">
        <v>2929</v>
      </c>
      <c r="D592" s="483">
        <v>44403</v>
      </c>
      <c r="E592" s="484" t="s">
        <v>2930</v>
      </c>
      <c r="F592" s="485">
        <v>7</v>
      </c>
      <c r="G592" s="547"/>
      <c r="H592" s="547"/>
      <c r="I592" s="547"/>
      <c r="J592" s="547"/>
      <c r="K592" s="547"/>
      <c r="L592" s="547"/>
      <c r="M592" s="548"/>
      <c r="N592" s="517" t="s">
        <v>6164</v>
      </c>
      <c r="O592" s="518">
        <v>9</v>
      </c>
      <c r="P592" s="519" t="s">
        <v>2454</v>
      </c>
      <c r="Q592" s="489">
        <v>21</v>
      </c>
      <c r="R592" s="519" t="s">
        <v>2454</v>
      </c>
      <c r="S592" s="518">
        <f t="shared" si="46"/>
        <v>21</v>
      </c>
      <c r="T592" s="519" t="s">
        <v>6161</v>
      </c>
      <c r="U592" s="518">
        <f t="shared" si="47"/>
        <v>19</v>
      </c>
      <c r="V592" s="519" t="s">
        <v>6133</v>
      </c>
      <c r="W592" s="519" t="s">
        <v>6162</v>
      </c>
      <c r="X592" s="491">
        <f t="shared" si="45"/>
        <v>27</v>
      </c>
      <c r="Y592" s="519" t="s">
        <v>6162</v>
      </c>
      <c r="Z592" s="518">
        <f t="shared" si="44"/>
        <v>27</v>
      </c>
      <c r="AA592" s="519" t="s">
        <v>6163</v>
      </c>
      <c r="AB592" s="518">
        <f t="shared" si="43"/>
        <v>18</v>
      </c>
      <c r="AC592" s="519" t="s">
        <v>6136</v>
      </c>
      <c r="AD592" s="518" t="s">
        <v>6165</v>
      </c>
      <c r="AE592" s="520" t="s">
        <v>6166</v>
      </c>
      <c r="AF592" s="504" t="s">
        <v>2939</v>
      </c>
      <c r="AG592" s="673" t="s">
        <v>2917</v>
      </c>
      <c r="AH592" s="494" t="s">
        <v>2917</v>
      </c>
      <c r="AI592" s="505"/>
      <c r="AJ592" s="505"/>
      <c r="AK592" s="521">
        <f>_xll.GetCtData("COAMOUNT","CONSAMOUNT",$B$1:$B$7,$B592,AK$9,"#3059,87482178457")</f>
        <v>3059</v>
      </c>
    </row>
    <row r="593" spans="2:37" ht="12" customHeight="1">
      <c r="B593" s="453" t="s">
        <v>6167</v>
      </c>
      <c r="C593" s="482" t="s">
        <v>2911</v>
      </c>
      <c r="D593" s="483">
        <v>44378</v>
      </c>
      <c r="E593" s="484" t="s">
        <v>2912</v>
      </c>
      <c r="F593" s="485">
        <v>3</v>
      </c>
      <c r="G593" s="482"/>
      <c r="H593" s="507"/>
      <c r="I593" s="507"/>
      <c r="J593" s="532" t="s">
        <v>6168</v>
      </c>
      <c r="K593" s="532"/>
      <c r="L593" s="532"/>
      <c r="M593" s="533"/>
      <c r="N593" s="534"/>
      <c r="O593" s="535">
        <v>6</v>
      </c>
      <c r="P593" s="536" t="s">
        <v>2455</v>
      </c>
      <c r="Q593" s="489">
        <v>56</v>
      </c>
      <c r="R593" s="536" t="s">
        <v>2455</v>
      </c>
      <c r="S593" s="535">
        <f t="shared" si="46"/>
        <v>56</v>
      </c>
      <c r="T593" s="536" t="s">
        <v>6169</v>
      </c>
      <c r="U593" s="535">
        <f t="shared" si="47"/>
        <v>26</v>
      </c>
      <c r="V593" s="537" t="s">
        <v>6133</v>
      </c>
      <c r="W593" s="537" t="s">
        <v>6170</v>
      </c>
      <c r="X593" s="491">
        <f t="shared" si="45"/>
        <v>80</v>
      </c>
      <c r="Y593" s="537" t="s">
        <v>6170</v>
      </c>
      <c r="Z593" s="535">
        <f t="shared" si="44"/>
        <v>80</v>
      </c>
      <c r="AA593" s="537" t="s">
        <v>6171</v>
      </c>
      <c r="AB593" s="535">
        <f t="shared" si="43"/>
        <v>29</v>
      </c>
      <c r="AC593" s="537" t="s">
        <v>6136</v>
      </c>
      <c r="AD593" s="535"/>
      <c r="AE593" s="538"/>
      <c r="AF593" s="504"/>
      <c r="AG593" s="673" t="s">
        <v>2917</v>
      </c>
      <c r="AH593" s="495" t="s">
        <v>2918</v>
      </c>
      <c r="AI593" s="505"/>
      <c r="AJ593" s="505"/>
      <c r="AK593" s="539">
        <f>_xll.GetCtData("COAMOUNT","CONSAMOUNT",$B$1:$B$7,$B593,AK$9,"#1069329,82461783")</f>
        <v>1069329</v>
      </c>
    </row>
    <row r="594" spans="2:37" ht="12" customHeight="1">
      <c r="B594" s="453" t="s">
        <v>2449</v>
      </c>
      <c r="C594" s="482" t="s">
        <v>2929</v>
      </c>
      <c r="D594" s="483">
        <v>44403</v>
      </c>
      <c r="E594" s="484" t="s">
        <v>2930</v>
      </c>
      <c r="F594" s="485">
        <v>7</v>
      </c>
      <c r="G594" s="547"/>
      <c r="H594" s="547"/>
      <c r="I594" s="547"/>
      <c r="J594" s="547"/>
      <c r="K594" s="547"/>
      <c r="L594" s="547"/>
      <c r="M594" s="548"/>
      <c r="N594" s="517" t="s">
        <v>6172</v>
      </c>
      <c r="O594" s="518">
        <v>9</v>
      </c>
      <c r="P594" s="519" t="s">
        <v>6173</v>
      </c>
      <c r="Q594" s="489">
        <v>56</v>
      </c>
      <c r="R594" s="519" t="s">
        <v>6173</v>
      </c>
      <c r="S594" s="518">
        <f t="shared" si="46"/>
        <v>56</v>
      </c>
      <c r="T594" s="519" t="s">
        <v>6169</v>
      </c>
      <c r="U594" s="518">
        <f t="shared" si="47"/>
        <v>26</v>
      </c>
      <c r="V594" s="519" t="s">
        <v>6133</v>
      </c>
      <c r="W594" s="519" t="s">
        <v>6170</v>
      </c>
      <c r="X594" s="491">
        <f t="shared" si="45"/>
        <v>80</v>
      </c>
      <c r="Y594" s="519" t="s">
        <v>6170</v>
      </c>
      <c r="Z594" s="518">
        <f t="shared" si="44"/>
        <v>80</v>
      </c>
      <c r="AA594" s="519" t="s">
        <v>6171</v>
      </c>
      <c r="AB594" s="518">
        <f t="shared" si="43"/>
        <v>29</v>
      </c>
      <c r="AC594" s="519" t="s">
        <v>6136</v>
      </c>
      <c r="AD594" s="518" t="s">
        <v>6165</v>
      </c>
      <c r="AE594" s="520" t="s">
        <v>6166</v>
      </c>
      <c r="AF594" s="504" t="s">
        <v>2939</v>
      </c>
      <c r="AG594" s="673" t="s">
        <v>2917</v>
      </c>
      <c r="AH594" s="494" t="s">
        <v>2917</v>
      </c>
      <c r="AI594" s="505"/>
      <c r="AJ594" s="505"/>
      <c r="AK594" s="521">
        <f>_xll.GetCtData("COAMOUNT","CONSAMOUNT",$B$1:$B$7,$B594,AK$9,"#1069329,82461783")</f>
        <v>1069329</v>
      </c>
    </row>
    <row r="595" spans="2:37" ht="12" customHeight="1">
      <c r="B595" s="453" t="s">
        <v>6174</v>
      </c>
      <c r="C595" s="482" t="s">
        <v>2911</v>
      </c>
      <c r="D595" s="483">
        <v>44378</v>
      </c>
      <c r="E595" s="484" t="s">
        <v>2912</v>
      </c>
      <c r="F595" s="485">
        <v>3</v>
      </c>
      <c r="G595" s="482"/>
      <c r="H595" s="507"/>
      <c r="I595" s="507"/>
      <c r="J595" s="532" t="s">
        <v>6175</v>
      </c>
      <c r="K595" s="532"/>
      <c r="L595" s="532"/>
      <c r="M595" s="533"/>
      <c r="N595" s="534"/>
      <c r="O595" s="535">
        <v>6</v>
      </c>
      <c r="P595" s="536" t="s">
        <v>2456</v>
      </c>
      <c r="Q595" s="489">
        <v>21</v>
      </c>
      <c r="R595" s="536" t="s">
        <v>2456</v>
      </c>
      <c r="S595" s="535">
        <f t="shared" si="46"/>
        <v>21</v>
      </c>
      <c r="T595" s="536" t="s">
        <v>2456</v>
      </c>
      <c r="U595" s="535">
        <f t="shared" si="47"/>
        <v>21</v>
      </c>
      <c r="V595" s="537" t="s">
        <v>6133</v>
      </c>
      <c r="W595" s="537" t="s">
        <v>6176</v>
      </c>
      <c r="X595" s="491">
        <f t="shared" si="45"/>
        <v>20</v>
      </c>
      <c r="Y595" s="537" t="s">
        <v>6176</v>
      </c>
      <c r="Z595" s="535">
        <f t="shared" ref="Z595:Z658" si="48">LEN(Y595)</f>
        <v>20</v>
      </c>
      <c r="AA595" s="537" t="s">
        <v>6176</v>
      </c>
      <c r="AB595" s="535">
        <f t="shared" si="43"/>
        <v>20</v>
      </c>
      <c r="AC595" s="537" t="s">
        <v>6136</v>
      </c>
      <c r="AD595" s="535"/>
      <c r="AE595" s="538"/>
      <c r="AF595" s="504"/>
      <c r="AG595" s="673" t="s">
        <v>2917</v>
      </c>
      <c r="AH595" s="495" t="s">
        <v>2918</v>
      </c>
      <c r="AI595" s="505"/>
      <c r="AJ595" s="505"/>
      <c r="AK595" s="539">
        <f>_xll.GetCtData("COAMOUNT","CONSAMOUNT",$B$1:$B$7,$B595,AK$9,"#0")</f>
        <v>0</v>
      </c>
    </row>
    <row r="596" spans="2:37" ht="12" customHeight="1">
      <c r="B596" s="453" t="s">
        <v>6177</v>
      </c>
      <c r="C596" s="482" t="s">
        <v>2929</v>
      </c>
      <c r="D596" s="483">
        <v>44403</v>
      </c>
      <c r="E596" s="484" t="s">
        <v>2930</v>
      </c>
      <c r="F596" s="485">
        <v>7</v>
      </c>
      <c r="G596" s="547"/>
      <c r="H596" s="547"/>
      <c r="I596" s="547"/>
      <c r="J596" s="547"/>
      <c r="K596" s="547"/>
      <c r="L596" s="547"/>
      <c r="M596" s="548"/>
      <c r="N596" s="517" t="s">
        <v>6178</v>
      </c>
      <c r="O596" s="518">
        <v>9</v>
      </c>
      <c r="P596" s="519" t="s">
        <v>2456</v>
      </c>
      <c r="Q596" s="489">
        <v>21</v>
      </c>
      <c r="R596" s="519" t="s">
        <v>2456</v>
      </c>
      <c r="S596" s="518">
        <f t="shared" si="46"/>
        <v>21</v>
      </c>
      <c r="T596" s="519" t="s">
        <v>2456</v>
      </c>
      <c r="U596" s="518">
        <f t="shared" si="47"/>
        <v>21</v>
      </c>
      <c r="V596" s="519" t="s">
        <v>6133</v>
      </c>
      <c r="W596" s="519" t="s">
        <v>6176</v>
      </c>
      <c r="X596" s="491">
        <f t="shared" si="45"/>
        <v>20</v>
      </c>
      <c r="Y596" s="519" t="s">
        <v>6176</v>
      </c>
      <c r="Z596" s="518">
        <f t="shared" si="48"/>
        <v>20</v>
      </c>
      <c r="AA596" s="519" t="s">
        <v>6176</v>
      </c>
      <c r="AB596" s="518">
        <f t="shared" si="43"/>
        <v>20</v>
      </c>
      <c r="AC596" s="519" t="s">
        <v>6136</v>
      </c>
      <c r="AD596" s="518" t="s">
        <v>6179</v>
      </c>
      <c r="AE596" s="520" t="s">
        <v>2456</v>
      </c>
      <c r="AF596" s="504" t="s">
        <v>2939</v>
      </c>
      <c r="AG596" s="673" t="s">
        <v>2917</v>
      </c>
      <c r="AH596" s="494" t="s">
        <v>2917</v>
      </c>
      <c r="AI596" s="505" t="s">
        <v>5359</v>
      </c>
      <c r="AJ596" s="505"/>
      <c r="AK596" s="521">
        <f>_xll.GetCtData("COAMOUNT","CONSAMOUNT",$B$1:$B$7,$B596,AK$9,"#0")</f>
        <v>0</v>
      </c>
    </row>
    <row r="597" spans="2:37" ht="12" customHeight="1">
      <c r="B597" s="453" t="s">
        <v>6180</v>
      </c>
      <c r="C597" s="482" t="s">
        <v>2911</v>
      </c>
      <c r="D597" s="483">
        <v>44378</v>
      </c>
      <c r="E597" s="484" t="s">
        <v>2912</v>
      </c>
      <c r="F597" s="485">
        <v>3</v>
      </c>
      <c r="G597" s="482"/>
      <c r="H597" s="507"/>
      <c r="I597" s="507"/>
      <c r="J597" s="532" t="s">
        <v>6181</v>
      </c>
      <c r="K597" s="532"/>
      <c r="L597" s="532"/>
      <c r="M597" s="533"/>
      <c r="N597" s="534"/>
      <c r="O597" s="535">
        <v>6</v>
      </c>
      <c r="P597" s="536" t="s">
        <v>2450</v>
      </c>
      <c r="Q597" s="489">
        <v>46</v>
      </c>
      <c r="R597" s="536" t="s">
        <v>2450</v>
      </c>
      <c r="S597" s="535">
        <f t="shared" si="46"/>
        <v>46</v>
      </c>
      <c r="T597" s="536" t="s">
        <v>6182</v>
      </c>
      <c r="U597" s="535">
        <f t="shared" si="47"/>
        <v>27</v>
      </c>
      <c r="V597" s="537" t="s">
        <v>6133</v>
      </c>
      <c r="W597" s="537" t="s">
        <v>6183</v>
      </c>
      <c r="X597" s="491">
        <f t="shared" si="45"/>
        <v>47</v>
      </c>
      <c r="Y597" s="537" t="s">
        <v>6183</v>
      </c>
      <c r="Z597" s="535">
        <f t="shared" si="48"/>
        <v>47</v>
      </c>
      <c r="AA597" s="537" t="s">
        <v>6184</v>
      </c>
      <c r="AB597" s="535">
        <f t="shared" si="43"/>
        <v>28</v>
      </c>
      <c r="AC597" s="537" t="s">
        <v>6136</v>
      </c>
      <c r="AD597" s="535"/>
      <c r="AE597" s="538"/>
      <c r="AF597" s="504"/>
      <c r="AG597" s="673" t="s">
        <v>2917</v>
      </c>
      <c r="AH597" s="495" t="s">
        <v>2918</v>
      </c>
      <c r="AI597" s="505"/>
      <c r="AJ597" s="505"/>
      <c r="AK597" s="539">
        <f>_xll.GetCtData("COAMOUNT","CONSAMOUNT",$B$1:$B$7,$B597,AK$9,"#408648,476366862")</f>
        <v>408648</v>
      </c>
    </row>
    <row r="598" spans="2:37" ht="12" customHeight="1">
      <c r="B598" s="453" t="s">
        <v>6185</v>
      </c>
      <c r="C598" s="482" t="s">
        <v>2929</v>
      </c>
      <c r="D598" s="483">
        <v>44403</v>
      </c>
      <c r="E598" s="484" t="s">
        <v>2930</v>
      </c>
      <c r="F598" s="485">
        <v>7</v>
      </c>
      <c r="G598" s="547"/>
      <c r="H598" s="547"/>
      <c r="I598" s="547"/>
      <c r="J598" s="547"/>
      <c r="K598" s="547"/>
      <c r="L598" s="547"/>
      <c r="M598" s="548"/>
      <c r="N598" s="517" t="s">
        <v>6186</v>
      </c>
      <c r="O598" s="518">
        <v>9</v>
      </c>
      <c r="P598" s="519" t="s">
        <v>2450</v>
      </c>
      <c r="Q598" s="489">
        <v>46</v>
      </c>
      <c r="R598" s="519" t="s">
        <v>2450</v>
      </c>
      <c r="S598" s="518">
        <f t="shared" si="46"/>
        <v>46</v>
      </c>
      <c r="T598" s="519" t="s">
        <v>6187</v>
      </c>
      <c r="U598" s="518">
        <f t="shared" si="47"/>
        <v>25</v>
      </c>
      <c r="V598" s="519" t="s">
        <v>6133</v>
      </c>
      <c r="W598" s="519" t="s">
        <v>6183</v>
      </c>
      <c r="X598" s="491">
        <f t="shared" si="45"/>
        <v>47</v>
      </c>
      <c r="Y598" s="519" t="s">
        <v>6183</v>
      </c>
      <c r="Z598" s="518">
        <f t="shared" si="48"/>
        <v>47</v>
      </c>
      <c r="AA598" s="519" t="s">
        <v>6188</v>
      </c>
      <c r="AB598" s="518">
        <f t="shared" si="43"/>
        <v>25</v>
      </c>
      <c r="AC598" s="519" t="s">
        <v>6136</v>
      </c>
      <c r="AD598" s="518" t="s">
        <v>6165</v>
      </c>
      <c r="AE598" s="520" t="s">
        <v>6166</v>
      </c>
      <c r="AF598" s="504" t="s">
        <v>2939</v>
      </c>
      <c r="AG598" s="673" t="s">
        <v>2917</v>
      </c>
      <c r="AH598" s="494" t="s">
        <v>2917</v>
      </c>
      <c r="AI598" s="505" t="s">
        <v>5359</v>
      </c>
      <c r="AJ598" s="505"/>
      <c r="AK598" s="521">
        <f>_xll.GetCtData("COAMOUNT","CONSAMOUNT",$B$1:$B$7,$B598,AK$9,"#478634")</f>
        <v>478634</v>
      </c>
    </row>
    <row r="599" spans="2:37" ht="12" customHeight="1">
      <c r="B599" s="453" t="s">
        <v>6189</v>
      </c>
      <c r="C599" s="482" t="s">
        <v>2929</v>
      </c>
      <c r="D599" s="483">
        <v>44403</v>
      </c>
      <c r="E599" s="484" t="s">
        <v>2930</v>
      </c>
      <c r="F599" s="485">
        <v>7</v>
      </c>
      <c r="G599" s="547"/>
      <c r="H599" s="547"/>
      <c r="I599" s="547"/>
      <c r="J599" s="547"/>
      <c r="K599" s="547"/>
      <c r="L599" s="547"/>
      <c r="M599" s="548"/>
      <c r="N599" s="517" t="s">
        <v>6190</v>
      </c>
      <c r="O599" s="518">
        <v>9</v>
      </c>
      <c r="P599" s="519" t="s">
        <v>6191</v>
      </c>
      <c r="Q599" s="489">
        <v>53</v>
      </c>
      <c r="R599" s="519" t="s">
        <v>6191</v>
      </c>
      <c r="S599" s="518">
        <f t="shared" si="46"/>
        <v>53</v>
      </c>
      <c r="T599" s="519" t="s">
        <v>6192</v>
      </c>
      <c r="U599" s="518">
        <f t="shared" si="47"/>
        <v>30</v>
      </c>
      <c r="V599" s="519" t="s">
        <v>6133</v>
      </c>
      <c r="W599" s="519" t="s">
        <v>6193</v>
      </c>
      <c r="X599" s="491">
        <f t="shared" ref="X599:X662" si="49">LEN(W599)</f>
        <v>66</v>
      </c>
      <c r="Y599" s="519" t="s">
        <v>6193</v>
      </c>
      <c r="Z599" s="518">
        <f t="shared" si="48"/>
        <v>66</v>
      </c>
      <c r="AA599" s="519" t="s">
        <v>6194</v>
      </c>
      <c r="AB599" s="518">
        <f t="shared" ref="AB599:AB662" si="50">LEN(AA599)</f>
        <v>29</v>
      </c>
      <c r="AC599" s="519" t="s">
        <v>6136</v>
      </c>
      <c r="AD599" s="518" t="s">
        <v>6165</v>
      </c>
      <c r="AE599" s="520" t="s">
        <v>6166</v>
      </c>
      <c r="AF599" s="504" t="s">
        <v>2939</v>
      </c>
      <c r="AG599" s="673" t="s">
        <v>2917</v>
      </c>
      <c r="AH599" s="494" t="s">
        <v>2917</v>
      </c>
      <c r="AI599" s="505" t="s">
        <v>5359</v>
      </c>
      <c r="AJ599" s="505"/>
      <c r="AK599" s="521">
        <f>_xll.GetCtData("COAMOUNT","CONSAMOUNT",$B$1:$B$7,$B599,AK$9,"#418")</f>
        <v>418</v>
      </c>
    </row>
    <row r="600" spans="2:37" ht="12" customHeight="1">
      <c r="B600" s="453" t="s">
        <v>6195</v>
      </c>
      <c r="C600" s="482" t="s">
        <v>2929</v>
      </c>
      <c r="D600" s="483">
        <v>44403</v>
      </c>
      <c r="E600" s="484" t="s">
        <v>2930</v>
      </c>
      <c r="F600" s="485">
        <v>7</v>
      </c>
      <c r="G600" s="547"/>
      <c r="H600" s="547"/>
      <c r="I600" s="547"/>
      <c r="J600" s="547"/>
      <c r="K600" s="547"/>
      <c r="L600" s="547"/>
      <c r="M600" s="548"/>
      <c r="N600" s="517" t="s">
        <v>6196</v>
      </c>
      <c r="O600" s="518">
        <v>9</v>
      </c>
      <c r="P600" s="519" t="s">
        <v>6197</v>
      </c>
      <c r="Q600" s="489">
        <v>61</v>
      </c>
      <c r="R600" s="519" t="s">
        <v>6197</v>
      </c>
      <c r="S600" s="518">
        <f t="shared" si="46"/>
        <v>61</v>
      </c>
      <c r="T600" s="519" t="s">
        <v>6198</v>
      </c>
      <c r="U600" s="518">
        <f t="shared" si="47"/>
        <v>30</v>
      </c>
      <c r="V600" s="519" t="s">
        <v>6133</v>
      </c>
      <c r="W600" s="519" t="s">
        <v>6199</v>
      </c>
      <c r="X600" s="491">
        <f t="shared" si="49"/>
        <v>75</v>
      </c>
      <c r="Y600" s="519" t="s">
        <v>6199</v>
      </c>
      <c r="Z600" s="518">
        <f t="shared" si="48"/>
        <v>75</v>
      </c>
      <c r="AA600" s="519" t="s">
        <v>6200</v>
      </c>
      <c r="AB600" s="518">
        <f t="shared" si="50"/>
        <v>29</v>
      </c>
      <c r="AC600" s="519" t="s">
        <v>6136</v>
      </c>
      <c r="AD600" s="518" t="s">
        <v>6201</v>
      </c>
      <c r="AE600" s="520" t="s">
        <v>6202</v>
      </c>
      <c r="AF600" s="504" t="s">
        <v>2939</v>
      </c>
      <c r="AG600" s="673" t="s">
        <v>2917</v>
      </c>
      <c r="AH600" s="494" t="s">
        <v>2917</v>
      </c>
      <c r="AI600" s="505" t="s">
        <v>4849</v>
      </c>
      <c r="AJ600" s="505"/>
      <c r="AK600" s="521">
        <f>_xll.GetCtData("COAMOUNT","CONSAMOUNT",$B$1:$B$7,$B600,AK$9,"#")</f>
        <v>0</v>
      </c>
    </row>
    <row r="601" spans="2:37" ht="12" customHeight="1">
      <c r="B601" s="453" t="s">
        <v>6203</v>
      </c>
      <c r="C601" s="482" t="s">
        <v>2911</v>
      </c>
      <c r="D601" s="483">
        <v>44378</v>
      </c>
      <c r="E601" s="484" t="s">
        <v>2912</v>
      </c>
      <c r="F601" s="485">
        <v>3</v>
      </c>
      <c r="G601" s="482"/>
      <c r="H601" s="507"/>
      <c r="I601" s="507"/>
      <c r="J601" s="532" t="s">
        <v>6204</v>
      </c>
      <c r="K601" s="532"/>
      <c r="L601" s="532"/>
      <c r="M601" s="533"/>
      <c r="N601" s="534"/>
      <c r="O601" s="535">
        <v>6</v>
      </c>
      <c r="P601" s="536" t="s">
        <v>2451</v>
      </c>
      <c r="Q601" s="489">
        <v>24</v>
      </c>
      <c r="R601" s="536" t="s">
        <v>2451</v>
      </c>
      <c r="S601" s="535">
        <f t="shared" si="46"/>
        <v>24</v>
      </c>
      <c r="T601" s="536" t="s">
        <v>6205</v>
      </c>
      <c r="U601" s="535">
        <f t="shared" si="47"/>
        <v>17</v>
      </c>
      <c r="V601" s="537" t="s">
        <v>6133</v>
      </c>
      <c r="W601" s="537" t="s">
        <v>6157</v>
      </c>
      <c r="X601" s="491">
        <f t="shared" si="49"/>
        <v>17</v>
      </c>
      <c r="Y601" s="537" t="s">
        <v>6157</v>
      </c>
      <c r="Z601" s="535">
        <f t="shared" si="48"/>
        <v>17</v>
      </c>
      <c r="AA601" s="537" t="s">
        <v>6158</v>
      </c>
      <c r="AB601" s="535">
        <f t="shared" si="50"/>
        <v>12</v>
      </c>
      <c r="AC601" s="537" t="s">
        <v>6136</v>
      </c>
      <c r="AD601" s="535"/>
      <c r="AE601" s="538"/>
      <c r="AF601" s="504"/>
      <c r="AG601" s="673" t="s">
        <v>2917</v>
      </c>
      <c r="AH601" s="495" t="s">
        <v>2918</v>
      </c>
      <c r="AI601" s="505"/>
      <c r="AJ601" s="505"/>
      <c r="AK601" s="539">
        <f>_xll.GetCtData("COAMOUNT","CONSAMOUNT",$B$1:$B$7,$B601,AK$9,"#4883984,15756464")</f>
        <v>4883984</v>
      </c>
    </row>
    <row r="602" spans="2:37" ht="12" customHeight="1">
      <c r="B602" s="453" t="s">
        <v>6206</v>
      </c>
      <c r="C602" s="482" t="s">
        <v>2929</v>
      </c>
      <c r="D602" s="483">
        <v>44403</v>
      </c>
      <c r="E602" s="484" t="s">
        <v>2930</v>
      </c>
      <c r="F602" s="485">
        <v>7</v>
      </c>
      <c r="G602" s="547"/>
      <c r="H602" s="547"/>
      <c r="I602" s="547"/>
      <c r="J602" s="547"/>
      <c r="K602" s="547"/>
      <c r="L602" s="547"/>
      <c r="M602" s="548"/>
      <c r="N602" s="517" t="s">
        <v>6207</v>
      </c>
      <c r="O602" s="518">
        <v>9</v>
      </c>
      <c r="P602" s="519" t="s">
        <v>2451</v>
      </c>
      <c r="Q602" s="489">
        <v>24</v>
      </c>
      <c r="R602" s="519" t="s">
        <v>2451</v>
      </c>
      <c r="S602" s="518">
        <f t="shared" si="46"/>
        <v>24</v>
      </c>
      <c r="T602" s="519" t="s">
        <v>6205</v>
      </c>
      <c r="U602" s="518">
        <f t="shared" si="47"/>
        <v>17</v>
      </c>
      <c r="V602" s="519" t="s">
        <v>6133</v>
      </c>
      <c r="W602" s="519" t="s">
        <v>6157</v>
      </c>
      <c r="X602" s="491">
        <f t="shared" si="49"/>
        <v>17</v>
      </c>
      <c r="Y602" s="519" t="s">
        <v>6157</v>
      </c>
      <c r="Z602" s="518">
        <f t="shared" si="48"/>
        <v>17</v>
      </c>
      <c r="AA602" s="519" t="s">
        <v>6158</v>
      </c>
      <c r="AB602" s="518">
        <f t="shared" si="50"/>
        <v>12</v>
      </c>
      <c r="AC602" s="519" t="s">
        <v>6136</v>
      </c>
      <c r="AD602" s="518" t="s">
        <v>6165</v>
      </c>
      <c r="AE602" s="520" t="s">
        <v>6166</v>
      </c>
      <c r="AF602" s="504" t="s">
        <v>2939</v>
      </c>
      <c r="AG602" s="673" t="s">
        <v>2917</v>
      </c>
      <c r="AH602" s="494" t="s">
        <v>2917</v>
      </c>
      <c r="AI602" s="505" t="s">
        <v>5359</v>
      </c>
      <c r="AJ602" s="505"/>
      <c r="AK602" s="521">
        <f>_xll.GetCtData("COAMOUNT","CONSAMOUNT",$B$1:$B$7,$B602,AK$9,"#1454172,06177145")</f>
        <v>1454172</v>
      </c>
    </row>
    <row r="603" spans="2:37" ht="12" customHeight="1">
      <c r="B603" s="453" t="s">
        <v>6208</v>
      </c>
      <c r="C603" s="482" t="s">
        <v>2962</v>
      </c>
      <c r="D603" s="483">
        <v>44515</v>
      </c>
      <c r="E603" s="484" t="s">
        <v>2930</v>
      </c>
      <c r="F603" s="485">
        <v>7</v>
      </c>
      <c r="G603" s="547"/>
      <c r="H603" s="547"/>
      <c r="I603" s="547"/>
      <c r="J603" s="547"/>
      <c r="K603" s="547"/>
      <c r="L603" s="547"/>
      <c r="M603" s="548"/>
      <c r="N603" s="517" t="s">
        <v>6209</v>
      </c>
      <c r="O603" s="518">
        <v>9</v>
      </c>
      <c r="P603" s="519" t="s">
        <v>6210</v>
      </c>
      <c r="Q603" s="489">
        <v>51</v>
      </c>
      <c r="R603" s="519" t="s">
        <v>6210</v>
      </c>
      <c r="S603" s="518">
        <f t="shared" si="46"/>
        <v>51</v>
      </c>
      <c r="T603" s="519" t="s">
        <v>6211</v>
      </c>
      <c r="U603" s="518">
        <f t="shared" si="47"/>
        <v>29</v>
      </c>
      <c r="V603" s="519" t="s">
        <v>6133</v>
      </c>
      <c r="W603" s="519" t="s">
        <v>6212</v>
      </c>
      <c r="X603" s="491">
        <f t="shared" si="49"/>
        <v>52</v>
      </c>
      <c r="Y603" s="519" t="s">
        <v>6212</v>
      </c>
      <c r="Z603" s="518">
        <f t="shared" si="48"/>
        <v>52</v>
      </c>
      <c r="AA603" s="519" t="s">
        <v>6213</v>
      </c>
      <c r="AB603" s="518">
        <f t="shared" si="50"/>
        <v>29</v>
      </c>
      <c r="AC603" s="519" t="s">
        <v>6136</v>
      </c>
      <c r="AD603" s="518" t="s">
        <v>6165</v>
      </c>
      <c r="AE603" s="520" t="s">
        <v>6166</v>
      </c>
      <c r="AF603" s="504" t="s">
        <v>6214</v>
      </c>
      <c r="AG603" s="530" t="s">
        <v>2969</v>
      </c>
      <c r="AH603" s="530" t="s">
        <v>2969</v>
      </c>
      <c r="AI603" s="505" t="s">
        <v>5359</v>
      </c>
      <c r="AJ603" s="505"/>
      <c r="AK603" s="521">
        <f>_xll.GetCtData("COAMOUNT","CONSAMOUNT",$B$1:$B$7,$B603,AK$9,"#497286")</f>
        <v>497286</v>
      </c>
    </row>
    <row r="604" spans="2:37" ht="12" customHeight="1">
      <c r="B604" s="453" t="s">
        <v>6215</v>
      </c>
      <c r="C604" s="482" t="s">
        <v>2929</v>
      </c>
      <c r="D604" s="483">
        <v>44403</v>
      </c>
      <c r="E604" s="484" t="s">
        <v>2930</v>
      </c>
      <c r="F604" s="485">
        <v>7</v>
      </c>
      <c r="G604" s="547"/>
      <c r="H604" s="547"/>
      <c r="I604" s="547"/>
      <c r="J604" s="547"/>
      <c r="K604" s="547"/>
      <c r="L604" s="547"/>
      <c r="M604" s="548"/>
      <c r="N604" s="517" t="s">
        <v>6216</v>
      </c>
      <c r="O604" s="518">
        <v>9</v>
      </c>
      <c r="P604" s="519" t="s">
        <v>6217</v>
      </c>
      <c r="Q604" s="489">
        <v>50</v>
      </c>
      <c r="R604" s="519" t="s">
        <v>6217</v>
      </c>
      <c r="S604" s="518">
        <f t="shared" si="46"/>
        <v>50</v>
      </c>
      <c r="T604" s="519" t="s">
        <v>6218</v>
      </c>
      <c r="U604" s="518">
        <f t="shared" si="47"/>
        <v>27</v>
      </c>
      <c r="V604" s="519" t="s">
        <v>6133</v>
      </c>
      <c r="W604" s="519" t="s">
        <v>6219</v>
      </c>
      <c r="X604" s="491">
        <f t="shared" si="49"/>
        <v>66</v>
      </c>
      <c r="Y604" s="519" t="s">
        <v>6219</v>
      </c>
      <c r="Z604" s="518">
        <f t="shared" si="48"/>
        <v>66</v>
      </c>
      <c r="AA604" s="519" t="s">
        <v>6220</v>
      </c>
      <c r="AB604" s="518">
        <f t="shared" si="50"/>
        <v>27</v>
      </c>
      <c r="AC604" s="519" t="s">
        <v>6136</v>
      </c>
      <c r="AD604" s="674" t="s">
        <v>6221</v>
      </c>
      <c r="AE604" s="675" t="s">
        <v>6222</v>
      </c>
      <c r="AF604" s="504" t="s">
        <v>6223</v>
      </c>
      <c r="AG604" s="673" t="s">
        <v>2917</v>
      </c>
      <c r="AH604" s="673" t="s">
        <v>6224</v>
      </c>
      <c r="AI604" s="505" t="s">
        <v>5359</v>
      </c>
      <c r="AJ604" s="505"/>
      <c r="AK604" s="521">
        <f>_xll.GetCtData("COAMOUNT","CONSAMOUNT",$B$1:$B$7,$B604,AK$9,"#3021568")</f>
        <v>3021568</v>
      </c>
    </row>
    <row r="605" spans="2:37" ht="12" customHeight="1">
      <c r="B605" s="453" t="s">
        <v>6225</v>
      </c>
      <c r="C605" s="482" t="s">
        <v>2929</v>
      </c>
      <c r="D605" s="483">
        <v>44403</v>
      </c>
      <c r="E605" s="484" t="s">
        <v>2930</v>
      </c>
      <c r="F605" s="485">
        <v>7</v>
      </c>
      <c r="G605" s="547"/>
      <c r="H605" s="547"/>
      <c r="I605" s="547"/>
      <c r="J605" s="547"/>
      <c r="K605" s="547"/>
      <c r="L605" s="547"/>
      <c r="M605" s="548"/>
      <c r="N605" s="517" t="s">
        <v>6226</v>
      </c>
      <c r="O605" s="518">
        <v>9</v>
      </c>
      <c r="P605" s="519" t="s">
        <v>6227</v>
      </c>
      <c r="Q605" s="489">
        <v>31</v>
      </c>
      <c r="R605" s="519" t="s">
        <v>6227</v>
      </c>
      <c r="S605" s="518">
        <f t="shared" si="46"/>
        <v>31</v>
      </c>
      <c r="T605" s="519" t="s">
        <v>6228</v>
      </c>
      <c r="U605" s="518">
        <f t="shared" si="47"/>
        <v>22</v>
      </c>
      <c r="V605" s="519" t="s">
        <v>6133</v>
      </c>
      <c r="W605" s="519" t="s">
        <v>6229</v>
      </c>
      <c r="X605" s="491">
        <f t="shared" si="49"/>
        <v>36</v>
      </c>
      <c r="Y605" s="519" t="s">
        <v>6229</v>
      </c>
      <c r="Z605" s="518">
        <f t="shared" si="48"/>
        <v>36</v>
      </c>
      <c r="AA605" s="519" t="s">
        <v>6230</v>
      </c>
      <c r="AB605" s="518">
        <f t="shared" si="50"/>
        <v>20</v>
      </c>
      <c r="AC605" s="519" t="s">
        <v>6136</v>
      </c>
      <c r="AD605" s="518" t="s">
        <v>6165</v>
      </c>
      <c r="AE605" s="520" t="s">
        <v>6166</v>
      </c>
      <c r="AF605" s="504" t="s">
        <v>2939</v>
      </c>
      <c r="AG605" s="673" t="s">
        <v>2917</v>
      </c>
      <c r="AH605" s="494" t="s">
        <v>2917</v>
      </c>
      <c r="AI605" s="505" t="s">
        <v>5359</v>
      </c>
      <c r="AJ605" s="505"/>
      <c r="AK605" s="521">
        <f>_xll.GetCtData("COAMOUNT","CONSAMOUNT",$B$1:$B$7,$B605,AK$9,"#316")</f>
        <v>316</v>
      </c>
    </row>
    <row r="606" spans="2:37" ht="12" customHeight="1">
      <c r="B606" s="453" t="s">
        <v>6231</v>
      </c>
      <c r="C606" s="482" t="s">
        <v>2929</v>
      </c>
      <c r="D606" s="483">
        <v>44403</v>
      </c>
      <c r="E606" s="484" t="s">
        <v>2930</v>
      </c>
      <c r="F606" s="485">
        <v>7</v>
      </c>
      <c r="G606" s="547"/>
      <c r="H606" s="547"/>
      <c r="I606" s="547"/>
      <c r="J606" s="547"/>
      <c r="K606" s="547"/>
      <c r="L606" s="547"/>
      <c r="M606" s="548"/>
      <c r="N606" s="517" t="s">
        <v>6232</v>
      </c>
      <c r="O606" s="518">
        <v>9</v>
      </c>
      <c r="P606" s="519" t="s">
        <v>6233</v>
      </c>
      <c r="Q606" s="489">
        <v>39</v>
      </c>
      <c r="R606" s="519" t="s">
        <v>6233</v>
      </c>
      <c r="S606" s="518">
        <f t="shared" si="46"/>
        <v>39</v>
      </c>
      <c r="T606" s="519" t="s">
        <v>6234</v>
      </c>
      <c r="U606" s="518">
        <f t="shared" si="47"/>
        <v>22</v>
      </c>
      <c r="V606" s="519" t="s">
        <v>6133</v>
      </c>
      <c r="W606" s="519" t="s">
        <v>6235</v>
      </c>
      <c r="X606" s="491">
        <f t="shared" si="49"/>
        <v>45</v>
      </c>
      <c r="Y606" s="519" t="s">
        <v>6235</v>
      </c>
      <c r="Z606" s="518">
        <f t="shared" si="48"/>
        <v>45</v>
      </c>
      <c r="AA606" s="519" t="s">
        <v>6236</v>
      </c>
      <c r="AB606" s="518">
        <f t="shared" si="50"/>
        <v>21</v>
      </c>
      <c r="AC606" s="519" t="s">
        <v>6136</v>
      </c>
      <c r="AD606" s="518" t="s">
        <v>6201</v>
      </c>
      <c r="AE606" s="520" t="s">
        <v>6202</v>
      </c>
      <c r="AF606" s="504" t="s">
        <v>2939</v>
      </c>
      <c r="AG606" s="673" t="s">
        <v>2917</v>
      </c>
      <c r="AH606" s="494" t="s">
        <v>2917</v>
      </c>
      <c r="AI606" s="505" t="s">
        <v>4849</v>
      </c>
      <c r="AJ606" s="505"/>
      <c r="AK606" s="521">
        <f>_xll.GetCtData("COAMOUNT","CONSAMOUNT",$B$1:$B$7,$B606,AK$9,"#-89357,9042068075")</f>
        <v>-89357</v>
      </c>
    </row>
    <row r="607" spans="2:37" ht="12" customHeight="1">
      <c r="B607" s="453" t="s">
        <v>6237</v>
      </c>
      <c r="C607" s="482" t="s">
        <v>2911</v>
      </c>
      <c r="D607" s="483">
        <v>44378</v>
      </c>
      <c r="E607" s="484" t="s">
        <v>2912</v>
      </c>
      <c r="F607" s="485">
        <v>3</v>
      </c>
      <c r="G607" s="482"/>
      <c r="H607" s="507"/>
      <c r="I607" s="507"/>
      <c r="J607" s="532" t="s">
        <v>6238</v>
      </c>
      <c r="K607" s="532"/>
      <c r="L607" s="532"/>
      <c r="M607" s="533"/>
      <c r="N607" s="534"/>
      <c r="O607" s="535">
        <v>6</v>
      </c>
      <c r="P607" s="536" t="s">
        <v>2452</v>
      </c>
      <c r="Q607" s="489">
        <v>41</v>
      </c>
      <c r="R607" s="536" t="s">
        <v>2452</v>
      </c>
      <c r="S607" s="535">
        <f t="shared" si="46"/>
        <v>41</v>
      </c>
      <c r="T607" s="536" t="s">
        <v>6239</v>
      </c>
      <c r="U607" s="535">
        <f t="shared" si="47"/>
        <v>29</v>
      </c>
      <c r="V607" s="537" t="s">
        <v>6133</v>
      </c>
      <c r="W607" s="537" t="s">
        <v>6240</v>
      </c>
      <c r="X607" s="491">
        <f t="shared" si="49"/>
        <v>46</v>
      </c>
      <c r="Y607" s="537" t="s">
        <v>6240</v>
      </c>
      <c r="Z607" s="535">
        <f t="shared" si="48"/>
        <v>46</v>
      </c>
      <c r="AA607" s="537" t="s">
        <v>6241</v>
      </c>
      <c r="AB607" s="535">
        <f t="shared" si="50"/>
        <v>28</v>
      </c>
      <c r="AC607" s="537" t="s">
        <v>6136</v>
      </c>
      <c r="AD607" s="535"/>
      <c r="AE607" s="538"/>
      <c r="AF607" s="504"/>
      <c r="AG607" s="673" t="s">
        <v>2917</v>
      </c>
      <c r="AH607" s="495" t="s">
        <v>2918</v>
      </c>
      <c r="AI607" s="505"/>
      <c r="AJ607" s="505"/>
      <c r="AK607" s="539">
        <f>_xll.GetCtData("COAMOUNT","CONSAMOUNT",$B$1:$B$7,$B607,AK$9,"#87966")</f>
        <v>87966</v>
      </c>
    </row>
    <row r="608" spans="2:37" ht="12" customHeight="1">
      <c r="B608" s="453" t="s">
        <v>6242</v>
      </c>
      <c r="C608" s="482" t="s">
        <v>2929</v>
      </c>
      <c r="D608" s="483">
        <v>44403</v>
      </c>
      <c r="E608" s="484" t="s">
        <v>2930</v>
      </c>
      <c r="F608" s="485">
        <v>7</v>
      </c>
      <c r="G608" s="547"/>
      <c r="H608" s="547"/>
      <c r="I608" s="547"/>
      <c r="J608" s="547"/>
      <c r="K608" s="547"/>
      <c r="L608" s="547"/>
      <c r="M608" s="548"/>
      <c r="N608" s="517" t="s">
        <v>6243</v>
      </c>
      <c r="O608" s="518">
        <v>9</v>
      </c>
      <c r="P608" s="519" t="s">
        <v>2452</v>
      </c>
      <c r="Q608" s="489">
        <v>41</v>
      </c>
      <c r="R608" s="519" t="s">
        <v>2452</v>
      </c>
      <c r="S608" s="518">
        <f t="shared" si="46"/>
        <v>41</v>
      </c>
      <c r="T608" s="519" t="s">
        <v>6239</v>
      </c>
      <c r="U608" s="518">
        <f t="shared" si="47"/>
        <v>29</v>
      </c>
      <c r="V608" s="519" t="s">
        <v>6133</v>
      </c>
      <c r="W608" s="519" t="s">
        <v>6240</v>
      </c>
      <c r="X608" s="491">
        <f t="shared" si="49"/>
        <v>46</v>
      </c>
      <c r="Y608" s="519" t="s">
        <v>6240</v>
      </c>
      <c r="Z608" s="518">
        <f t="shared" si="48"/>
        <v>46</v>
      </c>
      <c r="AA608" s="519" t="s">
        <v>6241</v>
      </c>
      <c r="AB608" s="518">
        <f t="shared" si="50"/>
        <v>28</v>
      </c>
      <c r="AC608" s="519" t="s">
        <v>6136</v>
      </c>
      <c r="AD608" s="518" t="s">
        <v>6244</v>
      </c>
      <c r="AE608" s="520" t="s">
        <v>6245</v>
      </c>
      <c r="AF608" s="504" t="s">
        <v>2939</v>
      </c>
      <c r="AG608" s="673" t="s">
        <v>2917</v>
      </c>
      <c r="AH608" s="494" t="s">
        <v>2917</v>
      </c>
      <c r="AI608" s="505"/>
      <c r="AJ608" s="505"/>
      <c r="AK608" s="521">
        <f>_xll.GetCtData("COAMOUNT","CONSAMOUNT",$B$1:$B$7,$B608,AK$9,"#87966")</f>
        <v>87966</v>
      </c>
    </row>
    <row r="609" spans="2:37" ht="12" customHeight="1">
      <c r="B609" s="453" t="s">
        <v>6246</v>
      </c>
      <c r="C609" s="482" t="s">
        <v>2911</v>
      </c>
      <c r="D609" s="483">
        <v>44378</v>
      </c>
      <c r="E609" s="484" t="s">
        <v>2912</v>
      </c>
      <c r="F609" s="485">
        <v>3</v>
      </c>
      <c r="G609" s="482"/>
      <c r="H609" s="507"/>
      <c r="I609" s="507"/>
      <c r="J609" s="532" t="s">
        <v>6247</v>
      </c>
      <c r="K609" s="532"/>
      <c r="L609" s="532"/>
      <c r="M609" s="533"/>
      <c r="N609" s="534"/>
      <c r="O609" s="535">
        <v>6</v>
      </c>
      <c r="P609" s="536" t="s">
        <v>2453</v>
      </c>
      <c r="Q609" s="489">
        <v>35</v>
      </c>
      <c r="R609" s="536" t="s">
        <v>2453</v>
      </c>
      <c r="S609" s="535">
        <f t="shared" si="46"/>
        <v>35</v>
      </c>
      <c r="T609" s="536" t="s">
        <v>6248</v>
      </c>
      <c r="U609" s="535">
        <f t="shared" si="47"/>
        <v>20</v>
      </c>
      <c r="V609" s="537" t="s">
        <v>6133</v>
      </c>
      <c r="W609" s="537" t="s">
        <v>6249</v>
      </c>
      <c r="X609" s="491">
        <f t="shared" si="49"/>
        <v>35</v>
      </c>
      <c r="Y609" s="537" t="s">
        <v>6249</v>
      </c>
      <c r="Z609" s="535">
        <f t="shared" si="48"/>
        <v>35</v>
      </c>
      <c r="AA609" s="537" t="s">
        <v>6250</v>
      </c>
      <c r="AB609" s="535">
        <f t="shared" si="50"/>
        <v>26</v>
      </c>
      <c r="AC609" s="537" t="s">
        <v>6136</v>
      </c>
      <c r="AD609" s="535"/>
      <c r="AE609" s="538"/>
      <c r="AF609" s="504"/>
      <c r="AG609" s="673" t="s">
        <v>2917</v>
      </c>
      <c r="AH609" s="495" t="s">
        <v>2918</v>
      </c>
      <c r="AI609" s="505"/>
      <c r="AJ609" s="505"/>
      <c r="AK609" s="539">
        <f>_xll.GetCtData("COAMOUNT","CONSAMOUNT",$B$1:$B$7,$B609,AK$9,"#1205030,37948961")</f>
        <v>1205030</v>
      </c>
    </row>
    <row r="610" spans="2:37" ht="12" customHeight="1">
      <c r="B610" s="453" t="s">
        <v>6251</v>
      </c>
      <c r="C610" s="482" t="s">
        <v>2929</v>
      </c>
      <c r="D610" s="483">
        <v>44403</v>
      </c>
      <c r="E610" s="484" t="s">
        <v>2930</v>
      </c>
      <c r="F610" s="485">
        <v>7</v>
      </c>
      <c r="G610" s="547"/>
      <c r="H610" s="547"/>
      <c r="I610" s="547"/>
      <c r="J610" s="547"/>
      <c r="K610" s="547"/>
      <c r="L610" s="547"/>
      <c r="M610" s="548"/>
      <c r="N610" s="517" t="s">
        <v>6252</v>
      </c>
      <c r="O610" s="518">
        <v>9</v>
      </c>
      <c r="P610" s="519" t="s">
        <v>6253</v>
      </c>
      <c r="Q610" s="489">
        <v>57</v>
      </c>
      <c r="R610" s="519" t="s">
        <v>6253</v>
      </c>
      <c r="S610" s="518">
        <f t="shared" si="46"/>
        <v>57</v>
      </c>
      <c r="T610" s="519" t="s">
        <v>6254</v>
      </c>
      <c r="U610" s="518">
        <f t="shared" si="47"/>
        <v>29</v>
      </c>
      <c r="V610" s="519" t="s">
        <v>6133</v>
      </c>
      <c r="W610" s="519" t="s">
        <v>6255</v>
      </c>
      <c r="X610" s="491">
        <f t="shared" si="49"/>
        <v>52</v>
      </c>
      <c r="Y610" s="519" t="s">
        <v>6255</v>
      </c>
      <c r="Z610" s="518">
        <f t="shared" si="48"/>
        <v>52</v>
      </c>
      <c r="AA610" s="519" t="s">
        <v>6256</v>
      </c>
      <c r="AB610" s="518">
        <f t="shared" si="50"/>
        <v>29</v>
      </c>
      <c r="AC610" s="519" t="s">
        <v>6136</v>
      </c>
      <c r="AD610" s="518" t="s">
        <v>6257</v>
      </c>
      <c r="AE610" s="520" t="s">
        <v>6258</v>
      </c>
      <c r="AF610" s="504" t="s">
        <v>2939</v>
      </c>
      <c r="AG610" s="673" t="s">
        <v>2917</v>
      </c>
      <c r="AH610" s="494" t="s">
        <v>2917</v>
      </c>
      <c r="AI610" s="505"/>
      <c r="AJ610" s="505"/>
      <c r="AK610" s="521">
        <f>_xll.GetCtData("COAMOUNT","CONSAMOUNT",$B$1:$B$7,$B610,AK$9,"#1149974")</f>
        <v>1149974</v>
      </c>
    </row>
    <row r="611" spans="2:37" ht="12" customHeight="1">
      <c r="B611" s="453" t="s">
        <v>6259</v>
      </c>
      <c r="C611" s="482" t="s">
        <v>2929</v>
      </c>
      <c r="D611" s="483">
        <v>44403</v>
      </c>
      <c r="E611" s="484" t="s">
        <v>2930</v>
      </c>
      <c r="F611" s="485">
        <v>7</v>
      </c>
      <c r="G611" s="547"/>
      <c r="H611" s="547"/>
      <c r="I611" s="547"/>
      <c r="J611" s="547"/>
      <c r="K611" s="547"/>
      <c r="L611" s="547"/>
      <c r="M611" s="548"/>
      <c r="N611" s="517" t="s">
        <v>6260</v>
      </c>
      <c r="O611" s="518">
        <v>9</v>
      </c>
      <c r="P611" s="519" t="s">
        <v>6261</v>
      </c>
      <c r="Q611" s="489">
        <v>65</v>
      </c>
      <c r="R611" s="519" t="s">
        <v>6261</v>
      </c>
      <c r="S611" s="518">
        <f t="shared" si="46"/>
        <v>65</v>
      </c>
      <c r="T611" s="519" t="s">
        <v>6262</v>
      </c>
      <c r="U611" s="518">
        <f t="shared" si="47"/>
        <v>21</v>
      </c>
      <c r="V611" s="519" t="s">
        <v>6133</v>
      </c>
      <c r="W611" s="519" t="s">
        <v>6263</v>
      </c>
      <c r="X611" s="491">
        <f t="shared" si="49"/>
        <v>54</v>
      </c>
      <c r="Y611" s="519" t="s">
        <v>6263</v>
      </c>
      <c r="Z611" s="518">
        <f t="shared" si="48"/>
        <v>54</v>
      </c>
      <c r="AA611" s="519" t="s">
        <v>6264</v>
      </c>
      <c r="AB611" s="518">
        <f t="shared" si="50"/>
        <v>27</v>
      </c>
      <c r="AC611" s="519" t="s">
        <v>6136</v>
      </c>
      <c r="AD611" s="518" t="s">
        <v>6265</v>
      </c>
      <c r="AE611" s="520" t="s">
        <v>6266</v>
      </c>
      <c r="AF611" s="504" t="s">
        <v>2939</v>
      </c>
      <c r="AG611" s="673" t="s">
        <v>2917</v>
      </c>
      <c r="AH611" s="494" t="s">
        <v>2917</v>
      </c>
      <c r="AI611" s="505"/>
      <c r="AJ611" s="505"/>
      <c r="AK611" s="521">
        <f>_xll.GetCtData("COAMOUNT","CONSAMOUNT",$B$1:$B$7,$B611,AK$9,"#55056,3794896129")</f>
        <v>55056</v>
      </c>
    </row>
    <row r="612" spans="2:37" ht="12" customHeight="1">
      <c r="B612" s="453" t="s">
        <v>2517</v>
      </c>
      <c r="C612" s="482" t="s">
        <v>2911</v>
      </c>
      <c r="D612" s="483">
        <v>44378</v>
      </c>
      <c r="E612" s="484" t="s">
        <v>2912</v>
      </c>
      <c r="F612" s="485">
        <v>2</v>
      </c>
      <c r="G612" s="482"/>
      <c r="H612" s="507"/>
      <c r="I612" s="508" t="s">
        <v>6267</v>
      </c>
      <c r="J612" s="508"/>
      <c r="K612" s="508"/>
      <c r="L612" s="508"/>
      <c r="M612" s="509"/>
      <c r="N612" s="510"/>
      <c r="O612" s="511">
        <v>5</v>
      </c>
      <c r="P612" s="512" t="s">
        <v>2248</v>
      </c>
      <c r="Q612" s="489">
        <v>62</v>
      </c>
      <c r="R612" s="512" t="s">
        <v>2248</v>
      </c>
      <c r="S612" s="511">
        <f t="shared" si="46"/>
        <v>62</v>
      </c>
      <c r="T612" s="512" t="s">
        <v>6268</v>
      </c>
      <c r="U612" s="511">
        <f t="shared" si="47"/>
        <v>26</v>
      </c>
      <c r="V612" s="513" t="s">
        <v>6269</v>
      </c>
      <c r="W612" s="513" t="s">
        <v>6270</v>
      </c>
      <c r="X612" s="491">
        <f t="shared" si="49"/>
        <v>22</v>
      </c>
      <c r="Y612" s="513" t="s">
        <v>6270</v>
      </c>
      <c r="Z612" s="511">
        <f t="shared" si="48"/>
        <v>22</v>
      </c>
      <c r="AA612" s="513" t="s">
        <v>6271</v>
      </c>
      <c r="AB612" s="511">
        <f t="shared" si="50"/>
        <v>10</v>
      </c>
      <c r="AC612" s="513" t="s">
        <v>6272</v>
      </c>
      <c r="AD612" s="511"/>
      <c r="AE612" s="514"/>
      <c r="AF612" s="504"/>
      <c r="AG612" s="673" t="s">
        <v>2917</v>
      </c>
      <c r="AH612" s="495" t="s">
        <v>2918</v>
      </c>
      <c r="AI612" s="505"/>
      <c r="AJ612" s="505"/>
      <c r="AK612" s="515">
        <f>_xll.GetCtData("COAMOUNT","CONSAMOUNT",$B$1:$B$7,$B612,AK$9,"#411819,226534252")</f>
        <v>411819</v>
      </c>
    </row>
    <row r="613" spans="2:37" ht="12" customHeight="1">
      <c r="B613" s="453" t="s">
        <v>2518</v>
      </c>
      <c r="C613" s="482" t="s">
        <v>2911</v>
      </c>
      <c r="D613" s="483">
        <v>44378</v>
      </c>
      <c r="E613" s="484" t="s">
        <v>2912</v>
      </c>
      <c r="F613" s="485">
        <v>3</v>
      </c>
      <c r="G613" s="482"/>
      <c r="H613" s="507"/>
      <c r="I613" s="507"/>
      <c r="J613" s="532" t="s">
        <v>6273</v>
      </c>
      <c r="K613" s="532"/>
      <c r="L613" s="532"/>
      <c r="M613" s="533"/>
      <c r="N613" s="534"/>
      <c r="O613" s="535">
        <v>6</v>
      </c>
      <c r="P613" s="536" t="s">
        <v>2460</v>
      </c>
      <c r="Q613" s="489">
        <v>23</v>
      </c>
      <c r="R613" s="536" t="s">
        <v>2460</v>
      </c>
      <c r="S613" s="535">
        <f t="shared" si="46"/>
        <v>23</v>
      </c>
      <c r="T613" s="536" t="s">
        <v>2460</v>
      </c>
      <c r="U613" s="535">
        <f t="shared" si="47"/>
        <v>23</v>
      </c>
      <c r="V613" s="537" t="s">
        <v>6269</v>
      </c>
      <c r="W613" s="537" t="s">
        <v>6274</v>
      </c>
      <c r="X613" s="491">
        <f t="shared" si="49"/>
        <v>42</v>
      </c>
      <c r="Y613" s="537" t="s">
        <v>6274</v>
      </c>
      <c r="Z613" s="535">
        <f t="shared" si="48"/>
        <v>42</v>
      </c>
      <c r="AA613" s="537" t="s">
        <v>6275</v>
      </c>
      <c r="AB613" s="535">
        <f t="shared" si="50"/>
        <v>29</v>
      </c>
      <c r="AC613" s="537" t="s">
        <v>6272</v>
      </c>
      <c r="AD613" s="535"/>
      <c r="AE613" s="538"/>
      <c r="AF613" s="504"/>
      <c r="AG613" s="673" t="s">
        <v>2917</v>
      </c>
      <c r="AH613" s="495" t="s">
        <v>2918</v>
      </c>
      <c r="AI613" s="505"/>
      <c r="AJ613" s="505"/>
      <c r="AK613" s="539">
        <f>_xll.GetCtData("COAMOUNT","CONSAMOUNT",$B$1:$B$7,$B613,AK$9,"#202222,329532405")</f>
        <v>202222</v>
      </c>
    </row>
    <row r="614" spans="2:37" ht="12" customHeight="1">
      <c r="B614" s="453" t="s">
        <v>2457</v>
      </c>
      <c r="C614" s="482" t="s">
        <v>2929</v>
      </c>
      <c r="D614" s="483">
        <v>44403</v>
      </c>
      <c r="E614" s="484" t="s">
        <v>2930</v>
      </c>
      <c r="F614" s="485">
        <v>7</v>
      </c>
      <c r="G614" s="547"/>
      <c r="H614" s="547"/>
      <c r="I614" s="547"/>
      <c r="J614" s="547"/>
      <c r="K614" s="547"/>
      <c r="L614" s="547"/>
      <c r="M614" s="548"/>
      <c r="N614" s="517" t="s">
        <v>6276</v>
      </c>
      <c r="O614" s="518">
        <v>9</v>
      </c>
      <c r="P614" s="519" t="s">
        <v>2519</v>
      </c>
      <c r="Q614" s="489">
        <v>46</v>
      </c>
      <c r="R614" s="519" t="s">
        <v>6277</v>
      </c>
      <c r="S614" s="518">
        <f t="shared" si="46"/>
        <v>39</v>
      </c>
      <c r="T614" s="519" t="s">
        <v>6278</v>
      </c>
      <c r="U614" s="518">
        <f t="shared" si="47"/>
        <v>24</v>
      </c>
      <c r="V614" s="519" t="s">
        <v>6269</v>
      </c>
      <c r="W614" s="519" t="s">
        <v>6279</v>
      </c>
      <c r="X614" s="491">
        <f t="shared" si="49"/>
        <v>60</v>
      </c>
      <c r="Y614" s="519" t="s">
        <v>6279</v>
      </c>
      <c r="Z614" s="518">
        <f t="shared" si="48"/>
        <v>60</v>
      </c>
      <c r="AA614" s="519" t="s">
        <v>6280</v>
      </c>
      <c r="AB614" s="518">
        <f t="shared" si="50"/>
        <v>24</v>
      </c>
      <c r="AC614" s="519" t="s">
        <v>6272</v>
      </c>
      <c r="AD614" s="518" t="s">
        <v>6281</v>
      </c>
      <c r="AE614" s="520" t="s">
        <v>6282</v>
      </c>
      <c r="AF614" s="504" t="s">
        <v>2939</v>
      </c>
      <c r="AG614" s="673" t="s">
        <v>2917</v>
      </c>
      <c r="AH614" s="494" t="s">
        <v>2917</v>
      </c>
      <c r="AI614" s="505"/>
      <c r="AJ614" s="505"/>
      <c r="AK614" s="521">
        <f>_xll.GetCtData("COAMOUNT","CONSAMOUNT",$B$1:$B$7,$B614,AK$9,"#202222,329532405")</f>
        <v>202222</v>
      </c>
    </row>
    <row r="615" spans="2:37" ht="12" customHeight="1">
      <c r="B615" s="453" t="s">
        <v>2458</v>
      </c>
      <c r="C615" s="482" t="s">
        <v>2929</v>
      </c>
      <c r="D615" s="483">
        <v>44403</v>
      </c>
      <c r="E615" s="484" t="s">
        <v>2930</v>
      </c>
      <c r="F615" s="485">
        <v>7</v>
      </c>
      <c r="G615" s="547"/>
      <c r="H615" s="547"/>
      <c r="I615" s="547"/>
      <c r="J615" s="547"/>
      <c r="K615" s="547"/>
      <c r="L615" s="547"/>
      <c r="M615" s="548"/>
      <c r="N615" s="517" t="s">
        <v>6283</v>
      </c>
      <c r="O615" s="518">
        <v>9</v>
      </c>
      <c r="P615" s="519" t="s">
        <v>2459</v>
      </c>
      <c r="Q615" s="489">
        <v>38</v>
      </c>
      <c r="R615" s="519" t="s">
        <v>2459</v>
      </c>
      <c r="S615" s="518">
        <f t="shared" si="46"/>
        <v>38</v>
      </c>
      <c r="T615" s="519" t="s">
        <v>6284</v>
      </c>
      <c r="U615" s="518">
        <f t="shared" si="47"/>
        <v>21</v>
      </c>
      <c r="V615" s="519" t="s">
        <v>6269</v>
      </c>
      <c r="W615" s="519" t="s">
        <v>6285</v>
      </c>
      <c r="X615" s="491">
        <f t="shared" si="49"/>
        <v>70</v>
      </c>
      <c r="Y615" s="519" t="s">
        <v>6285</v>
      </c>
      <c r="Z615" s="518">
        <f t="shared" si="48"/>
        <v>70</v>
      </c>
      <c r="AA615" s="519" t="s">
        <v>6286</v>
      </c>
      <c r="AB615" s="518">
        <f t="shared" si="50"/>
        <v>30</v>
      </c>
      <c r="AC615" s="519" t="s">
        <v>6272</v>
      </c>
      <c r="AD615" s="518" t="s">
        <v>6287</v>
      </c>
      <c r="AE615" s="520" t="s">
        <v>6288</v>
      </c>
      <c r="AF615" s="504" t="s">
        <v>2939</v>
      </c>
      <c r="AG615" s="673" t="s">
        <v>2917</v>
      </c>
      <c r="AH615" s="494" t="s">
        <v>2917</v>
      </c>
      <c r="AI615" s="505"/>
      <c r="AJ615" s="505"/>
      <c r="AK615" s="521">
        <f>_xll.GetCtData("COAMOUNT","CONSAMOUNT",$B$1:$B$7,$B615,AK$9,"#")</f>
        <v>0</v>
      </c>
    </row>
    <row r="616" spans="2:37" ht="12" customHeight="1">
      <c r="B616" s="453" t="s">
        <v>2520</v>
      </c>
      <c r="C616" s="482" t="s">
        <v>2911</v>
      </c>
      <c r="D616" s="483">
        <v>44378</v>
      </c>
      <c r="E616" s="484" t="s">
        <v>2912</v>
      </c>
      <c r="F616" s="485">
        <v>3</v>
      </c>
      <c r="G616" s="482"/>
      <c r="H616" s="507"/>
      <c r="I616" s="507"/>
      <c r="J616" s="532" t="s">
        <v>6289</v>
      </c>
      <c r="K616" s="532"/>
      <c r="L616" s="532"/>
      <c r="M616" s="533"/>
      <c r="N616" s="534"/>
      <c r="O616" s="535">
        <v>6</v>
      </c>
      <c r="P616" s="536" t="s">
        <v>2521</v>
      </c>
      <c r="Q616" s="489">
        <v>54</v>
      </c>
      <c r="R616" s="536" t="s">
        <v>6290</v>
      </c>
      <c r="S616" s="535">
        <f t="shared" si="46"/>
        <v>42</v>
      </c>
      <c r="T616" s="536" t="s">
        <v>6291</v>
      </c>
      <c r="U616" s="535">
        <f t="shared" si="47"/>
        <v>28</v>
      </c>
      <c r="V616" s="537" t="s">
        <v>6269</v>
      </c>
      <c r="W616" s="537" t="s">
        <v>6292</v>
      </c>
      <c r="X616" s="491">
        <f t="shared" si="49"/>
        <v>59</v>
      </c>
      <c r="Y616" s="537" t="s">
        <v>6292</v>
      </c>
      <c r="Z616" s="535">
        <f t="shared" si="48"/>
        <v>59</v>
      </c>
      <c r="AA616" s="537" t="s">
        <v>6293</v>
      </c>
      <c r="AB616" s="535">
        <f t="shared" si="50"/>
        <v>25</v>
      </c>
      <c r="AC616" s="537" t="s">
        <v>6272</v>
      </c>
      <c r="AD616" s="535"/>
      <c r="AE616" s="538"/>
      <c r="AF616" s="504"/>
      <c r="AG616" s="673" t="s">
        <v>2917</v>
      </c>
      <c r="AH616" s="495" t="s">
        <v>2918</v>
      </c>
      <c r="AI616" s="505"/>
      <c r="AJ616" s="505"/>
      <c r="AK616" s="539">
        <f>_xll.GetCtData("COAMOUNT","CONSAMOUNT",$B$1:$B$7,$B616,AK$9,"#61002,7898109972")</f>
        <v>61002</v>
      </c>
    </row>
    <row r="617" spans="2:37" ht="12" customHeight="1">
      <c r="B617" s="453" t="s">
        <v>2461</v>
      </c>
      <c r="C617" s="482" t="s">
        <v>2929</v>
      </c>
      <c r="D617" s="483">
        <v>44403</v>
      </c>
      <c r="E617" s="484" t="s">
        <v>2930</v>
      </c>
      <c r="F617" s="485">
        <v>7</v>
      </c>
      <c r="G617" s="547"/>
      <c r="H617" s="547"/>
      <c r="I617" s="547"/>
      <c r="J617" s="547"/>
      <c r="K617" s="547"/>
      <c r="L617" s="547"/>
      <c r="M617" s="548"/>
      <c r="N617" s="517" t="s">
        <v>6294</v>
      </c>
      <c r="O617" s="518">
        <v>9</v>
      </c>
      <c r="P617" s="519" t="s">
        <v>2522</v>
      </c>
      <c r="Q617" s="489">
        <v>77</v>
      </c>
      <c r="R617" s="519" t="s">
        <v>6295</v>
      </c>
      <c r="S617" s="518">
        <f t="shared" si="46"/>
        <v>51</v>
      </c>
      <c r="T617" s="519" t="s">
        <v>6296</v>
      </c>
      <c r="U617" s="518">
        <f t="shared" si="47"/>
        <v>30</v>
      </c>
      <c r="V617" s="519" t="s">
        <v>6269</v>
      </c>
      <c r="W617" s="519" t="s">
        <v>6297</v>
      </c>
      <c r="X617" s="491">
        <f t="shared" si="49"/>
        <v>77</v>
      </c>
      <c r="Y617" s="519" t="s">
        <v>6297</v>
      </c>
      <c r="Z617" s="518">
        <f t="shared" si="48"/>
        <v>77</v>
      </c>
      <c r="AA617" s="519" t="s">
        <v>6298</v>
      </c>
      <c r="AB617" s="518">
        <f t="shared" si="50"/>
        <v>28</v>
      </c>
      <c r="AC617" s="519" t="s">
        <v>6272</v>
      </c>
      <c r="AD617" s="518" t="s">
        <v>6299</v>
      </c>
      <c r="AE617" s="520" t="s">
        <v>6300</v>
      </c>
      <c r="AF617" s="504" t="s">
        <v>2939</v>
      </c>
      <c r="AG617" s="673" t="s">
        <v>2917</v>
      </c>
      <c r="AH617" s="494" t="s">
        <v>2917</v>
      </c>
      <c r="AI617" s="505"/>
      <c r="AJ617" s="505"/>
      <c r="AK617" s="521">
        <f>_xll.GetCtData("COAMOUNT","CONSAMOUNT",$B$1:$B$7,$B617,AK$9,"#98220,4252363495")</f>
        <v>98220</v>
      </c>
    </row>
    <row r="618" spans="2:37" ht="12" customHeight="1">
      <c r="B618" s="453" t="s">
        <v>2462</v>
      </c>
      <c r="C618" s="482" t="s">
        <v>2929</v>
      </c>
      <c r="D618" s="483">
        <v>44403</v>
      </c>
      <c r="E618" s="484" t="s">
        <v>2930</v>
      </c>
      <c r="F618" s="485">
        <v>7</v>
      </c>
      <c r="G618" s="547"/>
      <c r="H618" s="547"/>
      <c r="I618" s="547"/>
      <c r="J618" s="547"/>
      <c r="K618" s="547"/>
      <c r="L618" s="547"/>
      <c r="M618" s="548"/>
      <c r="N618" s="517" t="s">
        <v>6301</v>
      </c>
      <c r="O618" s="518">
        <v>9</v>
      </c>
      <c r="P618" s="519" t="s">
        <v>2523</v>
      </c>
      <c r="Q618" s="489">
        <v>70</v>
      </c>
      <c r="R618" s="519" t="s">
        <v>6302</v>
      </c>
      <c r="S618" s="518">
        <f t="shared" si="46"/>
        <v>40</v>
      </c>
      <c r="T618" s="519" t="s">
        <v>6303</v>
      </c>
      <c r="U618" s="518">
        <f t="shared" si="47"/>
        <v>25</v>
      </c>
      <c r="V618" s="519" t="s">
        <v>6269</v>
      </c>
      <c r="W618" s="519" t="s">
        <v>6304</v>
      </c>
      <c r="X618" s="491">
        <f t="shared" si="49"/>
        <v>74</v>
      </c>
      <c r="Y618" s="519" t="s">
        <v>6304</v>
      </c>
      <c r="Z618" s="518">
        <f t="shared" si="48"/>
        <v>74</v>
      </c>
      <c r="AA618" s="519" t="s">
        <v>6305</v>
      </c>
      <c r="AB618" s="518">
        <f t="shared" si="50"/>
        <v>30</v>
      </c>
      <c r="AC618" s="519" t="s">
        <v>6272</v>
      </c>
      <c r="AD618" s="518" t="s">
        <v>6306</v>
      </c>
      <c r="AE618" s="520" t="s">
        <v>6307</v>
      </c>
      <c r="AF618" s="504" t="s">
        <v>2939</v>
      </c>
      <c r="AG618" s="673" t="s">
        <v>2917</v>
      </c>
      <c r="AH618" s="494" t="s">
        <v>2917</v>
      </c>
      <c r="AI618" s="505"/>
      <c r="AJ618" s="505"/>
      <c r="AK618" s="521">
        <f>_xll.GetCtData("COAMOUNT","CONSAMOUNT",$B$1:$B$7,$B618,AK$9,"#-37217,6354253523")</f>
        <v>-37217</v>
      </c>
    </row>
    <row r="619" spans="2:37" ht="12" customHeight="1">
      <c r="B619" s="453" t="s">
        <v>2463</v>
      </c>
      <c r="C619" s="482" t="s">
        <v>2929</v>
      </c>
      <c r="D619" s="483">
        <v>44403</v>
      </c>
      <c r="E619" s="484" t="s">
        <v>2930</v>
      </c>
      <c r="F619" s="485">
        <v>7</v>
      </c>
      <c r="G619" s="547"/>
      <c r="H619" s="547"/>
      <c r="I619" s="547"/>
      <c r="J619" s="547"/>
      <c r="K619" s="547"/>
      <c r="L619" s="547"/>
      <c r="M619" s="548"/>
      <c r="N619" s="517" t="s">
        <v>6308</v>
      </c>
      <c r="O619" s="518">
        <v>9</v>
      </c>
      <c r="P619" s="519" t="s">
        <v>2524</v>
      </c>
      <c r="Q619" s="489">
        <v>69</v>
      </c>
      <c r="R619" s="519" t="s">
        <v>6309</v>
      </c>
      <c r="S619" s="518">
        <f t="shared" si="46"/>
        <v>50</v>
      </c>
      <c r="T619" s="519" t="s">
        <v>6310</v>
      </c>
      <c r="U619" s="518">
        <f t="shared" si="47"/>
        <v>27</v>
      </c>
      <c r="V619" s="519" t="s">
        <v>6269</v>
      </c>
      <c r="W619" s="519" t="s">
        <v>6311</v>
      </c>
      <c r="X619" s="491">
        <f t="shared" si="49"/>
        <v>87</v>
      </c>
      <c r="Y619" s="519" t="s">
        <v>6311</v>
      </c>
      <c r="Z619" s="518">
        <f t="shared" si="48"/>
        <v>87</v>
      </c>
      <c r="AA619" s="519" t="s">
        <v>6312</v>
      </c>
      <c r="AB619" s="518">
        <f t="shared" si="50"/>
        <v>30</v>
      </c>
      <c r="AC619" s="519" t="s">
        <v>6272</v>
      </c>
      <c r="AD619" s="518" t="s">
        <v>6313</v>
      </c>
      <c r="AE619" s="520" t="s">
        <v>6314</v>
      </c>
      <c r="AF619" s="504" t="s">
        <v>2939</v>
      </c>
      <c r="AG619" s="673" t="s">
        <v>2917</v>
      </c>
      <c r="AH619" s="494" t="s">
        <v>2917</v>
      </c>
      <c r="AI619" s="505"/>
      <c r="AJ619" s="505"/>
      <c r="AK619" s="521">
        <f>_xll.GetCtData("COAMOUNT","CONSAMOUNT",$B$1:$B$7,$B619,AK$9,"#")</f>
        <v>0</v>
      </c>
    </row>
    <row r="620" spans="2:37" ht="12" customHeight="1">
      <c r="B620" s="453" t="s">
        <v>2525</v>
      </c>
      <c r="C620" s="482" t="s">
        <v>2911</v>
      </c>
      <c r="D620" s="483">
        <v>44378</v>
      </c>
      <c r="E620" s="484" t="s">
        <v>2912</v>
      </c>
      <c r="F620" s="485">
        <v>3</v>
      </c>
      <c r="G620" s="482"/>
      <c r="H620" s="507"/>
      <c r="I620" s="507"/>
      <c r="J620" s="532" t="s">
        <v>6315</v>
      </c>
      <c r="K620" s="532"/>
      <c r="L620" s="532"/>
      <c r="M620" s="533"/>
      <c r="N620" s="534"/>
      <c r="O620" s="535">
        <v>6</v>
      </c>
      <c r="P620" s="536" t="s">
        <v>2467</v>
      </c>
      <c r="Q620" s="489">
        <v>28</v>
      </c>
      <c r="R620" s="536" t="s">
        <v>2467</v>
      </c>
      <c r="S620" s="535">
        <f t="shared" si="46"/>
        <v>28</v>
      </c>
      <c r="T620" s="536" t="s">
        <v>2467</v>
      </c>
      <c r="U620" s="535">
        <f t="shared" si="47"/>
        <v>28</v>
      </c>
      <c r="V620" s="537" t="s">
        <v>6269</v>
      </c>
      <c r="W620" s="537" t="s">
        <v>6316</v>
      </c>
      <c r="X620" s="491">
        <f t="shared" si="49"/>
        <v>47</v>
      </c>
      <c r="Y620" s="537" t="s">
        <v>6316</v>
      </c>
      <c r="Z620" s="535">
        <f t="shared" si="48"/>
        <v>47</v>
      </c>
      <c r="AA620" s="537" t="s">
        <v>6317</v>
      </c>
      <c r="AB620" s="535">
        <f t="shared" si="50"/>
        <v>30</v>
      </c>
      <c r="AC620" s="537" t="s">
        <v>6272</v>
      </c>
      <c r="AD620" s="535"/>
      <c r="AE620" s="538"/>
      <c r="AF620" s="504"/>
      <c r="AG620" s="673" t="s">
        <v>2917</v>
      </c>
      <c r="AH620" s="495" t="s">
        <v>2918</v>
      </c>
      <c r="AI620" s="505"/>
      <c r="AJ620" s="505"/>
      <c r="AK620" s="539">
        <f>_xll.GetCtData("COAMOUNT","CONSAMOUNT",$B$1:$B$7,$B620,AK$9,"#81583,2687955057")</f>
        <v>81583</v>
      </c>
    </row>
    <row r="621" spans="2:37" ht="12" customHeight="1">
      <c r="B621" s="453" t="s">
        <v>2464</v>
      </c>
      <c r="C621" s="482" t="s">
        <v>2929</v>
      </c>
      <c r="D621" s="483">
        <v>44403</v>
      </c>
      <c r="E621" s="484" t="s">
        <v>2930</v>
      </c>
      <c r="F621" s="485">
        <v>7</v>
      </c>
      <c r="G621" s="547"/>
      <c r="H621" s="547"/>
      <c r="I621" s="547"/>
      <c r="J621" s="547"/>
      <c r="K621" s="547"/>
      <c r="L621" s="547"/>
      <c r="M621" s="548"/>
      <c r="N621" s="517" t="s">
        <v>6318</v>
      </c>
      <c r="O621" s="518">
        <v>9</v>
      </c>
      <c r="P621" s="519" t="s">
        <v>2526</v>
      </c>
      <c r="Q621" s="489">
        <v>64</v>
      </c>
      <c r="R621" s="519" t="s">
        <v>6319</v>
      </c>
      <c r="S621" s="518">
        <f t="shared" si="46"/>
        <v>57</v>
      </c>
      <c r="T621" s="519" t="s">
        <v>6320</v>
      </c>
      <c r="U621" s="518">
        <f t="shared" si="47"/>
        <v>29</v>
      </c>
      <c r="V621" s="519" t="s">
        <v>6269</v>
      </c>
      <c r="W621" s="519" t="s">
        <v>6321</v>
      </c>
      <c r="X621" s="491">
        <f t="shared" si="49"/>
        <v>83</v>
      </c>
      <c r="Y621" s="519" t="s">
        <v>6321</v>
      </c>
      <c r="Z621" s="518">
        <f t="shared" si="48"/>
        <v>83</v>
      </c>
      <c r="AA621" s="519" t="s">
        <v>6322</v>
      </c>
      <c r="AB621" s="518">
        <f t="shared" si="50"/>
        <v>30</v>
      </c>
      <c r="AC621" s="519" t="s">
        <v>6272</v>
      </c>
      <c r="AD621" s="518" t="s">
        <v>6323</v>
      </c>
      <c r="AE621" s="520" t="s">
        <v>6324</v>
      </c>
      <c r="AF621" s="504" t="s">
        <v>2939</v>
      </c>
      <c r="AG621" s="673" t="s">
        <v>2917</v>
      </c>
      <c r="AH621" s="494" t="s">
        <v>2917</v>
      </c>
      <c r="AI621" s="505"/>
      <c r="AJ621" s="505"/>
      <c r="AK621" s="521">
        <f>_xll.GetCtData("COAMOUNT","CONSAMOUNT",$B$1:$B$7,$B621,AK$9,"#116959,852137889")</f>
        <v>116959</v>
      </c>
    </row>
    <row r="622" spans="2:37" ht="12" customHeight="1">
      <c r="B622" s="453" t="s">
        <v>2465</v>
      </c>
      <c r="C622" s="482" t="s">
        <v>2929</v>
      </c>
      <c r="D622" s="483">
        <v>44403</v>
      </c>
      <c r="E622" s="484" t="s">
        <v>2930</v>
      </c>
      <c r="F622" s="485">
        <v>7</v>
      </c>
      <c r="G622" s="547"/>
      <c r="H622" s="547"/>
      <c r="I622" s="547"/>
      <c r="J622" s="547"/>
      <c r="K622" s="547"/>
      <c r="L622" s="547"/>
      <c r="M622" s="548"/>
      <c r="N622" s="517" t="s">
        <v>6325</v>
      </c>
      <c r="O622" s="518">
        <v>9</v>
      </c>
      <c r="P622" s="519" t="s">
        <v>2527</v>
      </c>
      <c r="Q622" s="489">
        <v>57</v>
      </c>
      <c r="R622" s="519" t="s">
        <v>6326</v>
      </c>
      <c r="S622" s="518">
        <f t="shared" si="46"/>
        <v>46</v>
      </c>
      <c r="T622" s="519" t="s">
        <v>6327</v>
      </c>
      <c r="U622" s="518">
        <f t="shared" si="47"/>
        <v>25</v>
      </c>
      <c r="V622" s="519" t="s">
        <v>6269</v>
      </c>
      <c r="W622" s="519" t="s">
        <v>6328</v>
      </c>
      <c r="X622" s="491">
        <f t="shared" si="49"/>
        <v>80</v>
      </c>
      <c r="Y622" s="519" t="s">
        <v>6328</v>
      </c>
      <c r="Z622" s="518">
        <f t="shared" si="48"/>
        <v>80</v>
      </c>
      <c r="AA622" s="519" t="s">
        <v>6329</v>
      </c>
      <c r="AB622" s="518">
        <f t="shared" si="50"/>
        <v>30</v>
      </c>
      <c r="AC622" s="519" t="s">
        <v>6272</v>
      </c>
      <c r="AD622" s="518" t="s">
        <v>6330</v>
      </c>
      <c r="AE622" s="520" t="s">
        <v>6331</v>
      </c>
      <c r="AF622" s="504" t="s">
        <v>2939</v>
      </c>
      <c r="AG622" s="673" t="s">
        <v>2917</v>
      </c>
      <c r="AH622" s="494" t="s">
        <v>2917</v>
      </c>
      <c r="AI622" s="505"/>
      <c r="AJ622" s="505"/>
      <c r="AK622" s="521">
        <f>_xll.GetCtData("COAMOUNT","CONSAMOUNT",$B$1:$B$7,$B622,AK$9,"#-28436,5833423833")</f>
        <v>-28436</v>
      </c>
    </row>
    <row r="623" spans="2:37" ht="12" customHeight="1">
      <c r="B623" s="453" t="s">
        <v>2466</v>
      </c>
      <c r="C623" s="482" t="s">
        <v>2929</v>
      </c>
      <c r="D623" s="483">
        <v>44403</v>
      </c>
      <c r="E623" s="484" t="s">
        <v>2930</v>
      </c>
      <c r="F623" s="485">
        <v>7</v>
      </c>
      <c r="G623" s="547"/>
      <c r="H623" s="547"/>
      <c r="I623" s="547"/>
      <c r="J623" s="547"/>
      <c r="K623" s="547"/>
      <c r="L623" s="547"/>
      <c r="M623" s="548"/>
      <c r="N623" s="517" t="s">
        <v>6332</v>
      </c>
      <c r="O623" s="518">
        <v>9</v>
      </c>
      <c r="P623" s="519" t="s">
        <v>2528</v>
      </c>
      <c r="Q623" s="489">
        <v>56</v>
      </c>
      <c r="R623" s="519" t="s">
        <v>2528</v>
      </c>
      <c r="S623" s="518">
        <f t="shared" si="46"/>
        <v>56</v>
      </c>
      <c r="T623" s="519" t="s">
        <v>6333</v>
      </c>
      <c r="U623" s="518">
        <f t="shared" si="47"/>
        <v>28</v>
      </c>
      <c r="V623" s="519" t="s">
        <v>6269</v>
      </c>
      <c r="W623" s="519" t="s">
        <v>6334</v>
      </c>
      <c r="X623" s="491">
        <f t="shared" si="49"/>
        <v>93</v>
      </c>
      <c r="Y623" s="519" t="s">
        <v>6334</v>
      </c>
      <c r="Z623" s="518">
        <f t="shared" si="48"/>
        <v>93</v>
      </c>
      <c r="AA623" s="519" t="s">
        <v>6335</v>
      </c>
      <c r="AB623" s="518">
        <f t="shared" si="50"/>
        <v>30</v>
      </c>
      <c r="AC623" s="519" t="s">
        <v>6272</v>
      </c>
      <c r="AD623" s="518" t="s">
        <v>6336</v>
      </c>
      <c r="AE623" s="520" t="s">
        <v>6337</v>
      </c>
      <c r="AF623" s="504" t="s">
        <v>2939</v>
      </c>
      <c r="AG623" s="673" t="s">
        <v>2917</v>
      </c>
      <c r="AH623" s="494" t="s">
        <v>2917</v>
      </c>
      <c r="AI623" s="505"/>
      <c r="AJ623" s="505"/>
      <c r="AK623" s="521">
        <f>_xll.GetCtData("COAMOUNT","CONSAMOUNT",$B$1:$B$7,$B623,AK$9,"#-6940")</f>
        <v>-6940</v>
      </c>
    </row>
    <row r="624" spans="2:37" ht="12" customHeight="1">
      <c r="B624" s="453" t="s">
        <v>2529</v>
      </c>
      <c r="C624" s="482" t="s">
        <v>2929</v>
      </c>
      <c r="D624" s="483">
        <v>44403</v>
      </c>
      <c r="E624" s="484" t="s">
        <v>2930</v>
      </c>
      <c r="F624" s="485">
        <v>7</v>
      </c>
      <c r="G624" s="547"/>
      <c r="H624" s="547"/>
      <c r="I624" s="547"/>
      <c r="J624" s="547"/>
      <c r="K624" s="547"/>
      <c r="L624" s="547"/>
      <c r="M624" s="548"/>
      <c r="N624" s="517" t="s">
        <v>6338</v>
      </c>
      <c r="O624" s="518">
        <v>9</v>
      </c>
      <c r="P624" s="519" t="s">
        <v>2530</v>
      </c>
      <c r="Q624" s="489">
        <v>60</v>
      </c>
      <c r="R624" s="519" t="s">
        <v>6339</v>
      </c>
      <c r="S624" s="518">
        <f t="shared" si="46"/>
        <v>53</v>
      </c>
      <c r="T624" s="519" t="s">
        <v>6340</v>
      </c>
      <c r="U624" s="518">
        <f t="shared" si="47"/>
        <v>29</v>
      </c>
      <c r="V624" s="519" t="s">
        <v>6269</v>
      </c>
      <c r="W624" s="519" t="s">
        <v>6341</v>
      </c>
      <c r="X624" s="491">
        <f t="shared" si="49"/>
        <v>74</v>
      </c>
      <c r="Y624" s="519" t="s">
        <v>6341</v>
      </c>
      <c r="Z624" s="518">
        <f t="shared" si="48"/>
        <v>74</v>
      </c>
      <c r="AA624" s="519" t="s">
        <v>6342</v>
      </c>
      <c r="AB624" s="518">
        <f t="shared" si="50"/>
        <v>30</v>
      </c>
      <c r="AC624" s="519" t="s">
        <v>6272</v>
      </c>
      <c r="AD624" s="518" t="s">
        <v>6323</v>
      </c>
      <c r="AE624" s="520" t="s">
        <v>6324</v>
      </c>
      <c r="AF624" s="504" t="s">
        <v>2939</v>
      </c>
      <c r="AG624" s="673" t="s">
        <v>2917</v>
      </c>
      <c r="AH624" s="494" t="s">
        <v>2917</v>
      </c>
      <c r="AI624" s="505"/>
      <c r="AJ624" s="505"/>
      <c r="AK624" s="521">
        <f>_xll.GetCtData("COAMOUNT","CONSAMOUNT",$B$1:$B$7,$B624,AK$9,"#0")</f>
        <v>0</v>
      </c>
    </row>
    <row r="625" spans="2:37" ht="12" customHeight="1">
      <c r="B625" s="453" t="s">
        <v>2531</v>
      </c>
      <c r="C625" s="482" t="s">
        <v>2929</v>
      </c>
      <c r="D625" s="483">
        <v>44403</v>
      </c>
      <c r="E625" s="484" t="s">
        <v>2930</v>
      </c>
      <c r="F625" s="485">
        <v>7</v>
      </c>
      <c r="G625" s="547"/>
      <c r="H625" s="547"/>
      <c r="I625" s="547"/>
      <c r="J625" s="547"/>
      <c r="K625" s="547"/>
      <c r="L625" s="547"/>
      <c r="M625" s="548"/>
      <c r="N625" s="517" t="s">
        <v>6343</v>
      </c>
      <c r="O625" s="518">
        <v>9</v>
      </c>
      <c r="P625" s="519" t="s">
        <v>2532</v>
      </c>
      <c r="Q625" s="489">
        <v>53</v>
      </c>
      <c r="R625" s="519" t="s">
        <v>6344</v>
      </c>
      <c r="S625" s="518">
        <f t="shared" si="46"/>
        <v>42</v>
      </c>
      <c r="T625" s="519" t="s">
        <v>6345</v>
      </c>
      <c r="U625" s="518">
        <f t="shared" si="47"/>
        <v>24</v>
      </c>
      <c r="V625" s="519" t="s">
        <v>6269</v>
      </c>
      <c r="W625" s="519" t="s">
        <v>6346</v>
      </c>
      <c r="X625" s="491">
        <f t="shared" si="49"/>
        <v>71</v>
      </c>
      <c r="Y625" s="519" t="s">
        <v>6346</v>
      </c>
      <c r="Z625" s="518">
        <f t="shared" si="48"/>
        <v>71</v>
      </c>
      <c r="AA625" s="519" t="s">
        <v>6347</v>
      </c>
      <c r="AB625" s="518">
        <f t="shared" si="50"/>
        <v>30</v>
      </c>
      <c r="AC625" s="519" t="s">
        <v>6272</v>
      </c>
      <c r="AD625" s="518" t="s">
        <v>6330</v>
      </c>
      <c r="AE625" s="520" t="s">
        <v>6331</v>
      </c>
      <c r="AF625" s="504" t="s">
        <v>2939</v>
      </c>
      <c r="AG625" s="673" t="s">
        <v>2917</v>
      </c>
      <c r="AH625" s="494" t="s">
        <v>2917</v>
      </c>
      <c r="AI625" s="505"/>
      <c r="AJ625" s="505"/>
      <c r="AK625" s="521">
        <f>_xll.GetCtData("COAMOUNT","CONSAMOUNT",$B$1:$B$7,$B625,AK$9,"#0")</f>
        <v>0</v>
      </c>
    </row>
    <row r="626" spans="2:37" ht="12" customHeight="1">
      <c r="B626" s="453" t="s">
        <v>2533</v>
      </c>
      <c r="C626" s="482" t="s">
        <v>2929</v>
      </c>
      <c r="D626" s="483">
        <v>44403</v>
      </c>
      <c r="E626" s="484" t="s">
        <v>2930</v>
      </c>
      <c r="F626" s="485">
        <v>7</v>
      </c>
      <c r="G626" s="547"/>
      <c r="H626" s="547"/>
      <c r="I626" s="547"/>
      <c r="J626" s="547"/>
      <c r="K626" s="547"/>
      <c r="L626" s="547"/>
      <c r="M626" s="548"/>
      <c r="N626" s="517" t="s">
        <v>6348</v>
      </c>
      <c r="O626" s="518">
        <v>9</v>
      </c>
      <c r="P626" s="519" t="s">
        <v>2534</v>
      </c>
      <c r="Q626" s="489">
        <v>52</v>
      </c>
      <c r="R626" s="519" t="s">
        <v>2534</v>
      </c>
      <c r="S626" s="518">
        <f t="shared" si="46"/>
        <v>52</v>
      </c>
      <c r="T626" s="519" t="s">
        <v>6349</v>
      </c>
      <c r="U626" s="518">
        <f t="shared" si="47"/>
        <v>26</v>
      </c>
      <c r="V626" s="519" t="s">
        <v>6269</v>
      </c>
      <c r="W626" s="519" t="s">
        <v>6350</v>
      </c>
      <c r="X626" s="491">
        <f t="shared" si="49"/>
        <v>84</v>
      </c>
      <c r="Y626" s="519" t="s">
        <v>6350</v>
      </c>
      <c r="Z626" s="518">
        <f t="shared" si="48"/>
        <v>84</v>
      </c>
      <c r="AA626" s="519" t="s">
        <v>6351</v>
      </c>
      <c r="AB626" s="518">
        <f t="shared" si="50"/>
        <v>27</v>
      </c>
      <c r="AC626" s="519" t="s">
        <v>6272</v>
      </c>
      <c r="AD626" s="518" t="s">
        <v>6336</v>
      </c>
      <c r="AE626" s="520" t="s">
        <v>6337</v>
      </c>
      <c r="AF626" s="504" t="s">
        <v>2939</v>
      </c>
      <c r="AG626" s="673" t="s">
        <v>2917</v>
      </c>
      <c r="AH626" s="494" t="s">
        <v>2917</v>
      </c>
      <c r="AI626" s="505"/>
      <c r="AJ626" s="505"/>
      <c r="AK626" s="521">
        <f>_xll.GetCtData("COAMOUNT","CONSAMOUNT",$B$1:$B$7,$B626,AK$9,"#")</f>
        <v>0</v>
      </c>
    </row>
    <row r="627" spans="2:37" ht="12" customHeight="1">
      <c r="B627" s="453" t="s">
        <v>2535</v>
      </c>
      <c r="C627" s="482" t="s">
        <v>2911</v>
      </c>
      <c r="D627" s="483">
        <v>44378</v>
      </c>
      <c r="E627" s="484" t="s">
        <v>2912</v>
      </c>
      <c r="F627" s="485">
        <v>3</v>
      </c>
      <c r="G627" s="482"/>
      <c r="H627" s="507"/>
      <c r="I627" s="507"/>
      <c r="J627" s="532" t="s">
        <v>6352</v>
      </c>
      <c r="K627" s="532"/>
      <c r="L627" s="532"/>
      <c r="M627" s="533"/>
      <c r="N627" s="534"/>
      <c r="O627" s="535">
        <v>6</v>
      </c>
      <c r="P627" s="536" t="s">
        <v>2477</v>
      </c>
      <c r="Q627" s="489">
        <v>49</v>
      </c>
      <c r="R627" s="536" t="s">
        <v>2477</v>
      </c>
      <c r="S627" s="535">
        <f t="shared" si="46"/>
        <v>49</v>
      </c>
      <c r="T627" s="536" t="s">
        <v>6353</v>
      </c>
      <c r="U627" s="535">
        <f t="shared" si="47"/>
        <v>22</v>
      </c>
      <c r="V627" s="537" t="s">
        <v>6269</v>
      </c>
      <c r="W627" s="537" t="s">
        <v>6354</v>
      </c>
      <c r="X627" s="491">
        <f t="shared" si="49"/>
        <v>43</v>
      </c>
      <c r="Y627" s="537" t="s">
        <v>6354</v>
      </c>
      <c r="Z627" s="535">
        <f t="shared" si="48"/>
        <v>43</v>
      </c>
      <c r="AA627" s="537" t="s">
        <v>6355</v>
      </c>
      <c r="AB627" s="535">
        <f t="shared" si="50"/>
        <v>29</v>
      </c>
      <c r="AC627" s="537" t="s">
        <v>6272</v>
      </c>
      <c r="AD627" s="535"/>
      <c r="AE627" s="538"/>
      <c r="AF627" s="504"/>
      <c r="AG627" s="673" t="s">
        <v>2917</v>
      </c>
      <c r="AH627" s="495" t="s">
        <v>2918</v>
      </c>
      <c r="AI627" s="505"/>
      <c r="AJ627" s="505"/>
      <c r="AK627" s="539">
        <f>_xll.GetCtData("COAMOUNT","CONSAMOUNT",$B$1:$B$7,$B627,AK$9,"#64342,8383953448")</f>
        <v>64342</v>
      </c>
    </row>
    <row r="628" spans="2:37" ht="12" customHeight="1">
      <c r="B628" s="453" t="s">
        <v>2473</v>
      </c>
      <c r="C628" s="482" t="s">
        <v>2929</v>
      </c>
      <c r="D628" s="483">
        <v>44403</v>
      </c>
      <c r="E628" s="484" t="s">
        <v>2930</v>
      </c>
      <c r="F628" s="485">
        <v>7</v>
      </c>
      <c r="G628" s="547"/>
      <c r="H628" s="547"/>
      <c r="I628" s="547"/>
      <c r="J628" s="547"/>
      <c r="K628" s="547"/>
      <c r="L628" s="547"/>
      <c r="M628" s="548"/>
      <c r="N628" s="517" t="s">
        <v>6356</v>
      </c>
      <c r="O628" s="518">
        <v>9</v>
      </c>
      <c r="P628" s="519" t="s">
        <v>2536</v>
      </c>
      <c r="Q628" s="489">
        <v>72</v>
      </c>
      <c r="R628" s="519" t="s">
        <v>6357</v>
      </c>
      <c r="S628" s="518">
        <f t="shared" si="46"/>
        <v>65</v>
      </c>
      <c r="T628" s="519" t="s">
        <v>6358</v>
      </c>
      <c r="U628" s="518">
        <f t="shared" si="47"/>
        <v>29</v>
      </c>
      <c r="V628" s="519" t="s">
        <v>6269</v>
      </c>
      <c r="W628" s="519" t="s">
        <v>6359</v>
      </c>
      <c r="X628" s="491">
        <f t="shared" si="49"/>
        <v>84</v>
      </c>
      <c r="Y628" s="519" t="s">
        <v>6359</v>
      </c>
      <c r="Z628" s="518">
        <f t="shared" si="48"/>
        <v>84</v>
      </c>
      <c r="AA628" s="519" t="s">
        <v>6360</v>
      </c>
      <c r="AB628" s="518">
        <f t="shared" si="50"/>
        <v>29</v>
      </c>
      <c r="AC628" s="519" t="s">
        <v>6272</v>
      </c>
      <c r="AD628" s="518" t="s">
        <v>6361</v>
      </c>
      <c r="AE628" s="520" t="s">
        <v>6362</v>
      </c>
      <c r="AF628" s="504" t="s">
        <v>2939</v>
      </c>
      <c r="AG628" s="673" t="s">
        <v>2917</v>
      </c>
      <c r="AH628" s="494" t="s">
        <v>2917</v>
      </c>
      <c r="AI628" s="505"/>
      <c r="AJ628" s="505"/>
      <c r="AK628" s="521">
        <f>_xll.GetCtData("COAMOUNT","CONSAMOUNT",$B$1:$B$7,$B628,AK$9,"#247893,967739889")</f>
        <v>247893</v>
      </c>
    </row>
    <row r="629" spans="2:37" ht="12" customHeight="1">
      <c r="B629" s="453" t="s">
        <v>2474</v>
      </c>
      <c r="C629" s="482" t="s">
        <v>2929</v>
      </c>
      <c r="D629" s="483">
        <v>44403</v>
      </c>
      <c r="E629" s="484" t="s">
        <v>2930</v>
      </c>
      <c r="F629" s="485">
        <v>7</v>
      </c>
      <c r="G629" s="547"/>
      <c r="H629" s="547"/>
      <c r="I629" s="547"/>
      <c r="J629" s="547"/>
      <c r="K629" s="547"/>
      <c r="L629" s="547"/>
      <c r="M629" s="548"/>
      <c r="N629" s="517" t="s">
        <v>6363</v>
      </c>
      <c r="O629" s="518">
        <v>9</v>
      </c>
      <c r="P629" s="519" t="s">
        <v>2537</v>
      </c>
      <c r="Q629" s="489">
        <v>65</v>
      </c>
      <c r="R629" s="519" t="s">
        <v>6364</v>
      </c>
      <c r="S629" s="518">
        <f t="shared" si="46"/>
        <v>54</v>
      </c>
      <c r="T629" s="519" t="s">
        <v>6365</v>
      </c>
      <c r="U629" s="518">
        <f t="shared" si="47"/>
        <v>25</v>
      </c>
      <c r="V629" s="519" t="s">
        <v>6269</v>
      </c>
      <c r="W629" s="519" t="s">
        <v>6366</v>
      </c>
      <c r="X629" s="491">
        <f t="shared" si="49"/>
        <v>81</v>
      </c>
      <c r="Y629" s="519" t="s">
        <v>6366</v>
      </c>
      <c r="Z629" s="518">
        <f t="shared" si="48"/>
        <v>81</v>
      </c>
      <c r="AA629" s="519" t="s">
        <v>6367</v>
      </c>
      <c r="AB629" s="518">
        <f t="shared" si="50"/>
        <v>29</v>
      </c>
      <c r="AC629" s="519" t="s">
        <v>6272</v>
      </c>
      <c r="AD629" s="518" t="s">
        <v>6368</v>
      </c>
      <c r="AE629" s="520" t="s">
        <v>6369</v>
      </c>
      <c r="AF629" s="504" t="s">
        <v>2939</v>
      </c>
      <c r="AG629" s="673" t="s">
        <v>2917</v>
      </c>
      <c r="AH629" s="494" t="s">
        <v>2917</v>
      </c>
      <c r="AI629" s="505"/>
      <c r="AJ629" s="505"/>
      <c r="AK629" s="521">
        <f>_xll.GetCtData("COAMOUNT","CONSAMOUNT",$B$1:$B$7,$B629,AK$9,"#-183551,129344544")</f>
        <v>-183551</v>
      </c>
    </row>
    <row r="630" spans="2:37" ht="12" customHeight="1">
      <c r="B630" s="453" t="s">
        <v>2475</v>
      </c>
      <c r="C630" s="482" t="s">
        <v>2929</v>
      </c>
      <c r="D630" s="483">
        <v>44403</v>
      </c>
      <c r="E630" s="484" t="s">
        <v>2930</v>
      </c>
      <c r="F630" s="485">
        <v>7</v>
      </c>
      <c r="G630" s="547"/>
      <c r="H630" s="547"/>
      <c r="I630" s="547"/>
      <c r="J630" s="547"/>
      <c r="K630" s="547"/>
      <c r="L630" s="547"/>
      <c r="M630" s="548"/>
      <c r="N630" s="517" t="s">
        <v>6370</v>
      </c>
      <c r="O630" s="518">
        <v>9</v>
      </c>
      <c r="P630" s="519" t="s">
        <v>2476</v>
      </c>
      <c r="Q630" s="489">
        <v>64</v>
      </c>
      <c r="R630" s="519" t="s">
        <v>2476</v>
      </c>
      <c r="S630" s="518">
        <f t="shared" si="46"/>
        <v>64</v>
      </c>
      <c r="T630" s="519" t="s">
        <v>6371</v>
      </c>
      <c r="U630" s="518">
        <f t="shared" si="47"/>
        <v>27</v>
      </c>
      <c r="V630" s="519" t="s">
        <v>6269</v>
      </c>
      <c r="W630" s="519" t="s">
        <v>6372</v>
      </c>
      <c r="X630" s="491">
        <f t="shared" si="49"/>
        <v>94</v>
      </c>
      <c r="Y630" s="519" t="s">
        <v>6372</v>
      </c>
      <c r="Z630" s="518">
        <f t="shared" si="48"/>
        <v>94</v>
      </c>
      <c r="AA630" s="519" t="s">
        <v>6373</v>
      </c>
      <c r="AB630" s="518">
        <f t="shared" si="50"/>
        <v>29</v>
      </c>
      <c r="AC630" s="519" t="s">
        <v>6272</v>
      </c>
      <c r="AD630" s="518" t="s">
        <v>6374</v>
      </c>
      <c r="AE630" s="520" t="s">
        <v>6375</v>
      </c>
      <c r="AF630" s="504" t="s">
        <v>2939</v>
      </c>
      <c r="AG630" s="673" t="s">
        <v>2917</v>
      </c>
      <c r="AH630" s="494" t="s">
        <v>2917</v>
      </c>
      <c r="AI630" s="505"/>
      <c r="AJ630" s="505"/>
      <c r="AK630" s="521">
        <f>_xll.GetCtData("COAMOUNT","CONSAMOUNT",$B$1:$B$7,$B630,AK$9,"#")</f>
        <v>0</v>
      </c>
    </row>
    <row r="631" spans="2:37" ht="12" customHeight="1">
      <c r="B631" s="453" t="s">
        <v>2538</v>
      </c>
      <c r="C631" s="482" t="s">
        <v>2911</v>
      </c>
      <c r="D631" s="483">
        <v>44378</v>
      </c>
      <c r="E631" s="484" t="s">
        <v>2912</v>
      </c>
      <c r="F631" s="485">
        <v>3</v>
      </c>
      <c r="G631" s="482"/>
      <c r="H631" s="507"/>
      <c r="I631" s="507"/>
      <c r="J631" s="532" t="s">
        <v>6376</v>
      </c>
      <c r="K631" s="532"/>
      <c r="L631" s="532"/>
      <c r="M631" s="533"/>
      <c r="N631" s="534"/>
      <c r="O631" s="535">
        <v>6</v>
      </c>
      <c r="P631" s="536" t="s">
        <v>2472</v>
      </c>
      <c r="Q631" s="489">
        <v>33</v>
      </c>
      <c r="R631" s="536" t="s">
        <v>2472</v>
      </c>
      <c r="S631" s="535">
        <f t="shared" si="46"/>
        <v>33</v>
      </c>
      <c r="T631" s="536" t="s">
        <v>6377</v>
      </c>
      <c r="U631" s="535">
        <f t="shared" si="47"/>
        <v>22</v>
      </c>
      <c r="V631" s="537" t="s">
        <v>6269</v>
      </c>
      <c r="W631" s="537" t="s">
        <v>6378</v>
      </c>
      <c r="X631" s="491">
        <f t="shared" si="49"/>
        <v>54</v>
      </c>
      <c r="Y631" s="537" t="s">
        <v>6378</v>
      </c>
      <c r="Z631" s="535">
        <f t="shared" si="48"/>
        <v>54</v>
      </c>
      <c r="AA631" s="537" t="s">
        <v>6379</v>
      </c>
      <c r="AB631" s="535">
        <f t="shared" si="50"/>
        <v>28</v>
      </c>
      <c r="AC631" s="537" t="s">
        <v>6272</v>
      </c>
      <c r="AD631" s="535"/>
      <c r="AE631" s="538"/>
      <c r="AF631" s="504"/>
      <c r="AG631" s="673" t="s">
        <v>2917</v>
      </c>
      <c r="AH631" s="495" t="s">
        <v>2918</v>
      </c>
      <c r="AI631" s="505"/>
      <c r="AJ631" s="505"/>
      <c r="AK631" s="539">
        <f>_xll.GetCtData("COAMOUNT","CONSAMOUNT",$B$1:$B$7,$B631,AK$9,"#2668")</f>
        <v>2668</v>
      </c>
    </row>
    <row r="632" spans="2:37" ht="12" customHeight="1">
      <c r="B632" s="453" t="s">
        <v>2468</v>
      </c>
      <c r="C632" s="482" t="s">
        <v>2929</v>
      </c>
      <c r="D632" s="483">
        <v>44403</v>
      </c>
      <c r="E632" s="484" t="s">
        <v>2930</v>
      </c>
      <c r="F632" s="485">
        <v>7</v>
      </c>
      <c r="G632" s="547"/>
      <c r="H632" s="547"/>
      <c r="I632" s="547"/>
      <c r="J632" s="547"/>
      <c r="K632" s="547"/>
      <c r="L632" s="547"/>
      <c r="M632" s="548"/>
      <c r="N632" s="517" t="s">
        <v>6380</v>
      </c>
      <c r="O632" s="518">
        <v>9</v>
      </c>
      <c r="P632" s="519" t="s">
        <v>2469</v>
      </c>
      <c r="Q632" s="489">
        <v>48</v>
      </c>
      <c r="R632" s="519" t="s">
        <v>2469</v>
      </c>
      <c r="S632" s="518">
        <f t="shared" si="46"/>
        <v>48</v>
      </c>
      <c r="T632" s="519" t="s">
        <v>6381</v>
      </c>
      <c r="U632" s="518">
        <f t="shared" si="47"/>
        <v>28</v>
      </c>
      <c r="V632" s="519" t="s">
        <v>6269</v>
      </c>
      <c r="W632" s="519" t="s">
        <v>6382</v>
      </c>
      <c r="X632" s="491">
        <f t="shared" si="49"/>
        <v>61</v>
      </c>
      <c r="Y632" s="519" t="s">
        <v>6382</v>
      </c>
      <c r="Z632" s="518">
        <f t="shared" si="48"/>
        <v>61</v>
      </c>
      <c r="AA632" s="519" t="s">
        <v>6383</v>
      </c>
      <c r="AB632" s="518">
        <f t="shared" si="50"/>
        <v>30</v>
      </c>
      <c r="AC632" s="519" t="s">
        <v>6272</v>
      </c>
      <c r="AD632" s="518" t="s">
        <v>6384</v>
      </c>
      <c r="AE632" s="520" t="s">
        <v>6385</v>
      </c>
      <c r="AF632" s="504" t="s">
        <v>2939</v>
      </c>
      <c r="AG632" s="673" t="s">
        <v>2917</v>
      </c>
      <c r="AH632" s="494" t="s">
        <v>2917</v>
      </c>
      <c r="AI632" s="505"/>
      <c r="AJ632" s="505"/>
      <c r="AK632" s="521">
        <f>_xll.GetCtData("COAMOUNT","CONSAMOUNT",$B$1:$B$7,$B632,AK$9,"#2668")</f>
        <v>2668</v>
      </c>
    </row>
    <row r="633" spans="2:37" ht="12" customHeight="1">
      <c r="B633" s="453" t="s">
        <v>2470</v>
      </c>
      <c r="C633" s="482" t="s">
        <v>2929</v>
      </c>
      <c r="D633" s="483">
        <v>44403</v>
      </c>
      <c r="E633" s="484" t="s">
        <v>2930</v>
      </c>
      <c r="F633" s="485">
        <v>7</v>
      </c>
      <c r="G633" s="547"/>
      <c r="H633" s="547"/>
      <c r="I633" s="547"/>
      <c r="J633" s="547"/>
      <c r="K633" s="547"/>
      <c r="L633" s="547"/>
      <c r="M633" s="548"/>
      <c r="N633" s="517" t="s">
        <v>6386</v>
      </c>
      <c r="O633" s="518">
        <v>9</v>
      </c>
      <c r="P633" s="519" t="s">
        <v>2471</v>
      </c>
      <c r="Q633" s="489">
        <v>48</v>
      </c>
      <c r="R633" s="519" t="s">
        <v>2471</v>
      </c>
      <c r="S633" s="518">
        <f t="shared" si="46"/>
        <v>48</v>
      </c>
      <c r="T633" s="519" t="s">
        <v>6387</v>
      </c>
      <c r="U633" s="518">
        <f t="shared" si="47"/>
        <v>25</v>
      </c>
      <c r="V633" s="519" t="s">
        <v>6269</v>
      </c>
      <c r="W633" s="519" t="s">
        <v>6388</v>
      </c>
      <c r="X633" s="491">
        <f t="shared" si="49"/>
        <v>82</v>
      </c>
      <c r="Y633" s="519" t="s">
        <v>6388</v>
      </c>
      <c r="Z633" s="518">
        <f t="shared" si="48"/>
        <v>82</v>
      </c>
      <c r="AA633" s="519" t="s">
        <v>6389</v>
      </c>
      <c r="AB633" s="518">
        <f t="shared" si="50"/>
        <v>30</v>
      </c>
      <c r="AC633" s="519" t="s">
        <v>6272</v>
      </c>
      <c r="AD633" s="518" t="s">
        <v>6390</v>
      </c>
      <c r="AE633" s="520" t="s">
        <v>6391</v>
      </c>
      <c r="AF633" s="504" t="s">
        <v>2939</v>
      </c>
      <c r="AG633" s="673" t="s">
        <v>2917</v>
      </c>
      <c r="AH633" s="494" t="s">
        <v>2917</v>
      </c>
      <c r="AI633" s="505"/>
      <c r="AJ633" s="505"/>
      <c r="AK633" s="521">
        <f>_xll.GetCtData("COAMOUNT","CONSAMOUNT",$B$1:$B$7,$B633,AK$9,"#")</f>
        <v>0</v>
      </c>
    </row>
    <row r="634" spans="2:37" ht="12" customHeight="1">
      <c r="B634" s="453" t="s">
        <v>6392</v>
      </c>
      <c r="C634" s="482" t="s">
        <v>2911</v>
      </c>
      <c r="D634" s="483">
        <v>44378</v>
      </c>
      <c r="E634" s="484" t="s">
        <v>2912</v>
      </c>
      <c r="F634" s="485">
        <v>2</v>
      </c>
      <c r="G634" s="482"/>
      <c r="H634" s="507"/>
      <c r="I634" s="508" t="s">
        <v>6393</v>
      </c>
      <c r="J634" s="508"/>
      <c r="K634" s="508"/>
      <c r="L634" s="508"/>
      <c r="M634" s="509"/>
      <c r="N634" s="510"/>
      <c r="O634" s="511">
        <v>5</v>
      </c>
      <c r="P634" s="512" t="s">
        <v>1068</v>
      </c>
      <c r="Q634" s="489">
        <v>41</v>
      </c>
      <c r="R634" s="512" t="s">
        <v>1068</v>
      </c>
      <c r="S634" s="511">
        <f t="shared" si="46"/>
        <v>41</v>
      </c>
      <c r="T634" s="512" t="s">
        <v>6394</v>
      </c>
      <c r="U634" s="511">
        <f t="shared" si="47"/>
        <v>25</v>
      </c>
      <c r="V634" s="513" t="s">
        <v>6269</v>
      </c>
      <c r="W634" s="513" t="s">
        <v>6395</v>
      </c>
      <c r="X634" s="491">
        <f t="shared" si="49"/>
        <v>24</v>
      </c>
      <c r="Y634" s="513" t="s">
        <v>6395</v>
      </c>
      <c r="Z634" s="511">
        <f t="shared" si="48"/>
        <v>24</v>
      </c>
      <c r="AA634" s="513" t="s">
        <v>6395</v>
      </c>
      <c r="AB634" s="511">
        <f t="shared" si="50"/>
        <v>24</v>
      </c>
      <c r="AC634" s="513" t="s">
        <v>6272</v>
      </c>
      <c r="AD634" s="511"/>
      <c r="AE634" s="514"/>
      <c r="AF634" s="504"/>
      <c r="AG634" s="673" t="s">
        <v>2917</v>
      </c>
      <c r="AH634" s="495" t="s">
        <v>2918</v>
      </c>
      <c r="AI634" s="505"/>
      <c r="AJ634" s="505"/>
      <c r="AK634" s="515">
        <f>_xll.GetCtData("COAMOUNT","CONSAMOUNT",$B$1:$B$7,$B634,AK$9,"#548962,90341307")</f>
        <v>548962</v>
      </c>
    </row>
    <row r="635" spans="2:37" ht="12" customHeight="1">
      <c r="B635" s="453" t="s">
        <v>6396</v>
      </c>
      <c r="C635" s="482" t="s">
        <v>2911</v>
      </c>
      <c r="D635" s="483">
        <v>44378</v>
      </c>
      <c r="E635" s="484" t="s">
        <v>2912</v>
      </c>
      <c r="F635" s="485">
        <v>3</v>
      </c>
      <c r="G635" s="482"/>
      <c r="H635" s="550"/>
      <c r="I635" s="550"/>
      <c r="J635" s="551" t="s">
        <v>6397</v>
      </c>
      <c r="K635" s="551"/>
      <c r="L635" s="551"/>
      <c r="M635" s="552"/>
      <c r="N635" s="553"/>
      <c r="O635" s="535">
        <v>6</v>
      </c>
      <c r="P635" s="536" t="s">
        <v>1068</v>
      </c>
      <c r="Q635" s="489">
        <v>41</v>
      </c>
      <c r="R635" s="536" t="s">
        <v>1068</v>
      </c>
      <c r="S635" s="535">
        <f t="shared" si="46"/>
        <v>41</v>
      </c>
      <c r="T635" s="536" t="s">
        <v>6394</v>
      </c>
      <c r="U635" s="535">
        <f t="shared" si="47"/>
        <v>25</v>
      </c>
      <c r="V635" s="537" t="s">
        <v>6269</v>
      </c>
      <c r="W635" s="537" t="s">
        <v>6395</v>
      </c>
      <c r="X635" s="491">
        <f t="shared" si="49"/>
        <v>24</v>
      </c>
      <c r="Y635" s="537" t="s">
        <v>6395</v>
      </c>
      <c r="Z635" s="535">
        <f t="shared" si="48"/>
        <v>24</v>
      </c>
      <c r="AA635" s="537" t="s">
        <v>6395</v>
      </c>
      <c r="AB635" s="535">
        <f t="shared" si="50"/>
        <v>24</v>
      </c>
      <c r="AC635" s="537" t="s">
        <v>6272</v>
      </c>
      <c r="AD635" s="535"/>
      <c r="AE635" s="538"/>
      <c r="AF635" s="504"/>
      <c r="AG635" s="673" t="s">
        <v>2917</v>
      </c>
      <c r="AH635" s="495" t="s">
        <v>2918</v>
      </c>
      <c r="AI635" s="505"/>
      <c r="AJ635" s="505"/>
      <c r="AK635" s="539">
        <f>_xll.GetCtData("COAMOUNT","CONSAMOUNT",$B$1:$B$7,$B635,AK$9,"#548962,90341307")</f>
        <v>548962</v>
      </c>
    </row>
    <row r="636" spans="2:37" ht="12" customHeight="1">
      <c r="B636" s="453" t="s">
        <v>6398</v>
      </c>
      <c r="C636" s="482" t="s">
        <v>2929</v>
      </c>
      <c r="D636" s="483">
        <v>44403</v>
      </c>
      <c r="E636" s="484" t="s">
        <v>2930</v>
      </c>
      <c r="F636" s="485">
        <v>7</v>
      </c>
      <c r="G636" s="547"/>
      <c r="H636" s="547"/>
      <c r="I636" s="547"/>
      <c r="J636" s="547"/>
      <c r="K636" s="547"/>
      <c r="L636" s="547"/>
      <c r="M636" s="548"/>
      <c r="N636" s="517" t="s">
        <v>6399</v>
      </c>
      <c r="O636" s="518">
        <v>9</v>
      </c>
      <c r="P636" s="519" t="s">
        <v>6400</v>
      </c>
      <c r="Q636" s="489">
        <v>61</v>
      </c>
      <c r="R636" s="519" t="s">
        <v>6400</v>
      </c>
      <c r="S636" s="518">
        <f t="shared" si="46"/>
        <v>61</v>
      </c>
      <c r="T636" s="519" t="s">
        <v>6401</v>
      </c>
      <c r="U636" s="518">
        <f t="shared" si="47"/>
        <v>30</v>
      </c>
      <c r="V636" s="519" t="s">
        <v>6269</v>
      </c>
      <c r="W636" s="519" t="s">
        <v>6402</v>
      </c>
      <c r="X636" s="491">
        <f t="shared" si="49"/>
        <v>48</v>
      </c>
      <c r="Y636" s="519" t="s">
        <v>6402</v>
      </c>
      <c r="Z636" s="518">
        <f t="shared" si="48"/>
        <v>48</v>
      </c>
      <c r="AA636" s="519" t="s">
        <v>6403</v>
      </c>
      <c r="AB636" s="518">
        <f t="shared" si="50"/>
        <v>30</v>
      </c>
      <c r="AC636" s="519" t="s">
        <v>6272</v>
      </c>
      <c r="AD636" s="518" t="s">
        <v>6404</v>
      </c>
      <c r="AE636" s="520" t="s">
        <v>6405</v>
      </c>
      <c r="AF636" s="504" t="s">
        <v>2939</v>
      </c>
      <c r="AG636" s="673" t="s">
        <v>2917</v>
      </c>
      <c r="AH636" s="494" t="s">
        <v>2917</v>
      </c>
      <c r="AI636" s="505"/>
      <c r="AJ636" s="505"/>
      <c r="AK636" s="521">
        <f>_xll.GetCtData("COAMOUNT","CONSAMOUNT",$B$1:$B$7,$B636,AK$9,"#540540,90341307")</f>
        <v>540540</v>
      </c>
    </row>
    <row r="637" spans="2:37" ht="12" customHeight="1">
      <c r="B637" s="453" t="s">
        <v>6406</v>
      </c>
      <c r="C637" s="482" t="s">
        <v>2929</v>
      </c>
      <c r="D637" s="483">
        <v>44403</v>
      </c>
      <c r="E637" s="484" t="s">
        <v>2930</v>
      </c>
      <c r="F637" s="485">
        <v>7</v>
      </c>
      <c r="G637" s="547"/>
      <c r="H637" s="547"/>
      <c r="I637" s="547"/>
      <c r="J637" s="547"/>
      <c r="K637" s="547"/>
      <c r="L637" s="547"/>
      <c r="M637" s="548"/>
      <c r="N637" s="517" t="s">
        <v>6407</v>
      </c>
      <c r="O637" s="518">
        <v>9</v>
      </c>
      <c r="P637" s="519" t="s">
        <v>6408</v>
      </c>
      <c r="Q637" s="489">
        <v>50</v>
      </c>
      <c r="R637" s="519" t="s">
        <v>6408</v>
      </c>
      <c r="S637" s="518">
        <f t="shared" si="46"/>
        <v>50</v>
      </c>
      <c r="T637" s="519" t="s">
        <v>6409</v>
      </c>
      <c r="U637" s="518">
        <f t="shared" si="47"/>
        <v>27</v>
      </c>
      <c r="V637" s="519" t="s">
        <v>6269</v>
      </c>
      <c r="W637" s="519" t="s">
        <v>6395</v>
      </c>
      <c r="X637" s="491">
        <f t="shared" si="49"/>
        <v>24</v>
      </c>
      <c r="Y637" s="519" t="s">
        <v>6395</v>
      </c>
      <c r="Z637" s="518">
        <f t="shared" si="48"/>
        <v>24</v>
      </c>
      <c r="AA637" s="519" t="s">
        <v>6395</v>
      </c>
      <c r="AB637" s="518">
        <f t="shared" si="50"/>
        <v>24</v>
      </c>
      <c r="AC637" s="519" t="s">
        <v>6272</v>
      </c>
      <c r="AD637" s="518" t="s">
        <v>6410</v>
      </c>
      <c r="AE637" s="520" t="s">
        <v>6411</v>
      </c>
      <c r="AF637" s="504" t="s">
        <v>2939</v>
      </c>
      <c r="AG637" s="673" t="s">
        <v>2917</v>
      </c>
      <c r="AH637" s="494" t="s">
        <v>2917</v>
      </c>
      <c r="AI637" s="505"/>
      <c r="AJ637" s="505"/>
      <c r="AK637" s="521">
        <f>_xll.GetCtData("COAMOUNT","CONSAMOUNT",$B$1:$B$7,$B637,AK$9,"#8422")</f>
        <v>8422</v>
      </c>
    </row>
    <row r="638" spans="2:37" ht="12" customHeight="1">
      <c r="B638" s="453" t="s">
        <v>6412</v>
      </c>
      <c r="C638" s="482" t="s">
        <v>2911</v>
      </c>
      <c r="D638" s="483">
        <v>44378</v>
      </c>
      <c r="E638" s="484" t="s">
        <v>2912</v>
      </c>
      <c r="F638" s="485">
        <v>2</v>
      </c>
      <c r="G638" s="482"/>
      <c r="H638" s="507"/>
      <c r="I638" s="508" t="s">
        <v>6413</v>
      </c>
      <c r="J638" s="508"/>
      <c r="K638" s="508"/>
      <c r="L638" s="508"/>
      <c r="M638" s="509"/>
      <c r="N638" s="510"/>
      <c r="O638" s="511">
        <v>5</v>
      </c>
      <c r="P638" s="512" t="s">
        <v>1069</v>
      </c>
      <c r="Q638" s="489">
        <v>22</v>
      </c>
      <c r="R638" s="512" t="s">
        <v>1069</v>
      </c>
      <c r="S638" s="511">
        <f t="shared" si="46"/>
        <v>22</v>
      </c>
      <c r="T638" s="512" t="s">
        <v>6414</v>
      </c>
      <c r="U638" s="511">
        <f t="shared" si="47"/>
        <v>20</v>
      </c>
      <c r="V638" s="513" t="s">
        <v>6415</v>
      </c>
      <c r="W638" s="513" t="s">
        <v>6416</v>
      </c>
      <c r="X638" s="491">
        <f t="shared" si="49"/>
        <v>19</v>
      </c>
      <c r="Y638" s="513" t="s">
        <v>6416</v>
      </c>
      <c r="Z638" s="511">
        <f t="shared" si="48"/>
        <v>19</v>
      </c>
      <c r="AA638" s="513" t="s">
        <v>6416</v>
      </c>
      <c r="AB638" s="511">
        <f t="shared" si="50"/>
        <v>19</v>
      </c>
      <c r="AC638" s="513" t="s">
        <v>6417</v>
      </c>
      <c r="AD638" s="511"/>
      <c r="AE638" s="514"/>
      <c r="AF638" s="504"/>
      <c r="AG638" s="673" t="s">
        <v>2917</v>
      </c>
      <c r="AH638" s="495" t="s">
        <v>2918</v>
      </c>
      <c r="AI638" s="505"/>
      <c r="AJ638" s="505"/>
      <c r="AK638" s="515">
        <f>_xll.GetCtData("COAMOUNT","CONSAMOUNT",$B$1:$B$7,$B638,AK$9,"#1075730,40622484")</f>
        <v>1075730</v>
      </c>
    </row>
    <row r="639" spans="2:37" ht="12" customHeight="1">
      <c r="B639" s="453" t="s">
        <v>6418</v>
      </c>
      <c r="C639" s="482" t="s">
        <v>2911</v>
      </c>
      <c r="D639" s="483">
        <v>44378</v>
      </c>
      <c r="E639" s="484" t="s">
        <v>2912</v>
      </c>
      <c r="F639" s="485">
        <v>3</v>
      </c>
      <c r="G639" s="482"/>
      <c r="H639" s="507"/>
      <c r="I639" s="507"/>
      <c r="J639" s="532" t="s">
        <v>6419</v>
      </c>
      <c r="K639" s="532"/>
      <c r="L639" s="532"/>
      <c r="M639" s="533"/>
      <c r="N639" s="534"/>
      <c r="O639" s="535">
        <v>6</v>
      </c>
      <c r="P639" s="536" t="s">
        <v>6420</v>
      </c>
      <c r="Q639" s="489">
        <v>49</v>
      </c>
      <c r="R639" s="536" t="s">
        <v>6421</v>
      </c>
      <c r="S639" s="535">
        <f t="shared" si="46"/>
        <v>32</v>
      </c>
      <c r="T639" s="536" t="s">
        <v>6422</v>
      </c>
      <c r="U639" s="535">
        <f t="shared" si="47"/>
        <v>25</v>
      </c>
      <c r="V639" s="537" t="s">
        <v>6415</v>
      </c>
      <c r="W639" s="537" t="s">
        <v>6423</v>
      </c>
      <c r="X639" s="491">
        <f t="shared" si="49"/>
        <v>37</v>
      </c>
      <c r="Y639" s="537" t="s">
        <v>6423</v>
      </c>
      <c r="Z639" s="535">
        <f t="shared" si="48"/>
        <v>37</v>
      </c>
      <c r="AA639" s="537" t="s">
        <v>6424</v>
      </c>
      <c r="AB639" s="535">
        <f t="shared" si="50"/>
        <v>16</v>
      </c>
      <c r="AC639" s="537" t="s">
        <v>6417</v>
      </c>
      <c r="AD639" s="535"/>
      <c r="AE639" s="538"/>
      <c r="AF639" s="504"/>
      <c r="AG639" s="673" t="s">
        <v>2917</v>
      </c>
      <c r="AH639" s="495" t="s">
        <v>2918</v>
      </c>
      <c r="AI639" s="505"/>
      <c r="AJ639" s="505"/>
      <c r="AK639" s="539">
        <f>_xll.GetCtData("COAMOUNT","CONSAMOUNT",$B$1:$B$7,$B639,AK$9,"#3506513,56513091")</f>
        <v>3506513</v>
      </c>
    </row>
    <row r="640" spans="2:37" ht="12" customHeight="1">
      <c r="B640" s="453" t="s">
        <v>6425</v>
      </c>
      <c r="C640" s="482" t="s">
        <v>2929</v>
      </c>
      <c r="D640" s="483">
        <v>44403</v>
      </c>
      <c r="E640" s="484" t="s">
        <v>2930</v>
      </c>
      <c r="F640" s="485">
        <v>7</v>
      </c>
      <c r="G640" s="547"/>
      <c r="H640" s="547"/>
      <c r="I640" s="547"/>
      <c r="J640" s="547"/>
      <c r="K640" s="547"/>
      <c r="L640" s="547"/>
      <c r="M640" s="548"/>
      <c r="N640" s="517" t="s">
        <v>6426</v>
      </c>
      <c r="O640" s="518">
        <v>10</v>
      </c>
      <c r="P640" s="519" t="s">
        <v>6427</v>
      </c>
      <c r="Q640" s="489">
        <v>37</v>
      </c>
      <c r="R640" s="519" t="s">
        <v>6428</v>
      </c>
      <c r="S640" s="518">
        <f t="shared" ref="S640:S666" si="51">LEN(R640)</f>
        <v>29</v>
      </c>
      <c r="T640" s="519" t="s">
        <v>6429</v>
      </c>
      <c r="U640" s="518">
        <f t="shared" si="47"/>
        <v>17</v>
      </c>
      <c r="V640" s="519" t="s">
        <v>6415</v>
      </c>
      <c r="W640" s="519" t="s">
        <v>6430</v>
      </c>
      <c r="X640" s="491">
        <f t="shared" si="49"/>
        <v>37</v>
      </c>
      <c r="Y640" s="519" t="s">
        <v>6430</v>
      </c>
      <c r="Z640" s="518">
        <f t="shared" si="48"/>
        <v>37</v>
      </c>
      <c r="AA640" s="519" t="s">
        <v>6431</v>
      </c>
      <c r="AB640" s="518">
        <f t="shared" si="50"/>
        <v>17</v>
      </c>
      <c r="AC640" s="519" t="s">
        <v>6417</v>
      </c>
      <c r="AD640" s="518" t="s">
        <v>6432</v>
      </c>
      <c r="AE640" s="520" t="s">
        <v>6433</v>
      </c>
      <c r="AF640" s="504" t="s">
        <v>2939</v>
      </c>
      <c r="AG640" s="673" t="s">
        <v>2917</v>
      </c>
      <c r="AH640" s="494" t="s">
        <v>2917</v>
      </c>
      <c r="AI640" s="505"/>
      <c r="AJ640" s="505"/>
      <c r="AK640" s="521">
        <f>_xll.GetCtData("COAMOUNT","CONSAMOUNT",$B$1:$B$7,$B640,AK$9,"#4568507,56513091")</f>
        <v>4568507</v>
      </c>
    </row>
    <row r="641" spans="2:37" ht="12" customHeight="1">
      <c r="B641" s="453" t="s">
        <v>6434</v>
      </c>
      <c r="C641" s="482" t="s">
        <v>2929</v>
      </c>
      <c r="D641" s="483">
        <v>44403</v>
      </c>
      <c r="E641" s="484" t="s">
        <v>2930</v>
      </c>
      <c r="F641" s="485">
        <v>7</v>
      </c>
      <c r="G641" s="547"/>
      <c r="H641" s="547"/>
      <c r="I641" s="547"/>
      <c r="J641" s="547"/>
      <c r="K641" s="547"/>
      <c r="L641" s="547"/>
      <c r="M641" s="548"/>
      <c r="N641" s="517" t="s">
        <v>6435</v>
      </c>
      <c r="O641" s="518">
        <v>10</v>
      </c>
      <c r="P641" s="519" t="s">
        <v>6436</v>
      </c>
      <c r="Q641" s="489">
        <v>41</v>
      </c>
      <c r="R641" s="519" t="s">
        <v>6437</v>
      </c>
      <c r="S641" s="518">
        <f t="shared" si="51"/>
        <v>34</v>
      </c>
      <c r="T641" s="519" t="s">
        <v>6438</v>
      </c>
      <c r="U641" s="518">
        <f t="shared" si="47"/>
        <v>20</v>
      </c>
      <c r="V641" s="519" t="s">
        <v>6415</v>
      </c>
      <c r="W641" s="519" t="s">
        <v>6439</v>
      </c>
      <c r="X641" s="491">
        <f t="shared" si="49"/>
        <v>41</v>
      </c>
      <c r="Y641" s="519" t="s">
        <v>6439</v>
      </c>
      <c r="Z641" s="518">
        <f t="shared" si="48"/>
        <v>41</v>
      </c>
      <c r="AA641" s="519" t="s">
        <v>6440</v>
      </c>
      <c r="AB641" s="518">
        <f t="shared" si="50"/>
        <v>21</v>
      </c>
      <c r="AC641" s="519" t="s">
        <v>6417</v>
      </c>
      <c r="AD641" s="518" t="s">
        <v>6441</v>
      </c>
      <c r="AE641" s="520" t="s">
        <v>6442</v>
      </c>
      <c r="AF641" s="504" t="s">
        <v>2939</v>
      </c>
      <c r="AG641" s="673" t="s">
        <v>2917</v>
      </c>
      <c r="AH641" s="494" t="s">
        <v>2917</v>
      </c>
      <c r="AI641" s="505"/>
      <c r="AJ641" s="505"/>
      <c r="AK641" s="521">
        <f>_xll.GetCtData("COAMOUNT","CONSAMOUNT",$B$1:$B$7,$B641,AK$9,"#-1061994")</f>
        <v>-1061994</v>
      </c>
    </row>
    <row r="642" spans="2:37" ht="12" customHeight="1">
      <c r="B642" s="453" t="s">
        <v>6443</v>
      </c>
      <c r="C642" s="482" t="s">
        <v>2929</v>
      </c>
      <c r="D642" s="483">
        <v>44390</v>
      </c>
      <c r="E642" s="484" t="s">
        <v>2912</v>
      </c>
      <c r="F642" s="485">
        <v>3</v>
      </c>
      <c r="G642" s="676"/>
      <c r="H642" s="676"/>
      <c r="I642" s="676"/>
      <c r="J642" s="677" t="s">
        <v>6444</v>
      </c>
      <c r="K642" s="677"/>
      <c r="L642" s="677"/>
      <c r="M642" s="678"/>
      <c r="N642" s="679"/>
      <c r="O642" s="680">
        <v>0</v>
      </c>
      <c r="P642" s="681" t="s">
        <v>6445</v>
      </c>
      <c r="Q642" s="489">
        <v>30</v>
      </c>
      <c r="R642" s="681" t="s">
        <v>6445</v>
      </c>
      <c r="S642" s="680">
        <f t="shared" si="51"/>
        <v>30</v>
      </c>
      <c r="T642" s="681" t="s">
        <v>6446</v>
      </c>
      <c r="U642" s="680">
        <f t="shared" si="47"/>
        <v>27</v>
      </c>
      <c r="V642" s="554" t="s">
        <v>6415</v>
      </c>
      <c r="W642" s="554" t="s">
        <v>6447</v>
      </c>
      <c r="X642" s="491">
        <f t="shared" si="49"/>
        <v>50</v>
      </c>
      <c r="Y642" s="554" t="s">
        <v>6447</v>
      </c>
      <c r="Z642" s="680">
        <f t="shared" si="48"/>
        <v>50</v>
      </c>
      <c r="AA642" s="554" t="s">
        <v>6448</v>
      </c>
      <c r="AB642" s="680">
        <f t="shared" si="50"/>
        <v>29</v>
      </c>
      <c r="AC642" s="554" t="s">
        <v>6417</v>
      </c>
      <c r="AD642" s="680"/>
      <c r="AE642" s="538"/>
      <c r="AF642" s="504" t="s">
        <v>5930</v>
      </c>
      <c r="AG642" s="530" t="s">
        <v>2969</v>
      </c>
      <c r="AH642" s="495" t="s">
        <v>2918</v>
      </c>
      <c r="AI642" s="505"/>
      <c r="AJ642" s="505"/>
      <c r="AK642" s="539">
        <f>_xll.GetCtData("COAMOUNT","CONSAMOUNT",$B$1:$B$7,$B642,AK$9,"#-2837818,18656323")</f>
        <v>-2837818</v>
      </c>
    </row>
    <row r="643" spans="2:37" ht="12" customHeight="1">
      <c r="B643" s="453" t="s">
        <v>6449</v>
      </c>
      <c r="C643" s="482" t="s">
        <v>2929</v>
      </c>
      <c r="D643" s="483">
        <v>44403</v>
      </c>
      <c r="E643" s="484" t="s">
        <v>2930</v>
      </c>
      <c r="F643" s="485">
        <v>7</v>
      </c>
      <c r="G643" s="682"/>
      <c r="H643" s="682"/>
      <c r="I643" s="682"/>
      <c r="J643" s="682"/>
      <c r="K643" s="682"/>
      <c r="L643" s="682"/>
      <c r="M643" s="683"/>
      <c r="N643" s="684" t="s">
        <v>6450</v>
      </c>
      <c r="O643" s="685">
        <v>10</v>
      </c>
      <c r="P643" s="686" t="s">
        <v>6451</v>
      </c>
      <c r="Q643" s="489">
        <v>53</v>
      </c>
      <c r="R643" s="686" t="s">
        <v>6451</v>
      </c>
      <c r="S643" s="685">
        <f t="shared" si="51"/>
        <v>53</v>
      </c>
      <c r="T643" s="686" t="s">
        <v>6452</v>
      </c>
      <c r="U643" s="685">
        <f t="shared" si="47"/>
        <v>25</v>
      </c>
      <c r="V643" s="686" t="s">
        <v>6415</v>
      </c>
      <c r="W643" s="686" t="s">
        <v>6453</v>
      </c>
      <c r="X643" s="491">
        <f t="shared" si="49"/>
        <v>51</v>
      </c>
      <c r="Y643" s="686" t="s">
        <v>6453</v>
      </c>
      <c r="Z643" s="685">
        <f t="shared" si="48"/>
        <v>51</v>
      </c>
      <c r="AA643" s="686" t="s">
        <v>6454</v>
      </c>
      <c r="AB643" s="685">
        <f t="shared" si="50"/>
        <v>25</v>
      </c>
      <c r="AC643" s="686" t="s">
        <v>6417</v>
      </c>
      <c r="AD643" s="685"/>
      <c r="AE643" s="687"/>
      <c r="AF643" s="504" t="s">
        <v>6455</v>
      </c>
      <c r="AG643" s="530" t="s">
        <v>2969</v>
      </c>
      <c r="AH643" s="530" t="s">
        <v>2969</v>
      </c>
      <c r="AI643" s="505"/>
      <c r="AJ643" s="505"/>
      <c r="AK643" s="688">
        <f>_xll.GetCtData("COAMOUNT","CONSAMOUNT",$B$1:$B$7,$B643,AK$9,"#")</f>
        <v>0</v>
      </c>
    </row>
    <row r="644" spans="2:37" ht="12" customHeight="1">
      <c r="B644" s="453" t="s">
        <v>6456</v>
      </c>
      <c r="C644" s="482" t="s">
        <v>2929</v>
      </c>
      <c r="D644" s="483">
        <v>44403</v>
      </c>
      <c r="E644" s="484" t="s">
        <v>2930</v>
      </c>
      <c r="F644" s="485">
        <v>7</v>
      </c>
      <c r="G644" s="682"/>
      <c r="H644" s="682"/>
      <c r="I644" s="682"/>
      <c r="J644" s="682"/>
      <c r="K644" s="682"/>
      <c r="L644" s="682"/>
      <c r="M644" s="683"/>
      <c r="N644" s="684" t="s">
        <v>6457</v>
      </c>
      <c r="O644" s="685">
        <v>10</v>
      </c>
      <c r="P644" s="686" t="s">
        <v>6458</v>
      </c>
      <c r="Q644" s="489">
        <v>49</v>
      </c>
      <c r="R644" s="686" t="s">
        <v>6458</v>
      </c>
      <c r="S644" s="685">
        <f t="shared" si="51"/>
        <v>49</v>
      </c>
      <c r="T644" s="686" t="s">
        <v>6459</v>
      </c>
      <c r="U644" s="685">
        <f t="shared" si="47"/>
        <v>22</v>
      </c>
      <c r="V644" s="686" t="s">
        <v>6415</v>
      </c>
      <c r="W644" s="686" t="s">
        <v>6460</v>
      </c>
      <c r="X644" s="491">
        <f t="shared" si="49"/>
        <v>47</v>
      </c>
      <c r="Y644" s="686" t="s">
        <v>6460</v>
      </c>
      <c r="Z644" s="685">
        <f t="shared" si="48"/>
        <v>47</v>
      </c>
      <c r="AA644" s="686" t="s">
        <v>6461</v>
      </c>
      <c r="AB644" s="685">
        <f t="shared" si="50"/>
        <v>21</v>
      </c>
      <c r="AC644" s="686" t="s">
        <v>6417</v>
      </c>
      <c r="AD644" s="685"/>
      <c r="AE644" s="687"/>
      <c r="AF644" s="504" t="s">
        <v>6455</v>
      </c>
      <c r="AG644" s="530" t="s">
        <v>2969</v>
      </c>
      <c r="AH644" s="530" t="s">
        <v>2969</v>
      </c>
      <c r="AI644" s="505"/>
      <c r="AJ644" s="505"/>
      <c r="AK644" s="688">
        <f>_xll.GetCtData("COAMOUNT","CONSAMOUNT",$B$1:$B$7,$B644,AK$9,"#-2840878,18656323")</f>
        <v>-2840878</v>
      </c>
    </row>
    <row r="645" spans="2:37" ht="12" customHeight="1">
      <c r="B645" s="453" t="s">
        <v>6462</v>
      </c>
      <c r="C645" s="482" t="s">
        <v>2929</v>
      </c>
      <c r="D645" s="483">
        <v>44403</v>
      </c>
      <c r="E645" s="484" t="s">
        <v>2930</v>
      </c>
      <c r="F645" s="485">
        <v>7</v>
      </c>
      <c r="G645" s="682"/>
      <c r="H645" s="682"/>
      <c r="I645" s="682"/>
      <c r="J645" s="682"/>
      <c r="K645" s="682"/>
      <c r="L645" s="682"/>
      <c r="M645" s="683"/>
      <c r="N645" s="684" t="s">
        <v>6463</v>
      </c>
      <c r="O645" s="685">
        <v>10</v>
      </c>
      <c r="P645" s="686" t="s">
        <v>6464</v>
      </c>
      <c r="Q645" s="489">
        <v>56</v>
      </c>
      <c r="R645" s="686" t="s">
        <v>6464</v>
      </c>
      <c r="S645" s="685">
        <f t="shared" si="51"/>
        <v>56</v>
      </c>
      <c r="T645" s="686" t="s">
        <v>6465</v>
      </c>
      <c r="U645" s="685">
        <f t="shared" si="47"/>
        <v>28</v>
      </c>
      <c r="V645" s="686" t="s">
        <v>6415</v>
      </c>
      <c r="W645" s="686" t="s">
        <v>6466</v>
      </c>
      <c r="X645" s="491">
        <f t="shared" si="49"/>
        <v>53</v>
      </c>
      <c r="Y645" s="686" t="s">
        <v>6466</v>
      </c>
      <c r="Z645" s="685">
        <f t="shared" si="48"/>
        <v>53</v>
      </c>
      <c r="AA645" s="686" t="s">
        <v>6467</v>
      </c>
      <c r="AB645" s="685">
        <f t="shared" si="50"/>
        <v>28</v>
      </c>
      <c r="AC645" s="686" t="s">
        <v>6417</v>
      </c>
      <c r="AD645" s="685"/>
      <c r="AE645" s="687"/>
      <c r="AF645" s="504" t="s">
        <v>6468</v>
      </c>
      <c r="AG645" s="530" t="s">
        <v>2969</v>
      </c>
      <c r="AH645" s="530" t="s">
        <v>2969</v>
      </c>
      <c r="AI645" s="505"/>
      <c r="AJ645" s="505"/>
      <c r="AK645" s="688">
        <f>_xll.GetCtData("COAMOUNT","CONSAMOUNT",$B$1:$B$7,$B645,AK$9,"#")</f>
        <v>0</v>
      </c>
    </row>
    <row r="646" spans="2:37" ht="12" customHeight="1">
      <c r="B646" s="453" t="s">
        <v>6469</v>
      </c>
      <c r="C646" s="482" t="s">
        <v>2929</v>
      </c>
      <c r="D646" s="483">
        <v>44403</v>
      </c>
      <c r="E646" s="484" t="s">
        <v>2930</v>
      </c>
      <c r="F646" s="485">
        <v>7</v>
      </c>
      <c r="G646" s="682"/>
      <c r="H646" s="682"/>
      <c r="I646" s="682"/>
      <c r="J646" s="682"/>
      <c r="K646" s="682"/>
      <c r="L646" s="682"/>
      <c r="M646" s="683"/>
      <c r="N646" s="684" t="s">
        <v>6470</v>
      </c>
      <c r="O646" s="685">
        <v>10</v>
      </c>
      <c r="P646" s="686" t="s">
        <v>6471</v>
      </c>
      <c r="Q646" s="489">
        <v>52</v>
      </c>
      <c r="R646" s="686" t="s">
        <v>6471</v>
      </c>
      <c r="S646" s="685">
        <f t="shared" si="51"/>
        <v>52</v>
      </c>
      <c r="T646" s="686" t="s">
        <v>6472</v>
      </c>
      <c r="U646" s="685">
        <f t="shared" si="47"/>
        <v>25</v>
      </c>
      <c r="V646" s="686" t="s">
        <v>6415</v>
      </c>
      <c r="W646" s="686" t="s">
        <v>6473</v>
      </c>
      <c r="X646" s="491">
        <f t="shared" si="49"/>
        <v>49</v>
      </c>
      <c r="Y646" s="686" t="s">
        <v>6473</v>
      </c>
      <c r="Z646" s="685">
        <f t="shared" si="48"/>
        <v>49</v>
      </c>
      <c r="AA646" s="686" t="s">
        <v>6474</v>
      </c>
      <c r="AB646" s="685">
        <f t="shared" si="50"/>
        <v>23</v>
      </c>
      <c r="AC646" s="686" t="s">
        <v>6417</v>
      </c>
      <c r="AD646" s="685"/>
      <c r="AE646" s="687"/>
      <c r="AF646" s="504" t="s">
        <v>6475</v>
      </c>
      <c r="AG646" s="530" t="s">
        <v>2969</v>
      </c>
      <c r="AH646" s="530" t="s">
        <v>2969</v>
      </c>
      <c r="AI646" s="505"/>
      <c r="AJ646" s="505"/>
      <c r="AK646" s="688">
        <f>_xll.GetCtData("COAMOUNT","CONSAMOUNT",$B$1:$B$7,$B646,AK$9,"#3060")</f>
        <v>3060</v>
      </c>
    </row>
    <row r="647" spans="2:37" ht="12" customHeight="1">
      <c r="B647" s="453" t="s">
        <v>6476</v>
      </c>
      <c r="C647" s="482" t="s">
        <v>2911</v>
      </c>
      <c r="D647" s="483">
        <v>44378</v>
      </c>
      <c r="E647" s="484" t="s">
        <v>2912</v>
      </c>
      <c r="F647" s="485">
        <v>3</v>
      </c>
      <c r="G647" s="482"/>
      <c r="H647" s="507"/>
      <c r="I647" s="507"/>
      <c r="J647" s="532" t="s">
        <v>6477</v>
      </c>
      <c r="K647" s="532"/>
      <c r="L647" s="532"/>
      <c r="M647" s="533"/>
      <c r="N647" s="534"/>
      <c r="O647" s="535">
        <v>6</v>
      </c>
      <c r="P647" s="536" t="s">
        <v>6478</v>
      </c>
      <c r="Q647" s="489">
        <v>54</v>
      </c>
      <c r="R647" s="536" t="s">
        <v>6479</v>
      </c>
      <c r="S647" s="535">
        <f t="shared" si="51"/>
        <v>37</v>
      </c>
      <c r="T647" s="536" t="s">
        <v>6480</v>
      </c>
      <c r="U647" s="535">
        <f t="shared" si="47"/>
        <v>21</v>
      </c>
      <c r="V647" s="537" t="s">
        <v>6415</v>
      </c>
      <c r="W647" s="537" t="s">
        <v>6481</v>
      </c>
      <c r="X647" s="491">
        <f t="shared" si="49"/>
        <v>37</v>
      </c>
      <c r="Y647" s="537" t="s">
        <v>6481</v>
      </c>
      <c r="Z647" s="535">
        <f t="shared" si="48"/>
        <v>37</v>
      </c>
      <c r="AA647" s="537" t="s">
        <v>6482</v>
      </c>
      <c r="AB647" s="535">
        <f t="shared" si="50"/>
        <v>16</v>
      </c>
      <c r="AC647" s="537" t="s">
        <v>6417</v>
      </c>
      <c r="AD647" s="535"/>
      <c r="AE647" s="538"/>
      <c r="AF647" s="504"/>
      <c r="AG647" s="673" t="s">
        <v>2917</v>
      </c>
      <c r="AH647" s="495" t="s">
        <v>2918</v>
      </c>
      <c r="AI647" s="505"/>
      <c r="AJ647" s="505"/>
      <c r="AK647" s="539">
        <f>_xll.GetCtData("COAMOUNT","CONSAMOUNT",$B$1:$B$7,$B647,AK$9,"#-1635641")</f>
        <v>-1635641</v>
      </c>
    </row>
    <row r="648" spans="2:37" ht="12" customHeight="1">
      <c r="B648" s="453" t="s">
        <v>6483</v>
      </c>
      <c r="C648" s="482" t="s">
        <v>2929</v>
      </c>
      <c r="D648" s="483">
        <v>44403</v>
      </c>
      <c r="E648" s="484" t="s">
        <v>2930</v>
      </c>
      <c r="F648" s="485">
        <v>7</v>
      </c>
      <c r="G648" s="547"/>
      <c r="H648" s="547"/>
      <c r="I648" s="547"/>
      <c r="J648" s="547"/>
      <c r="K648" s="547"/>
      <c r="L648" s="547"/>
      <c r="M648" s="548"/>
      <c r="N648" s="517" t="s">
        <v>6484</v>
      </c>
      <c r="O648" s="518">
        <v>10</v>
      </c>
      <c r="P648" s="519" t="s">
        <v>6485</v>
      </c>
      <c r="Q648" s="489">
        <v>48</v>
      </c>
      <c r="R648" s="519" t="s">
        <v>6486</v>
      </c>
      <c r="S648" s="518">
        <f t="shared" si="51"/>
        <v>30</v>
      </c>
      <c r="T648" s="519" t="s">
        <v>6487</v>
      </c>
      <c r="U648" s="518">
        <f t="shared" ref="U648:U668" si="52">LEN(T648)</f>
        <v>16</v>
      </c>
      <c r="V648" s="519" t="s">
        <v>6415</v>
      </c>
      <c r="W648" s="519" t="s">
        <v>6481</v>
      </c>
      <c r="X648" s="491">
        <f t="shared" si="49"/>
        <v>37</v>
      </c>
      <c r="Y648" s="519" t="s">
        <v>6481</v>
      </c>
      <c r="Z648" s="518">
        <f t="shared" si="48"/>
        <v>37</v>
      </c>
      <c r="AA648" s="519" t="s">
        <v>6482</v>
      </c>
      <c r="AB648" s="518">
        <f t="shared" si="50"/>
        <v>16</v>
      </c>
      <c r="AC648" s="519" t="s">
        <v>6417</v>
      </c>
      <c r="AD648" s="518" t="s">
        <v>6488</v>
      </c>
      <c r="AE648" s="520" t="s">
        <v>6489</v>
      </c>
      <c r="AF648" s="504" t="s">
        <v>2939</v>
      </c>
      <c r="AG648" s="673" t="s">
        <v>2917</v>
      </c>
      <c r="AH648" s="494" t="s">
        <v>2917</v>
      </c>
      <c r="AI648" s="505"/>
      <c r="AJ648" s="505"/>
      <c r="AK648" s="521">
        <f>_xll.GetCtData("COAMOUNT","CONSAMOUNT",$B$1:$B$7,$B648,AK$9,"#-1690762")</f>
        <v>-1690762</v>
      </c>
    </row>
    <row r="649" spans="2:37" ht="12" customHeight="1">
      <c r="B649" s="453" t="s">
        <v>6490</v>
      </c>
      <c r="C649" s="482" t="s">
        <v>2929</v>
      </c>
      <c r="D649" s="483">
        <v>44403</v>
      </c>
      <c r="E649" s="484" t="s">
        <v>2930</v>
      </c>
      <c r="F649" s="485">
        <v>7</v>
      </c>
      <c r="G649" s="547"/>
      <c r="H649" s="547"/>
      <c r="I649" s="547"/>
      <c r="J649" s="547"/>
      <c r="K649" s="547"/>
      <c r="L649" s="547"/>
      <c r="M649" s="548"/>
      <c r="N649" s="517" t="s">
        <v>6491</v>
      </c>
      <c r="O649" s="518">
        <v>10</v>
      </c>
      <c r="P649" s="519" t="s">
        <v>6492</v>
      </c>
      <c r="Q649" s="489">
        <v>59</v>
      </c>
      <c r="R649" s="519" t="s">
        <v>6493</v>
      </c>
      <c r="S649" s="518">
        <f t="shared" si="51"/>
        <v>42</v>
      </c>
      <c r="T649" s="519" t="s">
        <v>6494</v>
      </c>
      <c r="U649" s="518">
        <f t="shared" si="52"/>
        <v>20</v>
      </c>
      <c r="V649" s="519" t="s">
        <v>6415</v>
      </c>
      <c r="W649" s="519" t="s">
        <v>6495</v>
      </c>
      <c r="X649" s="491">
        <f t="shared" si="49"/>
        <v>44</v>
      </c>
      <c r="Y649" s="519" t="s">
        <v>6495</v>
      </c>
      <c r="Z649" s="518">
        <f t="shared" si="48"/>
        <v>44</v>
      </c>
      <c r="AA649" s="519" t="s">
        <v>6496</v>
      </c>
      <c r="AB649" s="518">
        <f t="shared" si="50"/>
        <v>23</v>
      </c>
      <c r="AC649" s="519" t="s">
        <v>6417</v>
      </c>
      <c r="AD649" s="518" t="s">
        <v>6488</v>
      </c>
      <c r="AE649" s="520" t="s">
        <v>6489</v>
      </c>
      <c r="AF649" s="504" t="s">
        <v>2939</v>
      </c>
      <c r="AG649" s="673" t="s">
        <v>2917</v>
      </c>
      <c r="AH649" s="494" t="s">
        <v>2917</v>
      </c>
      <c r="AI649" s="505"/>
      <c r="AJ649" s="505"/>
      <c r="AK649" s="521">
        <f>_xll.GetCtData("COAMOUNT","CONSAMOUNT",$B$1:$B$7,$B649,AK$9,"#-49215")</f>
        <v>-49215</v>
      </c>
    </row>
    <row r="650" spans="2:37" ht="12" customHeight="1">
      <c r="B650" s="453" t="s">
        <v>6497</v>
      </c>
      <c r="C650" s="482" t="s">
        <v>2929</v>
      </c>
      <c r="D650" s="483">
        <v>44403</v>
      </c>
      <c r="E650" s="484" t="s">
        <v>2930</v>
      </c>
      <c r="F650" s="485">
        <v>7</v>
      </c>
      <c r="G650" s="547"/>
      <c r="H650" s="547"/>
      <c r="I650" s="547"/>
      <c r="J650" s="547"/>
      <c r="K650" s="547"/>
      <c r="L650" s="547"/>
      <c r="M650" s="548"/>
      <c r="N650" s="517" t="s">
        <v>6498</v>
      </c>
      <c r="O650" s="518">
        <v>10</v>
      </c>
      <c r="P650" s="519" t="s">
        <v>6499</v>
      </c>
      <c r="Q650" s="489">
        <v>42</v>
      </c>
      <c r="R650" s="519" t="s">
        <v>6500</v>
      </c>
      <c r="S650" s="518">
        <f t="shared" si="51"/>
        <v>35</v>
      </c>
      <c r="T650" s="519" t="s">
        <v>6501</v>
      </c>
      <c r="U650" s="518">
        <f t="shared" si="52"/>
        <v>22</v>
      </c>
      <c r="V650" s="519" t="s">
        <v>6415</v>
      </c>
      <c r="W650" s="519" t="s">
        <v>6502</v>
      </c>
      <c r="X650" s="491">
        <f t="shared" si="49"/>
        <v>45</v>
      </c>
      <c r="Y650" s="519" t="s">
        <v>6502</v>
      </c>
      <c r="Z650" s="518">
        <f t="shared" si="48"/>
        <v>45</v>
      </c>
      <c r="AA650" s="519" t="s">
        <v>6503</v>
      </c>
      <c r="AB650" s="518">
        <f t="shared" si="50"/>
        <v>20</v>
      </c>
      <c r="AC650" s="519" t="s">
        <v>6417</v>
      </c>
      <c r="AD650" s="518" t="s">
        <v>6488</v>
      </c>
      <c r="AE650" s="520" t="s">
        <v>6489</v>
      </c>
      <c r="AF650" s="504" t="s">
        <v>2939</v>
      </c>
      <c r="AG650" s="673" t="s">
        <v>2917</v>
      </c>
      <c r="AH650" s="494" t="s">
        <v>2917</v>
      </c>
      <c r="AI650" s="505"/>
      <c r="AJ650" s="505"/>
      <c r="AK650" s="521">
        <f>_xll.GetCtData("COAMOUNT","CONSAMOUNT",$B$1:$B$7,$B650,AK$9,"#104336")</f>
        <v>104336</v>
      </c>
    </row>
    <row r="651" spans="2:37" ht="12" customHeight="1">
      <c r="B651" s="453" t="s">
        <v>6504</v>
      </c>
      <c r="C651" s="482" t="s">
        <v>2962</v>
      </c>
      <c r="D651" s="483">
        <v>44516</v>
      </c>
      <c r="E651" s="484" t="s">
        <v>2912</v>
      </c>
      <c r="F651" s="485">
        <v>3</v>
      </c>
      <c r="G651" s="482"/>
      <c r="H651" s="507"/>
      <c r="I651" s="507"/>
      <c r="J651" s="532" t="s">
        <v>6505</v>
      </c>
      <c r="K651" s="532"/>
      <c r="L651" s="532"/>
      <c r="M651" s="533"/>
      <c r="N651" s="534"/>
      <c r="O651" s="535">
        <v>6</v>
      </c>
      <c r="P651" s="536" t="s">
        <v>6506</v>
      </c>
      <c r="Q651" s="489">
        <v>67</v>
      </c>
      <c r="R651" s="536" t="s">
        <v>6506</v>
      </c>
      <c r="S651" s="535">
        <f t="shared" si="51"/>
        <v>67</v>
      </c>
      <c r="T651" s="536" t="s">
        <v>6507</v>
      </c>
      <c r="U651" s="535">
        <f t="shared" si="52"/>
        <v>56</v>
      </c>
      <c r="V651" s="537" t="s">
        <v>6415</v>
      </c>
      <c r="W651" s="537" t="s">
        <v>6508</v>
      </c>
      <c r="X651" s="491">
        <f t="shared" si="49"/>
        <v>56</v>
      </c>
      <c r="Y651" s="537" t="s">
        <v>6509</v>
      </c>
      <c r="Z651" s="535">
        <f t="shared" si="48"/>
        <v>45</v>
      </c>
      <c r="AA651" s="537" t="s">
        <v>6509</v>
      </c>
      <c r="AB651" s="535">
        <f t="shared" si="50"/>
        <v>45</v>
      </c>
      <c r="AC651" s="537" t="s">
        <v>6417</v>
      </c>
      <c r="AD651" s="535"/>
      <c r="AE651" s="538"/>
      <c r="AF651" s="504" t="s">
        <v>6510</v>
      </c>
      <c r="AG651" s="530" t="s">
        <v>2969</v>
      </c>
      <c r="AH651" s="495" t="s">
        <v>2918</v>
      </c>
      <c r="AI651" s="505"/>
      <c r="AJ651" s="505"/>
      <c r="AK651" s="539">
        <f>_xll.GetCtData("COAMOUNT","CONSAMOUNT",$B$1:$B$7,$B651,AK$9,"#1517193,6699765")</f>
        <v>1517193</v>
      </c>
    </row>
    <row r="652" spans="2:37" ht="12" customHeight="1">
      <c r="B652" s="453" t="s">
        <v>6511</v>
      </c>
      <c r="C652" s="482" t="s">
        <v>2962</v>
      </c>
      <c r="D652" s="483">
        <v>44516</v>
      </c>
      <c r="E652" s="484" t="s">
        <v>2930</v>
      </c>
      <c r="F652" s="485">
        <v>7</v>
      </c>
      <c r="G652" s="547"/>
      <c r="H652" s="547"/>
      <c r="I652" s="547"/>
      <c r="J652" s="547"/>
      <c r="K652" s="547"/>
      <c r="L652" s="547"/>
      <c r="M652" s="548"/>
      <c r="N652" s="517" t="s">
        <v>6512</v>
      </c>
      <c r="O652" s="518">
        <v>10</v>
      </c>
      <c r="P652" s="519" t="s">
        <v>6513</v>
      </c>
      <c r="Q652" s="489">
        <v>52</v>
      </c>
      <c r="R652" s="519" t="s">
        <v>6513</v>
      </c>
      <c r="S652" s="518">
        <f t="shared" si="51"/>
        <v>52</v>
      </c>
      <c r="T652" s="519" t="s">
        <v>6514</v>
      </c>
      <c r="U652" s="518">
        <f t="shared" si="52"/>
        <v>18</v>
      </c>
      <c r="V652" s="519" t="s">
        <v>6415</v>
      </c>
      <c r="W652" s="519" t="s">
        <v>6515</v>
      </c>
      <c r="X652" s="491">
        <f t="shared" si="49"/>
        <v>24</v>
      </c>
      <c r="Y652" s="519" t="s">
        <v>6515</v>
      </c>
      <c r="Z652" s="518">
        <f t="shared" si="48"/>
        <v>24</v>
      </c>
      <c r="AA652" s="519" t="s">
        <v>6515</v>
      </c>
      <c r="AB652" s="518">
        <f t="shared" si="50"/>
        <v>24</v>
      </c>
      <c r="AC652" s="519" t="s">
        <v>6417</v>
      </c>
      <c r="AD652" s="518" t="s">
        <v>6516</v>
      </c>
      <c r="AE652" s="520" t="s">
        <v>6517</v>
      </c>
      <c r="AF652" s="504" t="s">
        <v>6518</v>
      </c>
      <c r="AG652" s="530" t="s">
        <v>2969</v>
      </c>
      <c r="AH652" s="494" t="s">
        <v>2917</v>
      </c>
      <c r="AI652" s="505"/>
      <c r="AJ652" s="505"/>
      <c r="AK652" s="521">
        <f>_xll.GetCtData("COAMOUNT","CONSAMOUNT",$B$1:$B$7,$B652,AK$9,"#2392434,6699765")</f>
        <v>2392434</v>
      </c>
    </row>
    <row r="653" spans="2:37" ht="12" customHeight="1">
      <c r="B653" s="453" t="s">
        <v>6519</v>
      </c>
      <c r="C653" s="482" t="s">
        <v>2962</v>
      </c>
      <c r="D653" s="483">
        <v>44516</v>
      </c>
      <c r="E653" s="484" t="s">
        <v>2930</v>
      </c>
      <c r="F653" s="485">
        <v>7</v>
      </c>
      <c r="G653" s="547"/>
      <c r="H653" s="547"/>
      <c r="I653" s="547"/>
      <c r="J653" s="547"/>
      <c r="K653" s="547"/>
      <c r="L653" s="547"/>
      <c r="M653" s="548"/>
      <c r="N653" s="517" t="s">
        <v>6520</v>
      </c>
      <c r="O653" s="518">
        <v>11</v>
      </c>
      <c r="P653" s="519" t="s">
        <v>6521</v>
      </c>
      <c r="Q653" s="489">
        <v>52</v>
      </c>
      <c r="R653" s="519" t="s">
        <v>6521</v>
      </c>
      <c r="S653" s="518">
        <f t="shared" si="51"/>
        <v>52</v>
      </c>
      <c r="T653" s="519" t="s">
        <v>6522</v>
      </c>
      <c r="U653" s="518">
        <f t="shared" si="52"/>
        <v>18</v>
      </c>
      <c r="V653" s="519" t="s">
        <v>6415</v>
      </c>
      <c r="W653" s="519" t="s">
        <v>6523</v>
      </c>
      <c r="X653" s="491">
        <f t="shared" si="49"/>
        <v>24</v>
      </c>
      <c r="Y653" s="519" t="s">
        <v>6523</v>
      </c>
      <c r="Z653" s="518">
        <f t="shared" si="48"/>
        <v>24</v>
      </c>
      <c r="AA653" s="519" t="s">
        <v>6523</v>
      </c>
      <c r="AB653" s="518">
        <f t="shared" si="50"/>
        <v>24</v>
      </c>
      <c r="AC653" s="519" t="s">
        <v>6417</v>
      </c>
      <c r="AD653" s="518" t="s">
        <v>6516</v>
      </c>
      <c r="AE653" s="520" t="s">
        <v>6517</v>
      </c>
      <c r="AF653" s="689" t="s">
        <v>6524</v>
      </c>
      <c r="AG653" s="530" t="s">
        <v>2969</v>
      </c>
      <c r="AH653" s="690"/>
      <c r="AI653" s="505"/>
      <c r="AJ653" s="505"/>
      <c r="AK653" s="521">
        <f>_xll.GetCtData("COAMOUNT","CONSAMOUNT",$B$1:$B$7,$B653,AK$9,"#71326034")</f>
        <v>71326034</v>
      </c>
    </row>
    <row r="654" spans="2:37" ht="12" customHeight="1">
      <c r="B654" s="453" t="s">
        <v>6525</v>
      </c>
      <c r="C654" s="482" t="s">
        <v>2962</v>
      </c>
      <c r="D654" s="483">
        <v>44516</v>
      </c>
      <c r="E654" s="484" t="s">
        <v>2930</v>
      </c>
      <c r="F654" s="485">
        <v>7</v>
      </c>
      <c r="G654" s="547"/>
      <c r="H654" s="547"/>
      <c r="I654" s="547"/>
      <c r="J654" s="547"/>
      <c r="K654" s="547"/>
      <c r="L654" s="547"/>
      <c r="M654" s="548"/>
      <c r="N654" s="517" t="s">
        <v>6526</v>
      </c>
      <c r="O654" s="518">
        <v>11</v>
      </c>
      <c r="P654" s="519" t="s">
        <v>6527</v>
      </c>
      <c r="Q654" s="489">
        <v>52</v>
      </c>
      <c r="R654" s="519" t="s">
        <v>6527</v>
      </c>
      <c r="S654" s="518">
        <f t="shared" si="51"/>
        <v>52</v>
      </c>
      <c r="T654" s="519" t="s">
        <v>6528</v>
      </c>
      <c r="U654" s="518">
        <f t="shared" si="52"/>
        <v>18</v>
      </c>
      <c r="V654" s="519" t="s">
        <v>6415</v>
      </c>
      <c r="W654" s="519" t="s">
        <v>6529</v>
      </c>
      <c r="X654" s="491">
        <f t="shared" si="49"/>
        <v>24</v>
      </c>
      <c r="Y654" s="519" t="s">
        <v>6529</v>
      </c>
      <c r="Z654" s="518">
        <f t="shared" si="48"/>
        <v>24</v>
      </c>
      <c r="AA654" s="519" t="s">
        <v>6529</v>
      </c>
      <c r="AB654" s="518">
        <f t="shared" si="50"/>
        <v>24</v>
      </c>
      <c r="AC654" s="519" t="s">
        <v>6417</v>
      </c>
      <c r="AD654" s="518" t="s">
        <v>6516</v>
      </c>
      <c r="AE654" s="520" t="s">
        <v>6517</v>
      </c>
      <c r="AF654" s="689" t="s">
        <v>6524</v>
      </c>
      <c r="AG654" s="530" t="s">
        <v>2969</v>
      </c>
      <c r="AH654" s="690"/>
      <c r="AI654" s="505"/>
      <c r="AJ654" s="505"/>
      <c r="AK654" s="521">
        <f>_xll.GetCtData("COAMOUNT","CONSAMOUNT",$B$1:$B$7,$B654,AK$9,"#0")</f>
        <v>0</v>
      </c>
    </row>
    <row r="655" spans="2:37" ht="12" customHeight="1">
      <c r="B655" s="453" t="s">
        <v>6530</v>
      </c>
      <c r="C655" s="482" t="s">
        <v>2962</v>
      </c>
      <c r="D655" s="483">
        <v>44516</v>
      </c>
      <c r="E655" s="484" t="s">
        <v>2912</v>
      </c>
      <c r="F655" s="485">
        <v>3</v>
      </c>
      <c r="G655" s="482"/>
      <c r="H655" s="507"/>
      <c r="I655" s="507"/>
      <c r="J655" s="532" t="s">
        <v>6531</v>
      </c>
      <c r="K655" s="532"/>
      <c r="L655" s="532"/>
      <c r="M655" s="533"/>
      <c r="N655" s="534"/>
      <c r="O655" s="535">
        <v>6</v>
      </c>
      <c r="P655" s="536" t="s">
        <v>6532</v>
      </c>
      <c r="Q655" s="489">
        <v>18</v>
      </c>
      <c r="R655" s="536" t="s">
        <v>6532</v>
      </c>
      <c r="S655" s="535">
        <f t="shared" si="51"/>
        <v>18</v>
      </c>
      <c r="T655" s="536" t="s">
        <v>6533</v>
      </c>
      <c r="U655" s="535">
        <f t="shared" si="52"/>
        <v>13</v>
      </c>
      <c r="V655" s="537" t="s">
        <v>6415</v>
      </c>
      <c r="W655" s="537" t="s">
        <v>6534</v>
      </c>
      <c r="X655" s="491">
        <f t="shared" si="49"/>
        <v>11</v>
      </c>
      <c r="Y655" s="537" t="s">
        <v>6534</v>
      </c>
      <c r="Z655" s="535">
        <f t="shared" si="48"/>
        <v>11</v>
      </c>
      <c r="AA655" s="537" t="s">
        <v>6535</v>
      </c>
      <c r="AB655" s="535">
        <f t="shared" si="50"/>
        <v>9</v>
      </c>
      <c r="AC655" s="537" t="s">
        <v>6417</v>
      </c>
      <c r="AD655" s="535"/>
      <c r="AE655" s="538"/>
      <c r="AF655" s="504"/>
      <c r="AG655" s="673" t="s">
        <v>2917</v>
      </c>
      <c r="AH655" s="495" t="s">
        <v>2918</v>
      </c>
      <c r="AI655" s="505"/>
      <c r="AJ655" s="505"/>
      <c r="AK655" s="539">
        <f>_xll.GetCtData("COAMOUNT","CONSAMOUNT",$B$1:$B$7,$B655,AK$9,"#525482,35768066")</f>
        <v>525482</v>
      </c>
    </row>
    <row r="656" spans="2:37" ht="12" customHeight="1">
      <c r="B656" s="453" t="s">
        <v>6536</v>
      </c>
      <c r="C656" s="482" t="s">
        <v>2929</v>
      </c>
      <c r="D656" s="483">
        <v>44403</v>
      </c>
      <c r="E656" s="484" t="s">
        <v>2930</v>
      </c>
      <c r="F656" s="485">
        <v>7</v>
      </c>
      <c r="G656" s="547"/>
      <c r="H656" s="547"/>
      <c r="I656" s="547"/>
      <c r="J656" s="547"/>
      <c r="K656" s="547"/>
      <c r="L656" s="547"/>
      <c r="M656" s="548"/>
      <c r="N656" s="517" t="s">
        <v>6537</v>
      </c>
      <c r="O656" s="518">
        <v>9</v>
      </c>
      <c r="P656" s="519" t="s">
        <v>6538</v>
      </c>
      <c r="Q656" s="489">
        <v>31</v>
      </c>
      <c r="R656" s="519" t="s">
        <v>6538</v>
      </c>
      <c r="S656" s="518">
        <f t="shared" si="51"/>
        <v>31</v>
      </c>
      <c r="T656" s="519" t="s">
        <v>6539</v>
      </c>
      <c r="U656" s="518">
        <f t="shared" si="52"/>
        <v>29</v>
      </c>
      <c r="V656" s="519" t="s">
        <v>6415</v>
      </c>
      <c r="W656" s="519" t="s">
        <v>6540</v>
      </c>
      <c r="X656" s="491">
        <f t="shared" si="49"/>
        <v>20</v>
      </c>
      <c r="Y656" s="519" t="s">
        <v>6540</v>
      </c>
      <c r="Z656" s="518">
        <f t="shared" si="48"/>
        <v>20</v>
      </c>
      <c r="AA656" s="519" t="s">
        <v>6541</v>
      </c>
      <c r="AB656" s="518">
        <f t="shared" si="50"/>
        <v>11</v>
      </c>
      <c r="AC656" s="519" t="s">
        <v>6417</v>
      </c>
      <c r="AD656" s="518" t="s">
        <v>6516</v>
      </c>
      <c r="AE656" s="520" t="s">
        <v>6517</v>
      </c>
      <c r="AF656" s="504" t="s">
        <v>5166</v>
      </c>
      <c r="AG656" s="673" t="s">
        <v>2917</v>
      </c>
      <c r="AH656" s="494" t="s">
        <v>2917</v>
      </c>
      <c r="AI656" s="505"/>
      <c r="AJ656" s="505"/>
      <c r="AK656" s="521">
        <f>_xll.GetCtData("COAMOUNT","CONSAMOUNT",$B$1:$B$7,$B656,AK$9,"#-3214")</f>
        <v>-3214</v>
      </c>
    </row>
    <row r="657" spans="1:37" ht="12" customHeight="1">
      <c r="B657" s="453" t="s">
        <v>6542</v>
      </c>
      <c r="C657" s="482" t="s">
        <v>2929</v>
      </c>
      <c r="D657" s="483">
        <v>44403</v>
      </c>
      <c r="E657" s="484" t="s">
        <v>2930</v>
      </c>
      <c r="F657" s="485">
        <v>7</v>
      </c>
      <c r="G657" s="547"/>
      <c r="H657" s="547"/>
      <c r="I657" s="547"/>
      <c r="J657" s="547"/>
      <c r="K657" s="547"/>
      <c r="L657" s="547"/>
      <c r="M657" s="548"/>
      <c r="N657" s="517" t="s">
        <v>6543</v>
      </c>
      <c r="O657" s="518">
        <v>9</v>
      </c>
      <c r="P657" s="519" t="s">
        <v>6544</v>
      </c>
      <c r="Q657" s="489">
        <v>66</v>
      </c>
      <c r="R657" s="519" t="s">
        <v>6544</v>
      </c>
      <c r="S657" s="518">
        <f>LEN(R657)</f>
        <v>66</v>
      </c>
      <c r="T657" s="519" t="s">
        <v>6545</v>
      </c>
      <c r="U657" s="518">
        <f t="shared" si="52"/>
        <v>28</v>
      </c>
      <c r="V657" s="519" t="s">
        <v>6415</v>
      </c>
      <c r="W657" s="519" t="s">
        <v>6546</v>
      </c>
      <c r="X657" s="491">
        <f t="shared" si="49"/>
        <v>66</v>
      </c>
      <c r="Y657" s="519" t="s">
        <v>6546</v>
      </c>
      <c r="Z657" s="518">
        <f>LEN(Y657)</f>
        <v>66</v>
      </c>
      <c r="AA657" s="519" t="s">
        <v>6547</v>
      </c>
      <c r="AB657" s="518">
        <f t="shared" si="50"/>
        <v>30</v>
      </c>
      <c r="AC657" s="519" t="s">
        <v>6417</v>
      </c>
      <c r="AD657" s="518" t="s">
        <v>6516</v>
      </c>
      <c r="AE657" s="520" t="s">
        <v>6517</v>
      </c>
      <c r="AF657" s="504" t="s">
        <v>6548</v>
      </c>
      <c r="AG657" s="673" t="s">
        <v>2917</v>
      </c>
      <c r="AH657" s="494" t="s">
        <v>2917</v>
      </c>
      <c r="AI657" s="505"/>
      <c r="AJ657" s="505"/>
      <c r="AK657" s="521">
        <f>_xll.GetCtData("COAMOUNT","CONSAMOUNT",$B$1:$B$7,$B657,AK$9,"#-12055")</f>
        <v>-12055</v>
      </c>
    </row>
    <row r="658" spans="1:37" ht="12" customHeight="1">
      <c r="B658" s="453" t="s">
        <v>6549</v>
      </c>
      <c r="C658" s="482" t="s">
        <v>2929</v>
      </c>
      <c r="D658" s="483">
        <v>44403</v>
      </c>
      <c r="E658" s="484" t="s">
        <v>2930</v>
      </c>
      <c r="F658" s="485">
        <v>7</v>
      </c>
      <c r="G658" s="547"/>
      <c r="H658" s="547"/>
      <c r="I658" s="547"/>
      <c r="J658" s="547"/>
      <c r="K658" s="547"/>
      <c r="L658" s="547"/>
      <c r="M658" s="548"/>
      <c r="N658" s="517" t="s">
        <v>6550</v>
      </c>
      <c r="O658" s="518">
        <v>10</v>
      </c>
      <c r="P658" s="519" t="s">
        <v>6551</v>
      </c>
      <c r="Q658" s="489">
        <v>42</v>
      </c>
      <c r="R658" s="519" t="s">
        <v>6551</v>
      </c>
      <c r="S658" s="518">
        <f t="shared" si="51"/>
        <v>42</v>
      </c>
      <c r="T658" s="519" t="s">
        <v>6552</v>
      </c>
      <c r="U658" s="518">
        <f t="shared" si="52"/>
        <v>23</v>
      </c>
      <c r="V658" s="519" t="s">
        <v>6415</v>
      </c>
      <c r="W658" s="519" t="s">
        <v>6553</v>
      </c>
      <c r="X658" s="491">
        <f t="shared" si="49"/>
        <v>68</v>
      </c>
      <c r="Y658" s="519" t="s">
        <v>6553</v>
      </c>
      <c r="Z658" s="518">
        <f t="shared" si="48"/>
        <v>68</v>
      </c>
      <c r="AA658" s="519" t="s">
        <v>6554</v>
      </c>
      <c r="AB658" s="518">
        <f t="shared" si="50"/>
        <v>25</v>
      </c>
      <c r="AC658" s="519" t="s">
        <v>6417</v>
      </c>
      <c r="AD658" s="518" t="s">
        <v>6488</v>
      </c>
      <c r="AE658" s="520" t="s">
        <v>6489</v>
      </c>
      <c r="AF658" s="504" t="s">
        <v>2939</v>
      </c>
      <c r="AG658" s="673" t="s">
        <v>2917</v>
      </c>
      <c r="AH658" s="494" t="s">
        <v>2917</v>
      </c>
      <c r="AI658" s="505"/>
      <c r="AJ658" s="505"/>
      <c r="AK658" s="521">
        <f>_xll.GetCtData("COAMOUNT","CONSAMOUNT",$B$1:$B$7,$B658,AK$9,"#1060")</f>
        <v>1060</v>
      </c>
    </row>
    <row r="659" spans="1:37" ht="12" customHeight="1">
      <c r="B659" s="453" t="s">
        <v>6555</v>
      </c>
      <c r="C659" s="482" t="s">
        <v>2929</v>
      </c>
      <c r="D659" s="483">
        <v>44403</v>
      </c>
      <c r="E659" s="484" t="s">
        <v>2930</v>
      </c>
      <c r="F659" s="485">
        <v>7</v>
      </c>
      <c r="G659" s="547"/>
      <c r="H659" s="547"/>
      <c r="I659" s="547"/>
      <c r="J659" s="547"/>
      <c r="K659" s="547"/>
      <c r="L659" s="547"/>
      <c r="M659" s="548"/>
      <c r="N659" s="517" t="s">
        <v>6556</v>
      </c>
      <c r="O659" s="518">
        <v>10</v>
      </c>
      <c r="P659" s="519" t="s">
        <v>6557</v>
      </c>
      <c r="Q659" s="489">
        <v>48</v>
      </c>
      <c r="R659" s="519" t="s">
        <v>6558</v>
      </c>
      <c r="S659" s="518">
        <f t="shared" si="51"/>
        <v>38</v>
      </c>
      <c r="T659" s="519" t="s">
        <v>6559</v>
      </c>
      <c r="U659" s="518">
        <f t="shared" si="52"/>
        <v>26</v>
      </c>
      <c r="V659" s="519" t="s">
        <v>6415</v>
      </c>
      <c r="W659" s="519" t="s">
        <v>6560</v>
      </c>
      <c r="X659" s="491">
        <f t="shared" si="49"/>
        <v>79</v>
      </c>
      <c r="Y659" s="519" t="s">
        <v>6560</v>
      </c>
      <c r="Z659" s="518">
        <f t="shared" ref="Z659:Z668" si="53">LEN(Y659)</f>
        <v>79</v>
      </c>
      <c r="AA659" s="519" t="s">
        <v>6561</v>
      </c>
      <c r="AB659" s="518">
        <f t="shared" si="50"/>
        <v>30</v>
      </c>
      <c r="AC659" s="519" t="s">
        <v>6417</v>
      </c>
      <c r="AD659" s="518" t="s">
        <v>6488</v>
      </c>
      <c r="AE659" s="520" t="s">
        <v>6489</v>
      </c>
      <c r="AF659" s="504" t="s">
        <v>2939</v>
      </c>
      <c r="AG659" s="494" t="s">
        <v>2917</v>
      </c>
      <c r="AH659" s="494" t="s">
        <v>2917</v>
      </c>
      <c r="AI659" s="505"/>
      <c r="AJ659" s="505"/>
      <c r="AK659" s="521">
        <f>_xll.GetCtData("COAMOUNT","CONSAMOUNT",$B$1:$B$7,$B659,AK$9,"#50681,2559238666")</f>
        <v>50681</v>
      </c>
    </row>
    <row r="660" spans="1:37" ht="12" customHeight="1">
      <c r="B660" s="453" t="s">
        <v>6562</v>
      </c>
      <c r="C660" s="482" t="s">
        <v>2929</v>
      </c>
      <c r="D660" s="483">
        <v>44403</v>
      </c>
      <c r="E660" s="484" t="s">
        <v>2930</v>
      </c>
      <c r="F660" s="485">
        <v>7</v>
      </c>
      <c r="G660" s="547"/>
      <c r="H660" s="547"/>
      <c r="I660" s="547"/>
      <c r="J660" s="547"/>
      <c r="K660" s="547"/>
      <c r="L660" s="547"/>
      <c r="M660" s="548"/>
      <c r="N660" s="517" t="s">
        <v>6563</v>
      </c>
      <c r="O660" s="691">
        <v>9</v>
      </c>
      <c r="P660" s="692" t="s">
        <v>6564</v>
      </c>
      <c r="Q660" s="489">
        <v>20</v>
      </c>
      <c r="R660" s="692" t="s">
        <v>6564</v>
      </c>
      <c r="S660" s="693">
        <f t="shared" si="51"/>
        <v>20</v>
      </c>
      <c r="T660" s="692" t="s">
        <v>6565</v>
      </c>
      <c r="U660" s="693">
        <f t="shared" si="52"/>
        <v>18</v>
      </c>
      <c r="V660" s="692" t="s">
        <v>6415</v>
      </c>
      <c r="W660" s="692" t="s">
        <v>6566</v>
      </c>
      <c r="X660" s="491">
        <f t="shared" si="49"/>
        <v>29</v>
      </c>
      <c r="Y660" s="692" t="s">
        <v>6566</v>
      </c>
      <c r="Z660" s="693">
        <f t="shared" si="53"/>
        <v>29</v>
      </c>
      <c r="AA660" s="692" t="s">
        <v>6567</v>
      </c>
      <c r="AB660" s="693">
        <f t="shared" si="50"/>
        <v>25</v>
      </c>
      <c r="AC660" s="692" t="s">
        <v>6417</v>
      </c>
      <c r="AD660" s="693" t="s">
        <v>6432</v>
      </c>
      <c r="AE660" s="694" t="s">
        <v>6433</v>
      </c>
      <c r="AF660" s="504" t="s">
        <v>2939</v>
      </c>
      <c r="AG660" s="494" t="s">
        <v>2917</v>
      </c>
      <c r="AH660" s="494" t="s">
        <v>2917</v>
      </c>
      <c r="AI660" s="505"/>
      <c r="AJ660" s="505"/>
      <c r="AK660" s="695">
        <f>_xll.GetCtData("COAMOUNT","CONSAMOUNT",$B$1:$B$7,$B660,AK$9,"#-349")</f>
        <v>-349</v>
      </c>
    </row>
    <row r="661" spans="1:37" ht="12" customHeight="1">
      <c r="B661" s="453" t="s">
        <v>6568</v>
      </c>
      <c r="C661" s="482" t="s">
        <v>2929</v>
      </c>
      <c r="D661" s="483">
        <v>44403</v>
      </c>
      <c r="E661" s="484" t="s">
        <v>2930</v>
      </c>
      <c r="F661" s="485">
        <v>7</v>
      </c>
      <c r="G661" s="547"/>
      <c r="H661" s="547"/>
      <c r="I661" s="547"/>
      <c r="J661" s="547"/>
      <c r="K661" s="547"/>
      <c r="L661" s="547"/>
      <c r="M661" s="548"/>
      <c r="N661" s="517" t="s">
        <v>6569</v>
      </c>
      <c r="O661" s="485">
        <v>9</v>
      </c>
      <c r="P661" s="692" t="s">
        <v>6570</v>
      </c>
      <c r="Q661" s="489">
        <v>12</v>
      </c>
      <c r="R661" s="692" t="s">
        <v>6570</v>
      </c>
      <c r="S661" s="693">
        <f t="shared" si="51"/>
        <v>12</v>
      </c>
      <c r="T661" s="692" t="s">
        <v>6571</v>
      </c>
      <c r="U661" s="693">
        <f t="shared" si="52"/>
        <v>9</v>
      </c>
      <c r="V661" s="692" t="s">
        <v>6415</v>
      </c>
      <c r="W661" s="692" t="s">
        <v>6534</v>
      </c>
      <c r="X661" s="491">
        <f t="shared" si="49"/>
        <v>11</v>
      </c>
      <c r="Y661" s="692" t="s">
        <v>6534</v>
      </c>
      <c r="Z661" s="693">
        <f t="shared" si="53"/>
        <v>11</v>
      </c>
      <c r="AA661" s="692" t="s">
        <v>6535</v>
      </c>
      <c r="AB661" s="693">
        <f t="shared" si="50"/>
        <v>9</v>
      </c>
      <c r="AC661" s="692" t="s">
        <v>6417</v>
      </c>
      <c r="AD661" s="693" t="s">
        <v>6516</v>
      </c>
      <c r="AE661" s="694" t="s">
        <v>6517</v>
      </c>
      <c r="AF661" s="504" t="s">
        <v>2939</v>
      </c>
      <c r="AG661" s="494" t="s">
        <v>2917</v>
      </c>
      <c r="AH661" s="494" t="s">
        <v>2917</v>
      </c>
      <c r="AI661" s="505"/>
      <c r="AJ661" s="505"/>
      <c r="AK661" s="695">
        <f>_xll.GetCtData("COAMOUNT","CONSAMOUNT",$B$1:$B$7,$B661,AK$9,"#485750,398661218")</f>
        <v>485750</v>
      </c>
    </row>
    <row r="662" spans="1:37" ht="12" customHeight="1">
      <c r="B662" s="453" t="s">
        <v>6572</v>
      </c>
      <c r="C662" s="482" t="s">
        <v>2911</v>
      </c>
      <c r="D662" s="483">
        <v>44378</v>
      </c>
      <c r="E662" s="484" t="s">
        <v>2912</v>
      </c>
      <c r="F662" s="485">
        <v>1</v>
      </c>
      <c r="G662" s="482"/>
      <c r="H662" s="497" t="s">
        <v>6573</v>
      </c>
      <c r="I662" s="497"/>
      <c r="J662" s="497"/>
      <c r="K662" s="497"/>
      <c r="L662" s="497"/>
      <c r="M662" s="498"/>
      <c r="N662" s="499"/>
      <c r="O662" s="696">
        <v>4</v>
      </c>
      <c r="P662" s="697" t="s">
        <v>1070</v>
      </c>
      <c r="Q662" s="489">
        <v>59</v>
      </c>
      <c r="R662" s="697" t="s">
        <v>1070</v>
      </c>
      <c r="S662" s="698">
        <f t="shared" si="51"/>
        <v>59</v>
      </c>
      <c r="T662" s="697" t="s">
        <v>6574</v>
      </c>
      <c r="U662" s="698">
        <f t="shared" si="52"/>
        <v>29</v>
      </c>
      <c r="V662" s="699" t="s">
        <v>2915</v>
      </c>
      <c r="W662" s="699" t="s">
        <v>6575</v>
      </c>
      <c r="X662" s="491">
        <f t="shared" si="49"/>
        <v>36</v>
      </c>
      <c r="Y662" s="699" t="s">
        <v>6576</v>
      </c>
      <c r="Z662" s="698">
        <f t="shared" si="53"/>
        <v>54</v>
      </c>
      <c r="AA662" s="699" t="s">
        <v>6577</v>
      </c>
      <c r="AB662" s="698">
        <f t="shared" si="50"/>
        <v>30</v>
      </c>
      <c r="AC662" s="699" t="s">
        <v>3143</v>
      </c>
      <c r="AD662" s="698"/>
      <c r="AE662" s="700"/>
      <c r="AF662" s="504" t="s">
        <v>6578</v>
      </c>
      <c r="AG662" s="494" t="s">
        <v>2917</v>
      </c>
      <c r="AH662" s="495" t="s">
        <v>2918</v>
      </c>
      <c r="AI662" s="505"/>
      <c r="AJ662" s="505"/>
      <c r="AK662" s="701">
        <f>_xll.GetCtData("COAMOUNT","CONSAMOUNT",$B$1:$B$7,$B662,AK$9,"#17286422")</f>
        <v>17286422</v>
      </c>
    </row>
    <row r="663" spans="1:37" ht="12" customHeight="1">
      <c r="B663" s="453" t="s">
        <v>6579</v>
      </c>
      <c r="C663" s="482" t="s">
        <v>2911</v>
      </c>
      <c r="D663" s="483">
        <v>44378</v>
      </c>
      <c r="E663" s="484" t="s">
        <v>2912</v>
      </c>
      <c r="F663" s="485">
        <v>2</v>
      </c>
      <c r="G663" s="482"/>
      <c r="H663" s="507"/>
      <c r="I663" s="508" t="s">
        <v>6580</v>
      </c>
      <c r="J663" s="508"/>
      <c r="K663" s="508"/>
      <c r="L663" s="508"/>
      <c r="M663" s="509"/>
      <c r="N663" s="510"/>
      <c r="O663" s="702">
        <v>5</v>
      </c>
      <c r="P663" s="703" t="s">
        <v>1070</v>
      </c>
      <c r="Q663" s="489">
        <v>59</v>
      </c>
      <c r="R663" s="703" t="s">
        <v>1070</v>
      </c>
      <c r="S663" s="704">
        <f t="shared" si="51"/>
        <v>59</v>
      </c>
      <c r="T663" s="703" t="s">
        <v>6574</v>
      </c>
      <c r="U663" s="704">
        <f t="shared" si="52"/>
        <v>29</v>
      </c>
      <c r="V663" s="705" t="s">
        <v>2915</v>
      </c>
      <c r="W663" s="705" t="s">
        <v>6575</v>
      </c>
      <c r="X663" s="491">
        <f t="shared" ref="X663:X668" si="54">LEN(W663)</f>
        <v>36</v>
      </c>
      <c r="Y663" s="705" t="s">
        <v>6576</v>
      </c>
      <c r="Z663" s="704">
        <f t="shared" si="53"/>
        <v>54</v>
      </c>
      <c r="AA663" s="705" t="s">
        <v>6577</v>
      </c>
      <c r="AB663" s="704">
        <f t="shared" ref="AB663:AB668" si="55">LEN(AA663)</f>
        <v>30</v>
      </c>
      <c r="AC663" s="705" t="s">
        <v>3143</v>
      </c>
      <c r="AD663" s="704"/>
      <c r="AE663" s="706"/>
      <c r="AF663" s="504" t="s">
        <v>6578</v>
      </c>
      <c r="AG663" s="494" t="s">
        <v>2917</v>
      </c>
      <c r="AH663" s="495" t="s">
        <v>2918</v>
      </c>
      <c r="AI663" s="505"/>
      <c r="AJ663" s="505"/>
      <c r="AK663" s="707">
        <f>_xll.GetCtData("COAMOUNT","CONSAMOUNT",$B$1:$B$7,$B663,AK$9,"#17286422")</f>
        <v>17286422</v>
      </c>
    </row>
    <row r="664" spans="1:37" ht="12" customHeight="1">
      <c r="B664" s="453" t="s">
        <v>2441</v>
      </c>
      <c r="C664" s="482" t="s">
        <v>2962</v>
      </c>
      <c r="D664" s="483">
        <v>44515</v>
      </c>
      <c r="E664" s="484" t="s">
        <v>5409</v>
      </c>
      <c r="F664" s="485">
        <v>7</v>
      </c>
      <c r="G664" s="547"/>
      <c r="H664" s="547"/>
      <c r="I664" s="547"/>
      <c r="J664" s="547"/>
      <c r="K664" s="547"/>
      <c r="L664" s="547"/>
      <c r="M664" s="548"/>
      <c r="N664" s="517" t="s">
        <v>6581</v>
      </c>
      <c r="O664" s="485">
        <v>9</v>
      </c>
      <c r="P664" s="692" t="s">
        <v>1070</v>
      </c>
      <c r="Q664" s="489">
        <v>59</v>
      </c>
      <c r="R664" s="692" t="s">
        <v>1070</v>
      </c>
      <c r="S664" s="693">
        <f t="shared" si="51"/>
        <v>59</v>
      </c>
      <c r="T664" s="692" t="s">
        <v>6574</v>
      </c>
      <c r="U664" s="693">
        <f t="shared" si="52"/>
        <v>29</v>
      </c>
      <c r="V664" s="692" t="s">
        <v>2915</v>
      </c>
      <c r="W664" s="692" t="s">
        <v>6575</v>
      </c>
      <c r="X664" s="491">
        <f t="shared" si="54"/>
        <v>36</v>
      </c>
      <c r="Y664" s="692" t="s">
        <v>6576</v>
      </c>
      <c r="Z664" s="693">
        <f t="shared" si="53"/>
        <v>54</v>
      </c>
      <c r="AA664" s="692" t="s">
        <v>6577</v>
      </c>
      <c r="AB664" s="693">
        <f t="shared" si="55"/>
        <v>30</v>
      </c>
      <c r="AC664" s="692" t="s">
        <v>3143</v>
      </c>
      <c r="AD664" s="693" t="s">
        <v>6582</v>
      </c>
      <c r="AE664" s="694" t="s">
        <v>6583</v>
      </c>
      <c r="AF664" s="504" t="s">
        <v>6584</v>
      </c>
      <c r="AG664" s="668" t="s">
        <v>2721</v>
      </c>
      <c r="AH664" s="494" t="s">
        <v>2917</v>
      </c>
      <c r="AI664" s="505"/>
      <c r="AJ664" s="505"/>
      <c r="AK664" s="695">
        <f>_xll.GetCtData("COAMOUNT","CONSAMOUNT",$B$1:$B$7,$B664,AK$9,"#17286422")</f>
        <v>17286422</v>
      </c>
    </row>
    <row r="665" spans="1:37" ht="12" customHeight="1">
      <c r="B665" s="453" t="s">
        <v>6585</v>
      </c>
      <c r="C665" s="482" t="s">
        <v>2911</v>
      </c>
      <c r="D665" s="483">
        <v>44378</v>
      </c>
      <c r="E665" s="484" t="s">
        <v>2912</v>
      </c>
      <c r="F665" s="485">
        <v>1</v>
      </c>
      <c r="G665" s="482"/>
      <c r="H665" s="497" t="s">
        <v>6586</v>
      </c>
      <c r="I665" s="497"/>
      <c r="J665" s="497"/>
      <c r="K665" s="497"/>
      <c r="L665" s="497"/>
      <c r="M665" s="498"/>
      <c r="N665" s="499"/>
      <c r="O665" s="696">
        <v>4</v>
      </c>
      <c r="P665" s="697" t="s">
        <v>8</v>
      </c>
      <c r="Q665" s="489">
        <v>10</v>
      </c>
      <c r="R665" s="697" t="s">
        <v>8</v>
      </c>
      <c r="S665" s="698">
        <f t="shared" si="51"/>
        <v>10</v>
      </c>
      <c r="T665" s="697" t="s">
        <v>8</v>
      </c>
      <c r="U665" s="698">
        <f t="shared" si="52"/>
        <v>10</v>
      </c>
      <c r="V665" s="699" t="s">
        <v>6587</v>
      </c>
      <c r="W665" s="699" t="s">
        <v>6588</v>
      </c>
      <c r="X665" s="491">
        <f t="shared" si="54"/>
        <v>25</v>
      </c>
      <c r="Y665" s="699" t="s">
        <v>6588</v>
      </c>
      <c r="Z665" s="698">
        <f t="shared" si="53"/>
        <v>25</v>
      </c>
      <c r="AA665" s="699" t="s">
        <v>6588</v>
      </c>
      <c r="AB665" s="698">
        <f t="shared" si="55"/>
        <v>25</v>
      </c>
      <c r="AC665" s="699" t="s">
        <v>6587</v>
      </c>
      <c r="AD665" s="698"/>
      <c r="AE665" s="700"/>
      <c r="AF665" s="504"/>
      <c r="AG665" s="494" t="s">
        <v>2917</v>
      </c>
      <c r="AH665" s="495" t="s">
        <v>2918</v>
      </c>
      <c r="AI665" s="505"/>
      <c r="AJ665" s="505"/>
      <c r="AK665" s="701">
        <f>_xll.GetCtData("COAMOUNT","CONSAMOUNT",$B$1:$B$7,$B665,AK$9,"#1451126,09610295")</f>
        <v>1451126</v>
      </c>
    </row>
    <row r="666" spans="1:37" ht="12" customHeight="1">
      <c r="B666" s="453" t="s">
        <v>6589</v>
      </c>
      <c r="C666" s="482" t="s">
        <v>2911</v>
      </c>
      <c r="D666" s="483">
        <v>44378</v>
      </c>
      <c r="E666" s="484" t="s">
        <v>2912</v>
      </c>
      <c r="F666" s="485">
        <v>2</v>
      </c>
      <c r="G666" s="482"/>
      <c r="H666" s="507"/>
      <c r="I666" s="508" t="s">
        <v>6590</v>
      </c>
      <c r="J666" s="508"/>
      <c r="K666" s="508"/>
      <c r="L666" s="508"/>
      <c r="M666" s="509"/>
      <c r="N666" s="510"/>
      <c r="O666" s="702">
        <v>5</v>
      </c>
      <c r="P666" s="703" t="s">
        <v>208</v>
      </c>
      <c r="Q666" s="489">
        <v>39</v>
      </c>
      <c r="R666" s="703" t="s">
        <v>208</v>
      </c>
      <c r="S666" s="704">
        <f t="shared" si="51"/>
        <v>39</v>
      </c>
      <c r="T666" s="703" t="s">
        <v>6591</v>
      </c>
      <c r="U666" s="704">
        <f t="shared" si="52"/>
        <v>26</v>
      </c>
      <c r="V666" s="705" t="s">
        <v>6587</v>
      </c>
      <c r="W666" s="705" t="s">
        <v>6588</v>
      </c>
      <c r="X666" s="491">
        <f t="shared" si="54"/>
        <v>25</v>
      </c>
      <c r="Y666" s="705" t="s">
        <v>6588</v>
      </c>
      <c r="Z666" s="704">
        <f t="shared" si="53"/>
        <v>25</v>
      </c>
      <c r="AA666" s="705" t="s">
        <v>6588</v>
      </c>
      <c r="AB666" s="704">
        <f t="shared" si="55"/>
        <v>25</v>
      </c>
      <c r="AC666" s="705" t="s">
        <v>6587</v>
      </c>
      <c r="AD666" s="704"/>
      <c r="AE666" s="706"/>
      <c r="AF666" s="504"/>
      <c r="AG666" s="494" t="s">
        <v>2917</v>
      </c>
      <c r="AH666" s="495" t="s">
        <v>2918</v>
      </c>
      <c r="AI666" s="505"/>
      <c r="AJ666" s="505"/>
      <c r="AK666" s="707">
        <f>_xll.GetCtData("COAMOUNT","CONSAMOUNT",$B$1:$B$7,$B666,AK$9,"#1451126,09610295")</f>
        <v>1451126</v>
      </c>
    </row>
    <row r="667" spans="1:37" ht="12" customHeight="1">
      <c r="B667" s="453" t="s">
        <v>2880</v>
      </c>
      <c r="C667" s="482" t="s">
        <v>2929</v>
      </c>
      <c r="D667" s="483">
        <v>44403</v>
      </c>
      <c r="E667" s="484" t="s">
        <v>2930</v>
      </c>
      <c r="F667" s="485">
        <v>7</v>
      </c>
      <c r="G667" s="547"/>
      <c r="H667" s="547"/>
      <c r="I667" s="547"/>
      <c r="J667" s="547"/>
      <c r="K667" s="547"/>
      <c r="L667" s="547"/>
      <c r="M667" s="548"/>
      <c r="N667" s="517" t="s">
        <v>6592</v>
      </c>
      <c r="O667" s="518">
        <v>9</v>
      </c>
      <c r="P667" s="519" t="s">
        <v>82</v>
      </c>
      <c r="Q667" s="489">
        <v>15</v>
      </c>
      <c r="R667" s="519" t="s">
        <v>82</v>
      </c>
      <c r="S667" s="518">
        <f>LEN(R667)</f>
        <v>15</v>
      </c>
      <c r="T667" s="519" t="s">
        <v>82</v>
      </c>
      <c r="U667" s="518">
        <f t="shared" si="52"/>
        <v>15</v>
      </c>
      <c r="V667" s="519" t="s">
        <v>6587</v>
      </c>
      <c r="W667" s="519" t="s">
        <v>6593</v>
      </c>
      <c r="X667" s="491">
        <f t="shared" si="54"/>
        <v>12</v>
      </c>
      <c r="Y667" s="519" t="s">
        <v>6593</v>
      </c>
      <c r="Z667" s="519">
        <f t="shared" si="53"/>
        <v>12</v>
      </c>
      <c r="AA667" s="519" t="s">
        <v>6593</v>
      </c>
      <c r="AB667" s="519">
        <f t="shared" si="55"/>
        <v>12</v>
      </c>
      <c r="AC667" s="519" t="s">
        <v>6587</v>
      </c>
      <c r="AD667" s="518" t="s">
        <v>6594</v>
      </c>
      <c r="AE667" s="520" t="s">
        <v>6595</v>
      </c>
      <c r="AF667" s="504" t="s">
        <v>2939</v>
      </c>
      <c r="AG667" s="494" t="s">
        <v>2917</v>
      </c>
      <c r="AH667" s="494" t="s">
        <v>2917</v>
      </c>
      <c r="AI667" s="708"/>
      <c r="AJ667" s="708"/>
      <c r="AK667" s="521">
        <f>_xll.GetCtData("COAMOUNT","CONSAMOUNT",$B$1:$B$7,$B667,AK$9,"#1451112,31752685")</f>
        <v>1451112</v>
      </c>
    </row>
    <row r="668" spans="1:37" ht="12" customHeight="1">
      <c r="B668" s="453" t="s">
        <v>6596</v>
      </c>
      <c r="C668" s="482" t="s">
        <v>2929</v>
      </c>
      <c r="D668" s="483">
        <v>44403</v>
      </c>
      <c r="E668" s="484" t="s">
        <v>2930</v>
      </c>
      <c r="F668" s="485">
        <v>7</v>
      </c>
      <c r="G668" s="517"/>
      <c r="H668" s="517"/>
      <c r="I668" s="517"/>
      <c r="J668" s="517"/>
      <c r="K668" s="517"/>
      <c r="L668" s="517"/>
      <c r="M668" s="399"/>
      <c r="N668" s="517" t="s">
        <v>6597</v>
      </c>
      <c r="O668" s="518">
        <v>9</v>
      </c>
      <c r="P668" s="519" t="s">
        <v>6598</v>
      </c>
      <c r="Q668" s="489">
        <v>6</v>
      </c>
      <c r="R668" s="519" t="s">
        <v>6598</v>
      </c>
      <c r="S668" s="518">
        <f>LEN(R668)</f>
        <v>6</v>
      </c>
      <c r="T668" s="519" t="s">
        <v>6598</v>
      </c>
      <c r="U668" s="518">
        <f t="shared" si="52"/>
        <v>6</v>
      </c>
      <c r="V668" s="519" t="s">
        <v>6587</v>
      </c>
      <c r="W668" s="519" t="s">
        <v>6599</v>
      </c>
      <c r="X668" s="491">
        <f t="shared" si="54"/>
        <v>12</v>
      </c>
      <c r="Y668" s="519" t="s">
        <v>6599</v>
      </c>
      <c r="Z668" s="519">
        <f t="shared" si="53"/>
        <v>12</v>
      </c>
      <c r="AA668" s="519" t="s">
        <v>6599</v>
      </c>
      <c r="AB668" s="519">
        <f t="shared" si="55"/>
        <v>12</v>
      </c>
      <c r="AC668" s="519" t="s">
        <v>6587</v>
      </c>
      <c r="AD668" s="518" t="s">
        <v>6600</v>
      </c>
      <c r="AE668" s="520" t="s">
        <v>6598</v>
      </c>
      <c r="AF668" s="504" t="s">
        <v>6601</v>
      </c>
      <c r="AG668" s="494" t="s">
        <v>2917</v>
      </c>
      <c r="AH668" s="494" t="s">
        <v>2917</v>
      </c>
      <c r="AI668" s="708"/>
      <c r="AJ668" s="708"/>
      <c r="AK668" s="521">
        <f>_xll.GetCtData("COAMOUNT","CONSAMOUNT",$B$1:$B$7,$B668,AK$9,"#13,778576100416")</f>
        <v>13</v>
      </c>
    </row>
    <row r="669" spans="1:37">
      <c r="P669" s="453"/>
      <c r="R669" s="453"/>
      <c r="S669" s="453"/>
      <c r="T669" s="453"/>
      <c r="U669" s="453"/>
      <c r="AF669" s="504"/>
    </row>
    <row r="670" spans="1:37">
      <c r="D670" s="453"/>
      <c r="E670" s="453"/>
      <c r="F670" s="453"/>
      <c r="N670" s="453"/>
      <c r="P670" s="453"/>
      <c r="R670" s="709" t="s">
        <v>57</v>
      </c>
      <c r="S670" s="453"/>
      <c r="T670" s="453"/>
      <c r="U670" s="453"/>
      <c r="AJ670" s="460">
        <v>7</v>
      </c>
      <c r="AK670" s="710">
        <f>SUMIF($F$12:$F$668,$AJ$670,AK$12:AK$668)</f>
        <v>507076746</v>
      </c>
    </row>
    <row r="671" spans="1:37">
      <c r="A671" s="711"/>
      <c r="B671" s="711"/>
      <c r="C671" s="711"/>
      <c r="D671" s="712"/>
      <c r="E671" s="713"/>
      <c r="F671" s="467"/>
      <c r="G671" s="711"/>
      <c r="H671" s="711"/>
      <c r="I671" s="711"/>
      <c r="J671" s="711"/>
      <c r="K671" s="711"/>
      <c r="L671" s="711"/>
      <c r="M671" s="711"/>
      <c r="N671" s="711"/>
      <c r="O671" s="713"/>
      <c r="P671" s="713"/>
      <c r="Q671" s="712"/>
      <c r="R671" s="713" t="s">
        <v>6602</v>
      </c>
      <c r="S671" s="713"/>
      <c r="T671" s="713"/>
      <c r="U671" s="713"/>
      <c r="V671" s="714"/>
      <c r="W671" s="714"/>
      <c r="X671" s="714"/>
      <c r="Y671" s="714"/>
      <c r="Z671" s="714"/>
      <c r="AA671" s="714"/>
      <c r="AB671" s="714"/>
      <c r="AC671" s="714"/>
      <c r="AD671" s="712"/>
      <c r="AE671" s="711"/>
      <c r="AF671" s="713"/>
      <c r="AG671" s="467"/>
      <c r="AH671" s="467"/>
      <c r="AI671" s="712"/>
      <c r="AJ671" s="715"/>
      <c r="AK671" s="716">
        <f>AK670-'[53]L-CNP'!AJ499</f>
        <v>68522056.448202014</v>
      </c>
    </row>
    <row r="675" spans="18:37">
      <c r="R675" s="456" t="s">
        <v>6603</v>
      </c>
      <c r="AK675" s="717">
        <f>+AK484+AK485+AK504+AK505+AK523</f>
        <v>112013</v>
      </c>
    </row>
    <row r="676" spans="18:37">
      <c r="R676" s="456" t="s">
        <v>6604</v>
      </c>
      <c r="AK676" s="717">
        <f>+AK476</f>
        <v>333202</v>
      </c>
    </row>
    <row r="677" spans="18:37">
      <c r="R677" s="456" t="s">
        <v>1131</v>
      </c>
      <c r="AK677" s="717">
        <f>+AK676-AK675</f>
        <v>221189</v>
      </c>
    </row>
    <row r="679" spans="18:37">
      <c r="R679" s="456" t="s">
        <v>6605</v>
      </c>
      <c r="AK679" s="717">
        <f>+AK556+AK557+AK567+AK568+AK579+AK580</f>
        <v>-10249990</v>
      </c>
    </row>
    <row r="680" spans="18:37">
      <c r="R680" s="456" t="s">
        <v>6606</v>
      </c>
      <c r="AK680" s="717">
        <f>+AK549</f>
        <v>5981205</v>
      </c>
    </row>
    <row r="681" spans="18:37">
      <c r="R681" s="456" t="s">
        <v>1131</v>
      </c>
      <c r="AK681" s="717">
        <f>+AK680-AK679</f>
        <v>16231195</v>
      </c>
    </row>
  </sheetData>
  <autoFilter ref="A11:AM668" xr:uid="{00000000-0009-0000-0000-000002000000}"/>
  <customSheetViews>
    <customSheetView guid="{6357C996-BE12-4F66-ACBB-1F9F08F8885C}" showGridLines="0" showAutoFilter="1" hiddenColumns="1" state="hidden" topLeftCell="A606">
      <selection activeCell="I645" sqref="I645"/>
      <pageMargins left="0.7" right="0.7" top="0.75" bottom="0.75" header="0.3" footer="0.3"/>
      <pageSetup paperSize="9" orientation="portrait" r:id="rId1"/>
      <autoFilter ref="A11:AM668" xr:uid="{AB4F8FBD-C348-4B29-8603-24E018A56322}"/>
    </customSheetView>
    <customSheetView guid="{5874C782-5C34-4C4C-BCC6-3692259149CA}" showGridLines="0" showAutoFilter="1" hiddenColumns="1" state="hidden" topLeftCell="A606">
      <selection activeCell="I645" sqref="I645"/>
      <pageMargins left="0.7" right="0.7" top="0.75" bottom="0.75" header="0.3" footer="0.3"/>
      <pageSetup paperSize="9" orientation="portrait" r:id="rId2"/>
      <autoFilter ref="A11:AM668" xr:uid="{DF8D3D76-857C-4D1C-839C-05DCC0C71E3E}"/>
    </customSheetView>
  </customSheetViews>
  <conditionalFormatting sqref="N580">
    <cfRule type="duplicateValues" dxfId="983" priority="22"/>
  </conditionalFormatting>
  <conditionalFormatting sqref="N604">
    <cfRule type="duplicateValues" dxfId="982" priority="167"/>
  </conditionalFormatting>
  <conditionalFormatting sqref="G582:M582 G573:M573 G565:M567 G570:M571 G577:M578">
    <cfRule type="duplicateValues" dxfId="981" priority="165"/>
  </conditionalFormatting>
  <conditionalFormatting sqref="G565:M567">
    <cfRule type="duplicateValues" dxfId="980" priority="164"/>
  </conditionalFormatting>
  <conditionalFormatting sqref="G582:M582">
    <cfRule type="duplicateValues" dxfId="979" priority="163"/>
  </conditionalFormatting>
  <conditionalFormatting sqref="G573:M573">
    <cfRule type="duplicateValues" dxfId="978" priority="162"/>
  </conditionalFormatting>
  <conditionalFormatting sqref="G573:M573">
    <cfRule type="duplicateValues" dxfId="977" priority="166"/>
  </conditionalFormatting>
  <conditionalFormatting sqref="G573:M573">
    <cfRule type="duplicateValues" dxfId="976" priority="161"/>
  </conditionalFormatting>
  <conditionalFormatting sqref="N643:N644">
    <cfRule type="duplicateValues" dxfId="975" priority="159"/>
  </conditionalFormatting>
  <conditionalFormatting sqref="N642">
    <cfRule type="duplicateValues" dxfId="974" priority="158"/>
  </conditionalFormatting>
  <conditionalFormatting sqref="N646">
    <cfRule type="duplicateValues" dxfId="973" priority="160"/>
  </conditionalFormatting>
  <conditionalFormatting sqref="N549">
    <cfRule type="duplicateValues" dxfId="972" priority="157"/>
  </conditionalFormatting>
  <conditionalFormatting sqref="N488">
    <cfRule type="duplicateValues" dxfId="971" priority="156"/>
  </conditionalFormatting>
  <conditionalFormatting sqref="N480">
    <cfRule type="duplicateValues" dxfId="970" priority="155"/>
  </conditionalFormatting>
  <conditionalFormatting sqref="G562:M562 G554:M555 G559:M560">
    <cfRule type="duplicateValues" dxfId="969" priority="153"/>
  </conditionalFormatting>
  <conditionalFormatting sqref="G554:M555">
    <cfRule type="duplicateValues" dxfId="968" priority="152"/>
  </conditionalFormatting>
  <conditionalFormatting sqref="G562:M562">
    <cfRule type="duplicateValues" dxfId="967" priority="151"/>
  </conditionalFormatting>
  <conditionalFormatting sqref="G562:M562">
    <cfRule type="duplicateValues" dxfId="966" priority="150"/>
  </conditionalFormatting>
  <conditionalFormatting sqref="G562:M562">
    <cfRule type="duplicateValues" dxfId="965" priority="154"/>
  </conditionalFormatting>
  <conditionalFormatting sqref="G562:M562">
    <cfRule type="duplicateValues" dxfId="964" priority="149"/>
  </conditionalFormatting>
  <conditionalFormatting sqref="N553">
    <cfRule type="duplicateValues" dxfId="963" priority="148"/>
  </conditionalFormatting>
  <conditionalFormatting sqref="N579">
    <cfRule type="duplicateValues" dxfId="962" priority="147"/>
  </conditionalFormatting>
  <conditionalFormatting sqref="N672:O1048576 N669:O669 N583 N11:N18 N473:N475 N24:N64 N587:N602 N70:N157 N159:N470 N605:N641 N647:N650 N655:N656 N658:N666 O670:O671">
    <cfRule type="duplicateValues" dxfId="961" priority="168"/>
  </conditionalFormatting>
  <conditionalFormatting sqref="G550:H550 J550:M550">
    <cfRule type="duplicateValues" dxfId="960" priority="138"/>
  </conditionalFormatting>
  <conditionalFormatting sqref="N550">
    <cfRule type="duplicateValues" dxfId="959" priority="139"/>
  </conditionalFormatting>
  <conditionalFormatting sqref="N550">
    <cfRule type="duplicateValues" dxfId="958" priority="140"/>
  </conditionalFormatting>
  <conditionalFormatting sqref="N550">
    <cfRule type="duplicateValues" dxfId="957" priority="141"/>
  </conditionalFormatting>
  <conditionalFormatting sqref="N550">
    <cfRule type="duplicateValues" dxfId="956" priority="142"/>
    <cfRule type="duplicateValues" dxfId="955" priority="143"/>
  </conditionalFormatting>
  <conditionalFormatting sqref="N550">
    <cfRule type="duplicateValues" dxfId="954" priority="144"/>
  </conditionalFormatting>
  <conditionalFormatting sqref="G550:H550">
    <cfRule type="duplicateValues" dxfId="953" priority="137"/>
  </conditionalFormatting>
  <conditionalFormatting sqref="N550">
    <cfRule type="duplicateValues" dxfId="952" priority="136"/>
  </conditionalFormatting>
  <conditionalFormatting sqref="G550:H550 J550:N550">
    <cfRule type="duplicateValues" dxfId="951" priority="135"/>
  </conditionalFormatting>
  <conditionalFormatting sqref="N550">
    <cfRule type="duplicateValues" dxfId="950" priority="134"/>
  </conditionalFormatting>
  <conditionalFormatting sqref="G550:H550">
    <cfRule type="duplicateValues" dxfId="949" priority="133"/>
  </conditionalFormatting>
  <conditionalFormatting sqref="G550:H550">
    <cfRule type="duplicateValues" dxfId="948" priority="145"/>
  </conditionalFormatting>
  <conditionalFormatting sqref="G550:H550">
    <cfRule type="duplicateValues" dxfId="947" priority="146"/>
  </conditionalFormatting>
  <conditionalFormatting sqref="I550">
    <cfRule type="duplicateValues" dxfId="946" priority="130"/>
  </conditionalFormatting>
  <conditionalFormatting sqref="I550">
    <cfRule type="duplicateValues" dxfId="945" priority="129"/>
  </conditionalFormatting>
  <conditionalFormatting sqref="I550">
    <cfRule type="duplicateValues" dxfId="944" priority="128"/>
  </conditionalFormatting>
  <conditionalFormatting sqref="I550">
    <cfRule type="duplicateValues" dxfId="943" priority="127"/>
  </conditionalFormatting>
  <conditionalFormatting sqref="I550">
    <cfRule type="duplicateValues" dxfId="942" priority="131"/>
  </conditionalFormatting>
  <conditionalFormatting sqref="I550">
    <cfRule type="duplicateValues" dxfId="941" priority="132"/>
  </conditionalFormatting>
  <conditionalFormatting sqref="N551">
    <cfRule type="duplicateValues" dxfId="940" priority="126"/>
  </conditionalFormatting>
  <conditionalFormatting sqref="N552">
    <cfRule type="duplicateValues" dxfId="939" priority="125"/>
  </conditionalFormatting>
  <conditionalFormatting sqref="K553">
    <cfRule type="duplicateValues" dxfId="938" priority="124"/>
  </conditionalFormatting>
  <conditionalFormatting sqref="K553">
    <cfRule type="duplicateValues" dxfId="937" priority="123"/>
  </conditionalFormatting>
  <conditionalFormatting sqref="K553">
    <cfRule type="duplicateValues" dxfId="936" priority="122"/>
  </conditionalFormatting>
  <conditionalFormatting sqref="N558">
    <cfRule type="duplicateValues" dxfId="935" priority="121"/>
  </conditionalFormatting>
  <conditionalFormatting sqref="K558">
    <cfRule type="duplicateValues" dxfId="934" priority="120"/>
  </conditionalFormatting>
  <conditionalFormatting sqref="K558">
    <cfRule type="duplicateValues" dxfId="933" priority="119"/>
  </conditionalFormatting>
  <conditionalFormatting sqref="K558">
    <cfRule type="duplicateValues" dxfId="932" priority="118"/>
  </conditionalFormatting>
  <conditionalFormatting sqref="G556:M556">
    <cfRule type="duplicateValues" dxfId="931" priority="117"/>
  </conditionalFormatting>
  <conditionalFormatting sqref="G556:M556">
    <cfRule type="duplicateValues" dxfId="930" priority="116"/>
  </conditionalFormatting>
  <conditionalFormatting sqref="G556:M556">
    <cfRule type="duplicateValues" dxfId="929" priority="115"/>
  </conditionalFormatting>
  <conditionalFormatting sqref="N574">
    <cfRule type="duplicateValues" dxfId="928" priority="114"/>
  </conditionalFormatting>
  <conditionalFormatting sqref="G477:H477 J477:M477">
    <cfRule type="duplicateValues" dxfId="927" priority="105"/>
  </conditionalFormatting>
  <conditionalFormatting sqref="N477">
    <cfRule type="duplicateValues" dxfId="926" priority="106"/>
  </conditionalFormatting>
  <conditionalFormatting sqref="N477">
    <cfRule type="duplicateValues" dxfId="925" priority="107"/>
  </conditionalFormatting>
  <conditionalFormatting sqref="N477">
    <cfRule type="duplicateValues" dxfId="924" priority="108"/>
  </conditionalFormatting>
  <conditionalFormatting sqref="N477">
    <cfRule type="duplicateValues" dxfId="923" priority="109"/>
    <cfRule type="duplicateValues" dxfId="922" priority="110"/>
  </conditionalFormatting>
  <conditionalFormatting sqref="N477">
    <cfRule type="duplicateValues" dxfId="921" priority="111"/>
  </conditionalFormatting>
  <conditionalFormatting sqref="G477:H477">
    <cfRule type="duplicateValues" dxfId="920" priority="104"/>
  </conditionalFormatting>
  <conditionalFormatting sqref="N477">
    <cfRule type="duplicateValues" dxfId="919" priority="103"/>
  </conditionalFormatting>
  <conditionalFormatting sqref="G477:H477 J477:N477">
    <cfRule type="duplicateValues" dxfId="918" priority="102"/>
  </conditionalFormatting>
  <conditionalFormatting sqref="N477">
    <cfRule type="duplicateValues" dxfId="917" priority="101"/>
  </conditionalFormatting>
  <conditionalFormatting sqref="G477:H477">
    <cfRule type="duplicateValues" dxfId="916" priority="100"/>
  </conditionalFormatting>
  <conditionalFormatting sqref="G477:H477">
    <cfRule type="duplicateValues" dxfId="915" priority="112"/>
  </conditionalFormatting>
  <conditionalFormatting sqref="G477:H477">
    <cfRule type="duplicateValues" dxfId="914" priority="113"/>
  </conditionalFormatting>
  <conditionalFormatting sqref="I477">
    <cfRule type="duplicateValues" dxfId="913" priority="97"/>
  </conditionalFormatting>
  <conditionalFormatting sqref="I477">
    <cfRule type="duplicateValues" dxfId="912" priority="96"/>
  </conditionalFormatting>
  <conditionalFormatting sqref="I477">
    <cfRule type="duplicateValues" dxfId="911" priority="95"/>
  </conditionalFormatting>
  <conditionalFormatting sqref="I477">
    <cfRule type="duplicateValues" dxfId="910" priority="94"/>
  </conditionalFormatting>
  <conditionalFormatting sqref="I477">
    <cfRule type="duplicateValues" dxfId="909" priority="98"/>
  </conditionalFormatting>
  <conditionalFormatting sqref="I477">
    <cfRule type="duplicateValues" dxfId="908" priority="99"/>
  </conditionalFormatting>
  <conditionalFormatting sqref="N479">
    <cfRule type="duplicateValues" dxfId="907" priority="93"/>
  </conditionalFormatting>
  <conditionalFormatting sqref="N492">
    <cfRule type="duplicateValues" dxfId="906" priority="92"/>
  </conditionalFormatting>
  <conditionalFormatting sqref="N494">
    <cfRule type="duplicateValues" dxfId="905" priority="91"/>
  </conditionalFormatting>
  <conditionalFormatting sqref="N499">
    <cfRule type="duplicateValues" dxfId="904" priority="90"/>
  </conditionalFormatting>
  <conditionalFormatting sqref="N500">
    <cfRule type="duplicateValues" dxfId="903" priority="89"/>
  </conditionalFormatting>
  <conditionalFormatting sqref="N506">
    <cfRule type="duplicateValues" dxfId="902" priority="88"/>
  </conditionalFormatting>
  <conditionalFormatting sqref="N510">
    <cfRule type="duplicateValues" dxfId="901" priority="87"/>
  </conditionalFormatting>
  <conditionalFormatting sqref="N512">
    <cfRule type="duplicateValues" dxfId="900" priority="86"/>
  </conditionalFormatting>
  <conditionalFormatting sqref="N519">
    <cfRule type="duplicateValues" dxfId="899" priority="85"/>
  </conditionalFormatting>
  <conditionalFormatting sqref="N527">
    <cfRule type="duplicateValues" dxfId="898" priority="84"/>
  </conditionalFormatting>
  <conditionalFormatting sqref="N529">
    <cfRule type="duplicateValues" dxfId="897" priority="83"/>
  </conditionalFormatting>
  <conditionalFormatting sqref="N561">
    <cfRule type="duplicateValues" dxfId="896" priority="82"/>
  </conditionalFormatting>
  <conditionalFormatting sqref="K561">
    <cfRule type="duplicateValues" dxfId="895" priority="81"/>
  </conditionalFormatting>
  <conditionalFormatting sqref="K561">
    <cfRule type="duplicateValues" dxfId="894" priority="80"/>
  </conditionalFormatting>
  <conditionalFormatting sqref="K561">
    <cfRule type="duplicateValues" dxfId="893" priority="79"/>
  </conditionalFormatting>
  <conditionalFormatting sqref="N563">
    <cfRule type="duplicateValues" dxfId="892" priority="78"/>
  </conditionalFormatting>
  <conditionalFormatting sqref="N564">
    <cfRule type="duplicateValues" dxfId="891" priority="77"/>
  </conditionalFormatting>
  <conditionalFormatting sqref="K564">
    <cfRule type="duplicateValues" dxfId="890" priority="76"/>
  </conditionalFormatting>
  <conditionalFormatting sqref="K564">
    <cfRule type="duplicateValues" dxfId="889" priority="75"/>
  </conditionalFormatting>
  <conditionalFormatting sqref="K564">
    <cfRule type="duplicateValues" dxfId="888" priority="74"/>
  </conditionalFormatting>
  <conditionalFormatting sqref="N569">
    <cfRule type="duplicateValues" dxfId="887" priority="73"/>
  </conditionalFormatting>
  <conditionalFormatting sqref="K569">
    <cfRule type="duplicateValues" dxfId="886" priority="72"/>
  </conditionalFormatting>
  <conditionalFormatting sqref="K569">
    <cfRule type="duplicateValues" dxfId="885" priority="71"/>
  </conditionalFormatting>
  <conditionalFormatting sqref="K569">
    <cfRule type="duplicateValues" dxfId="884" priority="70"/>
  </conditionalFormatting>
  <conditionalFormatting sqref="N572">
    <cfRule type="duplicateValues" dxfId="883" priority="69"/>
  </conditionalFormatting>
  <conditionalFormatting sqref="K572">
    <cfRule type="duplicateValues" dxfId="882" priority="68"/>
  </conditionalFormatting>
  <conditionalFormatting sqref="K572">
    <cfRule type="duplicateValues" dxfId="881" priority="67"/>
  </conditionalFormatting>
  <conditionalFormatting sqref="K572">
    <cfRule type="duplicateValues" dxfId="880" priority="66"/>
  </conditionalFormatting>
  <conditionalFormatting sqref="N576">
    <cfRule type="duplicateValues" dxfId="879" priority="65"/>
  </conditionalFormatting>
  <conditionalFormatting sqref="K576">
    <cfRule type="duplicateValues" dxfId="878" priority="64"/>
  </conditionalFormatting>
  <conditionalFormatting sqref="K576">
    <cfRule type="duplicateValues" dxfId="877" priority="63"/>
  </conditionalFormatting>
  <conditionalFormatting sqref="K576">
    <cfRule type="duplicateValues" dxfId="876" priority="62"/>
  </conditionalFormatting>
  <conditionalFormatting sqref="N582">
    <cfRule type="duplicateValues" dxfId="875" priority="61"/>
  </conditionalFormatting>
  <conditionalFormatting sqref="N578">
    <cfRule type="duplicateValues" dxfId="874" priority="60"/>
  </conditionalFormatting>
  <conditionalFormatting sqref="N577">
    <cfRule type="duplicateValues" dxfId="873" priority="59"/>
  </conditionalFormatting>
  <conditionalFormatting sqref="N573">
    <cfRule type="duplicateValues" dxfId="872" priority="58"/>
  </conditionalFormatting>
  <conditionalFormatting sqref="N571">
    <cfRule type="duplicateValues" dxfId="871" priority="57"/>
  </conditionalFormatting>
  <conditionalFormatting sqref="N570">
    <cfRule type="duplicateValues" dxfId="870" priority="56"/>
  </conditionalFormatting>
  <conditionalFormatting sqref="N565:N567">
    <cfRule type="duplicateValues" dxfId="869" priority="55"/>
  </conditionalFormatting>
  <conditionalFormatting sqref="N562">
    <cfRule type="duplicateValues" dxfId="868" priority="54"/>
  </conditionalFormatting>
  <conditionalFormatting sqref="N560">
    <cfRule type="duplicateValues" dxfId="867" priority="53"/>
  </conditionalFormatting>
  <conditionalFormatting sqref="N559">
    <cfRule type="duplicateValues" dxfId="866" priority="52"/>
  </conditionalFormatting>
  <conditionalFormatting sqref="N556">
    <cfRule type="duplicateValues" dxfId="865" priority="51"/>
  </conditionalFormatting>
  <conditionalFormatting sqref="N555">
    <cfRule type="duplicateValues" dxfId="864" priority="50"/>
  </conditionalFormatting>
  <conditionalFormatting sqref="N554">
    <cfRule type="duplicateValues" dxfId="863" priority="49"/>
  </conditionalFormatting>
  <conditionalFormatting sqref="N518">
    <cfRule type="duplicateValues" dxfId="862" priority="48"/>
  </conditionalFormatting>
  <conditionalFormatting sqref="N575">
    <cfRule type="duplicateValues" dxfId="861" priority="47"/>
  </conditionalFormatting>
  <conditionalFormatting sqref="N581">
    <cfRule type="duplicateValues" dxfId="860" priority="46"/>
  </conditionalFormatting>
  <conditionalFormatting sqref="N535">
    <cfRule type="duplicateValues" dxfId="859" priority="45"/>
  </conditionalFormatting>
  <conditionalFormatting sqref="N536">
    <cfRule type="duplicateValues" dxfId="858" priority="44"/>
  </conditionalFormatting>
  <conditionalFormatting sqref="N539">
    <cfRule type="duplicateValues" dxfId="857" priority="43"/>
  </conditionalFormatting>
  <conditionalFormatting sqref="N542">
    <cfRule type="duplicateValues" dxfId="856" priority="42"/>
  </conditionalFormatting>
  <conditionalFormatting sqref="N543">
    <cfRule type="duplicateValues" dxfId="855" priority="41"/>
  </conditionalFormatting>
  <conditionalFormatting sqref="N667:N668">
    <cfRule type="duplicateValues" dxfId="854" priority="40"/>
  </conditionalFormatting>
  <conditionalFormatting sqref="N158">
    <cfRule type="duplicateValues" dxfId="853" priority="39"/>
  </conditionalFormatting>
  <conditionalFormatting sqref="N645">
    <cfRule type="duplicateValues" dxfId="852" priority="38"/>
  </conditionalFormatting>
  <conditionalFormatting sqref="N603">
    <cfRule type="duplicateValues" dxfId="851" priority="37"/>
  </conditionalFormatting>
  <conditionalFormatting sqref="N471:N472">
    <cfRule type="duplicateValues" dxfId="850" priority="36"/>
  </conditionalFormatting>
  <conditionalFormatting sqref="N19:N23">
    <cfRule type="duplicateValues" dxfId="849" priority="35"/>
  </conditionalFormatting>
  <conditionalFormatting sqref="N584:N586">
    <cfRule type="duplicateValues" dxfId="848" priority="34"/>
  </conditionalFormatting>
  <conditionalFormatting sqref="N651:N652">
    <cfRule type="duplicateValues" dxfId="847" priority="33"/>
  </conditionalFormatting>
  <conditionalFormatting sqref="N653:N654">
    <cfRule type="duplicateValues" dxfId="846" priority="32"/>
  </conditionalFormatting>
  <conditionalFormatting sqref="N657">
    <cfRule type="duplicateValues" dxfId="845" priority="31"/>
  </conditionalFormatting>
  <conditionalFormatting sqref="G557:M557">
    <cfRule type="duplicateValues" dxfId="844" priority="30"/>
  </conditionalFormatting>
  <conditionalFormatting sqref="G557:M557">
    <cfRule type="duplicateValues" dxfId="843" priority="29"/>
  </conditionalFormatting>
  <conditionalFormatting sqref="G557:M557">
    <cfRule type="duplicateValues" dxfId="842" priority="28"/>
  </conditionalFormatting>
  <conditionalFormatting sqref="N557">
    <cfRule type="duplicateValues" dxfId="841" priority="27"/>
  </conditionalFormatting>
  <conditionalFormatting sqref="G568:M568">
    <cfRule type="duplicateValues" dxfId="840" priority="26"/>
  </conditionalFormatting>
  <conditionalFormatting sqref="G568:M568">
    <cfRule type="duplicateValues" dxfId="839" priority="25"/>
  </conditionalFormatting>
  <conditionalFormatting sqref="G568:M568">
    <cfRule type="duplicateValues" dxfId="838" priority="24"/>
  </conditionalFormatting>
  <conditionalFormatting sqref="N568">
    <cfRule type="duplicateValues" dxfId="837" priority="23"/>
  </conditionalFormatting>
  <conditionalFormatting sqref="N65:N69">
    <cfRule type="duplicateValues" dxfId="836" priority="21"/>
  </conditionalFormatting>
  <conditionalFormatting sqref="B482">
    <cfRule type="duplicateValues" dxfId="835" priority="19"/>
  </conditionalFormatting>
  <conditionalFormatting sqref="N482">
    <cfRule type="duplicateValues" dxfId="834" priority="20"/>
  </conditionalFormatting>
  <conditionalFormatting sqref="B486:B487">
    <cfRule type="duplicateValues" dxfId="833" priority="17"/>
  </conditionalFormatting>
  <conditionalFormatting sqref="N486:N487">
    <cfRule type="duplicateValues" dxfId="832" priority="18"/>
  </conditionalFormatting>
  <conditionalFormatting sqref="B490">
    <cfRule type="duplicateValues" dxfId="831" priority="15"/>
  </conditionalFormatting>
  <conditionalFormatting sqref="N490">
    <cfRule type="duplicateValues" dxfId="830" priority="16"/>
  </conditionalFormatting>
  <conditionalFormatting sqref="B502">
    <cfRule type="duplicateValues" dxfId="829" priority="13"/>
  </conditionalFormatting>
  <conditionalFormatting sqref="N502">
    <cfRule type="duplicateValues" dxfId="828" priority="14"/>
  </conditionalFormatting>
  <conditionalFormatting sqref="B508">
    <cfRule type="duplicateValues" dxfId="827" priority="11"/>
  </conditionalFormatting>
  <conditionalFormatting sqref="N508">
    <cfRule type="duplicateValues" dxfId="826" priority="12"/>
  </conditionalFormatting>
  <conditionalFormatting sqref="B521">
    <cfRule type="duplicateValues" dxfId="825" priority="9"/>
  </conditionalFormatting>
  <conditionalFormatting sqref="N521">
    <cfRule type="duplicateValues" dxfId="824" priority="10"/>
  </conditionalFormatting>
  <conditionalFormatting sqref="B525">
    <cfRule type="duplicateValues" dxfId="823" priority="7"/>
  </conditionalFormatting>
  <conditionalFormatting sqref="N525">
    <cfRule type="duplicateValues" dxfId="822" priority="8"/>
  </conditionalFormatting>
  <conditionalFormatting sqref="B526">
    <cfRule type="duplicateValues" dxfId="821" priority="5"/>
  </conditionalFormatting>
  <conditionalFormatting sqref="N526">
    <cfRule type="duplicateValues" dxfId="820" priority="6"/>
  </conditionalFormatting>
  <conditionalFormatting sqref="B547:B548">
    <cfRule type="duplicateValues" dxfId="819" priority="3"/>
  </conditionalFormatting>
  <conditionalFormatting sqref="N547:N548">
    <cfRule type="duplicateValues" dxfId="818" priority="4"/>
  </conditionalFormatting>
  <conditionalFormatting sqref="B546">
    <cfRule type="duplicateValues" dxfId="817" priority="1"/>
  </conditionalFormatting>
  <conditionalFormatting sqref="N546">
    <cfRule type="duplicateValues" dxfId="816" priority="2"/>
  </conditionalFormatting>
  <pageMargins left="0.7" right="0.7" top="0.75" bottom="0.75" header="0.3" footer="0.3"/>
  <pageSetup paperSize="9" orientation="portrait" r:id="rId3"/>
  <customProperties>
    <customPr name="EpmWorksheetKeyString_GUID" r:id="rId4"/>
  </customPropertie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K522"/>
  <sheetViews>
    <sheetView showGridLines="0" topLeftCell="A434" workbookViewId="0">
      <selection activeCell="I645" sqref="I645"/>
    </sheetView>
  </sheetViews>
  <sheetFormatPr baseColWidth="10" defaultColWidth="10.85546875" defaultRowHeight="15" outlineLevelRow="1" outlineLevelCol="3"/>
  <cols>
    <col min="1" max="1" width="11.42578125" style="718" customWidth="1" outlineLevel="3"/>
    <col min="2" max="2" width="19.7109375" style="718" customWidth="1" outlineLevel="3"/>
    <col min="3" max="3" width="16.85546875" style="453" customWidth="1" outlineLevel="2"/>
    <col min="4" max="4" width="10.42578125" style="718" customWidth="1" outlineLevel="2"/>
    <col min="5" max="5" width="14.7109375" style="718" customWidth="1" outlineLevel="2"/>
    <col min="6" max="6" width="21" style="718" customWidth="1" outlineLevel="2"/>
    <col min="7" max="7" width="11.5703125" style="719" customWidth="1" outlineLevel="2"/>
    <col min="8" max="10" width="10.5703125" style="718" customWidth="1" outlineLevel="1"/>
    <col min="11" max="11" width="11.85546875" style="718" customWidth="1" outlineLevel="1"/>
    <col min="12" max="12" width="13.7109375" style="718" customWidth="1" outlineLevel="1"/>
    <col min="13" max="13" width="15.5703125" style="718" customWidth="1" outlineLevel="1"/>
    <col min="14" max="14" width="12.28515625" style="718" customWidth="1" outlineLevel="1"/>
    <col min="15" max="15" width="21.7109375" style="720" customWidth="1"/>
    <col min="16" max="16" width="8.28515625" style="720" hidden="1" customWidth="1" outlineLevel="1"/>
    <col min="17" max="17" width="122.42578125" style="720" hidden="1" customWidth="1" outlineLevel="1"/>
    <col min="18" max="18" width="6.5703125" style="721" hidden="1" customWidth="1" outlineLevel="1"/>
    <col min="19" max="19" width="68.85546875" style="720" customWidth="1" collapsed="1"/>
    <col min="20" max="20" width="6.42578125" style="720" hidden="1" customWidth="1" outlineLevel="1"/>
    <col min="21" max="21" width="46.28515625" style="720" hidden="1" customWidth="1" outlineLevel="1"/>
    <col min="22" max="22" width="7.5703125" style="720" hidden="1" customWidth="1" outlineLevel="1"/>
    <col min="23" max="23" width="39.42578125" style="722" hidden="1" customWidth="1" outlineLevel="1"/>
    <col min="24" max="24" width="94.7109375" style="722" hidden="1" customWidth="1" outlineLevel="1"/>
    <col min="25" max="25" width="8.5703125" style="722" hidden="1" customWidth="1" outlineLevel="1"/>
    <col min="26" max="26" width="105.5703125" style="722" hidden="1" customWidth="1" outlineLevel="1"/>
    <col min="27" max="27" width="8.42578125" style="722" hidden="1" customWidth="1" outlineLevel="1"/>
    <col min="28" max="28" width="47" style="722" hidden="1" customWidth="1" outlineLevel="1"/>
    <col min="29" max="29" width="7.7109375" style="722" hidden="1" customWidth="1" outlineLevel="1"/>
    <col min="30" max="30" width="54.7109375" style="718" hidden="1" customWidth="1" outlineLevel="1"/>
    <col min="31" max="31" width="28.28515625" style="719" hidden="1" customWidth="1" outlineLevel="1" collapsed="1"/>
    <col min="32" max="32" width="18.42578125" style="719" hidden="1" customWidth="1" outlineLevel="1"/>
    <col min="33" max="33" width="25.7109375" style="723" hidden="1" customWidth="1" outlineLevel="1"/>
    <col min="34" max="34" width="18.42578125" style="723" hidden="1" customWidth="1" outlineLevel="1"/>
    <col min="35" max="35" width="19.140625" style="721" hidden="1" customWidth="1" outlineLevel="1"/>
    <col min="36" max="36" width="12.85546875" style="724" customWidth="1" collapsed="1"/>
    <col min="37" max="16384" width="10.85546875" style="381"/>
  </cols>
  <sheetData>
    <row r="1" spans="1:36" hidden="1" outlineLevel="1">
      <c r="A1" s="718" t="s">
        <v>2882</v>
      </c>
      <c r="B1" s="454" t="e">
        <f>#REF!</f>
        <v>#REF!</v>
      </c>
    </row>
    <row r="2" spans="1:36" hidden="1" outlineLevel="1">
      <c r="B2" s="454" t="e">
        <f>#REF!</f>
        <v>#REF!</v>
      </c>
    </row>
    <row r="3" spans="1:36" hidden="1" outlineLevel="1">
      <c r="B3" s="454" t="s">
        <v>72</v>
      </c>
    </row>
    <row r="4" spans="1:36" hidden="1" outlineLevel="1">
      <c r="A4" s="725"/>
      <c r="B4" s="726"/>
      <c r="D4" s="461"/>
      <c r="E4" s="462"/>
      <c r="F4" s="463"/>
      <c r="G4" s="453"/>
      <c r="H4" s="453"/>
      <c r="I4" s="453"/>
      <c r="J4" s="453"/>
      <c r="K4" s="453"/>
      <c r="L4" s="453"/>
      <c r="M4" s="453"/>
      <c r="N4" s="453"/>
      <c r="O4" s="455"/>
      <c r="P4" s="456"/>
      <c r="Q4" s="456"/>
      <c r="R4" s="455"/>
      <c r="S4" s="456"/>
      <c r="T4" s="456"/>
      <c r="U4" s="456"/>
      <c r="V4" s="456"/>
      <c r="W4" s="458"/>
      <c r="X4" s="458"/>
      <c r="Y4" s="458"/>
      <c r="Z4" s="458"/>
      <c r="AA4" s="458"/>
      <c r="AB4" s="458"/>
      <c r="AC4" s="458"/>
      <c r="AD4" s="458"/>
      <c r="AE4" s="459"/>
      <c r="AF4" s="457"/>
      <c r="AG4" s="457"/>
      <c r="AH4" s="464"/>
      <c r="AI4" s="460"/>
      <c r="AJ4" s="727"/>
    </row>
    <row r="5" spans="1:36" hidden="1" outlineLevel="1">
      <c r="B5" s="454" t="e">
        <f>#REF!</f>
        <v>#REF!</v>
      </c>
      <c r="D5" s="461"/>
      <c r="E5" s="462"/>
      <c r="F5" s="463"/>
      <c r="G5" s="453"/>
      <c r="H5" s="453"/>
      <c r="I5" s="453"/>
      <c r="J5" s="453"/>
      <c r="K5" s="453"/>
      <c r="L5" s="453"/>
      <c r="M5" s="453"/>
      <c r="N5" s="453"/>
      <c r="O5" s="455"/>
      <c r="P5" s="456"/>
      <c r="Q5" s="456"/>
      <c r="R5" s="455"/>
      <c r="S5" s="456"/>
      <c r="T5" s="456"/>
      <c r="U5" s="456"/>
      <c r="V5" s="456"/>
      <c r="W5" s="458"/>
      <c r="X5" s="458"/>
      <c r="Y5" s="458"/>
      <c r="Z5" s="458"/>
      <c r="AA5" s="458"/>
      <c r="AB5" s="458"/>
      <c r="AC5" s="458"/>
      <c r="AD5" s="458"/>
      <c r="AE5" s="459"/>
      <c r="AF5" s="457"/>
      <c r="AG5" s="457"/>
      <c r="AH5" s="464"/>
      <c r="AI5" s="460"/>
    </row>
    <row r="6" spans="1:36" hidden="1" outlineLevel="1">
      <c r="B6" s="454" t="s">
        <v>71</v>
      </c>
      <c r="D6" s="461"/>
      <c r="E6" s="462"/>
      <c r="F6" s="463"/>
      <c r="G6" s="453"/>
      <c r="H6" s="453"/>
      <c r="I6" s="453"/>
      <c r="J6" s="453"/>
      <c r="K6" s="453"/>
      <c r="L6" s="453"/>
      <c r="M6" s="453"/>
      <c r="N6" s="453"/>
      <c r="O6" s="455"/>
      <c r="P6" s="456"/>
      <c r="Q6" s="456"/>
      <c r="R6" s="455"/>
      <c r="S6" s="456"/>
      <c r="T6" s="456"/>
      <c r="U6" s="456"/>
      <c r="V6" s="456"/>
      <c r="W6" s="458"/>
      <c r="X6" s="458"/>
      <c r="Y6" s="458"/>
      <c r="Z6" s="458"/>
      <c r="AA6" s="458"/>
      <c r="AB6" s="458"/>
      <c r="AC6" s="458"/>
      <c r="AD6" s="458"/>
      <c r="AE6" s="459"/>
      <c r="AF6" s="457"/>
      <c r="AG6" s="457"/>
      <c r="AH6" s="464"/>
      <c r="AI6" s="460"/>
    </row>
    <row r="7" spans="1:36" hidden="1" outlineLevel="1">
      <c r="B7" s="454" t="s">
        <v>74</v>
      </c>
      <c r="C7" s="728"/>
      <c r="D7" s="729"/>
      <c r="E7" s="728"/>
      <c r="F7" s="729"/>
      <c r="G7" s="728"/>
      <c r="H7" s="729"/>
      <c r="I7" s="728"/>
      <c r="J7" s="729"/>
      <c r="K7" s="728"/>
      <c r="L7" s="729"/>
      <c r="M7" s="728"/>
      <c r="N7" s="729"/>
      <c r="O7" s="728"/>
      <c r="P7" s="729"/>
      <c r="Q7" s="728"/>
      <c r="R7" s="729"/>
      <c r="S7" s="728"/>
      <c r="T7" s="729"/>
      <c r="U7" s="728"/>
      <c r="V7" s="729"/>
      <c r="W7" s="728"/>
      <c r="X7" s="729"/>
      <c r="Y7" s="728"/>
      <c r="Z7" s="729"/>
      <c r="AA7" s="728"/>
      <c r="AB7" s="729"/>
      <c r="AC7" s="728"/>
      <c r="AD7" s="729"/>
      <c r="AE7" s="728"/>
      <c r="AF7" s="729"/>
      <c r="AG7" s="728"/>
      <c r="AH7" s="729"/>
      <c r="AI7" s="728"/>
      <c r="AJ7" s="729"/>
    </row>
    <row r="8" spans="1:36" ht="15.75" hidden="1" outlineLevel="1" thickBot="1">
      <c r="D8" s="466"/>
      <c r="E8" s="457"/>
      <c r="F8" s="466"/>
      <c r="G8" s="466"/>
      <c r="H8" s="466"/>
      <c r="I8" s="466"/>
      <c r="J8" s="466"/>
      <c r="K8" s="466"/>
      <c r="L8" s="466"/>
      <c r="M8" s="466"/>
      <c r="N8" s="466"/>
      <c r="O8" s="457"/>
      <c r="P8" s="466"/>
      <c r="Q8" s="466"/>
      <c r="R8" s="466"/>
      <c r="S8" s="466"/>
      <c r="T8" s="466"/>
      <c r="U8" s="466"/>
      <c r="V8" s="466"/>
      <c r="W8" s="466"/>
      <c r="X8" s="466"/>
      <c r="Y8" s="466"/>
      <c r="Z8" s="466"/>
      <c r="AA8" s="466"/>
      <c r="AB8" s="466"/>
      <c r="AC8" s="466"/>
      <c r="AD8" s="466"/>
      <c r="AE8" s="468"/>
      <c r="AF8" s="469"/>
      <c r="AG8" s="469"/>
      <c r="AH8" s="455"/>
      <c r="AI8" s="460"/>
      <c r="AJ8" s="730"/>
    </row>
    <row r="9" spans="1:36" ht="16.5" collapsed="1" thickTop="1" thickBot="1">
      <c r="D9" s="466"/>
      <c r="E9" s="457"/>
      <c r="F9" s="466"/>
      <c r="G9" s="466"/>
      <c r="H9" s="466"/>
      <c r="I9" s="466"/>
      <c r="J9" s="466"/>
      <c r="K9" s="466"/>
      <c r="L9" s="466"/>
      <c r="M9" s="466"/>
      <c r="N9" s="466"/>
      <c r="O9" s="457"/>
      <c r="P9" s="466"/>
      <c r="Q9" s="466"/>
      <c r="R9" s="466"/>
      <c r="S9" s="466"/>
      <c r="T9" s="466"/>
      <c r="U9" s="466"/>
      <c r="V9" s="466"/>
      <c r="W9" s="466"/>
      <c r="X9" s="466"/>
      <c r="Y9" s="466"/>
      <c r="Z9" s="466"/>
      <c r="AA9" s="466"/>
      <c r="AB9" s="466"/>
      <c r="AC9" s="466"/>
      <c r="AD9" s="466"/>
      <c r="AE9" s="468"/>
      <c r="AF9" s="466"/>
      <c r="AG9" s="466"/>
      <c r="AH9" s="455"/>
      <c r="AI9" s="460"/>
      <c r="AJ9" s="481"/>
    </row>
    <row r="10" spans="1:36" ht="27" thickTop="1" thickBot="1">
      <c r="A10" s="470" t="s">
        <v>2883</v>
      </c>
      <c r="B10" s="470" t="s">
        <v>2879</v>
      </c>
      <c r="C10" s="470" t="s">
        <v>6607</v>
      </c>
      <c r="D10" s="470" t="s">
        <v>2884</v>
      </c>
      <c r="E10" s="470" t="s">
        <v>2885</v>
      </c>
      <c r="F10" s="470" t="s">
        <v>2886</v>
      </c>
      <c r="G10" s="470" t="s">
        <v>2887</v>
      </c>
      <c r="H10" s="471" t="s">
        <v>2888</v>
      </c>
      <c r="I10" s="472" t="s">
        <v>2889</v>
      </c>
      <c r="J10" s="473" t="s">
        <v>2890</v>
      </c>
      <c r="K10" s="474" t="s">
        <v>2891</v>
      </c>
      <c r="L10" s="475" t="s">
        <v>2892</v>
      </c>
      <c r="M10" s="476" t="s">
        <v>2893</v>
      </c>
      <c r="N10" s="477" t="s">
        <v>2894</v>
      </c>
      <c r="O10" s="470" t="s">
        <v>2895</v>
      </c>
      <c r="P10" s="470" t="s">
        <v>2896</v>
      </c>
      <c r="Q10" s="478" t="s">
        <v>2897</v>
      </c>
      <c r="R10" s="470" t="s">
        <v>2896</v>
      </c>
      <c r="S10" s="478" t="s">
        <v>2898</v>
      </c>
      <c r="T10" s="470" t="s">
        <v>2896</v>
      </c>
      <c r="U10" s="478" t="s">
        <v>2899</v>
      </c>
      <c r="V10" s="470" t="s">
        <v>2896</v>
      </c>
      <c r="W10" s="478" t="s">
        <v>2900</v>
      </c>
      <c r="X10" s="479" t="s">
        <v>2901</v>
      </c>
      <c r="Y10" s="470" t="s">
        <v>2896</v>
      </c>
      <c r="Z10" s="478" t="s">
        <v>2902</v>
      </c>
      <c r="AA10" s="470" t="s">
        <v>2896</v>
      </c>
      <c r="AB10" s="478" t="s">
        <v>2903</v>
      </c>
      <c r="AC10" s="470" t="s">
        <v>2896</v>
      </c>
      <c r="AD10" s="478" t="s">
        <v>2904</v>
      </c>
      <c r="AE10" s="480" t="s">
        <v>2907</v>
      </c>
      <c r="AF10" s="480" t="s">
        <v>2908</v>
      </c>
      <c r="AG10" s="480" t="s">
        <v>2909</v>
      </c>
      <c r="AH10" s="480" t="s">
        <v>1435</v>
      </c>
      <c r="AI10" s="480" t="s">
        <v>2910</v>
      </c>
      <c r="AJ10" s="481" t="s">
        <v>2324</v>
      </c>
    </row>
    <row r="11" spans="1:36" ht="12" customHeight="1">
      <c r="A11" s="718" t="s">
        <v>2879</v>
      </c>
      <c r="B11" s="718" t="s">
        <v>6608</v>
      </c>
      <c r="C11" s="453" t="s">
        <v>2315</v>
      </c>
      <c r="D11" s="731" t="s">
        <v>6609</v>
      </c>
      <c r="E11" s="655">
        <v>44035</v>
      </c>
      <c r="F11" s="732" t="s">
        <v>2912</v>
      </c>
      <c r="G11" s="732">
        <v>0</v>
      </c>
      <c r="H11" s="732" t="s">
        <v>2315</v>
      </c>
      <c r="I11" s="733" t="s">
        <v>6610</v>
      </c>
      <c r="J11" s="733" t="s">
        <v>6610</v>
      </c>
      <c r="K11" s="733" t="s">
        <v>6610</v>
      </c>
      <c r="L11" s="733" t="s">
        <v>6610</v>
      </c>
      <c r="M11" s="733" t="s">
        <v>6610</v>
      </c>
      <c r="N11" s="733" t="s">
        <v>6610</v>
      </c>
      <c r="O11" s="734"/>
      <c r="P11" s="735">
        <v>0</v>
      </c>
      <c r="Q11" s="736" t="s">
        <v>1875</v>
      </c>
      <c r="R11" s="735">
        <v>6</v>
      </c>
      <c r="S11" s="737" t="s">
        <v>1875</v>
      </c>
      <c r="T11" s="735">
        <v>6</v>
      </c>
      <c r="U11" s="736" t="s">
        <v>1875</v>
      </c>
      <c r="V11" s="735">
        <v>6</v>
      </c>
      <c r="W11" s="736" t="s">
        <v>6611</v>
      </c>
      <c r="X11" s="736" t="s">
        <v>6612</v>
      </c>
      <c r="Y11" s="738">
        <v>11</v>
      </c>
      <c r="Z11" s="737" t="s">
        <v>6612</v>
      </c>
      <c r="AA11" s="735">
        <v>11</v>
      </c>
      <c r="AB11" s="736" t="s">
        <v>6612</v>
      </c>
      <c r="AC11" s="735">
        <v>11</v>
      </c>
      <c r="AD11" s="738" t="s">
        <v>6613</v>
      </c>
      <c r="AE11" s="689"/>
      <c r="AF11" s="494" t="s">
        <v>2917</v>
      </c>
      <c r="AG11" s="739"/>
      <c r="AH11" s="740"/>
      <c r="AI11" s="740"/>
      <c r="AJ11" s="741">
        <f>_xll.GetCtData("COAMOUNT","CONSAMOUNT",$B$1:$B$7,$B11,AJ$8,"#434943216,087087")</f>
        <v>434943216</v>
      </c>
    </row>
    <row r="12" spans="1:36" ht="12" customHeight="1">
      <c r="A12" s="718" t="s">
        <v>2879</v>
      </c>
      <c r="B12" s="718" t="s">
        <v>6614</v>
      </c>
      <c r="C12" s="453" t="s">
        <v>6615</v>
      </c>
      <c r="D12" s="731" t="s">
        <v>6609</v>
      </c>
      <c r="E12" s="655">
        <v>44035</v>
      </c>
      <c r="F12" s="732" t="s">
        <v>2912</v>
      </c>
      <c r="G12" s="732">
        <v>1</v>
      </c>
      <c r="H12" s="732" t="s">
        <v>6610</v>
      </c>
      <c r="I12" s="742" t="s">
        <v>6615</v>
      </c>
      <c r="J12" s="742" t="s">
        <v>6610</v>
      </c>
      <c r="K12" s="742" t="s">
        <v>6610</v>
      </c>
      <c r="L12" s="742" t="s">
        <v>6610</v>
      </c>
      <c r="M12" s="742" t="s">
        <v>6610</v>
      </c>
      <c r="N12" s="742" t="s">
        <v>6610</v>
      </c>
      <c r="O12" s="743"/>
      <c r="P12" s="735">
        <v>0</v>
      </c>
      <c r="Q12" s="744" t="s">
        <v>1071</v>
      </c>
      <c r="R12" s="735">
        <v>23</v>
      </c>
      <c r="S12" s="745" t="s">
        <v>1071</v>
      </c>
      <c r="T12" s="735">
        <v>23</v>
      </c>
      <c r="U12" s="744" t="s">
        <v>1071</v>
      </c>
      <c r="V12" s="735">
        <v>23</v>
      </c>
      <c r="W12" s="744" t="s">
        <v>6616</v>
      </c>
      <c r="X12" s="744" t="s">
        <v>6617</v>
      </c>
      <c r="Y12" s="738">
        <v>12</v>
      </c>
      <c r="Z12" s="745" t="s">
        <v>6617</v>
      </c>
      <c r="AA12" s="735">
        <v>12</v>
      </c>
      <c r="AB12" s="744" t="s">
        <v>6617</v>
      </c>
      <c r="AC12" s="735">
        <v>12</v>
      </c>
      <c r="AD12" s="738" t="s">
        <v>6618</v>
      </c>
      <c r="AE12" s="689"/>
      <c r="AF12" s="494" t="s">
        <v>2917</v>
      </c>
      <c r="AJ12" s="746">
        <f>_xll.GetCtData("COAMOUNT","CONSAMOUNT",$B$1:$B$7,$B12,AJ$8,"#21111074,118544")</f>
        <v>21111074</v>
      </c>
    </row>
    <row r="13" spans="1:36" ht="12" customHeight="1">
      <c r="A13" s="718" t="s">
        <v>2879</v>
      </c>
      <c r="B13" s="718" t="s">
        <v>6619</v>
      </c>
      <c r="C13" s="453" t="s">
        <v>6620</v>
      </c>
      <c r="D13" s="731" t="s">
        <v>6609</v>
      </c>
      <c r="E13" s="655">
        <v>44035</v>
      </c>
      <c r="F13" s="732" t="s">
        <v>2912</v>
      </c>
      <c r="G13" s="732">
        <v>2</v>
      </c>
      <c r="H13" s="732" t="s">
        <v>6610</v>
      </c>
      <c r="I13" s="733" t="s">
        <v>6610</v>
      </c>
      <c r="J13" s="747" t="s">
        <v>6620</v>
      </c>
      <c r="K13" s="747" t="s">
        <v>6610</v>
      </c>
      <c r="L13" s="747" t="s">
        <v>6610</v>
      </c>
      <c r="M13" s="747" t="s">
        <v>6610</v>
      </c>
      <c r="N13" s="747" t="s">
        <v>6610</v>
      </c>
      <c r="O13" s="748"/>
      <c r="P13" s="735">
        <v>0</v>
      </c>
      <c r="Q13" s="749" t="s">
        <v>14</v>
      </c>
      <c r="R13" s="735">
        <v>26</v>
      </c>
      <c r="S13" s="750" t="s">
        <v>14</v>
      </c>
      <c r="T13" s="735">
        <v>26</v>
      </c>
      <c r="U13" s="749" t="s">
        <v>14</v>
      </c>
      <c r="V13" s="735">
        <v>26</v>
      </c>
      <c r="W13" s="749" t="s">
        <v>6616</v>
      </c>
      <c r="X13" s="749" t="s">
        <v>6621</v>
      </c>
      <c r="Y13" s="738">
        <v>51</v>
      </c>
      <c r="Z13" s="750" t="s">
        <v>6621</v>
      </c>
      <c r="AA13" s="735">
        <v>51</v>
      </c>
      <c r="AB13" s="749" t="s">
        <v>6622</v>
      </c>
      <c r="AC13" s="735">
        <v>30</v>
      </c>
      <c r="AD13" s="738" t="s">
        <v>6618</v>
      </c>
      <c r="AE13" s="689"/>
      <c r="AF13" s="494" t="s">
        <v>2917</v>
      </c>
      <c r="AJ13" s="751">
        <f>_xll.GetCtData("COAMOUNT","CONSAMOUNT",$B$1:$B$7,$B13,AJ$8,"#17520415,6310543")</f>
        <v>17520415</v>
      </c>
    </row>
    <row r="14" spans="1:36" ht="12" customHeight="1">
      <c r="A14" s="718" t="s">
        <v>2879</v>
      </c>
      <c r="B14" s="718" t="s">
        <v>6623</v>
      </c>
      <c r="C14" s="453" t="s">
        <v>6624</v>
      </c>
      <c r="D14" s="731" t="s">
        <v>6609</v>
      </c>
      <c r="E14" s="655">
        <v>44035</v>
      </c>
      <c r="F14" s="732" t="s">
        <v>2912</v>
      </c>
      <c r="G14" s="732">
        <v>3</v>
      </c>
      <c r="H14" s="732" t="s">
        <v>6610</v>
      </c>
      <c r="I14" s="733" t="s">
        <v>6610</v>
      </c>
      <c r="J14" s="733" t="s">
        <v>6610</v>
      </c>
      <c r="K14" s="752" t="s">
        <v>6624</v>
      </c>
      <c r="L14" s="752" t="s">
        <v>6610</v>
      </c>
      <c r="M14" s="752" t="s">
        <v>6610</v>
      </c>
      <c r="N14" s="752" t="s">
        <v>6610</v>
      </c>
      <c r="O14" s="753"/>
      <c r="P14" s="735">
        <v>0</v>
      </c>
      <c r="Q14" s="754" t="s">
        <v>10</v>
      </c>
      <c r="R14" s="735">
        <v>7</v>
      </c>
      <c r="S14" s="755" t="s">
        <v>10</v>
      </c>
      <c r="T14" s="735">
        <v>7</v>
      </c>
      <c r="U14" s="754" t="s">
        <v>10</v>
      </c>
      <c r="V14" s="735">
        <v>7</v>
      </c>
      <c r="W14" s="754" t="s">
        <v>6616</v>
      </c>
      <c r="X14" s="754" t="s">
        <v>6625</v>
      </c>
      <c r="Y14" s="738">
        <v>13</v>
      </c>
      <c r="Z14" s="755" t="s">
        <v>6625</v>
      </c>
      <c r="AA14" s="735">
        <v>13</v>
      </c>
      <c r="AB14" s="754" t="s">
        <v>6625</v>
      </c>
      <c r="AC14" s="735">
        <v>13</v>
      </c>
      <c r="AD14" s="738" t="s">
        <v>6618</v>
      </c>
      <c r="AE14" s="689"/>
      <c r="AF14" s="494" t="s">
        <v>2917</v>
      </c>
      <c r="AJ14" s="756">
        <f>_xll.GetCtData("COAMOUNT","CONSAMOUNT",$B$1:$B$7,$B14,AJ$8,"#686618,1246")</f>
        <v>686618</v>
      </c>
    </row>
    <row r="15" spans="1:36" ht="12" customHeight="1">
      <c r="A15" s="718" t="s">
        <v>2879</v>
      </c>
      <c r="B15" s="718" t="s">
        <v>6626</v>
      </c>
      <c r="C15" s="453" t="s">
        <v>6627</v>
      </c>
      <c r="D15" s="731" t="s">
        <v>6609</v>
      </c>
      <c r="E15" s="655">
        <v>44035</v>
      </c>
      <c r="F15" s="732" t="s">
        <v>2930</v>
      </c>
      <c r="G15" s="732">
        <v>7</v>
      </c>
      <c r="H15" s="732" t="s">
        <v>6610</v>
      </c>
      <c r="I15" s="733" t="s">
        <v>6610</v>
      </c>
      <c r="J15" s="733" t="s">
        <v>6610</v>
      </c>
      <c r="K15" s="733" t="s">
        <v>6610</v>
      </c>
      <c r="L15" s="733" t="s">
        <v>6610</v>
      </c>
      <c r="M15" s="733" t="s">
        <v>6610</v>
      </c>
      <c r="N15" s="733" t="s">
        <v>6610</v>
      </c>
      <c r="O15" s="757" t="s">
        <v>6627</v>
      </c>
      <c r="P15" s="735">
        <v>9</v>
      </c>
      <c r="Q15" s="758" t="s">
        <v>6628</v>
      </c>
      <c r="R15" s="735">
        <v>14</v>
      </c>
      <c r="S15" s="759" t="s">
        <v>6628</v>
      </c>
      <c r="T15" s="735">
        <v>14</v>
      </c>
      <c r="U15" s="758" t="s">
        <v>6628</v>
      </c>
      <c r="V15" s="735">
        <v>14</v>
      </c>
      <c r="W15" s="758" t="s">
        <v>6616</v>
      </c>
      <c r="X15" s="758" t="s">
        <v>6625</v>
      </c>
      <c r="Y15" s="738">
        <v>13</v>
      </c>
      <c r="Z15" s="759" t="s">
        <v>6625</v>
      </c>
      <c r="AA15" s="735">
        <v>13</v>
      </c>
      <c r="AB15" s="758" t="s">
        <v>6629</v>
      </c>
      <c r="AC15" s="735">
        <v>14</v>
      </c>
      <c r="AD15" s="738" t="s">
        <v>6618</v>
      </c>
      <c r="AE15" s="689" t="s">
        <v>5930</v>
      </c>
      <c r="AF15" s="494" t="s">
        <v>2917</v>
      </c>
      <c r="AJ15" s="760">
        <f>_xll.GetCtData("COAMOUNT","CONSAMOUNT",$B$1:$B$7,$B15,AJ$8,"#686618,1246")</f>
        <v>686618</v>
      </c>
    </row>
    <row r="16" spans="1:36" ht="12" customHeight="1">
      <c r="A16" s="718" t="s">
        <v>2879</v>
      </c>
      <c r="B16" s="718" t="s">
        <v>6630</v>
      </c>
      <c r="C16" s="453" t="s">
        <v>6631</v>
      </c>
      <c r="D16" s="731" t="s">
        <v>6609</v>
      </c>
      <c r="E16" s="655">
        <v>44035</v>
      </c>
      <c r="F16" s="732" t="s">
        <v>2912</v>
      </c>
      <c r="G16" s="732">
        <v>3</v>
      </c>
      <c r="H16" s="732" t="s">
        <v>6610</v>
      </c>
      <c r="I16" s="733" t="s">
        <v>6610</v>
      </c>
      <c r="J16" s="733" t="s">
        <v>6610</v>
      </c>
      <c r="K16" s="752" t="s">
        <v>6631</v>
      </c>
      <c r="L16" s="752" t="s">
        <v>6610</v>
      </c>
      <c r="M16" s="752" t="s">
        <v>6610</v>
      </c>
      <c r="N16" s="752" t="s">
        <v>6610</v>
      </c>
      <c r="O16" s="753"/>
      <c r="P16" s="735">
        <v>0</v>
      </c>
      <c r="Q16" s="754" t="s">
        <v>6632</v>
      </c>
      <c r="R16" s="735">
        <v>40</v>
      </c>
      <c r="S16" s="755" t="s">
        <v>6632</v>
      </c>
      <c r="T16" s="735">
        <v>40</v>
      </c>
      <c r="U16" s="754" t="s">
        <v>6633</v>
      </c>
      <c r="V16" s="735">
        <v>30</v>
      </c>
      <c r="W16" s="754" t="s">
        <v>6616</v>
      </c>
      <c r="X16" s="754" t="s">
        <v>6634</v>
      </c>
      <c r="Y16" s="738">
        <v>21</v>
      </c>
      <c r="Z16" s="755" t="s">
        <v>6634</v>
      </c>
      <c r="AA16" s="735">
        <v>21</v>
      </c>
      <c r="AB16" s="754" t="s">
        <v>6634</v>
      </c>
      <c r="AC16" s="735">
        <v>21</v>
      </c>
      <c r="AD16" s="738" t="s">
        <v>6618</v>
      </c>
      <c r="AE16" s="689"/>
      <c r="AF16" s="494" t="s">
        <v>2917</v>
      </c>
      <c r="AJ16" s="756">
        <f>_xll.GetCtData("COAMOUNT","CONSAMOUNT",$B$1:$B$7,$B16,AJ$8,"#1736332")</f>
        <v>1736332</v>
      </c>
    </row>
    <row r="17" spans="1:36" ht="12" customHeight="1">
      <c r="A17" s="718" t="s">
        <v>2879</v>
      </c>
      <c r="B17" s="718" t="s">
        <v>6635</v>
      </c>
      <c r="C17" s="453" t="s">
        <v>6636</v>
      </c>
      <c r="D17" s="731" t="s">
        <v>6609</v>
      </c>
      <c r="E17" s="655">
        <v>44035</v>
      </c>
      <c r="F17" s="732" t="s">
        <v>2930</v>
      </c>
      <c r="G17" s="732">
        <v>7</v>
      </c>
      <c r="H17" s="732" t="s">
        <v>6610</v>
      </c>
      <c r="I17" s="733" t="s">
        <v>6610</v>
      </c>
      <c r="J17" s="733" t="s">
        <v>6610</v>
      </c>
      <c r="K17" s="733" t="s">
        <v>6610</v>
      </c>
      <c r="L17" s="733" t="s">
        <v>6610</v>
      </c>
      <c r="M17" s="733" t="s">
        <v>6610</v>
      </c>
      <c r="N17" s="733" t="s">
        <v>6610</v>
      </c>
      <c r="O17" s="757" t="s">
        <v>6636</v>
      </c>
      <c r="P17" s="735">
        <v>9</v>
      </c>
      <c r="Q17" s="758" t="s">
        <v>6637</v>
      </c>
      <c r="R17" s="735">
        <v>23</v>
      </c>
      <c r="S17" s="759" t="s">
        <v>6637</v>
      </c>
      <c r="T17" s="735">
        <v>23</v>
      </c>
      <c r="U17" s="758" t="s">
        <v>6637</v>
      </c>
      <c r="V17" s="735">
        <v>23</v>
      </c>
      <c r="W17" s="758" t="s">
        <v>6616</v>
      </c>
      <c r="X17" s="758" t="s">
        <v>6638</v>
      </c>
      <c r="Y17" s="738">
        <v>26</v>
      </c>
      <c r="Z17" s="759" t="s">
        <v>6638</v>
      </c>
      <c r="AA17" s="735">
        <v>26</v>
      </c>
      <c r="AB17" s="758" t="s">
        <v>6638</v>
      </c>
      <c r="AC17" s="735">
        <v>26</v>
      </c>
      <c r="AD17" s="738" t="s">
        <v>6618</v>
      </c>
      <c r="AE17" s="689"/>
      <c r="AF17" s="494" t="s">
        <v>2917</v>
      </c>
      <c r="AJ17" s="760">
        <f>_xll.GetCtData("COAMOUNT","CONSAMOUNT",$B$1:$B$7,$B17,AJ$8,"#1736332")</f>
        <v>1736332</v>
      </c>
    </row>
    <row r="18" spans="1:36" ht="12" customHeight="1">
      <c r="A18" s="718" t="s">
        <v>2879</v>
      </c>
      <c r="B18" s="718" t="s">
        <v>6639</v>
      </c>
      <c r="C18" s="453" t="s">
        <v>6640</v>
      </c>
      <c r="D18" s="731" t="s">
        <v>6609</v>
      </c>
      <c r="E18" s="655">
        <v>44035</v>
      </c>
      <c r="F18" s="732" t="s">
        <v>2912</v>
      </c>
      <c r="G18" s="732">
        <v>3</v>
      </c>
      <c r="H18" s="732" t="s">
        <v>6610</v>
      </c>
      <c r="I18" s="733" t="s">
        <v>6610</v>
      </c>
      <c r="J18" s="733" t="s">
        <v>6610</v>
      </c>
      <c r="K18" s="752" t="s">
        <v>6640</v>
      </c>
      <c r="L18" s="752" t="s">
        <v>6610</v>
      </c>
      <c r="M18" s="752" t="s">
        <v>6610</v>
      </c>
      <c r="N18" s="752" t="s">
        <v>6610</v>
      </c>
      <c r="O18" s="753"/>
      <c r="P18" s="735">
        <v>0</v>
      </c>
      <c r="Q18" s="761" t="s">
        <v>6641</v>
      </c>
      <c r="R18" s="735">
        <v>75</v>
      </c>
      <c r="S18" s="762" t="s">
        <v>6641</v>
      </c>
      <c r="T18" s="735">
        <v>75</v>
      </c>
      <c r="U18" s="761" t="s">
        <v>6642</v>
      </c>
      <c r="V18" s="735">
        <v>27</v>
      </c>
      <c r="W18" s="761" t="s">
        <v>6616</v>
      </c>
      <c r="X18" s="761" t="s">
        <v>6643</v>
      </c>
      <c r="Y18" s="738">
        <v>41</v>
      </c>
      <c r="Z18" s="762" t="s">
        <v>6643</v>
      </c>
      <c r="AA18" s="735">
        <v>41</v>
      </c>
      <c r="AB18" s="761" t="s">
        <v>6644</v>
      </c>
      <c r="AC18" s="735">
        <v>29</v>
      </c>
      <c r="AD18" s="738" t="s">
        <v>6618</v>
      </c>
      <c r="AE18" s="689"/>
      <c r="AF18" s="494" t="s">
        <v>2917</v>
      </c>
      <c r="AJ18" s="763">
        <f>_xll.GetCtData("COAMOUNT","CONSAMOUNT",$B$1:$B$7,$B18,AJ$8,"#-3037778,05184788")</f>
        <v>-3037778</v>
      </c>
    </row>
    <row r="19" spans="1:36" ht="12" customHeight="1">
      <c r="A19" s="718" t="s">
        <v>2879</v>
      </c>
      <c r="B19" s="718" t="s">
        <v>6645</v>
      </c>
      <c r="C19" s="453" t="s">
        <v>6646</v>
      </c>
      <c r="D19" s="731" t="s">
        <v>6609</v>
      </c>
      <c r="E19" s="655">
        <v>44035</v>
      </c>
      <c r="F19" s="732" t="s">
        <v>2912</v>
      </c>
      <c r="G19" s="732">
        <v>4</v>
      </c>
      <c r="H19" s="732" t="s">
        <v>6610</v>
      </c>
      <c r="I19" s="733" t="s">
        <v>6610</v>
      </c>
      <c r="J19" s="733" t="s">
        <v>6610</v>
      </c>
      <c r="K19" s="733" t="s">
        <v>6610</v>
      </c>
      <c r="L19" s="764" t="s">
        <v>6646</v>
      </c>
      <c r="M19" s="764" t="s">
        <v>6610</v>
      </c>
      <c r="N19" s="764" t="s">
        <v>6610</v>
      </c>
      <c r="O19" s="765"/>
      <c r="P19" s="735">
        <v>0</v>
      </c>
      <c r="Q19" s="766" t="s">
        <v>50</v>
      </c>
      <c r="R19" s="735">
        <v>23</v>
      </c>
      <c r="S19" s="767" t="s">
        <v>50</v>
      </c>
      <c r="T19" s="735">
        <v>23</v>
      </c>
      <c r="U19" s="766" t="s">
        <v>50</v>
      </c>
      <c r="V19" s="735">
        <v>23</v>
      </c>
      <c r="W19" s="766" t="s">
        <v>6616</v>
      </c>
      <c r="X19" s="766" t="s">
        <v>6647</v>
      </c>
      <c r="Y19" s="738">
        <v>19</v>
      </c>
      <c r="Z19" s="767" t="s">
        <v>6647</v>
      </c>
      <c r="AA19" s="735">
        <v>19</v>
      </c>
      <c r="AB19" s="766" t="s">
        <v>6647</v>
      </c>
      <c r="AC19" s="735">
        <v>19</v>
      </c>
      <c r="AD19" s="738" t="s">
        <v>6618</v>
      </c>
      <c r="AE19" s="689"/>
      <c r="AF19" s="494" t="s">
        <v>2917</v>
      </c>
      <c r="AJ19" s="768">
        <f>_xll.GetCtData("COAMOUNT","CONSAMOUNT",$B$1:$B$7,$B19,AJ$8,"#-11222151,3067254")</f>
        <v>-11222151</v>
      </c>
    </row>
    <row r="20" spans="1:36" ht="12" customHeight="1">
      <c r="A20" s="718" t="s">
        <v>2879</v>
      </c>
      <c r="B20" s="718" t="s">
        <v>2634</v>
      </c>
      <c r="C20" s="453" t="s">
        <v>6648</v>
      </c>
      <c r="D20" s="731" t="s">
        <v>6609</v>
      </c>
      <c r="E20" s="655">
        <v>44035</v>
      </c>
      <c r="F20" s="732" t="s">
        <v>2912</v>
      </c>
      <c r="G20" s="732">
        <v>5</v>
      </c>
      <c r="H20" s="732" t="s">
        <v>6610</v>
      </c>
      <c r="I20" s="733" t="s">
        <v>6610</v>
      </c>
      <c r="J20" s="733" t="s">
        <v>6610</v>
      </c>
      <c r="K20" s="733" t="s">
        <v>6610</v>
      </c>
      <c r="L20" s="733" t="s">
        <v>6610</v>
      </c>
      <c r="M20" s="769" t="s">
        <v>6648</v>
      </c>
      <c r="N20" s="769" t="s">
        <v>6610</v>
      </c>
      <c r="O20" s="770"/>
      <c r="P20" s="735">
        <v>0</v>
      </c>
      <c r="Q20" s="771" t="s">
        <v>6649</v>
      </c>
      <c r="R20" s="735">
        <v>26</v>
      </c>
      <c r="S20" s="772" t="s">
        <v>6649</v>
      </c>
      <c r="T20" s="735">
        <v>26</v>
      </c>
      <c r="U20" s="771" t="s">
        <v>6649</v>
      </c>
      <c r="V20" s="735">
        <v>26</v>
      </c>
      <c r="W20" s="771" t="s">
        <v>6616</v>
      </c>
      <c r="X20" s="771" t="s">
        <v>6650</v>
      </c>
      <c r="Y20" s="738">
        <v>36</v>
      </c>
      <c r="Z20" s="772" t="s">
        <v>6650</v>
      </c>
      <c r="AA20" s="735">
        <v>36</v>
      </c>
      <c r="AB20" s="771" t="s">
        <v>6651</v>
      </c>
      <c r="AC20" s="735">
        <v>30</v>
      </c>
      <c r="AD20" s="738" t="s">
        <v>6618</v>
      </c>
      <c r="AE20" s="689"/>
      <c r="AF20" s="494" t="s">
        <v>2917</v>
      </c>
      <c r="AJ20" s="773">
        <f>_xll.GetCtData("COAMOUNT","CONSAMOUNT",$B$1:$B$7,$B20,AJ$8,"#-14894928,7567141")</f>
        <v>-14894928</v>
      </c>
    </row>
    <row r="21" spans="1:36" ht="12" customHeight="1">
      <c r="A21" s="718" t="s">
        <v>2879</v>
      </c>
      <c r="B21" s="718" t="s">
        <v>6652</v>
      </c>
      <c r="C21" s="453" t="s">
        <v>6653</v>
      </c>
      <c r="D21" s="731" t="s">
        <v>6609</v>
      </c>
      <c r="E21" s="655">
        <v>44035</v>
      </c>
      <c r="F21" s="732" t="s">
        <v>2912</v>
      </c>
      <c r="G21" s="732">
        <v>6</v>
      </c>
      <c r="H21" s="732" t="s">
        <v>6610</v>
      </c>
      <c r="I21" s="733" t="s">
        <v>6610</v>
      </c>
      <c r="J21" s="733" t="s">
        <v>6610</v>
      </c>
      <c r="K21" s="733" t="s">
        <v>6610</v>
      </c>
      <c r="L21" s="733" t="s">
        <v>6610</v>
      </c>
      <c r="M21" s="733" t="s">
        <v>6610</v>
      </c>
      <c r="N21" s="774" t="s">
        <v>6653</v>
      </c>
      <c r="O21" s="775"/>
      <c r="P21" s="735">
        <v>0</v>
      </c>
      <c r="Q21" s="776" t="s">
        <v>6654</v>
      </c>
      <c r="R21" s="735">
        <v>60</v>
      </c>
      <c r="S21" s="777" t="s">
        <v>6654</v>
      </c>
      <c r="T21" s="735">
        <v>60</v>
      </c>
      <c r="U21" s="776" t="s">
        <v>6655</v>
      </c>
      <c r="V21" s="735">
        <v>28</v>
      </c>
      <c r="W21" s="776" t="s">
        <v>6616</v>
      </c>
      <c r="X21" s="776" t="s">
        <v>6656</v>
      </c>
      <c r="Y21" s="738">
        <v>43</v>
      </c>
      <c r="Z21" s="777" t="s">
        <v>6656</v>
      </c>
      <c r="AA21" s="735">
        <v>43</v>
      </c>
      <c r="AB21" s="776" t="s">
        <v>6657</v>
      </c>
      <c r="AC21" s="735">
        <v>29</v>
      </c>
      <c r="AD21" s="738" t="s">
        <v>6618</v>
      </c>
      <c r="AE21" s="689" t="s">
        <v>5930</v>
      </c>
      <c r="AF21" s="494" t="s">
        <v>2917</v>
      </c>
      <c r="AJ21" s="778">
        <f>_xll.GetCtData("COAMOUNT","CONSAMOUNT",$B$1:$B$7,$B21,AJ$8,"#-10691618,5854415")</f>
        <v>-10691618</v>
      </c>
    </row>
    <row r="22" spans="1:36" ht="12" customHeight="1">
      <c r="A22" s="718" t="s">
        <v>2879</v>
      </c>
      <c r="B22" s="718" t="s">
        <v>1318</v>
      </c>
      <c r="C22" s="453" t="s">
        <v>6658</v>
      </c>
      <c r="D22" s="731" t="s">
        <v>6609</v>
      </c>
      <c r="E22" s="655">
        <v>44035</v>
      </c>
      <c r="F22" s="732" t="s">
        <v>2930</v>
      </c>
      <c r="G22" s="732">
        <v>7</v>
      </c>
      <c r="H22" s="732" t="s">
        <v>6610</v>
      </c>
      <c r="I22" s="733" t="s">
        <v>6610</v>
      </c>
      <c r="J22" s="733" t="s">
        <v>6610</v>
      </c>
      <c r="K22" s="733" t="s">
        <v>6610</v>
      </c>
      <c r="L22" s="733" t="s">
        <v>6610</v>
      </c>
      <c r="M22" s="733" t="s">
        <v>6610</v>
      </c>
      <c r="N22" s="733" t="s">
        <v>6610</v>
      </c>
      <c r="O22" s="757" t="s">
        <v>6658</v>
      </c>
      <c r="P22" s="735">
        <v>10</v>
      </c>
      <c r="Q22" s="758" t="s">
        <v>6659</v>
      </c>
      <c r="R22" s="735">
        <v>84</v>
      </c>
      <c r="S22" s="759" t="s">
        <v>6659</v>
      </c>
      <c r="T22" s="735">
        <v>84</v>
      </c>
      <c r="U22" s="758" t="s">
        <v>6660</v>
      </c>
      <c r="V22" s="735">
        <v>25</v>
      </c>
      <c r="W22" s="758" t="s">
        <v>6616</v>
      </c>
      <c r="X22" s="758" t="s">
        <v>6661</v>
      </c>
      <c r="Y22" s="738">
        <v>71</v>
      </c>
      <c r="Z22" s="759" t="s">
        <v>6661</v>
      </c>
      <c r="AA22" s="735">
        <v>71</v>
      </c>
      <c r="AB22" s="758" t="s">
        <v>6662</v>
      </c>
      <c r="AC22" s="735">
        <v>29</v>
      </c>
      <c r="AD22" s="738" t="s">
        <v>6618</v>
      </c>
      <c r="AE22" s="689" t="s">
        <v>5930</v>
      </c>
      <c r="AF22" s="494" t="s">
        <v>2917</v>
      </c>
      <c r="AJ22" s="760">
        <f>_xll.GetCtData("COAMOUNT","CONSAMOUNT",$B$1:$B$7,$B22,AJ$8,"#-14467780,8675447")</f>
        <v>-14467780</v>
      </c>
    </row>
    <row r="23" spans="1:36" ht="12" customHeight="1">
      <c r="A23" s="718" t="s">
        <v>2879</v>
      </c>
      <c r="B23" s="718" t="s">
        <v>6663</v>
      </c>
      <c r="C23" s="453" t="s">
        <v>6664</v>
      </c>
      <c r="D23" s="731" t="s">
        <v>6609</v>
      </c>
      <c r="E23" s="655">
        <v>44035</v>
      </c>
      <c r="F23" s="732" t="s">
        <v>2930</v>
      </c>
      <c r="G23" s="732">
        <v>7</v>
      </c>
      <c r="H23" s="732" t="s">
        <v>6610</v>
      </c>
      <c r="I23" s="733" t="s">
        <v>6610</v>
      </c>
      <c r="J23" s="733" t="s">
        <v>6610</v>
      </c>
      <c r="K23" s="733" t="s">
        <v>6610</v>
      </c>
      <c r="L23" s="733" t="s">
        <v>6610</v>
      </c>
      <c r="M23" s="733" t="s">
        <v>6610</v>
      </c>
      <c r="N23" s="733" t="s">
        <v>6610</v>
      </c>
      <c r="O23" s="757" t="s">
        <v>6664</v>
      </c>
      <c r="P23" s="735">
        <v>10</v>
      </c>
      <c r="Q23" s="758" t="s">
        <v>6665</v>
      </c>
      <c r="R23" s="735">
        <v>74</v>
      </c>
      <c r="S23" s="759" t="s">
        <v>6665</v>
      </c>
      <c r="T23" s="735">
        <v>74</v>
      </c>
      <c r="U23" s="758" t="s">
        <v>6666</v>
      </c>
      <c r="V23" s="735">
        <v>30</v>
      </c>
      <c r="W23" s="758" t="s">
        <v>6616</v>
      </c>
      <c r="X23" s="758" t="s">
        <v>6667</v>
      </c>
      <c r="Y23" s="738">
        <v>62</v>
      </c>
      <c r="Z23" s="759" t="s">
        <v>6667</v>
      </c>
      <c r="AA23" s="735">
        <v>62</v>
      </c>
      <c r="AB23" s="758" t="s">
        <v>6668</v>
      </c>
      <c r="AC23" s="735">
        <v>29</v>
      </c>
      <c r="AD23" s="738" t="s">
        <v>6618</v>
      </c>
      <c r="AE23" s="689" t="s">
        <v>5930</v>
      </c>
      <c r="AF23" s="494" t="s">
        <v>2917</v>
      </c>
      <c r="AJ23" s="760">
        <f>_xll.GetCtData("COAMOUNT","CONSAMOUNT",$B$1:$B$7,$B23,AJ$8,"#3776162,2821032")</f>
        <v>3776162</v>
      </c>
    </row>
    <row r="24" spans="1:36" ht="12" customHeight="1">
      <c r="A24" s="718" t="s">
        <v>2879</v>
      </c>
      <c r="B24" s="718" t="s">
        <v>6669</v>
      </c>
      <c r="C24" s="453" t="s">
        <v>6670</v>
      </c>
      <c r="D24" s="731" t="s">
        <v>6609</v>
      </c>
      <c r="E24" s="655">
        <v>44035</v>
      </c>
      <c r="F24" s="732" t="s">
        <v>2912</v>
      </c>
      <c r="G24" s="732">
        <v>6</v>
      </c>
      <c r="H24" s="732" t="s">
        <v>6610</v>
      </c>
      <c r="I24" s="733" t="s">
        <v>6610</v>
      </c>
      <c r="J24" s="733" t="s">
        <v>6610</v>
      </c>
      <c r="K24" s="733" t="s">
        <v>6610</v>
      </c>
      <c r="L24" s="733" t="s">
        <v>6610</v>
      </c>
      <c r="M24" s="733" t="s">
        <v>6610</v>
      </c>
      <c r="N24" s="774" t="s">
        <v>6670</v>
      </c>
      <c r="O24" s="775"/>
      <c r="P24" s="735">
        <v>0</v>
      </c>
      <c r="Q24" s="776" t="s">
        <v>6671</v>
      </c>
      <c r="R24" s="735">
        <v>67</v>
      </c>
      <c r="S24" s="777" t="s">
        <v>6671</v>
      </c>
      <c r="T24" s="735">
        <v>67</v>
      </c>
      <c r="U24" s="776" t="s">
        <v>6672</v>
      </c>
      <c r="V24" s="735">
        <v>28</v>
      </c>
      <c r="W24" s="776" t="s">
        <v>6616</v>
      </c>
      <c r="X24" s="776" t="s">
        <v>6673</v>
      </c>
      <c r="Y24" s="738">
        <v>49</v>
      </c>
      <c r="Z24" s="777" t="s">
        <v>6673</v>
      </c>
      <c r="AA24" s="735">
        <v>49</v>
      </c>
      <c r="AB24" s="776" t="s">
        <v>6674</v>
      </c>
      <c r="AC24" s="735">
        <v>26</v>
      </c>
      <c r="AD24" s="738" t="s">
        <v>6618</v>
      </c>
      <c r="AE24" s="689" t="s">
        <v>5930</v>
      </c>
      <c r="AF24" s="779" t="s">
        <v>2721</v>
      </c>
      <c r="AJ24" s="778">
        <f>_xll.GetCtData("COAMOUNT","CONSAMOUNT",$B$1:$B$7,$B24,AJ$8,"#-4084327,07127315")</f>
        <v>-4084327</v>
      </c>
    </row>
    <row r="25" spans="1:36" ht="12" customHeight="1">
      <c r="A25" s="718" t="s">
        <v>2879</v>
      </c>
      <c r="B25" s="718" t="s">
        <v>1320</v>
      </c>
      <c r="C25" s="453" t="s">
        <v>6675</v>
      </c>
      <c r="D25" s="731" t="s">
        <v>6609</v>
      </c>
      <c r="E25" s="655">
        <v>44035</v>
      </c>
      <c r="F25" s="732" t="s">
        <v>2930</v>
      </c>
      <c r="G25" s="732">
        <v>7</v>
      </c>
      <c r="H25" s="732" t="s">
        <v>6610</v>
      </c>
      <c r="I25" s="733" t="s">
        <v>6610</v>
      </c>
      <c r="J25" s="733" t="s">
        <v>6610</v>
      </c>
      <c r="K25" s="733" t="s">
        <v>6610</v>
      </c>
      <c r="L25" s="733" t="s">
        <v>6610</v>
      </c>
      <c r="M25" s="733" t="s">
        <v>6610</v>
      </c>
      <c r="N25" s="733" t="s">
        <v>6610</v>
      </c>
      <c r="O25" s="757" t="s">
        <v>6675</v>
      </c>
      <c r="P25" s="735">
        <v>10</v>
      </c>
      <c r="Q25" s="758" t="s">
        <v>6676</v>
      </c>
      <c r="R25" s="735">
        <v>91</v>
      </c>
      <c r="S25" s="759" t="s">
        <v>6676</v>
      </c>
      <c r="T25" s="735">
        <v>91</v>
      </c>
      <c r="U25" s="758" t="s">
        <v>6677</v>
      </c>
      <c r="V25" s="735">
        <v>30</v>
      </c>
      <c r="W25" s="758" t="s">
        <v>6616</v>
      </c>
      <c r="X25" s="758" t="s">
        <v>6678</v>
      </c>
      <c r="Y25" s="738">
        <v>87</v>
      </c>
      <c r="Z25" s="759" t="s">
        <v>6678</v>
      </c>
      <c r="AA25" s="735">
        <v>87</v>
      </c>
      <c r="AB25" s="758" t="s">
        <v>6679</v>
      </c>
      <c r="AC25" s="735">
        <v>30</v>
      </c>
      <c r="AD25" s="738" t="s">
        <v>6618</v>
      </c>
      <c r="AE25" s="689" t="s">
        <v>5930</v>
      </c>
      <c r="AF25" s="779" t="s">
        <v>2721</v>
      </c>
      <c r="AJ25" s="760">
        <f>_xll.GetCtData("COAMOUNT","CONSAMOUNT",$B$1:$B$7,$B25,AJ$8,"#-5553566,55274931")</f>
        <v>-5553566</v>
      </c>
    </row>
    <row r="26" spans="1:36" ht="12" customHeight="1">
      <c r="A26" s="718" t="s">
        <v>2879</v>
      </c>
      <c r="B26" s="718" t="s">
        <v>6680</v>
      </c>
      <c r="C26" s="453" t="s">
        <v>6681</v>
      </c>
      <c r="D26" s="731" t="s">
        <v>6609</v>
      </c>
      <c r="E26" s="655">
        <v>44035</v>
      </c>
      <c r="F26" s="732" t="s">
        <v>2930</v>
      </c>
      <c r="G26" s="732">
        <v>7</v>
      </c>
      <c r="H26" s="732" t="s">
        <v>6610</v>
      </c>
      <c r="I26" s="733" t="s">
        <v>6610</v>
      </c>
      <c r="J26" s="733" t="s">
        <v>6610</v>
      </c>
      <c r="K26" s="733" t="s">
        <v>6610</v>
      </c>
      <c r="L26" s="733" t="s">
        <v>6610</v>
      </c>
      <c r="M26" s="733" t="s">
        <v>6610</v>
      </c>
      <c r="N26" s="733" t="s">
        <v>6610</v>
      </c>
      <c r="O26" s="757" t="s">
        <v>6681</v>
      </c>
      <c r="P26" s="735">
        <v>10</v>
      </c>
      <c r="Q26" s="758" t="s">
        <v>6682</v>
      </c>
      <c r="R26" s="735">
        <v>81</v>
      </c>
      <c r="S26" s="759" t="s">
        <v>6682</v>
      </c>
      <c r="T26" s="735">
        <v>81</v>
      </c>
      <c r="U26" s="758" t="s">
        <v>6683</v>
      </c>
      <c r="V26" s="735">
        <v>30</v>
      </c>
      <c r="W26" s="758" t="s">
        <v>6616</v>
      </c>
      <c r="X26" s="758" t="s">
        <v>6684</v>
      </c>
      <c r="Y26" s="738">
        <v>78</v>
      </c>
      <c r="Z26" s="759" t="s">
        <v>6684</v>
      </c>
      <c r="AA26" s="735">
        <v>78</v>
      </c>
      <c r="AB26" s="758" t="s">
        <v>6685</v>
      </c>
      <c r="AC26" s="735">
        <v>30</v>
      </c>
      <c r="AD26" s="738" t="s">
        <v>6618</v>
      </c>
      <c r="AE26" s="689" t="s">
        <v>5930</v>
      </c>
      <c r="AF26" s="779" t="s">
        <v>2721</v>
      </c>
      <c r="AJ26" s="760">
        <f>_xll.GetCtData("COAMOUNT","CONSAMOUNT",$B$1:$B$7,$B26,AJ$8,"#1469239,48147616")</f>
        <v>1469239</v>
      </c>
    </row>
    <row r="27" spans="1:36" ht="12" customHeight="1">
      <c r="A27" s="718" t="s">
        <v>2879</v>
      </c>
      <c r="B27" s="718" t="s">
        <v>6686</v>
      </c>
      <c r="C27" s="453" t="s">
        <v>6687</v>
      </c>
      <c r="D27" s="731" t="s">
        <v>6609</v>
      </c>
      <c r="E27" s="655">
        <v>44035</v>
      </c>
      <c r="F27" s="732" t="s">
        <v>2912</v>
      </c>
      <c r="G27" s="732">
        <v>6</v>
      </c>
      <c r="H27" s="732" t="s">
        <v>6610</v>
      </c>
      <c r="I27" s="733" t="s">
        <v>6610</v>
      </c>
      <c r="J27" s="733" t="s">
        <v>6610</v>
      </c>
      <c r="K27" s="733" t="s">
        <v>6610</v>
      </c>
      <c r="L27" s="733" t="s">
        <v>6610</v>
      </c>
      <c r="M27" s="733" t="s">
        <v>6610</v>
      </c>
      <c r="N27" s="774" t="s">
        <v>6687</v>
      </c>
      <c r="O27" s="775"/>
      <c r="P27" s="735">
        <v>0</v>
      </c>
      <c r="Q27" s="776" t="s">
        <v>6688</v>
      </c>
      <c r="R27" s="735">
        <v>63</v>
      </c>
      <c r="S27" s="777" t="s">
        <v>6688</v>
      </c>
      <c r="T27" s="735">
        <v>63</v>
      </c>
      <c r="U27" s="776" t="s">
        <v>6689</v>
      </c>
      <c r="V27" s="735">
        <v>29</v>
      </c>
      <c r="W27" s="776" t="s">
        <v>6616</v>
      </c>
      <c r="X27" s="776" t="s">
        <v>6690</v>
      </c>
      <c r="Y27" s="738">
        <v>45</v>
      </c>
      <c r="Z27" s="777" t="s">
        <v>6690</v>
      </c>
      <c r="AA27" s="735">
        <v>45</v>
      </c>
      <c r="AB27" s="776" t="s">
        <v>6691</v>
      </c>
      <c r="AC27" s="735">
        <v>29</v>
      </c>
      <c r="AD27" s="738" t="s">
        <v>6618</v>
      </c>
      <c r="AE27" s="689" t="s">
        <v>5930</v>
      </c>
      <c r="AF27" s="530" t="s">
        <v>2969</v>
      </c>
      <c r="AJ27" s="778">
        <f>_xll.GetCtData("COAMOUNT","CONSAMOUNT",$B$1:$B$7,$B27,AJ$8,"#-143435,099999502")</f>
        <v>-143435</v>
      </c>
    </row>
    <row r="28" spans="1:36" ht="12" customHeight="1">
      <c r="A28" s="718" t="s">
        <v>2879</v>
      </c>
      <c r="B28" s="718" t="s">
        <v>1319</v>
      </c>
      <c r="C28" s="453" t="s">
        <v>6692</v>
      </c>
      <c r="D28" s="731" t="s">
        <v>6609</v>
      </c>
      <c r="E28" s="655">
        <v>44035</v>
      </c>
      <c r="F28" s="732" t="s">
        <v>2930</v>
      </c>
      <c r="G28" s="732">
        <v>7</v>
      </c>
      <c r="H28" s="732" t="s">
        <v>6610</v>
      </c>
      <c r="I28" s="733" t="s">
        <v>6610</v>
      </c>
      <c r="J28" s="733" t="s">
        <v>6610</v>
      </c>
      <c r="K28" s="733" t="s">
        <v>6610</v>
      </c>
      <c r="L28" s="733" t="s">
        <v>6610</v>
      </c>
      <c r="M28" s="733" t="s">
        <v>6610</v>
      </c>
      <c r="N28" s="733" t="s">
        <v>6610</v>
      </c>
      <c r="O28" s="757" t="s">
        <v>6692</v>
      </c>
      <c r="P28" s="735">
        <v>10</v>
      </c>
      <c r="Q28" s="758" t="s">
        <v>6693</v>
      </c>
      <c r="R28" s="735">
        <v>87</v>
      </c>
      <c r="S28" s="759" t="s">
        <v>6693</v>
      </c>
      <c r="T28" s="735">
        <v>87</v>
      </c>
      <c r="U28" s="758" t="s">
        <v>6694</v>
      </c>
      <c r="V28" s="735">
        <v>30</v>
      </c>
      <c r="W28" s="758" t="s">
        <v>6616</v>
      </c>
      <c r="X28" s="758" t="s">
        <v>6695</v>
      </c>
      <c r="Y28" s="738">
        <v>83</v>
      </c>
      <c r="Z28" s="759" t="s">
        <v>6695</v>
      </c>
      <c r="AA28" s="735">
        <v>83</v>
      </c>
      <c r="AB28" s="758" t="s">
        <v>6696</v>
      </c>
      <c r="AC28" s="735">
        <v>29</v>
      </c>
      <c r="AD28" s="738" t="s">
        <v>6618</v>
      </c>
      <c r="AE28" s="689" t="s">
        <v>5930</v>
      </c>
      <c r="AF28" s="530" t="s">
        <v>2969</v>
      </c>
      <c r="AJ28" s="760">
        <f>_xll.GetCtData("COAMOUNT","CONSAMOUNT",$B$1:$B$7,$B28,AJ$8,"#-194070,969999335")</f>
        <v>-194070</v>
      </c>
    </row>
    <row r="29" spans="1:36" ht="12" customHeight="1">
      <c r="A29" s="718" t="s">
        <v>2879</v>
      </c>
      <c r="B29" s="718" t="s">
        <v>6697</v>
      </c>
      <c r="C29" s="453" t="s">
        <v>6698</v>
      </c>
      <c r="D29" s="731" t="s">
        <v>6609</v>
      </c>
      <c r="E29" s="655">
        <v>44035</v>
      </c>
      <c r="F29" s="732" t="s">
        <v>2930</v>
      </c>
      <c r="G29" s="732">
        <v>7</v>
      </c>
      <c r="H29" s="732" t="s">
        <v>6610</v>
      </c>
      <c r="I29" s="733" t="s">
        <v>6610</v>
      </c>
      <c r="J29" s="733" t="s">
        <v>6610</v>
      </c>
      <c r="K29" s="733" t="s">
        <v>6610</v>
      </c>
      <c r="L29" s="733" t="s">
        <v>6610</v>
      </c>
      <c r="M29" s="733" t="s">
        <v>6610</v>
      </c>
      <c r="N29" s="733" t="s">
        <v>6610</v>
      </c>
      <c r="O29" s="757" t="s">
        <v>6698</v>
      </c>
      <c r="P29" s="735">
        <v>10</v>
      </c>
      <c r="Q29" s="758" t="s">
        <v>6699</v>
      </c>
      <c r="R29" s="735">
        <v>77</v>
      </c>
      <c r="S29" s="759" t="s">
        <v>6699</v>
      </c>
      <c r="T29" s="735">
        <v>77</v>
      </c>
      <c r="U29" s="758" t="s">
        <v>6700</v>
      </c>
      <c r="V29" s="735">
        <v>30</v>
      </c>
      <c r="W29" s="758" t="s">
        <v>6616</v>
      </c>
      <c r="X29" s="758" t="s">
        <v>6701</v>
      </c>
      <c r="Y29" s="738">
        <v>74</v>
      </c>
      <c r="Z29" s="759" t="s">
        <v>6701</v>
      </c>
      <c r="AA29" s="735">
        <v>74</v>
      </c>
      <c r="AB29" s="758" t="s">
        <v>6702</v>
      </c>
      <c r="AC29" s="735">
        <v>30</v>
      </c>
      <c r="AD29" s="738" t="s">
        <v>6618</v>
      </c>
      <c r="AE29" s="689" t="s">
        <v>5930</v>
      </c>
      <c r="AF29" s="530" t="s">
        <v>2969</v>
      </c>
      <c r="AJ29" s="760">
        <f>_xll.GetCtData("COAMOUNT","CONSAMOUNT",$B$1:$B$7,$B29,AJ$8,"#50635,8699998326")</f>
        <v>50635</v>
      </c>
    </row>
    <row r="30" spans="1:36" ht="12" customHeight="1">
      <c r="A30" s="718" t="s">
        <v>2879</v>
      </c>
      <c r="B30" s="718" t="s">
        <v>6703</v>
      </c>
      <c r="C30" s="453" t="s">
        <v>6704</v>
      </c>
      <c r="D30" s="731" t="s">
        <v>6609</v>
      </c>
      <c r="E30" s="655">
        <v>44035</v>
      </c>
      <c r="F30" s="732" t="s">
        <v>2912</v>
      </c>
      <c r="G30" s="732">
        <v>6</v>
      </c>
      <c r="H30" s="732" t="s">
        <v>6610</v>
      </c>
      <c r="I30" s="733" t="s">
        <v>6610</v>
      </c>
      <c r="J30" s="733" t="s">
        <v>6610</v>
      </c>
      <c r="K30" s="733" t="s">
        <v>6610</v>
      </c>
      <c r="L30" s="733" t="s">
        <v>6610</v>
      </c>
      <c r="M30" s="733" t="s">
        <v>6610</v>
      </c>
      <c r="N30" s="774" t="s">
        <v>6704</v>
      </c>
      <c r="O30" s="775"/>
      <c r="P30" s="735">
        <v>0</v>
      </c>
      <c r="Q30" s="776" t="s">
        <v>6705</v>
      </c>
      <c r="R30" s="735">
        <v>45</v>
      </c>
      <c r="S30" s="777" t="s">
        <v>6705</v>
      </c>
      <c r="T30" s="735">
        <v>45</v>
      </c>
      <c r="U30" s="776" t="s">
        <v>6706</v>
      </c>
      <c r="V30" s="735">
        <v>28</v>
      </c>
      <c r="W30" s="776" t="s">
        <v>6616</v>
      </c>
      <c r="X30" s="776" t="s">
        <v>6707</v>
      </c>
      <c r="Y30" s="738">
        <v>45</v>
      </c>
      <c r="Z30" s="777" t="s">
        <v>6707</v>
      </c>
      <c r="AA30" s="735">
        <v>45</v>
      </c>
      <c r="AB30" s="776" t="s">
        <v>6708</v>
      </c>
      <c r="AC30" s="735">
        <v>28</v>
      </c>
      <c r="AD30" s="738" t="s">
        <v>6618</v>
      </c>
      <c r="AE30" s="689" t="s">
        <v>5930</v>
      </c>
      <c r="AF30" s="494" t="s">
        <v>2917</v>
      </c>
      <c r="AJ30" s="778">
        <f>_xll.GetCtData("COAMOUNT","CONSAMOUNT",$B$1:$B$7,$B30,AJ$8,"#")</f>
        <v>0</v>
      </c>
    </row>
    <row r="31" spans="1:36" ht="12" customHeight="1">
      <c r="A31" s="718" t="s">
        <v>2879</v>
      </c>
      <c r="B31" s="718" t="s">
        <v>1321</v>
      </c>
      <c r="C31" s="453" t="s">
        <v>6709</v>
      </c>
      <c r="D31" s="731" t="s">
        <v>6609</v>
      </c>
      <c r="E31" s="655">
        <v>44035</v>
      </c>
      <c r="F31" s="732" t="s">
        <v>2930</v>
      </c>
      <c r="G31" s="732">
        <v>7</v>
      </c>
      <c r="H31" s="732" t="s">
        <v>6610</v>
      </c>
      <c r="I31" s="733" t="s">
        <v>6610</v>
      </c>
      <c r="J31" s="733" t="s">
        <v>6610</v>
      </c>
      <c r="K31" s="733" t="s">
        <v>6610</v>
      </c>
      <c r="L31" s="733" t="s">
        <v>6610</v>
      </c>
      <c r="M31" s="733" t="s">
        <v>6610</v>
      </c>
      <c r="N31" s="733" t="s">
        <v>6610</v>
      </c>
      <c r="O31" s="757" t="s">
        <v>6709</v>
      </c>
      <c r="P31" s="735">
        <v>10</v>
      </c>
      <c r="Q31" s="758" t="s">
        <v>6710</v>
      </c>
      <c r="R31" s="735">
        <v>69</v>
      </c>
      <c r="S31" s="759" t="s">
        <v>6710</v>
      </c>
      <c r="T31" s="735">
        <v>69</v>
      </c>
      <c r="U31" s="758" t="s">
        <v>6711</v>
      </c>
      <c r="V31" s="735">
        <v>30</v>
      </c>
      <c r="W31" s="758" t="s">
        <v>6616</v>
      </c>
      <c r="X31" s="758" t="s">
        <v>6712</v>
      </c>
      <c r="Y31" s="738">
        <v>73</v>
      </c>
      <c r="Z31" s="759" t="s">
        <v>6712</v>
      </c>
      <c r="AA31" s="735">
        <v>73</v>
      </c>
      <c r="AB31" s="758" t="s">
        <v>6713</v>
      </c>
      <c r="AC31" s="735">
        <v>28</v>
      </c>
      <c r="AD31" s="738" t="s">
        <v>6618</v>
      </c>
      <c r="AE31" s="689" t="s">
        <v>5930</v>
      </c>
      <c r="AF31" s="494" t="s">
        <v>2917</v>
      </c>
      <c r="AJ31" s="760">
        <f>_xll.GetCtData("COAMOUNT","CONSAMOUNT",$B$1:$B$7,$B31,AJ$8,"#")</f>
        <v>0</v>
      </c>
    </row>
    <row r="32" spans="1:36" ht="12" customHeight="1">
      <c r="A32" s="718" t="s">
        <v>2879</v>
      </c>
      <c r="B32" s="718" t="s">
        <v>6714</v>
      </c>
      <c r="C32" s="453" t="s">
        <v>6715</v>
      </c>
      <c r="D32" s="731" t="s">
        <v>6609</v>
      </c>
      <c r="E32" s="655">
        <v>44035</v>
      </c>
      <c r="F32" s="732" t="s">
        <v>2930</v>
      </c>
      <c r="G32" s="732">
        <v>7</v>
      </c>
      <c r="H32" s="732" t="s">
        <v>6610</v>
      </c>
      <c r="I32" s="733" t="s">
        <v>6610</v>
      </c>
      <c r="J32" s="733" t="s">
        <v>6610</v>
      </c>
      <c r="K32" s="733" t="s">
        <v>6610</v>
      </c>
      <c r="L32" s="733" t="s">
        <v>6610</v>
      </c>
      <c r="M32" s="733" t="s">
        <v>6610</v>
      </c>
      <c r="N32" s="733" t="s">
        <v>6610</v>
      </c>
      <c r="O32" s="757" t="s">
        <v>6715</v>
      </c>
      <c r="P32" s="735">
        <v>10</v>
      </c>
      <c r="Q32" s="758" t="s">
        <v>6716</v>
      </c>
      <c r="R32" s="735">
        <v>59</v>
      </c>
      <c r="S32" s="759" t="s">
        <v>6716</v>
      </c>
      <c r="T32" s="735">
        <v>59</v>
      </c>
      <c r="U32" s="758" t="s">
        <v>6717</v>
      </c>
      <c r="V32" s="735">
        <v>28</v>
      </c>
      <c r="W32" s="758" t="s">
        <v>6616</v>
      </c>
      <c r="X32" s="758" t="s">
        <v>6718</v>
      </c>
      <c r="Y32" s="738">
        <v>64</v>
      </c>
      <c r="Z32" s="759" t="s">
        <v>6718</v>
      </c>
      <c r="AA32" s="735">
        <v>64</v>
      </c>
      <c r="AB32" s="758" t="s">
        <v>6719</v>
      </c>
      <c r="AC32" s="735">
        <v>28</v>
      </c>
      <c r="AD32" s="738" t="s">
        <v>6618</v>
      </c>
      <c r="AE32" s="689" t="s">
        <v>5930</v>
      </c>
      <c r="AF32" s="494" t="s">
        <v>2917</v>
      </c>
      <c r="AJ32" s="760">
        <f>_xll.GetCtData("COAMOUNT","CONSAMOUNT",$B$1:$B$7,$B32,AJ$8,"#")</f>
        <v>0</v>
      </c>
    </row>
    <row r="33" spans="1:36" ht="12" customHeight="1">
      <c r="A33" s="718" t="s">
        <v>2879</v>
      </c>
      <c r="B33" s="718" t="s">
        <v>6720</v>
      </c>
      <c r="C33" s="453" t="s">
        <v>6721</v>
      </c>
      <c r="D33" s="731" t="s">
        <v>2962</v>
      </c>
      <c r="E33" s="655">
        <v>44515</v>
      </c>
      <c r="F33" s="732" t="s">
        <v>2912</v>
      </c>
      <c r="G33" s="732">
        <v>6</v>
      </c>
      <c r="H33" s="780"/>
      <c r="I33" s="781"/>
      <c r="J33" s="781"/>
      <c r="K33" s="781"/>
      <c r="L33" s="781"/>
      <c r="M33" s="781"/>
      <c r="N33" s="774" t="s">
        <v>6721</v>
      </c>
      <c r="O33" s="775"/>
      <c r="P33" s="735">
        <v>0</v>
      </c>
      <c r="Q33" s="782" t="s">
        <v>6722</v>
      </c>
      <c r="R33" s="735">
        <v>32</v>
      </c>
      <c r="S33" s="782" t="s">
        <v>6722</v>
      </c>
      <c r="T33" s="735">
        <v>32</v>
      </c>
      <c r="U33" s="782" t="s">
        <v>6723</v>
      </c>
      <c r="V33" s="735">
        <v>18</v>
      </c>
      <c r="W33" s="776" t="s">
        <v>6616</v>
      </c>
      <c r="X33" s="776" t="s">
        <v>6724</v>
      </c>
      <c r="Y33" s="738">
        <v>53</v>
      </c>
      <c r="Z33" s="777" t="s">
        <v>6724</v>
      </c>
      <c r="AA33" s="735">
        <v>53</v>
      </c>
      <c r="AB33" s="776" t="s">
        <v>6725</v>
      </c>
      <c r="AC33" s="735">
        <v>26</v>
      </c>
      <c r="AD33" s="738" t="s">
        <v>6618</v>
      </c>
      <c r="AE33" s="689" t="s">
        <v>6726</v>
      </c>
      <c r="AF33" s="530" t="s">
        <v>2969</v>
      </c>
      <c r="AJ33" s="783">
        <f>_xll.GetCtData("COAMOUNT","CONSAMOUNT",$B$1:$B$7,$B33,AJ$8,"#24452")</f>
        <v>24452</v>
      </c>
    </row>
    <row r="34" spans="1:36" ht="12" customHeight="1">
      <c r="A34" s="718" t="s">
        <v>2879</v>
      </c>
      <c r="B34" s="718" t="s">
        <v>1322</v>
      </c>
      <c r="C34" s="453" t="s">
        <v>6727</v>
      </c>
      <c r="D34" s="731" t="s">
        <v>2962</v>
      </c>
      <c r="E34" s="655">
        <v>44515</v>
      </c>
      <c r="F34" s="732" t="s">
        <v>2930</v>
      </c>
      <c r="G34" s="732">
        <v>7</v>
      </c>
      <c r="H34" s="780"/>
      <c r="I34" s="781"/>
      <c r="J34" s="781"/>
      <c r="K34" s="781"/>
      <c r="L34" s="781"/>
      <c r="M34" s="781"/>
      <c r="N34" s="781"/>
      <c r="O34" s="757" t="s">
        <v>6727</v>
      </c>
      <c r="P34" s="735">
        <v>10</v>
      </c>
      <c r="Q34" s="758" t="s">
        <v>6728</v>
      </c>
      <c r="R34" s="735">
        <v>56</v>
      </c>
      <c r="S34" s="784" t="s">
        <v>6728</v>
      </c>
      <c r="T34" s="735">
        <v>56</v>
      </c>
      <c r="U34" s="784" t="s">
        <v>6729</v>
      </c>
      <c r="V34" s="735">
        <v>27</v>
      </c>
      <c r="W34" s="758" t="s">
        <v>6616</v>
      </c>
      <c r="X34" s="758" t="s">
        <v>6730</v>
      </c>
      <c r="Y34" s="738">
        <v>81</v>
      </c>
      <c r="Z34" s="758" t="s">
        <v>6730</v>
      </c>
      <c r="AA34" s="735">
        <v>81</v>
      </c>
      <c r="AB34" s="758" t="s">
        <v>6731</v>
      </c>
      <c r="AC34" s="735">
        <v>28</v>
      </c>
      <c r="AD34" s="738" t="s">
        <v>6618</v>
      </c>
      <c r="AE34" s="689" t="s">
        <v>6726</v>
      </c>
      <c r="AF34" s="530" t="s">
        <v>2969</v>
      </c>
      <c r="AJ34" s="785">
        <f>_xll.GetCtData("COAMOUNT","CONSAMOUNT",$B$1:$B$7,$B34,AJ$8,"#32965")</f>
        <v>32965</v>
      </c>
    </row>
    <row r="35" spans="1:36" ht="12" customHeight="1">
      <c r="A35" s="718" t="s">
        <v>2879</v>
      </c>
      <c r="B35" s="718" t="s">
        <v>6732</v>
      </c>
      <c r="C35" s="453" t="s">
        <v>6733</v>
      </c>
      <c r="D35" s="731" t="s">
        <v>2962</v>
      </c>
      <c r="E35" s="655">
        <v>44515</v>
      </c>
      <c r="F35" s="732" t="s">
        <v>2930</v>
      </c>
      <c r="G35" s="732">
        <v>7</v>
      </c>
      <c r="H35" s="780"/>
      <c r="I35" s="781"/>
      <c r="J35" s="781"/>
      <c r="K35" s="781"/>
      <c r="L35" s="781"/>
      <c r="M35" s="781"/>
      <c r="N35" s="781"/>
      <c r="O35" s="757" t="s">
        <v>6733</v>
      </c>
      <c r="P35" s="735">
        <v>10</v>
      </c>
      <c r="Q35" s="758" t="s">
        <v>6734</v>
      </c>
      <c r="R35" s="735">
        <v>46</v>
      </c>
      <c r="S35" s="784" t="s">
        <v>6734</v>
      </c>
      <c r="T35" s="735">
        <v>46</v>
      </c>
      <c r="U35" s="784" t="s">
        <v>6735</v>
      </c>
      <c r="V35" s="735">
        <v>25</v>
      </c>
      <c r="W35" s="758" t="s">
        <v>6616</v>
      </c>
      <c r="X35" s="758" t="s">
        <v>6736</v>
      </c>
      <c r="Y35" s="738">
        <v>72</v>
      </c>
      <c r="Z35" s="758" t="s">
        <v>6736</v>
      </c>
      <c r="AA35" s="735">
        <v>72</v>
      </c>
      <c r="AB35" s="758" t="s">
        <v>6737</v>
      </c>
      <c r="AC35" s="735">
        <v>28</v>
      </c>
      <c r="AD35" s="738" t="s">
        <v>6618</v>
      </c>
      <c r="AE35" s="689" t="s">
        <v>6726</v>
      </c>
      <c r="AF35" s="530" t="s">
        <v>2969</v>
      </c>
      <c r="AJ35" s="785">
        <f>_xll.GetCtData("COAMOUNT","CONSAMOUNT",$B$1:$B$7,$B35,AJ$8,"#-8513")</f>
        <v>-8513</v>
      </c>
    </row>
    <row r="36" spans="1:36" ht="12" customHeight="1">
      <c r="A36" s="718" t="s">
        <v>2879</v>
      </c>
      <c r="B36" s="718" t="s">
        <v>2635</v>
      </c>
      <c r="C36" s="453" t="s">
        <v>6738</v>
      </c>
      <c r="D36" s="731" t="s">
        <v>6609</v>
      </c>
      <c r="E36" s="655">
        <v>44035</v>
      </c>
      <c r="F36" s="732" t="s">
        <v>2912</v>
      </c>
      <c r="G36" s="732">
        <v>5</v>
      </c>
      <c r="H36" s="732" t="s">
        <v>6610</v>
      </c>
      <c r="I36" s="733" t="s">
        <v>6610</v>
      </c>
      <c r="J36" s="733" t="s">
        <v>6610</v>
      </c>
      <c r="K36" s="733" t="s">
        <v>6610</v>
      </c>
      <c r="L36" s="733" t="s">
        <v>6610</v>
      </c>
      <c r="M36" s="769" t="s">
        <v>6738</v>
      </c>
      <c r="N36" s="769" t="s">
        <v>6610</v>
      </c>
      <c r="O36" s="770"/>
      <c r="P36" s="735">
        <v>0</v>
      </c>
      <c r="Q36" s="771" t="s">
        <v>6739</v>
      </c>
      <c r="R36" s="735">
        <v>30</v>
      </c>
      <c r="S36" s="772" t="s">
        <v>6739</v>
      </c>
      <c r="T36" s="735">
        <v>30</v>
      </c>
      <c r="U36" s="771" t="s">
        <v>6739</v>
      </c>
      <c r="V36" s="735">
        <v>30</v>
      </c>
      <c r="W36" s="771" t="s">
        <v>6616</v>
      </c>
      <c r="X36" s="771" t="s">
        <v>6740</v>
      </c>
      <c r="Y36" s="738">
        <v>40</v>
      </c>
      <c r="Z36" s="772" t="s">
        <v>6740</v>
      </c>
      <c r="AA36" s="735">
        <v>40</v>
      </c>
      <c r="AB36" s="771" t="s">
        <v>6741</v>
      </c>
      <c r="AC36" s="735">
        <v>29</v>
      </c>
      <c r="AD36" s="738" t="s">
        <v>6618</v>
      </c>
      <c r="AE36" s="689"/>
      <c r="AF36" s="494" t="s">
        <v>2917</v>
      </c>
      <c r="AJ36" s="773">
        <f>_xll.GetCtData("COAMOUNT","CONSAMOUNT",$B$1:$B$7,$B36,AJ$8,"#3672777,44998872")</f>
        <v>3672777</v>
      </c>
    </row>
    <row r="37" spans="1:36" ht="12" customHeight="1">
      <c r="A37" s="718" t="s">
        <v>2879</v>
      </c>
      <c r="B37" s="718" t="s">
        <v>1328</v>
      </c>
      <c r="C37" s="453" t="s">
        <v>6742</v>
      </c>
      <c r="D37" s="731" t="s">
        <v>6609</v>
      </c>
      <c r="E37" s="655">
        <v>44035</v>
      </c>
      <c r="F37" s="732" t="s">
        <v>2930</v>
      </c>
      <c r="G37" s="732">
        <v>7</v>
      </c>
      <c r="H37" s="732" t="s">
        <v>6610</v>
      </c>
      <c r="I37" s="733" t="s">
        <v>6610</v>
      </c>
      <c r="J37" s="733" t="s">
        <v>6610</v>
      </c>
      <c r="K37" s="733" t="s">
        <v>6610</v>
      </c>
      <c r="L37" s="733" t="s">
        <v>6610</v>
      </c>
      <c r="M37" s="733" t="s">
        <v>6610</v>
      </c>
      <c r="N37" s="733" t="s">
        <v>6610</v>
      </c>
      <c r="O37" s="757" t="s">
        <v>6742</v>
      </c>
      <c r="P37" s="735">
        <v>10</v>
      </c>
      <c r="Q37" s="758" t="s">
        <v>6743</v>
      </c>
      <c r="R37" s="735">
        <v>51</v>
      </c>
      <c r="S37" s="759" t="s">
        <v>6743</v>
      </c>
      <c r="T37" s="735">
        <v>51</v>
      </c>
      <c r="U37" s="758" t="s">
        <v>6744</v>
      </c>
      <c r="V37" s="735">
        <v>29</v>
      </c>
      <c r="W37" s="758" t="s">
        <v>6616</v>
      </c>
      <c r="X37" s="758" t="s">
        <v>6745</v>
      </c>
      <c r="Y37" s="738">
        <v>66</v>
      </c>
      <c r="Z37" s="759" t="s">
        <v>6745</v>
      </c>
      <c r="AA37" s="735">
        <v>66</v>
      </c>
      <c r="AB37" s="758" t="s">
        <v>6746</v>
      </c>
      <c r="AC37" s="735">
        <v>28</v>
      </c>
      <c r="AD37" s="738" t="s">
        <v>6618</v>
      </c>
      <c r="AE37" s="689"/>
      <c r="AF37" s="494" t="s">
        <v>2917</v>
      </c>
      <c r="AJ37" s="760">
        <f>_xll.GetCtData("COAMOUNT","CONSAMOUNT",$B$1:$B$7,$B37,AJ$8,"#4950298,05998369")</f>
        <v>4950298</v>
      </c>
    </row>
    <row r="38" spans="1:36" ht="12" customHeight="1">
      <c r="A38" s="718" t="s">
        <v>2879</v>
      </c>
      <c r="B38" s="718" t="s">
        <v>2636</v>
      </c>
      <c r="C38" s="453" t="s">
        <v>6747</v>
      </c>
      <c r="D38" s="731" t="s">
        <v>6609</v>
      </c>
      <c r="E38" s="655">
        <v>44035</v>
      </c>
      <c r="F38" s="732" t="s">
        <v>2930</v>
      </c>
      <c r="G38" s="732">
        <v>7</v>
      </c>
      <c r="H38" s="732" t="s">
        <v>6610</v>
      </c>
      <c r="I38" s="733" t="s">
        <v>6610</v>
      </c>
      <c r="J38" s="733" t="s">
        <v>6610</v>
      </c>
      <c r="K38" s="733" t="s">
        <v>6610</v>
      </c>
      <c r="L38" s="733" t="s">
        <v>6610</v>
      </c>
      <c r="M38" s="733" t="s">
        <v>6610</v>
      </c>
      <c r="N38" s="733" t="s">
        <v>6610</v>
      </c>
      <c r="O38" s="757" t="s">
        <v>6747</v>
      </c>
      <c r="P38" s="735">
        <v>10</v>
      </c>
      <c r="Q38" s="758" t="s">
        <v>6748</v>
      </c>
      <c r="R38" s="735">
        <v>41</v>
      </c>
      <c r="S38" s="759" t="s">
        <v>6748</v>
      </c>
      <c r="T38" s="735">
        <v>41</v>
      </c>
      <c r="U38" s="758" t="s">
        <v>6749</v>
      </c>
      <c r="V38" s="735">
        <v>29</v>
      </c>
      <c r="W38" s="758" t="s">
        <v>6616</v>
      </c>
      <c r="X38" s="758" t="s">
        <v>6750</v>
      </c>
      <c r="Y38" s="738">
        <v>57</v>
      </c>
      <c r="Z38" s="759" t="s">
        <v>6750</v>
      </c>
      <c r="AA38" s="735">
        <v>57</v>
      </c>
      <c r="AB38" s="758" t="s">
        <v>6751</v>
      </c>
      <c r="AC38" s="735">
        <v>28</v>
      </c>
      <c r="AD38" s="738" t="s">
        <v>6618</v>
      </c>
      <c r="AE38" s="689"/>
      <c r="AF38" s="494" t="s">
        <v>2917</v>
      </c>
      <c r="AJ38" s="760">
        <f>_xll.GetCtData("COAMOUNT","CONSAMOUNT",$B$1:$B$7,$B38,AJ$8,"#-1277520,60999497")</f>
        <v>-1277520</v>
      </c>
    </row>
    <row r="39" spans="1:36" ht="12" customHeight="1">
      <c r="A39" s="718" t="s">
        <v>2879</v>
      </c>
      <c r="B39" s="718" t="s">
        <v>1204</v>
      </c>
      <c r="C39" s="453" t="s">
        <v>6752</v>
      </c>
      <c r="D39" s="731" t="s">
        <v>6609</v>
      </c>
      <c r="E39" s="655">
        <v>44035</v>
      </c>
      <c r="F39" s="732" t="s">
        <v>2912</v>
      </c>
      <c r="G39" s="732">
        <v>4</v>
      </c>
      <c r="H39" s="732" t="s">
        <v>6610</v>
      </c>
      <c r="I39" s="733" t="s">
        <v>6610</v>
      </c>
      <c r="J39" s="733" t="s">
        <v>6610</v>
      </c>
      <c r="K39" s="733" t="s">
        <v>6610</v>
      </c>
      <c r="L39" s="764" t="s">
        <v>6752</v>
      </c>
      <c r="M39" s="764" t="s">
        <v>6610</v>
      </c>
      <c r="N39" s="764" t="s">
        <v>6610</v>
      </c>
      <c r="O39" s="765"/>
      <c r="P39" s="735">
        <v>0</v>
      </c>
      <c r="Q39" s="766" t="s">
        <v>2480</v>
      </c>
      <c r="R39" s="735">
        <v>27</v>
      </c>
      <c r="S39" s="767" t="s">
        <v>2480</v>
      </c>
      <c r="T39" s="735">
        <v>27</v>
      </c>
      <c r="U39" s="766" t="s">
        <v>2480</v>
      </c>
      <c r="V39" s="735">
        <v>27</v>
      </c>
      <c r="W39" s="766" t="s">
        <v>6616</v>
      </c>
      <c r="X39" s="766" t="s">
        <v>6753</v>
      </c>
      <c r="Y39" s="738">
        <v>24</v>
      </c>
      <c r="Z39" s="767" t="s">
        <v>6753</v>
      </c>
      <c r="AA39" s="735">
        <v>24</v>
      </c>
      <c r="AB39" s="766" t="s">
        <v>6753</v>
      </c>
      <c r="AC39" s="735">
        <v>24</v>
      </c>
      <c r="AD39" s="738" t="s">
        <v>6618</v>
      </c>
      <c r="AE39" s="689"/>
      <c r="AF39" s="494" t="s">
        <v>2917</v>
      </c>
      <c r="AJ39" s="768">
        <f>_xll.GetCtData("COAMOUNT","CONSAMOUNT",$B$1:$B$7,$B39,AJ$8,"#42774,389")</f>
        <v>42774</v>
      </c>
    </row>
    <row r="40" spans="1:36" ht="12" customHeight="1">
      <c r="A40" s="718" t="s">
        <v>2879</v>
      </c>
      <c r="B40" s="718" t="s">
        <v>539</v>
      </c>
      <c r="C40" s="453" t="s">
        <v>6754</v>
      </c>
      <c r="D40" s="731" t="s">
        <v>6609</v>
      </c>
      <c r="E40" s="655">
        <v>44035</v>
      </c>
      <c r="F40" s="732" t="s">
        <v>2930</v>
      </c>
      <c r="G40" s="732">
        <v>7</v>
      </c>
      <c r="H40" s="732" t="s">
        <v>6610</v>
      </c>
      <c r="I40" s="733" t="s">
        <v>6610</v>
      </c>
      <c r="J40" s="733" t="s">
        <v>6610</v>
      </c>
      <c r="K40" s="733" t="s">
        <v>6610</v>
      </c>
      <c r="L40" s="733" t="s">
        <v>6610</v>
      </c>
      <c r="M40" s="733" t="s">
        <v>6610</v>
      </c>
      <c r="N40" s="733" t="s">
        <v>6610</v>
      </c>
      <c r="O40" s="757" t="s">
        <v>6754</v>
      </c>
      <c r="P40" s="735">
        <v>9</v>
      </c>
      <c r="Q40" s="758" t="s">
        <v>6755</v>
      </c>
      <c r="R40" s="735">
        <v>28</v>
      </c>
      <c r="S40" s="759" t="s">
        <v>6755</v>
      </c>
      <c r="T40" s="735">
        <v>28</v>
      </c>
      <c r="U40" s="758" t="s">
        <v>6755</v>
      </c>
      <c r="V40" s="735">
        <v>28</v>
      </c>
      <c r="W40" s="758" t="s">
        <v>6616</v>
      </c>
      <c r="X40" s="758" t="s">
        <v>6756</v>
      </c>
      <c r="Y40" s="738">
        <v>26</v>
      </c>
      <c r="Z40" s="759" t="s">
        <v>6756</v>
      </c>
      <c r="AA40" s="735">
        <v>26</v>
      </c>
      <c r="AB40" s="758" t="s">
        <v>6756</v>
      </c>
      <c r="AC40" s="735">
        <v>26</v>
      </c>
      <c r="AD40" s="738" t="s">
        <v>6618</v>
      </c>
      <c r="AE40" s="689"/>
      <c r="AF40" s="494" t="s">
        <v>2917</v>
      </c>
      <c r="AJ40" s="760">
        <f>_xll.GetCtData("COAMOUNT","CONSAMOUNT",$B$1:$B$7,$B40,AJ$8,"#41506,4368")</f>
        <v>41506</v>
      </c>
    </row>
    <row r="41" spans="1:36" ht="12" customHeight="1">
      <c r="A41" s="718" t="s">
        <v>2879</v>
      </c>
      <c r="B41" s="718" t="s">
        <v>540</v>
      </c>
      <c r="C41" s="453" t="s">
        <v>6757</v>
      </c>
      <c r="D41" s="731" t="s">
        <v>6609</v>
      </c>
      <c r="E41" s="655">
        <v>44035</v>
      </c>
      <c r="F41" s="732" t="s">
        <v>2930</v>
      </c>
      <c r="G41" s="732">
        <v>7</v>
      </c>
      <c r="H41" s="732" t="s">
        <v>6610</v>
      </c>
      <c r="I41" s="733" t="s">
        <v>6610</v>
      </c>
      <c r="J41" s="733" t="s">
        <v>6610</v>
      </c>
      <c r="K41" s="733" t="s">
        <v>6610</v>
      </c>
      <c r="L41" s="733" t="s">
        <v>6610</v>
      </c>
      <c r="M41" s="733" t="s">
        <v>6610</v>
      </c>
      <c r="N41" s="733" t="s">
        <v>6610</v>
      </c>
      <c r="O41" s="757" t="s">
        <v>6757</v>
      </c>
      <c r="P41" s="735">
        <v>9</v>
      </c>
      <c r="Q41" s="758" t="s">
        <v>6758</v>
      </c>
      <c r="R41" s="735">
        <v>20</v>
      </c>
      <c r="S41" s="759" t="s">
        <v>6758</v>
      </c>
      <c r="T41" s="735">
        <v>20</v>
      </c>
      <c r="U41" s="758" t="s">
        <v>6758</v>
      </c>
      <c r="V41" s="735">
        <v>20</v>
      </c>
      <c r="W41" s="758" t="s">
        <v>6616</v>
      </c>
      <c r="X41" s="758" t="s">
        <v>6759</v>
      </c>
      <c r="Y41" s="738">
        <v>17</v>
      </c>
      <c r="Z41" s="759" t="s">
        <v>6759</v>
      </c>
      <c r="AA41" s="735">
        <v>17</v>
      </c>
      <c r="AB41" s="758" t="s">
        <v>6759</v>
      </c>
      <c r="AC41" s="735">
        <v>17</v>
      </c>
      <c r="AD41" s="738" t="s">
        <v>6618</v>
      </c>
      <c r="AE41" s="689"/>
      <c r="AF41" s="494" t="s">
        <v>2917</v>
      </c>
      <c r="AJ41" s="760">
        <f>_xll.GetCtData("COAMOUNT","CONSAMOUNT",$B$1:$B$7,$B41,AJ$8,"#1267,9522")</f>
        <v>1267</v>
      </c>
    </row>
    <row r="42" spans="1:36" ht="12" customHeight="1">
      <c r="A42" s="718" t="s">
        <v>2879</v>
      </c>
      <c r="B42" s="718" t="s">
        <v>1218</v>
      </c>
      <c r="C42" s="453" t="s">
        <v>6760</v>
      </c>
      <c r="D42" s="731" t="s">
        <v>6609</v>
      </c>
      <c r="E42" s="655">
        <v>44035</v>
      </c>
      <c r="F42" s="732" t="s">
        <v>2912</v>
      </c>
      <c r="G42" s="732">
        <v>4</v>
      </c>
      <c r="H42" s="732" t="s">
        <v>6610</v>
      </c>
      <c r="I42" s="733" t="s">
        <v>6610</v>
      </c>
      <c r="J42" s="733" t="s">
        <v>6610</v>
      </c>
      <c r="K42" s="733" t="s">
        <v>6610</v>
      </c>
      <c r="L42" s="764" t="s">
        <v>6760</v>
      </c>
      <c r="M42" s="764" t="s">
        <v>6610</v>
      </c>
      <c r="N42" s="764" t="s">
        <v>6610</v>
      </c>
      <c r="O42" s="765"/>
      <c r="P42" s="735">
        <v>0</v>
      </c>
      <c r="Q42" s="766" t="s">
        <v>1451</v>
      </c>
      <c r="R42" s="735">
        <v>22</v>
      </c>
      <c r="S42" s="767" t="s">
        <v>1451</v>
      </c>
      <c r="T42" s="735">
        <v>22</v>
      </c>
      <c r="U42" s="766" t="s">
        <v>1451</v>
      </c>
      <c r="V42" s="735">
        <v>22</v>
      </c>
      <c r="W42" s="766" t="s">
        <v>6616</v>
      </c>
      <c r="X42" s="766" t="s">
        <v>6761</v>
      </c>
      <c r="Y42" s="738">
        <v>20</v>
      </c>
      <c r="Z42" s="767" t="s">
        <v>6761</v>
      </c>
      <c r="AA42" s="735">
        <v>20</v>
      </c>
      <c r="AB42" s="766" t="s">
        <v>6761</v>
      </c>
      <c r="AC42" s="735">
        <v>20</v>
      </c>
      <c r="AD42" s="738" t="s">
        <v>6618</v>
      </c>
      <c r="AE42" s="689"/>
      <c r="AF42" s="494" t="s">
        <v>2917</v>
      </c>
      <c r="AJ42" s="768">
        <f>_xll.GetCtData("COAMOUNT","CONSAMOUNT",$B$1:$B$7,$B42,AJ$8,"#-1251960,98890603")</f>
        <v>-1251960</v>
      </c>
    </row>
    <row r="43" spans="1:36" ht="12" customHeight="1">
      <c r="A43" s="718" t="s">
        <v>2879</v>
      </c>
      <c r="B43" s="718" t="s">
        <v>6762</v>
      </c>
      <c r="C43" s="453" t="s">
        <v>6763</v>
      </c>
      <c r="D43" s="731" t="s">
        <v>6609</v>
      </c>
      <c r="E43" s="655">
        <v>44035</v>
      </c>
      <c r="F43" s="732" t="s">
        <v>5409</v>
      </c>
      <c r="G43" s="732">
        <v>7</v>
      </c>
      <c r="H43" s="732" t="s">
        <v>6610</v>
      </c>
      <c r="I43" s="733" t="s">
        <v>6610</v>
      </c>
      <c r="J43" s="733" t="s">
        <v>6610</v>
      </c>
      <c r="K43" s="733" t="s">
        <v>6610</v>
      </c>
      <c r="L43" s="733" t="s">
        <v>6610</v>
      </c>
      <c r="M43" s="733" t="s">
        <v>6610</v>
      </c>
      <c r="N43" s="733" t="s">
        <v>6610</v>
      </c>
      <c r="O43" s="757" t="s">
        <v>6763</v>
      </c>
      <c r="P43" s="735">
        <v>10</v>
      </c>
      <c r="Q43" s="758" t="s">
        <v>6764</v>
      </c>
      <c r="R43" s="735">
        <v>33</v>
      </c>
      <c r="S43" s="759" t="s">
        <v>6764</v>
      </c>
      <c r="T43" s="735">
        <v>33</v>
      </c>
      <c r="U43" s="758" t="s">
        <v>6765</v>
      </c>
      <c r="V43" s="735">
        <v>28</v>
      </c>
      <c r="W43" s="758" t="s">
        <v>6616</v>
      </c>
      <c r="X43" s="758" t="s">
        <v>6766</v>
      </c>
      <c r="Y43" s="738">
        <v>32</v>
      </c>
      <c r="Z43" s="759" t="s">
        <v>6766</v>
      </c>
      <c r="AA43" s="735">
        <v>32</v>
      </c>
      <c r="AB43" s="758" t="s">
        <v>6767</v>
      </c>
      <c r="AC43" s="735">
        <v>27</v>
      </c>
      <c r="AD43" s="738" t="s">
        <v>6618</v>
      </c>
      <c r="AE43" s="689"/>
      <c r="AF43" s="494" t="s">
        <v>2917</v>
      </c>
      <c r="AJ43" s="760" t="str">
        <f>_xll.GetCtData("COAMOUNT","CONSAMOUNT",$B$1:$B$7,$B43,AJ$8,"#5,27987839324444E-02")</f>
        <v>5,27987839324444E-02</v>
      </c>
    </row>
    <row r="44" spans="1:36" ht="12" customHeight="1">
      <c r="A44" s="718" t="s">
        <v>2879</v>
      </c>
      <c r="B44" s="718" t="s">
        <v>6768</v>
      </c>
      <c r="C44" s="453" t="s">
        <v>6769</v>
      </c>
      <c r="D44" s="731" t="s">
        <v>6609</v>
      </c>
      <c r="E44" s="655">
        <v>44038</v>
      </c>
      <c r="F44" s="732" t="s">
        <v>5409</v>
      </c>
      <c r="G44" s="732">
        <v>7</v>
      </c>
      <c r="H44" s="732" t="s">
        <v>6610</v>
      </c>
      <c r="I44" s="733" t="s">
        <v>6610</v>
      </c>
      <c r="J44" s="733" t="s">
        <v>6610</v>
      </c>
      <c r="K44" s="733" t="s">
        <v>6610</v>
      </c>
      <c r="L44" s="733" t="s">
        <v>6610</v>
      </c>
      <c r="M44" s="733" t="s">
        <v>6610</v>
      </c>
      <c r="N44" s="733" t="s">
        <v>6610</v>
      </c>
      <c r="O44" s="757" t="s">
        <v>6769</v>
      </c>
      <c r="P44" s="735">
        <v>10</v>
      </c>
      <c r="Q44" s="758" t="s">
        <v>6770</v>
      </c>
      <c r="R44" s="735">
        <v>40</v>
      </c>
      <c r="S44" s="759" t="s">
        <v>6770</v>
      </c>
      <c r="T44" s="735">
        <v>40</v>
      </c>
      <c r="U44" s="758" t="s">
        <v>6771</v>
      </c>
      <c r="V44" s="735">
        <v>28</v>
      </c>
      <c r="W44" s="758" t="s">
        <v>6616</v>
      </c>
      <c r="X44" s="758" t="s">
        <v>6772</v>
      </c>
      <c r="Y44" s="738">
        <v>70</v>
      </c>
      <c r="Z44" s="759" t="s">
        <v>6772</v>
      </c>
      <c r="AA44" s="735">
        <v>70</v>
      </c>
      <c r="AB44" s="758" t="s">
        <v>6773</v>
      </c>
      <c r="AC44" s="735">
        <v>29</v>
      </c>
      <c r="AD44" s="738" t="s">
        <v>6618</v>
      </c>
      <c r="AE44" s="689" t="s">
        <v>5930</v>
      </c>
      <c r="AF44" s="494" t="s">
        <v>2917</v>
      </c>
      <c r="AJ44" s="760">
        <f>_xll.GetCtData("COAMOUNT","CONSAMOUNT",$B$1:$B$7,$B44,AJ$8,"#")</f>
        <v>0</v>
      </c>
    </row>
    <row r="45" spans="1:36" ht="12" customHeight="1">
      <c r="A45" s="718" t="s">
        <v>2879</v>
      </c>
      <c r="B45" s="718" t="s">
        <v>6774</v>
      </c>
      <c r="C45" s="453" t="s">
        <v>6775</v>
      </c>
      <c r="D45" s="731" t="s">
        <v>6609</v>
      </c>
      <c r="E45" s="655">
        <v>44035</v>
      </c>
      <c r="F45" s="732" t="s">
        <v>5409</v>
      </c>
      <c r="G45" s="732">
        <v>7</v>
      </c>
      <c r="H45" s="732" t="s">
        <v>6610</v>
      </c>
      <c r="I45" s="733" t="s">
        <v>6610</v>
      </c>
      <c r="J45" s="733" t="s">
        <v>6610</v>
      </c>
      <c r="K45" s="733" t="s">
        <v>6610</v>
      </c>
      <c r="L45" s="733" t="s">
        <v>6610</v>
      </c>
      <c r="M45" s="733" t="s">
        <v>6610</v>
      </c>
      <c r="N45" s="733" t="s">
        <v>6610</v>
      </c>
      <c r="O45" s="757" t="s">
        <v>6775</v>
      </c>
      <c r="P45" s="735">
        <v>9</v>
      </c>
      <c r="Q45" s="758" t="s">
        <v>6776</v>
      </c>
      <c r="R45" s="735">
        <v>34</v>
      </c>
      <c r="S45" s="759" t="s">
        <v>6776</v>
      </c>
      <c r="T45" s="735">
        <v>34</v>
      </c>
      <c r="U45" s="758" t="s">
        <v>6777</v>
      </c>
      <c r="V45" s="735">
        <v>28</v>
      </c>
      <c r="W45" s="758" t="s">
        <v>6616</v>
      </c>
      <c r="X45" s="758" t="s">
        <v>6778</v>
      </c>
      <c r="Y45" s="738">
        <v>66</v>
      </c>
      <c r="Z45" s="759" t="s">
        <v>6778</v>
      </c>
      <c r="AA45" s="735">
        <v>66</v>
      </c>
      <c r="AB45" s="758" t="s">
        <v>6779</v>
      </c>
      <c r="AC45" s="735">
        <v>28</v>
      </c>
      <c r="AD45" s="738" t="s">
        <v>6618</v>
      </c>
      <c r="AE45" s="689"/>
      <c r="AF45" s="494" t="s">
        <v>2917</v>
      </c>
      <c r="AJ45" s="760">
        <f>_xll.GetCtData("COAMOUNT","CONSAMOUNT",$B$1:$B$7,$B45,AJ$8,"#-1251961,04170481")</f>
        <v>-1251961</v>
      </c>
    </row>
    <row r="46" spans="1:36" ht="12" customHeight="1">
      <c r="A46" s="718" t="s">
        <v>2879</v>
      </c>
      <c r="B46" s="718" t="s">
        <v>6780</v>
      </c>
      <c r="C46" s="453" t="s">
        <v>6781</v>
      </c>
      <c r="D46" s="731" t="s">
        <v>6609</v>
      </c>
      <c r="E46" s="655">
        <v>44035</v>
      </c>
      <c r="F46" s="732" t="s">
        <v>2912</v>
      </c>
      <c r="G46" s="732">
        <v>4</v>
      </c>
      <c r="H46" s="732" t="s">
        <v>6610</v>
      </c>
      <c r="I46" s="733" t="s">
        <v>6610</v>
      </c>
      <c r="J46" s="733" t="s">
        <v>6610</v>
      </c>
      <c r="K46" s="733" t="s">
        <v>6610</v>
      </c>
      <c r="L46" s="764" t="s">
        <v>6781</v>
      </c>
      <c r="M46" s="764" t="s">
        <v>6610</v>
      </c>
      <c r="N46" s="764" t="s">
        <v>6610</v>
      </c>
      <c r="O46" s="765"/>
      <c r="P46" s="735">
        <v>0</v>
      </c>
      <c r="Q46" s="786" t="s">
        <v>6782</v>
      </c>
      <c r="R46" s="735">
        <v>18</v>
      </c>
      <c r="S46" s="787" t="s">
        <v>6782</v>
      </c>
      <c r="T46" s="735">
        <v>18</v>
      </c>
      <c r="U46" s="786" t="s">
        <v>6782</v>
      </c>
      <c r="V46" s="735">
        <v>18</v>
      </c>
      <c r="W46" s="786" t="s">
        <v>6616</v>
      </c>
      <c r="X46" s="786" t="s">
        <v>6783</v>
      </c>
      <c r="Y46" s="738">
        <v>26</v>
      </c>
      <c r="Z46" s="787" t="s">
        <v>6783</v>
      </c>
      <c r="AA46" s="735">
        <v>26</v>
      </c>
      <c r="AB46" s="786" t="s">
        <v>6783</v>
      </c>
      <c r="AC46" s="735">
        <v>26</v>
      </c>
      <c r="AD46" s="738" t="s">
        <v>6618</v>
      </c>
      <c r="AE46" s="689"/>
      <c r="AF46" s="494" t="s">
        <v>2917</v>
      </c>
      <c r="AJ46" s="788">
        <f>_xll.GetCtData("COAMOUNT","CONSAMOUNT",$B$1:$B$7,$B46,AJ$8,"#-83565,3132000197")</f>
        <v>-83565</v>
      </c>
    </row>
    <row r="47" spans="1:36" ht="12" customHeight="1">
      <c r="A47" s="718" t="s">
        <v>2879</v>
      </c>
      <c r="B47" s="718" t="s">
        <v>1221</v>
      </c>
      <c r="C47" s="453" t="s">
        <v>6784</v>
      </c>
      <c r="D47" s="731" t="s">
        <v>6609</v>
      </c>
      <c r="E47" s="655">
        <v>44035</v>
      </c>
      <c r="F47" s="789" t="s">
        <v>2930</v>
      </c>
      <c r="G47" s="789">
        <v>7</v>
      </c>
      <c r="H47" s="789" t="s">
        <v>6610</v>
      </c>
      <c r="I47" s="790" t="s">
        <v>6610</v>
      </c>
      <c r="J47" s="790" t="s">
        <v>6610</v>
      </c>
      <c r="K47" s="790" t="s">
        <v>6610</v>
      </c>
      <c r="L47" s="790" t="s">
        <v>6610</v>
      </c>
      <c r="M47" s="790" t="s">
        <v>6610</v>
      </c>
      <c r="N47" s="790" t="s">
        <v>6610</v>
      </c>
      <c r="O47" s="757" t="s">
        <v>6784</v>
      </c>
      <c r="P47" s="735">
        <v>9</v>
      </c>
      <c r="Q47" s="791" t="s">
        <v>2482</v>
      </c>
      <c r="R47" s="735">
        <v>39</v>
      </c>
      <c r="S47" s="792" t="s">
        <v>2482</v>
      </c>
      <c r="T47" s="735">
        <v>39</v>
      </c>
      <c r="U47" s="791" t="s">
        <v>6785</v>
      </c>
      <c r="V47" s="735">
        <v>29</v>
      </c>
      <c r="W47" s="791" t="s">
        <v>6616</v>
      </c>
      <c r="X47" s="791" t="s">
        <v>6786</v>
      </c>
      <c r="Y47" s="738">
        <v>57</v>
      </c>
      <c r="Z47" s="792" t="s">
        <v>6786</v>
      </c>
      <c r="AA47" s="735">
        <v>57</v>
      </c>
      <c r="AB47" s="791" t="s">
        <v>6787</v>
      </c>
      <c r="AC47" s="735">
        <v>29</v>
      </c>
      <c r="AD47" s="738" t="s">
        <v>6618</v>
      </c>
      <c r="AE47" s="689"/>
      <c r="AF47" s="494" t="s">
        <v>2917</v>
      </c>
      <c r="AJ47" s="793">
        <f>_xll.GetCtData("COAMOUNT","CONSAMOUNT",$B$1:$B$7,$B47,AJ$8,"#-112484,398000029")</f>
        <v>-112484</v>
      </c>
    </row>
    <row r="48" spans="1:36" ht="12" customHeight="1">
      <c r="A48" s="718" t="s">
        <v>2879</v>
      </c>
      <c r="B48" s="718" t="s">
        <v>2445</v>
      </c>
      <c r="C48" s="453" t="s">
        <v>6788</v>
      </c>
      <c r="D48" s="731" t="s">
        <v>6609</v>
      </c>
      <c r="E48" s="655">
        <v>44035</v>
      </c>
      <c r="F48" s="789" t="s">
        <v>2930</v>
      </c>
      <c r="G48" s="789">
        <v>7</v>
      </c>
      <c r="H48" s="789" t="s">
        <v>6610</v>
      </c>
      <c r="I48" s="790" t="s">
        <v>6610</v>
      </c>
      <c r="J48" s="790" t="s">
        <v>6610</v>
      </c>
      <c r="K48" s="790" t="s">
        <v>6610</v>
      </c>
      <c r="L48" s="790" t="s">
        <v>6610</v>
      </c>
      <c r="M48" s="790" t="s">
        <v>6610</v>
      </c>
      <c r="N48" s="790" t="s">
        <v>6610</v>
      </c>
      <c r="O48" s="757" t="s">
        <v>6788</v>
      </c>
      <c r="P48" s="735">
        <v>9</v>
      </c>
      <c r="Q48" s="791" t="s">
        <v>2483</v>
      </c>
      <c r="R48" s="735">
        <v>44</v>
      </c>
      <c r="S48" s="792" t="s">
        <v>2483</v>
      </c>
      <c r="T48" s="735">
        <v>44</v>
      </c>
      <c r="U48" s="791" t="s">
        <v>6789</v>
      </c>
      <c r="V48" s="735">
        <v>28</v>
      </c>
      <c r="W48" s="791" t="s">
        <v>6616</v>
      </c>
      <c r="X48" s="791" t="s">
        <v>6790</v>
      </c>
      <c r="Y48" s="738">
        <v>62</v>
      </c>
      <c r="Z48" s="792" t="s">
        <v>6790</v>
      </c>
      <c r="AA48" s="735">
        <v>62</v>
      </c>
      <c r="AB48" s="791" t="s">
        <v>6791</v>
      </c>
      <c r="AC48" s="735">
        <v>30</v>
      </c>
      <c r="AD48" s="738" t="s">
        <v>6618</v>
      </c>
      <c r="AE48" s="689"/>
      <c r="AF48" s="494" t="s">
        <v>2917</v>
      </c>
      <c r="AJ48" s="793">
        <f>_xll.GetCtData("COAMOUNT","CONSAMOUNT",$B$1:$B$7,$B48,AJ$8,"#28919,0848000089")</f>
        <v>28919</v>
      </c>
    </row>
    <row r="49" spans="1:36" ht="12" customHeight="1">
      <c r="A49" s="718" t="s">
        <v>2879</v>
      </c>
      <c r="B49" s="718" t="s">
        <v>6792</v>
      </c>
      <c r="C49" s="453" t="s">
        <v>6793</v>
      </c>
      <c r="D49" s="731" t="s">
        <v>6609</v>
      </c>
      <c r="E49" s="655">
        <v>44035</v>
      </c>
      <c r="F49" s="732" t="s">
        <v>2912</v>
      </c>
      <c r="G49" s="732">
        <v>4</v>
      </c>
      <c r="H49" s="732" t="s">
        <v>6610</v>
      </c>
      <c r="I49" s="733" t="s">
        <v>6610</v>
      </c>
      <c r="J49" s="733" t="s">
        <v>6610</v>
      </c>
      <c r="K49" s="733" t="s">
        <v>6610</v>
      </c>
      <c r="L49" s="764" t="s">
        <v>6793</v>
      </c>
      <c r="M49" s="764" t="s">
        <v>6610</v>
      </c>
      <c r="N49" s="764" t="s">
        <v>6610</v>
      </c>
      <c r="O49" s="765"/>
      <c r="P49" s="735">
        <v>0</v>
      </c>
      <c r="Q49" s="767" t="s">
        <v>6794</v>
      </c>
      <c r="R49" s="735">
        <v>30</v>
      </c>
      <c r="S49" s="767" t="s">
        <v>6794</v>
      </c>
      <c r="T49" s="735">
        <v>30</v>
      </c>
      <c r="U49" s="766" t="s">
        <v>6795</v>
      </c>
      <c r="V49" s="735">
        <v>26</v>
      </c>
      <c r="W49" s="766" t="s">
        <v>6616</v>
      </c>
      <c r="X49" s="766" t="s">
        <v>6796</v>
      </c>
      <c r="Y49" s="738">
        <v>27</v>
      </c>
      <c r="Z49" s="767" t="s">
        <v>6796</v>
      </c>
      <c r="AA49" s="735">
        <v>27</v>
      </c>
      <c r="AB49" s="766" t="s">
        <v>6796</v>
      </c>
      <c r="AC49" s="735">
        <v>27</v>
      </c>
      <c r="AD49" s="738" t="s">
        <v>6618</v>
      </c>
      <c r="AE49" s="689" t="s">
        <v>5930</v>
      </c>
      <c r="AF49" s="530" t="s">
        <v>2969</v>
      </c>
      <c r="AJ49" s="768">
        <f>_xll.GetCtData("COAMOUNT","CONSAMOUNT",$B$1:$B$7,$B49,AJ$8,"#9489064,67797048")</f>
        <v>9489064</v>
      </c>
    </row>
    <row r="50" spans="1:36" ht="12" customHeight="1">
      <c r="A50" s="718" t="s">
        <v>2879</v>
      </c>
      <c r="B50" s="718" t="s">
        <v>6797</v>
      </c>
      <c r="C50" s="453" t="s">
        <v>6798</v>
      </c>
      <c r="D50" s="731" t="s">
        <v>6609</v>
      </c>
      <c r="E50" s="655">
        <v>44035</v>
      </c>
      <c r="F50" s="732" t="s">
        <v>2912</v>
      </c>
      <c r="G50" s="732">
        <v>5</v>
      </c>
      <c r="H50" s="732" t="s">
        <v>6610</v>
      </c>
      <c r="I50" s="733" t="s">
        <v>6610</v>
      </c>
      <c r="J50" s="733" t="s">
        <v>6610</v>
      </c>
      <c r="K50" s="733" t="s">
        <v>6610</v>
      </c>
      <c r="L50" s="733" t="s">
        <v>6610</v>
      </c>
      <c r="M50" s="769" t="s">
        <v>6798</v>
      </c>
      <c r="N50" s="769" t="s">
        <v>6610</v>
      </c>
      <c r="O50" s="770"/>
      <c r="P50" s="735">
        <v>0</v>
      </c>
      <c r="Q50" s="772" t="s">
        <v>6799</v>
      </c>
      <c r="R50" s="735">
        <v>60</v>
      </c>
      <c r="S50" s="772" t="s">
        <v>6799</v>
      </c>
      <c r="T50" s="735">
        <v>60</v>
      </c>
      <c r="U50" s="771" t="s">
        <v>6800</v>
      </c>
      <c r="V50" s="735">
        <v>26</v>
      </c>
      <c r="W50" s="771" t="s">
        <v>6616</v>
      </c>
      <c r="X50" s="771" t="s">
        <v>6801</v>
      </c>
      <c r="Y50" s="738">
        <v>56</v>
      </c>
      <c r="Z50" s="772" t="s">
        <v>6801</v>
      </c>
      <c r="AA50" s="735">
        <v>56</v>
      </c>
      <c r="AB50" s="771" t="s">
        <v>6802</v>
      </c>
      <c r="AC50" s="735">
        <v>29</v>
      </c>
      <c r="AD50" s="738" t="s">
        <v>6618</v>
      </c>
      <c r="AE50" s="689"/>
      <c r="AF50" s="530" t="s">
        <v>2969</v>
      </c>
      <c r="AJ50" s="773">
        <f>_xll.GetCtData("COAMOUNT","CONSAMOUNT",$B$1:$B$7,$B50,AJ$8,"#")</f>
        <v>0</v>
      </c>
    </row>
    <row r="51" spans="1:36" ht="12" customHeight="1">
      <c r="A51" s="718" t="s">
        <v>2879</v>
      </c>
      <c r="B51" s="718" t="s">
        <v>1220</v>
      </c>
      <c r="C51" s="453" t="s">
        <v>6803</v>
      </c>
      <c r="D51" s="731" t="s">
        <v>6609</v>
      </c>
      <c r="E51" s="655">
        <v>44035</v>
      </c>
      <c r="F51" s="789" t="s">
        <v>2930</v>
      </c>
      <c r="G51" s="732">
        <v>7</v>
      </c>
      <c r="H51" s="732" t="s">
        <v>6610</v>
      </c>
      <c r="I51" s="733" t="s">
        <v>6610</v>
      </c>
      <c r="J51" s="733" t="s">
        <v>6610</v>
      </c>
      <c r="K51" s="733" t="s">
        <v>6610</v>
      </c>
      <c r="L51" s="733" t="s">
        <v>6610</v>
      </c>
      <c r="M51" s="733" t="s">
        <v>6610</v>
      </c>
      <c r="N51" s="733" t="s">
        <v>6610</v>
      </c>
      <c r="O51" s="757" t="s">
        <v>6803</v>
      </c>
      <c r="P51" s="735">
        <v>10</v>
      </c>
      <c r="Q51" s="759" t="s">
        <v>6804</v>
      </c>
      <c r="R51" s="735">
        <v>136</v>
      </c>
      <c r="S51" s="759" t="s">
        <v>6805</v>
      </c>
      <c r="T51" s="735">
        <v>136</v>
      </c>
      <c r="U51" s="758" t="s">
        <v>6806</v>
      </c>
      <c r="V51" s="735">
        <v>40</v>
      </c>
      <c r="W51" s="758" t="s">
        <v>6616</v>
      </c>
      <c r="X51" s="758" t="s">
        <v>6807</v>
      </c>
      <c r="Y51" s="738">
        <v>117</v>
      </c>
      <c r="Z51" s="758" t="s">
        <v>6807</v>
      </c>
      <c r="AA51" s="735">
        <v>117</v>
      </c>
      <c r="AB51" s="758" t="s">
        <v>6808</v>
      </c>
      <c r="AC51" s="735">
        <v>40</v>
      </c>
      <c r="AD51" s="738" t="s">
        <v>6618</v>
      </c>
      <c r="AE51" s="689" t="s">
        <v>6809</v>
      </c>
      <c r="AF51" s="530" t="s">
        <v>2969</v>
      </c>
      <c r="AH51" s="723" t="s">
        <v>5359</v>
      </c>
      <c r="AJ51" s="760">
        <f>_xll.GetCtData("COAMOUNT","CONSAMOUNT",$B$1:$B$7,$B51,AJ$8,"#")</f>
        <v>0</v>
      </c>
    </row>
    <row r="52" spans="1:36" ht="12" customHeight="1">
      <c r="A52" s="718" t="s">
        <v>2879</v>
      </c>
      <c r="B52" s="718" t="s">
        <v>6810</v>
      </c>
      <c r="C52" s="453" t="s">
        <v>6811</v>
      </c>
      <c r="D52" s="794" t="s">
        <v>6609</v>
      </c>
      <c r="E52" s="795">
        <v>44035</v>
      </c>
      <c r="F52" s="796" t="s">
        <v>2930</v>
      </c>
      <c r="G52" s="732">
        <v>7</v>
      </c>
      <c r="H52" s="732" t="s">
        <v>6610</v>
      </c>
      <c r="I52" s="733" t="s">
        <v>6610</v>
      </c>
      <c r="J52" s="733" t="s">
        <v>6610</v>
      </c>
      <c r="K52" s="733" t="s">
        <v>6610</v>
      </c>
      <c r="L52" s="733" t="s">
        <v>6610</v>
      </c>
      <c r="M52" s="733" t="s">
        <v>6610</v>
      </c>
      <c r="N52" s="733" t="s">
        <v>6610</v>
      </c>
      <c r="O52" s="757" t="s">
        <v>6811</v>
      </c>
      <c r="P52" s="735">
        <v>10</v>
      </c>
      <c r="Q52" s="759" t="s">
        <v>6812</v>
      </c>
      <c r="R52" s="735">
        <v>140</v>
      </c>
      <c r="S52" s="759" t="s">
        <v>6813</v>
      </c>
      <c r="T52" s="735">
        <v>140</v>
      </c>
      <c r="U52" s="758" t="s">
        <v>6814</v>
      </c>
      <c r="V52" s="735">
        <v>43</v>
      </c>
      <c r="W52" s="758" t="s">
        <v>6616</v>
      </c>
      <c r="X52" s="758" t="s">
        <v>6815</v>
      </c>
      <c r="Y52" s="738">
        <v>122</v>
      </c>
      <c r="Z52" s="758" t="s">
        <v>6816</v>
      </c>
      <c r="AA52" s="735">
        <v>120</v>
      </c>
      <c r="AB52" s="758" t="s">
        <v>6817</v>
      </c>
      <c r="AC52" s="735">
        <v>28</v>
      </c>
      <c r="AD52" s="738" t="s">
        <v>6618</v>
      </c>
      <c r="AE52" s="689" t="s">
        <v>6818</v>
      </c>
      <c r="AF52" s="530" t="s">
        <v>2969</v>
      </c>
      <c r="AJ52" s="760">
        <f>_xll.GetCtData("COAMOUNT","CONSAMOUNT",$B$1:$B$7,$B52,AJ$8,"#")</f>
        <v>0</v>
      </c>
    </row>
    <row r="53" spans="1:36" ht="12" customHeight="1">
      <c r="A53" s="718" t="s">
        <v>2879</v>
      </c>
      <c r="B53" s="718" t="s">
        <v>6819</v>
      </c>
      <c r="C53" s="453" t="s">
        <v>6820</v>
      </c>
      <c r="D53" s="731" t="s">
        <v>6609</v>
      </c>
      <c r="E53" s="655">
        <v>44035</v>
      </c>
      <c r="F53" s="732" t="s">
        <v>2912</v>
      </c>
      <c r="G53" s="732">
        <v>5</v>
      </c>
      <c r="H53" s="732" t="s">
        <v>6610</v>
      </c>
      <c r="I53" s="733" t="s">
        <v>6610</v>
      </c>
      <c r="J53" s="733" t="s">
        <v>6610</v>
      </c>
      <c r="K53" s="733" t="s">
        <v>6610</v>
      </c>
      <c r="L53" s="733" t="s">
        <v>6610</v>
      </c>
      <c r="M53" s="769" t="s">
        <v>6820</v>
      </c>
      <c r="N53" s="769" t="s">
        <v>6610</v>
      </c>
      <c r="O53" s="770"/>
      <c r="P53" s="735">
        <v>0</v>
      </c>
      <c r="Q53" s="772" t="s">
        <v>6821</v>
      </c>
      <c r="R53" s="735">
        <v>56</v>
      </c>
      <c r="S53" s="772" t="s">
        <v>6821</v>
      </c>
      <c r="T53" s="735">
        <v>56</v>
      </c>
      <c r="U53" s="771" t="s">
        <v>6822</v>
      </c>
      <c r="V53" s="735">
        <v>28</v>
      </c>
      <c r="W53" s="771" t="s">
        <v>6616</v>
      </c>
      <c r="X53" s="771" t="s">
        <v>6823</v>
      </c>
      <c r="Y53" s="738">
        <v>50</v>
      </c>
      <c r="Z53" s="772" t="s">
        <v>6823</v>
      </c>
      <c r="AA53" s="735">
        <v>50</v>
      </c>
      <c r="AB53" s="771" t="s">
        <v>6824</v>
      </c>
      <c r="AC53" s="735">
        <v>28</v>
      </c>
      <c r="AD53" s="738" t="s">
        <v>6618</v>
      </c>
      <c r="AE53" s="689"/>
      <c r="AF53" s="530" t="s">
        <v>2969</v>
      </c>
      <c r="AJ53" s="773">
        <f>_xll.GetCtData("COAMOUNT","CONSAMOUNT",$B$1:$B$7,$B53,AJ$8,"#1053549,01781384")</f>
        <v>1053549</v>
      </c>
    </row>
    <row r="54" spans="1:36" ht="12" customHeight="1">
      <c r="A54" s="718" t="s">
        <v>2879</v>
      </c>
      <c r="B54" s="718" t="s">
        <v>6825</v>
      </c>
      <c r="C54" s="453" t="s">
        <v>6826</v>
      </c>
      <c r="D54" s="731" t="s">
        <v>6609</v>
      </c>
      <c r="E54" s="655">
        <v>44035</v>
      </c>
      <c r="F54" s="789" t="s">
        <v>2930</v>
      </c>
      <c r="G54" s="732">
        <v>7</v>
      </c>
      <c r="H54" s="732" t="s">
        <v>6610</v>
      </c>
      <c r="I54" s="733" t="s">
        <v>6610</v>
      </c>
      <c r="J54" s="733" t="s">
        <v>6610</v>
      </c>
      <c r="K54" s="733" t="s">
        <v>6610</v>
      </c>
      <c r="L54" s="733" t="s">
        <v>6610</v>
      </c>
      <c r="M54" s="733" t="s">
        <v>6610</v>
      </c>
      <c r="N54" s="733" t="s">
        <v>6610</v>
      </c>
      <c r="O54" s="757" t="s">
        <v>6826</v>
      </c>
      <c r="P54" s="735">
        <v>10</v>
      </c>
      <c r="Q54" s="759" t="s">
        <v>6827</v>
      </c>
      <c r="R54" s="735">
        <v>125</v>
      </c>
      <c r="S54" s="759" t="s">
        <v>6828</v>
      </c>
      <c r="T54" s="735">
        <v>125</v>
      </c>
      <c r="U54" s="758" t="s">
        <v>6829</v>
      </c>
      <c r="V54" s="735">
        <v>35</v>
      </c>
      <c r="W54" s="758" t="s">
        <v>6616</v>
      </c>
      <c r="X54" s="758" t="s">
        <v>6830</v>
      </c>
      <c r="Y54" s="738">
        <v>113</v>
      </c>
      <c r="Z54" s="758" t="s">
        <v>6830</v>
      </c>
      <c r="AA54" s="735">
        <v>113</v>
      </c>
      <c r="AB54" s="758" t="s">
        <v>6831</v>
      </c>
      <c r="AC54" s="735">
        <v>30</v>
      </c>
      <c r="AD54" s="738" t="s">
        <v>6618</v>
      </c>
      <c r="AE54" s="689" t="s">
        <v>6832</v>
      </c>
      <c r="AF54" s="530" t="s">
        <v>2969</v>
      </c>
      <c r="AH54" s="723" t="s">
        <v>5359</v>
      </c>
      <c r="AJ54" s="760">
        <f>_xll.GetCtData("COAMOUNT","CONSAMOUNT",$B$1:$B$7,$B54,AJ$8,"#1419557,20738774")</f>
        <v>1419557</v>
      </c>
    </row>
    <row r="55" spans="1:36" ht="12" customHeight="1">
      <c r="A55" s="718" t="s">
        <v>2879</v>
      </c>
      <c r="B55" s="718" t="s">
        <v>6833</v>
      </c>
      <c r="C55" s="453" t="s">
        <v>6834</v>
      </c>
      <c r="D55" s="731" t="s">
        <v>6609</v>
      </c>
      <c r="E55" s="655">
        <v>44035</v>
      </c>
      <c r="F55" s="732" t="s">
        <v>2930</v>
      </c>
      <c r="G55" s="732">
        <v>7</v>
      </c>
      <c r="H55" s="732" t="s">
        <v>6610</v>
      </c>
      <c r="I55" s="733" t="s">
        <v>6610</v>
      </c>
      <c r="J55" s="733" t="s">
        <v>6610</v>
      </c>
      <c r="K55" s="733" t="s">
        <v>6610</v>
      </c>
      <c r="L55" s="733" t="s">
        <v>6610</v>
      </c>
      <c r="M55" s="733" t="s">
        <v>6610</v>
      </c>
      <c r="N55" s="733" t="s">
        <v>6610</v>
      </c>
      <c r="O55" s="757" t="s">
        <v>6834</v>
      </c>
      <c r="P55" s="735">
        <v>10</v>
      </c>
      <c r="Q55" s="759" t="s">
        <v>6835</v>
      </c>
      <c r="R55" s="735">
        <v>128</v>
      </c>
      <c r="S55" s="759" t="s">
        <v>6836</v>
      </c>
      <c r="T55" s="735">
        <v>128</v>
      </c>
      <c r="U55" s="758" t="s">
        <v>6837</v>
      </c>
      <c r="V55" s="735">
        <v>30</v>
      </c>
      <c r="W55" s="758" t="s">
        <v>6616</v>
      </c>
      <c r="X55" s="758" t="s">
        <v>6838</v>
      </c>
      <c r="Y55" s="738">
        <v>118</v>
      </c>
      <c r="Z55" s="758" t="s">
        <v>6838</v>
      </c>
      <c r="AA55" s="735">
        <v>118</v>
      </c>
      <c r="AB55" s="758" t="s">
        <v>6839</v>
      </c>
      <c r="AC55" s="735">
        <v>30</v>
      </c>
      <c r="AD55" s="738" t="s">
        <v>6618</v>
      </c>
      <c r="AE55" s="689" t="s">
        <v>6840</v>
      </c>
      <c r="AF55" s="530" t="s">
        <v>2969</v>
      </c>
      <c r="AJ55" s="760">
        <f>_xll.GetCtData("COAMOUNT","CONSAMOUNT",$B$1:$B$7,$B55,AJ$8,"#-366008,189573904")</f>
        <v>-366008</v>
      </c>
    </row>
    <row r="56" spans="1:36" ht="12" customHeight="1">
      <c r="A56" s="718" t="s">
        <v>2879</v>
      </c>
      <c r="B56" s="718" t="s">
        <v>6841</v>
      </c>
      <c r="C56" s="453" t="s">
        <v>6842</v>
      </c>
      <c r="D56" s="731" t="s">
        <v>6609</v>
      </c>
      <c r="E56" s="655">
        <v>44035</v>
      </c>
      <c r="F56" s="732" t="s">
        <v>2912</v>
      </c>
      <c r="G56" s="732">
        <v>5</v>
      </c>
      <c r="H56" s="732" t="s">
        <v>6610</v>
      </c>
      <c r="I56" s="733" t="s">
        <v>6610</v>
      </c>
      <c r="J56" s="733" t="s">
        <v>6610</v>
      </c>
      <c r="K56" s="733" t="s">
        <v>6610</v>
      </c>
      <c r="L56" s="733" t="s">
        <v>6610</v>
      </c>
      <c r="M56" s="769" t="s">
        <v>6842</v>
      </c>
      <c r="N56" s="769" t="s">
        <v>6610</v>
      </c>
      <c r="O56" s="770"/>
      <c r="P56" s="735">
        <v>0</v>
      </c>
      <c r="Q56" s="772" t="s">
        <v>6843</v>
      </c>
      <c r="R56" s="735">
        <v>55</v>
      </c>
      <c r="S56" s="772" t="s">
        <v>6843</v>
      </c>
      <c r="T56" s="735">
        <v>55</v>
      </c>
      <c r="U56" s="771" t="s">
        <v>6844</v>
      </c>
      <c r="V56" s="735">
        <v>29</v>
      </c>
      <c r="W56" s="771" t="s">
        <v>6616</v>
      </c>
      <c r="X56" s="771" t="s">
        <v>6845</v>
      </c>
      <c r="Y56" s="738">
        <v>52</v>
      </c>
      <c r="Z56" s="772" t="s">
        <v>6845</v>
      </c>
      <c r="AA56" s="735">
        <v>52</v>
      </c>
      <c r="AB56" s="771" t="s">
        <v>6846</v>
      </c>
      <c r="AC56" s="735">
        <v>27</v>
      </c>
      <c r="AD56" s="738" t="s">
        <v>6618</v>
      </c>
      <c r="AE56" s="689"/>
      <c r="AF56" s="530" t="s">
        <v>2969</v>
      </c>
      <c r="AJ56" s="773">
        <f>_xll.GetCtData("COAMOUNT","CONSAMOUNT",$B$1:$B$7,$B56,AJ$8,"#408")</f>
        <v>408</v>
      </c>
    </row>
    <row r="57" spans="1:36" ht="12" customHeight="1">
      <c r="A57" s="718" t="s">
        <v>2879</v>
      </c>
      <c r="B57" s="718" t="s">
        <v>6847</v>
      </c>
      <c r="C57" s="453" t="s">
        <v>6848</v>
      </c>
      <c r="D57" s="731" t="s">
        <v>6609</v>
      </c>
      <c r="E57" s="655">
        <v>44035</v>
      </c>
      <c r="F57" s="732" t="s">
        <v>2930</v>
      </c>
      <c r="G57" s="732">
        <v>7</v>
      </c>
      <c r="H57" s="732" t="s">
        <v>6610</v>
      </c>
      <c r="I57" s="733" t="s">
        <v>6610</v>
      </c>
      <c r="J57" s="733" t="s">
        <v>6610</v>
      </c>
      <c r="K57" s="733" t="s">
        <v>6610</v>
      </c>
      <c r="L57" s="733" t="s">
        <v>6610</v>
      </c>
      <c r="M57" s="733" t="s">
        <v>6610</v>
      </c>
      <c r="N57" s="733" t="s">
        <v>6610</v>
      </c>
      <c r="O57" s="757" t="s">
        <v>6848</v>
      </c>
      <c r="P57" s="735">
        <v>10</v>
      </c>
      <c r="Q57" s="759" t="s">
        <v>6849</v>
      </c>
      <c r="R57" s="735">
        <v>125</v>
      </c>
      <c r="S57" s="759" t="s">
        <v>6850</v>
      </c>
      <c r="T57" s="735">
        <v>125</v>
      </c>
      <c r="U57" s="758" t="s">
        <v>6851</v>
      </c>
      <c r="V57" s="735">
        <v>25</v>
      </c>
      <c r="W57" s="758" t="s">
        <v>6616</v>
      </c>
      <c r="X57" s="758" t="s">
        <v>6852</v>
      </c>
      <c r="Y57" s="738">
        <v>113</v>
      </c>
      <c r="Z57" s="758" t="s">
        <v>6852</v>
      </c>
      <c r="AA57" s="735">
        <v>113</v>
      </c>
      <c r="AB57" s="758" t="s">
        <v>6853</v>
      </c>
      <c r="AC57" s="735">
        <v>30</v>
      </c>
      <c r="AD57" s="738" t="s">
        <v>6618</v>
      </c>
      <c r="AE57" s="689" t="s">
        <v>6840</v>
      </c>
      <c r="AF57" s="530" t="s">
        <v>2969</v>
      </c>
      <c r="AH57" s="723" t="s">
        <v>5359</v>
      </c>
      <c r="AJ57" s="760">
        <f>_xll.GetCtData("COAMOUNT","CONSAMOUNT",$B$1:$B$7,$B57,AJ$8,"#408")</f>
        <v>408</v>
      </c>
    </row>
    <row r="58" spans="1:36" ht="12" customHeight="1">
      <c r="A58" s="718" t="s">
        <v>2879</v>
      </c>
      <c r="B58" s="718" t="s">
        <v>6854</v>
      </c>
      <c r="C58" s="453" t="s">
        <v>6855</v>
      </c>
      <c r="D58" s="731" t="s">
        <v>6609</v>
      </c>
      <c r="E58" s="655">
        <v>44035</v>
      </c>
      <c r="F58" s="732" t="s">
        <v>2930</v>
      </c>
      <c r="G58" s="732">
        <v>7</v>
      </c>
      <c r="H58" s="732" t="s">
        <v>6610</v>
      </c>
      <c r="I58" s="733" t="s">
        <v>6610</v>
      </c>
      <c r="J58" s="733" t="s">
        <v>6610</v>
      </c>
      <c r="K58" s="733" t="s">
        <v>6610</v>
      </c>
      <c r="L58" s="733" t="s">
        <v>6610</v>
      </c>
      <c r="M58" s="733" t="s">
        <v>6610</v>
      </c>
      <c r="N58" s="733" t="s">
        <v>6610</v>
      </c>
      <c r="O58" s="757" t="s">
        <v>6855</v>
      </c>
      <c r="P58" s="735">
        <v>10</v>
      </c>
      <c r="Q58" s="759" t="s">
        <v>6856</v>
      </c>
      <c r="R58" s="735">
        <v>128</v>
      </c>
      <c r="S58" s="759" t="s">
        <v>6857</v>
      </c>
      <c r="T58" s="735">
        <v>128</v>
      </c>
      <c r="U58" s="758" t="s">
        <v>6858</v>
      </c>
      <c r="V58" s="735">
        <v>28</v>
      </c>
      <c r="W58" s="758" t="s">
        <v>6616</v>
      </c>
      <c r="X58" s="758" t="s">
        <v>6859</v>
      </c>
      <c r="Y58" s="738">
        <v>118</v>
      </c>
      <c r="Z58" s="758" t="s">
        <v>6859</v>
      </c>
      <c r="AA58" s="735">
        <v>118</v>
      </c>
      <c r="AB58" s="758" t="s">
        <v>6860</v>
      </c>
      <c r="AC58" s="735">
        <v>30</v>
      </c>
      <c r="AD58" s="738" t="s">
        <v>6618</v>
      </c>
      <c r="AE58" s="689" t="s">
        <v>6840</v>
      </c>
      <c r="AF58" s="530" t="s">
        <v>2969</v>
      </c>
      <c r="AJ58" s="760">
        <f>_xll.GetCtData("COAMOUNT","CONSAMOUNT",$B$1:$B$7,$B58,AJ$8,"#")</f>
        <v>0</v>
      </c>
    </row>
    <row r="59" spans="1:36" ht="12" customHeight="1">
      <c r="A59" s="718" t="s">
        <v>2879</v>
      </c>
      <c r="B59" s="718" t="s">
        <v>6861</v>
      </c>
      <c r="C59" s="718" t="s">
        <v>6862</v>
      </c>
      <c r="D59" s="731" t="s">
        <v>2962</v>
      </c>
      <c r="E59" s="655">
        <v>44515</v>
      </c>
      <c r="F59" s="732" t="s">
        <v>2912</v>
      </c>
      <c r="G59" s="732">
        <v>5</v>
      </c>
      <c r="H59" s="732" t="s">
        <v>6610</v>
      </c>
      <c r="I59" s="733" t="s">
        <v>6610</v>
      </c>
      <c r="J59" s="733" t="s">
        <v>6610</v>
      </c>
      <c r="K59" s="733" t="s">
        <v>6610</v>
      </c>
      <c r="L59" s="733" t="s">
        <v>6610</v>
      </c>
      <c r="M59" s="769" t="s">
        <v>6862</v>
      </c>
      <c r="N59" s="769" t="s">
        <v>6610</v>
      </c>
      <c r="O59" s="770"/>
      <c r="P59" s="735">
        <v>0</v>
      </c>
      <c r="Q59" s="772" t="s">
        <v>6863</v>
      </c>
      <c r="R59" s="735">
        <v>56</v>
      </c>
      <c r="S59" s="772" t="s">
        <v>6863</v>
      </c>
      <c r="T59" s="735">
        <v>56</v>
      </c>
      <c r="U59" s="771" t="s">
        <v>6864</v>
      </c>
      <c r="V59" s="735">
        <v>28</v>
      </c>
      <c r="W59" s="771" t="s">
        <v>6616</v>
      </c>
      <c r="X59" s="771" t="s">
        <v>6865</v>
      </c>
      <c r="Y59" s="738">
        <v>50</v>
      </c>
      <c r="Z59" s="772" t="s">
        <v>6865</v>
      </c>
      <c r="AA59" s="735">
        <v>50</v>
      </c>
      <c r="AB59" s="771" t="s">
        <v>6866</v>
      </c>
      <c r="AC59" s="735">
        <v>28</v>
      </c>
      <c r="AD59" s="738" t="s">
        <v>6618</v>
      </c>
      <c r="AE59" s="689" t="s">
        <v>6867</v>
      </c>
      <c r="AF59" s="530" t="s">
        <v>2969</v>
      </c>
      <c r="AJ59" s="773">
        <f>_xll.GetCtData("COAMOUNT","CONSAMOUNT",$B$1:$B$7,$B59,AJ$8,"#8435107,66015665")</f>
        <v>8435107</v>
      </c>
    </row>
    <row r="60" spans="1:36" ht="12" customHeight="1">
      <c r="A60" s="718" t="s">
        <v>2879</v>
      </c>
      <c r="B60" s="718" t="s">
        <v>6868</v>
      </c>
      <c r="C60" s="718" t="s">
        <v>6869</v>
      </c>
      <c r="D60" s="731" t="s">
        <v>2962</v>
      </c>
      <c r="E60" s="655">
        <v>44515</v>
      </c>
      <c r="F60" s="789" t="s">
        <v>2930</v>
      </c>
      <c r="G60" s="732">
        <v>7</v>
      </c>
      <c r="H60" s="732" t="s">
        <v>6610</v>
      </c>
      <c r="I60" s="733" t="s">
        <v>6610</v>
      </c>
      <c r="J60" s="733" t="s">
        <v>6610</v>
      </c>
      <c r="K60" s="733" t="s">
        <v>6610</v>
      </c>
      <c r="L60" s="733" t="s">
        <v>6610</v>
      </c>
      <c r="M60" s="733" t="s">
        <v>6610</v>
      </c>
      <c r="N60" s="733" t="s">
        <v>6610</v>
      </c>
      <c r="O60" s="757" t="s">
        <v>6869</v>
      </c>
      <c r="P60" s="735">
        <v>10</v>
      </c>
      <c r="Q60" s="758" t="s">
        <v>6870</v>
      </c>
      <c r="R60" s="735">
        <v>120</v>
      </c>
      <c r="S60" s="758" t="s">
        <v>6871</v>
      </c>
      <c r="T60" s="735">
        <v>120</v>
      </c>
      <c r="U60" s="758" t="s">
        <v>6872</v>
      </c>
      <c r="V60" s="735">
        <v>26</v>
      </c>
      <c r="W60" s="758" t="s">
        <v>6616</v>
      </c>
      <c r="X60" s="758" t="s">
        <v>6873</v>
      </c>
      <c r="Y60" s="738">
        <v>98</v>
      </c>
      <c r="Z60" s="758" t="s">
        <v>6874</v>
      </c>
      <c r="AA60" s="735">
        <v>98</v>
      </c>
      <c r="AB60" s="758" t="s">
        <v>6875</v>
      </c>
      <c r="AC60" s="735">
        <v>27</v>
      </c>
      <c r="AD60" s="738" t="s">
        <v>6618</v>
      </c>
      <c r="AE60" s="689" t="s">
        <v>6876</v>
      </c>
      <c r="AF60" s="530" t="s">
        <v>2969</v>
      </c>
      <c r="AH60" s="723" t="s">
        <v>5359</v>
      </c>
      <c r="AJ60" s="797">
        <f>_xll.GetCtData("COAMOUNT","CONSAMOUNT",$B$1:$B$7,$B60,AJ$8,"#11428306,0803288")</f>
        <v>11428306</v>
      </c>
    </row>
    <row r="61" spans="1:36" ht="12" customHeight="1">
      <c r="A61" s="718" t="s">
        <v>2879</v>
      </c>
      <c r="B61" s="718" t="s">
        <v>6877</v>
      </c>
      <c r="C61" s="718" t="s">
        <v>6878</v>
      </c>
      <c r="D61" s="731" t="s">
        <v>2962</v>
      </c>
      <c r="E61" s="655">
        <v>44515</v>
      </c>
      <c r="F61" s="789" t="s">
        <v>2930</v>
      </c>
      <c r="G61" s="732">
        <v>7</v>
      </c>
      <c r="H61" s="732" t="s">
        <v>6610</v>
      </c>
      <c r="I61" s="733" t="s">
        <v>6610</v>
      </c>
      <c r="J61" s="733" t="s">
        <v>6610</v>
      </c>
      <c r="K61" s="733" t="s">
        <v>6610</v>
      </c>
      <c r="L61" s="733" t="s">
        <v>6610</v>
      </c>
      <c r="M61" s="733" t="s">
        <v>6610</v>
      </c>
      <c r="N61" s="733" t="s">
        <v>6610</v>
      </c>
      <c r="O61" s="757" t="s">
        <v>6878</v>
      </c>
      <c r="P61" s="735">
        <v>10</v>
      </c>
      <c r="Q61" s="758" t="s">
        <v>6879</v>
      </c>
      <c r="R61" s="735">
        <v>120</v>
      </c>
      <c r="S61" s="758" t="s">
        <v>6880</v>
      </c>
      <c r="T61" s="735">
        <v>120</v>
      </c>
      <c r="U61" s="758" t="s">
        <v>6881</v>
      </c>
      <c r="V61" s="735">
        <v>29</v>
      </c>
      <c r="W61" s="758" t="s">
        <v>6616</v>
      </c>
      <c r="X61" s="758" t="s">
        <v>6882</v>
      </c>
      <c r="Y61" s="738">
        <v>104</v>
      </c>
      <c r="Z61" s="758" t="s">
        <v>6883</v>
      </c>
      <c r="AA61" s="735">
        <v>103</v>
      </c>
      <c r="AB61" s="758" t="s">
        <v>6884</v>
      </c>
      <c r="AC61" s="735">
        <v>31</v>
      </c>
      <c r="AD61" s="738" t="s">
        <v>6618</v>
      </c>
      <c r="AE61" s="689" t="s">
        <v>6876</v>
      </c>
      <c r="AF61" s="530" t="s">
        <v>2969</v>
      </c>
      <c r="AH61" s="798" t="s">
        <v>5359</v>
      </c>
      <c r="AJ61" s="797">
        <f>_xll.GetCtData("COAMOUNT","CONSAMOUNT",$B$1:$B$7,$B61,AJ$8,"#-2993198,42017213")</f>
        <v>-2993198</v>
      </c>
    </row>
    <row r="62" spans="1:36" ht="12" customHeight="1">
      <c r="A62" s="718" t="s">
        <v>2879</v>
      </c>
      <c r="B62" s="718" t="s">
        <v>6885</v>
      </c>
      <c r="C62" s="718" t="s">
        <v>6886</v>
      </c>
      <c r="D62" s="731" t="s">
        <v>2962</v>
      </c>
      <c r="E62" s="655">
        <v>44515</v>
      </c>
      <c r="F62" s="789" t="s">
        <v>2930</v>
      </c>
      <c r="G62" s="732">
        <v>7</v>
      </c>
      <c r="H62" s="732" t="s">
        <v>6610</v>
      </c>
      <c r="I62" s="733" t="s">
        <v>6610</v>
      </c>
      <c r="J62" s="733" t="s">
        <v>6610</v>
      </c>
      <c r="K62" s="733" t="s">
        <v>6610</v>
      </c>
      <c r="L62" s="733" t="s">
        <v>6610</v>
      </c>
      <c r="M62" s="733" t="s">
        <v>6610</v>
      </c>
      <c r="N62" s="733" t="s">
        <v>6610</v>
      </c>
      <c r="O62" s="757" t="s">
        <v>6886</v>
      </c>
      <c r="P62" s="735">
        <v>10</v>
      </c>
      <c r="Q62" s="758" t="s">
        <v>6887</v>
      </c>
      <c r="R62" s="735">
        <v>115</v>
      </c>
      <c r="S62" s="758" t="s">
        <v>6888</v>
      </c>
      <c r="T62" s="735">
        <v>115</v>
      </c>
      <c r="U62" s="758" t="s">
        <v>6889</v>
      </c>
      <c r="V62" s="735">
        <v>24</v>
      </c>
      <c r="W62" s="758" t="s">
        <v>6616</v>
      </c>
      <c r="X62" s="758" t="s">
        <v>6890</v>
      </c>
      <c r="Y62" s="738">
        <v>102</v>
      </c>
      <c r="Z62" s="758" t="s">
        <v>6891</v>
      </c>
      <c r="AA62" s="735">
        <v>90</v>
      </c>
      <c r="AB62" s="758" t="s">
        <v>6892</v>
      </c>
      <c r="AC62" s="735">
        <v>29</v>
      </c>
      <c r="AD62" s="738" t="s">
        <v>6618</v>
      </c>
      <c r="AE62" s="689" t="s">
        <v>6893</v>
      </c>
      <c r="AF62" s="530" t="s">
        <v>2969</v>
      </c>
      <c r="AH62" s="798" t="s">
        <v>5359</v>
      </c>
      <c r="AJ62" s="797">
        <f>_xll.GetCtData("COAMOUNT","CONSAMOUNT",$B$1:$B$7,$B62,AJ$8,"#")</f>
        <v>0</v>
      </c>
    </row>
    <row r="63" spans="1:36" ht="12" customHeight="1">
      <c r="A63" s="718" t="s">
        <v>2879</v>
      </c>
      <c r="B63" s="718" t="s">
        <v>6894</v>
      </c>
      <c r="C63" s="718" t="s">
        <v>6895</v>
      </c>
      <c r="D63" s="731" t="s">
        <v>2962</v>
      </c>
      <c r="E63" s="655">
        <v>44515</v>
      </c>
      <c r="F63" s="789" t="s">
        <v>2930</v>
      </c>
      <c r="G63" s="732">
        <v>7</v>
      </c>
      <c r="H63" s="732" t="s">
        <v>6610</v>
      </c>
      <c r="I63" s="733" t="s">
        <v>6610</v>
      </c>
      <c r="J63" s="733" t="s">
        <v>6610</v>
      </c>
      <c r="K63" s="733" t="s">
        <v>6610</v>
      </c>
      <c r="L63" s="733" t="s">
        <v>6610</v>
      </c>
      <c r="M63" s="733" t="s">
        <v>6610</v>
      </c>
      <c r="N63" s="733" t="s">
        <v>6610</v>
      </c>
      <c r="O63" s="757" t="s">
        <v>6895</v>
      </c>
      <c r="P63" s="735">
        <v>10</v>
      </c>
      <c r="Q63" s="758" t="s">
        <v>6896</v>
      </c>
      <c r="R63" s="735">
        <v>116</v>
      </c>
      <c r="S63" s="758" t="s">
        <v>6897</v>
      </c>
      <c r="T63" s="735">
        <v>116</v>
      </c>
      <c r="U63" s="758" t="s">
        <v>6898</v>
      </c>
      <c r="V63" s="735">
        <v>35</v>
      </c>
      <c r="W63" s="758" t="s">
        <v>6616</v>
      </c>
      <c r="X63" s="758" t="s">
        <v>6899</v>
      </c>
      <c r="Y63" s="738">
        <v>94</v>
      </c>
      <c r="Z63" s="758" t="s">
        <v>6899</v>
      </c>
      <c r="AA63" s="735">
        <v>94</v>
      </c>
      <c r="AB63" s="758" t="s">
        <v>6900</v>
      </c>
      <c r="AC63" s="735">
        <v>32</v>
      </c>
      <c r="AD63" s="738" t="s">
        <v>6618</v>
      </c>
      <c r="AE63" s="689" t="s">
        <v>6876</v>
      </c>
      <c r="AF63" s="530" t="s">
        <v>2969</v>
      </c>
      <c r="AJ63" s="797">
        <f>_xll.GetCtData("COAMOUNT","CONSAMOUNT",$B$1:$B$7,$B63,AJ$8,"#")</f>
        <v>0</v>
      </c>
    </row>
    <row r="64" spans="1:36" ht="12" customHeight="1">
      <c r="A64" s="718" t="s">
        <v>2879</v>
      </c>
      <c r="B64" s="718" t="s">
        <v>6901</v>
      </c>
      <c r="C64" s="718" t="s">
        <v>6902</v>
      </c>
      <c r="D64" s="731" t="s">
        <v>2962</v>
      </c>
      <c r="E64" s="655">
        <v>44515</v>
      </c>
      <c r="F64" s="732" t="s">
        <v>2912</v>
      </c>
      <c r="G64" s="732">
        <v>5</v>
      </c>
      <c r="H64" s="732" t="s">
        <v>6610</v>
      </c>
      <c r="I64" s="733" t="s">
        <v>6610</v>
      </c>
      <c r="J64" s="733" t="s">
        <v>6610</v>
      </c>
      <c r="K64" s="733" t="s">
        <v>6610</v>
      </c>
      <c r="L64" s="733" t="s">
        <v>6610</v>
      </c>
      <c r="M64" s="769" t="s">
        <v>6902</v>
      </c>
      <c r="N64" s="769" t="s">
        <v>6610</v>
      </c>
      <c r="O64" s="770"/>
      <c r="P64" s="735">
        <v>0</v>
      </c>
      <c r="Q64" s="772" t="s">
        <v>6903</v>
      </c>
      <c r="R64" s="735">
        <v>88</v>
      </c>
      <c r="S64" s="799" t="s">
        <v>6904</v>
      </c>
      <c r="T64" s="735">
        <v>87</v>
      </c>
      <c r="U64" s="771" t="s">
        <v>6864</v>
      </c>
      <c r="V64" s="735">
        <v>28</v>
      </c>
      <c r="W64" s="771" t="s">
        <v>6616</v>
      </c>
      <c r="X64" s="771" t="s">
        <v>6905</v>
      </c>
      <c r="Y64" s="738">
        <v>80</v>
      </c>
      <c r="Z64" s="772" t="s">
        <v>6865</v>
      </c>
      <c r="AA64" s="735">
        <v>50</v>
      </c>
      <c r="AB64" s="771" t="s">
        <v>6866</v>
      </c>
      <c r="AC64" s="735">
        <v>28</v>
      </c>
      <c r="AD64" s="738" t="s">
        <v>6618</v>
      </c>
      <c r="AE64" s="689" t="s">
        <v>6906</v>
      </c>
      <c r="AF64" s="530" t="s">
        <v>2969</v>
      </c>
      <c r="AJ64" s="773">
        <f>_xll.GetCtData("COAMOUNT","CONSAMOUNT",$B$1:$B$7,$B64,AJ$8,"#")</f>
        <v>0</v>
      </c>
    </row>
    <row r="65" spans="1:36" ht="12" customHeight="1">
      <c r="A65" s="718" t="s">
        <v>2879</v>
      </c>
      <c r="B65" s="718" t="s">
        <v>6907</v>
      </c>
      <c r="C65" s="718" t="s">
        <v>6908</v>
      </c>
      <c r="D65" s="731" t="s">
        <v>2962</v>
      </c>
      <c r="E65" s="655">
        <v>44515</v>
      </c>
      <c r="F65" s="789" t="s">
        <v>2930</v>
      </c>
      <c r="G65" s="732">
        <v>7</v>
      </c>
      <c r="H65" s="732" t="s">
        <v>6610</v>
      </c>
      <c r="I65" s="733" t="s">
        <v>6610</v>
      </c>
      <c r="J65" s="733" t="s">
        <v>6610</v>
      </c>
      <c r="K65" s="733" t="s">
        <v>6610</v>
      </c>
      <c r="L65" s="733" t="s">
        <v>6610</v>
      </c>
      <c r="M65" s="733" t="s">
        <v>6610</v>
      </c>
      <c r="N65" s="733" t="s">
        <v>6610</v>
      </c>
      <c r="O65" s="757" t="s">
        <v>6908</v>
      </c>
      <c r="P65" s="800" t="s">
        <v>6909</v>
      </c>
      <c r="Q65" s="758" t="s">
        <v>6910</v>
      </c>
      <c r="R65" s="735">
        <v>56</v>
      </c>
      <c r="S65" s="758" t="s">
        <v>6911</v>
      </c>
      <c r="T65" s="735">
        <v>55</v>
      </c>
      <c r="U65" s="758" t="s">
        <v>6912</v>
      </c>
      <c r="V65" s="735">
        <v>20</v>
      </c>
      <c r="W65" s="758" t="s">
        <v>6616</v>
      </c>
      <c r="X65" s="758" t="s">
        <v>6913</v>
      </c>
      <c r="Y65" s="738">
        <v>60</v>
      </c>
      <c r="Z65" s="758" t="s">
        <v>6913</v>
      </c>
      <c r="AA65" s="735">
        <v>60</v>
      </c>
      <c r="AB65" s="758" t="s">
        <v>6914</v>
      </c>
      <c r="AC65" s="735">
        <v>22</v>
      </c>
      <c r="AD65" s="738" t="s">
        <v>6618</v>
      </c>
      <c r="AE65" s="689" t="s">
        <v>6915</v>
      </c>
      <c r="AF65" s="530" t="s">
        <v>2969</v>
      </c>
      <c r="AH65" s="723" t="s">
        <v>5359</v>
      </c>
      <c r="AJ65" s="797">
        <f>_xll.GetCtData("COAMOUNT","CONSAMOUNT",$B$1:$B$7,$B65,AJ$8,"#")</f>
        <v>0</v>
      </c>
    </row>
    <row r="66" spans="1:36" ht="12" customHeight="1">
      <c r="A66" s="718" t="s">
        <v>2879</v>
      </c>
      <c r="B66" s="718" t="s">
        <v>6916</v>
      </c>
      <c r="C66" s="718" t="s">
        <v>6917</v>
      </c>
      <c r="D66" s="731" t="s">
        <v>2962</v>
      </c>
      <c r="E66" s="655">
        <v>44515</v>
      </c>
      <c r="F66" s="789" t="s">
        <v>2930</v>
      </c>
      <c r="G66" s="732">
        <v>7</v>
      </c>
      <c r="H66" s="732" t="s">
        <v>6610</v>
      </c>
      <c r="I66" s="733" t="s">
        <v>6610</v>
      </c>
      <c r="J66" s="733" t="s">
        <v>6610</v>
      </c>
      <c r="K66" s="733" t="s">
        <v>6610</v>
      </c>
      <c r="L66" s="733" t="s">
        <v>6610</v>
      </c>
      <c r="M66" s="733" t="s">
        <v>6610</v>
      </c>
      <c r="N66" s="733" t="s">
        <v>6610</v>
      </c>
      <c r="O66" s="757" t="s">
        <v>6917</v>
      </c>
      <c r="P66" s="800" t="s">
        <v>6826</v>
      </c>
      <c r="Q66" s="758" t="s">
        <v>6918</v>
      </c>
      <c r="R66" s="735">
        <v>53</v>
      </c>
      <c r="S66" s="758" t="s">
        <v>6918</v>
      </c>
      <c r="T66" s="735">
        <v>53</v>
      </c>
      <c r="U66" s="758" t="s">
        <v>6919</v>
      </c>
      <c r="V66" s="735">
        <v>24</v>
      </c>
      <c r="W66" s="758" t="s">
        <v>6616</v>
      </c>
      <c r="X66" s="758" t="s">
        <v>6920</v>
      </c>
      <c r="Y66" s="738">
        <v>57</v>
      </c>
      <c r="Z66" s="758" t="s">
        <v>6920</v>
      </c>
      <c r="AA66" s="735">
        <v>57</v>
      </c>
      <c r="AB66" s="758" t="s">
        <v>6921</v>
      </c>
      <c r="AC66" s="735">
        <v>25</v>
      </c>
      <c r="AD66" s="738" t="s">
        <v>6618</v>
      </c>
      <c r="AE66" s="689" t="s">
        <v>6915</v>
      </c>
      <c r="AF66" s="530" t="s">
        <v>2969</v>
      </c>
      <c r="AH66" s="723" t="s">
        <v>5359</v>
      </c>
      <c r="AJ66" s="797">
        <f>_xll.GetCtData("COAMOUNT","CONSAMOUNT",$B$1:$B$7,$B66,AJ$8,"#")</f>
        <v>0</v>
      </c>
    </row>
    <row r="67" spans="1:36" ht="12" customHeight="1">
      <c r="A67" s="718" t="s">
        <v>2879</v>
      </c>
      <c r="B67" s="718" t="s">
        <v>6922</v>
      </c>
      <c r="C67" s="718" t="s">
        <v>6923</v>
      </c>
      <c r="D67" s="731" t="s">
        <v>2962</v>
      </c>
      <c r="E67" s="655">
        <v>44515</v>
      </c>
      <c r="F67" s="789" t="s">
        <v>2930</v>
      </c>
      <c r="G67" s="732">
        <v>7</v>
      </c>
      <c r="H67" s="732" t="s">
        <v>6610</v>
      </c>
      <c r="I67" s="733" t="s">
        <v>6610</v>
      </c>
      <c r="J67" s="733" t="s">
        <v>6610</v>
      </c>
      <c r="K67" s="733" t="s">
        <v>6610</v>
      </c>
      <c r="L67" s="733" t="s">
        <v>6610</v>
      </c>
      <c r="M67" s="733" t="s">
        <v>6610</v>
      </c>
      <c r="N67" s="733" t="s">
        <v>6610</v>
      </c>
      <c r="O67" s="757" t="s">
        <v>6923</v>
      </c>
      <c r="P67" s="735">
        <v>10</v>
      </c>
      <c r="Q67" s="758" t="s">
        <v>6910</v>
      </c>
      <c r="R67" s="735">
        <v>56</v>
      </c>
      <c r="S67" s="758" t="s">
        <v>6924</v>
      </c>
      <c r="T67" s="735">
        <v>56</v>
      </c>
      <c r="U67" s="758" t="s">
        <v>6912</v>
      </c>
      <c r="V67" s="735">
        <v>20</v>
      </c>
      <c r="W67" s="758" t="s">
        <v>6616</v>
      </c>
      <c r="X67" s="758" t="s">
        <v>6913</v>
      </c>
      <c r="Y67" s="738">
        <v>60</v>
      </c>
      <c r="Z67" s="758" t="s">
        <v>6913</v>
      </c>
      <c r="AA67" s="735">
        <v>60</v>
      </c>
      <c r="AB67" s="758" t="s">
        <v>6914</v>
      </c>
      <c r="AC67" s="735">
        <v>22</v>
      </c>
      <c r="AD67" s="738" t="s">
        <v>6618</v>
      </c>
      <c r="AE67" s="689" t="s">
        <v>6925</v>
      </c>
      <c r="AF67" s="530" t="s">
        <v>2969</v>
      </c>
      <c r="AH67" s="723" t="s">
        <v>5359</v>
      </c>
      <c r="AJ67" s="797">
        <f>_xll.GetCtData("COAMOUNT","CONSAMOUNT",$B$1:$B$7,$B67,AJ$8,"#")</f>
        <v>0</v>
      </c>
    </row>
    <row r="68" spans="1:36" ht="12" customHeight="1">
      <c r="A68" s="718" t="s">
        <v>2879</v>
      </c>
      <c r="B68" s="718" t="s">
        <v>6926</v>
      </c>
      <c r="C68" s="718" t="s">
        <v>6927</v>
      </c>
      <c r="D68" s="731" t="s">
        <v>2962</v>
      </c>
      <c r="E68" s="655">
        <v>44515</v>
      </c>
      <c r="F68" s="789" t="s">
        <v>2930</v>
      </c>
      <c r="G68" s="732">
        <v>7</v>
      </c>
      <c r="H68" s="732" t="s">
        <v>6610</v>
      </c>
      <c r="I68" s="733" t="s">
        <v>6610</v>
      </c>
      <c r="J68" s="733" t="s">
        <v>6610</v>
      </c>
      <c r="K68" s="733" t="s">
        <v>6610</v>
      </c>
      <c r="L68" s="733" t="s">
        <v>6610</v>
      </c>
      <c r="M68" s="733" t="s">
        <v>6610</v>
      </c>
      <c r="N68" s="733" t="s">
        <v>6610</v>
      </c>
      <c r="O68" s="757" t="s">
        <v>6927</v>
      </c>
      <c r="P68" s="735">
        <v>10</v>
      </c>
      <c r="Q68" s="758" t="s">
        <v>6918</v>
      </c>
      <c r="R68" s="735">
        <v>53</v>
      </c>
      <c r="S68" s="758" t="s">
        <v>6928</v>
      </c>
      <c r="T68" s="735">
        <v>53</v>
      </c>
      <c r="U68" s="758" t="s">
        <v>6919</v>
      </c>
      <c r="V68" s="735">
        <v>24</v>
      </c>
      <c r="W68" s="758" t="s">
        <v>6616</v>
      </c>
      <c r="X68" s="758" t="s">
        <v>6920</v>
      </c>
      <c r="Y68" s="738">
        <v>57</v>
      </c>
      <c r="Z68" s="758" t="s">
        <v>6920</v>
      </c>
      <c r="AA68" s="735">
        <v>57</v>
      </c>
      <c r="AB68" s="758" t="s">
        <v>6921</v>
      </c>
      <c r="AC68" s="735">
        <v>25</v>
      </c>
      <c r="AD68" s="738" t="s">
        <v>6618</v>
      </c>
      <c r="AE68" s="689" t="s">
        <v>6925</v>
      </c>
      <c r="AF68" s="530" t="s">
        <v>2969</v>
      </c>
      <c r="AH68" s="723" t="s">
        <v>5359</v>
      </c>
      <c r="AJ68" s="797">
        <f>_xll.GetCtData("COAMOUNT","CONSAMOUNT",$B$1:$B$7,$B68,AJ$8,"#")</f>
        <v>0</v>
      </c>
    </row>
    <row r="69" spans="1:36" ht="12" customHeight="1">
      <c r="A69" s="718" t="s">
        <v>2879</v>
      </c>
      <c r="B69" s="718" t="s">
        <v>6929</v>
      </c>
      <c r="C69" s="718" t="s">
        <v>6930</v>
      </c>
      <c r="D69" s="731" t="s">
        <v>2962</v>
      </c>
      <c r="E69" s="655">
        <v>44515</v>
      </c>
      <c r="F69" s="789" t="s">
        <v>2930</v>
      </c>
      <c r="G69" s="732">
        <v>7</v>
      </c>
      <c r="H69" s="732" t="s">
        <v>6610</v>
      </c>
      <c r="I69" s="733" t="s">
        <v>6610</v>
      </c>
      <c r="J69" s="733" t="s">
        <v>6610</v>
      </c>
      <c r="K69" s="733" t="s">
        <v>6610</v>
      </c>
      <c r="L69" s="733" t="s">
        <v>6610</v>
      </c>
      <c r="M69" s="733" t="s">
        <v>6610</v>
      </c>
      <c r="N69" s="733" t="s">
        <v>6610</v>
      </c>
      <c r="O69" s="757" t="s">
        <v>6930</v>
      </c>
      <c r="P69" s="735">
        <v>10</v>
      </c>
      <c r="Q69" s="758" t="s">
        <v>6910</v>
      </c>
      <c r="R69" s="735">
        <v>56</v>
      </c>
      <c r="S69" s="758" t="s">
        <v>6931</v>
      </c>
      <c r="T69" s="735">
        <v>55</v>
      </c>
      <c r="U69" s="758" t="s">
        <v>6912</v>
      </c>
      <c r="V69" s="735">
        <v>20</v>
      </c>
      <c r="W69" s="758" t="s">
        <v>6616</v>
      </c>
      <c r="X69" s="758" t="s">
        <v>6913</v>
      </c>
      <c r="Y69" s="738">
        <v>60</v>
      </c>
      <c r="Z69" s="758" t="s">
        <v>6913</v>
      </c>
      <c r="AA69" s="735">
        <v>60</v>
      </c>
      <c r="AB69" s="758" t="s">
        <v>6914</v>
      </c>
      <c r="AC69" s="735">
        <v>22</v>
      </c>
      <c r="AD69" s="738" t="s">
        <v>6618</v>
      </c>
      <c r="AE69" s="689" t="s">
        <v>6925</v>
      </c>
      <c r="AF69" s="530" t="s">
        <v>2969</v>
      </c>
      <c r="AH69" s="723" t="s">
        <v>5359</v>
      </c>
      <c r="AJ69" s="797">
        <f>_xll.GetCtData("COAMOUNT","CONSAMOUNT",$B$1:$B$7,$B69,AJ$8,"#")</f>
        <v>0</v>
      </c>
    </row>
    <row r="70" spans="1:36" ht="12" customHeight="1">
      <c r="A70" s="718" t="s">
        <v>2879</v>
      </c>
      <c r="B70" s="718" t="s">
        <v>6932</v>
      </c>
      <c r="C70" s="453" t="s">
        <v>6933</v>
      </c>
      <c r="D70" s="731" t="s">
        <v>6609</v>
      </c>
      <c r="E70" s="655">
        <v>44035</v>
      </c>
      <c r="F70" s="732" t="s">
        <v>2912</v>
      </c>
      <c r="G70" s="732">
        <v>4</v>
      </c>
      <c r="H70" s="732" t="s">
        <v>6610</v>
      </c>
      <c r="I70" s="733" t="s">
        <v>6610</v>
      </c>
      <c r="J70" s="733" t="s">
        <v>6610</v>
      </c>
      <c r="K70" s="733" t="s">
        <v>6610</v>
      </c>
      <c r="L70" s="764" t="s">
        <v>6933</v>
      </c>
      <c r="M70" s="764" t="s">
        <v>6610</v>
      </c>
      <c r="N70" s="764" t="s">
        <v>6610</v>
      </c>
      <c r="O70" s="765"/>
      <c r="P70" s="735">
        <v>0</v>
      </c>
      <c r="Q70" s="767" t="s">
        <v>6934</v>
      </c>
      <c r="R70" s="735">
        <v>33</v>
      </c>
      <c r="S70" s="767" t="s">
        <v>6934</v>
      </c>
      <c r="T70" s="735">
        <v>33</v>
      </c>
      <c r="U70" s="766" t="s">
        <v>6935</v>
      </c>
      <c r="V70" s="735">
        <v>26</v>
      </c>
      <c r="W70" s="766" t="s">
        <v>6616</v>
      </c>
      <c r="X70" s="766" t="s">
        <v>6936</v>
      </c>
      <c r="Y70" s="738">
        <v>29</v>
      </c>
      <c r="Z70" s="767" t="s">
        <v>6936</v>
      </c>
      <c r="AA70" s="735">
        <v>29</v>
      </c>
      <c r="AB70" s="766" t="s">
        <v>6936</v>
      </c>
      <c r="AC70" s="735">
        <v>29</v>
      </c>
      <c r="AD70" s="738" t="s">
        <v>6618</v>
      </c>
      <c r="AE70" s="689"/>
      <c r="AF70" s="530" t="s">
        <v>2969</v>
      </c>
      <c r="AJ70" s="768">
        <f>_xll.GetCtData("COAMOUNT","CONSAMOUNT",$B$1:$B$7,$B70,AJ$8,"#-11939,5099868789")</f>
        <v>-11939</v>
      </c>
    </row>
    <row r="71" spans="1:36" ht="12" customHeight="1">
      <c r="A71" s="718" t="s">
        <v>2879</v>
      </c>
      <c r="B71" s="718" t="s">
        <v>6937</v>
      </c>
      <c r="C71" s="453" t="s">
        <v>6938</v>
      </c>
      <c r="D71" s="731" t="s">
        <v>6609</v>
      </c>
      <c r="E71" s="655">
        <v>44035</v>
      </c>
      <c r="F71" s="732" t="s">
        <v>2912</v>
      </c>
      <c r="G71" s="732">
        <v>5</v>
      </c>
      <c r="H71" s="732" t="s">
        <v>6610</v>
      </c>
      <c r="I71" s="733" t="s">
        <v>6610</v>
      </c>
      <c r="J71" s="733" t="s">
        <v>6610</v>
      </c>
      <c r="K71" s="733" t="s">
        <v>6610</v>
      </c>
      <c r="L71" s="733" t="s">
        <v>6610</v>
      </c>
      <c r="M71" s="769" t="s">
        <v>6938</v>
      </c>
      <c r="N71" s="769" t="s">
        <v>6610</v>
      </c>
      <c r="O71" s="770"/>
      <c r="P71" s="735">
        <v>0</v>
      </c>
      <c r="Q71" s="772" t="s">
        <v>6939</v>
      </c>
      <c r="R71" s="735">
        <v>63</v>
      </c>
      <c r="S71" s="772" t="s">
        <v>6939</v>
      </c>
      <c r="T71" s="735">
        <v>63</v>
      </c>
      <c r="U71" s="771" t="s">
        <v>6940</v>
      </c>
      <c r="V71" s="735">
        <v>28</v>
      </c>
      <c r="W71" s="771" t="s">
        <v>6616</v>
      </c>
      <c r="X71" s="771" t="s">
        <v>6941</v>
      </c>
      <c r="Y71" s="738">
        <v>58</v>
      </c>
      <c r="Z71" s="772" t="s">
        <v>6941</v>
      </c>
      <c r="AA71" s="735">
        <v>58</v>
      </c>
      <c r="AB71" s="771" t="s">
        <v>6942</v>
      </c>
      <c r="AC71" s="735">
        <v>30</v>
      </c>
      <c r="AD71" s="738" t="s">
        <v>6618</v>
      </c>
      <c r="AE71" s="689"/>
      <c r="AF71" s="530" t="s">
        <v>2969</v>
      </c>
      <c r="AJ71" s="773">
        <f>_xll.GetCtData("COAMOUNT","CONSAMOUNT",$B$1:$B$7,$B71,AJ$8,"#")</f>
        <v>0</v>
      </c>
    </row>
    <row r="72" spans="1:36" ht="12" customHeight="1">
      <c r="A72" s="718" t="s">
        <v>2879</v>
      </c>
      <c r="B72" s="718" t="s">
        <v>1216</v>
      </c>
      <c r="C72" s="453" t="s">
        <v>6943</v>
      </c>
      <c r="D72" s="731" t="s">
        <v>6609</v>
      </c>
      <c r="E72" s="655">
        <v>44035</v>
      </c>
      <c r="F72" s="789" t="s">
        <v>2930</v>
      </c>
      <c r="G72" s="732">
        <v>7</v>
      </c>
      <c r="H72" s="732" t="s">
        <v>6610</v>
      </c>
      <c r="I72" s="733" t="s">
        <v>6610</v>
      </c>
      <c r="J72" s="733" t="s">
        <v>6610</v>
      </c>
      <c r="K72" s="733" t="s">
        <v>6610</v>
      </c>
      <c r="L72" s="733" t="s">
        <v>6610</v>
      </c>
      <c r="M72" s="733" t="s">
        <v>6610</v>
      </c>
      <c r="N72" s="733" t="s">
        <v>6610</v>
      </c>
      <c r="O72" s="757" t="s">
        <v>6943</v>
      </c>
      <c r="P72" s="735">
        <v>10</v>
      </c>
      <c r="Q72" s="759" t="s">
        <v>6944</v>
      </c>
      <c r="R72" s="735">
        <v>139</v>
      </c>
      <c r="S72" s="801" t="s">
        <v>6945</v>
      </c>
      <c r="T72" s="735">
        <v>139</v>
      </c>
      <c r="U72" s="758" t="s">
        <v>6946</v>
      </c>
      <c r="V72" s="735">
        <v>28</v>
      </c>
      <c r="W72" s="758" t="s">
        <v>6616</v>
      </c>
      <c r="X72" s="758" t="s">
        <v>6947</v>
      </c>
      <c r="Y72" s="738">
        <v>121</v>
      </c>
      <c r="Z72" s="758" t="s">
        <v>6947</v>
      </c>
      <c r="AA72" s="735">
        <v>121</v>
      </c>
      <c r="AB72" s="758" t="s">
        <v>6948</v>
      </c>
      <c r="AC72" s="735">
        <v>30</v>
      </c>
      <c r="AD72" s="738" t="s">
        <v>6618</v>
      </c>
      <c r="AE72" s="689" t="s">
        <v>6949</v>
      </c>
      <c r="AF72" s="530" t="s">
        <v>2969</v>
      </c>
      <c r="AH72" s="723" t="s">
        <v>5359</v>
      </c>
      <c r="AJ72" s="760">
        <f>_xll.GetCtData("COAMOUNT","CONSAMOUNT",$B$1:$B$7,$B72,AJ$8,"#")</f>
        <v>0</v>
      </c>
    </row>
    <row r="73" spans="1:36" ht="12" customHeight="1">
      <c r="A73" s="718" t="s">
        <v>2879</v>
      </c>
      <c r="B73" s="718" t="s">
        <v>6950</v>
      </c>
      <c r="C73" s="453" t="s">
        <v>6951</v>
      </c>
      <c r="D73" s="794" t="s">
        <v>6609</v>
      </c>
      <c r="E73" s="795">
        <v>44035</v>
      </c>
      <c r="F73" s="796" t="s">
        <v>2930</v>
      </c>
      <c r="G73" s="732">
        <v>7</v>
      </c>
      <c r="H73" s="732" t="s">
        <v>6610</v>
      </c>
      <c r="I73" s="733" t="s">
        <v>6610</v>
      </c>
      <c r="J73" s="733" t="s">
        <v>6610</v>
      </c>
      <c r="K73" s="733" t="s">
        <v>6610</v>
      </c>
      <c r="L73" s="733" t="s">
        <v>6610</v>
      </c>
      <c r="M73" s="733" t="s">
        <v>6610</v>
      </c>
      <c r="N73" s="733" t="s">
        <v>6610</v>
      </c>
      <c r="O73" s="757" t="s">
        <v>6951</v>
      </c>
      <c r="P73" s="735">
        <v>10</v>
      </c>
      <c r="Q73" s="759" t="s">
        <v>6952</v>
      </c>
      <c r="R73" s="735">
        <v>143</v>
      </c>
      <c r="S73" s="759" t="s">
        <v>6953</v>
      </c>
      <c r="T73" s="735">
        <v>143</v>
      </c>
      <c r="U73" s="758" t="s">
        <v>6954</v>
      </c>
      <c r="V73" s="735">
        <v>30</v>
      </c>
      <c r="W73" s="758" t="s">
        <v>6616</v>
      </c>
      <c r="X73" s="758" t="s">
        <v>6955</v>
      </c>
      <c r="Y73" s="738">
        <v>130</v>
      </c>
      <c r="Z73" s="758" t="s">
        <v>6955</v>
      </c>
      <c r="AA73" s="735">
        <v>130</v>
      </c>
      <c r="AB73" s="758" t="s">
        <v>6956</v>
      </c>
      <c r="AC73" s="735">
        <v>30</v>
      </c>
      <c r="AD73" s="738" t="s">
        <v>6618</v>
      </c>
      <c r="AE73" s="689" t="s">
        <v>6957</v>
      </c>
      <c r="AF73" s="530" t="s">
        <v>2969</v>
      </c>
      <c r="AJ73" s="760">
        <f>_xll.GetCtData("COAMOUNT","CONSAMOUNT",$B$1:$B$7,$B73,AJ$8,"#")</f>
        <v>0</v>
      </c>
    </row>
    <row r="74" spans="1:36" ht="12" customHeight="1">
      <c r="A74" s="718" t="s">
        <v>2879</v>
      </c>
      <c r="B74" s="718" t="s">
        <v>6958</v>
      </c>
      <c r="C74" s="453" t="s">
        <v>6959</v>
      </c>
      <c r="D74" s="731" t="s">
        <v>6609</v>
      </c>
      <c r="E74" s="655">
        <v>44035</v>
      </c>
      <c r="F74" s="732" t="s">
        <v>2912</v>
      </c>
      <c r="G74" s="732">
        <v>5</v>
      </c>
      <c r="H74" s="732" t="s">
        <v>6610</v>
      </c>
      <c r="I74" s="733" t="s">
        <v>6610</v>
      </c>
      <c r="J74" s="733" t="s">
        <v>6610</v>
      </c>
      <c r="K74" s="733" t="s">
        <v>6610</v>
      </c>
      <c r="L74" s="733" t="s">
        <v>6610</v>
      </c>
      <c r="M74" s="769" t="s">
        <v>6959</v>
      </c>
      <c r="N74" s="769" t="s">
        <v>6610</v>
      </c>
      <c r="O74" s="770"/>
      <c r="P74" s="735">
        <v>0</v>
      </c>
      <c r="Q74" s="772" t="s">
        <v>6960</v>
      </c>
      <c r="R74" s="735">
        <v>59</v>
      </c>
      <c r="S74" s="772" t="s">
        <v>6960</v>
      </c>
      <c r="T74" s="735">
        <v>59</v>
      </c>
      <c r="U74" s="771" t="s">
        <v>6961</v>
      </c>
      <c r="V74" s="735">
        <v>29</v>
      </c>
      <c r="W74" s="771" t="s">
        <v>6616</v>
      </c>
      <c r="X74" s="771" t="s">
        <v>6962</v>
      </c>
      <c r="Y74" s="738">
        <v>54</v>
      </c>
      <c r="Z74" s="772" t="s">
        <v>6962</v>
      </c>
      <c r="AA74" s="735">
        <v>54</v>
      </c>
      <c r="AB74" s="771" t="s">
        <v>6963</v>
      </c>
      <c r="AC74" s="735">
        <v>28</v>
      </c>
      <c r="AD74" s="738" t="s">
        <v>6618</v>
      </c>
      <c r="AE74" s="689" t="s">
        <v>3150</v>
      </c>
      <c r="AF74" s="530" t="s">
        <v>2969</v>
      </c>
      <c r="AJ74" s="773">
        <f>_xll.GetCtData("COAMOUNT","CONSAMOUNT",$B$1:$B$7,$B74,AJ$8,"#-11815,5099868789")</f>
        <v>-11815</v>
      </c>
    </row>
    <row r="75" spans="1:36" ht="12" customHeight="1">
      <c r="A75" s="718" t="s">
        <v>2879</v>
      </c>
      <c r="B75" s="718" t="s">
        <v>6964</v>
      </c>
      <c r="C75" s="453" t="s">
        <v>6909</v>
      </c>
      <c r="D75" s="731" t="s">
        <v>6609</v>
      </c>
      <c r="E75" s="655">
        <v>44035</v>
      </c>
      <c r="F75" s="789" t="s">
        <v>2930</v>
      </c>
      <c r="G75" s="732">
        <v>7</v>
      </c>
      <c r="H75" s="732" t="s">
        <v>6610</v>
      </c>
      <c r="I75" s="733" t="s">
        <v>6610</v>
      </c>
      <c r="J75" s="733" t="s">
        <v>6610</v>
      </c>
      <c r="K75" s="733" t="s">
        <v>6610</v>
      </c>
      <c r="L75" s="733" t="s">
        <v>6610</v>
      </c>
      <c r="M75" s="733" t="s">
        <v>6610</v>
      </c>
      <c r="N75" s="733" t="s">
        <v>6610</v>
      </c>
      <c r="O75" s="757" t="s">
        <v>6909</v>
      </c>
      <c r="P75" s="735">
        <v>10</v>
      </c>
      <c r="Q75" s="759" t="s">
        <v>6965</v>
      </c>
      <c r="R75" s="735">
        <v>128</v>
      </c>
      <c r="S75" s="759" t="s">
        <v>6966</v>
      </c>
      <c r="T75" s="735">
        <v>128</v>
      </c>
      <c r="U75" s="758" t="s">
        <v>6967</v>
      </c>
      <c r="V75" s="735">
        <v>27</v>
      </c>
      <c r="W75" s="758" t="s">
        <v>6616</v>
      </c>
      <c r="X75" s="758" t="s">
        <v>6968</v>
      </c>
      <c r="Y75" s="738">
        <v>117</v>
      </c>
      <c r="Z75" s="758" t="s">
        <v>6968</v>
      </c>
      <c r="AA75" s="735">
        <v>117</v>
      </c>
      <c r="AB75" s="758" t="s">
        <v>6969</v>
      </c>
      <c r="AC75" s="735">
        <v>29</v>
      </c>
      <c r="AD75" s="738" t="s">
        <v>6618</v>
      </c>
      <c r="AE75" s="689" t="s">
        <v>6832</v>
      </c>
      <c r="AF75" s="530" t="s">
        <v>2969</v>
      </c>
      <c r="AH75" s="723" t="s">
        <v>5359</v>
      </c>
      <c r="AJ75" s="760">
        <f>_xll.GetCtData("COAMOUNT","CONSAMOUNT",$B$1:$B$7,$B75,AJ$8,"#-17310,4299810353")</f>
        <v>-17310</v>
      </c>
    </row>
    <row r="76" spans="1:36" ht="12" customHeight="1">
      <c r="A76" s="718" t="s">
        <v>2879</v>
      </c>
      <c r="B76" s="718" t="s">
        <v>6970</v>
      </c>
      <c r="C76" s="453" t="s">
        <v>6971</v>
      </c>
      <c r="D76" s="731" t="s">
        <v>6609</v>
      </c>
      <c r="E76" s="655">
        <v>44035</v>
      </c>
      <c r="F76" s="732" t="s">
        <v>2930</v>
      </c>
      <c r="G76" s="732">
        <v>7</v>
      </c>
      <c r="H76" s="732" t="s">
        <v>6610</v>
      </c>
      <c r="I76" s="733" t="s">
        <v>6610</v>
      </c>
      <c r="J76" s="733" t="s">
        <v>6610</v>
      </c>
      <c r="K76" s="733" t="s">
        <v>6610</v>
      </c>
      <c r="L76" s="733" t="s">
        <v>6610</v>
      </c>
      <c r="M76" s="733" t="s">
        <v>6610</v>
      </c>
      <c r="N76" s="733" t="s">
        <v>6610</v>
      </c>
      <c r="O76" s="757" t="s">
        <v>6971</v>
      </c>
      <c r="P76" s="735">
        <v>10</v>
      </c>
      <c r="Q76" s="759" t="s">
        <v>6972</v>
      </c>
      <c r="R76" s="735">
        <v>130</v>
      </c>
      <c r="S76" s="759" t="s">
        <v>6973</v>
      </c>
      <c r="T76" s="735">
        <v>130</v>
      </c>
      <c r="U76" s="758" t="s">
        <v>6974</v>
      </c>
      <c r="V76" s="735">
        <v>30</v>
      </c>
      <c r="W76" s="758" t="s">
        <v>6616</v>
      </c>
      <c r="X76" s="758" t="s">
        <v>6975</v>
      </c>
      <c r="Y76" s="738">
        <v>122</v>
      </c>
      <c r="Z76" s="758" t="s">
        <v>6975</v>
      </c>
      <c r="AA76" s="735">
        <v>122</v>
      </c>
      <c r="AB76" s="758" t="s">
        <v>6976</v>
      </c>
      <c r="AC76" s="735">
        <v>29</v>
      </c>
      <c r="AD76" s="738" t="s">
        <v>6618</v>
      </c>
      <c r="AE76" s="689" t="s">
        <v>6832</v>
      </c>
      <c r="AF76" s="530" t="s">
        <v>2969</v>
      </c>
      <c r="AJ76" s="760">
        <f>_xll.GetCtData("COAMOUNT","CONSAMOUNT",$B$1:$B$7,$B76,AJ$8,"#5494,91999415636")</f>
        <v>5494</v>
      </c>
    </row>
    <row r="77" spans="1:36" ht="12" customHeight="1">
      <c r="A77" s="718" t="s">
        <v>2879</v>
      </c>
      <c r="B77" s="718" t="s">
        <v>6977</v>
      </c>
      <c r="C77" s="453" t="s">
        <v>6978</v>
      </c>
      <c r="D77" s="731" t="s">
        <v>6609</v>
      </c>
      <c r="E77" s="655">
        <v>44035</v>
      </c>
      <c r="F77" s="732" t="s">
        <v>2912</v>
      </c>
      <c r="G77" s="732">
        <v>5</v>
      </c>
      <c r="H77" s="732" t="s">
        <v>6610</v>
      </c>
      <c r="I77" s="733" t="s">
        <v>6610</v>
      </c>
      <c r="J77" s="733" t="s">
        <v>6610</v>
      </c>
      <c r="K77" s="733" t="s">
        <v>6610</v>
      </c>
      <c r="L77" s="733" t="s">
        <v>6610</v>
      </c>
      <c r="M77" s="769" t="s">
        <v>6978</v>
      </c>
      <c r="N77" s="769" t="s">
        <v>6610</v>
      </c>
      <c r="O77" s="770"/>
      <c r="P77" s="735">
        <v>0</v>
      </c>
      <c r="Q77" s="772" t="s">
        <v>6979</v>
      </c>
      <c r="R77" s="735">
        <v>58</v>
      </c>
      <c r="S77" s="772" t="s">
        <v>6979</v>
      </c>
      <c r="T77" s="735">
        <v>58</v>
      </c>
      <c r="U77" s="771" t="s">
        <v>6980</v>
      </c>
      <c r="V77" s="735">
        <v>30</v>
      </c>
      <c r="W77" s="771" t="s">
        <v>6616</v>
      </c>
      <c r="X77" s="771" t="s">
        <v>6981</v>
      </c>
      <c r="Y77" s="738">
        <v>54</v>
      </c>
      <c r="Z77" s="772" t="s">
        <v>6981</v>
      </c>
      <c r="AA77" s="735">
        <v>54</v>
      </c>
      <c r="AB77" s="771" t="s">
        <v>6982</v>
      </c>
      <c r="AC77" s="735">
        <v>27</v>
      </c>
      <c r="AD77" s="738" t="s">
        <v>6618</v>
      </c>
      <c r="AE77" s="689"/>
      <c r="AF77" s="530" t="s">
        <v>2969</v>
      </c>
      <c r="AJ77" s="773">
        <f>_xll.GetCtData("COAMOUNT","CONSAMOUNT",$B$1:$B$7,$B77,AJ$8,"#-124")</f>
        <v>-124</v>
      </c>
    </row>
    <row r="78" spans="1:36" ht="12" customHeight="1">
      <c r="A78" s="718" t="s">
        <v>2879</v>
      </c>
      <c r="B78" s="718" t="s">
        <v>6983</v>
      </c>
      <c r="C78" s="453" t="s">
        <v>6984</v>
      </c>
      <c r="D78" s="731" t="s">
        <v>6609</v>
      </c>
      <c r="E78" s="655">
        <v>44035</v>
      </c>
      <c r="F78" s="732" t="s">
        <v>2930</v>
      </c>
      <c r="G78" s="732">
        <v>7</v>
      </c>
      <c r="H78" s="732" t="s">
        <v>6610</v>
      </c>
      <c r="I78" s="733" t="s">
        <v>6610</v>
      </c>
      <c r="J78" s="733" t="s">
        <v>6610</v>
      </c>
      <c r="K78" s="733" t="s">
        <v>6610</v>
      </c>
      <c r="L78" s="733" t="s">
        <v>6610</v>
      </c>
      <c r="M78" s="733" t="s">
        <v>6610</v>
      </c>
      <c r="N78" s="733" t="s">
        <v>6610</v>
      </c>
      <c r="O78" s="757" t="s">
        <v>6984</v>
      </c>
      <c r="P78" s="735">
        <v>10</v>
      </c>
      <c r="Q78" s="759" t="s">
        <v>6985</v>
      </c>
      <c r="R78" s="735">
        <v>127</v>
      </c>
      <c r="S78" s="759" t="s">
        <v>6986</v>
      </c>
      <c r="T78" s="735">
        <v>127</v>
      </c>
      <c r="U78" s="758" t="s">
        <v>6987</v>
      </c>
      <c r="V78" s="735">
        <v>27</v>
      </c>
      <c r="W78" s="758" t="s">
        <v>6616</v>
      </c>
      <c r="X78" s="758" t="s">
        <v>6988</v>
      </c>
      <c r="Y78" s="738">
        <v>115</v>
      </c>
      <c r="Z78" s="758" t="s">
        <v>6988</v>
      </c>
      <c r="AA78" s="735">
        <v>115</v>
      </c>
      <c r="AB78" s="758" t="s">
        <v>6989</v>
      </c>
      <c r="AC78" s="735">
        <v>26</v>
      </c>
      <c r="AD78" s="738" t="s">
        <v>6618</v>
      </c>
      <c r="AE78" s="689" t="s">
        <v>6840</v>
      </c>
      <c r="AF78" s="530" t="s">
        <v>2969</v>
      </c>
      <c r="AH78" s="723" t="s">
        <v>5359</v>
      </c>
      <c r="AJ78" s="760">
        <f>_xll.GetCtData("COAMOUNT","CONSAMOUNT",$B$1:$B$7,$B78,AJ$8,"#-124")</f>
        <v>-124</v>
      </c>
    </row>
    <row r="79" spans="1:36" ht="12" customHeight="1">
      <c r="A79" s="718" t="s">
        <v>2879</v>
      </c>
      <c r="B79" s="718" t="s">
        <v>6990</v>
      </c>
      <c r="C79" s="453" t="s">
        <v>6991</v>
      </c>
      <c r="D79" s="731" t="s">
        <v>6609</v>
      </c>
      <c r="E79" s="655">
        <v>44035</v>
      </c>
      <c r="F79" s="732" t="s">
        <v>2930</v>
      </c>
      <c r="G79" s="732">
        <v>7</v>
      </c>
      <c r="H79" s="732" t="s">
        <v>6610</v>
      </c>
      <c r="I79" s="733" t="s">
        <v>6610</v>
      </c>
      <c r="J79" s="733" t="s">
        <v>6610</v>
      </c>
      <c r="K79" s="733" t="s">
        <v>6610</v>
      </c>
      <c r="L79" s="733" t="s">
        <v>6610</v>
      </c>
      <c r="M79" s="733" t="s">
        <v>6610</v>
      </c>
      <c r="N79" s="733" t="s">
        <v>6610</v>
      </c>
      <c r="O79" s="757" t="s">
        <v>6991</v>
      </c>
      <c r="P79" s="735">
        <v>10</v>
      </c>
      <c r="Q79" s="759" t="s">
        <v>6992</v>
      </c>
      <c r="R79" s="735">
        <v>130</v>
      </c>
      <c r="S79" s="759" t="s">
        <v>6993</v>
      </c>
      <c r="T79" s="735">
        <v>130</v>
      </c>
      <c r="U79" s="758" t="s">
        <v>6994</v>
      </c>
      <c r="V79" s="735">
        <v>30</v>
      </c>
      <c r="W79" s="758" t="s">
        <v>6616</v>
      </c>
      <c r="X79" s="758" t="s">
        <v>6995</v>
      </c>
      <c r="Y79" s="738">
        <v>120</v>
      </c>
      <c r="Z79" s="758" t="s">
        <v>6995</v>
      </c>
      <c r="AA79" s="735">
        <v>120</v>
      </c>
      <c r="AB79" s="758" t="s">
        <v>6996</v>
      </c>
      <c r="AC79" s="735">
        <v>28</v>
      </c>
      <c r="AD79" s="738" t="s">
        <v>6618</v>
      </c>
      <c r="AE79" s="689" t="s">
        <v>6840</v>
      </c>
      <c r="AF79" s="530" t="s">
        <v>2969</v>
      </c>
      <c r="AJ79" s="760">
        <f>_xll.GetCtData("COAMOUNT","CONSAMOUNT",$B$1:$B$7,$B79,AJ$8,"#")</f>
        <v>0</v>
      </c>
    </row>
    <row r="80" spans="1:36" ht="12" customHeight="1">
      <c r="A80" s="718" t="s">
        <v>2879</v>
      </c>
      <c r="B80" s="718" t="s">
        <v>6997</v>
      </c>
      <c r="C80" s="718" t="s">
        <v>6998</v>
      </c>
      <c r="D80" s="731" t="s">
        <v>2962</v>
      </c>
      <c r="E80" s="655">
        <v>44515</v>
      </c>
      <c r="F80" s="732" t="s">
        <v>2912</v>
      </c>
      <c r="G80" s="732">
        <v>5</v>
      </c>
      <c r="H80" s="732" t="s">
        <v>6610</v>
      </c>
      <c r="I80" s="733" t="s">
        <v>6610</v>
      </c>
      <c r="J80" s="733" t="s">
        <v>6610</v>
      </c>
      <c r="K80" s="733" t="s">
        <v>6610</v>
      </c>
      <c r="L80" s="733" t="s">
        <v>6610</v>
      </c>
      <c r="M80" s="769" t="s">
        <v>6998</v>
      </c>
      <c r="N80" s="769" t="s">
        <v>6610</v>
      </c>
      <c r="O80" s="770"/>
      <c r="P80" s="735">
        <v>0</v>
      </c>
      <c r="Q80" s="772" t="s">
        <v>6999</v>
      </c>
      <c r="R80" s="735">
        <v>59</v>
      </c>
      <c r="S80" s="772" t="s">
        <v>6999</v>
      </c>
      <c r="T80" s="735">
        <v>59</v>
      </c>
      <c r="U80" s="771" t="s">
        <v>7000</v>
      </c>
      <c r="V80" s="735">
        <v>29</v>
      </c>
      <c r="W80" s="771" t="s">
        <v>6616</v>
      </c>
      <c r="X80" s="771" t="s">
        <v>7001</v>
      </c>
      <c r="Y80" s="738">
        <v>54</v>
      </c>
      <c r="Z80" s="772" t="s">
        <v>7001</v>
      </c>
      <c r="AA80" s="735">
        <v>54</v>
      </c>
      <c r="AB80" s="771" t="s">
        <v>7002</v>
      </c>
      <c r="AC80" s="735">
        <v>28</v>
      </c>
      <c r="AD80" s="738" t="s">
        <v>6618</v>
      </c>
      <c r="AE80" s="689" t="s">
        <v>6867</v>
      </c>
      <c r="AF80" s="530" t="s">
        <v>2969</v>
      </c>
      <c r="AJ80" s="773">
        <f>_xll.GetCtData("COAMOUNT","CONSAMOUNT",$B$1:$B$7,$B80,AJ$8,"#")</f>
        <v>0</v>
      </c>
    </row>
    <row r="81" spans="1:36" ht="12" customHeight="1">
      <c r="A81" s="718" t="s">
        <v>2879</v>
      </c>
      <c r="B81" s="718" t="s">
        <v>7003</v>
      </c>
      <c r="C81" s="718" t="s">
        <v>7004</v>
      </c>
      <c r="D81" s="731" t="s">
        <v>2962</v>
      </c>
      <c r="E81" s="655">
        <v>44515</v>
      </c>
      <c r="F81" s="732" t="s">
        <v>2930</v>
      </c>
      <c r="G81" s="732">
        <v>7</v>
      </c>
      <c r="H81" s="732" t="s">
        <v>6610</v>
      </c>
      <c r="I81" s="733" t="s">
        <v>6610</v>
      </c>
      <c r="J81" s="733" t="s">
        <v>6610</v>
      </c>
      <c r="K81" s="733" t="s">
        <v>6610</v>
      </c>
      <c r="L81" s="733" t="s">
        <v>6610</v>
      </c>
      <c r="M81" s="733" t="s">
        <v>6610</v>
      </c>
      <c r="N81" s="733" t="s">
        <v>6610</v>
      </c>
      <c r="O81" s="757" t="s">
        <v>7004</v>
      </c>
      <c r="P81" s="735">
        <v>10</v>
      </c>
      <c r="Q81" s="759" t="s">
        <v>7005</v>
      </c>
      <c r="R81" s="735">
        <v>79</v>
      </c>
      <c r="S81" s="759" t="s">
        <v>7006</v>
      </c>
      <c r="T81" s="735">
        <v>79</v>
      </c>
      <c r="U81" s="758" t="s">
        <v>7007</v>
      </c>
      <c r="V81" s="735">
        <v>27</v>
      </c>
      <c r="W81" s="758" t="s">
        <v>6616</v>
      </c>
      <c r="X81" s="758" t="s">
        <v>7008</v>
      </c>
      <c r="Y81" s="738">
        <v>74</v>
      </c>
      <c r="Z81" s="759" t="s">
        <v>7009</v>
      </c>
      <c r="AA81" s="735">
        <v>74</v>
      </c>
      <c r="AB81" s="758" t="s">
        <v>7010</v>
      </c>
      <c r="AC81" s="735">
        <v>29</v>
      </c>
      <c r="AD81" s="738" t="s">
        <v>6618</v>
      </c>
      <c r="AE81" s="689" t="s">
        <v>7011</v>
      </c>
      <c r="AF81" s="530" t="s">
        <v>2969</v>
      </c>
      <c r="AJ81" s="760">
        <f>_xll.GetCtData("COAMOUNT","CONSAMOUNT",$B$1:$B$7,$B81,AJ$8,"#")</f>
        <v>0</v>
      </c>
    </row>
    <row r="82" spans="1:36" ht="12" customHeight="1">
      <c r="A82" s="718" t="s">
        <v>2879</v>
      </c>
      <c r="B82" s="718" t="s">
        <v>7012</v>
      </c>
      <c r="C82" s="718" t="s">
        <v>7013</v>
      </c>
      <c r="D82" s="731" t="s">
        <v>2962</v>
      </c>
      <c r="E82" s="655">
        <v>44515</v>
      </c>
      <c r="F82" s="732" t="s">
        <v>2930</v>
      </c>
      <c r="G82" s="732">
        <v>7</v>
      </c>
      <c r="H82" s="732" t="s">
        <v>6610</v>
      </c>
      <c r="I82" s="733" t="s">
        <v>6610</v>
      </c>
      <c r="J82" s="733" t="s">
        <v>6610</v>
      </c>
      <c r="K82" s="733" t="s">
        <v>6610</v>
      </c>
      <c r="L82" s="733" t="s">
        <v>6610</v>
      </c>
      <c r="M82" s="733" t="s">
        <v>6610</v>
      </c>
      <c r="N82" s="733" t="s">
        <v>6610</v>
      </c>
      <c r="O82" s="757" t="s">
        <v>7013</v>
      </c>
      <c r="P82" s="735">
        <v>10</v>
      </c>
      <c r="Q82" s="759" t="s">
        <v>7014</v>
      </c>
      <c r="R82" s="735">
        <v>82</v>
      </c>
      <c r="S82" s="759" t="s">
        <v>7015</v>
      </c>
      <c r="T82" s="735">
        <v>82</v>
      </c>
      <c r="U82" s="758" t="s">
        <v>7016</v>
      </c>
      <c r="V82" s="735">
        <v>30</v>
      </c>
      <c r="W82" s="758" t="s">
        <v>6616</v>
      </c>
      <c r="X82" s="758" t="s">
        <v>7017</v>
      </c>
      <c r="Y82" s="738">
        <v>79</v>
      </c>
      <c r="Z82" s="759" t="s">
        <v>7018</v>
      </c>
      <c r="AA82" s="735">
        <v>79</v>
      </c>
      <c r="AB82" s="758" t="s">
        <v>7019</v>
      </c>
      <c r="AC82" s="735">
        <v>29</v>
      </c>
      <c r="AD82" s="738" t="s">
        <v>6618</v>
      </c>
      <c r="AE82" s="689" t="s">
        <v>7011</v>
      </c>
      <c r="AF82" s="530" t="s">
        <v>2969</v>
      </c>
      <c r="AJ82" s="760">
        <f>_xll.GetCtData("COAMOUNT","CONSAMOUNT",$B$1:$B$7,$B82,AJ$8,"#")</f>
        <v>0</v>
      </c>
    </row>
    <row r="83" spans="1:36" ht="12" customHeight="1">
      <c r="A83" s="718" t="s">
        <v>2879</v>
      </c>
      <c r="B83" s="718" t="s">
        <v>1205</v>
      </c>
      <c r="C83" s="453" t="s">
        <v>7020</v>
      </c>
      <c r="D83" s="731" t="s">
        <v>6609</v>
      </c>
      <c r="E83" s="655">
        <v>44035</v>
      </c>
      <c r="F83" s="732" t="s">
        <v>2912</v>
      </c>
      <c r="G83" s="732">
        <v>3</v>
      </c>
      <c r="H83" s="732" t="s">
        <v>6610</v>
      </c>
      <c r="I83" s="733" t="s">
        <v>6610</v>
      </c>
      <c r="J83" s="733" t="s">
        <v>6610</v>
      </c>
      <c r="K83" s="752" t="s">
        <v>7020</v>
      </c>
      <c r="L83" s="752" t="s">
        <v>6610</v>
      </c>
      <c r="M83" s="752" t="s">
        <v>6610</v>
      </c>
      <c r="N83" s="752" t="s">
        <v>6610</v>
      </c>
      <c r="O83" s="753"/>
      <c r="P83" s="735">
        <v>0</v>
      </c>
      <c r="Q83" s="754" t="s">
        <v>12</v>
      </c>
      <c r="R83" s="735">
        <v>57</v>
      </c>
      <c r="S83" s="755" t="s">
        <v>12</v>
      </c>
      <c r="T83" s="735">
        <v>57</v>
      </c>
      <c r="U83" s="754" t="s">
        <v>7021</v>
      </c>
      <c r="V83" s="735">
        <v>30</v>
      </c>
      <c r="W83" s="754" t="s">
        <v>6616</v>
      </c>
      <c r="X83" s="754" t="s">
        <v>7022</v>
      </c>
      <c r="Y83" s="738">
        <v>46</v>
      </c>
      <c r="Z83" s="755" t="s">
        <v>7022</v>
      </c>
      <c r="AA83" s="735">
        <v>46</v>
      </c>
      <c r="AB83" s="754" t="s">
        <v>7023</v>
      </c>
      <c r="AC83" s="735">
        <v>30</v>
      </c>
      <c r="AD83" s="738" t="s">
        <v>6618</v>
      </c>
      <c r="AE83" s="689"/>
      <c r="AF83" s="494" t="s">
        <v>2917</v>
      </c>
      <c r="AJ83" s="756">
        <f>_xll.GetCtData("COAMOUNT","CONSAMOUNT",$B$1:$B$7,$B83,AJ$8,"#1387750")</f>
        <v>1387750</v>
      </c>
    </row>
    <row r="84" spans="1:36" ht="12" customHeight="1">
      <c r="A84" s="718" t="s">
        <v>2879</v>
      </c>
      <c r="B84" s="718" t="s">
        <v>541</v>
      </c>
      <c r="C84" s="453" t="s">
        <v>7024</v>
      </c>
      <c r="D84" s="731" t="s">
        <v>6609</v>
      </c>
      <c r="E84" s="655">
        <v>44035</v>
      </c>
      <c r="F84" s="732" t="s">
        <v>2930</v>
      </c>
      <c r="G84" s="732">
        <v>7</v>
      </c>
      <c r="H84" s="732" t="s">
        <v>6610</v>
      </c>
      <c r="I84" s="733" t="s">
        <v>6610</v>
      </c>
      <c r="J84" s="733" t="s">
        <v>6610</v>
      </c>
      <c r="K84" s="733" t="s">
        <v>6610</v>
      </c>
      <c r="L84" s="733" t="s">
        <v>6610</v>
      </c>
      <c r="M84" s="733" t="s">
        <v>6610</v>
      </c>
      <c r="N84" s="733" t="s">
        <v>6610</v>
      </c>
      <c r="O84" s="757" t="s">
        <v>7024</v>
      </c>
      <c r="P84" s="735">
        <v>9</v>
      </c>
      <c r="Q84" s="758" t="s">
        <v>7025</v>
      </c>
      <c r="R84" s="735">
        <v>24</v>
      </c>
      <c r="S84" s="759" t="s">
        <v>7025</v>
      </c>
      <c r="T84" s="735">
        <v>24</v>
      </c>
      <c r="U84" s="758" t="s">
        <v>7025</v>
      </c>
      <c r="V84" s="735">
        <v>24</v>
      </c>
      <c r="W84" s="758" t="s">
        <v>6616</v>
      </c>
      <c r="X84" s="758" t="s">
        <v>7026</v>
      </c>
      <c r="Y84" s="738">
        <v>24</v>
      </c>
      <c r="Z84" s="759" t="s">
        <v>7026</v>
      </c>
      <c r="AA84" s="735">
        <v>24</v>
      </c>
      <c r="AB84" s="758" t="s">
        <v>7026</v>
      </c>
      <c r="AC84" s="735">
        <v>24</v>
      </c>
      <c r="AD84" s="738" t="s">
        <v>6618</v>
      </c>
      <c r="AE84" s="689"/>
      <c r="AF84" s="494" t="s">
        <v>2917</v>
      </c>
      <c r="AJ84" s="760">
        <f>_xll.GetCtData("COAMOUNT","CONSAMOUNT",$B$1:$B$7,$B84,AJ$8,"#1387750")</f>
        <v>1387750</v>
      </c>
    </row>
    <row r="85" spans="1:36" ht="12" customHeight="1">
      <c r="A85" s="718" t="s">
        <v>2879</v>
      </c>
      <c r="B85" s="718" t="s">
        <v>7027</v>
      </c>
      <c r="C85" s="453" t="s">
        <v>7028</v>
      </c>
      <c r="D85" s="731" t="s">
        <v>6609</v>
      </c>
      <c r="E85" s="655">
        <v>44035</v>
      </c>
      <c r="F85" s="732" t="s">
        <v>2912</v>
      </c>
      <c r="G85" s="732">
        <v>3</v>
      </c>
      <c r="H85" s="732" t="s">
        <v>6610</v>
      </c>
      <c r="I85" s="733" t="s">
        <v>6610</v>
      </c>
      <c r="J85" s="733" t="s">
        <v>6610</v>
      </c>
      <c r="K85" s="752" t="s">
        <v>7028</v>
      </c>
      <c r="L85" s="752" t="s">
        <v>6610</v>
      </c>
      <c r="M85" s="752" t="s">
        <v>6610</v>
      </c>
      <c r="N85" s="752" t="s">
        <v>6610</v>
      </c>
      <c r="O85" s="753"/>
      <c r="P85" s="735">
        <v>0</v>
      </c>
      <c r="Q85" s="754" t="s">
        <v>51</v>
      </c>
      <c r="R85" s="735">
        <v>17</v>
      </c>
      <c r="S85" s="755" t="s">
        <v>51</v>
      </c>
      <c r="T85" s="735">
        <v>17</v>
      </c>
      <c r="U85" s="754" t="s">
        <v>51</v>
      </c>
      <c r="V85" s="735">
        <v>17</v>
      </c>
      <c r="W85" s="754" t="s">
        <v>6616</v>
      </c>
      <c r="X85" s="754" t="s">
        <v>7029</v>
      </c>
      <c r="Y85" s="738">
        <v>26</v>
      </c>
      <c r="Z85" s="755" t="s">
        <v>7029</v>
      </c>
      <c r="AA85" s="735">
        <v>26</v>
      </c>
      <c r="AB85" s="754" t="s">
        <v>7029</v>
      </c>
      <c r="AC85" s="735">
        <v>26</v>
      </c>
      <c r="AD85" s="738" t="s">
        <v>6618</v>
      </c>
      <c r="AE85" s="689"/>
      <c r="AF85" s="494" t="s">
        <v>2917</v>
      </c>
      <c r="AJ85" s="756">
        <f>_xll.GetCtData("COAMOUNT","CONSAMOUNT",$B$1:$B$7,$B85,AJ$8,"#15141432,2821991")</f>
        <v>15141432</v>
      </c>
    </row>
    <row r="86" spans="1:36" ht="12" customHeight="1">
      <c r="A86" s="718" t="s">
        <v>2879</v>
      </c>
      <c r="B86" s="718" t="s">
        <v>7030</v>
      </c>
      <c r="C86" s="453" t="s">
        <v>7031</v>
      </c>
      <c r="D86" s="731" t="s">
        <v>6609</v>
      </c>
      <c r="E86" s="655">
        <v>44035</v>
      </c>
      <c r="F86" s="732" t="s">
        <v>5409</v>
      </c>
      <c r="G86" s="732">
        <v>7</v>
      </c>
      <c r="H86" s="732" t="s">
        <v>6610</v>
      </c>
      <c r="I86" s="733" t="s">
        <v>6610</v>
      </c>
      <c r="J86" s="733" t="s">
        <v>6610</v>
      </c>
      <c r="K86" s="733" t="s">
        <v>6610</v>
      </c>
      <c r="L86" s="733" t="s">
        <v>6610</v>
      </c>
      <c r="M86" s="733" t="s">
        <v>6610</v>
      </c>
      <c r="N86" s="733" t="s">
        <v>6610</v>
      </c>
      <c r="O86" s="757" t="s">
        <v>7031</v>
      </c>
      <c r="P86" s="735">
        <v>10</v>
      </c>
      <c r="Q86" s="758" t="s">
        <v>7032</v>
      </c>
      <c r="R86" s="735">
        <v>50</v>
      </c>
      <c r="S86" s="759" t="s">
        <v>7032</v>
      </c>
      <c r="T86" s="735">
        <v>50</v>
      </c>
      <c r="U86" s="758" t="s">
        <v>7033</v>
      </c>
      <c r="V86" s="735">
        <v>30</v>
      </c>
      <c r="W86" s="758" t="s">
        <v>6616</v>
      </c>
      <c r="X86" s="758" t="s">
        <v>7034</v>
      </c>
      <c r="Y86" s="738">
        <v>52</v>
      </c>
      <c r="Z86" s="759" t="s">
        <v>7034</v>
      </c>
      <c r="AA86" s="735">
        <v>52</v>
      </c>
      <c r="AB86" s="758" t="s">
        <v>7035</v>
      </c>
      <c r="AC86" s="735">
        <v>30</v>
      </c>
      <c r="AD86" s="738" t="s">
        <v>6618</v>
      </c>
      <c r="AE86" s="689"/>
      <c r="AF86" s="494" t="s">
        <v>2917</v>
      </c>
      <c r="AJ86" s="760">
        <f>_xll.GetCtData("COAMOUNT","CONSAMOUNT",$B$1:$B$7,$B86,AJ$8,"#9,2399450086859")</f>
        <v>9</v>
      </c>
    </row>
    <row r="87" spans="1:36" ht="12" customHeight="1">
      <c r="A87" s="718" t="s">
        <v>2879</v>
      </c>
      <c r="B87" s="718" t="s">
        <v>7036</v>
      </c>
      <c r="C87" s="453" t="s">
        <v>7037</v>
      </c>
      <c r="D87" s="731" t="s">
        <v>6609</v>
      </c>
      <c r="E87" s="655">
        <v>44035</v>
      </c>
      <c r="F87" s="732" t="s">
        <v>2912</v>
      </c>
      <c r="G87" s="732">
        <v>4</v>
      </c>
      <c r="H87" s="732" t="s">
        <v>6610</v>
      </c>
      <c r="I87" s="733" t="s">
        <v>6610</v>
      </c>
      <c r="J87" s="733" t="s">
        <v>6610</v>
      </c>
      <c r="K87" s="733" t="s">
        <v>6610</v>
      </c>
      <c r="L87" s="764" t="s">
        <v>7037</v>
      </c>
      <c r="M87" s="764" t="s">
        <v>6610</v>
      </c>
      <c r="N87" s="764" t="s">
        <v>6610</v>
      </c>
      <c r="O87" s="765"/>
      <c r="P87" s="735">
        <v>0</v>
      </c>
      <c r="Q87" s="766" t="s">
        <v>7038</v>
      </c>
      <c r="R87" s="735">
        <v>30</v>
      </c>
      <c r="S87" s="767" t="s">
        <v>7038</v>
      </c>
      <c r="T87" s="735">
        <v>30</v>
      </c>
      <c r="U87" s="766" t="s">
        <v>7038</v>
      </c>
      <c r="V87" s="735">
        <v>30</v>
      </c>
      <c r="W87" s="766" t="s">
        <v>6616</v>
      </c>
      <c r="X87" s="766" t="s">
        <v>7039</v>
      </c>
      <c r="Y87" s="738">
        <v>32</v>
      </c>
      <c r="Z87" s="767" t="s">
        <v>7039</v>
      </c>
      <c r="AA87" s="735">
        <v>32</v>
      </c>
      <c r="AB87" s="766" t="s">
        <v>7040</v>
      </c>
      <c r="AC87" s="735">
        <v>27</v>
      </c>
      <c r="AD87" s="738" t="s">
        <v>6618</v>
      </c>
      <c r="AE87" s="689"/>
      <c r="AF87" s="494" t="s">
        <v>2917</v>
      </c>
      <c r="AJ87" s="768">
        <f>_xll.GetCtData("COAMOUNT","CONSAMOUNT",$B$1:$B$7,$B87,AJ$8,"#12442414,1643138")</f>
        <v>12442414</v>
      </c>
    </row>
    <row r="88" spans="1:36" ht="12" customHeight="1">
      <c r="A88" s="718" t="s">
        <v>2879</v>
      </c>
      <c r="B88" s="718" t="s">
        <v>7041</v>
      </c>
      <c r="C88" s="453" t="s">
        <v>7042</v>
      </c>
      <c r="D88" s="731" t="s">
        <v>6609</v>
      </c>
      <c r="E88" s="655">
        <v>44035</v>
      </c>
      <c r="F88" s="732" t="s">
        <v>2930</v>
      </c>
      <c r="G88" s="732">
        <v>7</v>
      </c>
      <c r="H88" s="732" t="s">
        <v>6610</v>
      </c>
      <c r="I88" s="733" t="s">
        <v>6610</v>
      </c>
      <c r="J88" s="733" t="s">
        <v>6610</v>
      </c>
      <c r="K88" s="733" t="s">
        <v>6610</v>
      </c>
      <c r="L88" s="733" t="s">
        <v>6610</v>
      </c>
      <c r="M88" s="733" t="s">
        <v>6610</v>
      </c>
      <c r="N88" s="733" t="s">
        <v>6610</v>
      </c>
      <c r="O88" s="757" t="s">
        <v>7042</v>
      </c>
      <c r="P88" s="735">
        <v>9</v>
      </c>
      <c r="Q88" s="758" t="s">
        <v>7043</v>
      </c>
      <c r="R88" s="735">
        <v>46</v>
      </c>
      <c r="S88" s="759" t="s">
        <v>7043</v>
      </c>
      <c r="T88" s="735">
        <v>46</v>
      </c>
      <c r="U88" s="758" t="s">
        <v>7044</v>
      </c>
      <c r="V88" s="735">
        <v>29</v>
      </c>
      <c r="W88" s="758" t="s">
        <v>6616</v>
      </c>
      <c r="X88" s="758" t="s">
        <v>7045</v>
      </c>
      <c r="Y88" s="738">
        <v>75</v>
      </c>
      <c r="Z88" s="759" t="s">
        <v>7045</v>
      </c>
      <c r="AA88" s="735">
        <v>75</v>
      </c>
      <c r="AB88" s="758" t="s">
        <v>7046</v>
      </c>
      <c r="AC88" s="735">
        <v>30</v>
      </c>
      <c r="AD88" s="738" t="s">
        <v>6618</v>
      </c>
      <c r="AE88" s="689"/>
      <c r="AF88" s="494" t="s">
        <v>2917</v>
      </c>
      <c r="AJ88" s="760">
        <f>_xll.GetCtData("COAMOUNT","CONSAMOUNT",$B$1:$B$7,$B88,AJ$8,"#0")</f>
        <v>0</v>
      </c>
    </row>
    <row r="89" spans="1:36" ht="12" customHeight="1">
      <c r="A89" s="718" t="s">
        <v>2879</v>
      </c>
      <c r="B89" s="718" t="s">
        <v>7047</v>
      </c>
      <c r="C89" s="453" t="s">
        <v>7048</v>
      </c>
      <c r="D89" s="731" t="s">
        <v>6609</v>
      </c>
      <c r="E89" s="655">
        <v>44035</v>
      </c>
      <c r="F89" s="732" t="s">
        <v>2930</v>
      </c>
      <c r="G89" s="732">
        <v>7</v>
      </c>
      <c r="H89" s="732" t="s">
        <v>6610</v>
      </c>
      <c r="I89" s="733" t="s">
        <v>6610</v>
      </c>
      <c r="J89" s="733" t="s">
        <v>6610</v>
      </c>
      <c r="K89" s="733" t="s">
        <v>6610</v>
      </c>
      <c r="L89" s="733" t="s">
        <v>6610</v>
      </c>
      <c r="M89" s="733" t="s">
        <v>6610</v>
      </c>
      <c r="N89" s="733" t="s">
        <v>6610</v>
      </c>
      <c r="O89" s="757" t="s">
        <v>7048</v>
      </c>
      <c r="P89" s="735">
        <v>9</v>
      </c>
      <c r="Q89" s="758" t="s">
        <v>7049</v>
      </c>
      <c r="R89" s="735">
        <v>22</v>
      </c>
      <c r="S89" s="759" t="s">
        <v>7049</v>
      </c>
      <c r="T89" s="735">
        <v>22</v>
      </c>
      <c r="U89" s="758" t="s">
        <v>7049</v>
      </c>
      <c r="V89" s="735">
        <v>22</v>
      </c>
      <c r="W89" s="758" t="s">
        <v>6616</v>
      </c>
      <c r="X89" s="758" t="s">
        <v>7050</v>
      </c>
      <c r="Y89" s="738">
        <v>26</v>
      </c>
      <c r="Z89" s="759" t="s">
        <v>7050</v>
      </c>
      <c r="AA89" s="735">
        <v>26</v>
      </c>
      <c r="AB89" s="758" t="s">
        <v>7050</v>
      </c>
      <c r="AC89" s="735">
        <v>26</v>
      </c>
      <c r="AD89" s="738" t="s">
        <v>6618</v>
      </c>
      <c r="AE89" s="689"/>
      <c r="AF89" s="494" t="s">
        <v>2917</v>
      </c>
      <c r="AJ89" s="760">
        <f>_xll.GetCtData("COAMOUNT","CONSAMOUNT",$B$1:$B$7,$B89,AJ$8,"#-1933,68253346467")</f>
        <v>-1933</v>
      </c>
    </row>
    <row r="90" spans="1:36" ht="12" customHeight="1">
      <c r="A90" s="718" t="s">
        <v>2879</v>
      </c>
      <c r="B90" s="718" t="s">
        <v>7051</v>
      </c>
      <c r="C90" s="453" t="s">
        <v>7052</v>
      </c>
      <c r="D90" s="731" t="s">
        <v>6609</v>
      </c>
      <c r="E90" s="655">
        <v>44035</v>
      </c>
      <c r="F90" s="732" t="s">
        <v>2930</v>
      </c>
      <c r="G90" s="732">
        <v>7</v>
      </c>
      <c r="H90" s="732" t="s">
        <v>6610</v>
      </c>
      <c r="I90" s="733" t="s">
        <v>6610</v>
      </c>
      <c r="J90" s="733" t="s">
        <v>6610</v>
      </c>
      <c r="K90" s="733" t="s">
        <v>6610</v>
      </c>
      <c r="L90" s="733" t="s">
        <v>6610</v>
      </c>
      <c r="M90" s="733" t="s">
        <v>6610</v>
      </c>
      <c r="N90" s="733" t="s">
        <v>6610</v>
      </c>
      <c r="O90" s="757" t="s">
        <v>7052</v>
      </c>
      <c r="P90" s="735">
        <v>9</v>
      </c>
      <c r="Q90" s="758" t="s">
        <v>7053</v>
      </c>
      <c r="R90" s="735">
        <v>16</v>
      </c>
      <c r="S90" s="759" t="s">
        <v>7053</v>
      </c>
      <c r="T90" s="735">
        <v>16</v>
      </c>
      <c r="U90" s="758" t="s">
        <v>7053</v>
      </c>
      <c r="V90" s="735">
        <v>16</v>
      </c>
      <c r="W90" s="758" t="s">
        <v>6616</v>
      </c>
      <c r="X90" s="758" t="s">
        <v>7054</v>
      </c>
      <c r="Y90" s="738">
        <v>18</v>
      </c>
      <c r="Z90" s="759" t="s">
        <v>7054</v>
      </c>
      <c r="AA90" s="735">
        <v>18</v>
      </c>
      <c r="AB90" s="758" t="s">
        <v>7054</v>
      </c>
      <c r="AC90" s="735">
        <v>18</v>
      </c>
      <c r="AD90" s="738" t="s">
        <v>6618</v>
      </c>
      <c r="AE90" s="689"/>
      <c r="AF90" s="494" t="s">
        <v>2917</v>
      </c>
      <c r="AJ90" s="760">
        <f>_xll.GetCtData("COAMOUNT","CONSAMOUNT",$B$1:$B$7,$B90,AJ$8,"#185174,202684786")</f>
        <v>185174</v>
      </c>
    </row>
    <row r="91" spans="1:36" ht="12" customHeight="1">
      <c r="A91" s="718" t="s">
        <v>2879</v>
      </c>
      <c r="B91" s="718" t="s">
        <v>7055</v>
      </c>
      <c r="C91" s="453" t="s">
        <v>7056</v>
      </c>
      <c r="D91" s="731" t="s">
        <v>6609</v>
      </c>
      <c r="E91" s="655">
        <v>44035</v>
      </c>
      <c r="F91" s="732" t="s">
        <v>2930</v>
      </c>
      <c r="G91" s="732">
        <v>7</v>
      </c>
      <c r="H91" s="732" t="s">
        <v>6610</v>
      </c>
      <c r="I91" s="733" t="s">
        <v>6610</v>
      </c>
      <c r="J91" s="733" t="s">
        <v>6610</v>
      </c>
      <c r="K91" s="733" t="s">
        <v>6610</v>
      </c>
      <c r="L91" s="733" t="s">
        <v>6610</v>
      </c>
      <c r="M91" s="733" t="s">
        <v>6610</v>
      </c>
      <c r="N91" s="733" t="s">
        <v>6610</v>
      </c>
      <c r="O91" s="757" t="s">
        <v>7056</v>
      </c>
      <c r="P91" s="735">
        <v>9</v>
      </c>
      <c r="Q91" s="758" t="s">
        <v>7057</v>
      </c>
      <c r="R91" s="735">
        <v>27</v>
      </c>
      <c r="S91" s="759" t="s">
        <v>7057</v>
      </c>
      <c r="T91" s="735">
        <v>27</v>
      </c>
      <c r="U91" s="758" t="s">
        <v>7057</v>
      </c>
      <c r="V91" s="735">
        <v>27</v>
      </c>
      <c r="W91" s="758" t="s">
        <v>6616</v>
      </c>
      <c r="X91" s="758" t="s">
        <v>7058</v>
      </c>
      <c r="Y91" s="738">
        <v>32</v>
      </c>
      <c r="Z91" s="759" t="s">
        <v>7058</v>
      </c>
      <c r="AA91" s="735">
        <v>32</v>
      </c>
      <c r="AB91" s="758" t="s">
        <v>7059</v>
      </c>
      <c r="AC91" s="735">
        <v>27</v>
      </c>
      <c r="AD91" s="738" t="s">
        <v>6618</v>
      </c>
      <c r="AE91" s="689"/>
      <c r="AF91" s="494" t="s">
        <v>2917</v>
      </c>
      <c r="AJ91" s="760">
        <f>_xll.GetCtData("COAMOUNT","CONSAMOUNT",$B$1:$B$7,$B91,AJ$8,"#1396309")</f>
        <v>1396309</v>
      </c>
    </row>
    <row r="92" spans="1:36" ht="12" customHeight="1">
      <c r="A92" s="718" t="s">
        <v>2879</v>
      </c>
      <c r="B92" s="718" t="s">
        <v>7060</v>
      </c>
      <c r="C92" s="453" t="s">
        <v>7061</v>
      </c>
      <c r="D92" s="731" t="s">
        <v>6609</v>
      </c>
      <c r="E92" s="655">
        <v>44035</v>
      </c>
      <c r="F92" s="732" t="s">
        <v>2930</v>
      </c>
      <c r="G92" s="732">
        <v>7</v>
      </c>
      <c r="H92" s="732" t="s">
        <v>6610</v>
      </c>
      <c r="I92" s="733" t="s">
        <v>6610</v>
      </c>
      <c r="J92" s="733" t="s">
        <v>6610</v>
      </c>
      <c r="K92" s="733" t="s">
        <v>6610</v>
      </c>
      <c r="L92" s="733" t="s">
        <v>6610</v>
      </c>
      <c r="M92" s="733" t="s">
        <v>6610</v>
      </c>
      <c r="N92" s="733" t="s">
        <v>6610</v>
      </c>
      <c r="O92" s="757" t="s">
        <v>7061</v>
      </c>
      <c r="P92" s="735">
        <v>9</v>
      </c>
      <c r="Q92" s="758" t="s">
        <v>7062</v>
      </c>
      <c r="R92" s="735">
        <v>37</v>
      </c>
      <c r="S92" s="759" t="s">
        <v>7062</v>
      </c>
      <c r="T92" s="735">
        <v>37</v>
      </c>
      <c r="U92" s="758" t="s">
        <v>7063</v>
      </c>
      <c r="V92" s="735">
        <v>30</v>
      </c>
      <c r="W92" s="758" t="s">
        <v>6616</v>
      </c>
      <c r="X92" s="758" t="s">
        <v>7064</v>
      </c>
      <c r="Y92" s="738">
        <v>30</v>
      </c>
      <c r="Z92" s="759" t="s">
        <v>7064</v>
      </c>
      <c r="AA92" s="735">
        <v>30</v>
      </c>
      <c r="AB92" s="758" t="s">
        <v>7064</v>
      </c>
      <c r="AC92" s="735">
        <v>30</v>
      </c>
      <c r="AD92" s="738" t="s">
        <v>6618</v>
      </c>
      <c r="AE92" s="689"/>
      <c r="AF92" s="494" t="s">
        <v>2917</v>
      </c>
      <c r="AJ92" s="760">
        <f>_xll.GetCtData("COAMOUNT","CONSAMOUNT",$B$1:$B$7,$B92,AJ$8,"#69373")</f>
        <v>69373</v>
      </c>
    </row>
    <row r="93" spans="1:36" ht="12" customHeight="1">
      <c r="A93" s="718" t="s">
        <v>2879</v>
      </c>
      <c r="B93" s="718" t="s">
        <v>7065</v>
      </c>
      <c r="C93" s="453" t="s">
        <v>7066</v>
      </c>
      <c r="D93" s="731" t="s">
        <v>6609</v>
      </c>
      <c r="E93" s="655">
        <v>44035</v>
      </c>
      <c r="F93" s="732" t="s">
        <v>2930</v>
      </c>
      <c r="G93" s="732">
        <v>7</v>
      </c>
      <c r="H93" s="732" t="s">
        <v>6610</v>
      </c>
      <c r="I93" s="733" t="s">
        <v>6610</v>
      </c>
      <c r="J93" s="733" t="s">
        <v>6610</v>
      </c>
      <c r="K93" s="733" t="s">
        <v>6610</v>
      </c>
      <c r="L93" s="733" t="s">
        <v>6610</v>
      </c>
      <c r="M93" s="733" t="s">
        <v>6610</v>
      </c>
      <c r="N93" s="733" t="s">
        <v>6610</v>
      </c>
      <c r="O93" s="757" t="s">
        <v>7066</v>
      </c>
      <c r="P93" s="735">
        <v>9</v>
      </c>
      <c r="Q93" s="758" t="s">
        <v>7067</v>
      </c>
      <c r="R93" s="735">
        <v>26</v>
      </c>
      <c r="S93" s="759" t="s">
        <v>7067</v>
      </c>
      <c r="T93" s="735">
        <v>26</v>
      </c>
      <c r="U93" s="758" t="s">
        <v>7067</v>
      </c>
      <c r="V93" s="735">
        <v>26</v>
      </c>
      <c r="W93" s="758" t="s">
        <v>6616</v>
      </c>
      <c r="X93" s="758" t="s">
        <v>7068</v>
      </c>
      <c r="Y93" s="738">
        <v>23</v>
      </c>
      <c r="Z93" s="759" t="s">
        <v>7068</v>
      </c>
      <c r="AA93" s="735">
        <v>23</v>
      </c>
      <c r="AB93" s="758" t="s">
        <v>7068</v>
      </c>
      <c r="AC93" s="735">
        <v>23</v>
      </c>
      <c r="AD93" s="738" t="s">
        <v>6618</v>
      </c>
      <c r="AE93" s="689"/>
      <c r="AF93" s="494" t="s">
        <v>2917</v>
      </c>
      <c r="AJ93" s="760">
        <f>_xll.GetCtData("COAMOUNT","CONSAMOUNT",$B$1:$B$7,$B93,AJ$8,"#422211,999999558")</f>
        <v>422211</v>
      </c>
    </row>
    <row r="94" spans="1:36" ht="12" customHeight="1">
      <c r="A94" s="718" t="s">
        <v>2879</v>
      </c>
      <c r="B94" s="718" t="s">
        <v>7069</v>
      </c>
      <c r="C94" s="453" t="s">
        <v>7070</v>
      </c>
      <c r="D94" s="731" t="s">
        <v>6609</v>
      </c>
      <c r="E94" s="655">
        <v>44035</v>
      </c>
      <c r="F94" s="732" t="s">
        <v>2930</v>
      </c>
      <c r="G94" s="732">
        <v>7</v>
      </c>
      <c r="H94" s="732" t="s">
        <v>6610</v>
      </c>
      <c r="I94" s="733" t="s">
        <v>6610</v>
      </c>
      <c r="J94" s="733" t="s">
        <v>6610</v>
      </c>
      <c r="K94" s="733" t="s">
        <v>6610</v>
      </c>
      <c r="L94" s="733" t="s">
        <v>6610</v>
      </c>
      <c r="M94" s="733" t="s">
        <v>6610</v>
      </c>
      <c r="N94" s="733" t="s">
        <v>6610</v>
      </c>
      <c r="O94" s="757" t="s">
        <v>7070</v>
      </c>
      <c r="P94" s="735">
        <v>9</v>
      </c>
      <c r="Q94" s="758" t="s">
        <v>7071</v>
      </c>
      <c r="R94" s="735">
        <v>15</v>
      </c>
      <c r="S94" s="759" t="s">
        <v>7071</v>
      </c>
      <c r="T94" s="735">
        <v>15</v>
      </c>
      <c r="U94" s="758" t="s">
        <v>7071</v>
      </c>
      <c r="V94" s="735">
        <v>15</v>
      </c>
      <c r="W94" s="758" t="s">
        <v>6616</v>
      </c>
      <c r="X94" s="758" t="s">
        <v>7072</v>
      </c>
      <c r="Y94" s="738">
        <v>14</v>
      </c>
      <c r="Z94" s="759" t="s">
        <v>7072</v>
      </c>
      <c r="AA94" s="735">
        <v>14</v>
      </c>
      <c r="AB94" s="758" t="s">
        <v>7072</v>
      </c>
      <c r="AC94" s="735">
        <v>14</v>
      </c>
      <c r="AD94" s="738" t="s">
        <v>6618</v>
      </c>
      <c r="AE94" s="689"/>
      <c r="AF94" s="494" t="s">
        <v>2917</v>
      </c>
      <c r="AJ94" s="760">
        <f>_xll.GetCtData("COAMOUNT","CONSAMOUNT",$B$1:$B$7,$B94,AJ$8,"#286108,257637676")</f>
        <v>286108</v>
      </c>
    </row>
    <row r="95" spans="1:36" ht="12" customHeight="1">
      <c r="A95" s="718" t="s">
        <v>2879</v>
      </c>
      <c r="B95" s="718" t="s">
        <v>7073</v>
      </c>
      <c r="C95" s="453" t="s">
        <v>7074</v>
      </c>
      <c r="D95" s="731" t="s">
        <v>6609</v>
      </c>
      <c r="E95" s="655">
        <v>44035</v>
      </c>
      <c r="F95" s="732" t="s">
        <v>2930</v>
      </c>
      <c r="G95" s="732">
        <v>7</v>
      </c>
      <c r="H95" s="732" t="s">
        <v>6610</v>
      </c>
      <c r="I95" s="733" t="s">
        <v>6610</v>
      </c>
      <c r="J95" s="733" t="s">
        <v>6610</v>
      </c>
      <c r="K95" s="733" t="s">
        <v>6610</v>
      </c>
      <c r="L95" s="733" t="s">
        <v>6610</v>
      </c>
      <c r="M95" s="733" t="s">
        <v>6610</v>
      </c>
      <c r="N95" s="733" t="s">
        <v>6610</v>
      </c>
      <c r="O95" s="757" t="s">
        <v>7074</v>
      </c>
      <c r="P95" s="735">
        <v>9</v>
      </c>
      <c r="Q95" s="758" t="s">
        <v>7075</v>
      </c>
      <c r="R95" s="735">
        <v>21</v>
      </c>
      <c r="S95" s="759" t="s">
        <v>7075</v>
      </c>
      <c r="T95" s="735">
        <v>21</v>
      </c>
      <c r="U95" s="758" t="s">
        <v>7075</v>
      </c>
      <c r="V95" s="735">
        <v>21</v>
      </c>
      <c r="W95" s="758" t="s">
        <v>6616</v>
      </c>
      <c r="X95" s="758" t="s">
        <v>7076</v>
      </c>
      <c r="Y95" s="738">
        <v>22</v>
      </c>
      <c r="Z95" s="759" t="s">
        <v>7076</v>
      </c>
      <c r="AA95" s="735">
        <v>22</v>
      </c>
      <c r="AB95" s="758" t="s">
        <v>7076</v>
      </c>
      <c r="AC95" s="735">
        <v>22</v>
      </c>
      <c r="AD95" s="738" t="s">
        <v>6618</v>
      </c>
      <c r="AE95" s="689"/>
      <c r="AF95" s="494" t="s">
        <v>2917</v>
      </c>
      <c r="AJ95" s="760">
        <f>_xll.GetCtData("COAMOUNT","CONSAMOUNT",$B$1:$B$7,$B95,AJ$8,"#2308866,95093593")</f>
        <v>2308866</v>
      </c>
    </row>
    <row r="96" spans="1:36" ht="12" customHeight="1">
      <c r="A96" s="718" t="s">
        <v>2879</v>
      </c>
      <c r="B96" s="718" t="s">
        <v>7077</v>
      </c>
      <c r="C96" s="453" t="s">
        <v>7078</v>
      </c>
      <c r="D96" s="731" t="s">
        <v>6609</v>
      </c>
      <c r="E96" s="655">
        <v>44035</v>
      </c>
      <c r="F96" s="732" t="s">
        <v>2930</v>
      </c>
      <c r="G96" s="732">
        <v>7</v>
      </c>
      <c r="H96" s="732" t="s">
        <v>6610</v>
      </c>
      <c r="I96" s="733" t="s">
        <v>6610</v>
      </c>
      <c r="J96" s="733" t="s">
        <v>6610</v>
      </c>
      <c r="K96" s="733" t="s">
        <v>6610</v>
      </c>
      <c r="L96" s="733" t="s">
        <v>6610</v>
      </c>
      <c r="M96" s="733" t="s">
        <v>6610</v>
      </c>
      <c r="N96" s="733" t="s">
        <v>6610</v>
      </c>
      <c r="O96" s="757" t="s">
        <v>7078</v>
      </c>
      <c r="P96" s="735">
        <v>9</v>
      </c>
      <c r="Q96" s="758" t="s">
        <v>7079</v>
      </c>
      <c r="R96" s="735">
        <v>20</v>
      </c>
      <c r="S96" s="759" t="s">
        <v>7079</v>
      </c>
      <c r="T96" s="735">
        <v>20</v>
      </c>
      <c r="U96" s="758" t="s">
        <v>7079</v>
      </c>
      <c r="V96" s="735">
        <v>20</v>
      </c>
      <c r="W96" s="758" t="s">
        <v>6616</v>
      </c>
      <c r="X96" s="758" t="s">
        <v>7080</v>
      </c>
      <c r="Y96" s="738">
        <v>21</v>
      </c>
      <c r="Z96" s="759" t="s">
        <v>7080</v>
      </c>
      <c r="AA96" s="735">
        <v>21</v>
      </c>
      <c r="AB96" s="758" t="s">
        <v>7080</v>
      </c>
      <c r="AC96" s="735">
        <v>21</v>
      </c>
      <c r="AD96" s="738" t="s">
        <v>6618</v>
      </c>
      <c r="AE96" s="689" t="s">
        <v>7081</v>
      </c>
      <c r="AF96" s="494" t="s">
        <v>2917</v>
      </c>
      <c r="AJ96" s="760">
        <f>_xll.GetCtData("COAMOUNT","CONSAMOUNT",$B$1:$B$7,$B96,AJ$8,"#1415925,37007985")</f>
        <v>1415925</v>
      </c>
    </row>
    <row r="97" spans="1:36" ht="12" customHeight="1">
      <c r="A97" s="718" t="s">
        <v>2879</v>
      </c>
      <c r="B97" s="718" t="s">
        <v>7082</v>
      </c>
      <c r="C97" s="453" t="s">
        <v>7083</v>
      </c>
      <c r="D97" s="731" t="s">
        <v>6609</v>
      </c>
      <c r="E97" s="655">
        <v>44035</v>
      </c>
      <c r="F97" s="732" t="s">
        <v>2930</v>
      </c>
      <c r="G97" s="732">
        <v>7</v>
      </c>
      <c r="H97" s="732" t="s">
        <v>6610</v>
      </c>
      <c r="I97" s="733" t="s">
        <v>6610</v>
      </c>
      <c r="J97" s="733" t="s">
        <v>6610</v>
      </c>
      <c r="K97" s="733" t="s">
        <v>6610</v>
      </c>
      <c r="L97" s="733" t="s">
        <v>6610</v>
      </c>
      <c r="M97" s="733" t="s">
        <v>6610</v>
      </c>
      <c r="N97" s="733" t="s">
        <v>6610</v>
      </c>
      <c r="O97" s="757" t="s">
        <v>7083</v>
      </c>
      <c r="P97" s="735">
        <v>9</v>
      </c>
      <c r="Q97" s="758" t="s">
        <v>7084</v>
      </c>
      <c r="R97" s="735">
        <v>16</v>
      </c>
      <c r="S97" s="759" t="s">
        <v>7084</v>
      </c>
      <c r="T97" s="735">
        <v>16</v>
      </c>
      <c r="U97" s="758" t="s">
        <v>7084</v>
      </c>
      <c r="V97" s="735">
        <v>16</v>
      </c>
      <c r="W97" s="758" t="s">
        <v>6616</v>
      </c>
      <c r="X97" s="758" t="s">
        <v>7085</v>
      </c>
      <c r="Y97" s="738">
        <v>17</v>
      </c>
      <c r="Z97" s="759" t="s">
        <v>7085</v>
      </c>
      <c r="AA97" s="735">
        <v>17</v>
      </c>
      <c r="AB97" s="758" t="s">
        <v>7085</v>
      </c>
      <c r="AC97" s="735">
        <v>17</v>
      </c>
      <c r="AD97" s="738" t="s">
        <v>6618</v>
      </c>
      <c r="AE97" s="689"/>
      <c r="AF97" s="494" t="s">
        <v>2917</v>
      </c>
      <c r="AJ97" s="760">
        <f>_xll.GetCtData("COAMOUNT","CONSAMOUNT",$B$1:$B$7,$B97,AJ$8,"#4283506,25687324")</f>
        <v>4283506</v>
      </c>
    </row>
    <row r="98" spans="1:36" ht="12" customHeight="1">
      <c r="A98" s="718" t="s">
        <v>2879</v>
      </c>
      <c r="B98" s="718" t="s">
        <v>7086</v>
      </c>
      <c r="C98" s="453" t="s">
        <v>7087</v>
      </c>
      <c r="D98" s="731" t="s">
        <v>6609</v>
      </c>
      <c r="E98" s="655">
        <v>44035</v>
      </c>
      <c r="F98" s="732" t="s">
        <v>2930</v>
      </c>
      <c r="G98" s="732">
        <v>7</v>
      </c>
      <c r="H98" s="732" t="s">
        <v>6610</v>
      </c>
      <c r="I98" s="733" t="s">
        <v>6610</v>
      </c>
      <c r="J98" s="733" t="s">
        <v>6610</v>
      </c>
      <c r="K98" s="733" t="s">
        <v>6610</v>
      </c>
      <c r="L98" s="733" t="s">
        <v>6610</v>
      </c>
      <c r="M98" s="733" t="s">
        <v>6610</v>
      </c>
      <c r="N98" s="733" t="s">
        <v>6610</v>
      </c>
      <c r="O98" s="757" t="s">
        <v>7087</v>
      </c>
      <c r="P98" s="735">
        <v>9</v>
      </c>
      <c r="Q98" s="758" t="s">
        <v>143</v>
      </c>
      <c r="R98" s="735">
        <v>21</v>
      </c>
      <c r="S98" s="759" t="s">
        <v>143</v>
      </c>
      <c r="T98" s="735">
        <v>21</v>
      </c>
      <c r="U98" s="758" t="s">
        <v>143</v>
      </c>
      <c r="V98" s="735">
        <v>21</v>
      </c>
      <c r="W98" s="758" t="s">
        <v>6616</v>
      </c>
      <c r="X98" s="758" t="s">
        <v>7088</v>
      </c>
      <c r="Y98" s="738">
        <v>39</v>
      </c>
      <c r="Z98" s="759" t="s">
        <v>7088</v>
      </c>
      <c r="AA98" s="735">
        <v>39</v>
      </c>
      <c r="AB98" s="758" t="s">
        <v>7089</v>
      </c>
      <c r="AC98" s="735">
        <v>30</v>
      </c>
      <c r="AD98" s="738" t="s">
        <v>6618</v>
      </c>
      <c r="AE98" s="689"/>
      <c r="AF98" s="494" t="s">
        <v>2917</v>
      </c>
      <c r="AJ98" s="760">
        <f>_xll.GetCtData("COAMOUNT","CONSAMOUNT",$B$1:$B$7,$B98,AJ$8,"#629520,799966106")</f>
        <v>629520</v>
      </c>
    </row>
    <row r="99" spans="1:36" ht="12" customHeight="1">
      <c r="A99" s="718" t="s">
        <v>2879</v>
      </c>
      <c r="B99" s="718" t="s">
        <v>7090</v>
      </c>
      <c r="C99" s="453" t="s">
        <v>7091</v>
      </c>
      <c r="D99" s="731" t="s">
        <v>6609</v>
      </c>
      <c r="E99" s="655">
        <v>44035</v>
      </c>
      <c r="F99" s="732" t="s">
        <v>2930</v>
      </c>
      <c r="G99" s="732">
        <v>7</v>
      </c>
      <c r="H99" s="732" t="s">
        <v>6610</v>
      </c>
      <c r="I99" s="733" t="s">
        <v>6610</v>
      </c>
      <c r="J99" s="733" t="s">
        <v>6610</v>
      </c>
      <c r="K99" s="733" t="s">
        <v>6610</v>
      </c>
      <c r="L99" s="733" t="s">
        <v>6610</v>
      </c>
      <c r="M99" s="733" t="s">
        <v>6610</v>
      </c>
      <c r="N99" s="733" t="s">
        <v>6610</v>
      </c>
      <c r="O99" s="757" t="s">
        <v>7091</v>
      </c>
      <c r="P99" s="735">
        <v>9</v>
      </c>
      <c r="Q99" s="758" t="s">
        <v>7092</v>
      </c>
      <c r="R99" s="735">
        <v>49</v>
      </c>
      <c r="S99" s="759" t="s">
        <v>7092</v>
      </c>
      <c r="T99" s="735">
        <v>49</v>
      </c>
      <c r="U99" s="758" t="s">
        <v>7093</v>
      </c>
      <c r="V99" s="735">
        <v>30</v>
      </c>
      <c r="W99" s="758" t="s">
        <v>6616</v>
      </c>
      <c r="X99" s="758" t="s">
        <v>7094</v>
      </c>
      <c r="Y99" s="738">
        <v>79</v>
      </c>
      <c r="Z99" s="759" t="s">
        <v>7094</v>
      </c>
      <c r="AA99" s="735">
        <v>79</v>
      </c>
      <c r="AB99" s="758" t="s">
        <v>7095</v>
      </c>
      <c r="AC99" s="735">
        <v>30</v>
      </c>
      <c r="AD99" s="738" t="s">
        <v>6618</v>
      </c>
      <c r="AE99" s="689"/>
      <c r="AF99" s="494" t="s">
        <v>2917</v>
      </c>
      <c r="AJ99" s="760">
        <f>_xll.GetCtData("COAMOUNT","CONSAMOUNT",$B$1:$B$7,$B99,AJ$8,"#-98536,9999959646")</f>
        <v>-98536</v>
      </c>
    </row>
    <row r="100" spans="1:36" ht="12" customHeight="1">
      <c r="A100" s="718" t="s">
        <v>2879</v>
      </c>
      <c r="B100" s="718" t="s">
        <v>7096</v>
      </c>
      <c r="C100" s="453" t="s">
        <v>7097</v>
      </c>
      <c r="D100" s="731" t="s">
        <v>6609</v>
      </c>
      <c r="E100" s="655">
        <v>44035</v>
      </c>
      <c r="F100" s="789" t="s">
        <v>2930</v>
      </c>
      <c r="G100" s="789">
        <v>7</v>
      </c>
      <c r="H100" s="789" t="s">
        <v>6610</v>
      </c>
      <c r="I100" s="790" t="s">
        <v>6610</v>
      </c>
      <c r="J100" s="790" t="s">
        <v>6610</v>
      </c>
      <c r="K100" s="790" t="s">
        <v>6610</v>
      </c>
      <c r="L100" s="790" t="s">
        <v>6610</v>
      </c>
      <c r="M100" s="790" t="s">
        <v>6610</v>
      </c>
      <c r="N100" s="790" t="s">
        <v>6610</v>
      </c>
      <c r="O100" s="757" t="s">
        <v>7097</v>
      </c>
      <c r="P100" s="735">
        <v>9</v>
      </c>
      <c r="Q100" s="791" t="s">
        <v>2481</v>
      </c>
      <c r="R100" s="735">
        <v>42</v>
      </c>
      <c r="S100" s="792" t="s">
        <v>2481</v>
      </c>
      <c r="T100" s="735">
        <v>42</v>
      </c>
      <c r="U100" s="791" t="s">
        <v>7098</v>
      </c>
      <c r="V100" s="735">
        <v>28</v>
      </c>
      <c r="W100" s="791" t="s">
        <v>6616</v>
      </c>
      <c r="X100" s="791" t="s">
        <v>7099</v>
      </c>
      <c r="Y100" s="738">
        <v>63</v>
      </c>
      <c r="Z100" s="792" t="s">
        <v>7099</v>
      </c>
      <c r="AA100" s="735">
        <v>63</v>
      </c>
      <c r="AB100" s="791" t="s">
        <v>7100</v>
      </c>
      <c r="AC100" s="735">
        <v>29</v>
      </c>
      <c r="AD100" s="738" t="s">
        <v>6618</v>
      </c>
      <c r="AE100" s="689" t="s">
        <v>7101</v>
      </c>
      <c r="AF100" s="802" t="s">
        <v>7102</v>
      </c>
      <c r="AJ100" s="793">
        <f>_xll.GetCtData("COAMOUNT","CONSAMOUNT",$B$1:$B$7,$B100,AJ$8,"#75313")</f>
        <v>75313</v>
      </c>
    </row>
    <row r="101" spans="1:36" ht="12" customHeight="1">
      <c r="A101" s="718" t="s">
        <v>2879</v>
      </c>
      <c r="B101" s="718" t="s">
        <v>7103</v>
      </c>
      <c r="C101" s="453" t="s">
        <v>7104</v>
      </c>
      <c r="D101" s="731" t="s">
        <v>6609</v>
      </c>
      <c r="E101" s="655">
        <v>44035</v>
      </c>
      <c r="F101" s="732" t="s">
        <v>2930</v>
      </c>
      <c r="G101" s="732">
        <v>7</v>
      </c>
      <c r="H101" s="732" t="s">
        <v>6610</v>
      </c>
      <c r="I101" s="733" t="s">
        <v>6610</v>
      </c>
      <c r="J101" s="733" t="s">
        <v>6610</v>
      </c>
      <c r="K101" s="733" t="s">
        <v>6610</v>
      </c>
      <c r="L101" s="733" t="s">
        <v>6610</v>
      </c>
      <c r="M101" s="733" t="s">
        <v>6610</v>
      </c>
      <c r="N101" s="733" t="s">
        <v>6610</v>
      </c>
      <c r="O101" s="757" t="s">
        <v>7104</v>
      </c>
      <c r="P101" s="735">
        <v>9</v>
      </c>
      <c r="Q101" s="758" t="s">
        <v>7105</v>
      </c>
      <c r="R101" s="735">
        <v>23</v>
      </c>
      <c r="S101" s="759" t="s">
        <v>7105</v>
      </c>
      <c r="T101" s="735">
        <v>23</v>
      </c>
      <c r="U101" s="758" t="s">
        <v>7105</v>
      </c>
      <c r="V101" s="735">
        <v>23</v>
      </c>
      <c r="W101" s="758" t="s">
        <v>6616</v>
      </c>
      <c r="X101" s="758" t="s">
        <v>7106</v>
      </c>
      <c r="Y101" s="738">
        <v>29</v>
      </c>
      <c r="Z101" s="759" t="s">
        <v>7106</v>
      </c>
      <c r="AA101" s="735">
        <v>29</v>
      </c>
      <c r="AB101" s="758" t="s">
        <v>7106</v>
      </c>
      <c r="AC101" s="735">
        <v>29</v>
      </c>
      <c r="AD101" s="738" t="s">
        <v>6618</v>
      </c>
      <c r="AE101" s="689"/>
      <c r="AF101" s="494" t="s">
        <v>2917</v>
      </c>
      <c r="AJ101" s="760">
        <f>_xll.GetCtData("COAMOUNT","CONSAMOUNT",$B$1:$B$7,$B101,AJ$8,"#-6896")</f>
        <v>-6896</v>
      </c>
    </row>
    <row r="102" spans="1:36" ht="12" customHeight="1">
      <c r="A102" s="718" t="s">
        <v>2879</v>
      </c>
      <c r="B102" s="718" t="s">
        <v>7107</v>
      </c>
      <c r="C102" s="453" t="s">
        <v>7108</v>
      </c>
      <c r="D102" s="731" t="s">
        <v>6609</v>
      </c>
      <c r="E102" s="655">
        <v>44035</v>
      </c>
      <c r="F102" s="732" t="s">
        <v>2930</v>
      </c>
      <c r="G102" s="732">
        <v>7</v>
      </c>
      <c r="H102" s="732" t="s">
        <v>6610</v>
      </c>
      <c r="I102" s="733" t="s">
        <v>6610</v>
      </c>
      <c r="J102" s="733" t="s">
        <v>6610</v>
      </c>
      <c r="K102" s="733" t="s">
        <v>6610</v>
      </c>
      <c r="L102" s="733" t="s">
        <v>6610</v>
      </c>
      <c r="M102" s="733" t="s">
        <v>6610</v>
      </c>
      <c r="N102" s="733" t="s">
        <v>6610</v>
      </c>
      <c r="O102" s="757" t="s">
        <v>7108</v>
      </c>
      <c r="P102" s="735">
        <v>9</v>
      </c>
      <c r="Q102" s="758" t="s">
        <v>7109</v>
      </c>
      <c r="R102" s="735">
        <v>26</v>
      </c>
      <c r="S102" s="759" t="s">
        <v>7109</v>
      </c>
      <c r="T102" s="735">
        <v>26</v>
      </c>
      <c r="U102" s="758" t="s">
        <v>7109</v>
      </c>
      <c r="V102" s="735">
        <v>26</v>
      </c>
      <c r="W102" s="758" t="s">
        <v>6616</v>
      </c>
      <c r="X102" s="758" t="s">
        <v>7110</v>
      </c>
      <c r="Y102" s="738">
        <v>46</v>
      </c>
      <c r="Z102" s="759" t="s">
        <v>7110</v>
      </c>
      <c r="AA102" s="735">
        <v>46</v>
      </c>
      <c r="AB102" s="758" t="s">
        <v>7111</v>
      </c>
      <c r="AC102" s="735">
        <v>28</v>
      </c>
      <c r="AD102" s="738" t="s">
        <v>6618</v>
      </c>
      <c r="AE102" s="689"/>
      <c r="AF102" s="494" t="s">
        <v>2917</v>
      </c>
      <c r="AJ102" s="760">
        <f>_xll.GetCtData("COAMOUNT","CONSAMOUNT",$B$1:$B$7,$B102,AJ$8,"#")</f>
        <v>0</v>
      </c>
    </row>
    <row r="103" spans="1:36" ht="12" customHeight="1">
      <c r="A103" s="718" t="s">
        <v>2879</v>
      </c>
      <c r="B103" s="718" t="s">
        <v>7112</v>
      </c>
      <c r="C103" s="718" t="s">
        <v>7113</v>
      </c>
      <c r="D103" s="731" t="s">
        <v>2962</v>
      </c>
      <c r="E103" s="655">
        <v>44515</v>
      </c>
      <c r="F103" s="732" t="s">
        <v>2930</v>
      </c>
      <c r="G103" s="732">
        <v>7</v>
      </c>
      <c r="H103" s="732" t="s">
        <v>6610</v>
      </c>
      <c r="I103" s="733" t="s">
        <v>6610</v>
      </c>
      <c r="J103" s="733" t="s">
        <v>6610</v>
      </c>
      <c r="K103" s="733" t="s">
        <v>6610</v>
      </c>
      <c r="L103" s="733" t="s">
        <v>6610</v>
      </c>
      <c r="M103" s="733" t="s">
        <v>6610</v>
      </c>
      <c r="N103" s="733" t="s">
        <v>6610</v>
      </c>
      <c r="O103" s="757" t="s">
        <v>7113</v>
      </c>
      <c r="P103" s="735">
        <v>10</v>
      </c>
      <c r="Q103" s="791" t="s">
        <v>7114</v>
      </c>
      <c r="R103" s="735">
        <v>44</v>
      </c>
      <c r="S103" s="792" t="s">
        <v>7114</v>
      </c>
      <c r="T103" s="735">
        <v>44</v>
      </c>
      <c r="U103" s="791" t="s">
        <v>7115</v>
      </c>
      <c r="V103" s="735">
        <v>24</v>
      </c>
      <c r="W103" s="791" t="s">
        <v>6616</v>
      </c>
      <c r="X103" s="791" t="s">
        <v>7116</v>
      </c>
      <c r="Y103" s="738">
        <v>54</v>
      </c>
      <c r="Z103" s="792" t="s">
        <v>7117</v>
      </c>
      <c r="AA103" s="735">
        <v>55</v>
      </c>
      <c r="AB103" s="791" t="s">
        <v>7118</v>
      </c>
      <c r="AC103" s="735">
        <v>26</v>
      </c>
      <c r="AD103" s="738" t="s">
        <v>6618</v>
      </c>
      <c r="AE103" s="689" t="s">
        <v>7119</v>
      </c>
      <c r="AF103" s="779" t="s">
        <v>2721</v>
      </c>
      <c r="AJ103" s="793">
        <f>_xll.GetCtData("COAMOUNT","CONSAMOUNT",$B$1:$B$7,$B103,AJ$8,"#11737430,1417204")</f>
        <v>11737430</v>
      </c>
    </row>
    <row r="104" spans="1:36" ht="12" customHeight="1">
      <c r="A104" s="718" t="s">
        <v>2879</v>
      </c>
      <c r="B104" s="718" t="s">
        <v>7120</v>
      </c>
      <c r="C104" s="718" t="s">
        <v>7121</v>
      </c>
      <c r="D104" s="731" t="s">
        <v>2962</v>
      </c>
      <c r="E104" s="655">
        <v>44515</v>
      </c>
      <c r="F104" s="732" t="s">
        <v>2930</v>
      </c>
      <c r="G104" s="732">
        <v>7</v>
      </c>
      <c r="H104" s="732" t="s">
        <v>6610</v>
      </c>
      <c r="I104" s="733" t="s">
        <v>6610</v>
      </c>
      <c r="J104" s="733" t="s">
        <v>6610</v>
      </c>
      <c r="K104" s="733" t="s">
        <v>6610</v>
      </c>
      <c r="L104" s="733" t="s">
        <v>6610</v>
      </c>
      <c r="M104" s="733" t="s">
        <v>6610</v>
      </c>
      <c r="N104" s="733" t="s">
        <v>6610</v>
      </c>
      <c r="O104" s="757" t="s">
        <v>7121</v>
      </c>
      <c r="P104" s="735">
        <v>10</v>
      </c>
      <c r="Q104" s="791" t="s">
        <v>7122</v>
      </c>
      <c r="R104" s="735">
        <v>44</v>
      </c>
      <c r="S104" s="792" t="s">
        <v>7122</v>
      </c>
      <c r="T104" s="735">
        <v>44</v>
      </c>
      <c r="U104" s="791" t="s">
        <v>7123</v>
      </c>
      <c r="V104" s="735">
        <v>24</v>
      </c>
      <c r="W104" s="791" t="s">
        <v>6616</v>
      </c>
      <c r="X104" s="791" t="s">
        <v>7124</v>
      </c>
      <c r="Y104" s="738">
        <v>46</v>
      </c>
      <c r="Z104" s="792" t="s">
        <v>7124</v>
      </c>
      <c r="AA104" s="735">
        <v>46</v>
      </c>
      <c r="AB104" s="791" t="s">
        <v>7125</v>
      </c>
      <c r="AC104" s="735">
        <v>26</v>
      </c>
      <c r="AD104" s="738" t="s">
        <v>6618</v>
      </c>
      <c r="AE104" s="689" t="s">
        <v>7119</v>
      </c>
      <c r="AF104" s="779" t="s">
        <v>2721</v>
      </c>
      <c r="AJ104" s="793">
        <f>_xll.GetCtData("COAMOUNT","CONSAMOUNT",$B$1:$B$7,$B104,AJ$8,"#-2556058,08916003")</f>
        <v>-2556058</v>
      </c>
    </row>
    <row r="105" spans="1:36" ht="12" customHeight="1">
      <c r="A105" s="718" t="s">
        <v>2879</v>
      </c>
      <c r="B105" s="718" t="s">
        <v>7126</v>
      </c>
      <c r="C105" s="718" t="s">
        <v>7127</v>
      </c>
      <c r="D105" s="731" t="s">
        <v>2962</v>
      </c>
      <c r="E105" s="655">
        <v>44515</v>
      </c>
      <c r="F105" s="732" t="s">
        <v>2930</v>
      </c>
      <c r="G105" s="732">
        <v>7</v>
      </c>
      <c r="H105" s="732" t="s">
        <v>6610</v>
      </c>
      <c r="I105" s="733" t="s">
        <v>6610</v>
      </c>
      <c r="J105" s="733" t="s">
        <v>6610</v>
      </c>
      <c r="K105" s="733" t="s">
        <v>6610</v>
      </c>
      <c r="L105" s="733" t="s">
        <v>6610</v>
      </c>
      <c r="M105" s="733" t="s">
        <v>6610</v>
      </c>
      <c r="N105" s="733"/>
      <c r="O105" s="757" t="s">
        <v>7127</v>
      </c>
      <c r="P105" s="735">
        <v>10</v>
      </c>
      <c r="Q105" s="791" t="s">
        <v>7128</v>
      </c>
      <c r="R105" s="735">
        <v>46</v>
      </c>
      <c r="S105" s="792" t="s">
        <v>7129</v>
      </c>
      <c r="T105" s="735">
        <v>45</v>
      </c>
      <c r="U105" s="791" t="s">
        <v>7130</v>
      </c>
      <c r="V105" s="735">
        <v>25</v>
      </c>
      <c r="W105" s="791" t="s">
        <v>6616</v>
      </c>
      <c r="X105" s="791" t="s">
        <v>7131</v>
      </c>
      <c r="Y105" s="738">
        <v>57</v>
      </c>
      <c r="Z105" s="792" t="s">
        <v>7131</v>
      </c>
      <c r="AA105" s="735">
        <v>57</v>
      </c>
      <c r="AB105" s="791" t="s">
        <v>7118</v>
      </c>
      <c r="AC105" s="735">
        <v>26</v>
      </c>
      <c r="AD105" s="738" t="s">
        <v>6618</v>
      </c>
      <c r="AE105" s="689" t="s">
        <v>7119</v>
      </c>
      <c r="AF105" s="530" t="s">
        <v>2969</v>
      </c>
      <c r="AJ105" s="793">
        <f>_xll.GetCtData("COAMOUNT","CONSAMOUNT",$B$1:$B$7,$B105,AJ$8,"#-10218839,7182782")</f>
        <v>-10218839</v>
      </c>
    </row>
    <row r="106" spans="1:36" ht="12" customHeight="1">
      <c r="A106" s="718" t="s">
        <v>2879</v>
      </c>
      <c r="B106" s="718" t="s">
        <v>7132</v>
      </c>
      <c r="C106" s="718" t="s">
        <v>7133</v>
      </c>
      <c r="D106" s="731" t="s">
        <v>2962</v>
      </c>
      <c r="E106" s="655">
        <v>44515</v>
      </c>
      <c r="F106" s="732" t="s">
        <v>2930</v>
      </c>
      <c r="G106" s="732">
        <v>7</v>
      </c>
      <c r="H106" s="732" t="s">
        <v>6610</v>
      </c>
      <c r="I106" s="733" t="s">
        <v>6610</v>
      </c>
      <c r="J106" s="733" t="s">
        <v>6610</v>
      </c>
      <c r="K106" s="733" t="s">
        <v>6610</v>
      </c>
      <c r="L106" s="733" t="s">
        <v>6610</v>
      </c>
      <c r="M106" s="733" t="s">
        <v>6610</v>
      </c>
      <c r="N106" s="733"/>
      <c r="O106" s="757" t="s">
        <v>7133</v>
      </c>
      <c r="P106" s="735">
        <v>10</v>
      </c>
      <c r="Q106" s="791" t="s">
        <v>7134</v>
      </c>
      <c r="R106" s="735">
        <v>46</v>
      </c>
      <c r="S106" s="792" t="s">
        <v>7134</v>
      </c>
      <c r="T106" s="735">
        <v>46</v>
      </c>
      <c r="U106" s="791" t="s">
        <v>7135</v>
      </c>
      <c r="V106" s="735">
        <v>25</v>
      </c>
      <c r="W106" s="791" t="s">
        <v>6616</v>
      </c>
      <c r="X106" s="791" t="s">
        <v>7136</v>
      </c>
      <c r="Y106" s="738">
        <v>47</v>
      </c>
      <c r="Z106" s="792" t="s">
        <v>7136</v>
      </c>
      <c r="AA106" s="735">
        <v>47</v>
      </c>
      <c r="AB106" s="791" t="s">
        <v>7137</v>
      </c>
      <c r="AC106" s="735">
        <v>29</v>
      </c>
      <c r="AD106" s="738" t="s">
        <v>6618</v>
      </c>
      <c r="AE106" s="689" t="s">
        <v>7119</v>
      </c>
      <c r="AF106" s="530" t="s">
        <v>2969</v>
      </c>
      <c r="AJ106" s="793">
        <f>_xll.GetCtData("COAMOUNT","CONSAMOUNT",$B$1:$B$7,$B106,AJ$8,"#2514939,67438389")</f>
        <v>2514939</v>
      </c>
    </row>
    <row r="107" spans="1:36" ht="12" customHeight="1">
      <c r="A107" s="718" t="s">
        <v>2879</v>
      </c>
      <c r="B107" s="718" t="s">
        <v>7138</v>
      </c>
      <c r="C107" s="453" t="s">
        <v>7139</v>
      </c>
      <c r="D107" s="731" t="s">
        <v>6609</v>
      </c>
      <c r="E107" s="655">
        <v>44035</v>
      </c>
      <c r="F107" s="732" t="s">
        <v>2930</v>
      </c>
      <c r="G107" s="732">
        <v>7</v>
      </c>
      <c r="H107" s="732" t="s">
        <v>6610</v>
      </c>
      <c r="I107" s="733" t="s">
        <v>6610</v>
      </c>
      <c r="J107" s="733" t="s">
        <v>6610</v>
      </c>
      <c r="K107" s="733" t="s">
        <v>6610</v>
      </c>
      <c r="L107" s="733" t="s">
        <v>6610</v>
      </c>
      <c r="M107" s="733" t="s">
        <v>6610</v>
      </c>
      <c r="N107" s="733" t="s">
        <v>6610</v>
      </c>
      <c r="O107" s="757" t="s">
        <v>7139</v>
      </c>
      <c r="P107" s="735">
        <v>10</v>
      </c>
      <c r="Q107" s="791" t="s">
        <v>7140</v>
      </c>
      <c r="R107" s="735">
        <v>16</v>
      </c>
      <c r="S107" s="792" t="s">
        <v>7140</v>
      </c>
      <c r="T107" s="735">
        <v>16</v>
      </c>
      <c r="U107" s="791" t="s">
        <v>7140</v>
      </c>
      <c r="V107" s="735">
        <v>16</v>
      </c>
      <c r="W107" s="791" t="s">
        <v>6616</v>
      </c>
      <c r="X107" s="791" t="s">
        <v>7141</v>
      </c>
      <c r="Y107" s="738">
        <v>25</v>
      </c>
      <c r="Z107" s="792" t="s">
        <v>7141</v>
      </c>
      <c r="AA107" s="735">
        <v>25</v>
      </c>
      <c r="AB107" s="791" t="s">
        <v>7141</v>
      </c>
      <c r="AC107" s="735">
        <v>25</v>
      </c>
      <c r="AD107" s="738" t="s">
        <v>6618</v>
      </c>
      <c r="AE107" s="689"/>
      <c r="AF107" s="494" t="s">
        <v>2917</v>
      </c>
      <c r="AJ107" s="793">
        <f>_xll.GetCtData("COAMOUNT","CONSAMOUNT",$B$1:$B$7,$B107,AJ$8,"#0")</f>
        <v>0</v>
      </c>
    </row>
    <row r="108" spans="1:36" ht="12" customHeight="1">
      <c r="A108" s="718" t="s">
        <v>2879</v>
      </c>
      <c r="B108" s="718" t="s">
        <v>7142</v>
      </c>
      <c r="C108" s="453" t="s">
        <v>7143</v>
      </c>
      <c r="D108" s="731" t="s">
        <v>6609</v>
      </c>
      <c r="E108" s="655">
        <v>44035</v>
      </c>
      <c r="F108" s="732" t="s">
        <v>2930</v>
      </c>
      <c r="G108" s="732">
        <v>7</v>
      </c>
      <c r="H108" s="732" t="s">
        <v>6610</v>
      </c>
      <c r="I108" s="733" t="s">
        <v>6610</v>
      </c>
      <c r="J108" s="733" t="s">
        <v>6610</v>
      </c>
      <c r="K108" s="733" t="s">
        <v>6610</v>
      </c>
      <c r="L108" s="733" t="s">
        <v>6610</v>
      </c>
      <c r="M108" s="733" t="s">
        <v>6610</v>
      </c>
      <c r="N108" s="733" t="s">
        <v>6610</v>
      </c>
      <c r="O108" s="757" t="s">
        <v>7143</v>
      </c>
      <c r="P108" s="735">
        <v>10</v>
      </c>
      <c r="Q108" s="791" t="s">
        <v>7144</v>
      </c>
      <c r="R108" s="735">
        <v>16</v>
      </c>
      <c r="S108" s="792" t="s">
        <v>7144</v>
      </c>
      <c r="T108" s="735">
        <v>16</v>
      </c>
      <c r="U108" s="791" t="s">
        <v>7144</v>
      </c>
      <c r="V108" s="735">
        <v>16</v>
      </c>
      <c r="W108" s="791" t="s">
        <v>6616</v>
      </c>
      <c r="X108" s="791" t="s">
        <v>7145</v>
      </c>
      <c r="Y108" s="738">
        <v>16</v>
      </c>
      <c r="Z108" s="792" t="s">
        <v>7145</v>
      </c>
      <c r="AA108" s="735">
        <v>16</v>
      </c>
      <c r="AB108" s="791" t="s">
        <v>7145</v>
      </c>
      <c r="AC108" s="735">
        <v>16</v>
      </c>
      <c r="AD108" s="738" t="s">
        <v>6618</v>
      </c>
      <c r="AE108" s="689"/>
      <c r="AF108" s="494" t="s">
        <v>2917</v>
      </c>
      <c r="AJ108" s="793">
        <f>_xll.GetCtData("COAMOUNT","CONSAMOUNT",$B$1:$B$7,$B108,AJ$8,"#0")</f>
        <v>0</v>
      </c>
    </row>
    <row r="109" spans="1:36" ht="12" customHeight="1">
      <c r="A109" s="718" t="s">
        <v>2879</v>
      </c>
      <c r="B109" s="718" t="s">
        <v>7146</v>
      </c>
      <c r="C109" s="453" t="s">
        <v>7147</v>
      </c>
      <c r="D109" s="731" t="s">
        <v>6609</v>
      </c>
      <c r="E109" s="655">
        <v>44035</v>
      </c>
      <c r="F109" s="732" t="s">
        <v>2912</v>
      </c>
      <c r="G109" s="732">
        <v>4</v>
      </c>
      <c r="H109" s="732" t="s">
        <v>6610</v>
      </c>
      <c r="I109" s="733" t="s">
        <v>6610</v>
      </c>
      <c r="J109" s="733" t="s">
        <v>6610</v>
      </c>
      <c r="K109" s="733" t="s">
        <v>6610</v>
      </c>
      <c r="L109" s="764" t="s">
        <v>7147</v>
      </c>
      <c r="M109" s="764" t="s">
        <v>6610</v>
      </c>
      <c r="N109" s="764" t="s">
        <v>6610</v>
      </c>
      <c r="O109" s="765"/>
      <c r="P109" s="735">
        <v>0</v>
      </c>
      <c r="Q109" s="766" t="s">
        <v>7148</v>
      </c>
      <c r="R109" s="735">
        <v>48</v>
      </c>
      <c r="S109" s="767" t="s">
        <v>7148</v>
      </c>
      <c r="T109" s="735">
        <v>48</v>
      </c>
      <c r="U109" s="766" t="s">
        <v>7149</v>
      </c>
      <c r="V109" s="735">
        <v>25</v>
      </c>
      <c r="W109" s="766" t="s">
        <v>6616</v>
      </c>
      <c r="X109" s="766" t="s">
        <v>7150</v>
      </c>
      <c r="Y109" s="738">
        <v>45</v>
      </c>
      <c r="Z109" s="767" t="s">
        <v>7150</v>
      </c>
      <c r="AA109" s="735">
        <v>45</v>
      </c>
      <c r="AB109" s="766" t="s">
        <v>7151</v>
      </c>
      <c r="AC109" s="735">
        <v>28</v>
      </c>
      <c r="AD109" s="738" t="s">
        <v>6618</v>
      </c>
      <c r="AE109" s="689"/>
      <c r="AF109" s="494" t="s">
        <v>2917</v>
      </c>
      <c r="AJ109" s="768">
        <f>_xll.GetCtData("COAMOUNT","CONSAMOUNT",$B$1:$B$7,$B109,AJ$8,"#2409342,14999609")</f>
        <v>2409342</v>
      </c>
    </row>
    <row r="110" spans="1:36" ht="12" customHeight="1">
      <c r="A110" s="718" t="s">
        <v>2879</v>
      </c>
      <c r="B110" s="718" t="s">
        <v>1377</v>
      </c>
      <c r="C110" s="453" t="s">
        <v>7152</v>
      </c>
      <c r="D110" s="731" t="s">
        <v>6609</v>
      </c>
      <c r="E110" s="655">
        <v>44035</v>
      </c>
      <c r="F110" s="732" t="s">
        <v>2930</v>
      </c>
      <c r="G110" s="732">
        <v>7</v>
      </c>
      <c r="H110" s="732" t="s">
        <v>6610</v>
      </c>
      <c r="I110" s="733" t="s">
        <v>6610</v>
      </c>
      <c r="J110" s="733" t="s">
        <v>6610</v>
      </c>
      <c r="K110" s="733" t="s">
        <v>6610</v>
      </c>
      <c r="L110" s="733" t="s">
        <v>6610</v>
      </c>
      <c r="M110" s="733" t="s">
        <v>6610</v>
      </c>
      <c r="N110" s="733" t="s">
        <v>6610</v>
      </c>
      <c r="O110" s="757" t="s">
        <v>7152</v>
      </c>
      <c r="P110" s="735">
        <v>10</v>
      </c>
      <c r="Q110" s="758" t="s">
        <v>7153</v>
      </c>
      <c r="R110" s="735">
        <v>44</v>
      </c>
      <c r="S110" s="759" t="s">
        <v>7153</v>
      </c>
      <c r="T110" s="735">
        <v>44</v>
      </c>
      <c r="U110" s="758" t="s">
        <v>7154</v>
      </c>
      <c r="V110" s="735">
        <v>28</v>
      </c>
      <c r="W110" s="758" t="s">
        <v>6616</v>
      </c>
      <c r="X110" s="758" t="s">
        <v>7155</v>
      </c>
      <c r="Y110" s="738">
        <v>54</v>
      </c>
      <c r="Z110" s="759" t="s">
        <v>7155</v>
      </c>
      <c r="AA110" s="735">
        <v>54</v>
      </c>
      <c r="AB110" s="758" t="s">
        <v>7156</v>
      </c>
      <c r="AC110" s="735">
        <v>29</v>
      </c>
      <c r="AD110" s="738" t="s">
        <v>6618</v>
      </c>
      <c r="AE110" s="689"/>
      <c r="AF110" s="494" t="s">
        <v>2917</v>
      </c>
      <c r="AJ110" s="760">
        <f>_xll.GetCtData("COAMOUNT","CONSAMOUNT",$B$1:$B$7,$B110,AJ$8,"#3248231,00999434")</f>
        <v>3248231</v>
      </c>
    </row>
    <row r="111" spans="1:36" ht="12" customHeight="1">
      <c r="A111" s="718" t="s">
        <v>2879</v>
      </c>
      <c r="B111" s="718" t="s">
        <v>7157</v>
      </c>
      <c r="C111" s="453" t="s">
        <v>7158</v>
      </c>
      <c r="D111" s="731" t="s">
        <v>6609</v>
      </c>
      <c r="E111" s="655">
        <v>44035</v>
      </c>
      <c r="F111" s="732" t="s">
        <v>2930</v>
      </c>
      <c r="G111" s="732">
        <v>7</v>
      </c>
      <c r="H111" s="732" t="s">
        <v>6610</v>
      </c>
      <c r="I111" s="733" t="s">
        <v>6610</v>
      </c>
      <c r="J111" s="733" t="s">
        <v>6610</v>
      </c>
      <c r="K111" s="733" t="s">
        <v>6610</v>
      </c>
      <c r="L111" s="733" t="s">
        <v>6610</v>
      </c>
      <c r="M111" s="733" t="s">
        <v>6610</v>
      </c>
      <c r="N111" s="733" t="s">
        <v>6610</v>
      </c>
      <c r="O111" s="757" t="s">
        <v>7158</v>
      </c>
      <c r="P111" s="735">
        <v>10</v>
      </c>
      <c r="Q111" s="758" t="s">
        <v>7159</v>
      </c>
      <c r="R111" s="735">
        <v>37</v>
      </c>
      <c r="S111" s="759" t="s">
        <v>7159</v>
      </c>
      <c r="T111" s="735">
        <v>37</v>
      </c>
      <c r="U111" s="758" t="s">
        <v>7160</v>
      </c>
      <c r="V111" s="735">
        <v>30</v>
      </c>
      <c r="W111" s="758" t="s">
        <v>6616</v>
      </c>
      <c r="X111" s="758" t="s">
        <v>7161</v>
      </c>
      <c r="Y111" s="738">
        <v>46</v>
      </c>
      <c r="Z111" s="759" t="s">
        <v>7161</v>
      </c>
      <c r="AA111" s="735">
        <v>46</v>
      </c>
      <c r="AB111" s="758" t="s">
        <v>7162</v>
      </c>
      <c r="AC111" s="735">
        <v>30</v>
      </c>
      <c r="AD111" s="738" t="s">
        <v>6618</v>
      </c>
      <c r="AE111" s="689"/>
      <c r="AF111" s="494" t="s">
        <v>2917</v>
      </c>
      <c r="AJ111" s="760">
        <f>_xll.GetCtData("COAMOUNT","CONSAMOUNT",$B$1:$B$7,$B111,AJ$8,"#-838888,859998254")</f>
        <v>-838888</v>
      </c>
    </row>
    <row r="112" spans="1:36" ht="12" customHeight="1">
      <c r="A112" s="718" t="s">
        <v>2879</v>
      </c>
      <c r="B112" s="718" t="s">
        <v>7163</v>
      </c>
      <c r="C112" s="453" t="s">
        <v>7164</v>
      </c>
      <c r="D112" s="731" t="s">
        <v>6609</v>
      </c>
      <c r="E112" s="655">
        <v>44035</v>
      </c>
      <c r="F112" s="732" t="s">
        <v>2912</v>
      </c>
      <c r="G112" s="732">
        <v>4</v>
      </c>
      <c r="H112" s="732" t="s">
        <v>6610</v>
      </c>
      <c r="I112" s="733" t="s">
        <v>6610</v>
      </c>
      <c r="J112" s="733" t="s">
        <v>6610</v>
      </c>
      <c r="K112" s="733" t="s">
        <v>6610</v>
      </c>
      <c r="L112" s="764" t="s">
        <v>7164</v>
      </c>
      <c r="M112" s="764" t="s">
        <v>6610</v>
      </c>
      <c r="N112" s="764" t="s">
        <v>6610</v>
      </c>
      <c r="O112" s="765"/>
      <c r="P112" s="735">
        <v>0</v>
      </c>
      <c r="Q112" s="766" t="s">
        <v>7165</v>
      </c>
      <c r="R112" s="735">
        <v>23</v>
      </c>
      <c r="S112" s="767" t="s">
        <v>7165</v>
      </c>
      <c r="T112" s="735">
        <v>23</v>
      </c>
      <c r="U112" s="766" t="s">
        <v>7165</v>
      </c>
      <c r="V112" s="735">
        <v>23</v>
      </c>
      <c r="W112" s="766" t="s">
        <v>6616</v>
      </c>
      <c r="X112" s="766" t="s">
        <v>7166</v>
      </c>
      <c r="Y112" s="738">
        <v>28</v>
      </c>
      <c r="Z112" s="767" t="s">
        <v>7166</v>
      </c>
      <c r="AA112" s="735">
        <v>28</v>
      </c>
      <c r="AB112" s="766" t="s">
        <v>7166</v>
      </c>
      <c r="AC112" s="735">
        <v>28</v>
      </c>
      <c r="AD112" s="738" t="s">
        <v>6618</v>
      </c>
      <c r="AE112" s="689"/>
      <c r="AF112" s="494" t="s">
        <v>2917</v>
      </c>
      <c r="AJ112" s="768">
        <f>_xll.GetCtData("COAMOUNT","CONSAMOUNT",$B$1:$B$7,$B112,AJ$8,"#289666,727944289")</f>
        <v>289666</v>
      </c>
    </row>
    <row r="113" spans="1:36" ht="12" customHeight="1">
      <c r="A113" s="718" t="s">
        <v>2879</v>
      </c>
      <c r="B113" s="718" t="s">
        <v>7167</v>
      </c>
      <c r="C113" s="453" t="s">
        <v>7168</v>
      </c>
      <c r="D113" s="731" t="s">
        <v>6609</v>
      </c>
      <c r="E113" s="655">
        <v>44035</v>
      </c>
      <c r="F113" s="732" t="s">
        <v>2912</v>
      </c>
      <c r="G113" s="732">
        <v>5</v>
      </c>
      <c r="H113" s="732" t="s">
        <v>6610</v>
      </c>
      <c r="I113" s="733" t="s">
        <v>6610</v>
      </c>
      <c r="J113" s="733" t="s">
        <v>6610</v>
      </c>
      <c r="K113" s="733" t="s">
        <v>6610</v>
      </c>
      <c r="L113" s="733" t="s">
        <v>6610</v>
      </c>
      <c r="M113" s="769" t="s">
        <v>7168</v>
      </c>
      <c r="N113" s="769" t="s">
        <v>6610</v>
      </c>
      <c r="O113" s="770"/>
      <c r="P113" s="735">
        <v>0</v>
      </c>
      <c r="Q113" s="771" t="s">
        <v>7169</v>
      </c>
      <c r="R113" s="735">
        <v>40</v>
      </c>
      <c r="S113" s="772" t="s">
        <v>7169</v>
      </c>
      <c r="T113" s="735">
        <v>40</v>
      </c>
      <c r="U113" s="771" t="s">
        <v>7170</v>
      </c>
      <c r="V113" s="735">
        <v>25</v>
      </c>
      <c r="W113" s="771" t="s">
        <v>6616</v>
      </c>
      <c r="X113" s="771" t="s">
        <v>7171</v>
      </c>
      <c r="Y113" s="738">
        <v>32</v>
      </c>
      <c r="Z113" s="772" t="s">
        <v>7171</v>
      </c>
      <c r="AA113" s="735">
        <v>32</v>
      </c>
      <c r="AB113" s="771" t="s">
        <v>7172</v>
      </c>
      <c r="AC113" s="735">
        <v>22</v>
      </c>
      <c r="AD113" s="738" t="s">
        <v>6618</v>
      </c>
      <c r="AE113" s="689"/>
      <c r="AF113" s="494" t="s">
        <v>2917</v>
      </c>
      <c r="AJ113" s="773">
        <f>_xll.GetCtData("COAMOUNT","CONSAMOUNT",$B$1:$B$7,$B113,AJ$8,"#289666,727944289")</f>
        <v>289666</v>
      </c>
    </row>
    <row r="114" spans="1:36" ht="12" customHeight="1">
      <c r="A114" s="718" t="s">
        <v>2879</v>
      </c>
      <c r="B114" s="718" t="s">
        <v>7173</v>
      </c>
      <c r="C114" s="453" t="s">
        <v>7174</v>
      </c>
      <c r="D114" s="731" t="s">
        <v>6609</v>
      </c>
      <c r="E114" s="655">
        <v>44035</v>
      </c>
      <c r="F114" s="732" t="s">
        <v>2912</v>
      </c>
      <c r="G114" s="732">
        <v>6</v>
      </c>
      <c r="H114" s="732" t="s">
        <v>6610</v>
      </c>
      <c r="I114" s="733" t="s">
        <v>6610</v>
      </c>
      <c r="J114" s="733" t="s">
        <v>6610</v>
      </c>
      <c r="K114" s="733" t="s">
        <v>6610</v>
      </c>
      <c r="L114" s="733" t="s">
        <v>6610</v>
      </c>
      <c r="M114" s="733" t="s">
        <v>6610</v>
      </c>
      <c r="N114" s="774" t="s">
        <v>7174</v>
      </c>
      <c r="O114" s="775"/>
      <c r="P114" s="735">
        <v>0</v>
      </c>
      <c r="Q114" s="776" t="s">
        <v>7175</v>
      </c>
      <c r="R114" s="735">
        <v>53</v>
      </c>
      <c r="S114" s="777" t="s">
        <v>7175</v>
      </c>
      <c r="T114" s="735">
        <v>53</v>
      </c>
      <c r="U114" s="776" t="s">
        <v>7176</v>
      </c>
      <c r="V114" s="735">
        <v>27</v>
      </c>
      <c r="W114" s="776" t="s">
        <v>6616</v>
      </c>
      <c r="X114" s="776" t="s">
        <v>7177</v>
      </c>
      <c r="Y114" s="738">
        <v>46</v>
      </c>
      <c r="Z114" s="777" t="s">
        <v>7177</v>
      </c>
      <c r="AA114" s="735">
        <v>46</v>
      </c>
      <c r="AB114" s="776" t="s">
        <v>7178</v>
      </c>
      <c r="AC114" s="735">
        <v>26</v>
      </c>
      <c r="AD114" s="738" t="s">
        <v>6618</v>
      </c>
      <c r="AE114" s="689"/>
      <c r="AF114" s="494" t="s">
        <v>2917</v>
      </c>
      <c r="AJ114" s="778">
        <f>_xll.GetCtData("COAMOUNT","CONSAMOUNT",$B$1:$B$7,$B114,AJ$8,"#304870,727944289")</f>
        <v>304870</v>
      </c>
    </row>
    <row r="115" spans="1:36" ht="12" customHeight="1">
      <c r="A115" s="718" t="s">
        <v>2879</v>
      </c>
      <c r="B115" s="718" t="s">
        <v>7179</v>
      </c>
      <c r="C115" s="453" t="s">
        <v>7180</v>
      </c>
      <c r="D115" s="731" t="s">
        <v>6609</v>
      </c>
      <c r="E115" s="655">
        <v>44035</v>
      </c>
      <c r="F115" s="732" t="s">
        <v>2930</v>
      </c>
      <c r="G115" s="732">
        <v>7</v>
      </c>
      <c r="H115" s="732" t="s">
        <v>6610</v>
      </c>
      <c r="I115" s="733" t="s">
        <v>6610</v>
      </c>
      <c r="J115" s="733" t="s">
        <v>6610</v>
      </c>
      <c r="K115" s="733" t="s">
        <v>6610</v>
      </c>
      <c r="L115" s="733" t="s">
        <v>6610</v>
      </c>
      <c r="M115" s="733" t="s">
        <v>6610</v>
      </c>
      <c r="N115" s="733" t="s">
        <v>6610</v>
      </c>
      <c r="O115" s="757" t="s">
        <v>7180</v>
      </c>
      <c r="P115" s="735">
        <v>9</v>
      </c>
      <c r="Q115" s="758" t="s">
        <v>7175</v>
      </c>
      <c r="R115" s="735">
        <v>53</v>
      </c>
      <c r="S115" s="759" t="s">
        <v>7175</v>
      </c>
      <c r="T115" s="735">
        <v>53</v>
      </c>
      <c r="U115" s="758" t="s">
        <v>7176</v>
      </c>
      <c r="V115" s="735">
        <v>27</v>
      </c>
      <c r="W115" s="758" t="s">
        <v>6616</v>
      </c>
      <c r="X115" s="758" t="s">
        <v>7177</v>
      </c>
      <c r="Y115" s="738">
        <v>46</v>
      </c>
      <c r="Z115" s="759" t="s">
        <v>7177</v>
      </c>
      <c r="AA115" s="735">
        <v>46</v>
      </c>
      <c r="AB115" s="758" t="s">
        <v>7178</v>
      </c>
      <c r="AC115" s="735">
        <v>26</v>
      </c>
      <c r="AD115" s="738" t="s">
        <v>6618</v>
      </c>
      <c r="AE115" s="689"/>
      <c r="AF115" s="494" t="s">
        <v>2917</v>
      </c>
      <c r="AJ115" s="760">
        <f>_xll.GetCtData("COAMOUNT","CONSAMOUNT",$B$1:$B$7,$B115,AJ$8,"#-124266,63953542")</f>
        <v>-124266</v>
      </c>
    </row>
    <row r="116" spans="1:36" ht="12" customHeight="1">
      <c r="A116" s="718" t="s">
        <v>2879</v>
      </c>
      <c r="B116" s="718" t="s">
        <v>7181</v>
      </c>
      <c r="C116" s="453" t="s">
        <v>7182</v>
      </c>
      <c r="D116" s="731" t="s">
        <v>6609</v>
      </c>
      <c r="E116" s="655">
        <v>44035</v>
      </c>
      <c r="F116" s="732" t="s">
        <v>2930</v>
      </c>
      <c r="G116" s="732">
        <v>7</v>
      </c>
      <c r="H116" s="732" t="s">
        <v>6610</v>
      </c>
      <c r="I116" s="733" t="s">
        <v>6610</v>
      </c>
      <c r="J116" s="733" t="s">
        <v>6610</v>
      </c>
      <c r="K116" s="733" t="s">
        <v>6610</v>
      </c>
      <c r="L116" s="733" t="s">
        <v>6610</v>
      </c>
      <c r="M116" s="733" t="s">
        <v>6610</v>
      </c>
      <c r="N116" s="733" t="s">
        <v>6610</v>
      </c>
      <c r="O116" s="757" t="s">
        <v>7182</v>
      </c>
      <c r="P116" s="735">
        <v>9</v>
      </c>
      <c r="Q116" s="758" t="s">
        <v>7183</v>
      </c>
      <c r="R116" s="735">
        <v>58</v>
      </c>
      <c r="S116" s="759" t="s">
        <v>7183</v>
      </c>
      <c r="T116" s="735">
        <v>58</v>
      </c>
      <c r="U116" s="758" t="s">
        <v>7184</v>
      </c>
      <c r="V116" s="735">
        <v>30</v>
      </c>
      <c r="W116" s="758" t="s">
        <v>6616</v>
      </c>
      <c r="X116" s="758" t="s">
        <v>7185</v>
      </c>
      <c r="Y116" s="738">
        <v>46</v>
      </c>
      <c r="Z116" s="759" t="s">
        <v>7185</v>
      </c>
      <c r="AA116" s="735">
        <v>46</v>
      </c>
      <c r="AB116" s="758" t="s">
        <v>7186</v>
      </c>
      <c r="AC116" s="735">
        <v>27</v>
      </c>
      <c r="AD116" s="738" t="s">
        <v>6618</v>
      </c>
      <c r="AE116" s="689"/>
      <c r="AF116" s="494" t="s">
        <v>2917</v>
      </c>
      <c r="AJ116" s="760">
        <f>_xll.GetCtData("COAMOUNT","CONSAMOUNT",$B$1:$B$7,$B116,AJ$8,"#429137,36747971")</f>
        <v>429137</v>
      </c>
    </row>
    <row r="117" spans="1:36" ht="12" customHeight="1">
      <c r="A117" s="718" t="s">
        <v>2879</v>
      </c>
      <c r="B117" s="718" t="s">
        <v>7187</v>
      </c>
      <c r="C117" s="453" t="s">
        <v>7188</v>
      </c>
      <c r="D117" s="731" t="s">
        <v>6609</v>
      </c>
      <c r="E117" s="655">
        <v>44035</v>
      </c>
      <c r="F117" s="732" t="s">
        <v>2912</v>
      </c>
      <c r="G117" s="732">
        <v>6</v>
      </c>
      <c r="H117" s="732" t="s">
        <v>6610</v>
      </c>
      <c r="I117" s="733" t="s">
        <v>6610</v>
      </c>
      <c r="J117" s="733" t="s">
        <v>6610</v>
      </c>
      <c r="K117" s="733" t="s">
        <v>6610</v>
      </c>
      <c r="L117" s="733" t="s">
        <v>6610</v>
      </c>
      <c r="M117" s="733" t="s">
        <v>6610</v>
      </c>
      <c r="N117" s="774" t="s">
        <v>7188</v>
      </c>
      <c r="O117" s="775"/>
      <c r="P117" s="735">
        <v>0</v>
      </c>
      <c r="Q117" s="803" t="s">
        <v>7189</v>
      </c>
      <c r="R117" s="735">
        <v>43</v>
      </c>
      <c r="S117" s="777" t="s">
        <v>7189</v>
      </c>
      <c r="T117" s="735">
        <v>43</v>
      </c>
      <c r="U117" s="776" t="s">
        <v>7190</v>
      </c>
      <c r="V117" s="735">
        <v>30</v>
      </c>
      <c r="W117" s="776" t="s">
        <v>6616</v>
      </c>
      <c r="X117" s="776" t="s">
        <v>7191</v>
      </c>
      <c r="Y117" s="738">
        <v>31</v>
      </c>
      <c r="Z117" s="777" t="s">
        <v>7191</v>
      </c>
      <c r="AA117" s="735">
        <v>31</v>
      </c>
      <c r="AB117" s="776" t="s">
        <v>7192</v>
      </c>
      <c r="AC117" s="735">
        <v>24</v>
      </c>
      <c r="AD117" s="738" t="s">
        <v>6618</v>
      </c>
      <c r="AE117" s="689"/>
      <c r="AF117" s="494" t="s">
        <v>2917</v>
      </c>
      <c r="AJ117" s="778">
        <f>_xll.GetCtData("COAMOUNT","CONSAMOUNT",$B$1:$B$7,$B117,AJ$8,"#-5218")</f>
        <v>-5218</v>
      </c>
    </row>
    <row r="118" spans="1:36" ht="12" customHeight="1">
      <c r="A118" s="718" t="s">
        <v>2879</v>
      </c>
      <c r="B118" s="718" t="s">
        <v>7193</v>
      </c>
      <c r="C118" s="453" t="s">
        <v>7194</v>
      </c>
      <c r="D118" s="731" t="s">
        <v>6609</v>
      </c>
      <c r="E118" s="655">
        <v>44035</v>
      </c>
      <c r="F118" s="732" t="s">
        <v>2930</v>
      </c>
      <c r="G118" s="732">
        <v>7</v>
      </c>
      <c r="H118" s="732" t="s">
        <v>6610</v>
      </c>
      <c r="I118" s="733" t="s">
        <v>6610</v>
      </c>
      <c r="J118" s="733" t="s">
        <v>6610</v>
      </c>
      <c r="K118" s="733" t="s">
        <v>6610</v>
      </c>
      <c r="L118" s="733" t="s">
        <v>6610</v>
      </c>
      <c r="M118" s="733" t="s">
        <v>6610</v>
      </c>
      <c r="N118" s="733" t="s">
        <v>6610</v>
      </c>
      <c r="O118" s="757" t="s">
        <v>7194</v>
      </c>
      <c r="P118" s="735">
        <v>9</v>
      </c>
      <c r="Q118" s="758" t="s">
        <v>7189</v>
      </c>
      <c r="R118" s="735">
        <v>43</v>
      </c>
      <c r="S118" s="759" t="s">
        <v>7189</v>
      </c>
      <c r="T118" s="735">
        <v>43</v>
      </c>
      <c r="U118" s="758" t="s">
        <v>7190</v>
      </c>
      <c r="V118" s="735">
        <v>30</v>
      </c>
      <c r="W118" s="758" t="s">
        <v>6616</v>
      </c>
      <c r="X118" s="758" t="s">
        <v>7191</v>
      </c>
      <c r="Y118" s="738">
        <v>31</v>
      </c>
      <c r="Z118" s="759" t="s">
        <v>7191</v>
      </c>
      <c r="AA118" s="735">
        <v>31</v>
      </c>
      <c r="AB118" s="758" t="s">
        <v>7192</v>
      </c>
      <c r="AC118" s="735">
        <v>24</v>
      </c>
      <c r="AD118" s="738" t="s">
        <v>6618</v>
      </c>
      <c r="AE118" s="689"/>
      <c r="AF118" s="494" t="s">
        <v>2917</v>
      </c>
      <c r="AJ118" s="760">
        <f>_xll.GetCtData("COAMOUNT","CONSAMOUNT",$B$1:$B$7,$B118,AJ$8,"#-5218")</f>
        <v>-5218</v>
      </c>
    </row>
    <row r="119" spans="1:36" ht="12" customHeight="1">
      <c r="A119" s="718" t="s">
        <v>2879</v>
      </c>
      <c r="B119" s="718" t="s">
        <v>7195</v>
      </c>
      <c r="C119" s="453" t="s">
        <v>7196</v>
      </c>
      <c r="D119" s="731" t="s">
        <v>6609</v>
      </c>
      <c r="E119" s="655">
        <v>44035</v>
      </c>
      <c r="F119" s="732" t="s">
        <v>2930</v>
      </c>
      <c r="G119" s="732">
        <v>7</v>
      </c>
      <c r="H119" s="732" t="s">
        <v>6610</v>
      </c>
      <c r="I119" s="733" t="s">
        <v>6610</v>
      </c>
      <c r="J119" s="733" t="s">
        <v>6610</v>
      </c>
      <c r="K119" s="733" t="s">
        <v>6610</v>
      </c>
      <c r="L119" s="733" t="s">
        <v>6610</v>
      </c>
      <c r="M119" s="733" t="s">
        <v>6610</v>
      </c>
      <c r="N119" s="733" t="s">
        <v>6610</v>
      </c>
      <c r="O119" s="757" t="s">
        <v>7196</v>
      </c>
      <c r="P119" s="735">
        <v>9</v>
      </c>
      <c r="Q119" s="758" t="s">
        <v>7197</v>
      </c>
      <c r="R119" s="735">
        <v>48</v>
      </c>
      <c r="S119" s="759" t="s">
        <v>7197</v>
      </c>
      <c r="T119" s="735">
        <v>48</v>
      </c>
      <c r="U119" s="758" t="s">
        <v>7198</v>
      </c>
      <c r="V119" s="735">
        <v>28</v>
      </c>
      <c r="W119" s="758" t="s">
        <v>6616</v>
      </c>
      <c r="X119" s="758" t="s">
        <v>7199</v>
      </c>
      <c r="Y119" s="738">
        <v>36</v>
      </c>
      <c r="Z119" s="759" t="s">
        <v>7199</v>
      </c>
      <c r="AA119" s="735">
        <v>36</v>
      </c>
      <c r="AB119" s="758" t="s">
        <v>7200</v>
      </c>
      <c r="AC119" s="735">
        <v>27</v>
      </c>
      <c r="AD119" s="738" t="s">
        <v>6618</v>
      </c>
      <c r="AE119" s="689"/>
      <c r="AF119" s="494" t="s">
        <v>2917</v>
      </c>
      <c r="AJ119" s="760">
        <f>_xll.GetCtData("COAMOUNT","CONSAMOUNT",$B$1:$B$7,$B119,AJ$8,"#")</f>
        <v>0</v>
      </c>
    </row>
    <row r="120" spans="1:36" ht="12" customHeight="1">
      <c r="A120" s="718" t="s">
        <v>2879</v>
      </c>
      <c r="B120" s="718" t="s">
        <v>7201</v>
      </c>
      <c r="C120" s="453" t="s">
        <v>7202</v>
      </c>
      <c r="D120" s="731" t="s">
        <v>6609</v>
      </c>
      <c r="E120" s="655">
        <v>44035</v>
      </c>
      <c r="F120" s="732" t="s">
        <v>2912</v>
      </c>
      <c r="G120" s="732">
        <v>6</v>
      </c>
      <c r="H120" s="732" t="s">
        <v>6610</v>
      </c>
      <c r="I120" s="733" t="s">
        <v>6610</v>
      </c>
      <c r="J120" s="733" t="s">
        <v>6610</v>
      </c>
      <c r="K120" s="733" t="s">
        <v>6610</v>
      </c>
      <c r="L120" s="733" t="s">
        <v>6610</v>
      </c>
      <c r="M120" s="733" t="s">
        <v>6610</v>
      </c>
      <c r="N120" s="774" t="s">
        <v>7202</v>
      </c>
      <c r="O120" s="775"/>
      <c r="P120" s="735">
        <v>0</v>
      </c>
      <c r="Q120" s="803" t="s">
        <v>7203</v>
      </c>
      <c r="R120" s="735">
        <v>51</v>
      </c>
      <c r="S120" s="777" t="s">
        <v>7203</v>
      </c>
      <c r="T120" s="735">
        <v>51</v>
      </c>
      <c r="U120" s="776" t="s">
        <v>7204</v>
      </c>
      <c r="V120" s="735">
        <v>29</v>
      </c>
      <c r="W120" s="776" t="s">
        <v>6616</v>
      </c>
      <c r="X120" s="776" t="s">
        <v>7205</v>
      </c>
      <c r="Y120" s="738">
        <v>61</v>
      </c>
      <c r="Z120" s="777" t="s">
        <v>7205</v>
      </c>
      <c r="AA120" s="735">
        <v>61</v>
      </c>
      <c r="AB120" s="776" t="s">
        <v>7206</v>
      </c>
      <c r="AC120" s="735">
        <v>27</v>
      </c>
      <c r="AD120" s="738" t="s">
        <v>6618</v>
      </c>
      <c r="AE120" s="689"/>
      <c r="AF120" s="494" t="s">
        <v>2917</v>
      </c>
      <c r="AJ120" s="778">
        <f>_xll.GetCtData("COAMOUNT","CONSAMOUNT",$B$1:$B$7,$B120,AJ$8,"#-9986")</f>
        <v>-9986</v>
      </c>
    </row>
    <row r="121" spans="1:36" ht="12" customHeight="1">
      <c r="A121" s="718" t="s">
        <v>2879</v>
      </c>
      <c r="B121" s="718" t="s">
        <v>7207</v>
      </c>
      <c r="C121" s="453" t="s">
        <v>7208</v>
      </c>
      <c r="D121" s="731" t="s">
        <v>6609</v>
      </c>
      <c r="E121" s="655">
        <v>44035</v>
      </c>
      <c r="F121" s="732" t="s">
        <v>2930</v>
      </c>
      <c r="G121" s="732">
        <v>7</v>
      </c>
      <c r="H121" s="732" t="s">
        <v>6610</v>
      </c>
      <c r="I121" s="733" t="s">
        <v>6610</v>
      </c>
      <c r="J121" s="733" t="s">
        <v>6610</v>
      </c>
      <c r="K121" s="733" t="s">
        <v>6610</v>
      </c>
      <c r="L121" s="733" t="s">
        <v>6610</v>
      </c>
      <c r="M121" s="733" t="s">
        <v>6610</v>
      </c>
      <c r="N121" s="733" t="s">
        <v>6610</v>
      </c>
      <c r="O121" s="757" t="s">
        <v>7208</v>
      </c>
      <c r="P121" s="735">
        <v>9</v>
      </c>
      <c r="Q121" s="758" t="s">
        <v>7209</v>
      </c>
      <c r="R121" s="735">
        <v>72</v>
      </c>
      <c r="S121" s="759" t="s">
        <v>7209</v>
      </c>
      <c r="T121" s="735">
        <v>72</v>
      </c>
      <c r="U121" s="758" t="s">
        <v>7210</v>
      </c>
      <c r="V121" s="735">
        <v>30</v>
      </c>
      <c r="W121" s="758" t="s">
        <v>6616</v>
      </c>
      <c r="X121" s="758" t="s">
        <v>7205</v>
      </c>
      <c r="Y121" s="738">
        <v>61</v>
      </c>
      <c r="Z121" s="759" t="s">
        <v>7205</v>
      </c>
      <c r="AA121" s="735">
        <v>61</v>
      </c>
      <c r="AB121" s="758" t="s">
        <v>7206</v>
      </c>
      <c r="AC121" s="735">
        <v>27</v>
      </c>
      <c r="AD121" s="738" t="s">
        <v>6618</v>
      </c>
      <c r="AE121" s="689"/>
      <c r="AF121" s="494" t="s">
        <v>2917</v>
      </c>
      <c r="AJ121" s="760">
        <f>_xll.GetCtData("COAMOUNT","CONSAMOUNT",$B$1:$B$7,$B121,AJ$8,"#-1606586")</f>
        <v>-1606586</v>
      </c>
    </row>
    <row r="122" spans="1:36" ht="12" customHeight="1">
      <c r="A122" s="718" t="s">
        <v>2879</v>
      </c>
      <c r="B122" s="718" t="s">
        <v>7211</v>
      </c>
      <c r="C122" s="453" t="s">
        <v>7212</v>
      </c>
      <c r="D122" s="731" t="s">
        <v>6609</v>
      </c>
      <c r="E122" s="655">
        <v>44038</v>
      </c>
      <c r="F122" s="732" t="s">
        <v>2930</v>
      </c>
      <c r="G122" s="732">
        <v>7</v>
      </c>
      <c r="H122" s="732" t="s">
        <v>6610</v>
      </c>
      <c r="I122" s="733" t="s">
        <v>6610</v>
      </c>
      <c r="J122" s="733" t="s">
        <v>6610</v>
      </c>
      <c r="K122" s="733" t="s">
        <v>6610</v>
      </c>
      <c r="L122" s="733" t="s">
        <v>6610</v>
      </c>
      <c r="M122" s="733" t="s">
        <v>6610</v>
      </c>
      <c r="N122" s="733" t="s">
        <v>6610</v>
      </c>
      <c r="O122" s="757" t="s">
        <v>7212</v>
      </c>
      <c r="P122" s="735">
        <v>9</v>
      </c>
      <c r="Q122" s="758" t="s">
        <v>7213</v>
      </c>
      <c r="R122" s="735">
        <v>100</v>
      </c>
      <c r="S122" s="759" t="s">
        <v>7213</v>
      </c>
      <c r="T122" s="735">
        <v>100</v>
      </c>
      <c r="U122" s="758" t="s">
        <v>7214</v>
      </c>
      <c r="V122" s="735">
        <v>30</v>
      </c>
      <c r="W122" s="758" t="s">
        <v>6616</v>
      </c>
      <c r="X122" s="758" t="s">
        <v>7215</v>
      </c>
      <c r="Y122" s="738">
        <v>88</v>
      </c>
      <c r="Z122" s="759" t="s">
        <v>7215</v>
      </c>
      <c r="AA122" s="735">
        <v>88</v>
      </c>
      <c r="AB122" s="758" t="s">
        <v>7216</v>
      </c>
      <c r="AC122" s="735">
        <v>30</v>
      </c>
      <c r="AD122" s="738" t="s">
        <v>6618</v>
      </c>
      <c r="AE122" s="689" t="s">
        <v>5930</v>
      </c>
      <c r="AF122" s="494" t="s">
        <v>2917</v>
      </c>
      <c r="AJ122" s="760">
        <f>_xll.GetCtData("COAMOUNT","CONSAMOUNT",$B$1:$B$7,$B122,AJ$8,"#1599794")</f>
        <v>1599794</v>
      </c>
    </row>
    <row r="123" spans="1:36" ht="12" customHeight="1">
      <c r="A123" s="718" t="s">
        <v>2879</v>
      </c>
      <c r="B123" s="718" t="s">
        <v>7217</v>
      </c>
      <c r="C123" s="453" t="s">
        <v>7218</v>
      </c>
      <c r="D123" s="731" t="s">
        <v>6609</v>
      </c>
      <c r="E123" s="655">
        <v>44035</v>
      </c>
      <c r="F123" s="732" t="s">
        <v>2930</v>
      </c>
      <c r="G123" s="732">
        <v>7</v>
      </c>
      <c r="H123" s="732" t="s">
        <v>6610</v>
      </c>
      <c r="I123" s="733" t="s">
        <v>6610</v>
      </c>
      <c r="J123" s="733" t="s">
        <v>6610</v>
      </c>
      <c r="K123" s="733" t="s">
        <v>6610</v>
      </c>
      <c r="L123" s="733" t="s">
        <v>6610</v>
      </c>
      <c r="M123" s="733" t="s">
        <v>6610</v>
      </c>
      <c r="N123" s="733" t="s">
        <v>6610</v>
      </c>
      <c r="O123" s="757" t="s">
        <v>7218</v>
      </c>
      <c r="P123" s="735">
        <v>9</v>
      </c>
      <c r="Q123" s="758" t="s">
        <v>7219</v>
      </c>
      <c r="R123" s="735">
        <v>77</v>
      </c>
      <c r="S123" s="759" t="s">
        <v>7219</v>
      </c>
      <c r="T123" s="735">
        <v>77</v>
      </c>
      <c r="U123" s="758" t="s">
        <v>7220</v>
      </c>
      <c r="V123" s="735">
        <v>28</v>
      </c>
      <c r="W123" s="758" t="s">
        <v>6616</v>
      </c>
      <c r="X123" s="758" t="s">
        <v>7221</v>
      </c>
      <c r="Y123" s="738">
        <v>66</v>
      </c>
      <c r="Z123" s="759" t="s">
        <v>7221</v>
      </c>
      <c r="AA123" s="735">
        <v>66</v>
      </c>
      <c r="AB123" s="758" t="s">
        <v>7222</v>
      </c>
      <c r="AC123" s="735">
        <v>28</v>
      </c>
      <c r="AD123" s="738" t="s">
        <v>6618</v>
      </c>
      <c r="AE123" s="689"/>
      <c r="AF123" s="494" t="s">
        <v>2917</v>
      </c>
      <c r="AJ123" s="760">
        <f>_xll.GetCtData("COAMOUNT","CONSAMOUNT",$B$1:$B$7,$B123,AJ$8,"#487860")</f>
        <v>487860</v>
      </c>
    </row>
    <row r="124" spans="1:36" ht="12" customHeight="1">
      <c r="A124" s="718" t="s">
        <v>2879</v>
      </c>
      <c r="B124" s="718" t="s">
        <v>7223</v>
      </c>
      <c r="C124" s="453" t="s">
        <v>7224</v>
      </c>
      <c r="D124" s="731" t="s">
        <v>6609</v>
      </c>
      <c r="E124" s="655">
        <v>44038</v>
      </c>
      <c r="F124" s="732" t="s">
        <v>2930</v>
      </c>
      <c r="G124" s="732">
        <v>7</v>
      </c>
      <c r="H124" s="732" t="s">
        <v>6610</v>
      </c>
      <c r="I124" s="733" t="s">
        <v>6610</v>
      </c>
      <c r="J124" s="733" t="s">
        <v>6610</v>
      </c>
      <c r="K124" s="733" t="s">
        <v>6610</v>
      </c>
      <c r="L124" s="733" t="s">
        <v>6610</v>
      </c>
      <c r="M124" s="733" t="s">
        <v>6610</v>
      </c>
      <c r="N124" s="733" t="s">
        <v>6610</v>
      </c>
      <c r="O124" s="757" t="s">
        <v>7224</v>
      </c>
      <c r="P124" s="735">
        <v>9</v>
      </c>
      <c r="Q124" s="758" t="s">
        <v>7225</v>
      </c>
      <c r="R124" s="735">
        <v>105</v>
      </c>
      <c r="S124" s="759" t="s">
        <v>7225</v>
      </c>
      <c r="T124" s="735">
        <v>105</v>
      </c>
      <c r="U124" s="758" t="s">
        <v>7226</v>
      </c>
      <c r="V124" s="735">
        <v>30</v>
      </c>
      <c r="W124" s="758" t="s">
        <v>6616</v>
      </c>
      <c r="X124" s="758" t="s">
        <v>7227</v>
      </c>
      <c r="Y124" s="738">
        <v>92</v>
      </c>
      <c r="Z124" s="759" t="s">
        <v>7227</v>
      </c>
      <c r="AA124" s="735">
        <v>92</v>
      </c>
      <c r="AB124" s="758" t="s">
        <v>7228</v>
      </c>
      <c r="AC124" s="735">
        <v>30</v>
      </c>
      <c r="AD124" s="738" t="s">
        <v>6618</v>
      </c>
      <c r="AE124" s="689" t="s">
        <v>5930</v>
      </c>
      <c r="AF124" s="494" t="s">
        <v>2917</v>
      </c>
      <c r="AJ124" s="760">
        <f>_xll.GetCtData("COAMOUNT","CONSAMOUNT",$B$1:$B$7,$B124,AJ$8,"#-491054")</f>
        <v>-491054</v>
      </c>
    </row>
    <row r="125" spans="1:36" ht="12" customHeight="1">
      <c r="A125" s="718" t="s">
        <v>2879</v>
      </c>
      <c r="B125" s="718" t="s">
        <v>7229</v>
      </c>
      <c r="C125" s="453" t="s">
        <v>7230</v>
      </c>
      <c r="D125" s="731" t="s">
        <v>6609</v>
      </c>
      <c r="E125" s="655">
        <v>44035</v>
      </c>
      <c r="F125" s="732" t="s">
        <v>2912</v>
      </c>
      <c r="G125" s="732">
        <v>3</v>
      </c>
      <c r="H125" s="732" t="s">
        <v>6610</v>
      </c>
      <c r="I125" s="733" t="s">
        <v>6610</v>
      </c>
      <c r="J125" s="733" t="s">
        <v>6610</v>
      </c>
      <c r="K125" s="752" t="s">
        <v>7230</v>
      </c>
      <c r="L125" s="752" t="s">
        <v>6610</v>
      </c>
      <c r="M125" s="752" t="s">
        <v>6610</v>
      </c>
      <c r="N125" s="752" t="s">
        <v>6610</v>
      </c>
      <c r="O125" s="753"/>
      <c r="P125" s="735">
        <v>0</v>
      </c>
      <c r="Q125" s="754" t="s">
        <v>546</v>
      </c>
      <c r="R125" s="735">
        <v>22</v>
      </c>
      <c r="S125" s="755" t="s">
        <v>546</v>
      </c>
      <c r="T125" s="735">
        <v>22</v>
      </c>
      <c r="U125" s="754" t="s">
        <v>546</v>
      </c>
      <c r="V125" s="735">
        <v>22</v>
      </c>
      <c r="W125" s="754" t="s">
        <v>6616</v>
      </c>
      <c r="X125" s="754" t="s">
        <v>7231</v>
      </c>
      <c r="Y125" s="738">
        <v>28</v>
      </c>
      <c r="Z125" s="755" t="s">
        <v>7231</v>
      </c>
      <c r="AA125" s="735">
        <v>28</v>
      </c>
      <c r="AB125" s="754" t="s">
        <v>7231</v>
      </c>
      <c r="AC125" s="735">
        <v>28</v>
      </c>
      <c r="AD125" s="738" t="s">
        <v>6618</v>
      </c>
      <c r="AE125" s="689"/>
      <c r="AF125" s="494" t="s">
        <v>2917</v>
      </c>
      <c r="AJ125" s="756">
        <f>_xll.GetCtData("COAMOUNT","CONSAMOUNT",$B$1:$B$7,$B125,AJ$8,"#1606061,27610308")</f>
        <v>1606061</v>
      </c>
    </row>
    <row r="126" spans="1:36" ht="12" customHeight="1">
      <c r="A126" s="718" t="s">
        <v>2879</v>
      </c>
      <c r="B126" s="718" t="s">
        <v>542</v>
      </c>
      <c r="C126" s="453" t="s">
        <v>7232</v>
      </c>
      <c r="D126" s="731" t="s">
        <v>6609</v>
      </c>
      <c r="E126" s="655">
        <v>44035</v>
      </c>
      <c r="F126" s="732" t="s">
        <v>2930</v>
      </c>
      <c r="G126" s="732">
        <v>7</v>
      </c>
      <c r="H126" s="732" t="s">
        <v>6610</v>
      </c>
      <c r="I126" s="733" t="s">
        <v>6610</v>
      </c>
      <c r="J126" s="733" t="s">
        <v>6610</v>
      </c>
      <c r="K126" s="733" t="s">
        <v>6610</v>
      </c>
      <c r="L126" s="733" t="s">
        <v>6610</v>
      </c>
      <c r="M126" s="733" t="s">
        <v>6610</v>
      </c>
      <c r="N126" s="733" t="s">
        <v>6610</v>
      </c>
      <c r="O126" s="757" t="s">
        <v>7232</v>
      </c>
      <c r="P126" s="735">
        <v>9</v>
      </c>
      <c r="Q126" s="758" t="s">
        <v>546</v>
      </c>
      <c r="R126" s="735">
        <v>22</v>
      </c>
      <c r="S126" s="759" t="s">
        <v>546</v>
      </c>
      <c r="T126" s="735">
        <v>22</v>
      </c>
      <c r="U126" s="758" t="s">
        <v>546</v>
      </c>
      <c r="V126" s="735">
        <v>22</v>
      </c>
      <c r="W126" s="758" t="s">
        <v>6616</v>
      </c>
      <c r="X126" s="758" t="s">
        <v>7231</v>
      </c>
      <c r="Y126" s="738">
        <v>28</v>
      </c>
      <c r="Z126" s="759" t="s">
        <v>7231</v>
      </c>
      <c r="AA126" s="735">
        <v>28</v>
      </c>
      <c r="AB126" s="758" t="s">
        <v>7231</v>
      </c>
      <c r="AC126" s="735">
        <v>28</v>
      </c>
      <c r="AD126" s="738" t="s">
        <v>6618</v>
      </c>
      <c r="AE126" s="689"/>
      <c r="AF126" s="494" t="s">
        <v>2917</v>
      </c>
      <c r="AJ126" s="760">
        <f>_xll.GetCtData("COAMOUNT","CONSAMOUNT",$B$1:$B$7,$B126,AJ$8,"#1606061,27610308")</f>
        <v>1606061</v>
      </c>
    </row>
    <row r="127" spans="1:36" ht="12" customHeight="1">
      <c r="A127" s="718" t="s">
        <v>2879</v>
      </c>
      <c r="B127" s="718" t="s">
        <v>7233</v>
      </c>
      <c r="C127" s="453" t="s">
        <v>7234</v>
      </c>
      <c r="D127" s="731" t="s">
        <v>6609</v>
      </c>
      <c r="E127" s="655">
        <v>44035</v>
      </c>
      <c r="F127" s="732" t="s">
        <v>2912</v>
      </c>
      <c r="G127" s="732">
        <v>2</v>
      </c>
      <c r="H127" s="732" t="s">
        <v>6610</v>
      </c>
      <c r="I127" s="733" t="s">
        <v>6610</v>
      </c>
      <c r="J127" s="747" t="s">
        <v>7234</v>
      </c>
      <c r="K127" s="747" t="s">
        <v>6610</v>
      </c>
      <c r="L127" s="747" t="s">
        <v>6610</v>
      </c>
      <c r="M127" s="747" t="s">
        <v>6610</v>
      </c>
      <c r="N127" s="747" t="s">
        <v>6610</v>
      </c>
      <c r="O127" s="748"/>
      <c r="P127" s="735">
        <v>0</v>
      </c>
      <c r="Q127" s="749" t="s">
        <v>15</v>
      </c>
      <c r="R127" s="735">
        <v>21</v>
      </c>
      <c r="S127" s="750" t="s">
        <v>15</v>
      </c>
      <c r="T127" s="735">
        <v>21</v>
      </c>
      <c r="U127" s="749" t="s">
        <v>15</v>
      </c>
      <c r="V127" s="735">
        <v>21</v>
      </c>
      <c r="W127" s="749" t="s">
        <v>2915</v>
      </c>
      <c r="X127" s="749" t="s">
        <v>7235</v>
      </c>
      <c r="Y127" s="738">
        <v>18</v>
      </c>
      <c r="Z127" s="750" t="s">
        <v>7235</v>
      </c>
      <c r="AA127" s="735">
        <v>18</v>
      </c>
      <c r="AB127" s="749" t="s">
        <v>7235</v>
      </c>
      <c r="AC127" s="735">
        <v>18</v>
      </c>
      <c r="AD127" s="738" t="s">
        <v>3143</v>
      </c>
      <c r="AE127" s="689"/>
      <c r="AF127" s="494" t="s">
        <v>2917</v>
      </c>
      <c r="AJ127" s="751">
        <f>_xll.GetCtData("COAMOUNT","CONSAMOUNT",$B$1:$B$7,$B127,AJ$8,"#3590658,48748967")</f>
        <v>3590658</v>
      </c>
    </row>
    <row r="128" spans="1:36" ht="12" customHeight="1">
      <c r="A128" s="718" t="s">
        <v>2879</v>
      </c>
      <c r="B128" s="718" t="s">
        <v>7236</v>
      </c>
      <c r="C128" s="453" t="s">
        <v>7237</v>
      </c>
      <c r="D128" s="731" t="s">
        <v>6609</v>
      </c>
      <c r="E128" s="655">
        <v>44035</v>
      </c>
      <c r="F128" s="732" t="s">
        <v>2912</v>
      </c>
      <c r="G128" s="732">
        <v>3</v>
      </c>
      <c r="H128" s="732" t="s">
        <v>6610</v>
      </c>
      <c r="I128" s="733" t="s">
        <v>6610</v>
      </c>
      <c r="J128" s="733" t="s">
        <v>6610</v>
      </c>
      <c r="K128" s="804" t="s">
        <v>7237</v>
      </c>
      <c r="L128" s="752" t="s">
        <v>6610</v>
      </c>
      <c r="M128" s="752" t="s">
        <v>6610</v>
      </c>
      <c r="N128" s="752" t="s">
        <v>6610</v>
      </c>
      <c r="O128" s="753"/>
      <c r="P128" s="735">
        <v>0</v>
      </c>
      <c r="Q128" s="754" t="s">
        <v>7238</v>
      </c>
      <c r="R128" s="735">
        <v>92</v>
      </c>
      <c r="S128" s="755" t="s">
        <v>7238</v>
      </c>
      <c r="T128" s="735">
        <v>92</v>
      </c>
      <c r="U128" s="754" t="s">
        <v>7239</v>
      </c>
      <c r="V128" s="735">
        <v>29</v>
      </c>
      <c r="W128" s="754" t="s">
        <v>2915</v>
      </c>
      <c r="X128" s="754" t="s">
        <v>7240</v>
      </c>
      <c r="Y128" s="738">
        <v>62</v>
      </c>
      <c r="Z128" s="755" t="s">
        <v>7240</v>
      </c>
      <c r="AA128" s="735">
        <v>62</v>
      </c>
      <c r="AB128" s="754" t="s">
        <v>7241</v>
      </c>
      <c r="AC128" s="735">
        <v>30</v>
      </c>
      <c r="AD128" s="738" t="s">
        <v>3143</v>
      </c>
      <c r="AE128" s="689"/>
      <c r="AF128" s="494" t="s">
        <v>2917</v>
      </c>
      <c r="AJ128" s="756">
        <f>_xll.GetCtData("COAMOUNT","CONSAMOUNT",$B$1:$B$7,$B128,AJ$8,"#-849518,735599009")</f>
        <v>-849518</v>
      </c>
    </row>
    <row r="129" spans="1:36" ht="12" customHeight="1">
      <c r="A129" s="718" t="s">
        <v>2879</v>
      </c>
      <c r="B129" s="718" t="s">
        <v>2631</v>
      </c>
      <c r="C129" s="453" t="s">
        <v>7242</v>
      </c>
      <c r="D129" s="731" t="s">
        <v>6609</v>
      </c>
      <c r="E129" s="655">
        <v>44035</v>
      </c>
      <c r="F129" s="732" t="s">
        <v>2912</v>
      </c>
      <c r="G129" s="732">
        <v>4</v>
      </c>
      <c r="H129" s="732" t="s">
        <v>6610</v>
      </c>
      <c r="I129" s="733" t="s">
        <v>6610</v>
      </c>
      <c r="J129" s="733" t="s">
        <v>6610</v>
      </c>
      <c r="K129" s="733" t="s">
        <v>6610</v>
      </c>
      <c r="L129" s="764" t="s">
        <v>7242</v>
      </c>
      <c r="M129" s="764" t="s">
        <v>6610</v>
      </c>
      <c r="N129" s="764" t="s">
        <v>6610</v>
      </c>
      <c r="O129" s="765"/>
      <c r="P129" s="735">
        <v>0</v>
      </c>
      <c r="Q129" s="766" t="s">
        <v>7243</v>
      </c>
      <c r="R129" s="735">
        <v>40</v>
      </c>
      <c r="S129" s="767" t="s">
        <v>7243</v>
      </c>
      <c r="T129" s="735">
        <v>40</v>
      </c>
      <c r="U129" s="766" t="s">
        <v>7244</v>
      </c>
      <c r="V129" s="735">
        <v>16</v>
      </c>
      <c r="W129" s="766" t="s">
        <v>2915</v>
      </c>
      <c r="X129" s="766" t="s">
        <v>7245</v>
      </c>
      <c r="Y129" s="738">
        <v>35</v>
      </c>
      <c r="Z129" s="767" t="s">
        <v>7245</v>
      </c>
      <c r="AA129" s="735">
        <v>35</v>
      </c>
      <c r="AB129" s="766" t="s">
        <v>7246</v>
      </c>
      <c r="AC129" s="735">
        <v>28</v>
      </c>
      <c r="AD129" s="738" t="s">
        <v>3143</v>
      </c>
      <c r="AE129" s="689"/>
      <c r="AF129" s="494" t="s">
        <v>2917</v>
      </c>
      <c r="AJ129" s="768">
        <f>_xll.GetCtData("COAMOUNT","CONSAMOUNT",$B$1:$B$7,$B129,AJ$8,"#8658,59966907341")</f>
        <v>8658</v>
      </c>
    </row>
    <row r="130" spans="1:36" ht="12" customHeight="1">
      <c r="A130" s="718" t="s">
        <v>2879</v>
      </c>
      <c r="B130" s="718" t="s">
        <v>7247</v>
      </c>
      <c r="C130" s="453" t="s">
        <v>7248</v>
      </c>
      <c r="D130" s="731" t="s">
        <v>6609</v>
      </c>
      <c r="E130" s="655">
        <v>44035</v>
      </c>
      <c r="F130" s="732" t="s">
        <v>2912</v>
      </c>
      <c r="G130" s="732">
        <v>5</v>
      </c>
      <c r="H130" s="732" t="s">
        <v>6610</v>
      </c>
      <c r="I130" s="733" t="s">
        <v>6610</v>
      </c>
      <c r="J130" s="733" t="s">
        <v>6610</v>
      </c>
      <c r="K130" s="733" t="s">
        <v>6610</v>
      </c>
      <c r="L130" s="733" t="s">
        <v>6610</v>
      </c>
      <c r="M130" s="769" t="s">
        <v>7248</v>
      </c>
      <c r="N130" s="769" t="s">
        <v>6610</v>
      </c>
      <c r="O130" s="770"/>
      <c r="P130" s="735">
        <v>0</v>
      </c>
      <c r="Q130" s="771" t="s">
        <v>7249</v>
      </c>
      <c r="R130" s="735">
        <v>43</v>
      </c>
      <c r="S130" s="772" t="s">
        <v>7249</v>
      </c>
      <c r="T130" s="735">
        <v>43</v>
      </c>
      <c r="U130" s="771" t="s">
        <v>7250</v>
      </c>
      <c r="V130" s="735">
        <v>15</v>
      </c>
      <c r="W130" s="771" t="s">
        <v>2915</v>
      </c>
      <c r="X130" s="771" t="s">
        <v>7251</v>
      </c>
      <c r="Y130" s="738">
        <v>46</v>
      </c>
      <c r="Z130" s="772" t="s">
        <v>7251</v>
      </c>
      <c r="AA130" s="735">
        <v>46</v>
      </c>
      <c r="AB130" s="771" t="s">
        <v>7252</v>
      </c>
      <c r="AC130" s="735">
        <v>30</v>
      </c>
      <c r="AD130" s="738" t="s">
        <v>3143</v>
      </c>
      <c r="AE130" s="689"/>
      <c r="AF130" s="494" t="s">
        <v>2917</v>
      </c>
      <c r="AJ130" s="773">
        <f>_xll.GetCtData("COAMOUNT","CONSAMOUNT",$B$1:$B$7,$B130,AJ$8,"#7436,04965778867")</f>
        <v>7436</v>
      </c>
    </row>
    <row r="131" spans="1:36" ht="12" customHeight="1">
      <c r="A131" s="718" t="s">
        <v>2879</v>
      </c>
      <c r="B131" s="718" t="s">
        <v>7253</v>
      </c>
      <c r="C131" s="453" t="s">
        <v>7254</v>
      </c>
      <c r="D131" s="731" t="s">
        <v>6609</v>
      </c>
      <c r="E131" s="655">
        <v>44035</v>
      </c>
      <c r="F131" s="732" t="s">
        <v>2912</v>
      </c>
      <c r="G131" s="732">
        <v>6</v>
      </c>
      <c r="H131" s="732" t="s">
        <v>6610</v>
      </c>
      <c r="I131" s="733" t="s">
        <v>6610</v>
      </c>
      <c r="J131" s="733" t="s">
        <v>6610</v>
      </c>
      <c r="K131" s="733" t="s">
        <v>6610</v>
      </c>
      <c r="L131" s="733" t="s">
        <v>6610</v>
      </c>
      <c r="M131" s="733" t="s">
        <v>6610</v>
      </c>
      <c r="N131" s="774" t="s">
        <v>7254</v>
      </c>
      <c r="O131" s="775"/>
      <c r="P131" s="735">
        <v>0</v>
      </c>
      <c r="Q131" s="776" t="s">
        <v>6654</v>
      </c>
      <c r="R131" s="735">
        <v>60</v>
      </c>
      <c r="S131" s="777" t="s">
        <v>6654</v>
      </c>
      <c r="T131" s="735">
        <v>60</v>
      </c>
      <c r="U131" s="776" t="s">
        <v>6655</v>
      </c>
      <c r="V131" s="735">
        <v>28</v>
      </c>
      <c r="W131" s="776" t="s">
        <v>2915</v>
      </c>
      <c r="X131" s="776" t="s">
        <v>6656</v>
      </c>
      <c r="Y131" s="738">
        <v>43</v>
      </c>
      <c r="Z131" s="777" t="s">
        <v>6656</v>
      </c>
      <c r="AA131" s="735">
        <v>43</v>
      </c>
      <c r="AB131" s="776" t="s">
        <v>6657</v>
      </c>
      <c r="AC131" s="735">
        <v>29</v>
      </c>
      <c r="AD131" s="738" t="s">
        <v>3143</v>
      </c>
      <c r="AE131" s="689"/>
      <c r="AF131" s="494" t="s">
        <v>2917</v>
      </c>
      <c r="AJ131" s="778">
        <f>_xll.GetCtData("COAMOUNT","CONSAMOUNT",$B$1:$B$7,$B131,AJ$8,"#1215,27798938209")</f>
        <v>1215</v>
      </c>
    </row>
    <row r="132" spans="1:36" ht="12" customHeight="1">
      <c r="A132" s="718" t="s">
        <v>2879</v>
      </c>
      <c r="B132" s="718" t="s">
        <v>1323</v>
      </c>
      <c r="C132" s="453" t="s">
        <v>7255</v>
      </c>
      <c r="D132" s="731" t="s">
        <v>6609</v>
      </c>
      <c r="E132" s="655">
        <v>44035</v>
      </c>
      <c r="F132" s="732" t="s">
        <v>5409</v>
      </c>
      <c r="G132" s="732">
        <v>7</v>
      </c>
      <c r="H132" s="732" t="s">
        <v>6610</v>
      </c>
      <c r="I132" s="733" t="s">
        <v>6610</v>
      </c>
      <c r="J132" s="733" t="s">
        <v>6610</v>
      </c>
      <c r="K132" s="733" t="s">
        <v>6610</v>
      </c>
      <c r="L132" s="733" t="s">
        <v>6610</v>
      </c>
      <c r="M132" s="733" t="s">
        <v>6610</v>
      </c>
      <c r="N132" s="733" t="s">
        <v>6610</v>
      </c>
      <c r="O132" s="757" t="s">
        <v>7255</v>
      </c>
      <c r="P132" s="735">
        <v>10</v>
      </c>
      <c r="Q132" s="805" t="s">
        <v>7256</v>
      </c>
      <c r="R132" s="735">
        <v>101</v>
      </c>
      <c r="S132" s="806" t="s">
        <v>7256</v>
      </c>
      <c r="T132" s="735">
        <v>101</v>
      </c>
      <c r="U132" s="805" t="s">
        <v>7257</v>
      </c>
      <c r="V132" s="735">
        <v>30</v>
      </c>
      <c r="W132" s="758" t="s">
        <v>2915</v>
      </c>
      <c r="X132" s="805" t="s">
        <v>7258</v>
      </c>
      <c r="Y132" s="738">
        <v>92</v>
      </c>
      <c r="Z132" s="806" t="s">
        <v>7258</v>
      </c>
      <c r="AA132" s="735">
        <v>92</v>
      </c>
      <c r="AB132" s="805" t="s">
        <v>7259</v>
      </c>
      <c r="AC132" s="735">
        <v>28</v>
      </c>
      <c r="AD132" s="738" t="s">
        <v>3143</v>
      </c>
      <c r="AE132" s="689"/>
      <c r="AF132" s="494" t="s">
        <v>2917</v>
      </c>
      <c r="AJ132" s="807">
        <f>_xll.GetCtData("COAMOUNT","CONSAMOUNT",$B$1:$B$7,$B132,AJ$8,"#3594,9568409579")</f>
        <v>3594</v>
      </c>
    </row>
    <row r="133" spans="1:36" ht="12" customHeight="1">
      <c r="A133" s="718" t="s">
        <v>2879</v>
      </c>
      <c r="B133" s="718" t="s">
        <v>7260</v>
      </c>
      <c r="C133" s="453" t="s">
        <v>7261</v>
      </c>
      <c r="D133" s="731" t="s">
        <v>6609</v>
      </c>
      <c r="E133" s="655">
        <v>44035</v>
      </c>
      <c r="F133" s="732" t="s">
        <v>5409</v>
      </c>
      <c r="G133" s="732">
        <v>7</v>
      </c>
      <c r="H133" s="732" t="s">
        <v>6610</v>
      </c>
      <c r="I133" s="733" t="s">
        <v>6610</v>
      </c>
      <c r="J133" s="733" t="s">
        <v>6610</v>
      </c>
      <c r="K133" s="733" t="s">
        <v>6610</v>
      </c>
      <c r="L133" s="733" t="s">
        <v>6610</v>
      </c>
      <c r="M133" s="733" t="s">
        <v>6610</v>
      </c>
      <c r="N133" s="733" t="s">
        <v>6610</v>
      </c>
      <c r="O133" s="757" t="s">
        <v>7261</v>
      </c>
      <c r="P133" s="735">
        <v>10</v>
      </c>
      <c r="Q133" s="805" t="s">
        <v>7262</v>
      </c>
      <c r="R133" s="735">
        <v>91</v>
      </c>
      <c r="S133" s="806" t="s">
        <v>7262</v>
      </c>
      <c r="T133" s="735">
        <v>91</v>
      </c>
      <c r="U133" s="805" t="s">
        <v>7263</v>
      </c>
      <c r="V133" s="735">
        <v>30</v>
      </c>
      <c r="W133" s="758" t="s">
        <v>2915</v>
      </c>
      <c r="X133" s="805" t="s">
        <v>7264</v>
      </c>
      <c r="Y133" s="738">
        <v>83</v>
      </c>
      <c r="Z133" s="806" t="s">
        <v>7264</v>
      </c>
      <c r="AA133" s="735">
        <v>83</v>
      </c>
      <c r="AB133" s="805" t="s">
        <v>7265</v>
      </c>
      <c r="AC133" s="735">
        <v>29</v>
      </c>
      <c r="AD133" s="738" t="s">
        <v>3143</v>
      </c>
      <c r="AE133" s="689"/>
      <c r="AF133" s="494" t="s">
        <v>2917</v>
      </c>
      <c r="AJ133" s="807">
        <f>_xll.GetCtData("COAMOUNT","CONSAMOUNT",$B$1:$B$7,$B133,AJ$8,"#-2379,67885157581")</f>
        <v>-2379</v>
      </c>
    </row>
    <row r="134" spans="1:36" ht="12" customHeight="1">
      <c r="A134" s="718" t="s">
        <v>2879</v>
      </c>
      <c r="B134" s="718" t="s">
        <v>7266</v>
      </c>
      <c r="C134" s="453" t="s">
        <v>7267</v>
      </c>
      <c r="D134" s="731" t="s">
        <v>6609</v>
      </c>
      <c r="E134" s="655">
        <v>44035</v>
      </c>
      <c r="F134" s="732" t="s">
        <v>2912</v>
      </c>
      <c r="G134" s="732">
        <v>6</v>
      </c>
      <c r="H134" s="732" t="s">
        <v>6610</v>
      </c>
      <c r="I134" s="733" t="s">
        <v>6610</v>
      </c>
      <c r="J134" s="733" t="s">
        <v>6610</v>
      </c>
      <c r="K134" s="733" t="s">
        <v>6610</v>
      </c>
      <c r="L134" s="733" t="s">
        <v>6610</v>
      </c>
      <c r="M134" s="733" t="s">
        <v>6610</v>
      </c>
      <c r="N134" s="774" t="s">
        <v>7267</v>
      </c>
      <c r="O134" s="775"/>
      <c r="P134" s="735">
        <v>0</v>
      </c>
      <c r="Q134" s="776" t="s">
        <v>6671</v>
      </c>
      <c r="R134" s="735">
        <v>67</v>
      </c>
      <c r="S134" s="777" t="s">
        <v>6671</v>
      </c>
      <c r="T134" s="735">
        <v>67</v>
      </c>
      <c r="U134" s="776" t="s">
        <v>7268</v>
      </c>
      <c r="V134" s="735">
        <v>27</v>
      </c>
      <c r="W134" s="776" t="s">
        <v>2915</v>
      </c>
      <c r="X134" s="776" t="s">
        <v>7269</v>
      </c>
      <c r="Y134" s="738">
        <v>32</v>
      </c>
      <c r="Z134" s="777" t="s">
        <v>7269</v>
      </c>
      <c r="AA134" s="735">
        <v>32</v>
      </c>
      <c r="AB134" s="776" t="s">
        <v>7270</v>
      </c>
      <c r="AC134" s="735">
        <v>30</v>
      </c>
      <c r="AD134" s="738" t="s">
        <v>3143</v>
      </c>
      <c r="AE134" s="689"/>
      <c r="AF134" s="779" t="s">
        <v>2721</v>
      </c>
      <c r="AJ134" s="778">
        <f>_xll.GetCtData("COAMOUNT","CONSAMOUNT",$B$1:$B$7,$B134,AJ$8,"#6274,67166890411")</f>
        <v>6274</v>
      </c>
    </row>
    <row r="135" spans="1:36" ht="12" customHeight="1">
      <c r="A135" s="718" t="s">
        <v>2879</v>
      </c>
      <c r="B135" s="718" t="s">
        <v>1324</v>
      </c>
      <c r="C135" s="453" t="s">
        <v>7271</v>
      </c>
      <c r="D135" s="731" t="s">
        <v>6609</v>
      </c>
      <c r="E135" s="655">
        <v>44035</v>
      </c>
      <c r="F135" s="732" t="s">
        <v>5409</v>
      </c>
      <c r="G135" s="732">
        <v>7</v>
      </c>
      <c r="H135" s="732" t="s">
        <v>6610</v>
      </c>
      <c r="I135" s="733" t="s">
        <v>6610</v>
      </c>
      <c r="J135" s="733" t="s">
        <v>6610</v>
      </c>
      <c r="K135" s="733" t="s">
        <v>6610</v>
      </c>
      <c r="L135" s="733" t="s">
        <v>6610</v>
      </c>
      <c r="M135" s="733" t="s">
        <v>6610</v>
      </c>
      <c r="N135" s="733" t="s">
        <v>6610</v>
      </c>
      <c r="O135" s="808" t="s">
        <v>7271</v>
      </c>
      <c r="P135" s="735">
        <v>10</v>
      </c>
      <c r="Q135" s="758" t="s">
        <v>7272</v>
      </c>
      <c r="R135" s="735">
        <v>108</v>
      </c>
      <c r="S135" s="759" t="s">
        <v>7272</v>
      </c>
      <c r="T135" s="735">
        <v>108</v>
      </c>
      <c r="U135" s="758" t="s">
        <v>7273</v>
      </c>
      <c r="V135" s="735">
        <v>30</v>
      </c>
      <c r="W135" s="758" t="s">
        <v>2915</v>
      </c>
      <c r="X135" s="758" t="s">
        <v>7274</v>
      </c>
      <c r="Y135" s="738">
        <v>108</v>
      </c>
      <c r="Z135" s="759" t="s">
        <v>7274</v>
      </c>
      <c r="AA135" s="735">
        <v>108</v>
      </c>
      <c r="AB135" s="758" t="s">
        <v>7275</v>
      </c>
      <c r="AC135" s="735">
        <v>30</v>
      </c>
      <c r="AD135" s="738" t="s">
        <v>3143</v>
      </c>
      <c r="AE135" s="689"/>
      <c r="AF135" s="779" t="s">
        <v>2721</v>
      </c>
      <c r="AJ135" s="760">
        <f>_xll.GetCtData("COAMOUNT","CONSAMOUNT",$B$1:$B$7,$B135,AJ$8,"#11856,7532828543")</f>
        <v>11856</v>
      </c>
    </row>
    <row r="136" spans="1:36" ht="12" customHeight="1">
      <c r="A136" s="718" t="s">
        <v>2879</v>
      </c>
      <c r="B136" s="718" t="s">
        <v>7276</v>
      </c>
      <c r="C136" s="453" t="s">
        <v>7277</v>
      </c>
      <c r="D136" s="731" t="s">
        <v>6609</v>
      </c>
      <c r="E136" s="655">
        <v>44035</v>
      </c>
      <c r="F136" s="732" t="s">
        <v>5409</v>
      </c>
      <c r="G136" s="732">
        <v>7</v>
      </c>
      <c r="H136" s="732" t="s">
        <v>6610</v>
      </c>
      <c r="I136" s="733" t="s">
        <v>6610</v>
      </c>
      <c r="J136" s="733" t="s">
        <v>6610</v>
      </c>
      <c r="K136" s="733" t="s">
        <v>6610</v>
      </c>
      <c r="L136" s="733" t="s">
        <v>6610</v>
      </c>
      <c r="M136" s="733" t="s">
        <v>6610</v>
      </c>
      <c r="N136" s="733" t="s">
        <v>6610</v>
      </c>
      <c r="O136" s="808" t="s">
        <v>7277</v>
      </c>
      <c r="P136" s="735">
        <v>10</v>
      </c>
      <c r="Q136" s="758" t="s">
        <v>7278</v>
      </c>
      <c r="R136" s="735">
        <v>98</v>
      </c>
      <c r="S136" s="759" t="s">
        <v>7278</v>
      </c>
      <c r="T136" s="735">
        <v>98</v>
      </c>
      <c r="U136" s="758" t="s">
        <v>7279</v>
      </c>
      <c r="V136" s="735">
        <v>30</v>
      </c>
      <c r="W136" s="758" t="s">
        <v>2915</v>
      </c>
      <c r="X136" s="758" t="s">
        <v>7280</v>
      </c>
      <c r="Y136" s="738">
        <v>99</v>
      </c>
      <c r="Z136" s="759" t="s">
        <v>7280</v>
      </c>
      <c r="AA136" s="735">
        <v>99</v>
      </c>
      <c r="AB136" s="758" t="s">
        <v>7281</v>
      </c>
      <c r="AC136" s="735">
        <v>30</v>
      </c>
      <c r="AD136" s="738" t="s">
        <v>3143</v>
      </c>
      <c r="AE136" s="689" t="s">
        <v>5930</v>
      </c>
      <c r="AF136" s="779" t="s">
        <v>2721</v>
      </c>
      <c r="AJ136" s="760">
        <f>_xll.GetCtData("COAMOUNT","CONSAMOUNT",$B$1:$B$7,$B136,AJ$8,"#-5582,08161395023")</f>
        <v>-5582</v>
      </c>
    </row>
    <row r="137" spans="1:36" ht="12" customHeight="1">
      <c r="A137" s="718" t="s">
        <v>2879</v>
      </c>
      <c r="B137" s="718" t="s">
        <v>7282</v>
      </c>
      <c r="C137" s="453" t="s">
        <v>7283</v>
      </c>
      <c r="D137" s="731" t="s">
        <v>6609</v>
      </c>
      <c r="E137" s="655">
        <v>44035</v>
      </c>
      <c r="F137" s="732" t="s">
        <v>2912</v>
      </c>
      <c r="G137" s="732">
        <v>6</v>
      </c>
      <c r="H137" s="732" t="s">
        <v>6610</v>
      </c>
      <c r="I137" s="733" t="s">
        <v>6610</v>
      </c>
      <c r="J137" s="733" t="s">
        <v>6610</v>
      </c>
      <c r="K137" s="733" t="s">
        <v>6610</v>
      </c>
      <c r="L137" s="733" t="s">
        <v>6610</v>
      </c>
      <c r="M137" s="733" t="s">
        <v>6610</v>
      </c>
      <c r="N137" s="774" t="s">
        <v>7283</v>
      </c>
      <c r="O137" s="775"/>
      <c r="P137" s="735">
        <v>0</v>
      </c>
      <c r="Q137" s="776" t="s">
        <v>6688</v>
      </c>
      <c r="R137" s="735">
        <v>63</v>
      </c>
      <c r="S137" s="777" t="s">
        <v>6688</v>
      </c>
      <c r="T137" s="735">
        <v>63</v>
      </c>
      <c r="U137" s="776" t="s">
        <v>7284</v>
      </c>
      <c r="V137" s="735">
        <v>25</v>
      </c>
      <c r="W137" s="776" t="s">
        <v>2915</v>
      </c>
      <c r="X137" s="776" t="s">
        <v>7285</v>
      </c>
      <c r="Y137" s="738">
        <v>90</v>
      </c>
      <c r="Z137" s="777" t="s">
        <v>7285</v>
      </c>
      <c r="AA137" s="735">
        <v>90</v>
      </c>
      <c r="AB137" s="776" t="s">
        <v>7286</v>
      </c>
      <c r="AC137" s="735">
        <v>30</v>
      </c>
      <c r="AD137" s="738" t="s">
        <v>3143</v>
      </c>
      <c r="AE137" s="689" t="s">
        <v>5930</v>
      </c>
      <c r="AF137" s="530" t="s">
        <v>2969</v>
      </c>
      <c r="AJ137" s="778">
        <f>_xll.GetCtData("COAMOUNT","CONSAMOUNT",$B$1:$B$7,$B137,AJ$8,"#-53,9000004975235")</f>
        <v>-53</v>
      </c>
    </row>
    <row r="138" spans="1:36" ht="12" customHeight="1">
      <c r="A138" s="718" t="s">
        <v>2879</v>
      </c>
      <c r="B138" s="718" t="s">
        <v>1325</v>
      </c>
      <c r="C138" s="453" t="s">
        <v>7287</v>
      </c>
      <c r="D138" s="731" t="s">
        <v>6609</v>
      </c>
      <c r="E138" s="655">
        <v>44035</v>
      </c>
      <c r="F138" s="732" t="s">
        <v>5409</v>
      </c>
      <c r="G138" s="732">
        <v>7</v>
      </c>
      <c r="H138" s="732" t="s">
        <v>6610</v>
      </c>
      <c r="I138" s="733" t="s">
        <v>6610</v>
      </c>
      <c r="J138" s="733" t="s">
        <v>6610</v>
      </c>
      <c r="K138" s="733" t="s">
        <v>6610</v>
      </c>
      <c r="L138" s="733" t="s">
        <v>6610</v>
      </c>
      <c r="M138" s="733" t="s">
        <v>6610</v>
      </c>
      <c r="N138" s="733" t="s">
        <v>6610</v>
      </c>
      <c r="O138" s="757" t="s">
        <v>7287</v>
      </c>
      <c r="P138" s="735">
        <v>10</v>
      </c>
      <c r="Q138" s="758" t="s">
        <v>7288</v>
      </c>
      <c r="R138" s="735">
        <v>104</v>
      </c>
      <c r="S138" s="759" t="s">
        <v>7288</v>
      </c>
      <c r="T138" s="735">
        <v>104</v>
      </c>
      <c r="U138" s="758" t="s">
        <v>7289</v>
      </c>
      <c r="V138" s="735">
        <v>30</v>
      </c>
      <c r="W138" s="758" t="s">
        <v>2915</v>
      </c>
      <c r="X138" s="758" t="s">
        <v>7290</v>
      </c>
      <c r="Y138" s="738">
        <v>104</v>
      </c>
      <c r="Z138" s="759" t="s">
        <v>7290</v>
      </c>
      <c r="AA138" s="735">
        <v>104</v>
      </c>
      <c r="AB138" s="758" t="s">
        <v>7291</v>
      </c>
      <c r="AC138" s="735">
        <v>30</v>
      </c>
      <c r="AD138" s="738" t="s">
        <v>3143</v>
      </c>
      <c r="AE138" s="689"/>
      <c r="AF138" s="530" t="s">
        <v>2969</v>
      </c>
      <c r="AJ138" s="760">
        <f>_xll.GetCtData("COAMOUNT","CONSAMOUNT",$B$1:$B$7,$B138,AJ$8,"#-72,0300006648723")</f>
        <v>-72</v>
      </c>
    </row>
    <row r="139" spans="1:36" ht="12" customHeight="1">
      <c r="A139" s="718" t="s">
        <v>2879</v>
      </c>
      <c r="B139" s="718" t="s">
        <v>7292</v>
      </c>
      <c r="C139" s="453" t="s">
        <v>7293</v>
      </c>
      <c r="D139" s="731" t="s">
        <v>6609</v>
      </c>
      <c r="E139" s="655">
        <v>44035</v>
      </c>
      <c r="F139" s="732" t="s">
        <v>5409</v>
      </c>
      <c r="G139" s="732">
        <v>7</v>
      </c>
      <c r="H139" s="732" t="s">
        <v>6610</v>
      </c>
      <c r="I139" s="733" t="s">
        <v>6610</v>
      </c>
      <c r="J139" s="733" t="s">
        <v>6610</v>
      </c>
      <c r="K139" s="733" t="s">
        <v>6610</v>
      </c>
      <c r="L139" s="733" t="s">
        <v>6610</v>
      </c>
      <c r="M139" s="733" t="s">
        <v>6610</v>
      </c>
      <c r="N139" s="733" t="s">
        <v>6610</v>
      </c>
      <c r="O139" s="757" t="s">
        <v>7293</v>
      </c>
      <c r="P139" s="735">
        <v>10</v>
      </c>
      <c r="Q139" s="758" t="s">
        <v>7294</v>
      </c>
      <c r="R139" s="735">
        <v>94</v>
      </c>
      <c r="S139" s="759" t="s">
        <v>7294</v>
      </c>
      <c r="T139" s="735">
        <v>94</v>
      </c>
      <c r="U139" s="758" t="s">
        <v>7295</v>
      </c>
      <c r="V139" s="735">
        <v>30</v>
      </c>
      <c r="W139" s="758" t="s">
        <v>2915</v>
      </c>
      <c r="X139" s="758" t="s">
        <v>7296</v>
      </c>
      <c r="Y139" s="738">
        <v>95</v>
      </c>
      <c r="Z139" s="759" t="s">
        <v>7296</v>
      </c>
      <c r="AA139" s="735">
        <v>95</v>
      </c>
      <c r="AB139" s="758" t="s">
        <v>7297</v>
      </c>
      <c r="AC139" s="735">
        <v>30</v>
      </c>
      <c r="AD139" s="738" t="s">
        <v>3143</v>
      </c>
      <c r="AE139" s="689" t="s">
        <v>5930</v>
      </c>
      <c r="AF139" s="530" t="s">
        <v>2969</v>
      </c>
      <c r="AJ139" s="760">
        <f>_xll.GetCtData("COAMOUNT","CONSAMOUNT",$B$1:$B$7,$B139,AJ$8,"#18,1300001673488")</f>
        <v>18</v>
      </c>
    </row>
    <row r="140" spans="1:36" ht="12" customHeight="1">
      <c r="A140" s="718" t="s">
        <v>2879</v>
      </c>
      <c r="B140" s="718" t="s">
        <v>7298</v>
      </c>
      <c r="C140" s="453" t="s">
        <v>7299</v>
      </c>
      <c r="D140" s="731" t="s">
        <v>6609</v>
      </c>
      <c r="E140" s="655">
        <v>44035</v>
      </c>
      <c r="F140" s="732" t="s">
        <v>2912</v>
      </c>
      <c r="G140" s="732">
        <v>6</v>
      </c>
      <c r="H140" s="732" t="s">
        <v>6610</v>
      </c>
      <c r="I140" s="733" t="s">
        <v>6610</v>
      </c>
      <c r="J140" s="733" t="s">
        <v>6610</v>
      </c>
      <c r="K140" s="733" t="s">
        <v>6610</v>
      </c>
      <c r="L140" s="733" t="s">
        <v>6610</v>
      </c>
      <c r="M140" s="733" t="s">
        <v>6610</v>
      </c>
      <c r="N140" s="774" t="s">
        <v>7299</v>
      </c>
      <c r="O140" s="775"/>
      <c r="P140" s="735">
        <v>0</v>
      </c>
      <c r="Q140" s="776" t="s">
        <v>6705</v>
      </c>
      <c r="R140" s="735">
        <v>45</v>
      </c>
      <c r="S140" s="777" t="s">
        <v>6705</v>
      </c>
      <c r="T140" s="735">
        <v>45</v>
      </c>
      <c r="U140" s="776" t="s">
        <v>6706</v>
      </c>
      <c r="V140" s="735">
        <v>28</v>
      </c>
      <c r="W140" s="776" t="s">
        <v>2915</v>
      </c>
      <c r="X140" s="776" t="s">
        <v>6707</v>
      </c>
      <c r="Y140" s="738">
        <v>45</v>
      </c>
      <c r="Z140" s="777" t="s">
        <v>6707</v>
      </c>
      <c r="AA140" s="735">
        <v>45</v>
      </c>
      <c r="AB140" s="776" t="s">
        <v>6708</v>
      </c>
      <c r="AC140" s="735">
        <v>28</v>
      </c>
      <c r="AD140" s="738" t="s">
        <v>3143</v>
      </c>
      <c r="AE140" s="689" t="s">
        <v>5930</v>
      </c>
      <c r="AF140" s="494" t="s">
        <v>2917</v>
      </c>
      <c r="AJ140" s="778">
        <f>_xll.GetCtData("COAMOUNT","CONSAMOUNT",$B$1:$B$7,$B140,AJ$8,"#")</f>
        <v>0</v>
      </c>
    </row>
    <row r="141" spans="1:36" ht="12" customHeight="1">
      <c r="A141" s="718" t="s">
        <v>2879</v>
      </c>
      <c r="B141" s="718" t="s">
        <v>1326</v>
      </c>
      <c r="C141" s="453" t="s">
        <v>7300</v>
      </c>
      <c r="D141" s="731" t="s">
        <v>6609</v>
      </c>
      <c r="E141" s="655">
        <v>44035</v>
      </c>
      <c r="F141" s="732" t="s">
        <v>5409</v>
      </c>
      <c r="G141" s="732">
        <v>7</v>
      </c>
      <c r="H141" s="732" t="s">
        <v>6610</v>
      </c>
      <c r="I141" s="733" t="s">
        <v>6610</v>
      </c>
      <c r="J141" s="733" t="s">
        <v>6610</v>
      </c>
      <c r="K141" s="733" t="s">
        <v>6610</v>
      </c>
      <c r="L141" s="733" t="s">
        <v>6610</v>
      </c>
      <c r="M141" s="733" t="s">
        <v>6610</v>
      </c>
      <c r="N141" s="733" t="s">
        <v>6610</v>
      </c>
      <c r="O141" s="808" t="s">
        <v>7300</v>
      </c>
      <c r="P141" s="735">
        <v>10</v>
      </c>
      <c r="Q141" s="758" t="s">
        <v>7301</v>
      </c>
      <c r="R141" s="735">
        <v>86</v>
      </c>
      <c r="S141" s="759" t="s">
        <v>7301</v>
      </c>
      <c r="T141" s="735">
        <v>86</v>
      </c>
      <c r="U141" s="758" t="s">
        <v>7302</v>
      </c>
      <c r="V141" s="735">
        <v>30</v>
      </c>
      <c r="W141" s="758" t="s">
        <v>2915</v>
      </c>
      <c r="X141" s="758" t="s">
        <v>7303</v>
      </c>
      <c r="Y141" s="738">
        <v>97</v>
      </c>
      <c r="Z141" s="759" t="s">
        <v>7303</v>
      </c>
      <c r="AA141" s="735">
        <v>97</v>
      </c>
      <c r="AB141" s="758" t="s">
        <v>7304</v>
      </c>
      <c r="AC141" s="735">
        <v>30</v>
      </c>
      <c r="AD141" s="738" t="s">
        <v>3143</v>
      </c>
      <c r="AE141" s="689"/>
      <c r="AF141" s="494" t="s">
        <v>2917</v>
      </c>
      <c r="AJ141" s="760">
        <f>_xll.GetCtData("COAMOUNT","CONSAMOUNT",$B$1:$B$7,$B141,AJ$8,"#")</f>
        <v>0</v>
      </c>
    </row>
    <row r="142" spans="1:36" ht="12" customHeight="1">
      <c r="A142" s="718" t="s">
        <v>2879</v>
      </c>
      <c r="B142" s="718" t="s">
        <v>7305</v>
      </c>
      <c r="C142" s="453" t="s">
        <v>7306</v>
      </c>
      <c r="D142" s="731" t="s">
        <v>6609</v>
      </c>
      <c r="E142" s="655">
        <v>44035</v>
      </c>
      <c r="F142" s="732" t="s">
        <v>5409</v>
      </c>
      <c r="G142" s="732">
        <v>7</v>
      </c>
      <c r="H142" s="732" t="s">
        <v>6610</v>
      </c>
      <c r="I142" s="733" t="s">
        <v>6610</v>
      </c>
      <c r="J142" s="733" t="s">
        <v>6610</v>
      </c>
      <c r="K142" s="733" t="s">
        <v>6610</v>
      </c>
      <c r="L142" s="733" t="s">
        <v>6610</v>
      </c>
      <c r="M142" s="733" t="s">
        <v>6610</v>
      </c>
      <c r="N142" s="733" t="s">
        <v>6610</v>
      </c>
      <c r="O142" s="808" t="s">
        <v>7306</v>
      </c>
      <c r="P142" s="735">
        <v>10</v>
      </c>
      <c r="Q142" s="758" t="s">
        <v>7307</v>
      </c>
      <c r="R142" s="735">
        <v>76</v>
      </c>
      <c r="S142" s="759" t="s">
        <v>7307</v>
      </c>
      <c r="T142" s="735">
        <v>76</v>
      </c>
      <c r="U142" s="758" t="s">
        <v>7308</v>
      </c>
      <c r="V142" s="735">
        <v>30</v>
      </c>
      <c r="W142" s="758" t="s">
        <v>2915</v>
      </c>
      <c r="X142" s="758" t="s">
        <v>7309</v>
      </c>
      <c r="Y142" s="738">
        <v>88</v>
      </c>
      <c r="Z142" s="759" t="s">
        <v>7309</v>
      </c>
      <c r="AA142" s="735">
        <v>88</v>
      </c>
      <c r="AB142" s="758" t="s">
        <v>7310</v>
      </c>
      <c r="AC142" s="735">
        <v>30</v>
      </c>
      <c r="AD142" s="738" t="s">
        <v>3143</v>
      </c>
      <c r="AE142" s="689"/>
      <c r="AF142" s="494" t="s">
        <v>2917</v>
      </c>
      <c r="AJ142" s="760">
        <f>_xll.GetCtData("COAMOUNT","CONSAMOUNT",$B$1:$B$7,$B142,AJ$8,"#")</f>
        <v>0</v>
      </c>
    </row>
    <row r="143" spans="1:36" ht="12" customHeight="1">
      <c r="A143" s="718" t="s">
        <v>2879</v>
      </c>
      <c r="B143" s="718" t="s">
        <v>7311</v>
      </c>
      <c r="C143" s="453" t="s">
        <v>7312</v>
      </c>
      <c r="D143" s="731" t="s">
        <v>2962</v>
      </c>
      <c r="E143" s="655">
        <v>44515</v>
      </c>
      <c r="F143" s="732" t="s">
        <v>2912</v>
      </c>
      <c r="G143" s="732">
        <v>6</v>
      </c>
      <c r="H143" s="732"/>
      <c r="I143" s="733"/>
      <c r="J143" s="733"/>
      <c r="K143" s="733"/>
      <c r="L143" s="733"/>
      <c r="M143" s="733"/>
      <c r="N143" s="774" t="s">
        <v>7312</v>
      </c>
      <c r="O143" s="775"/>
      <c r="P143" s="735">
        <v>0</v>
      </c>
      <c r="Q143" s="776" t="s">
        <v>6722</v>
      </c>
      <c r="R143" s="735">
        <v>32</v>
      </c>
      <c r="S143" s="782" t="s">
        <v>6722</v>
      </c>
      <c r="T143" s="735">
        <v>32</v>
      </c>
      <c r="U143" s="782" t="s">
        <v>6723</v>
      </c>
      <c r="V143" s="735">
        <v>18</v>
      </c>
      <c r="W143" s="776" t="s">
        <v>2915</v>
      </c>
      <c r="X143" s="776" t="s">
        <v>6724</v>
      </c>
      <c r="Y143" s="738">
        <v>53</v>
      </c>
      <c r="Z143" s="777" t="s">
        <v>6724</v>
      </c>
      <c r="AA143" s="735">
        <v>53</v>
      </c>
      <c r="AB143" s="776" t="s">
        <v>6725</v>
      </c>
      <c r="AC143" s="735">
        <v>26</v>
      </c>
      <c r="AD143" s="738" t="s">
        <v>3143</v>
      </c>
      <c r="AE143" s="689" t="s">
        <v>6726</v>
      </c>
      <c r="AF143" s="530" t="s">
        <v>2969</v>
      </c>
      <c r="AJ143" s="783">
        <f>_xll.GetCtData("COAMOUNT","CONSAMOUNT",$B$1:$B$7,$B143,AJ$8,"#")</f>
        <v>0</v>
      </c>
    </row>
    <row r="144" spans="1:36" ht="12" customHeight="1">
      <c r="A144" s="718" t="s">
        <v>2879</v>
      </c>
      <c r="B144" s="718" t="s">
        <v>1327</v>
      </c>
      <c r="C144" s="453" t="s">
        <v>7313</v>
      </c>
      <c r="D144" s="731" t="s">
        <v>2962</v>
      </c>
      <c r="E144" s="655">
        <v>44515</v>
      </c>
      <c r="F144" s="732" t="s">
        <v>5409</v>
      </c>
      <c r="G144" s="732">
        <v>7</v>
      </c>
      <c r="H144" s="732"/>
      <c r="I144" s="733"/>
      <c r="J144" s="733"/>
      <c r="K144" s="733"/>
      <c r="L144" s="733"/>
      <c r="M144" s="733"/>
      <c r="N144" s="733"/>
      <c r="O144" s="808" t="s">
        <v>7313</v>
      </c>
      <c r="P144" s="735">
        <v>10</v>
      </c>
      <c r="Q144" s="758" t="s">
        <v>7314</v>
      </c>
      <c r="R144" s="735">
        <v>73</v>
      </c>
      <c r="S144" s="759" t="s">
        <v>7314</v>
      </c>
      <c r="T144" s="735">
        <v>73</v>
      </c>
      <c r="U144" s="758" t="s">
        <v>7315</v>
      </c>
      <c r="V144" s="735">
        <v>30</v>
      </c>
      <c r="W144" s="758" t="s">
        <v>2915</v>
      </c>
      <c r="X144" s="758" t="s">
        <v>7316</v>
      </c>
      <c r="Y144" s="738">
        <v>102</v>
      </c>
      <c r="Z144" s="758" t="s">
        <v>7316</v>
      </c>
      <c r="AA144" s="735">
        <v>102</v>
      </c>
      <c r="AB144" s="758" t="s">
        <v>7317</v>
      </c>
      <c r="AC144" s="735">
        <v>30</v>
      </c>
      <c r="AD144" s="738" t="s">
        <v>3143</v>
      </c>
      <c r="AE144" s="689" t="s">
        <v>6726</v>
      </c>
      <c r="AF144" s="530" t="s">
        <v>2969</v>
      </c>
      <c r="AJ144" s="760">
        <f>_xll.GetCtData("COAMOUNT","CONSAMOUNT",$B$1:$B$7,$B144,AJ$8,"#")</f>
        <v>0</v>
      </c>
    </row>
    <row r="145" spans="1:36" ht="12" customHeight="1">
      <c r="A145" s="718" t="s">
        <v>2879</v>
      </c>
      <c r="B145" s="718" t="s">
        <v>7318</v>
      </c>
      <c r="C145" s="453" t="s">
        <v>7319</v>
      </c>
      <c r="D145" s="731" t="s">
        <v>2962</v>
      </c>
      <c r="E145" s="655">
        <v>44515</v>
      </c>
      <c r="F145" s="732" t="s">
        <v>5409</v>
      </c>
      <c r="G145" s="732">
        <v>7</v>
      </c>
      <c r="H145" s="732"/>
      <c r="I145" s="733"/>
      <c r="J145" s="733"/>
      <c r="K145" s="733"/>
      <c r="L145" s="733"/>
      <c r="M145" s="733"/>
      <c r="N145" s="733"/>
      <c r="O145" s="808" t="s">
        <v>7319</v>
      </c>
      <c r="P145" s="735">
        <v>10</v>
      </c>
      <c r="Q145" s="758" t="s">
        <v>7320</v>
      </c>
      <c r="R145" s="735">
        <v>63</v>
      </c>
      <c r="S145" s="759" t="s">
        <v>7320</v>
      </c>
      <c r="T145" s="735">
        <v>63</v>
      </c>
      <c r="U145" s="758" t="s">
        <v>7321</v>
      </c>
      <c r="V145" s="735">
        <v>28</v>
      </c>
      <c r="W145" s="758" t="s">
        <v>2915</v>
      </c>
      <c r="X145" s="758" t="s">
        <v>7322</v>
      </c>
      <c r="Y145" s="738">
        <v>93</v>
      </c>
      <c r="Z145" s="758" t="s">
        <v>7322</v>
      </c>
      <c r="AA145" s="735">
        <v>93</v>
      </c>
      <c r="AB145" s="758" t="s">
        <v>7323</v>
      </c>
      <c r="AC145" s="735">
        <v>30</v>
      </c>
      <c r="AD145" s="738" t="s">
        <v>3143</v>
      </c>
      <c r="AE145" s="689" t="s">
        <v>6726</v>
      </c>
      <c r="AF145" s="530" t="s">
        <v>2969</v>
      </c>
      <c r="AJ145" s="760">
        <f>_xll.GetCtData("COAMOUNT","CONSAMOUNT",$B$1:$B$7,$B145,AJ$8,"#")</f>
        <v>0</v>
      </c>
    </row>
    <row r="146" spans="1:36" ht="12" customHeight="1">
      <c r="A146" s="718" t="s">
        <v>2879</v>
      </c>
      <c r="B146" s="718" t="s">
        <v>2632</v>
      </c>
      <c r="C146" s="453" t="s">
        <v>7324</v>
      </c>
      <c r="D146" s="731" t="s">
        <v>6609</v>
      </c>
      <c r="E146" s="655">
        <v>44035</v>
      </c>
      <c r="F146" s="732" t="s">
        <v>2912</v>
      </c>
      <c r="G146" s="732">
        <v>5</v>
      </c>
      <c r="H146" s="732" t="s">
        <v>6610</v>
      </c>
      <c r="I146" s="733" t="s">
        <v>6610</v>
      </c>
      <c r="J146" s="733" t="s">
        <v>6610</v>
      </c>
      <c r="K146" s="733" t="s">
        <v>6610</v>
      </c>
      <c r="L146" s="733" t="s">
        <v>6610</v>
      </c>
      <c r="M146" s="769" t="s">
        <v>7324</v>
      </c>
      <c r="N146" s="769" t="s">
        <v>6610</v>
      </c>
      <c r="O146" s="770"/>
      <c r="P146" s="735">
        <v>0</v>
      </c>
      <c r="Q146" s="771" t="s">
        <v>7325</v>
      </c>
      <c r="R146" s="735">
        <v>47</v>
      </c>
      <c r="S146" s="772" t="s">
        <v>7325</v>
      </c>
      <c r="T146" s="735">
        <v>47</v>
      </c>
      <c r="U146" s="771" t="s">
        <v>7326</v>
      </c>
      <c r="V146" s="735">
        <v>29</v>
      </c>
      <c r="W146" s="771" t="s">
        <v>2915</v>
      </c>
      <c r="X146" s="771" t="s">
        <v>7327</v>
      </c>
      <c r="Y146" s="738">
        <v>61</v>
      </c>
      <c r="Z146" s="772" t="s">
        <v>7327</v>
      </c>
      <c r="AA146" s="735">
        <v>61</v>
      </c>
      <c r="AB146" s="771" t="s">
        <v>7328</v>
      </c>
      <c r="AC146" s="735">
        <v>28</v>
      </c>
      <c r="AD146" s="738" t="s">
        <v>3143</v>
      </c>
      <c r="AE146" s="689"/>
      <c r="AF146" s="494" t="s">
        <v>2917</v>
      </c>
      <c r="AJ146" s="773">
        <f>_xll.GetCtData("COAMOUNT","CONSAMOUNT",$B$1:$B$7,$B146,AJ$8,"#1222,55001128474")</f>
        <v>1222</v>
      </c>
    </row>
    <row r="147" spans="1:36" ht="12" customHeight="1">
      <c r="A147" s="718" t="s">
        <v>2879</v>
      </c>
      <c r="B147" s="718" t="s">
        <v>1223</v>
      </c>
      <c r="C147" s="453" t="s">
        <v>7329</v>
      </c>
      <c r="D147" s="731" t="s">
        <v>6609</v>
      </c>
      <c r="E147" s="655">
        <v>44035</v>
      </c>
      <c r="F147" s="732" t="s">
        <v>5409</v>
      </c>
      <c r="G147" s="732">
        <v>7</v>
      </c>
      <c r="H147" s="732" t="s">
        <v>6610</v>
      </c>
      <c r="I147" s="733" t="s">
        <v>6610</v>
      </c>
      <c r="J147" s="733" t="s">
        <v>6610</v>
      </c>
      <c r="K147" s="733" t="s">
        <v>6610</v>
      </c>
      <c r="L147" s="733" t="s">
        <v>6610</v>
      </c>
      <c r="M147" s="733" t="s">
        <v>6610</v>
      </c>
      <c r="N147" s="733" t="s">
        <v>6610</v>
      </c>
      <c r="O147" s="757" t="s">
        <v>7329</v>
      </c>
      <c r="P147" s="735">
        <v>10</v>
      </c>
      <c r="Q147" s="758" t="s">
        <v>7330</v>
      </c>
      <c r="R147" s="735">
        <v>68</v>
      </c>
      <c r="S147" s="759" t="s">
        <v>7330</v>
      </c>
      <c r="T147" s="735">
        <v>68</v>
      </c>
      <c r="U147" s="758" t="s">
        <v>7331</v>
      </c>
      <c r="V147" s="735">
        <v>27</v>
      </c>
      <c r="W147" s="758" t="s">
        <v>2915</v>
      </c>
      <c r="X147" s="758" t="s">
        <v>7332</v>
      </c>
      <c r="Y147" s="738">
        <v>87</v>
      </c>
      <c r="Z147" s="759" t="s">
        <v>7332</v>
      </c>
      <c r="AA147" s="735">
        <v>87</v>
      </c>
      <c r="AB147" s="758" t="s">
        <v>7333</v>
      </c>
      <c r="AC147" s="735">
        <v>28</v>
      </c>
      <c r="AD147" s="738" t="s">
        <v>3143</v>
      </c>
      <c r="AE147" s="689"/>
      <c r="AF147" s="494" t="s">
        <v>2917</v>
      </c>
      <c r="AJ147" s="760">
        <f>_xll.GetCtData("COAMOUNT","CONSAMOUNT",$B$1:$B$7,$B147,AJ$8,"#1766,94001630973")</f>
        <v>1766</v>
      </c>
    </row>
    <row r="148" spans="1:36" ht="12" customHeight="1">
      <c r="A148" s="718" t="s">
        <v>2879</v>
      </c>
      <c r="B148" s="718" t="s">
        <v>2633</v>
      </c>
      <c r="C148" s="453" t="s">
        <v>7334</v>
      </c>
      <c r="D148" s="731" t="s">
        <v>6609</v>
      </c>
      <c r="E148" s="655">
        <v>44035</v>
      </c>
      <c r="F148" s="732" t="s">
        <v>5409</v>
      </c>
      <c r="G148" s="732">
        <v>7</v>
      </c>
      <c r="H148" s="732" t="s">
        <v>6610</v>
      </c>
      <c r="I148" s="733" t="s">
        <v>6610</v>
      </c>
      <c r="J148" s="733" t="s">
        <v>6610</v>
      </c>
      <c r="K148" s="733" t="s">
        <v>6610</v>
      </c>
      <c r="L148" s="733" t="s">
        <v>6610</v>
      </c>
      <c r="M148" s="733" t="s">
        <v>6610</v>
      </c>
      <c r="N148" s="733" t="s">
        <v>6610</v>
      </c>
      <c r="O148" s="757" t="s">
        <v>7334</v>
      </c>
      <c r="P148" s="735">
        <v>10</v>
      </c>
      <c r="Q148" s="758" t="s">
        <v>7335</v>
      </c>
      <c r="R148" s="735">
        <v>58</v>
      </c>
      <c r="S148" s="759" t="s">
        <v>7335</v>
      </c>
      <c r="T148" s="735">
        <v>58</v>
      </c>
      <c r="U148" s="758" t="s">
        <v>7336</v>
      </c>
      <c r="V148" s="735">
        <v>25</v>
      </c>
      <c r="W148" s="758" t="s">
        <v>2915</v>
      </c>
      <c r="X148" s="758" t="s">
        <v>7337</v>
      </c>
      <c r="Y148" s="738">
        <v>78</v>
      </c>
      <c r="Z148" s="759" t="s">
        <v>7337</v>
      </c>
      <c r="AA148" s="735">
        <v>78</v>
      </c>
      <c r="AB148" s="758" t="s">
        <v>7338</v>
      </c>
      <c r="AC148" s="735">
        <v>28</v>
      </c>
      <c r="AD148" s="738" t="s">
        <v>3143</v>
      </c>
      <c r="AE148" s="689"/>
      <c r="AF148" s="494" t="s">
        <v>2917</v>
      </c>
      <c r="AJ148" s="760">
        <f>_xll.GetCtData("COAMOUNT","CONSAMOUNT",$B$1:$B$7,$B148,AJ$8,"#-544,390005024987")</f>
        <v>-544</v>
      </c>
    </row>
    <row r="149" spans="1:36" ht="12" customHeight="1">
      <c r="A149" s="718" t="s">
        <v>2879</v>
      </c>
      <c r="B149" s="718" t="s">
        <v>7339</v>
      </c>
      <c r="C149" s="453" t="s">
        <v>7340</v>
      </c>
      <c r="D149" s="731" t="s">
        <v>6609</v>
      </c>
      <c r="E149" s="655">
        <v>44035</v>
      </c>
      <c r="F149" s="732" t="s">
        <v>2912</v>
      </c>
      <c r="G149" s="732">
        <v>4</v>
      </c>
      <c r="H149" s="732" t="s">
        <v>6610</v>
      </c>
      <c r="I149" s="733" t="s">
        <v>6610</v>
      </c>
      <c r="J149" s="733" t="s">
        <v>6610</v>
      </c>
      <c r="K149" s="733" t="s">
        <v>6610</v>
      </c>
      <c r="L149" s="764" t="s">
        <v>7340</v>
      </c>
      <c r="M149" s="764" t="s">
        <v>6610</v>
      </c>
      <c r="N149" s="764" t="s">
        <v>6610</v>
      </c>
      <c r="O149" s="765"/>
      <c r="P149" s="735">
        <v>0</v>
      </c>
      <c r="Q149" s="766" t="s">
        <v>7341</v>
      </c>
      <c r="R149" s="735">
        <v>44</v>
      </c>
      <c r="S149" s="767" t="s">
        <v>7341</v>
      </c>
      <c r="T149" s="735">
        <v>44</v>
      </c>
      <c r="U149" s="766" t="s">
        <v>7342</v>
      </c>
      <c r="V149" s="735">
        <v>25</v>
      </c>
      <c r="W149" s="766" t="s">
        <v>2915</v>
      </c>
      <c r="X149" s="766" t="s">
        <v>7343</v>
      </c>
      <c r="Y149" s="738">
        <v>33</v>
      </c>
      <c r="Z149" s="767" t="s">
        <v>7343</v>
      </c>
      <c r="AA149" s="735">
        <v>33</v>
      </c>
      <c r="AB149" s="766" t="s">
        <v>7344</v>
      </c>
      <c r="AC149" s="735">
        <v>21</v>
      </c>
      <c r="AD149" s="738" t="s">
        <v>3143</v>
      </c>
      <c r="AE149" s="689"/>
      <c r="AF149" s="494" t="s">
        <v>2917</v>
      </c>
      <c r="AJ149" s="768">
        <f>_xll.GetCtData("COAMOUNT","CONSAMOUNT",$B$1:$B$7,$B149,AJ$8,"#8063,3805")</f>
        <v>8063</v>
      </c>
    </row>
    <row r="150" spans="1:36" ht="12" customHeight="1">
      <c r="A150" s="718" t="s">
        <v>2879</v>
      </c>
      <c r="B150" s="718" t="s">
        <v>1217</v>
      </c>
      <c r="C150" s="453" t="s">
        <v>7345</v>
      </c>
      <c r="D150" s="731" t="s">
        <v>6609</v>
      </c>
      <c r="E150" s="655">
        <v>44035</v>
      </c>
      <c r="F150" s="732" t="s">
        <v>5409</v>
      </c>
      <c r="G150" s="732">
        <v>7</v>
      </c>
      <c r="H150" s="732" t="s">
        <v>6610</v>
      </c>
      <c r="I150" s="733" t="s">
        <v>6610</v>
      </c>
      <c r="J150" s="733" t="s">
        <v>6610</v>
      </c>
      <c r="K150" s="733" t="s">
        <v>6610</v>
      </c>
      <c r="L150" s="733" t="s">
        <v>6610</v>
      </c>
      <c r="M150" s="733" t="s">
        <v>6610</v>
      </c>
      <c r="N150" s="733" t="s">
        <v>6610</v>
      </c>
      <c r="O150" s="757" t="s">
        <v>7345</v>
      </c>
      <c r="P150" s="735">
        <v>10</v>
      </c>
      <c r="Q150" s="758" t="s">
        <v>7346</v>
      </c>
      <c r="R150" s="735">
        <v>45</v>
      </c>
      <c r="S150" s="759" t="s">
        <v>7346</v>
      </c>
      <c r="T150" s="735">
        <v>45</v>
      </c>
      <c r="U150" s="758" t="s">
        <v>7347</v>
      </c>
      <c r="V150" s="735">
        <v>25</v>
      </c>
      <c r="W150" s="758" t="s">
        <v>2915</v>
      </c>
      <c r="X150" s="758" t="s">
        <v>7348</v>
      </c>
      <c r="Y150" s="738">
        <v>46</v>
      </c>
      <c r="Z150" s="759" t="s">
        <v>7348</v>
      </c>
      <c r="AA150" s="735">
        <v>46</v>
      </c>
      <c r="AB150" s="758" t="s">
        <v>7349</v>
      </c>
      <c r="AC150" s="735">
        <v>28</v>
      </c>
      <c r="AD150" s="738" t="s">
        <v>3143</v>
      </c>
      <c r="AE150" s="689"/>
      <c r="AF150" s="494" t="s">
        <v>2917</v>
      </c>
      <c r="AJ150" s="760">
        <f>_xll.GetCtData("COAMOUNT","CONSAMOUNT",$B$1:$B$7,$B150,AJ$8,"#8063,1966")</f>
        <v>8063</v>
      </c>
    </row>
    <row r="151" spans="1:36" ht="12" customHeight="1">
      <c r="A151" s="718" t="s">
        <v>2879</v>
      </c>
      <c r="B151" s="718" t="s">
        <v>7350</v>
      </c>
      <c r="C151" s="453" t="s">
        <v>7351</v>
      </c>
      <c r="D151" s="731" t="s">
        <v>6609</v>
      </c>
      <c r="E151" s="655">
        <v>44035</v>
      </c>
      <c r="F151" s="732" t="s">
        <v>5409</v>
      </c>
      <c r="G151" s="732">
        <v>7</v>
      </c>
      <c r="H151" s="732" t="s">
        <v>6610</v>
      </c>
      <c r="I151" s="733" t="s">
        <v>6610</v>
      </c>
      <c r="J151" s="733" t="s">
        <v>6610</v>
      </c>
      <c r="K151" s="733" t="s">
        <v>6610</v>
      </c>
      <c r="L151" s="733" t="s">
        <v>6610</v>
      </c>
      <c r="M151" s="733" t="s">
        <v>6610</v>
      </c>
      <c r="N151" s="733" t="s">
        <v>6610</v>
      </c>
      <c r="O151" s="757" t="s">
        <v>7351</v>
      </c>
      <c r="P151" s="735">
        <v>10</v>
      </c>
      <c r="Q151" s="758" t="s">
        <v>7352</v>
      </c>
      <c r="R151" s="735">
        <v>36</v>
      </c>
      <c r="S151" s="759" t="s">
        <v>7352</v>
      </c>
      <c r="T151" s="735">
        <v>36</v>
      </c>
      <c r="U151" s="758" t="s">
        <v>7353</v>
      </c>
      <c r="V151" s="735">
        <v>27</v>
      </c>
      <c r="W151" s="758" t="s">
        <v>2915</v>
      </c>
      <c r="X151" s="758" t="s">
        <v>7354</v>
      </c>
      <c r="Y151" s="738">
        <v>37</v>
      </c>
      <c r="Z151" s="759" t="s">
        <v>7354</v>
      </c>
      <c r="AA151" s="735">
        <v>37</v>
      </c>
      <c r="AB151" s="758" t="s">
        <v>7355</v>
      </c>
      <c r="AC151" s="735">
        <v>23</v>
      </c>
      <c r="AD151" s="738" t="s">
        <v>3143</v>
      </c>
      <c r="AE151" s="689"/>
      <c r="AF151" s="494" t="s">
        <v>2917</v>
      </c>
      <c r="AJ151" s="760">
        <f>_xll.GetCtData("COAMOUNT","CONSAMOUNT",$B$1:$B$7,$B151,AJ$8,"#0,1839")</f>
        <v>0</v>
      </c>
    </row>
    <row r="152" spans="1:36" ht="12" customHeight="1">
      <c r="A152" s="718" t="s">
        <v>2879</v>
      </c>
      <c r="B152" s="718" t="s">
        <v>7356</v>
      </c>
      <c r="C152" s="453" t="s">
        <v>7357</v>
      </c>
      <c r="D152" s="731" t="s">
        <v>6609</v>
      </c>
      <c r="E152" s="655">
        <v>44035</v>
      </c>
      <c r="F152" s="732" t="s">
        <v>2912</v>
      </c>
      <c r="G152" s="732">
        <v>4</v>
      </c>
      <c r="H152" s="732" t="s">
        <v>6610</v>
      </c>
      <c r="I152" s="733" t="s">
        <v>6610</v>
      </c>
      <c r="J152" s="733" t="s">
        <v>6610</v>
      </c>
      <c r="K152" s="733" t="s">
        <v>6610</v>
      </c>
      <c r="L152" s="764" t="s">
        <v>7357</v>
      </c>
      <c r="M152" s="764" t="s">
        <v>6610</v>
      </c>
      <c r="N152" s="764" t="s">
        <v>6610</v>
      </c>
      <c r="O152" s="765"/>
      <c r="P152" s="735">
        <v>0</v>
      </c>
      <c r="Q152" s="767" t="s">
        <v>7358</v>
      </c>
      <c r="R152" s="735">
        <v>55</v>
      </c>
      <c r="S152" s="767" t="s">
        <v>7358</v>
      </c>
      <c r="T152" s="735">
        <v>55</v>
      </c>
      <c r="U152" s="766" t="s">
        <v>7359</v>
      </c>
      <c r="V152" s="735">
        <v>30</v>
      </c>
      <c r="W152" s="766" t="s">
        <v>2915</v>
      </c>
      <c r="X152" s="766" t="s">
        <v>7360</v>
      </c>
      <c r="Y152" s="738">
        <v>49</v>
      </c>
      <c r="Z152" s="767" t="s">
        <v>7360</v>
      </c>
      <c r="AA152" s="735">
        <v>49</v>
      </c>
      <c r="AB152" s="766" t="s">
        <v>7361</v>
      </c>
      <c r="AC152" s="735">
        <v>27</v>
      </c>
      <c r="AD152" s="738" t="s">
        <v>3143</v>
      </c>
      <c r="AE152" s="689"/>
      <c r="AF152" s="530" t="s">
        <v>2969</v>
      </c>
      <c r="AJ152" s="768">
        <f>_xll.GetCtData("COAMOUNT","CONSAMOUNT",$B$1:$B$7,$B152,AJ$8,"#-43049,8552877601")</f>
        <v>-43049</v>
      </c>
    </row>
    <row r="153" spans="1:36" ht="12" customHeight="1">
      <c r="A153" s="718" t="s">
        <v>2879</v>
      </c>
      <c r="B153" s="718" t="s">
        <v>7362</v>
      </c>
      <c r="C153" s="453" t="s">
        <v>7363</v>
      </c>
      <c r="D153" s="731" t="s">
        <v>6609</v>
      </c>
      <c r="E153" s="655">
        <v>44035</v>
      </c>
      <c r="F153" s="732" t="s">
        <v>2912</v>
      </c>
      <c r="G153" s="732">
        <v>5</v>
      </c>
      <c r="H153" s="732" t="s">
        <v>6610</v>
      </c>
      <c r="I153" s="733" t="s">
        <v>6610</v>
      </c>
      <c r="J153" s="733" t="s">
        <v>6610</v>
      </c>
      <c r="K153" s="733" t="s">
        <v>6610</v>
      </c>
      <c r="L153" s="733" t="s">
        <v>6610</v>
      </c>
      <c r="M153" s="769" t="s">
        <v>7363</v>
      </c>
      <c r="N153" s="769" t="s">
        <v>6610</v>
      </c>
      <c r="O153" s="770"/>
      <c r="P153" s="735">
        <v>0</v>
      </c>
      <c r="Q153" s="772" t="s">
        <v>7364</v>
      </c>
      <c r="R153" s="735">
        <v>76</v>
      </c>
      <c r="S153" s="772" t="s">
        <v>7364</v>
      </c>
      <c r="T153" s="735">
        <v>76</v>
      </c>
      <c r="U153" s="771" t="s">
        <v>7365</v>
      </c>
      <c r="V153" s="735">
        <v>25</v>
      </c>
      <c r="W153" s="771" t="s">
        <v>2915</v>
      </c>
      <c r="X153" s="771" t="s">
        <v>7366</v>
      </c>
      <c r="Y153" s="738">
        <v>77</v>
      </c>
      <c r="Z153" s="771" t="s">
        <v>7366</v>
      </c>
      <c r="AA153" s="735">
        <v>77</v>
      </c>
      <c r="AB153" s="771" t="s">
        <v>7367</v>
      </c>
      <c r="AC153" s="735">
        <v>28</v>
      </c>
      <c r="AD153" s="738" t="s">
        <v>3143</v>
      </c>
      <c r="AE153" s="689"/>
      <c r="AF153" s="530" t="s">
        <v>2969</v>
      </c>
      <c r="AJ153" s="773">
        <f>_xll.GetCtData("COAMOUNT","CONSAMOUNT",$B$1:$B$7,$B153,AJ$8,"#")</f>
        <v>0</v>
      </c>
    </row>
    <row r="154" spans="1:36" ht="12" customHeight="1">
      <c r="A154" s="718" t="s">
        <v>2879</v>
      </c>
      <c r="B154" s="718" t="s">
        <v>7368</v>
      </c>
      <c r="C154" s="718" t="s">
        <v>7369</v>
      </c>
      <c r="D154" s="731" t="s">
        <v>2962</v>
      </c>
      <c r="E154" s="655">
        <v>44516</v>
      </c>
      <c r="F154" s="732" t="s">
        <v>5409</v>
      </c>
      <c r="G154" s="732">
        <v>7</v>
      </c>
      <c r="H154" s="732" t="s">
        <v>6610</v>
      </c>
      <c r="I154" s="733" t="s">
        <v>6610</v>
      </c>
      <c r="J154" s="733" t="s">
        <v>6610</v>
      </c>
      <c r="K154" s="733" t="s">
        <v>6610</v>
      </c>
      <c r="L154" s="733" t="s">
        <v>6610</v>
      </c>
      <c r="M154" s="733" t="s">
        <v>6610</v>
      </c>
      <c r="N154" s="733" t="s">
        <v>6610</v>
      </c>
      <c r="O154" s="757" t="s">
        <v>7369</v>
      </c>
      <c r="P154" s="735">
        <v>10</v>
      </c>
      <c r="Q154" s="759" t="s">
        <v>7370</v>
      </c>
      <c r="R154" s="735">
        <v>153</v>
      </c>
      <c r="S154" s="759" t="s">
        <v>7371</v>
      </c>
      <c r="T154" s="735">
        <v>153</v>
      </c>
      <c r="U154" s="758" t="s">
        <v>7372</v>
      </c>
      <c r="V154" s="735">
        <v>30</v>
      </c>
      <c r="W154" s="758" t="s">
        <v>2915</v>
      </c>
      <c r="X154" s="809" t="s">
        <v>7373</v>
      </c>
      <c r="Y154" s="738">
        <v>180</v>
      </c>
      <c r="Z154" s="809" t="s">
        <v>7373</v>
      </c>
      <c r="AA154" s="735">
        <v>180</v>
      </c>
      <c r="AB154" s="758" t="s">
        <v>7374</v>
      </c>
      <c r="AC154" s="735">
        <v>29</v>
      </c>
      <c r="AD154" s="738" t="s">
        <v>3143</v>
      </c>
      <c r="AE154" s="689" t="s">
        <v>7375</v>
      </c>
      <c r="AF154" s="779" t="s">
        <v>2721</v>
      </c>
      <c r="AJ154" s="760">
        <f>_xll.GetCtData("COAMOUNT","CONSAMOUNT",$B$1:$B$7,$B154,AJ$8,"#")</f>
        <v>0</v>
      </c>
    </row>
    <row r="155" spans="1:36" ht="12" customHeight="1">
      <c r="A155" s="718" t="s">
        <v>2879</v>
      </c>
      <c r="B155" s="718" t="s">
        <v>7376</v>
      </c>
      <c r="C155" s="718" t="s">
        <v>7377</v>
      </c>
      <c r="D155" s="731" t="s">
        <v>2962</v>
      </c>
      <c r="E155" s="655">
        <v>44516</v>
      </c>
      <c r="F155" s="732" t="s">
        <v>5409</v>
      </c>
      <c r="G155" s="732">
        <v>7</v>
      </c>
      <c r="H155" s="732" t="s">
        <v>6610</v>
      </c>
      <c r="I155" s="733" t="s">
        <v>6610</v>
      </c>
      <c r="J155" s="733" t="s">
        <v>6610</v>
      </c>
      <c r="K155" s="733" t="s">
        <v>6610</v>
      </c>
      <c r="L155" s="733" t="s">
        <v>6610</v>
      </c>
      <c r="M155" s="733" t="s">
        <v>6610</v>
      </c>
      <c r="N155" s="733" t="s">
        <v>6610</v>
      </c>
      <c r="O155" s="757" t="s">
        <v>7377</v>
      </c>
      <c r="P155" s="735">
        <v>10</v>
      </c>
      <c r="Q155" s="759" t="s">
        <v>7378</v>
      </c>
      <c r="R155" s="735">
        <v>158</v>
      </c>
      <c r="S155" s="759" t="s">
        <v>7379</v>
      </c>
      <c r="T155" s="735">
        <v>158</v>
      </c>
      <c r="U155" s="758" t="s">
        <v>7380</v>
      </c>
      <c r="V155" s="735">
        <v>25</v>
      </c>
      <c r="W155" s="758" t="s">
        <v>2915</v>
      </c>
      <c r="X155" s="809" t="s">
        <v>7381</v>
      </c>
      <c r="Y155" s="738">
        <v>187</v>
      </c>
      <c r="Z155" s="809" t="s">
        <v>7381</v>
      </c>
      <c r="AA155" s="735">
        <v>187</v>
      </c>
      <c r="AB155" s="758" t="s">
        <v>7382</v>
      </c>
      <c r="AC155" s="735">
        <v>30</v>
      </c>
      <c r="AD155" s="738" t="s">
        <v>3143</v>
      </c>
      <c r="AE155" s="689" t="s">
        <v>7383</v>
      </c>
      <c r="AF155" s="779" t="s">
        <v>2721</v>
      </c>
      <c r="AJ155" s="760">
        <f>_xll.GetCtData("COAMOUNT","CONSAMOUNT",$B$1:$B$7,$B155,AJ$8,"#")</f>
        <v>0</v>
      </c>
    </row>
    <row r="156" spans="1:36" ht="12" customHeight="1">
      <c r="A156" s="718" t="s">
        <v>2879</v>
      </c>
      <c r="B156" s="718" t="s">
        <v>7384</v>
      </c>
      <c r="C156" s="453" t="s">
        <v>7385</v>
      </c>
      <c r="D156" s="731" t="s">
        <v>6609</v>
      </c>
      <c r="E156" s="655">
        <v>44035</v>
      </c>
      <c r="F156" s="732" t="s">
        <v>2912</v>
      </c>
      <c r="G156" s="732">
        <v>5</v>
      </c>
      <c r="H156" s="732" t="s">
        <v>6610</v>
      </c>
      <c r="I156" s="733" t="s">
        <v>6610</v>
      </c>
      <c r="J156" s="733" t="s">
        <v>6610</v>
      </c>
      <c r="K156" s="733" t="s">
        <v>6610</v>
      </c>
      <c r="L156" s="733" t="s">
        <v>6610</v>
      </c>
      <c r="M156" s="769" t="s">
        <v>7385</v>
      </c>
      <c r="N156" s="769" t="s">
        <v>6610</v>
      </c>
      <c r="O156" s="770"/>
      <c r="P156" s="735">
        <v>0</v>
      </c>
      <c r="Q156" s="772" t="s">
        <v>7386</v>
      </c>
      <c r="R156" s="735">
        <v>72</v>
      </c>
      <c r="S156" s="772" t="s">
        <v>7386</v>
      </c>
      <c r="T156" s="735">
        <v>72</v>
      </c>
      <c r="U156" s="771" t="s">
        <v>7387</v>
      </c>
      <c r="V156" s="735">
        <v>30</v>
      </c>
      <c r="W156" s="771" t="s">
        <v>2915</v>
      </c>
      <c r="X156" s="771" t="s">
        <v>7388</v>
      </c>
      <c r="Y156" s="738">
        <v>71</v>
      </c>
      <c r="Z156" s="771" t="s">
        <v>7388</v>
      </c>
      <c r="AA156" s="735">
        <v>71</v>
      </c>
      <c r="AB156" s="771" t="s">
        <v>7389</v>
      </c>
      <c r="AC156" s="735">
        <v>27</v>
      </c>
      <c r="AD156" s="738" t="s">
        <v>3143</v>
      </c>
      <c r="AE156" s="689"/>
      <c r="AF156" s="530" t="s">
        <v>2969</v>
      </c>
      <c r="AJ156" s="773">
        <f>_xll.GetCtData("COAMOUNT","CONSAMOUNT",$B$1:$B$7,$B156,AJ$8,"#-26079,1951311125")</f>
        <v>-26079</v>
      </c>
    </row>
    <row r="157" spans="1:36" ht="12" customHeight="1">
      <c r="A157" s="718" t="s">
        <v>2879</v>
      </c>
      <c r="B157" s="718" t="s">
        <v>7390</v>
      </c>
      <c r="C157" s="718" t="s">
        <v>7391</v>
      </c>
      <c r="D157" s="731" t="s">
        <v>2962</v>
      </c>
      <c r="E157" s="655">
        <v>44516</v>
      </c>
      <c r="F157" s="732" t="s">
        <v>5409</v>
      </c>
      <c r="G157" s="732">
        <v>7</v>
      </c>
      <c r="H157" s="732" t="s">
        <v>6610</v>
      </c>
      <c r="I157" s="733" t="s">
        <v>6610</v>
      </c>
      <c r="J157" s="733" t="s">
        <v>6610</v>
      </c>
      <c r="K157" s="733" t="s">
        <v>6610</v>
      </c>
      <c r="L157" s="733" t="s">
        <v>6610</v>
      </c>
      <c r="M157" s="733" t="s">
        <v>6610</v>
      </c>
      <c r="N157" s="733" t="s">
        <v>6610</v>
      </c>
      <c r="O157" s="757" t="s">
        <v>7391</v>
      </c>
      <c r="P157" s="735">
        <v>10</v>
      </c>
      <c r="Q157" s="759" t="s">
        <v>7392</v>
      </c>
      <c r="R157" s="735">
        <v>143</v>
      </c>
      <c r="S157" s="759" t="s">
        <v>7393</v>
      </c>
      <c r="T157" s="735">
        <v>143</v>
      </c>
      <c r="U157" s="758" t="s">
        <v>7394</v>
      </c>
      <c r="V157" s="735">
        <v>28</v>
      </c>
      <c r="W157" s="758" t="s">
        <v>2915</v>
      </c>
      <c r="X157" s="809" t="s">
        <v>7395</v>
      </c>
      <c r="Y157" s="738">
        <v>116</v>
      </c>
      <c r="Z157" s="809" t="s">
        <v>7395</v>
      </c>
      <c r="AA157" s="735">
        <v>116</v>
      </c>
      <c r="AB157" s="758" t="s">
        <v>7396</v>
      </c>
      <c r="AC157" s="735">
        <v>29</v>
      </c>
      <c r="AD157" s="738" t="s">
        <v>3143</v>
      </c>
      <c r="AE157" s="689" t="s">
        <v>7397</v>
      </c>
      <c r="AF157" s="530" t="s">
        <v>2969</v>
      </c>
      <c r="AJ157" s="760">
        <f>_xll.GetCtData("COAMOUNT","CONSAMOUNT",$B$1:$B$7,$B157,AJ$8,"#-34207,3409656484")</f>
        <v>-34207</v>
      </c>
    </row>
    <row r="158" spans="1:36" ht="12" customHeight="1">
      <c r="A158" s="718" t="s">
        <v>2879</v>
      </c>
      <c r="B158" s="718" t="s">
        <v>7398</v>
      </c>
      <c r="C158" s="718" t="s">
        <v>7399</v>
      </c>
      <c r="D158" s="731" t="s">
        <v>2962</v>
      </c>
      <c r="E158" s="655">
        <v>44516</v>
      </c>
      <c r="F158" s="732" t="s">
        <v>5409</v>
      </c>
      <c r="G158" s="732">
        <v>7</v>
      </c>
      <c r="H158" s="732" t="s">
        <v>6610</v>
      </c>
      <c r="I158" s="733" t="s">
        <v>6610</v>
      </c>
      <c r="J158" s="733" t="s">
        <v>6610</v>
      </c>
      <c r="K158" s="733" t="s">
        <v>6610</v>
      </c>
      <c r="L158" s="733" t="s">
        <v>6610</v>
      </c>
      <c r="M158" s="733" t="s">
        <v>6610</v>
      </c>
      <c r="N158" s="733" t="s">
        <v>6610</v>
      </c>
      <c r="O158" s="757" t="s">
        <v>7399</v>
      </c>
      <c r="P158" s="735">
        <v>10</v>
      </c>
      <c r="Q158" s="759" t="s">
        <v>7400</v>
      </c>
      <c r="R158" s="735">
        <v>146</v>
      </c>
      <c r="S158" s="759" t="s">
        <v>7401</v>
      </c>
      <c r="T158" s="735">
        <v>146</v>
      </c>
      <c r="U158" s="758" t="s">
        <v>7402</v>
      </c>
      <c r="V158" s="735">
        <v>33</v>
      </c>
      <c r="W158" s="758" t="s">
        <v>2915</v>
      </c>
      <c r="X158" s="809" t="s">
        <v>7403</v>
      </c>
      <c r="Y158" s="738">
        <v>121</v>
      </c>
      <c r="Z158" s="809" t="s">
        <v>7403</v>
      </c>
      <c r="AA158" s="735">
        <v>121</v>
      </c>
      <c r="AB158" s="758" t="s">
        <v>7404</v>
      </c>
      <c r="AC158" s="735">
        <v>30</v>
      </c>
      <c r="AD158" s="738" t="s">
        <v>3143</v>
      </c>
      <c r="AE158" s="689" t="s">
        <v>7405</v>
      </c>
      <c r="AF158" s="530" t="s">
        <v>2969</v>
      </c>
      <c r="AJ158" s="760">
        <f>_xll.GetCtData("COAMOUNT","CONSAMOUNT",$B$1:$B$7,$B158,AJ$8,"#8128,14583453586")</f>
        <v>8128</v>
      </c>
    </row>
    <row r="159" spans="1:36" ht="12" customHeight="1">
      <c r="A159" s="718" t="s">
        <v>2879</v>
      </c>
      <c r="B159" s="718" t="s">
        <v>7406</v>
      </c>
      <c r="C159" s="453" t="s">
        <v>7407</v>
      </c>
      <c r="D159" s="731" t="s">
        <v>6609</v>
      </c>
      <c r="E159" s="655">
        <v>44035</v>
      </c>
      <c r="F159" s="732" t="s">
        <v>2912</v>
      </c>
      <c r="G159" s="732">
        <v>5</v>
      </c>
      <c r="H159" s="732" t="s">
        <v>6610</v>
      </c>
      <c r="I159" s="733" t="s">
        <v>6610</v>
      </c>
      <c r="J159" s="733" t="s">
        <v>6610</v>
      </c>
      <c r="K159" s="733" t="s">
        <v>6610</v>
      </c>
      <c r="L159" s="733" t="s">
        <v>6610</v>
      </c>
      <c r="M159" s="769" t="s">
        <v>7407</v>
      </c>
      <c r="N159" s="769" t="s">
        <v>6610</v>
      </c>
      <c r="O159" s="770"/>
      <c r="P159" s="735">
        <v>0</v>
      </c>
      <c r="Q159" s="772" t="s">
        <v>7408</v>
      </c>
      <c r="R159" s="735">
        <v>72</v>
      </c>
      <c r="S159" s="772" t="s">
        <v>7408</v>
      </c>
      <c r="T159" s="735">
        <v>72</v>
      </c>
      <c r="U159" s="771" t="s">
        <v>7409</v>
      </c>
      <c r="V159" s="735">
        <v>30</v>
      </c>
      <c r="W159" s="771" t="s">
        <v>2915</v>
      </c>
      <c r="X159" s="771" t="s">
        <v>7410</v>
      </c>
      <c r="Y159" s="738">
        <v>73</v>
      </c>
      <c r="Z159" s="771" t="s">
        <v>7410</v>
      </c>
      <c r="AA159" s="735">
        <v>73</v>
      </c>
      <c r="AB159" s="771" t="s">
        <v>7411</v>
      </c>
      <c r="AC159" s="735">
        <v>27</v>
      </c>
      <c r="AD159" s="738" t="s">
        <v>3143</v>
      </c>
      <c r="AE159" s="689"/>
      <c r="AF159" s="530" t="s">
        <v>2969</v>
      </c>
      <c r="AJ159" s="773">
        <f>_xll.GetCtData("COAMOUNT","CONSAMOUNT",$B$1:$B$7,$B159,AJ$8,"#")</f>
        <v>0</v>
      </c>
    </row>
    <row r="160" spans="1:36" ht="12" customHeight="1">
      <c r="A160" s="718" t="s">
        <v>2879</v>
      </c>
      <c r="B160" s="718" t="s">
        <v>7412</v>
      </c>
      <c r="C160" s="718" t="s">
        <v>7413</v>
      </c>
      <c r="D160" s="731" t="s">
        <v>2962</v>
      </c>
      <c r="E160" s="655">
        <v>44516</v>
      </c>
      <c r="F160" s="732" t="s">
        <v>5409</v>
      </c>
      <c r="G160" s="732">
        <v>7</v>
      </c>
      <c r="H160" s="732" t="s">
        <v>6610</v>
      </c>
      <c r="I160" s="733" t="s">
        <v>6610</v>
      </c>
      <c r="J160" s="733" t="s">
        <v>6610</v>
      </c>
      <c r="K160" s="733" t="s">
        <v>6610</v>
      </c>
      <c r="L160" s="733" t="s">
        <v>6610</v>
      </c>
      <c r="M160" s="733" t="s">
        <v>6610</v>
      </c>
      <c r="N160" s="733" t="s">
        <v>6610</v>
      </c>
      <c r="O160" s="757" t="s">
        <v>7413</v>
      </c>
      <c r="P160" s="735">
        <v>10</v>
      </c>
      <c r="Q160" s="759" t="s">
        <v>7414</v>
      </c>
      <c r="R160" s="735">
        <v>142</v>
      </c>
      <c r="S160" s="759" t="s">
        <v>7415</v>
      </c>
      <c r="T160" s="735">
        <v>142</v>
      </c>
      <c r="U160" s="758" t="s">
        <v>7416</v>
      </c>
      <c r="V160" s="735">
        <v>28</v>
      </c>
      <c r="W160" s="758" t="s">
        <v>2915</v>
      </c>
      <c r="X160" s="809" t="s">
        <v>7417</v>
      </c>
      <c r="Y160" s="738">
        <v>116</v>
      </c>
      <c r="Z160" s="809" t="s">
        <v>7417</v>
      </c>
      <c r="AA160" s="735">
        <v>116</v>
      </c>
      <c r="AB160" s="758" t="s">
        <v>7418</v>
      </c>
      <c r="AC160" s="735">
        <v>29</v>
      </c>
      <c r="AD160" s="738" t="s">
        <v>3143</v>
      </c>
      <c r="AE160" s="689" t="s">
        <v>7397</v>
      </c>
      <c r="AF160" s="530" t="s">
        <v>2969</v>
      </c>
      <c r="AJ160" s="760">
        <f>_xll.GetCtData("COAMOUNT","CONSAMOUNT",$B$1:$B$7,$B160,AJ$8,"#")</f>
        <v>0</v>
      </c>
    </row>
    <row r="161" spans="1:36" ht="12" customHeight="1">
      <c r="A161" s="718" t="s">
        <v>2879</v>
      </c>
      <c r="B161" s="718" t="s">
        <v>7419</v>
      </c>
      <c r="C161" s="718" t="s">
        <v>7420</v>
      </c>
      <c r="D161" s="731" t="s">
        <v>2962</v>
      </c>
      <c r="E161" s="655">
        <v>44516</v>
      </c>
      <c r="F161" s="732" t="s">
        <v>5409</v>
      </c>
      <c r="G161" s="732">
        <v>7</v>
      </c>
      <c r="H161" s="732" t="s">
        <v>6610</v>
      </c>
      <c r="I161" s="733" t="s">
        <v>6610</v>
      </c>
      <c r="J161" s="733" t="s">
        <v>6610</v>
      </c>
      <c r="K161" s="733" t="s">
        <v>6610</v>
      </c>
      <c r="L161" s="733" t="s">
        <v>6610</v>
      </c>
      <c r="M161" s="733" t="s">
        <v>6610</v>
      </c>
      <c r="N161" s="733" t="s">
        <v>6610</v>
      </c>
      <c r="O161" s="757" t="s">
        <v>7420</v>
      </c>
      <c r="P161" s="735">
        <v>10</v>
      </c>
      <c r="Q161" s="759" t="s">
        <v>7421</v>
      </c>
      <c r="R161" s="735">
        <v>147</v>
      </c>
      <c r="S161" s="759" t="s">
        <v>7422</v>
      </c>
      <c r="T161" s="735">
        <v>147</v>
      </c>
      <c r="U161" s="758" t="s">
        <v>7423</v>
      </c>
      <c r="V161" s="735">
        <v>30</v>
      </c>
      <c r="W161" s="758" t="s">
        <v>2915</v>
      </c>
      <c r="X161" s="809" t="s">
        <v>7424</v>
      </c>
      <c r="Y161" s="738">
        <v>119</v>
      </c>
      <c r="Z161" s="809" t="s">
        <v>7424</v>
      </c>
      <c r="AA161" s="735">
        <v>119</v>
      </c>
      <c r="AB161" s="758" t="s">
        <v>7425</v>
      </c>
      <c r="AC161" s="735">
        <v>30</v>
      </c>
      <c r="AD161" s="738" t="s">
        <v>3143</v>
      </c>
      <c r="AE161" s="689" t="s">
        <v>7426</v>
      </c>
      <c r="AF161" s="530" t="s">
        <v>2969</v>
      </c>
      <c r="AJ161" s="760">
        <f>_xll.GetCtData("COAMOUNT","CONSAMOUNT",$B$1:$B$7,$B161,AJ$8,"#")</f>
        <v>0</v>
      </c>
    </row>
    <row r="162" spans="1:36" ht="12" customHeight="1">
      <c r="A162" s="718" t="s">
        <v>2879</v>
      </c>
      <c r="B162" s="718" t="s">
        <v>7427</v>
      </c>
      <c r="C162" s="718" t="s">
        <v>7428</v>
      </c>
      <c r="D162" s="731" t="s">
        <v>2962</v>
      </c>
      <c r="E162" s="655">
        <v>44515</v>
      </c>
      <c r="F162" s="732" t="s">
        <v>2912</v>
      </c>
      <c r="G162" s="732">
        <v>5</v>
      </c>
      <c r="H162" s="732" t="s">
        <v>6610</v>
      </c>
      <c r="I162" s="733" t="s">
        <v>6610</v>
      </c>
      <c r="J162" s="733" t="s">
        <v>6610</v>
      </c>
      <c r="K162" s="733" t="s">
        <v>6610</v>
      </c>
      <c r="L162" s="733" t="s">
        <v>6610</v>
      </c>
      <c r="M162" s="769" t="s">
        <v>7428</v>
      </c>
      <c r="N162" s="769" t="s">
        <v>6610</v>
      </c>
      <c r="O162" s="770"/>
      <c r="P162" s="735">
        <v>0</v>
      </c>
      <c r="Q162" s="772" t="s">
        <v>7429</v>
      </c>
      <c r="R162" s="735">
        <v>72</v>
      </c>
      <c r="S162" s="772" t="s">
        <v>7429</v>
      </c>
      <c r="T162" s="735">
        <v>72</v>
      </c>
      <c r="U162" s="771" t="s">
        <v>7430</v>
      </c>
      <c r="V162" s="735">
        <v>30</v>
      </c>
      <c r="W162" s="771" t="s">
        <v>2915</v>
      </c>
      <c r="X162" s="771" t="s">
        <v>7431</v>
      </c>
      <c r="Y162" s="738">
        <v>71</v>
      </c>
      <c r="Z162" s="771" t="s">
        <v>7431</v>
      </c>
      <c r="AA162" s="735">
        <v>71</v>
      </c>
      <c r="AB162" s="771" t="s">
        <v>7432</v>
      </c>
      <c r="AC162" s="735">
        <v>27</v>
      </c>
      <c r="AD162" s="738" t="s">
        <v>3143</v>
      </c>
      <c r="AE162" s="689" t="s">
        <v>6867</v>
      </c>
      <c r="AF162" s="530" t="s">
        <v>2969</v>
      </c>
      <c r="AJ162" s="773">
        <f>_xll.GetCtData("COAMOUNT","CONSAMOUNT",$B$1:$B$7,$B162,AJ$8,"#-16970,6601566475")</f>
        <v>-16970</v>
      </c>
    </row>
    <row r="163" spans="1:36" ht="12" customHeight="1">
      <c r="A163" s="718" t="s">
        <v>2879</v>
      </c>
      <c r="B163" s="718" t="s">
        <v>7433</v>
      </c>
      <c r="C163" s="718" t="s">
        <v>7434</v>
      </c>
      <c r="D163" s="731" t="s">
        <v>2962</v>
      </c>
      <c r="E163" s="655">
        <v>44515</v>
      </c>
      <c r="F163" s="732" t="s">
        <v>5409</v>
      </c>
      <c r="G163" s="732">
        <v>7</v>
      </c>
      <c r="H163" s="732" t="s">
        <v>6610</v>
      </c>
      <c r="I163" s="733" t="s">
        <v>6610</v>
      </c>
      <c r="J163" s="733" t="s">
        <v>6610</v>
      </c>
      <c r="K163" s="733" t="s">
        <v>6610</v>
      </c>
      <c r="L163" s="733" t="s">
        <v>6610</v>
      </c>
      <c r="M163" s="733" t="s">
        <v>6610</v>
      </c>
      <c r="N163" s="733" t="s">
        <v>6610</v>
      </c>
      <c r="O163" s="757" t="s">
        <v>7434</v>
      </c>
      <c r="P163" s="735">
        <v>10</v>
      </c>
      <c r="Q163" s="759" t="s">
        <v>7435</v>
      </c>
      <c r="R163" s="735">
        <v>135</v>
      </c>
      <c r="S163" s="759" t="s">
        <v>7436</v>
      </c>
      <c r="T163" s="735">
        <v>135</v>
      </c>
      <c r="U163" s="758" t="s">
        <v>7437</v>
      </c>
      <c r="V163" s="735">
        <v>34</v>
      </c>
      <c r="W163" s="758" t="s">
        <v>2915</v>
      </c>
      <c r="X163" s="809" t="s">
        <v>7438</v>
      </c>
      <c r="Y163" s="738">
        <v>73</v>
      </c>
      <c r="Z163" s="809" t="s">
        <v>7439</v>
      </c>
      <c r="AA163" s="735">
        <v>97</v>
      </c>
      <c r="AB163" s="758" t="s">
        <v>7374</v>
      </c>
      <c r="AC163" s="735">
        <v>29</v>
      </c>
      <c r="AD163" s="738" t="s">
        <v>3143</v>
      </c>
      <c r="AE163" s="689" t="s">
        <v>7440</v>
      </c>
      <c r="AF163" s="530" t="s">
        <v>2969</v>
      </c>
      <c r="AJ163" s="760">
        <f>_xll.GetCtData("COAMOUNT","CONSAMOUNT",$B$1:$B$7,$B163,AJ$8,"#-35619,0803287816")</f>
        <v>-35619</v>
      </c>
    </row>
    <row r="164" spans="1:36" ht="12" customHeight="1">
      <c r="A164" s="718" t="s">
        <v>2879</v>
      </c>
      <c r="B164" s="718" t="s">
        <v>7441</v>
      </c>
      <c r="C164" s="718" t="s">
        <v>7442</v>
      </c>
      <c r="D164" s="731" t="s">
        <v>2962</v>
      </c>
      <c r="E164" s="655">
        <v>44515</v>
      </c>
      <c r="F164" s="732" t="s">
        <v>5409</v>
      </c>
      <c r="G164" s="732">
        <v>7</v>
      </c>
      <c r="H164" s="732" t="s">
        <v>6610</v>
      </c>
      <c r="I164" s="733" t="s">
        <v>6610</v>
      </c>
      <c r="J164" s="733" t="s">
        <v>6610</v>
      </c>
      <c r="K164" s="733" t="s">
        <v>6610</v>
      </c>
      <c r="L164" s="733" t="s">
        <v>6610</v>
      </c>
      <c r="M164" s="733" t="s">
        <v>6610</v>
      </c>
      <c r="N164" s="733" t="s">
        <v>6610</v>
      </c>
      <c r="O164" s="757" t="s">
        <v>7442</v>
      </c>
      <c r="P164" s="735">
        <v>10</v>
      </c>
      <c r="Q164" s="759" t="s">
        <v>7443</v>
      </c>
      <c r="R164" s="735">
        <v>142</v>
      </c>
      <c r="S164" s="759" t="s">
        <v>7444</v>
      </c>
      <c r="T164" s="735">
        <v>142</v>
      </c>
      <c r="U164" s="758" t="s">
        <v>7445</v>
      </c>
      <c r="V164" s="735">
        <v>36</v>
      </c>
      <c r="W164" s="758" t="s">
        <v>2915</v>
      </c>
      <c r="X164" s="809" t="s">
        <v>7446</v>
      </c>
      <c r="Y164" s="738">
        <v>78</v>
      </c>
      <c r="Z164" s="809" t="s">
        <v>7447</v>
      </c>
      <c r="AA164" s="735">
        <v>103</v>
      </c>
      <c r="AB164" s="758" t="s">
        <v>7382</v>
      </c>
      <c r="AC164" s="735">
        <v>30</v>
      </c>
      <c r="AD164" s="738" t="s">
        <v>3143</v>
      </c>
      <c r="AE164" s="689" t="s">
        <v>7448</v>
      </c>
      <c r="AF164" s="530" t="s">
        <v>2969</v>
      </c>
      <c r="AJ164" s="760">
        <f>_xll.GetCtData("COAMOUNT","CONSAMOUNT",$B$1:$B$7,$B164,AJ$8,"#18648,4201721341")</f>
        <v>18648</v>
      </c>
    </row>
    <row r="165" spans="1:36" ht="12" customHeight="1">
      <c r="A165" s="718" t="s">
        <v>2879</v>
      </c>
      <c r="B165" s="718" t="s">
        <v>7449</v>
      </c>
      <c r="C165" s="453" t="s">
        <v>7450</v>
      </c>
      <c r="D165" s="731" t="s">
        <v>6609</v>
      </c>
      <c r="E165" s="655">
        <v>44035</v>
      </c>
      <c r="F165" s="732" t="s">
        <v>2912</v>
      </c>
      <c r="G165" s="732">
        <v>4</v>
      </c>
      <c r="H165" s="732" t="s">
        <v>6610</v>
      </c>
      <c r="I165" s="733" t="s">
        <v>6610</v>
      </c>
      <c r="J165" s="733" t="s">
        <v>6610</v>
      </c>
      <c r="K165" s="733" t="s">
        <v>6610</v>
      </c>
      <c r="L165" s="764" t="s">
        <v>7450</v>
      </c>
      <c r="M165" s="764" t="s">
        <v>6610</v>
      </c>
      <c r="N165" s="764" t="s">
        <v>6610</v>
      </c>
      <c r="O165" s="765"/>
      <c r="P165" s="735">
        <v>0</v>
      </c>
      <c r="Q165" s="767" t="s">
        <v>7451</v>
      </c>
      <c r="R165" s="735">
        <v>58</v>
      </c>
      <c r="S165" s="767" t="s">
        <v>7451</v>
      </c>
      <c r="T165" s="735">
        <v>58</v>
      </c>
      <c r="U165" s="766" t="s">
        <v>7452</v>
      </c>
      <c r="V165" s="735">
        <v>25</v>
      </c>
      <c r="W165" s="766" t="s">
        <v>2915</v>
      </c>
      <c r="X165" s="766" t="s">
        <v>7453</v>
      </c>
      <c r="Y165" s="738">
        <v>51</v>
      </c>
      <c r="Z165" s="767" t="s">
        <v>7453</v>
      </c>
      <c r="AA165" s="735">
        <v>51</v>
      </c>
      <c r="AB165" s="766" t="s">
        <v>7454</v>
      </c>
      <c r="AC165" s="735">
        <v>30</v>
      </c>
      <c r="AD165" s="738" t="s">
        <v>3143</v>
      </c>
      <c r="AE165" s="689"/>
      <c r="AF165" s="530" t="s">
        <v>2969</v>
      </c>
      <c r="AJ165" s="768">
        <f>_xll.GetCtData("COAMOUNT","CONSAMOUNT",$B$1:$B$7,$B165,AJ$8,"#-1421,49001312105")</f>
        <v>-1421</v>
      </c>
    </row>
    <row r="166" spans="1:36" ht="12" customHeight="1">
      <c r="A166" s="718" t="s">
        <v>2879</v>
      </c>
      <c r="B166" s="718" t="s">
        <v>7455</v>
      </c>
      <c r="C166" s="453" t="s">
        <v>7456</v>
      </c>
      <c r="D166" s="731" t="s">
        <v>6609</v>
      </c>
      <c r="E166" s="655">
        <v>44035</v>
      </c>
      <c r="F166" s="732" t="s">
        <v>2912</v>
      </c>
      <c r="G166" s="732">
        <v>5</v>
      </c>
      <c r="H166" s="732" t="s">
        <v>6610</v>
      </c>
      <c r="I166" s="733" t="s">
        <v>6610</v>
      </c>
      <c r="J166" s="733" t="s">
        <v>6610</v>
      </c>
      <c r="K166" s="733" t="s">
        <v>6610</v>
      </c>
      <c r="L166" s="733" t="s">
        <v>6610</v>
      </c>
      <c r="M166" s="769" t="s">
        <v>7456</v>
      </c>
      <c r="N166" s="769" t="s">
        <v>6610</v>
      </c>
      <c r="O166" s="770"/>
      <c r="P166" s="735">
        <v>0</v>
      </c>
      <c r="Q166" s="772" t="s">
        <v>7457</v>
      </c>
      <c r="R166" s="735">
        <v>79</v>
      </c>
      <c r="S166" s="772" t="s">
        <v>7457</v>
      </c>
      <c r="T166" s="735">
        <v>79</v>
      </c>
      <c r="U166" s="771" t="s">
        <v>7458</v>
      </c>
      <c r="V166" s="735">
        <v>25</v>
      </c>
      <c r="W166" s="771" t="s">
        <v>2915</v>
      </c>
      <c r="X166" s="771" t="s">
        <v>7459</v>
      </c>
      <c r="Y166" s="738">
        <v>79</v>
      </c>
      <c r="Z166" s="772" t="s">
        <v>7459</v>
      </c>
      <c r="AA166" s="735">
        <v>79</v>
      </c>
      <c r="AB166" s="771" t="s">
        <v>7460</v>
      </c>
      <c r="AC166" s="735">
        <v>30</v>
      </c>
      <c r="AD166" s="738" t="s">
        <v>3143</v>
      </c>
      <c r="AE166" s="689"/>
      <c r="AF166" s="530" t="s">
        <v>2969</v>
      </c>
      <c r="AJ166" s="773">
        <f>_xll.GetCtData("COAMOUNT","CONSAMOUNT",$B$1:$B$7,$B166,AJ$8,"#")</f>
        <v>0</v>
      </c>
    </row>
    <row r="167" spans="1:36" ht="12" customHeight="1">
      <c r="A167" s="718" t="s">
        <v>2879</v>
      </c>
      <c r="B167" s="718" t="s">
        <v>7461</v>
      </c>
      <c r="C167" s="718" t="s">
        <v>7462</v>
      </c>
      <c r="D167" s="731" t="s">
        <v>2962</v>
      </c>
      <c r="E167" s="655">
        <v>44516</v>
      </c>
      <c r="F167" s="732" t="s">
        <v>5409</v>
      </c>
      <c r="G167" s="732">
        <v>7</v>
      </c>
      <c r="H167" s="732" t="s">
        <v>6610</v>
      </c>
      <c r="I167" s="733" t="s">
        <v>6610</v>
      </c>
      <c r="J167" s="733" t="s">
        <v>6610</v>
      </c>
      <c r="K167" s="733" t="s">
        <v>6610</v>
      </c>
      <c r="L167" s="733" t="s">
        <v>6610</v>
      </c>
      <c r="M167" s="733" t="s">
        <v>6610</v>
      </c>
      <c r="N167" s="733" t="s">
        <v>6610</v>
      </c>
      <c r="O167" s="757" t="s">
        <v>7462</v>
      </c>
      <c r="P167" s="735">
        <v>10</v>
      </c>
      <c r="Q167" s="759" t="s">
        <v>7463</v>
      </c>
      <c r="R167" s="735">
        <v>155</v>
      </c>
      <c r="S167" s="759" t="s">
        <v>7464</v>
      </c>
      <c r="T167" s="735">
        <v>155</v>
      </c>
      <c r="U167" s="758" t="s">
        <v>7465</v>
      </c>
      <c r="V167" s="735">
        <v>30</v>
      </c>
      <c r="W167" s="758" t="s">
        <v>2915</v>
      </c>
      <c r="X167" s="758" t="s">
        <v>7466</v>
      </c>
      <c r="Y167" s="738">
        <v>122</v>
      </c>
      <c r="Z167" s="758" t="s">
        <v>7466</v>
      </c>
      <c r="AA167" s="735">
        <v>122</v>
      </c>
      <c r="AB167" s="758" t="s">
        <v>7467</v>
      </c>
      <c r="AC167" s="735">
        <v>28</v>
      </c>
      <c r="AD167" s="738" t="s">
        <v>3143</v>
      </c>
      <c r="AE167" s="689" t="s">
        <v>7468</v>
      </c>
      <c r="AF167" s="779" t="s">
        <v>2721</v>
      </c>
      <c r="AJ167" s="760">
        <f>_xll.GetCtData("COAMOUNT","CONSAMOUNT",$B$1:$B$7,$B167,AJ$8,"#")</f>
        <v>0</v>
      </c>
    </row>
    <row r="168" spans="1:36" ht="12" customHeight="1">
      <c r="A168" s="718" t="s">
        <v>2879</v>
      </c>
      <c r="B168" s="718" t="s">
        <v>7469</v>
      </c>
      <c r="C168" s="718" t="s">
        <v>7470</v>
      </c>
      <c r="D168" s="731" t="s">
        <v>2962</v>
      </c>
      <c r="E168" s="655">
        <v>44516</v>
      </c>
      <c r="F168" s="732" t="s">
        <v>5409</v>
      </c>
      <c r="G168" s="732">
        <v>7</v>
      </c>
      <c r="H168" s="732" t="s">
        <v>6610</v>
      </c>
      <c r="I168" s="733" t="s">
        <v>6610</v>
      </c>
      <c r="J168" s="733" t="s">
        <v>6610</v>
      </c>
      <c r="K168" s="733" t="s">
        <v>6610</v>
      </c>
      <c r="L168" s="733" t="s">
        <v>6610</v>
      </c>
      <c r="M168" s="733" t="s">
        <v>6610</v>
      </c>
      <c r="N168" s="733" t="s">
        <v>6610</v>
      </c>
      <c r="O168" s="757" t="s">
        <v>7470</v>
      </c>
      <c r="P168" s="735">
        <v>10</v>
      </c>
      <c r="Q168" s="759" t="s">
        <v>7471</v>
      </c>
      <c r="R168" s="735">
        <v>161</v>
      </c>
      <c r="S168" s="759" t="s">
        <v>7472</v>
      </c>
      <c r="T168" s="735">
        <v>161</v>
      </c>
      <c r="U168" s="758" t="s">
        <v>7473</v>
      </c>
      <c r="V168" s="735">
        <v>27</v>
      </c>
      <c r="W168" s="758" t="s">
        <v>2915</v>
      </c>
      <c r="X168" s="758" t="s">
        <v>7474</v>
      </c>
      <c r="Y168" s="738">
        <v>125</v>
      </c>
      <c r="Z168" s="758" t="s">
        <v>7474</v>
      </c>
      <c r="AA168" s="735">
        <v>125</v>
      </c>
      <c r="AB168" s="758" t="s">
        <v>7475</v>
      </c>
      <c r="AC168" s="735">
        <v>30</v>
      </c>
      <c r="AD168" s="738" t="s">
        <v>3143</v>
      </c>
      <c r="AE168" s="689" t="s">
        <v>7476</v>
      </c>
      <c r="AF168" s="779" t="s">
        <v>2721</v>
      </c>
      <c r="AJ168" s="760">
        <f>_xll.GetCtData("COAMOUNT","CONSAMOUNT",$B$1:$B$7,$B168,AJ$8,"#")</f>
        <v>0</v>
      </c>
    </row>
    <row r="169" spans="1:36" ht="12" customHeight="1">
      <c r="A169" s="718" t="s">
        <v>2879</v>
      </c>
      <c r="B169" s="718" t="s">
        <v>7477</v>
      </c>
      <c r="C169" s="453" t="s">
        <v>7478</v>
      </c>
      <c r="D169" s="731" t="s">
        <v>6609</v>
      </c>
      <c r="E169" s="655">
        <v>44035</v>
      </c>
      <c r="F169" s="732" t="s">
        <v>2912</v>
      </c>
      <c r="G169" s="732">
        <v>5</v>
      </c>
      <c r="H169" s="732" t="s">
        <v>6610</v>
      </c>
      <c r="I169" s="733" t="s">
        <v>6610</v>
      </c>
      <c r="J169" s="733" t="s">
        <v>6610</v>
      </c>
      <c r="K169" s="733" t="s">
        <v>6610</v>
      </c>
      <c r="L169" s="733" t="s">
        <v>6610</v>
      </c>
      <c r="M169" s="769" t="s">
        <v>7478</v>
      </c>
      <c r="N169" s="769" t="s">
        <v>6610</v>
      </c>
      <c r="O169" s="770"/>
      <c r="P169" s="735">
        <v>0</v>
      </c>
      <c r="Q169" s="772" t="s">
        <v>7479</v>
      </c>
      <c r="R169" s="735">
        <v>75</v>
      </c>
      <c r="S169" s="772" t="s">
        <v>7479</v>
      </c>
      <c r="T169" s="735">
        <v>75</v>
      </c>
      <c r="U169" s="771" t="s">
        <v>7480</v>
      </c>
      <c r="V169" s="735">
        <v>30</v>
      </c>
      <c r="W169" s="771" t="s">
        <v>2915</v>
      </c>
      <c r="X169" s="771" t="s">
        <v>7481</v>
      </c>
      <c r="Y169" s="738">
        <v>74</v>
      </c>
      <c r="Z169" s="771" t="s">
        <v>7481</v>
      </c>
      <c r="AA169" s="735">
        <v>74</v>
      </c>
      <c r="AB169" s="771" t="s">
        <v>7482</v>
      </c>
      <c r="AC169" s="735">
        <v>30</v>
      </c>
      <c r="AD169" s="738" t="s">
        <v>3143</v>
      </c>
      <c r="AE169" s="689"/>
      <c r="AF169" s="530" t="s">
        <v>2969</v>
      </c>
      <c r="AJ169" s="773">
        <f>_xll.GetCtData("COAMOUNT","CONSAMOUNT",$B$1:$B$7,$B169,AJ$8,"#-1421,49001312105")</f>
        <v>-1421</v>
      </c>
    </row>
    <row r="170" spans="1:36" ht="12" customHeight="1">
      <c r="A170" s="718" t="s">
        <v>2879</v>
      </c>
      <c r="B170" s="718" t="s">
        <v>7483</v>
      </c>
      <c r="C170" s="718" t="s">
        <v>7484</v>
      </c>
      <c r="D170" s="731" t="s">
        <v>2962</v>
      </c>
      <c r="E170" s="655">
        <v>44516</v>
      </c>
      <c r="F170" s="732" t="s">
        <v>5409</v>
      </c>
      <c r="G170" s="732">
        <v>7</v>
      </c>
      <c r="H170" s="732" t="s">
        <v>6610</v>
      </c>
      <c r="I170" s="733" t="s">
        <v>6610</v>
      </c>
      <c r="J170" s="733" t="s">
        <v>6610</v>
      </c>
      <c r="K170" s="733" t="s">
        <v>6610</v>
      </c>
      <c r="L170" s="733" t="s">
        <v>6610</v>
      </c>
      <c r="M170" s="733" t="s">
        <v>6610</v>
      </c>
      <c r="N170" s="733" t="s">
        <v>6610</v>
      </c>
      <c r="O170" s="757" t="s">
        <v>7484</v>
      </c>
      <c r="P170" s="735">
        <v>10</v>
      </c>
      <c r="Q170" s="759" t="s">
        <v>7485</v>
      </c>
      <c r="R170" s="735">
        <v>145</v>
      </c>
      <c r="S170" s="759" t="s">
        <v>7486</v>
      </c>
      <c r="T170" s="735">
        <v>145</v>
      </c>
      <c r="U170" s="758" t="s">
        <v>7394</v>
      </c>
      <c r="V170" s="735">
        <v>28</v>
      </c>
      <c r="W170" s="758" t="s">
        <v>2915</v>
      </c>
      <c r="X170" s="758" t="s">
        <v>7487</v>
      </c>
      <c r="Y170" s="738">
        <v>117</v>
      </c>
      <c r="Z170" s="758" t="s">
        <v>7487</v>
      </c>
      <c r="AA170" s="735">
        <v>117</v>
      </c>
      <c r="AB170" s="758" t="s">
        <v>7482</v>
      </c>
      <c r="AC170" s="735">
        <v>30</v>
      </c>
      <c r="AD170" s="738" t="s">
        <v>3143</v>
      </c>
      <c r="AE170" s="689" t="s">
        <v>7426</v>
      </c>
      <c r="AF170" s="530" t="s">
        <v>2969</v>
      </c>
      <c r="AJ170" s="760">
        <f>_xll.GetCtData("COAMOUNT","CONSAMOUNT",$B$1:$B$7,$B170,AJ$8,"#-2054,57001896469")</f>
        <v>-2054</v>
      </c>
    </row>
    <row r="171" spans="1:36" ht="12" customHeight="1">
      <c r="A171" s="718" t="s">
        <v>2879</v>
      </c>
      <c r="B171" s="718" t="s">
        <v>7488</v>
      </c>
      <c r="C171" s="718" t="s">
        <v>7489</v>
      </c>
      <c r="D171" s="731" t="s">
        <v>2962</v>
      </c>
      <c r="E171" s="655">
        <v>44516</v>
      </c>
      <c r="F171" s="732" t="s">
        <v>5409</v>
      </c>
      <c r="G171" s="732">
        <v>7</v>
      </c>
      <c r="H171" s="732" t="s">
        <v>6610</v>
      </c>
      <c r="I171" s="733" t="s">
        <v>6610</v>
      </c>
      <c r="J171" s="733" t="s">
        <v>6610</v>
      </c>
      <c r="K171" s="733" t="s">
        <v>6610</v>
      </c>
      <c r="L171" s="733" t="s">
        <v>6610</v>
      </c>
      <c r="M171" s="733" t="s">
        <v>6610</v>
      </c>
      <c r="N171" s="733" t="s">
        <v>6610</v>
      </c>
      <c r="O171" s="757" t="s">
        <v>7489</v>
      </c>
      <c r="P171" s="735">
        <v>10</v>
      </c>
      <c r="Q171" s="759" t="s">
        <v>7490</v>
      </c>
      <c r="R171" s="735">
        <v>150</v>
      </c>
      <c r="S171" s="759" t="s">
        <v>7491</v>
      </c>
      <c r="T171" s="735">
        <v>150</v>
      </c>
      <c r="U171" s="758" t="s">
        <v>7492</v>
      </c>
      <c r="V171" s="735">
        <v>30</v>
      </c>
      <c r="W171" s="758" t="s">
        <v>2915</v>
      </c>
      <c r="X171" s="758" t="s">
        <v>7493</v>
      </c>
      <c r="Y171" s="738">
        <v>122</v>
      </c>
      <c r="Z171" s="758" t="s">
        <v>7493</v>
      </c>
      <c r="AA171" s="735">
        <v>122</v>
      </c>
      <c r="AB171" s="758" t="s">
        <v>7494</v>
      </c>
      <c r="AC171" s="735">
        <v>30</v>
      </c>
      <c r="AD171" s="738" t="s">
        <v>3143</v>
      </c>
      <c r="AE171" s="689" t="s">
        <v>7426</v>
      </c>
      <c r="AF171" s="530" t="s">
        <v>2969</v>
      </c>
      <c r="AJ171" s="760">
        <f>_xll.GetCtData("COAMOUNT","CONSAMOUNT",$B$1:$B$7,$B171,AJ$8,"#633,08000584364")</f>
        <v>633</v>
      </c>
    </row>
    <row r="172" spans="1:36" ht="12" customHeight="1">
      <c r="A172" s="718" t="s">
        <v>2879</v>
      </c>
      <c r="B172" s="718" t="s">
        <v>7495</v>
      </c>
      <c r="C172" s="453" t="s">
        <v>7496</v>
      </c>
      <c r="D172" s="731" t="s">
        <v>6609</v>
      </c>
      <c r="E172" s="655">
        <v>44035</v>
      </c>
      <c r="F172" s="732" t="s">
        <v>2912</v>
      </c>
      <c r="G172" s="732">
        <v>5</v>
      </c>
      <c r="H172" s="732" t="s">
        <v>6610</v>
      </c>
      <c r="I172" s="733" t="s">
        <v>6610</v>
      </c>
      <c r="J172" s="733" t="s">
        <v>6610</v>
      </c>
      <c r="K172" s="733" t="s">
        <v>6610</v>
      </c>
      <c r="L172" s="733" t="s">
        <v>6610</v>
      </c>
      <c r="M172" s="769" t="s">
        <v>7496</v>
      </c>
      <c r="N172" s="769" t="s">
        <v>6610</v>
      </c>
      <c r="O172" s="770"/>
      <c r="P172" s="735">
        <v>0</v>
      </c>
      <c r="Q172" s="772" t="s">
        <v>7497</v>
      </c>
      <c r="R172" s="735">
        <v>74</v>
      </c>
      <c r="S172" s="772" t="s">
        <v>7497</v>
      </c>
      <c r="T172" s="735">
        <v>74</v>
      </c>
      <c r="U172" s="771" t="s">
        <v>7498</v>
      </c>
      <c r="V172" s="735">
        <v>29</v>
      </c>
      <c r="W172" s="771" t="s">
        <v>2915</v>
      </c>
      <c r="X172" s="771" t="s">
        <v>7499</v>
      </c>
      <c r="Y172" s="738">
        <v>74</v>
      </c>
      <c r="Z172" s="771" t="s">
        <v>7499</v>
      </c>
      <c r="AA172" s="735">
        <v>74</v>
      </c>
      <c r="AB172" s="771" t="s">
        <v>7500</v>
      </c>
      <c r="AC172" s="735">
        <v>30</v>
      </c>
      <c r="AD172" s="738" t="s">
        <v>3143</v>
      </c>
      <c r="AE172" s="689"/>
      <c r="AF172" s="530" t="s">
        <v>2969</v>
      </c>
      <c r="AJ172" s="773">
        <f>_xll.GetCtData("COAMOUNT","CONSAMOUNT",$B$1:$B$7,$B172,AJ$8,"#")</f>
        <v>0</v>
      </c>
    </row>
    <row r="173" spans="1:36" ht="12" customHeight="1">
      <c r="A173" s="718" t="s">
        <v>2879</v>
      </c>
      <c r="B173" s="718" t="s">
        <v>7501</v>
      </c>
      <c r="C173" s="718" t="s">
        <v>7502</v>
      </c>
      <c r="D173" s="731" t="s">
        <v>2962</v>
      </c>
      <c r="E173" s="655">
        <v>44516</v>
      </c>
      <c r="F173" s="732" t="s">
        <v>5409</v>
      </c>
      <c r="G173" s="732">
        <v>7</v>
      </c>
      <c r="H173" s="732" t="s">
        <v>6610</v>
      </c>
      <c r="I173" s="733" t="s">
        <v>6610</v>
      </c>
      <c r="J173" s="733" t="s">
        <v>6610</v>
      </c>
      <c r="K173" s="733" t="s">
        <v>6610</v>
      </c>
      <c r="L173" s="733" t="s">
        <v>6610</v>
      </c>
      <c r="M173" s="733" t="s">
        <v>6610</v>
      </c>
      <c r="N173" s="733" t="s">
        <v>6610</v>
      </c>
      <c r="O173" s="757" t="s">
        <v>7502</v>
      </c>
      <c r="P173" s="735">
        <v>10</v>
      </c>
      <c r="Q173" s="759" t="s">
        <v>6985</v>
      </c>
      <c r="R173" s="735">
        <v>127</v>
      </c>
      <c r="S173" s="759" t="s">
        <v>6986</v>
      </c>
      <c r="T173" s="735">
        <v>127</v>
      </c>
      <c r="U173" s="758" t="s">
        <v>7503</v>
      </c>
      <c r="V173" s="735">
        <v>34</v>
      </c>
      <c r="W173" s="758" t="s">
        <v>2915</v>
      </c>
      <c r="X173" s="758" t="s">
        <v>7504</v>
      </c>
      <c r="Y173" s="738">
        <v>118</v>
      </c>
      <c r="Z173" s="758" t="s">
        <v>7504</v>
      </c>
      <c r="AA173" s="735">
        <v>118</v>
      </c>
      <c r="AB173" s="758" t="s">
        <v>7500</v>
      </c>
      <c r="AC173" s="735">
        <v>30</v>
      </c>
      <c r="AD173" s="738" t="s">
        <v>3143</v>
      </c>
      <c r="AE173" s="689" t="s">
        <v>7426</v>
      </c>
      <c r="AF173" s="530" t="s">
        <v>2969</v>
      </c>
      <c r="AJ173" s="760">
        <f>_xll.GetCtData("COAMOUNT","CONSAMOUNT",$B$1:$B$7,$B173,AJ$8,"#")</f>
        <v>0</v>
      </c>
    </row>
    <row r="174" spans="1:36" ht="12" customHeight="1">
      <c r="A174" s="718" t="s">
        <v>2879</v>
      </c>
      <c r="B174" s="718" t="s">
        <v>7505</v>
      </c>
      <c r="C174" s="718" t="s">
        <v>7506</v>
      </c>
      <c r="D174" s="731" t="s">
        <v>2962</v>
      </c>
      <c r="E174" s="655">
        <v>44516</v>
      </c>
      <c r="F174" s="732" t="s">
        <v>5409</v>
      </c>
      <c r="G174" s="732">
        <v>7</v>
      </c>
      <c r="H174" s="732" t="s">
        <v>6610</v>
      </c>
      <c r="I174" s="733" t="s">
        <v>6610</v>
      </c>
      <c r="J174" s="733" t="s">
        <v>6610</v>
      </c>
      <c r="K174" s="733" t="s">
        <v>6610</v>
      </c>
      <c r="L174" s="733" t="s">
        <v>6610</v>
      </c>
      <c r="M174" s="733" t="s">
        <v>6610</v>
      </c>
      <c r="N174" s="733" t="s">
        <v>6610</v>
      </c>
      <c r="O174" s="757" t="s">
        <v>7506</v>
      </c>
      <c r="P174" s="735">
        <v>10</v>
      </c>
      <c r="Q174" s="759" t="s">
        <v>6992</v>
      </c>
      <c r="R174" s="735">
        <v>130</v>
      </c>
      <c r="S174" s="759" t="s">
        <v>6993</v>
      </c>
      <c r="T174" s="735">
        <v>130</v>
      </c>
      <c r="U174" s="758" t="s">
        <v>7423</v>
      </c>
      <c r="V174" s="735">
        <v>30</v>
      </c>
      <c r="W174" s="758" t="s">
        <v>2915</v>
      </c>
      <c r="X174" s="758" t="s">
        <v>7507</v>
      </c>
      <c r="Y174" s="738">
        <v>122</v>
      </c>
      <c r="Z174" s="758" t="s">
        <v>7507</v>
      </c>
      <c r="AA174" s="735">
        <v>122</v>
      </c>
      <c r="AB174" s="758" t="s">
        <v>7508</v>
      </c>
      <c r="AC174" s="735">
        <v>30</v>
      </c>
      <c r="AD174" s="738" t="s">
        <v>3143</v>
      </c>
      <c r="AE174" s="689" t="s">
        <v>7426</v>
      </c>
      <c r="AF174" s="530" t="s">
        <v>2969</v>
      </c>
      <c r="AJ174" s="760">
        <f>_xll.GetCtData("COAMOUNT","CONSAMOUNT",$B$1:$B$7,$B174,AJ$8,"#")</f>
        <v>0</v>
      </c>
    </row>
    <row r="175" spans="1:36" ht="12" customHeight="1">
      <c r="A175" s="718" t="s">
        <v>2879</v>
      </c>
      <c r="B175" s="718" t="s">
        <v>7509</v>
      </c>
      <c r="C175" s="718" t="s">
        <v>7510</v>
      </c>
      <c r="D175" s="731" t="s">
        <v>2962</v>
      </c>
      <c r="E175" s="655">
        <v>44515</v>
      </c>
      <c r="F175" s="732" t="s">
        <v>2912</v>
      </c>
      <c r="G175" s="732">
        <v>5</v>
      </c>
      <c r="H175" s="732" t="s">
        <v>6610</v>
      </c>
      <c r="I175" s="733" t="s">
        <v>6610</v>
      </c>
      <c r="J175" s="733" t="s">
        <v>6610</v>
      </c>
      <c r="K175" s="733" t="s">
        <v>6610</v>
      </c>
      <c r="L175" s="733" t="s">
        <v>6610</v>
      </c>
      <c r="M175" s="769" t="s">
        <v>7510</v>
      </c>
      <c r="N175" s="769" t="s">
        <v>6610</v>
      </c>
      <c r="O175" s="770"/>
      <c r="P175" s="735">
        <v>0</v>
      </c>
      <c r="Q175" s="772" t="s">
        <v>7511</v>
      </c>
      <c r="R175" s="735">
        <v>75</v>
      </c>
      <c r="S175" s="772" t="s">
        <v>7511</v>
      </c>
      <c r="T175" s="735">
        <v>75</v>
      </c>
      <c r="U175" s="771" t="s">
        <v>7512</v>
      </c>
      <c r="V175" s="735">
        <v>30</v>
      </c>
      <c r="W175" s="771" t="s">
        <v>2915</v>
      </c>
      <c r="X175" s="771" t="s">
        <v>7513</v>
      </c>
      <c r="Y175" s="738">
        <v>74</v>
      </c>
      <c r="Z175" s="771" t="s">
        <v>7513</v>
      </c>
      <c r="AA175" s="735">
        <v>74</v>
      </c>
      <c r="AB175" s="771" t="s">
        <v>7514</v>
      </c>
      <c r="AC175" s="735">
        <v>30</v>
      </c>
      <c r="AD175" s="738" t="s">
        <v>3143</v>
      </c>
      <c r="AE175" s="689" t="s">
        <v>6867</v>
      </c>
      <c r="AF175" s="530" t="s">
        <v>2969</v>
      </c>
      <c r="AJ175" s="773">
        <f>_xll.GetCtData("COAMOUNT","CONSAMOUNT",$B$1:$B$7,$B175,AJ$8,"#0")</f>
        <v>0</v>
      </c>
    </row>
    <row r="176" spans="1:36" ht="12" customHeight="1">
      <c r="A176" s="718" t="s">
        <v>2879</v>
      </c>
      <c r="B176" s="718" t="s">
        <v>7515</v>
      </c>
      <c r="C176" s="718" t="s">
        <v>7516</v>
      </c>
      <c r="D176" s="731" t="s">
        <v>2962</v>
      </c>
      <c r="E176" s="655">
        <v>44515</v>
      </c>
      <c r="F176" s="732" t="s">
        <v>5409</v>
      </c>
      <c r="G176" s="732">
        <v>7</v>
      </c>
      <c r="H176" s="732" t="s">
        <v>6610</v>
      </c>
      <c r="I176" s="733" t="s">
        <v>6610</v>
      </c>
      <c r="J176" s="733" t="s">
        <v>6610</v>
      </c>
      <c r="K176" s="733" t="s">
        <v>6610</v>
      </c>
      <c r="L176" s="733" t="s">
        <v>6610</v>
      </c>
      <c r="M176" s="733" t="s">
        <v>6610</v>
      </c>
      <c r="N176" s="733" t="s">
        <v>6610</v>
      </c>
      <c r="O176" s="757" t="s">
        <v>7516</v>
      </c>
      <c r="P176" s="735">
        <v>10</v>
      </c>
      <c r="Q176" s="759" t="s">
        <v>7517</v>
      </c>
      <c r="R176" s="735">
        <v>96</v>
      </c>
      <c r="S176" s="759" t="s">
        <v>7518</v>
      </c>
      <c r="T176" s="735">
        <v>96</v>
      </c>
      <c r="U176" s="758" t="s">
        <v>7519</v>
      </c>
      <c r="V176" s="735">
        <v>27</v>
      </c>
      <c r="W176" s="758" t="s">
        <v>2915</v>
      </c>
      <c r="X176" s="758" t="s">
        <v>7513</v>
      </c>
      <c r="Y176" s="738">
        <v>74</v>
      </c>
      <c r="Z176" s="758" t="s">
        <v>7513</v>
      </c>
      <c r="AA176" s="735">
        <v>74</v>
      </c>
      <c r="AB176" s="758" t="s">
        <v>7514</v>
      </c>
      <c r="AC176" s="735">
        <v>30</v>
      </c>
      <c r="AD176" s="738" t="s">
        <v>3143</v>
      </c>
      <c r="AE176" s="689" t="s">
        <v>7520</v>
      </c>
      <c r="AF176" s="530" t="s">
        <v>2969</v>
      </c>
      <c r="AJ176" s="760">
        <f>_xll.GetCtData("COAMOUNT","CONSAMOUNT",$B$1:$B$7,$B176,AJ$8,"#0")</f>
        <v>0</v>
      </c>
    </row>
    <row r="177" spans="1:36" ht="12" customHeight="1">
      <c r="A177" s="718" t="s">
        <v>2879</v>
      </c>
      <c r="B177" s="718" t="s">
        <v>7521</v>
      </c>
      <c r="C177" s="718" t="s">
        <v>7522</v>
      </c>
      <c r="D177" s="731" t="s">
        <v>2962</v>
      </c>
      <c r="E177" s="655">
        <v>44515</v>
      </c>
      <c r="F177" s="732" t="s">
        <v>5409</v>
      </c>
      <c r="G177" s="732">
        <v>7</v>
      </c>
      <c r="H177" s="732" t="s">
        <v>6610</v>
      </c>
      <c r="I177" s="733" t="s">
        <v>6610</v>
      </c>
      <c r="J177" s="733" t="s">
        <v>6610</v>
      </c>
      <c r="K177" s="733" t="s">
        <v>6610</v>
      </c>
      <c r="L177" s="733" t="s">
        <v>6610</v>
      </c>
      <c r="M177" s="733" t="s">
        <v>6610</v>
      </c>
      <c r="N177" s="733" t="s">
        <v>6610</v>
      </c>
      <c r="O177" s="757" t="s">
        <v>7522</v>
      </c>
      <c r="P177" s="735">
        <v>10</v>
      </c>
      <c r="Q177" s="759" t="s">
        <v>7523</v>
      </c>
      <c r="R177" s="735">
        <v>101</v>
      </c>
      <c r="S177" s="759" t="s">
        <v>7524</v>
      </c>
      <c r="T177" s="735">
        <v>101</v>
      </c>
      <c r="U177" s="758" t="s">
        <v>7525</v>
      </c>
      <c r="V177" s="735">
        <v>29</v>
      </c>
      <c r="W177" s="758" t="s">
        <v>2915</v>
      </c>
      <c r="X177" s="758" t="s">
        <v>7513</v>
      </c>
      <c r="Y177" s="738">
        <v>74</v>
      </c>
      <c r="Z177" s="758" t="s">
        <v>7513</v>
      </c>
      <c r="AA177" s="735">
        <v>74</v>
      </c>
      <c r="AB177" s="758" t="s">
        <v>7526</v>
      </c>
      <c r="AC177" s="735">
        <v>30</v>
      </c>
      <c r="AD177" s="738" t="s">
        <v>3143</v>
      </c>
      <c r="AE177" s="689" t="s">
        <v>7520</v>
      </c>
      <c r="AF177" s="530" t="s">
        <v>2969</v>
      </c>
      <c r="AJ177" s="760">
        <f>_xll.GetCtData("COAMOUNT","CONSAMOUNT",$B$1:$B$7,$B177,AJ$8,"#0")</f>
        <v>0</v>
      </c>
    </row>
    <row r="178" spans="1:36" ht="12" customHeight="1">
      <c r="A178" s="718" t="s">
        <v>2879</v>
      </c>
      <c r="B178" s="718" t="s">
        <v>1219</v>
      </c>
      <c r="C178" s="453" t="s">
        <v>7527</v>
      </c>
      <c r="D178" s="731" t="s">
        <v>6609</v>
      </c>
      <c r="E178" s="655">
        <v>44035</v>
      </c>
      <c r="F178" s="732" t="s">
        <v>2912</v>
      </c>
      <c r="G178" s="732">
        <v>4</v>
      </c>
      <c r="H178" s="732" t="s">
        <v>6610</v>
      </c>
      <c r="I178" s="733" t="s">
        <v>6610</v>
      </c>
      <c r="J178" s="733" t="s">
        <v>6610</v>
      </c>
      <c r="K178" s="733" t="s">
        <v>6610</v>
      </c>
      <c r="L178" s="764" t="s">
        <v>7527</v>
      </c>
      <c r="M178" s="764" t="s">
        <v>6610</v>
      </c>
      <c r="N178" s="764" t="s">
        <v>6610</v>
      </c>
      <c r="O178" s="765"/>
      <c r="P178" s="735">
        <v>0</v>
      </c>
      <c r="Q178" s="766" t="s">
        <v>7528</v>
      </c>
      <c r="R178" s="735">
        <v>39</v>
      </c>
      <c r="S178" s="767" t="s">
        <v>7528</v>
      </c>
      <c r="T178" s="735">
        <v>39</v>
      </c>
      <c r="U178" s="766" t="s">
        <v>7529</v>
      </c>
      <c r="V178" s="735">
        <v>26</v>
      </c>
      <c r="W178" s="766" t="s">
        <v>2915</v>
      </c>
      <c r="X178" s="766" t="s">
        <v>7530</v>
      </c>
      <c r="Y178" s="738">
        <v>40</v>
      </c>
      <c r="Z178" s="767" t="s">
        <v>7530</v>
      </c>
      <c r="AA178" s="735">
        <v>40</v>
      </c>
      <c r="AB178" s="766" t="s">
        <v>7531</v>
      </c>
      <c r="AC178" s="735">
        <v>28</v>
      </c>
      <c r="AD178" s="738" t="s">
        <v>3143</v>
      </c>
      <c r="AE178" s="689"/>
      <c r="AF178" s="494" t="s">
        <v>2917</v>
      </c>
      <c r="AJ178" s="768">
        <f>_xll.GetCtData("COAMOUNT","CONSAMOUNT",$B$1:$B$7,$B178,AJ$8,"#-821781,113166736")</f>
        <v>-821781</v>
      </c>
    </row>
    <row r="179" spans="1:36" ht="12" customHeight="1">
      <c r="A179" s="718" t="s">
        <v>2879</v>
      </c>
      <c r="B179" s="718" t="s">
        <v>7532</v>
      </c>
      <c r="C179" s="453" t="s">
        <v>7533</v>
      </c>
      <c r="D179" s="731" t="s">
        <v>6609</v>
      </c>
      <c r="E179" s="655">
        <v>44035</v>
      </c>
      <c r="F179" s="732" t="s">
        <v>5409</v>
      </c>
      <c r="G179" s="732">
        <v>7</v>
      </c>
      <c r="H179" s="732" t="s">
        <v>6610</v>
      </c>
      <c r="I179" s="733" t="s">
        <v>6610</v>
      </c>
      <c r="J179" s="733" t="s">
        <v>6610</v>
      </c>
      <c r="K179" s="733" t="s">
        <v>6610</v>
      </c>
      <c r="L179" s="733" t="s">
        <v>6610</v>
      </c>
      <c r="M179" s="733" t="s">
        <v>6610</v>
      </c>
      <c r="N179" s="733" t="s">
        <v>6610</v>
      </c>
      <c r="O179" s="757" t="s">
        <v>7533</v>
      </c>
      <c r="P179" s="735">
        <v>10</v>
      </c>
      <c r="Q179" s="810" t="s">
        <v>7534</v>
      </c>
      <c r="R179" s="735">
        <v>36</v>
      </c>
      <c r="S179" s="811" t="s">
        <v>7534</v>
      </c>
      <c r="T179" s="735">
        <v>36</v>
      </c>
      <c r="U179" s="810" t="s">
        <v>7535</v>
      </c>
      <c r="V179" s="735">
        <v>28</v>
      </c>
      <c r="W179" s="758" t="s">
        <v>2915</v>
      </c>
      <c r="X179" s="810" t="s">
        <v>7530</v>
      </c>
      <c r="Y179" s="738">
        <v>40</v>
      </c>
      <c r="Z179" s="811" t="s">
        <v>7530</v>
      </c>
      <c r="AA179" s="735">
        <v>40</v>
      </c>
      <c r="AB179" s="810" t="s">
        <v>7531</v>
      </c>
      <c r="AC179" s="735">
        <v>28</v>
      </c>
      <c r="AD179" s="738" t="s">
        <v>3143</v>
      </c>
      <c r="AE179" s="689"/>
      <c r="AF179" s="494" t="s">
        <v>2917</v>
      </c>
      <c r="AJ179" s="812">
        <f>_xll.GetCtData("COAMOUNT","CONSAMOUNT",$B$1:$B$7,$B179,AJ$8,"#-821781,113166736")</f>
        <v>-821781</v>
      </c>
    </row>
    <row r="180" spans="1:36" ht="12" customHeight="1">
      <c r="A180" s="718" t="s">
        <v>2879</v>
      </c>
      <c r="B180" s="718" t="s">
        <v>7536</v>
      </c>
      <c r="C180" s="453" t="s">
        <v>7537</v>
      </c>
      <c r="D180" s="731" t="s">
        <v>6609</v>
      </c>
      <c r="E180" s="655">
        <v>44038</v>
      </c>
      <c r="F180" s="732" t="s">
        <v>5409</v>
      </c>
      <c r="G180" s="732">
        <v>7</v>
      </c>
      <c r="H180" s="732" t="s">
        <v>6610</v>
      </c>
      <c r="I180" s="733" t="s">
        <v>6610</v>
      </c>
      <c r="J180" s="733" t="s">
        <v>6610</v>
      </c>
      <c r="K180" s="733" t="s">
        <v>6610</v>
      </c>
      <c r="L180" s="733" t="s">
        <v>6610</v>
      </c>
      <c r="M180" s="733" t="s">
        <v>6610</v>
      </c>
      <c r="N180" s="733" t="s">
        <v>6610</v>
      </c>
      <c r="O180" s="757" t="s">
        <v>7537</v>
      </c>
      <c r="P180" s="735">
        <v>10</v>
      </c>
      <c r="Q180" s="758" t="s">
        <v>7538</v>
      </c>
      <c r="R180" s="735">
        <v>42</v>
      </c>
      <c r="S180" s="811" t="s">
        <v>7538</v>
      </c>
      <c r="T180" s="735">
        <v>42</v>
      </c>
      <c r="U180" s="810" t="s">
        <v>7539</v>
      </c>
      <c r="V180" s="735">
        <v>29</v>
      </c>
      <c r="W180" s="758" t="s">
        <v>2915</v>
      </c>
      <c r="X180" s="810" t="s">
        <v>7540</v>
      </c>
      <c r="Y180" s="738">
        <v>42</v>
      </c>
      <c r="Z180" s="811" t="s">
        <v>7540</v>
      </c>
      <c r="AA180" s="735">
        <v>42</v>
      </c>
      <c r="AB180" s="810" t="s">
        <v>7541</v>
      </c>
      <c r="AC180" s="735">
        <v>29</v>
      </c>
      <c r="AD180" s="738" t="s">
        <v>3143</v>
      </c>
      <c r="AE180" s="689" t="s">
        <v>5930</v>
      </c>
      <c r="AF180" s="494" t="s">
        <v>2917</v>
      </c>
      <c r="AJ180" s="812">
        <f>_xll.GetCtData("COAMOUNT","CONSAMOUNT",$B$1:$B$7,$B180,AJ$8,"#")</f>
        <v>0</v>
      </c>
    </row>
    <row r="181" spans="1:36" ht="12" customHeight="1">
      <c r="A181" s="718" t="s">
        <v>2879</v>
      </c>
      <c r="B181" s="718" t="s">
        <v>7542</v>
      </c>
      <c r="C181" s="453" t="s">
        <v>7543</v>
      </c>
      <c r="D181" s="731" t="s">
        <v>6609</v>
      </c>
      <c r="E181" s="655">
        <v>44035</v>
      </c>
      <c r="F181" s="732" t="s">
        <v>2912</v>
      </c>
      <c r="G181" s="732">
        <v>4</v>
      </c>
      <c r="H181" s="732" t="s">
        <v>6610</v>
      </c>
      <c r="I181" s="733" t="s">
        <v>6610</v>
      </c>
      <c r="J181" s="733" t="s">
        <v>6610</v>
      </c>
      <c r="K181" s="733" t="s">
        <v>6610</v>
      </c>
      <c r="L181" s="764" t="s">
        <v>7543</v>
      </c>
      <c r="M181" s="764" t="s">
        <v>6610</v>
      </c>
      <c r="N181" s="764" t="s">
        <v>6610</v>
      </c>
      <c r="O181" s="765"/>
      <c r="P181" s="735">
        <v>0</v>
      </c>
      <c r="Q181" s="786" t="s">
        <v>7544</v>
      </c>
      <c r="R181" s="735">
        <v>35</v>
      </c>
      <c r="S181" s="787" t="s">
        <v>7544</v>
      </c>
      <c r="T181" s="735">
        <v>35</v>
      </c>
      <c r="U181" s="786" t="s">
        <v>7545</v>
      </c>
      <c r="V181" s="735">
        <v>27</v>
      </c>
      <c r="W181" s="786" t="s">
        <v>2915</v>
      </c>
      <c r="X181" s="786" t="s">
        <v>7546</v>
      </c>
      <c r="Y181" s="738">
        <v>47</v>
      </c>
      <c r="Z181" s="787" t="s">
        <v>7546</v>
      </c>
      <c r="AA181" s="735">
        <v>47</v>
      </c>
      <c r="AB181" s="786" t="s">
        <v>7547</v>
      </c>
      <c r="AC181" s="735">
        <v>28</v>
      </c>
      <c r="AD181" s="738" t="s">
        <v>3143</v>
      </c>
      <c r="AE181" s="689"/>
      <c r="AF181" s="494" t="s">
        <v>2917</v>
      </c>
      <c r="AJ181" s="788">
        <f>_xll.GetCtData("COAMOUNT","CONSAMOUNT",$B$1:$B$7,$B181,AJ$8,"#11,7426995341371")</f>
        <v>11</v>
      </c>
    </row>
    <row r="182" spans="1:36" ht="12" customHeight="1">
      <c r="A182" s="718" t="s">
        <v>2879</v>
      </c>
      <c r="B182" s="718" t="s">
        <v>7548</v>
      </c>
      <c r="C182" s="453" t="s">
        <v>7549</v>
      </c>
      <c r="D182" s="731" t="s">
        <v>6609</v>
      </c>
      <c r="E182" s="655">
        <v>44035</v>
      </c>
      <c r="F182" s="789" t="s">
        <v>5409</v>
      </c>
      <c r="G182" s="789">
        <v>7</v>
      </c>
      <c r="H182" s="789" t="s">
        <v>6610</v>
      </c>
      <c r="I182" s="790" t="s">
        <v>6610</v>
      </c>
      <c r="J182" s="790" t="s">
        <v>6610</v>
      </c>
      <c r="K182" s="790" t="s">
        <v>6610</v>
      </c>
      <c r="L182" s="790" t="s">
        <v>6610</v>
      </c>
      <c r="M182" s="790" t="s">
        <v>6610</v>
      </c>
      <c r="N182" s="790" t="s">
        <v>6610</v>
      </c>
      <c r="O182" s="757" t="s">
        <v>7549</v>
      </c>
      <c r="P182" s="735">
        <v>10</v>
      </c>
      <c r="Q182" s="791" t="s">
        <v>7550</v>
      </c>
      <c r="R182" s="735">
        <v>59</v>
      </c>
      <c r="S182" s="759" t="s">
        <v>7550</v>
      </c>
      <c r="T182" s="735">
        <v>59</v>
      </c>
      <c r="U182" s="758" t="s">
        <v>7551</v>
      </c>
      <c r="V182" s="735">
        <v>26</v>
      </c>
      <c r="W182" s="758" t="s">
        <v>2915</v>
      </c>
      <c r="X182" s="758" t="s">
        <v>7552</v>
      </c>
      <c r="Y182" s="738">
        <v>84</v>
      </c>
      <c r="Z182" s="759" t="s">
        <v>7552</v>
      </c>
      <c r="AA182" s="735">
        <v>84</v>
      </c>
      <c r="AB182" s="758" t="s">
        <v>7553</v>
      </c>
      <c r="AC182" s="735">
        <v>30</v>
      </c>
      <c r="AD182" s="738" t="s">
        <v>3143</v>
      </c>
      <c r="AE182" s="689"/>
      <c r="AF182" s="494" t="s">
        <v>2917</v>
      </c>
      <c r="AJ182" s="760">
        <f>_xll.GetCtData("COAMOUNT","CONSAMOUNT",$B$1:$B$7,$B182,AJ$8,"#")</f>
        <v>0</v>
      </c>
    </row>
    <row r="183" spans="1:36" ht="12" customHeight="1">
      <c r="A183" s="718" t="s">
        <v>2879</v>
      </c>
      <c r="B183" s="718" t="s">
        <v>7554</v>
      </c>
      <c r="C183" s="453" t="s">
        <v>7555</v>
      </c>
      <c r="D183" s="731" t="s">
        <v>6609</v>
      </c>
      <c r="E183" s="655">
        <v>44035</v>
      </c>
      <c r="F183" s="789" t="s">
        <v>5409</v>
      </c>
      <c r="G183" s="789">
        <v>7</v>
      </c>
      <c r="H183" s="789" t="s">
        <v>6610</v>
      </c>
      <c r="I183" s="790" t="s">
        <v>6610</v>
      </c>
      <c r="J183" s="790" t="s">
        <v>6610</v>
      </c>
      <c r="K183" s="790" t="s">
        <v>6610</v>
      </c>
      <c r="L183" s="790" t="s">
        <v>6610</v>
      </c>
      <c r="M183" s="790" t="s">
        <v>6610</v>
      </c>
      <c r="N183" s="790" t="s">
        <v>6610</v>
      </c>
      <c r="O183" s="757" t="s">
        <v>7555</v>
      </c>
      <c r="P183" s="735">
        <v>10</v>
      </c>
      <c r="Q183" s="791" t="s">
        <v>7556</v>
      </c>
      <c r="R183" s="735">
        <v>56</v>
      </c>
      <c r="S183" s="759" t="s">
        <v>7556</v>
      </c>
      <c r="T183" s="735">
        <v>56</v>
      </c>
      <c r="U183" s="758" t="s">
        <v>7557</v>
      </c>
      <c r="V183" s="735">
        <v>30</v>
      </c>
      <c r="W183" s="758" t="s">
        <v>2915</v>
      </c>
      <c r="X183" s="758" t="s">
        <v>7558</v>
      </c>
      <c r="Y183" s="738">
        <v>78</v>
      </c>
      <c r="Z183" s="759" t="s">
        <v>7558</v>
      </c>
      <c r="AA183" s="735">
        <v>78</v>
      </c>
      <c r="AB183" s="758" t="s">
        <v>7559</v>
      </c>
      <c r="AC183" s="735">
        <v>30</v>
      </c>
      <c r="AD183" s="738" t="s">
        <v>3143</v>
      </c>
      <c r="AE183" s="689"/>
      <c r="AF183" s="494" t="s">
        <v>2917</v>
      </c>
      <c r="AJ183" s="760">
        <f>_xll.GetCtData("COAMOUNT","CONSAMOUNT",$B$1:$B$7,$B183,AJ$8,"#-12,091500687487")</f>
        <v>-12</v>
      </c>
    </row>
    <row r="184" spans="1:36" ht="12" customHeight="1">
      <c r="A184" s="718" t="s">
        <v>2879</v>
      </c>
      <c r="B184" s="718" t="s">
        <v>7560</v>
      </c>
      <c r="C184" s="453" t="s">
        <v>7561</v>
      </c>
      <c r="D184" s="731" t="s">
        <v>6609</v>
      </c>
      <c r="E184" s="655">
        <v>44035</v>
      </c>
      <c r="F184" s="789" t="s">
        <v>5409</v>
      </c>
      <c r="G184" s="789">
        <v>7</v>
      </c>
      <c r="H184" s="789" t="s">
        <v>6610</v>
      </c>
      <c r="I184" s="790" t="s">
        <v>6610</v>
      </c>
      <c r="J184" s="790" t="s">
        <v>6610</v>
      </c>
      <c r="K184" s="790" t="s">
        <v>6610</v>
      </c>
      <c r="L184" s="790" t="s">
        <v>6610</v>
      </c>
      <c r="M184" s="790" t="s">
        <v>6610</v>
      </c>
      <c r="N184" s="790" t="s">
        <v>6610</v>
      </c>
      <c r="O184" s="757" t="s">
        <v>7561</v>
      </c>
      <c r="P184" s="735">
        <v>10</v>
      </c>
      <c r="Q184" s="791" t="s">
        <v>7562</v>
      </c>
      <c r="R184" s="735">
        <v>61</v>
      </c>
      <c r="S184" s="759" t="s">
        <v>7562</v>
      </c>
      <c r="T184" s="735">
        <v>61</v>
      </c>
      <c r="U184" s="758" t="s">
        <v>7563</v>
      </c>
      <c r="V184" s="735">
        <v>27</v>
      </c>
      <c r="W184" s="758" t="s">
        <v>2915</v>
      </c>
      <c r="X184" s="758" t="s">
        <v>6790</v>
      </c>
      <c r="Y184" s="738">
        <v>62</v>
      </c>
      <c r="Z184" s="759" t="s">
        <v>6790</v>
      </c>
      <c r="AA184" s="735">
        <v>62</v>
      </c>
      <c r="AB184" s="758" t="s">
        <v>7564</v>
      </c>
      <c r="AC184" s="735">
        <v>27</v>
      </c>
      <c r="AD184" s="738" t="s">
        <v>3143</v>
      </c>
      <c r="AE184" s="689"/>
      <c r="AF184" s="494" t="s">
        <v>2917</v>
      </c>
      <c r="AJ184" s="760">
        <f>_xll.GetCtData("COAMOUNT","CONSAMOUNT",$B$1:$B$7,$B184,AJ$8,"#23,8342002216241")</f>
        <v>23</v>
      </c>
    </row>
    <row r="185" spans="1:36" ht="12" customHeight="1">
      <c r="A185" s="718" t="s">
        <v>2879</v>
      </c>
      <c r="B185" s="718" t="s">
        <v>7565</v>
      </c>
      <c r="C185" s="453" t="s">
        <v>7566</v>
      </c>
      <c r="D185" s="731" t="s">
        <v>6609</v>
      </c>
      <c r="E185" s="655">
        <v>44035</v>
      </c>
      <c r="F185" s="732" t="s">
        <v>2912</v>
      </c>
      <c r="G185" s="732">
        <v>3</v>
      </c>
      <c r="H185" s="732" t="s">
        <v>6610</v>
      </c>
      <c r="I185" s="733" t="s">
        <v>6610</v>
      </c>
      <c r="J185" s="733" t="s">
        <v>6610</v>
      </c>
      <c r="K185" s="752" t="s">
        <v>7566</v>
      </c>
      <c r="L185" s="752" t="s">
        <v>6610</v>
      </c>
      <c r="M185" s="752" t="s">
        <v>6610</v>
      </c>
      <c r="N185" s="752" t="s">
        <v>6610</v>
      </c>
      <c r="O185" s="753"/>
      <c r="P185" s="735">
        <v>0</v>
      </c>
      <c r="Q185" s="754" t="s">
        <v>7567</v>
      </c>
      <c r="R185" s="735">
        <v>41</v>
      </c>
      <c r="S185" s="755" t="s">
        <v>7567</v>
      </c>
      <c r="T185" s="735">
        <v>41</v>
      </c>
      <c r="U185" s="754" t="s">
        <v>7568</v>
      </c>
      <c r="V185" s="735">
        <v>30</v>
      </c>
      <c r="W185" s="754" t="s">
        <v>2915</v>
      </c>
      <c r="X185" s="754" t="s">
        <v>7569</v>
      </c>
      <c r="Y185" s="738">
        <v>45</v>
      </c>
      <c r="Z185" s="755" t="s">
        <v>7569</v>
      </c>
      <c r="AA185" s="735">
        <v>45</v>
      </c>
      <c r="AB185" s="754" t="s">
        <v>7570</v>
      </c>
      <c r="AC185" s="735">
        <v>24</v>
      </c>
      <c r="AD185" s="738" t="s">
        <v>3143</v>
      </c>
      <c r="AE185" s="689"/>
      <c r="AF185" s="494" t="s">
        <v>2917</v>
      </c>
      <c r="AJ185" s="756">
        <f>_xll.GetCtData("COAMOUNT","CONSAMOUNT",$B$1:$B$7,$B185,AJ$8,"#")</f>
        <v>0</v>
      </c>
    </row>
    <row r="186" spans="1:36" ht="12" customHeight="1">
      <c r="A186" s="718" t="s">
        <v>2879</v>
      </c>
      <c r="B186" s="718" t="s">
        <v>7571</v>
      </c>
      <c r="C186" s="453" t="s">
        <v>7572</v>
      </c>
      <c r="D186" s="731" t="s">
        <v>6609</v>
      </c>
      <c r="E186" s="655">
        <v>44035</v>
      </c>
      <c r="F186" s="732" t="s">
        <v>5409</v>
      </c>
      <c r="G186" s="732">
        <v>7</v>
      </c>
      <c r="H186" s="732" t="s">
        <v>6610</v>
      </c>
      <c r="I186" s="733" t="s">
        <v>6610</v>
      </c>
      <c r="J186" s="733" t="s">
        <v>6610</v>
      </c>
      <c r="K186" s="733" t="s">
        <v>6610</v>
      </c>
      <c r="L186" s="733" t="s">
        <v>6610</v>
      </c>
      <c r="M186" s="733" t="s">
        <v>6610</v>
      </c>
      <c r="N186" s="733" t="s">
        <v>6610</v>
      </c>
      <c r="O186" s="757" t="s">
        <v>7572</v>
      </c>
      <c r="P186" s="735">
        <v>10</v>
      </c>
      <c r="Q186" s="758" t="s">
        <v>7567</v>
      </c>
      <c r="R186" s="735">
        <v>41</v>
      </c>
      <c r="S186" s="759" t="s">
        <v>7567</v>
      </c>
      <c r="T186" s="735">
        <v>41</v>
      </c>
      <c r="U186" s="758" t="s">
        <v>7568</v>
      </c>
      <c r="V186" s="735">
        <v>30</v>
      </c>
      <c r="W186" s="758" t="s">
        <v>2915</v>
      </c>
      <c r="X186" s="758" t="s">
        <v>7569</v>
      </c>
      <c r="Y186" s="738">
        <v>45</v>
      </c>
      <c r="Z186" s="759" t="s">
        <v>7569</v>
      </c>
      <c r="AA186" s="735">
        <v>45</v>
      </c>
      <c r="AB186" s="758" t="s">
        <v>7570</v>
      </c>
      <c r="AC186" s="735">
        <v>24</v>
      </c>
      <c r="AD186" s="738" t="s">
        <v>3143</v>
      </c>
      <c r="AE186" s="689"/>
      <c r="AF186" s="494" t="s">
        <v>2917</v>
      </c>
      <c r="AJ186" s="760">
        <f>_xll.GetCtData("COAMOUNT","CONSAMOUNT",$B$1:$B$7,$B186,AJ$8,"#")</f>
        <v>0</v>
      </c>
    </row>
    <row r="187" spans="1:36" ht="12" customHeight="1">
      <c r="A187" s="718" t="s">
        <v>2879</v>
      </c>
      <c r="B187" s="718" t="s">
        <v>7573</v>
      </c>
      <c r="C187" s="453" t="s">
        <v>7574</v>
      </c>
      <c r="D187" s="731" t="s">
        <v>6609</v>
      </c>
      <c r="E187" s="655">
        <v>44035</v>
      </c>
      <c r="F187" s="732" t="s">
        <v>2912</v>
      </c>
      <c r="G187" s="732">
        <v>3</v>
      </c>
      <c r="H187" s="732" t="s">
        <v>6610</v>
      </c>
      <c r="I187" s="733" t="s">
        <v>6610</v>
      </c>
      <c r="J187" s="733" t="s">
        <v>6610</v>
      </c>
      <c r="K187" s="752" t="s">
        <v>7574</v>
      </c>
      <c r="L187" s="752" t="s">
        <v>6610</v>
      </c>
      <c r="M187" s="752" t="s">
        <v>6610</v>
      </c>
      <c r="N187" s="752" t="s">
        <v>6610</v>
      </c>
      <c r="O187" s="753"/>
      <c r="P187" s="735">
        <v>0</v>
      </c>
      <c r="Q187" s="754" t="s">
        <v>7575</v>
      </c>
      <c r="R187" s="735">
        <v>34</v>
      </c>
      <c r="S187" s="755" t="s">
        <v>7575</v>
      </c>
      <c r="T187" s="735">
        <v>34</v>
      </c>
      <c r="U187" s="754" t="s">
        <v>7576</v>
      </c>
      <c r="V187" s="735">
        <v>26</v>
      </c>
      <c r="W187" s="754" t="s">
        <v>2915</v>
      </c>
      <c r="X187" s="754" t="s">
        <v>7577</v>
      </c>
      <c r="Y187" s="738">
        <v>47</v>
      </c>
      <c r="Z187" s="755" t="s">
        <v>7577</v>
      </c>
      <c r="AA187" s="735">
        <v>47</v>
      </c>
      <c r="AB187" s="754" t="s">
        <v>7578</v>
      </c>
      <c r="AC187" s="735">
        <v>30</v>
      </c>
      <c r="AD187" s="738" t="s">
        <v>3143</v>
      </c>
      <c r="AE187" s="689" t="s">
        <v>5930</v>
      </c>
      <c r="AF187" s="494" t="s">
        <v>2917</v>
      </c>
      <c r="AJ187" s="756">
        <f>_xll.GetCtData("COAMOUNT","CONSAMOUNT",$B$1:$B$7,$B187,AJ$8,"#4088107,99832071")</f>
        <v>4088107</v>
      </c>
    </row>
    <row r="188" spans="1:36" ht="12" customHeight="1">
      <c r="A188" s="718" t="s">
        <v>2879</v>
      </c>
      <c r="B188" s="718" t="s">
        <v>7579</v>
      </c>
      <c r="C188" s="453" t="s">
        <v>7580</v>
      </c>
      <c r="D188" s="731" t="s">
        <v>6609</v>
      </c>
      <c r="E188" s="655">
        <v>44035</v>
      </c>
      <c r="F188" s="732" t="s">
        <v>2912</v>
      </c>
      <c r="G188" s="732">
        <v>4</v>
      </c>
      <c r="H188" s="732" t="s">
        <v>6610</v>
      </c>
      <c r="I188" s="733" t="s">
        <v>6610</v>
      </c>
      <c r="J188" s="733" t="s">
        <v>6610</v>
      </c>
      <c r="K188" s="733" t="s">
        <v>6610</v>
      </c>
      <c r="L188" s="764" t="s">
        <v>7580</v>
      </c>
      <c r="M188" s="764" t="s">
        <v>6610</v>
      </c>
      <c r="N188" s="764" t="s">
        <v>6610</v>
      </c>
      <c r="O188" s="765"/>
      <c r="P188" s="735">
        <v>0</v>
      </c>
      <c r="Q188" s="766" t="s">
        <v>7581</v>
      </c>
      <c r="R188" s="735">
        <v>47</v>
      </c>
      <c r="S188" s="767" t="s">
        <v>7581</v>
      </c>
      <c r="T188" s="735">
        <v>47</v>
      </c>
      <c r="U188" s="766" t="s">
        <v>7582</v>
      </c>
      <c r="V188" s="735">
        <v>27</v>
      </c>
      <c r="W188" s="766" t="s">
        <v>2915</v>
      </c>
      <c r="X188" s="766" t="s">
        <v>7583</v>
      </c>
      <c r="Y188" s="738">
        <v>53</v>
      </c>
      <c r="Z188" s="767" t="s">
        <v>7583</v>
      </c>
      <c r="AA188" s="735">
        <v>53</v>
      </c>
      <c r="AB188" s="766" t="s">
        <v>7584</v>
      </c>
      <c r="AC188" s="735">
        <v>30</v>
      </c>
      <c r="AD188" s="738" t="s">
        <v>3143</v>
      </c>
      <c r="AE188" s="689"/>
      <c r="AF188" s="494" t="s">
        <v>2917</v>
      </c>
      <c r="AJ188" s="768">
        <f>_xll.GetCtData("COAMOUNT","CONSAMOUNT",$B$1:$B$7,$B188,AJ$8,"#3936289,25030793")</f>
        <v>3936289</v>
      </c>
    </row>
    <row r="189" spans="1:36" ht="12" customHeight="1">
      <c r="A189" s="718" t="s">
        <v>2879</v>
      </c>
      <c r="B189" s="718" t="s">
        <v>7585</v>
      </c>
      <c r="C189" s="453" t="s">
        <v>7586</v>
      </c>
      <c r="D189" s="731" t="s">
        <v>6609</v>
      </c>
      <c r="E189" s="655">
        <v>44035</v>
      </c>
      <c r="F189" s="732" t="s">
        <v>5409</v>
      </c>
      <c r="G189" s="732">
        <v>7</v>
      </c>
      <c r="H189" s="732" t="s">
        <v>6610</v>
      </c>
      <c r="I189" s="733" t="s">
        <v>6610</v>
      </c>
      <c r="J189" s="733" t="s">
        <v>6610</v>
      </c>
      <c r="K189" s="733" t="s">
        <v>6610</v>
      </c>
      <c r="L189" s="733" t="s">
        <v>6610</v>
      </c>
      <c r="M189" s="733" t="s">
        <v>6610</v>
      </c>
      <c r="N189" s="733" t="s">
        <v>6610</v>
      </c>
      <c r="O189" s="757" t="s">
        <v>7586</v>
      </c>
      <c r="P189" s="735">
        <v>10</v>
      </c>
      <c r="Q189" s="758" t="s">
        <v>7587</v>
      </c>
      <c r="R189" s="735">
        <v>59</v>
      </c>
      <c r="S189" s="759" t="s">
        <v>7587</v>
      </c>
      <c r="T189" s="735">
        <v>59</v>
      </c>
      <c r="U189" s="758" t="s">
        <v>7588</v>
      </c>
      <c r="V189" s="735">
        <v>30</v>
      </c>
      <c r="W189" s="758" t="s">
        <v>2915</v>
      </c>
      <c r="X189" s="758" t="s">
        <v>7589</v>
      </c>
      <c r="Y189" s="738">
        <v>96</v>
      </c>
      <c r="Z189" s="759" t="s">
        <v>7589</v>
      </c>
      <c r="AA189" s="735">
        <v>96</v>
      </c>
      <c r="AB189" s="758" t="s">
        <v>7590</v>
      </c>
      <c r="AC189" s="735">
        <v>30</v>
      </c>
      <c r="AD189" s="738" t="s">
        <v>3143</v>
      </c>
      <c r="AE189" s="689"/>
      <c r="AF189" s="494" t="s">
        <v>2917</v>
      </c>
      <c r="AJ189" s="760">
        <f>_xll.GetCtData("COAMOUNT","CONSAMOUNT",$B$1:$B$7,$B189,AJ$8,"#0")</f>
        <v>0</v>
      </c>
    </row>
    <row r="190" spans="1:36" ht="12" customHeight="1">
      <c r="A190" s="718" t="s">
        <v>2879</v>
      </c>
      <c r="B190" s="718" t="s">
        <v>7591</v>
      </c>
      <c r="C190" s="453" t="s">
        <v>7592</v>
      </c>
      <c r="D190" s="731" t="s">
        <v>6609</v>
      </c>
      <c r="E190" s="655">
        <v>44035</v>
      </c>
      <c r="F190" s="732" t="s">
        <v>5409</v>
      </c>
      <c r="G190" s="732">
        <v>7</v>
      </c>
      <c r="H190" s="732" t="s">
        <v>6610</v>
      </c>
      <c r="I190" s="733" t="s">
        <v>6610</v>
      </c>
      <c r="J190" s="733" t="s">
        <v>6610</v>
      </c>
      <c r="K190" s="733" t="s">
        <v>6610</v>
      </c>
      <c r="L190" s="733" t="s">
        <v>6610</v>
      </c>
      <c r="M190" s="733" t="s">
        <v>6610</v>
      </c>
      <c r="N190" s="733" t="s">
        <v>6610</v>
      </c>
      <c r="O190" s="757" t="s">
        <v>7592</v>
      </c>
      <c r="P190" s="735">
        <v>10</v>
      </c>
      <c r="Q190" s="758" t="s">
        <v>7593</v>
      </c>
      <c r="R190" s="735">
        <v>35</v>
      </c>
      <c r="S190" s="759" t="s">
        <v>7593</v>
      </c>
      <c r="T190" s="735">
        <v>35</v>
      </c>
      <c r="U190" s="758" t="s">
        <v>7594</v>
      </c>
      <c r="V190" s="735">
        <v>27</v>
      </c>
      <c r="W190" s="758" t="s">
        <v>2915</v>
      </c>
      <c r="X190" s="758" t="s">
        <v>7595</v>
      </c>
      <c r="Y190" s="738">
        <v>47</v>
      </c>
      <c r="Z190" s="759" t="s">
        <v>7595</v>
      </c>
      <c r="AA190" s="735">
        <v>47</v>
      </c>
      <c r="AB190" s="758" t="s">
        <v>7596</v>
      </c>
      <c r="AC190" s="735">
        <v>30</v>
      </c>
      <c r="AD190" s="738" t="s">
        <v>3143</v>
      </c>
      <c r="AE190" s="689"/>
      <c r="AF190" s="494" t="s">
        <v>2917</v>
      </c>
      <c r="AJ190" s="760">
        <f>_xll.GetCtData("COAMOUNT","CONSAMOUNT",$B$1:$B$7,$B190,AJ$8,"#-449,772916481015")</f>
        <v>-449</v>
      </c>
    </row>
    <row r="191" spans="1:36" ht="12" customHeight="1">
      <c r="A191" s="718" t="s">
        <v>2879</v>
      </c>
      <c r="B191" s="718" t="s">
        <v>7597</v>
      </c>
      <c r="C191" s="453" t="s">
        <v>7598</v>
      </c>
      <c r="D191" s="731" t="s">
        <v>6609</v>
      </c>
      <c r="E191" s="655">
        <v>44035</v>
      </c>
      <c r="F191" s="732" t="s">
        <v>5409</v>
      </c>
      <c r="G191" s="732">
        <v>7</v>
      </c>
      <c r="H191" s="732" t="s">
        <v>6610</v>
      </c>
      <c r="I191" s="733" t="s">
        <v>6610</v>
      </c>
      <c r="J191" s="733" t="s">
        <v>6610</v>
      </c>
      <c r="K191" s="733" t="s">
        <v>6610</v>
      </c>
      <c r="L191" s="733" t="s">
        <v>6610</v>
      </c>
      <c r="M191" s="733" t="s">
        <v>6610</v>
      </c>
      <c r="N191" s="733" t="s">
        <v>6610</v>
      </c>
      <c r="O191" s="757" t="s">
        <v>7598</v>
      </c>
      <c r="P191" s="735">
        <v>10</v>
      </c>
      <c r="Q191" s="758" t="s">
        <v>7599</v>
      </c>
      <c r="R191" s="735">
        <v>29</v>
      </c>
      <c r="S191" s="759" t="s">
        <v>7599</v>
      </c>
      <c r="T191" s="735">
        <v>29</v>
      </c>
      <c r="U191" s="758" t="s">
        <v>7599</v>
      </c>
      <c r="V191" s="735">
        <v>29</v>
      </c>
      <c r="W191" s="758" t="s">
        <v>2915</v>
      </c>
      <c r="X191" s="758" t="s">
        <v>7600</v>
      </c>
      <c r="Y191" s="738">
        <v>39</v>
      </c>
      <c r="Z191" s="759" t="s">
        <v>7600</v>
      </c>
      <c r="AA191" s="735">
        <v>39</v>
      </c>
      <c r="AB191" s="758" t="s">
        <v>7601</v>
      </c>
      <c r="AC191" s="735">
        <v>27</v>
      </c>
      <c r="AD191" s="738" t="s">
        <v>3143</v>
      </c>
      <c r="AE191" s="689"/>
      <c r="AF191" s="494" t="s">
        <v>2917</v>
      </c>
      <c r="AJ191" s="760">
        <f>_xll.GetCtData("COAMOUNT","CONSAMOUNT",$B$1:$B$7,$B191,AJ$8,"#4469,8838088839")</f>
        <v>4469</v>
      </c>
    </row>
    <row r="192" spans="1:36" ht="12" customHeight="1">
      <c r="A192" s="718" t="s">
        <v>2879</v>
      </c>
      <c r="B192" s="718" t="s">
        <v>7602</v>
      </c>
      <c r="C192" s="453" t="s">
        <v>7603</v>
      </c>
      <c r="D192" s="731" t="s">
        <v>6609</v>
      </c>
      <c r="E192" s="655">
        <v>44035</v>
      </c>
      <c r="F192" s="732" t="s">
        <v>5409</v>
      </c>
      <c r="G192" s="732">
        <v>7</v>
      </c>
      <c r="H192" s="732" t="s">
        <v>6610</v>
      </c>
      <c r="I192" s="733" t="s">
        <v>6610</v>
      </c>
      <c r="J192" s="733" t="s">
        <v>6610</v>
      </c>
      <c r="K192" s="733" t="s">
        <v>6610</v>
      </c>
      <c r="L192" s="733" t="s">
        <v>6610</v>
      </c>
      <c r="M192" s="733" t="s">
        <v>6610</v>
      </c>
      <c r="N192" s="733" t="s">
        <v>6610</v>
      </c>
      <c r="O192" s="757" t="s">
        <v>7603</v>
      </c>
      <c r="P192" s="735">
        <v>10</v>
      </c>
      <c r="Q192" s="758" t="s">
        <v>7604</v>
      </c>
      <c r="R192" s="735">
        <v>40</v>
      </c>
      <c r="S192" s="759" t="s">
        <v>7604</v>
      </c>
      <c r="T192" s="735">
        <v>40</v>
      </c>
      <c r="U192" s="758" t="s">
        <v>7605</v>
      </c>
      <c r="V192" s="735">
        <v>26</v>
      </c>
      <c r="W192" s="758" t="s">
        <v>2915</v>
      </c>
      <c r="X192" s="758" t="s">
        <v>7606</v>
      </c>
      <c r="Y192" s="738">
        <v>53</v>
      </c>
      <c r="Z192" s="759" t="s">
        <v>7606</v>
      </c>
      <c r="AA192" s="735">
        <v>53</v>
      </c>
      <c r="AB192" s="758" t="s">
        <v>7607</v>
      </c>
      <c r="AC192" s="735">
        <v>26</v>
      </c>
      <c r="AD192" s="738" t="s">
        <v>3143</v>
      </c>
      <c r="AE192" s="689"/>
      <c r="AF192" s="494" t="s">
        <v>2917</v>
      </c>
      <c r="AJ192" s="760">
        <f>_xll.GetCtData("COAMOUNT","CONSAMOUNT",$B$1:$B$7,$B192,AJ$8,"#")</f>
        <v>0</v>
      </c>
    </row>
    <row r="193" spans="1:36" ht="12" customHeight="1">
      <c r="A193" s="718" t="s">
        <v>2879</v>
      </c>
      <c r="B193" s="718" t="s">
        <v>7608</v>
      </c>
      <c r="C193" s="453" t="s">
        <v>7609</v>
      </c>
      <c r="D193" s="731" t="s">
        <v>6609</v>
      </c>
      <c r="E193" s="655">
        <v>44035</v>
      </c>
      <c r="F193" s="732" t="s">
        <v>5409</v>
      </c>
      <c r="G193" s="732">
        <v>7</v>
      </c>
      <c r="H193" s="732" t="s">
        <v>6610</v>
      </c>
      <c r="I193" s="733" t="s">
        <v>6610</v>
      </c>
      <c r="J193" s="733" t="s">
        <v>6610</v>
      </c>
      <c r="K193" s="733" t="s">
        <v>6610</v>
      </c>
      <c r="L193" s="733" t="s">
        <v>6610</v>
      </c>
      <c r="M193" s="733" t="s">
        <v>6610</v>
      </c>
      <c r="N193" s="733" t="s">
        <v>6610</v>
      </c>
      <c r="O193" s="757" t="s">
        <v>7609</v>
      </c>
      <c r="P193" s="735">
        <v>10</v>
      </c>
      <c r="Q193" s="758" t="s">
        <v>7610</v>
      </c>
      <c r="R193" s="735">
        <v>54</v>
      </c>
      <c r="S193" s="759" t="s">
        <v>7610</v>
      </c>
      <c r="T193" s="735">
        <v>54</v>
      </c>
      <c r="U193" s="758" t="s">
        <v>7611</v>
      </c>
      <c r="V193" s="735">
        <v>27</v>
      </c>
      <c r="W193" s="758" t="s">
        <v>2915</v>
      </c>
      <c r="X193" s="758" t="s">
        <v>7612</v>
      </c>
      <c r="Y193" s="738">
        <v>51</v>
      </c>
      <c r="Z193" s="759" t="s">
        <v>7612</v>
      </c>
      <c r="AA193" s="735">
        <v>51</v>
      </c>
      <c r="AB193" s="758" t="s">
        <v>7613</v>
      </c>
      <c r="AC193" s="735">
        <v>30</v>
      </c>
      <c r="AD193" s="738" t="s">
        <v>3143</v>
      </c>
      <c r="AE193" s="689"/>
      <c r="AF193" s="494" t="s">
        <v>2917</v>
      </c>
      <c r="AJ193" s="760">
        <f>_xll.GetCtData("COAMOUNT","CONSAMOUNT",$B$1:$B$7,$B193,AJ$8,"#")</f>
        <v>0</v>
      </c>
    </row>
    <row r="194" spans="1:36" ht="12" customHeight="1">
      <c r="A194" s="718" t="s">
        <v>2879</v>
      </c>
      <c r="B194" s="718" t="s">
        <v>7614</v>
      </c>
      <c r="C194" s="453" t="s">
        <v>7615</v>
      </c>
      <c r="D194" s="731" t="s">
        <v>6609</v>
      </c>
      <c r="E194" s="655">
        <v>44035</v>
      </c>
      <c r="F194" s="732" t="s">
        <v>5409</v>
      </c>
      <c r="G194" s="732">
        <v>7</v>
      </c>
      <c r="H194" s="732" t="s">
        <v>6610</v>
      </c>
      <c r="I194" s="733" t="s">
        <v>6610</v>
      </c>
      <c r="J194" s="733" t="s">
        <v>6610</v>
      </c>
      <c r="K194" s="733" t="s">
        <v>6610</v>
      </c>
      <c r="L194" s="733" t="s">
        <v>6610</v>
      </c>
      <c r="M194" s="733" t="s">
        <v>6610</v>
      </c>
      <c r="N194" s="733" t="s">
        <v>6610</v>
      </c>
      <c r="O194" s="757" t="s">
        <v>7615</v>
      </c>
      <c r="P194" s="735">
        <v>10</v>
      </c>
      <c r="Q194" s="758" t="s">
        <v>7616</v>
      </c>
      <c r="R194" s="735">
        <v>39</v>
      </c>
      <c r="S194" s="759" t="s">
        <v>7616</v>
      </c>
      <c r="T194" s="735">
        <v>39</v>
      </c>
      <c r="U194" s="758" t="s">
        <v>7617</v>
      </c>
      <c r="V194" s="735">
        <v>25</v>
      </c>
      <c r="W194" s="758" t="s">
        <v>2915</v>
      </c>
      <c r="X194" s="758" t="s">
        <v>7618</v>
      </c>
      <c r="Y194" s="738">
        <v>44</v>
      </c>
      <c r="Z194" s="759" t="s">
        <v>7618</v>
      </c>
      <c r="AA194" s="735">
        <v>44</v>
      </c>
      <c r="AB194" s="758" t="s">
        <v>7619</v>
      </c>
      <c r="AC194" s="735">
        <v>27</v>
      </c>
      <c r="AD194" s="738" t="s">
        <v>3143</v>
      </c>
      <c r="AE194" s="689"/>
      <c r="AF194" s="494" t="s">
        <v>2917</v>
      </c>
      <c r="AJ194" s="760">
        <f>_xll.GetCtData("COAMOUNT","CONSAMOUNT",$B$1:$B$7,$B194,AJ$8,"#0")</f>
        <v>0</v>
      </c>
    </row>
    <row r="195" spans="1:36" ht="12" customHeight="1">
      <c r="A195" s="718" t="s">
        <v>2879</v>
      </c>
      <c r="B195" s="718" t="s">
        <v>7620</v>
      </c>
      <c r="C195" s="453" t="s">
        <v>7621</v>
      </c>
      <c r="D195" s="731" t="s">
        <v>6609</v>
      </c>
      <c r="E195" s="655">
        <v>44035</v>
      </c>
      <c r="F195" s="732" t="s">
        <v>5409</v>
      </c>
      <c r="G195" s="732">
        <v>7</v>
      </c>
      <c r="H195" s="732" t="s">
        <v>6610</v>
      </c>
      <c r="I195" s="733" t="s">
        <v>6610</v>
      </c>
      <c r="J195" s="733" t="s">
        <v>6610</v>
      </c>
      <c r="K195" s="733" t="s">
        <v>6610</v>
      </c>
      <c r="L195" s="733" t="s">
        <v>6610</v>
      </c>
      <c r="M195" s="733" t="s">
        <v>6610</v>
      </c>
      <c r="N195" s="733" t="s">
        <v>6610</v>
      </c>
      <c r="O195" s="757" t="s">
        <v>7621</v>
      </c>
      <c r="P195" s="735">
        <v>10</v>
      </c>
      <c r="Q195" s="758" t="s">
        <v>7622</v>
      </c>
      <c r="R195" s="735">
        <v>28</v>
      </c>
      <c r="S195" s="759" t="s">
        <v>7622</v>
      </c>
      <c r="T195" s="735">
        <v>28</v>
      </c>
      <c r="U195" s="758" t="s">
        <v>7622</v>
      </c>
      <c r="V195" s="735">
        <v>28</v>
      </c>
      <c r="W195" s="758" t="s">
        <v>2915</v>
      </c>
      <c r="X195" s="758" t="s">
        <v>7245</v>
      </c>
      <c r="Y195" s="738">
        <v>35</v>
      </c>
      <c r="Z195" s="759" t="s">
        <v>7245</v>
      </c>
      <c r="AA195" s="735">
        <v>35</v>
      </c>
      <c r="AB195" s="758" t="s">
        <v>7623</v>
      </c>
      <c r="AC195" s="735">
        <v>23</v>
      </c>
      <c r="AD195" s="738" t="s">
        <v>3143</v>
      </c>
      <c r="AE195" s="689"/>
      <c r="AF195" s="494" t="s">
        <v>2917</v>
      </c>
      <c r="AJ195" s="760">
        <f>_xll.GetCtData("COAMOUNT","CONSAMOUNT",$B$1:$B$7,$B195,AJ$8,"#-2005,25397325186")</f>
        <v>-2005</v>
      </c>
    </row>
    <row r="196" spans="1:36" ht="12" customHeight="1">
      <c r="A196" s="718" t="s">
        <v>2879</v>
      </c>
      <c r="B196" s="718" t="s">
        <v>7624</v>
      </c>
      <c r="C196" s="453" t="s">
        <v>7625</v>
      </c>
      <c r="D196" s="731" t="s">
        <v>6609</v>
      </c>
      <c r="E196" s="655">
        <v>44035</v>
      </c>
      <c r="F196" s="732" t="s">
        <v>5409</v>
      </c>
      <c r="G196" s="732">
        <v>7</v>
      </c>
      <c r="H196" s="732" t="s">
        <v>6610</v>
      </c>
      <c r="I196" s="733" t="s">
        <v>6610</v>
      </c>
      <c r="J196" s="733" t="s">
        <v>6610</v>
      </c>
      <c r="K196" s="733" t="s">
        <v>6610</v>
      </c>
      <c r="L196" s="733" t="s">
        <v>6610</v>
      </c>
      <c r="M196" s="733" t="s">
        <v>6610</v>
      </c>
      <c r="N196" s="733" t="s">
        <v>6610</v>
      </c>
      <c r="O196" s="757" t="s">
        <v>7625</v>
      </c>
      <c r="P196" s="735">
        <v>10</v>
      </c>
      <c r="Q196" s="758" t="s">
        <v>7626</v>
      </c>
      <c r="R196" s="735">
        <v>34</v>
      </c>
      <c r="S196" s="759" t="s">
        <v>7626</v>
      </c>
      <c r="T196" s="735">
        <v>34</v>
      </c>
      <c r="U196" s="758" t="s">
        <v>7627</v>
      </c>
      <c r="V196" s="735">
        <v>26</v>
      </c>
      <c r="W196" s="758" t="s">
        <v>2915</v>
      </c>
      <c r="X196" s="758" t="s">
        <v>7628</v>
      </c>
      <c r="Y196" s="738">
        <v>43</v>
      </c>
      <c r="Z196" s="759" t="s">
        <v>7628</v>
      </c>
      <c r="AA196" s="735">
        <v>43</v>
      </c>
      <c r="AB196" s="758" t="s">
        <v>7629</v>
      </c>
      <c r="AC196" s="735">
        <v>26</v>
      </c>
      <c r="AD196" s="738" t="s">
        <v>3143</v>
      </c>
      <c r="AE196" s="689"/>
      <c r="AF196" s="494" t="s">
        <v>2917</v>
      </c>
      <c r="AJ196" s="760">
        <f>_xll.GetCtData("COAMOUNT","CONSAMOUNT",$B$1:$B$7,$B196,AJ$8,"#2655,59232345575")</f>
        <v>2655</v>
      </c>
    </row>
    <row r="197" spans="1:36" ht="12" customHeight="1">
      <c r="A197" s="718" t="s">
        <v>2879</v>
      </c>
      <c r="B197" s="718" t="s">
        <v>7630</v>
      </c>
      <c r="C197" s="453" t="s">
        <v>7631</v>
      </c>
      <c r="D197" s="731" t="s">
        <v>6609</v>
      </c>
      <c r="E197" s="655">
        <v>44035</v>
      </c>
      <c r="F197" s="732" t="s">
        <v>5409</v>
      </c>
      <c r="G197" s="732">
        <v>7</v>
      </c>
      <c r="H197" s="732" t="s">
        <v>6610</v>
      </c>
      <c r="I197" s="733" t="s">
        <v>6610</v>
      </c>
      <c r="J197" s="733" t="s">
        <v>6610</v>
      </c>
      <c r="K197" s="733" t="s">
        <v>6610</v>
      </c>
      <c r="L197" s="733" t="s">
        <v>6610</v>
      </c>
      <c r="M197" s="733" t="s">
        <v>6610</v>
      </c>
      <c r="N197" s="733" t="s">
        <v>6610</v>
      </c>
      <c r="O197" s="757" t="s">
        <v>7631</v>
      </c>
      <c r="P197" s="735">
        <v>10</v>
      </c>
      <c r="Q197" s="758" t="s">
        <v>7632</v>
      </c>
      <c r="R197" s="735">
        <v>33</v>
      </c>
      <c r="S197" s="759" t="s">
        <v>7632</v>
      </c>
      <c r="T197" s="735">
        <v>33</v>
      </c>
      <c r="U197" s="758" t="s">
        <v>7633</v>
      </c>
      <c r="V197" s="735">
        <v>25</v>
      </c>
      <c r="W197" s="758" t="s">
        <v>2915</v>
      </c>
      <c r="X197" s="758" t="s">
        <v>7634</v>
      </c>
      <c r="Y197" s="738">
        <v>42</v>
      </c>
      <c r="Z197" s="759" t="s">
        <v>7634</v>
      </c>
      <c r="AA197" s="735">
        <v>42</v>
      </c>
      <c r="AB197" s="758" t="s">
        <v>7635</v>
      </c>
      <c r="AC197" s="735">
        <v>30</v>
      </c>
      <c r="AD197" s="738" t="s">
        <v>3143</v>
      </c>
      <c r="AE197" s="689" t="s">
        <v>7081</v>
      </c>
      <c r="AF197" s="494" t="s">
        <v>2917</v>
      </c>
      <c r="AJ197" s="760">
        <f>_xll.GetCtData("COAMOUNT","CONSAMOUNT",$B$1:$B$7,$B197,AJ$8,"#3809951,81508338")</f>
        <v>3809951</v>
      </c>
    </row>
    <row r="198" spans="1:36" ht="12" customHeight="1">
      <c r="A198" s="718" t="s">
        <v>2879</v>
      </c>
      <c r="B198" s="718" t="s">
        <v>7636</v>
      </c>
      <c r="C198" s="453" t="s">
        <v>7637</v>
      </c>
      <c r="D198" s="731" t="s">
        <v>6609</v>
      </c>
      <c r="E198" s="655">
        <v>44035</v>
      </c>
      <c r="F198" s="732" t="s">
        <v>5409</v>
      </c>
      <c r="G198" s="732">
        <v>7</v>
      </c>
      <c r="H198" s="732" t="s">
        <v>6610</v>
      </c>
      <c r="I198" s="733" t="s">
        <v>6610</v>
      </c>
      <c r="J198" s="733" t="s">
        <v>6610</v>
      </c>
      <c r="K198" s="733" t="s">
        <v>6610</v>
      </c>
      <c r="L198" s="733" t="s">
        <v>6610</v>
      </c>
      <c r="M198" s="733" t="s">
        <v>6610</v>
      </c>
      <c r="N198" s="733" t="s">
        <v>6610</v>
      </c>
      <c r="O198" s="757" t="s">
        <v>7637</v>
      </c>
      <c r="P198" s="735">
        <v>10</v>
      </c>
      <c r="Q198" s="758" t="s">
        <v>7638</v>
      </c>
      <c r="R198" s="735">
        <v>33</v>
      </c>
      <c r="S198" s="759" t="s">
        <v>7638</v>
      </c>
      <c r="T198" s="735">
        <v>33</v>
      </c>
      <c r="U198" s="758" t="s">
        <v>7639</v>
      </c>
      <c r="V198" s="735">
        <v>25</v>
      </c>
      <c r="W198" s="758" t="s">
        <v>2915</v>
      </c>
      <c r="X198" s="758" t="s">
        <v>7640</v>
      </c>
      <c r="Y198" s="738">
        <v>38</v>
      </c>
      <c r="Z198" s="759" t="s">
        <v>7640</v>
      </c>
      <c r="AA198" s="735">
        <v>38</v>
      </c>
      <c r="AB198" s="758" t="s">
        <v>7641</v>
      </c>
      <c r="AC198" s="735">
        <v>26</v>
      </c>
      <c r="AD198" s="738" t="s">
        <v>3143</v>
      </c>
      <c r="AE198" s="689"/>
      <c r="AF198" s="494" t="s">
        <v>2917</v>
      </c>
      <c r="AJ198" s="760">
        <f>_xll.GetCtData("COAMOUNT","CONSAMOUNT",$B$1:$B$7,$B198,AJ$8,"#-167484,932871157")</f>
        <v>-167484</v>
      </c>
    </row>
    <row r="199" spans="1:36" ht="12" customHeight="1">
      <c r="A199" s="718" t="s">
        <v>2879</v>
      </c>
      <c r="B199" s="718" t="s">
        <v>7642</v>
      </c>
      <c r="C199" s="453" t="s">
        <v>7643</v>
      </c>
      <c r="D199" s="731" t="s">
        <v>6609</v>
      </c>
      <c r="E199" s="655">
        <v>44035</v>
      </c>
      <c r="F199" s="732" t="s">
        <v>5409</v>
      </c>
      <c r="G199" s="732">
        <v>7</v>
      </c>
      <c r="H199" s="732" t="s">
        <v>6610</v>
      </c>
      <c r="I199" s="733" t="s">
        <v>6610</v>
      </c>
      <c r="J199" s="733" t="s">
        <v>6610</v>
      </c>
      <c r="K199" s="733" t="s">
        <v>6610</v>
      </c>
      <c r="L199" s="733" t="s">
        <v>6610</v>
      </c>
      <c r="M199" s="733" t="s">
        <v>6610</v>
      </c>
      <c r="N199" s="733" t="s">
        <v>6610</v>
      </c>
      <c r="O199" s="757" t="s">
        <v>7643</v>
      </c>
      <c r="P199" s="735">
        <v>10</v>
      </c>
      <c r="Q199" s="758" t="s">
        <v>7644</v>
      </c>
      <c r="R199" s="735">
        <v>38</v>
      </c>
      <c r="S199" s="759" t="s">
        <v>7644</v>
      </c>
      <c r="T199" s="735">
        <v>38</v>
      </c>
      <c r="U199" s="758" t="s">
        <v>7645</v>
      </c>
      <c r="V199" s="735">
        <v>30</v>
      </c>
      <c r="W199" s="758" t="s">
        <v>2915</v>
      </c>
      <c r="X199" s="758" t="s">
        <v>7646</v>
      </c>
      <c r="Y199" s="738">
        <v>60</v>
      </c>
      <c r="Z199" s="759" t="s">
        <v>7646</v>
      </c>
      <c r="AA199" s="735">
        <v>60</v>
      </c>
      <c r="AB199" s="758" t="s">
        <v>7647</v>
      </c>
      <c r="AC199" s="735">
        <v>30</v>
      </c>
      <c r="AD199" s="738" t="s">
        <v>3143</v>
      </c>
      <c r="AE199" s="689"/>
      <c r="AF199" s="494" t="s">
        <v>2917</v>
      </c>
      <c r="AJ199" s="760">
        <f>_xll.GetCtData("COAMOUNT","CONSAMOUNT",$B$1:$B$7,$B199,AJ$8,"#0,000016946895144")</f>
        <v>0</v>
      </c>
    </row>
    <row r="200" spans="1:36" ht="12" customHeight="1">
      <c r="A200" s="718" t="s">
        <v>2879</v>
      </c>
      <c r="B200" s="718" t="s">
        <v>7648</v>
      </c>
      <c r="C200" s="453" t="s">
        <v>7649</v>
      </c>
      <c r="D200" s="731" t="s">
        <v>6609</v>
      </c>
      <c r="E200" s="655">
        <v>44035</v>
      </c>
      <c r="F200" s="732" t="s">
        <v>5409</v>
      </c>
      <c r="G200" s="732">
        <v>7</v>
      </c>
      <c r="H200" s="732" t="s">
        <v>6610</v>
      </c>
      <c r="I200" s="733" t="s">
        <v>6610</v>
      </c>
      <c r="J200" s="733" t="s">
        <v>6610</v>
      </c>
      <c r="K200" s="733" t="s">
        <v>6610</v>
      </c>
      <c r="L200" s="733" t="s">
        <v>6610</v>
      </c>
      <c r="M200" s="733" t="s">
        <v>6610</v>
      </c>
      <c r="N200" s="733" t="s">
        <v>6610</v>
      </c>
      <c r="O200" s="757" t="s">
        <v>7649</v>
      </c>
      <c r="P200" s="735">
        <v>10</v>
      </c>
      <c r="Q200" s="758" t="s">
        <v>7650</v>
      </c>
      <c r="R200" s="735">
        <v>64</v>
      </c>
      <c r="S200" s="759" t="s">
        <v>7650</v>
      </c>
      <c r="T200" s="735">
        <v>64</v>
      </c>
      <c r="U200" s="758" t="s">
        <v>7651</v>
      </c>
      <c r="V200" s="735">
        <v>30</v>
      </c>
      <c r="W200" s="758" t="s">
        <v>2915</v>
      </c>
      <c r="X200" s="758" t="s">
        <v>7652</v>
      </c>
      <c r="Y200" s="738">
        <v>100</v>
      </c>
      <c r="Z200" s="759" t="s">
        <v>7652</v>
      </c>
      <c r="AA200" s="735">
        <v>100</v>
      </c>
      <c r="AB200" s="758" t="s">
        <v>7653</v>
      </c>
      <c r="AC200" s="735">
        <v>30</v>
      </c>
      <c r="AD200" s="738" t="s">
        <v>3143</v>
      </c>
      <c r="AE200" s="689"/>
      <c r="AF200" s="494" t="s">
        <v>2917</v>
      </c>
      <c r="AJ200" s="760">
        <f>_xll.GetCtData("COAMOUNT","CONSAMOUNT",$B$1:$B$7,$B200,AJ$8,"#-0,000004035394258")</f>
        <v>0</v>
      </c>
    </row>
    <row r="201" spans="1:36" ht="12" customHeight="1">
      <c r="A201" s="718" t="s">
        <v>2879</v>
      </c>
      <c r="B201" s="718" t="s">
        <v>7654</v>
      </c>
      <c r="C201" s="453" t="s">
        <v>7655</v>
      </c>
      <c r="D201" s="731" t="s">
        <v>6609</v>
      </c>
      <c r="E201" s="655">
        <v>44035</v>
      </c>
      <c r="F201" s="732" t="s">
        <v>5409</v>
      </c>
      <c r="G201" s="732">
        <v>7</v>
      </c>
      <c r="H201" s="732" t="s">
        <v>6610</v>
      </c>
      <c r="I201" s="733" t="s">
        <v>6610</v>
      </c>
      <c r="J201" s="733" t="s">
        <v>6610</v>
      </c>
      <c r="K201" s="733" t="s">
        <v>6610</v>
      </c>
      <c r="L201" s="733" t="s">
        <v>6610</v>
      </c>
      <c r="M201" s="733" t="s">
        <v>6610</v>
      </c>
      <c r="N201" s="733" t="s">
        <v>6610</v>
      </c>
      <c r="O201" s="757" t="s">
        <v>7655</v>
      </c>
      <c r="P201" s="735">
        <v>10</v>
      </c>
      <c r="Q201" s="758" t="s">
        <v>7656</v>
      </c>
      <c r="R201" s="735">
        <v>40</v>
      </c>
      <c r="S201" s="759" t="s">
        <v>7656</v>
      </c>
      <c r="T201" s="735">
        <v>40</v>
      </c>
      <c r="U201" s="758" t="s">
        <v>7657</v>
      </c>
      <c r="V201" s="735">
        <v>26</v>
      </c>
      <c r="W201" s="758" t="s">
        <v>2915</v>
      </c>
      <c r="X201" s="758" t="s">
        <v>7658</v>
      </c>
      <c r="Y201" s="738">
        <v>50</v>
      </c>
      <c r="Z201" s="759" t="s">
        <v>7658</v>
      </c>
      <c r="AA201" s="735">
        <v>50</v>
      </c>
      <c r="AB201" s="758" t="s">
        <v>7659</v>
      </c>
      <c r="AC201" s="735">
        <v>29</v>
      </c>
      <c r="AD201" s="738" t="s">
        <v>3143</v>
      </c>
      <c r="AE201" s="689"/>
      <c r="AF201" s="494" t="s">
        <v>2917</v>
      </c>
      <c r="AJ201" s="760">
        <f>_xll.GetCtData("COAMOUNT","CONSAMOUNT",$B$1:$B$7,$B201,AJ$8,"#")</f>
        <v>0</v>
      </c>
    </row>
    <row r="202" spans="1:36" ht="12" customHeight="1">
      <c r="A202" s="718" t="s">
        <v>2879</v>
      </c>
      <c r="B202" s="718" t="s">
        <v>7660</v>
      </c>
      <c r="C202" s="453" t="s">
        <v>7661</v>
      </c>
      <c r="D202" s="731" t="s">
        <v>6609</v>
      </c>
      <c r="E202" s="655">
        <v>44035</v>
      </c>
      <c r="F202" s="732" t="s">
        <v>5409</v>
      </c>
      <c r="G202" s="732">
        <v>7</v>
      </c>
      <c r="H202" s="732" t="s">
        <v>6610</v>
      </c>
      <c r="I202" s="733" t="s">
        <v>6610</v>
      </c>
      <c r="J202" s="733" t="s">
        <v>6610</v>
      </c>
      <c r="K202" s="733" t="s">
        <v>6610</v>
      </c>
      <c r="L202" s="733" t="s">
        <v>6610</v>
      </c>
      <c r="M202" s="733" t="s">
        <v>6610</v>
      </c>
      <c r="N202" s="733" t="s">
        <v>6610</v>
      </c>
      <c r="O202" s="757" t="s">
        <v>7661</v>
      </c>
      <c r="P202" s="735">
        <v>10</v>
      </c>
      <c r="Q202" s="758" t="s">
        <v>7662</v>
      </c>
      <c r="R202" s="735">
        <v>43</v>
      </c>
      <c r="S202" s="759" t="s">
        <v>7662</v>
      </c>
      <c r="T202" s="735">
        <v>43</v>
      </c>
      <c r="U202" s="758" t="s">
        <v>7663</v>
      </c>
      <c r="V202" s="735">
        <v>27</v>
      </c>
      <c r="W202" s="758" t="s">
        <v>2915</v>
      </c>
      <c r="X202" s="758" t="s">
        <v>7664</v>
      </c>
      <c r="Y202" s="738">
        <v>67</v>
      </c>
      <c r="Z202" s="759" t="s">
        <v>7664</v>
      </c>
      <c r="AA202" s="735">
        <v>67</v>
      </c>
      <c r="AB202" s="758" t="s">
        <v>7665</v>
      </c>
      <c r="AC202" s="735">
        <v>30</v>
      </c>
      <c r="AD202" s="738" t="s">
        <v>3143</v>
      </c>
      <c r="AE202" s="689"/>
      <c r="AF202" s="494" t="s">
        <v>2917</v>
      </c>
      <c r="AJ202" s="760">
        <f>_xll.GetCtData("COAMOUNT","CONSAMOUNT",$B$1:$B$7,$B202,AJ$8,"#")</f>
        <v>0</v>
      </c>
    </row>
    <row r="203" spans="1:36" ht="12" customHeight="1">
      <c r="A203" s="718" t="s">
        <v>2879</v>
      </c>
      <c r="B203" s="718" t="s">
        <v>7666</v>
      </c>
      <c r="C203" s="453" t="s">
        <v>7667</v>
      </c>
      <c r="D203" s="731" t="s">
        <v>2962</v>
      </c>
      <c r="E203" s="655">
        <v>44516</v>
      </c>
      <c r="F203" s="732" t="s">
        <v>5409</v>
      </c>
      <c r="G203" s="732">
        <v>7</v>
      </c>
      <c r="H203" s="732" t="s">
        <v>6610</v>
      </c>
      <c r="I203" s="733" t="s">
        <v>6610</v>
      </c>
      <c r="J203" s="733" t="s">
        <v>6610</v>
      </c>
      <c r="K203" s="733" t="s">
        <v>6610</v>
      </c>
      <c r="L203" s="733" t="s">
        <v>6610</v>
      </c>
      <c r="M203" s="733" t="s">
        <v>6610</v>
      </c>
      <c r="N203" s="733" t="s">
        <v>6610</v>
      </c>
      <c r="O203" s="757" t="s">
        <v>7667</v>
      </c>
      <c r="P203" s="735">
        <v>10</v>
      </c>
      <c r="Q203" s="758" t="s">
        <v>7668</v>
      </c>
      <c r="R203" s="735">
        <v>61</v>
      </c>
      <c r="S203" s="759" t="s">
        <v>7668</v>
      </c>
      <c r="T203" s="735">
        <v>61</v>
      </c>
      <c r="U203" s="758" t="s">
        <v>7669</v>
      </c>
      <c r="V203" s="735">
        <v>24</v>
      </c>
      <c r="W203" s="758" t="s">
        <v>2915</v>
      </c>
      <c r="X203" s="758" t="s">
        <v>7670</v>
      </c>
      <c r="Y203" s="738">
        <v>70</v>
      </c>
      <c r="Z203" s="759" t="s">
        <v>7670</v>
      </c>
      <c r="AA203" s="735">
        <v>70</v>
      </c>
      <c r="AB203" s="758" t="s">
        <v>7671</v>
      </c>
      <c r="AC203" s="735">
        <v>25</v>
      </c>
      <c r="AD203" s="738" t="s">
        <v>3143</v>
      </c>
      <c r="AE203" s="689" t="s">
        <v>7672</v>
      </c>
      <c r="AF203" s="779" t="s">
        <v>2721</v>
      </c>
      <c r="AJ203" s="760">
        <f>_xll.GetCtData("COAMOUNT","CONSAMOUNT",$B$1:$B$7,$B203,AJ$8,"#128693,621488161")</f>
        <v>128693</v>
      </c>
    </row>
    <row r="204" spans="1:36" ht="12" customHeight="1">
      <c r="A204" s="718" t="s">
        <v>2879</v>
      </c>
      <c r="B204" s="718" t="s">
        <v>7673</v>
      </c>
      <c r="C204" s="453" t="s">
        <v>7674</v>
      </c>
      <c r="D204" s="731" t="s">
        <v>2962</v>
      </c>
      <c r="E204" s="655">
        <v>44516</v>
      </c>
      <c r="F204" s="732" t="s">
        <v>5409</v>
      </c>
      <c r="G204" s="732">
        <v>7</v>
      </c>
      <c r="H204" s="732" t="s">
        <v>6610</v>
      </c>
      <c r="I204" s="733" t="s">
        <v>6610</v>
      </c>
      <c r="J204" s="733" t="s">
        <v>6610</v>
      </c>
      <c r="K204" s="733" t="s">
        <v>6610</v>
      </c>
      <c r="L204" s="733" t="s">
        <v>6610</v>
      </c>
      <c r="M204" s="733" t="s">
        <v>6610</v>
      </c>
      <c r="N204" s="733" t="s">
        <v>6610</v>
      </c>
      <c r="O204" s="757" t="s">
        <v>7674</v>
      </c>
      <c r="P204" s="735">
        <v>10</v>
      </c>
      <c r="Q204" s="758" t="s">
        <v>7675</v>
      </c>
      <c r="R204" s="735">
        <v>61</v>
      </c>
      <c r="S204" s="759" t="s">
        <v>7675</v>
      </c>
      <c r="T204" s="735">
        <v>61</v>
      </c>
      <c r="U204" s="758" t="s">
        <v>7676</v>
      </c>
      <c r="V204" s="735">
        <v>24</v>
      </c>
      <c r="W204" s="758" t="s">
        <v>2915</v>
      </c>
      <c r="X204" s="758" t="s">
        <v>7677</v>
      </c>
      <c r="Y204" s="738">
        <v>61</v>
      </c>
      <c r="Z204" s="759" t="s">
        <v>7677</v>
      </c>
      <c r="AA204" s="735">
        <v>61</v>
      </c>
      <c r="AB204" s="758" t="s">
        <v>7678</v>
      </c>
      <c r="AC204" s="735">
        <v>26</v>
      </c>
      <c r="AD204" s="738" t="s">
        <v>3143</v>
      </c>
      <c r="AE204" s="689" t="s">
        <v>7672</v>
      </c>
      <c r="AF204" s="779" t="s">
        <v>2721</v>
      </c>
      <c r="AJ204" s="760">
        <f>_xll.GetCtData("COAMOUNT","CONSAMOUNT",$B$1:$B$7,$B204,AJ$8,"#-38339,8243027156")</f>
        <v>-38339</v>
      </c>
    </row>
    <row r="205" spans="1:36" ht="12" customHeight="1">
      <c r="A205" s="718" t="s">
        <v>2879</v>
      </c>
      <c r="B205" s="718" t="s">
        <v>7679</v>
      </c>
      <c r="C205" s="453" t="s">
        <v>7680</v>
      </c>
      <c r="D205" s="731" t="s">
        <v>2962</v>
      </c>
      <c r="E205" s="655">
        <v>44516</v>
      </c>
      <c r="F205" s="732" t="s">
        <v>5409</v>
      </c>
      <c r="G205" s="732">
        <v>7</v>
      </c>
      <c r="H205" s="732" t="s">
        <v>6610</v>
      </c>
      <c r="I205" s="733" t="s">
        <v>6610</v>
      </c>
      <c r="J205" s="733" t="s">
        <v>6610</v>
      </c>
      <c r="K205" s="733" t="s">
        <v>6610</v>
      </c>
      <c r="L205" s="733" t="s">
        <v>6610</v>
      </c>
      <c r="M205" s="733" t="s">
        <v>6610</v>
      </c>
      <c r="N205" s="733"/>
      <c r="O205" s="757" t="s">
        <v>7680</v>
      </c>
      <c r="P205" s="735">
        <v>10</v>
      </c>
      <c r="Q205" s="758" t="s">
        <v>7681</v>
      </c>
      <c r="R205" s="735">
        <v>63</v>
      </c>
      <c r="S205" s="759" t="s">
        <v>7681</v>
      </c>
      <c r="T205" s="735">
        <v>63</v>
      </c>
      <c r="U205" s="758" t="s">
        <v>7682</v>
      </c>
      <c r="V205" s="735">
        <v>25</v>
      </c>
      <c r="W205" s="758" t="s">
        <v>2915</v>
      </c>
      <c r="X205" s="758" t="s">
        <v>7683</v>
      </c>
      <c r="Y205" s="738">
        <v>72</v>
      </c>
      <c r="Z205" s="759" t="s">
        <v>7683</v>
      </c>
      <c r="AA205" s="735">
        <v>72</v>
      </c>
      <c r="AB205" s="758" t="s">
        <v>7684</v>
      </c>
      <c r="AC205" s="735">
        <v>26</v>
      </c>
      <c r="AD205" s="738" t="s">
        <v>3143</v>
      </c>
      <c r="AE205" s="689" t="s">
        <v>7672</v>
      </c>
      <c r="AF205" s="530" t="s">
        <v>2969</v>
      </c>
      <c r="AJ205" s="760">
        <f>_xll.GetCtData("COAMOUNT","CONSAMOUNT",$B$1:$B$7,$B205,AJ$8,"#337743,90988999")</f>
        <v>337743</v>
      </c>
    </row>
    <row r="206" spans="1:36" ht="12" customHeight="1">
      <c r="A206" s="718" t="s">
        <v>2879</v>
      </c>
      <c r="B206" s="718" t="s">
        <v>7685</v>
      </c>
      <c r="C206" s="453" t="s">
        <v>7686</v>
      </c>
      <c r="D206" s="731" t="s">
        <v>2962</v>
      </c>
      <c r="E206" s="655">
        <v>44516</v>
      </c>
      <c r="F206" s="732" t="s">
        <v>5409</v>
      </c>
      <c r="G206" s="732">
        <v>7</v>
      </c>
      <c r="H206" s="732" t="s">
        <v>6610</v>
      </c>
      <c r="I206" s="733" t="s">
        <v>6610</v>
      </c>
      <c r="J206" s="733" t="s">
        <v>6610</v>
      </c>
      <c r="K206" s="733" t="s">
        <v>6610</v>
      </c>
      <c r="L206" s="733" t="s">
        <v>6610</v>
      </c>
      <c r="M206" s="733" t="s">
        <v>6610</v>
      </c>
      <c r="N206" s="733"/>
      <c r="O206" s="757" t="s">
        <v>7686</v>
      </c>
      <c r="P206" s="735">
        <v>10</v>
      </c>
      <c r="Q206" s="758" t="s">
        <v>7687</v>
      </c>
      <c r="R206" s="735">
        <v>63</v>
      </c>
      <c r="S206" s="759" t="s">
        <v>7687</v>
      </c>
      <c r="T206" s="735">
        <v>63</v>
      </c>
      <c r="U206" s="758" t="s">
        <v>7688</v>
      </c>
      <c r="V206" s="735">
        <v>25</v>
      </c>
      <c r="W206" s="758" t="s">
        <v>2915</v>
      </c>
      <c r="X206" s="758" t="s">
        <v>7689</v>
      </c>
      <c r="Y206" s="738">
        <v>63</v>
      </c>
      <c r="Z206" s="759" t="s">
        <v>7689</v>
      </c>
      <c r="AA206" s="735">
        <v>63</v>
      </c>
      <c r="AB206" s="758" t="s">
        <v>7690</v>
      </c>
      <c r="AC206" s="735">
        <v>27</v>
      </c>
      <c r="AD206" s="738" t="s">
        <v>3143</v>
      </c>
      <c r="AE206" s="689" t="s">
        <v>7672</v>
      </c>
      <c r="AF206" s="530" t="s">
        <v>2969</v>
      </c>
      <c r="AJ206" s="760">
        <f>_xll.GetCtData("COAMOUNT","CONSAMOUNT",$B$1:$B$7,$B206,AJ$8,"#-138945,788235247")</f>
        <v>-138945</v>
      </c>
    </row>
    <row r="207" spans="1:36" ht="12" customHeight="1">
      <c r="A207" s="718" t="s">
        <v>2879</v>
      </c>
      <c r="B207" s="718" t="s">
        <v>7691</v>
      </c>
      <c r="C207" s="453" t="s">
        <v>7692</v>
      </c>
      <c r="D207" s="731" t="s">
        <v>6609</v>
      </c>
      <c r="E207" s="655">
        <v>44035</v>
      </c>
      <c r="F207" s="732" t="s">
        <v>5409</v>
      </c>
      <c r="G207" s="732">
        <v>7</v>
      </c>
      <c r="H207" s="732" t="s">
        <v>6610</v>
      </c>
      <c r="I207" s="733" t="s">
        <v>6610</v>
      </c>
      <c r="J207" s="733" t="s">
        <v>6610</v>
      </c>
      <c r="K207" s="733" t="s">
        <v>6610</v>
      </c>
      <c r="L207" s="733" t="s">
        <v>6610</v>
      </c>
      <c r="M207" s="733" t="s">
        <v>6610</v>
      </c>
      <c r="N207" s="733" t="s">
        <v>6610</v>
      </c>
      <c r="O207" s="757" t="s">
        <v>7692</v>
      </c>
      <c r="P207" s="735">
        <v>10</v>
      </c>
      <c r="Q207" s="758" t="s">
        <v>7693</v>
      </c>
      <c r="R207" s="735">
        <v>33</v>
      </c>
      <c r="S207" s="759" t="s">
        <v>7693</v>
      </c>
      <c r="T207" s="735">
        <v>33</v>
      </c>
      <c r="U207" s="758" t="s">
        <v>7694</v>
      </c>
      <c r="V207" s="735">
        <v>23</v>
      </c>
      <c r="W207" s="758" t="s">
        <v>2915</v>
      </c>
      <c r="X207" s="758" t="s">
        <v>7695</v>
      </c>
      <c r="Y207" s="738">
        <v>46</v>
      </c>
      <c r="Z207" s="759" t="s">
        <v>7695</v>
      </c>
      <c r="AA207" s="735">
        <v>46</v>
      </c>
      <c r="AB207" s="758" t="s">
        <v>7696</v>
      </c>
      <c r="AC207" s="735">
        <v>27</v>
      </c>
      <c r="AD207" s="738" t="s">
        <v>3143</v>
      </c>
      <c r="AE207" s="689"/>
      <c r="AF207" s="494" t="s">
        <v>2917</v>
      </c>
      <c r="AJ207" s="760">
        <f>_xll.GetCtData("COAMOUNT","CONSAMOUNT",$B$1:$B$7,$B207,AJ$8,"#0")</f>
        <v>0</v>
      </c>
    </row>
    <row r="208" spans="1:36" ht="12" customHeight="1">
      <c r="A208" s="718" t="s">
        <v>2879</v>
      </c>
      <c r="B208" s="718" t="s">
        <v>7697</v>
      </c>
      <c r="C208" s="453" t="s">
        <v>7698</v>
      </c>
      <c r="D208" s="731" t="s">
        <v>6609</v>
      </c>
      <c r="E208" s="655">
        <v>44035</v>
      </c>
      <c r="F208" s="732" t="s">
        <v>5409</v>
      </c>
      <c r="G208" s="732">
        <v>7</v>
      </c>
      <c r="H208" s="732" t="s">
        <v>6610</v>
      </c>
      <c r="I208" s="733" t="s">
        <v>6610</v>
      </c>
      <c r="J208" s="733" t="s">
        <v>6610</v>
      </c>
      <c r="K208" s="733" t="s">
        <v>6610</v>
      </c>
      <c r="L208" s="733" t="s">
        <v>6610</v>
      </c>
      <c r="M208" s="733" t="s">
        <v>6610</v>
      </c>
      <c r="N208" s="733" t="s">
        <v>6610</v>
      </c>
      <c r="O208" s="757" t="s">
        <v>7698</v>
      </c>
      <c r="P208" s="735">
        <v>10</v>
      </c>
      <c r="Q208" s="758" t="s">
        <v>7699</v>
      </c>
      <c r="R208" s="735">
        <v>33</v>
      </c>
      <c r="S208" s="759" t="s">
        <v>7699</v>
      </c>
      <c r="T208" s="735">
        <v>33</v>
      </c>
      <c r="U208" s="758" t="s">
        <v>7700</v>
      </c>
      <c r="V208" s="735">
        <v>23</v>
      </c>
      <c r="W208" s="758" t="s">
        <v>2915</v>
      </c>
      <c r="X208" s="758" t="s">
        <v>7701</v>
      </c>
      <c r="Y208" s="738">
        <v>37</v>
      </c>
      <c r="Z208" s="759" t="s">
        <v>7701</v>
      </c>
      <c r="AA208" s="735">
        <v>37</v>
      </c>
      <c r="AB208" s="758" t="s">
        <v>7702</v>
      </c>
      <c r="AC208" s="735">
        <v>23</v>
      </c>
      <c r="AD208" s="738" t="s">
        <v>3143</v>
      </c>
      <c r="AE208" s="689"/>
      <c r="AF208" s="494" t="s">
        <v>2917</v>
      </c>
      <c r="AJ208" s="760">
        <f>_xll.GetCtData("COAMOUNT","CONSAMOUNT",$B$1:$B$7,$B208,AJ$8,"#0")</f>
        <v>0</v>
      </c>
    </row>
    <row r="209" spans="1:36" ht="12" customHeight="1">
      <c r="A209" s="718" t="s">
        <v>2879</v>
      </c>
      <c r="B209" s="718" t="s">
        <v>7703</v>
      </c>
      <c r="C209" s="453" t="s">
        <v>7704</v>
      </c>
      <c r="D209" s="731" t="s">
        <v>6609</v>
      </c>
      <c r="E209" s="655">
        <v>44035</v>
      </c>
      <c r="F209" s="732" t="s">
        <v>2912</v>
      </c>
      <c r="G209" s="732">
        <v>4</v>
      </c>
      <c r="H209" s="732" t="s">
        <v>6610</v>
      </c>
      <c r="I209" s="733" t="s">
        <v>6610</v>
      </c>
      <c r="J209" s="733" t="s">
        <v>6610</v>
      </c>
      <c r="K209" s="733" t="s">
        <v>6610</v>
      </c>
      <c r="L209" s="764" t="s">
        <v>7704</v>
      </c>
      <c r="M209" s="764" t="s">
        <v>6610</v>
      </c>
      <c r="N209" s="764" t="s">
        <v>6610</v>
      </c>
      <c r="O209" s="765"/>
      <c r="P209" s="735">
        <v>0</v>
      </c>
      <c r="Q209" s="766" t="s">
        <v>7705</v>
      </c>
      <c r="R209" s="735">
        <v>65</v>
      </c>
      <c r="S209" s="767" t="s">
        <v>7705</v>
      </c>
      <c r="T209" s="735">
        <v>65</v>
      </c>
      <c r="U209" s="766" t="s">
        <v>7706</v>
      </c>
      <c r="V209" s="735">
        <v>29</v>
      </c>
      <c r="W209" s="766" t="s">
        <v>2915</v>
      </c>
      <c r="X209" s="766" t="s">
        <v>7707</v>
      </c>
      <c r="Y209" s="738">
        <v>75</v>
      </c>
      <c r="Z209" s="767" t="s">
        <v>7707</v>
      </c>
      <c r="AA209" s="735">
        <v>75</v>
      </c>
      <c r="AB209" s="766" t="s">
        <v>7708</v>
      </c>
      <c r="AC209" s="735">
        <v>30</v>
      </c>
      <c r="AD209" s="738" t="s">
        <v>3143</v>
      </c>
      <c r="AE209" s="689"/>
      <c r="AF209" s="494" t="s">
        <v>2917</v>
      </c>
      <c r="AJ209" s="768">
        <f>_xll.GetCtData("COAMOUNT","CONSAMOUNT",$B$1:$B$7,$B209,AJ$8,"#423,850003912344")</f>
        <v>423</v>
      </c>
    </row>
    <row r="210" spans="1:36" ht="12" customHeight="1">
      <c r="A210" s="718" t="s">
        <v>2879</v>
      </c>
      <c r="B210" s="718" t="s">
        <v>1378</v>
      </c>
      <c r="C210" s="453" t="s">
        <v>7709</v>
      </c>
      <c r="D210" s="731" t="s">
        <v>6609</v>
      </c>
      <c r="E210" s="655">
        <v>44035</v>
      </c>
      <c r="F210" s="732" t="s">
        <v>5409</v>
      </c>
      <c r="G210" s="732">
        <v>7</v>
      </c>
      <c r="H210" s="732" t="s">
        <v>6610</v>
      </c>
      <c r="I210" s="733" t="s">
        <v>6610</v>
      </c>
      <c r="J210" s="733" t="s">
        <v>6610</v>
      </c>
      <c r="K210" s="733" t="s">
        <v>6610</v>
      </c>
      <c r="L210" s="733" t="s">
        <v>6610</v>
      </c>
      <c r="M210" s="733" t="s">
        <v>6610</v>
      </c>
      <c r="N210" s="733" t="s">
        <v>6610</v>
      </c>
      <c r="O210" s="757" t="s">
        <v>7709</v>
      </c>
      <c r="P210" s="735">
        <v>10</v>
      </c>
      <c r="Q210" s="758" t="s">
        <v>7710</v>
      </c>
      <c r="R210" s="735">
        <v>75</v>
      </c>
      <c r="S210" s="759" t="s">
        <v>7710</v>
      </c>
      <c r="T210" s="735">
        <v>75</v>
      </c>
      <c r="U210" s="758" t="s">
        <v>7711</v>
      </c>
      <c r="V210" s="735">
        <v>30</v>
      </c>
      <c r="W210" s="758" t="s">
        <v>2915</v>
      </c>
      <c r="X210" s="758" t="s">
        <v>7712</v>
      </c>
      <c r="Y210" s="738">
        <v>86</v>
      </c>
      <c r="Z210" s="759" t="s">
        <v>7712</v>
      </c>
      <c r="AA210" s="735">
        <v>86</v>
      </c>
      <c r="AB210" s="758" t="s">
        <v>7713</v>
      </c>
      <c r="AC210" s="735">
        <v>30</v>
      </c>
      <c r="AD210" s="738" t="s">
        <v>3143</v>
      </c>
      <c r="AE210" s="689"/>
      <c r="AF210" s="494" t="s">
        <v>2917</v>
      </c>
      <c r="AJ210" s="760">
        <f>_xll.GetCtData("COAMOUNT","CONSAMOUNT",$B$1:$B$7,$B210,AJ$8,"#612,990005658199")</f>
        <v>612</v>
      </c>
    </row>
    <row r="211" spans="1:36" ht="12" customHeight="1">
      <c r="A211" s="718" t="s">
        <v>2879</v>
      </c>
      <c r="B211" s="718" t="s">
        <v>7714</v>
      </c>
      <c r="C211" s="453" t="s">
        <v>7715</v>
      </c>
      <c r="D211" s="731" t="s">
        <v>6609</v>
      </c>
      <c r="E211" s="655">
        <v>44035</v>
      </c>
      <c r="F211" s="732" t="s">
        <v>5409</v>
      </c>
      <c r="G211" s="732">
        <v>7</v>
      </c>
      <c r="H211" s="732" t="s">
        <v>6610</v>
      </c>
      <c r="I211" s="733" t="s">
        <v>6610</v>
      </c>
      <c r="J211" s="733" t="s">
        <v>6610</v>
      </c>
      <c r="K211" s="733" t="s">
        <v>6610</v>
      </c>
      <c r="L211" s="733" t="s">
        <v>6610</v>
      </c>
      <c r="M211" s="733" t="s">
        <v>6610</v>
      </c>
      <c r="N211" s="733" t="s">
        <v>6610</v>
      </c>
      <c r="O211" s="757" t="s">
        <v>7715</v>
      </c>
      <c r="P211" s="735">
        <v>10</v>
      </c>
      <c r="Q211" s="758" t="s">
        <v>7716</v>
      </c>
      <c r="R211" s="735">
        <v>91</v>
      </c>
      <c r="S211" s="759" t="s">
        <v>7716</v>
      </c>
      <c r="T211" s="735">
        <v>91</v>
      </c>
      <c r="U211" s="758" t="s">
        <v>7717</v>
      </c>
      <c r="V211" s="735">
        <v>30</v>
      </c>
      <c r="W211" s="758" t="s">
        <v>2915</v>
      </c>
      <c r="X211" s="758" t="s">
        <v>7718</v>
      </c>
      <c r="Y211" s="738">
        <v>93</v>
      </c>
      <c r="Z211" s="759" t="s">
        <v>7718</v>
      </c>
      <c r="AA211" s="735">
        <v>93</v>
      </c>
      <c r="AB211" s="758" t="s">
        <v>7719</v>
      </c>
      <c r="AC211" s="735">
        <v>29</v>
      </c>
      <c r="AD211" s="738" t="s">
        <v>3143</v>
      </c>
      <c r="AE211" s="689"/>
      <c r="AF211" s="494" t="s">
        <v>2917</v>
      </c>
      <c r="AJ211" s="760">
        <f>_xll.GetCtData("COAMOUNT","CONSAMOUNT",$B$1:$B$7,$B211,AJ$8,"#-189,140001745855")</f>
        <v>-189</v>
      </c>
    </row>
    <row r="212" spans="1:36" ht="12" customHeight="1">
      <c r="A212" s="718" t="s">
        <v>2879</v>
      </c>
      <c r="B212" s="718" t="s">
        <v>7720</v>
      </c>
      <c r="C212" s="453" t="s">
        <v>7721</v>
      </c>
      <c r="D212" s="731" t="s">
        <v>6609</v>
      </c>
      <c r="E212" s="655">
        <v>44035</v>
      </c>
      <c r="F212" s="732" t="s">
        <v>2912</v>
      </c>
      <c r="G212" s="732">
        <v>4</v>
      </c>
      <c r="H212" s="732" t="s">
        <v>6610</v>
      </c>
      <c r="I212" s="733" t="s">
        <v>6610</v>
      </c>
      <c r="J212" s="733" t="s">
        <v>6610</v>
      </c>
      <c r="K212" s="733" t="s">
        <v>6610</v>
      </c>
      <c r="L212" s="764" t="s">
        <v>7721</v>
      </c>
      <c r="M212" s="764" t="s">
        <v>6610</v>
      </c>
      <c r="N212" s="764" t="s">
        <v>6610</v>
      </c>
      <c r="O212" s="765"/>
      <c r="P212" s="735">
        <v>0</v>
      </c>
      <c r="Q212" s="766" t="s">
        <v>7722</v>
      </c>
      <c r="R212" s="735">
        <v>40</v>
      </c>
      <c r="S212" s="767" t="s">
        <v>7722</v>
      </c>
      <c r="T212" s="735">
        <v>40</v>
      </c>
      <c r="U212" s="766" t="s">
        <v>7723</v>
      </c>
      <c r="V212" s="735">
        <v>20</v>
      </c>
      <c r="W212" s="766" t="s">
        <v>2915</v>
      </c>
      <c r="X212" s="766" t="s">
        <v>7724</v>
      </c>
      <c r="Y212" s="738">
        <v>50</v>
      </c>
      <c r="Z212" s="767" t="s">
        <v>7724</v>
      </c>
      <c r="AA212" s="735">
        <v>50</v>
      </c>
      <c r="AB212" s="766" t="s">
        <v>7725</v>
      </c>
      <c r="AC212" s="735">
        <v>30</v>
      </c>
      <c r="AD212" s="738" t="s">
        <v>3143</v>
      </c>
      <c r="AE212" s="689"/>
      <c r="AF212" s="494" t="s">
        <v>2917</v>
      </c>
      <c r="AJ212" s="768">
        <f>_xll.GetCtData("COAMOUNT","CONSAMOUNT",$B$1:$B$7,$B212,AJ$8,"#151394,898008868")</f>
        <v>151394</v>
      </c>
    </row>
    <row r="213" spans="1:36" ht="12" customHeight="1">
      <c r="A213" s="718" t="s">
        <v>2879</v>
      </c>
      <c r="B213" s="718" t="s">
        <v>7726</v>
      </c>
      <c r="C213" s="453" t="s">
        <v>7727</v>
      </c>
      <c r="D213" s="731" t="s">
        <v>6609</v>
      </c>
      <c r="E213" s="655">
        <v>44035</v>
      </c>
      <c r="F213" s="732" t="s">
        <v>2912</v>
      </c>
      <c r="G213" s="732">
        <v>5</v>
      </c>
      <c r="H213" s="732" t="s">
        <v>6610</v>
      </c>
      <c r="I213" s="733" t="s">
        <v>6610</v>
      </c>
      <c r="J213" s="733" t="s">
        <v>6610</v>
      </c>
      <c r="K213" s="733" t="s">
        <v>6610</v>
      </c>
      <c r="L213" s="733" t="s">
        <v>6610</v>
      </c>
      <c r="M213" s="769" t="s">
        <v>7727</v>
      </c>
      <c r="N213" s="769" t="s">
        <v>6610</v>
      </c>
      <c r="O213" s="770"/>
      <c r="P213" s="735">
        <v>0</v>
      </c>
      <c r="Q213" s="771" t="s">
        <v>7728</v>
      </c>
      <c r="R213" s="735">
        <v>57</v>
      </c>
      <c r="S213" s="772" t="s">
        <v>7728</v>
      </c>
      <c r="T213" s="735">
        <v>57</v>
      </c>
      <c r="U213" s="771" t="s">
        <v>7729</v>
      </c>
      <c r="V213" s="735">
        <v>26</v>
      </c>
      <c r="W213" s="771" t="s">
        <v>2915</v>
      </c>
      <c r="X213" s="771" t="s">
        <v>7730</v>
      </c>
      <c r="Y213" s="738">
        <v>50</v>
      </c>
      <c r="Z213" s="772" t="s">
        <v>7730</v>
      </c>
      <c r="AA213" s="735">
        <v>50</v>
      </c>
      <c r="AB213" s="771" t="s">
        <v>7731</v>
      </c>
      <c r="AC213" s="735">
        <v>28</v>
      </c>
      <c r="AD213" s="738" t="s">
        <v>3143</v>
      </c>
      <c r="AE213" s="689"/>
      <c r="AF213" s="494" t="s">
        <v>2917</v>
      </c>
      <c r="AJ213" s="773">
        <f>_xll.GetCtData("COAMOUNT","CONSAMOUNT",$B$1:$B$7,$B213,AJ$8,"#151394,898008868")</f>
        <v>151394</v>
      </c>
    </row>
    <row r="214" spans="1:36" ht="12" customHeight="1">
      <c r="A214" s="718" t="s">
        <v>2879</v>
      </c>
      <c r="B214" s="718" t="s">
        <v>7732</v>
      </c>
      <c r="C214" s="453" t="s">
        <v>7733</v>
      </c>
      <c r="D214" s="731" t="s">
        <v>6609</v>
      </c>
      <c r="E214" s="655">
        <v>44035</v>
      </c>
      <c r="F214" s="732" t="s">
        <v>2912</v>
      </c>
      <c r="G214" s="732">
        <v>6</v>
      </c>
      <c r="H214" s="732" t="s">
        <v>6610</v>
      </c>
      <c r="I214" s="733" t="s">
        <v>6610</v>
      </c>
      <c r="J214" s="733" t="s">
        <v>6610</v>
      </c>
      <c r="K214" s="733" t="s">
        <v>6610</v>
      </c>
      <c r="L214" s="733" t="s">
        <v>6610</v>
      </c>
      <c r="M214" s="733" t="s">
        <v>6610</v>
      </c>
      <c r="N214" s="774" t="s">
        <v>7733</v>
      </c>
      <c r="O214" s="775"/>
      <c r="P214" s="735">
        <v>0</v>
      </c>
      <c r="Q214" s="776" t="s">
        <v>7734</v>
      </c>
      <c r="R214" s="735">
        <v>70</v>
      </c>
      <c r="S214" s="777" t="s">
        <v>7734</v>
      </c>
      <c r="T214" s="735">
        <v>70</v>
      </c>
      <c r="U214" s="776" t="s">
        <v>7735</v>
      </c>
      <c r="V214" s="735">
        <v>27</v>
      </c>
      <c r="W214" s="776" t="s">
        <v>2915</v>
      </c>
      <c r="X214" s="776" t="s">
        <v>7736</v>
      </c>
      <c r="Y214" s="738">
        <v>77</v>
      </c>
      <c r="Z214" s="777" t="s">
        <v>7736</v>
      </c>
      <c r="AA214" s="735">
        <v>77</v>
      </c>
      <c r="AB214" s="776" t="s">
        <v>7737</v>
      </c>
      <c r="AC214" s="735">
        <v>30</v>
      </c>
      <c r="AD214" s="738" t="s">
        <v>3143</v>
      </c>
      <c r="AE214" s="689"/>
      <c r="AF214" s="494" t="s">
        <v>2917</v>
      </c>
      <c r="AJ214" s="778">
        <f>_xll.GetCtData("COAMOUNT","CONSAMOUNT",$B$1:$B$7,$B214,AJ$8,"#151394,898008868")</f>
        <v>151394</v>
      </c>
    </row>
    <row r="215" spans="1:36" ht="12" customHeight="1">
      <c r="A215" s="718" t="s">
        <v>2879</v>
      </c>
      <c r="B215" s="718" t="s">
        <v>7738</v>
      </c>
      <c r="C215" s="453" t="s">
        <v>7739</v>
      </c>
      <c r="D215" s="731" t="s">
        <v>6609</v>
      </c>
      <c r="E215" s="655">
        <v>44035</v>
      </c>
      <c r="F215" s="732" t="s">
        <v>5409</v>
      </c>
      <c r="G215" s="732">
        <v>7</v>
      </c>
      <c r="H215" s="732" t="s">
        <v>6610</v>
      </c>
      <c r="I215" s="733" t="s">
        <v>6610</v>
      </c>
      <c r="J215" s="733" t="s">
        <v>6610</v>
      </c>
      <c r="K215" s="733" t="s">
        <v>6610</v>
      </c>
      <c r="L215" s="733" t="s">
        <v>6610</v>
      </c>
      <c r="M215" s="733" t="s">
        <v>6610</v>
      </c>
      <c r="N215" s="733" t="s">
        <v>6610</v>
      </c>
      <c r="O215" s="757" t="s">
        <v>7739</v>
      </c>
      <c r="P215" s="735">
        <v>10</v>
      </c>
      <c r="Q215" s="758" t="s">
        <v>7734</v>
      </c>
      <c r="R215" s="735">
        <v>70</v>
      </c>
      <c r="S215" s="759" t="s">
        <v>7734</v>
      </c>
      <c r="T215" s="735">
        <v>70</v>
      </c>
      <c r="U215" s="758" t="s">
        <v>7735</v>
      </c>
      <c r="V215" s="735">
        <v>27</v>
      </c>
      <c r="W215" s="758" t="s">
        <v>2915</v>
      </c>
      <c r="X215" s="758" t="s">
        <v>7736</v>
      </c>
      <c r="Y215" s="738">
        <v>77</v>
      </c>
      <c r="Z215" s="759" t="s">
        <v>7736</v>
      </c>
      <c r="AA215" s="735">
        <v>77</v>
      </c>
      <c r="AB215" s="758" t="s">
        <v>7737</v>
      </c>
      <c r="AC215" s="735">
        <v>30</v>
      </c>
      <c r="AD215" s="738" t="s">
        <v>3143</v>
      </c>
      <c r="AE215" s="689"/>
      <c r="AF215" s="494" t="s">
        <v>2917</v>
      </c>
      <c r="AJ215" s="760">
        <f>_xll.GetCtData("COAMOUNT","CONSAMOUNT",$B$1:$B$7,$B215,AJ$8,"#202770,925466645")</f>
        <v>202770</v>
      </c>
    </row>
    <row r="216" spans="1:36" ht="12" customHeight="1">
      <c r="A216" s="718" t="s">
        <v>2879</v>
      </c>
      <c r="B216" s="718" t="s">
        <v>7740</v>
      </c>
      <c r="C216" s="453" t="s">
        <v>7741</v>
      </c>
      <c r="D216" s="731" t="s">
        <v>6609</v>
      </c>
      <c r="E216" s="655">
        <v>44035</v>
      </c>
      <c r="F216" s="732" t="s">
        <v>5409</v>
      </c>
      <c r="G216" s="732">
        <v>7</v>
      </c>
      <c r="H216" s="732" t="s">
        <v>6610</v>
      </c>
      <c r="I216" s="733" t="s">
        <v>6610</v>
      </c>
      <c r="J216" s="733" t="s">
        <v>6610</v>
      </c>
      <c r="K216" s="733" t="s">
        <v>6610</v>
      </c>
      <c r="L216" s="733" t="s">
        <v>6610</v>
      </c>
      <c r="M216" s="733" t="s">
        <v>6610</v>
      </c>
      <c r="N216" s="733" t="s">
        <v>6610</v>
      </c>
      <c r="O216" s="757" t="s">
        <v>7741</v>
      </c>
      <c r="P216" s="735">
        <v>10</v>
      </c>
      <c r="Q216" s="758" t="s">
        <v>7742</v>
      </c>
      <c r="R216" s="735">
        <v>75</v>
      </c>
      <c r="S216" s="759" t="s">
        <v>7742</v>
      </c>
      <c r="T216" s="735">
        <v>75</v>
      </c>
      <c r="U216" s="758" t="s">
        <v>7743</v>
      </c>
      <c r="V216" s="735">
        <v>30</v>
      </c>
      <c r="W216" s="758" t="s">
        <v>2915</v>
      </c>
      <c r="X216" s="758" t="s">
        <v>7744</v>
      </c>
      <c r="Y216" s="738">
        <v>82</v>
      </c>
      <c r="Z216" s="759" t="s">
        <v>7744</v>
      </c>
      <c r="AA216" s="735">
        <v>82</v>
      </c>
      <c r="AB216" s="758" t="s">
        <v>7745</v>
      </c>
      <c r="AC216" s="735">
        <v>30</v>
      </c>
      <c r="AD216" s="738" t="s">
        <v>3143</v>
      </c>
      <c r="AE216" s="689"/>
      <c r="AF216" s="494" t="s">
        <v>2917</v>
      </c>
      <c r="AJ216" s="760">
        <f>_xll.GetCtData("COAMOUNT","CONSAMOUNT",$B$1:$B$7,$B216,AJ$8,"#-51376,0274577766")</f>
        <v>-51376</v>
      </c>
    </row>
    <row r="217" spans="1:36" ht="12" customHeight="1">
      <c r="A217" s="718" t="s">
        <v>2879</v>
      </c>
      <c r="B217" s="718" t="s">
        <v>7746</v>
      </c>
      <c r="C217" s="453" t="s">
        <v>7747</v>
      </c>
      <c r="D217" s="731" t="s">
        <v>6609</v>
      </c>
      <c r="E217" s="655">
        <v>44035</v>
      </c>
      <c r="F217" s="732" t="s">
        <v>2912</v>
      </c>
      <c r="G217" s="732">
        <v>6</v>
      </c>
      <c r="H217" s="732" t="s">
        <v>6610</v>
      </c>
      <c r="I217" s="733" t="s">
        <v>6610</v>
      </c>
      <c r="J217" s="733" t="s">
        <v>6610</v>
      </c>
      <c r="K217" s="733" t="s">
        <v>6610</v>
      </c>
      <c r="L217" s="733" t="s">
        <v>6610</v>
      </c>
      <c r="M217" s="733" t="s">
        <v>6610</v>
      </c>
      <c r="N217" s="774" t="s">
        <v>7747</v>
      </c>
      <c r="O217" s="775"/>
      <c r="P217" s="735">
        <v>0</v>
      </c>
      <c r="Q217" s="813" t="s">
        <v>7748</v>
      </c>
      <c r="R217" s="735">
        <v>60</v>
      </c>
      <c r="S217" s="814" t="s">
        <v>7748</v>
      </c>
      <c r="T217" s="735">
        <v>60</v>
      </c>
      <c r="U217" s="813" t="s">
        <v>7749</v>
      </c>
      <c r="V217" s="735">
        <v>30</v>
      </c>
      <c r="W217" s="813" t="s">
        <v>2915</v>
      </c>
      <c r="X217" s="813" t="s">
        <v>7750</v>
      </c>
      <c r="Y217" s="738">
        <v>52</v>
      </c>
      <c r="Z217" s="814" t="s">
        <v>7750</v>
      </c>
      <c r="AA217" s="735">
        <v>52</v>
      </c>
      <c r="AB217" s="813" t="s">
        <v>7751</v>
      </c>
      <c r="AC217" s="735">
        <v>30</v>
      </c>
      <c r="AD217" s="738" t="s">
        <v>3143</v>
      </c>
      <c r="AE217" s="689"/>
      <c r="AF217" s="494" t="s">
        <v>2917</v>
      </c>
      <c r="AJ217" s="815">
        <f>_xll.GetCtData("COAMOUNT","CONSAMOUNT",$B$1:$B$7,$B217,AJ$8,"#")</f>
        <v>0</v>
      </c>
    </row>
    <row r="218" spans="1:36" ht="12" customHeight="1">
      <c r="A218" s="718" t="s">
        <v>2879</v>
      </c>
      <c r="B218" s="718" t="s">
        <v>7752</v>
      </c>
      <c r="C218" s="453" t="s">
        <v>7753</v>
      </c>
      <c r="D218" s="731" t="s">
        <v>6609</v>
      </c>
      <c r="E218" s="655">
        <v>44035</v>
      </c>
      <c r="F218" s="732" t="s">
        <v>5409</v>
      </c>
      <c r="G218" s="732">
        <v>7</v>
      </c>
      <c r="H218" s="732" t="s">
        <v>6610</v>
      </c>
      <c r="I218" s="733" t="s">
        <v>6610</v>
      </c>
      <c r="J218" s="733" t="s">
        <v>6610</v>
      </c>
      <c r="K218" s="733" t="s">
        <v>6610</v>
      </c>
      <c r="L218" s="733" t="s">
        <v>6610</v>
      </c>
      <c r="M218" s="733" t="s">
        <v>6610</v>
      </c>
      <c r="N218" s="733" t="s">
        <v>6610</v>
      </c>
      <c r="O218" s="757" t="s">
        <v>7753</v>
      </c>
      <c r="P218" s="735">
        <v>10</v>
      </c>
      <c r="Q218" s="810" t="s">
        <v>7754</v>
      </c>
      <c r="R218" s="735">
        <v>68</v>
      </c>
      <c r="S218" s="811" t="s">
        <v>7754</v>
      </c>
      <c r="T218" s="735">
        <v>68</v>
      </c>
      <c r="U218" s="810" t="s">
        <v>7755</v>
      </c>
      <c r="V218" s="735">
        <v>27</v>
      </c>
      <c r="W218" s="758" t="s">
        <v>2915</v>
      </c>
      <c r="X218" s="810" t="s">
        <v>7756</v>
      </c>
      <c r="Y218" s="738">
        <v>60</v>
      </c>
      <c r="Z218" s="811" t="s">
        <v>7756</v>
      </c>
      <c r="AA218" s="735">
        <v>60</v>
      </c>
      <c r="AB218" s="810" t="s">
        <v>7757</v>
      </c>
      <c r="AC218" s="735">
        <v>29</v>
      </c>
      <c r="AD218" s="738" t="s">
        <v>3143</v>
      </c>
      <c r="AE218" s="689"/>
      <c r="AF218" s="494" t="s">
        <v>2917</v>
      </c>
      <c r="AJ218" s="812">
        <f>_xll.GetCtData("COAMOUNT","CONSAMOUNT",$B$1:$B$7,$B218,AJ$8,"#")</f>
        <v>0</v>
      </c>
    </row>
    <row r="219" spans="1:36" ht="12" customHeight="1">
      <c r="A219" s="718" t="s">
        <v>2879</v>
      </c>
      <c r="B219" s="718" t="s">
        <v>7758</v>
      </c>
      <c r="C219" s="453" t="s">
        <v>7759</v>
      </c>
      <c r="D219" s="731" t="s">
        <v>6609</v>
      </c>
      <c r="E219" s="655">
        <v>44035</v>
      </c>
      <c r="F219" s="732" t="s">
        <v>5409</v>
      </c>
      <c r="G219" s="732">
        <v>7</v>
      </c>
      <c r="H219" s="732" t="s">
        <v>6610</v>
      </c>
      <c r="I219" s="733" t="s">
        <v>6610</v>
      </c>
      <c r="J219" s="733" t="s">
        <v>6610</v>
      </c>
      <c r="K219" s="733" t="s">
        <v>6610</v>
      </c>
      <c r="L219" s="733" t="s">
        <v>6610</v>
      </c>
      <c r="M219" s="733" t="s">
        <v>6610</v>
      </c>
      <c r="N219" s="733" t="s">
        <v>6610</v>
      </c>
      <c r="O219" s="757" t="s">
        <v>7759</v>
      </c>
      <c r="P219" s="735">
        <v>10</v>
      </c>
      <c r="Q219" s="758" t="s">
        <v>7760</v>
      </c>
      <c r="R219" s="735">
        <v>65</v>
      </c>
      <c r="S219" s="759" t="s">
        <v>7760</v>
      </c>
      <c r="T219" s="735">
        <v>65</v>
      </c>
      <c r="U219" s="758" t="s">
        <v>7761</v>
      </c>
      <c r="V219" s="735">
        <v>27</v>
      </c>
      <c r="W219" s="758" t="s">
        <v>2915</v>
      </c>
      <c r="X219" s="758" t="s">
        <v>7762</v>
      </c>
      <c r="Y219" s="738">
        <v>57</v>
      </c>
      <c r="Z219" s="759" t="s">
        <v>7762</v>
      </c>
      <c r="AA219" s="735">
        <v>57</v>
      </c>
      <c r="AB219" s="758" t="s">
        <v>7763</v>
      </c>
      <c r="AC219" s="735">
        <v>30</v>
      </c>
      <c r="AD219" s="738" t="s">
        <v>3143</v>
      </c>
      <c r="AE219" s="689"/>
      <c r="AF219" s="494" t="s">
        <v>2917</v>
      </c>
      <c r="AJ219" s="760">
        <f>_xll.GetCtData("COAMOUNT","CONSAMOUNT",$B$1:$B$7,$B219,AJ$8,"#")</f>
        <v>0</v>
      </c>
    </row>
    <row r="220" spans="1:36" ht="12" customHeight="1">
      <c r="A220" s="718" t="s">
        <v>2879</v>
      </c>
      <c r="B220" s="718" t="s">
        <v>7764</v>
      </c>
      <c r="C220" s="453" t="s">
        <v>7765</v>
      </c>
      <c r="D220" s="731" t="s">
        <v>6609</v>
      </c>
      <c r="E220" s="655">
        <v>44035</v>
      </c>
      <c r="F220" s="732" t="s">
        <v>2912</v>
      </c>
      <c r="G220" s="732">
        <v>6</v>
      </c>
      <c r="H220" s="732" t="s">
        <v>6610</v>
      </c>
      <c r="I220" s="733" t="s">
        <v>6610</v>
      </c>
      <c r="J220" s="733" t="s">
        <v>6610</v>
      </c>
      <c r="K220" s="733" t="s">
        <v>6610</v>
      </c>
      <c r="L220" s="733" t="s">
        <v>6610</v>
      </c>
      <c r="M220" s="733" t="s">
        <v>6610</v>
      </c>
      <c r="N220" s="774" t="s">
        <v>7765</v>
      </c>
      <c r="O220" s="775"/>
      <c r="P220" s="735">
        <v>0</v>
      </c>
      <c r="Q220" s="776" t="s">
        <v>7766</v>
      </c>
      <c r="R220" s="735">
        <v>89</v>
      </c>
      <c r="S220" s="777" t="s">
        <v>7766</v>
      </c>
      <c r="T220" s="735">
        <v>89</v>
      </c>
      <c r="U220" s="776" t="s">
        <v>7767</v>
      </c>
      <c r="V220" s="735">
        <v>30</v>
      </c>
      <c r="W220" s="776" t="s">
        <v>2915</v>
      </c>
      <c r="X220" s="776" t="s">
        <v>7768</v>
      </c>
      <c r="Y220" s="738">
        <v>82</v>
      </c>
      <c r="Z220" s="777" t="s">
        <v>7768</v>
      </c>
      <c r="AA220" s="735">
        <v>82</v>
      </c>
      <c r="AB220" s="776" t="s">
        <v>7769</v>
      </c>
      <c r="AC220" s="735">
        <v>30</v>
      </c>
      <c r="AD220" s="738" t="s">
        <v>3143</v>
      </c>
      <c r="AE220" s="689"/>
      <c r="AF220" s="494" t="s">
        <v>2917</v>
      </c>
      <c r="AJ220" s="778">
        <f>_xll.GetCtData("COAMOUNT","CONSAMOUNT",$B$1:$B$7,$B220,AJ$8,"#")</f>
        <v>0</v>
      </c>
    </row>
    <row r="221" spans="1:36" ht="12" customHeight="1">
      <c r="A221" s="718" t="s">
        <v>2879</v>
      </c>
      <c r="B221" s="718" t="s">
        <v>7770</v>
      </c>
      <c r="C221" s="453" t="s">
        <v>7771</v>
      </c>
      <c r="D221" s="731" t="s">
        <v>6609</v>
      </c>
      <c r="E221" s="655">
        <v>44035</v>
      </c>
      <c r="F221" s="732" t="s">
        <v>5409</v>
      </c>
      <c r="G221" s="732">
        <v>7</v>
      </c>
      <c r="H221" s="732" t="s">
        <v>6610</v>
      </c>
      <c r="I221" s="733" t="s">
        <v>6610</v>
      </c>
      <c r="J221" s="733" t="s">
        <v>6610</v>
      </c>
      <c r="K221" s="733" t="s">
        <v>6610</v>
      </c>
      <c r="L221" s="733" t="s">
        <v>6610</v>
      </c>
      <c r="M221" s="733" t="s">
        <v>6610</v>
      </c>
      <c r="N221" s="733" t="s">
        <v>6610</v>
      </c>
      <c r="O221" s="757" t="s">
        <v>7771</v>
      </c>
      <c r="P221" s="735">
        <v>10</v>
      </c>
      <c r="Q221" s="758" t="s">
        <v>7766</v>
      </c>
      <c r="R221" s="735">
        <v>89</v>
      </c>
      <c r="S221" s="759" t="s">
        <v>7766</v>
      </c>
      <c r="T221" s="735">
        <v>89</v>
      </c>
      <c r="U221" s="758" t="s">
        <v>7767</v>
      </c>
      <c r="V221" s="735">
        <v>30</v>
      </c>
      <c r="W221" s="758" t="s">
        <v>2915</v>
      </c>
      <c r="X221" s="758" t="s">
        <v>7768</v>
      </c>
      <c r="Y221" s="738">
        <v>82</v>
      </c>
      <c r="Z221" s="759" t="s">
        <v>7768</v>
      </c>
      <c r="AA221" s="735">
        <v>82</v>
      </c>
      <c r="AB221" s="758" t="s">
        <v>7769</v>
      </c>
      <c r="AC221" s="735">
        <v>30</v>
      </c>
      <c r="AD221" s="738" t="s">
        <v>3143</v>
      </c>
      <c r="AE221" s="689"/>
      <c r="AF221" s="494" t="s">
        <v>2917</v>
      </c>
      <c r="AJ221" s="760">
        <f>_xll.GetCtData("COAMOUNT","CONSAMOUNT",$B$1:$B$7,$B221,AJ$8,"#")</f>
        <v>0</v>
      </c>
    </row>
    <row r="222" spans="1:36" ht="12" customHeight="1">
      <c r="A222" s="718" t="s">
        <v>2879</v>
      </c>
      <c r="B222" s="718" t="s">
        <v>7772</v>
      </c>
      <c r="C222" s="453" t="s">
        <v>7773</v>
      </c>
      <c r="D222" s="731" t="s">
        <v>6609</v>
      </c>
      <c r="E222" s="655">
        <v>44038</v>
      </c>
      <c r="F222" s="732" t="s">
        <v>5409</v>
      </c>
      <c r="G222" s="732">
        <v>7</v>
      </c>
      <c r="H222" s="732" t="s">
        <v>6610</v>
      </c>
      <c r="I222" s="733" t="s">
        <v>6610</v>
      </c>
      <c r="J222" s="733" t="s">
        <v>6610</v>
      </c>
      <c r="K222" s="733" t="s">
        <v>6610</v>
      </c>
      <c r="L222" s="733" t="s">
        <v>6610</v>
      </c>
      <c r="M222" s="733" t="s">
        <v>6610</v>
      </c>
      <c r="N222" s="733" t="s">
        <v>6610</v>
      </c>
      <c r="O222" s="757" t="s">
        <v>7773</v>
      </c>
      <c r="P222" s="735">
        <v>10</v>
      </c>
      <c r="Q222" s="758" t="s">
        <v>7774</v>
      </c>
      <c r="R222" s="735">
        <v>116</v>
      </c>
      <c r="S222" s="759" t="s">
        <v>7774</v>
      </c>
      <c r="T222" s="735">
        <v>116</v>
      </c>
      <c r="U222" s="758" t="s">
        <v>7775</v>
      </c>
      <c r="V222" s="735">
        <v>30</v>
      </c>
      <c r="W222" s="758" t="s">
        <v>2915</v>
      </c>
      <c r="X222" s="758" t="s">
        <v>7776</v>
      </c>
      <c r="Y222" s="738">
        <v>108</v>
      </c>
      <c r="Z222" s="759" t="s">
        <v>7776</v>
      </c>
      <c r="AA222" s="735">
        <v>108</v>
      </c>
      <c r="AB222" s="758" t="s">
        <v>7777</v>
      </c>
      <c r="AC222" s="735">
        <v>30</v>
      </c>
      <c r="AD222" s="738" t="s">
        <v>3143</v>
      </c>
      <c r="AE222" s="689"/>
      <c r="AF222" s="494" t="s">
        <v>2917</v>
      </c>
      <c r="AJ222" s="760">
        <f>_xll.GetCtData("COAMOUNT","CONSAMOUNT",$B$1:$B$7,$B222,AJ$8,"#")</f>
        <v>0</v>
      </c>
    </row>
    <row r="223" spans="1:36" ht="12" customHeight="1">
      <c r="A223" s="718" t="s">
        <v>2879</v>
      </c>
      <c r="B223" s="718" t="s">
        <v>7778</v>
      </c>
      <c r="C223" s="453" t="s">
        <v>7779</v>
      </c>
      <c r="D223" s="731" t="s">
        <v>6609</v>
      </c>
      <c r="E223" s="655">
        <v>44035</v>
      </c>
      <c r="F223" s="732" t="s">
        <v>5409</v>
      </c>
      <c r="G223" s="732">
        <v>7</v>
      </c>
      <c r="H223" s="732" t="s">
        <v>6610</v>
      </c>
      <c r="I223" s="733" t="s">
        <v>6610</v>
      </c>
      <c r="J223" s="733" t="s">
        <v>6610</v>
      </c>
      <c r="K223" s="733" t="s">
        <v>6610</v>
      </c>
      <c r="L223" s="733" t="s">
        <v>6610</v>
      </c>
      <c r="M223" s="733" t="s">
        <v>6610</v>
      </c>
      <c r="N223" s="733" t="s">
        <v>6610</v>
      </c>
      <c r="O223" s="757" t="s">
        <v>7779</v>
      </c>
      <c r="P223" s="735">
        <v>10</v>
      </c>
      <c r="Q223" s="758" t="s">
        <v>7780</v>
      </c>
      <c r="R223" s="735">
        <v>94</v>
      </c>
      <c r="S223" s="759" t="s">
        <v>7780</v>
      </c>
      <c r="T223" s="735">
        <v>94</v>
      </c>
      <c r="U223" s="758" t="s">
        <v>7781</v>
      </c>
      <c r="V223" s="735">
        <v>30</v>
      </c>
      <c r="W223" s="758" t="s">
        <v>2915</v>
      </c>
      <c r="X223" s="758" t="s">
        <v>7782</v>
      </c>
      <c r="Y223" s="738">
        <v>87</v>
      </c>
      <c r="Z223" s="759" t="s">
        <v>7782</v>
      </c>
      <c r="AA223" s="735">
        <v>87</v>
      </c>
      <c r="AB223" s="758" t="s">
        <v>7783</v>
      </c>
      <c r="AC223" s="735">
        <v>30</v>
      </c>
      <c r="AD223" s="738" t="s">
        <v>3143</v>
      </c>
      <c r="AE223" s="689"/>
      <c r="AF223" s="494" t="s">
        <v>2917</v>
      </c>
      <c r="AJ223" s="760">
        <f>_xll.GetCtData("COAMOUNT","CONSAMOUNT",$B$1:$B$7,$B223,AJ$8,"#")</f>
        <v>0</v>
      </c>
    </row>
    <row r="224" spans="1:36" ht="12" customHeight="1">
      <c r="A224" s="718" t="s">
        <v>2879</v>
      </c>
      <c r="B224" s="718" t="s">
        <v>7784</v>
      </c>
      <c r="C224" s="453" t="s">
        <v>7785</v>
      </c>
      <c r="D224" s="731" t="s">
        <v>6609</v>
      </c>
      <c r="E224" s="655">
        <v>44038</v>
      </c>
      <c r="F224" s="732" t="s">
        <v>5409</v>
      </c>
      <c r="G224" s="732">
        <v>7</v>
      </c>
      <c r="H224" s="732" t="s">
        <v>6610</v>
      </c>
      <c r="I224" s="733" t="s">
        <v>6610</v>
      </c>
      <c r="J224" s="733" t="s">
        <v>6610</v>
      </c>
      <c r="K224" s="733" t="s">
        <v>6610</v>
      </c>
      <c r="L224" s="733" t="s">
        <v>6610</v>
      </c>
      <c r="M224" s="733" t="s">
        <v>6610</v>
      </c>
      <c r="N224" s="733" t="s">
        <v>6610</v>
      </c>
      <c r="O224" s="757" t="s">
        <v>7785</v>
      </c>
      <c r="P224" s="735">
        <v>10</v>
      </c>
      <c r="Q224" s="758" t="s">
        <v>7786</v>
      </c>
      <c r="R224" s="735">
        <v>120</v>
      </c>
      <c r="S224" s="759" t="s">
        <v>7786</v>
      </c>
      <c r="T224" s="735">
        <v>120</v>
      </c>
      <c r="U224" s="758" t="s">
        <v>7787</v>
      </c>
      <c r="V224" s="735">
        <v>30</v>
      </c>
      <c r="W224" s="758" t="s">
        <v>2915</v>
      </c>
      <c r="X224" s="758" t="s">
        <v>7788</v>
      </c>
      <c r="Y224" s="738">
        <v>113</v>
      </c>
      <c r="Z224" s="759" t="s">
        <v>7788</v>
      </c>
      <c r="AA224" s="735">
        <v>113</v>
      </c>
      <c r="AB224" s="758" t="s">
        <v>7789</v>
      </c>
      <c r="AC224" s="735">
        <v>30</v>
      </c>
      <c r="AD224" s="738" t="s">
        <v>3143</v>
      </c>
      <c r="AE224" s="689"/>
      <c r="AF224" s="494" t="s">
        <v>2917</v>
      </c>
      <c r="AJ224" s="760">
        <f>_xll.GetCtData("COAMOUNT","CONSAMOUNT",$B$1:$B$7,$B224,AJ$8,"#")</f>
        <v>0</v>
      </c>
    </row>
    <row r="225" spans="1:37" ht="12" customHeight="1">
      <c r="A225" s="718" t="s">
        <v>2879</v>
      </c>
      <c r="B225" s="718" t="s">
        <v>7790</v>
      </c>
      <c r="C225" s="453" t="s">
        <v>7791</v>
      </c>
      <c r="D225" s="731" t="s">
        <v>6609</v>
      </c>
      <c r="E225" s="655">
        <v>44035</v>
      </c>
      <c r="F225" s="732" t="s">
        <v>2912</v>
      </c>
      <c r="G225" s="732">
        <v>3</v>
      </c>
      <c r="H225" s="732" t="s">
        <v>6610</v>
      </c>
      <c r="I225" s="733" t="s">
        <v>6610</v>
      </c>
      <c r="J225" s="733" t="s">
        <v>6610</v>
      </c>
      <c r="K225" s="752" t="s">
        <v>7791</v>
      </c>
      <c r="L225" s="752" t="s">
        <v>6610</v>
      </c>
      <c r="M225" s="752" t="s">
        <v>6610</v>
      </c>
      <c r="N225" s="752" t="s">
        <v>6610</v>
      </c>
      <c r="O225" s="753"/>
      <c r="P225" s="735">
        <v>0</v>
      </c>
      <c r="Q225" s="754" t="s">
        <v>7792</v>
      </c>
      <c r="R225" s="735">
        <v>39</v>
      </c>
      <c r="S225" s="755" t="s">
        <v>7792</v>
      </c>
      <c r="T225" s="735">
        <v>39</v>
      </c>
      <c r="U225" s="754" t="s">
        <v>7793</v>
      </c>
      <c r="V225" s="735">
        <v>26</v>
      </c>
      <c r="W225" s="754" t="s">
        <v>2915</v>
      </c>
      <c r="X225" s="754" t="s">
        <v>7794</v>
      </c>
      <c r="Y225" s="738">
        <v>49</v>
      </c>
      <c r="Z225" s="755" t="s">
        <v>7794</v>
      </c>
      <c r="AA225" s="735">
        <v>49</v>
      </c>
      <c r="AB225" s="754" t="s">
        <v>7795</v>
      </c>
      <c r="AC225" s="735">
        <v>30</v>
      </c>
      <c r="AD225" s="738" t="s">
        <v>3143</v>
      </c>
      <c r="AE225" s="689"/>
      <c r="AF225" s="494" t="s">
        <v>2917</v>
      </c>
      <c r="AJ225" s="756">
        <f>_xll.GetCtData("COAMOUNT","CONSAMOUNT",$B$1:$B$7,$B225,AJ$8,"#352069,224767967")</f>
        <v>352069</v>
      </c>
    </row>
    <row r="226" spans="1:37" ht="12" customHeight="1">
      <c r="A226" s="718" t="s">
        <v>2879</v>
      </c>
      <c r="B226" s="718" t="s">
        <v>2616</v>
      </c>
      <c r="C226" s="453" t="s">
        <v>7796</v>
      </c>
      <c r="D226" s="731" t="s">
        <v>6609</v>
      </c>
      <c r="E226" s="655">
        <v>44035</v>
      </c>
      <c r="F226" s="732" t="s">
        <v>5409</v>
      </c>
      <c r="G226" s="732">
        <v>7</v>
      </c>
      <c r="H226" s="732" t="s">
        <v>6610</v>
      </c>
      <c r="I226" s="733" t="s">
        <v>6610</v>
      </c>
      <c r="J226" s="733" t="s">
        <v>6610</v>
      </c>
      <c r="K226" s="733" t="s">
        <v>6610</v>
      </c>
      <c r="L226" s="733" t="s">
        <v>6610</v>
      </c>
      <c r="M226" s="733" t="s">
        <v>6610</v>
      </c>
      <c r="N226" s="733" t="s">
        <v>6610</v>
      </c>
      <c r="O226" s="757" t="s">
        <v>7796</v>
      </c>
      <c r="P226" s="735">
        <v>10</v>
      </c>
      <c r="Q226" s="758" t="s">
        <v>7797</v>
      </c>
      <c r="R226" s="735">
        <v>25</v>
      </c>
      <c r="S226" s="759" t="s">
        <v>7797</v>
      </c>
      <c r="T226" s="735">
        <v>25</v>
      </c>
      <c r="U226" s="758" t="s">
        <v>7797</v>
      </c>
      <c r="V226" s="735">
        <v>25</v>
      </c>
      <c r="W226" s="758" t="s">
        <v>2915</v>
      </c>
      <c r="X226" s="758" t="s">
        <v>7798</v>
      </c>
      <c r="Y226" s="738">
        <v>34</v>
      </c>
      <c r="Z226" s="759" t="s">
        <v>7798</v>
      </c>
      <c r="AA226" s="735">
        <v>34</v>
      </c>
      <c r="AB226" s="758" t="s">
        <v>7799</v>
      </c>
      <c r="AC226" s="735">
        <v>22</v>
      </c>
      <c r="AD226" s="738" t="s">
        <v>3143</v>
      </c>
      <c r="AE226" s="689"/>
      <c r="AF226" s="494" t="s">
        <v>2917</v>
      </c>
      <c r="AJ226" s="760">
        <f>_xll.GetCtData("COAMOUNT","CONSAMOUNT",$B$1:$B$7,$B226,AJ$8,"#352069,224767967")</f>
        <v>352069</v>
      </c>
    </row>
    <row r="227" spans="1:37" ht="12" customHeight="1">
      <c r="A227" s="718" t="s">
        <v>2879</v>
      </c>
      <c r="B227" s="718" t="s">
        <v>7800</v>
      </c>
      <c r="C227" s="453" t="s">
        <v>7801</v>
      </c>
      <c r="D227" s="731" t="s">
        <v>6609</v>
      </c>
      <c r="E227" s="655">
        <v>44035</v>
      </c>
      <c r="F227" s="732" t="s">
        <v>2912</v>
      </c>
      <c r="G227" s="732">
        <v>1</v>
      </c>
      <c r="H227" s="732" t="s">
        <v>6610</v>
      </c>
      <c r="I227" s="742" t="s">
        <v>7801</v>
      </c>
      <c r="J227" s="742" t="s">
        <v>6610</v>
      </c>
      <c r="K227" s="742" t="s">
        <v>6610</v>
      </c>
      <c r="L227" s="742" t="s">
        <v>6610</v>
      </c>
      <c r="M227" s="742" t="s">
        <v>6610</v>
      </c>
      <c r="N227" s="742" t="s">
        <v>6610</v>
      </c>
      <c r="O227" s="743"/>
      <c r="P227" s="735">
        <v>0</v>
      </c>
      <c r="Q227" s="744" t="s">
        <v>7802</v>
      </c>
      <c r="R227" s="735">
        <v>29</v>
      </c>
      <c r="S227" s="745" t="s">
        <v>7802</v>
      </c>
      <c r="T227" s="735">
        <v>29</v>
      </c>
      <c r="U227" s="744" t="s">
        <v>7802</v>
      </c>
      <c r="V227" s="735">
        <v>29</v>
      </c>
      <c r="W227" s="744" t="s">
        <v>2915</v>
      </c>
      <c r="X227" s="744" t="s">
        <v>7803</v>
      </c>
      <c r="Y227" s="738">
        <v>35</v>
      </c>
      <c r="Z227" s="745" t="s">
        <v>7803</v>
      </c>
      <c r="AA227" s="735">
        <v>35</v>
      </c>
      <c r="AB227" s="744" t="s">
        <v>7804</v>
      </c>
      <c r="AC227" s="735">
        <v>18</v>
      </c>
      <c r="AD227" s="738" t="s">
        <v>3143</v>
      </c>
      <c r="AE227" s="689"/>
      <c r="AF227" s="494" t="s">
        <v>2917</v>
      </c>
      <c r="AJ227" s="746">
        <f>_xll.GetCtData("COAMOUNT","CONSAMOUNT",$B$1:$B$7,$B227,AJ$8,"#365278832,647764")</f>
        <v>365278832</v>
      </c>
    </row>
    <row r="228" spans="1:37" ht="12" customHeight="1">
      <c r="A228" s="816" t="s">
        <v>2879</v>
      </c>
      <c r="B228" s="816" t="s">
        <v>7805</v>
      </c>
      <c r="C228" s="817" t="s">
        <v>7806</v>
      </c>
      <c r="D228" s="818" t="s">
        <v>6609</v>
      </c>
      <c r="E228" s="819">
        <v>44035</v>
      </c>
      <c r="F228" s="820" t="s">
        <v>5409</v>
      </c>
      <c r="G228" s="820">
        <v>7</v>
      </c>
      <c r="H228" s="820" t="s">
        <v>6610</v>
      </c>
      <c r="I228" s="821" t="s">
        <v>6610</v>
      </c>
      <c r="J228" s="821" t="s">
        <v>6610</v>
      </c>
      <c r="K228" s="821" t="s">
        <v>6610</v>
      </c>
      <c r="L228" s="821" t="s">
        <v>6610</v>
      </c>
      <c r="M228" s="821" t="s">
        <v>6610</v>
      </c>
      <c r="N228" s="821" t="s">
        <v>6610</v>
      </c>
      <c r="O228" s="822" t="s">
        <v>7806</v>
      </c>
      <c r="P228" s="823">
        <v>9</v>
      </c>
      <c r="Q228" s="824" t="s">
        <v>7807</v>
      </c>
      <c r="R228" s="823">
        <v>52</v>
      </c>
      <c r="S228" s="825" t="s">
        <v>7807</v>
      </c>
      <c r="T228" s="735">
        <v>52</v>
      </c>
      <c r="U228" s="758" t="s">
        <v>7808</v>
      </c>
      <c r="V228" s="735">
        <v>37</v>
      </c>
      <c r="W228" s="758" t="s">
        <v>2915</v>
      </c>
      <c r="X228" s="758" t="s">
        <v>7809</v>
      </c>
      <c r="Y228" s="738">
        <v>65</v>
      </c>
      <c r="Z228" s="759" t="s">
        <v>7809</v>
      </c>
      <c r="AA228" s="735">
        <v>65</v>
      </c>
      <c r="AB228" s="758" t="s">
        <v>7810</v>
      </c>
      <c r="AC228" s="735">
        <v>42</v>
      </c>
      <c r="AD228" s="738" t="s">
        <v>3143</v>
      </c>
      <c r="AE228" s="689"/>
      <c r="AF228" s="826" t="s">
        <v>5577</v>
      </c>
      <c r="AJ228" s="827"/>
    </row>
    <row r="229" spans="1:37" ht="12" customHeight="1">
      <c r="A229" s="816" t="s">
        <v>2879</v>
      </c>
      <c r="B229" s="816" t="s">
        <v>7811</v>
      </c>
      <c r="C229" s="817" t="s">
        <v>7812</v>
      </c>
      <c r="D229" s="818" t="s">
        <v>6609</v>
      </c>
      <c r="E229" s="819">
        <v>44035</v>
      </c>
      <c r="F229" s="820" t="s">
        <v>5409</v>
      </c>
      <c r="G229" s="820">
        <v>7</v>
      </c>
      <c r="H229" s="820" t="s">
        <v>6610</v>
      </c>
      <c r="I229" s="821" t="s">
        <v>6610</v>
      </c>
      <c r="J229" s="821" t="s">
        <v>6610</v>
      </c>
      <c r="K229" s="821" t="s">
        <v>6610</v>
      </c>
      <c r="L229" s="821" t="s">
        <v>6610</v>
      </c>
      <c r="M229" s="821" t="s">
        <v>6610</v>
      </c>
      <c r="N229" s="821" t="s">
        <v>6610</v>
      </c>
      <c r="O229" s="822" t="s">
        <v>7812</v>
      </c>
      <c r="P229" s="823">
        <v>10</v>
      </c>
      <c r="Q229" s="824" t="s">
        <v>7813</v>
      </c>
      <c r="R229" s="823">
        <v>51</v>
      </c>
      <c r="S229" s="825" t="s">
        <v>7813</v>
      </c>
      <c r="T229" s="735">
        <v>51</v>
      </c>
      <c r="U229" s="758" t="s">
        <v>7814</v>
      </c>
      <c r="V229" s="735">
        <v>40</v>
      </c>
      <c r="W229" s="758" t="s">
        <v>2915</v>
      </c>
      <c r="X229" s="758" t="s">
        <v>7815</v>
      </c>
      <c r="Y229" s="738">
        <v>60</v>
      </c>
      <c r="Z229" s="759" t="s">
        <v>7815</v>
      </c>
      <c r="AA229" s="735">
        <v>60</v>
      </c>
      <c r="AB229" s="758" t="s">
        <v>7816</v>
      </c>
      <c r="AC229" s="735">
        <v>29</v>
      </c>
      <c r="AD229" s="738" t="s">
        <v>3143</v>
      </c>
      <c r="AE229" s="689"/>
      <c r="AF229" s="826" t="s">
        <v>5577</v>
      </c>
      <c r="AH229" s="723" t="s">
        <v>5359</v>
      </c>
      <c r="AJ229" s="827"/>
    </row>
    <row r="230" spans="1:37" ht="12" customHeight="1">
      <c r="A230" s="718" t="s">
        <v>2879</v>
      </c>
      <c r="B230" s="718" t="s">
        <v>7817</v>
      </c>
      <c r="C230" s="453" t="s">
        <v>7818</v>
      </c>
      <c r="D230" s="731" t="s">
        <v>6609</v>
      </c>
      <c r="E230" s="655">
        <v>44035</v>
      </c>
      <c r="F230" s="789" t="s">
        <v>2912</v>
      </c>
      <c r="G230" s="732">
        <v>2</v>
      </c>
      <c r="H230" s="828" t="s">
        <v>6610</v>
      </c>
      <c r="I230" s="733" t="s">
        <v>6610</v>
      </c>
      <c r="J230" s="747" t="s">
        <v>7818</v>
      </c>
      <c r="K230" s="747" t="s">
        <v>6610</v>
      </c>
      <c r="L230" s="747" t="s">
        <v>6610</v>
      </c>
      <c r="M230" s="747" t="s">
        <v>6610</v>
      </c>
      <c r="N230" s="747" t="s">
        <v>6610</v>
      </c>
      <c r="O230" s="829"/>
      <c r="P230" s="735">
        <v>0</v>
      </c>
      <c r="Q230" s="749" t="s">
        <v>1862</v>
      </c>
      <c r="R230" s="735">
        <v>41</v>
      </c>
      <c r="S230" s="750" t="s">
        <v>1862</v>
      </c>
      <c r="T230" s="735">
        <v>41</v>
      </c>
      <c r="U230" s="749" t="s">
        <v>7819</v>
      </c>
      <c r="V230" s="735">
        <v>30</v>
      </c>
      <c r="W230" s="749" t="s">
        <v>7820</v>
      </c>
      <c r="X230" s="749" t="s">
        <v>7821</v>
      </c>
      <c r="Y230" s="738">
        <v>42</v>
      </c>
      <c r="Z230" s="750" t="s">
        <v>7821</v>
      </c>
      <c r="AA230" s="735">
        <v>42</v>
      </c>
      <c r="AB230" s="749" t="s">
        <v>7822</v>
      </c>
      <c r="AC230" s="735">
        <v>28</v>
      </c>
      <c r="AD230" s="738" t="s">
        <v>7823</v>
      </c>
      <c r="AE230" s="689"/>
      <c r="AF230" s="530" t="s">
        <v>2969</v>
      </c>
      <c r="AJ230" s="751">
        <f>_xll.GetCtData("COAMOUNT","CONSAMOUNT",$B$1:$B$7,$B230,AJ$8,"#363257665,106715")</f>
        <v>363257665</v>
      </c>
    </row>
    <row r="231" spans="1:37" ht="12" customHeight="1">
      <c r="A231" s="718" t="s">
        <v>2879</v>
      </c>
      <c r="B231" s="718" t="s">
        <v>1869</v>
      </c>
      <c r="C231" s="453" t="s">
        <v>7824</v>
      </c>
      <c r="D231" s="731" t="s">
        <v>6609</v>
      </c>
      <c r="E231" s="655">
        <v>44035</v>
      </c>
      <c r="F231" s="789" t="s">
        <v>2912</v>
      </c>
      <c r="G231" s="731">
        <v>3</v>
      </c>
      <c r="H231" s="830" t="s">
        <v>6610</v>
      </c>
      <c r="I231" s="790" t="s">
        <v>6610</v>
      </c>
      <c r="J231" s="790" t="s">
        <v>6610</v>
      </c>
      <c r="K231" s="752" t="s">
        <v>7824</v>
      </c>
      <c r="L231" s="752" t="s">
        <v>6610</v>
      </c>
      <c r="M231" s="752" t="s">
        <v>6610</v>
      </c>
      <c r="N231" s="752" t="s">
        <v>6610</v>
      </c>
      <c r="O231" s="753"/>
      <c r="P231" s="735">
        <v>0</v>
      </c>
      <c r="Q231" s="754" t="s">
        <v>7825</v>
      </c>
      <c r="R231" s="735">
        <v>62</v>
      </c>
      <c r="S231" s="755" t="s">
        <v>7825</v>
      </c>
      <c r="T231" s="735">
        <v>62</v>
      </c>
      <c r="U231" s="754" t="s">
        <v>7826</v>
      </c>
      <c r="V231" s="735">
        <v>30</v>
      </c>
      <c r="W231" s="754" t="s">
        <v>7820</v>
      </c>
      <c r="X231" s="754" t="s">
        <v>7827</v>
      </c>
      <c r="Y231" s="738">
        <v>63</v>
      </c>
      <c r="Z231" s="755" t="s">
        <v>7827</v>
      </c>
      <c r="AA231" s="735">
        <v>63</v>
      </c>
      <c r="AB231" s="754" t="s">
        <v>7828</v>
      </c>
      <c r="AC231" s="735">
        <v>30</v>
      </c>
      <c r="AD231" s="738" t="s">
        <v>7823</v>
      </c>
      <c r="AE231" s="689"/>
      <c r="AF231" s="530" t="s">
        <v>2969</v>
      </c>
      <c r="AJ231" s="756">
        <f>_xll.GetCtData("COAMOUNT","CONSAMOUNT",$B$1:$B$7,$B231,AJ$8,"#362334583,106715")</f>
        <v>362334583</v>
      </c>
    </row>
    <row r="232" spans="1:37" ht="12" customHeight="1">
      <c r="A232" s="718" t="s">
        <v>2879</v>
      </c>
      <c r="B232" s="718" t="s">
        <v>7829</v>
      </c>
      <c r="C232" s="453" t="s">
        <v>7830</v>
      </c>
      <c r="D232" s="731" t="s">
        <v>6609</v>
      </c>
      <c r="E232" s="655">
        <v>44035</v>
      </c>
      <c r="F232" s="789" t="s">
        <v>2912</v>
      </c>
      <c r="G232" s="731">
        <v>4</v>
      </c>
      <c r="H232" s="830" t="s">
        <v>6610</v>
      </c>
      <c r="I232" s="790" t="s">
        <v>6610</v>
      </c>
      <c r="J232" s="790" t="s">
        <v>6610</v>
      </c>
      <c r="K232" s="790" t="s">
        <v>6610</v>
      </c>
      <c r="L232" s="764" t="s">
        <v>7830</v>
      </c>
      <c r="M232" s="764" t="s">
        <v>6610</v>
      </c>
      <c r="N232" s="764" t="s">
        <v>6610</v>
      </c>
      <c r="O232" s="831"/>
      <c r="P232" s="735">
        <v>0</v>
      </c>
      <c r="Q232" s="766" t="s">
        <v>7831</v>
      </c>
      <c r="R232" s="735">
        <v>35</v>
      </c>
      <c r="S232" s="767" t="s">
        <v>7831</v>
      </c>
      <c r="T232" s="735">
        <v>35</v>
      </c>
      <c r="U232" s="766" t="s">
        <v>7832</v>
      </c>
      <c r="V232" s="735">
        <v>27</v>
      </c>
      <c r="W232" s="766" t="s">
        <v>7820</v>
      </c>
      <c r="X232" s="766" t="s">
        <v>7833</v>
      </c>
      <c r="Y232" s="738">
        <v>54</v>
      </c>
      <c r="Z232" s="767" t="s">
        <v>7833</v>
      </c>
      <c r="AA232" s="735">
        <v>54</v>
      </c>
      <c r="AB232" s="766" t="s">
        <v>7834</v>
      </c>
      <c r="AC232" s="735">
        <v>30</v>
      </c>
      <c r="AD232" s="738" t="s">
        <v>7823</v>
      </c>
      <c r="AE232" s="689" t="s">
        <v>5930</v>
      </c>
      <c r="AF232" s="530" t="s">
        <v>2969</v>
      </c>
      <c r="AJ232" s="768">
        <f>_xll.GetCtData("COAMOUNT","CONSAMOUNT",$B$1:$B$7,$B232,AJ$8,"#19253253,6195695")</f>
        <v>19253253</v>
      </c>
    </row>
    <row r="233" spans="1:37" ht="12" customHeight="1">
      <c r="A233" s="718" t="s">
        <v>2879</v>
      </c>
      <c r="B233" s="718" t="s">
        <v>2039</v>
      </c>
      <c r="C233" s="453" t="s">
        <v>7835</v>
      </c>
      <c r="D233" s="731" t="s">
        <v>6609</v>
      </c>
      <c r="E233" s="655">
        <v>44035</v>
      </c>
      <c r="F233" s="789" t="s">
        <v>2912</v>
      </c>
      <c r="G233" s="732">
        <v>5</v>
      </c>
      <c r="H233" s="828" t="s">
        <v>6610</v>
      </c>
      <c r="I233" s="733" t="s">
        <v>6610</v>
      </c>
      <c r="J233" s="733" t="s">
        <v>6610</v>
      </c>
      <c r="K233" s="733" t="s">
        <v>6610</v>
      </c>
      <c r="L233" s="733" t="s">
        <v>6610</v>
      </c>
      <c r="M233" s="769" t="s">
        <v>7835</v>
      </c>
      <c r="N233" s="769" t="s">
        <v>6610</v>
      </c>
      <c r="O233" s="832"/>
      <c r="P233" s="735">
        <v>0</v>
      </c>
      <c r="Q233" s="771" t="s">
        <v>7836</v>
      </c>
      <c r="R233" s="735">
        <v>62</v>
      </c>
      <c r="S233" s="772" t="s">
        <v>7837</v>
      </c>
      <c r="T233" s="735">
        <v>63</v>
      </c>
      <c r="U233" s="771" t="s">
        <v>7838</v>
      </c>
      <c r="V233" s="735">
        <v>30</v>
      </c>
      <c r="W233" s="771" t="s">
        <v>7820</v>
      </c>
      <c r="X233" s="771" t="s">
        <v>7839</v>
      </c>
      <c r="Y233" s="738">
        <v>78</v>
      </c>
      <c r="Z233" s="772" t="s">
        <v>7839</v>
      </c>
      <c r="AA233" s="735">
        <v>78</v>
      </c>
      <c r="AB233" s="771" t="s">
        <v>7840</v>
      </c>
      <c r="AC233" s="735">
        <v>29</v>
      </c>
      <c r="AD233" s="738" t="s">
        <v>7823</v>
      </c>
      <c r="AE233" s="689" t="s">
        <v>7841</v>
      </c>
      <c r="AF233" s="530" t="s">
        <v>2969</v>
      </c>
      <c r="AJ233" s="773">
        <f>_xll.GetCtData("COAMOUNT","CONSAMOUNT",$B$1:$B$7,$B233,AJ$8,"#16226660,4049457")</f>
        <v>16226660</v>
      </c>
      <c r="AK233" s="632"/>
    </row>
    <row r="234" spans="1:37" ht="12" customHeight="1">
      <c r="A234" s="718" t="s">
        <v>2879</v>
      </c>
      <c r="B234" s="718" t="s">
        <v>1572</v>
      </c>
      <c r="C234" s="453" t="s">
        <v>1573</v>
      </c>
      <c r="D234" s="731" t="s">
        <v>6609</v>
      </c>
      <c r="E234" s="655">
        <v>44035</v>
      </c>
      <c r="F234" s="789" t="s">
        <v>2930</v>
      </c>
      <c r="G234" s="732">
        <v>7</v>
      </c>
      <c r="H234" s="833" t="s">
        <v>6610</v>
      </c>
      <c r="I234" s="834" t="s">
        <v>6610</v>
      </c>
      <c r="J234" s="834" t="s">
        <v>6610</v>
      </c>
      <c r="K234" s="834" t="s">
        <v>6610</v>
      </c>
      <c r="L234" s="834" t="s">
        <v>6610</v>
      </c>
      <c r="M234" s="834" t="s">
        <v>6610</v>
      </c>
      <c r="N234" s="834" t="s">
        <v>6610</v>
      </c>
      <c r="O234" s="835" t="s">
        <v>1573</v>
      </c>
      <c r="P234" s="735">
        <v>10</v>
      </c>
      <c r="Q234" s="758" t="s">
        <v>7842</v>
      </c>
      <c r="R234" s="735">
        <v>87</v>
      </c>
      <c r="S234" s="759" t="s">
        <v>1574</v>
      </c>
      <c r="T234" s="735">
        <v>88</v>
      </c>
      <c r="U234" s="758" t="s">
        <v>7843</v>
      </c>
      <c r="V234" s="735">
        <v>30</v>
      </c>
      <c r="W234" s="758" t="s">
        <v>7844</v>
      </c>
      <c r="X234" s="758" t="s">
        <v>7845</v>
      </c>
      <c r="Y234" s="738">
        <v>101</v>
      </c>
      <c r="Z234" s="759" t="s">
        <v>7845</v>
      </c>
      <c r="AA234" s="735">
        <v>101</v>
      </c>
      <c r="AB234" s="758" t="s">
        <v>7846</v>
      </c>
      <c r="AC234" s="735">
        <v>30</v>
      </c>
      <c r="AD234" s="738" t="s">
        <v>7847</v>
      </c>
      <c r="AE234" s="689" t="s">
        <v>7848</v>
      </c>
      <c r="AF234" s="530" t="s">
        <v>2969</v>
      </c>
      <c r="AH234" s="723" t="s">
        <v>5359</v>
      </c>
      <c r="AJ234" s="760">
        <f>_xll.GetCtData("COAMOUNT","CONSAMOUNT",$B$1:$B$7,$B234,AJ$8,"#10920708,0994973")</f>
        <v>10920708</v>
      </c>
    </row>
    <row r="235" spans="1:37" ht="12" customHeight="1">
      <c r="A235" s="718" t="s">
        <v>2879</v>
      </c>
      <c r="B235" s="718" t="s">
        <v>1575</v>
      </c>
      <c r="C235" s="453" t="s">
        <v>1576</v>
      </c>
      <c r="D235" s="731" t="s">
        <v>6609</v>
      </c>
      <c r="E235" s="655">
        <v>44035</v>
      </c>
      <c r="F235" s="789" t="s">
        <v>2930</v>
      </c>
      <c r="G235" s="732">
        <v>7</v>
      </c>
      <c r="H235" s="833" t="s">
        <v>6610</v>
      </c>
      <c r="I235" s="834" t="s">
        <v>6610</v>
      </c>
      <c r="J235" s="834" t="s">
        <v>6610</v>
      </c>
      <c r="K235" s="834" t="s">
        <v>6610</v>
      </c>
      <c r="L235" s="834" t="s">
        <v>6610</v>
      </c>
      <c r="M235" s="834" t="s">
        <v>6610</v>
      </c>
      <c r="N235" s="834" t="s">
        <v>6610</v>
      </c>
      <c r="O235" s="835" t="s">
        <v>1576</v>
      </c>
      <c r="P235" s="735">
        <v>10</v>
      </c>
      <c r="Q235" s="758" t="s">
        <v>1577</v>
      </c>
      <c r="R235" s="735">
        <v>96</v>
      </c>
      <c r="S235" s="759" t="s">
        <v>7849</v>
      </c>
      <c r="T235" s="735">
        <v>97</v>
      </c>
      <c r="U235" s="758" t="s">
        <v>7850</v>
      </c>
      <c r="V235" s="735">
        <v>27</v>
      </c>
      <c r="W235" s="758" t="s">
        <v>7844</v>
      </c>
      <c r="X235" s="758" t="s">
        <v>7851</v>
      </c>
      <c r="Y235" s="738">
        <v>110</v>
      </c>
      <c r="Z235" s="759" t="s">
        <v>7851</v>
      </c>
      <c r="AA235" s="735">
        <v>110</v>
      </c>
      <c r="AB235" s="758" t="s">
        <v>7852</v>
      </c>
      <c r="AC235" s="735">
        <v>30</v>
      </c>
      <c r="AD235" s="738" t="s">
        <v>7847</v>
      </c>
      <c r="AE235" s="689" t="s">
        <v>7853</v>
      </c>
      <c r="AF235" s="530" t="s">
        <v>2969</v>
      </c>
      <c r="AH235" s="723" t="s">
        <v>5359</v>
      </c>
      <c r="AJ235" s="760">
        <f>_xll.GetCtData("COAMOUNT","CONSAMOUNT",$B$1:$B$7,$B235,AJ$8,"#5276342,32341749")</f>
        <v>5276342</v>
      </c>
    </row>
    <row r="236" spans="1:37" ht="12" customHeight="1">
      <c r="A236" s="718" t="s">
        <v>2879</v>
      </c>
      <c r="B236" s="718" t="s">
        <v>1578</v>
      </c>
      <c r="C236" s="453" t="s">
        <v>1579</v>
      </c>
      <c r="D236" s="731" t="s">
        <v>6609</v>
      </c>
      <c r="E236" s="655">
        <v>44038</v>
      </c>
      <c r="F236" s="836" t="s">
        <v>2930</v>
      </c>
      <c r="G236" s="837">
        <v>7</v>
      </c>
      <c r="H236" s="838" t="s">
        <v>6610</v>
      </c>
      <c r="I236" s="834" t="s">
        <v>6610</v>
      </c>
      <c r="J236" s="834" t="s">
        <v>6610</v>
      </c>
      <c r="K236" s="834" t="s">
        <v>6610</v>
      </c>
      <c r="L236" s="834" t="s">
        <v>6610</v>
      </c>
      <c r="M236" s="834" t="s">
        <v>6610</v>
      </c>
      <c r="N236" s="834" t="s">
        <v>6610</v>
      </c>
      <c r="O236" s="839" t="s">
        <v>1579</v>
      </c>
      <c r="P236" s="735">
        <v>10</v>
      </c>
      <c r="Q236" s="759" t="s">
        <v>7854</v>
      </c>
      <c r="R236" s="735">
        <v>103</v>
      </c>
      <c r="S236" s="801" t="s">
        <v>1580</v>
      </c>
      <c r="T236" s="735">
        <v>103</v>
      </c>
      <c r="U236" s="758" t="s">
        <v>7855</v>
      </c>
      <c r="V236" s="735">
        <v>29</v>
      </c>
      <c r="W236" s="758" t="s">
        <v>7844</v>
      </c>
      <c r="X236" s="758" t="s">
        <v>7856</v>
      </c>
      <c r="Y236" s="738">
        <v>94</v>
      </c>
      <c r="Z236" s="759" t="s">
        <v>7856</v>
      </c>
      <c r="AA236" s="735">
        <v>94</v>
      </c>
      <c r="AB236" s="758" t="s">
        <v>7857</v>
      </c>
      <c r="AC236" s="735">
        <v>30</v>
      </c>
      <c r="AD236" s="738" t="s">
        <v>7847</v>
      </c>
      <c r="AE236" s="689" t="s">
        <v>7858</v>
      </c>
      <c r="AF236" s="530" t="s">
        <v>2969</v>
      </c>
      <c r="AH236" s="723" t="s">
        <v>5359</v>
      </c>
      <c r="AJ236" s="760">
        <f>_xll.GetCtData("COAMOUNT","CONSAMOUNT",$B$1:$B$7,$B236,AJ$8,"#-8874,89517326706")</f>
        <v>-8874</v>
      </c>
    </row>
    <row r="237" spans="1:37" ht="12" customHeight="1">
      <c r="A237" s="718" t="s">
        <v>2879</v>
      </c>
      <c r="B237" s="718" t="s">
        <v>1602</v>
      </c>
      <c r="C237" s="453" t="s">
        <v>1603</v>
      </c>
      <c r="D237" s="649" t="s">
        <v>2962</v>
      </c>
      <c r="E237" s="650">
        <v>44515</v>
      </c>
      <c r="F237" s="836" t="s">
        <v>2930</v>
      </c>
      <c r="G237" s="837">
        <v>7</v>
      </c>
      <c r="H237" s="838" t="s">
        <v>6610</v>
      </c>
      <c r="I237" s="834" t="s">
        <v>6610</v>
      </c>
      <c r="J237" s="834" t="s">
        <v>6610</v>
      </c>
      <c r="K237" s="834" t="s">
        <v>6610</v>
      </c>
      <c r="L237" s="834" t="s">
        <v>6610</v>
      </c>
      <c r="M237" s="834" t="s">
        <v>6610</v>
      </c>
      <c r="N237" s="834" t="s">
        <v>6610</v>
      </c>
      <c r="O237" s="839" t="s">
        <v>1603</v>
      </c>
      <c r="P237" s="735">
        <v>10</v>
      </c>
      <c r="Q237" s="759" t="s">
        <v>7859</v>
      </c>
      <c r="R237" s="735">
        <v>103</v>
      </c>
      <c r="S237" s="801" t="s">
        <v>1604</v>
      </c>
      <c r="T237" s="735">
        <v>103</v>
      </c>
      <c r="U237" s="758" t="s">
        <v>7860</v>
      </c>
      <c r="V237" s="735">
        <v>28</v>
      </c>
      <c r="W237" s="758" t="s">
        <v>7844</v>
      </c>
      <c r="X237" s="758" t="s">
        <v>7861</v>
      </c>
      <c r="Y237" s="738">
        <v>124</v>
      </c>
      <c r="Z237" s="758" t="s">
        <v>7861</v>
      </c>
      <c r="AA237" s="735">
        <v>124</v>
      </c>
      <c r="AB237" s="758" t="s">
        <v>7857</v>
      </c>
      <c r="AC237" s="735">
        <v>30</v>
      </c>
      <c r="AD237" s="738" t="s">
        <v>7847</v>
      </c>
      <c r="AE237" s="840" t="s">
        <v>5716</v>
      </c>
      <c r="AF237" s="530" t="s">
        <v>2969</v>
      </c>
      <c r="AH237" s="723" t="s">
        <v>5359</v>
      </c>
      <c r="AJ237" s="760">
        <f>_xll.GetCtData("COAMOUNT","CONSAMOUNT",$B$1:$B$7,$B237,AJ$8,"#38484,8772041772")</f>
        <v>38484</v>
      </c>
    </row>
    <row r="238" spans="1:37" ht="12" customHeight="1">
      <c r="A238" s="718" t="s">
        <v>2879</v>
      </c>
      <c r="B238" s="718" t="s">
        <v>2040</v>
      </c>
      <c r="C238" s="453" t="s">
        <v>7862</v>
      </c>
      <c r="D238" s="731" t="s">
        <v>6609</v>
      </c>
      <c r="E238" s="655">
        <v>44035</v>
      </c>
      <c r="F238" s="789" t="s">
        <v>2912</v>
      </c>
      <c r="G238" s="732">
        <v>5</v>
      </c>
      <c r="H238" s="828" t="s">
        <v>6610</v>
      </c>
      <c r="I238" s="733" t="s">
        <v>6610</v>
      </c>
      <c r="J238" s="733" t="s">
        <v>6610</v>
      </c>
      <c r="K238" s="733" t="s">
        <v>6610</v>
      </c>
      <c r="L238" s="733" t="s">
        <v>6610</v>
      </c>
      <c r="M238" s="769" t="s">
        <v>7862</v>
      </c>
      <c r="N238" s="769" t="s">
        <v>6610</v>
      </c>
      <c r="O238" s="832"/>
      <c r="P238" s="735">
        <v>0</v>
      </c>
      <c r="Q238" s="771" t="s">
        <v>7863</v>
      </c>
      <c r="R238" s="735">
        <v>60</v>
      </c>
      <c r="S238" s="772" t="str">
        <f>_xll.GetCtLabel($A238,"CURINIT(AC)!LDESC","#Erreur de syntaxe : Expression incomplète")</f>
        <v>Erreur de syntaxe : Expression incomplète</v>
      </c>
      <c r="T238" s="735">
        <v>1</v>
      </c>
      <c r="U238" s="771" t="s">
        <v>7864</v>
      </c>
      <c r="V238" s="735">
        <v>29</v>
      </c>
      <c r="W238" s="771" t="s">
        <v>7820</v>
      </c>
      <c r="X238" s="771" t="s">
        <v>7865</v>
      </c>
      <c r="Y238" s="738">
        <v>72</v>
      </c>
      <c r="Z238" s="772" t="s">
        <v>7865</v>
      </c>
      <c r="AA238" s="735">
        <v>72</v>
      </c>
      <c r="AB238" s="771" t="s">
        <v>7866</v>
      </c>
      <c r="AC238" s="735">
        <v>28</v>
      </c>
      <c r="AD238" s="738" t="s">
        <v>7823</v>
      </c>
      <c r="AE238" s="689" t="s">
        <v>7841</v>
      </c>
      <c r="AF238" s="530" t="s">
        <v>2969</v>
      </c>
      <c r="AJ238" s="773">
        <f>_xll.GetCtData("COAMOUNT","CONSAMOUNT",$B$1:$B$7,$B238,AJ$8,"#468943,297291058")</f>
        <v>468943</v>
      </c>
      <c r="AK238" s="632"/>
    </row>
    <row r="239" spans="1:37" ht="12" customHeight="1">
      <c r="A239" s="718" t="s">
        <v>2879</v>
      </c>
      <c r="B239" s="718" t="s">
        <v>1608</v>
      </c>
      <c r="C239" s="453" t="s">
        <v>1609</v>
      </c>
      <c r="D239" s="731" t="s">
        <v>6609</v>
      </c>
      <c r="E239" s="655">
        <v>44035</v>
      </c>
      <c r="F239" s="789" t="s">
        <v>2930</v>
      </c>
      <c r="G239" s="732">
        <v>7</v>
      </c>
      <c r="H239" s="833" t="s">
        <v>6610</v>
      </c>
      <c r="I239" s="834" t="s">
        <v>6610</v>
      </c>
      <c r="J239" s="834" t="s">
        <v>6610</v>
      </c>
      <c r="K239" s="834" t="s">
        <v>6610</v>
      </c>
      <c r="L239" s="834" t="s">
        <v>6610</v>
      </c>
      <c r="M239" s="834" t="s">
        <v>6610</v>
      </c>
      <c r="N239" s="834" t="s">
        <v>6610</v>
      </c>
      <c r="O239" s="835" t="s">
        <v>1609</v>
      </c>
      <c r="P239" s="735">
        <v>10</v>
      </c>
      <c r="Q239" s="758" t="s">
        <v>1610</v>
      </c>
      <c r="R239" s="735">
        <v>85</v>
      </c>
      <c r="S239" s="759" t="s">
        <v>7867</v>
      </c>
      <c r="T239" s="735">
        <v>86</v>
      </c>
      <c r="U239" s="758" t="s">
        <v>7868</v>
      </c>
      <c r="V239" s="735">
        <v>25</v>
      </c>
      <c r="W239" s="758" t="s">
        <v>7844</v>
      </c>
      <c r="X239" s="758" t="s">
        <v>7869</v>
      </c>
      <c r="Y239" s="738">
        <v>95</v>
      </c>
      <c r="Z239" s="759" t="s">
        <v>7869</v>
      </c>
      <c r="AA239" s="735">
        <v>95</v>
      </c>
      <c r="AB239" s="758" t="s">
        <v>7870</v>
      </c>
      <c r="AC239" s="735">
        <v>27</v>
      </c>
      <c r="AD239" s="738" t="s">
        <v>7847</v>
      </c>
      <c r="AE239" s="689" t="s">
        <v>7871</v>
      </c>
      <c r="AF239" s="530" t="s">
        <v>2969</v>
      </c>
      <c r="AH239" s="723" t="s">
        <v>5359</v>
      </c>
      <c r="AJ239" s="760">
        <f>_xll.GetCtData("COAMOUNT","CONSAMOUNT",$B$1:$B$7,$B239,AJ$8,"#422922,734748731")</f>
        <v>422922</v>
      </c>
    </row>
    <row r="240" spans="1:37" ht="12" customHeight="1">
      <c r="A240" s="718" t="s">
        <v>2879</v>
      </c>
      <c r="B240" s="718" t="s">
        <v>1611</v>
      </c>
      <c r="C240" s="453" t="s">
        <v>1612</v>
      </c>
      <c r="D240" s="731" t="s">
        <v>6609</v>
      </c>
      <c r="E240" s="655">
        <v>44035</v>
      </c>
      <c r="F240" s="789" t="s">
        <v>2930</v>
      </c>
      <c r="G240" s="732">
        <v>7</v>
      </c>
      <c r="H240" s="833" t="s">
        <v>6610</v>
      </c>
      <c r="I240" s="834" t="s">
        <v>6610</v>
      </c>
      <c r="J240" s="834" t="s">
        <v>6610</v>
      </c>
      <c r="K240" s="834" t="s">
        <v>6610</v>
      </c>
      <c r="L240" s="834" t="s">
        <v>6610</v>
      </c>
      <c r="M240" s="834" t="s">
        <v>6610</v>
      </c>
      <c r="N240" s="834" t="s">
        <v>6610</v>
      </c>
      <c r="O240" s="835" t="s">
        <v>1612</v>
      </c>
      <c r="P240" s="735">
        <v>10</v>
      </c>
      <c r="Q240" s="758" t="s">
        <v>1613</v>
      </c>
      <c r="R240" s="735">
        <v>94</v>
      </c>
      <c r="S240" s="759" t="s">
        <v>7872</v>
      </c>
      <c r="T240" s="735">
        <v>95</v>
      </c>
      <c r="U240" s="758" t="s">
        <v>7873</v>
      </c>
      <c r="V240" s="735">
        <v>30</v>
      </c>
      <c r="W240" s="758" t="s">
        <v>7844</v>
      </c>
      <c r="X240" s="758" t="s">
        <v>7874</v>
      </c>
      <c r="Y240" s="738">
        <v>104</v>
      </c>
      <c r="Z240" s="759" t="s">
        <v>7874</v>
      </c>
      <c r="AA240" s="735">
        <v>104</v>
      </c>
      <c r="AB240" s="758" t="s">
        <v>7875</v>
      </c>
      <c r="AC240" s="735">
        <v>30</v>
      </c>
      <c r="AD240" s="738" t="s">
        <v>7847</v>
      </c>
      <c r="AE240" s="689" t="s">
        <v>7876</v>
      </c>
      <c r="AF240" s="530" t="s">
        <v>2969</v>
      </c>
      <c r="AH240" s="723" t="s">
        <v>5359</v>
      </c>
      <c r="AJ240" s="760">
        <f>_xll.GetCtData("COAMOUNT","CONSAMOUNT",$B$1:$B$7,$B240,AJ$8,"#46020,5625423271")</f>
        <v>46020</v>
      </c>
    </row>
    <row r="241" spans="1:37" ht="12" customHeight="1">
      <c r="A241" s="718" t="s">
        <v>2879</v>
      </c>
      <c r="B241" s="718" t="s">
        <v>2054</v>
      </c>
      <c r="C241" s="453" t="s">
        <v>7877</v>
      </c>
      <c r="D241" s="731" t="s">
        <v>6609</v>
      </c>
      <c r="E241" s="655">
        <v>44035</v>
      </c>
      <c r="F241" s="789" t="s">
        <v>2912</v>
      </c>
      <c r="G241" s="732">
        <v>5</v>
      </c>
      <c r="H241" s="828" t="s">
        <v>6610</v>
      </c>
      <c r="I241" s="733" t="s">
        <v>6610</v>
      </c>
      <c r="J241" s="733" t="s">
        <v>6610</v>
      </c>
      <c r="K241" s="733" t="s">
        <v>6610</v>
      </c>
      <c r="L241" s="733" t="s">
        <v>6610</v>
      </c>
      <c r="M241" s="769" t="s">
        <v>7877</v>
      </c>
      <c r="N241" s="769" t="s">
        <v>6610</v>
      </c>
      <c r="O241" s="832"/>
      <c r="P241" s="735">
        <v>0</v>
      </c>
      <c r="Q241" s="771" t="s">
        <v>7878</v>
      </c>
      <c r="R241" s="735">
        <v>69</v>
      </c>
      <c r="S241" s="772" t="s">
        <v>7879</v>
      </c>
      <c r="T241" s="735">
        <v>70</v>
      </c>
      <c r="U241" s="771" t="s">
        <v>7880</v>
      </c>
      <c r="V241" s="735">
        <v>29</v>
      </c>
      <c r="W241" s="771" t="s">
        <v>7820</v>
      </c>
      <c r="X241" s="771" t="s">
        <v>7881</v>
      </c>
      <c r="Y241" s="738">
        <v>60</v>
      </c>
      <c r="Z241" s="772" t="s">
        <v>7881</v>
      </c>
      <c r="AA241" s="735">
        <v>60</v>
      </c>
      <c r="AB241" s="771" t="s">
        <v>7882</v>
      </c>
      <c r="AC241" s="735">
        <v>26</v>
      </c>
      <c r="AD241" s="738" t="s">
        <v>7823</v>
      </c>
      <c r="AE241" s="689" t="s">
        <v>7883</v>
      </c>
      <c r="AF241" s="530" t="s">
        <v>2969</v>
      </c>
      <c r="AJ241" s="773">
        <f>_xll.GetCtData("COAMOUNT","CONSAMOUNT",$B$1:$B$7,$B241,AJ$8,"#2560848,91733276")</f>
        <v>2560848</v>
      </c>
      <c r="AK241" s="632"/>
    </row>
    <row r="242" spans="1:37" ht="12" customHeight="1">
      <c r="A242" s="718" t="s">
        <v>2879</v>
      </c>
      <c r="B242" s="718" t="s">
        <v>1620</v>
      </c>
      <c r="C242" s="453" t="s">
        <v>1621</v>
      </c>
      <c r="D242" s="731" t="s">
        <v>6609</v>
      </c>
      <c r="E242" s="655">
        <v>44035</v>
      </c>
      <c r="F242" s="789" t="s">
        <v>2930</v>
      </c>
      <c r="G242" s="732">
        <v>7</v>
      </c>
      <c r="H242" s="833" t="s">
        <v>6610</v>
      </c>
      <c r="I242" s="834" t="s">
        <v>6610</v>
      </c>
      <c r="J242" s="834" t="s">
        <v>6610</v>
      </c>
      <c r="K242" s="834" t="s">
        <v>6610</v>
      </c>
      <c r="L242" s="834" t="s">
        <v>6610</v>
      </c>
      <c r="M242" s="834" t="s">
        <v>6610</v>
      </c>
      <c r="N242" s="834" t="s">
        <v>6610</v>
      </c>
      <c r="O242" s="841" t="s">
        <v>1621</v>
      </c>
      <c r="P242" s="735">
        <v>10</v>
      </c>
      <c r="Q242" s="758" t="s">
        <v>1622</v>
      </c>
      <c r="R242" s="735">
        <v>94</v>
      </c>
      <c r="S242" s="759" t="s">
        <v>7884</v>
      </c>
      <c r="T242" s="735">
        <v>95</v>
      </c>
      <c r="U242" s="758" t="s">
        <v>7885</v>
      </c>
      <c r="V242" s="735">
        <v>28</v>
      </c>
      <c r="W242" s="758" t="s">
        <v>7844</v>
      </c>
      <c r="X242" s="758" t="s">
        <v>7886</v>
      </c>
      <c r="Y242" s="738">
        <v>83</v>
      </c>
      <c r="Z242" s="759" t="s">
        <v>7886</v>
      </c>
      <c r="AA242" s="735">
        <v>83</v>
      </c>
      <c r="AB242" s="758" t="s">
        <v>7887</v>
      </c>
      <c r="AC242" s="735">
        <v>29</v>
      </c>
      <c r="AD242" s="738" t="s">
        <v>7847</v>
      </c>
      <c r="AE242" s="689" t="s">
        <v>7888</v>
      </c>
      <c r="AF242" s="530" t="s">
        <v>2969</v>
      </c>
      <c r="AH242" s="723" t="s">
        <v>5359</v>
      </c>
      <c r="AJ242" s="760">
        <f>_xll.GetCtData("COAMOUNT","CONSAMOUNT",$B$1:$B$7,$B242,AJ$8,"#2560848,91733276")</f>
        <v>2560848</v>
      </c>
    </row>
    <row r="243" spans="1:37" ht="12" customHeight="1">
      <c r="A243" s="718" t="s">
        <v>2879</v>
      </c>
      <c r="B243" s="718" t="s">
        <v>2058</v>
      </c>
      <c r="C243" s="453" t="s">
        <v>7889</v>
      </c>
      <c r="D243" s="731" t="s">
        <v>6609</v>
      </c>
      <c r="E243" s="655">
        <v>44035</v>
      </c>
      <c r="F243" s="789" t="s">
        <v>2912</v>
      </c>
      <c r="G243" s="732">
        <v>5</v>
      </c>
      <c r="H243" s="828" t="s">
        <v>6610</v>
      </c>
      <c r="I243" s="733" t="s">
        <v>6610</v>
      </c>
      <c r="J243" s="733" t="s">
        <v>6610</v>
      </c>
      <c r="K243" s="733" t="s">
        <v>6610</v>
      </c>
      <c r="L243" s="733" t="s">
        <v>6610</v>
      </c>
      <c r="M243" s="769" t="s">
        <v>7889</v>
      </c>
      <c r="N243" s="769" t="s">
        <v>6610</v>
      </c>
      <c r="O243" s="770"/>
      <c r="P243" s="735">
        <v>0</v>
      </c>
      <c r="Q243" s="771" t="s">
        <v>7890</v>
      </c>
      <c r="R243" s="735">
        <v>61</v>
      </c>
      <c r="S243" s="772" t="s">
        <v>7891</v>
      </c>
      <c r="T243" s="735">
        <v>62</v>
      </c>
      <c r="U243" s="771" t="s">
        <v>7892</v>
      </c>
      <c r="V243" s="735">
        <v>28</v>
      </c>
      <c r="W243" s="771" t="s">
        <v>7820</v>
      </c>
      <c r="X243" s="771" t="s">
        <v>7893</v>
      </c>
      <c r="Y243" s="738">
        <v>86</v>
      </c>
      <c r="Z243" s="772" t="s">
        <v>7893</v>
      </c>
      <c r="AA243" s="735">
        <v>86</v>
      </c>
      <c r="AB243" s="771" t="s">
        <v>7894</v>
      </c>
      <c r="AC243" s="735">
        <v>29</v>
      </c>
      <c r="AD243" s="738" t="s">
        <v>7823</v>
      </c>
      <c r="AE243" s="689" t="s">
        <v>7841</v>
      </c>
      <c r="AF243" s="530" t="s">
        <v>2969</v>
      </c>
      <c r="AJ243" s="773">
        <f>_xll.GetCtData("COAMOUNT","CONSAMOUNT",$B$1:$B$7,$B243,AJ$8,"#-3199")</f>
        <v>-3199</v>
      </c>
    </row>
    <row r="244" spans="1:37" ht="12" customHeight="1">
      <c r="A244" s="718" t="s">
        <v>2879</v>
      </c>
      <c r="B244" s="718" t="s">
        <v>2496</v>
      </c>
      <c r="C244" s="453" t="s">
        <v>2513</v>
      </c>
      <c r="D244" s="654" t="s">
        <v>5656</v>
      </c>
      <c r="E244" s="655">
        <v>44603</v>
      </c>
      <c r="F244" s="789" t="s">
        <v>5409</v>
      </c>
      <c r="G244" s="842">
        <v>7</v>
      </c>
      <c r="H244" s="833" t="s">
        <v>6610</v>
      </c>
      <c r="I244" s="834" t="s">
        <v>6610</v>
      </c>
      <c r="J244" s="834" t="s">
        <v>6610</v>
      </c>
      <c r="K244" s="834" t="s">
        <v>6610</v>
      </c>
      <c r="L244" s="834" t="s">
        <v>6610</v>
      </c>
      <c r="M244" s="834" t="s">
        <v>6610</v>
      </c>
      <c r="N244" s="834" t="s">
        <v>6610</v>
      </c>
      <c r="O244" s="843" t="s">
        <v>2513</v>
      </c>
      <c r="P244" s="735">
        <v>10</v>
      </c>
      <c r="Q244" s="758" t="s">
        <v>7895</v>
      </c>
      <c r="R244" s="735">
        <v>66</v>
      </c>
      <c r="S244" s="801" t="s">
        <v>2650</v>
      </c>
      <c r="T244" s="735">
        <v>67</v>
      </c>
      <c r="U244" s="758" t="s">
        <v>7896</v>
      </c>
      <c r="V244" s="735">
        <v>29</v>
      </c>
      <c r="W244" s="758" t="s">
        <v>2915</v>
      </c>
      <c r="X244" s="758" t="s">
        <v>7897</v>
      </c>
      <c r="Y244" s="738">
        <v>93</v>
      </c>
      <c r="Z244" s="759" t="s">
        <v>7897</v>
      </c>
      <c r="AA244" s="735">
        <v>93</v>
      </c>
      <c r="AB244" s="758" t="s">
        <v>7898</v>
      </c>
      <c r="AC244" s="735">
        <v>24</v>
      </c>
      <c r="AD244" s="738" t="s">
        <v>3143</v>
      </c>
      <c r="AE244" s="689" t="s">
        <v>7899</v>
      </c>
      <c r="AF244" s="844" t="s">
        <v>7900</v>
      </c>
      <c r="AG244" s="718"/>
      <c r="AJ244" s="760">
        <f>_xll.GetCtData("COAMOUNT","CONSAMOUNT",$B$1:$B$7,$B244,AJ$8,"#0")</f>
        <v>0</v>
      </c>
    </row>
    <row r="245" spans="1:37" ht="12" customHeight="1">
      <c r="A245" s="718" t="s">
        <v>2879</v>
      </c>
      <c r="B245" s="718" t="s">
        <v>1590</v>
      </c>
      <c r="C245" s="453" t="s">
        <v>1591</v>
      </c>
      <c r="D245" s="654" t="s">
        <v>5656</v>
      </c>
      <c r="E245" s="655">
        <v>44603</v>
      </c>
      <c r="F245" s="789" t="s">
        <v>5409</v>
      </c>
      <c r="G245" s="842">
        <v>7</v>
      </c>
      <c r="H245" s="833" t="s">
        <v>6610</v>
      </c>
      <c r="I245" s="834" t="s">
        <v>6610</v>
      </c>
      <c r="J245" s="834" t="s">
        <v>6610</v>
      </c>
      <c r="K245" s="834" t="s">
        <v>6610</v>
      </c>
      <c r="L245" s="834" t="s">
        <v>6610</v>
      </c>
      <c r="M245" s="834" t="s">
        <v>6610</v>
      </c>
      <c r="N245" s="834" t="s">
        <v>6610</v>
      </c>
      <c r="O245" s="843" t="s">
        <v>1591</v>
      </c>
      <c r="P245" s="735">
        <v>10</v>
      </c>
      <c r="Q245" s="758" t="s">
        <v>7901</v>
      </c>
      <c r="R245" s="735">
        <v>65</v>
      </c>
      <c r="S245" s="801" t="s">
        <v>1592</v>
      </c>
      <c r="T245" s="735">
        <v>66</v>
      </c>
      <c r="U245" s="758" t="s">
        <v>7902</v>
      </c>
      <c r="V245" s="735">
        <v>30</v>
      </c>
      <c r="W245" s="758" t="s">
        <v>2915</v>
      </c>
      <c r="X245" s="758" t="s">
        <v>7903</v>
      </c>
      <c r="Y245" s="738">
        <v>96</v>
      </c>
      <c r="Z245" s="759" t="s">
        <v>7903</v>
      </c>
      <c r="AA245" s="735">
        <v>96</v>
      </c>
      <c r="AB245" s="758" t="s">
        <v>7904</v>
      </c>
      <c r="AC245" s="735">
        <v>30</v>
      </c>
      <c r="AD245" s="738" t="s">
        <v>3143</v>
      </c>
      <c r="AE245" s="689" t="s">
        <v>7905</v>
      </c>
      <c r="AF245" s="844" t="s">
        <v>7900</v>
      </c>
      <c r="AG245" s="718"/>
      <c r="AH245" s="723" t="s">
        <v>5359</v>
      </c>
      <c r="AJ245" s="760">
        <f>_xll.GetCtData("COAMOUNT","CONSAMOUNT",$B$1:$B$7,$B245,AJ$8,"#-3501")</f>
        <v>-3501</v>
      </c>
    </row>
    <row r="246" spans="1:37" ht="12" customHeight="1">
      <c r="A246" s="718" t="s">
        <v>2879</v>
      </c>
      <c r="B246" s="718" t="s">
        <v>2495</v>
      </c>
      <c r="C246" s="453" t="s">
        <v>2511</v>
      </c>
      <c r="D246" s="654" t="s">
        <v>5656</v>
      </c>
      <c r="E246" s="655">
        <v>44603</v>
      </c>
      <c r="F246" s="789" t="s">
        <v>5409</v>
      </c>
      <c r="G246" s="842">
        <v>7</v>
      </c>
      <c r="H246" s="833"/>
      <c r="I246" s="834"/>
      <c r="J246" s="834"/>
      <c r="K246" s="834"/>
      <c r="L246" s="834"/>
      <c r="M246" s="834"/>
      <c r="N246" s="834"/>
      <c r="O246" s="843" t="s">
        <v>2511</v>
      </c>
      <c r="P246" s="735">
        <v>10</v>
      </c>
      <c r="Q246" s="758" t="s">
        <v>7906</v>
      </c>
      <c r="R246" s="735">
        <v>66</v>
      </c>
      <c r="S246" s="759" t="s">
        <v>2653</v>
      </c>
      <c r="T246" s="735">
        <v>66</v>
      </c>
      <c r="U246" s="758" t="s">
        <v>2512</v>
      </c>
      <c r="V246" s="735">
        <v>27</v>
      </c>
      <c r="W246" s="758" t="s">
        <v>2915</v>
      </c>
      <c r="X246" s="758" t="s">
        <v>7907</v>
      </c>
      <c r="Y246" s="738">
        <v>90</v>
      </c>
      <c r="Z246" s="759" t="s">
        <v>7907</v>
      </c>
      <c r="AA246" s="735">
        <v>90</v>
      </c>
      <c r="AB246" s="758" t="s">
        <v>7908</v>
      </c>
      <c r="AC246" s="735">
        <v>29</v>
      </c>
      <c r="AD246" s="738" t="s">
        <v>3143</v>
      </c>
      <c r="AE246" s="689" t="s">
        <v>5674</v>
      </c>
      <c r="AF246" s="844" t="s">
        <v>7900</v>
      </c>
      <c r="AG246" s="718"/>
      <c r="AH246" s="723" t="s">
        <v>5359</v>
      </c>
      <c r="AJ246" s="760">
        <f>_xll.GetCtData("COAMOUNT","CONSAMOUNT",$B$1:$B$7,$B246,AJ$8,"#0")</f>
        <v>0</v>
      </c>
    </row>
    <row r="247" spans="1:37" ht="12" customHeight="1">
      <c r="A247" s="718" t="s">
        <v>2879</v>
      </c>
      <c r="B247" s="718" t="s">
        <v>1596</v>
      </c>
      <c r="C247" s="453" t="s">
        <v>1597</v>
      </c>
      <c r="D247" s="654" t="s">
        <v>5656</v>
      </c>
      <c r="E247" s="655">
        <v>44603</v>
      </c>
      <c r="F247" s="789" t="s">
        <v>5409</v>
      </c>
      <c r="G247" s="842">
        <v>7</v>
      </c>
      <c r="H247" s="833"/>
      <c r="I247" s="834"/>
      <c r="J247" s="834"/>
      <c r="K247" s="834"/>
      <c r="L247" s="834"/>
      <c r="M247" s="834"/>
      <c r="N247" s="834"/>
      <c r="O247" s="843" t="s">
        <v>1597</v>
      </c>
      <c r="P247" s="735">
        <v>10</v>
      </c>
      <c r="Q247" s="758" t="s">
        <v>1598</v>
      </c>
      <c r="R247" s="735">
        <v>65</v>
      </c>
      <c r="S247" s="811" t="s">
        <v>1598</v>
      </c>
      <c r="T247" s="735">
        <v>65</v>
      </c>
      <c r="U247" s="758" t="s">
        <v>7909</v>
      </c>
      <c r="V247" s="735">
        <v>30</v>
      </c>
      <c r="W247" s="758" t="s">
        <v>2915</v>
      </c>
      <c r="X247" s="758" t="s">
        <v>7910</v>
      </c>
      <c r="Y247" s="738">
        <v>93</v>
      </c>
      <c r="Z247" s="759" t="s">
        <v>7910</v>
      </c>
      <c r="AA247" s="735">
        <v>93</v>
      </c>
      <c r="AB247" s="758" t="s">
        <v>7911</v>
      </c>
      <c r="AC247" s="735">
        <v>30</v>
      </c>
      <c r="AD247" s="738" t="s">
        <v>3143</v>
      </c>
      <c r="AE247" s="689" t="s">
        <v>5674</v>
      </c>
      <c r="AF247" s="844" t="s">
        <v>7900</v>
      </c>
      <c r="AG247" s="718"/>
      <c r="AH247" s="723" t="s">
        <v>5359</v>
      </c>
      <c r="AJ247" s="812">
        <f>_xll.GetCtData("COAMOUNT","CONSAMOUNT",$B$1:$B$7,$B247,AJ$8,"#302")</f>
        <v>302</v>
      </c>
    </row>
    <row r="248" spans="1:37" ht="12" customHeight="1">
      <c r="A248" s="718" t="s">
        <v>2879</v>
      </c>
      <c r="B248" s="718" t="s">
        <v>7912</v>
      </c>
      <c r="C248" s="453" t="s">
        <v>7913</v>
      </c>
      <c r="D248" s="731" t="s">
        <v>6609</v>
      </c>
      <c r="E248" s="655">
        <v>44035</v>
      </c>
      <c r="F248" s="789" t="s">
        <v>2912</v>
      </c>
      <c r="G248" s="731">
        <v>4</v>
      </c>
      <c r="H248" s="830" t="s">
        <v>6610</v>
      </c>
      <c r="I248" s="790" t="s">
        <v>6610</v>
      </c>
      <c r="J248" s="790" t="s">
        <v>6610</v>
      </c>
      <c r="K248" s="790" t="s">
        <v>6610</v>
      </c>
      <c r="L248" s="764" t="s">
        <v>7913</v>
      </c>
      <c r="M248" s="764" t="s">
        <v>6610</v>
      </c>
      <c r="N248" s="764" t="s">
        <v>6610</v>
      </c>
      <c r="O248" s="831"/>
      <c r="P248" s="735">
        <v>0</v>
      </c>
      <c r="Q248" s="766" t="s">
        <v>7914</v>
      </c>
      <c r="R248" s="735">
        <v>35</v>
      </c>
      <c r="S248" s="767" t="s">
        <v>7914</v>
      </c>
      <c r="T248" s="735">
        <v>35</v>
      </c>
      <c r="U248" s="766" t="s">
        <v>7915</v>
      </c>
      <c r="V248" s="735">
        <v>26</v>
      </c>
      <c r="W248" s="766" t="s">
        <v>7820</v>
      </c>
      <c r="X248" s="766" t="s">
        <v>7916</v>
      </c>
      <c r="Y248" s="738">
        <v>54</v>
      </c>
      <c r="Z248" s="767" t="s">
        <v>7916</v>
      </c>
      <c r="AA248" s="735">
        <v>54</v>
      </c>
      <c r="AB248" s="766" t="s">
        <v>7917</v>
      </c>
      <c r="AC248" s="735">
        <v>22</v>
      </c>
      <c r="AD248" s="738" t="s">
        <v>7823</v>
      </c>
      <c r="AE248" s="689" t="s">
        <v>5930</v>
      </c>
      <c r="AF248" s="530" t="s">
        <v>2969</v>
      </c>
      <c r="AJ248" s="768">
        <f>_xll.GetCtData("COAMOUNT","CONSAMOUNT",$B$1:$B$7,$B248,AJ$8,"#343081329,487146")</f>
        <v>343081329</v>
      </c>
    </row>
    <row r="249" spans="1:37" ht="12" customHeight="1">
      <c r="A249" s="718" t="s">
        <v>2879</v>
      </c>
      <c r="B249" s="718" t="s">
        <v>2041</v>
      </c>
      <c r="C249" s="453" t="s">
        <v>7918</v>
      </c>
      <c r="D249" s="731" t="s">
        <v>6609</v>
      </c>
      <c r="E249" s="655">
        <v>44035</v>
      </c>
      <c r="F249" s="789" t="s">
        <v>2912</v>
      </c>
      <c r="G249" s="732">
        <v>5</v>
      </c>
      <c r="H249" s="828" t="s">
        <v>6610</v>
      </c>
      <c r="I249" s="733" t="s">
        <v>6610</v>
      </c>
      <c r="J249" s="733" t="s">
        <v>6610</v>
      </c>
      <c r="K249" s="733" t="s">
        <v>6610</v>
      </c>
      <c r="L249" s="733" t="s">
        <v>6610</v>
      </c>
      <c r="M249" s="769" t="s">
        <v>7918</v>
      </c>
      <c r="N249" s="769" t="s">
        <v>6610</v>
      </c>
      <c r="O249" s="832"/>
      <c r="P249" s="735">
        <v>0</v>
      </c>
      <c r="Q249" s="771" t="s">
        <v>7919</v>
      </c>
      <c r="R249" s="735">
        <v>62</v>
      </c>
      <c r="S249" s="772" t="s">
        <v>7919</v>
      </c>
      <c r="T249" s="735">
        <v>62</v>
      </c>
      <c r="U249" s="771" t="s">
        <v>7920</v>
      </c>
      <c r="V249" s="735">
        <v>29</v>
      </c>
      <c r="W249" s="771" t="s">
        <v>7820</v>
      </c>
      <c r="X249" s="771" t="s">
        <v>7921</v>
      </c>
      <c r="Y249" s="738">
        <v>78</v>
      </c>
      <c r="Z249" s="772" t="s">
        <v>7921</v>
      </c>
      <c r="AA249" s="735">
        <v>78</v>
      </c>
      <c r="AB249" s="771" t="s">
        <v>7922</v>
      </c>
      <c r="AC249" s="735">
        <v>28</v>
      </c>
      <c r="AD249" s="738" t="s">
        <v>7823</v>
      </c>
      <c r="AE249" s="689" t="s">
        <v>7841</v>
      </c>
      <c r="AF249" s="530" t="s">
        <v>2969</v>
      </c>
      <c r="AJ249" s="773">
        <f>_xll.GetCtData("COAMOUNT","CONSAMOUNT",$B$1:$B$7,$B249,AJ$8,"#328878737,735309")</f>
        <v>328878737</v>
      </c>
    </row>
    <row r="250" spans="1:37" ht="12" customHeight="1">
      <c r="A250" s="718" t="s">
        <v>2879</v>
      </c>
      <c r="B250" s="718" t="s">
        <v>1581</v>
      </c>
      <c r="C250" s="453" t="s">
        <v>1582</v>
      </c>
      <c r="D250" s="731" t="s">
        <v>6609</v>
      </c>
      <c r="E250" s="655">
        <v>44035</v>
      </c>
      <c r="F250" s="789" t="s">
        <v>2930</v>
      </c>
      <c r="G250" s="732">
        <v>7</v>
      </c>
      <c r="H250" s="833" t="s">
        <v>6610</v>
      </c>
      <c r="I250" s="834" t="s">
        <v>6610</v>
      </c>
      <c r="J250" s="834" t="s">
        <v>6610</v>
      </c>
      <c r="K250" s="834" t="s">
        <v>6610</v>
      </c>
      <c r="L250" s="834" t="s">
        <v>6610</v>
      </c>
      <c r="M250" s="834" t="s">
        <v>6610</v>
      </c>
      <c r="N250" s="834" t="s">
        <v>6610</v>
      </c>
      <c r="O250" s="835" t="s">
        <v>1582</v>
      </c>
      <c r="P250" s="735">
        <v>10</v>
      </c>
      <c r="Q250" s="758" t="s">
        <v>1583</v>
      </c>
      <c r="R250" s="735">
        <v>87</v>
      </c>
      <c r="S250" s="759" t="s">
        <v>7923</v>
      </c>
      <c r="T250" s="735">
        <v>88</v>
      </c>
      <c r="U250" s="758" t="s">
        <v>7924</v>
      </c>
      <c r="V250" s="735">
        <v>26</v>
      </c>
      <c r="W250" s="758" t="s">
        <v>7844</v>
      </c>
      <c r="X250" s="758" t="s">
        <v>7925</v>
      </c>
      <c r="Y250" s="738">
        <v>101</v>
      </c>
      <c r="Z250" s="759" t="s">
        <v>7925</v>
      </c>
      <c r="AA250" s="735">
        <v>101</v>
      </c>
      <c r="AB250" s="758" t="s">
        <v>7926</v>
      </c>
      <c r="AC250" s="735">
        <v>29</v>
      </c>
      <c r="AD250" s="738" t="s">
        <v>7847</v>
      </c>
      <c r="AE250" s="689" t="s">
        <v>7848</v>
      </c>
      <c r="AF250" s="530" t="s">
        <v>2969</v>
      </c>
      <c r="AH250" s="723" t="s">
        <v>5359</v>
      </c>
      <c r="AJ250" s="760">
        <f>_xll.GetCtData("COAMOUNT","CONSAMOUNT",$B$1:$B$7,$B250,AJ$8,"#330217231,311635")</f>
        <v>330217231</v>
      </c>
    </row>
    <row r="251" spans="1:37" ht="12" customHeight="1">
      <c r="A251" s="718" t="s">
        <v>2879</v>
      </c>
      <c r="B251" s="718" t="s">
        <v>1584</v>
      </c>
      <c r="C251" s="453" t="s">
        <v>1585</v>
      </c>
      <c r="D251" s="731" t="s">
        <v>6609</v>
      </c>
      <c r="E251" s="655">
        <v>44035</v>
      </c>
      <c r="F251" s="789" t="s">
        <v>2930</v>
      </c>
      <c r="G251" s="732">
        <v>7</v>
      </c>
      <c r="H251" s="833" t="s">
        <v>6610</v>
      </c>
      <c r="I251" s="834" t="s">
        <v>6610</v>
      </c>
      <c r="J251" s="834" t="s">
        <v>6610</v>
      </c>
      <c r="K251" s="834" t="s">
        <v>6610</v>
      </c>
      <c r="L251" s="834" t="s">
        <v>6610</v>
      </c>
      <c r="M251" s="834" t="s">
        <v>6610</v>
      </c>
      <c r="N251" s="834" t="s">
        <v>6610</v>
      </c>
      <c r="O251" s="835" t="s">
        <v>1585</v>
      </c>
      <c r="P251" s="735">
        <v>10</v>
      </c>
      <c r="Q251" s="758" t="s">
        <v>1586</v>
      </c>
      <c r="R251" s="735">
        <v>96</v>
      </c>
      <c r="S251" s="759" t="s">
        <v>7927</v>
      </c>
      <c r="T251" s="735">
        <v>97</v>
      </c>
      <c r="U251" s="758" t="s">
        <v>7928</v>
      </c>
      <c r="V251" s="735">
        <v>27</v>
      </c>
      <c r="W251" s="758" t="s">
        <v>7844</v>
      </c>
      <c r="X251" s="758" t="s">
        <v>7929</v>
      </c>
      <c r="Y251" s="738">
        <v>110</v>
      </c>
      <c r="Z251" s="759" t="s">
        <v>7929</v>
      </c>
      <c r="AA251" s="735">
        <v>110</v>
      </c>
      <c r="AB251" s="758" t="s">
        <v>7930</v>
      </c>
      <c r="AC251" s="735">
        <v>30</v>
      </c>
      <c r="AD251" s="738" t="s">
        <v>7847</v>
      </c>
      <c r="AE251" s="689" t="s">
        <v>7853</v>
      </c>
      <c r="AF251" s="530" t="s">
        <v>2969</v>
      </c>
      <c r="AH251" s="723" t="s">
        <v>5359</v>
      </c>
      <c r="AJ251" s="760">
        <f>_xll.GetCtData("COAMOUNT","CONSAMOUNT",$B$1:$B$7,$B251,AJ$8,"#9690,91703518985")</f>
        <v>9690</v>
      </c>
    </row>
    <row r="252" spans="1:37" ht="12" customHeight="1">
      <c r="A252" s="718" t="s">
        <v>2879</v>
      </c>
      <c r="B252" s="718" t="s">
        <v>1587</v>
      </c>
      <c r="C252" s="453" t="s">
        <v>1588</v>
      </c>
      <c r="D252" s="731" t="s">
        <v>6609</v>
      </c>
      <c r="E252" s="655">
        <v>44038</v>
      </c>
      <c r="F252" s="789" t="s">
        <v>2930</v>
      </c>
      <c r="G252" s="732">
        <v>7</v>
      </c>
      <c r="H252" s="833" t="s">
        <v>6610</v>
      </c>
      <c r="I252" s="834" t="s">
        <v>6610</v>
      </c>
      <c r="J252" s="834" t="s">
        <v>6610</v>
      </c>
      <c r="K252" s="834" t="s">
        <v>6610</v>
      </c>
      <c r="L252" s="834" t="s">
        <v>6610</v>
      </c>
      <c r="M252" s="834" t="s">
        <v>6610</v>
      </c>
      <c r="N252" s="834" t="s">
        <v>6610</v>
      </c>
      <c r="O252" s="845" t="s">
        <v>1588</v>
      </c>
      <c r="P252" s="735">
        <v>10</v>
      </c>
      <c r="Q252" s="759" t="s">
        <v>7931</v>
      </c>
      <c r="R252" s="735">
        <v>104</v>
      </c>
      <c r="S252" s="801" t="s">
        <v>1589</v>
      </c>
      <c r="T252" s="735">
        <v>104</v>
      </c>
      <c r="U252" s="758" t="s">
        <v>7932</v>
      </c>
      <c r="V252" s="735">
        <v>30</v>
      </c>
      <c r="W252" s="758" t="s">
        <v>7844</v>
      </c>
      <c r="X252" s="758" t="s">
        <v>7933</v>
      </c>
      <c r="Y252" s="738">
        <v>94</v>
      </c>
      <c r="Z252" s="759" t="s">
        <v>7933</v>
      </c>
      <c r="AA252" s="735">
        <v>94</v>
      </c>
      <c r="AB252" s="758" t="s">
        <v>7934</v>
      </c>
      <c r="AC252" s="735">
        <v>28</v>
      </c>
      <c r="AD252" s="738" t="s">
        <v>7847</v>
      </c>
      <c r="AE252" s="689" t="s">
        <v>7935</v>
      </c>
      <c r="AF252" s="530" t="s">
        <v>2969</v>
      </c>
      <c r="AH252" s="723" t="s">
        <v>5359</v>
      </c>
      <c r="AJ252" s="760">
        <f>_xll.GetCtData("COAMOUNT","CONSAMOUNT",$B$1:$B$7,$B252,AJ$8,"#-1259620,64899587")</f>
        <v>-1259620</v>
      </c>
    </row>
    <row r="253" spans="1:37" ht="12" customHeight="1">
      <c r="A253" s="718" t="s">
        <v>2879</v>
      </c>
      <c r="B253" s="718" t="s">
        <v>1605</v>
      </c>
      <c r="C253" s="453" t="s">
        <v>1606</v>
      </c>
      <c r="D253" s="649" t="s">
        <v>2962</v>
      </c>
      <c r="E253" s="650">
        <v>44515</v>
      </c>
      <c r="F253" s="789" t="s">
        <v>2930</v>
      </c>
      <c r="G253" s="732">
        <v>7</v>
      </c>
      <c r="H253" s="833" t="s">
        <v>6610</v>
      </c>
      <c r="I253" s="834" t="s">
        <v>6610</v>
      </c>
      <c r="J253" s="834" t="s">
        <v>6610</v>
      </c>
      <c r="K253" s="834" t="s">
        <v>6610</v>
      </c>
      <c r="L253" s="834" t="s">
        <v>6610</v>
      </c>
      <c r="M253" s="834" t="s">
        <v>6610</v>
      </c>
      <c r="N253" s="834" t="s">
        <v>6610</v>
      </c>
      <c r="O253" s="845" t="s">
        <v>1606</v>
      </c>
      <c r="P253" s="735">
        <v>10</v>
      </c>
      <c r="Q253" s="759" t="s">
        <v>7936</v>
      </c>
      <c r="R253" s="735">
        <v>103</v>
      </c>
      <c r="S253" s="801" t="s">
        <v>1607</v>
      </c>
      <c r="T253" s="735">
        <v>103</v>
      </c>
      <c r="U253" s="758" t="s">
        <v>7937</v>
      </c>
      <c r="V253" s="735">
        <v>29</v>
      </c>
      <c r="W253" s="758" t="s">
        <v>7844</v>
      </c>
      <c r="X253" s="758" t="s">
        <v>7938</v>
      </c>
      <c r="Y253" s="738">
        <v>124</v>
      </c>
      <c r="Z253" s="758" t="s">
        <v>7938</v>
      </c>
      <c r="AA253" s="735">
        <v>124</v>
      </c>
      <c r="AB253" s="758" t="s">
        <v>7934</v>
      </c>
      <c r="AC253" s="735">
        <v>28</v>
      </c>
      <c r="AD253" s="738" t="s">
        <v>7847</v>
      </c>
      <c r="AE253" s="840" t="s">
        <v>5716</v>
      </c>
      <c r="AF253" s="530" t="s">
        <v>2969</v>
      </c>
      <c r="AH253" s="723" t="s">
        <v>5359</v>
      </c>
      <c r="AJ253" s="760">
        <f>_xll.GetCtData("COAMOUNT","CONSAMOUNT",$B$1:$B$7,$B253,AJ$8,"#-88563,8443652436")</f>
        <v>-88563</v>
      </c>
    </row>
    <row r="254" spans="1:37" ht="12" customHeight="1">
      <c r="A254" s="718" t="s">
        <v>2879</v>
      </c>
      <c r="B254" s="718" t="s">
        <v>2042</v>
      </c>
      <c r="C254" s="453" t="s">
        <v>7939</v>
      </c>
      <c r="D254" s="731" t="s">
        <v>6609</v>
      </c>
      <c r="E254" s="655">
        <v>44035</v>
      </c>
      <c r="F254" s="789" t="s">
        <v>2912</v>
      </c>
      <c r="G254" s="732">
        <v>5</v>
      </c>
      <c r="H254" s="828" t="s">
        <v>6610</v>
      </c>
      <c r="I254" s="733" t="s">
        <v>6610</v>
      </c>
      <c r="J254" s="733" t="s">
        <v>6610</v>
      </c>
      <c r="K254" s="733" t="s">
        <v>6610</v>
      </c>
      <c r="L254" s="733" t="s">
        <v>6610</v>
      </c>
      <c r="M254" s="769" t="s">
        <v>7939</v>
      </c>
      <c r="N254" s="769" t="s">
        <v>6610</v>
      </c>
      <c r="O254" s="832"/>
      <c r="P254" s="735">
        <v>0</v>
      </c>
      <c r="Q254" s="771" t="s">
        <v>7940</v>
      </c>
      <c r="R254" s="735">
        <v>60</v>
      </c>
      <c r="S254" s="772" t="s">
        <v>7941</v>
      </c>
      <c r="T254" s="735">
        <v>61</v>
      </c>
      <c r="U254" s="771" t="s">
        <v>7942</v>
      </c>
      <c r="V254" s="735">
        <v>30</v>
      </c>
      <c r="W254" s="771" t="s">
        <v>7820</v>
      </c>
      <c r="X254" s="771" t="s">
        <v>7943</v>
      </c>
      <c r="Y254" s="738">
        <v>72</v>
      </c>
      <c r="Z254" s="772" t="s">
        <v>7943</v>
      </c>
      <c r="AA254" s="735">
        <v>72</v>
      </c>
      <c r="AB254" s="771" t="s">
        <v>7944</v>
      </c>
      <c r="AC254" s="735">
        <v>28</v>
      </c>
      <c r="AD254" s="738" t="s">
        <v>7823</v>
      </c>
      <c r="AE254" s="689" t="s">
        <v>7841</v>
      </c>
      <c r="AF254" s="530" t="s">
        <v>2969</v>
      </c>
      <c r="AJ254" s="773">
        <f>_xll.GetCtData("COAMOUNT","CONSAMOUNT",$B$1:$B$7,$B254,AJ$8,"#920898,01884921")</f>
        <v>920898</v>
      </c>
    </row>
    <row r="255" spans="1:37" ht="12" customHeight="1">
      <c r="A255" s="718" t="s">
        <v>2879</v>
      </c>
      <c r="B255" s="718" t="s">
        <v>1614</v>
      </c>
      <c r="C255" s="453" t="s">
        <v>1615</v>
      </c>
      <c r="D255" s="731" t="s">
        <v>6609</v>
      </c>
      <c r="E255" s="655">
        <v>44035</v>
      </c>
      <c r="F255" s="789" t="s">
        <v>2930</v>
      </c>
      <c r="G255" s="732">
        <v>7</v>
      </c>
      <c r="H255" s="833" t="s">
        <v>6610</v>
      </c>
      <c r="I255" s="834" t="s">
        <v>6610</v>
      </c>
      <c r="J255" s="834" t="s">
        <v>6610</v>
      </c>
      <c r="K255" s="834" t="s">
        <v>6610</v>
      </c>
      <c r="L255" s="834" t="s">
        <v>6610</v>
      </c>
      <c r="M255" s="834" t="s">
        <v>6610</v>
      </c>
      <c r="N255" s="834" t="s">
        <v>6610</v>
      </c>
      <c r="O255" s="835" t="s">
        <v>1615</v>
      </c>
      <c r="P255" s="735">
        <v>10</v>
      </c>
      <c r="Q255" s="758" t="s">
        <v>1616</v>
      </c>
      <c r="R255" s="735">
        <v>85</v>
      </c>
      <c r="S255" s="759" t="s">
        <v>7945</v>
      </c>
      <c r="T255" s="735">
        <v>86</v>
      </c>
      <c r="U255" s="758" t="s">
        <v>7946</v>
      </c>
      <c r="V255" s="735">
        <v>25</v>
      </c>
      <c r="W255" s="758" t="s">
        <v>7844</v>
      </c>
      <c r="X255" s="758" t="s">
        <v>7947</v>
      </c>
      <c r="Y255" s="738">
        <v>95</v>
      </c>
      <c r="Z255" s="759" t="s">
        <v>7947</v>
      </c>
      <c r="AA255" s="735">
        <v>95</v>
      </c>
      <c r="AB255" s="758" t="s">
        <v>7948</v>
      </c>
      <c r="AC255" s="735">
        <v>30</v>
      </c>
      <c r="AD255" s="738" t="s">
        <v>7847</v>
      </c>
      <c r="AE255" s="689" t="s">
        <v>7848</v>
      </c>
      <c r="AF255" s="530" t="s">
        <v>2969</v>
      </c>
      <c r="AH255" s="723" t="s">
        <v>5359</v>
      </c>
      <c r="AJ255" s="760">
        <f>_xll.GetCtData("COAMOUNT","CONSAMOUNT",$B$1:$B$7,$B255,AJ$8,"#920886,034972971")</f>
        <v>920886</v>
      </c>
    </row>
    <row r="256" spans="1:37" ht="12" customHeight="1">
      <c r="A256" s="718" t="s">
        <v>2879</v>
      </c>
      <c r="B256" s="718" t="s">
        <v>1617</v>
      </c>
      <c r="C256" s="453" t="s">
        <v>1618</v>
      </c>
      <c r="D256" s="731" t="s">
        <v>6609</v>
      </c>
      <c r="E256" s="655">
        <v>44035</v>
      </c>
      <c r="F256" s="789" t="s">
        <v>2930</v>
      </c>
      <c r="G256" s="732">
        <v>7</v>
      </c>
      <c r="H256" s="833" t="s">
        <v>6610</v>
      </c>
      <c r="I256" s="834" t="s">
        <v>6610</v>
      </c>
      <c r="J256" s="834" t="s">
        <v>6610</v>
      </c>
      <c r="K256" s="834" t="s">
        <v>6610</v>
      </c>
      <c r="L256" s="834" t="s">
        <v>6610</v>
      </c>
      <c r="M256" s="834" t="s">
        <v>6610</v>
      </c>
      <c r="N256" s="834" t="s">
        <v>6610</v>
      </c>
      <c r="O256" s="835" t="s">
        <v>1618</v>
      </c>
      <c r="P256" s="735">
        <v>10</v>
      </c>
      <c r="Q256" s="758" t="s">
        <v>1619</v>
      </c>
      <c r="R256" s="735">
        <v>94</v>
      </c>
      <c r="S256" s="759" t="s">
        <v>7949</v>
      </c>
      <c r="T256" s="735">
        <v>95</v>
      </c>
      <c r="U256" s="758" t="s">
        <v>7950</v>
      </c>
      <c r="V256" s="735">
        <v>26</v>
      </c>
      <c r="W256" s="758" t="s">
        <v>7844</v>
      </c>
      <c r="X256" s="758" t="s">
        <v>7951</v>
      </c>
      <c r="Y256" s="738">
        <v>104</v>
      </c>
      <c r="Z256" s="759" t="s">
        <v>7951</v>
      </c>
      <c r="AA256" s="735">
        <v>104</v>
      </c>
      <c r="AB256" s="758" t="s">
        <v>7952</v>
      </c>
      <c r="AC256" s="735">
        <v>30</v>
      </c>
      <c r="AD256" s="738" t="s">
        <v>7847</v>
      </c>
      <c r="AE256" s="689" t="s">
        <v>7953</v>
      </c>
      <c r="AF256" s="530" t="s">
        <v>2969</v>
      </c>
      <c r="AH256" s="723" t="s">
        <v>5359</v>
      </c>
      <c r="AJ256" s="760">
        <f>_xll.GetCtData("COAMOUNT","CONSAMOUNT",$B$1:$B$7,$B256,AJ$8,"#11,9838762392417")</f>
        <v>11</v>
      </c>
    </row>
    <row r="257" spans="1:36" ht="12" customHeight="1">
      <c r="A257" s="718" t="s">
        <v>2879</v>
      </c>
      <c r="B257" s="718" t="s">
        <v>2043</v>
      </c>
      <c r="C257" s="453" t="s">
        <v>7954</v>
      </c>
      <c r="D257" s="731" t="s">
        <v>6609</v>
      </c>
      <c r="E257" s="655">
        <v>44035</v>
      </c>
      <c r="F257" s="789" t="s">
        <v>2912</v>
      </c>
      <c r="G257" s="732">
        <v>5</v>
      </c>
      <c r="H257" s="828" t="s">
        <v>6610</v>
      </c>
      <c r="I257" s="733" t="s">
        <v>6610</v>
      </c>
      <c r="J257" s="733" t="s">
        <v>6610</v>
      </c>
      <c r="K257" s="733" t="s">
        <v>6610</v>
      </c>
      <c r="L257" s="733" t="s">
        <v>6610</v>
      </c>
      <c r="M257" s="769" t="s">
        <v>7954</v>
      </c>
      <c r="N257" s="769" t="s">
        <v>6610</v>
      </c>
      <c r="O257" s="832"/>
      <c r="P257" s="735">
        <v>0</v>
      </c>
      <c r="Q257" s="771" t="s">
        <v>7955</v>
      </c>
      <c r="R257" s="735">
        <v>69</v>
      </c>
      <c r="S257" s="772" t="s">
        <v>7956</v>
      </c>
      <c r="T257" s="735">
        <v>70</v>
      </c>
      <c r="U257" s="771" t="s">
        <v>7957</v>
      </c>
      <c r="V257" s="735">
        <v>26</v>
      </c>
      <c r="W257" s="771" t="s">
        <v>7820</v>
      </c>
      <c r="X257" s="771" t="s">
        <v>7958</v>
      </c>
      <c r="Y257" s="738">
        <v>60</v>
      </c>
      <c r="Z257" s="772" t="s">
        <v>7958</v>
      </c>
      <c r="AA257" s="735">
        <v>60</v>
      </c>
      <c r="AB257" s="771" t="s">
        <v>7959</v>
      </c>
      <c r="AC257" s="735">
        <v>30</v>
      </c>
      <c r="AD257" s="738" t="s">
        <v>7823</v>
      </c>
      <c r="AE257" s="689" t="s">
        <v>7841</v>
      </c>
      <c r="AF257" s="530" t="s">
        <v>2969</v>
      </c>
      <c r="AJ257" s="773">
        <f>_xll.GetCtData("COAMOUNT","CONSAMOUNT",$B$1:$B$7,$B257,AJ$8,"#13275338,732988")</f>
        <v>13275338</v>
      </c>
    </row>
    <row r="258" spans="1:36" ht="12" customHeight="1">
      <c r="A258" s="718" t="s">
        <v>2879</v>
      </c>
      <c r="B258" s="718" t="s">
        <v>1623</v>
      </c>
      <c r="C258" s="453" t="s">
        <v>1624</v>
      </c>
      <c r="D258" s="731" t="s">
        <v>6609</v>
      </c>
      <c r="E258" s="655">
        <v>44035</v>
      </c>
      <c r="F258" s="789" t="s">
        <v>2930</v>
      </c>
      <c r="G258" s="732">
        <v>7</v>
      </c>
      <c r="H258" s="833" t="s">
        <v>6610</v>
      </c>
      <c r="I258" s="834" t="s">
        <v>6610</v>
      </c>
      <c r="J258" s="834" t="s">
        <v>6610</v>
      </c>
      <c r="K258" s="834" t="s">
        <v>6610</v>
      </c>
      <c r="L258" s="834" t="s">
        <v>6610</v>
      </c>
      <c r="M258" s="834" t="s">
        <v>6610</v>
      </c>
      <c r="N258" s="834" t="s">
        <v>6610</v>
      </c>
      <c r="O258" s="841" t="s">
        <v>1624</v>
      </c>
      <c r="P258" s="735">
        <v>10</v>
      </c>
      <c r="Q258" s="758" t="s">
        <v>1625</v>
      </c>
      <c r="R258" s="735">
        <v>94</v>
      </c>
      <c r="S258" s="759" t="s">
        <v>7960</v>
      </c>
      <c r="T258" s="735">
        <v>95</v>
      </c>
      <c r="U258" s="758" t="s">
        <v>7961</v>
      </c>
      <c r="V258" s="735">
        <v>30</v>
      </c>
      <c r="W258" s="758" t="s">
        <v>7844</v>
      </c>
      <c r="X258" s="758" t="s">
        <v>7962</v>
      </c>
      <c r="Y258" s="738">
        <v>83</v>
      </c>
      <c r="Z258" s="759" t="s">
        <v>7962</v>
      </c>
      <c r="AA258" s="735">
        <v>83</v>
      </c>
      <c r="AB258" s="758" t="s">
        <v>7963</v>
      </c>
      <c r="AC258" s="735">
        <v>23</v>
      </c>
      <c r="AD258" s="738" t="s">
        <v>7847</v>
      </c>
      <c r="AE258" s="689" t="s">
        <v>7953</v>
      </c>
      <c r="AF258" s="530" t="s">
        <v>2969</v>
      </c>
      <c r="AH258" s="723" t="s">
        <v>5359</v>
      </c>
      <c r="AJ258" s="760">
        <f>_xll.GetCtData("COAMOUNT","CONSAMOUNT",$B$1:$B$7,$B258,AJ$8,"#13275338,732988")</f>
        <v>13275338</v>
      </c>
    </row>
    <row r="259" spans="1:36" ht="12" customHeight="1">
      <c r="A259" s="718" t="s">
        <v>2879</v>
      </c>
      <c r="B259" s="718" t="s">
        <v>2059</v>
      </c>
      <c r="C259" s="453" t="s">
        <v>7964</v>
      </c>
      <c r="D259" s="731" t="s">
        <v>6609</v>
      </c>
      <c r="E259" s="655">
        <v>44035</v>
      </c>
      <c r="F259" s="789" t="s">
        <v>2912</v>
      </c>
      <c r="G259" s="732">
        <v>5</v>
      </c>
      <c r="H259" s="828" t="s">
        <v>6610</v>
      </c>
      <c r="I259" s="733" t="s">
        <v>6610</v>
      </c>
      <c r="J259" s="733" t="s">
        <v>6610</v>
      </c>
      <c r="K259" s="733" t="s">
        <v>6610</v>
      </c>
      <c r="L259" s="733" t="s">
        <v>6610</v>
      </c>
      <c r="M259" s="769" t="s">
        <v>7964</v>
      </c>
      <c r="N259" s="769" t="s">
        <v>6610</v>
      </c>
      <c r="O259" s="770"/>
      <c r="P259" s="735">
        <v>0</v>
      </c>
      <c r="Q259" s="771" t="s">
        <v>7965</v>
      </c>
      <c r="R259" s="735">
        <v>61</v>
      </c>
      <c r="S259" s="772" t="s">
        <v>7966</v>
      </c>
      <c r="T259" s="735">
        <v>62</v>
      </c>
      <c r="U259" s="771" t="s">
        <v>7967</v>
      </c>
      <c r="V259" s="735">
        <v>27</v>
      </c>
      <c r="W259" s="771" t="s">
        <v>7820</v>
      </c>
      <c r="X259" s="771" t="s">
        <v>7968</v>
      </c>
      <c r="Y259" s="738">
        <v>86</v>
      </c>
      <c r="Z259" s="772" t="s">
        <v>7968</v>
      </c>
      <c r="AA259" s="735">
        <v>86</v>
      </c>
      <c r="AB259" s="771" t="s">
        <v>7969</v>
      </c>
      <c r="AC259" s="735">
        <v>29</v>
      </c>
      <c r="AD259" s="738" t="s">
        <v>7823</v>
      </c>
      <c r="AE259" s="689" t="s">
        <v>7841</v>
      </c>
      <c r="AF259" s="530" t="s">
        <v>2969</v>
      </c>
      <c r="AJ259" s="773">
        <f>_xll.GetCtData("COAMOUNT","CONSAMOUNT",$B$1:$B$7,$B259,AJ$8,"#6355")</f>
        <v>6355</v>
      </c>
    </row>
    <row r="260" spans="1:36" ht="12" customHeight="1">
      <c r="A260" s="718" t="s">
        <v>2879</v>
      </c>
      <c r="B260" s="718" t="s">
        <v>2498</v>
      </c>
      <c r="C260" s="453" t="s">
        <v>2516</v>
      </c>
      <c r="D260" s="654" t="s">
        <v>5656</v>
      </c>
      <c r="E260" s="655">
        <v>44603</v>
      </c>
      <c r="F260" s="789" t="s">
        <v>5409</v>
      </c>
      <c r="G260" s="842">
        <v>7</v>
      </c>
      <c r="H260" s="833" t="s">
        <v>6610</v>
      </c>
      <c r="I260" s="834" t="s">
        <v>6610</v>
      </c>
      <c r="J260" s="834" t="s">
        <v>6610</v>
      </c>
      <c r="K260" s="834" t="s">
        <v>6610</v>
      </c>
      <c r="L260" s="834" t="s">
        <v>6610</v>
      </c>
      <c r="M260" s="834" t="s">
        <v>6610</v>
      </c>
      <c r="N260" s="834" t="s">
        <v>6610</v>
      </c>
      <c r="O260" s="846" t="s">
        <v>2516</v>
      </c>
      <c r="P260" s="735">
        <v>10</v>
      </c>
      <c r="Q260" s="758" t="s">
        <v>7970</v>
      </c>
      <c r="R260" s="735">
        <v>66</v>
      </c>
      <c r="S260" s="801" t="s">
        <v>2651</v>
      </c>
      <c r="T260" s="735">
        <v>67</v>
      </c>
      <c r="U260" s="758" t="s">
        <v>7971</v>
      </c>
      <c r="V260" s="735">
        <v>29</v>
      </c>
      <c r="W260" s="758" t="s">
        <v>2915</v>
      </c>
      <c r="X260" s="758" t="s">
        <v>7972</v>
      </c>
      <c r="Y260" s="738">
        <v>93</v>
      </c>
      <c r="Z260" s="759" t="s">
        <v>7972</v>
      </c>
      <c r="AA260" s="735">
        <v>93</v>
      </c>
      <c r="AB260" s="758" t="s">
        <v>7973</v>
      </c>
      <c r="AC260" s="735">
        <v>24</v>
      </c>
      <c r="AD260" s="738" t="s">
        <v>3143</v>
      </c>
      <c r="AE260" s="689" t="s">
        <v>7974</v>
      </c>
      <c r="AF260" s="844" t="s">
        <v>7900</v>
      </c>
      <c r="AG260" s="718"/>
      <c r="AJ260" s="760">
        <f>_xll.GetCtData("COAMOUNT","CONSAMOUNT",$B$1:$B$7,$B260,AJ$8,"#0")</f>
        <v>0</v>
      </c>
    </row>
    <row r="261" spans="1:36" ht="12" customHeight="1">
      <c r="A261" s="718" t="s">
        <v>2879</v>
      </c>
      <c r="B261" s="718" t="s">
        <v>1593</v>
      </c>
      <c r="C261" s="453" t="s">
        <v>1594</v>
      </c>
      <c r="D261" s="654" t="s">
        <v>5656</v>
      </c>
      <c r="E261" s="655">
        <v>44603</v>
      </c>
      <c r="F261" s="789" t="s">
        <v>5409</v>
      </c>
      <c r="G261" s="842">
        <v>7</v>
      </c>
      <c r="H261" s="833" t="s">
        <v>6610</v>
      </c>
      <c r="I261" s="834" t="s">
        <v>6610</v>
      </c>
      <c r="J261" s="834" t="s">
        <v>6610</v>
      </c>
      <c r="K261" s="834" t="s">
        <v>6610</v>
      </c>
      <c r="L261" s="834" t="s">
        <v>6610</v>
      </c>
      <c r="M261" s="834" t="s">
        <v>6610</v>
      </c>
      <c r="N261" s="834" t="s">
        <v>6610</v>
      </c>
      <c r="O261" s="846" t="s">
        <v>1594</v>
      </c>
      <c r="P261" s="735">
        <v>10</v>
      </c>
      <c r="Q261" s="758" t="s">
        <v>7975</v>
      </c>
      <c r="R261" s="735">
        <v>65</v>
      </c>
      <c r="S261" s="801" t="s">
        <v>1595</v>
      </c>
      <c r="T261" s="735">
        <v>66</v>
      </c>
      <c r="U261" s="758" t="s">
        <v>7976</v>
      </c>
      <c r="V261" s="735">
        <v>30</v>
      </c>
      <c r="W261" s="758" t="s">
        <v>2915</v>
      </c>
      <c r="X261" s="758" t="s">
        <v>7977</v>
      </c>
      <c r="Y261" s="738">
        <v>96</v>
      </c>
      <c r="Z261" s="759" t="s">
        <v>7977</v>
      </c>
      <c r="AA261" s="735">
        <v>96</v>
      </c>
      <c r="AB261" s="758" t="s">
        <v>7978</v>
      </c>
      <c r="AC261" s="735">
        <v>26</v>
      </c>
      <c r="AD261" s="738" t="s">
        <v>3143</v>
      </c>
      <c r="AE261" s="689" t="s">
        <v>7974</v>
      </c>
      <c r="AF261" s="844" t="s">
        <v>7900</v>
      </c>
      <c r="AG261" s="718"/>
      <c r="AH261" s="723" t="s">
        <v>5359</v>
      </c>
      <c r="AJ261" s="760">
        <f>_xll.GetCtData("COAMOUNT","CONSAMOUNT",$B$1:$B$7,$B261,AJ$8,"#6355")</f>
        <v>6355</v>
      </c>
    </row>
    <row r="262" spans="1:36" ht="12" customHeight="1">
      <c r="A262" s="718" t="s">
        <v>2879</v>
      </c>
      <c r="B262" s="718" t="s">
        <v>2497</v>
      </c>
      <c r="C262" s="453" t="s">
        <v>2514</v>
      </c>
      <c r="D262" s="654" t="s">
        <v>5656</v>
      </c>
      <c r="E262" s="655">
        <v>44603</v>
      </c>
      <c r="F262" s="789" t="s">
        <v>5409</v>
      </c>
      <c r="G262" s="842">
        <v>7</v>
      </c>
      <c r="H262" s="833"/>
      <c r="I262" s="834"/>
      <c r="J262" s="834"/>
      <c r="K262" s="834"/>
      <c r="L262" s="834"/>
      <c r="M262" s="834"/>
      <c r="N262" s="834"/>
      <c r="O262" s="846" t="s">
        <v>2514</v>
      </c>
      <c r="P262" s="735">
        <v>10</v>
      </c>
      <c r="Q262" s="758" t="s">
        <v>7979</v>
      </c>
      <c r="R262" s="735">
        <v>66</v>
      </c>
      <c r="S262" s="759" t="s">
        <v>2652</v>
      </c>
      <c r="T262" s="735">
        <v>66</v>
      </c>
      <c r="U262" s="758" t="s">
        <v>2515</v>
      </c>
      <c r="V262" s="735">
        <v>27</v>
      </c>
      <c r="W262" s="758" t="s">
        <v>2915</v>
      </c>
      <c r="X262" s="758" t="s">
        <v>7980</v>
      </c>
      <c r="Y262" s="738">
        <v>90</v>
      </c>
      <c r="Z262" s="759" t="s">
        <v>7980</v>
      </c>
      <c r="AA262" s="735">
        <v>90</v>
      </c>
      <c r="AB262" s="758" t="s">
        <v>7981</v>
      </c>
      <c r="AC262" s="735">
        <v>29</v>
      </c>
      <c r="AD262" s="738" t="s">
        <v>3143</v>
      </c>
      <c r="AE262" s="689" t="s">
        <v>5674</v>
      </c>
      <c r="AF262" s="844" t="s">
        <v>7900</v>
      </c>
      <c r="AG262" s="718"/>
      <c r="AH262" s="723" t="s">
        <v>5359</v>
      </c>
      <c r="AJ262" s="760">
        <f>_xll.GetCtData("COAMOUNT","CONSAMOUNT",$B$1:$B$7,$B262,AJ$8,"#0")</f>
        <v>0</v>
      </c>
    </row>
    <row r="263" spans="1:36" ht="12" customHeight="1">
      <c r="A263" s="718" t="s">
        <v>2879</v>
      </c>
      <c r="B263" s="718" t="s">
        <v>1599</v>
      </c>
      <c r="C263" s="453" t="s">
        <v>1600</v>
      </c>
      <c r="D263" s="654" t="s">
        <v>5656</v>
      </c>
      <c r="E263" s="655">
        <v>44603</v>
      </c>
      <c r="F263" s="789" t="s">
        <v>5409</v>
      </c>
      <c r="G263" s="842">
        <v>7</v>
      </c>
      <c r="H263" s="833"/>
      <c r="I263" s="834"/>
      <c r="J263" s="834"/>
      <c r="K263" s="834"/>
      <c r="L263" s="834"/>
      <c r="M263" s="834"/>
      <c r="N263" s="834"/>
      <c r="O263" s="846" t="s">
        <v>1600</v>
      </c>
      <c r="P263" s="735">
        <v>10</v>
      </c>
      <c r="Q263" s="758" t="s">
        <v>1601</v>
      </c>
      <c r="R263" s="735">
        <v>65</v>
      </c>
      <c r="S263" s="811" t="s">
        <v>1601</v>
      </c>
      <c r="T263" s="735">
        <v>65</v>
      </c>
      <c r="U263" s="758" t="s">
        <v>7982</v>
      </c>
      <c r="V263" s="735">
        <v>30</v>
      </c>
      <c r="W263" s="758" t="s">
        <v>2915</v>
      </c>
      <c r="X263" s="758" t="s">
        <v>7983</v>
      </c>
      <c r="Y263" s="738">
        <v>93</v>
      </c>
      <c r="Z263" s="759" t="s">
        <v>7983</v>
      </c>
      <c r="AA263" s="735">
        <v>93</v>
      </c>
      <c r="AB263" s="758" t="s">
        <v>7984</v>
      </c>
      <c r="AC263" s="735">
        <v>30</v>
      </c>
      <c r="AD263" s="738" t="s">
        <v>3143</v>
      </c>
      <c r="AE263" s="689" t="s">
        <v>7985</v>
      </c>
      <c r="AF263" s="844" t="s">
        <v>7900</v>
      </c>
      <c r="AG263" s="718"/>
      <c r="AH263" s="723" t="s">
        <v>5359</v>
      </c>
      <c r="AJ263" s="812">
        <f>_xll.GetCtData("COAMOUNT","CONSAMOUNT",$B$1:$B$7,$B263,AJ$8,"#0")</f>
        <v>0</v>
      </c>
    </row>
    <row r="264" spans="1:36" ht="12" customHeight="1">
      <c r="A264" s="718" t="s">
        <v>2879</v>
      </c>
      <c r="B264" s="718" t="s">
        <v>2493</v>
      </c>
      <c r="C264" s="453" t="s">
        <v>7986</v>
      </c>
      <c r="D264" s="731" t="s">
        <v>6609</v>
      </c>
      <c r="E264" s="655">
        <v>44035</v>
      </c>
      <c r="F264" s="732" t="s">
        <v>2912</v>
      </c>
      <c r="G264" s="731">
        <v>3</v>
      </c>
      <c r="H264" s="830" t="s">
        <v>6610</v>
      </c>
      <c r="I264" s="790" t="s">
        <v>6610</v>
      </c>
      <c r="J264" s="790" t="s">
        <v>6610</v>
      </c>
      <c r="K264" s="752" t="s">
        <v>7986</v>
      </c>
      <c r="L264" s="752" t="s">
        <v>6610</v>
      </c>
      <c r="M264" s="752" t="s">
        <v>6610</v>
      </c>
      <c r="N264" s="752" t="s">
        <v>6610</v>
      </c>
      <c r="O264" s="847"/>
      <c r="P264" s="735">
        <v>0</v>
      </c>
      <c r="Q264" s="754" t="s">
        <v>7987</v>
      </c>
      <c r="R264" s="735">
        <v>36</v>
      </c>
      <c r="S264" s="755" t="s">
        <v>7987</v>
      </c>
      <c r="T264" s="735">
        <v>36</v>
      </c>
      <c r="U264" s="754" t="s">
        <v>7988</v>
      </c>
      <c r="V264" s="735">
        <v>29</v>
      </c>
      <c r="W264" s="754" t="s">
        <v>7820</v>
      </c>
      <c r="X264" s="754" t="s">
        <v>7989</v>
      </c>
      <c r="Y264" s="738">
        <v>54</v>
      </c>
      <c r="Z264" s="755" t="s">
        <v>7989</v>
      </c>
      <c r="AA264" s="735">
        <v>54</v>
      </c>
      <c r="AB264" s="754" t="s">
        <v>7990</v>
      </c>
      <c r="AC264" s="735">
        <v>28</v>
      </c>
      <c r="AD264" s="738" t="s">
        <v>7823</v>
      </c>
      <c r="AE264" s="689"/>
      <c r="AF264" s="530" t="s">
        <v>2969</v>
      </c>
      <c r="AJ264" s="756">
        <f>_xll.GetCtData("COAMOUNT","CONSAMOUNT",$B$1:$B$7,$B264,AJ$8,"#923082")</f>
        <v>923082</v>
      </c>
    </row>
    <row r="265" spans="1:36" ht="12" customHeight="1">
      <c r="A265" s="718" t="s">
        <v>2879</v>
      </c>
      <c r="B265" s="718" t="s">
        <v>7991</v>
      </c>
      <c r="C265" s="453" t="s">
        <v>7992</v>
      </c>
      <c r="D265" s="731" t="s">
        <v>6609</v>
      </c>
      <c r="E265" s="655">
        <v>44035</v>
      </c>
      <c r="F265" s="789" t="s">
        <v>2912</v>
      </c>
      <c r="G265" s="848">
        <v>4</v>
      </c>
      <c r="H265" s="849" t="s">
        <v>6610</v>
      </c>
      <c r="I265" s="850" t="s">
        <v>6610</v>
      </c>
      <c r="J265" s="850" t="s">
        <v>6610</v>
      </c>
      <c r="K265" s="850" t="s">
        <v>6610</v>
      </c>
      <c r="L265" s="851" t="s">
        <v>7992</v>
      </c>
      <c r="M265" s="851" t="s">
        <v>6610</v>
      </c>
      <c r="N265" s="851" t="s">
        <v>6610</v>
      </c>
      <c r="O265" s="831"/>
      <c r="P265" s="735">
        <v>0</v>
      </c>
      <c r="Q265" s="766" t="s">
        <v>7987</v>
      </c>
      <c r="R265" s="735">
        <v>36</v>
      </c>
      <c r="S265" s="767" t="s">
        <v>7987</v>
      </c>
      <c r="T265" s="735">
        <v>36</v>
      </c>
      <c r="U265" s="766" t="s">
        <v>7988</v>
      </c>
      <c r="V265" s="735">
        <v>29</v>
      </c>
      <c r="W265" s="766" t="s">
        <v>7820</v>
      </c>
      <c r="X265" s="766" t="s">
        <v>7989</v>
      </c>
      <c r="Y265" s="738">
        <v>54</v>
      </c>
      <c r="Z265" s="767" t="s">
        <v>7989</v>
      </c>
      <c r="AA265" s="735">
        <v>54</v>
      </c>
      <c r="AB265" s="766" t="s">
        <v>7990</v>
      </c>
      <c r="AC265" s="735">
        <v>28</v>
      </c>
      <c r="AD265" s="738" t="s">
        <v>7823</v>
      </c>
      <c r="AE265" s="689"/>
      <c r="AF265" s="530" t="s">
        <v>2969</v>
      </c>
      <c r="AJ265" s="768">
        <f>_xll.GetCtData("COAMOUNT","CONSAMOUNT",$B$1:$B$7,$B265,AJ$8,"#923082")</f>
        <v>923082</v>
      </c>
    </row>
    <row r="266" spans="1:36" ht="12" customHeight="1">
      <c r="A266" s="718" t="s">
        <v>2879</v>
      </c>
      <c r="B266" s="718" t="s">
        <v>2044</v>
      </c>
      <c r="C266" s="453" t="s">
        <v>7993</v>
      </c>
      <c r="D266" s="731" t="s">
        <v>6609</v>
      </c>
      <c r="E266" s="655">
        <v>44035</v>
      </c>
      <c r="F266" s="732" t="s">
        <v>2912</v>
      </c>
      <c r="G266" s="732">
        <v>5</v>
      </c>
      <c r="H266" s="828" t="s">
        <v>6610</v>
      </c>
      <c r="I266" s="733" t="s">
        <v>6610</v>
      </c>
      <c r="J266" s="733" t="s">
        <v>6610</v>
      </c>
      <c r="K266" s="733" t="s">
        <v>6610</v>
      </c>
      <c r="L266" s="733" t="s">
        <v>6610</v>
      </c>
      <c r="M266" s="769" t="s">
        <v>7993</v>
      </c>
      <c r="N266" s="769" t="s">
        <v>6610</v>
      </c>
      <c r="O266" s="832"/>
      <c r="P266" s="735">
        <v>0</v>
      </c>
      <c r="Q266" s="771" t="s">
        <v>7994</v>
      </c>
      <c r="R266" s="735">
        <v>63</v>
      </c>
      <c r="S266" s="772" t="s">
        <v>7994</v>
      </c>
      <c r="T266" s="735">
        <v>63</v>
      </c>
      <c r="U266" s="771" t="s">
        <v>7995</v>
      </c>
      <c r="V266" s="735">
        <v>28</v>
      </c>
      <c r="W266" s="771" t="s">
        <v>7996</v>
      </c>
      <c r="X266" s="771" t="s">
        <v>7997</v>
      </c>
      <c r="Y266" s="738">
        <v>78</v>
      </c>
      <c r="Z266" s="772" t="s">
        <v>7997</v>
      </c>
      <c r="AA266" s="735">
        <v>78</v>
      </c>
      <c r="AB266" s="771" t="s">
        <v>7998</v>
      </c>
      <c r="AC266" s="735">
        <v>28</v>
      </c>
      <c r="AD266" s="738" t="s">
        <v>7999</v>
      </c>
      <c r="AE266" s="689"/>
      <c r="AF266" s="530" t="s">
        <v>2969</v>
      </c>
      <c r="AJ266" s="773">
        <f>_xll.GetCtData("COAMOUNT","CONSAMOUNT",$B$1:$B$7,$B266,AJ$8,"#915749")</f>
        <v>915749</v>
      </c>
    </row>
    <row r="267" spans="1:36" ht="12" customHeight="1">
      <c r="A267" s="718" t="s">
        <v>2879</v>
      </c>
      <c r="B267" s="718" t="s">
        <v>2744</v>
      </c>
      <c r="C267" s="453" t="s">
        <v>2745</v>
      </c>
      <c r="D267" s="731" t="s">
        <v>6609</v>
      </c>
      <c r="E267" s="655">
        <v>44035</v>
      </c>
      <c r="F267" s="789" t="s">
        <v>2930</v>
      </c>
      <c r="G267" s="732">
        <v>7</v>
      </c>
      <c r="H267" s="833" t="s">
        <v>6610</v>
      </c>
      <c r="I267" s="834" t="s">
        <v>6610</v>
      </c>
      <c r="J267" s="834" t="s">
        <v>6610</v>
      </c>
      <c r="K267" s="834" t="s">
        <v>6610</v>
      </c>
      <c r="L267" s="834" t="s">
        <v>6610</v>
      </c>
      <c r="M267" s="834" t="s">
        <v>6610</v>
      </c>
      <c r="N267" s="834" t="s">
        <v>6610</v>
      </c>
      <c r="O267" s="835" t="s">
        <v>2745</v>
      </c>
      <c r="P267" s="735">
        <v>10</v>
      </c>
      <c r="Q267" s="758" t="s">
        <v>2746</v>
      </c>
      <c r="R267" s="735">
        <v>88</v>
      </c>
      <c r="S267" s="759" t="s">
        <v>2746</v>
      </c>
      <c r="T267" s="735">
        <v>88</v>
      </c>
      <c r="U267" s="758" t="s">
        <v>8000</v>
      </c>
      <c r="V267" s="735">
        <v>26</v>
      </c>
      <c r="W267" s="758" t="s">
        <v>7996</v>
      </c>
      <c r="X267" s="758" t="s">
        <v>8001</v>
      </c>
      <c r="Y267" s="738">
        <v>101</v>
      </c>
      <c r="Z267" s="759" t="s">
        <v>8001</v>
      </c>
      <c r="AA267" s="735">
        <v>101</v>
      </c>
      <c r="AB267" s="758" t="s">
        <v>8002</v>
      </c>
      <c r="AC267" s="735">
        <v>29</v>
      </c>
      <c r="AD267" s="738" t="s">
        <v>7999</v>
      </c>
      <c r="AE267" s="689" t="s">
        <v>8003</v>
      </c>
      <c r="AF267" s="530" t="s">
        <v>2969</v>
      </c>
      <c r="AH267" s="723" t="s">
        <v>5359</v>
      </c>
      <c r="AJ267" s="760">
        <f>_xll.GetCtData("COAMOUNT","CONSAMOUNT",$B$1:$B$7,$B267,AJ$8,"#792037")</f>
        <v>792037</v>
      </c>
    </row>
    <row r="268" spans="1:36" ht="12" customHeight="1">
      <c r="A268" s="718" t="s">
        <v>2879</v>
      </c>
      <c r="B268" s="718" t="s">
        <v>2753</v>
      </c>
      <c r="C268" s="453" t="s">
        <v>2754</v>
      </c>
      <c r="D268" s="731" t="s">
        <v>6609</v>
      </c>
      <c r="E268" s="655">
        <v>44035</v>
      </c>
      <c r="F268" s="789" t="s">
        <v>2930</v>
      </c>
      <c r="G268" s="732">
        <v>7</v>
      </c>
      <c r="H268" s="833" t="s">
        <v>6610</v>
      </c>
      <c r="I268" s="834" t="s">
        <v>6610</v>
      </c>
      <c r="J268" s="834" t="s">
        <v>6610</v>
      </c>
      <c r="K268" s="834" t="s">
        <v>6610</v>
      </c>
      <c r="L268" s="834" t="s">
        <v>6610</v>
      </c>
      <c r="M268" s="834" t="s">
        <v>6610</v>
      </c>
      <c r="N268" s="834" t="s">
        <v>6610</v>
      </c>
      <c r="O268" s="835" t="s">
        <v>2754</v>
      </c>
      <c r="P268" s="735">
        <v>10</v>
      </c>
      <c r="Q268" s="758" t="s">
        <v>2755</v>
      </c>
      <c r="R268" s="735">
        <v>97</v>
      </c>
      <c r="S268" s="759" t="s">
        <v>2755</v>
      </c>
      <c r="T268" s="735">
        <v>97</v>
      </c>
      <c r="U268" s="758" t="s">
        <v>8004</v>
      </c>
      <c r="V268" s="735">
        <v>20</v>
      </c>
      <c r="W268" s="758" t="s">
        <v>7996</v>
      </c>
      <c r="X268" s="758" t="s">
        <v>8005</v>
      </c>
      <c r="Y268" s="738">
        <v>110</v>
      </c>
      <c r="Z268" s="759" t="s">
        <v>8005</v>
      </c>
      <c r="AA268" s="735">
        <v>110</v>
      </c>
      <c r="AB268" s="758" t="s">
        <v>8006</v>
      </c>
      <c r="AC268" s="735">
        <v>30</v>
      </c>
      <c r="AD268" s="738" t="s">
        <v>7999</v>
      </c>
      <c r="AE268" s="689" t="s">
        <v>8007</v>
      </c>
      <c r="AF268" s="530" t="s">
        <v>2969</v>
      </c>
      <c r="AH268" s="723" t="s">
        <v>5359</v>
      </c>
      <c r="AJ268" s="760">
        <f>_xll.GetCtData("COAMOUNT","CONSAMOUNT",$B$1:$B$7,$B268,AJ$8,"#122221")</f>
        <v>122221</v>
      </c>
    </row>
    <row r="269" spans="1:36" ht="12" customHeight="1">
      <c r="A269" s="718" t="s">
        <v>2879</v>
      </c>
      <c r="B269" s="718" t="s">
        <v>2747</v>
      </c>
      <c r="C269" s="453" t="s">
        <v>2748</v>
      </c>
      <c r="D269" s="731" t="s">
        <v>6609</v>
      </c>
      <c r="E269" s="655">
        <v>44038</v>
      </c>
      <c r="F269" s="836" t="s">
        <v>2930</v>
      </c>
      <c r="G269" s="837">
        <v>7</v>
      </c>
      <c r="H269" s="838" t="s">
        <v>6610</v>
      </c>
      <c r="I269" s="834" t="s">
        <v>6610</v>
      </c>
      <c r="J269" s="834" t="s">
        <v>6610</v>
      </c>
      <c r="K269" s="834" t="s">
        <v>6610</v>
      </c>
      <c r="L269" s="834" t="s">
        <v>6610</v>
      </c>
      <c r="M269" s="834" t="s">
        <v>6610</v>
      </c>
      <c r="N269" s="834" t="s">
        <v>6610</v>
      </c>
      <c r="O269" s="835" t="s">
        <v>2748</v>
      </c>
      <c r="P269" s="735">
        <v>10</v>
      </c>
      <c r="Q269" s="759" t="s">
        <v>8008</v>
      </c>
      <c r="R269" s="735">
        <v>105</v>
      </c>
      <c r="S269" s="801" t="s">
        <v>2749</v>
      </c>
      <c r="T269" s="735">
        <v>105</v>
      </c>
      <c r="U269" s="758" t="s">
        <v>8009</v>
      </c>
      <c r="V269" s="735">
        <v>30</v>
      </c>
      <c r="W269" s="758" t="s">
        <v>7996</v>
      </c>
      <c r="X269" s="758" t="s">
        <v>8010</v>
      </c>
      <c r="Y269" s="738">
        <v>70</v>
      </c>
      <c r="Z269" s="759" t="s">
        <v>8010</v>
      </c>
      <c r="AA269" s="735">
        <v>70</v>
      </c>
      <c r="AB269" s="758" t="s">
        <v>8011</v>
      </c>
      <c r="AC269" s="735">
        <v>27</v>
      </c>
      <c r="AD269" s="738" t="s">
        <v>7999</v>
      </c>
      <c r="AE269" s="689" t="s">
        <v>8012</v>
      </c>
      <c r="AF269" s="530" t="s">
        <v>2969</v>
      </c>
      <c r="AH269" s="723" t="s">
        <v>5359</v>
      </c>
      <c r="AJ269" s="760">
        <f>_xll.GetCtData("COAMOUNT","CONSAMOUNT",$B$1:$B$7,$B269,AJ$8,"#1482")</f>
        <v>1482</v>
      </c>
    </row>
    <row r="270" spans="1:36" ht="12" customHeight="1">
      <c r="A270" s="718" t="s">
        <v>2879</v>
      </c>
      <c r="B270" s="718" t="s">
        <v>2756</v>
      </c>
      <c r="C270" s="453" t="s">
        <v>2757</v>
      </c>
      <c r="D270" s="649" t="s">
        <v>2962</v>
      </c>
      <c r="E270" s="650">
        <v>44515</v>
      </c>
      <c r="F270" s="836" t="s">
        <v>2930</v>
      </c>
      <c r="G270" s="837">
        <v>7</v>
      </c>
      <c r="H270" s="838" t="s">
        <v>6610</v>
      </c>
      <c r="I270" s="834" t="s">
        <v>6610</v>
      </c>
      <c r="J270" s="834" t="s">
        <v>6610</v>
      </c>
      <c r="K270" s="834" t="s">
        <v>6610</v>
      </c>
      <c r="L270" s="834" t="s">
        <v>6610</v>
      </c>
      <c r="M270" s="834" t="s">
        <v>6610</v>
      </c>
      <c r="N270" s="834" t="s">
        <v>6610</v>
      </c>
      <c r="O270" s="839" t="s">
        <v>2757</v>
      </c>
      <c r="P270" s="735">
        <v>10</v>
      </c>
      <c r="Q270" s="759" t="s">
        <v>8013</v>
      </c>
      <c r="R270" s="735">
        <v>104</v>
      </c>
      <c r="S270" s="801" t="s">
        <v>2758</v>
      </c>
      <c r="T270" s="735">
        <v>104</v>
      </c>
      <c r="U270" s="758" t="s">
        <v>8014</v>
      </c>
      <c r="V270" s="735">
        <v>30</v>
      </c>
      <c r="W270" s="758" t="s">
        <v>7996</v>
      </c>
      <c r="X270" s="758" t="s">
        <v>8015</v>
      </c>
      <c r="Y270" s="738">
        <v>124</v>
      </c>
      <c r="Z270" s="758" t="s">
        <v>8015</v>
      </c>
      <c r="AA270" s="735">
        <v>124</v>
      </c>
      <c r="AB270" s="758" t="s">
        <v>8011</v>
      </c>
      <c r="AC270" s="735">
        <v>27</v>
      </c>
      <c r="AD270" s="738" t="s">
        <v>7999</v>
      </c>
      <c r="AE270" s="689" t="s">
        <v>5716</v>
      </c>
      <c r="AF270" s="530" t="s">
        <v>2969</v>
      </c>
      <c r="AH270" s="723" t="s">
        <v>5359</v>
      </c>
      <c r="AJ270" s="760">
        <f>_xll.GetCtData("COAMOUNT","CONSAMOUNT",$B$1:$B$7,$B270,AJ$8,"#9")</f>
        <v>9</v>
      </c>
    </row>
    <row r="271" spans="1:36" ht="12" customHeight="1">
      <c r="A271" s="718" t="s">
        <v>2879</v>
      </c>
      <c r="B271" s="718" t="s">
        <v>2045</v>
      </c>
      <c r="C271" s="453" t="s">
        <v>8016</v>
      </c>
      <c r="D271" s="731" t="s">
        <v>6609</v>
      </c>
      <c r="E271" s="655">
        <v>44035</v>
      </c>
      <c r="F271" s="732" t="s">
        <v>2912</v>
      </c>
      <c r="G271" s="732">
        <v>5</v>
      </c>
      <c r="H271" s="828" t="s">
        <v>6610</v>
      </c>
      <c r="I271" s="733" t="s">
        <v>6610</v>
      </c>
      <c r="J271" s="733" t="s">
        <v>6610</v>
      </c>
      <c r="K271" s="733" t="s">
        <v>6610</v>
      </c>
      <c r="L271" s="733" t="s">
        <v>6610</v>
      </c>
      <c r="M271" s="769" t="s">
        <v>8016</v>
      </c>
      <c r="N271" s="769" t="s">
        <v>6610</v>
      </c>
      <c r="O271" s="832"/>
      <c r="P271" s="735">
        <v>0</v>
      </c>
      <c r="Q271" s="771" t="s">
        <v>8017</v>
      </c>
      <c r="R271" s="735">
        <v>61</v>
      </c>
      <c r="S271" s="772" t="s">
        <v>8017</v>
      </c>
      <c r="T271" s="735">
        <v>61</v>
      </c>
      <c r="U271" s="771" t="s">
        <v>8018</v>
      </c>
      <c r="V271" s="735">
        <v>30</v>
      </c>
      <c r="W271" s="771" t="s">
        <v>7996</v>
      </c>
      <c r="X271" s="771" t="s">
        <v>8019</v>
      </c>
      <c r="Y271" s="738">
        <v>72</v>
      </c>
      <c r="Z271" s="772" t="s">
        <v>8019</v>
      </c>
      <c r="AA271" s="735">
        <v>72</v>
      </c>
      <c r="AB271" s="771" t="s">
        <v>8020</v>
      </c>
      <c r="AC271" s="735">
        <v>28</v>
      </c>
      <c r="AD271" s="738" t="s">
        <v>7999</v>
      </c>
      <c r="AE271" s="689"/>
      <c r="AF271" s="530" t="s">
        <v>2969</v>
      </c>
      <c r="AJ271" s="773">
        <f>_xll.GetCtData("COAMOUNT","CONSAMOUNT",$B$1:$B$7,$B271,AJ$8,"#7333")</f>
        <v>7333</v>
      </c>
    </row>
    <row r="272" spans="1:36" ht="12" customHeight="1">
      <c r="A272" s="718" t="s">
        <v>2879</v>
      </c>
      <c r="B272" s="718" t="s">
        <v>2761</v>
      </c>
      <c r="C272" s="453" t="s">
        <v>2762</v>
      </c>
      <c r="D272" s="731" t="s">
        <v>6609</v>
      </c>
      <c r="E272" s="655">
        <v>44035</v>
      </c>
      <c r="F272" s="789" t="s">
        <v>2930</v>
      </c>
      <c r="G272" s="731">
        <v>7</v>
      </c>
      <c r="H272" s="833" t="s">
        <v>6610</v>
      </c>
      <c r="I272" s="834" t="s">
        <v>6610</v>
      </c>
      <c r="J272" s="834" t="s">
        <v>6610</v>
      </c>
      <c r="K272" s="834" t="s">
        <v>6610</v>
      </c>
      <c r="L272" s="834" t="s">
        <v>6610</v>
      </c>
      <c r="M272" s="834" t="s">
        <v>6610</v>
      </c>
      <c r="N272" s="834" t="s">
        <v>6610</v>
      </c>
      <c r="O272" s="835" t="s">
        <v>2762</v>
      </c>
      <c r="P272" s="735">
        <v>10</v>
      </c>
      <c r="Q272" s="758" t="s">
        <v>2763</v>
      </c>
      <c r="R272" s="735">
        <v>95</v>
      </c>
      <c r="S272" s="759" t="s">
        <v>2763</v>
      </c>
      <c r="T272" s="735">
        <v>95</v>
      </c>
      <c r="U272" s="758" t="s">
        <v>8021</v>
      </c>
      <c r="V272" s="735">
        <v>27</v>
      </c>
      <c r="W272" s="758" t="s">
        <v>7996</v>
      </c>
      <c r="X272" s="758" t="s">
        <v>8022</v>
      </c>
      <c r="Y272" s="738">
        <v>88</v>
      </c>
      <c r="Z272" s="759" t="s">
        <v>8022</v>
      </c>
      <c r="AA272" s="735">
        <v>88</v>
      </c>
      <c r="AB272" s="758" t="s">
        <v>8023</v>
      </c>
      <c r="AC272" s="735">
        <v>30</v>
      </c>
      <c r="AD272" s="738" t="s">
        <v>7999</v>
      </c>
      <c r="AE272" s="689" t="s">
        <v>8007</v>
      </c>
      <c r="AF272" s="530" t="s">
        <v>2969</v>
      </c>
      <c r="AH272" s="723" t="s">
        <v>5359</v>
      </c>
      <c r="AJ272" s="760">
        <f>_xll.GetCtData("COAMOUNT","CONSAMOUNT",$B$1:$B$7,$B272,AJ$8,"#7333")</f>
        <v>7333</v>
      </c>
    </row>
    <row r="273" spans="1:36" ht="12" customHeight="1">
      <c r="A273" s="718" t="s">
        <v>2879</v>
      </c>
      <c r="B273" s="718" t="s">
        <v>2060</v>
      </c>
      <c r="C273" s="453" t="s">
        <v>8024</v>
      </c>
      <c r="D273" s="731" t="s">
        <v>6609</v>
      </c>
      <c r="E273" s="655">
        <v>44035</v>
      </c>
      <c r="F273" s="789" t="s">
        <v>2912</v>
      </c>
      <c r="G273" s="731">
        <v>5</v>
      </c>
      <c r="H273" s="732" t="s">
        <v>6610</v>
      </c>
      <c r="I273" s="733" t="s">
        <v>6610</v>
      </c>
      <c r="J273" s="733" t="s">
        <v>6610</v>
      </c>
      <c r="K273" s="733" t="s">
        <v>6610</v>
      </c>
      <c r="L273" s="733" t="s">
        <v>6610</v>
      </c>
      <c r="M273" s="769" t="s">
        <v>8024</v>
      </c>
      <c r="N273" s="769" t="s">
        <v>6610</v>
      </c>
      <c r="O273" s="770"/>
      <c r="P273" s="735">
        <v>0</v>
      </c>
      <c r="Q273" s="771" t="s">
        <v>8025</v>
      </c>
      <c r="R273" s="735">
        <v>54</v>
      </c>
      <c r="S273" s="772" t="s">
        <v>8025</v>
      </c>
      <c r="T273" s="735">
        <v>54</v>
      </c>
      <c r="U273" s="771" t="s">
        <v>8026</v>
      </c>
      <c r="V273" s="735">
        <v>27</v>
      </c>
      <c r="W273" s="771" t="s">
        <v>2915</v>
      </c>
      <c r="X273" s="771" t="s">
        <v>8027</v>
      </c>
      <c r="Y273" s="738">
        <v>86</v>
      </c>
      <c r="Z273" s="772" t="s">
        <v>8027</v>
      </c>
      <c r="AA273" s="735">
        <v>86</v>
      </c>
      <c r="AB273" s="771" t="s">
        <v>8028</v>
      </c>
      <c r="AC273" s="735">
        <v>30</v>
      </c>
      <c r="AD273" s="738" t="s">
        <v>3143</v>
      </c>
      <c r="AE273" s="689" t="s">
        <v>7841</v>
      </c>
      <c r="AF273" s="530" t="s">
        <v>2969</v>
      </c>
      <c r="AJ273" s="773">
        <f>_xll.GetCtData("COAMOUNT","CONSAMOUNT",$B$1:$B$7,$B273,AJ$8,"#0")</f>
        <v>0</v>
      </c>
    </row>
    <row r="274" spans="1:36" ht="12" customHeight="1">
      <c r="A274" s="718" t="s">
        <v>2879</v>
      </c>
      <c r="B274" s="718" t="s">
        <v>8029</v>
      </c>
      <c r="C274" s="453" t="s">
        <v>8030</v>
      </c>
      <c r="D274" s="654" t="s">
        <v>5656</v>
      </c>
      <c r="E274" s="655">
        <v>44603</v>
      </c>
      <c r="F274" s="789" t="s">
        <v>5409</v>
      </c>
      <c r="G274" s="731">
        <v>7</v>
      </c>
      <c r="H274" s="833" t="s">
        <v>6610</v>
      </c>
      <c r="I274" s="834" t="s">
        <v>6610</v>
      </c>
      <c r="J274" s="834" t="s">
        <v>6610</v>
      </c>
      <c r="K274" s="834" t="s">
        <v>6610</v>
      </c>
      <c r="L274" s="834" t="s">
        <v>6610</v>
      </c>
      <c r="M274" s="834" t="s">
        <v>6610</v>
      </c>
      <c r="N274" s="834" t="s">
        <v>6610</v>
      </c>
      <c r="O274" s="846" t="s">
        <v>8030</v>
      </c>
      <c r="P274" s="735">
        <v>10</v>
      </c>
      <c r="Q274" s="758" t="s">
        <v>8031</v>
      </c>
      <c r="R274" s="735">
        <v>60</v>
      </c>
      <c r="S274" s="801" t="s">
        <v>8032</v>
      </c>
      <c r="T274" s="735">
        <v>61</v>
      </c>
      <c r="U274" s="758" t="s">
        <v>8033</v>
      </c>
      <c r="V274" s="735">
        <v>29</v>
      </c>
      <c r="W274" s="758" t="s">
        <v>2915</v>
      </c>
      <c r="X274" s="758" t="s">
        <v>8034</v>
      </c>
      <c r="Y274" s="738">
        <v>93</v>
      </c>
      <c r="Z274" s="759" t="s">
        <v>8034</v>
      </c>
      <c r="AA274" s="735">
        <v>93</v>
      </c>
      <c r="AB274" s="758" t="s">
        <v>8035</v>
      </c>
      <c r="AC274" s="735">
        <v>24</v>
      </c>
      <c r="AD274" s="738" t="s">
        <v>3143</v>
      </c>
      <c r="AE274" s="689" t="s">
        <v>8036</v>
      </c>
      <c r="AF274" s="844" t="s">
        <v>7900</v>
      </c>
      <c r="AG274" s="718"/>
      <c r="AJ274" s="760">
        <f>_xll.GetCtData("COAMOUNT","CONSAMOUNT",$B$1:$B$7,$B274,AJ$8,"#0")</f>
        <v>0</v>
      </c>
    </row>
    <row r="275" spans="1:36" ht="12" customHeight="1">
      <c r="A275" s="718" t="s">
        <v>2879</v>
      </c>
      <c r="B275" s="718" t="s">
        <v>2750</v>
      </c>
      <c r="C275" s="453" t="s">
        <v>2751</v>
      </c>
      <c r="D275" s="654" t="s">
        <v>5656</v>
      </c>
      <c r="E275" s="655">
        <v>44603</v>
      </c>
      <c r="F275" s="789" t="s">
        <v>5409</v>
      </c>
      <c r="G275" s="731">
        <v>7</v>
      </c>
      <c r="H275" s="833" t="s">
        <v>6610</v>
      </c>
      <c r="I275" s="834" t="s">
        <v>6610</v>
      </c>
      <c r="J275" s="834" t="s">
        <v>6610</v>
      </c>
      <c r="K275" s="834" t="s">
        <v>6610</v>
      </c>
      <c r="L275" s="834" t="s">
        <v>6610</v>
      </c>
      <c r="M275" s="834" t="s">
        <v>6610</v>
      </c>
      <c r="N275" s="834" t="s">
        <v>6610</v>
      </c>
      <c r="O275" s="846" t="s">
        <v>2751</v>
      </c>
      <c r="P275" s="735">
        <v>10</v>
      </c>
      <c r="Q275" s="758" t="s">
        <v>8037</v>
      </c>
      <c r="R275" s="735">
        <v>58</v>
      </c>
      <c r="S275" s="801" t="s">
        <v>2752</v>
      </c>
      <c r="T275" s="735">
        <v>59</v>
      </c>
      <c r="U275" s="758" t="s">
        <v>8038</v>
      </c>
      <c r="V275" s="735">
        <v>29</v>
      </c>
      <c r="W275" s="758" t="s">
        <v>2915</v>
      </c>
      <c r="X275" s="758" t="s">
        <v>8039</v>
      </c>
      <c r="Y275" s="738">
        <v>96</v>
      </c>
      <c r="Z275" s="759" t="s">
        <v>8039</v>
      </c>
      <c r="AA275" s="735">
        <v>96</v>
      </c>
      <c r="AB275" s="758" t="s">
        <v>8040</v>
      </c>
      <c r="AC275" s="735">
        <v>26</v>
      </c>
      <c r="AD275" s="738" t="s">
        <v>3143</v>
      </c>
      <c r="AE275" s="689" t="s">
        <v>8036</v>
      </c>
      <c r="AF275" s="844" t="s">
        <v>7900</v>
      </c>
      <c r="AG275" s="718"/>
      <c r="AH275" s="723" t="s">
        <v>5359</v>
      </c>
      <c r="AJ275" s="760">
        <f>_xll.GetCtData("COAMOUNT","CONSAMOUNT",$B$1:$B$7,$B275,AJ$8,"#0")</f>
        <v>0</v>
      </c>
    </row>
    <row r="276" spans="1:36" ht="12" customHeight="1">
      <c r="A276" s="718" t="s">
        <v>2879</v>
      </c>
      <c r="B276" s="718" t="s">
        <v>2654</v>
      </c>
      <c r="C276" s="453" t="s">
        <v>8041</v>
      </c>
      <c r="D276" s="654" t="s">
        <v>5656</v>
      </c>
      <c r="E276" s="655">
        <v>44615</v>
      </c>
      <c r="F276" s="789" t="s">
        <v>5409</v>
      </c>
      <c r="G276" s="731">
        <v>7</v>
      </c>
      <c r="H276" s="833"/>
      <c r="I276" s="834"/>
      <c r="J276" s="834"/>
      <c r="K276" s="834"/>
      <c r="L276" s="834"/>
      <c r="M276" s="834"/>
      <c r="N276" s="834"/>
      <c r="O276" s="846" t="s">
        <v>8041</v>
      </c>
      <c r="P276" s="735"/>
      <c r="Q276" s="758" t="s">
        <v>8042</v>
      </c>
      <c r="R276" s="735">
        <v>59</v>
      </c>
      <c r="S276" s="801" t="s">
        <v>2655</v>
      </c>
      <c r="T276" s="735">
        <v>58</v>
      </c>
      <c r="U276" s="758" t="s">
        <v>8043</v>
      </c>
      <c r="V276" s="735">
        <v>27</v>
      </c>
      <c r="W276" s="758" t="s">
        <v>2915</v>
      </c>
      <c r="X276" s="758" t="s">
        <v>8044</v>
      </c>
      <c r="Y276" s="738">
        <v>90</v>
      </c>
      <c r="Z276" s="759" t="s">
        <v>8044</v>
      </c>
      <c r="AA276" s="735">
        <v>90</v>
      </c>
      <c r="AB276" s="758" t="s">
        <v>8045</v>
      </c>
      <c r="AC276" s="735">
        <v>29</v>
      </c>
      <c r="AD276" s="738" t="s">
        <v>3143</v>
      </c>
      <c r="AE276" s="689" t="s">
        <v>5674</v>
      </c>
      <c r="AF276" s="844" t="s">
        <v>7900</v>
      </c>
      <c r="AG276" s="718"/>
      <c r="AH276" s="723" t="s">
        <v>5359</v>
      </c>
      <c r="AJ276" s="760">
        <f>_xll.GetCtData("COAMOUNT","CONSAMOUNT",$B$1:$B$7,$B276,AJ$8,"#")</f>
        <v>0</v>
      </c>
    </row>
    <row r="277" spans="1:36" ht="12" customHeight="1">
      <c r="A277" s="718" t="s">
        <v>2879</v>
      </c>
      <c r="B277" s="718" t="s">
        <v>2759</v>
      </c>
      <c r="C277" s="453" t="s">
        <v>2760</v>
      </c>
      <c r="D277" s="654" t="s">
        <v>5656</v>
      </c>
      <c r="E277" s="655">
        <v>44615</v>
      </c>
      <c r="F277" s="789" t="s">
        <v>5409</v>
      </c>
      <c r="G277" s="731">
        <v>7</v>
      </c>
      <c r="H277" s="833"/>
      <c r="I277" s="834"/>
      <c r="J277" s="834"/>
      <c r="K277" s="834"/>
      <c r="L277" s="834"/>
      <c r="M277" s="834"/>
      <c r="N277" s="834"/>
      <c r="O277" s="846" t="s">
        <v>2760</v>
      </c>
      <c r="P277" s="735">
        <v>10</v>
      </c>
      <c r="Q277" s="758" t="s">
        <v>8046</v>
      </c>
      <c r="R277" s="735">
        <v>57</v>
      </c>
      <c r="S277" s="852" t="s">
        <v>8046</v>
      </c>
      <c r="T277" s="735">
        <v>57</v>
      </c>
      <c r="U277" s="758" t="s">
        <v>8047</v>
      </c>
      <c r="V277" s="735">
        <v>30</v>
      </c>
      <c r="W277" s="758" t="s">
        <v>2915</v>
      </c>
      <c r="X277" s="758" t="s">
        <v>8048</v>
      </c>
      <c r="Y277" s="738">
        <v>93</v>
      </c>
      <c r="Z277" s="759" t="s">
        <v>8048</v>
      </c>
      <c r="AA277" s="735">
        <v>93</v>
      </c>
      <c r="AB277" s="758" t="s">
        <v>8049</v>
      </c>
      <c r="AC277" s="735">
        <v>30</v>
      </c>
      <c r="AD277" s="738" t="s">
        <v>3143</v>
      </c>
      <c r="AE277" s="689" t="s">
        <v>5674</v>
      </c>
      <c r="AF277" s="844" t="s">
        <v>7900</v>
      </c>
      <c r="AG277" s="718"/>
      <c r="AH277" s="723" t="s">
        <v>5359</v>
      </c>
      <c r="AJ277" s="812">
        <f>_xll.GetCtData("COAMOUNT","CONSAMOUNT",$B$1:$B$7,$B277,AJ$8,"#")</f>
        <v>0</v>
      </c>
    </row>
    <row r="278" spans="1:36" ht="12" customHeight="1">
      <c r="A278" s="718" t="s">
        <v>2879</v>
      </c>
      <c r="B278" s="718" t="s">
        <v>8050</v>
      </c>
      <c r="C278" s="453" t="s">
        <v>8051</v>
      </c>
      <c r="D278" s="731" t="s">
        <v>2962</v>
      </c>
      <c r="E278" s="655">
        <v>44515</v>
      </c>
      <c r="F278" s="732" t="s">
        <v>2912</v>
      </c>
      <c r="G278" s="731">
        <v>3</v>
      </c>
      <c r="H278" s="731" t="s">
        <v>6610</v>
      </c>
      <c r="I278" s="790" t="s">
        <v>6610</v>
      </c>
      <c r="J278" s="790" t="s">
        <v>6610</v>
      </c>
      <c r="K278" s="752" t="s">
        <v>8051</v>
      </c>
      <c r="L278" s="752" t="s">
        <v>6610</v>
      </c>
      <c r="M278" s="752" t="s">
        <v>6610</v>
      </c>
      <c r="N278" s="752" t="s">
        <v>6610</v>
      </c>
      <c r="O278" s="847"/>
      <c r="P278" s="735">
        <v>0</v>
      </c>
      <c r="Q278" s="754" t="s">
        <v>8052</v>
      </c>
      <c r="R278" s="735">
        <v>78</v>
      </c>
      <c r="S278" s="755" t="s">
        <v>8052</v>
      </c>
      <c r="T278" s="735">
        <v>78</v>
      </c>
      <c r="U278" s="618" t="s">
        <v>8053</v>
      </c>
      <c r="V278" s="735">
        <v>30</v>
      </c>
      <c r="W278" s="754" t="s">
        <v>8054</v>
      </c>
      <c r="X278" s="618" t="s">
        <v>8055</v>
      </c>
      <c r="Y278" s="738">
        <v>77</v>
      </c>
      <c r="Z278" s="618" t="s">
        <v>8055</v>
      </c>
      <c r="AA278" s="735">
        <v>77</v>
      </c>
      <c r="AB278" s="618" t="s">
        <v>8056</v>
      </c>
      <c r="AC278" s="735">
        <v>25</v>
      </c>
      <c r="AD278" s="738" t="s">
        <v>8057</v>
      </c>
      <c r="AE278" s="689" t="s">
        <v>8058</v>
      </c>
      <c r="AF278" s="530" t="s">
        <v>2969</v>
      </c>
      <c r="AJ278" s="756">
        <f>_xll.GetCtData("COAMOUNT","CONSAMOUNT",$B$1:$B$7,$B278,AJ$8,"#")</f>
        <v>0</v>
      </c>
    </row>
    <row r="279" spans="1:36" ht="12" customHeight="1">
      <c r="A279" s="718" t="s">
        <v>2879</v>
      </c>
      <c r="B279" s="718" t="s">
        <v>2670</v>
      </c>
      <c r="C279" s="453" t="s">
        <v>2671</v>
      </c>
      <c r="D279" s="731" t="s">
        <v>6609</v>
      </c>
      <c r="E279" s="655">
        <v>44035</v>
      </c>
      <c r="F279" s="732" t="s">
        <v>2912</v>
      </c>
      <c r="G279" s="848">
        <v>4</v>
      </c>
      <c r="H279" s="848" t="s">
        <v>6610</v>
      </c>
      <c r="I279" s="850" t="s">
        <v>6610</v>
      </c>
      <c r="J279" s="850" t="s">
        <v>6610</v>
      </c>
      <c r="K279" s="850" t="s">
        <v>6610</v>
      </c>
      <c r="L279" s="851" t="s">
        <v>2671</v>
      </c>
      <c r="M279" s="851" t="s">
        <v>6610</v>
      </c>
      <c r="N279" s="851" t="s">
        <v>6610</v>
      </c>
      <c r="O279" s="831"/>
      <c r="P279" s="735">
        <v>0</v>
      </c>
      <c r="Q279" s="766" t="s">
        <v>2672</v>
      </c>
      <c r="R279" s="735">
        <v>34</v>
      </c>
      <c r="S279" s="767" t="s">
        <v>2672</v>
      </c>
      <c r="T279" s="735">
        <v>34</v>
      </c>
      <c r="U279" s="766" t="s">
        <v>5879</v>
      </c>
      <c r="V279" s="735">
        <v>24</v>
      </c>
      <c r="W279" s="766" t="s">
        <v>8054</v>
      </c>
      <c r="X279" s="766" t="s">
        <v>8059</v>
      </c>
      <c r="Y279" s="738">
        <v>42</v>
      </c>
      <c r="Z279" s="767" t="s">
        <v>8059</v>
      </c>
      <c r="AA279" s="735">
        <v>42</v>
      </c>
      <c r="AB279" s="766" t="s">
        <v>8060</v>
      </c>
      <c r="AC279" s="735">
        <v>26</v>
      </c>
      <c r="AD279" s="738" t="s">
        <v>8057</v>
      </c>
      <c r="AE279" s="689" t="s">
        <v>8061</v>
      </c>
      <c r="AF279" s="844"/>
      <c r="AJ279" s="768">
        <f>_xll.GetCtData("COAMOUNT","CONSAMOUNT",$B$1:$B$7,$B279,AJ$8,"#")</f>
        <v>0</v>
      </c>
    </row>
    <row r="280" spans="1:36" ht="12" customHeight="1">
      <c r="A280" s="718" t="s">
        <v>2879</v>
      </c>
      <c r="B280" s="718" t="s">
        <v>8062</v>
      </c>
      <c r="C280" s="453" t="s">
        <v>8063</v>
      </c>
      <c r="D280" s="731" t="s">
        <v>6609</v>
      </c>
      <c r="E280" s="655">
        <v>44035</v>
      </c>
      <c r="F280" s="732" t="s">
        <v>2912</v>
      </c>
      <c r="G280" s="732">
        <v>5</v>
      </c>
      <c r="H280" s="732" t="s">
        <v>6610</v>
      </c>
      <c r="I280" s="733" t="s">
        <v>6610</v>
      </c>
      <c r="J280" s="733" t="s">
        <v>6610</v>
      </c>
      <c r="K280" s="733" t="s">
        <v>6610</v>
      </c>
      <c r="L280" s="733" t="s">
        <v>6610</v>
      </c>
      <c r="M280" s="769" t="s">
        <v>8063</v>
      </c>
      <c r="N280" s="769" t="s">
        <v>6610</v>
      </c>
      <c r="O280" s="853"/>
      <c r="P280" s="735">
        <v>0</v>
      </c>
      <c r="Q280" s="771" t="s">
        <v>2504</v>
      </c>
      <c r="R280" s="735">
        <v>29</v>
      </c>
      <c r="S280" s="772" t="s">
        <v>2504</v>
      </c>
      <c r="T280" s="735">
        <v>29</v>
      </c>
      <c r="U280" s="771" t="s">
        <v>2504</v>
      </c>
      <c r="V280" s="735">
        <v>29</v>
      </c>
      <c r="W280" s="771" t="s">
        <v>8054</v>
      </c>
      <c r="X280" s="771" t="s">
        <v>5885</v>
      </c>
      <c r="Y280" s="738">
        <v>38</v>
      </c>
      <c r="Z280" s="772" t="s">
        <v>5885</v>
      </c>
      <c r="AA280" s="735">
        <v>38</v>
      </c>
      <c r="AB280" s="771" t="s">
        <v>8064</v>
      </c>
      <c r="AC280" s="735">
        <v>28</v>
      </c>
      <c r="AD280" s="738" t="s">
        <v>8057</v>
      </c>
      <c r="AE280" s="689" t="s">
        <v>8065</v>
      </c>
      <c r="AF280" s="844"/>
      <c r="AJ280" s="773">
        <f>_xll.GetCtData("COAMOUNT","CONSAMOUNT",$B$1:$B$7,$B280,AJ$8,"#")</f>
        <v>0</v>
      </c>
    </row>
    <row r="281" spans="1:36" ht="12" customHeight="1">
      <c r="A281" s="718" t="s">
        <v>2879</v>
      </c>
      <c r="B281" s="718" t="s">
        <v>2499</v>
      </c>
      <c r="C281" s="453" t="s">
        <v>2503</v>
      </c>
      <c r="D281" s="731" t="s">
        <v>6609</v>
      </c>
      <c r="E281" s="655">
        <v>44035</v>
      </c>
      <c r="F281" s="789" t="s">
        <v>2930</v>
      </c>
      <c r="G281" s="732">
        <v>7</v>
      </c>
      <c r="H281" s="833" t="s">
        <v>6610</v>
      </c>
      <c r="I281" s="834" t="s">
        <v>6610</v>
      </c>
      <c r="J281" s="834" t="s">
        <v>6610</v>
      </c>
      <c r="K281" s="834" t="s">
        <v>6610</v>
      </c>
      <c r="L281" s="834" t="s">
        <v>6610</v>
      </c>
      <c r="M281" s="834" t="s">
        <v>6610</v>
      </c>
      <c r="N281" s="834" t="s">
        <v>6610</v>
      </c>
      <c r="O281" s="835" t="s">
        <v>2503</v>
      </c>
      <c r="P281" s="735">
        <v>10</v>
      </c>
      <c r="Q281" s="854" t="s">
        <v>2504</v>
      </c>
      <c r="R281" s="735">
        <v>29</v>
      </c>
      <c r="S281" s="855" t="s">
        <v>2504</v>
      </c>
      <c r="T281" s="735">
        <v>29</v>
      </c>
      <c r="U281" s="854" t="s">
        <v>2504</v>
      </c>
      <c r="V281" s="735">
        <v>29</v>
      </c>
      <c r="W281" s="854" t="s">
        <v>8054</v>
      </c>
      <c r="X281" s="854" t="s">
        <v>5885</v>
      </c>
      <c r="Y281" s="738">
        <v>38</v>
      </c>
      <c r="Z281" s="855" t="s">
        <v>5885</v>
      </c>
      <c r="AA281" s="735">
        <v>38</v>
      </c>
      <c r="AB281" s="854" t="s">
        <v>8064</v>
      </c>
      <c r="AC281" s="735">
        <v>28</v>
      </c>
      <c r="AD281" s="738" t="s">
        <v>8057</v>
      </c>
      <c r="AE281" s="689"/>
      <c r="AF281" s="530" t="s">
        <v>2969</v>
      </c>
      <c r="AJ281" s="856">
        <f>_xll.GetCtData("COAMOUNT","CONSAMOUNT",$B$1:$B$7,$B281,AJ$8,"#")</f>
        <v>0</v>
      </c>
    </row>
    <row r="282" spans="1:36" ht="12" customHeight="1">
      <c r="A282" s="718" t="s">
        <v>2879</v>
      </c>
      <c r="B282" s="718" t="s">
        <v>2500</v>
      </c>
      <c r="C282" s="453" t="s">
        <v>2505</v>
      </c>
      <c r="D282" s="731" t="s">
        <v>6609</v>
      </c>
      <c r="E282" s="655">
        <v>44035</v>
      </c>
      <c r="F282" s="789" t="s">
        <v>2930</v>
      </c>
      <c r="G282" s="732">
        <v>7</v>
      </c>
      <c r="H282" s="833" t="s">
        <v>6610</v>
      </c>
      <c r="I282" s="834" t="s">
        <v>6610</v>
      </c>
      <c r="J282" s="834" t="s">
        <v>6610</v>
      </c>
      <c r="K282" s="834" t="s">
        <v>6610</v>
      </c>
      <c r="L282" s="834" t="s">
        <v>6610</v>
      </c>
      <c r="M282" s="834" t="s">
        <v>6610</v>
      </c>
      <c r="N282" s="834" t="s">
        <v>6610</v>
      </c>
      <c r="O282" s="835" t="s">
        <v>2505</v>
      </c>
      <c r="P282" s="735">
        <v>10</v>
      </c>
      <c r="Q282" s="854" t="s">
        <v>2718</v>
      </c>
      <c r="R282" s="735">
        <v>44</v>
      </c>
      <c r="S282" s="855" t="s">
        <v>2718</v>
      </c>
      <c r="T282" s="735">
        <v>44</v>
      </c>
      <c r="U282" s="854" t="s">
        <v>2506</v>
      </c>
      <c r="V282" s="735">
        <v>25</v>
      </c>
      <c r="W282" s="854" t="s">
        <v>8054</v>
      </c>
      <c r="X282" s="854" t="s">
        <v>5890</v>
      </c>
      <c r="Y282" s="738">
        <v>66</v>
      </c>
      <c r="Z282" s="855" t="s">
        <v>5890</v>
      </c>
      <c r="AA282" s="735">
        <v>66</v>
      </c>
      <c r="AB282" s="854" t="s">
        <v>8066</v>
      </c>
      <c r="AC282" s="735">
        <v>30</v>
      </c>
      <c r="AD282" s="738" t="s">
        <v>8057</v>
      </c>
      <c r="AE282" s="689"/>
      <c r="AF282" s="530" t="s">
        <v>2969</v>
      </c>
      <c r="AJ282" s="856">
        <f>_xll.GetCtData("COAMOUNT","CONSAMOUNT",$B$1:$B$7,$B282,AJ$8,"#")</f>
        <v>0</v>
      </c>
    </row>
    <row r="283" spans="1:36" ht="12" customHeight="1">
      <c r="A283" s="718" t="s">
        <v>2879</v>
      </c>
      <c r="B283" s="718" t="s">
        <v>8067</v>
      </c>
      <c r="C283" s="453" t="s">
        <v>8068</v>
      </c>
      <c r="D283" s="731" t="s">
        <v>6609</v>
      </c>
      <c r="E283" s="655">
        <v>44035</v>
      </c>
      <c r="F283" s="732" t="s">
        <v>2912</v>
      </c>
      <c r="G283" s="732">
        <v>5</v>
      </c>
      <c r="H283" s="732" t="s">
        <v>6610</v>
      </c>
      <c r="I283" s="733" t="s">
        <v>6610</v>
      </c>
      <c r="J283" s="733" t="s">
        <v>6610</v>
      </c>
      <c r="K283" s="733" t="s">
        <v>6610</v>
      </c>
      <c r="L283" s="733" t="s">
        <v>6610</v>
      </c>
      <c r="M283" s="769" t="s">
        <v>8068</v>
      </c>
      <c r="N283" s="769" t="s">
        <v>6610</v>
      </c>
      <c r="O283" s="853"/>
      <c r="P283" s="735">
        <v>0</v>
      </c>
      <c r="Q283" s="771" t="s">
        <v>2510</v>
      </c>
      <c r="R283" s="735">
        <v>29</v>
      </c>
      <c r="S283" s="772" t="s">
        <v>2510</v>
      </c>
      <c r="T283" s="735">
        <v>29</v>
      </c>
      <c r="U283" s="771" t="s">
        <v>2510</v>
      </c>
      <c r="V283" s="735">
        <v>29</v>
      </c>
      <c r="W283" s="771" t="s">
        <v>8054</v>
      </c>
      <c r="X283" s="771" t="s">
        <v>5895</v>
      </c>
      <c r="Y283" s="738">
        <v>38</v>
      </c>
      <c r="Z283" s="772" t="s">
        <v>5895</v>
      </c>
      <c r="AA283" s="735">
        <v>38</v>
      </c>
      <c r="AB283" s="771" t="s">
        <v>8069</v>
      </c>
      <c r="AC283" s="735">
        <v>29</v>
      </c>
      <c r="AD283" s="738" t="s">
        <v>8057</v>
      </c>
      <c r="AE283" s="689" t="s">
        <v>8070</v>
      </c>
      <c r="AF283" s="844"/>
      <c r="AJ283" s="773">
        <f>_xll.GetCtData("COAMOUNT","CONSAMOUNT",$B$1:$B$7,$B283,AJ$8,"#")</f>
        <v>0</v>
      </c>
    </row>
    <row r="284" spans="1:36" ht="12" customHeight="1">
      <c r="A284" s="718" t="s">
        <v>2879</v>
      </c>
      <c r="B284" s="718" t="s">
        <v>2502</v>
      </c>
      <c r="C284" s="453" t="s">
        <v>2509</v>
      </c>
      <c r="D284" s="731" t="s">
        <v>6609</v>
      </c>
      <c r="E284" s="655">
        <v>44035</v>
      </c>
      <c r="F284" s="789" t="s">
        <v>2930</v>
      </c>
      <c r="G284" s="732">
        <v>7</v>
      </c>
      <c r="H284" s="833" t="s">
        <v>6610</v>
      </c>
      <c r="I284" s="834" t="s">
        <v>6610</v>
      </c>
      <c r="J284" s="834" t="s">
        <v>6610</v>
      </c>
      <c r="K284" s="834" t="s">
        <v>6610</v>
      </c>
      <c r="L284" s="834" t="s">
        <v>6610</v>
      </c>
      <c r="M284" s="834" t="s">
        <v>6610</v>
      </c>
      <c r="N284" s="834" t="s">
        <v>6610</v>
      </c>
      <c r="O284" s="835" t="s">
        <v>2509</v>
      </c>
      <c r="P284" s="735">
        <v>10</v>
      </c>
      <c r="Q284" s="854" t="s">
        <v>2510</v>
      </c>
      <c r="R284" s="735">
        <v>29</v>
      </c>
      <c r="S284" s="855" t="s">
        <v>2510</v>
      </c>
      <c r="T284" s="735">
        <v>29</v>
      </c>
      <c r="U284" s="854" t="s">
        <v>2510</v>
      </c>
      <c r="V284" s="735">
        <v>29</v>
      </c>
      <c r="W284" s="854" t="s">
        <v>8054</v>
      </c>
      <c r="X284" s="854" t="s">
        <v>5895</v>
      </c>
      <c r="Y284" s="738">
        <v>38</v>
      </c>
      <c r="Z284" s="855" t="s">
        <v>5895</v>
      </c>
      <c r="AA284" s="735">
        <v>38</v>
      </c>
      <c r="AB284" s="854" t="s">
        <v>8069</v>
      </c>
      <c r="AC284" s="735">
        <v>29</v>
      </c>
      <c r="AD284" s="738" t="s">
        <v>8057</v>
      </c>
      <c r="AE284" s="689" t="s">
        <v>5930</v>
      </c>
      <c r="AF284" s="530" t="s">
        <v>2969</v>
      </c>
      <c r="AJ284" s="856">
        <f>_xll.GetCtData("COAMOUNT","CONSAMOUNT",$B$1:$B$7,$B284,AJ$8,"#")</f>
        <v>0</v>
      </c>
    </row>
    <row r="285" spans="1:36" ht="12" customHeight="1">
      <c r="A285" s="718" t="s">
        <v>2879</v>
      </c>
      <c r="B285" s="718" t="s">
        <v>2501</v>
      </c>
      <c r="C285" s="453" t="s">
        <v>2507</v>
      </c>
      <c r="D285" s="731" t="s">
        <v>6609</v>
      </c>
      <c r="E285" s="655">
        <v>44035</v>
      </c>
      <c r="F285" s="789" t="s">
        <v>2930</v>
      </c>
      <c r="G285" s="732">
        <v>7</v>
      </c>
      <c r="H285" s="833" t="s">
        <v>6610</v>
      </c>
      <c r="I285" s="834" t="s">
        <v>6610</v>
      </c>
      <c r="J285" s="834" t="s">
        <v>6610</v>
      </c>
      <c r="K285" s="834" t="s">
        <v>6610</v>
      </c>
      <c r="L285" s="834" t="s">
        <v>6610</v>
      </c>
      <c r="M285" s="834" t="s">
        <v>6610</v>
      </c>
      <c r="N285" s="834" t="s">
        <v>6610</v>
      </c>
      <c r="O285" s="835" t="s">
        <v>2507</v>
      </c>
      <c r="P285" s="735">
        <v>10</v>
      </c>
      <c r="Q285" s="854" t="s">
        <v>2720</v>
      </c>
      <c r="R285" s="735">
        <v>44</v>
      </c>
      <c r="S285" s="855" t="s">
        <v>2720</v>
      </c>
      <c r="T285" s="735">
        <v>44</v>
      </c>
      <c r="U285" s="854" t="s">
        <v>2508</v>
      </c>
      <c r="V285" s="735">
        <v>25</v>
      </c>
      <c r="W285" s="854" t="s">
        <v>8054</v>
      </c>
      <c r="X285" s="854" t="s">
        <v>5899</v>
      </c>
      <c r="Y285" s="738">
        <v>66</v>
      </c>
      <c r="Z285" s="855" t="s">
        <v>5899</v>
      </c>
      <c r="AA285" s="735">
        <v>66</v>
      </c>
      <c r="AB285" s="854" t="s">
        <v>8071</v>
      </c>
      <c r="AC285" s="735">
        <v>30</v>
      </c>
      <c r="AD285" s="738" t="s">
        <v>8057</v>
      </c>
      <c r="AE285" s="689"/>
      <c r="AF285" s="530" t="s">
        <v>2969</v>
      </c>
      <c r="AJ285" s="856">
        <f>_xll.GetCtData("COAMOUNT","CONSAMOUNT",$B$1:$B$7,$B285,AJ$8,"#")</f>
        <v>0</v>
      </c>
    </row>
    <row r="286" spans="1:36" ht="12" customHeight="1">
      <c r="A286" s="718" t="s">
        <v>2879</v>
      </c>
      <c r="B286" s="718" t="s">
        <v>2764</v>
      </c>
      <c r="C286" s="453" t="s">
        <v>2765</v>
      </c>
      <c r="D286" s="731" t="s">
        <v>6609</v>
      </c>
      <c r="E286" s="655">
        <v>44035</v>
      </c>
      <c r="F286" s="732" t="s">
        <v>2912</v>
      </c>
      <c r="G286" s="848">
        <v>4</v>
      </c>
      <c r="H286" s="848" t="s">
        <v>6610</v>
      </c>
      <c r="I286" s="850" t="s">
        <v>6610</v>
      </c>
      <c r="J286" s="850" t="s">
        <v>6610</v>
      </c>
      <c r="K286" s="850" t="s">
        <v>6610</v>
      </c>
      <c r="L286" s="851" t="s">
        <v>2765</v>
      </c>
      <c r="M286" s="851" t="s">
        <v>6610</v>
      </c>
      <c r="N286" s="851" t="s">
        <v>6610</v>
      </c>
      <c r="O286" s="831"/>
      <c r="P286" s="735">
        <v>0</v>
      </c>
      <c r="Q286" s="766" t="s">
        <v>2743</v>
      </c>
      <c r="R286" s="735">
        <v>29</v>
      </c>
      <c r="S286" s="767" t="s">
        <v>2743</v>
      </c>
      <c r="T286" s="735">
        <v>29</v>
      </c>
      <c r="U286" s="766" t="s">
        <v>2743</v>
      </c>
      <c r="V286" s="735">
        <v>29</v>
      </c>
      <c r="W286" s="766" t="s">
        <v>8054</v>
      </c>
      <c r="X286" s="766" t="s">
        <v>5902</v>
      </c>
      <c r="Y286" s="738">
        <v>38</v>
      </c>
      <c r="Z286" s="767" t="s">
        <v>5902</v>
      </c>
      <c r="AA286" s="735">
        <v>38</v>
      </c>
      <c r="AB286" s="766" t="s">
        <v>8072</v>
      </c>
      <c r="AC286" s="735">
        <v>28</v>
      </c>
      <c r="AD286" s="738" t="s">
        <v>8057</v>
      </c>
      <c r="AE286" s="689" t="s">
        <v>8065</v>
      </c>
      <c r="AF286" s="844"/>
      <c r="AJ286" s="768">
        <f>_xll.GetCtData("COAMOUNT","CONSAMOUNT",$B$1:$B$7,$B286,AJ$8,"#")</f>
        <v>0</v>
      </c>
    </row>
    <row r="287" spans="1:36" ht="12" customHeight="1">
      <c r="A287" s="718" t="s">
        <v>2879</v>
      </c>
      <c r="B287" s="718" t="s">
        <v>8073</v>
      </c>
      <c r="C287" s="453" t="s">
        <v>8074</v>
      </c>
      <c r="D287" s="731" t="s">
        <v>6609</v>
      </c>
      <c r="E287" s="655">
        <v>44035</v>
      </c>
      <c r="F287" s="732" t="s">
        <v>2912</v>
      </c>
      <c r="G287" s="732">
        <v>5</v>
      </c>
      <c r="H287" s="732" t="s">
        <v>6610</v>
      </c>
      <c r="I287" s="733" t="s">
        <v>6610</v>
      </c>
      <c r="J287" s="733" t="s">
        <v>6610</v>
      </c>
      <c r="K287" s="733" t="s">
        <v>6610</v>
      </c>
      <c r="L287" s="733" t="s">
        <v>6610</v>
      </c>
      <c r="M287" s="769" t="s">
        <v>8074</v>
      </c>
      <c r="N287" s="769" t="s">
        <v>6610</v>
      </c>
      <c r="O287" s="853"/>
      <c r="P287" s="735">
        <v>0</v>
      </c>
      <c r="Q287" s="771" t="s">
        <v>2743</v>
      </c>
      <c r="R287" s="735">
        <v>29</v>
      </c>
      <c r="S287" s="772" t="s">
        <v>2743</v>
      </c>
      <c r="T287" s="735">
        <v>29</v>
      </c>
      <c r="U287" s="771" t="s">
        <v>2743</v>
      </c>
      <c r="V287" s="735">
        <v>29</v>
      </c>
      <c r="W287" s="771" t="s">
        <v>8054</v>
      </c>
      <c r="X287" s="771" t="s">
        <v>5902</v>
      </c>
      <c r="Y287" s="738">
        <v>38</v>
      </c>
      <c r="Z287" s="772" t="s">
        <v>5902</v>
      </c>
      <c r="AA287" s="735">
        <v>38</v>
      </c>
      <c r="AB287" s="771" t="s">
        <v>8072</v>
      </c>
      <c r="AC287" s="735">
        <v>28</v>
      </c>
      <c r="AD287" s="738" t="s">
        <v>8057</v>
      </c>
      <c r="AE287" s="689" t="s">
        <v>8065</v>
      </c>
      <c r="AF287" s="844"/>
      <c r="AJ287" s="773">
        <f>_xll.GetCtData("COAMOUNT","CONSAMOUNT",$B$1:$B$7,$B287,AJ$8,"#")</f>
        <v>0</v>
      </c>
    </row>
    <row r="288" spans="1:36" ht="12" customHeight="1">
      <c r="A288" s="718" t="s">
        <v>2879</v>
      </c>
      <c r="B288" s="718" t="s">
        <v>2797</v>
      </c>
      <c r="C288" s="453" t="s">
        <v>2798</v>
      </c>
      <c r="D288" s="731" t="s">
        <v>6609</v>
      </c>
      <c r="E288" s="655">
        <v>44035</v>
      </c>
      <c r="F288" s="789" t="s">
        <v>2930</v>
      </c>
      <c r="G288" s="732">
        <v>7</v>
      </c>
      <c r="H288" s="833" t="s">
        <v>6610</v>
      </c>
      <c r="I288" s="834" t="s">
        <v>6610</v>
      </c>
      <c r="J288" s="834" t="s">
        <v>6610</v>
      </c>
      <c r="K288" s="834" t="s">
        <v>6610</v>
      </c>
      <c r="L288" s="834" t="s">
        <v>6610</v>
      </c>
      <c r="M288" s="834" t="s">
        <v>6610</v>
      </c>
      <c r="N288" s="834" t="s">
        <v>6610</v>
      </c>
      <c r="O288" s="835" t="s">
        <v>2798</v>
      </c>
      <c r="P288" s="735">
        <v>10</v>
      </c>
      <c r="Q288" s="854" t="s">
        <v>2743</v>
      </c>
      <c r="R288" s="735">
        <v>29</v>
      </c>
      <c r="S288" s="855" t="s">
        <v>2743</v>
      </c>
      <c r="T288" s="735">
        <v>29</v>
      </c>
      <c r="U288" s="854" t="s">
        <v>2743</v>
      </c>
      <c r="V288" s="735">
        <v>29</v>
      </c>
      <c r="W288" s="854" t="s">
        <v>8054</v>
      </c>
      <c r="X288" s="854" t="s">
        <v>5902</v>
      </c>
      <c r="Y288" s="738">
        <v>38</v>
      </c>
      <c r="Z288" s="855" t="s">
        <v>5902</v>
      </c>
      <c r="AA288" s="735">
        <v>38</v>
      </c>
      <c r="AB288" s="854" t="s">
        <v>8072</v>
      </c>
      <c r="AC288" s="735">
        <v>28</v>
      </c>
      <c r="AD288" s="738" t="s">
        <v>8057</v>
      </c>
      <c r="AE288" s="689"/>
      <c r="AF288" s="530" t="s">
        <v>2969</v>
      </c>
      <c r="AJ288" s="856">
        <f>_xll.GetCtData("COAMOUNT","CONSAMOUNT",$B$1:$B$7,$B288,AJ$8,"#")</f>
        <v>0</v>
      </c>
    </row>
    <row r="289" spans="1:36" ht="12" customHeight="1">
      <c r="A289" s="718" t="s">
        <v>2879</v>
      </c>
      <c r="B289" s="718" t="s">
        <v>2801</v>
      </c>
      <c r="C289" s="453" t="s">
        <v>2802</v>
      </c>
      <c r="D289" s="731" t="s">
        <v>6609</v>
      </c>
      <c r="E289" s="655">
        <v>44035</v>
      </c>
      <c r="F289" s="789" t="s">
        <v>2930</v>
      </c>
      <c r="G289" s="732">
        <v>7</v>
      </c>
      <c r="H289" s="833" t="s">
        <v>6610</v>
      </c>
      <c r="I289" s="834" t="s">
        <v>6610</v>
      </c>
      <c r="J289" s="834" t="s">
        <v>6610</v>
      </c>
      <c r="K289" s="834" t="s">
        <v>6610</v>
      </c>
      <c r="L289" s="834" t="s">
        <v>6610</v>
      </c>
      <c r="M289" s="834" t="s">
        <v>6610</v>
      </c>
      <c r="N289" s="834" t="s">
        <v>6610</v>
      </c>
      <c r="O289" s="835" t="s">
        <v>2802</v>
      </c>
      <c r="P289" s="735">
        <v>10</v>
      </c>
      <c r="Q289" s="854" t="s">
        <v>2800</v>
      </c>
      <c r="R289" s="735">
        <v>44</v>
      </c>
      <c r="S289" s="855" t="s">
        <v>2800</v>
      </c>
      <c r="T289" s="735">
        <v>44</v>
      </c>
      <c r="U289" s="854" t="s">
        <v>8075</v>
      </c>
      <c r="V289" s="735">
        <v>25</v>
      </c>
      <c r="W289" s="854" t="s">
        <v>8054</v>
      </c>
      <c r="X289" s="854" t="s">
        <v>5908</v>
      </c>
      <c r="Y289" s="738">
        <v>66</v>
      </c>
      <c r="Z289" s="855" t="s">
        <v>5908</v>
      </c>
      <c r="AA289" s="735">
        <v>66</v>
      </c>
      <c r="AB289" s="854" t="s">
        <v>8076</v>
      </c>
      <c r="AC289" s="735">
        <v>27</v>
      </c>
      <c r="AD289" s="738" t="s">
        <v>8057</v>
      </c>
      <c r="AE289" s="689"/>
      <c r="AF289" s="530" t="s">
        <v>2969</v>
      </c>
      <c r="AJ289" s="856">
        <f>_xll.GetCtData("COAMOUNT","CONSAMOUNT",$B$1:$B$7,$B289,AJ$8,"#")</f>
        <v>0</v>
      </c>
    </row>
    <row r="290" spans="1:36" ht="12" customHeight="1">
      <c r="A290" s="718" t="s">
        <v>2879</v>
      </c>
      <c r="B290" s="718" t="s">
        <v>8077</v>
      </c>
      <c r="C290" s="453" t="s">
        <v>8078</v>
      </c>
      <c r="D290" s="731" t="s">
        <v>6609</v>
      </c>
      <c r="E290" s="655">
        <v>44035</v>
      </c>
      <c r="F290" s="732" t="s">
        <v>2912</v>
      </c>
      <c r="G290" s="732">
        <v>2</v>
      </c>
      <c r="H290" s="732" t="s">
        <v>6610</v>
      </c>
      <c r="I290" s="733" t="s">
        <v>6610</v>
      </c>
      <c r="J290" s="747" t="s">
        <v>8078</v>
      </c>
      <c r="K290" s="747" t="s">
        <v>6610</v>
      </c>
      <c r="L290" s="747" t="s">
        <v>6610</v>
      </c>
      <c r="M290" s="747" t="s">
        <v>6610</v>
      </c>
      <c r="N290" s="747" t="s">
        <v>6610</v>
      </c>
      <c r="O290" s="829"/>
      <c r="P290" s="735">
        <v>0</v>
      </c>
      <c r="Q290" s="749" t="s">
        <v>16</v>
      </c>
      <c r="R290" s="735">
        <v>42</v>
      </c>
      <c r="S290" s="750" t="s">
        <v>16</v>
      </c>
      <c r="T290" s="735">
        <v>42</v>
      </c>
      <c r="U290" s="749" t="s">
        <v>8079</v>
      </c>
      <c r="V290" s="735">
        <v>27</v>
      </c>
      <c r="W290" s="749" t="s">
        <v>7820</v>
      </c>
      <c r="X290" s="749" t="s">
        <v>8080</v>
      </c>
      <c r="Y290" s="738">
        <v>21</v>
      </c>
      <c r="Z290" s="750" t="s">
        <v>8080</v>
      </c>
      <c r="AA290" s="735">
        <v>21</v>
      </c>
      <c r="AB290" s="749" t="s">
        <v>8080</v>
      </c>
      <c r="AC290" s="735">
        <v>21</v>
      </c>
      <c r="AD290" s="738" t="s">
        <v>7823</v>
      </c>
      <c r="AE290" s="689" t="s">
        <v>5930</v>
      </c>
      <c r="AF290" s="857"/>
      <c r="AJ290" s="751">
        <f>_xll.GetCtData("COAMOUNT","CONSAMOUNT",$B$1:$B$7,$B290,AJ$8,"#2019252,54104867")</f>
        <v>2019252</v>
      </c>
    </row>
    <row r="291" spans="1:36" ht="12" customHeight="1">
      <c r="A291" s="718" t="s">
        <v>2879</v>
      </c>
      <c r="B291" s="718" t="s">
        <v>8081</v>
      </c>
      <c r="C291" s="453" t="s">
        <v>8082</v>
      </c>
      <c r="D291" s="731" t="s">
        <v>6609</v>
      </c>
      <c r="E291" s="655">
        <v>44035</v>
      </c>
      <c r="F291" s="789" t="s">
        <v>2912</v>
      </c>
      <c r="G291" s="848">
        <v>3</v>
      </c>
      <c r="H291" s="848" t="s">
        <v>6610</v>
      </c>
      <c r="I291" s="850" t="s">
        <v>6610</v>
      </c>
      <c r="J291" s="850" t="s">
        <v>6610</v>
      </c>
      <c r="K291" s="858" t="s">
        <v>8082</v>
      </c>
      <c r="L291" s="859"/>
      <c r="M291" s="858" t="s">
        <v>6610</v>
      </c>
      <c r="N291" s="858" t="s">
        <v>6610</v>
      </c>
      <c r="O291" s="847"/>
      <c r="P291" s="735">
        <v>0</v>
      </c>
      <c r="Q291" s="754" t="s">
        <v>8083</v>
      </c>
      <c r="R291" s="735">
        <v>77</v>
      </c>
      <c r="S291" s="755" t="s">
        <v>8083</v>
      </c>
      <c r="T291" s="735">
        <v>77</v>
      </c>
      <c r="U291" s="754" t="s">
        <v>8084</v>
      </c>
      <c r="V291" s="735">
        <v>30</v>
      </c>
      <c r="W291" s="754" t="s">
        <v>7820</v>
      </c>
      <c r="X291" s="754" t="s">
        <v>8085</v>
      </c>
      <c r="Y291" s="738">
        <v>14</v>
      </c>
      <c r="Z291" s="755" t="s">
        <v>8085</v>
      </c>
      <c r="AA291" s="735">
        <v>14</v>
      </c>
      <c r="AB291" s="754" t="s">
        <v>8086</v>
      </c>
      <c r="AC291" s="735">
        <v>15</v>
      </c>
      <c r="AD291" s="738" t="s">
        <v>7823</v>
      </c>
      <c r="AE291" s="689" t="s">
        <v>5930</v>
      </c>
      <c r="AF291" s="860" t="s">
        <v>8087</v>
      </c>
      <c r="AJ291" s="756">
        <f>_xll.GetCtData("COAMOUNT","CONSAMOUNT",$B$1:$B$7,$B291,AJ$8,"#2019252,54104867")</f>
        <v>2019252</v>
      </c>
    </row>
    <row r="292" spans="1:36" ht="12" customHeight="1">
      <c r="A292" s="718" t="s">
        <v>2879</v>
      </c>
      <c r="B292" s="718" t="s">
        <v>8088</v>
      </c>
      <c r="C292" s="453" t="s">
        <v>8089</v>
      </c>
      <c r="D292" s="731" t="s">
        <v>6609</v>
      </c>
      <c r="E292" s="655">
        <v>44035</v>
      </c>
      <c r="F292" s="732" t="s">
        <v>2912</v>
      </c>
      <c r="G292" s="861">
        <v>4</v>
      </c>
      <c r="H292" s="861" t="s">
        <v>6610</v>
      </c>
      <c r="I292" s="733" t="s">
        <v>6610</v>
      </c>
      <c r="J292" s="733" t="s">
        <v>6610</v>
      </c>
      <c r="K292" s="733" t="s">
        <v>6610</v>
      </c>
      <c r="L292" s="764" t="s">
        <v>8089</v>
      </c>
      <c r="M292" s="862"/>
      <c r="N292" s="764" t="s">
        <v>6610</v>
      </c>
      <c r="O292" s="863"/>
      <c r="P292" s="735">
        <v>0</v>
      </c>
      <c r="Q292" s="864" t="s">
        <v>8090</v>
      </c>
      <c r="R292" s="735">
        <v>45</v>
      </c>
      <c r="S292" s="865" t="s">
        <v>8090</v>
      </c>
      <c r="T292" s="735">
        <v>45</v>
      </c>
      <c r="U292" s="864" t="s">
        <v>8091</v>
      </c>
      <c r="V292" s="735">
        <v>30</v>
      </c>
      <c r="W292" s="864" t="s">
        <v>7820</v>
      </c>
      <c r="X292" s="864" t="s">
        <v>8092</v>
      </c>
      <c r="Y292" s="738">
        <v>49</v>
      </c>
      <c r="Z292" s="865" t="s">
        <v>8092</v>
      </c>
      <c r="AA292" s="735">
        <v>49</v>
      </c>
      <c r="AB292" s="864" t="s">
        <v>8093</v>
      </c>
      <c r="AC292" s="735">
        <v>26</v>
      </c>
      <c r="AD292" s="738" t="s">
        <v>7823</v>
      </c>
      <c r="AE292" s="689"/>
      <c r="AF292" s="860" t="s">
        <v>8087</v>
      </c>
      <c r="AJ292" s="866">
        <f>_xll.GetCtData("COAMOUNT","CONSAMOUNT",$B$1:$B$7,$B292,AJ$8,"#2017876,88543726")</f>
        <v>2017876</v>
      </c>
    </row>
    <row r="293" spans="1:36" ht="12" customHeight="1">
      <c r="A293" s="718" t="s">
        <v>2879</v>
      </c>
      <c r="B293" s="718" t="s">
        <v>8094</v>
      </c>
      <c r="C293" s="453" t="s">
        <v>8095</v>
      </c>
      <c r="D293" s="731" t="s">
        <v>6609</v>
      </c>
      <c r="E293" s="655">
        <v>44035</v>
      </c>
      <c r="F293" s="732" t="s">
        <v>2930</v>
      </c>
      <c r="G293" s="732">
        <v>7</v>
      </c>
      <c r="H293" s="732" t="s">
        <v>6610</v>
      </c>
      <c r="I293" s="733" t="s">
        <v>6610</v>
      </c>
      <c r="J293" s="733" t="s">
        <v>6610</v>
      </c>
      <c r="K293" s="733" t="s">
        <v>6610</v>
      </c>
      <c r="L293" s="733" t="s">
        <v>6610</v>
      </c>
      <c r="M293" s="733" t="s">
        <v>6610</v>
      </c>
      <c r="N293" s="733" t="s">
        <v>6610</v>
      </c>
      <c r="O293" s="757" t="s">
        <v>8095</v>
      </c>
      <c r="P293" s="735">
        <v>9</v>
      </c>
      <c r="Q293" s="758" t="s">
        <v>8096</v>
      </c>
      <c r="R293" s="735">
        <v>53</v>
      </c>
      <c r="S293" s="759" t="s">
        <v>8096</v>
      </c>
      <c r="T293" s="735">
        <v>53</v>
      </c>
      <c r="U293" s="758" t="s">
        <v>8097</v>
      </c>
      <c r="V293" s="735">
        <v>30</v>
      </c>
      <c r="W293" s="758" t="s">
        <v>7820</v>
      </c>
      <c r="X293" s="758" t="s">
        <v>8098</v>
      </c>
      <c r="Y293" s="738">
        <v>57</v>
      </c>
      <c r="Z293" s="759" t="s">
        <v>8098</v>
      </c>
      <c r="AA293" s="735">
        <v>57</v>
      </c>
      <c r="AB293" s="758" t="s">
        <v>8099</v>
      </c>
      <c r="AC293" s="735">
        <v>30</v>
      </c>
      <c r="AD293" s="738" t="s">
        <v>7823</v>
      </c>
      <c r="AE293" s="689"/>
      <c r="AF293" s="860" t="s">
        <v>8100</v>
      </c>
      <c r="AH293" s="723" t="s">
        <v>5359</v>
      </c>
      <c r="AJ293" s="760">
        <f>_xll.GetCtData("COAMOUNT","CONSAMOUNT",$B$1:$B$7,$B293,AJ$8,"#2017876,88543726")</f>
        <v>2017876</v>
      </c>
    </row>
    <row r="294" spans="1:36" ht="12" customHeight="1">
      <c r="A294" s="718" t="s">
        <v>2879</v>
      </c>
      <c r="B294" s="718" t="s">
        <v>8101</v>
      </c>
      <c r="C294" s="453" t="s">
        <v>8102</v>
      </c>
      <c r="D294" s="731" t="s">
        <v>6609</v>
      </c>
      <c r="E294" s="655">
        <v>44035</v>
      </c>
      <c r="F294" s="732" t="s">
        <v>2930</v>
      </c>
      <c r="G294" s="732">
        <v>7</v>
      </c>
      <c r="H294" s="732" t="s">
        <v>6610</v>
      </c>
      <c r="I294" s="733" t="s">
        <v>6610</v>
      </c>
      <c r="J294" s="733" t="s">
        <v>6610</v>
      </c>
      <c r="K294" s="733" t="s">
        <v>6610</v>
      </c>
      <c r="L294" s="733" t="s">
        <v>6610</v>
      </c>
      <c r="M294" s="733" t="s">
        <v>6610</v>
      </c>
      <c r="N294" s="733" t="s">
        <v>6610</v>
      </c>
      <c r="O294" s="757" t="s">
        <v>8102</v>
      </c>
      <c r="P294" s="735">
        <v>9</v>
      </c>
      <c r="Q294" s="758" t="s">
        <v>8103</v>
      </c>
      <c r="R294" s="735">
        <v>57</v>
      </c>
      <c r="S294" s="759" t="s">
        <v>8103</v>
      </c>
      <c r="T294" s="735">
        <v>57</v>
      </c>
      <c r="U294" s="758" t="s">
        <v>8104</v>
      </c>
      <c r="V294" s="735">
        <v>30</v>
      </c>
      <c r="W294" s="758" t="s">
        <v>7820</v>
      </c>
      <c r="X294" s="758" t="s">
        <v>8105</v>
      </c>
      <c r="Y294" s="738">
        <v>59</v>
      </c>
      <c r="Z294" s="759" t="s">
        <v>8105</v>
      </c>
      <c r="AA294" s="735">
        <v>59</v>
      </c>
      <c r="AB294" s="758" t="s">
        <v>8106</v>
      </c>
      <c r="AC294" s="735">
        <v>29</v>
      </c>
      <c r="AD294" s="738" t="s">
        <v>7823</v>
      </c>
      <c r="AE294" s="689" t="s">
        <v>8107</v>
      </c>
      <c r="AF294" s="530" t="s">
        <v>2969</v>
      </c>
      <c r="AH294" s="723" t="s">
        <v>5359</v>
      </c>
      <c r="AJ294" s="760">
        <f>_xll.GetCtData("COAMOUNT","CONSAMOUNT",$B$1:$B$7,$B294,AJ$8,"#")</f>
        <v>0</v>
      </c>
    </row>
    <row r="295" spans="1:36" ht="12" customHeight="1">
      <c r="A295" s="718" t="s">
        <v>2879</v>
      </c>
      <c r="B295" s="718" t="s">
        <v>8108</v>
      </c>
      <c r="C295" s="453" t="s">
        <v>8109</v>
      </c>
      <c r="D295" s="731" t="s">
        <v>6609</v>
      </c>
      <c r="E295" s="655">
        <v>44035</v>
      </c>
      <c r="F295" s="732" t="s">
        <v>2912</v>
      </c>
      <c r="G295" s="861">
        <v>4</v>
      </c>
      <c r="H295" s="861" t="s">
        <v>6610</v>
      </c>
      <c r="I295" s="733" t="s">
        <v>6610</v>
      </c>
      <c r="J295" s="733" t="s">
        <v>6610</v>
      </c>
      <c r="K295" s="733" t="s">
        <v>6610</v>
      </c>
      <c r="L295" s="764" t="s">
        <v>8109</v>
      </c>
      <c r="M295" s="862"/>
      <c r="N295" s="764" t="s">
        <v>6610</v>
      </c>
      <c r="O295" s="863"/>
      <c r="P295" s="735">
        <v>0</v>
      </c>
      <c r="Q295" s="864" t="s">
        <v>8110</v>
      </c>
      <c r="R295" s="735">
        <v>70</v>
      </c>
      <c r="S295" s="865" t="s">
        <v>8110</v>
      </c>
      <c r="T295" s="735">
        <v>70</v>
      </c>
      <c r="U295" s="864" t="s">
        <v>8111</v>
      </c>
      <c r="V295" s="735">
        <v>30</v>
      </c>
      <c r="W295" s="864" t="s">
        <v>7820</v>
      </c>
      <c r="X295" s="864" t="s">
        <v>8112</v>
      </c>
      <c r="Y295" s="738">
        <v>81</v>
      </c>
      <c r="Z295" s="865" t="s">
        <v>8113</v>
      </c>
      <c r="AA295" s="735">
        <v>81</v>
      </c>
      <c r="AB295" s="864" t="s">
        <v>8114</v>
      </c>
      <c r="AC295" s="735">
        <v>30</v>
      </c>
      <c r="AD295" s="738" t="s">
        <v>7823</v>
      </c>
      <c r="AE295" s="689"/>
      <c r="AF295" s="860" t="s">
        <v>8115</v>
      </c>
      <c r="AJ295" s="866">
        <f>_xll.GetCtData("COAMOUNT","CONSAMOUNT",$B$1:$B$7,$B295,AJ$8,"#1375,65561141114")</f>
        <v>1375</v>
      </c>
    </row>
    <row r="296" spans="1:36" ht="12" customHeight="1">
      <c r="A296" s="718" t="s">
        <v>2879</v>
      </c>
      <c r="B296" s="718" t="s">
        <v>8116</v>
      </c>
      <c r="C296" s="453" t="s">
        <v>8117</v>
      </c>
      <c r="D296" s="731" t="s">
        <v>6609</v>
      </c>
      <c r="E296" s="655">
        <v>44039</v>
      </c>
      <c r="F296" s="732" t="s">
        <v>5409</v>
      </c>
      <c r="G296" s="732">
        <v>7</v>
      </c>
      <c r="H296" s="732" t="s">
        <v>6610</v>
      </c>
      <c r="I296" s="733" t="s">
        <v>6610</v>
      </c>
      <c r="J296" s="733" t="s">
        <v>6610</v>
      </c>
      <c r="K296" s="733" t="s">
        <v>6610</v>
      </c>
      <c r="L296" s="733" t="s">
        <v>6610</v>
      </c>
      <c r="M296" s="733" t="s">
        <v>6610</v>
      </c>
      <c r="N296" s="733" t="s">
        <v>6610</v>
      </c>
      <c r="O296" s="757" t="s">
        <v>8117</v>
      </c>
      <c r="P296" s="735">
        <v>9</v>
      </c>
      <c r="Q296" s="758" t="s">
        <v>8118</v>
      </c>
      <c r="R296" s="735">
        <v>53</v>
      </c>
      <c r="S296" s="759" t="s">
        <v>8118</v>
      </c>
      <c r="T296" s="735">
        <v>53</v>
      </c>
      <c r="U296" s="758" t="s">
        <v>8119</v>
      </c>
      <c r="V296" s="735">
        <v>29</v>
      </c>
      <c r="W296" s="758" t="s">
        <v>2915</v>
      </c>
      <c r="X296" s="758" t="s">
        <v>8120</v>
      </c>
      <c r="Y296" s="738">
        <v>43</v>
      </c>
      <c r="Z296" s="759" t="s">
        <v>8121</v>
      </c>
      <c r="AA296" s="735">
        <v>43</v>
      </c>
      <c r="AB296" s="758" t="s">
        <v>8122</v>
      </c>
      <c r="AC296" s="735">
        <v>30</v>
      </c>
      <c r="AD296" s="738" t="s">
        <v>3143</v>
      </c>
      <c r="AE296" s="689"/>
      <c r="AF296" s="860" t="s">
        <v>8115</v>
      </c>
      <c r="AJ296" s="760">
        <f>_xll.GetCtData("COAMOUNT","CONSAMOUNT",$B$1:$B$7,$B296,AJ$8,"#-1423,4025886829")</f>
        <v>-1423</v>
      </c>
    </row>
    <row r="297" spans="1:36" ht="12" customHeight="1">
      <c r="A297" s="718" t="s">
        <v>2879</v>
      </c>
      <c r="B297" s="718" t="s">
        <v>1202</v>
      </c>
      <c r="C297" s="453" t="s">
        <v>8123</v>
      </c>
      <c r="D297" s="731" t="s">
        <v>6609</v>
      </c>
      <c r="E297" s="655">
        <v>44039</v>
      </c>
      <c r="F297" s="732" t="s">
        <v>5409</v>
      </c>
      <c r="G297" s="732">
        <v>7</v>
      </c>
      <c r="H297" s="732" t="s">
        <v>6610</v>
      </c>
      <c r="I297" s="733" t="s">
        <v>6610</v>
      </c>
      <c r="J297" s="733" t="s">
        <v>6610</v>
      </c>
      <c r="K297" s="733" t="s">
        <v>6610</v>
      </c>
      <c r="L297" s="733" t="s">
        <v>6610</v>
      </c>
      <c r="M297" s="733" t="s">
        <v>6610</v>
      </c>
      <c r="N297" s="733" t="s">
        <v>6610</v>
      </c>
      <c r="O297" s="757" t="s">
        <v>8123</v>
      </c>
      <c r="P297" s="735">
        <v>10</v>
      </c>
      <c r="Q297" s="758" t="s">
        <v>8124</v>
      </c>
      <c r="R297" s="735">
        <v>52</v>
      </c>
      <c r="S297" s="759" t="s">
        <v>8124</v>
      </c>
      <c r="T297" s="735">
        <v>52</v>
      </c>
      <c r="U297" s="758" t="s">
        <v>8125</v>
      </c>
      <c r="V297" s="735">
        <v>30</v>
      </c>
      <c r="W297" s="758" t="s">
        <v>2915</v>
      </c>
      <c r="X297" s="758" t="s">
        <v>8126</v>
      </c>
      <c r="Y297" s="738">
        <v>38</v>
      </c>
      <c r="Z297" s="759" t="s">
        <v>8126</v>
      </c>
      <c r="AA297" s="735">
        <v>38</v>
      </c>
      <c r="AB297" s="758" t="s">
        <v>8127</v>
      </c>
      <c r="AC297" s="735">
        <v>30</v>
      </c>
      <c r="AD297" s="738" t="s">
        <v>3143</v>
      </c>
      <c r="AE297" s="689"/>
      <c r="AF297" s="860" t="s">
        <v>8115</v>
      </c>
      <c r="AH297" s="723" t="s">
        <v>5359</v>
      </c>
      <c r="AJ297" s="760">
        <f>_xll.GetCtData("COAMOUNT","CONSAMOUNT",$B$1:$B$7,$B297,AJ$8,"#2799,05820009405")</f>
        <v>2799</v>
      </c>
    </row>
    <row r="298" spans="1:36" ht="12" customHeight="1">
      <c r="A298" s="718" t="s">
        <v>2879</v>
      </c>
      <c r="B298" s="718" t="s">
        <v>8128</v>
      </c>
      <c r="C298" s="453" t="s">
        <v>8129</v>
      </c>
      <c r="D298" s="731" t="s">
        <v>6609</v>
      </c>
      <c r="E298" s="655">
        <v>44038</v>
      </c>
      <c r="F298" s="732" t="s">
        <v>2912</v>
      </c>
      <c r="G298" s="867">
        <v>4</v>
      </c>
      <c r="H298" s="867" t="s">
        <v>6610</v>
      </c>
      <c r="I298" s="781" t="s">
        <v>6610</v>
      </c>
      <c r="J298" s="781" t="s">
        <v>6610</v>
      </c>
      <c r="K298" s="781" t="s">
        <v>6610</v>
      </c>
      <c r="L298" s="764" t="s">
        <v>8129</v>
      </c>
      <c r="M298" s="868"/>
      <c r="N298" s="869" t="s">
        <v>6610</v>
      </c>
      <c r="O298" s="863"/>
      <c r="P298" s="735">
        <v>0</v>
      </c>
      <c r="Q298" s="864" t="s">
        <v>8130</v>
      </c>
      <c r="R298" s="735">
        <v>61</v>
      </c>
      <c r="S298" s="865" t="s">
        <v>8130</v>
      </c>
      <c r="T298" s="735">
        <v>61</v>
      </c>
      <c r="U298" s="864" t="s">
        <v>8131</v>
      </c>
      <c r="V298" s="735">
        <v>28</v>
      </c>
      <c r="W298" s="864" t="s">
        <v>7820</v>
      </c>
      <c r="X298" s="864" t="s">
        <v>8132</v>
      </c>
      <c r="Y298" s="738">
        <v>71</v>
      </c>
      <c r="Z298" s="865" t="s">
        <v>8132</v>
      </c>
      <c r="AA298" s="735">
        <v>71</v>
      </c>
      <c r="AB298" s="864" t="s">
        <v>8133</v>
      </c>
      <c r="AC298" s="735">
        <v>30</v>
      </c>
      <c r="AD298" s="738" t="s">
        <v>7823</v>
      </c>
      <c r="AE298" s="870"/>
      <c r="AF298" s="860" t="s">
        <v>8115</v>
      </c>
      <c r="AJ298" s="866">
        <f>_xll.GetCtData("COAMOUNT","CONSAMOUNT",$B$1:$B$7,$B298,AJ$8,"#")</f>
        <v>0</v>
      </c>
    </row>
    <row r="299" spans="1:36" ht="12" customHeight="1">
      <c r="A299" s="718" t="s">
        <v>2879</v>
      </c>
      <c r="B299" s="718" t="s">
        <v>8134</v>
      </c>
      <c r="C299" s="453" t="s">
        <v>8135</v>
      </c>
      <c r="D299" s="731" t="s">
        <v>6609</v>
      </c>
      <c r="E299" s="655">
        <v>44038</v>
      </c>
      <c r="F299" s="732" t="s">
        <v>5409</v>
      </c>
      <c r="G299" s="867">
        <v>7</v>
      </c>
      <c r="H299" s="867" t="s">
        <v>6610</v>
      </c>
      <c r="I299" s="781" t="s">
        <v>6610</v>
      </c>
      <c r="J299" s="781" t="s">
        <v>6610</v>
      </c>
      <c r="K299" s="781" t="s">
        <v>6610</v>
      </c>
      <c r="L299" s="781" t="s">
        <v>6610</v>
      </c>
      <c r="M299" s="781" t="s">
        <v>6610</v>
      </c>
      <c r="N299" s="781" t="s">
        <v>6610</v>
      </c>
      <c r="O299" s="757" t="s">
        <v>8135</v>
      </c>
      <c r="P299" s="735">
        <v>9</v>
      </c>
      <c r="Q299" s="758" t="s">
        <v>8136</v>
      </c>
      <c r="R299" s="735">
        <v>44</v>
      </c>
      <c r="S299" s="759" t="s">
        <v>8136</v>
      </c>
      <c r="T299" s="735">
        <v>44</v>
      </c>
      <c r="U299" s="758" t="s">
        <v>8137</v>
      </c>
      <c r="V299" s="735">
        <v>27</v>
      </c>
      <c r="W299" s="758" t="s">
        <v>2915</v>
      </c>
      <c r="X299" s="758" t="s">
        <v>8138</v>
      </c>
      <c r="Y299" s="738">
        <v>57</v>
      </c>
      <c r="Z299" s="759" t="s">
        <v>8138</v>
      </c>
      <c r="AA299" s="735">
        <v>57</v>
      </c>
      <c r="AB299" s="758" t="s">
        <v>8139</v>
      </c>
      <c r="AC299" s="735">
        <v>29</v>
      </c>
      <c r="AD299" s="738" t="s">
        <v>3143</v>
      </c>
      <c r="AE299" s="871" t="s">
        <v>8140</v>
      </c>
      <c r="AF299" s="860" t="s">
        <v>8141</v>
      </c>
      <c r="AJ299" s="760">
        <f>_xll.GetCtData("COAMOUNT","CONSAMOUNT",$B$1:$B$7,$B299,AJ$8,"#")</f>
        <v>0</v>
      </c>
    </row>
    <row r="300" spans="1:36" ht="12" customHeight="1">
      <c r="A300" s="718" t="s">
        <v>2879</v>
      </c>
      <c r="B300" s="718" t="s">
        <v>8142</v>
      </c>
      <c r="C300" s="453" t="s">
        <v>8143</v>
      </c>
      <c r="D300" s="731" t="s">
        <v>6609</v>
      </c>
      <c r="E300" s="655">
        <v>44038</v>
      </c>
      <c r="F300" s="732" t="s">
        <v>5409</v>
      </c>
      <c r="G300" s="867">
        <v>7</v>
      </c>
      <c r="H300" s="867" t="s">
        <v>6610</v>
      </c>
      <c r="I300" s="781" t="s">
        <v>6610</v>
      </c>
      <c r="J300" s="781" t="s">
        <v>6610</v>
      </c>
      <c r="K300" s="781" t="s">
        <v>6610</v>
      </c>
      <c r="L300" s="781" t="s">
        <v>6610</v>
      </c>
      <c r="M300" s="781" t="s">
        <v>6610</v>
      </c>
      <c r="N300" s="781" t="s">
        <v>6610</v>
      </c>
      <c r="O300" s="757" t="s">
        <v>8143</v>
      </c>
      <c r="P300" s="735">
        <v>10</v>
      </c>
      <c r="Q300" s="758" t="s">
        <v>8144</v>
      </c>
      <c r="R300" s="735">
        <v>42</v>
      </c>
      <c r="S300" s="759" t="s">
        <v>8144</v>
      </c>
      <c r="T300" s="735">
        <v>42</v>
      </c>
      <c r="U300" s="758" t="s">
        <v>8145</v>
      </c>
      <c r="V300" s="735">
        <v>28</v>
      </c>
      <c r="W300" s="758" t="s">
        <v>2915</v>
      </c>
      <c r="X300" s="758" t="s">
        <v>8146</v>
      </c>
      <c r="Y300" s="738">
        <v>52</v>
      </c>
      <c r="Z300" s="759" t="s">
        <v>8146</v>
      </c>
      <c r="AA300" s="735">
        <v>52</v>
      </c>
      <c r="AB300" s="758" t="s">
        <v>8147</v>
      </c>
      <c r="AC300" s="735">
        <v>30</v>
      </c>
      <c r="AD300" s="738" t="s">
        <v>3143</v>
      </c>
      <c r="AE300" s="871" t="s">
        <v>8140</v>
      </c>
      <c r="AF300" s="860" t="s">
        <v>8148</v>
      </c>
      <c r="AH300" s="723" t="s">
        <v>5359</v>
      </c>
      <c r="AJ300" s="760">
        <f>_xll.GetCtData("COAMOUNT","CONSAMOUNT",$B$1:$B$7,$B300,AJ$8,"#")</f>
        <v>0</v>
      </c>
    </row>
    <row r="301" spans="1:36" ht="12" customHeight="1">
      <c r="A301" s="718" t="s">
        <v>2879</v>
      </c>
      <c r="B301" s="718" t="s">
        <v>8149</v>
      </c>
      <c r="C301" s="453" t="s">
        <v>8150</v>
      </c>
      <c r="D301" s="731" t="s">
        <v>2962</v>
      </c>
      <c r="E301" s="655">
        <v>44517</v>
      </c>
      <c r="F301" s="732" t="s">
        <v>2912</v>
      </c>
      <c r="G301" s="732">
        <v>2</v>
      </c>
      <c r="H301" s="732" t="s">
        <v>6610</v>
      </c>
      <c r="I301" s="733" t="s">
        <v>6610</v>
      </c>
      <c r="J301" s="747" t="s">
        <v>8150</v>
      </c>
      <c r="K301" s="747" t="s">
        <v>6610</v>
      </c>
      <c r="L301" s="747" t="s">
        <v>6610</v>
      </c>
      <c r="M301" s="747" t="s">
        <v>6610</v>
      </c>
      <c r="N301" s="747" t="s">
        <v>6610</v>
      </c>
      <c r="O301" s="829"/>
      <c r="P301" s="735">
        <v>0</v>
      </c>
      <c r="Q301" s="749" t="s">
        <v>8151</v>
      </c>
      <c r="R301" s="735">
        <v>46</v>
      </c>
      <c r="S301" s="749" t="s">
        <v>8151</v>
      </c>
      <c r="T301" s="735">
        <v>46</v>
      </c>
      <c r="U301" s="749" t="s">
        <v>8152</v>
      </c>
      <c r="V301" s="735">
        <v>30</v>
      </c>
      <c r="W301" s="749" t="s">
        <v>7820</v>
      </c>
      <c r="X301" s="750" t="s">
        <v>8153</v>
      </c>
      <c r="Y301" s="738">
        <v>44</v>
      </c>
      <c r="Z301" s="750" t="s">
        <v>8153</v>
      </c>
      <c r="AA301" s="735">
        <v>44</v>
      </c>
      <c r="AB301" s="750" t="s">
        <v>8154</v>
      </c>
      <c r="AC301" s="735">
        <v>27</v>
      </c>
      <c r="AD301" s="738" t="s">
        <v>7823</v>
      </c>
      <c r="AE301" s="689" t="s">
        <v>8155</v>
      </c>
      <c r="AF301" s="872" t="s">
        <v>8156</v>
      </c>
      <c r="AJ301" s="873">
        <f>_xll.GetCtData("COAMOUNT","CONSAMOUNT",$B$1:$B$7,$B301,AJ$8,"#1915")</f>
        <v>1915</v>
      </c>
    </row>
    <row r="302" spans="1:36" ht="12" customHeight="1">
      <c r="A302" s="718" t="s">
        <v>2879</v>
      </c>
      <c r="B302" s="718" t="s">
        <v>8157</v>
      </c>
      <c r="C302" s="453" t="s">
        <v>8158</v>
      </c>
      <c r="D302" s="731" t="s">
        <v>2962</v>
      </c>
      <c r="E302" s="655">
        <v>44517</v>
      </c>
      <c r="F302" s="732" t="s">
        <v>2912</v>
      </c>
      <c r="G302" s="731">
        <v>3</v>
      </c>
      <c r="H302" s="731" t="s">
        <v>6610</v>
      </c>
      <c r="I302" s="790" t="s">
        <v>6610</v>
      </c>
      <c r="J302" s="790" t="s">
        <v>6610</v>
      </c>
      <c r="K302" s="752" t="s">
        <v>8159</v>
      </c>
      <c r="L302" s="752" t="s">
        <v>6610</v>
      </c>
      <c r="M302" s="752" t="s">
        <v>6610</v>
      </c>
      <c r="N302" s="752" t="s">
        <v>6610</v>
      </c>
      <c r="O302" s="847"/>
      <c r="P302" s="735">
        <v>0</v>
      </c>
      <c r="Q302" s="754" t="s">
        <v>8160</v>
      </c>
      <c r="R302" s="735">
        <v>86</v>
      </c>
      <c r="S302" s="755" t="s">
        <v>8160</v>
      </c>
      <c r="T302" s="735">
        <v>86</v>
      </c>
      <c r="U302" s="754" t="s">
        <v>8161</v>
      </c>
      <c r="V302" s="735">
        <v>30</v>
      </c>
      <c r="W302" s="754" t="s">
        <v>7820</v>
      </c>
      <c r="X302" s="754" t="s">
        <v>8162</v>
      </c>
      <c r="Y302" s="738">
        <v>68</v>
      </c>
      <c r="Z302" s="755" t="s">
        <v>8162</v>
      </c>
      <c r="AA302" s="735">
        <v>68</v>
      </c>
      <c r="AB302" s="754" t="s">
        <v>8163</v>
      </c>
      <c r="AC302" s="735">
        <v>30</v>
      </c>
      <c r="AD302" s="738" t="s">
        <v>7823</v>
      </c>
      <c r="AE302" s="689" t="s">
        <v>8155</v>
      </c>
      <c r="AF302" s="872" t="s">
        <v>8156</v>
      </c>
      <c r="AJ302" s="756">
        <f>_xll.GetCtData("COAMOUNT","CONSAMOUNT",$B$1:$B$7,$B302,AJ$8,"#1915")</f>
        <v>1915</v>
      </c>
    </row>
    <row r="303" spans="1:36" ht="12" customHeight="1">
      <c r="A303" s="718" t="s">
        <v>2879</v>
      </c>
      <c r="B303" s="718" t="s">
        <v>8164</v>
      </c>
      <c r="C303" s="453" t="s">
        <v>8165</v>
      </c>
      <c r="D303" s="731" t="s">
        <v>2962</v>
      </c>
      <c r="E303" s="655">
        <v>44517</v>
      </c>
      <c r="F303" s="732" t="s">
        <v>2912</v>
      </c>
      <c r="G303" s="731">
        <v>4</v>
      </c>
      <c r="H303" s="731" t="s">
        <v>6610</v>
      </c>
      <c r="I303" s="790" t="s">
        <v>6610</v>
      </c>
      <c r="J303" s="790" t="s">
        <v>6610</v>
      </c>
      <c r="K303" s="790" t="s">
        <v>6610</v>
      </c>
      <c r="L303" s="764" t="s">
        <v>8166</v>
      </c>
      <c r="M303" s="764" t="s">
        <v>6610</v>
      </c>
      <c r="N303" s="764" t="s">
        <v>6610</v>
      </c>
      <c r="O303" s="874"/>
      <c r="P303" s="735">
        <v>0</v>
      </c>
      <c r="Q303" s="766" t="s">
        <v>8167</v>
      </c>
      <c r="R303" s="735">
        <v>78</v>
      </c>
      <c r="S303" s="767" t="s">
        <v>8167</v>
      </c>
      <c r="T303" s="735">
        <v>78</v>
      </c>
      <c r="U303" s="766" t="s">
        <v>8168</v>
      </c>
      <c r="V303" s="735">
        <v>28</v>
      </c>
      <c r="W303" s="766" t="s">
        <v>7820</v>
      </c>
      <c r="X303" s="766" t="s">
        <v>8169</v>
      </c>
      <c r="Y303" s="738">
        <v>59</v>
      </c>
      <c r="Z303" s="767" t="s">
        <v>8169</v>
      </c>
      <c r="AA303" s="735">
        <v>59</v>
      </c>
      <c r="AB303" s="766" t="s">
        <v>8170</v>
      </c>
      <c r="AC303" s="735">
        <v>28</v>
      </c>
      <c r="AD303" s="738" t="s">
        <v>7823</v>
      </c>
      <c r="AE303" s="689" t="s">
        <v>8155</v>
      </c>
      <c r="AF303" s="872" t="s">
        <v>8156</v>
      </c>
      <c r="AJ303" s="768">
        <f>_xll.GetCtData("COAMOUNT","CONSAMOUNT",$B$1:$B$7,$B303,AJ$8,"#1915")</f>
        <v>1915</v>
      </c>
    </row>
    <row r="304" spans="1:36" ht="12" customHeight="1">
      <c r="A304" s="718" t="s">
        <v>2879</v>
      </c>
      <c r="B304" s="718" t="s">
        <v>2064</v>
      </c>
      <c r="C304" s="453" t="s">
        <v>8171</v>
      </c>
      <c r="D304" s="731" t="s">
        <v>2962</v>
      </c>
      <c r="E304" s="655">
        <v>44517</v>
      </c>
      <c r="F304" s="732" t="s">
        <v>2912</v>
      </c>
      <c r="G304" s="732">
        <v>5</v>
      </c>
      <c r="H304" s="732" t="s">
        <v>6610</v>
      </c>
      <c r="I304" s="733" t="s">
        <v>6610</v>
      </c>
      <c r="J304" s="733" t="s">
        <v>6610</v>
      </c>
      <c r="K304" s="733" t="s">
        <v>6610</v>
      </c>
      <c r="L304" s="733" t="s">
        <v>6610</v>
      </c>
      <c r="M304" s="769" t="s">
        <v>8172</v>
      </c>
      <c r="N304" s="769" t="s">
        <v>6610</v>
      </c>
      <c r="O304" s="832"/>
      <c r="P304" s="735">
        <v>0</v>
      </c>
      <c r="Q304" s="771" t="s">
        <v>2662</v>
      </c>
      <c r="R304" s="735">
        <v>68</v>
      </c>
      <c r="S304" s="772" t="s">
        <v>2662</v>
      </c>
      <c r="T304" s="735">
        <v>68</v>
      </c>
      <c r="U304" s="771" t="s">
        <v>8173</v>
      </c>
      <c r="V304" s="735">
        <v>27</v>
      </c>
      <c r="W304" s="771" t="s">
        <v>8174</v>
      </c>
      <c r="X304" s="771" t="s">
        <v>8175</v>
      </c>
      <c r="Y304" s="738">
        <v>82</v>
      </c>
      <c r="Z304" s="772" t="s">
        <v>8175</v>
      </c>
      <c r="AA304" s="735">
        <v>82</v>
      </c>
      <c r="AB304" s="771" t="s">
        <v>8176</v>
      </c>
      <c r="AC304" s="735">
        <v>30</v>
      </c>
      <c r="AD304" s="738" t="s">
        <v>8177</v>
      </c>
      <c r="AE304" s="689" t="s">
        <v>8155</v>
      </c>
      <c r="AF304" s="872" t="s">
        <v>8156</v>
      </c>
      <c r="AJ304" s="773">
        <f>_xll.GetCtData("COAMOUNT","CONSAMOUNT",$B$1:$B$7,$B304,AJ$8,"#8616")</f>
        <v>8616</v>
      </c>
    </row>
    <row r="305" spans="1:36" ht="12" customHeight="1">
      <c r="A305" s="718" t="s">
        <v>2879</v>
      </c>
      <c r="B305" s="718" t="s">
        <v>1737</v>
      </c>
      <c r="C305" s="453" t="s">
        <v>1738</v>
      </c>
      <c r="D305" s="731" t="s">
        <v>2962</v>
      </c>
      <c r="E305" s="655">
        <v>44517</v>
      </c>
      <c r="F305" s="732" t="s">
        <v>2930</v>
      </c>
      <c r="G305" s="861">
        <v>7</v>
      </c>
      <c r="H305" s="861" t="s">
        <v>6610</v>
      </c>
      <c r="I305" s="733" t="s">
        <v>6610</v>
      </c>
      <c r="J305" s="733" t="s">
        <v>6610</v>
      </c>
      <c r="K305" s="733" t="s">
        <v>6610</v>
      </c>
      <c r="L305" s="733" t="s">
        <v>6610</v>
      </c>
      <c r="M305" s="733" t="s">
        <v>6610</v>
      </c>
      <c r="N305" s="790"/>
      <c r="O305" s="845" t="s">
        <v>1738</v>
      </c>
      <c r="P305" s="735">
        <v>10</v>
      </c>
      <c r="Q305" s="758" t="s">
        <v>1739</v>
      </c>
      <c r="R305" s="735">
        <v>93</v>
      </c>
      <c r="S305" s="801" t="s">
        <v>1739</v>
      </c>
      <c r="T305" s="735">
        <v>93</v>
      </c>
      <c r="U305" s="758" t="s">
        <v>8178</v>
      </c>
      <c r="V305" s="735">
        <v>28</v>
      </c>
      <c r="W305" s="758" t="s">
        <v>8174</v>
      </c>
      <c r="X305" s="758" t="s">
        <v>8179</v>
      </c>
      <c r="Y305" s="738">
        <v>105</v>
      </c>
      <c r="Z305" s="759" t="s">
        <v>8179</v>
      </c>
      <c r="AA305" s="735">
        <v>105</v>
      </c>
      <c r="AB305" s="758" t="s">
        <v>8180</v>
      </c>
      <c r="AC305" s="735">
        <v>26</v>
      </c>
      <c r="AD305" s="738" t="s">
        <v>8177</v>
      </c>
      <c r="AE305" s="689" t="s">
        <v>8181</v>
      </c>
      <c r="AF305" s="872" t="s">
        <v>8182</v>
      </c>
      <c r="AH305" s="723" t="s">
        <v>5359</v>
      </c>
      <c r="AJ305" s="760">
        <f>_xll.GetCtData("COAMOUNT","CONSAMOUNT",$B$1:$B$7,$B305,AJ$8,"#17212")</f>
        <v>17212</v>
      </c>
    </row>
    <row r="306" spans="1:36" ht="12" customHeight="1">
      <c r="A306" s="718" t="s">
        <v>2879</v>
      </c>
      <c r="B306" s="718" t="s">
        <v>1755</v>
      </c>
      <c r="C306" s="453" t="s">
        <v>1141</v>
      </c>
      <c r="D306" s="731" t="s">
        <v>2962</v>
      </c>
      <c r="E306" s="655">
        <v>44517</v>
      </c>
      <c r="F306" s="789" t="s">
        <v>2930</v>
      </c>
      <c r="G306" s="861">
        <v>7</v>
      </c>
      <c r="H306" s="861" t="s">
        <v>6610</v>
      </c>
      <c r="I306" s="733" t="s">
        <v>6610</v>
      </c>
      <c r="J306" s="733" t="s">
        <v>6610</v>
      </c>
      <c r="K306" s="733" t="s">
        <v>6610</v>
      </c>
      <c r="L306" s="733" t="s">
        <v>6610</v>
      </c>
      <c r="M306" s="733" t="s">
        <v>6610</v>
      </c>
      <c r="N306" s="790"/>
      <c r="O306" s="845" t="s">
        <v>1141</v>
      </c>
      <c r="P306" s="735">
        <v>10</v>
      </c>
      <c r="Q306" s="758" t="s">
        <v>1142</v>
      </c>
      <c r="R306" s="735">
        <v>92</v>
      </c>
      <c r="S306" s="801" t="s">
        <v>1142</v>
      </c>
      <c r="T306" s="735">
        <v>92</v>
      </c>
      <c r="U306" s="758" t="s">
        <v>8183</v>
      </c>
      <c r="V306" s="735">
        <v>28</v>
      </c>
      <c r="W306" s="758" t="s">
        <v>8174</v>
      </c>
      <c r="X306" s="758" t="s">
        <v>8184</v>
      </c>
      <c r="Y306" s="738">
        <v>102</v>
      </c>
      <c r="Z306" s="759" t="s">
        <v>8184</v>
      </c>
      <c r="AA306" s="735">
        <v>102</v>
      </c>
      <c r="AB306" s="758" t="s">
        <v>8185</v>
      </c>
      <c r="AC306" s="735">
        <v>29</v>
      </c>
      <c r="AD306" s="738" t="s">
        <v>8177</v>
      </c>
      <c r="AE306" s="689" t="s">
        <v>8186</v>
      </c>
      <c r="AF306" s="872" t="s">
        <v>8182</v>
      </c>
      <c r="AH306" s="723" t="s">
        <v>5359</v>
      </c>
      <c r="AJ306" s="760">
        <f>_xll.GetCtData("COAMOUNT","CONSAMOUNT",$B$1:$B$7,$B306,AJ$8,"#-8596")</f>
        <v>-8596</v>
      </c>
    </row>
    <row r="307" spans="1:36" ht="12" customHeight="1">
      <c r="A307" s="718" t="s">
        <v>2879</v>
      </c>
      <c r="B307" s="718" t="s">
        <v>1743</v>
      </c>
      <c r="C307" s="453" t="s">
        <v>1744</v>
      </c>
      <c r="D307" s="731" t="s">
        <v>2962</v>
      </c>
      <c r="E307" s="655">
        <v>44517</v>
      </c>
      <c r="F307" s="836" t="s">
        <v>2930</v>
      </c>
      <c r="G307" s="837">
        <v>7</v>
      </c>
      <c r="H307" s="837" t="s">
        <v>6610</v>
      </c>
      <c r="I307" s="834" t="s">
        <v>6610</v>
      </c>
      <c r="J307" s="834" t="s">
        <v>6610</v>
      </c>
      <c r="K307" s="834" t="s">
        <v>6610</v>
      </c>
      <c r="L307" s="834" t="s">
        <v>6610</v>
      </c>
      <c r="M307" s="834" t="s">
        <v>6610</v>
      </c>
      <c r="N307" s="875"/>
      <c r="O307" s="757" t="s">
        <v>1744</v>
      </c>
      <c r="P307" s="735">
        <v>10</v>
      </c>
      <c r="Q307" s="759" t="s">
        <v>8187</v>
      </c>
      <c r="R307" s="735">
        <v>109</v>
      </c>
      <c r="S307" s="801" t="s">
        <v>1745</v>
      </c>
      <c r="T307" s="735">
        <v>109</v>
      </c>
      <c r="U307" s="758" t="s">
        <v>8188</v>
      </c>
      <c r="V307" s="735">
        <v>29</v>
      </c>
      <c r="W307" s="758" t="s">
        <v>8174</v>
      </c>
      <c r="X307" s="758" t="s">
        <v>8189</v>
      </c>
      <c r="Y307" s="738">
        <v>75</v>
      </c>
      <c r="Z307" s="759" t="s">
        <v>8189</v>
      </c>
      <c r="AA307" s="735">
        <v>75</v>
      </c>
      <c r="AB307" s="758" t="s">
        <v>8190</v>
      </c>
      <c r="AC307" s="735">
        <v>30</v>
      </c>
      <c r="AD307" s="738" t="s">
        <v>8177</v>
      </c>
      <c r="AE307" s="689" t="s">
        <v>8191</v>
      </c>
      <c r="AF307" s="872" t="s">
        <v>8182</v>
      </c>
      <c r="AH307" s="723" t="s">
        <v>5359</v>
      </c>
      <c r="AJ307" s="760">
        <f>_xll.GetCtData("COAMOUNT","CONSAMOUNT",$B$1:$B$7,$B307,AJ$8,"#0")</f>
        <v>0</v>
      </c>
    </row>
    <row r="308" spans="1:36" ht="12" customHeight="1">
      <c r="A308" s="718" t="s">
        <v>2879</v>
      </c>
      <c r="B308" s="718" t="s">
        <v>1759</v>
      </c>
      <c r="C308" s="453" t="s">
        <v>1143</v>
      </c>
      <c r="D308" s="649" t="s">
        <v>2962</v>
      </c>
      <c r="E308" s="650">
        <v>44515</v>
      </c>
      <c r="F308" s="836" t="s">
        <v>2930</v>
      </c>
      <c r="G308" s="837">
        <v>7</v>
      </c>
      <c r="H308" s="837" t="s">
        <v>6610</v>
      </c>
      <c r="I308" s="834" t="s">
        <v>6610</v>
      </c>
      <c r="J308" s="834" t="s">
        <v>6610</v>
      </c>
      <c r="K308" s="834" t="s">
        <v>6610</v>
      </c>
      <c r="L308" s="834" t="s">
        <v>6610</v>
      </c>
      <c r="M308" s="834" t="s">
        <v>6610</v>
      </c>
      <c r="N308" s="875"/>
      <c r="O308" s="757" t="s">
        <v>1143</v>
      </c>
      <c r="P308" s="735">
        <v>10</v>
      </c>
      <c r="Q308" s="759" t="s">
        <v>8192</v>
      </c>
      <c r="R308" s="735">
        <v>110</v>
      </c>
      <c r="S308" s="801" t="s">
        <v>1144</v>
      </c>
      <c r="T308" s="735">
        <v>110</v>
      </c>
      <c r="U308" s="758" t="s">
        <v>8193</v>
      </c>
      <c r="V308" s="735">
        <v>28</v>
      </c>
      <c r="W308" s="758" t="s">
        <v>8174</v>
      </c>
      <c r="X308" s="758" t="s">
        <v>8194</v>
      </c>
      <c r="Y308" s="738">
        <v>130</v>
      </c>
      <c r="Z308" s="758" t="s">
        <v>8194</v>
      </c>
      <c r="AA308" s="735">
        <v>130</v>
      </c>
      <c r="AB308" s="758" t="s">
        <v>8190</v>
      </c>
      <c r="AC308" s="735">
        <v>30</v>
      </c>
      <c r="AD308" s="738" t="s">
        <v>8177</v>
      </c>
      <c r="AE308" s="840" t="s">
        <v>5716</v>
      </c>
      <c r="AF308" s="530" t="s">
        <v>2969</v>
      </c>
      <c r="AH308" s="723" t="s">
        <v>5359</v>
      </c>
      <c r="AJ308" s="760">
        <f>_xll.GetCtData("COAMOUNT","CONSAMOUNT",$B$1:$B$7,$B308,AJ$8,"#")</f>
        <v>0</v>
      </c>
    </row>
    <row r="309" spans="1:36" ht="12" customHeight="1">
      <c r="A309" s="718" t="s">
        <v>2879</v>
      </c>
      <c r="B309" s="718" t="s">
        <v>2070</v>
      </c>
      <c r="C309" s="453" t="s">
        <v>8195</v>
      </c>
      <c r="D309" s="731" t="s">
        <v>2962</v>
      </c>
      <c r="E309" s="655">
        <v>44517</v>
      </c>
      <c r="F309" s="732" t="s">
        <v>2912</v>
      </c>
      <c r="G309" s="732">
        <v>5</v>
      </c>
      <c r="H309" s="732" t="s">
        <v>6610</v>
      </c>
      <c r="I309" s="733" t="s">
        <v>6610</v>
      </c>
      <c r="J309" s="733" t="s">
        <v>6610</v>
      </c>
      <c r="K309" s="733" t="s">
        <v>6610</v>
      </c>
      <c r="L309" s="733" t="s">
        <v>6610</v>
      </c>
      <c r="M309" s="769" t="s">
        <v>8196</v>
      </c>
      <c r="N309" s="769" t="s">
        <v>6610</v>
      </c>
      <c r="O309" s="832"/>
      <c r="P309" s="735">
        <v>0</v>
      </c>
      <c r="Q309" s="771" t="s">
        <v>2663</v>
      </c>
      <c r="R309" s="735">
        <v>66</v>
      </c>
      <c r="S309" s="772" t="s">
        <v>2663</v>
      </c>
      <c r="T309" s="735">
        <v>66</v>
      </c>
      <c r="U309" s="771" t="s">
        <v>8197</v>
      </c>
      <c r="V309" s="735">
        <v>29</v>
      </c>
      <c r="W309" s="771" t="s">
        <v>8174</v>
      </c>
      <c r="X309" s="771" t="s">
        <v>8198</v>
      </c>
      <c r="Y309" s="738">
        <v>76</v>
      </c>
      <c r="Z309" s="772" t="s">
        <v>8198</v>
      </c>
      <c r="AA309" s="735">
        <v>76</v>
      </c>
      <c r="AB309" s="771" t="s">
        <v>8199</v>
      </c>
      <c r="AC309" s="735">
        <v>29</v>
      </c>
      <c r="AD309" s="738" t="s">
        <v>8177</v>
      </c>
      <c r="AE309" s="689" t="s">
        <v>8155</v>
      </c>
      <c r="AF309" s="872" t="s">
        <v>8156</v>
      </c>
      <c r="AJ309" s="773">
        <f>_xll.GetCtData("COAMOUNT","CONSAMOUNT",$B$1:$B$7,$B309,AJ$8,"#-7729")</f>
        <v>-7729</v>
      </c>
    </row>
    <row r="310" spans="1:36" ht="12" customHeight="1">
      <c r="A310" s="718" t="s">
        <v>2879</v>
      </c>
      <c r="B310" s="718" t="s">
        <v>1731</v>
      </c>
      <c r="C310" s="453" t="s">
        <v>1732</v>
      </c>
      <c r="D310" s="731" t="s">
        <v>2962</v>
      </c>
      <c r="E310" s="655">
        <v>44517</v>
      </c>
      <c r="F310" s="789" t="s">
        <v>2930</v>
      </c>
      <c r="G310" s="861">
        <v>7</v>
      </c>
      <c r="H310" s="861" t="s">
        <v>6610</v>
      </c>
      <c r="I310" s="733" t="s">
        <v>6610</v>
      </c>
      <c r="J310" s="733" t="s">
        <v>6610</v>
      </c>
      <c r="K310" s="733" t="s">
        <v>6610</v>
      </c>
      <c r="L310" s="733" t="s">
        <v>6610</v>
      </c>
      <c r="M310" s="733" t="s">
        <v>6610</v>
      </c>
      <c r="N310" s="790"/>
      <c r="O310" s="845" t="s">
        <v>1732</v>
      </c>
      <c r="P310" s="735">
        <v>10</v>
      </c>
      <c r="Q310" s="758" t="s">
        <v>1733</v>
      </c>
      <c r="R310" s="735">
        <v>91</v>
      </c>
      <c r="S310" s="759" t="s">
        <v>1733</v>
      </c>
      <c r="T310" s="735">
        <v>91</v>
      </c>
      <c r="U310" s="758" t="s">
        <v>8200</v>
      </c>
      <c r="V310" s="735">
        <v>27</v>
      </c>
      <c r="W310" s="758" t="s">
        <v>8174</v>
      </c>
      <c r="X310" s="758" t="s">
        <v>8201</v>
      </c>
      <c r="Y310" s="738">
        <v>99</v>
      </c>
      <c r="Z310" s="759" t="s">
        <v>8201</v>
      </c>
      <c r="AA310" s="735">
        <v>99</v>
      </c>
      <c r="AB310" s="758" t="s">
        <v>8202</v>
      </c>
      <c r="AC310" s="735">
        <v>29</v>
      </c>
      <c r="AD310" s="738" t="s">
        <v>8177</v>
      </c>
      <c r="AE310" s="689" t="s">
        <v>8181</v>
      </c>
      <c r="AF310" s="872" t="s">
        <v>8182</v>
      </c>
      <c r="AH310" s="723" t="s">
        <v>5359</v>
      </c>
      <c r="AJ310" s="760">
        <f>_xll.GetCtData("COAMOUNT","CONSAMOUNT",$B$1:$B$7,$B310,AJ$8,"#-7728")</f>
        <v>-7728</v>
      </c>
    </row>
    <row r="311" spans="1:36" ht="12" customHeight="1">
      <c r="A311" s="718" t="s">
        <v>2879</v>
      </c>
      <c r="B311" s="718" t="s">
        <v>1758</v>
      </c>
      <c r="C311" s="453" t="s">
        <v>1139</v>
      </c>
      <c r="D311" s="731" t="s">
        <v>2962</v>
      </c>
      <c r="E311" s="655">
        <v>44517</v>
      </c>
      <c r="F311" s="789" t="s">
        <v>2930</v>
      </c>
      <c r="G311" s="861">
        <v>7</v>
      </c>
      <c r="H311" s="861" t="s">
        <v>6610</v>
      </c>
      <c r="I311" s="733" t="s">
        <v>6610</v>
      </c>
      <c r="J311" s="733" t="s">
        <v>6610</v>
      </c>
      <c r="K311" s="733" t="s">
        <v>6610</v>
      </c>
      <c r="L311" s="733" t="s">
        <v>6610</v>
      </c>
      <c r="M311" s="733" t="s">
        <v>6610</v>
      </c>
      <c r="N311" s="790"/>
      <c r="O311" s="845" t="s">
        <v>1139</v>
      </c>
      <c r="P311" s="735">
        <v>10</v>
      </c>
      <c r="Q311" s="758" t="s">
        <v>1140</v>
      </c>
      <c r="R311" s="735">
        <v>90</v>
      </c>
      <c r="S311" s="759" t="s">
        <v>1140</v>
      </c>
      <c r="T311" s="735">
        <v>90</v>
      </c>
      <c r="U311" s="758" t="s">
        <v>8203</v>
      </c>
      <c r="V311" s="735">
        <v>27</v>
      </c>
      <c r="W311" s="758" t="s">
        <v>8174</v>
      </c>
      <c r="X311" s="758" t="s">
        <v>8204</v>
      </c>
      <c r="Y311" s="738">
        <v>98</v>
      </c>
      <c r="Z311" s="759" t="s">
        <v>8204</v>
      </c>
      <c r="AA311" s="735">
        <v>98</v>
      </c>
      <c r="AB311" s="758" t="s">
        <v>8205</v>
      </c>
      <c r="AC311" s="735">
        <v>30</v>
      </c>
      <c r="AD311" s="738" t="s">
        <v>8177</v>
      </c>
      <c r="AE311" s="689" t="s">
        <v>8206</v>
      </c>
      <c r="AF311" s="872" t="s">
        <v>8182</v>
      </c>
      <c r="AH311" s="723" t="s">
        <v>5359</v>
      </c>
      <c r="AJ311" s="760">
        <f>_xll.GetCtData("COAMOUNT","CONSAMOUNT",$B$1:$B$7,$B311,AJ$8,"#-1")</f>
        <v>-1</v>
      </c>
    </row>
    <row r="312" spans="1:36" ht="12" customHeight="1">
      <c r="A312" s="718" t="s">
        <v>2879</v>
      </c>
      <c r="B312" s="718" t="s">
        <v>2614</v>
      </c>
      <c r="C312" s="453" t="s">
        <v>8207</v>
      </c>
      <c r="D312" s="731" t="s">
        <v>2962</v>
      </c>
      <c r="E312" s="655">
        <v>44517</v>
      </c>
      <c r="F312" s="732" t="s">
        <v>2912</v>
      </c>
      <c r="G312" s="732">
        <v>5</v>
      </c>
      <c r="H312" s="732" t="s">
        <v>6610</v>
      </c>
      <c r="I312" s="733" t="s">
        <v>6610</v>
      </c>
      <c r="J312" s="733" t="s">
        <v>6610</v>
      </c>
      <c r="K312" s="733" t="s">
        <v>6610</v>
      </c>
      <c r="L312" s="733" t="s">
        <v>6610</v>
      </c>
      <c r="M312" s="769" t="s">
        <v>8208</v>
      </c>
      <c r="N312" s="769" t="s">
        <v>6610</v>
      </c>
      <c r="O312" s="832"/>
      <c r="P312" s="735">
        <v>0</v>
      </c>
      <c r="Q312" s="771" t="s">
        <v>8209</v>
      </c>
      <c r="R312" s="735">
        <v>75</v>
      </c>
      <c r="S312" s="772" t="s">
        <v>8209</v>
      </c>
      <c r="T312" s="735">
        <v>75</v>
      </c>
      <c r="U312" s="771" t="s">
        <v>8210</v>
      </c>
      <c r="V312" s="735">
        <v>27</v>
      </c>
      <c r="W312" s="771" t="s">
        <v>8174</v>
      </c>
      <c r="X312" s="771" t="s">
        <v>8211</v>
      </c>
      <c r="Y312" s="738">
        <v>64</v>
      </c>
      <c r="Z312" s="772" t="s">
        <v>8211</v>
      </c>
      <c r="AA312" s="735">
        <v>64</v>
      </c>
      <c r="AB312" s="771" t="s">
        <v>8212</v>
      </c>
      <c r="AC312" s="735">
        <v>24</v>
      </c>
      <c r="AD312" s="738" t="s">
        <v>8177</v>
      </c>
      <c r="AE312" s="689" t="s">
        <v>8155</v>
      </c>
      <c r="AF312" s="872" t="s">
        <v>8156</v>
      </c>
      <c r="AJ312" s="773">
        <f>_xll.GetCtData("COAMOUNT","CONSAMOUNT",$B$1:$B$7,$B312,AJ$8,"#1028")</f>
        <v>1028</v>
      </c>
    </row>
    <row r="313" spans="1:36" ht="12" customHeight="1">
      <c r="A313" s="718" t="s">
        <v>2879</v>
      </c>
      <c r="B313" s="718" t="s">
        <v>1740</v>
      </c>
      <c r="C313" s="453" t="s">
        <v>1741</v>
      </c>
      <c r="D313" s="731" t="s">
        <v>2962</v>
      </c>
      <c r="E313" s="655">
        <v>44517</v>
      </c>
      <c r="F313" s="789" t="s">
        <v>2930</v>
      </c>
      <c r="G313" s="861">
        <v>7</v>
      </c>
      <c r="H313" s="861" t="s">
        <v>6610</v>
      </c>
      <c r="I313" s="733" t="s">
        <v>6610</v>
      </c>
      <c r="J313" s="733" t="s">
        <v>6610</v>
      </c>
      <c r="K313" s="733" t="s">
        <v>6610</v>
      </c>
      <c r="L313" s="733" t="s">
        <v>6610</v>
      </c>
      <c r="M313" s="733" t="s">
        <v>6610</v>
      </c>
      <c r="N313" s="790"/>
      <c r="O313" s="876" t="s">
        <v>1741</v>
      </c>
      <c r="P313" s="735">
        <v>10</v>
      </c>
      <c r="Q313" s="758" t="s">
        <v>1742</v>
      </c>
      <c r="R313" s="735">
        <v>100</v>
      </c>
      <c r="S313" s="759" t="s">
        <v>1742</v>
      </c>
      <c r="T313" s="735">
        <v>100</v>
      </c>
      <c r="U313" s="758" t="s">
        <v>8213</v>
      </c>
      <c r="V313" s="735">
        <v>23</v>
      </c>
      <c r="W313" s="758" t="s">
        <v>8174</v>
      </c>
      <c r="X313" s="758" t="s">
        <v>6004</v>
      </c>
      <c r="Y313" s="738">
        <v>92</v>
      </c>
      <c r="Z313" s="759" t="s">
        <v>6004</v>
      </c>
      <c r="AA313" s="735">
        <v>92</v>
      </c>
      <c r="AB313" s="758" t="s">
        <v>8214</v>
      </c>
      <c r="AC313" s="735">
        <v>30</v>
      </c>
      <c r="AD313" s="738" t="s">
        <v>8177</v>
      </c>
      <c r="AE313" s="689" t="s">
        <v>8186</v>
      </c>
      <c r="AF313" s="872" t="s">
        <v>8182</v>
      </c>
      <c r="AH313" s="723" t="s">
        <v>5359</v>
      </c>
      <c r="AJ313" s="760">
        <f>_xll.GetCtData("COAMOUNT","CONSAMOUNT",$B$1:$B$7,$B313,AJ$8,"#1028")</f>
        <v>1028</v>
      </c>
    </row>
    <row r="314" spans="1:36" ht="12" customHeight="1">
      <c r="A314" s="718" t="s">
        <v>2879</v>
      </c>
      <c r="B314" s="718" t="s">
        <v>8215</v>
      </c>
      <c r="C314" s="453" t="s">
        <v>8216</v>
      </c>
      <c r="D314" s="731" t="s">
        <v>2962</v>
      </c>
      <c r="E314" s="655">
        <v>44517</v>
      </c>
      <c r="F314" s="789" t="s">
        <v>2912</v>
      </c>
      <c r="G314" s="731">
        <v>4</v>
      </c>
      <c r="H314" s="731" t="s">
        <v>6610</v>
      </c>
      <c r="I314" s="790" t="s">
        <v>6610</v>
      </c>
      <c r="J314" s="790" t="s">
        <v>6610</v>
      </c>
      <c r="K314" s="790" t="s">
        <v>6610</v>
      </c>
      <c r="L314" s="764" t="s">
        <v>8217</v>
      </c>
      <c r="M314" s="764" t="s">
        <v>6610</v>
      </c>
      <c r="N314" s="764" t="s">
        <v>6610</v>
      </c>
      <c r="O314" s="874"/>
      <c r="P314" s="735">
        <v>0</v>
      </c>
      <c r="Q314" s="766" t="s">
        <v>8218</v>
      </c>
      <c r="R314" s="735">
        <v>78</v>
      </c>
      <c r="S314" s="767" t="s">
        <v>8218</v>
      </c>
      <c r="T314" s="735">
        <v>78</v>
      </c>
      <c r="U314" s="766" t="s">
        <v>8219</v>
      </c>
      <c r="V314" s="735">
        <v>29</v>
      </c>
      <c r="W314" s="766" t="s">
        <v>8174</v>
      </c>
      <c r="X314" s="766" t="s">
        <v>8220</v>
      </c>
      <c r="Y314" s="738">
        <v>59</v>
      </c>
      <c r="Z314" s="767" t="s">
        <v>8220</v>
      </c>
      <c r="AA314" s="735">
        <v>59</v>
      </c>
      <c r="AB314" s="766" t="s">
        <v>8221</v>
      </c>
      <c r="AC314" s="735">
        <v>27</v>
      </c>
      <c r="AD314" s="738" t="s">
        <v>8177</v>
      </c>
      <c r="AE314" s="689" t="s">
        <v>8155</v>
      </c>
      <c r="AF314" s="872" t="s">
        <v>8156</v>
      </c>
      <c r="AJ314" s="768">
        <f>_xll.GetCtData("COAMOUNT","CONSAMOUNT",$B$1:$B$7,$B314,AJ$8,"#")</f>
        <v>0</v>
      </c>
    </row>
    <row r="315" spans="1:36" ht="12" customHeight="1">
      <c r="A315" s="718" t="s">
        <v>2879</v>
      </c>
      <c r="B315" s="718" t="s">
        <v>2065</v>
      </c>
      <c r="C315" s="453" t="s">
        <v>8222</v>
      </c>
      <c r="D315" s="731" t="s">
        <v>2962</v>
      </c>
      <c r="E315" s="655">
        <v>44517</v>
      </c>
      <c r="F315" s="789" t="s">
        <v>2912</v>
      </c>
      <c r="G315" s="732">
        <v>5</v>
      </c>
      <c r="H315" s="732" t="s">
        <v>6610</v>
      </c>
      <c r="I315" s="733" t="s">
        <v>6610</v>
      </c>
      <c r="J315" s="733" t="s">
        <v>6610</v>
      </c>
      <c r="K315" s="733" t="s">
        <v>6610</v>
      </c>
      <c r="L315" s="733" t="s">
        <v>6610</v>
      </c>
      <c r="M315" s="769" t="s">
        <v>8223</v>
      </c>
      <c r="N315" s="769" t="s">
        <v>6610</v>
      </c>
      <c r="O315" s="832"/>
      <c r="P315" s="735">
        <v>0</v>
      </c>
      <c r="Q315" s="771" t="s">
        <v>8224</v>
      </c>
      <c r="R315" s="735">
        <v>68</v>
      </c>
      <c r="S315" s="772" t="s">
        <v>8224</v>
      </c>
      <c r="T315" s="735">
        <v>68</v>
      </c>
      <c r="U315" s="771" t="s">
        <v>8225</v>
      </c>
      <c r="V315" s="735">
        <v>27</v>
      </c>
      <c r="W315" s="771" t="s">
        <v>8174</v>
      </c>
      <c r="X315" s="771" t="s">
        <v>8226</v>
      </c>
      <c r="Y315" s="738">
        <v>82</v>
      </c>
      <c r="Z315" s="772" t="s">
        <v>8226</v>
      </c>
      <c r="AA315" s="735">
        <v>82</v>
      </c>
      <c r="AB315" s="771" t="s">
        <v>8227</v>
      </c>
      <c r="AC315" s="735">
        <v>30</v>
      </c>
      <c r="AD315" s="738" t="s">
        <v>8177</v>
      </c>
      <c r="AE315" s="689" t="s">
        <v>8155</v>
      </c>
      <c r="AF315" s="872" t="s">
        <v>8156</v>
      </c>
      <c r="AJ315" s="773">
        <f>_xll.GetCtData("COAMOUNT","CONSAMOUNT",$B$1:$B$7,$B315,AJ$8,"#")</f>
        <v>0</v>
      </c>
    </row>
    <row r="316" spans="1:36" ht="12" customHeight="1">
      <c r="A316" s="718" t="s">
        <v>2879</v>
      </c>
      <c r="B316" s="718" t="s">
        <v>1746</v>
      </c>
      <c r="C316" s="453" t="s">
        <v>1747</v>
      </c>
      <c r="D316" s="731" t="s">
        <v>2962</v>
      </c>
      <c r="E316" s="655">
        <v>44517</v>
      </c>
      <c r="F316" s="789" t="s">
        <v>2930</v>
      </c>
      <c r="G316" s="861">
        <v>7</v>
      </c>
      <c r="H316" s="861" t="s">
        <v>6610</v>
      </c>
      <c r="I316" s="733" t="s">
        <v>6610</v>
      </c>
      <c r="J316" s="733" t="s">
        <v>6610</v>
      </c>
      <c r="K316" s="733" t="s">
        <v>6610</v>
      </c>
      <c r="L316" s="733" t="s">
        <v>6610</v>
      </c>
      <c r="M316" s="733" t="s">
        <v>6610</v>
      </c>
      <c r="N316" s="733" t="s">
        <v>6610</v>
      </c>
      <c r="O316" s="835" t="s">
        <v>1747</v>
      </c>
      <c r="P316" s="735">
        <v>10</v>
      </c>
      <c r="Q316" s="758" t="s">
        <v>1748</v>
      </c>
      <c r="R316" s="735">
        <v>93</v>
      </c>
      <c r="S316" s="801" t="s">
        <v>1748</v>
      </c>
      <c r="T316" s="735">
        <v>93</v>
      </c>
      <c r="U316" s="758" t="s">
        <v>8228</v>
      </c>
      <c r="V316" s="735">
        <v>28</v>
      </c>
      <c r="W316" s="758" t="s">
        <v>8174</v>
      </c>
      <c r="X316" s="758" t="s">
        <v>8229</v>
      </c>
      <c r="Y316" s="738">
        <v>105</v>
      </c>
      <c r="Z316" s="759" t="s">
        <v>8229</v>
      </c>
      <c r="AA316" s="735">
        <v>105</v>
      </c>
      <c r="AB316" s="758" t="s">
        <v>8230</v>
      </c>
      <c r="AC316" s="735">
        <v>26</v>
      </c>
      <c r="AD316" s="738" t="s">
        <v>8177</v>
      </c>
      <c r="AE316" s="689" t="s">
        <v>8181</v>
      </c>
      <c r="AF316" s="872" t="s">
        <v>8182</v>
      </c>
      <c r="AH316" s="723" t="s">
        <v>5359</v>
      </c>
      <c r="AJ316" s="760">
        <f>_xll.GetCtData("COAMOUNT","CONSAMOUNT",$B$1:$B$7,$B316,AJ$8,"#")</f>
        <v>0</v>
      </c>
    </row>
    <row r="317" spans="1:36" ht="12" customHeight="1">
      <c r="A317" s="718" t="s">
        <v>2879</v>
      </c>
      <c r="B317" s="718" t="s">
        <v>1756</v>
      </c>
      <c r="C317" s="453" t="s">
        <v>1135</v>
      </c>
      <c r="D317" s="731" t="s">
        <v>2962</v>
      </c>
      <c r="E317" s="655">
        <v>44517</v>
      </c>
      <c r="F317" s="789" t="s">
        <v>2930</v>
      </c>
      <c r="G317" s="861">
        <v>7</v>
      </c>
      <c r="H317" s="861" t="s">
        <v>6610</v>
      </c>
      <c r="I317" s="733" t="s">
        <v>6610</v>
      </c>
      <c r="J317" s="733" t="s">
        <v>6610</v>
      </c>
      <c r="K317" s="733" t="s">
        <v>6610</v>
      </c>
      <c r="L317" s="733" t="s">
        <v>6610</v>
      </c>
      <c r="M317" s="733" t="s">
        <v>6610</v>
      </c>
      <c r="N317" s="733" t="s">
        <v>6610</v>
      </c>
      <c r="O317" s="835" t="s">
        <v>1135</v>
      </c>
      <c r="P317" s="735">
        <v>10</v>
      </c>
      <c r="Q317" s="758" t="s">
        <v>1136</v>
      </c>
      <c r="R317" s="735">
        <v>92</v>
      </c>
      <c r="S317" s="801" t="s">
        <v>1136</v>
      </c>
      <c r="T317" s="735">
        <v>92</v>
      </c>
      <c r="U317" s="758" t="s">
        <v>8231</v>
      </c>
      <c r="V317" s="735">
        <v>28</v>
      </c>
      <c r="W317" s="758" t="s">
        <v>8174</v>
      </c>
      <c r="X317" s="758" t="s">
        <v>8232</v>
      </c>
      <c r="Y317" s="738">
        <v>102</v>
      </c>
      <c r="Z317" s="759" t="s">
        <v>8232</v>
      </c>
      <c r="AA317" s="735">
        <v>102</v>
      </c>
      <c r="AB317" s="758" t="s">
        <v>8233</v>
      </c>
      <c r="AC317" s="735">
        <v>30</v>
      </c>
      <c r="AD317" s="738" t="s">
        <v>8177</v>
      </c>
      <c r="AE317" s="689" t="s">
        <v>8186</v>
      </c>
      <c r="AF317" s="872" t="s">
        <v>8182</v>
      </c>
      <c r="AH317" s="723" t="s">
        <v>5359</v>
      </c>
      <c r="AJ317" s="760">
        <f>_xll.GetCtData("COAMOUNT","CONSAMOUNT",$B$1:$B$7,$B317,AJ$8,"#")</f>
        <v>0</v>
      </c>
    </row>
    <row r="318" spans="1:36" ht="12" customHeight="1">
      <c r="A318" s="718" t="s">
        <v>2879</v>
      </c>
      <c r="B318" s="718" t="s">
        <v>1752</v>
      </c>
      <c r="C318" s="453" t="s">
        <v>1753</v>
      </c>
      <c r="D318" s="731" t="s">
        <v>2962</v>
      </c>
      <c r="E318" s="655">
        <v>44517</v>
      </c>
      <c r="F318" s="789" t="s">
        <v>2930</v>
      </c>
      <c r="G318" s="861">
        <v>7</v>
      </c>
      <c r="H318" s="861" t="s">
        <v>6610</v>
      </c>
      <c r="I318" s="733" t="s">
        <v>6610</v>
      </c>
      <c r="J318" s="733" t="s">
        <v>6610</v>
      </c>
      <c r="K318" s="733" t="s">
        <v>6610</v>
      </c>
      <c r="L318" s="733" t="s">
        <v>6610</v>
      </c>
      <c r="M318" s="733" t="s">
        <v>6610</v>
      </c>
      <c r="N318" s="733" t="s">
        <v>6610</v>
      </c>
      <c r="O318" s="757" t="s">
        <v>1753</v>
      </c>
      <c r="P318" s="735">
        <v>10</v>
      </c>
      <c r="Q318" s="759" t="s">
        <v>8234</v>
      </c>
      <c r="R318" s="735">
        <v>109</v>
      </c>
      <c r="S318" s="801" t="s">
        <v>1754</v>
      </c>
      <c r="T318" s="735">
        <v>109</v>
      </c>
      <c r="U318" s="758" t="s">
        <v>8235</v>
      </c>
      <c r="V318" s="735">
        <v>28</v>
      </c>
      <c r="W318" s="758" t="s">
        <v>8174</v>
      </c>
      <c r="X318" s="758" t="s">
        <v>8236</v>
      </c>
      <c r="Y318" s="738">
        <v>75</v>
      </c>
      <c r="Z318" s="759" t="s">
        <v>8236</v>
      </c>
      <c r="AA318" s="735">
        <v>75</v>
      </c>
      <c r="AB318" s="758" t="s">
        <v>8237</v>
      </c>
      <c r="AC318" s="735">
        <v>22</v>
      </c>
      <c r="AD318" s="738" t="s">
        <v>8177</v>
      </c>
      <c r="AE318" s="689" t="s">
        <v>8191</v>
      </c>
      <c r="AF318" s="872" t="s">
        <v>8182</v>
      </c>
      <c r="AH318" s="723" t="s">
        <v>5359</v>
      </c>
      <c r="AJ318" s="760">
        <f>_xll.GetCtData("COAMOUNT","CONSAMOUNT",$B$1:$B$7,$B318,AJ$8,"#")</f>
        <v>0</v>
      </c>
    </row>
    <row r="319" spans="1:36" ht="12" customHeight="1">
      <c r="A319" s="718" t="s">
        <v>2879</v>
      </c>
      <c r="B319" s="718" t="s">
        <v>1760</v>
      </c>
      <c r="C319" s="453" t="s">
        <v>1137</v>
      </c>
      <c r="D319" s="649" t="s">
        <v>2962</v>
      </c>
      <c r="E319" s="650">
        <v>44515</v>
      </c>
      <c r="F319" s="789" t="s">
        <v>2930</v>
      </c>
      <c r="G319" s="861">
        <v>7</v>
      </c>
      <c r="H319" s="861" t="s">
        <v>6610</v>
      </c>
      <c r="I319" s="733" t="s">
        <v>6610</v>
      </c>
      <c r="J319" s="733" t="s">
        <v>6610</v>
      </c>
      <c r="K319" s="733" t="s">
        <v>6610</v>
      </c>
      <c r="L319" s="733" t="s">
        <v>6610</v>
      </c>
      <c r="M319" s="733" t="s">
        <v>6610</v>
      </c>
      <c r="N319" s="733" t="s">
        <v>6610</v>
      </c>
      <c r="O319" s="757" t="s">
        <v>1137</v>
      </c>
      <c r="P319" s="735">
        <v>10</v>
      </c>
      <c r="Q319" s="759" t="s">
        <v>8238</v>
      </c>
      <c r="R319" s="735">
        <v>110</v>
      </c>
      <c r="S319" s="801" t="s">
        <v>1138</v>
      </c>
      <c r="T319" s="735">
        <v>110</v>
      </c>
      <c r="U319" s="758" t="s">
        <v>8239</v>
      </c>
      <c r="V319" s="735">
        <v>28</v>
      </c>
      <c r="W319" s="758" t="s">
        <v>8174</v>
      </c>
      <c r="X319" s="758" t="s">
        <v>8240</v>
      </c>
      <c r="Y319" s="738">
        <v>128</v>
      </c>
      <c r="Z319" s="758" t="s">
        <v>8240</v>
      </c>
      <c r="AA319" s="735">
        <v>128</v>
      </c>
      <c r="AB319" s="758" t="s">
        <v>8237</v>
      </c>
      <c r="AC319" s="735">
        <v>22</v>
      </c>
      <c r="AD319" s="738" t="s">
        <v>8177</v>
      </c>
      <c r="AE319" s="840" t="s">
        <v>8241</v>
      </c>
      <c r="AF319" s="530" t="s">
        <v>2969</v>
      </c>
      <c r="AH319" s="723" t="s">
        <v>5359</v>
      </c>
      <c r="AJ319" s="760">
        <f>_xll.GetCtData("COAMOUNT","CONSAMOUNT",$B$1:$B$7,$B319,AJ$8,"#")</f>
        <v>0</v>
      </c>
    </row>
    <row r="320" spans="1:36" ht="12" customHeight="1">
      <c r="A320" s="718" t="s">
        <v>2879</v>
      </c>
      <c r="B320" s="718" t="s">
        <v>2071</v>
      </c>
      <c r="C320" s="453" t="s">
        <v>8242</v>
      </c>
      <c r="D320" s="731" t="s">
        <v>2962</v>
      </c>
      <c r="E320" s="655">
        <v>44517</v>
      </c>
      <c r="F320" s="789" t="s">
        <v>2912</v>
      </c>
      <c r="G320" s="732">
        <v>5</v>
      </c>
      <c r="H320" s="732" t="s">
        <v>6610</v>
      </c>
      <c r="I320" s="733" t="s">
        <v>6610</v>
      </c>
      <c r="J320" s="733" t="s">
        <v>6610</v>
      </c>
      <c r="K320" s="733" t="s">
        <v>6610</v>
      </c>
      <c r="L320" s="733" t="s">
        <v>6610</v>
      </c>
      <c r="M320" s="769" t="s">
        <v>8243</v>
      </c>
      <c r="N320" s="769" t="s">
        <v>6610</v>
      </c>
      <c r="O320" s="832"/>
      <c r="P320" s="735">
        <v>0</v>
      </c>
      <c r="Q320" s="771" t="s">
        <v>2664</v>
      </c>
      <c r="R320" s="735">
        <v>66</v>
      </c>
      <c r="S320" s="772" t="s">
        <v>2664</v>
      </c>
      <c r="T320" s="735">
        <v>66</v>
      </c>
      <c r="U320" s="771" t="s">
        <v>8244</v>
      </c>
      <c r="V320" s="735">
        <v>27</v>
      </c>
      <c r="W320" s="771" t="s">
        <v>8174</v>
      </c>
      <c r="X320" s="771" t="s">
        <v>8245</v>
      </c>
      <c r="Y320" s="738">
        <v>76</v>
      </c>
      <c r="Z320" s="772" t="s">
        <v>8245</v>
      </c>
      <c r="AA320" s="735">
        <v>76</v>
      </c>
      <c r="AB320" s="771" t="s">
        <v>8246</v>
      </c>
      <c r="AC320" s="735">
        <v>28</v>
      </c>
      <c r="AD320" s="738" t="s">
        <v>8177</v>
      </c>
      <c r="AE320" s="689" t="s">
        <v>8155</v>
      </c>
      <c r="AF320" s="872" t="s">
        <v>8156</v>
      </c>
      <c r="AJ320" s="773">
        <f>_xll.GetCtData("COAMOUNT","CONSAMOUNT",$B$1:$B$7,$B320,AJ$8,"#")</f>
        <v>0</v>
      </c>
    </row>
    <row r="321" spans="1:36" ht="12" customHeight="1">
      <c r="A321" s="718" t="s">
        <v>2879</v>
      </c>
      <c r="B321" s="718" t="s">
        <v>1734</v>
      </c>
      <c r="C321" s="453" t="s">
        <v>1735</v>
      </c>
      <c r="D321" s="731" t="s">
        <v>2962</v>
      </c>
      <c r="E321" s="655">
        <v>44517</v>
      </c>
      <c r="F321" s="789" t="s">
        <v>2930</v>
      </c>
      <c r="G321" s="861">
        <v>7</v>
      </c>
      <c r="H321" s="861" t="s">
        <v>6610</v>
      </c>
      <c r="I321" s="733" t="s">
        <v>6610</v>
      </c>
      <c r="J321" s="733" t="s">
        <v>6610</v>
      </c>
      <c r="K321" s="733" t="s">
        <v>6610</v>
      </c>
      <c r="L321" s="733" t="s">
        <v>6610</v>
      </c>
      <c r="M321" s="733" t="s">
        <v>6610</v>
      </c>
      <c r="N321" s="733" t="s">
        <v>6610</v>
      </c>
      <c r="O321" s="835" t="s">
        <v>1735</v>
      </c>
      <c r="P321" s="735">
        <v>10</v>
      </c>
      <c r="Q321" s="758" t="s">
        <v>1736</v>
      </c>
      <c r="R321" s="735">
        <v>91</v>
      </c>
      <c r="S321" s="759" t="s">
        <v>1736</v>
      </c>
      <c r="T321" s="735">
        <v>91</v>
      </c>
      <c r="U321" s="758" t="s">
        <v>8247</v>
      </c>
      <c r="V321" s="735">
        <v>27</v>
      </c>
      <c r="W321" s="758" t="s">
        <v>8174</v>
      </c>
      <c r="X321" s="758" t="s">
        <v>8248</v>
      </c>
      <c r="Y321" s="738">
        <v>99</v>
      </c>
      <c r="Z321" s="759" t="s">
        <v>8248</v>
      </c>
      <c r="AA321" s="735">
        <v>99</v>
      </c>
      <c r="AB321" s="758" t="s">
        <v>8249</v>
      </c>
      <c r="AC321" s="735">
        <v>29</v>
      </c>
      <c r="AD321" s="738" t="s">
        <v>8177</v>
      </c>
      <c r="AE321" s="689" t="s">
        <v>8181</v>
      </c>
      <c r="AF321" s="872" t="s">
        <v>8182</v>
      </c>
      <c r="AH321" s="723" t="s">
        <v>5359</v>
      </c>
      <c r="AJ321" s="760">
        <f>_xll.GetCtData("COAMOUNT","CONSAMOUNT",$B$1:$B$7,$B321,AJ$8,"#")</f>
        <v>0</v>
      </c>
    </row>
    <row r="322" spans="1:36" ht="12" customHeight="1">
      <c r="A322" s="718" t="s">
        <v>2879</v>
      </c>
      <c r="B322" s="718" t="s">
        <v>1757</v>
      </c>
      <c r="C322" s="453" t="s">
        <v>1133</v>
      </c>
      <c r="D322" s="731" t="s">
        <v>2962</v>
      </c>
      <c r="E322" s="655">
        <v>44517</v>
      </c>
      <c r="F322" s="789" t="s">
        <v>2930</v>
      </c>
      <c r="G322" s="861">
        <v>7</v>
      </c>
      <c r="H322" s="861" t="s">
        <v>6610</v>
      </c>
      <c r="I322" s="733" t="s">
        <v>6610</v>
      </c>
      <c r="J322" s="733" t="s">
        <v>6610</v>
      </c>
      <c r="K322" s="733" t="s">
        <v>6610</v>
      </c>
      <c r="L322" s="733" t="s">
        <v>6610</v>
      </c>
      <c r="M322" s="733" t="s">
        <v>6610</v>
      </c>
      <c r="N322" s="733" t="s">
        <v>6610</v>
      </c>
      <c r="O322" s="835" t="s">
        <v>1133</v>
      </c>
      <c r="P322" s="735">
        <v>10</v>
      </c>
      <c r="Q322" s="758" t="s">
        <v>1134</v>
      </c>
      <c r="R322" s="735">
        <v>90</v>
      </c>
      <c r="S322" s="759" t="s">
        <v>1134</v>
      </c>
      <c r="T322" s="735">
        <v>90</v>
      </c>
      <c r="U322" s="758" t="s">
        <v>8250</v>
      </c>
      <c r="V322" s="735">
        <v>27</v>
      </c>
      <c r="W322" s="758" t="s">
        <v>8174</v>
      </c>
      <c r="X322" s="758" t="s">
        <v>8251</v>
      </c>
      <c r="Y322" s="738">
        <v>98</v>
      </c>
      <c r="Z322" s="759" t="s">
        <v>8251</v>
      </c>
      <c r="AA322" s="735">
        <v>98</v>
      </c>
      <c r="AB322" s="758" t="s">
        <v>8252</v>
      </c>
      <c r="AC322" s="735">
        <v>29</v>
      </c>
      <c r="AD322" s="738" t="s">
        <v>8177</v>
      </c>
      <c r="AE322" s="689" t="s">
        <v>8206</v>
      </c>
      <c r="AF322" s="872" t="s">
        <v>8182</v>
      </c>
      <c r="AH322" s="723" t="s">
        <v>5359</v>
      </c>
      <c r="AJ322" s="760">
        <f>_xll.GetCtData("COAMOUNT","CONSAMOUNT",$B$1:$B$7,$B322,AJ$8,"#")</f>
        <v>0</v>
      </c>
    </row>
    <row r="323" spans="1:36" ht="12" customHeight="1">
      <c r="A323" s="718" t="s">
        <v>2879</v>
      </c>
      <c r="B323" s="718" t="s">
        <v>2615</v>
      </c>
      <c r="C323" s="453" t="s">
        <v>8253</v>
      </c>
      <c r="D323" s="731" t="s">
        <v>2962</v>
      </c>
      <c r="E323" s="655">
        <v>44517</v>
      </c>
      <c r="F323" s="789" t="s">
        <v>2912</v>
      </c>
      <c r="G323" s="732">
        <v>5</v>
      </c>
      <c r="H323" s="732" t="s">
        <v>6610</v>
      </c>
      <c r="I323" s="733" t="s">
        <v>6610</v>
      </c>
      <c r="J323" s="733" t="s">
        <v>6610</v>
      </c>
      <c r="K323" s="733" t="s">
        <v>6610</v>
      </c>
      <c r="L323" s="733" t="s">
        <v>6610</v>
      </c>
      <c r="M323" s="769" t="s">
        <v>8254</v>
      </c>
      <c r="N323" s="769" t="s">
        <v>6610</v>
      </c>
      <c r="O323" s="832"/>
      <c r="P323" s="735">
        <v>0</v>
      </c>
      <c r="Q323" s="771" t="s">
        <v>8255</v>
      </c>
      <c r="R323" s="735">
        <v>75</v>
      </c>
      <c r="S323" s="772" t="s">
        <v>8255</v>
      </c>
      <c r="T323" s="735">
        <v>75</v>
      </c>
      <c r="U323" s="771" t="s">
        <v>8256</v>
      </c>
      <c r="V323" s="735">
        <v>27</v>
      </c>
      <c r="W323" s="771" t="s">
        <v>8174</v>
      </c>
      <c r="X323" s="771" t="s">
        <v>8257</v>
      </c>
      <c r="Y323" s="738">
        <v>64</v>
      </c>
      <c r="Z323" s="772" t="s">
        <v>8257</v>
      </c>
      <c r="AA323" s="735">
        <v>64</v>
      </c>
      <c r="AB323" s="771" t="s">
        <v>8258</v>
      </c>
      <c r="AC323" s="735">
        <v>28</v>
      </c>
      <c r="AD323" s="738" t="s">
        <v>8177</v>
      </c>
      <c r="AE323" s="689" t="s">
        <v>8155</v>
      </c>
      <c r="AF323" s="872" t="s">
        <v>8156</v>
      </c>
      <c r="AJ323" s="773">
        <f>_xll.GetCtData("COAMOUNT","CONSAMOUNT",$B$1:$B$7,$B323,AJ$8,"#")</f>
        <v>0</v>
      </c>
    </row>
    <row r="324" spans="1:36" ht="12" customHeight="1">
      <c r="A324" s="718" t="s">
        <v>2879</v>
      </c>
      <c r="B324" s="718" t="s">
        <v>1749</v>
      </c>
      <c r="C324" s="453" t="s">
        <v>1750</v>
      </c>
      <c r="D324" s="731" t="s">
        <v>2962</v>
      </c>
      <c r="E324" s="655">
        <v>44517</v>
      </c>
      <c r="F324" s="789" t="s">
        <v>2930</v>
      </c>
      <c r="G324" s="861">
        <v>7</v>
      </c>
      <c r="H324" s="861" t="s">
        <v>6610</v>
      </c>
      <c r="I324" s="733" t="s">
        <v>6610</v>
      </c>
      <c r="J324" s="733" t="s">
        <v>6610</v>
      </c>
      <c r="K324" s="733" t="s">
        <v>6610</v>
      </c>
      <c r="L324" s="733" t="s">
        <v>6610</v>
      </c>
      <c r="M324" s="733" t="s">
        <v>6610</v>
      </c>
      <c r="N324" s="733" t="s">
        <v>6610</v>
      </c>
      <c r="O324" s="841" t="s">
        <v>1750</v>
      </c>
      <c r="P324" s="735">
        <v>10</v>
      </c>
      <c r="Q324" s="758" t="s">
        <v>1751</v>
      </c>
      <c r="R324" s="735">
        <v>100</v>
      </c>
      <c r="S324" s="759" t="s">
        <v>1751</v>
      </c>
      <c r="T324" s="735">
        <v>100</v>
      </c>
      <c r="U324" s="758" t="s">
        <v>8259</v>
      </c>
      <c r="V324" s="735">
        <v>29</v>
      </c>
      <c r="W324" s="758" t="s">
        <v>8174</v>
      </c>
      <c r="X324" s="758" t="s">
        <v>6061</v>
      </c>
      <c r="Y324" s="738">
        <v>92</v>
      </c>
      <c r="Z324" s="759" t="s">
        <v>6061</v>
      </c>
      <c r="AA324" s="735">
        <v>92</v>
      </c>
      <c r="AB324" s="758" t="s">
        <v>8260</v>
      </c>
      <c r="AC324" s="735">
        <v>28</v>
      </c>
      <c r="AD324" s="738" t="s">
        <v>8177</v>
      </c>
      <c r="AE324" s="689" t="s">
        <v>8186</v>
      </c>
      <c r="AF324" s="872" t="s">
        <v>8182</v>
      </c>
      <c r="AH324" s="723" t="s">
        <v>5359</v>
      </c>
      <c r="AJ324" s="760">
        <f>_xll.GetCtData("COAMOUNT","CONSAMOUNT",$B$1:$B$7,$B324,AJ$8,"#")</f>
        <v>0</v>
      </c>
    </row>
    <row r="325" spans="1:36" ht="12" customHeight="1">
      <c r="A325" s="718" t="s">
        <v>2879</v>
      </c>
      <c r="B325" s="718" t="s">
        <v>8261</v>
      </c>
      <c r="C325" s="453" t="s">
        <v>8262</v>
      </c>
      <c r="D325" s="731" t="s">
        <v>2962</v>
      </c>
      <c r="E325" s="655">
        <v>44517</v>
      </c>
      <c r="F325" s="732" t="s">
        <v>2912</v>
      </c>
      <c r="G325" s="731">
        <v>3</v>
      </c>
      <c r="H325" s="731" t="s">
        <v>6610</v>
      </c>
      <c r="I325" s="790" t="s">
        <v>6610</v>
      </c>
      <c r="J325" s="790" t="s">
        <v>6610</v>
      </c>
      <c r="K325" s="752" t="s">
        <v>8263</v>
      </c>
      <c r="L325" s="752" t="s">
        <v>6610</v>
      </c>
      <c r="M325" s="752" t="s">
        <v>6610</v>
      </c>
      <c r="N325" s="752" t="s">
        <v>6610</v>
      </c>
      <c r="O325" s="847"/>
      <c r="P325" s="735">
        <v>0</v>
      </c>
      <c r="Q325" s="754" t="s">
        <v>8264</v>
      </c>
      <c r="R325" s="735">
        <v>78</v>
      </c>
      <c r="S325" s="755" t="s">
        <v>8264</v>
      </c>
      <c r="T325" s="735">
        <v>78</v>
      </c>
      <c r="U325" s="754" t="s">
        <v>8265</v>
      </c>
      <c r="V325" s="735">
        <v>29</v>
      </c>
      <c r="W325" s="754" t="s">
        <v>7820</v>
      </c>
      <c r="X325" s="754" t="s">
        <v>8266</v>
      </c>
      <c r="Y325" s="738">
        <v>58</v>
      </c>
      <c r="Z325" s="755" t="s">
        <v>8266</v>
      </c>
      <c r="AA325" s="735">
        <v>58</v>
      </c>
      <c r="AB325" s="754" t="s">
        <v>8267</v>
      </c>
      <c r="AC325" s="735">
        <v>17</v>
      </c>
      <c r="AD325" s="738" t="s">
        <v>7823</v>
      </c>
      <c r="AE325" s="689" t="s">
        <v>8155</v>
      </c>
      <c r="AF325" s="872" t="s">
        <v>8156</v>
      </c>
      <c r="AJ325" s="756">
        <f>_xll.GetCtData("COAMOUNT","CONSAMOUNT",$B$1:$B$7,$B325,AJ$8,"#0")</f>
        <v>0</v>
      </c>
    </row>
    <row r="326" spans="1:36" ht="12" customHeight="1">
      <c r="A326" s="718" t="s">
        <v>2879</v>
      </c>
      <c r="B326" s="718" t="s">
        <v>1161</v>
      </c>
      <c r="C326" s="453" t="s">
        <v>8268</v>
      </c>
      <c r="D326" s="731" t="s">
        <v>2962</v>
      </c>
      <c r="E326" s="655">
        <v>44517</v>
      </c>
      <c r="F326" s="789" t="s">
        <v>2912</v>
      </c>
      <c r="G326" s="731">
        <v>4</v>
      </c>
      <c r="H326" s="731" t="s">
        <v>6610</v>
      </c>
      <c r="I326" s="790" t="s">
        <v>6610</v>
      </c>
      <c r="J326" s="790" t="s">
        <v>6610</v>
      </c>
      <c r="K326" s="790" t="s">
        <v>6610</v>
      </c>
      <c r="L326" s="764" t="s">
        <v>8269</v>
      </c>
      <c r="M326" s="764" t="s">
        <v>6610</v>
      </c>
      <c r="N326" s="764" t="s">
        <v>6610</v>
      </c>
      <c r="O326" s="874"/>
      <c r="P326" s="735">
        <v>0</v>
      </c>
      <c r="Q326" s="766" t="s">
        <v>8264</v>
      </c>
      <c r="R326" s="735">
        <v>78</v>
      </c>
      <c r="S326" s="767" t="s">
        <v>8264</v>
      </c>
      <c r="T326" s="735">
        <v>78</v>
      </c>
      <c r="U326" s="766" t="s">
        <v>8265</v>
      </c>
      <c r="V326" s="735">
        <v>29</v>
      </c>
      <c r="W326" s="766" t="s">
        <v>7820</v>
      </c>
      <c r="X326" s="766" t="s">
        <v>8266</v>
      </c>
      <c r="Y326" s="738">
        <v>58</v>
      </c>
      <c r="Z326" s="767" t="s">
        <v>8266</v>
      </c>
      <c r="AA326" s="735">
        <v>58</v>
      </c>
      <c r="AB326" s="766" t="s">
        <v>8267</v>
      </c>
      <c r="AC326" s="735">
        <v>17</v>
      </c>
      <c r="AD326" s="738" t="s">
        <v>7823</v>
      </c>
      <c r="AE326" s="689" t="s">
        <v>8155</v>
      </c>
      <c r="AF326" s="872" t="s">
        <v>8156</v>
      </c>
      <c r="AJ326" s="768">
        <f>_xll.GetCtData("COAMOUNT","CONSAMOUNT",$B$1:$B$7,$B326,AJ$8,"#0")</f>
        <v>0</v>
      </c>
    </row>
    <row r="327" spans="1:36" ht="12" customHeight="1">
      <c r="A327" s="718" t="s">
        <v>2879</v>
      </c>
      <c r="B327" s="718" t="s">
        <v>2066</v>
      </c>
      <c r="C327" s="453" t="s">
        <v>8270</v>
      </c>
      <c r="D327" s="731" t="s">
        <v>2962</v>
      </c>
      <c r="E327" s="655">
        <v>44517</v>
      </c>
      <c r="F327" s="732" t="s">
        <v>2912</v>
      </c>
      <c r="G327" s="732">
        <v>5</v>
      </c>
      <c r="H327" s="732" t="s">
        <v>6610</v>
      </c>
      <c r="I327" s="733" t="s">
        <v>6610</v>
      </c>
      <c r="J327" s="733" t="s">
        <v>6610</v>
      </c>
      <c r="K327" s="733" t="s">
        <v>6610</v>
      </c>
      <c r="L327" s="733" t="s">
        <v>6610</v>
      </c>
      <c r="M327" s="769" t="s">
        <v>8271</v>
      </c>
      <c r="N327" s="769" t="s">
        <v>6610</v>
      </c>
      <c r="O327" s="832"/>
      <c r="P327" s="735">
        <v>0</v>
      </c>
      <c r="Q327" s="771" t="s">
        <v>2665</v>
      </c>
      <c r="R327" s="735">
        <v>68</v>
      </c>
      <c r="S327" s="772" t="s">
        <v>2665</v>
      </c>
      <c r="T327" s="735">
        <v>68</v>
      </c>
      <c r="U327" s="771" t="s">
        <v>8272</v>
      </c>
      <c r="V327" s="735">
        <v>27</v>
      </c>
      <c r="W327" s="771" t="s">
        <v>7820</v>
      </c>
      <c r="X327" s="771" t="s">
        <v>8273</v>
      </c>
      <c r="Y327" s="738">
        <v>82</v>
      </c>
      <c r="Z327" s="772" t="s">
        <v>8273</v>
      </c>
      <c r="AA327" s="735">
        <v>82</v>
      </c>
      <c r="AB327" s="771" t="s">
        <v>8274</v>
      </c>
      <c r="AC327" s="735">
        <v>30</v>
      </c>
      <c r="AD327" s="738" t="s">
        <v>7823</v>
      </c>
      <c r="AE327" s="689" t="s">
        <v>8155</v>
      </c>
      <c r="AF327" s="872" t="s">
        <v>8156</v>
      </c>
      <c r="AJ327" s="773">
        <f>_xll.GetCtData("COAMOUNT","CONSAMOUNT",$B$1:$B$7,$B327,AJ$8,"#0")</f>
        <v>0</v>
      </c>
    </row>
    <row r="328" spans="1:36" ht="12" customHeight="1">
      <c r="A328" s="718" t="s">
        <v>2879</v>
      </c>
      <c r="B328" s="718" t="s">
        <v>2840</v>
      </c>
      <c r="C328" s="453" t="s">
        <v>2841</v>
      </c>
      <c r="D328" s="731" t="s">
        <v>2962</v>
      </c>
      <c r="E328" s="655">
        <v>44517</v>
      </c>
      <c r="F328" s="789" t="s">
        <v>2930</v>
      </c>
      <c r="G328" s="861">
        <v>7</v>
      </c>
      <c r="H328" s="861" t="s">
        <v>6610</v>
      </c>
      <c r="I328" s="733" t="s">
        <v>6610</v>
      </c>
      <c r="J328" s="733" t="s">
        <v>6610</v>
      </c>
      <c r="K328" s="733" t="s">
        <v>6610</v>
      </c>
      <c r="L328" s="733" t="s">
        <v>6610</v>
      </c>
      <c r="M328" s="733" t="s">
        <v>6610</v>
      </c>
      <c r="N328" s="733" t="s">
        <v>6610</v>
      </c>
      <c r="O328" s="835" t="s">
        <v>2841</v>
      </c>
      <c r="P328" s="735">
        <v>10</v>
      </c>
      <c r="Q328" s="758" t="s">
        <v>2842</v>
      </c>
      <c r="R328" s="735">
        <v>93</v>
      </c>
      <c r="S328" s="801" t="s">
        <v>2842</v>
      </c>
      <c r="T328" s="735">
        <v>93</v>
      </c>
      <c r="U328" s="758" t="s">
        <v>8275</v>
      </c>
      <c r="V328" s="735">
        <v>28</v>
      </c>
      <c r="W328" s="758" t="s">
        <v>8276</v>
      </c>
      <c r="X328" s="758" t="s">
        <v>8277</v>
      </c>
      <c r="Y328" s="738">
        <v>105</v>
      </c>
      <c r="Z328" s="759" t="s">
        <v>8277</v>
      </c>
      <c r="AA328" s="735">
        <v>105</v>
      </c>
      <c r="AB328" s="758" t="s">
        <v>8278</v>
      </c>
      <c r="AC328" s="735">
        <v>26</v>
      </c>
      <c r="AD328" s="738" t="s">
        <v>8279</v>
      </c>
      <c r="AE328" s="689" t="s">
        <v>8280</v>
      </c>
      <c r="AF328" s="872" t="s">
        <v>8182</v>
      </c>
      <c r="AH328" s="723" t="s">
        <v>5359</v>
      </c>
      <c r="AJ328" s="760">
        <f>_xll.GetCtData("COAMOUNT","CONSAMOUNT",$B$1:$B$7,$B328,AJ$8,"#")</f>
        <v>0</v>
      </c>
    </row>
    <row r="329" spans="1:36" ht="12" customHeight="1">
      <c r="A329" s="718" t="s">
        <v>2879</v>
      </c>
      <c r="B329" s="718" t="s">
        <v>2846</v>
      </c>
      <c r="C329" s="453" t="s">
        <v>2847</v>
      </c>
      <c r="D329" s="731" t="s">
        <v>2962</v>
      </c>
      <c r="E329" s="655">
        <v>44517</v>
      </c>
      <c r="F329" s="789" t="s">
        <v>2930</v>
      </c>
      <c r="G329" s="861">
        <v>7</v>
      </c>
      <c r="H329" s="861" t="s">
        <v>6610</v>
      </c>
      <c r="I329" s="733" t="s">
        <v>6610</v>
      </c>
      <c r="J329" s="733" t="s">
        <v>6610</v>
      </c>
      <c r="K329" s="733" t="s">
        <v>6610</v>
      </c>
      <c r="L329" s="733" t="s">
        <v>6610</v>
      </c>
      <c r="M329" s="733" t="s">
        <v>6610</v>
      </c>
      <c r="N329" s="733" t="s">
        <v>6610</v>
      </c>
      <c r="O329" s="835" t="s">
        <v>2847</v>
      </c>
      <c r="P329" s="735">
        <v>10</v>
      </c>
      <c r="Q329" s="758" t="s">
        <v>2848</v>
      </c>
      <c r="R329" s="735">
        <v>92</v>
      </c>
      <c r="S329" s="801" t="s">
        <v>2848</v>
      </c>
      <c r="T329" s="735">
        <v>92</v>
      </c>
      <c r="U329" s="758" t="s">
        <v>8281</v>
      </c>
      <c r="V329" s="735">
        <v>28</v>
      </c>
      <c r="W329" s="758" t="s">
        <v>8276</v>
      </c>
      <c r="X329" s="758" t="s">
        <v>8282</v>
      </c>
      <c r="Y329" s="738">
        <v>119</v>
      </c>
      <c r="Z329" s="759" t="s">
        <v>8282</v>
      </c>
      <c r="AA329" s="735">
        <v>119</v>
      </c>
      <c r="AB329" s="758" t="s">
        <v>8283</v>
      </c>
      <c r="AC329" s="735">
        <v>30</v>
      </c>
      <c r="AD329" s="738" t="s">
        <v>8279</v>
      </c>
      <c r="AE329" s="689" t="s">
        <v>8284</v>
      </c>
      <c r="AF329" s="872" t="s">
        <v>8182</v>
      </c>
      <c r="AH329" s="723" t="s">
        <v>5359</v>
      </c>
      <c r="AJ329" s="760">
        <f>_xll.GetCtData("COAMOUNT","CONSAMOUNT",$B$1:$B$7,$B329,AJ$8,"#")</f>
        <v>0</v>
      </c>
    </row>
    <row r="330" spans="1:36" ht="12" customHeight="1">
      <c r="A330" s="718" t="s">
        <v>2879</v>
      </c>
      <c r="B330" s="718" t="s">
        <v>2843</v>
      </c>
      <c r="C330" s="453" t="s">
        <v>2844</v>
      </c>
      <c r="D330" s="731" t="s">
        <v>2962</v>
      </c>
      <c r="E330" s="655">
        <v>44517</v>
      </c>
      <c r="F330" s="836" t="s">
        <v>2930</v>
      </c>
      <c r="G330" s="837">
        <v>7</v>
      </c>
      <c r="H330" s="837" t="s">
        <v>6610</v>
      </c>
      <c r="I330" s="834" t="s">
        <v>6610</v>
      </c>
      <c r="J330" s="834" t="s">
        <v>6610</v>
      </c>
      <c r="K330" s="834" t="s">
        <v>6610</v>
      </c>
      <c r="L330" s="834" t="s">
        <v>6610</v>
      </c>
      <c r="M330" s="834" t="s">
        <v>6610</v>
      </c>
      <c r="N330" s="834" t="s">
        <v>6610</v>
      </c>
      <c r="O330" s="839" t="s">
        <v>2844</v>
      </c>
      <c r="P330" s="735">
        <v>10</v>
      </c>
      <c r="Q330" s="759" t="s">
        <v>8285</v>
      </c>
      <c r="R330" s="735">
        <v>110</v>
      </c>
      <c r="S330" s="801" t="s">
        <v>2845</v>
      </c>
      <c r="T330" s="735">
        <v>110</v>
      </c>
      <c r="U330" s="758" t="s">
        <v>8286</v>
      </c>
      <c r="V330" s="735">
        <v>29</v>
      </c>
      <c r="W330" s="758" t="s">
        <v>8276</v>
      </c>
      <c r="X330" s="758" t="s">
        <v>8287</v>
      </c>
      <c r="Y330" s="738">
        <v>74</v>
      </c>
      <c r="Z330" s="759" t="s">
        <v>8287</v>
      </c>
      <c r="AA330" s="735">
        <v>74</v>
      </c>
      <c r="AB330" s="758" t="s">
        <v>8288</v>
      </c>
      <c r="AC330" s="735">
        <v>23</v>
      </c>
      <c r="AD330" s="738" t="s">
        <v>8279</v>
      </c>
      <c r="AE330" s="689" t="s">
        <v>8191</v>
      </c>
      <c r="AF330" s="872" t="s">
        <v>8182</v>
      </c>
      <c r="AH330" s="723" t="s">
        <v>5359</v>
      </c>
      <c r="AJ330" s="760">
        <f>_xll.GetCtData("COAMOUNT","CONSAMOUNT",$B$1:$B$7,$B330,AJ$8,"#0")</f>
        <v>0</v>
      </c>
    </row>
    <row r="331" spans="1:36" ht="12" customHeight="1">
      <c r="A331" s="718" t="s">
        <v>2879</v>
      </c>
      <c r="B331" s="718" t="s">
        <v>2849</v>
      </c>
      <c r="C331" s="453" t="s">
        <v>2850</v>
      </c>
      <c r="D331" s="649" t="s">
        <v>2962</v>
      </c>
      <c r="E331" s="650">
        <v>44515</v>
      </c>
      <c r="F331" s="836" t="s">
        <v>2930</v>
      </c>
      <c r="G331" s="837">
        <v>7</v>
      </c>
      <c r="H331" s="837" t="s">
        <v>6610</v>
      </c>
      <c r="I331" s="834" t="s">
        <v>6610</v>
      </c>
      <c r="J331" s="834" t="s">
        <v>6610</v>
      </c>
      <c r="K331" s="834" t="s">
        <v>6610</v>
      </c>
      <c r="L331" s="834" t="s">
        <v>6610</v>
      </c>
      <c r="M331" s="834" t="s">
        <v>6610</v>
      </c>
      <c r="N331" s="834" t="s">
        <v>6610</v>
      </c>
      <c r="O331" s="839" t="s">
        <v>2850</v>
      </c>
      <c r="P331" s="735">
        <v>10</v>
      </c>
      <c r="Q331" s="759" t="s">
        <v>8289</v>
      </c>
      <c r="R331" s="735">
        <v>109</v>
      </c>
      <c r="S331" s="801" t="s">
        <v>2851</v>
      </c>
      <c r="T331" s="735">
        <v>109</v>
      </c>
      <c r="U331" s="758" t="s">
        <v>8290</v>
      </c>
      <c r="V331" s="735">
        <v>28</v>
      </c>
      <c r="W331" s="758" t="s">
        <v>8276</v>
      </c>
      <c r="X331" s="758" t="s">
        <v>8291</v>
      </c>
      <c r="Y331" s="738">
        <v>129</v>
      </c>
      <c r="Z331" s="758" t="s">
        <v>8291</v>
      </c>
      <c r="AA331" s="735">
        <v>129</v>
      </c>
      <c r="AB331" s="758" t="s">
        <v>8288</v>
      </c>
      <c r="AC331" s="735">
        <v>23</v>
      </c>
      <c r="AD331" s="738" t="s">
        <v>8279</v>
      </c>
      <c r="AE331" s="840" t="s">
        <v>8241</v>
      </c>
      <c r="AF331" s="530" t="s">
        <v>2969</v>
      </c>
      <c r="AH331" s="723" t="s">
        <v>5359</v>
      </c>
      <c r="AJ331" s="760">
        <f>_xll.GetCtData("COAMOUNT","CONSAMOUNT",$B$1:$B$7,$B331,AJ$8,"#")</f>
        <v>0</v>
      </c>
    </row>
    <row r="332" spans="1:36" ht="12" customHeight="1">
      <c r="A332" s="718" t="s">
        <v>2879</v>
      </c>
      <c r="B332" s="718" t="s">
        <v>2072</v>
      </c>
      <c r="C332" s="453" t="s">
        <v>8292</v>
      </c>
      <c r="D332" s="731" t="s">
        <v>2962</v>
      </c>
      <c r="E332" s="655">
        <v>44517</v>
      </c>
      <c r="F332" s="732" t="s">
        <v>2912</v>
      </c>
      <c r="G332" s="732">
        <v>5</v>
      </c>
      <c r="H332" s="732" t="s">
        <v>6610</v>
      </c>
      <c r="I332" s="733" t="s">
        <v>6610</v>
      </c>
      <c r="J332" s="733" t="s">
        <v>6610</v>
      </c>
      <c r="K332" s="733" t="s">
        <v>6610</v>
      </c>
      <c r="L332" s="733" t="s">
        <v>6610</v>
      </c>
      <c r="M332" s="769" t="s">
        <v>8293</v>
      </c>
      <c r="N332" s="769" t="s">
        <v>6610</v>
      </c>
      <c r="O332" s="832"/>
      <c r="P332" s="735">
        <v>0</v>
      </c>
      <c r="Q332" s="771" t="s">
        <v>2666</v>
      </c>
      <c r="R332" s="735">
        <v>66</v>
      </c>
      <c r="S332" s="772" t="s">
        <v>2666</v>
      </c>
      <c r="T332" s="735">
        <v>66</v>
      </c>
      <c r="U332" s="771" t="s">
        <v>8294</v>
      </c>
      <c r="V332" s="735">
        <v>26</v>
      </c>
      <c r="W332" s="771" t="s">
        <v>7820</v>
      </c>
      <c r="X332" s="771" t="s">
        <v>8295</v>
      </c>
      <c r="Y332" s="738">
        <v>76</v>
      </c>
      <c r="Z332" s="772" t="s">
        <v>8295</v>
      </c>
      <c r="AA332" s="735">
        <v>76</v>
      </c>
      <c r="AB332" s="771" t="s">
        <v>8296</v>
      </c>
      <c r="AC332" s="735">
        <v>28</v>
      </c>
      <c r="AD332" s="738" t="s">
        <v>7823</v>
      </c>
      <c r="AE332" s="689" t="s">
        <v>8155</v>
      </c>
      <c r="AF332" s="872" t="s">
        <v>8156</v>
      </c>
      <c r="AJ332" s="773">
        <f>_xll.GetCtData("COAMOUNT","CONSAMOUNT",$B$1:$B$7,$B332,AJ$8,"#")</f>
        <v>0</v>
      </c>
    </row>
    <row r="333" spans="1:36" ht="12" customHeight="1">
      <c r="A333" s="718" t="s">
        <v>2879</v>
      </c>
      <c r="B333" s="718" t="s">
        <v>2852</v>
      </c>
      <c r="C333" s="453" t="s">
        <v>2853</v>
      </c>
      <c r="D333" s="731" t="s">
        <v>2962</v>
      </c>
      <c r="E333" s="655">
        <v>44517</v>
      </c>
      <c r="F333" s="789" t="s">
        <v>2930</v>
      </c>
      <c r="G333" s="861">
        <v>7</v>
      </c>
      <c r="H333" s="861" t="s">
        <v>6610</v>
      </c>
      <c r="I333" s="733" t="s">
        <v>6610</v>
      </c>
      <c r="J333" s="733" t="s">
        <v>6610</v>
      </c>
      <c r="K333" s="733" t="s">
        <v>6610</v>
      </c>
      <c r="L333" s="733" t="s">
        <v>6610</v>
      </c>
      <c r="M333" s="733" t="s">
        <v>6610</v>
      </c>
      <c r="N333" s="733" t="s">
        <v>6610</v>
      </c>
      <c r="O333" s="835" t="s">
        <v>2853</v>
      </c>
      <c r="P333" s="735">
        <v>10</v>
      </c>
      <c r="Q333" s="758" t="s">
        <v>2854</v>
      </c>
      <c r="R333" s="735">
        <v>90</v>
      </c>
      <c r="S333" s="759" t="s">
        <v>2854</v>
      </c>
      <c r="T333" s="735">
        <v>90</v>
      </c>
      <c r="U333" s="758" t="s">
        <v>8297</v>
      </c>
      <c r="V333" s="735">
        <v>27</v>
      </c>
      <c r="W333" s="758" t="s">
        <v>8276</v>
      </c>
      <c r="X333" s="758" t="s">
        <v>8298</v>
      </c>
      <c r="Y333" s="738">
        <v>95</v>
      </c>
      <c r="Z333" s="759" t="s">
        <v>8298</v>
      </c>
      <c r="AA333" s="735">
        <v>95</v>
      </c>
      <c r="AB333" s="758" t="s">
        <v>8299</v>
      </c>
      <c r="AC333" s="735">
        <v>30</v>
      </c>
      <c r="AD333" s="738" t="s">
        <v>8279</v>
      </c>
      <c r="AE333" s="689" t="s">
        <v>8206</v>
      </c>
      <c r="AF333" s="872" t="s">
        <v>8182</v>
      </c>
      <c r="AH333" s="723" t="s">
        <v>5359</v>
      </c>
      <c r="AJ333" s="760">
        <f>_xll.GetCtData("COAMOUNT","CONSAMOUNT",$B$1:$B$7,$B333,AJ$8,"#")</f>
        <v>0</v>
      </c>
    </row>
    <row r="334" spans="1:36" ht="12" customHeight="1">
      <c r="A334" s="718" t="s">
        <v>2879</v>
      </c>
      <c r="B334" s="718" t="s">
        <v>8300</v>
      </c>
      <c r="C334" s="453" t="s">
        <v>8301</v>
      </c>
      <c r="D334" s="731" t="s">
        <v>2962</v>
      </c>
      <c r="E334" s="655">
        <v>44517</v>
      </c>
      <c r="F334" s="732" t="s">
        <v>2912</v>
      </c>
      <c r="G334" s="732">
        <v>2</v>
      </c>
      <c r="H334" s="732" t="s">
        <v>6610</v>
      </c>
      <c r="I334" s="733" t="s">
        <v>6610</v>
      </c>
      <c r="J334" s="747" t="s">
        <v>8302</v>
      </c>
      <c r="K334" s="747" t="s">
        <v>6610</v>
      </c>
      <c r="L334" s="747" t="s">
        <v>6610</v>
      </c>
      <c r="M334" s="747" t="s">
        <v>6610</v>
      </c>
      <c r="N334" s="747" t="s">
        <v>6610</v>
      </c>
      <c r="O334" s="748"/>
      <c r="P334" s="735">
        <v>0</v>
      </c>
      <c r="Q334" s="749" t="s">
        <v>2881</v>
      </c>
      <c r="R334" s="735">
        <v>39</v>
      </c>
      <c r="S334" s="750" t="s">
        <v>2881</v>
      </c>
      <c r="T334" s="735">
        <v>39</v>
      </c>
      <c r="U334" s="749" t="s">
        <v>8303</v>
      </c>
      <c r="V334" s="735">
        <v>30</v>
      </c>
      <c r="W334" s="749" t="s">
        <v>7820</v>
      </c>
      <c r="X334" s="749" t="s">
        <v>8304</v>
      </c>
      <c r="Y334" s="738">
        <v>20</v>
      </c>
      <c r="Z334" s="750" t="s">
        <v>8304</v>
      </c>
      <c r="AA334" s="735">
        <v>20</v>
      </c>
      <c r="AB334" s="749" t="s">
        <v>8304</v>
      </c>
      <c r="AC334" s="735">
        <v>20</v>
      </c>
      <c r="AD334" s="738" t="s">
        <v>7823</v>
      </c>
      <c r="AE334" s="689" t="s">
        <v>8155</v>
      </c>
      <c r="AF334" s="872" t="s">
        <v>8156</v>
      </c>
      <c r="AJ334" s="751">
        <f>_xll.GetCtData("COAMOUNT","CONSAMOUNT",$B$1:$B$7,$B334,AJ$8,"#")</f>
        <v>0</v>
      </c>
    </row>
    <row r="335" spans="1:36" ht="12" customHeight="1">
      <c r="A335" s="718" t="s">
        <v>2879</v>
      </c>
      <c r="B335" s="718" t="s">
        <v>8305</v>
      </c>
      <c r="C335" s="453" t="s">
        <v>8306</v>
      </c>
      <c r="D335" s="731" t="s">
        <v>2962</v>
      </c>
      <c r="E335" s="655">
        <v>44517</v>
      </c>
      <c r="F335" s="789" t="s">
        <v>2930</v>
      </c>
      <c r="G335" s="732">
        <v>7</v>
      </c>
      <c r="H335" s="732" t="s">
        <v>6610</v>
      </c>
      <c r="I335" s="733" t="s">
        <v>6610</v>
      </c>
      <c r="J335" s="733" t="s">
        <v>6610</v>
      </c>
      <c r="K335" s="733" t="s">
        <v>6610</v>
      </c>
      <c r="L335" s="733" t="s">
        <v>6610</v>
      </c>
      <c r="M335" s="733" t="s">
        <v>6610</v>
      </c>
      <c r="N335" s="733" t="s">
        <v>6610</v>
      </c>
      <c r="O335" s="757" t="s">
        <v>8306</v>
      </c>
      <c r="P335" s="735">
        <v>9</v>
      </c>
      <c r="Q335" s="758" t="s">
        <v>8307</v>
      </c>
      <c r="R335" s="735">
        <v>39</v>
      </c>
      <c r="S335" s="759" t="s">
        <v>8307</v>
      </c>
      <c r="T335" s="735">
        <v>39</v>
      </c>
      <c r="U335" s="758" t="s">
        <v>8308</v>
      </c>
      <c r="V335" s="735">
        <v>30</v>
      </c>
      <c r="W335" s="758" t="s">
        <v>7820</v>
      </c>
      <c r="X335" s="758" t="s">
        <v>8304</v>
      </c>
      <c r="Y335" s="738">
        <v>20</v>
      </c>
      <c r="Z335" s="759" t="s">
        <v>8304</v>
      </c>
      <c r="AA335" s="735">
        <v>20</v>
      </c>
      <c r="AB335" s="758" t="s">
        <v>8304</v>
      </c>
      <c r="AC335" s="735">
        <v>20</v>
      </c>
      <c r="AD335" s="738" t="s">
        <v>7823</v>
      </c>
      <c r="AE335" s="689" t="s">
        <v>8155</v>
      </c>
      <c r="AF335" s="872" t="s">
        <v>8182</v>
      </c>
      <c r="AJ335" s="760">
        <f>_xll.GetCtData("COAMOUNT","CONSAMOUNT",$B$1:$B$7,$B335,AJ$8,"#")</f>
        <v>0</v>
      </c>
    </row>
    <row r="336" spans="1:36" ht="12" customHeight="1">
      <c r="A336" s="718" t="s">
        <v>2879</v>
      </c>
      <c r="B336" s="718" t="s">
        <v>8309</v>
      </c>
      <c r="C336" s="453" t="s">
        <v>8310</v>
      </c>
      <c r="D336" s="731" t="s">
        <v>6609</v>
      </c>
      <c r="E336" s="655">
        <v>44035</v>
      </c>
      <c r="F336" s="877" t="s">
        <v>2912</v>
      </c>
      <c r="G336" s="877">
        <v>1</v>
      </c>
      <c r="H336" s="877" t="s">
        <v>6610</v>
      </c>
      <c r="I336" s="878" t="s">
        <v>8310</v>
      </c>
      <c r="J336" s="878" t="s">
        <v>6610</v>
      </c>
      <c r="K336" s="878" t="s">
        <v>6610</v>
      </c>
      <c r="L336" s="878" t="s">
        <v>6610</v>
      </c>
      <c r="M336" s="878" t="s">
        <v>6610</v>
      </c>
      <c r="N336" s="878" t="s">
        <v>6610</v>
      </c>
      <c r="O336" s="743"/>
      <c r="P336" s="735">
        <v>0</v>
      </c>
      <c r="Q336" s="744" t="s">
        <v>2570</v>
      </c>
      <c r="R336" s="735">
        <v>34</v>
      </c>
      <c r="S336" s="745" t="s">
        <v>2570</v>
      </c>
      <c r="T336" s="735">
        <v>34</v>
      </c>
      <c r="U336" s="744" t="s">
        <v>8311</v>
      </c>
      <c r="V336" s="735">
        <v>28</v>
      </c>
      <c r="W336" s="744" t="s">
        <v>8312</v>
      </c>
      <c r="X336" s="744" t="s">
        <v>8313</v>
      </c>
      <c r="Y336" s="738">
        <v>38</v>
      </c>
      <c r="Z336" s="745" t="s">
        <v>8313</v>
      </c>
      <c r="AA336" s="735">
        <v>38</v>
      </c>
      <c r="AB336" s="744" t="s">
        <v>8314</v>
      </c>
      <c r="AC336" s="735">
        <v>25</v>
      </c>
      <c r="AD336" s="738" t="s">
        <v>8315</v>
      </c>
      <c r="AE336" s="689"/>
      <c r="AF336" s="494" t="s">
        <v>2917</v>
      </c>
      <c r="AJ336" s="746">
        <f>_xll.GetCtData("COAMOUNT","CONSAMOUNT",$B$1:$B$7,$B336,AJ$8,"#252465,41387708")</f>
        <v>252465</v>
      </c>
    </row>
    <row r="337" spans="1:36" ht="12" customHeight="1">
      <c r="A337" s="718" t="s">
        <v>2879</v>
      </c>
      <c r="B337" s="718" t="s">
        <v>8316</v>
      </c>
      <c r="C337" s="453" t="s">
        <v>8317</v>
      </c>
      <c r="D337" s="731" t="s">
        <v>6609</v>
      </c>
      <c r="E337" s="655">
        <v>44035</v>
      </c>
      <c r="F337" s="877" t="s">
        <v>2912</v>
      </c>
      <c r="G337" s="877">
        <v>2</v>
      </c>
      <c r="H337" s="877" t="s">
        <v>6610</v>
      </c>
      <c r="I337" s="879" t="s">
        <v>6610</v>
      </c>
      <c r="J337" s="880" t="s">
        <v>8317</v>
      </c>
      <c r="K337" s="880" t="s">
        <v>6610</v>
      </c>
      <c r="L337" s="880" t="s">
        <v>6610</v>
      </c>
      <c r="M337" s="880" t="s">
        <v>6610</v>
      </c>
      <c r="N337" s="880" t="s">
        <v>6610</v>
      </c>
      <c r="O337" s="748"/>
      <c r="P337" s="735">
        <v>0</v>
      </c>
      <c r="Q337" s="749" t="s">
        <v>2570</v>
      </c>
      <c r="R337" s="735">
        <v>34</v>
      </c>
      <c r="S337" s="750" t="s">
        <v>2570</v>
      </c>
      <c r="T337" s="735">
        <v>34</v>
      </c>
      <c r="U337" s="749" t="s">
        <v>8311</v>
      </c>
      <c r="V337" s="735">
        <v>28</v>
      </c>
      <c r="W337" s="749" t="s">
        <v>8312</v>
      </c>
      <c r="X337" s="749" t="s">
        <v>8313</v>
      </c>
      <c r="Y337" s="738">
        <v>38</v>
      </c>
      <c r="Z337" s="750" t="s">
        <v>8313</v>
      </c>
      <c r="AA337" s="735">
        <v>38</v>
      </c>
      <c r="AB337" s="749" t="s">
        <v>8314</v>
      </c>
      <c r="AC337" s="735">
        <v>25</v>
      </c>
      <c r="AD337" s="738" t="s">
        <v>8315</v>
      </c>
      <c r="AE337" s="689"/>
      <c r="AF337" s="494" t="s">
        <v>2917</v>
      </c>
      <c r="AJ337" s="751">
        <f>_xll.GetCtData("COAMOUNT","CONSAMOUNT",$B$1:$B$7,$B337,AJ$8,"#252465,41387708")</f>
        <v>252465</v>
      </c>
    </row>
    <row r="338" spans="1:36" ht="12" customHeight="1">
      <c r="A338" s="718" t="s">
        <v>2879</v>
      </c>
      <c r="B338" s="718" t="s">
        <v>8318</v>
      </c>
      <c r="C338" s="453" t="s">
        <v>8319</v>
      </c>
      <c r="D338" s="731" t="s">
        <v>6609</v>
      </c>
      <c r="E338" s="655">
        <v>44035</v>
      </c>
      <c r="F338" s="877" t="s">
        <v>2930</v>
      </c>
      <c r="G338" s="877">
        <v>7</v>
      </c>
      <c r="H338" s="877" t="s">
        <v>6610</v>
      </c>
      <c r="I338" s="879" t="s">
        <v>6610</v>
      </c>
      <c r="J338" s="879" t="s">
        <v>6610</v>
      </c>
      <c r="K338" s="879" t="s">
        <v>6610</v>
      </c>
      <c r="L338" s="879" t="s">
        <v>6610</v>
      </c>
      <c r="M338" s="879" t="s">
        <v>6610</v>
      </c>
      <c r="N338" s="879" t="s">
        <v>6610</v>
      </c>
      <c r="O338" s="757" t="s">
        <v>8319</v>
      </c>
      <c r="P338" s="735">
        <v>9</v>
      </c>
      <c r="Q338" s="784" t="s">
        <v>8320</v>
      </c>
      <c r="R338" s="735">
        <v>30</v>
      </c>
      <c r="S338" s="881" t="s">
        <v>8320</v>
      </c>
      <c r="T338" s="735">
        <v>30</v>
      </c>
      <c r="U338" s="784" t="s">
        <v>8320</v>
      </c>
      <c r="V338" s="735">
        <v>30</v>
      </c>
      <c r="W338" s="784" t="s">
        <v>8312</v>
      </c>
      <c r="X338" s="784" t="s">
        <v>8321</v>
      </c>
      <c r="Y338" s="738">
        <v>43</v>
      </c>
      <c r="Z338" s="881" t="s">
        <v>8321</v>
      </c>
      <c r="AA338" s="735">
        <v>43</v>
      </c>
      <c r="AB338" s="784" t="s">
        <v>8322</v>
      </c>
      <c r="AC338" s="735">
        <v>28</v>
      </c>
      <c r="AD338" s="738" t="s">
        <v>8315</v>
      </c>
      <c r="AE338" s="689"/>
      <c r="AF338" s="494" t="s">
        <v>2917</v>
      </c>
      <c r="AJ338" s="807">
        <f>_xll.GetCtData("COAMOUNT","CONSAMOUNT",$B$1:$B$7,$B338,AJ$8,"#")</f>
        <v>0</v>
      </c>
    </row>
    <row r="339" spans="1:36" ht="12" customHeight="1">
      <c r="A339" s="718" t="s">
        <v>2879</v>
      </c>
      <c r="B339" s="718" t="s">
        <v>2539</v>
      </c>
      <c r="C339" s="453" t="s">
        <v>8323</v>
      </c>
      <c r="D339" s="731" t="s">
        <v>6609</v>
      </c>
      <c r="E339" s="655">
        <v>44035</v>
      </c>
      <c r="F339" s="877" t="s">
        <v>2930</v>
      </c>
      <c r="G339" s="877">
        <v>7</v>
      </c>
      <c r="H339" s="877" t="s">
        <v>6610</v>
      </c>
      <c r="I339" s="879" t="s">
        <v>6610</v>
      </c>
      <c r="J339" s="879" t="s">
        <v>6610</v>
      </c>
      <c r="K339" s="879" t="s">
        <v>6610</v>
      </c>
      <c r="L339" s="879" t="s">
        <v>6610</v>
      </c>
      <c r="M339" s="879" t="s">
        <v>6610</v>
      </c>
      <c r="N339" s="879" t="s">
        <v>6610</v>
      </c>
      <c r="O339" s="757" t="s">
        <v>8323</v>
      </c>
      <c r="P339" s="735">
        <v>9</v>
      </c>
      <c r="Q339" s="784" t="s">
        <v>8324</v>
      </c>
      <c r="R339" s="735">
        <v>18</v>
      </c>
      <c r="S339" s="881" t="s">
        <v>8324</v>
      </c>
      <c r="T339" s="735">
        <v>18</v>
      </c>
      <c r="U339" s="784" t="s">
        <v>8324</v>
      </c>
      <c r="V339" s="735">
        <v>18</v>
      </c>
      <c r="W339" s="784" t="s">
        <v>8312</v>
      </c>
      <c r="X339" s="784" t="s">
        <v>8325</v>
      </c>
      <c r="Y339" s="738">
        <v>36</v>
      </c>
      <c r="Z339" s="881" t="s">
        <v>8325</v>
      </c>
      <c r="AA339" s="735">
        <v>36</v>
      </c>
      <c r="AB339" s="784" t="s">
        <v>8326</v>
      </c>
      <c r="AC339" s="735">
        <v>30</v>
      </c>
      <c r="AD339" s="738" t="s">
        <v>8315</v>
      </c>
      <c r="AE339" s="689"/>
      <c r="AF339" s="494" t="s">
        <v>2917</v>
      </c>
      <c r="AH339" s="723" t="s">
        <v>8327</v>
      </c>
      <c r="AJ339" s="807">
        <f>_xll.GetCtData("COAMOUNT","CONSAMOUNT",$B$1:$B$7,$B339,AJ$8,"#123928,911136682")</f>
        <v>123928</v>
      </c>
    </row>
    <row r="340" spans="1:36" ht="12" customHeight="1">
      <c r="A340" s="718" t="s">
        <v>2879</v>
      </c>
      <c r="B340" s="718" t="s">
        <v>8328</v>
      </c>
      <c r="C340" s="453" t="s">
        <v>8329</v>
      </c>
      <c r="D340" s="731" t="s">
        <v>6609</v>
      </c>
      <c r="E340" s="655">
        <v>44035</v>
      </c>
      <c r="F340" s="877" t="s">
        <v>2930</v>
      </c>
      <c r="G340" s="877">
        <v>7</v>
      </c>
      <c r="H340" s="877" t="s">
        <v>6610</v>
      </c>
      <c r="I340" s="879" t="s">
        <v>6610</v>
      </c>
      <c r="J340" s="879" t="s">
        <v>6610</v>
      </c>
      <c r="K340" s="879" t="s">
        <v>6610</v>
      </c>
      <c r="L340" s="879" t="s">
        <v>6610</v>
      </c>
      <c r="M340" s="879" t="s">
        <v>6610</v>
      </c>
      <c r="N340" s="879" t="s">
        <v>6610</v>
      </c>
      <c r="O340" s="757" t="s">
        <v>8329</v>
      </c>
      <c r="P340" s="735">
        <v>9</v>
      </c>
      <c r="Q340" s="784" t="s">
        <v>8330</v>
      </c>
      <c r="R340" s="735">
        <v>17</v>
      </c>
      <c r="S340" s="881" t="s">
        <v>8330</v>
      </c>
      <c r="T340" s="735">
        <v>17</v>
      </c>
      <c r="U340" s="784" t="s">
        <v>8330</v>
      </c>
      <c r="V340" s="735">
        <v>17</v>
      </c>
      <c r="W340" s="784" t="s">
        <v>8312</v>
      </c>
      <c r="X340" s="784" t="s">
        <v>8331</v>
      </c>
      <c r="Y340" s="738">
        <v>20</v>
      </c>
      <c r="Z340" s="881" t="s">
        <v>8331</v>
      </c>
      <c r="AA340" s="735">
        <v>20</v>
      </c>
      <c r="AB340" s="784" t="s">
        <v>8331</v>
      </c>
      <c r="AC340" s="735">
        <v>20</v>
      </c>
      <c r="AD340" s="738" t="s">
        <v>8315</v>
      </c>
      <c r="AE340" s="689"/>
      <c r="AF340" s="494" t="s">
        <v>2917</v>
      </c>
      <c r="AJ340" s="807">
        <f>_xll.GetCtData("COAMOUNT","CONSAMOUNT",$B$1:$B$7,$B340,AJ$8,"#2103,40373212146")</f>
        <v>2103</v>
      </c>
    </row>
    <row r="341" spans="1:36" ht="12" customHeight="1">
      <c r="A341" s="718" t="s">
        <v>2879</v>
      </c>
      <c r="B341" s="718" t="s">
        <v>8332</v>
      </c>
      <c r="C341" s="453" t="s">
        <v>8333</v>
      </c>
      <c r="D341" s="731" t="s">
        <v>6609</v>
      </c>
      <c r="E341" s="655">
        <v>44035</v>
      </c>
      <c r="F341" s="877" t="s">
        <v>2930</v>
      </c>
      <c r="G341" s="877">
        <v>7</v>
      </c>
      <c r="H341" s="877" t="s">
        <v>6610</v>
      </c>
      <c r="I341" s="879" t="s">
        <v>6610</v>
      </c>
      <c r="J341" s="879" t="s">
        <v>6610</v>
      </c>
      <c r="K341" s="879" t="s">
        <v>6610</v>
      </c>
      <c r="L341" s="879" t="s">
        <v>6610</v>
      </c>
      <c r="M341" s="879" t="s">
        <v>6610</v>
      </c>
      <c r="N341" s="879" t="s">
        <v>6610</v>
      </c>
      <c r="O341" s="757" t="s">
        <v>8333</v>
      </c>
      <c r="P341" s="735">
        <v>9</v>
      </c>
      <c r="Q341" s="784" t="s">
        <v>8334</v>
      </c>
      <c r="R341" s="735">
        <v>36</v>
      </c>
      <c r="S341" s="881" t="s">
        <v>8334</v>
      </c>
      <c r="T341" s="735">
        <v>36</v>
      </c>
      <c r="U341" s="784" t="s">
        <v>8335</v>
      </c>
      <c r="V341" s="735">
        <v>28</v>
      </c>
      <c r="W341" s="784" t="s">
        <v>8312</v>
      </c>
      <c r="X341" s="784" t="s">
        <v>8336</v>
      </c>
      <c r="Y341" s="738">
        <v>44</v>
      </c>
      <c r="Z341" s="881" t="s">
        <v>8336</v>
      </c>
      <c r="AA341" s="735">
        <v>44</v>
      </c>
      <c r="AB341" s="784" t="s">
        <v>8337</v>
      </c>
      <c r="AC341" s="735">
        <v>29</v>
      </c>
      <c r="AD341" s="738" t="s">
        <v>8315</v>
      </c>
      <c r="AE341" s="689"/>
      <c r="AF341" s="494" t="s">
        <v>2917</v>
      </c>
      <c r="AH341" s="723" t="s">
        <v>8327</v>
      </c>
      <c r="AJ341" s="807">
        <f>_xll.GetCtData("COAMOUNT","CONSAMOUNT",$B$1:$B$7,$B341,AJ$8,"#126433,099008277")</f>
        <v>126433</v>
      </c>
    </row>
    <row r="342" spans="1:36" ht="12" customHeight="1">
      <c r="A342" s="718" t="s">
        <v>2879</v>
      </c>
      <c r="B342" s="718" t="s">
        <v>8338</v>
      </c>
      <c r="C342" s="453" t="s">
        <v>8339</v>
      </c>
      <c r="D342" s="731" t="s">
        <v>6609</v>
      </c>
      <c r="E342" s="655">
        <v>44035</v>
      </c>
      <c r="F342" s="877" t="s">
        <v>2912</v>
      </c>
      <c r="G342" s="877">
        <v>1</v>
      </c>
      <c r="H342" s="877" t="s">
        <v>6610</v>
      </c>
      <c r="I342" s="878" t="s">
        <v>8339</v>
      </c>
      <c r="J342" s="878" t="s">
        <v>6610</v>
      </c>
      <c r="K342" s="878" t="s">
        <v>6610</v>
      </c>
      <c r="L342" s="878" t="s">
        <v>6610</v>
      </c>
      <c r="M342" s="878" t="s">
        <v>6610</v>
      </c>
      <c r="N342" s="878" t="s">
        <v>6610</v>
      </c>
      <c r="O342" s="743"/>
      <c r="P342" s="735">
        <v>0</v>
      </c>
      <c r="Q342" s="744" t="s">
        <v>2571</v>
      </c>
      <c r="R342" s="735">
        <v>21</v>
      </c>
      <c r="S342" s="745" t="s">
        <v>2571</v>
      </c>
      <c r="T342" s="735">
        <v>21</v>
      </c>
      <c r="U342" s="744" t="s">
        <v>2571</v>
      </c>
      <c r="V342" s="735">
        <v>21</v>
      </c>
      <c r="W342" s="744" t="s">
        <v>8312</v>
      </c>
      <c r="X342" s="744" t="s">
        <v>8340</v>
      </c>
      <c r="Y342" s="738">
        <v>21</v>
      </c>
      <c r="Z342" s="745" t="s">
        <v>8340</v>
      </c>
      <c r="AA342" s="735">
        <v>21</v>
      </c>
      <c r="AB342" s="744" t="s">
        <v>8340</v>
      </c>
      <c r="AC342" s="735">
        <v>21</v>
      </c>
      <c r="AD342" s="738" t="s">
        <v>8315</v>
      </c>
      <c r="AE342" s="689"/>
      <c r="AF342" s="494" t="s">
        <v>2917</v>
      </c>
      <c r="AJ342" s="746">
        <f>_xll.GetCtData("COAMOUNT","CONSAMOUNT",$B$1:$B$7,$B342,AJ$8,"#7338128")</f>
        <v>7338128</v>
      </c>
    </row>
    <row r="343" spans="1:36" ht="12" customHeight="1">
      <c r="A343" s="718" t="s">
        <v>2879</v>
      </c>
      <c r="B343" s="718" t="s">
        <v>1206</v>
      </c>
      <c r="C343" s="453" t="s">
        <v>8341</v>
      </c>
      <c r="D343" s="731" t="s">
        <v>6609</v>
      </c>
      <c r="E343" s="655">
        <v>44035</v>
      </c>
      <c r="F343" s="877" t="s">
        <v>2912</v>
      </c>
      <c r="G343" s="877">
        <v>2</v>
      </c>
      <c r="H343" s="877" t="s">
        <v>6610</v>
      </c>
      <c r="I343" s="879" t="s">
        <v>6610</v>
      </c>
      <c r="J343" s="880" t="s">
        <v>8341</v>
      </c>
      <c r="K343" s="880" t="s">
        <v>6610</v>
      </c>
      <c r="L343" s="880" t="s">
        <v>6610</v>
      </c>
      <c r="M343" s="880" t="s">
        <v>6610</v>
      </c>
      <c r="N343" s="880" t="s">
        <v>6610</v>
      </c>
      <c r="O343" s="748"/>
      <c r="P343" s="735">
        <v>0</v>
      </c>
      <c r="Q343" s="749" t="s">
        <v>17</v>
      </c>
      <c r="R343" s="735">
        <v>19</v>
      </c>
      <c r="S343" s="750" t="s">
        <v>17</v>
      </c>
      <c r="T343" s="735">
        <v>19</v>
      </c>
      <c r="U343" s="749" t="s">
        <v>17</v>
      </c>
      <c r="V343" s="735">
        <v>19</v>
      </c>
      <c r="W343" s="749" t="s">
        <v>8312</v>
      </c>
      <c r="X343" s="749" t="s">
        <v>8342</v>
      </c>
      <c r="Y343" s="738">
        <v>17</v>
      </c>
      <c r="Z343" s="750" t="s">
        <v>8342</v>
      </c>
      <c r="AA343" s="735">
        <v>17</v>
      </c>
      <c r="AB343" s="749" t="s">
        <v>8342</v>
      </c>
      <c r="AC343" s="735">
        <v>17</v>
      </c>
      <c r="AD343" s="738" t="s">
        <v>8315</v>
      </c>
      <c r="AE343" s="689"/>
      <c r="AF343" s="494" t="s">
        <v>2917</v>
      </c>
      <c r="AJ343" s="751">
        <f>_xll.GetCtData("COAMOUNT","CONSAMOUNT",$B$1:$B$7,$B343,AJ$8,"#7338068")</f>
        <v>7338068</v>
      </c>
    </row>
    <row r="344" spans="1:36" ht="12" customHeight="1">
      <c r="A344" s="718" t="s">
        <v>2879</v>
      </c>
      <c r="B344" s="718" t="s">
        <v>1209</v>
      </c>
      <c r="C344" s="453" t="s">
        <v>8343</v>
      </c>
      <c r="D344" s="731" t="s">
        <v>6609</v>
      </c>
      <c r="E344" s="655">
        <v>44035</v>
      </c>
      <c r="F344" s="877" t="s">
        <v>2912</v>
      </c>
      <c r="G344" s="877">
        <v>3</v>
      </c>
      <c r="H344" s="877" t="s">
        <v>6610</v>
      </c>
      <c r="I344" s="879" t="s">
        <v>6610</v>
      </c>
      <c r="J344" s="879" t="s">
        <v>6610</v>
      </c>
      <c r="K344" s="882" t="s">
        <v>8343</v>
      </c>
      <c r="L344" s="882" t="s">
        <v>6610</v>
      </c>
      <c r="M344" s="882" t="s">
        <v>6610</v>
      </c>
      <c r="N344" s="882" t="s">
        <v>6610</v>
      </c>
      <c r="O344" s="753"/>
      <c r="P344" s="735">
        <v>0</v>
      </c>
      <c r="Q344" s="883" t="s">
        <v>8344</v>
      </c>
      <c r="R344" s="735">
        <v>33</v>
      </c>
      <c r="S344" s="884" t="s">
        <v>8344</v>
      </c>
      <c r="T344" s="735">
        <v>33</v>
      </c>
      <c r="U344" s="883" t="s">
        <v>8345</v>
      </c>
      <c r="V344" s="735">
        <v>22</v>
      </c>
      <c r="W344" s="883" t="s">
        <v>8312</v>
      </c>
      <c r="X344" s="883" t="s">
        <v>8346</v>
      </c>
      <c r="Y344" s="738">
        <v>34</v>
      </c>
      <c r="Z344" s="884" t="s">
        <v>8346</v>
      </c>
      <c r="AA344" s="735">
        <v>34</v>
      </c>
      <c r="AB344" s="883" t="s">
        <v>8347</v>
      </c>
      <c r="AC344" s="735">
        <v>23</v>
      </c>
      <c r="AD344" s="738" t="s">
        <v>8315</v>
      </c>
      <c r="AE344" s="689"/>
      <c r="AF344" s="494" t="s">
        <v>2917</v>
      </c>
      <c r="AJ344" s="885">
        <f>_xll.GetCtData("COAMOUNT","CONSAMOUNT",$B$1:$B$7,$B344,AJ$8,"#6183000")</f>
        <v>6183000</v>
      </c>
    </row>
    <row r="345" spans="1:36" ht="12" customHeight="1">
      <c r="A345" s="718" t="s">
        <v>2879</v>
      </c>
      <c r="B345" s="718" t="s">
        <v>8348</v>
      </c>
      <c r="C345" s="453" t="s">
        <v>8349</v>
      </c>
      <c r="D345" s="731" t="s">
        <v>6609</v>
      </c>
      <c r="E345" s="655">
        <v>44035</v>
      </c>
      <c r="F345" s="877" t="s">
        <v>2930</v>
      </c>
      <c r="G345" s="877">
        <v>7</v>
      </c>
      <c r="H345" s="877" t="s">
        <v>6610</v>
      </c>
      <c r="I345" s="879" t="s">
        <v>6610</v>
      </c>
      <c r="J345" s="879" t="s">
        <v>6610</v>
      </c>
      <c r="K345" s="879" t="s">
        <v>6610</v>
      </c>
      <c r="L345" s="879" t="s">
        <v>6610</v>
      </c>
      <c r="M345" s="879" t="s">
        <v>6610</v>
      </c>
      <c r="N345" s="879" t="s">
        <v>6610</v>
      </c>
      <c r="O345" s="757" t="s">
        <v>8349</v>
      </c>
      <c r="P345" s="735">
        <v>9</v>
      </c>
      <c r="Q345" s="784" t="s">
        <v>8350</v>
      </c>
      <c r="R345" s="735">
        <v>41</v>
      </c>
      <c r="S345" s="881" t="s">
        <v>8350</v>
      </c>
      <c r="T345" s="735">
        <v>41</v>
      </c>
      <c r="U345" s="784" t="s">
        <v>8351</v>
      </c>
      <c r="V345" s="735">
        <v>25</v>
      </c>
      <c r="W345" s="784" t="s">
        <v>8312</v>
      </c>
      <c r="X345" s="784" t="s">
        <v>8352</v>
      </c>
      <c r="Y345" s="738">
        <v>40</v>
      </c>
      <c r="Z345" s="881" t="s">
        <v>8352</v>
      </c>
      <c r="AA345" s="735">
        <v>40</v>
      </c>
      <c r="AB345" s="784" t="s">
        <v>8353</v>
      </c>
      <c r="AC345" s="735">
        <v>29</v>
      </c>
      <c r="AD345" s="738" t="s">
        <v>8315</v>
      </c>
      <c r="AE345" s="689"/>
      <c r="AF345" s="494" t="s">
        <v>2917</v>
      </c>
      <c r="AH345" s="723" t="s">
        <v>5359</v>
      </c>
      <c r="AJ345" s="807">
        <f>_xll.GetCtData("COAMOUNT","CONSAMOUNT",$B$1:$B$7,$B345,AJ$8,"#6000000")</f>
        <v>6000000</v>
      </c>
    </row>
    <row r="346" spans="1:36" ht="12" customHeight="1">
      <c r="A346" s="718" t="s">
        <v>2879</v>
      </c>
      <c r="B346" s="718" t="s">
        <v>8354</v>
      </c>
      <c r="C346" s="453" t="s">
        <v>8355</v>
      </c>
      <c r="D346" s="731" t="s">
        <v>6609</v>
      </c>
      <c r="E346" s="655">
        <v>44035</v>
      </c>
      <c r="F346" s="877" t="s">
        <v>2930</v>
      </c>
      <c r="G346" s="877">
        <v>7</v>
      </c>
      <c r="H346" s="877" t="s">
        <v>6610</v>
      </c>
      <c r="I346" s="879" t="s">
        <v>6610</v>
      </c>
      <c r="J346" s="879" t="s">
        <v>6610</v>
      </c>
      <c r="K346" s="879" t="s">
        <v>6610</v>
      </c>
      <c r="L346" s="879" t="s">
        <v>6610</v>
      </c>
      <c r="M346" s="879" t="s">
        <v>6610</v>
      </c>
      <c r="N346" s="879" t="s">
        <v>6610</v>
      </c>
      <c r="O346" s="757" t="s">
        <v>8355</v>
      </c>
      <c r="P346" s="735">
        <v>9</v>
      </c>
      <c r="Q346" s="784" t="s">
        <v>8356</v>
      </c>
      <c r="R346" s="735">
        <v>46</v>
      </c>
      <c r="S346" s="881" t="s">
        <v>8356</v>
      </c>
      <c r="T346" s="735">
        <v>46</v>
      </c>
      <c r="U346" s="784" t="s">
        <v>8357</v>
      </c>
      <c r="V346" s="735">
        <v>30</v>
      </c>
      <c r="W346" s="784" t="s">
        <v>8312</v>
      </c>
      <c r="X346" s="784" t="s">
        <v>8358</v>
      </c>
      <c r="Y346" s="738">
        <v>54</v>
      </c>
      <c r="Z346" s="881" t="s">
        <v>8358</v>
      </c>
      <c r="AA346" s="735">
        <v>54</v>
      </c>
      <c r="AB346" s="784" t="s">
        <v>8359</v>
      </c>
      <c r="AC346" s="735">
        <v>30</v>
      </c>
      <c r="AD346" s="738" t="s">
        <v>8315</v>
      </c>
      <c r="AE346" s="689"/>
      <c r="AF346" s="494" t="s">
        <v>2917</v>
      </c>
      <c r="AH346" s="723" t="s">
        <v>5359</v>
      </c>
      <c r="AJ346" s="807">
        <f>_xll.GetCtData("COAMOUNT","CONSAMOUNT",$B$1:$B$7,$B346,AJ$8,"#183000")</f>
        <v>183000</v>
      </c>
    </row>
    <row r="347" spans="1:36" ht="12" customHeight="1">
      <c r="A347" s="718" t="s">
        <v>2879</v>
      </c>
      <c r="B347" s="718" t="s">
        <v>8360</v>
      </c>
      <c r="C347" s="453" t="s">
        <v>8361</v>
      </c>
      <c r="D347" s="731" t="s">
        <v>6609</v>
      </c>
      <c r="E347" s="655">
        <v>44035</v>
      </c>
      <c r="F347" s="877" t="s">
        <v>2912</v>
      </c>
      <c r="G347" s="877">
        <v>3</v>
      </c>
      <c r="H347" s="877" t="s">
        <v>6610</v>
      </c>
      <c r="I347" s="879" t="s">
        <v>6610</v>
      </c>
      <c r="J347" s="879" t="s">
        <v>6610</v>
      </c>
      <c r="K347" s="882" t="s">
        <v>8361</v>
      </c>
      <c r="L347" s="882" t="s">
        <v>6610</v>
      </c>
      <c r="M347" s="882" t="s">
        <v>6610</v>
      </c>
      <c r="N347" s="882" t="s">
        <v>6610</v>
      </c>
      <c r="O347" s="753"/>
      <c r="P347" s="735">
        <v>0</v>
      </c>
      <c r="Q347" s="883" t="s">
        <v>1169</v>
      </c>
      <c r="R347" s="735">
        <v>37</v>
      </c>
      <c r="S347" s="884" t="s">
        <v>1169</v>
      </c>
      <c r="T347" s="735">
        <v>37</v>
      </c>
      <c r="U347" s="883" t="s">
        <v>8362</v>
      </c>
      <c r="V347" s="735">
        <v>26</v>
      </c>
      <c r="W347" s="883" t="s">
        <v>8312</v>
      </c>
      <c r="X347" s="883" t="s">
        <v>8363</v>
      </c>
      <c r="Y347" s="738">
        <v>34</v>
      </c>
      <c r="Z347" s="884" t="s">
        <v>8363</v>
      </c>
      <c r="AA347" s="735">
        <v>34</v>
      </c>
      <c r="AB347" s="883" t="s">
        <v>8364</v>
      </c>
      <c r="AC347" s="735">
        <v>23</v>
      </c>
      <c r="AD347" s="738" t="s">
        <v>8315</v>
      </c>
      <c r="AE347" s="689"/>
      <c r="AF347" s="494" t="s">
        <v>2917</v>
      </c>
      <c r="AJ347" s="885">
        <f>_xll.GetCtData("COAMOUNT","CONSAMOUNT",$B$1:$B$7,$B347,AJ$8,"#0")</f>
        <v>0</v>
      </c>
    </row>
    <row r="348" spans="1:36" ht="12" customHeight="1">
      <c r="A348" s="718" t="s">
        <v>2879</v>
      </c>
      <c r="B348" s="718" t="s">
        <v>8365</v>
      </c>
      <c r="C348" s="453" t="s">
        <v>8366</v>
      </c>
      <c r="D348" s="731" t="s">
        <v>6609</v>
      </c>
      <c r="E348" s="655">
        <v>44035</v>
      </c>
      <c r="F348" s="877" t="s">
        <v>2930</v>
      </c>
      <c r="G348" s="877">
        <v>7</v>
      </c>
      <c r="H348" s="877" t="s">
        <v>6610</v>
      </c>
      <c r="I348" s="879" t="s">
        <v>6610</v>
      </c>
      <c r="J348" s="879" t="s">
        <v>6610</v>
      </c>
      <c r="K348" s="879" t="s">
        <v>6610</v>
      </c>
      <c r="L348" s="879" t="s">
        <v>6610</v>
      </c>
      <c r="M348" s="879" t="s">
        <v>6610</v>
      </c>
      <c r="N348" s="879" t="s">
        <v>6610</v>
      </c>
      <c r="O348" s="757" t="s">
        <v>8366</v>
      </c>
      <c r="P348" s="735">
        <v>10</v>
      </c>
      <c r="Q348" s="784" t="s">
        <v>8367</v>
      </c>
      <c r="R348" s="735">
        <v>55</v>
      </c>
      <c r="S348" s="881" t="s">
        <v>8367</v>
      </c>
      <c r="T348" s="735">
        <v>55</v>
      </c>
      <c r="U348" s="784" t="s">
        <v>8368</v>
      </c>
      <c r="V348" s="735">
        <v>25</v>
      </c>
      <c r="W348" s="784" t="s">
        <v>8312</v>
      </c>
      <c r="X348" s="784" t="s">
        <v>8369</v>
      </c>
      <c r="Y348" s="738">
        <v>40</v>
      </c>
      <c r="Z348" s="881" t="s">
        <v>8369</v>
      </c>
      <c r="AA348" s="735">
        <v>40</v>
      </c>
      <c r="AB348" s="784" t="s">
        <v>8370</v>
      </c>
      <c r="AC348" s="735">
        <v>29</v>
      </c>
      <c r="AD348" s="738" t="s">
        <v>8315</v>
      </c>
      <c r="AE348" s="689"/>
      <c r="AF348" s="494" t="s">
        <v>2917</v>
      </c>
      <c r="AH348" s="723" t="s">
        <v>5359</v>
      </c>
      <c r="AJ348" s="807">
        <f>_xll.GetCtData("COAMOUNT","CONSAMOUNT",$B$1:$B$7,$B348,AJ$8,"#0")</f>
        <v>0</v>
      </c>
    </row>
    <row r="349" spans="1:36" ht="12" customHeight="1">
      <c r="A349" s="718" t="s">
        <v>2879</v>
      </c>
      <c r="B349" s="718" t="s">
        <v>8371</v>
      </c>
      <c r="C349" s="453" t="s">
        <v>8372</v>
      </c>
      <c r="D349" s="731" t="s">
        <v>6609</v>
      </c>
      <c r="E349" s="655">
        <v>44035</v>
      </c>
      <c r="F349" s="877" t="s">
        <v>2930</v>
      </c>
      <c r="G349" s="877">
        <v>7</v>
      </c>
      <c r="H349" s="877" t="s">
        <v>6610</v>
      </c>
      <c r="I349" s="879" t="s">
        <v>6610</v>
      </c>
      <c r="J349" s="879" t="s">
        <v>6610</v>
      </c>
      <c r="K349" s="879" t="s">
        <v>6610</v>
      </c>
      <c r="L349" s="879" t="s">
        <v>6610</v>
      </c>
      <c r="M349" s="879" t="s">
        <v>6610</v>
      </c>
      <c r="N349" s="879" t="s">
        <v>6610</v>
      </c>
      <c r="O349" s="757" t="s">
        <v>8372</v>
      </c>
      <c r="P349" s="735">
        <v>10</v>
      </c>
      <c r="Q349" s="784" t="s">
        <v>8373</v>
      </c>
      <c r="R349" s="735">
        <v>60</v>
      </c>
      <c r="S349" s="881" t="s">
        <v>8373</v>
      </c>
      <c r="T349" s="735">
        <v>60</v>
      </c>
      <c r="U349" s="784" t="s">
        <v>8374</v>
      </c>
      <c r="V349" s="735">
        <v>25</v>
      </c>
      <c r="W349" s="784" t="s">
        <v>8312</v>
      </c>
      <c r="X349" s="784" t="s">
        <v>8375</v>
      </c>
      <c r="Y349" s="738">
        <v>54</v>
      </c>
      <c r="Z349" s="881" t="s">
        <v>8375</v>
      </c>
      <c r="AA349" s="735">
        <v>54</v>
      </c>
      <c r="AB349" s="784" t="s">
        <v>8376</v>
      </c>
      <c r="AC349" s="735">
        <v>29</v>
      </c>
      <c r="AD349" s="738" t="s">
        <v>8315</v>
      </c>
      <c r="AE349" s="689"/>
      <c r="AF349" s="494" t="s">
        <v>2917</v>
      </c>
      <c r="AH349" s="723" t="s">
        <v>5359</v>
      </c>
      <c r="AJ349" s="807">
        <f>_xll.GetCtData("COAMOUNT","CONSAMOUNT",$B$1:$B$7,$B349,AJ$8,"#")</f>
        <v>0</v>
      </c>
    </row>
    <row r="350" spans="1:36" ht="12" customHeight="1">
      <c r="A350" s="718" t="s">
        <v>2879</v>
      </c>
      <c r="B350" s="718" t="s">
        <v>8377</v>
      </c>
      <c r="C350" s="453" t="s">
        <v>8378</v>
      </c>
      <c r="D350" s="731" t="s">
        <v>6609</v>
      </c>
      <c r="E350" s="655">
        <v>44035</v>
      </c>
      <c r="F350" s="877" t="s">
        <v>2930</v>
      </c>
      <c r="G350" s="877">
        <v>7</v>
      </c>
      <c r="H350" s="877" t="s">
        <v>6610</v>
      </c>
      <c r="I350" s="879" t="s">
        <v>6610</v>
      </c>
      <c r="J350" s="879" t="s">
        <v>6610</v>
      </c>
      <c r="K350" s="879" t="s">
        <v>6610</v>
      </c>
      <c r="L350" s="879" t="s">
        <v>6610</v>
      </c>
      <c r="M350" s="879" t="s">
        <v>6610</v>
      </c>
      <c r="N350" s="879" t="s">
        <v>6610</v>
      </c>
      <c r="O350" s="757" t="s">
        <v>8378</v>
      </c>
      <c r="P350" s="735">
        <v>10</v>
      </c>
      <c r="Q350" s="784" t="s">
        <v>8379</v>
      </c>
      <c r="R350" s="735">
        <v>56</v>
      </c>
      <c r="S350" s="881" t="s">
        <v>8379</v>
      </c>
      <c r="T350" s="735">
        <v>56</v>
      </c>
      <c r="U350" s="784" t="s">
        <v>8380</v>
      </c>
      <c r="V350" s="735">
        <v>29</v>
      </c>
      <c r="W350" s="784" t="s">
        <v>8312</v>
      </c>
      <c r="X350" s="784" t="s">
        <v>8381</v>
      </c>
      <c r="Y350" s="738">
        <v>29</v>
      </c>
      <c r="Z350" s="881" t="s">
        <v>8381</v>
      </c>
      <c r="AA350" s="735">
        <v>29</v>
      </c>
      <c r="AB350" s="784" t="s">
        <v>8381</v>
      </c>
      <c r="AC350" s="735">
        <v>29</v>
      </c>
      <c r="AD350" s="738" t="s">
        <v>8315</v>
      </c>
      <c r="AE350" s="689"/>
      <c r="AF350" s="494" t="s">
        <v>2917</v>
      </c>
      <c r="AH350" s="723" t="s">
        <v>5359</v>
      </c>
      <c r="AJ350" s="807">
        <f>_xll.GetCtData("COAMOUNT","CONSAMOUNT",$B$1:$B$7,$B350,AJ$8,"#")</f>
        <v>0</v>
      </c>
    </row>
    <row r="351" spans="1:36" ht="12" customHeight="1">
      <c r="A351" s="718" t="s">
        <v>2879</v>
      </c>
      <c r="B351" s="718" t="s">
        <v>8382</v>
      </c>
      <c r="C351" s="453" t="s">
        <v>8383</v>
      </c>
      <c r="D351" s="731" t="s">
        <v>6609</v>
      </c>
      <c r="E351" s="655">
        <v>44035</v>
      </c>
      <c r="F351" s="877" t="s">
        <v>2930</v>
      </c>
      <c r="G351" s="877">
        <v>7</v>
      </c>
      <c r="H351" s="877" t="s">
        <v>6610</v>
      </c>
      <c r="I351" s="879" t="s">
        <v>6610</v>
      </c>
      <c r="J351" s="879" t="s">
        <v>6610</v>
      </c>
      <c r="K351" s="879" t="s">
        <v>6610</v>
      </c>
      <c r="L351" s="879" t="s">
        <v>6610</v>
      </c>
      <c r="M351" s="879" t="s">
        <v>6610</v>
      </c>
      <c r="N351" s="879" t="s">
        <v>6610</v>
      </c>
      <c r="O351" s="757" t="s">
        <v>8383</v>
      </c>
      <c r="P351" s="735">
        <v>10</v>
      </c>
      <c r="Q351" s="784" t="s">
        <v>8384</v>
      </c>
      <c r="R351" s="735">
        <v>61</v>
      </c>
      <c r="S351" s="881" t="s">
        <v>8384</v>
      </c>
      <c r="T351" s="735">
        <v>61</v>
      </c>
      <c r="U351" s="784" t="s">
        <v>8385</v>
      </c>
      <c r="V351" s="735">
        <v>28</v>
      </c>
      <c r="W351" s="784" t="s">
        <v>8312</v>
      </c>
      <c r="X351" s="784" t="s">
        <v>8386</v>
      </c>
      <c r="Y351" s="738">
        <v>43</v>
      </c>
      <c r="Z351" s="881" t="s">
        <v>8386</v>
      </c>
      <c r="AA351" s="735">
        <v>43</v>
      </c>
      <c r="AB351" s="784" t="s">
        <v>8387</v>
      </c>
      <c r="AC351" s="735">
        <v>27</v>
      </c>
      <c r="AD351" s="738" t="s">
        <v>8315</v>
      </c>
      <c r="AE351" s="689"/>
      <c r="AF351" s="494" t="s">
        <v>2917</v>
      </c>
      <c r="AH351" s="723" t="s">
        <v>5359</v>
      </c>
      <c r="AJ351" s="807">
        <f>_xll.GetCtData("COAMOUNT","CONSAMOUNT",$B$1:$B$7,$B351,AJ$8,"#")</f>
        <v>0</v>
      </c>
    </row>
    <row r="352" spans="1:36" ht="12" customHeight="1">
      <c r="A352" s="718" t="s">
        <v>2879</v>
      </c>
      <c r="B352" s="718" t="s">
        <v>1210</v>
      </c>
      <c r="C352" s="453" t="s">
        <v>8388</v>
      </c>
      <c r="D352" s="731" t="s">
        <v>6609</v>
      </c>
      <c r="E352" s="655">
        <v>44035</v>
      </c>
      <c r="F352" s="877" t="s">
        <v>2912</v>
      </c>
      <c r="G352" s="877">
        <v>3</v>
      </c>
      <c r="H352" s="877" t="s">
        <v>6610</v>
      </c>
      <c r="I352" s="879" t="s">
        <v>6610</v>
      </c>
      <c r="J352" s="879" t="s">
        <v>6610</v>
      </c>
      <c r="K352" s="882" t="s">
        <v>8388</v>
      </c>
      <c r="L352" s="882" t="s">
        <v>6610</v>
      </c>
      <c r="M352" s="882" t="s">
        <v>6610</v>
      </c>
      <c r="N352" s="882" t="s">
        <v>6610</v>
      </c>
      <c r="O352" s="753"/>
      <c r="P352" s="735">
        <v>0</v>
      </c>
      <c r="Q352" s="883" t="s">
        <v>8389</v>
      </c>
      <c r="R352" s="735">
        <v>37</v>
      </c>
      <c r="S352" s="884" t="s">
        <v>8389</v>
      </c>
      <c r="T352" s="735">
        <v>37</v>
      </c>
      <c r="U352" s="883" t="s">
        <v>8390</v>
      </c>
      <c r="V352" s="735">
        <v>23</v>
      </c>
      <c r="W352" s="883" t="s">
        <v>8312</v>
      </c>
      <c r="X352" s="883" t="s">
        <v>8391</v>
      </c>
      <c r="Y352" s="738">
        <v>44</v>
      </c>
      <c r="Z352" s="884" t="s">
        <v>8391</v>
      </c>
      <c r="AA352" s="735">
        <v>44</v>
      </c>
      <c r="AB352" s="883" t="s">
        <v>8392</v>
      </c>
      <c r="AC352" s="735">
        <v>28</v>
      </c>
      <c r="AD352" s="738" t="s">
        <v>8315</v>
      </c>
      <c r="AE352" s="689"/>
      <c r="AF352" s="494" t="s">
        <v>2917</v>
      </c>
      <c r="AJ352" s="885">
        <f>_xll.GetCtData("COAMOUNT","CONSAMOUNT",$B$1:$B$7,$B352,AJ$8,"#1155068")</f>
        <v>1155068</v>
      </c>
    </row>
    <row r="353" spans="1:36" ht="12" customHeight="1">
      <c r="A353" s="718" t="s">
        <v>2879</v>
      </c>
      <c r="B353" s="718" t="s">
        <v>8393</v>
      </c>
      <c r="C353" s="453" t="s">
        <v>8394</v>
      </c>
      <c r="D353" s="731" t="s">
        <v>6609</v>
      </c>
      <c r="E353" s="655">
        <v>44035</v>
      </c>
      <c r="F353" s="877" t="s">
        <v>2930</v>
      </c>
      <c r="G353" s="877">
        <v>7</v>
      </c>
      <c r="H353" s="877" t="s">
        <v>6610</v>
      </c>
      <c r="I353" s="879" t="s">
        <v>6610</v>
      </c>
      <c r="J353" s="879" t="s">
        <v>6610</v>
      </c>
      <c r="K353" s="879" t="s">
        <v>6610</v>
      </c>
      <c r="L353" s="879" t="s">
        <v>6610</v>
      </c>
      <c r="M353" s="879" t="s">
        <v>6610</v>
      </c>
      <c r="N353" s="879" t="s">
        <v>6610</v>
      </c>
      <c r="O353" s="757" t="s">
        <v>8394</v>
      </c>
      <c r="P353" s="735">
        <v>9</v>
      </c>
      <c r="Q353" s="784" t="s">
        <v>8395</v>
      </c>
      <c r="R353" s="735">
        <v>45</v>
      </c>
      <c r="S353" s="881" t="s">
        <v>8395</v>
      </c>
      <c r="T353" s="735">
        <v>45</v>
      </c>
      <c r="U353" s="784" t="s">
        <v>8396</v>
      </c>
      <c r="V353" s="735">
        <v>27</v>
      </c>
      <c r="W353" s="784" t="s">
        <v>8312</v>
      </c>
      <c r="X353" s="784" t="s">
        <v>8397</v>
      </c>
      <c r="Y353" s="738">
        <v>50</v>
      </c>
      <c r="Z353" s="881" t="s">
        <v>8397</v>
      </c>
      <c r="AA353" s="735">
        <v>50</v>
      </c>
      <c r="AB353" s="784" t="s">
        <v>8398</v>
      </c>
      <c r="AC353" s="735">
        <v>30</v>
      </c>
      <c r="AD353" s="738" t="s">
        <v>8315</v>
      </c>
      <c r="AE353" s="689"/>
      <c r="AF353" s="494" t="s">
        <v>2917</v>
      </c>
      <c r="AJ353" s="807">
        <f>_xll.GetCtData("COAMOUNT","CONSAMOUNT",$B$1:$B$7,$B353,AJ$8,"#481278")</f>
        <v>481278</v>
      </c>
    </row>
    <row r="354" spans="1:36" ht="12" customHeight="1">
      <c r="A354" s="718" t="s">
        <v>2879</v>
      </c>
      <c r="B354" s="718" t="s">
        <v>8399</v>
      </c>
      <c r="C354" s="453" t="s">
        <v>8400</v>
      </c>
      <c r="D354" s="731" t="s">
        <v>6609</v>
      </c>
      <c r="E354" s="655">
        <v>44035</v>
      </c>
      <c r="F354" s="877" t="s">
        <v>2930</v>
      </c>
      <c r="G354" s="877">
        <v>7</v>
      </c>
      <c r="H354" s="877" t="s">
        <v>6610</v>
      </c>
      <c r="I354" s="879" t="s">
        <v>6610</v>
      </c>
      <c r="J354" s="879" t="s">
        <v>6610</v>
      </c>
      <c r="K354" s="879" t="s">
        <v>6610</v>
      </c>
      <c r="L354" s="879" t="s">
        <v>6610</v>
      </c>
      <c r="M354" s="879" t="s">
        <v>6610</v>
      </c>
      <c r="N354" s="879" t="s">
        <v>6610</v>
      </c>
      <c r="O354" s="757" t="s">
        <v>8400</v>
      </c>
      <c r="P354" s="735">
        <v>9</v>
      </c>
      <c r="Q354" s="784" t="s">
        <v>8401</v>
      </c>
      <c r="R354" s="735">
        <v>50</v>
      </c>
      <c r="S354" s="881" t="s">
        <v>8401</v>
      </c>
      <c r="T354" s="735">
        <v>50</v>
      </c>
      <c r="U354" s="784" t="s">
        <v>8402</v>
      </c>
      <c r="V354" s="735">
        <v>26</v>
      </c>
      <c r="W354" s="784" t="s">
        <v>8312</v>
      </c>
      <c r="X354" s="784" t="s">
        <v>8403</v>
      </c>
      <c r="Y354" s="738">
        <v>64</v>
      </c>
      <c r="Z354" s="881" t="s">
        <v>8403</v>
      </c>
      <c r="AA354" s="735">
        <v>64</v>
      </c>
      <c r="AB354" s="784" t="s">
        <v>8404</v>
      </c>
      <c r="AC354" s="735">
        <v>30</v>
      </c>
      <c r="AD354" s="738" t="s">
        <v>8315</v>
      </c>
      <c r="AE354" s="689"/>
      <c r="AF354" s="494" t="s">
        <v>2917</v>
      </c>
      <c r="AJ354" s="807">
        <f>_xll.GetCtData("COAMOUNT","CONSAMOUNT",$B$1:$B$7,$B354,AJ$8,"#673790")</f>
        <v>673790</v>
      </c>
    </row>
    <row r="355" spans="1:36" ht="12" customHeight="1">
      <c r="A355" s="718" t="s">
        <v>2879</v>
      </c>
      <c r="B355" s="718" t="s">
        <v>8405</v>
      </c>
      <c r="C355" s="453" t="s">
        <v>8406</v>
      </c>
      <c r="D355" s="731" t="s">
        <v>6609</v>
      </c>
      <c r="E355" s="655">
        <v>44035</v>
      </c>
      <c r="F355" s="877" t="s">
        <v>2912</v>
      </c>
      <c r="G355" s="877">
        <v>2</v>
      </c>
      <c r="H355" s="877" t="s">
        <v>6610</v>
      </c>
      <c r="I355" s="879" t="s">
        <v>6610</v>
      </c>
      <c r="J355" s="880" t="s">
        <v>8406</v>
      </c>
      <c r="K355" s="880" t="s">
        <v>6610</v>
      </c>
      <c r="L355" s="880" t="s">
        <v>6610</v>
      </c>
      <c r="M355" s="880" t="s">
        <v>6610</v>
      </c>
      <c r="N355" s="880" t="s">
        <v>6610</v>
      </c>
      <c r="O355" s="748"/>
      <c r="P355" s="735">
        <v>0</v>
      </c>
      <c r="Q355" s="749" t="s">
        <v>8407</v>
      </c>
      <c r="R355" s="735">
        <v>36</v>
      </c>
      <c r="S355" s="750" t="s">
        <v>8407</v>
      </c>
      <c r="T355" s="735">
        <v>36</v>
      </c>
      <c r="U355" s="749" t="s">
        <v>8408</v>
      </c>
      <c r="V355" s="735">
        <v>30</v>
      </c>
      <c r="W355" s="749" t="s">
        <v>8312</v>
      </c>
      <c r="X355" s="749" t="s">
        <v>8409</v>
      </c>
      <c r="Y355" s="738">
        <v>27</v>
      </c>
      <c r="Z355" s="750" t="s">
        <v>8409</v>
      </c>
      <c r="AA355" s="735">
        <v>27</v>
      </c>
      <c r="AB355" s="749" t="s">
        <v>8409</v>
      </c>
      <c r="AC355" s="735">
        <v>27</v>
      </c>
      <c r="AD355" s="738" t="s">
        <v>8315</v>
      </c>
      <c r="AE355" s="689"/>
      <c r="AF355" s="494" t="s">
        <v>2917</v>
      </c>
      <c r="AJ355" s="751">
        <f>_xll.GetCtData("COAMOUNT","CONSAMOUNT",$B$1:$B$7,$B355,AJ$8,"#0")</f>
        <v>0</v>
      </c>
    </row>
    <row r="356" spans="1:36" ht="12" customHeight="1">
      <c r="A356" s="718" t="s">
        <v>2879</v>
      </c>
      <c r="B356" s="718" t="s">
        <v>8410</v>
      </c>
      <c r="C356" s="453" t="s">
        <v>8411</v>
      </c>
      <c r="D356" s="731" t="s">
        <v>6609</v>
      </c>
      <c r="E356" s="655">
        <v>44035</v>
      </c>
      <c r="F356" s="877" t="s">
        <v>2930</v>
      </c>
      <c r="G356" s="877">
        <v>7</v>
      </c>
      <c r="H356" s="877" t="s">
        <v>6610</v>
      </c>
      <c r="I356" s="879" t="s">
        <v>6610</v>
      </c>
      <c r="J356" s="879" t="s">
        <v>6610</v>
      </c>
      <c r="K356" s="879" t="s">
        <v>6610</v>
      </c>
      <c r="L356" s="879" t="s">
        <v>6610</v>
      </c>
      <c r="M356" s="879" t="s">
        <v>6610</v>
      </c>
      <c r="N356" s="879" t="s">
        <v>6610</v>
      </c>
      <c r="O356" s="757" t="s">
        <v>8411</v>
      </c>
      <c r="P356" s="735">
        <v>9</v>
      </c>
      <c r="Q356" s="784" t="s">
        <v>8412</v>
      </c>
      <c r="R356" s="735">
        <v>61</v>
      </c>
      <c r="S356" s="881" t="s">
        <v>8412</v>
      </c>
      <c r="T356" s="735">
        <v>61</v>
      </c>
      <c r="U356" s="784" t="s">
        <v>8413</v>
      </c>
      <c r="V356" s="735">
        <v>30</v>
      </c>
      <c r="W356" s="784" t="s">
        <v>8312</v>
      </c>
      <c r="X356" s="784" t="s">
        <v>8414</v>
      </c>
      <c r="Y356" s="738">
        <v>52</v>
      </c>
      <c r="Z356" s="881" t="s">
        <v>8414</v>
      </c>
      <c r="AA356" s="735">
        <v>52</v>
      </c>
      <c r="AB356" s="784" t="s">
        <v>8415</v>
      </c>
      <c r="AC356" s="735">
        <v>30</v>
      </c>
      <c r="AD356" s="738" t="s">
        <v>8315</v>
      </c>
      <c r="AE356" s="689"/>
      <c r="AF356" s="494" t="s">
        <v>2917</v>
      </c>
      <c r="AH356" s="723" t="s">
        <v>5359</v>
      </c>
      <c r="AJ356" s="807">
        <f>_xll.GetCtData("COAMOUNT","CONSAMOUNT",$B$1:$B$7,$B356,AJ$8,"#0")</f>
        <v>0</v>
      </c>
    </row>
    <row r="357" spans="1:36" ht="12" customHeight="1">
      <c r="A357" s="718" t="s">
        <v>2879</v>
      </c>
      <c r="B357" s="718" t="s">
        <v>8416</v>
      </c>
      <c r="C357" s="453" t="s">
        <v>8417</v>
      </c>
      <c r="D357" s="731" t="s">
        <v>6609</v>
      </c>
      <c r="E357" s="655">
        <v>44035</v>
      </c>
      <c r="F357" s="877" t="s">
        <v>2912</v>
      </c>
      <c r="G357" s="877">
        <v>2</v>
      </c>
      <c r="H357" s="877" t="s">
        <v>6610</v>
      </c>
      <c r="I357" s="879" t="s">
        <v>6610</v>
      </c>
      <c r="J357" s="880" t="s">
        <v>8417</v>
      </c>
      <c r="K357" s="880" t="s">
        <v>6610</v>
      </c>
      <c r="L357" s="880" t="s">
        <v>6610</v>
      </c>
      <c r="M357" s="880" t="s">
        <v>6610</v>
      </c>
      <c r="N357" s="880" t="s">
        <v>6610</v>
      </c>
      <c r="O357" s="748"/>
      <c r="P357" s="735">
        <v>0</v>
      </c>
      <c r="Q357" s="749" t="s">
        <v>8418</v>
      </c>
      <c r="R357" s="735">
        <v>47</v>
      </c>
      <c r="S357" s="750" t="s">
        <v>8418</v>
      </c>
      <c r="T357" s="735">
        <v>47</v>
      </c>
      <c r="U357" s="749" t="s">
        <v>8419</v>
      </c>
      <c r="V357" s="735">
        <v>29</v>
      </c>
      <c r="W357" s="749" t="s">
        <v>2915</v>
      </c>
      <c r="X357" s="749" t="s">
        <v>8420</v>
      </c>
      <c r="Y357" s="738">
        <v>45</v>
      </c>
      <c r="Z357" s="750" t="s">
        <v>8420</v>
      </c>
      <c r="AA357" s="735">
        <v>45</v>
      </c>
      <c r="AB357" s="749" t="s">
        <v>8421</v>
      </c>
      <c r="AC357" s="735">
        <v>28</v>
      </c>
      <c r="AD357" s="738" t="s">
        <v>3143</v>
      </c>
      <c r="AE357" s="689"/>
      <c r="AF357" s="494" t="s">
        <v>2917</v>
      </c>
      <c r="AJ357" s="751">
        <f>_xll.GetCtData("COAMOUNT","CONSAMOUNT",$B$1:$B$7,$B357,AJ$8,"#60")</f>
        <v>60</v>
      </c>
    </row>
    <row r="358" spans="1:36" ht="12" customHeight="1">
      <c r="A358" s="718" t="s">
        <v>2879</v>
      </c>
      <c r="B358" s="718" t="s">
        <v>8422</v>
      </c>
      <c r="C358" s="453" t="s">
        <v>8423</v>
      </c>
      <c r="D358" s="731" t="s">
        <v>6609</v>
      </c>
      <c r="E358" s="655">
        <v>44035</v>
      </c>
      <c r="F358" s="877" t="s">
        <v>5409</v>
      </c>
      <c r="G358" s="877">
        <v>7</v>
      </c>
      <c r="H358" s="877" t="s">
        <v>6610</v>
      </c>
      <c r="I358" s="879" t="s">
        <v>6610</v>
      </c>
      <c r="J358" s="879" t="s">
        <v>6610</v>
      </c>
      <c r="K358" s="879" t="s">
        <v>6610</v>
      </c>
      <c r="L358" s="879" t="s">
        <v>6610</v>
      </c>
      <c r="M358" s="879" t="s">
        <v>6610</v>
      </c>
      <c r="N358" s="879" t="s">
        <v>6610</v>
      </c>
      <c r="O358" s="757" t="s">
        <v>8423</v>
      </c>
      <c r="P358" s="735">
        <v>9</v>
      </c>
      <c r="Q358" s="784" t="s">
        <v>8424</v>
      </c>
      <c r="R358" s="735">
        <v>31</v>
      </c>
      <c r="S358" s="881" t="s">
        <v>8424</v>
      </c>
      <c r="T358" s="735">
        <v>31</v>
      </c>
      <c r="U358" s="784" t="s">
        <v>8425</v>
      </c>
      <c r="V358" s="735">
        <v>26</v>
      </c>
      <c r="W358" s="758" t="s">
        <v>2915</v>
      </c>
      <c r="X358" s="784" t="s">
        <v>8426</v>
      </c>
      <c r="Y358" s="738">
        <v>40</v>
      </c>
      <c r="Z358" s="881" t="s">
        <v>8426</v>
      </c>
      <c r="AA358" s="735">
        <v>40</v>
      </c>
      <c r="AB358" s="784" t="s">
        <v>8427</v>
      </c>
      <c r="AC358" s="735">
        <v>29</v>
      </c>
      <c r="AD358" s="738" t="s">
        <v>3143</v>
      </c>
      <c r="AE358" s="689"/>
      <c r="AF358" s="494" t="s">
        <v>2917</v>
      </c>
      <c r="AJ358" s="807">
        <f>_xll.GetCtData("COAMOUNT","CONSAMOUNT",$B$1:$B$7,$B358,AJ$8,"#0")</f>
        <v>0</v>
      </c>
    </row>
    <row r="359" spans="1:36" ht="12" customHeight="1">
      <c r="A359" s="718" t="s">
        <v>2879</v>
      </c>
      <c r="B359" s="718" t="s">
        <v>8428</v>
      </c>
      <c r="C359" s="453" t="s">
        <v>8429</v>
      </c>
      <c r="D359" s="731" t="s">
        <v>6609</v>
      </c>
      <c r="E359" s="655">
        <v>44035</v>
      </c>
      <c r="F359" s="877" t="s">
        <v>5409</v>
      </c>
      <c r="G359" s="877">
        <v>7</v>
      </c>
      <c r="H359" s="877" t="s">
        <v>6610</v>
      </c>
      <c r="I359" s="879" t="s">
        <v>6610</v>
      </c>
      <c r="J359" s="879" t="s">
        <v>6610</v>
      </c>
      <c r="K359" s="879" t="s">
        <v>6610</v>
      </c>
      <c r="L359" s="879" t="s">
        <v>6610</v>
      </c>
      <c r="M359" s="879" t="s">
        <v>6610</v>
      </c>
      <c r="N359" s="879" t="s">
        <v>6610</v>
      </c>
      <c r="O359" s="757" t="s">
        <v>8429</v>
      </c>
      <c r="P359" s="735">
        <v>10</v>
      </c>
      <c r="Q359" s="784" t="s">
        <v>8430</v>
      </c>
      <c r="R359" s="735">
        <v>30</v>
      </c>
      <c r="S359" s="881" t="s">
        <v>8430</v>
      </c>
      <c r="T359" s="735">
        <v>30</v>
      </c>
      <c r="U359" s="784" t="s">
        <v>8430</v>
      </c>
      <c r="V359" s="735">
        <v>30</v>
      </c>
      <c r="W359" s="758" t="s">
        <v>2915</v>
      </c>
      <c r="X359" s="784" t="s">
        <v>8431</v>
      </c>
      <c r="Y359" s="738">
        <v>35</v>
      </c>
      <c r="Z359" s="881" t="s">
        <v>8431</v>
      </c>
      <c r="AA359" s="735">
        <v>35</v>
      </c>
      <c r="AB359" s="784" t="s">
        <v>8432</v>
      </c>
      <c r="AC359" s="735">
        <v>18</v>
      </c>
      <c r="AD359" s="738" t="s">
        <v>3143</v>
      </c>
      <c r="AE359" s="689"/>
      <c r="AF359" s="494" t="s">
        <v>2917</v>
      </c>
      <c r="AH359" s="723" t="s">
        <v>5359</v>
      </c>
      <c r="AJ359" s="807">
        <f>_xll.GetCtData("COAMOUNT","CONSAMOUNT",$B$1:$B$7,$B359,AJ$8,"#60")</f>
        <v>60</v>
      </c>
    </row>
    <row r="360" spans="1:36" ht="12" customHeight="1">
      <c r="A360" s="718" t="s">
        <v>2879</v>
      </c>
      <c r="B360" s="718" t="s">
        <v>8433</v>
      </c>
      <c r="C360" s="453" t="s">
        <v>8434</v>
      </c>
      <c r="D360" s="731" t="s">
        <v>6609</v>
      </c>
      <c r="E360" s="655">
        <v>44035</v>
      </c>
      <c r="F360" s="877" t="s">
        <v>2912</v>
      </c>
      <c r="G360" s="877">
        <v>1</v>
      </c>
      <c r="H360" s="877" t="s">
        <v>6610</v>
      </c>
      <c r="I360" s="878" t="s">
        <v>8434</v>
      </c>
      <c r="J360" s="878" t="s">
        <v>6610</v>
      </c>
      <c r="K360" s="878" t="s">
        <v>6610</v>
      </c>
      <c r="L360" s="878" t="s">
        <v>6610</v>
      </c>
      <c r="M360" s="878" t="s">
        <v>6610</v>
      </c>
      <c r="N360" s="878" t="s">
        <v>6610</v>
      </c>
      <c r="O360" s="743"/>
      <c r="P360" s="735">
        <v>0</v>
      </c>
      <c r="Q360" s="744" t="s">
        <v>2572</v>
      </c>
      <c r="R360" s="735">
        <v>14</v>
      </c>
      <c r="S360" s="745" t="s">
        <v>2572</v>
      </c>
      <c r="T360" s="735">
        <v>14</v>
      </c>
      <c r="U360" s="744" t="s">
        <v>2572</v>
      </c>
      <c r="V360" s="735">
        <v>14</v>
      </c>
      <c r="W360" s="744" t="s">
        <v>2915</v>
      </c>
      <c r="X360" s="744" t="s">
        <v>8435</v>
      </c>
      <c r="Y360" s="738">
        <v>17</v>
      </c>
      <c r="Z360" s="745" t="s">
        <v>8435</v>
      </c>
      <c r="AA360" s="735">
        <v>17</v>
      </c>
      <c r="AB360" s="744" t="s">
        <v>8435</v>
      </c>
      <c r="AC360" s="735">
        <v>17</v>
      </c>
      <c r="AD360" s="738" t="s">
        <v>3143</v>
      </c>
      <c r="AE360" s="689"/>
      <c r="AF360" s="494" t="s">
        <v>2917</v>
      </c>
      <c r="AJ360" s="746">
        <f>_xll.GetCtData("COAMOUNT","CONSAMOUNT",$B$1:$B$7,$B360,AJ$8,"#24679993,9069022")</f>
        <v>24679993</v>
      </c>
    </row>
    <row r="361" spans="1:36" ht="12" customHeight="1">
      <c r="A361" s="718" t="s">
        <v>2879</v>
      </c>
      <c r="B361" s="718" t="s">
        <v>1224</v>
      </c>
      <c r="C361" s="453" t="s">
        <v>8436</v>
      </c>
      <c r="D361" s="731" t="s">
        <v>6609</v>
      </c>
      <c r="E361" s="655">
        <v>44035</v>
      </c>
      <c r="F361" s="837" t="s">
        <v>2912</v>
      </c>
      <c r="G361" s="837">
        <v>2</v>
      </c>
      <c r="H361" s="837" t="s">
        <v>6610</v>
      </c>
      <c r="I361" s="834" t="s">
        <v>6610</v>
      </c>
      <c r="J361" s="886" t="s">
        <v>8436</v>
      </c>
      <c r="K361" s="886" t="s">
        <v>6610</v>
      </c>
      <c r="L361" s="886" t="s">
        <v>6610</v>
      </c>
      <c r="M361" s="886" t="s">
        <v>6610</v>
      </c>
      <c r="N361" s="886" t="s">
        <v>6610</v>
      </c>
      <c r="O361" s="887"/>
      <c r="P361" s="735">
        <v>0</v>
      </c>
      <c r="Q361" s="888" t="s">
        <v>8437</v>
      </c>
      <c r="R361" s="735">
        <v>49</v>
      </c>
      <c r="S361" s="889" t="s">
        <v>8437</v>
      </c>
      <c r="T361" s="735">
        <v>49</v>
      </c>
      <c r="U361" s="888" t="s">
        <v>8438</v>
      </c>
      <c r="V361" s="735">
        <v>28</v>
      </c>
      <c r="W361" s="888" t="s">
        <v>8439</v>
      </c>
      <c r="X361" s="888" t="s">
        <v>8440</v>
      </c>
      <c r="Y361" s="738">
        <v>47</v>
      </c>
      <c r="Z361" s="889" t="s">
        <v>8440</v>
      </c>
      <c r="AA361" s="735">
        <v>47</v>
      </c>
      <c r="AB361" s="888" t="s">
        <v>8441</v>
      </c>
      <c r="AC361" s="735">
        <v>29</v>
      </c>
      <c r="AD361" s="738" t="s">
        <v>8442</v>
      </c>
      <c r="AE361" s="689"/>
      <c r="AF361" s="494" t="s">
        <v>2917</v>
      </c>
      <c r="AJ361" s="890">
        <f>_xll.GetCtData("COAMOUNT","CONSAMOUNT",$B$1:$B$7,$B361,AJ$8,"#17057770")</f>
        <v>17057770</v>
      </c>
    </row>
    <row r="362" spans="1:36" ht="12" customHeight="1">
      <c r="A362" s="718" t="s">
        <v>2879</v>
      </c>
      <c r="B362" s="718" t="s">
        <v>8443</v>
      </c>
      <c r="C362" s="453" t="s">
        <v>8444</v>
      </c>
      <c r="D362" s="731" t="s">
        <v>6609</v>
      </c>
      <c r="E362" s="655">
        <v>44035</v>
      </c>
      <c r="F362" s="836" t="s">
        <v>2930</v>
      </c>
      <c r="G362" s="837">
        <v>7</v>
      </c>
      <c r="H362" s="837" t="s">
        <v>6610</v>
      </c>
      <c r="I362" s="834" t="s">
        <v>6610</v>
      </c>
      <c r="J362" s="834" t="s">
        <v>6610</v>
      </c>
      <c r="K362" s="834" t="s">
        <v>6610</v>
      </c>
      <c r="L362" s="834" t="s">
        <v>6610</v>
      </c>
      <c r="M362" s="834" t="s">
        <v>6610</v>
      </c>
      <c r="N362" s="834" t="s">
        <v>6610</v>
      </c>
      <c r="O362" s="839" t="s">
        <v>8444</v>
      </c>
      <c r="P362" s="735">
        <v>9</v>
      </c>
      <c r="Q362" s="891" t="s">
        <v>8437</v>
      </c>
      <c r="R362" s="735">
        <v>49</v>
      </c>
      <c r="S362" s="892" t="s">
        <v>8437</v>
      </c>
      <c r="T362" s="735">
        <v>49</v>
      </c>
      <c r="U362" s="891" t="s">
        <v>8438</v>
      </c>
      <c r="V362" s="735">
        <v>28</v>
      </c>
      <c r="W362" s="891" t="s">
        <v>8439</v>
      </c>
      <c r="X362" s="891" t="s">
        <v>8440</v>
      </c>
      <c r="Y362" s="738">
        <v>47</v>
      </c>
      <c r="Z362" s="892" t="s">
        <v>8440</v>
      </c>
      <c r="AA362" s="735">
        <v>47</v>
      </c>
      <c r="AB362" s="891" t="s">
        <v>8441</v>
      </c>
      <c r="AC362" s="735">
        <v>29</v>
      </c>
      <c r="AD362" s="738" t="s">
        <v>8442</v>
      </c>
      <c r="AE362" s="689"/>
      <c r="AF362" s="494" t="s">
        <v>2917</v>
      </c>
      <c r="AJ362" s="760">
        <f>_xll.GetCtData("COAMOUNT","CONSAMOUNT",$B$1:$B$7,$B362,AJ$8,"#16004920")</f>
        <v>16004920</v>
      </c>
    </row>
    <row r="363" spans="1:36" ht="12" customHeight="1">
      <c r="A363" s="718" t="s">
        <v>2879</v>
      </c>
      <c r="B363" s="718" t="s">
        <v>8445</v>
      </c>
      <c r="C363" s="453" t="s">
        <v>8446</v>
      </c>
      <c r="D363" s="731" t="s">
        <v>6609</v>
      </c>
      <c r="E363" s="655">
        <v>44035</v>
      </c>
      <c r="F363" s="836" t="s">
        <v>2930</v>
      </c>
      <c r="G363" s="837">
        <v>7</v>
      </c>
      <c r="H363" s="837"/>
      <c r="I363" s="834"/>
      <c r="J363" s="834"/>
      <c r="K363" s="834"/>
      <c r="L363" s="834"/>
      <c r="M363" s="834"/>
      <c r="N363" s="834"/>
      <c r="O363" s="839" t="s">
        <v>8446</v>
      </c>
      <c r="P363" s="735">
        <f>LEN(O363)</f>
        <v>9</v>
      </c>
      <c r="Q363" s="891" t="s">
        <v>8447</v>
      </c>
      <c r="R363" s="735"/>
      <c r="S363" s="892"/>
      <c r="T363" s="735"/>
      <c r="U363" s="891"/>
      <c r="V363" s="735"/>
      <c r="W363" s="891"/>
      <c r="X363" s="891"/>
      <c r="Y363" s="738"/>
      <c r="Z363" s="892"/>
      <c r="AA363" s="735"/>
      <c r="AB363" s="891"/>
      <c r="AC363" s="735"/>
      <c r="AD363" s="738"/>
      <c r="AE363" s="689"/>
      <c r="AF363" s="494"/>
      <c r="AJ363" s="760">
        <f>_xll.GetCtData("COAMOUNT","CONSAMOUNT",$B$1:$B$7,$B363,AJ$8,"#851767")</f>
        <v>851767</v>
      </c>
    </row>
    <row r="364" spans="1:36" ht="12" customHeight="1">
      <c r="A364" s="718" t="s">
        <v>2879</v>
      </c>
      <c r="B364" s="718" t="s">
        <v>8448</v>
      </c>
      <c r="C364" s="453" t="s">
        <v>8449</v>
      </c>
      <c r="D364" s="731" t="s">
        <v>6609</v>
      </c>
      <c r="E364" s="655">
        <v>44035</v>
      </c>
      <c r="F364" s="836" t="s">
        <v>2930</v>
      </c>
      <c r="G364" s="837">
        <v>7</v>
      </c>
      <c r="H364" s="837"/>
      <c r="I364" s="834"/>
      <c r="J364" s="834"/>
      <c r="K364" s="834"/>
      <c r="L364" s="834"/>
      <c r="M364" s="834"/>
      <c r="N364" s="834"/>
      <c r="O364" s="839" t="s">
        <v>8449</v>
      </c>
      <c r="P364" s="735">
        <f>LEN(O364)</f>
        <v>9</v>
      </c>
      <c r="Q364" s="891" t="s">
        <v>8450</v>
      </c>
      <c r="R364" s="735"/>
      <c r="S364" s="892"/>
      <c r="T364" s="735"/>
      <c r="U364" s="891"/>
      <c r="V364" s="735"/>
      <c r="W364" s="891"/>
      <c r="X364" s="891"/>
      <c r="Y364" s="738"/>
      <c r="Z364" s="892"/>
      <c r="AA364" s="735"/>
      <c r="AB364" s="891"/>
      <c r="AC364" s="735"/>
      <c r="AD364" s="738"/>
      <c r="AE364" s="689"/>
      <c r="AF364" s="494"/>
      <c r="AJ364" s="760">
        <f>_xll.GetCtData("COAMOUNT","CONSAMOUNT",$B$1:$B$7,$B364,AJ$8,"#")</f>
        <v>0</v>
      </c>
    </row>
    <row r="365" spans="1:36" ht="12" customHeight="1">
      <c r="A365" s="718" t="s">
        <v>2879</v>
      </c>
      <c r="B365" s="718" t="s">
        <v>8451</v>
      </c>
      <c r="C365" s="453" t="s">
        <v>8452</v>
      </c>
      <c r="D365" s="731" t="s">
        <v>6609</v>
      </c>
      <c r="E365" s="655">
        <v>44035</v>
      </c>
      <c r="F365" s="836" t="s">
        <v>2930</v>
      </c>
      <c r="G365" s="837">
        <v>7</v>
      </c>
      <c r="H365" s="837"/>
      <c r="I365" s="834"/>
      <c r="J365" s="834"/>
      <c r="K365" s="834"/>
      <c r="L365" s="834"/>
      <c r="M365" s="834"/>
      <c r="N365" s="834"/>
      <c r="O365" s="839" t="s">
        <v>8452</v>
      </c>
      <c r="P365" s="735">
        <f>LEN(O365)</f>
        <v>9</v>
      </c>
      <c r="Q365" s="892" t="s">
        <v>8453</v>
      </c>
      <c r="R365" s="735"/>
      <c r="S365" s="892"/>
      <c r="T365" s="735"/>
      <c r="U365" s="891"/>
      <c r="V365" s="735"/>
      <c r="W365" s="891"/>
      <c r="X365" s="891"/>
      <c r="Y365" s="738"/>
      <c r="Z365" s="892"/>
      <c r="AA365" s="735"/>
      <c r="AB365" s="891"/>
      <c r="AC365" s="735"/>
      <c r="AD365" s="738"/>
      <c r="AE365" s="689"/>
      <c r="AF365" s="494"/>
      <c r="AJ365" s="760">
        <f>_xll.GetCtData("COAMOUNT","CONSAMOUNT",$B$1:$B$7,$B365,AJ$8,"#201083")</f>
        <v>201083</v>
      </c>
    </row>
    <row r="366" spans="1:36" ht="12" customHeight="1">
      <c r="A366" s="718" t="s">
        <v>2879</v>
      </c>
      <c r="B366" s="718" t="s">
        <v>8454</v>
      </c>
      <c r="C366" s="453" t="s">
        <v>8455</v>
      </c>
      <c r="D366" s="731" t="s">
        <v>6609</v>
      </c>
      <c r="E366" s="655">
        <v>44035</v>
      </c>
      <c r="F366" s="837" t="s">
        <v>2912</v>
      </c>
      <c r="G366" s="837">
        <v>2</v>
      </c>
      <c r="H366" s="837" t="s">
        <v>6610</v>
      </c>
      <c r="I366" s="834" t="s">
        <v>6610</v>
      </c>
      <c r="J366" s="886" t="s">
        <v>8455</v>
      </c>
      <c r="K366" s="886" t="s">
        <v>6610</v>
      </c>
      <c r="L366" s="886" t="s">
        <v>6610</v>
      </c>
      <c r="M366" s="886" t="s">
        <v>6610</v>
      </c>
      <c r="N366" s="886" t="s">
        <v>6610</v>
      </c>
      <c r="O366" s="887"/>
      <c r="P366" s="735">
        <v>0</v>
      </c>
      <c r="Q366" s="888" t="s">
        <v>8456</v>
      </c>
      <c r="R366" s="735">
        <v>64</v>
      </c>
      <c r="S366" s="889" t="s">
        <v>8456</v>
      </c>
      <c r="T366" s="735">
        <v>64</v>
      </c>
      <c r="U366" s="888" t="s">
        <v>8457</v>
      </c>
      <c r="V366" s="735">
        <v>29</v>
      </c>
      <c r="W366" s="888" t="s">
        <v>8439</v>
      </c>
      <c r="X366" s="888" t="s">
        <v>8458</v>
      </c>
      <c r="Y366" s="738">
        <v>34</v>
      </c>
      <c r="Z366" s="889" t="s">
        <v>8458</v>
      </c>
      <c r="AA366" s="735">
        <v>34</v>
      </c>
      <c r="AB366" s="888" t="s">
        <v>8459</v>
      </c>
      <c r="AC366" s="735">
        <v>25</v>
      </c>
      <c r="AD366" s="738" t="s">
        <v>8442</v>
      </c>
      <c r="AE366" s="689"/>
      <c r="AF366" s="494" t="s">
        <v>2917</v>
      </c>
      <c r="AJ366" s="890">
        <f>_xll.GetCtData("COAMOUNT","CONSAMOUNT",$B$1:$B$7,$B366,AJ$8,"#491135")</f>
        <v>491135</v>
      </c>
    </row>
    <row r="367" spans="1:36" ht="12" customHeight="1">
      <c r="A367" s="718" t="s">
        <v>2879</v>
      </c>
      <c r="B367" s="718" t="s">
        <v>8460</v>
      </c>
      <c r="C367" s="453" t="s">
        <v>8461</v>
      </c>
      <c r="D367" s="731" t="s">
        <v>6609</v>
      </c>
      <c r="E367" s="655">
        <v>44035</v>
      </c>
      <c r="F367" s="836" t="s">
        <v>2930</v>
      </c>
      <c r="G367" s="837">
        <v>7</v>
      </c>
      <c r="H367" s="837" t="s">
        <v>6610</v>
      </c>
      <c r="I367" s="834" t="s">
        <v>6610</v>
      </c>
      <c r="J367" s="834" t="s">
        <v>6610</v>
      </c>
      <c r="K367" s="834" t="s">
        <v>6610</v>
      </c>
      <c r="L367" s="834" t="s">
        <v>6610</v>
      </c>
      <c r="M367" s="834" t="s">
        <v>6610</v>
      </c>
      <c r="N367" s="834" t="s">
        <v>6610</v>
      </c>
      <c r="O367" s="839" t="s">
        <v>8461</v>
      </c>
      <c r="P367" s="735">
        <v>9</v>
      </c>
      <c r="Q367" s="891" t="s">
        <v>8462</v>
      </c>
      <c r="R367" s="735">
        <v>44</v>
      </c>
      <c r="S367" s="892" t="s">
        <v>8462</v>
      </c>
      <c r="T367" s="735">
        <v>44</v>
      </c>
      <c r="U367" s="891" t="s">
        <v>8463</v>
      </c>
      <c r="V367" s="735">
        <v>29</v>
      </c>
      <c r="W367" s="891" t="s">
        <v>8439</v>
      </c>
      <c r="X367" s="891" t="s">
        <v>8464</v>
      </c>
      <c r="Y367" s="738">
        <v>35</v>
      </c>
      <c r="Z367" s="892" t="s">
        <v>8464</v>
      </c>
      <c r="AA367" s="735">
        <v>35</v>
      </c>
      <c r="AB367" s="891" t="s">
        <v>8465</v>
      </c>
      <c r="AC367" s="735">
        <v>29</v>
      </c>
      <c r="AD367" s="738" t="s">
        <v>8442</v>
      </c>
      <c r="AE367" s="689"/>
      <c r="AF367" s="494" t="s">
        <v>2917</v>
      </c>
      <c r="AJ367" s="760">
        <f>_xll.GetCtData("COAMOUNT","CONSAMOUNT",$B$1:$B$7,$B367,AJ$8,"#0")</f>
        <v>0</v>
      </c>
    </row>
    <row r="368" spans="1:36" ht="12" customHeight="1">
      <c r="A368" s="718" t="s">
        <v>2879</v>
      </c>
      <c r="B368" s="718" t="s">
        <v>8466</v>
      </c>
      <c r="C368" s="453" t="s">
        <v>8467</v>
      </c>
      <c r="D368" s="731" t="s">
        <v>6609</v>
      </c>
      <c r="E368" s="655">
        <v>44035</v>
      </c>
      <c r="F368" s="836" t="s">
        <v>2930</v>
      </c>
      <c r="G368" s="837">
        <v>7</v>
      </c>
      <c r="H368" s="837" t="s">
        <v>6610</v>
      </c>
      <c r="I368" s="834" t="s">
        <v>6610</v>
      </c>
      <c r="J368" s="834" t="s">
        <v>6610</v>
      </c>
      <c r="K368" s="834" t="s">
        <v>6610</v>
      </c>
      <c r="L368" s="834" t="s">
        <v>6610</v>
      </c>
      <c r="M368" s="834" t="s">
        <v>6610</v>
      </c>
      <c r="N368" s="834" t="s">
        <v>6610</v>
      </c>
      <c r="O368" s="839" t="s">
        <v>8467</v>
      </c>
      <c r="P368" s="735">
        <v>9</v>
      </c>
      <c r="Q368" s="891" t="s">
        <v>65</v>
      </c>
      <c r="R368" s="735">
        <v>16</v>
      </c>
      <c r="S368" s="892" t="s">
        <v>65</v>
      </c>
      <c r="T368" s="735">
        <v>16</v>
      </c>
      <c r="U368" s="891" t="s">
        <v>65</v>
      </c>
      <c r="V368" s="735">
        <v>16</v>
      </c>
      <c r="W368" s="891" t="s">
        <v>8439</v>
      </c>
      <c r="X368" s="891" t="s">
        <v>8468</v>
      </c>
      <c r="Y368" s="738">
        <v>15</v>
      </c>
      <c r="Z368" s="892" t="s">
        <v>8468</v>
      </c>
      <c r="AA368" s="735">
        <v>15</v>
      </c>
      <c r="AB368" s="891" t="s">
        <v>8468</v>
      </c>
      <c r="AC368" s="735">
        <v>15</v>
      </c>
      <c r="AD368" s="738" t="s">
        <v>8442</v>
      </c>
      <c r="AE368" s="689"/>
      <c r="AF368" s="494" t="s">
        <v>2917</v>
      </c>
      <c r="AJ368" s="760">
        <f>_xll.GetCtData("COAMOUNT","CONSAMOUNT",$B$1:$B$7,$B368,AJ$8,"#491135")</f>
        <v>491135</v>
      </c>
    </row>
    <row r="369" spans="1:36" ht="12" customHeight="1">
      <c r="A369" s="718" t="s">
        <v>2879</v>
      </c>
      <c r="B369" s="718" t="s">
        <v>8469</v>
      </c>
      <c r="C369" s="453" t="s">
        <v>8470</v>
      </c>
      <c r="D369" s="731" t="s">
        <v>6609</v>
      </c>
      <c r="E369" s="655">
        <v>44035</v>
      </c>
      <c r="F369" s="837" t="s">
        <v>2912</v>
      </c>
      <c r="G369" s="837">
        <v>2</v>
      </c>
      <c r="H369" s="837" t="s">
        <v>6610</v>
      </c>
      <c r="I369" s="834" t="s">
        <v>6610</v>
      </c>
      <c r="J369" s="886" t="s">
        <v>8470</v>
      </c>
      <c r="K369" s="886" t="s">
        <v>6610</v>
      </c>
      <c r="L369" s="886" t="s">
        <v>6610</v>
      </c>
      <c r="M369" s="886" t="s">
        <v>6610</v>
      </c>
      <c r="N369" s="886" t="s">
        <v>6610</v>
      </c>
      <c r="O369" s="887"/>
      <c r="P369" s="735">
        <v>0</v>
      </c>
      <c r="Q369" s="888" t="s">
        <v>8471</v>
      </c>
      <c r="R369" s="735">
        <v>25</v>
      </c>
      <c r="S369" s="889" t="s">
        <v>8471</v>
      </c>
      <c r="T369" s="735">
        <v>25</v>
      </c>
      <c r="U369" s="888" t="s">
        <v>8471</v>
      </c>
      <c r="V369" s="735">
        <v>25</v>
      </c>
      <c r="W369" s="888" t="s">
        <v>8439</v>
      </c>
      <c r="X369" s="888" t="s">
        <v>8472</v>
      </c>
      <c r="Y369" s="738">
        <v>21</v>
      </c>
      <c r="Z369" s="889" t="s">
        <v>8472</v>
      </c>
      <c r="AA369" s="735">
        <v>21</v>
      </c>
      <c r="AB369" s="888" t="s">
        <v>8472</v>
      </c>
      <c r="AC369" s="735">
        <v>21</v>
      </c>
      <c r="AD369" s="738" t="s">
        <v>8442</v>
      </c>
      <c r="AE369" s="689"/>
      <c r="AF369" s="494" t="s">
        <v>2917</v>
      </c>
      <c r="AJ369" s="890">
        <f>_xll.GetCtData("COAMOUNT","CONSAMOUNT",$B$1:$B$7,$B369,AJ$8,"#116171,037721257")</f>
        <v>116171</v>
      </c>
    </row>
    <row r="370" spans="1:36" ht="12" customHeight="1">
      <c r="A370" s="718" t="s">
        <v>2879</v>
      </c>
      <c r="B370" s="718" t="s">
        <v>8473</v>
      </c>
      <c r="C370" s="453" t="s">
        <v>8474</v>
      </c>
      <c r="D370" s="731" t="s">
        <v>6609</v>
      </c>
      <c r="E370" s="655">
        <v>44035</v>
      </c>
      <c r="F370" s="837" t="s">
        <v>2912</v>
      </c>
      <c r="G370" s="837">
        <v>3</v>
      </c>
      <c r="H370" s="837" t="s">
        <v>6610</v>
      </c>
      <c r="I370" s="834" t="s">
        <v>6610</v>
      </c>
      <c r="J370" s="834" t="s">
        <v>6610</v>
      </c>
      <c r="K370" s="893" t="s">
        <v>8474</v>
      </c>
      <c r="L370" s="893" t="s">
        <v>6610</v>
      </c>
      <c r="M370" s="893" t="s">
        <v>6610</v>
      </c>
      <c r="N370" s="893" t="s">
        <v>6610</v>
      </c>
      <c r="O370" s="894"/>
      <c r="P370" s="735">
        <v>0</v>
      </c>
      <c r="Q370" s="754" t="s">
        <v>8475</v>
      </c>
      <c r="R370" s="735">
        <v>41</v>
      </c>
      <c r="S370" s="755" t="s">
        <v>8475</v>
      </c>
      <c r="T370" s="735">
        <v>41</v>
      </c>
      <c r="U370" s="754" t="s">
        <v>8476</v>
      </c>
      <c r="V370" s="735">
        <v>30</v>
      </c>
      <c r="W370" s="754" t="s">
        <v>8439</v>
      </c>
      <c r="X370" s="754" t="s">
        <v>8477</v>
      </c>
      <c r="Y370" s="738">
        <v>26</v>
      </c>
      <c r="Z370" s="755" t="s">
        <v>8477</v>
      </c>
      <c r="AA370" s="735">
        <v>26</v>
      </c>
      <c r="AB370" s="754" t="s">
        <v>8477</v>
      </c>
      <c r="AC370" s="735">
        <v>26</v>
      </c>
      <c r="AD370" s="738" t="s">
        <v>8442</v>
      </c>
      <c r="AE370" s="689"/>
      <c r="AF370" s="494" t="s">
        <v>2917</v>
      </c>
      <c r="AJ370" s="756">
        <f>_xll.GetCtData("COAMOUNT","CONSAMOUNT",$B$1:$B$7,$B370,AJ$8,"#84799,0377212571")</f>
        <v>84799</v>
      </c>
    </row>
    <row r="371" spans="1:36" ht="12" customHeight="1">
      <c r="A371" s="718" t="s">
        <v>2879</v>
      </c>
      <c r="B371" s="718" t="s">
        <v>2640</v>
      </c>
      <c r="C371" s="453" t="s">
        <v>8478</v>
      </c>
      <c r="D371" s="731" t="s">
        <v>6609</v>
      </c>
      <c r="E371" s="655">
        <v>44035</v>
      </c>
      <c r="F371" s="836" t="s">
        <v>2930</v>
      </c>
      <c r="G371" s="837">
        <v>7</v>
      </c>
      <c r="H371" s="837" t="s">
        <v>6610</v>
      </c>
      <c r="I371" s="834" t="s">
        <v>6610</v>
      </c>
      <c r="J371" s="834" t="s">
        <v>6610</v>
      </c>
      <c r="K371" s="834" t="s">
        <v>6610</v>
      </c>
      <c r="L371" s="834" t="s">
        <v>6610</v>
      </c>
      <c r="M371" s="834" t="s">
        <v>6610</v>
      </c>
      <c r="N371" s="834" t="s">
        <v>6610</v>
      </c>
      <c r="O371" s="839" t="s">
        <v>8478</v>
      </c>
      <c r="P371" s="735">
        <v>9</v>
      </c>
      <c r="Q371" s="891" t="s">
        <v>8471</v>
      </c>
      <c r="R371" s="735">
        <v>25</v>
      </c>
      <c r="S371" s="892" t="s">
        <v>8471</v>
      </c>
      <c r="T371" s="735">
        <v>25</v>
      </c>
      <c r="U371" s="891" t="s">
        <v>8471</v>
      </c>
      <c r="V371" s="735">
        <v>25</v>
      </c>
      <c r="W371" s="891" t="s">
        <v>8439</v>
      </c>
      <c r="X371" s="891" t="s">
        <v>8472</v>
      </c>
      <c r="Y371" s="738">
        <v>21</v>
      </c>
      <c r="Z371" s="892" t="s">
        <v>8472</v>
      </c>
      <c r="AA371" s="735">
        <v>21</v>
      </c>
      <c r="AB371" s="891" t="s">
        <v>8472</v>
      </c>
      <c r="AC371" s="735">
        <v>21</v>
      </c>
      <c r="AD371" s="738" t="s">
        <v>8442</v>
      </c>
      <c r="AE371" s="689"/>
      <c r="AF371" s="494" t="s">
        <v>2917</v>
      </c>
      <c r="AJ371" s="760">
        <f>_xll.GetCtData("COAMOUNT","CONSAMOUNT",$B$1:$B$7,$B371,AJ$8,"#84799,0377212571")</f>
        <v>84799</v>
      </c>
    </row>
    <row r="372" spans="1:36" ht="12" customHeight="1">
      <c r="A372" s="718" t="s">
        <v>2879</v>
      </c>
      <c r="B372" s="718" t="s">
        <v>8479</v>
      </c>
      <c r="C372" s="453" t="s">
        <v>8480</v>
      </c>
      <c r="D372" s="731" t="s">
        <v>6609</v>
      </c>
      <c r="E372" s="655">
        <v>44035</v>
      </c>
      <c r="F372" s="837" t="s">
        <v>2912</v>
      </c>
      <c r="G372" s="837">
        <v>3</v>
      </c>
      <c r="H372" s="837" t="s">
        <v>6610</v>
      </c>
      <c r="I372" s="834" t="s">
        <v>6610</v>
      </c>
      <c r="J372" s="834" t="s">
        <v>6610</v>
      </c>
      <c r="K372" s="893" t="s">
        <v>8480</v>
      </c>
      <c r="L372" s="893" t="s">
        <v>6610</v>
      </c>
      <c r="M372" s="893" t="s">
        <v>6610</v>
      </c>
      <c r="N372" s="893" t="s">
        <v>6610</v>
      </c>
      <c r="O372" s="894"/>
      <c r="P372" s="735">
        <v>0</v>
      </c>
      <c r="Q372" s="754" t="s">
        <v>8481</v>
      </c>
      <c r="R372" s="735">
        <v>37</v>
      </c>
      <c r="S372" s="755" t="s">
        <v>8481</v>
      </c>
      <c r="T372" s="735">
        <v>37</v>
      </c>
      <c r="U372" s="754" t="s">
        <v>8482</v>
      </c>
      <c r="V372" s="735">
        <v>27</v>
      </c>
      <c r="W372" s="754" t="s">
        <v>8439</v>
      </c>
      <c r="X372" s="754" t="s">
        <v>8483</v>
      </c>
      <c r="Y372" s="738">
        <v>24</v>
      </c>
      <c r="Z372" s="755" t="s">
        <v>8483</v>
      </c>
      <c r="AA372" s="735">
        <v>24</v>
      </c>
      <c r="AB372" s="754" t="s">
        <v>8483</v>
      </c>
      <c r="AC372" s="735">
        <v>24</v>
      </c>
      <c r="AD372" s="738" t="s">
        <v>8442</v>
      </c>
      <c r="AE372" s="689"/>
      <c r="AF372" s="494" t="s">
        <v>2917</v>
      </c>
      <c r="AJ372" s="756">
        <f>_xll.GetCtData("COAMOUNT","CONSAMOUNT",$B$1:$B$7,$B372,AJ$8,"#31372")</f>
        <v>31372</v>
      </c>
    </row>
    <row r="373" spans="1:36" ht="12" customHeight="1">
      <c r="A373" s="718" t="s">
        <v>2879</v>
      </c>
      <c r="B373" s="718" t="s">
        <v>8484</v>
      </c>
      <c r="C373" s="453" t="s">
        <v>8485</v>
      </c>
      <c r="D373" s="731" t="s">
        <v>6609</v>
      </c>
      <c r="E373" s="655">
        <v>44035</v>
      </c>
      <c r="F373" s="837" t="s">
        <v>2930</v>
      </c>
      <c r="G373" s="837">
        <v>7</v>
      </c>
      <c r="H373" s="837" t="s">
        <v>6610</v>
      </c>
      <c r="I373" s="834" t="s">
        <v>6610</v>
      </c>
      <c r="J373" s="834" t="s">
        <v>6610</v>
      </c>
      <c r="K373" s="834" t="s">
        <v>6610</v>
      </c>
      <c r="L373" s="834" t="s">
        <v>6610</v>
      </c>
      <c r="M373" s="834" t="s">
        <v>6610</v>
      </c>
      <c r="N373" s="834" t="s">
        <v>6610</v>
      </c>
      <c r="O373" s="839" t="s">
        <v>8485</v>
      </c>
      <c r="P373" s="735">
        <v>9</v>
      </c>
      <c r="Q373" s="891" t="s">
        <v>8486</v>
      </c>
      <c r="R373" s="735">
        <v>28</v>
      </c>
      <c r="S373" s="892" t="s">
        <v>8486</v>
      </c>
      <c r="T373" s="735">
        <v>28</v>
      </c>
      <c r="U373" s="891" t="s">
        <v>8486</v>
      </c>
      <c r="V373" s="735">
        <v>28</v>
      </c>
      <c r="W373" s="891" t="s">
        <v>8439</v>
      </c>
      <c r="X373" s="891" t="s">
        <v>8483</v>
      </c>
      <c r="Y373" s="738">
        <v>24</v>
      </c>
      <c r="Z373" s="892" t="s">
        <v>8483</v>
      </c>
      <c r="AA373" s="735">
        <v>24</v>
      </c>
      <c r="AB373" s="891" t="s">
        <v>8483</v>
      </c>
      <c r="AC373" s="735">
        <v>24</v>
      </c>
      <c r="AD373" s="738" t="s">
        <v>8442</v>
      </c>
      <c r="AE373" s="689"/>
      <c r="AF373" s="494" t="s">
        <v>2917</v>
      </c>
      <c r="AH373" s="723" t="s">
        <v>5359</v>
      </c>
      <c r="AJ373" s="760">
        <f>_xll.GetCtData("COAMOUNT","CONSAMOUNT",$B$1:$B$7,$B373,AJ$8,"#31372")</f>
        <v>31372</v>
      </c>
    </row>
    <row r="374" spans="1:36" ht="12" customHeight="1">
      <c r="A374" s="718" t="s">
        <v>2879</v>
      </c>
      <c r="B374" s="718" t="s">
        <v>8487</v>
      </c>
      <c r="C374" s="453" t="s">
        <v>8488</v>
      </c>
      <c r="D374" s="731" t="s">
        <v>6609</v>
      </c>
      <c r="E374" s="655">
        <v>44035</v>
      </c>
      <c r="F374" s="837" t="s">
        <v>2912</v>
      </c>
      <c r="G374" s="837">
        <v>3</v>
      </c>
      <c r="H374" s="837" t="s">
        <v>6610</v>
      </c>
      <c r="I374" s="834" t="s">
        <v>6610</v>
      </c>
      <c r="J374" s="834" t="s">
        <v>6610</v>
      </c>
      <c r="K374" s="893" t="s">
        <v>8488</v>
      </c>
      <c r="L374" s="893" t="s">
        <v>6610</v>
      </c>
      <c r="M374" s="893" t="s">
        <v>6610</v>
      </c>
      <c r="N374" s="893" t="s">
        <v>6610</v>
      </c>
      <c r="O374" s="894"/>
      <c r="P374" s="735">
        <v>0</v>
      </c>
      <c r="Q374" s="754" t="s">
        <v>8489</v>
      </c>
      <c r="R374" s="735">
        <v>45</v>
      </c>
      <c r="S374" s="755" t="s">
        <v>8489</v>
      </c>
      <c r="T374" s="735">
        <v>45</v>
      </c>
      <c r="U374" s="754" t="s">
        <v>8490</v>
      </c>
      <c r="V374" s="735">
        <v>30</v>
      </c>
      <c r="W374" s="754" t="s">
        <v>2915</v>
      </c>
      <c r="X374" s="754" t="s">
        <v>8491</v>
      </c>
      <c r="Y374" s="738">
        <v>45</v>
      </c>
      <c r="Z374" s="755" t="s">
        <v>8491</v>
      </c>
      <c r="AA374" s="735">
        <v>45</v>
      </c>
      <c r="AB374" s="754" t="s">
        <v>8492</v>
      </c>
      <c r="AC374" s="735">
        <v>29</v>
      </c>
      <c r="AD374" s="738" t="s">
        <v>3143</v>
      </c>
      <c r="AE374" s="689"/>
      <c r="AF374" s="494" t="s">
        <v>2917</v>
      </c>
      <c r="AJ374" s="756">
        <f>_xll.GetCtData("COAMOUNT","CONSAMOUNT",$B$1:$B$7,$B374,AJ$8,"#0")</f>
        <v>0</v>
      </c>
    </row>
    <row r="375" spans="1:36" ht="12" customHeight="1">
      <c r="A375" s="718" t="s">
        <v>2879</v>
      </c>
      <c r="B375" s="718" t="s">
        <v>8493</v>
      </c>
      <c r="C375" s="453" t="s">
        <v>8494</v>
      </c>
      <c r="D375" s="731" t="s">
        <v>6609</v>
      </c>
      <c r="E375" s="655">
        <v>44035</v>
      </c>
      <c r="F375" s="837" t="s">
        <v>5409</v>
      </c>
      <c r="G375" s="837">
        <v>7</v>
      </c>
      <c r="H375" s="837" t="s">
        <v>6610</v>
      </c>
      <c r="I375" s="834" t="s">
        <v>6610</v>
      </c>
      <c r="J375" s="834" t="s">
        <v>6610</v>
      </c>
      <c r="K375" s="834" t="s">
        <v>6610</v>
      </c>
      <c r="L375" s="834" t="s">
        <v>6610</v>
      </c>
      <c r="M375" s="834" t="s">
        <v>6610</v>
      </c>
      <c r="N375" s="834" t="s">
        <v>6610</v>
      </c>
      <c r="O375" s="839" t="s">
        <v>8494</v>
      </c>
      <c r="P375" s="735">
        <v>9</v>
      </c>
      <c r="Q375" s="891" t="s">
        <v>8495</v>
      </c>
      <c r="R375" s="735">
        <v>29</v>
      </c>
      <c r="S375" s="892" t="s">
        <v>8495</v>
      </c>
      <c r="T375" s="735">
        <v>29</v>
      </c>
      <c r="U375" s="891" t="s">
        <v>8495</v>
      </c>
      <c r="V375" s="735">
        <v>29</v>
      </c>
      <c r="W375" s="758" t="s">
        <v>2915</v>
      </c>
      <c r="X375" s="891" t="s">
        <v>8496</v>
      </c>
      <c r="Y375" s="738">
        <v>31</v>
      </c>
      <c r="Z375" s="892" t="s">
        <v>8496</v>
      </c>
      <c r="AA375" s="735">
        <v>31</v>
      </c>
      <c r="AB375" s="891" t="s">
        <v>8497</v>
      </c>
      <c r="AC375" s="735">
        <v>29</v>
      </c>
      <c r="AD375" s="738" t="s">
        <v>3143</v>
      </c>
      <c r="AE375" s="689"/>
      <c r="AF375" s="494" t="s">
        <v>2917</v>
      </c>
      <c r="AJ375" s="760">
        <f>_xll.GetCtData("COAMOUNT","CONSAMOUNT",$B$1:$B$7,$B375,AJ$8,"#0")</f>
        <v>0</v>
      </c>
    </row>
    <row r="376" spans="1:36" ht="12" customHeight="1">
      <c r="A376" s="718" t="s">
        <v>2879</v>
      </c>
      <c r="B376" s="718" t="s">
        <v>8498</v>
      </c>
      <c r="C376" s="453" t="s">
        <v>8499</v>
      </c>
      <c r="D376" s="731" t="s">
        <v>6609</v>
      </c>
      <c r="E376" s="655">
        <v>44035</v>
      </c>
      <c r="F376" s="837" t="s">
        <v>5409</v>
      </c>
      <c r="G376" s="837">
        <v>7</v>
      </c>
      <c r="H376" s="837" t="s">
        <v>6610</v>
      </c>
      <c r="I376" s="834" t="s">
        <v>6610</v>
      </c>
      <c r="J376" s="834" t="s">
        <v>6610</v>
      </c>
      <c r="K376" s="834" t="s">
        <v>6610</v>
      </c>
      <c r="L376" s="834" t="s">
        <v>6610</v>
      </c>
      <c r="M376" s="834" t="s">
        <v>6610</v>
      </c>
      <c r="N376" s="834" t="s">
        <v>6610</v>
      </c>
      <c r="O376" s="839" t="s">
        <v>8499</v>
      </c>
      <c r="P376" s="735">
        <v>10</v>
      </c>
      <c r="Q376" s="891" t="s">
        <v>8500</v>
      </c>
      <c r="R376" s="735">
        <v>28</v>
      </c>
      <c r="S376" s="892" t="s">
        <v>8500</v>
      </c>
      <c r="T376" s="735">
        <v>28</v>
      </c>
      <c r="U376" s="891" t="s">
        <v>8500</v>
      </c>
      <c r="V376" s="735">
        <v>28</v>
      </c>
      <c r="W376" s="758" t="s">
        <v>2915</v>
      </c>
      <c r="X376" s="891" t="s">
        <v>8501</v>
      </c>
      <c r="Y376" s="738">
        <v>26</v>
      </c>
      <c r="Z376" s="892" t="s">
        <v>8501</v>
      </c>
      <c r="AA376" s="735">
        <v>26</v>
      </c>
      <c r="AB376" s="891" t="s">
        <v>8501</v>
      </c>
      <c r="AC376" s="735">
        <v>26</v>
      </c>
      <c r="AD376" s="738" t="s">
        <v>3143</v>
      </c>
      <c r="AE376" s="689"/>
      <c r="AF376" s="494" t="s">
        <v>2917</v>
      </c>
      <c r="AH376" s="723" t="s">
        <v>5359</v>
      </c>
      <c r="AJ376" s="760">
        <f>_xll.GetCtData("COAMOUNT","CONSAMOUNT",$B$1:$B$7,$B376,AJ$8,"#0")</f>
        <v>0</v>
      </c>
    </row>
    <row r="377" spans="1:36" ht="12" customHeight="1">
      <c r="A377" s="718" t="s">
        <v>2879</v>
      </c>
      <c r="B377" s="718" t="s">
        <v>8502</v>
      </c>
      <c r="C377" s="453" t="s">
        <v>8503</v>
      </c>
      <c r="D377" s="731" t="s">
        <v>6609</v>
      </c>
      <c r="E377" s="655">
        <v>44035</v>
      </c>
      <c r="F377" s="837" t="s">
        <v>2912</v>
      </c>
      <c r="G377" s="837">
        <v>2</v>
      </c>
      <c r="H377" s="837" t="s">
        <v>6610</v>
      </c>
      <c r="I377" s="834" t="s">
        <v>6610</v>
      </c>
      <c r="J377" s="886" t="s">
        <v>8503</v>
      </c>
      <c r="K377" s="886" t="s">
        <v>6610</v>
      </c>
      <c r="L377" s="886" t="s">
        <v>6610</v>
      </c>
      <c r="M377" s="886" t="s">
        <v>6610</v>
      </c>
      <c r="N377" s="886" t="s">
        <v>6610</v>
      </c>
      <c r="O377" s="887"/>
      <c r="P377" s="735">
        <v>0</v>
      </c>
      <c r="Q377" s="888" t="s">
        <v>8504</v>
      </c>
      <c r="R377" s="735">
        <v>27</v>
      </c>
      <c r="S377" s="889" t="s">
        <v>8504</v>
      </c>
      <c r="T377" s="735">
        <v>27</v>
      </c>
      <c r="U377" s="888" t="s">
        <v>8504</v>
      </c>
      <c r="V377" s="735">
        <v>27</v>
      </c>
      <c r="W377" s="888" t="s">
        <v>8439</v>
      </c>
      <c r="X377" s="888" t="s">
        <v>8505</v>
      </c>
      <c r="Y377" s="738">
        <v>38</v>
      </c>
      <c r="Z377" s="889" t="s">
        <v>8505</v>
      </c>
      <c r="AA377" s="735">
        <v>38</v>
      </c>
      <c r="AB377" s="888" t="s">
        <v>8506</v>
      </c>
      <c r="AC377" s="735">
        <v>29</v>
      </c>
      <c r="AD377" s="738" t="s">
        <v>8442</v>
      </c>
      <c r="AE377" s="689"/>
      <c r="AF377" s="494" t="s">
        <v>2917</v>
      </c>
      <c r="AJ377" s="890">
        <f>_xll.GetCtData("COAMOUNT","CONSAMOUNT",$B$1:$B$7,$B377,AJ$8,"#90110")</f>
        <v>90110</v>
      </c>
    </row>
    <row r="378" spans="1:36" ht="12" customHeight="1">
      <c r="A378" s="718" t="s">
        <v>2879</v>
      </c>
      <c r="B378" s="718" t="s">
        <v>8507</v>
      </c>
      <c r="C378" s="453" t="s">
        <v>8508</v>
      </c>
      <c r="D378" s="731" t="s">
        <v>6609</v>
      </c>
      <c r="E378" s="655">
        <v>44035</v>
      </c>
      <c r="F378" s="837" t="s">
        <v>2930</v>
      </c>
      <c r="G378" s="837">
        <v>7</v>
      </c>
      <c r="H378" s="837" t="s">
        <v>6610</v>
      </c>
      <c r="I378" s="834" t="s">
        <v>6610</v>
      </c>
      <c r="J378" s="834" t="s">
        <v>6610</v>
      </c>
      <c r="K378" s="834" t="s">
        <v>6610</v>
      </c>
      <c r="L378" s="834" t="s">
        <v>6610</v>
      </c>
      <c r="M378" s="834" t="s">
        <v>6610</v>
      </c>
      <c r="N378" s="834" t="s">
        <v>6610</v>
      </c>
      <c r="O378" s="839" t="s">
        <v>8508</v>
      </c>
      <c r="P378" s="735">
        <v>9</v>
      </c>
      <c r="Q378" s="891" t="s">
        <v>8504</v>
      </c>
      <c r="R378" s="735">
        <v>27</v>
      </c>
      <c r="S378" s="892" t="s">
        <v>8504</v>
      </c>
      <c r="T378" s="735">
        <v>27</v>
      </c>
      <c r="U378" s="891" t="s">
        <v>8504</v>
      </c>
      <c r="V378" s="735">
        <v>27</v>
      </c>
      <c r="W378" s="891" t="s">
        <v>8439</v>
      </c>
      <c r="X378" s="891" t="s">
        <v>8505</v>
      </c>
      <c r="Y378" s="738">
        <v>38</v>
      </c>
      <c r="Z378" s="892" t="s">
        <v>8505</v>
      </c>
      <c r="AA378" s="735">
        <v>38</v>
      </c>
      <c r="AB378" s="891" t="s">
        <v>8506</v>
      </c>
      <c r="AC378" s="735">
        <v>29</v>
      </c>
      <c r="AD378" s="738" t="s">
        <v>8442</v>
      </c>
      <c r="AE378" s="689"/>
      <c r="AF378" s="494" t="s">
        <v>2917</v>
      </c>
      <c r="AJ378" s="760">
        <f>_xll.GetCtData("COAMOUNT","CONSAMOUNT",$B$1:$B$7,$B378,AJ$8,"#90110")</f>
        <v>90110</v>
      </c>
    </row>
    <row r="379" spans="1:36" ht="12" customHeight="1">
      <c r="A379" s="718" t="s">
        <v>2879</v>
      </c>
      <c r="B379" s="718" t="s">
        <v>8509</v>
      </c>
      <c r="C379" s="453" t="s">
        <v>8510</v>
      </c>
      <c r="D379" s="731" t="s">
        <v>6609</v>
      </c>
      <c r="E379" s="655">
        <v>44035</v>
      </c>
      <c r="F379" s="837" t="s">
        <v>2912</v>
      </c>
      <c r="G379" s="837">
        <v>2</v>
      </c>
      <c r="H379" s="837" t="s">
        <v>6610</v>
      </c>
      <c r="I379" s="834" t="s">
        <v>6610</v>
      </c>
      <c r="J379" s="886" t="s">
        <v>8510</v>
      </c>
      <c r="K379" s="886" t="s">
        <v>6610</v>
      </c>
      <c r="L379" s="886" t="s">
        <v>6610</v>
      </c>
      <c r="M379" s="886" t="s">
        <v>6610</v>
      </c>
      <c r="N379" s="886" t="s">
        <v>6610</v>
      </c>
      <c r="O379" s="887"/>
      <c r="P379" s="735">
        <v>0</v>
      </c>
      <c r="Q379" s="888" t="s">
        <v>8511</v>
      </c>
      <c r="R379" s="735">
        <v>53</v>
      </c>
      <c r="S379" s="889" t="s">
        <v>8511</v>
      </c>
      <c r="T379" s="735">
        <v>53</v>
      </c>
      <c r="U379" s="888" t="s">
        <v>8512</v>
      </c>
      <c r="V379" s="735">
        <v>29</v>
      </c>
      <c r="W379" s="888" t="s">
        <v>8439</v>
      </c>
      <c r="X379" s="888" t="s">
        <v>8513</v>
      </c>
      <c r="Y379" s="738">
        <v>54</v>
      </c>
      <c r="Z379" s="889" t="s">
        <v>8513</v>
      </c>
      <c r="AA379" s="735">
        <v>54</v>
      </c>
      <c r="AB379" s="888" t="s">
        <v>8514</v>
      </c>
      <c r="AC379" s="735">
        <v>30</v>
      </c>
      <c r="AD379" s="738" t="s">
        <v>8442</v>
      </c>
      <c r="AE379" s="689"/>
      <c r="AF379" s="494" t="s">
        <v>2917</v>
      </c>
      <c r="AJ379" s="890">
        <f>_xll.GetCtData("COAMOUNT","CONSAMOUNT",$B$1:$B$7,$B379,AJ$8,"#268855,715048325")</f>
        <v>268855</v>
      </c>
    </row>
    <row r="380" spans="1:36" ht="12" customHeight="1">
      <c r="A380" s="718" t="s">
        <v>2879</v>
      </c>
      <c r="B380" s="718" t="s">
        <v>8515</v>
      </c>
      <c r="C380" s="453" t="s">
        <v>8516</v>
      </c>
      <c r="D380" s="731" t="s">
        <v>6609</v>
      </c>
      <c r="E380" s="655">
        <v>44035</v>
      </c>
      <c r="F380" s="837" t="s">
        <v>2930</v>
      </c>
      <c r="G380" s="837">
        <v>7</v>
      </c>
      <c r="H380" s="837" t="s">
        <v>6610</v>
      </c>
      <c r="I380" s="834" t="s">
        <v>6610</v>
      </c>
      <c r="J380" s="834" t="s">
        <v>6610</v>
      </c>
      <c r="K380" s="834" t="s">
        <v>6610</v>
      </c>
      <c r="L380" s="834" t="s">
        <v>6610</v>
      </c>
      <c r="M380" s="834" t="s">
        <v>6610</v>
      </c>
      <c r="N380" s="834" t="s">
        <v>6610</v>
      </c>
      <c r="O380" s="839" t="s">
        <v>8516</v>
      </c>
      <c r="P380" s="735">
        <v>9</v>
      </c>
      <c r="Q380" s="891" t="s">
        <v>8517</v>
      </c>
      <c r="R380" s="735">
        <v>43</v>
      </c>
      <c r="S380" s="892" t="s">
        <v>8517</v>
      </c>
      <c r="T380" s="735">
        <v>43</v>
      </c>
      <c r="U380" s="891" t="s">
        <v>8518</v>
      </c>
      <c r="V380" s="735">
        <v>29</v>
      </c>
      <c r="W380" s="891" t="s">
        <v>8439</v>
      </c>
      <c r="X380" s="891" t="s">
        <v>8519</v>
      </c>
      <c r="Y380" s="738">
        <v>34</v>
      </c>
      <c r="Z380" s="892" t="s">
        <v>8519</v>
      </c>
      <c r="AA380" s="735">
        <v>34</v>
      </c>
      <c r="AB380" s="891" t="s">
        <v>8520</v>
      </c>
      <c r="AC380" s="735">
        <v>25</v>
      </c>
      <c r="AD380" s="738" t="s">
        <v>8442</v>
      </c>
      <c r="AE380" s="689"/>
      <c r="AF380" s="494" t="s">
        <v>2917</v>
      </c>
      <c r="AJ380" s="760">
        <f>_xll.GetCtData("COAMOUNT","CONSAMOUNT",$B$1:$B$7,$B380,AJ$8,"#268855,715048325")</f>
        <v>268855</v>
      </c>
    </row>
    <row r="381" spans="1:36" ht="12" customHeight="1">
      <c r="A381" s="718" t="s">
        <v>2879</v>
      </c>
      <c r="B381" s="718" t="s">
        <v>1165</v>
      </c>
      <c r="C381" s="453" t="s">
        <v>1164</v>
      </c>
      <c r="D381" s="731" t="s">
        <v>6609</v>
      </c>
      <c r="E381" s="655">
        <v>44035</v>
      </c>
      <c r="F381" s="837" t="s">
        <v>2912</v>
      </c>
      <c r="G381" s="837">
        <v>2</v>
      </c>
      <c r="H381" s="837" t="s">
        <v>6610</v>
      </c>
      <c r="I381" s="834" t="s">
        <v>6610</v>
      </c>
      <c r="J381" s="886" t="s">
        <v>1164</v>
      </c>
      <c r="K381" s="886" t="s">
        <v>6610</v>
      </c>
      <c r="L381" s="886" t="s">
        <v>6610</v>
      </c>
      <c r="M381" s="886" t="s">
        <v>6610</v>
      </c>
      <c r="N381" s="886" t="s">
        <v>6610</v>
      </c>
      <c r="O381" s="887"/>
      <c r="P381" s="735">
        <v>0</v>
      </c>
      <c r="Q381" s="888" t="s">
        <v>18</v>
      </c>
      <c r="R381" s="735">
        <v>27</v>
      </c>
      <c r="S381" s="889" t="s">
        <v>18</v>
      </c>
      <c r="T381" s="735">
        <v>27</v>
      </c>
      <c r="U381" s="888" t="s">
        <v>18</v>
      </c>
      <c r="V381" s="735">
        <v>27</v>
      </c>
      <c r="W381" s="888" t="s">
        <v>8439</v>
      </c>
      <c r="X381" s="888" t="s">
        <v>8521</v>
      </c>
      <c r="Y381" s="738">
        <v>46</v>
      </c>
      <c r="Z381" s="889" t="s">
        <v>8521</v>
      </c>
      <c r="AA381" s="735">
        <v>46</v>
      </c>
      <c r="AB381" s="888" t="s">
        <v>8522</v>
      </c>
      <c r="AC381" s="735">
        <v>27</v>
      </c>
      <c r="AD381" s="738" t="s">
        <v>8442</v>
      </c>
      <c r="AE381" s="689"/>
      <c r="AF381" s="494" t="s">
        <v>2917</v>
      </c>
      <c r="AJ381" s="890">
        <f>_xll.GetCtData("COAMOUNT","CONSAMOUNT",$B$1:$B$7,$B381,AJ$8,"#640538")</f>
        <v>640538</v>
      </c>
    </row>
    <row r="382" spans="1:36" ht="12" customHeight="1">
      <c r="A382" s="718" t="s">
        <v>2879</v>
      </c>
      <c r="B382" s="718" t="s">
        <v>8523</v>
      </c>
      <c r="C382" s="453" t="s">
        <v>8524</v>
      </c>
      <c r="D382" s="731" t="s">
        <v>6609</v>
      </c>
      <c r="E382" s="655">
        <v>44035</v>
      </c>
      <c r="F382" s="837" t="s">
        <v>2912</v>
      </c>
      <c r="G382" s="837">
        <v>3</v>
      </c>
      <c r="H382" s="837" t="s">
        <v>6610</v>
      </c>
      <c r="I382" s="834" t="s">
        <v>6610</v>
      </c>
      <c r="J382" s="834" t="s">
        <v>6610</v>
      </c>
      <c r="K382" s="893" t="s">
        <v>8524</v>
      </c>
      <c r="L382" s="893" t="s">
        <v>6610</v>
      </c>
      <c r="M382" s="893" t="s">
        <v>6610</v>
      </c>
      <c r="N382" s="893" t="s">
        <v>6610</v>
      </c>
      <c r="O382" s="894"/>
      <c r="P382" s="735">
        <v>0</v>
      </c>
      <c r="Q382" s="754" t="s">
        <v>8525</v>
      </c>
      <c r="R382" s="735">
        <v>37</v>
      </c>
      <c r="S382" s="755" t="s">
        <v>8525</v>
      </c>
      <c r="T382" s="735">
        <v>37</v>
      </c>
      <c r="U382" s="754" t="s">
        <v>8526</v>
      </c>
      <c r="V382" s="735">
        <v>28</v>
      </c>
      <c r="W382" s="754" t="s">
        <v>8439</v>
      </c>
      <c r="X382" s="754" t="s">
        <v>8527</v>
      </c>
      <c r="Y382" s="738">
        <v>56</v>
      </c>
      <c r="Z382" s="755" t="s">
        <v>8527</v>
      </c>
      <c r="AA382" s="735">
        <v>56</v>
      </c>
      <c r="AB382" s="754" t="s">
        <v>8528</v>
      </c>
      <c r="AC382" s="735">
        <v>29</v>
      </c>
      <c r="AD382" s="738" t="s">
        <v>8442</v>
      </c>
      <c r="AE382" s="689"/>
      <c r="AF382" s="494" t="s">
        <v>2917</v>
      </c>
      <c r="AJ382" s="756">
        <f>_xll.GetCtData("COAMOUNT","CONSAMOUNT",$B$1:$B$7,$B382,AJ$8,"#")</f>
        <v>0</v>
      </c>
    </row>
    <row r="383" spans="1:36" ht="12" customHeight="1">
      <c r="A383" s="718" t="s">
        <v>2879</v>
      </c>
      <c r="B383" s="718" t="s">
        <v>8529</v>
      </c>
      <c r="C383" s="453" t="s">
        <v>8530</v>
      </c>
      <c r="D383" s="731" t="s">
        <v>6609</v>
      </c>
      <c r="E383" s="655">
        <v>44035</v>
      </c>
      <c r="F383" s="837" t="s">
        <v>2930</v>
      </c>
      <c r="G383" s="837">
        <v>7</v>
      </c>
      <c r="H383" s="837" t="s">
        <v>6610</v>
      </c>
      <c r="I383" s="834" t="s">
        <v>6610</v>
      </c>
      <c r="J383" s="834" t="s">
        <v>6610</v>
      </c>
      <c r="K383" s="834" t="s">
        <v>6610</v>
      </c>
      <c r="L383" s="834" t="s">
        <v>6610</v>
      </c>
      <c r="M383" s="834" t="s">
        <v>6610</v>
      </c>
      <c r="N383" s="834" t="s">
        <v>6610</v>
      </c>
      <c r="O383" s="839" t="s">
        <v>8530</v>
      </c>
      <c r="P383" s="735">
        <v>10</v>
      </c>
      <c r="Q383" s="891" t="s">
        <v>8531</v>
      </c>
      <c r="R383" s="735">
        <v>37</v>
      </c>
      <c r="S383" s="892" t="s">
        <v>8531</v>
      </c>
      <c r="T383" s="735">
        <v>37</v>
      </c>
      <c r="U383" s="891" t="s">
        <v>8532</v>
      </c>
      <c r="V383" s="735">
        <v>27</v>
      </c>
      <c r="W383" s="891" t="s">
        <v>8439</v>
      </c>
      <c r="X383" s="891" t="s">
        <v>8533</v>
      </c>
      <c r="Y383" s="738">
        <v>41</v>
      </c>
      <c r="Z383" s="892" t="s">
        <v>8533</v>
      </c>
      <c r="AA383" s="735">
        <v>41</v>
      </c>
      <c r="AB383" s="891" t="s">
        <v>8534</v>
      </c>
      <c r="AC383" s="735">
        <v>28</v>
      </c>
      <c r="AD383" s="738" t="s">
        <v>8442</v>
      </c>
      <c r="AE383" s="689"/>
      <c r="AF383" s="494" t="s">
        <v>2917</v>
      </c>
      <c r="AJ383" s="760">
        <f>_xll.GetCtData("COAMOUNT","CONSAMOUNT",$B$1:$B$7,$B383,AJ$8,"#")</f>
        <v>0</v>
      </c>
    </row>
    <row r="384" spans="1:36" ht="12" customHeight="1">
      <c r="A384" s="718" t="s">
        <v>2879</v>
      </c>
      <c r="B384" s="718" t="s">
        <v>8535</v>
      </c>
      <c r="C384" s="453" t="s">
        <v>8536</v>
      </c>
      <c r="D384" s="731" t="s">
        <v>6609</v>
      </c>
      <c r="E384" s="655">
        <v>44035</v>
      </c>
      <c r="F384" s="837" t="s">
        <v>2930</v>
      </c>
      <c r="G384" s="837">
        <v>7</v>
      </c>
      <c r="H384" s="837" t="s">
        <v>6610</v>
      </c>
      <c r="I384" s="834" t="s">
        <v>6610</v>
      </c>
      <c r="J384" s="834" t="s">
        <v>6610</v>
      </c>
      <c r="K384" s="834" t="s">
        <v>6610</v>
      </c>
      <c r="L384" s="834" t="s">
        <v>6610</v>
      </c>
      <c r="M384" s="834" t="s">
        <v>6610</v>
      </c>
      <c r="N384" s="834" t="s">
        <v>6610</v>
      </c>
      <c r="O384" s="839" t="s">
        <v>8536</v>
      </c>
      <c r="P384" s="735">
        <v>10</v>
      </c>
      <c r="Q384" s="891" t="s">
        <v>8537</v>
      </c>
      <c r="R384" s="735">
        <v>26</v>
      </c>
      <c r="S384" s="892" t="s">
        <v>8537</v>
      </c>
      <c r="T384" s="735">
        <v>26</v>
      </c>
      <c r="U384" s="891" t="s">
        <v>8537</v>
      </c>
      <c r="V384" s="735">
        <v>26</v>
      </c>
      <c r="W384" s="891" t="s">
        <v>8439</v>
      </c>
      <c r="X384" s="891" t="s">
        <v>8538</v>
      </c>
      <c r="Y384" s="738">
        <v>38</v>
      </c>
      <c r="Z384" s="892" t="s">
        <v>8538</v>
      </c>
      <c r="AA384" s="735">
        <v>38</v>
      </c>
      <c r="AB384" s="891" t="s">
        <v>8539</v>
      </c>
      <c r="AC384" s="735">
        <v>20</v>
      </c>
      <c r="AD384" s="738" t="s">
        <v>8442</v>
      </c>
      <c r="AE384" s="689"/>
      <c r="AF384" s="494" t="s">
        <v>2917</v>
      </c>
      <c r="AJ384" s="760">
        <f>_xll.GetCtData("COAMOUNT","CONSAMOUNT",$B$1:$B$7,$B384,AJ$8,"#")</f>
        <v>0</v>
      </c>
    </row>
    <row r="385" spans="1:36" ht="12" customHeight="1">
      <c r="A385" s="718" t="s">
        <v>2879</v>
      </c>
      <c r="B385" s="718" t="s">
        <v>8540</v>
      </c>
      <c r="C385" s="453" t="s">
        <v>8541</v>
      </c>
      <c r="D385" s="731" t="s">
        <v>6609</v>
      </c>
      <c r="E385" s="655">
        <v>44035</v>
      </c>
      <c r="F385" s="837" t="s">
        <v>2930</v>
      </c>
      <c r="G385" s="837">
        <v>7</v>
      </c>
      <c r="H385" s="837" t="s">
        <v>6610</v>
      </c>
      <c r="I385" s="834" t="s">
        <v>6610</v>
      </c>
      <c r="J385" s="834" t="s">
        <v>6610</v>
      </c>
      <c r="K385" s="834" t="s">
        <v>6610</v>
      </c>
      <c r="L385" s="834" t="s">
        <v>6610</v>
      </c>
      <c r="M385" s="834" t="s">
        <v>6610</v>
      </c>
      <c r="N385" s="834" t="s">
        <v>6610</v>
      </c>
      <c r="O385" s="839" t="s">
        <v>8541</v>
      </c>
      <c r="P385" s="735">
        <v>10</v>
      </c>
      <c r="Q385" s="891" t="s">
        <v>8542</v>
      </c>
      <c r="R385" s="735">
        <v>25</v>
      </c>
      <c r="S385" s="892" t="s">
        <v>8542</v>
      </c>
      <c r="T385" s="735">
        <v>25</v>
      </c>
      <c r="U385" s="891" t="s">
        <v>8542</v>
      </c>
      <c r="V385" s="735">
        <v>25</v>
      </c>
      <c r="W385" s="891" t="s">
        <v>8439</v>
      </c>
      <c r="X385" s="891" t="s">
        <v>8543</v>
      </c>
      <c r="Y385" s="738">
        <v>45</v>
      </c>
      <c r="Z385" s="892" t="s">
        <v>8543</v>
      </c>
      <c r="AA385" s="735">
        <v>45</v>
      </c>
      <c r="AB385" s="891" t="s">
        <v>8544</v>
      </c>
      <c r="AC385" s="735">
        <v>30</v>
      </c>
      <c r="AD385" s="738" t="s">
        <v>8442</v>
      </c>
      <c r="AE385" s="689"/>
      <c r="AF385" s="494" t="s">
        <v>2917</v>
      </c>
      <c r="AJ385" s="760">
        <f>_xll.GetCtData("COAMOUNT","CONSAMOUNT",$B$1:$B$7,$B385,AJ$8,"#")</f>
        <v>0</v>
      </c>
    </row>
    <row r="386" spans="1:36" ht="12" customHeight="1">
      <c r="A386" s="718" t="s">
        <v>2879</v>
      </c>
      <c r="B386" s="718" t="s">
        <v>8545</v>
      </c>
      <c r="C386" s="453" t="s">
        <v>8546</v>
      </c>
      <c r="D386" s="731" t="s">
        <v>6609</v>
      </c>
      <c r="E386" s="655">
        <v>44035</v>
      </c>
      <c r="F386" s="837" t="s">
        <v>2930</v>
      </c>
      <c r="G386" s="837">
        <v>7</v>
      </c>
      <c r="H386" s="837" t="s">
        <v>6610</v>
      </c>
      <c r="I386" s="834" t="s">
        <v>6610</v>
      </c>
      <c r="J386" s="834" t="s">
        <v>6610</v>
      </c>
      <c r="K386" s="834" t="s">
        <v>6610</v>
      </c>
      <c r="L386" s="834" t="s">
        <v>6610</v>
      </c>
      <c r="M386" s="834" t="s">
        <v>6610</v>
      </c>
      <c r="N386" s="834" t="s">
        <v>6610</v>
      </c>
      <c r="O386" s="839" t="s">
        <v>8546</v>
      </c>
      <c r="P386" s="735">
        <v>10</v>
      </c>
      <c r="Q386" s="891" t="s">
        <v>8547</v>
      </c>
      <c r="R386" s="735">
        <v>23</v>
      </c>
      <c r="S386" s="892" t="s">
        <v>8547</v>
      </c>
      <c r="T386" s="735">
        <v>23</v>
      </c>
      <c r="U386" s="891" t="s">
        <v>8547</v>
      </c>
      <c r="V386" s="735">
        <v>23</v>
      </c>
      <c r="W386" s="891" t="s">
        <v>8439</v>
      </c>
      <c r="X386" s="891" t="s">
        <v>8548</v>
      </c>
      <c r="Y386" s="738">
        <v>40</v>
      </c>
      <c r="Z386" s="892" t="s">
        <v>8548</v>
      </c>
      <c r="AA386" s="735">
        <v>40</v>
      </c>
      <c r="AB386" s="891" t="s">
        <v>8549</v>
      </c>
      <c r="AC386" s="735">
        <v>22</v>
      </c>
      <c r="AD386" s="738" t="s">
        <v>8442</v>
      </c>
      <c r="AE386" s="689"/>
      <c r="AF386" s="494" t="s">
        <v>2917</v>
      </c>
      <c r="AJ386" s="760">
        <f>_xll.GetCtData("COAMOUNT","CONSAMOUNT",$B$1:$B$7,$B386,AJ$8,"#")</f>
        <v>0</v>
      </c>
    </row>
    <row r="387" spans="1:36" ht="12" customHeight="1">
      <c r="A387" s="718" t="s">
        <v>2879</v>
      </c>
      <c r="B387" s="718" t="s">
        <v>8550</v>
      </c>
      <c r="C387" s="453" t="s">
        <v>8551</v>
      </c>
      <c r="D387" s="731" t="s">
        <v>6609</v>
      </c>
      <c r="E387" s="655">
        <v>44035</v>
      </c>
      <c r="F387" s="837" t="s">
        <v>2912</v>
      </c>
      <c r="G387" s="837">
        <v>3</v>
      </c>
      <c r="H387" s="837" t="s">
        <v>6610</v>
      </c>
      <c r="I387" s="834" t="s">
        <v>6610</v>
      </c>
      <c r="J387" s="834" t="s">
        <v>6610</v>
      </c>
      <c r="K387" s="893" t="s">
        <v>8551</v>
      </c>
      <c r="L387" s="893" t="s">
        <v>6610</v>
      </c>
      <c r="M387" s="893" t="s">
        <v>6610</v>
      </c>
      <c r="N387" s="893" t="s">
        <v>6610</v>
      </c>
      <c r="O387" s="894"/>
      <c r="P387" s="735">
        <v>0</v>
      </c>
      <c r="Q387" s="754" t="s">
        <v>8552</v>
      </c>
      <c r="R387" s="735">
        <v>42</v>
      </c>
      <c r="S387" s="755" t="s">
        <v>8552</v>
      </c>
      <c r="T387" s="735">
        <v>42</v>
      </c>
      <c r="U387" s="754" t="s">
        <v>8553</v>
      </c>
      <c r="V387" s="735">
        <v>27</v>
      </c>
      <c r="W387" s="754" t="s">
        <v>8439</v>
      </c>
      <c r="X387" s="754" t="s">
        <v>8554</v>
      </c>
      <c r="Y387" s="738">
        <v>61</v>
      </c>
      <c r="Z387" s="755" t="s">
        <v>8554</v>
      </c>
      <c r="AA387" s="735">
        <v>61</v>
      </c>
      <c r="AB387" s="754" t="s">
        <v>8555</v>
      </c>
      <c r="AC387" s="735">
        <v>30</v>
      </c>
      <c r="AD387" s="738" t="s">
        <v>8442</v>
      </c>
      <c r="AE387" s="689"/>
      <c r="AF387" s="494" t="s">
        <v>2917</v>
      </c>
      <c r="AJ387" s="756">
        <f>_xll.GetCtData("COAMOUNT","CONSAMOUNT",$B$1:$B$7,$B387,AJ$8,"#127644")</f>
        <v>127644</v>
      </c>
    </row>
    <row r="388" spans="1:36" ht="12" customHeight="1">
      <c r="A388" s="718" t="s">
        <v>2879</v>
      </c>
      <c r="B388" s="718" t="s">
        <v>8556</v>
      </c>
      <c r="C388" s="453" t="s">
        <v>8557</v>
      </c>
      <c r="D388" s="731" t="s">
        <v>6609</v>
      </c>
      <c r="E388" s="655">
        <v>44035</v>
      </c>
      <c r="F388" s="837" t="s">
        <v>2930</v>
      </c>
      <c r="G388" s="837">
        <v>7</v>
      </c>
      <c r="H388" s="837" t="s">
        <v>6610</v>
      </c>
      <c r="I388" s="834" t="s">
        <v>6610</v>
      </c>
      <c r="J388" s="834" t="s">
        <v>6610</v>
      </c>
      <c r="K388" s="834" t="s">
        <v>6610</v>
      </c>
      <c r="L388" s="834" t="s">
        <v>6610</v>
      </c>
      <c r="M388" s="834" t="s">
        <v>6610</v>
      </c>
      <c r="N388" s="834" t="s">
        <v>6610</v>
      </c>
      <c r="O388" s="839" t="s">
        <v>8557</v>
      </c>
      <c r="P388" s="735">
        <v>10</v>
      </c>
      <c r="Q388" s="891" t="s">
        <v>8558</v>
      </c>
      <c r="R388" s="735">
        <v>30</v>
      </c>
      <c r="S388" s="892" t="s">
        <v>8558</v>
      </c>
      <c r="T388" s="735">
        <v>30</v>
      </c>
      <c r="U388" s="891" t="s">
        <v>8558</v>
      </c>
      <c r="V388" s="735">
        <v>30</v>
      </c>
      <c r="W388" s="891" t="s">
        <v>8439</v>
      </c>
      <c r="X388" s="891" t="s">
        <v>8559</v>
      </c>
      <c r="Y388" s="738">
        <v>37</v>
      </c>
      <c r="Z388" s="892" t="s">
        <v>8559</v>
      </c>
      <c r="AA388" s="735">
        <v>37</v>
      </c>
      <c r="AB388" s="891" t="s">
        <v>8560</v>
      </c>
      <c r="AC388" s="735">
        <v>24</v>
      </c>
      <c r="AD388" s="738" t="s">
        <v>8442</v>
      </c>
      <c r="AE388" s="689"/>
      <c r="AF388" s="494" t="s">
        <v>2917</v>
      </c>
      <c r="AJ388" s="760">
        <f>_xll.GetCtData("COAMOUNT","CONSAMOUNT",$B$1:$B$7,$B388,AJ$8,"#127644")</f>
        <v>127644</v>
      </c>
    </row>
    <row r="389" spans="1:36" ht="12" customHeight="1">
      <c r="A389" s="718" t="s">
        <v>2879</v>
      </c>
      <c r="B389" s="718" t="s">
        <v>8561</v>
      </c>
      <c r="C389" s="453" t="s">
        <v>8562</v>
      </c>
      <c r="D389" s="731" t="s">
        <v>6609</v>
      </c>
      <c r="E389" s="655">
        <v>44035</v>
      </c>
      <c r="F389" s="837" t="s">
        <v>2930</v>
      </c>
      <c r="G389" s="837">
        <v>7</v>
      </c>
      <c r="H389" s="837" t="s">
        <v>6610</v>
      </c>
      <c r="I389" s="834" t="s">
        <v>6610</v>
      </c>
      <c r="J389" s="834" t="s">
        <v>6610</v>
      </c>
      <c r="K389" s="834" t="s">
        <v>6610</v>
      </c>
      <c r="L389" s="834" t="s">
        <v>6610</v>
      </c>
      <c r="M389" s="834" t="s">
        <v>6610</v>
      </c>
      <c r="N389" s="834" t="s">
        <v>6610</v>
      </c>
      <c r="O389" s="839" t="s">
        <v>8562</v>
      </c>
      <c r="P389" s="735">
        <v>10</v>
      </c>
      <c r="Q389" s="891" t="s">
        <v>8563</v>
      </c>
      <c r="R389" s="735">
        <v>31</v>
      </c>
      <c r="S389" s="892" t="s">
        <v>8563</v>
      </c>
      <c r="T389" s="735">
        <v>31</v>
      </c>
      <c r="U389" s="891" t="s">
        <v>8564</v>
      </c>
      <c r="V389" s="735">
        <v>26</v>
      </c>
      <c r="W389" s="891" t="s">
        <v>8439</v>
      </c>
      <c r="X389" s="891" t="s">
        <v>8565</v>
      </c>
      <c r="Y389" s="738">
        <v>43</v>
      </c>
      <c r="Z389" s="892" t="s">
        <v>8565</v>
      </c>
      <c r="AA389" s="735">
        <v>43</v>
      </c>
      <c r="AB389" s="891" t="s">
        <v>8566</v>
      </c>
      <c r="AC389" s="735">
        <v>25</v>
      </c>
      <c r="AD389" s="738" t="s">
        <v>8442</v>
      </c>
      <c r="AE389" s="689"/>
      <c r="AF389" s="494" t="s">
        <v>2917</v>
      </c>
      <c r="AJ389" s="760">
        <f>_xll.GetCtData("COAMOUNT","CONSAMOUNT",$B$1:$B$7,$B389,AJ$8,"#")</f>
        <v>0</v>
      </c>
    </row>
    <row r="390" spans="1:36" ht="12" customHeight="1">
      <c r="A390" s="718" t="s">
        <v>2879</v>
      </c>
      <c r="B390" s="718" t="s">
        <v>8567</v>
      </c>
      <c r="C390" s="453" t="s">
        <v>8568</v>
      </c>
      <c r="D390" s="731" t="s">
        <v>6609</v>
      </c>
      <c r="E390" s="655">
        <v>44035</v>
      </c>
      <c r="F390" s="837" t="s">
        <v>2930</v>
      </c>
      <c r="G390" s="837">
        <v>7</v>
      </c>
      <c r="H390" s="837" t="s">
        <v>6610</v>
      </c>
      <c r="I390" s="834" t="s">
        <v>6610</v>
      </c>
      <c r="J390" s="834" t="s">
        <v>6610</v>
      </c>
      <c r="K390" s="834" t="s">
        <v>6610</v>
      </c>
      <c r="L390" s="834" t="s">
        <v>6610</v>
      </c>
      <c r="M390" s="834" t="s">
        <v>6610</v>
      </c>
      <c r="N390" s="834" t="s">
        <v>6610</v>
      </c>
      <c r="O390" s="839" t="s">
        <v>8568</v>
      </c>
      <c r="P390" s="735">
        <v>10</v>
      </c>
      <c r="Q390" s="891" t="s">
        <v>8569</v>
      </c>
      <c r="R390" s="735">
        <v>28</v>
      </c>
      <c r="S390" s="892" t="s">
        <v>8569</v>
      </c>
      <c r="T390" s="735">
        <v>28</v>
      </c>
      <c r="U390" s="891" t="s">
        <v>8569</v>
      </c>
      <c r="V390" s="735">
        <v>28</v>
      </c>
      <c r="W390" s="891" t="s">
        <v>8439</v>
      </c>
      <c r="X390" s="891" t="s">
        <v>8570</v>
      </c>
      <c r="Y390" s="738">
        <v>45</v>
      </c>
      <c r="Z390" s="892" t="s">
        <v>8570</v>
      </c>
      <c r="AA390" s="735">
        <v>45</v>
      </c>
      <c r="AB390" s="891" t="s">
        <v>8571</v>
      </c>
      <c r="AC390" s="735">
        <v>27</v>
      </c>
      <c r="AD390" s="738" t="s">
        <v>8442</v>
      </c>
      <c r="AE390" s="689"/>
      <c r="AF390" s="494" t="s">
        <v>2917</v>
      </c>
      <c r="AJ390" s="760">
        <f>_xll.GetCtData("COAMOUNT","CONSAMOUNT",$B$1:$B$7,$B390,AJ$8,"#")</f>
        <v>0</v>
      </c>
    </row>
    <row r="391" spans="1:36" ht="12" customHeight="1">
      <c r="A391" s="718" t="s">
        <v>2879</v>
      </c>
      <c r="B391" s="718" t="s">
        <v>8572</v>
      </c>
      <c r="C391" s="453" t="s">
        <v>8573</v>
      </c>
      <c r="D391" s="731" t="s">
        <v>6609</v>
      </c>
      <c r="E391" s="655">
        <v>44035</v>
      </c>
      <c r="F391" s="732" t="s">
        <v>2912</v>
      </c>
      <c r="G391" s="732">
        <v>3</v>
      </c>
      <c r="H391" s="732" t="s">
        <v>6610</v>
      </c>
      <c r="I391" s="733" t="s">
        <v>6610</v>
      </c>
      <c r="J391" s="733" t="s">
        <v>6610</v>
      </c>
      <c r="K391" s="752" t="s">
        <v>8573</v>
      </c>
      <c r="L391" s="752" t="s">
        <v>6610</v>
      </c>
      <c r="M391" s="752" t="s">
        <v>6610</v>
      </c>
      <c r="N391" s="752" t="s">
        <v>6610</v>
      </c>
      <c r="O391" s="753"/>
      <c r="P391" s="735">
        <v>0</v>
      </c>
      <c r="Q391" s="754" t="s">
        <v>8574</v>
      </c>
      <c r="R391" s="735">
        <v>41</v>
      </c>
      <c r="S391" s="755" t="s">
        <v>8574</v>
      </c>
      <c r="T391" s="735">
        <v>41</v>
      </c>
      <c r="U391" s="754" t="s">
        <v>8575</v>
      </c>
      <c r="V391" s="735">
        <v>26</v>
      </c>
      <c r="W391" s="754" t="s">
        <v>8439</v>
      </c>
      <c r="X391" s="754" t="s">
        <v>8576</v>
      </c>
      <c r="Y391" s="738">
        <v>60</v>
      </c>
      <c r="Z391" s="755" t="s">
        <v>8576</v>
      </c>
      <c r="AA391" s="735">
        <v>60</v>
      </c>
      <c r="AB391" s="754" t="s">
        <v>8577</v>
      </c>
      <c r="AC391" s="735">
        <v>30</v>
      </c>
      <c r="AD391" s="738" t="s">
        <v>8442</v>
      </c>
      <c r="AE391" s="689"/>
      <c r="AF391" s="494" t="s">
        <v>2917</v>
      </c>
      <c r="AJ391" s="756">
        <f>_xll.GetCtData("COAMOUNT","CONSAMOUNT",$B$1:$B$7,$B391,AJ$8,"#")</f>
        <v>0</v>
      </c>
    </row>
    <row r="392" spans="1:36" ht="12" customHeight="1">
      <c r="A392" s="718" t="s">
        <v>2879</v>
      </c>
      <c r="B392" s="718" t="s">
        <v>8578</v>
      </c>
      <c r="C392" s="453" t="s">
        <v>8579</v>
      </c>
      <c r="D392" s="731" t="s">
        <v>6609</v>
      </c>
      <c r="E392" s="655">
        <v>44035</v>
      </c>
      <c r="F392" s="732" t="s">
        <v>2930</v>
      </c>
      <c r="G392" s="732">
        <v>7</v>
      </c>
      <c r="H392" s="732" t="s">
        <v>6610</v>
      </c>
      <c r="I392" s="733" t="s">
        <v>6610</v>
      </c>
      <c r="J392" s="733" t="s">
        <v>6610</v>
      </c>
      <c r="K392" s="733" t="s">
        <v>6610</v>
      </c>
      <c r="L392" s="733" t="s">
        <v>6610</v>
      </c>
      <c r="M392" s="733" t="s">
        <v>6610</v>
      </c>
      <c r="N392" s="733" t="s">
        <v>6610</v>
      </c>
      <c r="O392" s="757" t="s">
        <v>8579</v>
      </c>
      <c r="P392" s="735">
        <v>10</v>
      </c>
      <c r="Q392" s="758" t="s">
        <v>8580</v>
      </c>
      <c r="R392" s="735">
        <v>29</v>
      </c>
      <c r="S392" s="759" t="s">
        <v>8580</v>
      </c>
      <c r="T392" s="735">
        <v>29</v>
      </c>
      <c r="U392" s="758" t="s">
        <v>8580</v>
      </c>
      <c r="V392" s="735">
        <v>29</v>
      </c>
      <c r="W392" s="758" t="s">
        <v>8439</v>
      </c>
      <c r="X392" s="758" t="s">
        <v>8581</v>
      </c>
      <c r="Y392" s="738">
        <v>36</v>
      </c>
      <c r="Z392" s="759" t="s">
        <v>8581</v>
      </c>
      <c r="AA392" s="735">
        <v>36</v>
      </c>
      <c r="AB392" s="758" t="s">
        <v>8582</v>
      </c>
      <c r="AC392" s="735">
        <v>23</v>
      </c>
      <c r="AD392" s="738" t="s">
        <v>8442</v>
      </c>
      <c r="AE392" s="689"/>
      <c r="AF392" s="494" t="s">
        <v>2917</v>
      </c>
      <c r="AJ392" s="760">
        <f>_xll.GetCtData("COAMOUNT","CONSAMOUNT",$B$1:$B$7,$B392,AJ$8,"#")</f>
        <v>0</v>
      </c>
    </row>
    <row r="393" spans="1:36" ht="12" customHeight="1">
      <c r="A393" s="718" t="s">
        <v>2879</v>
      </c>
      <c r="B393" s="718" t="s">
        <v>8583</v>
      </c>
      <c r="C393" s="453" t="s">
        <v>8584</v>
      </c>
      <c r="D393" s="731" t="s">
        <v>6609</v>
      </c>
      <c r="E393" s="655">
        <v>44035</v>
      </c>
      <c r="F393" s="732" t="s">
        <v>2930</v>
      </c>
      <c r="G393" s="732">
        <v>7</v>
      </c>
      <c r="H393" s="732" t="s">
        <v>6610</v>
      </c>
      <c r="I393" s="733" t="s">
        <v>6610</v>
      </c>
      <c r="J393" s="733" t="s">
        <v>6610</v>
      </c>
      <c r="K393" s="733" t="s">
        <v>6610</v>
      </c>
      <c r="L393" s="733" t="s">
        <v>6610</v>
      </c>
      <c r="M393" s="733" t="s">
        <v>6610</v>
      </c>
      <c r="N393" s="733" t="s">
        <v>6610</v>
      </c>
      <c r="O393" s="757" t="s">
        <v>8584</v>
      </c>
      <c r="P393" s="735">
        <v>10</v>
      </c>
      <c r="Q393" s="758" t="s">
        <v>8585</v>
      </c>
      <c r="R393" s="735">
        <v>30</v>
      </c>
      <c r="S393" s="759" t="s">
        <v>8585</v>
      </c>
      <c r="T393" s="735">
        <v>30</v>
      </c>
      <c r="U393" s="758" t="s">
        <v>8585</v>
      </c>
      <c r="V393" s="735">
        <v>30</v>
      </c>
      <c r="W393" s="758" t="s">
        <v>8439</v>
      </c>
      <c r="X393" s="758" t="s">
        <v>8586</v>
      </c>
      <c r="Y393" s="738">
        <v>42</v>
      </c>
      <c r="Z393" s="759" t="s">
        <v>8586</v>
      </c>
      <c r="AA393" s="735">
        <v>42</v>
      </c>
      <c r="AB393" s="758" t="s">
        <v>8587</v>
      </c>
      <c r="AC393" s="735">
        <v>24</v>
      </c>
      <c r="AD393" s="738" t="s">
        <v>8442</v>
      </c>
      <c r="AE393" s="689"/>
      <c r="AF393" s="494" t="s">
        <v>2917</v>
      </c>
      <c r="AJ393" s="760">
        <f>_xll.GetCtData("COAMOUNT","CONSAMOUNT",$B$1:$B$7,$B393,AJ$8,"#")</f>
        <v>0</v>
      </c>
    </row>
    <row r="394" spans="1:36" ht="12" customHeight="1">
      <c r="A394" s="718" t="s">
        <v>2879</v>
      </c>
      <c r="B394" s="718" t="s">
        <v>8588</v>
      </c>
      <c r="C394" s="453" t="s">
        <v>8589</v>
      </c>
      <c r="D394" s="731" t="s">
        <v>6609</v>
      </c>
      <c r="E394" s="655">
        <v>44035</v>
      </c>
      <c r="F394" s="732" t="s">
        <v>2930</v>
      </c>
      <c r="G394" s="732">
        <v>7</v>
      </c>
      <c r="H394" s="732" t="s">
        <v>6610</v>
      </c>
      <c r="I394" s="733" t="s">
        <v>6610</v>
      </c>
      <c r="J394" s="733" t="s">
        <v>6610</v>
      </c>
      <c r="K394" s="733" t="s">
        <v>6610</v>
      </c>
      <c r="L394" s="733" t="s">
        <v>6610</v>
      </c>
      <c r="M394" s="733" t="s">
        <v>6610</v>
      </c>
      <c r="N394" s="733" t="s">
        <v>6610</v>
      </c>
      <c r="O394" s="757" t="s">
        <v>8589</v>
      </c>
      <c r="P394" s="735">
        <v>10</v>
      </c>
      <c r="Q394" s="758" t="s">
        <v>8590</v>
      </c>
      <c r="R394" s="735">
        <v>27</v>
      </c>
      <c r="S394" s="759" t="s">
        <v>8590</v>
      </c>
      <c r="T394" s="735">
        <v>27</v>
      </c>
      <c r="U394" s="758" t="s">
        <v>8590</v>
      </c>
      <c r="V394" s="735">
        <v>27</v>
      </c>
      <c r="W394" s="758" t="s">
        <v>8439</v>
      </c>
      <c r="X394" s="758" t="s">
        <v>8591</v>
      </c>
      <c r="Y394" s="738">
        <v>44</v>
      </c>
      <c r="Z394" s="759" t="s">
        <v>8591</v>
      </c>
      <c r="AA394" s="735">
        <v>44</v>
      </c>
      <c r="AB394" s="758" t="s">
        <v>8592</v>
      </c>
      <c r="AC394" s="735">
        <v>26</v>
      </c>
      <c r="AD394" s="738" t="s">
        <v>8442</v>
      </c>
      <c r="AE394" s="689"/>
      <c r="AF394" s="494" t="s">
        <v>2917</v>
      </c>
      <c r="AJ394" s="760">
        <f>_xll.GetCtData("COAMOUNT","CONSAMOUNT",$B$1:$B$7,$B394,AJ$8,"#")</f>
        <v>0</v>
      </c>
    </row>
    <row r="395" spans="1:36" ht="12" customHeight="1">
      <c r="A395" s="718" t="s">
        <v>2879</v>
      </c>
      <c r="B395" s="718" t="s">
        <v>8593</v>
      </c>
      <c r="C395" s="453" t="s">
        <v>8594</v>
      </c>
      <c r="D395" s="731" t="s">
        <v>6609</v>
      </c>
      <c r="E395" s="655">
        <v>44035</v>
      </c>
      <c r="F395" s="732" t="s">
        <v>2912</v>
      </c>
      <c r="G395" s="732">
        <v>3</v>
      </c>
      <c r="H395" s="732" t="s">
        <v>6610</v>
      </c>
      <c r="I395" s="733" t="s">
        <v>6610</v>
      </c>
      <c r="J395" s="733" t="s">
        <v>6610</v>
      </c>
      <c r="K395" s="752" t="s">
        <v>8594</v>
      </c>
      <c r="L395" s="752" t="s">
        <v>6610</v>
      </c>
      <c r="M395" s="752" t="s">
        <v>6610</v>
      </c>
      <c r="N395" s="752" t="s">
        <v>6610</v>
      </c>
      <c r="O395" s="753"/>
      <c r="P395" s="735">
        <v>0</v>
      </c>
      <c r="Q395" s="754" t="s">
        <v>8595</v>
      </c>
      <c r="R395" s="735">
        <v>34</v>
      </c>
      <c r="S395" s="755" t="s">
        <v>8595</v>
      </c>
      <c r="T395" s="735">
        <v>34</v>
      </c>
      <c r="U395" s="754" t="s">
        <v>8596</v>
      </c>
      <c r="V395" s="735">
        <v>27</v>
      </c>
      <c r="W395" s="754" t="s">
        <v>8439</v>
      </c>
      <c r="X395" s="754" t="s">
        <v>8597</v>
      </c>
      <c r="Y395" s="738">
        <v>54</v>
      </c>
      <c r="Z395" s="755" t="s">
        <v>8597</v>
      </c>
      <c r="AA395" s="735">
        <v>54</v>
      </c>
      <c r="AB395" s="754" t="s">
        <v>8598</v>
      </c>
      <c r="AC395" s="735">
        <v>27</v>
      </c>
      <c r="AD395" s="738" t="s">
        <v>8442</v>
      </c>
      <c r="AE395" s="689"/>
      <c r="AF395" s="494" t="s">
        <v>2917</v>
      </c>
      <c r="AJ395" s="756">
        <f>_xll.GetCtData("COAMOUNT","CONSAMOUNT",$B$1:$B$7,$B395,AJ$8,"#506956")</f>
        <v>506956</v>
      </c>
    </row>
    <row r="396" spans="1:36" ht="12" customHeight="1">
      <c r="A396" s="718" t="s">
        <v>2879</v>
      </c>
      <c r="B396" s="718" t="s">
        <v>8599</v>
      </c>
      <c r="C396" s="453" t="s">
        <v>8600</v>
      </c>
      <c r="D396" s="731" t="s">
        <v>6609</v>
      </c>
      <c r="E396" s="655">
        <v>44035</v>
      </c>
      <c r="F396" s="732" t="s">
        <v>2930</v>
      </c>
      <c r="G396" s="732">
        <v>7</v>
      </c>
      <c r="H396" s="732" t="s">
        <v>6610</v>
      </c>
      <c r="I396" s="733" t="s">
        <v>6610</v>
      </c>
      <c r="J396" s="733" t="s">
        <v>6610</v>
      </c>
      <c r="K396" s="733" t="s">
        <v>6610</v>
      </c>
      <c r="L396" s="733" t="s">
        <v>6610</v>
      </c>
      <c r="M396" s="733" t="s">
        <v>6610</v>
      </c>
      <c r="N396" s="733" t="s">
        <v>6610</v>
      </c>
      <c r="O396" s="757" t="s">
        <v>8600</v>
      </c>
      <c r="P396" s="735">
        <v>10</v>
      </c>
      <c r="Q396" s="758" t="s">
        <v>8601</v>
      </c>
      <c r="R396" s="735">
        <v>35</v>
      </c>
      <c r="S396" s="759" t="s">
        <v>8601</v>
      </c>
      <c r="T396" s="735">
        <v>35</v>
      </c>
      <c r="U396" s="758" t="s">
        <v>8602</v>
      </c>
      <c r="V396" s="735">
        <v>28</v>
      </c>
      <c r="W396" s="758" t="s">
        <v>8439</v>
      </c>
      <c r="X396" s="758" t="s">
        <v>8603</v>
      </c>
      <c r="Y396" s="738">
        <v>39</v>
      </c>
      <c r="Z396" s="759" t="s">
        <v>8603</v>
      </c>
      <c r="AA396" s="735">
        <v>39</v>
      </c>
      <c r="AB396" s="758" t="s">
        <v>8604</v>
      </c>
      <c r="AC396" s="735">
        <v>26</v>
      </c>
      <c r="AD396" s="738" t="s">
        <v>8442</v>
      </c>
      <c r="AE396" s="689" t="s">
        <v>8605</v>
      </c>
      <c r="AF396" s="494" t="s">
        <v>2917</v>
      </c>
      <c r="AJ396" s="760">
        <f>_xll.GetCtData("COAMOUNT","CONSAMOUNT",$B$1:$B$7,$B396,AJ$8,"#")</f>
        <v>0</v>
      </c>
    </row>
    <row r="397" spans="1:36" ht="12" customHeight="1">
      <c r="A397" s="718" t="s">
        <v>2879</v>
      </c>
      <c r="B397" s="718" t="s">
        <v>8606</v>
      </c>
      <c r="C397" s="453" t="s">
        <v>8607</v>
      </c>
      <c r="D397" s="731" t="s">
        <v>6609</v>
      </c>
      <c r="E397" s="655">
        <v>44035</v>
      </c>
      <c r="F397" s="732" t="s">
        <v>2930</v>
      </c>
      <c r="G397" s="732">
        <v>7</v>
      </c>
      <c r="H397" s="732" t="s">
        <v>6610</v>
      </c>
      <c r="I397" s="733" t="s">
        <v>6610</v>
      </c>
      <c r="J397" s="733" t="s">
        <v>6610</v>
      </c>
      <c r="K397" s="733" t="s">
        <v>6610</v>
      </c>
      <c r="L397" s="733" t="s">
        <v>6610</v>
      </c>
      <c r="M397" s="733" t="s">
        <v>6610</v>
      </c>
      <c r="N397" s="733" t="s">
        <v>6610</v>
      </c>
      <c r="O397" s="757" t="s">
        <v>8607</v>
      </c>
      <c r="P397" s="735">
        <v>10</v>
      </c>
      <c r="Q397" s="758" t="s">
        <v>8608</v>
      </c>
      <c r="R397" s="735">
        <v>24</v>
      </c>
      <c r="S397" s="759" t="s">
        <v>8608</v>
      </c>
      <c r="T397" s="735">
        <v>24</v>
      </c>
      <c r="U397" s="758" t="s">
        <v>8608</v>
      </c>
      <c r="V397" s="735">
        <v>24</v>
      </c>
      <c r="W397" s="758" t="s">
        <v>8439</v>
      </c>
      <c r="X397" s="758" t="s">
        <v>8609</v>
      </c>
      <c r="Y397" s="738">
        <v>36</v>
      </c>
      <c r="Z397" s="759" t="s">
        <v>8609</v>
      </c>
      <c r="AA397" s="735">
        <v>36</v>
      </c>
      <c r="AB397" s="758" t="s">
        <v>8610</v>
      </c>
      <c r="AC397" s="735">
        <v>18</v>
      </c>
      <c r="AD397" s="738" t="s">
        <v>8442</v>
      </c>
      <c r="AE397" s="689" t="s">
        <v>8605</v>
      </c>
      <c r="AF397" s="494" t="s">
        <v>2917</v>
      </c>
      <c r="AJ397" s="760">
        <f>_xll.GetCtData("COAMOUNT","CONSAMOUNT",$B$1:$B$7,$B397,AJ$8,"#506956")</f>
        <v>506956</v>
      </c>
    </row>
    <row r="398" spans="1:36" ht="12" customHeight="1">
      <c r="A398" s="718" t="s">
        <v>2879</v>
      </c>
      <c r="B398" s="718" t="s">
        <v>8611</v>
      </c>
      <c r="C398" s="453" t="s">
        <v>8612</v>
      </c>
      <c r="D398" s="731" t="s">
        <v>6609</v>
      </c>
      <c r="E398" s="655">
        <v>44035</v>
      </c>
      <c r="F398" s="732" t="s">
        <v>2930</v>
      </c>
      <c r="G398" s="732">
        <v>7</v>
      </c>
      <c r="H398" s="732" t="s">
        <v>6610</v>
      </c>
      <c r="I398" s="733" t="s">
        <v>6610</v>
      </c>
      <c r="J398" s="733" t="s">
        <v>6610</v>
      </c>
      <c r="K398" s="733" t="s">
        <v>6610</v>
      </c>
      <c r="L398" s="733" t="s">
        <v>6610</v>
      </c>
      <c r="M398" s="733" t="s">
        <v>6610</v>
      </c>
      <c r="N398" s="733" t="s">
        <v>6610</v>
      </c>
      <c r="O398" s="757" t="s">
        <v>8612</v>
      </c>
      <c r="P398" s="735">
        <v>10</v>
      </c>
      <c r="Q398" s="758" t="s">
        <v>8613</v>
      </c>
      <c r="R398" s="735">
        <v>23</v>
      </c>
      <c r="S398" s="759" t="s">
        <v>8613</v>
      </c>
      <c r="T398" s="735">
        <v>23</v>
      </c>
      <c r="U398" s="758" t="s">
        <v>8613</v>
      </c>
      <c r="V398" s="735">
        <v>23</v>
      </c>
      <c r="W398" s="758" t="s">
        <v>8439</v>
      </c>
      <c r="X398" s="758" t="s">
        <v>8614</v>
      </c>
      <c r="Y398" s="738">
        <v>43</v>
      </c>
      <c r="Z398" s="759" t="s">
        <v>8614</v>
      </c>
      <c r="AA398" s="735">
        <v>43</v>
      </c>
      <c r="AB398" s="758" t="s">
        <v>8615</v>
      </c>
      <c r="AC398" s="735">
        <v>30</v>
      </c>
      <c r="AD398" s="738" t="s">
        <v>8442</v>
      </c>
      <c r="AE398" s="689" t="s">
        <v>8605</v>
      </c>
      <c r="AF398" s="494" t="s">
        <v>2917</v>
      </c>
      <c r="AJ398" s="760">
        <f>_xll.GetCtData("COAMOUNT","CONSAMOUNT",$B$1:$B$7,$B398,AJ$8,"#")</f>
        <v>0</v>
      </c>
    </row>
    <row r="399" spans="1:36" ht="12" customHeight="1">
      <c r="A399" s="718" t="s">
        <v>2879</v>
      </c>
      <c r="B399" s="718" t="s">
        <v>8616</v>
      </c>
      <c r="C399" s="453" t="s">
        <v>8617</v>
      </c>
      <c r="D399" s="731" t="s">
        <v>6609</v>
      </c>
      <c r="E399" s="655">
        <v>44035</v>
      </c>
      <c r="F399" s="732" t="s">
        <v>2930</v>
      </c>
      <c r="G399" s="732">
        <v>7</v>
      </c>
      <c r="H399" s="732" t="s">
        <v>6610</v>
      </c>
      <c r="I399" s="733" t="s">
        <v>6610</v>
      </c>
      <c r="J399" s="733" t="s">
        <v>6610</v>
      </c>
      <c r="K399" s="733" t="s">
        <v>6610</v>
      </c>
      <c r="L399" s="733" t="s">
        <v>6610</v>
      </c>
      <c r="M399" s="733" t="s">
        <v>6610</v>
      </c>
      <c r="N399" s="733" t="s">
        <v>6610</v>
      </c>
      <c r="O399" s="757" t="s">
        <v>8617</v>
      </c>
      <c r="P399" s="735">
        <v>10</v>
      </c>
      <c r="Q399" s="758" t="s">
        <v>8618</v>
      </c>
      <c r="R399" s="735">
        <v>21</v>
      </c>
      <c r="S399" s="759" t="s">
        <v>8618</v>
      </c>
      <c r="T399" s="735">
        <v>21</v>
      </c>
      <c r="U399" s="758" t="s">
        <v>8618</v>
      </c>
      <c r="V399" s="735">
        <v>21</v>
      </c>
      <c r="W399" s="758" t="s">
        <v>8439</v>
      </c>
      <c r="X399" s="758" t="s">
        <v>8619</v>
      </c>
      <c r="Y399" s="738">
        <v>38</v>
      </c>
      <c r="Z399" s="759" t="s">
        <v>8619</v>
      </c>
      <c r="AA399" s="735">
        <v>38</v>
      </c>
      <c r="AB399" s="758" t="s">
        <v>8620</v>
      </c>
      <c r="AC399" s="735">
        <v>20</v>
      </c>
      <c r="AD399" s="738" t="s">
        <v>8442</v>
      </c>
      <c r="AE399" s="689" t="s">
        <v>8605</v>
      </c>
      <c r="AF399" s="494" t="s">
        <v>2917</v>
      </c>
      <c r="AJ399" s="760">
        <f>_xll.GetCtData("COAMOUNT","CONSAMOUNT",$B$1:$B$7,$B399,AJ$8,"#")</f>
        <v>0</v>
      </c>
    </row>
    <row r="400" spans="1:36" ht="12" customHeight="1">
      <c r="A400" s="718" t="s">
        <v>2879</v>
      </c>
      <c r="B400" s="718" t="s">
        <v>8621</v>
      </c>
      <c r="C400" s="453" t="s">
        <v>8622</v>
      </c>
      <c r="D400" s="731" t="s">
        <v>6609</v>
      </c>
      <c r="E400" s="655">
        <v>44035</v>
      </c>
      <c r="F400" s="732" t="s">
        <v>2912</v>
      </c>
      <c r="G400" s="732">
        <v>3</v>
      </c>
      <c r="H400" s="732" t="s">
        <v>6610</v>
      </c>
      <c r="I400" s="733" t="s">
        <v>6610</v>
      </c>
      <c r="J400" s="733" t="s">
        <v>6610</v>
      </c>
      <c r="K400" s="752" t="s">
        <v>8622</v>
      </c>
      <c r="L400" s="752" t="s">
        <v>6610</v>
      </c>
      <c r="M400" s="752" t="s">
        <v>6610</v>
      </c>
      <c r="N400" s="752" t="s">
        <v>6610</v>
      </c>
      <c r="O400" s="753"/>
      <c r="P400" s="735">
        <v>0</v>
      </c>
      <c r="Q400" s="754" t="s">
        <v>8623</v>
      </c>
      <c r="R400" s="735">
        <v>38</v>
      </c>
      <c r="S400" s="755" t="s">
        <v>8623</v>
      </c>
      <c r="T400" s="735">
        <v>38</v>
      </c>
      <c r="U400" s="754" t="s">
        <v>8624</v>
      </c>
      <c r="V400" s="735">
        <v>28</v>
      </c>
      <c r="W400" s="754" t="s">
        <v>8439</v>
      </c>
      <c r="X400" s="754" t="s">
        <v>8625</v>
      </c>
      <c r="Y400" s="738">
        <v>57</v>
      </c>
      <c r="Z400" s="755" t="s">
        <v>8625</v>
      </c>
      <c r="AA400" s="735">
        <v>57</v>
      </c>
      <c r="AB400" s="754" t="s">
        <v>8626</v>
      </c>
      <c r="AC400" s="735">
        <v>30</v>
      </c>
      <c r="AD400" s="738" t="s">
        <v>8442</v>
      </c>
      <c r="AE400" s="689"/>
      <c r="AF400" s="494" t="s">
        <v>2917</v>
      </c>
      <c r="AJ400" s="756">
        <f>_xll.GetCtData("COAMOUNT","CONSAMOUNT",$B$1:$B$7,$B400,AJ$8,"#")</f>
        <v>0</v>
      </c>
    </row>
    <row r="401" spans="1:36" ht="12" customHeight="1">
      <c r="A401" s="718" t="s">
        <v>2879</v>
      </c>
      <c r="B401" s="718" t="s">
        <v>8627</v>
      </c>
      <c r="C401" s="453" t="s">
        <v>8628</v>
      </c>
      <c r="D401" s="731" t="s">
        <v>6609</v>
      </c>
      <c r="E401" s="655">
        <v>44035</v>
      </c>
      <c r="F401" s="732" t="s">
        <v>2930</v>
      </c>
      <c r="G401" s="732">
        <v>7</v>
      </c>
      <c r="H401" s="732" t="s">
        <v>6610</v>
      </c>
      <c r="I401" s="733" t="s">
        <v>6610</v>
      </c>
      <c r="J401" s="733" t="s">
        <v>6610</v>
      </c>
      <c r="K401" s="733" t="s">
        <v>6610</v>
      </c>
      <c r="L401" s="733" t="s">
        <v>6610</v>
      </c>
      <c r="M401" s="733" t="s">
        <v>6610</v>
      </c>
      <c r="N401" s="733" t="s">
        <v>6610</v>
      </c>
      <c r="O401" s="757" t="s">
        <v>8628</v>
      </c>
      <c r="P401" s="735">
        <v>10</v>
      </c>
      <c r="Q401" s="758" t="s">
        <v>8629</v>
      </c>
      <c r="R401" s="735">
        <v>38</v>
      </c>
      <c r="S401" s="759" t="s">
        <v>8629</v>
      </c>
      <c r="T401" s="735">
        <v>38</v>
      </c>
      <c r="U401" s="758" t="s">
        <v>8630</v>
      </c>
      <c r="V401" s="735">
        <v>27</v>
      </c>
      <c r="W401" s="758" t="s">
        <v>8439</v>
      </c>
      <c r="X401" s="758" t="s">
        <v>8631</v>
      </c>
      <c r="Y401" s="738">
        <v>42</v>
      </c>
      <c r="Z401" s="759" t="s">
        <v>8631</v>
      </c>
      <c r="AA401" s="735">
        <v>42</v>
      </c>
      <c r="AB401" s="758" t="s">
        <v>8632</v>
      </c>
      <c r="AC401" s="735">
        <v>29</v>
      </c>
      <c r="AD401" s="738" t="s">
        <v>8442</v>
      </c>
      <c r="AE401" s="689"/>
      <c r="AF401" s="494" t="s">
        <v>2917</v>
      </c>
      <c r="AJ401" s="760">
        <f>_xll.GetCtData("COAMOUNT","CONSAMOUNT",$B$1:$B$7,$B401,AJ$8,"#")</f>
        <v>0</v>
      </c>
    </row>
    <row r="402" spans="1:36" ht="12" customHeight="1">
      <c r="A402" s="718" t="s">
        <v>2879</v>
      </c>
      <c r="B402" s="718" t="s">
        <v>8633</v>
      </c>
      <c r="C402" s="453" t="s">
        <v>8634</v>
      </c>
      <c r="D402" s="731" t="s">
        <v>6609</v>
      </c>
      <c r="E402" s="655">
        <v>44035</v>
      </c>
      <c r="F402" s="732" t="s">
        <v>2930</v>
      </c>
      <c r="G402" s="732">
        <v>7</v>
      </c>
      <c r="H402" s="732" t="s">
        <v>6610</v>
      </c>
      <c r="I402" s="733" t="s">
        <v>6610</v>
      </c>
      <c r="J402" s="733" t="s">
        <v>6610</v>
      </c>
      <c r="K402" s="733" t="s">
        <v>6610</v>
      </c>
      <c r="L402" s="733" t="s">
        <v>6610</v>
      </c>
      <c r="M402" s="733" t="s">
        <v>6610</v>
      </c>
      <c r="N402" s="733" t="s">
        <v>6610</v>
      </c>
      <c r="O402" s="757" t="s">
        <v>8634</v>
      </c>
      <c r="P402" s="735">
        <v>10</v>
      </c>
      <c r="Q402" s="758" t="s">
        <v>8635</v>
      </c>
      <c r="R402" s="735">
        <v>27</v>
      </c>
      <c r="S402" s="759" t="s">
        <v>8635</v>
      </c>
      <c r="T402" s="735">
        <v>27</v>
      </c>
      <c r="U402" s="758" t="s">
        <v>8635</v>
      </c>
      <c r="V402" s="735">
        <v>27</v>
      </c>
      <c r="W402" s="758" t="s">
        <v>8439</v>
      </c>
      <c r="X402" s="758" t="s">
        <v>8636</v>
      </c>
      <c r="Y402" s="738">
        <v>39</v>
      </c>
      <c r="Z402" s="759" t="s">
        <v>8636</v>
      </c>
      <c r="AA402" s="735">
        <v>39</v>
      </c>
      <c r="AB402" s="758" t="s">
        <v>8637</v>
      </c>
      <c r="AC402" s="735">
        <v>21</v>
      </c>
      <c r="AD402" s="738" t="s">
        <v>8442</v>
      </c>
      <c r="AE402" s="689"/>
      <c r="AF402" s="494" t="s">
        <v>2917</v>
      </c>
      <c r="AJ402" s="760">
        <f>_xll.GetCtData("COAMOUNT","CONSAMOUNT",$B$1:$B$7,$B402,AJ$8,"#")</f>
        <v>0</v>
      </c>
    </row>
    <row r="403" spans="1:36" ht="12" customHeight="1">
      <c r="A403" s="718" t="s">
        <v>2879</v>
      </c>
      <c r="B403" s="718" t="s">
        <v>8638</v>
      </c>
      <c r="C403" s="453" t="s">
        <v>8639</v>
      </c>
      <c r="D403" s="731" t="s">
        <v>6609</v>
      </c>
      <c r="E403" s="655">
        <v>44035</v>
      </c>
      <c r="F403" s="732" t="s">
        <v>2930</v>
      </c>
      <c r="G403" s="732">
        <v>7</v>
      </c>
      <c r="H403" s="732" t="s">
        <v>6610</v>
      </c>
      <c r="I403" s="733" t="s">
        <v>6610</v>
      </c>
      <c r="J403" s="733" t="s">
        <v>6610</v>
      </c>
      <c r="K403" s="733" t="s">
        <v>6610</v>
      </c>
      <c r="L403" s="733" t="s">
        <v>6610</v>
      </c>
      <c r="M403" s="733" t="s">
        <v>6610</v>
      </c>
      <c r="N403" s="733" t="s">
        <v>6610</v>
      </c>
      <c r="O403" s="757" t="s">
        <v>8639</v>
      </c>
      <c r="P403" s="735">
        <v>10</v>
      </c>
      <c r="Q403" s="758" t="s">
        <v>8640</v>
      </c>
      <c r="R403" s="735">
        <v>26</v>
      </c>
      <c r="S403" s="759" t="s">
        <v>8640</v>
      </c>
      <c r="T403" s="735">
        <v>26</v>
      </c>
      <c r="U403" s="758" t="s">
        <v>8640</v>
      </c>
      <c r="V403" s="735">
        <v>26</v>
      </c>
      <c r="W403" s="758" t="s">
        <v>8439</v>
      </c>
      <c r="X403" s="758" t="s">
        <v>8641</v>
      </c>
      <c r="Y403" s="738">
        <v>46</v>
      </c>
      <c r="Z403" s="759" t="s">
        <v>8641</v>
      </c>
      <c r="AA403" s="735">
        <v>46</v>
      </c>
      <c r="AB403" s="758" t="s">
        <v>8642</v>
      </c>
      <c r="AC403" s="735">
        <v>30</v>
      </c>
      <c r="AD403" s="738" t="s">
        <v>8442</v>
      </c>
      <c r="AE403" s="689"/>
      <c r="AF403" s="494" t="s">
        <v>2917</v>
      </c>
      <c r="AJ403" s="760">
        <f>_xll.GetCtData("COAMOUNT","CONSAMOUNT",$B$1:$B$7,$B403,AJ$8,"#")</f>
        <v>0</v>
      </c>
    </row>
    <row r="404" spans="1:36" ht="12" customHeight="1">
      <c r="A404" s="718" t="s">
        <v>2879</v>
      </c>
      <c r="B404" s="718" t="s">
        <v>8643</v>
      </c>
      <c r="C404" s="453" t="s">
        <v>8644</v>
      </c>
      <c r="D404" s="731" t="s">
        <v>6609</v>
      </c>
      <c r="E404" s="655">
        <v>44035</v>
      </c>
      <c r="F404" s="732" t="s">
        <v>2930</v>
      </c>
      <c r="G404" s="732">
        <v>7</v>
      </c>
      <c r="H404" s="732" t="s">
        <v>6610</v>
      </c>
      <c r="I404" s="733" t="s">
        <v>6610</v>
      </c>
      <c r="J404" s="733" t="s">
        <v>6610</v>
      </c>
      <c r="K404" s="733" t="s">
        <v>6610</v>
      </c>
      <c r="L404" s="733" t="s">
        <v>6610</v>
      </c>
      <c r="M404" s="733" t="s">
        <v>6610</v>
      </c>
      <c r="N404" s="733" t="s">
        <v>6610</v>
      </c>
      <c r="O404" s="757" t="s">
        <v>8644</v>
      </c>
      <c r="P404" s="735">
        <v>10</v>
      </c>
      <c r="Q404" s="758" t="s">
        <v>8645</v>
      </c>
      <c r="R404" s="735">
        <v>24</v>
      </c>
      <c r="S404" s="759" t="s">
        <v>8645</v>
      </c>
      <c r="T404" s="735">
        <v>24</v>
      </c>
      <c r="U404" s="758" t="s">
        <v>8645</v>
      </c>
      <c r="V404" s="735">
        <v>24</v>
      </c>
      <c r="W404" s="758" t="s">
        <v>8439</v>
      </c>
      <c r="X404" s="758" t="s">
        <v>8646</v>
      </c>
      <c r="Y404" s="738">
        <v>41</v>
      </c>
      <c r="Z404" s="759" t="s">
        <v>8646</v>
      </c>
      <c r="AA404" s="735">
        <v>41</v>
      </c>
      <c r="AB404" s="758" t="s">
        <v>8647</v>
      </c>
      <c r="AC404" s="735">
        <v>23</v>
      </c>
      <c r="AD404" s="738" t="s">
        <v>8442</v>
      </c>
      <c r="AE404" s="689"/>
      <c r="AF404" s="494" t="s">
        <v>2917</v>
      </c>
      <c r="AJ404" s="760">
        <f>_xll.GetCtData("COAMOUNT","CONSAMOUNT",$B$1:$B$7,$B404,AJ$8,"#")</f>
        <v>0</v>
      </c>
    </row>
    <row r="405" spans="1:36" ht="12" customHeight="1">
      <c r="A405" s="718" t="s">
        <v>2879</v>
      </c>
      <c r="B405" s="718" t="s">
        <v>8648</v>
      </c>
      <c r="C405" s="453" t="s">
        <v>8649</v>
      </c>
      <c r="D405" s="731" t="s">
        <v>6609</v>
      </c>
      <c r="E405" s="655">
        <v>44035</v>
      </c>
      <c r="F405" s="732" t="s">
        <v>2912</v>
      </c>
      <c r="G405" s="732">
        <v>3</v>
      </c>
      <c r="H405" s="732" t="s">
        <v>6610</v>
      </c>
      <c r="I405" s="733" t="s">
        <v>6610</v>
      </c>
      <c r="J405" s="733" t="s">
        <v>6610</v>
      </c>
      <c r="K405" s="752" t="s">
        <v>8649</v>
      </c>
      <c r="L405" s="752" t="s">
        <v>6610</v>
      </c>
      <c r="M405" s="752" t="s">
        <v>6610</v>
      </c>
      <c r="N405" s="752" t="s">
        <v>6610</v>
      </c>
      <c r="O405" s="753"/>
      <c r="P405" s="735">
        <v>0</v>
      </c>
      <c r="Q405" s="754" t="s">
        <v>8650</v>
      </c>
      <c r="R405" s="735">
        <v>33</v>
      </c>
      <c r="S405" s="755" t="s">
        <v>8650</v>
      </c>
      <c r="T405" s="735">
        <v>33</v>
      </c>
      <c r="U405" s="754" t="s">
        <v>8651</v>
      </c>
      <c r="V405" s="735">
        <v>21</v>
      </c>
      <c r="W405" s="754" t="s">
        <v>8439</v>
      </c>
      <c r="X405" s="754" t="s">
        <v>8652</v>
      </c>
      <c r="Y405" s="738">
        <v>53</v>
      </c>
      <c r="Z405" s="755" t="s">
        <v>8652</v>
      </c>
      <c r="AA405" s="735">
        <v>53</v>
      </c>
      <c r="AB405" s="754" t="s">
        <v>8653</v>
      </c>
      <c r="AC405" s="735">
        <v>26</v>
      </c>
      <c r="AD405" s="738" t="s">
        <v>8442</v>
      </c>
      <c r="AE405" s="689"/>
      <c r="AF405" s="494" t="s">
        <v>2917</v>
      </c>
      <c r="AJ405" s="756">
        <f>_xll.GetCtData("COAMOUNT","CONSAMOUNT",$B$1:$B$7,$B405,AJ$8,"#5938")</f>
        <v>5938</v>
      </c>
    </row>
    <row r="406" spans="1:36" ht="12" customHeight="1">
      <c r="A406" s="718" t="s">
        <v>2879</v>
      </c>
      <c r="B406" s="718" t="s">
        <v>8654</v>
      </c>
      <c r="C406" s="453" t="s">
        <v>8655</v>
      </c>
      <c r="D406" s="731" t="s">
        <v>6609</v>
      </c>
      <c r="E406" s="655">
        <v>44035</v>
      </c>
      <c r="F406" s="732" t="s">
        <v>2930</v>
      </c>
      <c r="G406" s="732">
        <v>7</v>
      </c>
      <c r="H406" s="732" t="s">
        <v>6610</v>
      </c>
      <c r="I406" s="733" t="s">
        <v>6610</v>
      </c>
      <c r="J406" s="733" t="s">
        <v>6610</v>
      </c>
      <c r="K406" s="733" t="s">
        <v>6610</v>
      </c>
      <c r="L406" s="733" t="s">
        <v>6610</v>
      </c>
      <c r="M406" s="733" t="s">
        <v>6610</v>
      </c>
      <c r="N406" s="733" t="s">
        <v>6610</v>
      </c>
      <c r="O406" s="757" t="s">
        <v>8655</v>
      </c>
      <c r="P406" s="735">
        <v>10</v>
      </c>
      <c r="Q406" s="758" t="s">
        <v>8656</v>
      </c>
      <c r="R406" s="735">
        <v>21</v>
      </c>
      <c r="S406" s="759" t="s">
        <v>8656</v>
      </c>
      <c r="T406" s="735">
        <v>21</v>
      </c>
      <c r="U406" s="758" t="s">
        <v>8656</v>
      </c>
      <c r="V406" s="735">
        <v>21</v>
      </c>
      <c r="W406" s="758" t="s">
        <v>8439</v>
      </c>
      <c r="X406" s="758" t="s">
        <v>8657</v>
      </c>
      <c r="Y406" s="738">
        <v>29</v>
      </c>
      <c r="Z406" s="759" t="s">
        <v>8657</v>
      </c>
      <c r="AA406" s="735">
        <v>29</v>
      </c>
      <c r="AB406" s="758" t="s">
        <v>8657</v>
      </c>
      <c r="AC406" s="735">
        <v>29</v>
      </c>
      <c r="AD406" s="738" t="s">
        <v>8442</v>
      </c>
      <c r="AE406" s="689"/>
      <c r="AF406" s="494" t="s">
        <v>2917</v>
      </c>
      <c r="AJ406" s="760">
        <f>_xll.GetCtData("COAMOUNT","CONSAMOUNT",$B$1:$B$7,$B406,AJ$8,"#")</f>
        <v>0</v>
      </c>
    </row>
    <row r="407" spans="1:36" ht="12" customHeight="1">
      <c r="A407" s="718" t="s">
        <v>2879</v>
      </c>
      <c r="B407" s="718" t="s">
        <v>8658</v>
      </c>
      <c r="C407" s="453" t="s">
        <v>8659</v>
      </c>
      <c r="D407" s="731" t="s">
        <v>6609</v>
      </c>
      <c r="E407" s="655">
        <v>44035</v>
      </c>
      <c r="F407" s="732" t="s">
        <v>2930</v>
      </c>
      <c r="G407" s="732">
        <v>7</v>
      </c>
      <c r="H407" s="732" t="s">
        <v>6610</v>
      </c>
      <c r="I407" s="733" t="s">
        <v>6610</v>
      </c>
      <c r="J407" s="733" t="s">
        <v>6610</v>
      </c>
      <c r="K407" s="733" t="s">
        <v>6610</v>
      </c>
      <c r="L407" s="733" t="s">
        <v>6610</v>
      </c>
      <c r="M407" s="733" t="s">
        <v>6610</v>
      </c>
      <c r="N407" s="733" t="s">
        <v>6610</v>
      </c>
      <c r="O407" s="757" t="s">
        <v>8659</v>
      </c>
      <c r="P407" s="735">
        <v>10</v>
      </c>
      <c r="Q407" s="758" t="s">
        <v>8660</v>
      </c>
      <c r="R407" s="735">
        <v>22</v>
      </c>
      <c r="S407" s="759" t="s">
        <v>8660</v>
      </c>
      <c r="T407" s="735">
        <v>22</v>
      </c>
      <c r="U407" s="758" t="s">
        <v>8660</v>
      </c>
      <c r="V407" s="735">
        <v>22</v>
      </c>
      <c r="W407" s="758" t="s">
        <v>8439</v>
      </c>
      <c r="X407" s="758" t="s">
        <v>8661</v>
      </c>
      <c r="Y407" s="738">
        <v>35</v>
      </c>
      <c r="Z407" s="759" t="s">
        <v>8661</v>
      </c>
      <c r="AA407" s="735">
        <v>35</v>
      </c>
      <c r="AB407" s="758" t="s">
        <v>8662</v>
      </c>
      <c r="AC407" s="735">
        <v>17</v>
      </c>
      <c r="AD407" s="738" t="s">
        <v>8442</v>
      </c>
      <c r="AE407" s="689"/>
      <c r="AF407" s="494" t="s">
        <v>2917</v>
      </c>
      <c r="AJ407" s="760">
        <f>_xll.GetCtData("COAMOUNT","CONSAMOUNT",$B$1:$B$7,$B407,AJ$8,"#5699")</f>
        <v>5699</v>
      </c>
    </row>
    <row r="408" spans="1:36" ht="12" customHeight="1">
      <c r="A408" s="718" t="s">
        <v>2879</v>
      </c>
      <c r="B408" s="718" t="s">
        <v>8663</v>
      </c>
      <c r="C408" s="453" t="s">
        <v>8664</v>
      </c>
      <c r="D408" s="731" t="s">
        <v>6609</v>
      </c>
      <c r="E408" s="655">
        <v>44035</v>
      </c>
      <c r="F408" s="732" t="s">
        <v>2930</v>
      </c>
      <c r="G408" s="732">
        <v>7</v>
      </c>
      <c r="H408" s="732" t="s">
        <v>6610</v>
      </c>
      <c r="I408" s="733" t="s">
        <v>6610</v>
      </c>
      <c r="J408" s="733" t="s">
        <v>6610</v>
      </c>
      <c r="K408" s="733" t="s">
        <v>6610</v>
      </c>
      <c r="L408" s="733" t="s">
        <v>6610</v>
      </c>
      <c r="M408" s="733" t="s">
        <v>6610</v>
      </c>
      <c r="N408" s="733" t="s">
        <v>6610</v>
      </c>
      <c r="O408" s="757" t="s">
        <v>8664</v>
      </c>
      <c r="P408" s="735">
        <v>10</v>
      </c>
      <c r="Q408" s="758" t="s">
        <v>8665</v>
      </c>
      <c r="R408" s="735">
        <v>19</v>
      </c>
      <c r="S408" s="759" t="s">
        <v>8665</v>
      </c>
      <c r="T408" s="735">
        <v>19</v>
      </c>
      <c r="U408" s="758" t="s">
        <v>8665</v>
      </c>
      <c r="V408" s="735">
        <v>19</v>
      </c>
      <c r="W408" s="758" t="s">
        <v>8439</v>
      </c>
      <c r="X408" s="758" t="s">
        <v>8666</v>
      </c>
      <c r="Y408" s="738">
        <v>37</v>
      </c>
      <c r="Z408" s="759" t="s">
        <v>8666</v>
      </c>
      <c r="AA408" s="735">
        <v>37</v>
      </c>
      <c r="AB408" s="758" t="s">
        <v>8667</v>
      </c>
      <c r="AC408" s="735">
        <v>19</v>
      </c>
      <c r="AD408" s="738" t="s">
        <v>8442</v>
      </c>
      <c r="AE408" s="689"/>
      <c r="AF408" s="494" t="s">
        <v>2917</v>
      </c>
      <c r="AJ408" s="760">
        <f>_xll.GetCtData("COAMOUNT","CONSAMOUNT",$B$1:$B$7,$B408,AJ$8,"#239")</f>
        <v>239</v>
      </c>
    </row>
    <row r="409" spans="1:36" ht="12" customHeight="1">
      <c r="A409" s="718" t="s">
        <v>2879</v>
      </c>
      <c r="B409" s="718" t="s">
        <v>8668</v>
      </c>
      <c r="C409" s="453" t="s">
        <v>8669</v>
      </c>
      <c r="D409" s="731" t="s">
        <v>6609</v>
      </c>
      <c r="E409" s="655">
        <v>44035</v>
      </c>
      <c r="F409" s="732" t="s">
        <v>2912</v>
      </c>
      <c r="G409" s="732">
        <v>3</v>
      </c>
      <c r="H409" s="732" t="s">
        <v>6610</v>
      </c>
      <c r="I409" s="733" t="s">
        <v>6610</v>
      </c>
      <c r="J409" s="733" t="s">
        <v>6610</v>
      </c>
      <c r="K409" s="752" t="s">
        <v>8669</v>
      </c>
      <c r="L409" s="752" t="s">
        <v>6610</v>
      </c>
      <c r="M409" s="752" t="s">
        <v>6610</v>
      </c>
      <c r="N409" s="752" t="s">
        <v>6610</v>
      </c>
      <c r="O409" s="753"/>
      <c r="P409" s="735">
        <v>0</v>
      </c>
      <c r="Q409" s="754" t="s">
        <v>8670</v>
      </c>
      <c r="R409" s="735">
        <v>35</v>
      </c>
      <c r="S409" s="755" t="s">
        <v>8670</v>
      </c>
      <c r="T409" s="735">
        <v>35</v>
      </c>
      <c r="U409" s="754" t="s">
        <v>8671</v>
      </c>
      <c r="V409" s="735">
        <v>23</v>
      </c>
      <c r="W409" s="754" t="s">
        <v>8439</v>
      </c>
      <c r="X409" s="754" t="s">
        <v>8672</v>
      </c>
      <c r="Y409" s="738">
        <v>55</v>
      </c>
      <c r="Z409" s="755" t="s">
        <v>8672</v>
      </c>
      <c r="AA409" s="735">
        <v>55</v>
      </c>
      <c r="AB409" s="754" t="s">
        <v>8673</v>
      </c>
      <c r="AC409" s="735">
        <v>28</v>
      </c>
      <c r="AD409" s="738" t="s">
        <v>8442</v>
      </c>
      <c r="AE409" s="689"/>
      <c r="AF409" s="494" t="s">
        <v>2917</v>
      </c>
      <c r="AJ409" s="756">
        <f>_xll.GetCtData("COAMOUNT","CONSAMOUNT",$B$1:$B$7,$B409,AJ$8,"#")</f>
        <v>0</v>
      </c>
    </row>
    <row r="410" spans="1:36" ht="12" customHeight="1">
      <c r="A410" s="718" t="s">
        <v>2879</v>
      </c>
      <c r="B410" s="718" t="s">
        <v>8674</v>
      </c>
      <c r="C410" s="453" t="s">
        <v>8675</v>
      </c>
      <c r="D410" s="731" t="s">
        <v>6609</v>
      </c>
      <c r="E410" s="655">
        <v>44035</v>
      </c>
      <c r="F410" s="732" t="s">
        <v>2930</v>
      </c>
      <c r="G410" s="732">
        <v>7</v>
      </c>
      <c r="H410" s="732" t="s">
        <v>6610</v>
      </c>
      <c r="I410" s="733" t="s">
        <v>6610</v>
      </c>
      <c r="J410" s="733" t="s">
        <v>6610</v>
      </c>
      <c r="K410" s="733" t="s">
        <v>6610</v>
      </c>
      <c r="L410" s="733" t="s">
        <v>6610</v>
      </c>
      <c r="M410" s="733" t="s">
        <v>6610</v>
      </c>
      <c r="N410" s="733" t="s">
        <v>6610</v>
      </c>
      <c r="O410" s="757" t="s">
        <v>8675</v>
      </c>
      <c r="P410" s="735">
        <v>10</v>
      </c>
      <c r="Q410" s="758" t="s">
        <v>8676</v>
      </c>
      <c r="R410" s="735">
        <v>23</v>
      </c>
      <c r="S410" s="759" t="s">
        <v>8676</v>
      </c>
      <c r="T410" s="735">
        <v>23</v>
      </c>
      <c r="U410" s="758" t="s">
        <v>8676</v>
      </c>
      <c r="V410" s="735">
        <v>23</v>
      </c>
      <c r="W410" s="758" t="s">
        <v>8439</v>
      </c>
      <c r="X410" s="758" t="s">
        <v>8677</v>
      </c>
      <c r="Y410" s="738">
        <v>31</v>
      </c>
      <c r="Z410" s="759" t="s">
        <v>8677</v>
      </c>
      <c r="AA410" s="735">
        <v>31</v>
      </c>
      <c r="AB410" s="758" t="s">
        <v>8678</v>
      </c>
      <c r="AC410" s="735">
        <v>18</v>
      </c>
      <c r="AD410" s="738" t="s">
        <v>8442</v>
      </c>
      <c r="AE410" s="689"/>
      <c r="AF410" s="494" t="s">
        <v>2917</v>
      </c>
      <c r="AJ410" s="760">
        <f>_xll.GetCtData("COAMOUNT","CONSAMOUNT",$B$1:$B$7,$B410,AJ$8,"#")</f>
        <v>0</v>
      </c>
    </row>
    <row r="411" spans="1:36" ht="12" customHeight="1">
      <c r="A411" s="718" t="s">
        <v>2879</v>
      </c>
      <c r="B411" s="718" t="s">
        <v>8679</v>
      </c>
      <c r="C411" s="453" t="s">
        <v>8680</v>
      </c>
      <c r="D411" s="731" t="s">
        <v>6609</v>
      </c>
      <c r="E411" s="655">
        <v>44035</v>
      </c>
      <c r="F411" s="732" t="s">
        <v>2930</v>
      </c>
      <c r="G411" s="732">
        <v>7</v>
      </c>
      <c r="H411" s="732" t="s">
        <v>6610</v>
      </c>
      <c r="I411" s="733" t="s">
        <v>6610</v>
      </c>
      <c r="J411" s="733" t="s">
        <v>6610</v>
      </c>
      <c r="K411" s="733" t="s">
        <v>6610</v>
      </c>
      <c r="L411" s="733" t="s">
        <v>6610</v>
      </c>
      <c r="M411" s="733" t="s">
        <v>6610</v>
      </c>
      <c r="N411" s="733" t="s">
        <v>6610</v>
      </c>
      <c r="O411" s="757" t="s">
        <v>8680</v>
      </c>
      <c r="P411" s="735">
        <v>10</v>
      </c>
      <c r="Q411" s="758" t="s">
        <v>8681</v>
      </c>
      <c r="R411" s="735">
        <v>24</v>
      </c>
      <c r="S411" s="759" t="s">
        <v>8681</v>
      </c>
      <c r="T411" s="735">
        <v>24</v>
      </c>
      <c r="U411" s="758" t="s">
        <v>8681</v>
      </c>
      <c r="V411" s="735">
        <v>24</v>
      </c>
      <c r="W411" s="758" t="s">
        <v>8439</v>
      </c>
      <c r="X411" s="758" t="s">
        <v>8682</v>
      </c>
      <c r="Y411" s="738">
        <v>37</v>
      </c>
      <c r="Z411" s="759" t="s">
        <v>8682</v>
      </c>
      <c r="AA411" s="735">
        <v>37</v>
      </c>
      <c r="AB411" s="758" t="s">
        <v>8683</v>
      </c>
      <c r="AC411" s="735">
        <v>19</v>
      </c>
      <c r="AD411" s="738" t="s">
        <v>8442</v>
      </c>
      <c r="AE411" s="689"/>
      <c r="AF411" s="494" t="s">
        <v>2917</v>
      </c>
      <c r="AJ411" s="760">
        <f>_xll.GetCtData("COAMOUNT","CONSAMOUNT",$B$1:$B$7,$B411,AJ$8,"#")</f>
        <v>0</v>
      </c>
    </row>
    <row r="412" spans="1:36" ht="12" customHeight="1">
      <c r="A412" s="718" t="s">
        <v>2879</v>
      </c>
      <c r="B412" s="718" t="s">
        <v>8684</v>
      </c>
      <c r="C412" s="453" t="s">
        <v>8685</v>
      </c>
      <c r="D412" s="731" t="s">
        <v>6609</v>
      </c>
      <c r="E412" s="655">
        <v>44035</v>
      </c>
      <c r="F412" s="732" t="s">
        <v>2930</v>
      </c>
      <c r="G412" s="732">
        <v>7</v>
      </c>
      <c r="H412" s="732" t="s">
        <v>6610</v>
      </c>
      <c r="I412" s="733" t="s">
        <v>6610</v>
      </c>
      <c r="J412" s="733" t="s">
        <v>6610</v>
      </c>
      <c r="K412" s="733" t="s">
        <v>6610</v>
      </c>
      <c r="L412" s="733" t="s">
        <v>6610</v>
      </c>
      <c r="M412" s="733" t="s">
        <v>6610</v>
      </c>
      <c r="N412" s="733" t="s">
        <v>6610</v>
      </c>
      <c r="O412" s="757" t="s">
        <v>8685</v>
      </c>
      <c r="P412" s="735">
        <v>10</v>
      </c>
      <c r="Q412" s="758" t="s">
        <v>8686</v>
      </c>
      <c r="R412" s="735">
        <v>21</v>
      </c>
      <c r="S412" s="759" t="s">
        <v>8686</v>
      </c>
      <c r="T412" s="735">
        <v>21</v>
      </c>
      <c r="U412" s="758" t="s">
        <v>8686</v>
      </c>
      <c r="V412" s="735">
        <v>21</v>
      </c>
      <c r="W412" s="758" t="s">
        <v>8439</v>
      </c>
      <c r="X412" s="758" t="s">
        <v>8687</v>
      </c>
      <c r="Y412" s="738">
        <v>39</v>
      </c>
      <c r="Z412" s="759" t="s">
        <v>8687</v>
      </c>
      <c r="AA412" s="735">
        <v>39</v>
      </c>
      <c r="AB412" s="758" t="s">
        <v>8688</v>
      </c>
      <c r="AC412" s="735">
        <v>21</v>
      </c>
      <c r="AD412" s="738" t="s">
        <v>8442</v>
      </c>
      <c r="AE412" s="689"/>
      <c r="AF412" s="494" t="s">
        <v>2917</v>
      </c>
      <c r="AJ412" s="760">
        <f>_xll.GetCtData("COAMOUNT","CONSAMOUNT",$B$1:$B$7,$B412,AJ$8,"#")</f>
        <v>0</v>
      </c>
    </row>
    <row r="413" spans="1:36" ht="12" customHeight="1">
      <c r="A413" s="718" t="s">
        <v>2879</v>
      </c>
      <c r="B413" s="718" t="s">
        <v>8689</v>
      </c>
      <c r="C413" s="453" t="s">
        <v>8690</v>
      </c>
      <c r="D413" s="731" t="s">
        <v>6609</v>
      </c>
      <c r="E413" s="655">
        <v>44035</v>
      </c>
      <c r="F413" s="732" t="s">
        <v>2912</v>
      </c>
      <c r="G413" s="732">
        <v>3</v>
      </c>
      <c r="H413" s="732" t="s">
        <v>6610</v>
      </c>
      <c r="I413" s="733" t="s">
        <v>6610</v>
      </c>
      <c r="J413" s="733" t="s">
        <v>6610</v>
      </c>
      <c r="K413" s="752" t="s">
        <v>8690</v>
      </c>
      <c r="L413" s="752" t="s">
        <v>6610</v>
      </c>
      <c r="M413" s="752" t="s">
        <v>6610</v>
      </c>
      <c r="N413" s="752" t="s">
        <v>6610</v>
      </c>
      <c r="O413" s="753"/>
      <c r="P413" s="735">
        <v>0</v>
      </c>
      <c r="Q413" s="754" t="s">
        <v>8691</v>
      </c>
      <c r="R413" s="735">
        <v>47</v>
      </c>
      <c r="S413" s="755" t="s">
        <v>8691</v>
      </c>
      <c r="T413" s="735">
        <v>47</v>
      </c>
      <c r="U413" s="754" t="s">
        <v>8692</v>
      </c>
      <c r="V413" s="735">
        <v>30</v>
      </c>
      <c r="W413" s="754" t="s">
        <v>8439</v>
      </c>
      <c r="X413" s="754" t="s">
        <v>8693</v>
      </c>
      <c r="Y413" s="738">
        <v>67</v>
      </c>
      <c r="Z413" s="755" t="s">
        <v>8693</v>
      </c>
      <c r="AA413" s="735">
        <v>67</v>
      </c>
      <c r="AB413" s="754" t="s">
        <v>8694</v>
      </c>
      <c r="AC413" s="735">
        <v>30</v>
      </c>
      <c r="AD413" s="738" t="s">
        <v>8442</v>
      </c>
      <c r="AE413" s="689"/>
      <c r="AF413" s="494" t="s">
        <v>2917</v>
      </c>
      <c r="AJ413" s="756">
        <f>_xll.GetCtData("COAMOUNT","CONSAMOUNT",$B$1:$B$7,$B413,AJ$8,"#")</f>
        <v>0</v>
      </c>
    </row>
    <row r="414" spans="1:36" ht="12" customHeight="1">
      <c r="A414" s="718" t="s">
        <v>2879</v>
      </c>
      <c r="B414" s="718" t="s">
        <v>8695</v>
      </c>
      <c r="C414" s="453" t="s">
        <v>8696</v>
      </c>
      <c r="D414" s="731" t="s">
        <v>6609</v>
      </c>
      <c r="E414" s="655">
        <v>44035</v>
      </c>
      <c r="F414" s="732" t="s">
        <v>2930</v>
      </c>
      <c r="G414" s="732">
        <v>7</v>
      </c>
      <c r="H414" s="732" t="s">
        <v>6610</v>
      </c>
      <c r="I414" s="733" t="s">
        <v>6610</v>
      </c>
      <c r="J414" s="733" t="s">
        <v>6610</v>
      </c>
      <c r="K414" s="733" t="s">
        <v>6610</v>
      </c>
      <c r="L414" s="733" t="s">
        <v>6610</v>
      </c>
      <c r="M414" s="733" t="s">
        <v>6610</v>
      </c>
      <c r="N414" s="733" t="s">
        <v>6610</v>
      </c>
      <c r="O414" s="757" t="s">
        <v>8696</v>
      </c>
      <c r="P414" s="735">
        <v>10</v>
      </c>
      <c r="Q414" s="758" t="s">
        <v>8697</v>
      </c>
      <c r="R414" s="735">
        <v>47</v>
      </c>
      <c r="S414" s="759" t="s">
        <v>8697</v>
      </c>
      <c r="T414" s="735">
        <v>47</v>
      </c>
      <c r="U414" s="758" t="s">
        <v>8698</v>
      </c>
      <c r="V414" s="735">
        <v>30</v>
      </c>
      <c r="W414" s="758" t="s">
        <v>8439</v>
      </c>
      <c r="X414" s="758" t="s">
        <v>8699</v>
      </c>
      <c r="Y414" s="738">
        <v>52</v>
      </c>
      <c r="Z414" s="759" t="s">
        <v>8699</v>
      </c>
      <c r="AA414" s="735">
        <v>52</v>
      </c>
      <c r="AB414" s="758" t="s">
        <v>8700</v>
      </c>
      <c r="AC414" s="735">
        <v>30</v>
      </c>
      <c r="AD414" s="738" t="s">
        <v>8442</v>
      </c>
      <c r="AE414" s="689"/>
      <c r="AF414" s="494" t="s">
        <v>2917</v>
      </c>
      <c r="AJ414" s="760">
        <f>_xll.GetCtData("COAMOUNT","CONSAMOUNT",$B$1:$B$7,$B414,AJ$8,"#")</f>
        <v>0</v>
      </c>
    </row>
    <row r="415" spans="1:36" ht="12" customHeight="1">
      <c r="A415" s="718" t="s">
        <v>2879</v>
      </c>
      <c r="B415" s="718" t="s">
        <v>8701</v>
      </c>
      <c r="C415" s="453" t="s">
        <v>8702</v>
      </c>
      <c r="D415" s="731" t="s">
        <v>6609</v>
      </c>
      <c r="E415" s="655">
        <v>44035</v>
      </c>
      <c r="F415" s="732" t="s">
        <v>2930</v>
      </c>
      <c r="G415" s="732">
        <v>7</v>
      </c>
      <c r="H415" s="732" t="s">
        <v>6610</v>
      </c>
      <c r="I415" s="733" t="s">
        <v>6610</v>
      </c>
      <c r="J415" s="733" t="s">
        <v>6610</v>
      </c>
      <c r="K415" s="733" t="s">
        <v>6610</v>
      </c>
      <c r="L415" s="733" t="s">
        <v>6610</v>
      </c>
      <c r="M415" s="733" t="s">
        <v>6610</v>
      </c>
      <c r="N415" s="733" t="s">
        <v>6610</v>
      </c>
      <c r="O415" s="757" t="s">
        <v>8702</v>
      </c>
      <c r="P415" s="735">
        <v>10</v>
      </c>
      <c r="Q415" s="758" t="s">
        <v>8703</v>
      </c>
      <c r="R415" s="735">
        <v>36</v>
      </c>
      <c r="S415" s="759" t="s">
        <v>8703</v>
      </c>
      <c r="T415" s="735">
        <v>36</v>
      </c>
      <c r="U415" s="758" t="s">
        <v>8704</v>
      </c>
      <c r="V415" s="735">
        <v>25</v>
      </c>
      <c r="W415" s="758" t="s">
        <v>8439</v>
      </c>
      <c r="X415" s="758" t="s">
        <v>8705</v>
      </c>
      <c r="Y415" s="738">
        <v>49</v>
      </c>
      <c r="Z415" s="759" t="s">
        <v>8705</v>
      </c>
      <c r="AA415" s="735">
        <v>49</v>
      </c>
      <c r="AB415" s="758" t="s">
        <v>8706</v>
      </c>
      <c r="AC415" s="735">
        <v>28</v>
      </c>
      <c r="AD415" s="738" t="s">
        <v>8442</v>
      </c>
      <c r="AE415" s="689"/>
      <c r="AF415" s="494" t="s">
        <v>2917</v>
      </c>
      <c r="AJ415" s="760">
        <f>_xll.GetCtData("COAMOUNT","CONSAMOUNT",$B$1:$B$7,$B415,AJ$8,"#")</f>
        <v>0</v>
      </c>
    </row>
    <row r="416" spans="1:36" ht="12" customHeight="1">
      <c r="A416" s="718" t="s">
        <v>2879</v>
      </c>
      <c r="B416" s="718" t="s">
        <v>8707</v>
      </c>
      <c r="C416" s="453" t="s">
        <v>8708</v>
      </c>
      <c r="D416" s="731" t="s">
        <v>6609</v>
      </c>
      <c r="E416" s="655">
        <v>44035</v>
      </c>
      <c r="F416" s="732" t="s">
        <v>2930</v>
      </c>
      <c r="G416" s="732">
        <v>7</v>
      </c>
      <c r="H416" s="732" t="s">
        <v>6610</v>
      </c>
      <c r="I416" s="733" t="s">
        <v>6610</v>
      </c>
      <c r="J416" s="733" t="s">
        <v>6610</v>
      </c>
      <c r="K416" s="733" t="s">
        <v>6610</v>
      </c>
      <c r="L416" s="733" t="s">
        <v>6610</v>
      </c>
      <c r="M416" s="733" t="s">
        <v>6610</v>
      </c>
      <c r="N416" s="733" t="s">
        <v>6610</v>
      </c>
      <c r="O416" s="757" t="s">
        <v>8708</v>
      </c>
      <c r="P416" s="735">
        <v>10</v>
      </c>
      <c r="Q416" s="758" t="s">
        <v>8709</v>
      </c>
      <c r="R416" s="735">
        <v>35</v>
      </c>
      <c r="S416" s="759" t="s">
        <v>8709</v>
      </c>
      <c r="T416" s="735">
        <v>35</v>
      </c>
      <c r="U416" s="758" t="s">
        <v>8710</v>
      </c>
      <c r="V416" s="735">
        <v>27</v>
      </c>
      <c r="W416" s="758" t="s">
        <v>8439</v>
      </c>
      <c r="X416" s="758" t="s">
        <v>8711</v>
      </c>
      <c r="Y416" s="738">
        <v>56</v>
      </c>
      <c r="Z416" s="759" t="s">
        <v>8711</v>
      </c>
      <c r="AA416" s="735">
        <v>56</v>
      </c>
      <c r="AB416" s="758" t="s">
        <v>8712</v>
      </c>
      <c r="AC416" s="735">
        <v>30</v>
      </c>
      <c r="AD416" s="738" t="s">
        <v>8442</v>
      </c>
      <c r="AE416" s="689"/>
      <c r="AF416" s="494" t="s">
        <v>2917</v>
      </c>
      <c r="AJ416" s="760">
        <f>_xll.GetCtData("COAMOUNT","CONSAMOUNT",$B$1:$B$7,$B416,AJ$8,"#")</f>
        <v>0</v>
      </c>
    </row>
    <row r="417" spans="1:36" ht="12" customHeight="1">
      <c r="A417" s="718" t="s">
        <v>2879</v>
      </c>
      <c r="B417" s="718" t="s">
        <v>8713</v>
      </c>
      <c r="C417" s="453" t="s">
        <v>8714</v>
      </c>
      <c r="D417" s="731" t="s">
        <v>6609</v>
      </c>
      <c r="E417" s="655">
        <v>44035</v>
      </c>
      <c r="F417" s="732" t="s">
        <v>2930</v>
      </c>
      <c r="G417" s="732">
        <v>7</v>
      </c>
      <c r="H417" s="732" t="s">
        <v>6610</v>
      </c>
      <c r="I417" s="733" t="s">
        <v>6610</v>
      </c>
      <c r="J417" s="733" t="s">
        <v>6610</v>
      </c>
      <c r="K417" s="733" t="s">
        <v>6610</v>
      </c>
      <c r="L417" s="733" t="s">
        <v>6610</v>
      </c>
      <c r="M417" s="733" t="s">
        <v>6610</v>
      </c>
      <c r="N417" s="733" t="s">
        <v>6610</v>
      </c>
      <c r="O417" s="757" t="s">
        <v>8714</v>
      </c>
      <c r="P417" s="735">
        <v>10</v>
      </c>
      <c r="Q417" s="758" t="s">
        <v>8715</v>
      </c>
      <c r="R417" s="735">
        <v>33</v>
      </c>
      <c r="S417" s="759" t="s">
        <v>8715</v>
      </c>
      <c r="T417" s="735">
        <v>33</v>
      </c>
      <c r="U417" s="758" t="s">
        <v>8716</v>
      </c>
      <c r="V417" s="735">
        <v>25</v>
      </c>
      <c r="W417" s="758" t="s">
        <v>8439</v>
      </c>
      <c r="X417" s="758" t="s">
        <v>8717</v>
      </c>
      <c r="Y417" s="738">
        <v>51</v>
      </c>
      <c r="Z417" s="759" t="s">
        <v>8717</v>
      </c>
      <c r="AA417" s="735">
        <v>51</v>
      </c>
      <c r="AB417" s="758" t="s">
        <v>8718</v>
      </c>
      <c r="AC417" s="735">
        <v>28</v>
      </c>
      <c r="AD417" s="738" t="s">
        <v>8442</v>
      </c>
      <c r="AE417" s="689"/>
      <c r="AF417" s="494" t="s">
        <v>2917</v>
      </c>
      <c r="AJ417" s="760">
        <f>_xll.GetCtData("COAMOUNT","CONSAMOUNT",$B$1:$B$7,$B417,AJ$8,"#")</f>
        <v>0</v>
      </c>
    </row>
    <row r="418" spans="1:36" ht="12" customHeight="1">
      <c r="A418" s="718" t="s">
        <v>2879</v>
      </c>
      <c r="B418" s="718" t="s">
        <v>8719</v>
      </c>
      <c r="C418" s="453" t="s">
        <v>8720</v>
      </c>
      <c r="D418" s="731" t="s">
        <v>6609</v>
      </c>
      <c r="E418" s="655">
        <v>44035</v>
      </c>
      <c r="F418" s="732" t="s">
        <v>2912</v>
      </c>
      <c r="G418" s="732">
        <v>3</v>
      </c>
      <c r="H418" s="732" t="s">
        <v>6610</v>
      </c>
      <c r="I418" s="733" t="s">
        <v>6610</v>
      </c>
      <c r="J418" s="733" t="s">
        <v>6610</v>
      </c>
      <c r="K418" s="752" t="s">
        <v>8720</v>
      </c>
      <c r="L418" s="752" t="s">
        <v>6610</v>
      </c>
      <c r="M418" s="752" t="s">
        <v>6610</v>
      </c>
      <c r="N418" s="752" t="s">
        <v>6610</v>
      </c>
      <c r="O418" s="753"/>
      <c r="P418" s="735">
        <v>0</v>
      </c>
      <c r="Q418" s="754" t="s">
        <v>8721</v>
      </c>
      <c r="R418" s="735">
        <v>73</v>
      </c>
      <c r="S418" s="755" t="s">
        <v>8721</v>
      </c>
      <c r="T418" s="735">
        <v>73</v>
      </c>
      <c r="U418" s="754" t="s">
        <v>8722</v>
      </c>
      <c r="V418" s="735">
        <v>30</v>
      </c>
      <c r="W418" s="754" t="s">
        <v>8439</v>
      </c>
      <c r="X418" s="754" t="s">
        <v>8723</v>
      </c>
      <c r="Y418" s="738">
        <v>88</v>
      </c>
      <c r="Z418" s="755" t="s">
        <v>8723</v>
      </c>
      <c r="AA418" s="735">
        <v>88</v>
      </c>
      <c r="AB418" s="754" t="s">
        <v>8724</v>
      </c>
      <c r="AC418" s="735">
        <v>30</v>
      </c>
      <c r="AD418" s="738" t="s">
        <v>8442</v>
      </c>
      <c r="AE418" s="689"/>
      <c r="AF418" s="494" t="s">
        <v>2917</v>
      </c>
      <c r="AJ418" s="756">
        <f>_xll.GetCtData("COAMOUNT","CONSAMOUNT",$B$1:$B$7,$B418,AJ$8,"#")</f>
        <v>0</v>
      </c>
    </row>
    <row r="419" spans="1:36" ht="12" customHeight="1">
      <c r="A419" s="718" t="s">
        <v>2879</v>
      </c>
      <c r="B419" s="718" t="s">
        <v>8725</v>
      </c>
      <c r="C419" s="453" t="s">
        <v>8726</v>
      </c>
      <c r="D419" s="731" t="s">
        <v>6609</v>
      </c>
      <c r="E419" s="655">
        <v>44035</v>
      </c>
      <c r="F419" s="732" t="s">
        <v>2930</v>
      </c>
      <c r="G419" s="732">
        <v>7</v>
      </c>
      <c r="H419" s="732" t="s">
        <v>6610</v>
      </c>
      <c r="I419" s="733" t="s">
        <v>6610</v>
      </c>
      <c r="J419" s="733" t="s">
        <v>6610</v>
      </c>
      <c r="K419" s="733" t="s">
        <v>6610</v>
      </c>
      <c r="L419" s="733" t="s">
        <v>6610</v>
      </c>
      <c r="M419" s="733" t="s">
        <v>6610</v>
      </c>
      <c r="N419" s="733" t="s">
        <v>6610</v>
      </c>
      <c r="O419" s="757" t="s">
        <v>8726</v>
      </c>
      <c r="P419" s="735">
        <v>9</v>
      </c>
      <c r="Q419" s="758" t="s">
        <v>8727</v>
      </c>
      <c r="R419" s="735">
        <v>79</v>
      </c>
      <c r="S419" s="759" t="s">
        <v>8727</v>
      </c>
      <c r="T419" s="735">
        <v>79</v>
      </c>
      <c r="U419" s="758" t="s">
        <v>8728</v>
      </c>
      <c r="V419" s="735">
        <v>30</v>
      </c>
      <c r="W419" s="758" t="s">
        <v>8439</v>
      </c>
      <c r="X419" s="758" t="s">
        <v>8729</v>
      </c>
      <c r="Y419" s="738">
        <v>102</v>
      </c>
      <c r="Z419" s="759" t="s">
        <v>8729</v>
      </c>
      <c r="AA419" s="735">
        <v>102</v>
      </c>
      <c r="AB419" s="758" t="s">
        <v>8730</v>
      </c>
      <c r="AC419" s="735">
        <v>29</v>
      </c>
      <c r="AD419" s="738" t="s">
        <v>8442</v>
      </c>
      <c r="AE419" s="689"/>
      <c r="AF419" s="494" t="s">
        <v>2917</v>
      </c>
      <c r="AJ419" s="760">
        <f>_xll.GetCtData("COAMOUNT","CONSAMOUNT",$B$1:$B$7,$B419,AJ$8,"#")</f>
        <v>0</v>
      </c>
    </row>
    <row r="420" spans="1:36" ht="12" customHeight="1">
      <c r="A420" s="718" t="s">
        <v>2879</v>
      </c>
      <c r="B420" s="718" t="s">
        <v>8731</v>
      </c>
      <c r="C420" s="453" t="s">
        <v>8732</v>
      </c>
      <c r="D420" s="731" t="s">
        <v>6609</v>
      </c>
      <c r="E420" s="655">
        <v>44035</v>
      </c>
      <c r="F420" s="732" t="s">
        <v>2912</v>
      </c>
      <c r="G420" s="732">
        <v>2</v>
      </c>
      <c r="H420" s="732" t="s">
        <v>6610</v>
      </c>
      <c r="I420" s="733" t="s">
        <v>6610</v>
      </c>
      <c r="J420" s="747" t="s">
        <v>8732</v>
      </c>
      <c r="K420" s="747" t="s">
        <v>6610</v>
      </c>
      <c r="L420" s="747" t="s">
        <v>6610</v>
      </c>
      <c r="M420" s="747" t="s">
        <v>6610</v>
      </c>
      <c r="N420" s="747" t="s">
        <v>6610</v>
      </c>
      <c r="O420" s="748"/>
      <c r="P420" s="735">
        <v>0</v>
      </c>
      <c r="Q420" s="749" t="s">
        <v>8733</v>
      </c>
      <c r="R420" s="735">
        <v>23</v>
      </c>
      <c r="S420" s="750" t="s">
        <v>8733</v>
      </c>
      <c r="T420" s="735">
        <v>23</v>
      </c>
      <c r="U420" s="749" t="s">
        <v>8733</v>
      </c>
      <c r="V420" s="735">
        <v>23</v>
      </c>
      <c r="W420" s="749" t="s">
        <v>8734</v>
      </c>
      <c r="X420" s="749" t="s">
        <v>8735</v>
      </c>
      <c r="Y420" s="738">
        <v>24</v>
      </c>
      <c r="Z420" s="750" t="s">
        <v>8735</v>
      </c>
      <c r="AA420" s="735">
        <v>24</v>
      </c>
      <c r="AB420" s="749" t="s">
        <v>8735</v>
      </c>
      <c r="AC420" s="735">
        <v>24</v>
      </c>
      <c r="AD420" s="738" t="s">
        <v>8736</v>
      </c>
      <c r="AE420" s="689"/>
      <c r="AF420" s="494" t="s">
        <v>2917</v>
      </c>
      <c r="AJ420" s="751">
        <f>_xll.GetCtData("COAMOUNT","CONSAMOUNT",$B$1:$B$7,$B420,AJ$8,"#856173,926783804")</f>
        <v>856173</v>
      </c>
    </row>
    <row r="421" spans="1:36" ht="12" customHeight="1">
      <c r="A421" s="718" t="s">
        <v>2879</v>
      </c>
      <c r="B421" s="718" t="s">
        <v>8737</v>
      </c>
      <c r="C421" s="453" t="s">
        <v>8738</v>
      </c>
      <c r="D421" s="731" t="s">
        <v>6609</v>
      </c>
      <c r="E421" s="655">
        <v>44035</v>
      </c>
      <c r="F421" s="732" t="s">
        <v>2912</v>
      </c>
      <c r="G421" s="732">
        <v>3</v>
      </c>
      <c r="H421" s="732" t="s">
        <v>6610</v>
      </c>
      <c r="I421" s="733" t="s">
        <v>6610</v>
      </c>
      <c r="J421" s="733" t="s">
        <v>6610</v>
      </c>
      <c r="K421" s="752" t="s">
        <v>8738</v>
      </c>
      <c r="L421" s="752" t="s">
        <v>6610</v>
      </c>
      <c r="M421" s="752" t="s">
        <v>6610</v>
      </c>
      <c r="N421" s="752" t="s">
        <v>6610</v>
      </c>
      <c r="O421" s="753"/>
      <c r="P421" s="735">
        <v>0</v>
      </c>
      <c r="Q421" s="754" t="s">
        <v>8739</v>
      </c>
      <c r="R421" s="735">
        <v>33</v>
      </c>
      <c r="S421" s="755" t="s">
        <v>8739</v>
      </c>
      <c r="T421" s="735">
        <v>33</v>
      </c>
      <c r="U421" s="754" t="s">
        <v>8740</v>
      </c>
      <c r="V421" s="735">
        <v>28</v>
      </c>
      <c r="W421" s="754" t="s">
        <v>8734</v>
      </c>
      <c r="X421" s="754" t="s">
        <v>8741</v>
      </c>
      <c r="Y421" s="738">
        <v>58</v>
      </c>
      <c r="Z421" s="755" t="s">
        <v>8741</v>
      </c>
      <c r="AA421" s="735">
        <v>58</v>
      </c>
      <c r="AB421" s="754" t="s">
        <v>8742</v>
      </c>
      <c r="AC421" s="735">
        <v>29</v>
      </c>
      <c r="AD421" s="738" t="s">
        <v>8736</v>
      </c>
      <c r="AE421" s="689"/>
      <c r="AF421" s="494" t="s">
        <v>2917</v>
      </c>
      <c r="AJ421" s="756">
        <f>_xll.GetCtData("COAMOUNT","CONSAMOUNT",$B$1:$B$7,$B421,AJ$8,"#-597088,190133435")</f>
        <v>-597088</v>
      </c>
    </row>
    <row r="422" spans="1:36" ht="12" customHeight="1">
      <c r="A422" s="718" t="s">
        <v>2879</v>
      </c>
      <c r="B422" s="718" t="s">
        <v>8743</v>
      </c>
      <c r="C422" s="453" t="s">
        <v>8744</v>
      </c>
      <c r="D422" s="731" t="s">
        <v>6609</v>
      </c>
      <c r="E422" s="655">
        <v>44035</v>
      </c>
      <c r="F422" s="732" t="s">
        <v>2930</v>
      </c>
      <c r="G422" s="732">
        <v>7</v>
      </c>
      <c r="H422" s="732" t="s">
        <v>6610</v>
      </c>
      <c r="I422" s="733" t="s">
        <v>6610</v>
      </c>
      <c r="J422" s="733" t="s">
        <v>6610</v>
      </c>
      <c r="K422" s="733" t="s">
        <v>6610</v>
      </c>
      <c r="L422" s="733" t="s">
        <v>6610</v>
      </c>
      <c r="M422" s="733" t="s">
        <v>6610</v>
      </c>
      <c r="N422" s="733" t="s">
        <v>6610</v>
      </c>
      <c r="O422" s="757" t="s">
        <v>8744</v>
      </c>
      <c r="P422" s="735">
        <v>10</v>
      </c>
      <c r="Q422" s="758" t="s">
        <v>8745</v>
      </c>
      <c r="R422" s="735">
        <v>30</v>
      </c>
      <c r="S422" s="759" t="s">
        <v>8745</v>
      </c>
      <c r="T422" s="735">
        <v>30</v>
      </c>
      <c r="U422" s="758" t="s">
        <v>8745</v>
      </c>
      <c r="V422" s="735">
        <v>30</v>
      </c>
      <c r="W422" s="758" t="s">
        <v>8734</v>
      </c>
      <c r="X422" s="758" t="s">
        <v>8746</v>
      </c>
      <c r="Y422" s="738">
        <v>64</v>
      </c>
      <c r="Z422" s="759" t="s">
        <v>8746</v>
      </c>
      <c r="AA422" s="735">
        <v>64</v>
      </c>
      <c r="AB422" s="758" t="s">
        <v>8747</v>
      </c>
      <c r="AC422" s="735">
        <v>28</v>
      </c>
      <c r="AD422" s="738" t="s">
        <v>8736</v>
      </c>
      <c r="AE422" s="689"/>
      <c r="AF422" s="494" t="s">
        <v>2917</v>
      </c>
      <c r="AJ422" s="760">
        <f>_xll.GetCtData("COAMOUNT","CONSAMOUNT",$B$1:$B$7,$B422,AJ$8,"#-812048,190133435")</f>
        <v>-812048</v>
      </c>
    </row>
    <row r="423" spans="1:36" ht="12" customHeight="1">
      <c r="A423" s="718" t="s">
        <v>2879</v>
      </c>
      <c r="B423" s="718" t="s">
        <v>8748</v>
      </c>
      <c r="C423" s="453" t="s">
        <v>8749</v>
      </c>
      <c r="D423" s="731" t="s">
        <v>6609</v>
      </c>
      <c r="E423" s="655">
        <v>44035</v>
      </c>
      <c r="F423" s="732" t="s">
        <v>2930</v>
      </c>
      <c r="G423" s="732">
        <v>7</v>
      </c>
      <c r="H423" s="732" t="s">
        <v>6610</v>
      </c>
      <c r="I423" s="733" t="s">
        <v>6610</v>
      </c>
      <c r="J423" s="733" t="s">
        <v>6610</v>
      </c>
      <c r="K423" s="733" t="s">
        <v>6610</v>
      </c>
      <c r="L423" s="733" t="s">
        <v>6610</v>
      </c>
      <c r="M423" s="733" t="s">
        <v>6610</v>
      </c>
      <c r="N423" s="733" t="s">
        <v>6610</v>
      </c>
      <c r="O423" s="757" t="s">
        <v>8749</v>
      </c>
      <c r="P423" s="735">
        <v>10</v>
      </c>
      <c r="Q423" s="758" t="s">
        <v>8750</v>
      </c>
      <c r="R423" s="735">
        <v>34</v>
      </c>
      <c r="S423" s="759" t="s">
        <v>8750</v>
      </c>
      <c r="T423" s="735">
        <v>34</v>
      </c>
      <c r="U423" s="758" t="s">
        <v>8751</v>
      </c>
      <c r="V423" s="735">
        <v>18</v>
      </c>
      <c r="W423" s="758" t="s">
        <v>8734</v>
      </c>
      <c r="X423" s="758" t="s">
        <v>8752</v>
      </c>
      <c r="Y423" s="738">
        <v>47</v>
      </c>
      <c r="Z423" s="759" t="s">
        <v>8752</v>
      </c>
      <c r="AA423" s="735">
        <v>47</v>
      </c>
      <c r="AB423" s="758" t="s">
        <v>8753</v>
      </c>
      <c r="AC423" s="735">
        <v>25</v>
      </c>
      <c r="AD423" s="738" t="s">
        <v>8736</v>
      </c>
      <c r="AE423" s="689"/>
      <c r="AF423" s="494" t="s">
        <v>2917</v>
      </c>
      <c r="AJ423" s="760">
        <f>_xll.GetCtData("COAMOUNT","CONSAMOUNT",$B$1:$B$7,$B423,AJ$8,"#214960")</f>
        <v>214960</v>
      </c>
    </row>
    <row r="424" spans="1:36" ht="12" customHeight="1">
      <c r="A424" s="718" t="s">
        <v>2879</v>
      </c>
      <c r="B424" s="718" t="s">
        <v>8754</v>
      </c>
      <c r="C424" s="453" t="s">
        <v>8755</v>
      </c>
      <c r="D424" s="731" t="s">
        <v>6609</v>
      </c>
      <c r="E424" s="655">
        <v>44035</v>
      </c>
      <c r="F424" s="789" t="s">
        <v>2912</v>
      </c>
      <c r="G424" s="895">
        <v>3</v>
      </c>
      <c r="H424" s="895" t="s">
        <v>6610</v>
      </c>
      <c r="I424" s="896" t="s">
        <v>6610</v>
      </c>
      <c r="J424" s="896" t="s">
        <v>6610</v>
      </c>
      <c r="K424" s="897" t="s">
        <v>8755</v>
      </c>
      <c r="L424" s="897" t="s">
        <v>6610</v>
      </c>
      <c r="M424" s="897" t="s">
        <v>6610</v>
      </c>
      <c r="N424" s="897" t="s">
        <v>6610</v>
      </c>
      <c r="O424" s="753"/>
      <c r="P424" s="735">
        <v>0</v>
      </c>
      <c r="Q424" s="754" t="s">
        <v>8756</v>
      </c>
      <c r="R424" s="735">
        <v>31</v>
      </c>
      <c r="S424" s="755" t="s">
        <v>8756</v>
      </c>
      <c r="T424" s="735">
        <v>31</v>
      </c>
      <c r="U424" s="754" t="s">
        <v>8757</v>
      </c>
      <c r="V424" s="735">
        <v>28</v>
      </c>
      <c r="W424" s="754" t="s">
        <v>8734</v>
      </c>
      <c r="X424" s="754" t="s">
        <v>8758</v>
      </c>
      <c r="Y424" s="738">
        <v>48</v>
      </c>
      <c r="Z424" s="755" t="s">
        <v>8758</v>
      </c>
      <c r="AA424" s="735">
        <v>48</v>
      </c>
      <c r="AB424" s="754" t="s">
        <v>8759</v>
      </c>
      <c r="AC424" s="735">
        <v>30</v>
      </c>
      <c r="AD424" s="738" t="s">
        <v>8736</v>
      </c>
      <c r="AE424" s="689" t="s">
        <v>5930</v>
      </c>
      <c r="AF424" s="530" t="s">
        <v>2969</v>
      </c>
      <c r="AJ424" s="756">
        <f>_xll.GetCtData("COAMOUNT","CONSAMOUNT",$B$1:$B$7,$B424,AJ$8,"#528617,734996851")</f>
        <v>528617</v>
      </c>
    </row>
    <row r="425" spans="1:36" ht="12" customHeight="1">
      <c r="B425" s="718" t="s">
        <v>8760</v>
      </c>
      <c r="C425" s="453" t="s">
        <v>8761</v>
      </c>
      <c r="D425" s="731" t="s">
        <v>6609</v>
      </c>
      <c r="E425" s="655">
        <v>44035</v>
      </c>
      <c r="F425" s="789" t="s">
        <v>2912</v>
      </c>
      <c r="G425" s="895">
        <v>4</v>
      </c>
      <c r="H425" s="895" t="s">
        <v>6610</v>
      </c>
      <c r="I425" s="896" t="s">
        <v>6610</v>
      </c>
      <c r="J425" s="896" t="s">
        <v>6610</v>
      </c>
      <c r="K425" s="896" t="s">
        <v>6610</v>
      </c>
      <c r="L425" s="896" t="s">
        <v>8761</v>
      </c>
      <c r="M425" s="896" t="s">
        <v>6610</v>
      </c>
      <c r="N425" s="896" t="s">
        <v>6610</v>
      </c>
      <c r="O425" s="757"/>
      <c r="P425" s="735">
        <v>0</v>
      </c>
      <c r="Q425" s="758" t="s">
        <v>8762</v>
      </c>
      <c r="R425" s="735">
        <v>65</v>
      </c>
      <c r="S425" s="759" t="s">
        <v>8762</v>
      </c>
      <c r="T425" s="735">
        <v>65</v>
      </c>
      <c r="U425" s="758" t="s">
        <v>8763</v>
      </c>
      <c r="V425" s="735">
        <v>43</v>
      </c>
      <c r="W425" s="758" t="s">
        <v>6610</v>
      </c>
      <c r="X425" s="758" t="s">
        <v>8764</v>
      </c>
      <c r="Y425" s="738">
        <v>34</v>
      </c>
      <c r="Z425" s="759" t="s">
        <v>8764</v>
      </c>
      <c r="AA425" s="735">
        <v>34</v>
      </c>
      <c r="AB425" s="758" t="s">
        <v>8765</v>
      </c>
      <c r="AC425" s="735">
        <v>20</v>
      </c>
      <c r="AD425" s="738" t="s">
        <v>6610</v>
      </c>
      <c r="AE425" s="689"/>
      <c r="AF425" s="530" t="s">
        <v>5577</v>
      </c>
      <c r="AJ425" s="760"/>
    </row>
    <row r="426" spans="1:36" ht="12" customHeight="1">
      <c r="A426" s="718" t="s">
        <v>2879</v>
      </c>
      <c r="B426" s="718" t="s">
        <v>8766</v>
      </c>
      <c r="C426" s="453" t="s">
        <v>8767</v>
      </c>
      <c r="D426" s="731" t="s">
        <v>6609</v>
      </c>
      <c r="E426" s="655">
        <v>44035</v>
      </c>
      <c r="F426" s="789" t="s">
        <v>2930</v>
      </c>
      <c r="G426" s="895">
        <v>7</v>
      </c>
      <c r="H426" s="895" t="s">
        <v>6610</v>
      </c>
      <c r="I426" s="896" t="s">
        <v>6610</v>
      </c>
      <c r="J426" s="896" t="s">
        <v>6610</v>
      </c>
      <c r="K426" s="896" t="s">
        <v>6610</v>
      </c>
      <c r="L426" s="896" t="s">
        <v>6610</v>
      </c>
      <c r="M426" s="896" t="s">
        <v>6610</v>
      </c>
      <c r="N426" s="896" t="s">
        <v>6610</v>
      </c>
      <c r="O426" s="757" t="s">
        <v>8767</v>
      </c>
      <c r="P426" s="735">
        <v>9</v>
      </c>
      <c r="Q426" s="758" t="s">
        <v>8768</v>
      </c>
      <c r="R426" s="735">
        <v>53</v>
      </c>
      <c r="S426" s="759" t="s">
        <v>8768</v>
      </c>
      <c r="T426" s="735">
        <v>53</v>
      </c>
      <c r="U426" s="758" t="s">
        <v>8769</v>
      </c>
      <c r="V426" s="735">
        <v>27</v>
      </c>
      <c r="W426" s="758" t="s">
        <v>8734</v>
      </c>
      <c r="X426" s="758" t="s">
        <v>8770</v>
      </c>
      <c r="Y426" s="738">
        <v>49</v>
      </c>
      <c r="Z426" s="759" t="s">
        <v>8770</v>
      </c>
      <c r="AA426" s="735">
        <v>49</v>
      </c>
      <c r="AB426" s="758" t="s">
        <v>8771</v>
      </c>
      <c r="AC426" s="735">
        <v>29</v>
      </c>
      <c r="AD426" s="738" t="s">
        <v>8736</v>
      </c>
      <c r="AE426" s="689" t="s">
        <v>8772</v>
      </c>
      <c r="AF426" s="530" t="s">
        <v>2969</v>
      </c>
      <c r="AJ426" s="760">
        <f>_xll.GetCtData("COAMOUNT","CONSAMOUNT",$B$1:$B$7,$B426,AJ$8,"#")</f>
        <v>0</v>
      </c>
    </row>
    <row r="427" spans="1:36" ht="12" customHeight="1">
      <c r="A427" s="718" t="s">
        <v>2879</v>
      </c>
      <c r="B427" s="718" t="s">
        <v>8773</v>
      </c>
      <c r="C427" s="453" t="s">
        <v>8774</v>
      </c>
      <c r="D427" s="731" t="s">
        <v>6609</v>
      </c>
      <c r="E427" s="655">
        <v>44035</v>
      </c>
      <c r="F427" s="789" t="s">
        <v>2930</v>
      </c>
      <c r="G427" s="895">
        <v>7</v>
      </c>
      <c r="H427" s="895" t="s">
        <v>6610</v>
      </c>
      <c r="I427" s="896" t="s">
        <v>6610</v>
      </c>
      <c r="J427" s="896" t="s">
        <v>6610</v>
      </c>
      <c r="K427" s="896" t="s">
        <v>6610</v>
      </c>
      <c r="L427" s="896" t="s">
        <v>6610</v>
      </c>
      <c r="M427" s="896" t="s">
        <v>6610</v>
      </c>
      <c r="N427" s="896" t="s">
        <v>6610</v>
      </c>
      <c r="O427" s="757" t="s">
        <v>8774</v>
      </c>
      <c r="P427" s="735">
        <v>9</v>
      </c>
      <c r="Q427" s="758" t="s">
        <v>8775</v>
      </c>
      <c r="R427" s="735">
        <v>49</v>
      </c>
      <c r="S427" s="759" t="s">
        <v>8775</v>
      </c>
      <c r="T427" s="735">
        <v>49</v>
      </c>
      <c r="U427" s="758" t="s">
        <v>8776</v>
      </c>
      <c r="V427" s="735">
        <v>30</v>
      </c>
      <c r="W427" s="758" t="s">
        <v>8734</v>
      </c>
      <c r="X427" s="758" t="s">
        <v>8777</v>
      </c>
      <c r="Y427" s="738">
        <v>45</v>
      </c>
      <c r="Z427" s="759" t="s">
        <v>8777</v>
      </c>
      <c r="AA427" s="735">
        <v>45</v>
      </c>
      <c r="AB427" s="758" t="s">
        <v>8778</v>
      </c>
      <c r="AC427" s="735">
        <v>27</v>
      </c>
      <c r="AD427" s="738" t="s">
        <v>8736</v>
      </c>
      <c r="AE427" s="689" t="s">
        <v>8779</v>
      </c>
      <c r="AF427" s="530" t="s">
        <v>2969</v>
      </c>
      <c r="AJ427" s="760">
        <f>_xll.GetCtData("COAMOUNT","CONSAMOUNT",$B$1:$B$7,$B427,AJ$8,"#530393,734996851")</f>
        <v>530393</v>
      </c>
    </row>
    <row r="428" spans="1:36" ht="12" customHeight="1">
      <c r="B428" s="718" t="s">
        <v>8760</v>
      </c>
      <c r="C428" s="453" t="s">
        <v>8761</v>
      </c>
      <c r="D428" s="731" t="s">
        <v>6609</v>
      </c>
      <c r="E428" s="655">
        <v>44035</v>
      </c>
      <c r="F428" s="789" t="s">
        <v>2912</v>
      </c>
      <c r="G428" s="895">
        <v>4</v>
      </c>
      <c r="H428" s="895" t="s">
        <v>6610</v>
      </c>
      <c r="I428" s="896" t="s">
        <v>6610</v>
      </c>
      <c r="J428" s="896" t="s">
        <v>6610</v>
      </c>
      <c r="K428" s="896" t="s">
        <v>6610</v>
      </c>
      <c r="L428" s="896" t="s">
        <v>8761</v>
      </c>
      <c r="M428" s="896" t="s">
        <v>6610</v>
      </c>
      <c r="N428" s="896" t="s">
        <v>6610</v>
      </c>
      <c r="O428" s="757"/>
      <c r="P428" s="735">
        <v>0</v>
      </c>
      <c r="Q428" s="758" t="s">
        <v>8780</v>
      </c>
      <c r="R428" s="735">
        <v>68</v>
      </c>
      <c r="S428" s="759" t="s">
        <v>8780</v>
      </c>
      <c r="T428" s="735">
        <v>68</v>
      </c>
      <c r="U428" s="758" t="s">
        <v>8781</v>
      </c>
      <c r="V428" s="735">
        <v>46</v>
      </c>
      <c r="W428" s="758" t="s">
        <v>6610</v>
      </c>
      <c r="X428" s="758" t="s">
        <v>8782</v>
      </c>
      <c r="Y428" s="738">
        <v>36</v>
      </c>
      <c r="Z428" s="759" t="s">
        <v>8782</v>
      </c>
      <c r="AA428" s="735">
        <v>36</v>
      </c>
      <c r="AB428" s="758" t="s">
        <v>8783</v>
      </c>
      <c r="AC428" s="735">
        <v>24</v>
      </c>
      <c r="AD428" s="738" t="s">
        <v>6610</v>
      </c>
      <c r="AE428" s="689"/>
      <c r="AF428" s="530" t="s">
        <v>5577</v>
      </c>
      <c r="AJ428" s="760"/>
    </row>
    <row r="429" spans="1:36" ht="12" customHeight="1">
      <c r="A429" s="718" t="s">
        <v>2879</v>
      </c>
      <c r="B429" s="718" t="s">
        <v>8784</v>
      </c>
      <c r="C429" s="453" t="s">
        <v>8785</v>
      </c>
      <c r="D429" s="731" t="s">
        <v>6609</v>
      </c>
      <c r="E429" s="655">
        <v>44035</v>
      </c>
      <c r="F429" s="789" t="s">
        <v>2930</v>
      </c>
      <c r="G429" s="895">
        <v>7</v>
      </c>
      <c r="H429" s="895" t="s">
        <v>6610</v>
      </c>
      <c r="I429" s="896" t="s">
        <v>6610</v>
      </c>
      <c r="J429" s="896" t="s">
        <v>6610</v>
      </c>
      <c r="K429" s="896" t="s">
        <v>6610</v>
      </c>
      <c r="L429" s="896" t="s">
        <v>6610</v>
      </c>
      <c r="M429" s="896" t="s">
        <v>6610</v>
      </c>
      <c r="N429" s="896" t="s">
        <v>6610</v>
      </c>
      <c r="O429" s="757" t="s">
        <v>8785</v>
      </c>
      <c r="P429" s="735">
        <v>10</v>
      </c>
      <c r="Q429" s="758" t="s">
        <v>8786</v>
      </c>
      <c r="R429" s="735">
        <v>55</v>
      </c>
      <c r="S429" s="759" t="s">
        <v>8786</v>
      </c>
      <c r="T429" s="735">
        <v>55</v>
      </c>
      <c r="U429" s="758" t="s">
        <v>8787</v>
      </c>
      <c r="V429" s="735">
        <v>25</v>
      </c>
      <c r="W429" s="758" t="s">
        <v>8734</v>
      </c>
      <c r="X429" s="758" t="s">
        <v>8788</v>
      </c>
      <c r="Y429" s="738">
        <v>51</v>
      </c>
      <c r="Z429" s="759" t="s">
        <v>8788</v>
      </c>
      <c r="AA429" s="735">
        <v>51</v>
      </c>
      <c r="AB429" s="758" t="s">
        <v>8789</v>
      </c>
      <c r="AC429" s="735">
        <v>26</v>
      </c>
      <c r="AD429" s="738" t="s">
        <v>8736</v>
      </c>
      <c r="AE429" s="689" t="s">
        <v>8790</v>
      </c>
      <c r="AF429" s="530" t="s">
        <v>2969</v>
      </c>
      <c r="AJ429" s="760">
        <f>_xll.GetCtData("COAMOUNT","CONSAMOUNT",$B$1:$B$7,$B429,AJ$8,"#")</f>
        <v>0</v>
      </c>
    </row>
    <row r="430" spans="1:36" ht="12" customHeight="1">
      <c r="A430" s="718" t="s">
        <v>2879</v>
      </c>
      <c r="B430" s="718" t="s">
        <v>8791</v>
      </c>
      <c r="C430" s="453" t="s">
        <v>8792</v>
      </c>
      <c r="D430" s="731" t="s">
        <v>6609</v>
      </c>
      <c r="E430" s="655">
        <v>44035</v>
      </c>
      <c r="F430" s="789" t="s">
        <v>2930</v>
      </c>
      <c r="G430" s="895">
        <v>7</v>
      </c>
      <c r="H430" s="895" t="s">
        <v>6610</v>
      </c>
      <c r="I430" s="896" t="s">
        <v>6610</v>
      </c>
      <c r="J430" s="896" t="s">
        <v>6610</v>
      </c>
      <c r="K430" s="896" t="s">
        <v>6610</v>
      </c>
      <c r="L430" s="896" t="s">
        <v>6610</v>
      </c>
      <c r="M430" s="896" t="s">
        <v>6610</v>
      </c>
      <c r="N430" s="896" t="s">
        <v>6610</v>
      </c>
      <c r="O430" s="757" t="s">
        <v>8792</v>
      </c>
      <c r="P430" s="735">
        <v>10</v>
      </c>
      <c r="Q430" s="758" t="s">
        <v>8793</v>
      </c>
      <c r="R430" s="735">
        <v>52</v>
      </c>
      <c r="S430" s="759" t="s">
        <v>8793</v>
      </c>
      <c r="T430" s="735">
        <v>52</v>
      </c>
      <c r="U430" s="758" t="s">
        <v>8794</v>
      </c>
      <c r="V430" s="735">
        <v>28</v>
      </c>
      <c r="W430" s="758" t="s">
        <v>8734</v>
      </c>
      <c r="X430" s="758" t="s">
        <v>8795</v>
      </c>
      <c r="Y430" s="738">
        <v>49</v>
      </c>
      <c r="Z430" s="759" t="s">
        <v>8795</v>
      </c>
      <c r="AA430" s="735">
        <v>49</v>
      </c>
      <c r="AB430" s="758" t="s">
        <v>8796</v>
      </c>
      <c r="AC430" s="735">
        <v>29</v>
      </c>
      <c r="AD430" s="738" t="s">
        <v>8736</v>
      </c>
      <c r="AE430" s="689" t="s">
        <v>8797</v>
      </c>
      <c r="AF430" s="530" t="s">
        <v>2969</v>
      </c>
      <c r="AJ430" s="760">
        <f>_xll.GetCtData("COAMOUNT","CONSAMOUNT",$B$1:$B$7,$B430,AJ$8,"#-1776")</f>
        <v>-1776</v>
      </c>
    </row>
    <row r="431" spans="1:36" ht="12" customHeight="1">
      <c r="A431" s="718" t="s">
        <v>2879</v>
      </c>
      <c r="B431" s="718" t="s">
        <v>8798</v>
      </c>
      <c r="C431" s="453" t="s">
        <v>8799</v>
      </c>
      <c r="D431" s="731" t="s">
        <v>6609</v>
      </c>
      <c r="E431" s="655">
        <v>44035</v>
      </c>
      <c r="F431" s="732" t="s">
        <v>2912</v>
      </c>
      <c r="G431" s="732">
        <v>3</v>
      </c>
      <c r="H431" s="732" t="s">
        <v>6610</v>
      </c>
      <c r="I431" s="733" t="s">
        <v>6610</v>
      </c>
      <c r="J431" s="733" t="s">
        <v>6610</v>
      </c>
      <c r="K431" s="752" t="s">
        <v>8799</v>
      </c>
      <c r="L431" s="752" t="s">
        <v>6610</v>
      </c>
      <c r="M431" s="752" t="s">
        <v>6610</v>
      </c>
      <c r="N431" s="752" t="s">
        <v>6610</v>
      </c>
      <c r="O431" s="753"/>
      <c r="P431" s="735">
        <v>0</v>
      </c>
      <c r="Q431" s="754" t="s">
        <v>8800</v>
      </c>
      <c r="R431" s="735">
        <v>38</v>
      </c>
      <c r="S431" s="755" t="s">
        <v>8800</v>
      </c>
      <c r="T431" s="735">
        <v>38</v>
      </c>
      <c r="U431" s="754" t="s">
        <v>8801</v>
      </c>
      <c r="V431" s="735">
        <v>29</v>
      </c>
      <c r="W431" s="754" t="s">
        <v>8734</v>
      </c>
      <c r="X431" s="754" t="s">
        <v>8802</v>
      </c>
      <c r="Y431" s="738">
        <v>58</v>
      </c>
      <c r="Z431" s="755" t="s">
        <v>8802</v>
      </c>
      <c r="AA431" s="735">
        <v>58</v>
      </c>
      <c r="AB431" s="754" t="s">
        <v>8803</v>
      </c>
      <c r="AC431" s="735">
        <v>29</v>
      </c>
      <c r="AD431" s="738" t="s">
        <v>8736</v>
      </c>
      <c r="AE431" s="689"/>
      <c r="AF431" s="494" t="s">
        <v>2917</v>
      </c>
      <c r="AJ431" s="756">
        <f>_xll.GetCtData("COAMOUNT","CONSAMOUNT",$B$1:$B$7,$B431,AJ$8,"#495157,091980141")</f>
        <v>495157</v>
      </c>
    </row>
    <row r="432" spans="1:36" ht="12" customHeight="1">
      <c r="A432" s="718" t="s">
        <v>2879</v>
      </c>
      <c r="B432" s="718" t="s">
        <v>8804</v>
      </c>
      <c r="C432" s="453" t="s">
        <v>8805</v>
      </c>
      <c r="D432" s="731" t="s">
        <v>6609</v>
      </c>
      <c r="E432" s="655">
        <v>44035</v>
      </c>
      <c r="F432" s="732" t="s">
        <v>2930</v>
      </c>
      <c r="G432" s="732">
        <v>7</v>
      </c>
      <c r="H432" s="732" t="s">
        <v>6610</v>
      </c>
      <c r="I432" s="733" t="s">
        <v>6610</v>
      </c>
      <c r="J432" s="733" t="s">
        <v>6610</v>
      </c>
      <c r="K432" s="733" t="s">
        <v>6610</v>
      </c>
      <c r="L432" s="733" t="s">
        <v>6610</v>
      </c>
      <c r="M432" s="733" t="s">
        <v>6610</v>
      </c>
      <c r="N432" s="733" t="s">
        <v>6610</v>
      </c>
      <c r="O432" s="757" t="s">
        <v>8805</v>
      </c>
      <c r="P432" s="735">
        <v>10</v>
      </c>
      <c r="Q432" s="758" t="s">
        <v>8806</v>
      </c>
      <c r="R432" s="735">
        <v>31</v>
      </c>
      <c r="S432" s="759" t="s">
        <v>8806</v>
      </c>
      <c r="T432" s="735">
        <v>31</v>
      </c>
      <c r="U432" s="758" t="s">
        <v>8807</v>
      </c>
      <c r="V432" s="735">
        <v>23</v>
      </c>
      <c r="W432" s="758" t="s">
        <v>8734</v>
      </c>
      <c r="X432" s="758" t="s">
        <v>8808</v>
      </c>
      <c r="Y432" s="738">
        <v>37</v>
      </c>
      <c r="Z432" s="759" t="s">
        <v>8808</v>
      </c>
      <c r="AA432" s="735">
        <v>37</v>
      </c>
      <c r="AB432" s="758" t="s">
        <v>8809</v>
      </c>
      <c r="AC432" s="735">
        <v>25</v>
      </c>
      <c r="AD432" s="738" t="s">
        <v>8736</v>
      </c>
      <c r="AE432" s="689"/>
      <c r="AF432" s="494" t="s">
        <v>2917</v>
      </c>
      <c r="AJ432" s="760">
        <f>_xll.GetCtData("COAMOUNT","CONSAMOUNT",$B$1:$B$7,$B432,AJ$8,"#493399,091980141")</f>
        <v>493399</v>
      </c>
    </row>
    <row r="433" spans="1:36" ht="12" customHeight="1">
      <c r="A433" s="718" t="s">
        <v>2879</v>
      </c>
      <c r="B433" s="718" t="s">
        <v>8810</v>
      </c>
      <c r="C433" s="453" t="s">
        <v>8811</v>
      </c>
      <c r="D433" s="731" t="s">
        <v>6609</v>
      </c>
      <c r="E433" s="655">
        <v>44035</v>
      </c>
      <c r="F433" s="732" t="s">
        <v>2930</v>
      </c>
      <c r="G433" s="732">
        <v>7</v>
      </c>
      <c r="H433" s="732" t="s">
        <v>6610</v>
      </c>
      <c r="I433" s="733" t="s">
        <v>6610</v>
      </c>
      <c r="J433" s="733" t="s">
        <v>6610</v>
      </c>
      <c r="K433" s="733" t="s">
        <v>6610</v>
      </c>
      <c r="L433" s="733" t="s">
        <v>6610</v>
      </c>
      <c r="M433" s="733" t="s">
        <v>6610</v>
      </c>
      <c r="N433" s="733" t="s">
        <v>6610</v>
      </c>
      <c r="O433" s="757" t="s">
        <v>8811</v>
      </c>
      <c r="P433" s="735">
        <v>10</v>
      </c>
      <c r="Q433" s="758" t="s">
        <v>8812</v>
      </c>
      <c r="R433" s="735">
        <v>42</v>
      </c>
      <c r="S433" s="759" t="s">
        <v>8812</v>
      </c>
      <c r="T433" s="735">
        <v>42</v>
      </c>
      <c r="U433" s="758" t="s">
        <v>8813</v>
      </c>
      <c r="V433" s="735">
        <v>27</v>
      </c>
      <c r="W433" s="758" t="s">
        <v>8734</v>
      </c>
      <c r="X433" s="758" t="s">
        <v>8814</v>
      </c>
      <c r="Y433" s="738">
        <v>27</v>
      </c>
      <c r="Z433" s="759" t="s">
        <v>8814</v>
      </c>
      <c r="AA433" s="735">
        <v>27</v>
      </c>
      <c r="AB433" s="758" t="s">
        <v>8814</v>
      </c>
      <c r="AC433" s="735">
        <v>27</v>
      </c>
      <c r="AD433" s="738" t="s">
        <v>8736</v>
      </c>
      <c r="AE433" s="689"/>
      <c r="AF433" s="494" t="s">
        <v>2917</v>
      </c>
      <c r="AJ433" s="760">
        <f>_xll.GetCtData("COAMOUNT","CONSAMOUNT",$B$1:$B$7,$B433,AJ$8,"#34399")</f>
        <v>34399</v>
      </c>
    </row>
    <row r="434" spans="1:36" ht="12" customHeight="1">
      <c r="A434" s="718" t="s">
        <v>2879</v>
      </c>
      <c r="B434" s="718" t="s">
        <v>8815</v>
      </c>
      <c r="C434" s="718" t="s">
        <v>8816</v>
      </c>
      <c r="D434" s="731" t="s">
        <v>6609</v>
      </c>
      <c r="E434" s="655">
        <v>44035</v>
      </c>
      <c r="F434" s="732" t="s">
        <v>2930</v>
      </c>
      <c r="G434" s="732">
        <v>7</v>
      </c>
      <c r="H434" s="732" t="s">
        <v>6610</v>
      </c>
      <c r="I434" s="733" t="s">
        <v>6610</v>
      </c>
      <c r="J434" s="733" t="s">
        <v>6610</v>
      </c>
      <c r="K434" s="733" t="s">
        <v>6610</v>
      </c>
      <c r="L434" s="733" t="s">
        <v>6610</v>
      </c>
      <c r="M434" s="733" t="s">
        <v>6610</v>
      </c>
      <c r="N434" s="733" t="s">
        <v>6610</v>
      </c>
      <c r="O434" s="757" t="s">
        <v>8816</v>
      </c>
      <c r="P434" s="735">
        <v>10</v>
      </c>
      <c r="Q434" s="758" t="s">
        <v>8817</v>
      </c>
      <c r="R434" s="735">
        <v>35</v>
      </c>
      <c r="S434" s="758" t="s">
        <v>8817</v>
      </c>
      <c r="T434" s="735">
        <v>35</v>
      </c>
      <c r="U434" s="758" t="s">
        <v>8818</v>
      </c>
      <c r="V434" s="735">
        <v>29</v>
      </c>
      <c r="W434" s="758" t="s">
        <v>8734</v>
      </c>
      <c r="X434" s="758" t="s">
        <v>8819</v>
      </c>
      <c r="Y434" s="738">
        <v>45</v>
      </c>
      <c r="Z434" s="758" t="s">
        <v>8819</v>
      </c>
      <c r="AA434" s="735">
        <v>45</v>
      </c>
      <c r="AB434" s="758" t="s">
        <v>8820</v>
      </c>
      <c r="AC434" s="735">
        <v>28</v>
      </c>
      <c r="AD434" s="738" t="s">
        <v>8736</v>
      </c>
      <c r="AE434" s="689"/>
      <c r="AF434" s="530" t="s">
        <v>2917</v>
      </c>
      <c r="AJ434" s="797">
        <f>_xll.GetCtData("COAMOUNT","CONSAMOUNT",$B$1:$B$7,$B434,AJ$8,"#-32641")</f>
        <v>-32641</v>
      </c>
    </row>
    <row r="435" spans="1:36" ht="12" customHeight="1">
      <c r="A435" s="718" t="s">
        <v>2879</v>
      </c>
      <c r="B435" s="718" t="s">
        <v>8821</v>
      </c>
      <c r="C435" s="453" t="s">
        <v>8822</v>
      </c>
      <c r="D435" s="731" t="s">
        <v>2962</v>
      </c>
      <c r="E435" s="655">
        <v>44516</v>
      </c>
      <c r="F435" s="732" t="s">
        <v>2912</v>
      </c>
      <c r="G435" s="732">
        <v>3</v>
      </c>
      <c r="H435" s="732" t="s">
        <v>6610</v>
      </c>
      <c r="I435" s="733" t="s">
        <v>6610</v>
      </c>
      <c r="J435" s="733" t="s">
        <v>6610</v>
      </c>
      <c r="K435" s="752" t="s">
        <v>8822</v>
      </c>
      <c r="L435" s="752" t="s">
        <v>6610</v>
      </c>
      <c r="M435" s="752" t="s">
        <v>6610</v>
      </c>
      <c r="N435" s="752" t="s">
        <v>6610</v>
      </c>
      <c r="O435" s="753"/>
      <c r="P435" s="735">
        <v>0</v>
      </c>
      <c r="Q435" s="536" t="s">
        <v>8823</v>
      </c>
      <c r="R435" s="735">
        <v>68</v>
      </c>
      <c r="S435" s="536" t="s">
        <v>8823</v>
      </c>
      <c r="T435" s="735">
        <v>68</v>
      </c>
      <c r="U435" s="754" t="s">
        <v>8824</v>
      </c>
      <c r="V435" s="735">
        <v>28</v>
      </c>
      <c r="W435" s="754" t="s">
        <v>8734</v>
      </c>
      <c r="X435" s="755" t="s">
        <v>8825</v>
      </c>
      <c r="Y435" s="738">
        <v>77</v>
      </c>
      <c r="Z435" s="755" t="s">
        <v>8825</v>
      </c>
      <c r="AA435" s="735">
        <v>77</v>
      </c>
      <c r="AB435" s="754" t="s">
        <v>8826</v>
      </c>
      <c r="AC435" s="735">
        <v>59</v>
      </c>
      <c r="AD435" s="738" t="s">
        <v>8736</v>
      </c>
      <c r="AE435" s="689" t="s">
        <v>6510</v>
      </c>
      <c r="AF435" s="779" t="s">
        <v>2721</v>
      </c>
      <c r="AJ435" s="898">
        <f>_xll.GetCtData("COAMOUNT","CONSAMOUNT",$B$1:$B$7,$B435,AJ$8,"#138699,332513497")</f>
        <v>138699</v>
      </c>
    </row>
    <row r="436" spans="1:36" ht="12" customHeight="1">
      <c r="A436" s="718" t="s">
        <v>2879</v>
      </c>
      <c r="B436" s="718" t="s">
        <v>8827</v>
      </c>
      <c r="C436" s="718" t="s">
        <v>8828</v>
      </c>
      <c r="D436" s="731" t="s">
        <v>2962</v>
      </c>
      <c r="E436" s="655">
        <v>44516</v>
      </c>
      <c r="F436" s="732" t="s">
        <v>2930</v>
      </c>
      <c r="G436" s="732">
        <v>7</v>
      </c>
      <c r="H436" s="732" t="s">
        <v>6610</v>
      </c>
      <c r="I436" s="733" t="s">
        <v>6610</v>
      </c>
      <c r="J436" s="733" t="s">
        <v>6610</v>
      </c>
      <c r="K436" s="733" t="s">
        <v>6610</v>
      </c>
      <c r="L436" s="733" t="s">
        <v>6610</v>
      </c>
      <c r="M436" s="733" t="s">
        <v>6610</v>
      </c>
      <c r="N436" s="733" t="s">
        <v>6610</v>
      </c>
      <c r="O436" s="757" t="s">
        <v>8828</v>
      </c>
      <c r="P436" s="735">
        <v>10</v>
      </c>
      <c r="Q436" s="758" t="s">
        <v>8829</v>
      </c>
      <c r="R436" s="735">
        <v>51</v>
      </c>
      <c r="S436" s="758" t="s">
        <v>8829</v>
      </c>
      <c r="T436" s="735">
        <v>51</v>
      </c>
      <c r="U436" s="758" t="s">
        <v>8830</v>
      </c>
      <c r="V436" s="735">
        <v>21</v>
      </c>
      <c r="W436" s="758" t="s">
        <v>8734</v>
      </c>
      <c r="X436" s="758" t="s">
        <v>8831</v>
      </c>
      <c r="Y436" s="738">
        <v>42</v>
      </c>
      <c r="Z436" s="758" t="s">
        <v>8831</v>
      </c>
      <c r="AA436" s="735">
        <v>42</v>
      </c>
      <c r="AB436" s="758" t="s">
        <v>8832</v>
      </c>
      <c r="AC436" s="735">
        <v>30</v>
      </c>
      <c r="AD436" s="738" t="s">
        <v>8736</v>
      </c>
      <c r="AE436" s="689" t="s">
        <v>8833</v>
      </c>
      <c r="AF436" s="530" t="s">
        <v>2969</v>
      </c>
      <c r="AJ436" s="797">
        <f>_xll.GetCtData("COAMOUNT","CONSAMOUNT",$B$1:$B$7,$B436,AJ$8,"#1435576,3325135")</f>
        <v>1435576</v>
      </c>
    </row>
    <row r="437" spans="1:36" ht="12" customHeight="1">
      <c r="A437" s="718" t="s">
        <v>2879</v>
      </c>
      <c r="B437" s="718" t="s">
        <v>8834</v>
      </c>
      <c r="C437" s="718" t="s">
        <v>8835</v>
      </c>
      <c r="D437" s="731" t="s">
        <v>2962</v>
      </c>
      <c r="E437" s="655">
        <v>44516</v>
      </c>
      <c r="F437" s="732" t="s">
        <v>2930</v>
      </c>
      <c r="G437" s="732">
        <v>7</v>
      </c>
      <c r="H437" s="732" t="s">
        <v>6610</v>
      </c>
      <c r="I437" s="733" t="s">
        <v>6610</v>
      </c>
      <c r="J437" s="733" t="s">
        <v>6610</v>
      </c>
      <c r="K437" s="733" t="s">
        <v>6610</v>
      </c>
      <c r="L437" s="733" t="s">
        <v>6610</v>
      </c>
      <c r="M437" s="733" t="s">
        <v>6610</v>
      </c>
      <c r="N437" s="733" t="s">
        <v>6610</v>
      </c>
      <c r="O437" s="757" t="s">
        <v>8835</v>
      </c>
      <c r="P437" s="735">
        <v>10</v>
      </c>
      <c r="Q437" s="758" t="s">
        <v>8836</v>
      </c>
      <c r="R437" s="735">
        <v>51</v>
      </c>
      <c r="S437" s="758" t="s">
        <v>8836</v>
      </c>
      <c r="T437" s="735">
        <v>51</v>
      </c>
      <c r="U437" s="758" t="s">
        <v>8837</v>
      </c>
      <c r="V437" s="735">
        <v>20</v>
      </c>
      <c r="W437" s="758" t="s">
        <v>8734</v>
      </c>
      <c r="X437" s="758" t="s">
        <v>8838</v>
      </c>
      <c r="Y437" s="738">
        <v>42</v>
      </c>
      <c r="Z437" s="758" t="s">
        <v>8838</v>
      </c>
      <c r="AA437" s="735">
        <v>42</v>
      </c>
      <c r="AB437" s="758" t="s">
        <v>8839</v>
      </c>
      <c r="AC437" s="735">
        <v>30</v>
      </c>
      <c r="AD437" s="738" t="s">
        <v>8736</v>
      </c>
      <c r="AE437" s="689" t="s">
        <v>8833</v>
      </c>
      <c r="AF437" s="530" t="s">
        <v>2969</v>
      </c>
      <c r="AJ437" s="797">
        <f>_xll.GetCtData("COAMOUNT","CONSAMOUNT",$B$1:$B$7,$B437,AJ$8,"#-14095643")</f>
        <v>-14095643</v>
      </c>
    </row>
    <row r="438" spans="1:36" ht="12" customHeight="1">
      <c r="A438" s="718" t="s">
        <v>2879</v>
      </c>
      <c r="B438" s="718" t="s">
        <v>8840</v>
      </c>
      <c r="C438" s="718" t="s">
        <v>8841</v>
      </c>
      <c r="D438" s="731" t="s">
        <v>2962</v>
      </c>
      <c r="E438" s="655">
        <v>44516</v>
      </c>
      <c r="F438" s="732" t="s">
        <v>2930</v>
      </c>
      <c r="G438" s="732">
        <v>7</v>
      </c>
      <c r="H438" s="732" t="s">
        <v>6610</v>
      </c>
      <c r="I438" s="733" t="s">
        <v>6610</v>
      </c>
      <c r="J438" s="733" t="s">
        <v>6610</v>
      </c>
      <c r="K438" s="733" t="s">
        <v>6610</v>
      </c>
      <c r="L438" s="733" t="s">
        <v>6610</v>
      </c>
      <c r="M438" s="733" t="s">
        <v>6610</v>
      </c>
      <c r="N438" s="733" t="s">
        <v>6610</v>
      </c>
      <c r="O438" s="757" t="s">
        <v>8841</v>
      </c>
      <c r="P438" s="735">
        <v>10</v>
      </c>
      <c r="Q438" s="758" t="s">
        <v>8842</v>
      </c>
      <c r="R438" s="735">
        <v>51</v>
      </c>
      <c r="S438" s="758" t="s">
        <v>8842</v>
      </c>
      <c r="T438" s="735">
        <v>51</v>
      </c>
      <c r="U438" s="758" t="s">
        <v>8843</v>
      </c>
      <c r="V438" s="735">
        <v>20</v>
      </c>
      <c r="W438" s="758" t="s">
        <v>8734</v>
      </c>
      <c r="X438" s="758" t="s">
        <v>8844</v>
      </c>
      <c r="Y438" s="738">
        <v>42</v>
      </c>
      <c r="Z438" s="758" t="s">
        <v>8844</v>
      </c>
      <c r="AA438" s="735">
        <v>42</v>
      </c>
      <c r="AB438" s="758" t="s">
        <v>8845</v>
      </c>
      <c r="AC438" s="735">
        <v>30</v>
      </c>
      <c r="AD438" s="738" t="s">
        <v>8736</v>
      </c>
      <c r="AE438" s="689" t="s">
        <v>8833</v>
      </c>
      <c r="AF438" s="530" t="s">
        <v>2969</v>
      </c>
      <c r="AJ438" s="797">
        <f>_xll.GetCtData("COAMOUNT","CONSAMOUNT",$B$1:$B$7,$B438,AJ$8,"#0")</f>
        <v>0</v>
      </c>
    </row>
    <row r="439" spans="1:36" ht="12" customHeight="1">
      <c r="A439" s="718" t="s">
        <v>2879</v>
      </c>
      <c r="B439" s="718" t="s">
        <v>8846</v>
      </c>
      <c r="C439" s="453" t="s">
        <v>8847</v>
      </c>
      <c r="D439" s="731" t="s">
        <v>2962</v>
      </c>
      <c r="E439" s="655">
        <v>44516</v>
      </c>
      <c r="F439" s="732" t="s">
        <v>2912</v>
      </c>
      <c r="G439" s="732">
        <v>3</v>
      </c>
      <c r="H439" s="732" t="s">
        <v>6610</v>
      </c>
      <c r="I439" s="733" t="s">
        <v>6610</v>
      </c>
      <c r="J439" s="733" t="s">
        <v>6610</v>
      </c>
      <c r="K439" s="752" t="s">
        <v>8847</v>
      </c>
      <c r="L439" s="752" t="s">
        <v>6610</v>
      </c>
      <c r="M439" s="752" t="s">
        <v>6610</v>
      </c>
      <c r="N439" s="752" t="s">
        <v>6610</v>
      </c>
      <c r="O439" s="753"/>
      <c r="P439" s="735">
        <v>0</v>
      </c>
      <c r="Q439" s="754" t="s">
        <v>8848</v>
      </c>
      <c r="R439" s="735">
        <v>19</v>
      </c>
      <c r="S439" s="755" t="s">
        <v>8848</v>
      </c>
      <c r="T439" s="735">
        <v>19</v>
      </c>
      <c r="U439" s="754" t="s">
        <v>8848</v>
      </c>
      <c r="V439" s="735">
        <v>19</v>
      </c>
      <c r="W439" s="754" t="s">
        <v>8734</v>
      </c>
      <c r="X439" s="754" t="s">
        <v>8849</v>
      </c>
      <c r="Y439" s="738">
        <v>32</v>
      </c>
      <c r="Z439" s="755" t="s">
        <v>8849</v>
      </c>
      <c r="AA439" s="735">
        <v>32</v>
      </c>
      <c r="AB439" s="754" t="s">
        <v>8850</v>
      </c>
      <c r="AC439" s="735">
        <v>21</v>
      </c>
      <c r="AD439" s="738" t="s">
        <v>8736</v>
      </c>
      <c r="AE439" s="689"/>
      <c r="AF439" s="857"/>
      <c r="AJ439" s="756">
        <f>_xll.GetCtData("COAMOUNT","CONSAMOUNT",$B$1:$B$7,$B439,AJ$8,"#290787,957426749")</f>
        <v>290787</v>
      </c>
    </row>
    <row r="440" spans="1:36" ht="12" customHeight="1">
      <c r="A440" s="718" t="s">
        <v>2879</v>
      </c>
      <c r="B440" s="718" t="s">
        <v>8851</v>
      </c>
      <c r="C440" s="453" t="s">
        <v>8852</v>
      </c>
      <c r="D440" s="731" t="s">
        <v>2962</v>
      </c>
      <c r="E440" s="655">
        <v>44516</v>
      </c>
      <c r="F440" s="732" t="s">
        <v>2930</v>
      </c>
      <c r="G440" s="732">
        <v>7</v>
      </c>
      <c r="H440" s="732"/>
      <c r="I440" s="733"/>
      <c r="J440" s="733"/>
      <c r="K440" s="733"/>
      <c r="L440" s="733"/>
      <c r="M440" s="733"/>
      <c r="N440" s="733"/>
      <c r="O440" s="757" t="s">
        <v>8852</v>
      </c>
      <c r="P440" s="735">
        <v>9</v>
      </c>
      <c r="Q440" s="758" t="s">
        <v>8853</v>
      </c>
      <c r="R440" s="735">
        <v>46</v>
      </c>
      <c r="S440" s="758" t="s">
        <v>8853</v>
      </c>
      <c r="T440" s="735">
        <v>46</v>
      </c>
      <c r="U440" s="758" t="s">
        <v>8854</v>
      </c>
      <c r="V440" s="735">
        <v>16</v>
      </c>
      <c r="W440" s="758" t="s">
        <v>8734</v>
      </c>
      <c r="X440" s="758" t="s">
        <v>8855</v>
      </c>
      <c r="Y440" s="738">
        <v>38</v>
      </c>
      <c r="Z440" s="759" t="s">
        <v>8855</v>
      </c>
      <c r="AA440" s="735">
        <v>38</v>
      </c>
      <c r="AB440" s="758" t="s">
        <v>8856</v>
      </c>
      <c r="AC440" s="735">
        <v>26</v>
      </c>
      <c r="AD440" s="738" t="s">
        <v>8736</v>
      </c>
      <c r="AE440" s="689" t="s">
        <v>6510</v>
      </c>
      <c r="AF440" s="530" t="s">
        <v>2969</v>
      </c>
      <c r="AJ440" s="797">
        <f>_xll.GetCtData("COAMOUNT","CONSAMOUNT",$B$1:$B$7,$B440,AJ$8,"#80781")</f>
        <v>80781</v>
      </c>
    </row>
    <row r="441" spans="1:36" ht="12" customHeight="1">
      <c r="A441" s="718" t="s">
        <v>2879</v>
      </c>
      <c r="B441" s="718" t="s">
        <v>8857</v>
      </c>
      <c r="C441" s="453" t="s">
        <v>8858</v>
      </c>
      <c r="D441" s="731" t="s">
        <v>2962</v>
      </c>
      <c r="E441" s="655">
        <v>44567</v>
      </c>
      <c r="F441" s="732" t="s">
        <v>2930</v>
      </c>
      <c r="G441" s="732">
        <v>7</v>
      </c>
      <c r="H441" s="732"/>
      <c r="I441" s="733"/>
      <c r="J441" s="733"/>
      <c r="K441" s="733"/>
      <c r="L441" s="733"/>
      <c r="M441" s="733"/>
      <c r="N441" s="733"/>
      <c r="O441" s="757" t="s">
        <v>8858</v>
      </c>
      <c r="P441" s="735">
        <v>9</v>
      </c>
      <c r="Q441" s="758" t="s">
        <v>8859</v>
      </c>
      <c r="R441" s="735">
        <v>66</v>
      </c>
      <c r="S441" s="758" t="s">
        <v>8859</v>
      </c>
      <c r="T441" s="735">
        <v>66</v>
      </c>
      <c r="U441" s="758" t="s">
        <v>8860</v>
      </c>
      <c r="V441" s="735">
        <v>28</v>
      </c>
      <c r="W441" s="758" t="s">
        <v>8734</v>
      </c>
      <c r="X441" s="758" t="s">
        <v>8861</v>
      </c>
      <c r="Y441" s="738">
        <v>66</v>
      </c>
      <c r="Z441" s="759" t="s">
        <v>8861</v>
      </c>
      <c r="AA441" s="735">
        <v>66</v>
      </c>
      <c r="AB441" s="758" t="s">
        <v>8862</v>
      </c>
      <c r="AC441" s="735">
        <v>30</v>
      </c>
      <c r="AD441" s="738" t="s">
        <v>8736</v>
      </c>
      <c r="AE441" s="689" t="s">
        <v>6548</v>
      </c>
      <c r="AF441" s="530" t="s">
        <v>2969</v>
      </c>
      <c r="AJ441" s="797">
        <f>_xll.GetCtData("COAMOUNT","CONSAMOUNT",$B$1:$B$7,$B441,AJ$8,"#0")</f>
        <v>0</v>
      </c>
    </row>
    <row r="442" spans="1:36" ht="12" customHeight="1">
      <c r="A442" s="718" t="s">
        <v>2879</v>
      </c>
      <c r="B442" s="718" t="s">
        <v>8863</v>
      </c>
      <c r="C442" s="453" t="s">
        <v>8864</v>
      </c>
      <c r="D442" s="731" t="s">
        <v>2962</v>
      </c>
      <c r="E442" s="655">
        <v>44516</v>
      </c>
      <c r="F442" s="732" t="s">
        <v>2930</v>
      </c>
      <c r="G442" s="732">
        <v>7</v>
      </c>
      <c r="H442" s="732" t="s">
        <v>6610</v>
      </c>
      <c r="I442" s="733" t="s">
        <v>6610</v>
      </c>
      <c r="J442" s="733" t="s">
        <v>6610</v>
      </c>
      <c r="K442" s="733" t="s">
        <v>6610</v>
      </c>
      <c r="L442" s="733" t="s">
        <v>6610</v>
      </c>
      <c r="M442" s="733" t="s">
        <v>6610</v>
      </c>
      <c r="N442" s="733" t="s">
        <v>6610</v>
      </c>
      <c r="O442" s="757" t="s">
        <v>8864</v>
      </c>
      <c r="P442" s="735">
        <v>10</v>
      </c>
      <c r="Q442" s="758" t="s">
        <v>8865</v>
      </c>
      <c r="R442" s="735">
        <v>42</v>
      </c>
      <c r="S442" s="759" t="s">
        <v>8865</v>
      </c>
      <c r="T442" s="735">
        <v>42</v>
      </c>
      <c r="U442" s="758" t="s">
        <v>8866</v>
      </c>
      <c r="V442" s="735">
        <v>30</v>
      </c>
      <c r="W442" s="758" t="s">
        <v>8734</v>
      </c>
      <c r="X442" s="758" t="s">
        <v>8867</v>
      </c>
      <c r="Y442" s="738">
        <v>62</v>
      </c>
      <c r="Z442" s="759" t="s">
        <v>8867</v>
      </c>
      <c r="AA442" s="735">
        <v>62</v>
      </c>
      <c r="AB442" s="758" t="s">
        <v>8868</v>
      </c>
      <c r="AC442" s="735">
        <v>30</v>
      </c>
      <c r="AD442" s="738" t="s">
        <v>8736</v>
      </c>
      <c r="AE442" s="689" t="s">
        <v>6510</v>
      </c>
      <c r="AF442" s="530" t="s">
        <v>2969</v>
      </c>
      <c r="AJ442" s="760">
        <f>_xll.GetCtData("COAMOUNT","CONSAMOUNT",$B$1:$B$7,$B442,AJ$8,"#-167,193142732635")</f>
        <v>-167</v>
      </c>
    </row>
    <row r="443" spans="1:36" ht="12" customHeight="1">
      <c r="A443" s="718" t="s">
        <v>2879</v>
      </c>
      <c r="B443" s="718" t="s">
        <v>8869</v>
      </c>
      <c r="C443" s="453" t="s">
        <v>8870</v>
      </c>
      <c r="D443" s="731" t="s">
        <v>2962</v>
      </c>
      <c r="E443" s="655">
        <v>44516</v>
      </c>
      <c r="F443" s="732" t="s">
        <v>2930</v>
      </c>
      <c r="G443" s="732">
        <v>7</v>
      </c>
      <c r="H443" s="732" t="s">
        <v>6610</v>
      </c>
      <c r="I443" s="733" t="s">
        <v>6610</v>
      </c>
      <c r="J443" s="733" t="s">
        <v>6610</v>
      </c>
      <c r="K443" s="733" t="s">
        <v>6610</v>
      </c>
      <c r="L443" s="733" t="s">
        <v>6610</v>
      </c>
      <c r="M443" s="733" t="s">
        <v>6610</v>
      </c>
      <c r="N443" s="733" t="s">
        <v>6610</v>
      </c>
      <c r="O443" s="757" t="s">
        <v>8870</v>
      </c>
      <c r="P443" s="735">
        <v>10</v>
      </c>
      <c r="Q443" s="758" t="s">
        <v>8871</v>
      </c>
      <c r="R443" s="735">
        <v>38</v>
      </c>
      <c r="S443" s="759" t="s">
        <v>8871</v>
      </c>
      <c r="T443" s="735">
        <v>38</v>
      </c>
      <c r="U443" s="758" t="s">
        <v>8872</v>
      </c>
      <c r="V443" s="735">
        <v>26</v>
      </c>
      <c r="W443" s="758" t="s">
        <v>8734</v>
      </c>
      <c r="X443" s="758" t="s">
        <v>8873</v>
      </c>
      <c r="Y443" s="738">
        <v>49</v>
      </c>
      <c r="Z443" s="759" t="s">
        <v>8873</v>
      </c>
      <c r="AA443" s="735">
        <v>49</v>
      </c>
      <c r="AB443" s="758" t="s">
        <v>8874</v>
      </c>
      <c r="AC443" s="735">
        <v>28</v>
      </c>
      <c r="AD443" s="738" t="s">
        <v>8736</v>
      </c>
      <c r="AE443" s="689" t="s">
        <v>6510</v>
      </c>
      <c r="AF443" s="530" t="s">
        <v>2969</v>
      </c>
      <c r="AJ443" s="760">
        <f>_xll.GetCtData("COAMOUNT","CONSAMOUNT",$B$1:$B$7,$B443,AJ$8,"#-26702,7851481456")</f>
        <v>-26702</v>
      </c>
    </row>
    <row r="444" spans="1:36" ht="12" customHeight="1">
      <c r="A444" s="718" t="s">
        <v>2879</v>
      </c>
      <c r="B444" s="718" t="s">
        <v>8875</v>
      </c>
      <c r="C444" s="453" t="s">
        <v>8876</v>
      </c>
      <c r="D444" s="731" t="s">
        <v>2962</v>
      </c>
      <c r="E444" s="655">
        <v>44516</v>
      </c>
      <c r="F444" s="732" t="s">
        <v>2930</v>
      </c>
      <c r="G444" s="732">
        <v>7</v>
      </c>
      <c r="H444" s="732" t="s">
        <v>6610</v>
      </c>
      <c r="I444" s="733" t="s">
        <v>6610</v>
      </c>
      <c r="J444" s="733" t="s">
        <v>6610</v>
      </c>
      <c r="K444" s="733" t="s">
        <v>6610</v>
      </c>
      <c r="L444" s="733" t="s">
        <v>6610</v>
      </c>
      <c r="M444" s="733" t="s">
        <v>6610</v>
      </c>
      <c r="N444" s="733" t="s">
        <v>6610</v>
      </c>
      <c r="O444" s="757" t="s">
        <v>8876</v>
      </c>
      <c r="P444" s="735">
        <v>9</v>
      </c>
      <c r="Q444" s="758" t="s">
        <v>8877</v>
      </c>
      <c r="R444" s="735">
        <v>20</v>
      </c>
      <c r="S444" s="759" t="s">
        <v>8877</v>
      </c>
      <c r="T444" s="735">
        <v>20</v>
      </c>
      <c r="U444" s="758" t="s">
        <v>8877</v>
      </c>
      <c r="V444" s="735">
        <v>20</v>
      </c>
      <c r="W444" s="758" t="s">
        <v>8734</v>
      </c>
      <c r="X444" s="758" t="s">
        <v>8878</v>
      </c>
      <c r="Y444" s="738">
        <v>17</v>
      </c>
      <c r="Z444" s="759" t="s">
        <v>8878</v>
      </c>
      <c r="AA444" s="735">
        <v>17</v>
      </c>
      <c r="AB444" s="758" t="s">
        <v>8878</v>
      </c>
      <c r="AC444" s="735">
        <v>17</v>
      </c>
      <c r="AD444" s="738" t="s">
        <v>8736</v>
      </c>
      <c r="AE444" s="689" t="s">
        <v>6510</v>
      </c>
      <c r="AF444" s="530" t="s">
        <v>2969</v>
      </c>
      <c r="AJ444" s="760">
        <f>_xll.GetCtData("COAMOUNT","CONSAMOUNT",$B$1:$B$7,$B444,AJ$8,"#0")</f>
        <v>0</v>
      </c>
    </row>
    <row r="445" spans="1:36" ht="12" customHeight="1">
      <c r="A445" s="718" t="s">
        <v>2879</v>
      </c>
      <c r="B445" s="718" t="s">
        <v>8879</v>
      </c>
      <c r="C445" s="453" t="s">
        <v>8880</v>
      </c>
      <c r="D445" s="731" t="s">
        <v>2962</v>
      </c>
      <c r="E445" s="655">
        <v>44516</v>
      </c>
      <c r="F445" s="789" t="s">
        <v>2930</v>
      </c>
      <c r="G445" s="732">
        <v>7</v>
      </c>
      <c r="H445" s="732" t="s">
        <v>6610</v>
      </c>
      <c r="I445" s="733" t="s">
        <v>6610</v>
      </c>
      <c r="J445" s="733" t="s">
        <v>6610</v>
      </c>
      <c r="K445" s="733" t="s">
        <v>6610</v>
      </c>
      <c r="L445" s="733" t="s">
        <v>6610</v>
      </c>
      <c r="M445" s="733" t="s">
        <v>6610</v>
      </c>
      <c r="N445" s="733" t="s">
        <v>6610</v>
      </c>
      <c r="O445" s="757" t="s">
        <v>8880</v>
      </c>
      <c r="P445" s="735">
        <v>9</v>
      </c>
      <c r="Q445" s="758" t="s">
        <v>8881</v>
      </c>
      <c r="R445" s="735">
        <v>12</v>
      </c>
      <c r="S445" s="759" t="s">
        <v>8881</v>
      </c>
      <c r="T445" s="735">
        <v>12</v>
      </c>
      <c r="U445" s="758" t="s">
        <v>8881</v>
      </c>
      <c r="V445" s="735">
        <v>12</v>
      </c>
      <c r="W445" s="758" t="s">
        <v>8734</v>
      </c>
      <c r="X445" s="758" t="s">
        <v>8882</v>
      </c>
      <c r="Y445" s="738">
        <v>11</v>
      </c>
      <c r="Z445" s="759" t="s">
        <v>8882</v>
      </c>
      <c r="AA445" s="735">
        <v>11</v>
      </c>
      <c r="AB445" s="758" t="s">
        <v>8882</v>
      </c>
      <c r="AC445" s="735">
        <v>11</v>
      </c>
      <c r="AD445" s="738" t="s">
        <v>8736</v>
      </c>
      <c r="AE445" s="689" t="s">
        <v>6510</v>
      </c>
      <c r="AF445" s="530" t="s">
        <v>2969</v>
      </c>
      <c r="AJ445" s="760">
        <f>_xll.GetCtData("COAMOUNT","CONSAMOUNT",$B$1:$B$7,$B445,AJ$8,"#363541,935717628")</f>
        <v>363541</v>
      </c>
    </row>
    <row r="446" spans="1:36" ht="12" customHeight="1">
      <c r="A446" s="718" t="s">
        <v>2879</v>
      </c>
      <c r="B446" s="718" t="s">
        <v>8883</v>
      </c>
      <c r="C446" s="453" t="s">
        <v>8884</v>
      </c>
      <c r="D446" s="731" t="s">
        <v>6609</v>
      </c>
      <c r="E446" s="655">
        <v>44035</v>
      </c>
      <c r="F446" s="732" t="s">
        <v>2912</v>
      </c>
      <c r="G446" s="732">
        <v>2</v>
      </c>
      <c r="H446" s="732" t="s">
        <v>6610</v>
      </c>
      <c r="I446" s="733" t="s">
        <v>6610</v>
      </c>
      <c r="J446" s="747" t="s">
        <v>8884</v>
      </c>
      <c r="K446" s="747" t="s">
        <v>6610</v>
      </c>
      <c r="L446" s="747" t="s">
        <v>6610</v>
      </c>
      <c r="M446" s="747" t="s">
        <v>6610</v>
      </c>
      <c r="N446" s="747" t="s">
        <v>6610</v>
      </c>
      <c r="O446" s="748"/>
      <c r="P446" s="735">
        <v>0</v>
      </c>
      <c r="Q446" s="749" t="s">
        <v>2263</v>
      </c>
      <c r="R446" s="735">
        <v>13</v>
      </c>
      <c r="S446" s="750" t="s">
        <v>2263</v>
      </c>
      <c r="T446" s="735">
        <v>13</v>
      </c>
      <c r="U446" s="749" t="s">
        <v>2263</v>
      </c>
      <c r="V446" s="735">
        <v>13</v>
      </c>
      <c r="W446" s="749" t="s">
        <v>8439</v>
      </c>
      <c r="X446" s="749" t="s">
        <v>8435</v>
      </c>
      <c r="Y446" s="738">
        <v>17</v>
      </c>
      <c r="Z446" s="750" t="s">
        <v>8435</v>
      </c>
      <c r="AA446" s="735">
        <v>17</v>
      </c>
      <c r="AB446" s="749" t="s">
        <v>8435</v>
      </c>
      <c r="AC446" s="735">
        <v>17</v>
      </c>
      <c r="AD446" s="738" t="s">
        <v>8442</v>
      </c>
      <c r="AE446" s="689"/>
      <c r="AF446" s="494" t="s">
        <v>2917</v>
      </c>
      <c r="AJ446" s="751">
        <f>_xll.GetCtData("COAMOUNT","CONSAMOUNT",$B$1:$B$7,$B446,AJ$8,"#5159240,22734883")</f>
        <v>5159240</v>
      </c>
    </row>
    <row r="447" spans="1:36" ht="12" customHeight="1">
      <c r="A447" s="718" t="s">
        <v>2879</v>
      </c>
      <c r="B447" s="718" t="s">
        <v>2556</v>
      </c>
      <c r="C447" s="453" t="s">
        <v>8885</v>
      </c>
      <c r="D447" s="731" t="s">
        <v>6609</v>
      </c>
      <c r="E447" s="655">
        <v>44035</v>
      </c>
      <c r="F447" s="732" t="s">
        <v>2912</v>
      </c>
      <c r="G447" s="732">
        <v>3</v>
      </c>
      <c r="H447" s="732" t="s">
        <v>6610</v>
      </c>
      <c r="I447" s="733" t="s">
        <v>6610</v>
      </c>
      <c r="J447" s="733" t="s">
        <v>6610</v>
      </c>
      <c r="K447" s="752" t="s">
        <v>8885</v>
      </c>
      <c r="L447" s="752" t="s">
        <v>6610</v>
      </c>
      <c r="M447" s="752" t="s">
        <v>6610</v>
      </c>
      <c r="N447" s="752" t="s">
        <v>6610</v>
      </c>
      <c r="O447" s="753"/>
      <c r="P447" s="735">
        <v>0</v>
      </c>
      <c r="Q447" s="754" t="s">
        <v>8886</v>
      </c>
      <c r="R447" s="735">
        <v>19</v>
      </c>
      <c r="S447" s="755" t="s">
        <v>8886</v>
      </c>
      <c r="T447" s="735">
        <v>19</v>
      </c>
      <c r="U447" s="754" t="s">
        <v>8886</v>
      </c>
      <c r="V447" s="735">
        <v>19</v>
      </c>
      <c r="W447" s="754" t="s">
        <v>8439</v>
      </c>
      <c r="X447" s="754" t="s">
        <v>8887</v>
      </c>
      <c r="Y447" s="738">
        <v>25</v>
      </c>
      <c r="Z447" s="755" t="s">
        <v>8887</v>
      </c>
      <c r="AA447" s="735">
        <v>25</v>
      </c>
      <c r="AB447" s="754" t="s">
        <v>8887</v>
      </c>
      <c r="AC447" s="735">
        <v>25</v>
      </c>
      <c r="AD447" s="738" t="s">
        <v>8442</v>
      </c>
      <c r="AE447" s="689"/>
      <c r="AF447" s="494" t="s">
        <v>2917</v>
      </c>
      <c r="AJ447" s="756">
        <f>_xll.GetCtData("COAMOUNT","CONSAMOUNT",$B$1:$B$7,$B447,AJ$8,"#455207,149684493")</f>
        <v>455207</v>
      </c>
    </row>
    <row r="448" spans="1:36" ht="12" customHeight="1">
      <c r="A448" s="718" t="s">
        <v>2879</v>
      </c>
      <c r="B448" s="718" t="s">
        <v>8888</v>
      </c>
      <c r="C448" s="453" t="s">
        <v>8889</v>
      </c>
      <c r="D448" s="731" t="s">
        <v>6609</v>
      </c>
      <c r="E448" s="655">
        <v>44035</v>
      </c>
      <c r="F448" s="789" t="s">
        <v>2930</v>
      </c>
      <c r="G448" s="732">
        <v>7</v>
      </c>
      <c r="H448" s="732" t="s">
        <v>6610</v>
      </c>
      <c r="I448" s="733" t="s">
        <v>6610</v>
      </c>
      <c r="J448" s="733" t="s">
        <v>6610</v>
      </c>
      <c r="K448" s="733" t="s">
        <v>6610</v>
      </c>
      <c r="L448" s="733" t="s">
        <v>6610</v>
      </c>
      <c r="M448" s="733" t="s">
        <v>6610</v>
      </c>
      <c r="N448" s="733" t="s">
        <v>6610</v>
      </c>
      <c r="O448" s="757" t="s">
        <v>8889</v>
      </c>
      <c r="P448" s="735">
        <v>9</v>
      </c>
      <c r="Q448" s="758" t="s">
        <v>8890</v>
      </c>
      <c r="R448" s="735">
        <v>30</v>
      </c>
      <c r="S448" s="759" t="s">
        <v>8890</v>
      </c>
      <c r="T448" s="735">
        <v>30</v>
      </c>
      <c r="U448" s="758" t="s">
        <v>8890</v>
      </c>
      <c r="V448" s="735">
        <v>30</v>
      </c>
      <c r="W448" s="758" t="s">
        <v>8439</v>
      </c>
      <c r="X448" s="758" t="s">
        <v>8891</v>
      </c>
      <c r="Y448" s="738">
        <v>33</v>
      </c>
      <c r="Z448" s="759" t="s">
        <v>8891</v>
      </c>
      <c r="AA448" s="735">
        <v>33</v>
      </c>
      <c r="AB448" s="758" t="s">
        <v>8892</v>
      </c>
      <c r="AC448" s="735">
        <v>30</v>
      </c>
      <c r="AD448" s="738" t="s">
        <v>8442</v>
      </c>
      <c r="AE448" s="689"/>
      <c r="AF448" s="494" t="s">
        <v>2917</v>
      </c>
      <c r="AJ448" s="760">
        <f>_xll.GetCtData("COAMOUNT","CONSAMOUNT",$B$1:$B$7,$B448,AJ$8,"#12619,8566160744")</f>
        <v>12619</v>
      </c>
    </row>
    <row r="449" spans="1:36" ht="12" customHeight="1">
      <c r="A449" s="718" t="s">
        <v>2879</v>
      </c>
      <c r="B449" s="718" t="s">
        <v>8893</v>
      </c>
      <c r="C449" s="453" t="s">
        <v>8894</v>
      </c>
      <c r="D449" s="731" t="s">
        <v>6609</v>
      </c>
      <c r="E449" s="655">
        <v>44035</v>
      </c>
      <c r="F449" s="789" t="s">
        <v>2930</v>
      </c>
      <c r="G449" s="732">
        <v>7</v>
      </c>
      <c r="H449" s="732" t="s">
        <v>6610</v>
      </c>
      <c r="I449" s="733" t="s">
        <v>6610</v>
      </c>
      <c r="J449" s="733" t="s">
        <v>6610</v>
      </c>
      <c r="K449" s="733" t="s">
        <v>6610</v>
      </c>
      <c r="L449" s="733" t="s">
        <v>6610</v>
      </c>
      <c r="M449" s="733" t="s">
        <v>6610</v>
      </c>
      <c r="N449" s="733" t="s">
        <v>6610</v>
      </c>
      <c r="O449" s="757" t="s">
        <v>8894</v>
      </c>
      <c r="P449" s="735">
        <v>9</v>
      </c>
      <c r="Q449" s="758" t="s">
        <v>8895</v>
      </c>
      <c r="R449" s="735">
        <v>72</v>
      </c>
      <c r="S449" s="759" t="s">
        <v>8895</v>
      </c>
      <c r="T449" s="735">
        <v>72</v>
      </c>
      <c r="U449" s="758" t="s">
        <v>8896</v>
      </c>
      <c r="V449" s="735">
        <v>30</v>
      </c>
      <c r="W449" s="758" t="s">
        <v>8439</v>
      </c>
      <c r="X449" s="758" t="s">
        <v>8897</v>
      </c>
      <c r="Y449" s="738">
        <v>59</v>
      </c>
      <c r="Z449" s="759" t="s">
        <v>8897</v>
      </c>
      <c r="AA449" s="735">
        <v>59</v>
      </c>
      <c r="AB449" s="758" t="s">
        <v>8898</v>
      </c>
      <c r="AC449" s="735">
        <v>30</v>
      </c>
      <c r="AD449" s="738" t="s">
        <v>8442</v>
      </c>
      <c r="AE449" s="689"/>
      <c r="AF449" s="530" t="s">
        <v>2969</v>
      </c>
      <c r="AJ449" s="760">
        <f>_xll.GetCtData("COAMOUNT","CONSAMOUNT",$B$1:$B$7,$B449,AJ$8,"#127817")</f>
        <v>127817</v>
      </c>
    </row>
    <row r="450" spans="1:36" ht="12" customHeight="1">
      <c r="A450" s="718" t="s">
        <v>2879</v>
      </c>
      <c r="B450" s="718" t="s">
        <v>8899</v>
      </c>
      <c r="C450" s="453" t="s">
        <v>8900</v>
      </c>
      <c r="D450" s="731" t="s">
        <v>6609</v>
      </c>
      <c r="E450" s="655">
        <v>44035</v>
      </c>
      <c r="F450" s="789" t="s">
        <v>2930</v>
      </c>
      <c r="G450" s="732">
        <v>7</v>
      </c>
      <c r="H450" s="732" t="s">
        <v>6610</v>
      </c>
      <c r="I450" s="733" t="s">
        <v>6610</v>
      </c>
      <c r="J450" s="733" t="s">
        <v>6610</v>
      </c>
      <c r="K450" s="733" t="s">
        <v>6610</v>
      </c>
      <c r="L450" s="733" t="s">
        <v>6610</v>
      </c>
      <c r="M450" s="733" t="s">
        <v>6610</v>
      </c>
      <c r="N450" s="733" t="s">
        <v>6610</v>
      </c>
      <c r="O450" s="757" t="s">
        <v>8900</v>
      </c>
      <c r="P450" s="735">
        <v>9</v>
      </c>
      <c r="Q450" s="758" t="s">
        <v>8901</v>
      </c>
      <c r="R450" s="735">
        <v>64</v>
      </c>
      <c r="S450" s="759" t="s">
        <v>8901</v>
      </c>
      <c r="T450" s="735">
        <v>64</v>
      </c>
      <c r="U450" s="758" t="s">
        <v>8902</v>
      </c>
      <c r="V450" s="735">
        <v>30</v>
      </c>
      <c r="W450" s="758" t="s">
        <v>8439</v>
      </c>
      <c r="X450" s="758" t="s">
        <v>8903</v>
      </c>
      <c r="Y450" s="738">
        <v>64</v>
      </c>
      <c r="Z450" s="759" t="s">
        <v>8903</v>
      </c>
      <c r="AA450" s="735">
        <v>64</v>
      </c>
      <c r="AB450" s="758" t="s">
        <v>8904</v>
      </c>
      <c r="AC450" s="735">
        <v>30</v>
      </c>
      <c r="AD450" s="738" t="s">
        <v>8442</v>
      </c>
      <c r="AE450" s="689"/>
      <c r="AF450" s="530" t="s">
        <v>2969</v>
      </c>
      <c r="AJ450" s="760">
        <f>_xll.GetCtData("COAMOUNT","CONSAMOUNT",$B$1:$B$7,$B450,AJ$8,"#34288")</f>
        <v>34288</v>
      </c>
    </row>
    <row r="451" spans="1:36" ht="12" customHeight="1">
      <c r="A451" s="718" t="s">
        <v>2879</v>
      </c>
      <c r="B451" s="718" t="s">
        <v>2557</v>
      </c>
      <c r="C451" s="453" t="s">
        <v>8905</v>
      </c>
      <c r="D451" s="731" t="s">
        <v>6609</v>
      </c>
      <c r="E451" s="655">
        <v>44035</v>
      </c>
      <c r="F451" s="789" t="s">
        <v>2930</v>
      </c>
      <c r="G451" s="732">
        <v>7</v>
      </c>
      <c r="H451" s="732" t="s">
        <v>6610</v>
      </c>
      <c r="I451" s="733" t="s">
        <v>6610</v>
      </c>
      <c r="J451" s="733" t="s">
        <v>6610</v>
      </c>
      <c r="K451" s="733" t="s">
        <v>6610</v>
      </c>
      <c r="L451" s="733" t="s">
        <v>6610</v>
      </c>
      <c r="M451" s="733" t="s">
        <v>6610</v>
      </c>
      <c r="N451" s="733" t="s">
        <v>6610</v>
      </c>
      <c r="O451" s="757" t="s">
        <v>8905</v>
      </c>
      <c r="P451" s="735">
        <v>9</v>
      </c>
      <c r="Q451" s="758" t="s">
        <v>2558</v>
      </c>
      <c r="R451" s="735">
        <v>77</v>
      </c>
      <c r="S451" s="759" t="s">
        <v>2558</v>
      </c>
      <c r="T451" s="735">
        <v>77</v>
      </c>
      <c r="U451" s="758" t="s">
        <v>8906</v>
      </c>
      <c r="V451" s="735">
        <v>29</v>
      </c>
      <c r="W451" s="758" t="s">
        <v>8439</v>
      </c>
      <c r="X451" s="758" t="s">
        <v>8907</v>
      </c>
      <c r="Y451" s="738">
        <v>72</v>
      </c>
      <c r="Z451" s="759" t="s">
        <v>8907</v>
      </c>
      <c r="AA451" s="735">
        <v>72</v>
      </c>
      <c r="AB451" s="758" t="s">
        <v>8908</v>
      </c>
      <c r="AC451" s="735">
        <v>30</v>
      </c>
      <c r="AD451" s="738" t="s">
        <v>8442</v>
      </c>
      <c r="AE451" s="689"/>
      <c r="AF451" s="899" t="s">
        <v>2721</v>
      </c>
      <c r="AJ451" s="760">
        <f>_xll.GetCtData("COAMOUNT","CONSAMOUNT",$B$1:$B$7,$B451,AJ$8,"#61318")</f>
        <v>61318</v>
      </c>
    </row>
    <row r="452" spans="1:36" ht="12" customHeight="1">
      <c r="A452" s="718" t="s">
        <v>2879</v>
      </c>
      <c r="B452" s="718" t="s">
        <v>2559</v>
      </c>
      <c r="C452" s="453" t="s">
        <v>8909</v>
      </c>
      <c r="D452" s="731" t="s">
        <v>6609</v>
      </c>
      <c r="E452" s="655">
        <v>44035</v>
      </c>
      <c r="F452" s="789" t="s">
        <v>2930</v>
      </c>
      <c r="G452" s="732">
        <v>7</v>
      </c>
      <c r="H452" s="732" t="s">
        <v>6610</v>
      </c>
      <c r="I452" s="733" t="s">
        <v>6610</v>
      </c>
      <c r="J452" s="733" t="s">
        <v>6610</v>
      </c>
      <c r="K452" s="733" t="s">
        <v>6610</v>
      </c>
      <c r="L452" s="733" t="s">
        <v>6610</v>
      </c>
      <c r="M452" s="733" t="s">
        <v>6610</v>
      </c>
      <c r="N452" s="733" t="s">
        <v>6610</v>
      </c>
      <c r="O452" s="757" t="s">
        <v>8909</v>
      </c>
      <c r="P452" s="735">
        <v>9</v>
      </c>
      <c r="Q452" s="758" t="s">
        <v>2560</v>
      </c>
      <c r="R452" s="735">
        <v>91</v>
      </c>
      <c r="S452" s="759" t="s">
        <v>2560</v>
      </c>
      <c r="T452" s="735">
        <v>91</v>
      </c>
      <c r="U452" s="758" t="s">
        <v>8910</v>
      </c>
      <c r="V452" s="735">
        <v>30</v>
      </c>
      <c r="W452" s="758" t="s">
        <v>8439</v>
      </c>
      <c r="X452" s="758" t="s">
        <v>8911</v>
      </c>
      <c r="Y452" s="738">
        <v>108</v>
      </c>
      <c r="Z452" s="759" t="s">
        <v>8911</v>
      </c>
      <c r="AA452" s="735">
        <v>108</v>
      </c>
      <c r="AB452" s="758" t="s">
        <v>8912</v>
      </c>
      <c r="AC452" s="735">
        <v>30</v>
      </c>
      <c r="AD452" s="738" t="s">
        <v>8442</v>
      </c>
      <c r="AE452" s="689"/>
      <c r="AF452" s="530" t="s">
        <v>2969</v>
      </c>
      <c r="AJ452" s="760">
        <f>_xll.GetCtData("COAMOUNT","CONSAMOUNT",$B$1:$B$7,$B452,AJ$8,"#73187")</f>
        <v>73187</v>
      </c>
    </row>
    <row r="453" spans="1:36" ht="12" customHeight="1">
      <c r="A453" s="718" t="s">
        <v>2879</v>
      </c>
      <c r="B453" s="718" t="s">
        <v>8913</v>
      </c>
      <c r="C453" s="453" t="s">
        <v>8914</v>
      </c>
      <c r="D453" s="731" t="s">
        <v>6609</v>
      </c>
      <c r="E453" s="655">
        <v>44035</v>
      </c>
      <c r="F453" s="789" t="s">
        <v>2930</v>
      </c>
      <c r="G453" s="732">
        <v>7</v>
      </c>
      <c r="H453" s="732" t="s">
        <v>6610</v>
      </c>
      <c r="I453" s="733" t="s">
        <v>6610</v>
      </c>
      <c r="J453" s="733" t="s">
        <v>6610</v>
      </c>
      <c r="K453" s="733" t="s">
        <v>6610</v>
      </c>
      <c r="L453" s="733" t="s">
        <v>6610</v>
      </c>
      <c r="M453" s="733" t="s">
        <v>6610</v>
      </c>
      <c r="N453" s="733" t="s">
        <v>6610</v>
      </c>
      <c r="O453" s="757" t="s">
        <v>8914</v>
      </c>
      <c r="P453" s="735">
        <v>9</v>
      </c>
      <c r="Q453" s="758" t="s">
        <v>8915</v>
      </c>
      <c r="R453" s="735">
        <v>87</v>
      </c>
      <c r="S453" s="759" t="s">
        <v>8915</v>
      </c>
      <c r="T453" s="735">
        <v>87</v>
      </c>
      <c r="U453" s="758" t="s">
        <v>8916</v>
      </c>
      <c r="V453" s="735">
        <v>30</v>
      </c>
      <c r="W453" s="758" t="s">
        <v>8439</v>
      </c>
      <c r="X453" s="758" t="s">
        <v>8917</v>
      </c>
      <c r="Y453" s="738">
        <v>63</v>
      </c>
      <c r="Z453" s="759" t="s">
        <v>8917</v>
      </c>
      <c r="AA453" s="735">
        <v>63</v>
      </c>
      <c r="AB453" s="758" t="s">
        <v>8918</v>
      </c>
      <c r="AC453" s="735">
        <v>28</v>
      </c>
      <c r="AD453" s="738" t="s">
        <v>8442</v>
      </c>
      <c r="AE453" s="689" t="s">
        <v>8919</v>
      </c>
      <c r="AF453" s="899" t="s">
        <v>2721</v>
      </c>
      <c r="AJ453" s="760">
        <f>_xll.GetCtData("COAMOUNT","CONSAMOUNT",$B$1:$B$7,$B453,AJ$8,"#")</f>
        <v>0</v>
      </c>
    </row>
    <row r="454" spans="1:36" ht="12" customHeight="1">
      <c r="A454" s="718" t="s">
        <v>2879</v>
      </c>
      <c r="B454" s="718" t="s">
        <v>8920</v>
      </c>
      <c r="C454" s="453" t="s">
        <v>8921</v>
      </c>
      <c r="D454" s="731" t="s">
        <v>6609</v>
      </c>
      <c r="E454" s="655">
        <v>44035</v>
      </c>
      <c r="F454" s="789" t="s">
        <v>2930</v>
      </c>
      <c r="G454" s="732">
        <v>7</v>
      </c>
      <c r="H454" s="732" t="s">
        <v>6610</v>
      </c>
      <c r="I454" s="733" t="s">
        <v>6610</v>
      </c>
      <c r="J454" s="733" t="s">
        <v>6610</v>
      </c>
      <c r="K454" s="733" t="s">
        <v>6610</v>
      </c>
      <c r="L454" s="733" t="s">
        <v>6610</v>
      </c>
      <c r="M454" s="733" t="s">
        <v>6610</v>
      </c>
      <c r="N454" s="733" t="s">
        <v>6610</v>
      </c>
      <c r="O454" s="757" t="s">
        <v>8921</v>
      </c>
      <c r="P454" s="735">
        <v>9</v>
      </c>
      <c r="Q454" s="758" t="s">
        <v>8922</v>
      </c>
      <c r="R454" s="735">
        <v>57</v>
      </c>
      <c r="S454" s="759" t="s">
        <v>8922</v>
      </c>
      <c r="T454" s="735">
        <v>57</v>
      </c>
      <c r="U454" s="758" t="s">
        <v>8923</v>
      </c>
      <c r="V454" s="735">
        <v>30</v>
      </c>
      <c r="W454" s="758" t="s">
        <v>8439</v>
      </c>
      <c r="X454" s="758" t="s">
        <v>8924</v>
      </c>
      <c r="Y454" s="738">
        <v>62</v>
      </c>
      <c r="Z454" s="759" t="s">
        <v>8924</v>
      </c>
      <c r="AA454" s="735">
        <v>62</v>
      </c>
      <c r="AB454" s="758" t="s">
        <v>8925</v>
      </c>
      <c r="AC454" s="735">
        <v>30</v>
      </c>
      <c r="AD454" s="738" t="s">
        <v>8442</v>
      </c>
      <c r="AE454" s="689" t="s">
        <v>8919</v>
      </c>
      <c r="AF454" s="530" t="s">
        <v>2969</v>
      </c>
      <c r="AJ454" s="760">
        <f>_xll.GetCtData("COAMOUNT","CONSAMOUNT",$B$1:$B$7,$B454,AJ$8,"#")</f>
        <v>0</v>
      </c>
    </row>
    <row r="455" spans="1:36" ht="12" customHeight="1">
      <c r="A455" s="718" t="s">
        <v>2879</v>
      </c>
      <c r="B455" s="718" t="s">
        <v>8926</v>
      </c>
      <c r="C455" s="453" t="s">
        <v>8927</v>
      </c>
      <c r="D455" s="731" t="s">
        <v>6609</v>
      </c>
      <c r="E455" s="655">
        <v>44035</v>
      </c>
      <c r="F455" s="789" t="s">
        <v>2930</v>
      </c>
      <c r="G455" s="732">
        <v>7</v>
      </c>
      <c r="H455" s="732" t="s">
        <v>6610</v>
      </c>
      <c r="I455" s="733" t="s">
        <v>6610</v>
      </c>
      <c r="J455" s="733" t="s">
        <v>6610</v>
      </c>
      <c r="K455" s="733" t="s">
        <v>6610</v>
      </c>
      <c r="L455" s="733" t="s">
        <v>6610</v>
      </c>
      <c r="M455" s="733" t="s">
        <v>6610</v>
      </c>
      <c r="N455" s="733" t="s">
        <v>6610</v>
      </c>
      <c r="O455" s="757" t="s">
        <v>8927</v>
      </c>
      <c r="P455" s="735">
        <v>9</v>
      </c>
      <c r="Q455" s="758" t="s">
        <v>8928</v>
      </c>
      <c r="R455" s="735">
        <v>37</v>
      </c>
      <c r="S455" s="759" t="s">
        <v>8928</v>
      </c>
      <c r="T455" s="735">
        <v>37</v>
      </c>
      <c r="U455" s="758" t="s">
        <v>8929</v>
      </c>
      <c r="V455" s="735">
        <v>22</v>
      </c>
      <c r="W455" s="758" t="s">
        <v>8439</v>
      </c>
      <c r="X455" s="758" t="s">
        <v>8930</v>
      </c>
      <c r="Y455" s="738">
        <v>44</v>
      </c>
      <c r="Z455" s="759" t="s">
        <v>8930</v>
      </c>
      <c r="AA455" s="735">
        <v>44</v>
      </c>
      <c r="AB455" s="758" t="s">
        <v>8931</v>
      </c>
      <c r="AC455" s="735">
        <v>21</v>
      </c>
      <c r="AD455" s="738" t="s">
        <v>8442</v>
      </c>
      <c r="AE455" s="689"/>
      <c r="AF455" s="494" t="s">
        <v>2917</v>
      </c>
      <c r="AJ455" s="760">
        <f>_xll.GetCtData("COAMOUNT","CONSAMOUNT",$B$1:$B$7,$B455,AJ$8,"#100253,994592082")</f>
        <v>100253</v>
      </c>
    </row>
    <row r="456" spans="1:36" ht="12" customHeight="1">
      <c r="A456" s="718" t="s">
        <v>2879</v>
      </c>
      <c r="B456" s="718" t="s">
        <v>8932</v>
      </c>
      <c r="C456" s="453" t="s">
        <v>8933</v>
      </c>
      <c r="D456" s="731" t="s">
        <v>6609</v>
      </c>
      <c r="E456" s="655">
        <v>44035</v>
      </c>
      <c r="F456" s="789" t="s">
        <v>2930</v>
      </c>
      <c r="G456" s="732">
        <v>7</v>
      </c>
      <c r="H456" s="732" t="s">
        <v>6610</v>
      </c>
      <c r="I456" s="733" t="s">
        <v>6610</v>
      </c>
      <c r="J456" s="733" t="s">
        <v>6610</v>
      </c>
      <c r="K456" s="733" t="s">
        <v>6610</v>
      </c>
      <c r="L456" s="733" t="s">
        <v>6610</v>
      </c>
      <c r="M456" s="733" t="s">
        <v>6610</v>
      </c>
      <c r="N456" s="733" t="s">
        <v>6610</v>
      </c>
      <c r="O456" s="757" t="s">
        <v>8933</v>
      </c>
      <c r="P456" s="735">
        <v>9</v>
      </c>
      <c r="Q456" s="758" t="s">
        <v>8934</v>
      </c>
      <c r="R456" s="735">
        <v>44</v>
      </c>
      <c r="S456" s="759" t="s">
        <v>8934</v>
      </c>
      <c r="T456" s="735">
        <v>44</v>
      </c>
      <c r="U456" s="758" t="s">
        <v>8935</v>
      </c>
      <c r="V456" s="735">
        <v>29</v>
      </c>
      <c r="W456" s="758" t="s">
        <v>8439</v>
      </c>
      <c r="X456" s="758" t="s">
        <v>8936</v>
      </c>
      <c r="Y456" s="738">
        <v>73</v>
      </c>
      <c r="Z456" s="759" t="s">
        <v>8936</v>
      </c>
      <c r="AA456" s="735">
        <v>73</v>
      </c>
      <c r="AB456" s="758" t="s">
        <v>8937</v>
      </c>
      <c r="AC456" s="735">
        <v>28</v>
      </c>
      <c r="AD456" s="738" t="s">
        <v>8442</v>
      </c>
      <c r="AE456" s="689"/>
      <c r="AF456" s="494" t="s">
        <v>2917</v>
      </c>
      <c r="AJ456" s="760">
        <f>_xll.GetCtData("COAMOUNT","CONSAMOUNT",$B$1:$B$7,$B456,AJ$8,"#40761,2984763357")</f>
        <v>40761</v>
      </c>
    </row>
    <row r="457" spans="1:36" ht="12" customHeight="1">
      <c r="A457" s="718" t="s">
        <v>2879</v>
      </c>
      <c r="B457" s="718" t="s">
        <v>8938</v>
      </c>
      <c r="C457" s="453" t="s">
        <v>8939</v>
      </c>
      <c r="D457" s="731" t="s">
        <v>6609</v>
      </c>
      <c r="E457" s="655">
        <v>44035</v>
      </c>
      <c r="F457" s="789" t="s">
        <v>2930</v>
      </c>
      <c r="G457" s="732">
        <v>7</v>
      </c>
      <c r="H457" s="732" t="s">
        <v>6610</v>
      </c>
      <c r="I457" s="733" t="s">
        <v>6610</v>
      </c>
      <c r="J457" s="733" t="s">
        <v>6610</v>
      </c>
      <c r="K457" s="733" t="s">
        <v>6610</v>
      </c>
      <c r="L457" s="733" t="s">
        <v>6610</v>
      </c>
      <c r="M457" s="733" t="s">
        <v>6610</v>
      </c>
      <c r="N457" s="733" t="s">
        <v>6610</v>
      </c>
      <c r="O457" s="757" t="s">
        <v>8939</v>
      </c>
      <c r="P457" s="735">
        <v>9</v>
      </c>
      <c r="Q457" s="758" t="s">
        <v>8940</v>
      </c>
      <c r="R457" s="735">
        <v>44</v>
      </c>
      <c r="S457" s="759" t="s">
        <v>8940</v>
      </c>
      <c r="T457" s="735">
        <v>44</v>
      </c>
      <c r="U457" s="758" t="s">
        <v>8941</v>
      </c>
      <c r="V457" s="735">
        <v>29</v>
      </c>
      <c r="W457" s="758" t="s">
        <v>8439</v>
      </c>
      <c r="X457" s="758" t="s">
        <v>8942</v>
      </c>
      <c r="Y457" s="738">
        <v>77</v>
      </c>
      <c r="Z457" s="759" t="s">
        <v>8942</v>
      </c>
      <c r="AA457" s="735">
        <v>77</v>
      </c>
      <c r="AB457" s="758" t="s">
        <v>8943</v>
      </c>
      <c r="AC457" s="735">
        <v>30</v>
      </c>
      <c r="AD457" s="738" t="s">
        <v>8442</v>
      </c>
      <c r="AE457" s="689"/>
      <c r="AF457" s="494" t="s">
        <v>2917</v>
      </c>
      <c r="AJ457" s="760">
        <f>_xll.GetCtData("COAMOUNT","CONSAMOUNT",$B$1:$B$7,$B457,AJ$8,"#4962")</f>
        <v>4962</v>
      </c>
    </row>
    <row r="458" spans="1:36" ht="12" customHeight="1">
      <c r="A458" s="718" t="s">
        <v>2879</v>
      </c>
      <c r="B458" s="718" t="s">
        <v>2561</v>
      </c>
      <c r="C458" s="453" t="s">
        <v>8944</v>
      </c>
      <c r="D458" s="731" t="s">
        <v>6609</v>
      </c>
      <c r="E458" s="655">
        <v>44035</v>
      </c>
      <c r="F458" s="732" t="s">
        <v>2912</v>
      </c>
      <c r="G458" s="732">
        <v>3</v>
      </c>
      <c r="H458" s="732" t="s">
        <v>6610</v>
      </c>
      <c r="I458" s="733" t="s">
        <v>6610</v>
      </c>
      <c r="J458" s="733" t="s">
        <v>6610</v>
      </c>
      <c r="K458" s="752" t="s">
        <v>8944</v>
      </c>
      <c r="L458" s="752" t="s">
        <v>6610</v>
      </c>
      <c r="M458" s="752" t="s">
        <v>6610</v>
      </c>
      <c r="N458" s="752" t="s">
        <v>6610</v>
      </c>
      <c r="O458" s="753"/>
      <c r="P458" s="735">
        <v>0</v>
      </c>
      <c r="Q458" s="754" t="s">
        <v>8945</v>
      </c>
      <c r="R458" s="735">
        <v>70</v>
      </c>
      <c r="S458" s="755" t="s">
        <v>8945</v>
      </c>
      <c r="T458" s="735">
        <v>70</v>
      </c>
      <c r="U458" s="754" t="s">
        <v>8946</v>
      </c>
      <c r="V458" s="735">
        <v>30</v>
      </c>
      <c r="W458" s="754" t="s">
        <v>8439</v>
      </c>
      <c r="X458" s="754" t="s">
        <v>8947</v>
      </c>
      <c r="Y458" s="738">
        <v>31</v>
      </c>
      <c r="Z458" s="755" t="s">
        <v>8947</v>
      </c>
      <c r="AA458" s="735">
        <v>31</v>
      </c>
      <c r="AB458" s="754" t="s">
        <v>8948</v>
      </c>
      <c r="AC458" s="735">
        <v>27</v>
      </c>
      <c r="AD458" s="738" t="s">
        <v>8442</v>
      </c>
      <c r="AE458" s="689"/>
      <c r="AF458" s="494" t="s">
        <v>2917</v>
      </c>
      <c r="AJ458" s="756">
        <f>_xll.GetCtData("COAMOUNT","CONSAMOUNT",$B$1:$B$7,$B458,AJ$8,"#1900226,46216645")</f>
        <v>1900226</v>
      </c>
    </row>
    <row r="459" spans="1:36" ht="12" customHeight="1">
      <c r="A459" s="718" t="s">
        <v>2879</v>
      </c>
      <c r="B459" s="718" t="s">
        <v>8949</v>
      </c>
      <c r="C459" s="453" t="s">
        <v>8950</v>
      </c>
      <c r="D459" s="731" t="s">
        <v>6609</v>
      </c>
      <c r="E459" s="655">
        <v>44035</v>
      </c>
      <c r="F459" s="789" t="s">
        <v>2930</v>
      </c>
      <c r="G459" s="732">
        <v>7</v>
      </c>
      <c r="H459" s="732" t="s">
        <v>6610</v>
      </c>
      <c r="I459" s="733" t="s">
        <v>6610</v>
      </c>
      <c r="J459" s="733" t="s">
        <v>6610</v>
      </c>
      <c r="K459" s="733" t="s">
        <v>6610</v>
      </c>
      <c r="L459" s="733" t="s">
        <v>6610</v>
      </c>
      <c r="M459" s="733" t="s">
        <v>6610</v>
      </c>
      <c r="N459" s="733" t="s">
        <v>6610</v>
      </c>
      <c r="O459" s="757" t="s">
        <v>8950</v>
      </c>
      <c r="P459" s="735">
        <v>9</v>
      </c>
      <c r="Q459" s="758" t="s">
        <v>8945</v>
      </c>
      <c r="R459" s="735">
        <v>70</v>
      </c>
      <c r="S459" s="759" t="s">
        <v>8945</v>
      </c>
      <c r="T459" s="735">
        <v>70</v>
      </c>
      <c r="U459" s="758" t="s">
        <v>8946</v>
      </c>
      <c r="V459" s="735">
        <v>30</v>
      </c>
      <c r="W459" s="758" t="s">
        <v>8439</v>
      </c>
      <c r="X459" s="758" t="s">
        <v>8947</v>
      </c>
      <c r="Y459" s="738">
        <v>31</v>
      </c>
      <c r="Z459" s="759" t="s">
        <v>8947</v>
      </c>
      <c r="AA459" s="735">
        <v>31</v>
      </c>
      <c r="AB459" s="758" t="s">
        <v>8948</v>
      </c>
      <c r="AC459" s="735">
        <v>27</v>
      </c>
      <c r="AD459" s="738" t="s">
        <v>8442</v>
      </c>
      <c r="AE459" s="689"/>
      <c r="AF459" s="494" t="s">
        <v>2917</v>
      </c>
      <c r="AJ459" s="760">
        <f>_xll.GetCtData("COAMOUNT","CONSAMOUNT",$B$1:$B$7,$B459,AJ$8,"#1900226,46216645")</f>
        <v>1900226</v>
      </c>
    </row>
    <row r="460" spans="1:36" ht="12" customHeight="1">
      <c r="A460" s="718" t="s">
        <v>2879</v>
      </c>
      <c r="B460" s="718" t="s">
        <v>8951</v>
      </c>
      <c r="C460" s="453" t="s">
        <v>8952</v>
      </c>
      <c r="D460" s="731" t="s">
        <v>6609</v>
      </c>
      <c r="E460" s="655">
        <v>44035</v>
      </c>
      <c r="F460" s="732" t="s">
        <v>2912</v>
      </c>
      <c r="G460" s="732">
        <v>3</v>
      </c>
      <c r="H460" s="732" t="s">
        <v>6610</v>
      </c>
      <c r="I460" s="733" t="s">
        <v>6610</v>
      </c>
      <c r="J460" s="733" t="s">
        <v>6610</v>
      </c>
      <c r="K460" s="752" t="s">
        <v>8952</v>
      </c>
      <c r="L460" s="752" t="s">
        <v>6610</v>
      </c>
      <c r="M460" s="752" t="s">
        <v>6610</v>
      </c>
      <c r="N460" s="752" t="s">
        <v>6610</v>
      </c>
      <c r="O460" s="753"/>
      <c r="P460" s="735">
        <v>0</v>
      </c>
      <c r="Q460" s="754" t="s">
        <v>8953</v>
      </c>
      <c r="R460" s="735">
        <v>18</v>
      </c>
      <c r="S460" s="755" t="s">
        <v>8953</v>
      </c>
      <c r="T460" s="735">
        <v>18</v>
      </c>
      <c r="U460" s="754" t="s">
        <v>8953</v>
      </c>
      <c r="V460" s="735">
        <v>18</v>
      </c>
      <c r="W460" s="754" t="s">
        <v>8439</v>
      </c>
      <c r="X460" s="754" t="s">
        <v>8954</v>
      </c>
      <c r="Y460" s="738">
        <v>17</v>
      </c>
      <c r="Z460" s="755" t="s">
        <v>8954</v>
      </c>
      <c r="AA460" s="735">
        <v>17</v>
      </c>
      <c r="AB460" s="754" t="s">
        <v>8954</v>
      </c>
      <c r="AC460" s="735">
        <v>17</v>
      </c>
      <c r="AD460" s="738" t="s">
        <v>8442</v>
      </c>
      <c r="AE460" s="689"/>
      <c r="AF460" s="494" t="s">
        <v>2917</v>
      </c>
      <c r="AJ460" s="756">
        <f>_xll.GetCtData("COAMOUNT","CONSAMOUNT",$B$1:$B$7,$B460,AJ$8,"#84")</f>
        <v>84</v>
      </c>
    </row>
    <row r="461" spans="1:36" ht="12" customHeight="1">
      <c r="A461" s="718" t="s">
        <v>2879</v>
      </c>
      <c r="B461" s="718" t="s">
        <v>8955</v>
      </c>
      <c r="C461" s="453" t="s">
        <v>8956</v>
      </c>
      <c r="D461" s="731" t="s">
        <v>6609</v>
      </c>
      <c r="E461" s="655">
        <v>44035</v>
      </c>
      <c r="F461" s="732" t="s">
        <v>2912</v>
      </c>
      <c r="G461" s="732">
        <v>4</v>
      </c>
      <c r="H461" s="732" t="s">
        <v>6610</v>
      </c>
      <c r="I461" s="733" t="s">
        <v>6610</v>
      </c>
      <c r="J461" s="733" t="s">
        <v>6610</v>
      </c>
      <c r="K461" s="733" t="s">
        <v>6610</v>
      </c>
      <c r="L461" s="764" t="s">
        <v>8956</v>
      </c>
      <c r="M461" s="764" t="s">
        <v>6610</v>
      </c>
      <c r="N461" s="764" t="s">
        <v>6610</v>
      </c>
      <c r="O461" s="765"/>
      <c r="P461" s="735">
        <v>0</v>
      </c>
      <c r="Q461" s="766" t="s">
        <v>8953</v>
      </c>
      <c r="R461" s="735">
        <v>18</v>
      </c>
      <c r="S461" s="767" t="s">
        <v>8953</v>
      </c>
      <c r="T461" s="735">
        <v>18</v>
      </c>
      <c r="U461" s="766" t="s">
        <v>8953</v>
      </c>
      <c r="V461" s="735">
        <v>18</v>
      </c>
      <c r="W461" s="766" t="s">
        <v>8734</v>
      </c>
      <c r="X461" s="766" t="s">
        <v>8954</v>
      </c>
      <c r="Y461" s="738">
        <v>17</v>
      </c>
      <c r="Z461" s="767" t="s">
        <v>8954</v>
      </c>
      <c r="AA461" s="735">
        <v>17</v>
      </c>
      <c r="AB461" s="766" t="s">
        <v>8954</v>
      </c>
      <c r="AC461" s="735">
        <v>17</v>
      </c>
      <c r="AD461" s="738" t="s">
        <v>8736</v>
      </c>
      <c r="AE461" s="689"/>
      <c r="AF461" s="494" t="s">
        <v>2917</v>
      </c>
      <c r="AJ461" s="768">
        <f>_xll.GetCtData("COAMOUNT","CONSAMOUNT",$B$1:$B$7,$B461,AJ$8,"#84")</f>
        <v>84</v>
      </c>
    </row>
    <row r="462" spans="1:36" ht="12" customHeight="1">
      <c r="A462" s="718" t="s">
        <v>2879</v>
      </c>
      <c r="B462" s="718" t="s">
        <v>8957</v>
      </c>
      <c r="C462" s="453" t="s">
        <v>8958</v>
      </c>
      <c r="D462" s="731" t="s">
        <v>6609</v>
      </c>
      <c r="E462" s="655">
        <v>44035</v>
      </c>
      <c r="F462" s="789" t="s">
        <v>2930</v>
      </c>
      <c r="G462" s="732">
        <v>7</v>
      </c>
      <c r="H462" s="732" t="s">
        <v>6610</v>
      </c>
      <c r="I462" s="733" t="s">
        <v>6610</v>
      </c>
      <c r="J462" s="733" t="s">
        <v>6610</v>
      </c>
      <c r="K462" s="733" t="s">
        <v>6610</v>
      </c>
      <c r="L462" s="733" t="s">
        <v>6610</v>
      </c>
      <c r="M462" s="733" t="s">
        <v>6610</v>
      </c>
      <c r="N462" s="733" t="s">
        <v>6610</v>
      </c>
      <c r="O462" s="757" t="s">
        <v>8958</v>
      </c>
      <c r="P462" s="735">
        <v>9</v>
      </c>
      <c r="Q462" s="758" t="s">
        <v>8953</v>
      </c>
      <c r="R462" s="735">
        <v>18</v>
      </c>
      <c r="S462" s="759" t="s">
        <v>8953</v>
      </c>
      <c r="T462" s="735">
        <v>18</v>
      </c>
      <c r="U462" s="758" t="s">
        <v>8953</v>
      </c>
      <c r="V462" s="735">
        <v>18</v>
      </c>
      <c r="W462" s="758" t="s">
        <v>8439</v>
      </c>
      <c r="X462" s="758" t="s">
        <v>8954</v>
      </c>
      <c r="Y462" s="738">
        <v>17</v>
      </c>
      <c r="Z462" s="759" t="s">
        <v>8954</v>
      </c>
      <c r="AA462" s="735">
        <v>17</v>
      </c>
      <c r="AB462" s="758" t="s">
        <v>8954</v>
      </c>
      <c r="AC462" s="735">
        <v>17</v>
      </c>
      <c r="AD462" s="738" t="s">
        <v>8442</v>
      </c>
      <c r="AE462" s="689"/>
      <c r="AF462" s="494" t="s">
        <v>2917</v>
      </c>
      <c r="AH462" s="723" t="s">
        <v>5359</v>
      </c>
      <c r="AJ462" s="760">
        <f>_xll.GetCtData("COAMOUNT","CONSAMOUNT",$B$1:$B$7,$B462,AJ$8,"#84")</f>
        <v>84</v>
      </c>
    </row>
    <row r="463" spans="1:36" ht="12" customHeight="1">
      <c r="A463" s="718" t="s">
        <v>2879</v>
      </c>
      <c r="B463" s="718" t="s">
        <v>8959</v>
      </c>
      <c r="C463" s="453" t="s">
        <v>8960</v>
      </c>
      <c r="D463" s="731" t="s">
        <v>6609</v>
      </c>
      <c r="E463" s="655">
        <v>44035</v>
      </c>
      <c r="F463" s="732" t="s">
        <v>2912</v>
      </c>
      <c r="G463" s="732">
        <v>4</v>
      </c>
      <c r="H463" s="732" t="s">
        <v>6610</v>
      </c>
      <c r="I463" s="733" t="s">
        <v>6610</v>
      </c>
      <c r="J463" s="733" t="s">
        <v>6610</v>
      </c>
      <c r="K463" s="733" t="s">
        <v>6610</v>
      </c>
      <c r="L463" s="764" t="s">
        <v>8960</v>
      </c>
      <c r="M463" s="764" t="s">
        <v>6610</v>
      </c>
      <c r="N463" s="764" t="s">
        <v>6610</v>
      </c>
      <c r="O463" s="765"/>
      <c r="P463" s="735">
        <v>0</v>
      </c>
      <c r="Q463" s="766" t="s">
        <v>8961</v>
      </c>
      <c r="R463" s="735">
        <v>44</v>
      </c>
      <c r="S463" s="767" t="s">
        <v>8961</v>
      </c>
      <c r="T463" s="735">
        <v>44</v>
      </c>
      <c r="U463" s="766" t="s">
        <v>8962</v>
      </c>
      <c r="V463" s="735">
        <v>29</v>
      </c>
      <c r="W463" s="766" t="s">
        <v>8734</v>
      </c>
      <c r="X463" s="766" t="s">
        <v>8963</v>
      </c>
      <c r="Y463" s="738">
        <v>50</v>
      </c>
      <c r="Z463" s="767" t="s">
        <v>8963</v>
      </c>
      <c r="AA463" s="735">
        <v>50</v>
      </c>
      <c r="AB463" s="766" t="s">
        <v>8964</v>
      </c>
      <c r="AC463" s="735">
        <v>29</v>
      </c>
      <c r="AD463" s="738" t="s">
        <v>8736</v>
      </c>
      <c r="AE463" s="689"/>
      <c r="AF463" s="494" t="s">
        <v>2917</v>
      </c>
      <c r="AJ463" s="768">
        <f>_xll.GetCtData("COAMOUNT","CONSAMOUNT",$B$1:$B$7,$B463,AJ$8,"#0")</f>
        <v>0</v>
      </c>
    </row>
    <row r="464" spans="1:36" ht="12" customHeight="1">
      <c r="A464" s="718" t="s">
        <v>2879</v>
      </c>
      <c r="B464" s="718" t="s">
        <v>8965</v>
      </c>
      <c r="C464" s="453" t="s">
        <v>8966</v>
      </c>
      <c r="D464" s="731" t="s">
        <v>6609</v>
      </c>
      <c r="E464" s="655">
        <v>44035</v>
      </c>
      <c r="F464" s="789" t="s">
        <v>5409</v>
      </c>
      <c r="G464" s="732">
        <v>7</v>
      </c>
      <c r="H464" s="732" t="s">
        <v>6610</v>
      </c>
      <c r="I464" s="733" t="s">
        <v>6610</v>
      </c>
      <c r="J464" s="733" t="s">
        <v>6610</v>
      </c>
      <c r="K464" s="733" t="s">
        <v>6610</v>
      </c>
      <c r="L464" s="733" t="s">
        <v>6610</v>
      </c>
      <c r="M464" s="733" t="s">
        <v>6610</v>
      </c>
      <c r="N464" s="733" t="s">
        <v>6610</v>
      </c>
      <c r="O464" s="757" t="s">
        <v>8966</v>
      </c>
      <c r="P464" s="735">
        <v>9</v>
      </c>
      <c r="Q464" s="758" t="s">
        <v>8967</v>
      </c>
      <c r="R464" s="735">
        <v>45</v>
      </c>
      <c r="S464" s="759" t="s">
        <v>8967</v>
      </c>
      <c r="T464" s="735">
        <v>45</v>
      </c>
      <c r="U464" s="758" t="s">
        <v>8968</v>
      </c>
      <c r="V464" s="735">
        <v>26</v>
      </c>
      <c r="W464" s="758" t="s">
        <v>2915</v>
      </c>
      <c r="X464" s="758" t="s">
        <v>8969</v>
      </c>
      <c r="Y464" s="738">
        <v>53</v>
      </c>
      <c r="Z464" s="759" t="s">
        <v>8969</v>
      </c>
      <c r="AA464" s="735">
        <v>53</v>
      </c>
      <c r="AB464" s="758" t="s">
        <v>8970</v>
      </c>
      <c r="AC464" s="735">
        <v>30</v>
      </c>
      <c r="AD464" s="738" t="s">
        <v>3143</v>
      </c>
      <c r="AE464" s="689"/>
      <c r="AF464" s="494" t="s">
        <v>2917</v>
      </c>
      <c r="AJ464" s="760">
        <f>_xll.GetCtData("COAMOUNT","CONSAMOUNT",$B$1:$B$7,$B464,AJ$8,"#")</f>
        <v>0</v>
      </c>
    </row>
    <row r="465" spans="1:36" ht="12" customHeight="1">
      <c r="A465" s="718" t="s">
        <v>2879</v>
      </c>
      <c r="B465" s="718" t="s">
        <v>8971</v>
      </c>
      <c r="C465" s="453" t="s">
        <v>8972</v>
      </c>
      <c r="D465" s="731" t="s">
        <v>6609</v>
      </c>
      <c r="E465" s="655">
        <v>44035</v>
      </c>
      <c r="F465" s="789" t="s">
        <v>5409</v>
      </c>
      <c r="G465" s="732">
        <v>7</v>
      </c>
      <c r="H465" s="732" t="s">
        <v>6610</v>
      </c>
      <c r="I465" s="733" t="s">
        <v>6610</v>
      </c>
      <c r="J465" s="733" t="s">
        <v>6610</v>
      </c>
      <c r="K465" s="733" t="s">
        <v>6610</v>
      </c>
      <c r="L465" s="733" t="s">
        <v>6610</v>
      </c>
      <c r="M465" s="733" t="s">
        <v>6610</v>
      </c>
      <c r="N465" s="733" t="s">
        <v>6610</v>
      </c>
      <c r="O465" s="757" t="s">
        <v>8972</v>
      </c>
      <c r="P465" s="735">
        <v>10</v>
      </c>
      <c r="Q465" s="758" t="s">
        <v>8973</v>
      </c>
      <c r="R465" s="735">
        <v>44</v>
      </c>
      <c r="S465" s="759" t="s">
        <v>8973</v>
      </c>
      <c r="T465" s="735">
        <v>44</v>
      </c>
      <c r="U465" s="758" t="s">
        <v>8974</v>
      </c>
      <c r="V465" s="735">
        <v>29</v>
      </c>
      <c r="W465" s="758" t="s">
        <v>2915</v>
      </c>
      <c r="X465" s="758" t="s">
        <v>8975</v>
      </c>
      <c r="Y465" s="738">
        <v>49</v>
      </c>
      <c r="Z465" s="759" t="s">
        <v>8975</v>
      </c>
      <c r="AA465" s="735">
        <v>49</v>
      </c>
      <c r="AB465" s="758" t="s">
        <v>8976</v>
      </c>
      <c r="AC465" s="735">
        <v>30</v>
      </c>
      <c r="AD465" s="738" t="s">
        <v>3143</v>
      </c>
      <c r="AE465" s="689"/>
      <c r="AF465" s="494" t="s">
        <v>2917</v>
      </c>
      <c r="AH465" s="723" t="s">
        <v>5359</v>
      </c>
      <c r="AJ465" s="760">
        <f>_xll.GetCtData("COAMOUNT","CONSAMOUNT",$B$1:$B$7,$B465,AJ$8,"#")</f>
        <v>0</v>
      </c>
    </row>
    <row r="466" spans="1:36" ht="12" customHeight="1">
      <c r="A466" s="718" t="s">
        <v>2879</v>
      </c>
      <c r="B466" s="718" t="s">
        <v>8977</v>
      </c>
      <c r="C466" s="453" t="s">
        <v>8978</v>
      </c>
      <c r="D466" s="731" t="s">
        <v>6609</v>
      </c>
      <c r="E466" s="655">
        <v>44035</v>
      </c>
      <c r="F466" s="732" t="s">
        <v>2912</v>
      </c>
      <c r="G466" s="732">
        <v>3</v>
      </c>
      <c r="H466" s="732" t="s">
        <v>6610</v>
      </c>
      <c r="I466" s="733" t="s">
        <v>6610</v>
      </c>
      <c r="J466" s="733" t="s">
        <v>6610</v>
      </c>
      <c r="K466" s="752" t="s">
        <v>8978</v>
      </c>
      <c r="L466" s="752" t="s">
        <v>6610</v>
      </c>
      <c r="M466" s="752" t="s">
        <v>6610</v>
      </c>
      <c r="N466" s="752" t="s">
        <v>6610</v>
      </c>
      <c r="O466" s="753"/>
      <c r="P466" s="735">
        <v>0</v>
      </c>
      <c r="Q466" s="754" t="s">
        <v>8979</v>
      </c>
      <c r="R466" s="735">
        <v>43</v>
      </c>
      <c r="S466" s="755" t="s">
        <v>8979</v>
      </c>
      <c r="T466" s="735">
        <v>43</v>
      </c>
      <c r="U466" s="754" t="s">
        <v>8980</v>
      </c>
      <c r="V466" s="735">
        <v>30</v>
      </c>
      <c r="W466" s="754" t="s">
        <v>8439</v>
      </c>
      <c r="X466" s="754" t="s">
        <v>8981</v>
      </c>
      <c r="Y466" s="738">
        <v>49</v>
      </c>
      <c r="Z466" s="755" t="s">
        <v>8981</v>
      </c>
      <c r="AA466" s="735">
        <v>49</v>
      </c>
      <c r="AB466" s="754" t="s">
        <v>8982</v>
      </c>
      <c r="AC466" s="735">
        <v>28</v>
      </c>
      <c r="AD466" s="738" t="s">
        <v>8442</v>
      </c>
      <c r="AE466" s="689"/>
      <c r="AF466" s="494" t="s">
        <v>2917</v>
      </c>
      <c r="AJ466" s="756">
        <f>_xll.GetCtData("COAMOUNT","CONSAMOUNT",$B$1:$B$7,$B466,AJ$8,"#74104,2225150226")</f>
        <v>74104</v>
      </c>
    </row>
    <row r="467" spans="1:36" ht="12" customHeight="1">
      <c r="A467" s="718" t="s">
        <v>2879</v>
      </c>
      <c r="B467" s="718" t="s">
        <v>8983</v>
      </c>
      <c r="C467" s="453" t="s">
        <v>8984</v>
      </c>
      <c r="D467" s="731" t="s">
        <v>6609</v>
      </c>
      <c r="E467" s="655">
        <v>44035</v>
      </c>
      <c r="F467" s="732" t="s">
        <v>2912</v>
      </c>
      <c r="G467" s="732">
        <v>4</v>
      </c>
      <c r="H467" s="732" t="s">
        <v>6610</v>
      </c>
      <c r="I467" s="733" t="s">
        <v>6610</v>
      </c>
      <c r="J467" s="733" t="s">
        <v>6610</v>
      </c>
      <c r="K467" s="733" t="s">
        <v>6610</v>
      </c>
      <c r="L467" s="764" t="s">
        <v>8984</v>
      </c>
      <c r="M467" s="764" t="s">
        <v>6610</v>
      </c>
      <c r="N467" s="764" t="s">
        <v>6610</v>
      </c>
      <c r="O467" s="765"/>
      <c r="P467" s="735">
        <v>0</v>
      </c>
      <c r="Q467" s="766" t="s">
        <v>8979</v>
      </c>
      <c r="R467" s="735">
        <v>43</v>
      </c>
      <c r="S467" s="767" t="s">
        <v>8979</v>
      </c>
      <c r="T467" s="735">
        <v>43</v>
      </c>
      <c r="U467" s="766" t="s">
        <v>8980</v>
      </c>
      <c r="V467" s="735">
        <v>30</v>
      </c>
      <c r="W467" s="766" t="s">
        <v>8439</v>
      </c>
      <c r="X467" s="766" t="s">
        <v>8981</v>
      </c>
      <c r="Y467" s="738">
        <v>49</v>
      </c>
      <c r="Z467" s="767" t="s">
        <v>8981</v>
      </c>
      <c r="AA467" s="735">
        <v>49</v>
      </c>
      <c r="AB467" s="766" t="s">
        <v>8982</v>
      </c>
      <c r="AC467" s="735">
        <v>28</v>
      </c>
      <c r="AD467" s="738" t="s">
        <v>8442</v>
      </c>
      <c r="AE467" s="689"/>
      <c r="AF467" s="494" t="s">
        <v>2917</v>
      </c>
      <c r="AJ467" s="768">
        <f>_xll.GetCtData("COAMOUNT","CONSAMOUNT",$B$1:$B$7,$B467,AJ$8,"#56244,7450884086")</f>
        <v>56244</v>
      </c>
    </row>
    <row r="468" spans="1:36" ht="12" customHeight="1">
      <c r="A468" s="718" t="s">
        <v>2879</v>
      </c>
      <c r="B468" s="718" t="s">
        <v>8985</v>
      </c>
      <c r="C468" s="453" t="s">
        <v>8986</v>
      </c>
      <c r="D468" s="731" t="s">
        <v>6609</v>
      </c>
      <c r="E468" s="655">
        <v>44035</v>
      </c>
      <c r="F468" s="789" t="s">
        <v>2930</v>
      </c>
      <c r="G468" s="732">
        <v>7</v>
      </c>
      <c r="H468" s="732" t="s">
        <v>6610</v>
      </c>
      <c r="I468" s="733" t="s">
        <v>6610</v>
      </c>
      <c r="J468" s="733" t="s">
        <v>6610</v>
      </c>
      <c r="K468" s="733" t="s">
        <v>6610</v>
      </c>
      <c r="L468" s="733" t="s">
        <v>6610</v>
      </c>
      <c r="M468" s="733" t="s">
        <v>6610</v>
      </c>
      <c r="N468" s="733" t="s">
        <v>6610</v>
      </c>
      <c r="O468" s="757" t="s">
        <v>8986</v>
      </c>
      <c r="P468" s="735">
        <v>9</v>
      </c>
      <c r="Q468" s="758" t="s">
        <v>8979</v>
      </c>
      <c r="R468" s="735">
        <v>43</v>
      </c>
      <c r="S468" s="759" t="s">
        <v>8979</v>
      </c>
      <c r="T468" s="735">
        <v>43</v>
      </c>
      <c r="U468" s="758" t="s">
        <v>8980</v>
      </c>
      <c r="V468" s="735">
        <v>30</v>
      </c>
      <c r="W468" s="758" t="s">
        <v>8439</v>
      </c>
      <c r="X468" s="758" t="s">
        <v>8981</v>
      </c>
      <c r="Y468" s="738">
        <v>49</v>
      </c>
      <c r="Z468" s="759" t="s">
        <v>8981</v>
      </c>
      <c r="AA468" s="735">
        <v>49</v>
      </c>
      <c r="AB468" s="758" t="s">
        <v>8982</v>
      </c>
      <c r="AC468" s="735">
        <v>28</v>
      </c>
      <c r="AD468" s="738" t="s">
        <v>8442</v>
      </c>
      <c r="AE468" s="689"/>
      <c r="AF468" s="494" t="s">
        <v>2917</v>
      </c>
      <c r="AH468" s="723" t="s">
        <v>5359</v>
      </c>
      <c r="AJ468" s="760">
        <f>_xll.GetCtData("COAMOUNT","CONSAMOUNT",$B$1:$B$7,$B468,AJ$8,"#56015,7450884086")</f>
        <v>56015</v>
      </c>
    </row>
    <row r="469" spans="1:36" ht="12" customHeight="1">
      <c r="A469" s="718" t="s">
        <v>2879</v>
      </c>
      <c r="B469" s="718" t="s">
        <v>8987</v>
      </c>
      <c r="C469" s="453" t="s">
        <v>8988</v>
      </c>
      <c r="D469" s="731" t="s">
        <v>6609</v>
      </c>
      <c r="E469" s="655">
        <v>44035</v>
      </c>
      <c r="F469" s="732" t="s">
        <v>2930</v>
      </c>
      <c r="G469" s="732">
        <v>7</v>
      </c>
      <c r="H469" s="732" t="s">
        <v>6610</v>
      </c>
      <c r="I469" s="733" t="s">
        <v>6610</v>
      </c>
      <c r="J469" s="733" t="s">
        <v>6610</v>
      </c>
      <c r="K469" s="733" t="s">
        <v>6610</v>
      </c>
      <c r="L469" s="733" t="s">
        <v>6610</v>
      </c>
      <c r="M469" s="733" t="s">
        <v>6610</v>
      </c>
      <c r="N469" s="733" t="s">
        <v>6610</v>
      </c>
      <c r="O469" s="757" t="s">
        <v>8988</v>
      </c>
      <c r="P469" s="735">
        <v>9</v>
      </c>
      <c r="Q469" s="758" t="s">
        <v>8989</v>
      </c>
      <c r="R469" s="735">
        <v>50</v>
      </c>
      <c r="S469" s="759" t="s">
        <v>8989</v>
      </c>
      <c r="T469" s="735">
        <v>50</v>
      </c>
      <c r="U469" s="758" t="s">
        <v>8990</v>
      </c>
      <c r="V469" s="735">
        <v>26</v>
      </c>
      <c r="W469" s="758" t="s">
        <v>8439</v>
      </c>
      <c r="X469" s="758" t="s">
        <v>8991</v>
      </c>
      <c r="Y469" s="738">
        <v>68</v>
      </c>
      <c r="Z469" s="759" t="s">
        <v>8991</v>
      </c>
      <c r="AA469" s="735">
        <v>68</v>
      </c>
      <c r="AB469" s="758" t="s">
        <v>8992</v>
      </c>
      <c r="AC469" s="735">
        <v>30</v>
      </c>
      <c r="AD469" s="738" t="s">
        <v>8442</v>
      </c>
      <c r="AE469" s="689"/>
      <c r="AF469" s="494" t="s">
        <v>2917</v>
      </c>
      <c r="AH469" s="723" t="s">
        <v>5359</v>
      </c>
      <c r="AJ469" s="760">
        <f>_xll.GetCtData("COAMOUNT","CONSAMOUNT",$B$1:$B$7,$B469,AJ$8,"#229")</f>
        <v>229</v>
      </c>
    </row>
    <row r="470" spans="1:36" ht="12" customHeight="1">
      <c r="A470" s="718" t="s">
        <v>2879</v>
      </c>
      <c r="B470" s="718" t="s">
        <v>8993</v>
      </c>
      <c r="C470" s="453" t="s">
        <v>8994</v>
      </c>
      <c r="D470" s="731" t="s">
        <v>6609</v>
      </c>
      <c r="E470" s="655">
        <v>44035</v>
      </c>
      <c r="F470" s="732" t="s">
        <v>2912</v>
      </c>
      <c r="G470" s="732">
        <v>4</v>
      </c>
      <c r="H470" s="732" t="s">
        <v>6610</v>
      </c>
      <c r="I470" s="733" t="s">
        <v>6610</v>
      </c>
      <c r="J470" s="733" t="s">
        <v>6610</v>
      </c>
      <c r="K470" s="733" t="s">
        <v>6610</v>
      </c>
      <c r="L470" s="764" t="s">
        <v>8994</v>
      </c>
      <c r="M470" s="764" t="s">
        <v>6610</v>
      </c>
      <c r="N470" s="764" t="s">
        <v>6610</v>
      </c>
      <c r="O470" s="765"/>
      <c r="P470" s="735">
        <v>0</v>
      </c>
      <c r="Q470" s="766" t="s">
        <v>8995</v>
      </c>
      <c r="R470" s="735">
        <v>69</v>
      </c>
      <c r="S470" s="767" t="s">
        <v>8995</v>
      </c>
      <c r="T470" s="735">
        <v>69</v>
      </c>
      <c r="U470" s="766" t="s">
        <v>8996</v>
      </c>
      <c r="V470" s="735">
        <v>30</v>
      </c>
      <c r="W470" s="766" t="s">
        <v>2915</v>
      </c>
      <c r="X470" s="766" t="s">
        <v>8997</v>
      </c>
      <c r="Y470" s="738">
        <v>39</v>
      </c>
      <c r="Z470" s="767" t="s">
        <v>8997</v>
      </c>
      <c r="AA470" s="735">
        <v>39</v>
      </c>
      <c r="AB470" s="766" t="s">
        <v>8998</v>
      </c>
      <c r="AC470" s="735">
        <v>29</v>
      </c>
      <c r="AD470" s="738" t="s">
        <v>3143</v>
      </c>
      <c r="AE470" s="689"/>
      <c r="AF470" s="494" t="s">
        <v>2917</v>
      </c>
      <c r="AJ470" s="768">
        <f>_xll.GetCtData("COAMOUNT","CONSAMOUNT",$B$1:$B$7,$B470,AJ$8,"#17859,477426614")</f>
        <v>17859</v>
      </c>
    </row>
    <row r="471" spans="1:36" ht="12" customHeight="1">
      <c r="A471" s="718" t="s">
        <v>2879</v>
      </c>
      <c r="B471" s="718" t="s">
        <v>8999</v>
      </c>
      <c r="C471" s="453" t="s">
        <v>9000</v>
      </c>
      <c r="D471" s="731" t="s">
        <v>6609</v>
      </c>
      <c r="E471" s="655">
        <v>44035</v>
      </c>
      <c r="F471" s="732" t="s">
        <v>5409</v>
      </c>
      <c r="G471" s="732">
        <v>7</v>
      </c>
      <c r="H471" s="732" t="s">
        <v>6610</v>
      </c>
      <c r="I471" s="733" t="s">
        <v>6610</v>
      </c>
      <c r="J471" s="733" t="s">
        <v>6610</v>
      </c>
      <c r="K471" s="733" t="s">
        <v>6610</v>
      </c>
      <c r="L471" s="733" t="s">
        <v>6610</v>
      </c>
      <c r="M471" s="733" t="s">
        <v>6610</v>
      </c>
      <c r="N471" s="733" t="s">
        <v>6610</v>
      </c>
      <c r="O471" s="757" t="s">
        <v>9000</v>
      </c>
      <c r="P471" s="735">
        <v>9</v>
      </c>
      <c r="Q471" s="758" t="s">
        <v>9001</v>
      </c>
      <c r="R471" s="735">
        <v>53</v>
      </c>
      <c r="S471" s="759" t="s">
        <v>9001</v>
      </c>
      <c r="T471" s="735">
        <v>53</v>
      </c>
      <c r="U471" s="758" t="s">
        <v>9002</v>
      </c>
      <c r="V471" s="735">
        <v>25</v>
      </c>
      <c r="W471" s="758" t="s">
        <v>2915</v>
      </c>
      <c r="X471" s="758" t="s">
        <v>9003</v>
      </c>
      <c r="Y471" s="738">
        <v>25</v>
      </c>
      <c r="Z471" s="759" t="s">
        <v>9003</v>
      </c>
      <c r="AA471" s="735">
        <v>25</v>
      </c>
      <c r="AB471" s="758" t="s">
        <v>9003</v>
      </c>
      <c r="AC471" s="735">
        <v>25</v>
      </c>
      <c r="AD471" s="738" t="s">
        <v>3143</v>
      </c>
      <c r="AE471" s="689"/>
      <c r="AF471" s="494" t="s">
        <v>2917</v>
      </c>
      <c r="AJ471" s="760">
        <f>_xll.GetCtData("COAMOUNT","CONSAMOUNT",$B$1:$B$7,$B471,AJ$8,"#2210,84307508672")</f>
        <v>2210</v>
      </c>
    </row>
    <row r="472" spans="1:36" ht="12" customHeight="1">
      <c r="A472" s="718" t="s">
        <v>2879</v>
      </c>
      <c r="B472" s="718" t="s">
        <v>9004</v>
      </c>
      <c r="C472" s="453" t="s">
        <v>9005</v>
      </c>
      <c r="D472" s="731" t="s">
        <v>6609</v>
      </c>
      <c r="E472" s="655">
        <v>44035</v>
      </c>
      <c r="F472" s="732" t="s">
        <v>5409</v>
      </c>
      <c r="G472" s="732">
        <v>7</v>
      </c>
      <c r="H472" s="732" t="s">
        <v>6610</v>
      </c>
      <c r="I472" s="733" t="s">
        <v>6610</v>
      </c>
      <c r="J472" s="733" t="s">
        <v>6610</v>
      </c>
      <c r="K472" s="733" t="s">
        <v>6610</v>
      </c>
      <c r="L472" s="733" t="s">
        <v>6610</v>
      </c>
      <c r="M472" s="733" t="s">
        <v>6610</v>
      </c>
      <c r="N472" s="733" t="s">
        <v>6610</v>
      </c>
      <c r="O472" s="757" t="s">
        <v>9005</v>
      </c>
      <c r="P472" s="735">
        <v>10</v>
      </c>
      <c r="Q472" s="758" t="s">
        <v>9006</v>
      </c>
      <c r="R472" s="735">
        <v>52</v>
      </c>
      <c r="S472" s="759" t="s">
        <v>9006</v>
      </c>
      <c r="T472" s="735">
        <v>52</v>
      </c>
      <c r="U472" s="758" t="s">
        <v>9007</v>
      </c>
      <c r="V472" s="735">
        <v>28</v>
      </c>
      <c r="W472" s="758" t="s">
        <v>2915</v>
      </c>
      <c r="X472" s="758" t="s">
        <v>9008</v>
      </c>
      <c r="Y472" s="738">
        <v>20</v>
      </c>
      <c r="Z472" s="759" t="s">
        <v>9008</v>
      </c>
      <c r="AA472" s="735">
        <v>20</v>
      </c>
      <c r="AB472" s="758" t="s">
        <v>9008</v>
      </c>
      <c r="AC472" s="735">
        <v>20</v>
      </c>
      <c r="AD472" s="738" t="s">
        <v>3143</v>
      </c>
      <c r="AE472" s="689"/>
      <c r="AF472" s="494" t="s">
        <v>2917</v>
      </c>
      <c r="AH472" s="723" t="s">
        <v>5359</v>
      </c>
      <c r="AJ472" s="760">
        <f>_xll.GetCtData("COAMOUNT","CONSAMOUNT",$B$1:$B$7,$B472,AJ$8,"#-7922,36564847272")</f>
        <v>-7922</v>
      </c>
    </row>
    <row r="473" spans="1:36" ht="12" customHeight="1">
      <c r="A473" s="718" t="s">
        <v>2879</v>
      </c>
      <c r="B473" s="718" t="s">
        <v>9009</v>
      </c>
      <c r="C473" s="453" t="s">
        <v>9010</v>
      </c>
      <c r="D473" s="731" t="s">
        <v>6609</v>
      </c>
      <c r="E473" s="655">
        <v>44035</v>
      </c>
      <c r="F473" s="732" t="s">
        <v>5409</v>
      </c>
      <c r="G473" s="732">
        <v>7</v>
      </c>
      <c r="H473" s="732" t="s">
        <v>6610</v>
      </c>
      <c r="I473" s="733" t="s">
        <v>6610</v>
      </c>
      <c r="J473" s="733" t="s">
        <v>6610</v>
      </c>
      <c r="K473" s="733" t="s">
        <v>6610</v>
      </c>
      <c r="L473" s="733" t="s">
        <v>6610</v>
      </c>
      <c r="M473" s="733" t="s">
        <v>6610</v>
      </c>
      <c r="N473" s="733" t="s">
        <v>6610</v>
      </c>
      <c r="O473" s="757" t="s">
        <v>9010</v>
      </c>
      <c r="P473" s="735">
        <v>9</v>
      </c>
      <c r="Q473" s="758" t="s">
        <v>9011</v>
      </c>
      <c r="R473" s="735">
        <v>60</v>
      </c>
      <c r="S473" s="759" t="s">
        <v>9011</v>
      </c>
      <c r="T473" s="735">
        <v>60</v>
      </c>
      <c r="U473" s="758" t="s">
        <v>9012</v>
      </c>
      <c r="V473" s="735">
        <v>30</v>
      </c>
      <c r="W473" s="758" t="s">
        <v>2915</v>
      </c>
      <c r="X473" s="758" t="s">
        <v>9013</v>
      </c>
      <c r="Y473" s="738">
        <v>44</v>
      </c>
      <c r="Z473" s="759" t="s">
        <v>9013</v>
      </c>
      <c r="AA473" s="735">
        <v>44</v>
      </c>
      <c r="AB473" s="758" t="s">
        <v>9014</v>
      </c>
      <c r="AC473" s="735">
        <v>30</v>
      </c>
      <c r="AD473" s="738" t="s">
        <v>3143</v>
      </c>
      <c r="AE473" s="689"/>
      <c r="AF473" s="494" t="s">
        <v>2917</v>
      </c>
      <c r="AJ473" s="760">
        <f>_xll.GetCtData("COAMOUNT","CONSAMOUNT",$B$1:$B$7,$B473,AJ$8,"#-4")</f>
        <v>-4</v>
      </c>
    </row>
    <row r="474" spans="1:36" ht="12" customHeight="1">
      <c r="A474" s="718" t="s">
        <v>2879</v>
      </c>
      <c r="B474" s="718" t="s">
        <v>9015</v>
      </c>
      <c r="C474" s="453" t="s">
        <v>9016</v>
      </c>
      <c r="D474" s="731" t="s">
        <v>6609</v>
      </c>
      <c r="E474" s="655">
        <v>44035</v>
      </c>
      <c r="F474" s="732" t="s">
        <v>5409</v>
      </c>
      <c r="G474" s="732">
        <v>7</v>
      </c>
      <c r="H474" s="732" t="s">
        <v>6610</v>
      </c>
      <c r="I474" s="733" t="s">
        <v>6610</v>
      </c>
      <c r="J474" s="733" t="s">
        <v>6610</v>
      </c>
      <c r="K474" s="733" t="s">
        <v>6610</v>
      </c>
      <c r="L474" s="733" t="s">
        <v>6610</v>
      </c>
      <c r="M474" s="733" t="s">
        <v>6610</v>
      </c>
      <c r="N474" s="733" t="s">
        <v>6610</v>
      </c>
      <c r="O474" s="757" t="s">
        <v>9016</v>
      </c>
      <c r="P474" s="735">
        <v>10</v>
      </c>
      <c r="Q474" s="758" t="s">
        <v>9017</v>
      </c>
      <c r="R474" s="735">
        <v>59</v>
      </c>
      <c r="S474" s="759" t="s">
        <v>9017</v>
      </c>
      <c r="T474" s="735">
        <v>59</v>
      </c>
      <c r="U474" s="758" t="s">
        <v>9018</v>
      </c>
      <c r="V474" s="735">
        <v>30</v>
      </c>
      <c r="W474" s="758" t="s">
        <v>2915</v>
      </c>
      <c r="X474" s="758" t="s">
        <v>9019</v>
      </c>
      <c r="Y474" s="738">
        <v>39</v>
      </c>
      <c r="Z474" s="759" t="s">
        <v>9019</v>
      </c>
      <c r="AA474" s="735">
        <v>39</v>
      </c>
      <c r="AB474" s="758" t="s">
        <v>9020</v>
      </c>
      <c r="AC474" s="735">
        <v>17</v>
      </c>
      <c r="AD474" s="738" t="s">
        <v>3143</v>
      </c>
      <c r="AE474" s="689"/>
      <c r="AF474" s="494" t="s">
        <v>2917</v>
      </c>
      <c r="AH474" s="723" t="s">
        <v>5359</v>
      </c>
      <c r="AJ474" s="760">
        <f>_xll.GetCtData("COAMOUNT","CONSAMOUNT",$B$1:$B$7,$B474,AJ$8,"#23575")</f>
        <v>23575</v>
      </c>
    </row>
    <row r="475" spans="1:36" ht="12" customHeight="1">
      <c r="A475" s="718" t="s">
        <v>2879</v>
      </c>
      <c r="B475" s="718" t="s">
        <v>9021</v>
      </c>
      <c r="C475" s="453" t="s">
        <v>9022</v>
      </c>
      <c r="D475" s="731" t="s">
        <v>6609</v>
      </c>
      <c r="E475" s="655">
        <v>44035</v>
      </c>
      <c r="F475" s="732" t="s">
        <v>2912</v>
      </c>
      <c r="G475" s="732">
        <v>3</v>
      </c>
      <c r="H475" s="732" t="s">
        <v>6610</v>
      </c>
      <c r="I475" s="733" t="s">
        <v>6610</v>
      </c>
      <c r="J475" s="733" t="s">
        <v>6610</v>
      </c>
      <c r="K475" s="752" t="s">
        <v>9022</v>
      </c>
      <c r="L475" s="752" t="s">
        <v>6610</v>
      </c>
      <c r="M475" s="752" t="s">
        <v>6610</v>
      </c>
      <c r="N475" s="752" t="s">
        <v>6610</v>
      </c>
      <c r="O475" s="753"/>
      <c r="P475" s="735">
        <v>0</v>
      </c>
      <c r="Q475" s="754" t="s">
        <v>9023</v>
      </c>
      <c r="R475" s="735">
        <v>25</v>
      </c>
      <c r="S475" s="755" t="s">
        <v>9023</v>
      </c>
      <c r="T475" s="735">
        <v>25</v>
      </c>
      <c r="U475" s="754" t="s">
        <v>9023</v>
      </c>
      <c r="V475" s="735">
        <v>25</v>
      </c>
      <c r="W475" s="754" t="s">
        <v>8439</v>
      </c>
      <c r="X475" s="754" t="s">
        <v>9024</v>
      </c>
      <c r="Y475" s="738">
        <v>14</v>
      </c>
      <c r="Z475" s="755" t="s">
        <v>9024</v>
      </c>
      <c r="AA475" s="735">
        <v>14</v>
      </c>
      <c r="AB475" s="754" t="s">
        <v>9024</v>
      </c>
      <c r="AC475" s="735">
        <v>14</v>
      </c>
      <c r="AD475" s="738" t="s">
        <v>8442</v>
      </c>
      <c r="AE475" s="689"/>
      <c r="AF475" s="494" t="s">
        <v>2917</v>
      </c>
      <c r="AJ475" s="756">
        <f>_xll.GetCtData("COAMOUNT","CONSAMOUNT",$B$1:$B$7,$B475,AJ$8,"#922518,17476163")</f>
        <v>922518</v>
      </c>
    </row>
    <row r="476" spans="1:36" ht="12" customHeight="1">
      <c r="A476" s="718" t="s">
        <v>2879</v>
      </c>
      <c r="B476" s="718" t="s">
        <v>9025</v>
      </c>
      <c r="C476" s="453" t="s">
        <v>9026</v>
      </c>
      <c r="D476" s="731" t="s">
        <v>6609</v>
      </c>
      <c r="E476" s="655">
        <v>44035</v>
      </c>
      <c r="F476" s="732" t="s">
        <v>2912</v>
      </c>
      <c r="G476" s="732">
        <v>4</v>
      </c>
      <c r="H476" s="732" t="s">
        <v>6610</v>
      </c>
      <c r="I476" s="733" t="s">
        <v>6610</v>
      </c>
      <c r="J476" s="733" t="s">
        <v>6610</v>
      </c>
      <c r="K476" s="733" t="s">
        <v>6610</v>
      </c>
      <c r="L476" s="764" t="s">
        <v>9026</v>
      </c>
      <c r="M476" s="764" t="s">
        <v>6610</v>
      </c>
      <c r="N476" s="764" t="s">
        <v>6610</v>
      </c>
      <c r="O476" s="765"/>
      <c r="P476" s="735">
        <v>0</v>
      </c>
      <c r="Q476" s="766" t="s">
        <v>9023</v>
      </c>
      <c r="R476" s="735">
        <v>25</v>
      </c>
      <c r="S476" s="767" t="s">
        <v>9023</v>
      </c>
      <c r="T476" s="735">
        <v>25</v>
      </c>
      <c r="U476" s="766" t="s">
        <v>9023</v>
      </c>
      <c r="V476" s="735">
        <v>25</v>
      </c>
      <c r="W476" s="766" t="s">
        <v>8439</v>
      </c>
      <c r="X476" s="766" t="s">
        <v>9024</v>
      </c>
      <c r="Y476" s="738">
        <v>14</v>
      </c>
      <c r="Z476" s="767" t="s">
        <v>9024</v>
      </c>
      <c r="AA476" s="735">
        <v>14</v>
      </c>
      <c r="AB476" s="766" t="s">
        <v>9024</v>
      </c>
      <c r="AC476" s="735">
        <v>14</v>
      </c>
      <c r="AD476" s="738" t="s">
        <v>8442</v>
      </c>
      <c r="AE476" s="689"/>
      <c r="AF476" s="494" t="s">
        <v>2917</v>
      </c>
      <c r="AJ476" s="768">
        <f>_xll.GetCtData("COAMOUNT","CONSAMOUNT",$B$1:$B$7,$B476,AJ$8,"#947151,17476163")</f>
        <v>947151</v>
      </c>
    </row>
    <row r="477" spans="1:36" ht="12" customHeight="1">
      <c r="A477" s="718" t="s">
        <v>2879</v>
      </c>
      <c r="B477" s="718" t="s">
        <v>1046</v>
      </c>
      <c r="C477" s="453" t="s">
        <v>9027</v>
      </c>
      <c r="D477" s="731" t="s">
        <v>6609</v>
      </c>
      <c r="E477" s="655">
        <v>44035</v>
      </c>
      <c r="F477" s="732" t="s">
        <v>2930</v>
      </c>
      <c r="G477" s="732">
        <v>7</v>
      </c>
      <c r="H477" s="732" t="s">
        <v>6610</v>
      </c>
      <c r="I477" s="733" t="s">
        <v>6610</v>
      </c>
      <c r="J477" s="733" t="s">
        <v>6610</v>
      </c>
      <c r="K477" s="733" t="s">
        <v>6610</v>
      </c>
      <c r="L477" s="733" t="s">
        <v>6610</v>
      </c>
      <c r="M477" s="733" t="s">
        <v>6610</v>
      </c>
      <c r="N477" s="733" t="s">
        <v>6610</v>
      </c>
      <c r="O477" s="757" t="s">
        <v>9027</v>
      </c>
      <c r="P477" s="735">
        <v>9</v>
      </c>
      <c r="Q477" s="758" t="s">
        <v>9023</v>
      </c>
      <c r="R477" s="735">
        <v>25</v>
      </c>
      <c r="S477" s="759" t="s">
        <v>9023</v>
      </c>
      <c r="T477" s="735">
        <v>25</v>
      </c>
      <c r="U477" s="758" t="s">
        <v>9023</v>
      </c>
      <c r="V477" s="735">
        <v>25</v>
      </c>
      <c r="W477" s="758" t="s">
        <v>8439</v>
      </c>
      <c r="X477" s="758" t="s">
        <v>9024</v>
      </c>
      <c r="Y477" s="738">
        <v>14</v>
      </c>
      <c r="Z477" s="759" t="s">
        <v>9024</v>
      </c>
      <c r="AA477" s="735">
        <v>14</v>
      </c>
      <c r="AB477" s="758" t="s">
        <v>9024</v>
      </c>
      <c r="AC477" s="735">
        <v>14</v>
      </c>
      <c r="AD477" s="738" t="s">
        <v>8442</v>
      </c>
      <c r="AE477" s="689"/>
      <c r="AF477" s="494" t="s">
        <v>2917</v>
      </c>
      <c r="AH477" s="723" t="s">
        <v>5359</v>
      </c>
      <c r="AJ477" s="760">
        <f>_xll.GetCtData("COAMOUNT","CONSAMOUNT",$B$1:$B$7,$B477,AJ$8,"#473404,17476163")</f>
        <v>473404</v>
      </c>
    </row>
    <row r="478" spans="1:36" ht="12" customHeight="1">
      <c r="A478" s="718" t="s">
        <v>2879</v>
      </c>
      <c r="B478" s="718" t="s">
        <v>9028</v>
      </c>
      <c r="C478" s="453" t="s">
        <v>9029</v>
      </c>
      <c r="D478" s="731" t="s">
        <v>6609</v>
      </c>
      <c r="E478" s="655">
        <v>44035</v>
      </c>
      <c r="F478" s="732" t="s">
        <v>2930</v>
      </c>
      <c r="G478" s="732">
        <v>7</v>
      </c>
      <c r="H478" s="732"/>
      <c r="I478" s="733"/>
      <c r="J478" s="733"/>
      <c r="K478" s="733"/>
      <c r="L478" s="733"/>
      <c r="M478" s="733"/>
      <c r="N478" s="733"/>
      <c r="O478" s="757" t="s">
        <v>9029</v>
      </c>
      <c r="P478" s="757">
        <v>9</v>
      </c>
      <c r="Q478" s="758" t="s">
        <v>9030</v>
      </c>
      <c r="R478" s="735">
        <f>LEN(Q478)</f>
        <v>49</v>
      </c>
      <c r="S478" s="759" t="s">
        <v>9030</v>
      </c>
      <c r="T478" s="735"/>
      <c r="U478" s="758"/>
      <c r="V478" s="735"/>
      <c r="W478" s="758"/>
      <c r="X478" s="758"/>
      <c r="Y478" s="738"/>
      <c r="Z478" s="759"/>
      <c r="AA478" s="735"/>
      <c r="AB478" s="758"/>
      <c r="AC478" s="735"/>
      <c r="AD478" s="738"/>
      <c r="AE478" s="689"/>
      <c r="AF478" s="494"/>
      <c r="AJ478" s="760">
        <f>_xll.GetCtData("COAMOUNT","CONSAMOUNT",$B$1:$B$7,$B478,AJ$8,"#473747")</f>
        <v>473747</v>
      </c>
    </row>
    <row r="479" spans="1:36" ht="12" customHeight="1">
      <c r="A479" s="718" t="s">
        <v>2879</v>
      </c>
      <c r="B479" s="718" t="s">
        <v>1047</v>
      </c>
      <c r="C479" s="453" t="s">
        <v>9031</v>
      </c>
      <c r="D479" s="731" t="s">
        <v>6609</v>
      </c>
      <c r="E479" s="655">
        <v>44035</v>
      </c>
      <c r="F479" s="732" t="s">
        <v>2930</v>
      </c>
      <c r="G479" s="732">
        <v>7</v>
      </c>
      <c r="H479" s="732" t="s">
        <v>6610</v>
      </c>
      <c r="I479" s="733" t="s">
        <v>6610</v>
      </c>
      <c r="J479" s="733" t="s">
        <v>6610</v>
      </c>
      <c r="K479" s="733" t="s">
        <v>6610</v>
      </c>
      <c r="L479" s="733" t="s">
        <v>6610</v>
      </c>
      <c r="M479" s="733" t="s">
        <v>6610</v>
      </c>
      <c r="N479" s="733" t="s">
        <v>6610</v>
      </c>
      <c r="O479" s="757" t="s">
        <v>9031</v>
      </c>
      <c r="P479" s="735">
        <v>9</v>
      </c>
      <c r="Q479" s="758" t="s">
        <v>9032</v>
      </c>
      <c r="R479" s="735">
        <v>32</v>
      </c>
      <c r="S479" s="759" t="s">
        <v>9032</v>
      </c>
      <c r="T479" s="735">
        <v>32</v>
      </c>
      <c r="U479" s="758" t="s">
        <v>9033</v>
      </c>
      <c r="V479" s="735">
        <v>29</v>
      </c>
      <c r="W479" s="758" t="s">
        <v>8439</v>
      </c>
      <c r="X479" s="758" t="s">
        <v>9034</v>
      </c>
      <c r="Y479" s="738">
        <v>33</v>
      </c>
      <c r="Z479" s="759" t="s">
        <v>9034</v>
      </c>
      <c r="AA479" s="735">
        <v>33</v>
      </c>
      <c r="AB479" s="758" t="s">
        <v>9035</v>
      </c>
      <c r="AC479" s="735">
        <v>26</v>
      </c>
      <c r="AD479" s="738" t="s">
        <v>8442</v>
      </c>
      <c r="AE479" s="689"/>
      <c r="AF479" s="494" t="s">
        <v>2917</v>
      </c>
      <c r="AH479" s="723" t="s">
        <v>5359</v>
      </c>
      <c r="AJ479" s="760">
        <f>_xll.GetCtData("COAMOUNT","CONSAMOUNT",$B$1:$B$7,$B479,AJ$8,"#")</f>
        <v>0</v>
      </c>
    </row>
    <row r="480" spans="1:36" ht="12" customHeight="1">
      <c r="A480" s="718" t="s">
        <v>2879</v>
      </c>
      <c r="B480" s="718" t="s">
        <v>9036</v>
      </c>
      <c r="C480" s="453" t="s">
        <v>9037</v>
      </c>
      <c r="D480" s="731" t="s">
        <v>6609</v>
      </c>
      <c r="E480" s="655">
        <v>44035</v>
      </c>
      <c r="F480" s="732" t="s">
        <v>2912</v>
      </c>
      <c r="G480" s="732">
        <v>4</v>
      </c>
      <c r="H480" s="732" t="s">
        <v>6610</v>
      </c>
      <c r="I480" s="733" t="s">
        <v>6610</v>
      </c>
      <c r="J480" s="733" t="s">
        <v>6610</v>
      </c>
      <c r="K480" s="733" t="s">
        <v>6610</v>
      </c>
      <c r="L480" s="764" t="s">
        <v>9037</v>
      </c>
      <c r="M480" s="764" t="s">
        <v>6610</v>
      </c>
      <c r="N480" s="764" t="s">
        <v>6610</v>
      </c>
      <c r="O480" s="765"/>
      <c r="P480" s="735">
        <v>0</v>
      </c>
      <c r="Q480" s="766" t="s">
        <v>9038</v>
      </c>
      <c r="R480" s="735">
        <v>51</v>
      </c>
      <c r="S480" s="767" t="s">
        <v>9038</v>
      </c>
      <c r="T480" s="735">
        <v>51</v>
      </c>
      <c r="U480" s="766" t="s">
        <v>9039</v>
      </c>
      <c r="V480" s="735">
        <v>30</v>
      </c>
      <c r="W480" s="766" t="s">
        <v>2915</v>
      </c>
      <c r="X480" s="766" t="s">
        <v>9040</v>
      </c>
      <c r="Y480" s="738">
        <v>54</v>
      </c>
      <c r="Z480" s="767" t="s">
        <v>9040</v>
      </c>
      <c r="AA480" s="735">
        <v>54</v>
      </c>
      <c r="AB480" s="766" t="s">
        <v>9041</v>
      </c>
      <c r="AC480" s="735">
        <v>30</v>
      </c>
      <c r="AD480" s="738" t="s">
        <v>3143</v>
      </c>
      <c r="AE480" s="689"/>
      <c r="AF480" s="494" t="s">
        <v>2917</v>
      </c>
      <c r="AJ480" s="768">
        <f>_xll.GetCtData("COAMOUNT","CONSAMOUNT",$B$1:$B$7,$B480,AJ$8,"#-24633")</f>
        <v>-24633</v>
      </c>
    </row>
    <row r="481" spans="1:36" ht="12" customHeight="1">
      <c r="A481" s="718" t="s">
        <v>2879</v>
      </c>
      <c r="B481" s="718" t="s">
        <v>1048</v>
      </c>
      <c r="C481" s="453" t="s">
        <v>9042</v>
      </c>
      <c r="D481" s="731" t="s">
        <v>6609</v>
      </c>
      <c r="E481" s="655">
        <v>44035</v>
      </c>
      <c r="F481" s="732" t="s">
        <v>5409</v>
      </c>
      <c r="G481" s="732">
        <v>7</v>
      </c>
      <c r="H481" s="732" t="s">
        <v>6610</v>
      </c>
      <c r="I481" s="733" t="s">
        <v>6610</v>
      </c>
      <c r="J481" s="733" t="s">
        <v>6610</v>
      </c>
      <c r="K481" s="733" t="s">
        <v>6610</v>
      </c>
      <c r="L481" s="733" t="s">
        <v>6610</v>
      </c>
      <c r="M481" s="733" t="s">
        <v>6610</v>
      </c>
      <c r="N481" s="733" t="s">
        <v>6610</v>
      </c>
      <c r="O481" s="757" t="s">
        <v>9042</v>
      </c>
      <c r="P481" s="735">
        <v>9</v>
      </c>
      <c r="Q481" s="758" t="s">
        <v>9043</v>
      </c>
      <c r="R481" s="735">
        <v>35</v>
      </c>
      <c r="S481" s="759" t="s">
        <v>9043</v>
      </c>
      <c r="T481" s="735">
        <v>35</v>
      </c>
      <c r="U481" s="758" t="s">
        <v>9044</v>
      </c>
      <c r="V481" s="735">
        <v>28</v>
      </c>
      <c r="W481" s="758" t="s">
        <v>2915</v>
      </c>
      <c r="X481" s="758" t="s">
        <v>9045</v>
      </c>
      <c r="Y481" s="738">
        <v>33</v>
      </c>
      <c r="Z481" s="759" t="s">
        <v>9045</v>
      </c>
      <c r="AA481" s="735">
        <v>33</v>
      </c>
      <c r="AB481" s="758" t="s">
        <v>9046</v>
      </c>
      <c r="AC481" s="735">
        <v>30</v>
      </c>
      <c r="AD481" s="738" t="s">
        <v>3143</v>
      </c>
      <c r="AE481" s="689"/>
      <c r="AF481" s="494" t="s">
        <v>2917</v>
      </c>
      <c r="AJ481" s="760">
        <f>_xll.GetCtData("COAMOUNT","CONSAMOUNT",$B$1:$B$7,$B481,AJ$8,"#0")</f>
        <v>0</v>
      </c>
    </row>
    <row r="482" spans="1:36" ht="12" customHeight="1">
      <c r="A482" s="718" t="s">
        <v>2879</v>
      </c>
      <c r="B482" s="718" t="s">
        <v>1049</v>
      </c>
      <c r="C482" s="453" t="s">
        <v>9047</v>
      </c>
      <c r="D482" s="731" t="s">
        <v>6609</v>
      </c>
      <c r="E482" s="655">
        <v>44035</v>
      </c>
      <c r="F482" s="732" t="s">
        <v>5409</v>
      </c>
      <c r="G482" s="732">
        <v>7</v>
      </c>
      <c r="H482" s="732" t="s">
        <v>6610</v>
      </c>
      <c r="I482" s="733" t="s">
        <v>6610</v>
      </c>
      <c r="J482" s="733" t="s">
        <v>6610</v>
      </c>
      <c r="K482" s="733" t="s">
        <v>6610</v>
      </c>
      <c r="L482" s="733" t="s">
        <v>6610</v>
      </c>
      <c r="M482" s="733" t="s">
        <v>6610</v>
      </c>
      <c r="N482" s="733" t="s">
        <v>6610</v>
      </c>
      <c r="O482" s="757" t="s">
        <v>9047</v>
      </c>
      <c r="P482" s="735">
        <v>10</v>
      </c>
      <c r="Q482" s="758" t="s">
        <v>9048</v>
      </c>
      <c r="R482" s="735">
        <v>34</v>
      </c>
      <c r="S482" s="759" t="s">
        <v>9048</v>
      </c>
      <c r="T482" s="735">
        <v>34</v>
      </c>
      <c r="U482" s="758" t="s">
        <v>9049</v>
      </c>
      <c r="V482" s="735">
        <v>25</v>
      </c>
      <c r="W482" s="758" t="s">
        <v>2915</v>
      </c>
      <c r="X482" s="758" t="s">
        <v>9050</v>
      </c>
      <c r="Y482" s="738">
        <v>28</v>
      </c>
      <c r="Z482" s="759" t="s">
        <v>9050</v>
      </c>
      <c r="AA482" s="735">
        <v>28</v>
      </c>
      <c r="AB482" s="758" t="s">
        <v>9050</v>
      </c>
      <c r="AC482" s="735">
        <v>28</v>
      </c>
      <c r="AD482" s="738" t="s">
        <v>3143</v>
      </c>
      <c r="AE482" s="689"/>
      <c r="AF482" s="494" t="s">
        <v>2917</v>
      </c>
      <c r="AH482" s="723" t="s">
        <v>5359</v>
      </c>
      <c r="AJ482" s="760">
        <f>_xll.GetCtData("COAMOUNT","CONSAMOUNT",$B$1:$B$7,$B482,AJ$8,"#-24633")</f>
        <v>-24633</v>
      </c>
    </row>
    <row r="483" spans="1:36" ht="12" customHeight="1">
      <c r="A483" s="718" t="s">
        <v>2879</v>
      </c>
      <c r="B483" s="718" t="s">
        <v>1050</v>
      </c>
      <c r="C483" s="453" t="s">
        <v>9051</v>
      </c>
      <c r="D483" s="731" t="s">
        <v>6609</v>
      </c>
      <c r="E483" s="655">
        <v>44035</v>
      </c>
      <c r="F483" s="732" t="s">
        <v>5409</v>
      </c>
      <c r="G483" s="732">
        <v>7</v>
      </c>
      <c r="H483" s="732" t="s">
        <v>6610</v>
      </c>
      <c r="I483" s="733" t="s">
        <v>6610</v>
      </c>
      <c r="J483" s="733" t="s">
        <v>6610</v>
      </c>
      <c r="K483" s="733" t="s">
        <v>6610</v>
      </c>
      <c r="L483" s="733" t="s">
        <v>6610</v>
      </c>
      <c r="M483" s="733" t="s">
        <v>6610</v>
      </c>
      <c r="N483" s="733" t="s">
        <v>6610</v>
      </c>
      <c r="O483" s="757" t="s">
        <v>9051</v>
      </c>
      <c r="P483" s="735">
        <v>9</v>
      </c>
      <c r="Q483" s="758" t="s">
        <v>9052</v>
      </c>
      <c r="R483" s="735">
        <v>42</v>
      </c>
      <c r="S483" s="759" t="s">
        <v>9052</v>
      </c>
      <c r="T483" s="735">
        <v>42</v>
      </c>
      <c r="U483" s="758" t="s">
        <v>9053</v>
      </c>
      <c r="V483" s="735">
        <v>27</v>
      </c>
      <c r="W483" s="758" t="s">
        <v>2915</v>
      </c>
      <c r="X483" s="758" t="s">
        <v>9054</v>
      </c>
      <c r="Y483" s="738">
        <v>52</v>
      </c>
      <c r="Z483" s="759" t="s">
        <v>9054</v>
      </c>
      <c r="AA483" s="735">
        <v>52</v>
      </c>
      <c r="AB483" s="758" t="s">
        <v>9055</v>
      </c>
      <c r="AC483" s="735">
        <v>30</v>
      </c>
      <c r="AD483" s="738" t="s">
        <v>3143</v>
      </c>
      <c r="AE483" s="689"/>
      <c r="AF483" s="494" t="s">
        <v>2917</v>
      </c>
      <c r="AJ483" s="760">
        <f>_xll.GetCtData("COAMOUNT","CONSAMOUNT",$B$1:$B$7,$B483,AJ$8,"#")</f>
        <v>0</v>
      </c>
    </row>
    <row r="484" spans="1:36" ht="12" customHeight="1">
      <c r="A484" s="718" t="s">
        <v>2879</v>
      </c>
      <c r="B484" s="718" t="s">
        <v>1051</v>
      </c>
      <c r="C484" s="453" t="s">
        <v>9056</v>
      </c>
      <c r="D484" s="731" t="s">
        <v>6609</v>
      </c>
      <c r="E484" s="655">
        <v>44035</v>
      </c>
      <c r="F484" s="732" t="s">
        <v>5409</v>
      </c>
      <c r="G484" s="732">
        <v>7</v>
      </c>
      <c r="H484" s="732" t="s">
        <v>6610</v>
      </c>
      <c r="I484" s="733" t="s">
        <v>6610</v>
      </c>
      <c r="J484" s="733" t="s">
        <v>6610</v>
      </c>
      <c r="K484" s="733" t="s">
        <v>6610</v>
      </c>
      <c r="L484" s="733" t="s">
        <v>6610</v>
      </c>
      <c r="M484" s="733" t="s">
        <v>6610</v>
      </c>
      <c r="N484" s="733" t="s">
        <v>6610</v>
      </c>
      <c r="O484" s="757" t="s">
        <v>9056</v>
      </c>
      <c r="P484" s="735">
        <v>10</v>
      </c>
      <c r="Q484" s="758" t="s">
        <v>9057</v>
      </c>
      <c r="R484" s="735">
        <v>41</v>
      </c>
      <c r="S484" s="759" t="s">
        <v>9057</v>
      </c>
      <c r="T484" s="735">
        <v>41</v>
      </c>
      <c r="U484" s="758" t="s">
        <v>9058</v>
      </c>
      <c r="V484" s="735">
        <v>30</v>
      </c>
      <c r="W484" s="758" t="s">
        <v>2915</v>
      </c>
      <c r="X484" s="758" t="s">
        <v>9059</v>
      </c>
      <c r="Y484" s="738">
        <v>47</v>
      </c>
      <c r="Z484" s="759" t="s">
        <v>9059</v>
      </c>
      <c r="AA484" s="735">
        <v>47</v>
      </c>
      <c r="AB484" s="758" t="s">
        <v>9060</v>
      </c>
      <c r="AC484" s="735">
        <v>30</v>
      </c>
      <c r="AD484" s="738" t="s">
        <v>3143</v>
      </c>
      <c r="AE484" s="689"/>
      <c r="AF484" s="494" t="s">
        <v>2917</v>
      </c>
      <c r="AH484" s="723" t="s">
        <v>5359</v>
      </c>
      <c r="AJ484" s="760">
        <f>_xll.GetCtData("COAMOUNT","CONSAMOUNT",$B$1:$B$7,$B484,AJ$8,"#")</f>
        <v>0</v>
      </c>
    </row>
    <row r="485" spans="1:36" ht="12" customHeight="1">
      <c r="A485" s="718" t="s">
        <v>2879</v>
      </c>
      <c r="B485" s="718" t="s">
        <v>9061</v>
      </c>
      <c r="C485" s="453" t="s">
        <v>9062</v>
      </c>
      <c r="D485" s="731" t="s">
        <v>6609</v>
      </c>
      <c r="E485" s="655">
        <v>44035</v>
      </c>
      <c r="F485" s="732" t="s">
        <v>2912</v>
      </c>
      <c r="G485" s="732">
        <v>3</v>
      </c>
      <c r="H485" s="732" t="s">
        <v>6610</v>
      </c>
      <c r="I485" s="733" t="s">
        <v>6610</v>
      </c>
      <c r="J485" s="733" t="s">
        <v>6610</v>
      </c>
      <c r="K485" s="752" t="s">
        <v>9062</v>
      </c>
      <c r="L485" s="752" t="s">
        <v>6610</v>
      </c>
      <c r="M485" s="752" t="s">
        <v>6610</v>
      </c>
      <c r="N485" s="752" t="s">
        <v>6610</v>
      </c>
      <c r="O485" s="753"/>
      <c r="P485" s="735">
        <v>0</v>
      </c>
      <c r="Q485" s="754" t="s">
        <v>9063</v>
      </c>
      <c r="R485" s="735">
        <v>28</v>
      </c>
      <c r="S485" s="755" t="s">
        <v>9063</v>
      </c>
      <c r="T485" s="735">
        <v>28</v>
      </c>
      <c r="U485" s="754" t="s">
        <v>9063</v>
      </c>
      <c r="V485" s="735">
        <v>28</v>
      </c>
      <c r="W485" s="754" t="s">
        <v>2915</v>
      </c>
      <c r="X485" s="754" t="s">
        <v>9064</v>
      </c>
      <c r="Y485" s="738">
        <v>34</v>
      </c>
      <c r="Z485" s="755" t="s">
        <v>9064</v>
      </c>
      <c r="AA485" s="735">
        <v>34</v>
      </c>
      <c r="AB485" s="754" t="s">
        <v>9065</v>
      </c>
      <c r="AC485" s="735">
        <v>30</v>
      </c>
      <c r="AD485" s="738" t="s">
        <v>3143</v>
      </c>
      <c r="AE485" s="689"/>
      <c r="AF485" s="494" t="s">
        <v>2917</v>
      </c>
      <c r="AJ485" s="756">
        <f>_xll.GetCtData("COAMOUNT","CONSAMOUNT",$B$1:$B$7,$B485,AJ$8,"#99224,1045865563")</f>
        <v>99224</v>
      </c>
    </row>
    <row r="486" spans="1:36" ht="12" customHeight="1">
      <c r="A486" s="718" t="s">
        <v>2879</v>
      </c>
      <c r="B486" s="718" t="s">
        <v>1052</v>
      </c>
      <c r="C486" s="453" t="s">
        <v>9066</v>
      </c>
      <c r="D486" s="731" t="s">
        <v>6609</v>
      </c>
      <c r="E486" s="655">
        <v>44035</v>
      </c>
      <c r="F486" s="732" t="s">
        <v>2930</v>
      </c>
      <c r="G486" s="732">
        <v>7</v>
      </c>
      <c r="H486" s="732" t="s">
        <v>6610</v>
      </c>
      <c r="I486" s="733" t="s">
        <v>6610</v>
      </c>
      <c r="J486" s="733" t="s">
        <v>6610</v>
      </c>
      <c r="K486" s="733" t="s">
        <v>6610</v>
      </c>
      <c r="L486" s="733" t="s">
        <v>6610</v>
      </c>
      <c r="M486" s="733" t="s">
        <v>6610</v>
      </c>
      <c r="N486" s="733" t="s">
        <v>6610</v>
      </c>
      <c r="O486" s="757" t="s">
        <v>9066</v>
      </c>
      <c r="P486" s="735">
        <v>9</v>
      </c>
      <c r="Q486" s="758" t="s">
        <v>9063</v>
      </c>
      <c r="R486" s="735">
        <v>28</v>
      </c>
      <c r="S486" s="759" t="s">
        <v>9063</v>
      </c>
      <c r="T486" s="735">
        <v>28</v>
      </c>
      <c r="U486" s="758" t="s">
        <v>9063</v>
      </c>
      <c r="V486" s="735">
        <v>28</v>
      </c>
      <c r="W486" s="758" t="s">
        <v>8439</v>
      </c>
      <c r="X486" s="758" t="s">
        <v>9064</v>
      </c>
      <c r="Y486" s="738">
        <v>34</v>
      </c>
      <c r="Z486" s="759" t="s">
        <v>9064</v>
      </c>
      <c r="AA486" s="735">
        <v>34</v>
      </c>
      <c r="AB486" s="758" t="s">
        <v>9065</v>
      </c>
      <c r="AC486" s="735">
        <v>30</v>
      </c>
      <c r="AD486" s="738" t="s">
        <v>8442</v>
      </c>
      <c r="AE486" s="689"/>
      <c r="AF486" s="494" t="s">
        <v>2917</v>
      </c>
      <c r="AJ486" s="760">
        <f>_xll.GetCtData("COAMOUNT","CONSAMOUNT",$B$1:$B$7,$B486,AJ$8,"#99224,1045865563")</f>
        <v>99224</v>
      </c>
    </row>
    <row r="487" spans="1:36" ht="12" customHeight="1">
      <c r="A487" s="718" t="s">
        <v>2879</v>
      </c>
      <c r="B487" s="718" t="s">
        <v>9067</v>
      </c>
      <c r="C487" s="453" t="s">
        <v>9068</v>
      </c>
      <c r="D487" s="731" t="s">
        <v>6609</v>
      </c>
      <c r="E487" s="655">
        <v>44035</v>
      </c>
      <c r="F487" s="732" t="s">
        <v>2912</v>
      </c>
      <c r="G487" s="732">
        <v>3</v>
      </c>
      <c r="H487" s="732" t="s">
        <v>6610</v>
      </c>
      <c r="I487" s="733" t="s">
        <v>6610</v>
      </c>
      <c r="J487" s="733" t="s">
        <v>6610</v>
      </c>
      <c r="K487" s="752" t="s">
        <v>9068</v>
      </c>
      <c r="L487" s="752" t="s">
        <v>6610</v>
      </c>
      <c r="M487" s="752" t="s">
        <v>6610</v>
      </c>
      <c r="N487" s="752" t="s">
        <v>6610</v>
      </c>
      <c r="O487" s="753"/>
      <c r="P487" s="735">
        <v>0</v>
      </c>
      <c r="Q487" s="754" t="s">
        <v>9069</v>
      </c>
      <c r="R487" s="735">
        <v>36</v>
      </c>
      <c r="S487" s="755" t="s">
        <v>9069</v>
      </c>
      <c r="T487" s="735">
        <v>36</v>
      </c>
      <c r="U487" s="754" t="s">
        <v>9070</v>
      </c>
      <c r="V487" s="735">
        <v>30</v>
      </c>
      <c r="W487" s="754" t="s">
        <v>8439</v>
      </c>
      <c r="X487" s="754" t="s">
        <v>9071</v>
      </c>
      <c r="Y487" s="738">
        <v>36</v>
      </c>
      <c r="Z487" s="755" t="s">
        <v>9071</v>
      </c>
      <c r="AA487" s="735">
        <v>36</v>
      </c>
      <c r="AB487" s="754" t="s">
        <v>9072</v>
      </c>
      <c r="AC487" s="735">
        <v>26</v>
      </c>
      <c r="AD487" s="738" t="s">
        <v>8442</v>
      </c>
      <c r="AE487" s="689"/>
      <c r="AF487" s="494" t="s">
        <v>2917</v>
      </c>
      <c r="AJ487" s="756">
        <f>_xll.GetCtData("COAMOUNT","CONSAMOUNT",$B$1:$B$7,$B487,AJ$8,"#1707876,11363468")</f>
        <v>1707876</v>
      </c>
    </row>
    <row r="488" spans="1:36" ht="12" customHeight="1">
      <c r="A488" s="718" t="s">
        <v>2879</v>
      </c>
      <c r="B488" s="718" t="s">
        <v>9073</v>
      </c>
      <c r="C488" s="453" t="s">
        <v>9074</v>
      </c>
      <c r="D488" s="731" t="s">
        <v>6609</v>
      </c>
      <c r="E488" s="655">
        <v>44035</v>
      </c>
      <c r="F488" s="732" t="s">
        <v>2912</v>
      </c>
      <c r="G488" s="732">
        <v>4</v>
      </c>
      <c r="H488" s="732" t="s">
        <v>6610</v>
      </c>
      <c r="I488" s="733" t="s">
        <v>6610</v>
      </c>
      <c r="J488" s="733" t="s">
        <v>6610</v>
      </c>
      <c r="K488" s="733" t="s">
        <v>6610</v>
      </c>
      <c r="L488" s="764" t="s">
        <v>9074</v>
      </c>
      <c r="M488" s="764" t="s">
        <v>6610</v>
      </c>
      <c r="N488" s="764" t="s">
        <v>6610</v>
      </c>
      <c r="O488" s="765"/>
      <c r="P488" s="735">
        <v>0</v>
      </c>
      <c r="Q488" s="766" t="s">
        <v>9069</v>
      </c>
      <c r="R488" s="735">
        <v>36</v>
      </c>
      <c r="S488" s="767" t="s">
        <v>9069</v>
      </c>
      <c r="T488" s="735">
        <v>36</v>
      </c>
      <c r="U488" s="766" t="s">
        <v>9070</v>
      </c>
      <c r="V488" s="735">
        <v>30</v>
      </c>
      <c r="W488" s="766" t="s">
        <v>8439</v>
      </c>
      <c r="X488" s="766" t="s">
        <v>9071</v>
      </c>
      <c r="Y488" s="738">
        <v>36</v>
      </c>
      <c r="Z488" s="767" t="s">
        <v>9071</v>
      </c>
      <c r="AA488" s="735">
        <v>36</v>
      </c>
      <c r="AB488" s="766" t="s">
        <v>9072</v>
      </c>
      <c r="AC488" s="735">
        <v>26</v>
      </c>
      <c r="AD488" s="738" t="s">
        <v>8442</v>
      </c>
      <c r="AE488" s="689"/>
      <c r="AF488" s="494" t="s">
        <v>2917</v>
      </c>
      <c r="AJ488" s="768">
        <f>_xll.GetCtData("COAMOUNT","CONSAMOUNT",$B$1:$B$7,$B488,AJ$8,"#1702680,11363468")</f>
        <v>1702680</v>
      </c>
    </row>
    <row r="489" spans="1:36" ht="12" customHeight="1">
      <c r="A489" s="718" t="s">
        <v>2879</v>
      </c>
      <c r="B489" s="718" t="s">
        <v>1053</v>
      </c>
      <c r="C489" s="453" t="s">
        <v>9075</v>
      </c>
      <c r="D489" s="731" t="s">
        <v>6609</v>
      </c>
      <c r="E489" s="655">
        <v>44035</v>
      </c>
      <c r="F489" s="732" t="s">
        <v>2930</v>
      </c>
      <c r="G489" s="732">
        <v>7</v>
      </c>
      <c r="H489" s="732" t="s">
        <v>6610</v>
      </c>
      <c r="I489" s="733" t="s">
        <v>6610</v>
      </c>
      <c r="J489" s="733" t="s">
        <v>6610</v>
      </c>
      <c r="K489" s="733" t="s">
        <v>6610</v>
      </c>
      <c r="L489" s="733" t="s">
        <v>6610</v>
      </c>
      <c r="M489" s="733" t="s">
        <v>6610</v>
      </c>
      <c r="N489" s="733" t="s">
        <v>6610</v>
      </c>
      <c r="O489" s="757" t="s">
        <v>9075</v>
      </c>
      <c r="P489" s="735">
        <v>9</v>
      </c>
      <c r="Q489" s="758" t="s">
        <v>9076</v>
      </c>
      <c r="R489" s="735">
        <v>54</v>
      </c>
      <c r="S489" s="759" t="s">
        <v>9076</v>
      </c>
      <c r="T489" s="735">
        <v>54</v>
      </c>
      <c r="U489" s="758" t="s">
        <v>9077</v>
      </c>
      <c r="V489" s="735">
        <v>26</v>
      </c>
      <c r="W489" s="758" t="s">
        <v>8439</v>
      </c>
      <c r="X489" s="758" t="s">
        <v>9078</v>
      </c>
      <c r="Y489" s="738">
        <v>55</v>
      </c>
      <c r="Z489" s="759" t="s">
        <v>9078</v>
      </c>
      <c r="AA489" s="735">
        <v>55</v>
      </c>
      <c r="AB489" s="758" t="s">
        <v>9079</v>
      </c>
      <c r="AC489" s="735">
        <v>29</v>
      </c>
      <c r="AD489" s="738" t="s">
        <v>8442</v>
      </c>
      <c r="AE489" s="689"/>
      <c r="AF489" s="494" t="s">
        <v>2917</v>
      </c>
      <c r="AJ489" s="760">
        <f>_xll.GetCtData("COAMOUNT","CONSAMOUNT",$B$1:$B$7,$B489,AJ$8,"#1574600,11363468")</f>
        <v>1574600</v>
      </c>
    </row>
    <row r="490" spans="1:36" ht="12" customHeight="1">
      <c r="A490" s="718" t="s">
        <v>2879</v>
      </c>
      <c r="B490" s="718" t="s">
        <v>1054</v>
      </c>
      <c r="C490" s="453" t="s">
        <v>9080</v>
      </c>
      <c r="D490" s="731" t="s">
        <v>6609</v>
      </c>
      <c r="E490" s="655">
        <v>44035</v>
      </c>
      <c r="F490" s="732" t="s">
        <v>2930</v>
      </c>
      <c r="G490" s="732">
        <v>7</v>
      </c>
      <c r="H490" s="732" t="s">
        <v>6610</v>
      </c>
      <c r="I490" s="733" t="s">
        <v>6610</v>
      </c>
      <c r="J490" s="733" t="s">
        <v>6610</v>
      </c>
      <c r="K490" s="733" t="s">
        <v>6610</v>
      </c>
      <c r="L490" s="733" t="s">
        <v>6610</v>
      </c>
      <c r="M490" s="733" t="s">
        <v>6610</v>
      </c>
      <c r="N490" s="733" t="s">
        <v>6610</v>
      </c>
      <c r="O490" s="757" t="s">
        <v>9080</v>
      </c>
      <c r="P490" s="735">
        <v>9</v>
      </c>
      <c r="Q490" s="758" t="s">
        <v>9081</v>
      </c>
      <c r="R490" s="735">
        <v>66</v>
      </c>
      <c r="S490" s="759" t="s">
        <v>9081</v>
      </c>
      <c r="T490" s="735">
        <v>66</v>
      </c>
      <c r="U490" s="758" t="s">
        <v>9082</v>
      </c>
      <c r="V490" s="735">
        <v>25</v>
      </c>
      <c r="W490" s="758" t="s">
        <v>8439</v>
      </c>
      <c r="X490" s="758" t="s">
        <v>9083</v>
      </c>
      <c r="Y490" s="738">
        <v>54</v>
      </c>
      <c r="Z490" s="759" t="s">
        <v>9083</v>
      </c>
      <c r="AA490" s="735">
        <v>54</v>
      </c>
      <c r="AB490" s="758" t="s">
        <v>9084</v>
      </c>
      <c r="AC490" s="735">
        <v>30</v>
      </c>
      <c r="AD490" s="738" t="s">
        <v>8442</v>
      </c>
      <c r="AE490" s="689"/>
      <c r="AF490" s="494" t="s">
        <v>2917</v>
      </c>
      <c r="AJ490" s="760">
        <f>_xll.GetCtData("COAMOUNT","CONSAMOUNT",$B$1:$B$7,$B490,AJ$8,"#12387")</f>
        <v>12387</v>
      </c>
    </row>
    <row r="491" spans="1:36" ht="12" customHeight="1">
      <c r="A491" s="718" t="s">
        <v>2879</v>
      </c>
      <c r="B491" s="718" t="s">
        <v>1055</v>
      </c>
      <c r="C491" s="453" t="s">
        <v>9085</v>
      </c>
      <c r="D491" s="731" t="s">
        <v>6609</v>
      </c>
      <c r="E491" s="655">
        <v>44035</v>
      </c>
      <c r="F491" s="732" t="s">
        <v>2930</v>
      </c>
      <c r="G491" s="732">
        <v>7</v>
      </c>
      <c r="H491" s="732" t="s">
        <v>6610</v>
      </c>
      <c r="I491" s="733" t="s">
        <v>6610</v>
      </c>
      <c r="J491" s="733" t="s">
        <v>6610</v>
      </c>
      <c r="K491" s="733" t="s">
        <v>6610</v>
      </c>
      <c r="L491" s="733" t="s">
        <v>6610</v>
      </c>
      <c r="M491" s="733" t="s">
        <v>6610</v>
      </c>
      <c r="N491" s="733" t="s">
        <v>6610</v>
      </c>
      <c r="O491" s="757" t="s">
        <v>9085</v>
      </c>
      <c r="P491" s="735">
        <v>9</v>
      </c>
      <c r="Q491" s="758" t="s">
        <v>1845</v>
      </c>
      <c r="R491" s="735">
        <v>67</v>
      </c>
      <c r="S491" s="759" t="s">
        <v>1845</v>
      </c>
      <c r="T491" s="735">
        <v>67</v>
      </c>
      <c r="U491" s="758" t="s">
        <v>9086</v>
      </c>
      <c r="V491" s="735">
        <v>27</v>
      </c>
      <c r="W491" s="758" t="s">
        <v>8439</v>
      </c>
      <c r="X491" s="758" t="s">
        <v>9087</v>
      </c>
      <c r="Y491" s="738">
        <v>79</v>
      </c>
      <c r="Z491" s="759" t="s">
        <v>9087</v>
      </c>
      <c r="AA491" s="735">
        <v>79</v>
      </c>
      <c r="AB491" s="758" t="s">
        <v>9088</v>
      </c>
      <c r="AC491" s="735">
        <v>29</v>
      </c>
      <c r="AD491" s="738" t="s">
        <v>8442</v>
      </c>
      <c r="AE491" s="689"/>
      <c r="AF491" s="494" t="s">
        <v>2917</v>
      </c>
      <c r="AH491" s="723" t="s">
        <v>5359</v>
      </c>
      <c r="AJ491" s="760">
        <f>_xll.GetCtData("COAMOUNT","CONSAMOUNT",$B$1:$B$7,$B491,AJ$8,"#115693")</f>
        <v>115693</v>
      </c>
    </row>
    <row r="492" spans="1:36" ht="12" customHeight="1">
      <c r="A492" s="718" t="s">
        <v>2879</v>
      </c>
      <c r="B492" s="718" t="s">
        <v>9089</v>
      </c>
      <c r="C492" s="453" t="s">
        <v>9090</v>
      </c>
      <c r="D492" s="731" t="s">
        <v>6609</v>
      </c>
      <c r="E492" s="655">
        <v>44035</v>
      </c>
      <c r="F492" s="732" t="s">
        <v>2912</v>
      </c>
      <c r="G492" s="732">
        <v>4</v>
      </c>
      <c r="H492" s="732" t="s">
        <v>6610</v>
      </c>
      <c r="I492" s="733" t="s">
        <v>6610</v>
      </c>
      <c r="J492" s="733" t="s">
        <v>6610</v>
      </c>
      <c r="K492" s="733" t="s">
        <v>6610</v>
      </c>
      <c r="L492" s="764" t="s">
        <v>9090</v>
      </c>
      <c r="M492" s="764" t="s">
        <v>6610</v>
      </c>
      <c r="N492" s="764" t="s">
        <v>6610</v>
      </c>
      <c r="O492" s="765"/>
      <c r="P492" s="735">
        <v>0</v>
      </c>
      <c r="Q492" s="766" t="s">
        <v>9091</v>
      </c>
      <c r="R492" s="735">
        <v>78</v>
      </c>
      <c r="S492" s="767" t="s">
        <v>9091</v>
      </c>
      <c r="T492" s="735">
        <v>78</v>
      </c>
      <c r="U492" s="766" t="s">
        <v>9092</v>
      </c>
      <c r="V492" s="735">
        <v>30</v>
      </c>
      <c r="W492" s="766" t="s">
        <v>2915</v>
      </c>
      <c r="X492" s="766" t="s">
        <v>9093</v>
      </c>
      <c r="Y492" s="738">
        <v>93</v>
      </c>
      <c r="Z492" s="767" t="s">
        <v>9093</v>
      </c>
      <c r="AA492" s="735">
        <v>93</v>
      </c>
      <c r="AB492" s="766" t="s">
        <v>9094</v>
      </c>
      <c r="AC492" s="735">
        <v>28</v>
      </c>
      <c r="AD492" s="738" t="s">
        <v>3143</v>
      </c>
      <c r="AE492" s="689"/>
      <c r="AF492" s="494" t="s">
        <v>2917</v>
      </c>
      <c r="AJ492" s="768">
        <f>_xll.GetCtData("COAMOUNT","CONSAMOUNT",$B$1:$B$7,$B492,AJ$8,"#5196")</f>
        <v>5196</v>
      </c>
    </row>
    <row r="493" spans="1:36" ht="12" customHeight="1">
      <c r="A493" s="718" t="s">
        <v>2879</v>
      </c>
      <c r="B493" s="718" t="s">
        <v>1056</v>
      </c>
      <c r="C493" s="453" t="s">
        <v>9095</v>
      </c>
      <c r="D493" s="731" t="s">
        <v>6609</v>
      </c>
      <c r="E493" s="655">
        <v>44035</v>
      </c>
      <c r="F493" s="732" t="s">
        <v>5409</v>
      </c>
      <c r="G493" s="732">
        <v>7</v>
      </c>
      <c r="H493" s="732" t="s">
        <v>6610</v>
      </c>
      <c r="I493" s="733" t="s">
        <v>6610</v>
      </c>
      <c r="J493" s="733" t="s">
        <v>6610</v>
      </c>
      <c r="K493" s="733" t="s">
        <v>6610</v>
      </c>
      <c r="L493" s="733" t="s">
        <v>6610</v>
      </c>
      <c r="M493" s="733" t="s">
        <v>6610</v>
      </c>
      <c r="N493" s="733" t="s">
        <v>6610</v>
      </c>
      <c r="O493" s="757" t="s">
        <v>9095</v>
      </c>
      <c r="P493" s="735">
        <v>9</v>
      </c>
      <c r="Q493" s="758" t="s">
        <v>9096</v>
      </c>
      <c r="R493" s="735">
        <v>77</v>
      </c>
      <c r="S493" s="759" t="s">
        <v>9096</v>
      </c>
      <c r="T493" s="735">
        <v>77</v>
      </c>
      <c r="U493" s="758" t="s">
        <v>9097</v>
      </c>
      <c r="V493" s="735">
        <v>30</v>
      </c>
      <c r="W493" s="758" t="s">
        <v>2915</v>
      </c>
      <c r="X493" s="758" t="s">
        <v>9098</v>
      </c>
      <c r="Y493" s="738">
        <v>98</v>
      </c>
      <c r="Z493" s="759" t="s">
        <v>9098</v>
      </c>
      <c r="AA493" s="735">
        <v>98</v>
      </c>
      <c r="AB493" s="758" t="s">
        <v>9099</v>
      </c>
      <c r="AC493" s="735">
        <v>30</v>
      </c>
      <c r="AD493" s="738" t="s">
        <v>3143</v>
      </c>
      <c r="AE493" s="689"/>
      <c r="AF493" s="494" t="s">
        <v>2917</v>
      </c>
      <c r="AJ493" s="760">
        <f>_xll.GetCtData("COAMOUNT","CONSAMOUNT",$B$1:$B$7,$B493,AJ$8,"#0")</f>
        <v>0</v>
      </c>
    </row>
    <row r="494" spans="1:36" ht="12" customHeight="1">
      <c r="A494" s="718" t="s">
        <v>2879</v>
      </c>
      <c r="B494" s="718" t="s">
        <v>1057</v>
      </c>
      <c r="C494" s="453" t="s">
        <v>9100</v>
      </c>
      <c r="D494" s="731" t="s">
        <v>6609</v>
      </c>
      <c r="E494" s="655">
        <v>44035</v>
      </c>
      <c r="F494" s="732" t="s">
        <v>5409</v>
      </c>
      <c r="G494" s="732">
        <v>7</v>
      </c>
      <c r="H494" s="732" t="s">
        <v>6610</v>
      </c>
      <c r="I494" s="733" t="s">
        <v>6610</v>
      </c>
      <c r="J494" s="733" t="s">
        <v>6610</v>
      </c>
      <c r="K494" s="733" t="s">
        <v>6610</v>
      </c>
      <c r="L494" s="733" t="s">
        <v>6610</v>
      </c>
      <c r="M494" s="733" t="s">
        <v>6610</v>
      </c>
      <c r="N494" s="733" t="s">
        <v>6610</v>
      </c>
      <c r="O494" s="757" t="s">
        <v>9100</v>
      </c>
      <c r="P494" s="735">
        <v>10</v>
      </c>
      <c r="Q494" s="758" t="s">
        <v>9101</v>
      </c>
      <c r="R494" s="735">
        <v>76</v>
      </c>
      <c r="S494" s="759" t="s">
        <v>9101</v>
      </c>
      <c r="T494" s="735">
        <v>76</v>
      </c>
      <c r="U494" s="758" t="s">
        <v>9102</v>
      </c>
      <c r="V494" s="735">
        <v>30</v>
      </c>
      <c r="W494" s="758" t="s">
        <v>2915</v>
      </c>
      <c r="X494" s="758" t="s">
        <v>9103</v>
      </c>
      <c r="Y494" s="738">
        <v>93</v>
      </c>
      <c r="Z494" s="759" t="s">
        <v>9103</v>
      </c>
      <c r="AA494" s="735">
        <v>93</v>
      </c>
      <c r="AB494" s="758" t="s">
        <v>9104</v>
      </c>
      <c r="AC494" s="735">
        <v>30</v>
      </c>
      <c r="AD494" s="738" t="s">
        <v>3143</v>
      </c>
      <c r="AE494" s="689"/>
      <c r="AF494" s="494" t="s">
        <v>2917</v>
      </c>
      <c r="AH494" s="723" t="s">
        <v>5359</v>
      </c>
      <c r="AJ494" s="760">
        <f>_xll.GetCtData("COAMOUNT","CONSAMOUNT",$B$1:$B$7,$B494,AJ$8,"#-21582")</f>
        <v>-21582</v>
      </c>
    </row>
    <row r="495" spans="1:36" ht="12" customHeight="1">
      <c r="A495" s="718" t="s">
        <v>2879</v>
      </c>
      <c r="B495" s="718" t="s">
        <v>9105</v>
      </c>
      <c r="C495" s="453" t="s">
        <v>9106</v>
      </c>
      <c r="D495" s="731" t="s">
        <v>6609</v>
      </c>
      <c r="E495" s="655">
        <v>44035</v>
      </c>
      <c r="F495" s="732" t="s">
        <v>2912</v>
      </c>
      <c r="G495" s="732">
        <v>1</v>
      </c>
      <c r="H495" s="732" t="s">
        <v>6610</v>
      </c>
      <c r="I495" s="742" t="s">
        <v>9106</v>
      </c>
      <c r="J495" s="742" t="s">
        <v>6610</v>
      </c>
      <c r="K495" s="742" t="s">
        <v>6610</v>
      </c>
      <c r="L495" s="742" t="s">
        <v>6610</v>
      </c>
      <c r="M495" s="742" t="s">
        <v>6610</v>
      </c>
      <c r="N495" s="742" t="s">
        <v>6610</v>
      </c>
      <c r="O495" s="743"/>
      <c r="P495" s="735">
        <v>0</v>
      </c>
      <c r="Q495" s="744" t="s">
        <v>9107</v>
      </c>
      <c r="R495" s="735">
        <v>60</v>
      </c>
      <c r="S495" s="745" t="s">
        <v>9107</v>
      </c>
      <c r="T495" s="735">
        <v>60</v>
      </c>
      <c r="U495" s="744" t="s">
        <v>9108</v>
      </c>
      <c r="V495" s="735">
        <v>30</v>
      </c>
      <c r="W495" s="744" t="s">
        <v>2915</v>
      </c>
      <c r="X495" s="744" t="s">
        <v>9109</v>
      </c>
      <c r="Y495" s="738">
        <v>59</v>
      </c>
      <c r="Z495" s="745" t="s">
        <v>9109</v>
      </c>
      <c r="AA495" s="735">
        <v>59</v>
      </c>
      <c r="AB495" s="744" t="s">
        <v>9110</v>
      </c>
      <c r="AC495" s="735">
        <v>30</v>
      </c>
      <c r="AD495" s="738" t="s">
        <v>3143</v>
      </c>
      <c r="AE495" s="689"/>
      <c r="AF495" s="494" t="s">
        <v>2917</v>
      </c>
      <c r="AJ495" s="746">
        <f>_xll.GetCtData("COAMOUNT","CONSAMOUNT",$B$1:$B$7,$B495,AJ$8,"#16282722")</f>
        <v>16282722</v>
      </c>
    </row>
    <row r="496" spans="1:36" ht="12" customHeight="1">
      <c r="A496" s="718" t="s">
        <v>2879</v>
      </c>
      <c r="B496" s="718" t="s">
        <v>9111</v>
      </c>
      <c r="C496" s="453" t="s">
        <v>9112</v>
      </c>
      <c r="D496" s="731" t="s">
        <v>6609</v>
      </c>
      <c r="E496" s="655">
        <v>44035</v>
      </c>
      <c r="F496" s="732" t="s">
        <v>2912</v>
      </c>
      <c r="G496" s="732">
        <v>2</v>
      </c>
      <c r="H496" s="732" t="s">
        <v>6610</v>
      </c>
      <c r="I496" s="733" t="s">
        <v>6610</v>
      </c>
      <c r="J496" s="747" t="s">
        <v>9112</v>
      </c>
      <c r="K496" s="747" t="s">
        <v>6610</v>
      </c>
      <c r="L496" s="747" t="s">
        <v>6610</v>
      </c>
      <c r="M496" s="747" t="s">
        <v>6610</v>
      </c>
      <c r="N496" s="747" t="s">
        <v>6610</v>
      </c>
      <c r="O496" s="748"/>
      <c r="P496" s="735">
        <v>0</v>
      </c>
      <c r="Q496" s="749" t="s">
        <v>9107</v>
      </c>
      <c r="R496" s="735">
        <v>60</v>
      </c>
      <c r="S496" s="750" t="s">
        <v>9107</v>
      </c>
      <c r="T496" s="735">
        <v>60</v>
      </c>
      <c r="U496" s="749" t="s">
        <v>9108</v>
      </c>
      <c r="V496" s="735">
        <v>30</v>
      </c>
      <c r="W496" s="749" t="s">
        <v>2915</v>
      </c>
      <c r="X496" s="749" t="s">
        <v>9109</v>
      </c>
      <c r="Y496" s="738">
        <v>59</v>
      </c>
      <c r="Z496" s="750" t="s">
        <v>9109</v>
      </c>
      <c r="AA496" s="735">
        <v>59</v>
      </c>
      <c r="AB496" s="749" t="s">
        <v>9110</v>
      </c>
      <c r="AC496" s="735">
        <v>30</v>
      </c>
      <c r="AD496" s="738" t="s">
        <v>3143</v>
      </c>
      <c r="AE496" s="689"/>
      <c r="AF496" s="494" t="s">
        <v>2917</v>
      </c>
      <c r="AJ496" s="751">
        <f>_xll.GetCtData("COAMOUNT","CONSAMOUNT",$B$1:$B$7,$B496,AJ$8,"#16282722")</f>
        <v>16282722</v>
      </c>
    </row>
    <row r="497" spans="1:36" ht="12" customHeight="1">
      <c r="A497" s="718" t="s">
        <v>2879</v>
      </c>
      <c r="B497" s="718" t="s">
        <v>9113</v>
      </c>
      <c r="C497" s="453" t="s">
        <v>9114</v>
      </c>
      <c r="D497" s="731" t="s">
        <v>2962</v>
      </c>
      <c r="E497" s="655">
        <v>44515</v>
      </c>
      <c r="F497" s="900" t="s">
        <v>5409</v>
      </c>
      <c r="G497" s="900">
        <v>7</v>
      </c>
      <c r="H497" s="900" t="s">
        <v>6610</v>
      </c>
      <c r="I497" s="901" t="s">
        <v>6610</v>
      </c>
      <c r="J497" s="901" t="s">
        <v>6610</v>
      </c>
      <c r="K497" s="901" t="s">
        <v>6610</v>
      </c>
      <c r="L497" s="901" t="s">
        <v>6610</v>
      </c>
      <c r="M497" s="901" t="s">
        <v>6610</v>
      </c>
      <c r="N497" s="901" t="s">
        <v>6610</v>
      </c>
      <c r="O497" s="902" t="s">
        <v>9114</v>
      </c>
      <c r="P497" s="735">
        <v>9</v>
      </c>
      <c r="Q497" s="903" t="s">
        <v>9107</v>
      </c>
      <c r="R497" s="735">
        <v>60</v>
      </c>
      <c r="S497" s="904" t="s">
        <v>9107</v>
      </c>
      <c r="T497" s="905">
        <v>60</v>
      </c>
      <c r="U497" s="903" t="s">
        <v>9108</v>
      </c>
      <c r="V497" s="905">
        <v>30</v>
      </c>
      <c r="W497" s="903" t="s">
        <v>2915</v>
      </c>
      <c r="X497" s="903" t="s">
        <v>9109</v>
      </c>
      <c r="Y497" s="906">
        <v>59</v>
      </c>
      <c r="Z497" s="904" t="s">
        <v>9109</v>
      </c>
      <c r="AA497" s="905">
        <v>59</v>
      </c>
      <c r="AB497" s="903" t="s">
        <v>9110</v>
      </c>
      <c r="AC497" s="905">
        <v>30</v>
      </c>
      <c r="AD497" s="906" t="s">
        <v>3143</v>
      </c>
      <c r="AE497" s="907" t="s">
        <v>9115</v>
      </c>
      <c r="AF497" s="908" t="s">
        <v>2721</v>
      </c>
      <c r="AG497" s="909"/>
      <c r="AH497" s="909"/>
      <c r="AI497" s="910"/>
      <c r="AJ497" s="911">
        <f>_xll.GetCtData("COAMOUNT","CONSAMOUNT",$B$1:$B$7,$B497,AJ$8,"#16282722")</f>
        <v>16282722</v>
      </c>
    </row>
    <row r="498" spans="1:36">
      <c r="X498" s="912"/>
      <c r="Y498" s="912"/>
      <c r="Z498" s="912"/>
    </row>
    <row r="499" spans="1:36">
      <c r="S499" s="709" t="s">
        <v>57</v>
      </c>
      <c r="AJ499" s="710">
        <f>SUMIF($G$12:$G$497,$G$497,AJ$12:AJ$497)</f>
        <v>422244319</v>
      </c>
    </row>
    <row r="500" spans="1:36">
      <c r="S500" s="913">
        <v>7</v>
      </c>
      <c r="AJ500" s="914">
        <f>AJ499-AJ11</f>
        <v>-12698897</v>
      </c>
    </row>
    <row r="501" spans="1:36">
      <c r="S501" s="913" t="s">
        <v>2883</v>
      </c>
      <c r="AJ501" s="710">
        <f>SUMIF($A$12:$A$1003,$R$1007,AJ$12:AJ$1003)</f>
        <v>0</v>
      </c>
    </row>
    <row r="503" spans="1:36">
      <c r="A503" s="915"/>
      <c r="B503" s="915"/>
      <c r="C503" s="711"/>
      <c r="D503" s="915"/>
      <c r="E503" s="915"/>
      <c r="F503" s="915"/>
      <c r="G503" s="916"/>
      <c r="H503" s="915"/>
      <c r="I503" s="915"/>
      <c r="J503" s="915"/>
      <c r="K503" s="915"/>
      <c r="L503" s="915"/>
      <c r="M503" s="915"/>
      <c r="N503" s="915"/>
      <c r="O503" s="917"/>
      <c r="P503" s="917"/>
      <c r="Q503" s="917"/>
      <c r="R503" s="918"/>
      <c r="S503" s="917" t="s">
        <v>9116</v>
      </c>
      <c r="T503" s="917"/>
      <c r="U503" s="917"/>
      <c r="V503" s="917"/>
      <c r="W503" s="919"/>
      <c r="X503" s="919"/>
      <c r="Y503" s="919"/>
      <c r="Z503" s="919"/>
      <c r="AA503" s="919"/>
      <c r="AB503" s="919"/>
      <c r="AC503" s="919"/>
      <c r="AD503" s="915"/>
      <c r="AE503" s="916"/>
      <c r="AF503" s="916"/>
      <c r="AG503" s="920"/>
      <c r="AH503" s="920"/>
      <c r="AI503" s="918"/>
      <c r="AJ503" s="921">
        <f>AJ126</f>
        <v>1606061</v>
      </c>
    </row>
    <row r="504" spans="1:36">
      <c r="A504" s="915"/>
      <c r="B504" s="915"/>
      <c r="C504" s="711"/>
      <c r="D504" s="915"/>
      <c r="E504" s="915"/>
      <c r="F504" s="915"/>
      <c r="G504" s="916"/>
      <c r="H504" s="915"/>
      <c r="I504" s="915"/>
      <c r="J504" s="915"/>
      <c r="K504" s="915"/>
      <c r="L504" s="915"/>
      <c r="M504" s="915"/>
      <c r="N504" s="915"/>
      <c r="O504" s="917"/>
      <c r="P504" s="917"/>
      <c r="Q504" s="917"/>
      <c r="R504" s="918"/>
      <c r="S504" s="917" t="s">
        <v>9117</v>
      </c>
      <c r="T504" s="917"/>
      <c r="U504" s="917"/>
      <c r="V504" s="917"/>
      <c r="W504" s="919"/>
      <c r="X504" s="919"/>
      <c r="Y504" s="919"/>
      <c r="Z504" s="919"/>
      <c r="AA504" s="919"/>
      <c r="AB504" s="919"/>
      <c r="AC504" s="919"/>
      <c r="AD504" s="915"/>
      <c r="AE504" s="916"/>
      <c r="AF504" s="916"/>
      <c r="AG504" s="920"/>
      <c r="AH504" s="920"/>
      <c r="AI504" s="918"/>
      <c r="AJ504" s="921">
        <f>'[54]P&amp;L LBP'!AM13</f>
        <v>368047.55448854202</v>
      </c>
    </row>
    <row r="505" spans="1:36">
      <c r="A505" s="915"/>
      <c r="B505" s="915"/>
      <c r="C505" s="711"/>
      <c r="D505" s="915"/>
      <c r="E505" s="915"/>
      <c r="F505" s="915"/>
      <c r="G505" s="916"/>
      <c r="H505" s="915"/>
      <c r="I505" s="915"/>
      <c r="J505" s="915"/>
      <c r="K505" s="915"/>
      <c r="L505" s="915"/>
      <c r="M505" s="915"/>
      <c r="N505" s="915"/>
      <c r="O505" s="917"/>
      <c r="P505" s="917"/>
      <c r="Q505" s="917"/>
      <c r="R505" s="918"/>
      <c r="S505" s="917" t="s">
        <v>1131</v>
      </c>
      <c r="T505" s="917"/>
      <c r="U505" s="917"/>
      <c r="V505" s="917"/>
      <c r="W505" s="919"/>
      <c r="X505" s="919"/>
      <c r="Y505" s="919"/>
      <c r="Z505" s="919"/>
      <c r="AA505" s="919"/>
      <c r="AB505" s="919"/>
      <c r="AC505" s="919"/>
      <c r="AD505" s="915"/>
      <c r="AE505" s="916"/>
      <c r="AF505" s="916"/>
      <c r="AG505" s="920"/>
      <c r="AH505" s="920"/>
      <c r="AI505" s="918"/>
      <c r="AJ505" s="921">
        <f>AJ503-AJ504</f>
        <v>1238013.445511458</v>
      </c>
    </row>
    <row r="506" spans="1:36">
      <c r="A506" s="915"/>
      <c r="B506" s="915"/>
      <c r="C506" s="711"/>
      <c r="D506" s="915"/>
      <c r="E506" s="915"/>
      <c r="F506" s="915"/>
      <c r="G506" s="916"/>
      <c r="H506" s="915"/>
      <c r="I506" s="915"/>
      <c r="J506" s="915"/>
      <c r="K506" s="915"/>
      <c r="L506" s="915"/>
      <c r="M506" s="915"/>
      <c r="N506" s="915"/>
      <c r="O506" s="917"/>
      <c r="P506" s="917"/>
      <c r="Q506" s="917"/>
      <c r="R506" s="918"/>
      <c r="S506" s="917"/>
      <c r="T506" s="917"/>
      <c r="U506" s="917"/>
      <c r="V506" s="917"/>
      <c r="W506" s="919"/>
      <c r="X506" s="919"/>
      <c r="Y506" s="919"/>
      <c r="Z506" s="919"/>
      <c r="AA506" s="919"/>
      <c r="AB506" s="919"/>
      <c r="AC506" s="919"/>
      <c r="AD506" s="915"/>
      <c r="AE506" s="916"/>
      <c r="AF506" s="916"/>
      <c r="AG506" s="920"/>
      <c r="AH506" s="920"/>
      <c r="AI506" s="918"/>
      <c r="AJ506" s="921"/>
    </row>
    <row r="507" spans="1:36">
      <c r="A507" s="915"/>
      <c r="B507" s="915"/>
      <c r="C507" s="711"/>
      <c r="D507" s="915"/>
      <c r="E507" s="915"/>
      <c r="F507" s="915"/>
      <c r="G507" s="916"/>
      <c r="H507" s="915"/>
      <c r="I507" s="915"/>
      <c r="J507" s="915"/>
      <c r="K507" s="915"/>
      <c r="L507" s="915"/>
      <c r="M507" s="915"/>
      <c r="N507" s="915"/>
      <c r="O507" s="917"/>
      <c r="P507" s="917"/>
      <c r="Q507" s="917"/>
      <c r="R507" s="918"/>
      <c r="S507" s="917" t="s">
        <v>9118</v>
      </c>
      <c r="T507" s="917"/>
      <c r="U507" s="917"/>
      <c r="V507" s="917"/>
      <c r="W507" s="919"/>
      <c r="X507" s="919"/>
      <c r="Y507" s="919"/>
      <c r="Z507" s="919"/>
      <c r="AA507" s="919"/>
      <c r="AB507" s="919"/>
      <c r="AC507" s="919"/>
      <c r="AD507" s="915"/>
      <c r="AE507" s="916"/>
      <c r="AF507" s="916"/>
      <c r="AG507" s="920"/>
      <c r="AH507" s="920"/>
      <c r="AI507" s="918"/>
      <c r="AJ507" s="921">
        <f>AJ226</f>
        <v>352069</v>
      </c>
    </row>
    <row r="508" spans="1:36">
      <c r="A508" s="915"/>
      <c r="B508" s="915"/>
      <c r="C508" s="711"/>
      <c r="D508" s="915"/>
      <c r="E508" s="915"/>
      <c r="F508" s="915"/>
      <c r="G508" s="916"/>
      <c r="H508" s="915"/>
      <c r="I508" s="915"/>
      <c r="J508" s="915"/>
      <c r="K508" s="915"/>
      <c r="L508" s="915"/>
      <c r="M508" s="915"/>
      <c r="N508" s="915"/>
      <c r="O508" s="917"/>
      <c r="P508" s="917"/>
      <c r="Q508" s="917"/>
      <c r="R508" s="918"/>
      <c r="S508" s="917" t="s">
        <v>9119</v>
      </c>
      <c r="T508" s="917"/>
      <c r="U508" s="917"/>
      <c r="V508" s="917"/>
      <c r="W508" s="919"/>
      <c r="X508" s="919"/>
      <c r="Y508" s="919"/>
      <c r="Z508" s="919"/>
      <c r="AA508" s="919"/>
      <c r="AB508" s="919"/>
      <c r="AC508" s="919"/>
      <c r="AD508" s="915"/>
      <c r="AE508" s="916"/>
      <c r="AF508" s="916"/>
      <c r="AG508" s="920"/>
      <c r="AH508" s="920"/>
      <c r="AI508" s="918"/>
      <c r="AJ508" s="921">
        <f>'[54]P&amp;L LBP'!AM646</f>
        <v>-81157.600629874301</v>
      </c>
    </row>
    <row r="509" spans="1:36">
      <c r="A509" s="915"/>
      <c r="B509" s="915"/>
      <c r="C509" s="711"/>
      <c r="D509" s="915"/>
      <c r="E509" s="915"/>
      <c r="F509" s="915"/>
      <c r="G509" s="916"/>
      <c r="H509" s="915"/>
      <c r="I509" s="915"/>
      <c r="J509" s="915"/>
      <c r="K509" s="915"/>
      <c r="L509" s="915"/>
      <c r="M509" s="915"/>
      <c r="N509" s="915"/>
      <c r="O509" s="917"/>
      <c r="P509" s="917"/>
      <c r="Q509" s="917"/>
      <c r="R509" s="918"/>
      <c r="S509" s="917" t="s">
        <v>1131</v>
      </c>
      <c r="T509" s="917"/>
      <c r="U509" s="917"/>
      <c r="V509" s="917"/>
      <c r="W509" s="919"/>
      <c r="X509" s="919"/>
      <c r="Y509" s="919"/>
      <c r="Z509" s="919"/>
      <c r="AA509" s="919"/>
      <c r="AB509" s="919"/>
      <c r="AC509" s="919"/>
      <c r="AD509" s="915"/>
      <c r="AE509" s="916"/>
      <c r="AF509" s="916"/>
      <c r="AG509" s="920"/>
      <c r="AH509" s="920"/>
      <c r="AI509" s="918"/>
      <c r="AJ509" s="921">
        <f>AJ507+AJ508</f>
        <v>270911.39937012573</v>
      </c>
    </row>
    <row r="514" spans="19:36">
      <c r="S514" s="456" t="s">
        <v>9120</v>
      </c>
      <c r="AJ514" s="724">
        <f>AJ236+AJ237+AJ252+AJ253+AJ269+AJ270</f>
        <v>-1317082</v>
      </c>
    </row>
    <row r="515" spans="19:36">
      <c r="S515" s="456" t="s">
        <v>9121</v>
      </c>
      <c r="AJ515" s="724">
        <f>+AJ230</f>
        <v>363257665</v>
      </c>
    </row>
    <row r="516" spans="19:36">
      <c r="S516" s="720" t="s">
        <v>83</v>
      </c>
      <c r="AJ516" s="724">
        <f>AJ290</f>
        <v>2019252</v>
      </c>
    </row>
    <row r="517" spans="19:36">
      <c r="S517" s="720" t="s">
        <v>9122</v>
      </c>
      <c r="AJ517" s="724">
        <f>+AJ516+AJ515</f>
        <v>365276917</v>
      </c>
    </row>
    <row r="518" spans="19:36">
      <c r="S518" s="456" t="s">
        <v>1131</v>
      </c>
      <c r="AJ518" s="724">
        <f>+AJ515-AJ514</f>
        <v>364574747</v>
      </c>
    </row>
    <row r="520" spans="19:36">
      <c r="S520" s="456" t="s">
        <v>9123</v>
      </c>
      <c r="AJ520" s="724">
        <f>AJ307+AJ308+AJ318+AJ319+AJ330+AJ331</f>
        <v>0</v>
      </c>
    </row>
    <row r="521" spans="19:36">
      <c r="S521" s="456" t="s">
        <v>9124</v>
      </c>
      <c r="AJ521" s="724">
        <f>+AJ301</f>
        <v>1915</v>
      </c>
    </row>
    <row r="522" spans="19:36">
      <c r="S522" s="456" t="s">
        <v>1131</v>
      </c>
      <c r="AJ522" s="724">
        <f>+AJ521-AJ520</f>
        <v>1915</v>
      </c>
    </row>
  </sheetData>
  <customSheetViews>
    <customSheetView guid="{6357C996-BE12-4F66-ACBB-1F9F08F8885C}" showGridLines="0" hiddenRows="1" hiddenColumns="1" state="hidden" topLeftCell="A434">
      <selection activeCell="I645" sqref="I645"/>
      <pageMargins left="0.7" right="0.7" top="0.75" bottom="0.75" header="0.3" footer="0.3"/>
      <pageSetup paperSize="9" orientation="portrait" r:id="rId1"/>
    </customSheetView>
    <customSheetView guid="{5874C782-5C34-4C4C-BCC6-3692259149CA}" showGridLines="0" hiddenRows="1" hiddenColumns="1" state="hidden" topLeftCell="A434">
      <selection activeCell="I645" sqref="I645"/>
      <pageMargins left="0.7" right="0.7" top="0.75" bottom="0.75" header="0.3" footer="0.3"/>
      <pageSetup paperSize="9" orientation="portrait" r:id="rId2"/>
    </customSheetView>
  </customSheetViews>
  <conditionalFormatting sqref="O10">
    <cfRule type="duplicateValues" dxfId="815" priority="52"/>
  </conditionalFormatting>
  <conditionalFormatting sqref="O25:O26">
    <cfRule type="duplicateValues" dxfId="814" priority="53"/>
  </conditionalFormatting>
  <conditionalFormatting sqref="O31:O32">
    <cfRule type="duplicateValues" dxfId="813" priority="54"/>
  </conditionalFormatting>
  <conditionalFormatting sqref="O345:O346">
    <cfRule type="duplicateValues" dxfId="812" priority="55"/>
  </conditionalFormatting>
  <conditionalFormatting sqref="O179">
    <cfRule type="duplicateValues" dxfId="811" priority="56"/>
  </conditionalFormatting>
  <conditionalFormatting sqref="O122:O124">
    <cfRule type="duplicateValues" dxfId="810" priority="57"/>
  </conditionalFormatting>
  <conditionalFormatting sqref="O222:O224">
    <cfRule type="duplicateValues" dxfId="809" priority="58"/>
  </conditionalFormatting>
  <conditionalFormatting sqref="O180">
    <cfRule type="duplicateValues" dxfId="808" priority="59"/>
  </conditionalFormatting>
  <conditionalFormatting sqref="O49">
    <cfRule type="duplicateValues" dxfId="807" priority="60"/>
  </conditionalFormatting>
  <conditionalFormatting sqref="O50">
    <cfRule type="duplicateValues" dxfId="806" priority="61"/>
  </conditionalFormatting>
  <conditionalFormatting sqref="O53">
    <cfRule type="duplicateValues" dxfId="805" priority="62"/>
  </conditionalFormatting>
  <conditionalFormatting sqref="O56">
    <cfRule type="duplicateValues" dxfId="804" priority="63"/>
  </conditionalFormatting>
  <conditionalFormatting sqref="O70">
    <cfRule type="duplicateValues" dxfId="803" priority="64"/>
  </conditionalFormatting>
  <conditionalFormatting sqref="O74">
    <cfRule type="duplicateValues" dxfId="802" priority="65"/>
  </conditionalFormatting>
  <conditionalFormatting sqref="O77">
    <cfRule type="duplicateValues" dxfId="801" priority="66"/>
  </conditionalFormatting>
  <conditionalFormatting sqref="O152">
    <cfRule type="duplicateValues" dxfId="800" priority="67"/>
  </conditionalFormatting>
  <conditionalFormatting sqref="O153">
    <cfRule type="duplicateValues" dxfId="799" priority="68"/>
  </conditionalFormatting>
  <conditionalFormatting sqref="O156">
    <cfRule type="duplicateValues" dxfId="798" priority="69"/>
  </conditionalFormatting>
  <conditionalFormatting sqref="O159">
    <cfRule type="duplicateValues" dxfId="797" priority="70"/>
  </conditionalFormatting>
  <conditionalFormatting sqref="O165">
    <cfRule type="duplicateValues" dxfId="796" priority="71"/>
  </conditionalFormatting>
  <conditionalFormatting sqref="O169">
    <cfRule type="duplicateValues" dxfId="795" priority="72"/>
  </conditionalFormatting>
  <conditionalFormatting sqref="O172">
    <cfRule type="duplicateValues" dxfId="794" priority="73"/>
  </conditionalFormatting>
  <conditionalFormatting sqref="O178">
    <cfRule type="duplicateValues" dxfId="793" priority="74"/>
  </conditionalFormatting>
  <conditionalFormatting sqref="O182:O184">
    <cfRule type="duplicateValues" dxfId="792" priority="75"/>
  </conditionalFormatting>
  <conditionalFormatting sqref="O27">
    <cfRule type="duplicateValues" dxfId="791" priority="76"/>
  </conditionalFormatting>
  <conditionalFormatting sqref="O137">
    <cfRule type="duplicateValues" dxfId="790" priority="77"/>
  </conditionalFormatting>
  <conditionalFormatting sqref="O424">
    <cfRule type="duplicateValues" dxfId="789" priority="78"/>
  </conditionalFormatting>
  <conditionalFormatting sqref="O233">
    <cfRule type="duplicateValues" dxfId="788" priority="79"/>
  </conditionalFormatting>
  <conditionalFormatting sqref="O273">
    <cfRule type="duplicateValues" dxfId="787" priority="80"/>
  </conditionalFormatting>
  <conditionalFormatting sqref="O231">
    <cfRule type="duplicateValues" dxfId="786" priority="81"/>
  </conditionalFormatting>
  <conditionalFormatting sqref="O238">
    <cfRule type="duplicateValues" dxfId="785" priority="82"/>
  </conditionalFormatting>
  <conditionalFormatting sqref="O241">
    <cfRule type="duplicateValues" dxfId="784" priority="83"/>
  </conditionalFormatting>
  <conditionalFormatting sqref="O249">
    <cfRule type="duplicateValues" dxfId="783" priority="84"/>
  </conditionalFormatting>
  <conditionalFormatting sqref="O254">
    <cfRule type="duplicateValues" dxfId="782" priority="85"/>
  </conditionalFormatting>
  <conditionalFormatting sqref="O257">
    <cfRule type="duplicateValues" dxfId="781" priority="86"/>
  </conditionalFormatting>
  <conditionalFormatting sqref="O266">
    <cfRule type="duplicateValues" dxfId="780" priority="87"/>
  </conditionalFormatting>
  <conditionalFormatting sqref="O271">
    <cfRule type="duplicateValues" dxfId="779" priority="88"/>
  </conditionalFormatting>
  <conditionalFormatting sqref="O303">
    <cfRule type="duplicateValues" dxfId="778" priority="89"/>
  </conditionalFormatting>
  <conditionalFormatting sqref="O304">
    <cfRule type="duplicateValues" dxfId="777" priority="90"/>
  </conditionalFormatting>
  <conditionalFormatting sqref="O309">
    <cfRule type="duplicateValues" dxfId="776" priority="91"/>
  </conditionalFormatting>
  <conditionalFormatting sqref="O312">
    <cfRule type="duplicateValues" dxfId="775" priority="92"/>
  </conditionalFormatting>
  <conditionalFormatting sqref="O314">
    <cfRule type="duplicateValues" dxfId="774" priority="93"/>
  </conditionalFormatting>
  <conditionalFormatting sqref="O315">
    <cfRule type="duplicateValues" dxfId="773" priority="94"/>
  </conditionalFormatting>
  <conditionalFormatting sqref="O320">
    <cfRule type="duplicateValues" dxfId="772" priority="95"/>
  </conditionalFormatting>
  <conditionalFormatting sqref="O323">
    <cfRule type="duplicateValues" dxfId="771" priority="96"/>
  </conditionalFormatting>
  <conditionalFormatting sqref="O243">
    <cfRule type="duplicateValues" dxfId="770" priority="97"/>
  </conditionalFormatting>
  <conditionalFormatting sqref="O330">
    <cfRule type="duplicateValues" dxfId="769" priority="98"/>
  </conditionalFormatting>
  <conditionalFormatting sqref="O307">
    <cfRule type="duplicateValues" dxfId="768" priority="99"/>
  </conditionalFormatting>
  <conditionalFormatting sqref="O318">
    <cfRule type="duplicateValues" dxfId="767" priority="100"/>
  </conditionalFormatting>
  <conditionalFormatting sqref="O259">
    <cfRule type="duplicateValues" dxfId="766" priority="101"/>
  </conditionalFormatting>
  <conditionalFormatting sqref="O292">
    <cfRule type="duplicateValues" dxfId="765" priority="102"/>
  </conditionalFormatting>
  <conditionalFormatting sqref="O295">
    <cfRule type="duplicateValues" dxfId="764" priority="103"/>
  </conditionalFormatting>
  <conditionalFormatting sqref="O327">
    <cfRule type="duplicateValues" dxfId="763" priority="104"/>
  </conditionalFormatting>
  <conditionalFormatting sqref="O332">
    <cfRule type="duplicateValues" dxfId="762" priority="105"/>
  </conditionalFormatting>
  <conditionalFormatting sqref="O326">
    <cfRule type="duplicateValues" dxfId="761" priority="106"/>
  </conditionalFormatting>
  <conditionalFormatting sqref="O71">
    <cfRule type="duplicateValues" dxfId="760" priority="107"/>
  </conditionalFormatting>
  <conditionalFormatting sqref="O166">
    <cfRule type="duplicateValues" dxfId="759" priority="108"/>
  </conditionalFormatting>
  <conditionalFormatting sqref="O429:O430">
    <cfRule type="duplicateValues" dxfId="758" priority="109"/>
  </conditionalFormatting>
  <conditionalFormatting sqref="O138:O139">
    <cfRule type="duplicateValues" dxfId="757" priority="110"/>
  </conditionalFormatting>
  <conditionalFormatting sqref="O78:O79 O72:O73 O51:O52 O54:O55 O57:O58 O75:O76">
    <cfRule type="duplicateValues" dxfId="756" priority="111"/>
  </conditionalFormatting>
  <conditionalFormatting sqref="O294">
    <cfRule type="duplicateValues" dxfId="755" priority="112"/>
  </conditionalFormatting>
  <conditionalFormatting sqref="O454">
    <cfRule type="duplicateValues" dxfId="754" priority="113"/>
  </conditionalFormatting>
  <conditionalFormatting sqref="O299:O300">
    <cfRule type="duplicateValues" dxfId="753" priority="114"/>
  </conditionalFormatting>
  <conditionalFormatting sqref="O298">
    <cfRule type="duplicateValues" dxfId="752" priority="115"/>
  </conditionalFormatting>
  <conditionalFormatting sqref="O28:O29">
    <cfRule type="duplicateValues" dxfId="751" priority="116"/>
  </conditionalFormatting>
  <conditionalFormatting sqref="O33">
    <cfRule type="duplicateValues" dxfId="750" priority="51"/>
  </conditionalFormatting>
  <conditionalFormatting sqref="O34:O35">
    <cfRule type="duplicateValues" dxfId="749" priority="49"/>
  </conditionalFormatting>
  <conditionalFormatting sqref="O34:O35">
    <cfRule type="duplicateValues" dxfId="748" priority="50"/>
  </conditionalFormatting>
  <conditionalFormatting sqref="O143">
    <cfRule type="duplicateValues" dxfId="747" priority="48"/>
  </conditionalFormatting>
  <conditionalFormatting sqref="O144:O145">
    <cfRule type="duplicateValues" dxfId="746" priority="47"/>
  </conditionalFormatting>
  <conditionalFormatting sqref="O436">
    <cfRule type="duplicateValues" dxfId="745" priority="46"/>
  </conditionalFormatting>
  <conditionalFormatting sqref="O437">
    <cfRule type="duplicateValues" dxfId="744" priority="45"/>
  </conditionalFormatting>
  <conditionalFormatting sqref="O438">
    <cfRule type="duplicateValues" dxfId="743" priority="44"/>
  </conditionalFormatting>
  <conditionalFormatting sqref="O59">
    <cfRule type="duplicateValues" dxfId="742" priority="43"/>
  </conditionalFormatting>
  <conditionalFormatting sqref="O80">
    <cfRule type="duplicateValues" dxfId="741" priority="42"/>
  </conditionalFormatting>
  <conditionalFormatting sqref="O81:O82">
    <cfRule type="duplicateValues" dxfId="740" priority="41"/>
  </conditionalFormatting>
  <conditionalFormatting sqref="O162">
    <cfRule type="duplicateValues" dxfId="739" priority="40"/>
  </conditionalFormatting>
  <conditionalFormatting sqref="O163:O164">
    <cfRule type="duplicateValues" dxfId="738" priority="39"/>
  </conditionalFormatting>
  <conditionalFormatting sqref="O175">
    <cfRule type="duplicateValues" dxfId="737" priority="38"/>
  </conditionalFormatting>
  <conditionalFormatting sqref="O176:O177">
    <cfRule type="duplicateValues" dxfId="736" priority="37"/>
  </conditionalFormatting>
  <conditionalFormatting sqref="O103:O104">
    <cfRule type="duplicateValues" dxfId="735" priority="36"/>
  </conditionalFormatting>
  <conditionalFormatting sqref="O105:O106">
    <cfRule type="duplicateValues" dxfId="734" priority="35"/>
  </conditionalFormatting>
  <conditionalFormatting sqref="O154:O155">
    <cfRule type="duplicateValues" dxfId="733" priority="34"/>
  </conditionalFormatting>
  <conditionalFormatting sqref="O157:O158">
    <cfRule type="duplicateValues" dxfId="732" priority="33"/>
  </conditionalFormatting>
  <conditionalFormatting sqref="O161">
    <cfRule type="duplicateValues" dxfId="731" priority="32"/>
  </conditionalFormatting>
  <conditionalFormatting sqref="O160">
    <cfRule type="duplicateValues" dxfId="730" priority="31"/>
  </conditionalFormatting>
  <conditionalFormatting sqref="O167:O168">
    <cfRule type="duplicateValues" dxfId="729" priority="30"/>
  </conditionalFormatting>
  <conditionalFormatting sqref="O170:O171">
    <cfRule type="duplicateValues" dxfId="728" priority="29"/>
  </conditionalFormatting>
  <conditionalFormatting sqref="O173">
    <cfRule type="duplicateValues" dxfId="727" priority="28"/>
  </conditionalFormatting>
  <conditionalFormatting sqref="O174">
    <cfRule type="duplicateValues" dxfId="726" priority="27"/>
  </conditionalFormatting>
  <conditionalFormatting sqref="O439">
    <cfRule type="duplicateValues" dxfId="725" priority="26"/>
  </conditionalFormatting>
  <conditionalFormatting sqref="O440">
    <cfRule type="duplicateValues" dxfId="724" priority="25"/>
  </conditionalFormatting>
  <conditionalFormatting sqref="O205">
    <cfRule type="duplicateValues" dxfId="723" priority="24"/>
  </conditionalFormatting>
  <conditionalFormatting sqref="O206">
    <cfRule type="duplicateValues" dxfId="722" priority="23"/>
  </conditionalFormatting>
  <conditionalFormatting sqref="O441">
    <cfRule type="duplicateValues" dxfId="721" priority="22"/>
  </conditionalFormatting>
  <conditionalFormatting sqref="O100">
    <cfRule type="duplicateValues" dxfId="720" priority="21"/>
  </conditionalFormatting>
  <conditionalFormatting sqref="O60:O63">
    <cfRule type="duplicateValues" dxfId="719" priority="20"/>
  </conditionalFormatting>
  <conditionalFormatting sqref="O237">
    <cfRule type="duplicateValues" dxfId="718" priority="19"/>
  </conditionalFormatting>
  <conditionalFormatting sqref="O270">
    <cfRule type="duplicateValues" dxfId="717" priority="18"/>
  </conditionalFormatting>
  <conditionalFormatting sqref="O308">
    <cfRule type="duplicateValues" dxfId="716" priority="17"/>
  </conditionalFormatting>
  <conditionalFormatting sqref="O319">
    <cfRule type="duplicateValues" dxfId="715" priority="16"/>
  </conditionalFormatting>
  <conditionalFormatting sqref="O331">
    <cfRule type="duplicateValues" dxfId="714" priority="15"/>
  </conditionalFormatting>
  <conditionalFormatting sqref="O64">
    <cfRule type="duplicateValues" dxfId="713" priority="14"/>
  </conditionalFormatting>
  <conditionalFormatting sqref="O68">
    <cfRule type="duplicateValues" dxfId="712" priority="13"/>
  </conditionalFormatting>
  <conditionalFormatting sqref="O67">
    <cfRule type="duplicateValues" dxfId="711" priority="12"/>
  </conditionalFormatting>
  <conditionalFormatting sqref="O65:O66">
    <cfRule type="duplicateValues" dxfId="710" priority="11"/>
  </conditionalFormatting>
  <conditionalFormatting sqref="O451 O293 O236 O181 O83:O99 O30:O32 O140:O142 O296:O297 O426:O427 O455:O477 O101:O102 O125:O136 O146:O151 O207:O221 O435 O11:O26 O107:O121 O334:O362 O431:O433 O442:O448 O185:O204 O36:O48 O225:O227 O479:O497 O366:O423">
    <cfRule type="duplicateValues" dxfId="709" priority="117"/>
  </conditionalFormatting>
  <conditionalFormatting sqref="O443">
    <cfRule type="duplicateValues" dxfId="708" priority="118"/>
  </conditionalFormatting>
  <conditionalFormatting sqref="O425">
    <cfRule type="duplicateValues" dxfId="707" priority="10"/>
  </conditionalFormatting>
  <conditionalFormatting sqref="O428">
    <cfRule type="duplicateValues" dxfId="706" priority="9"/>
  </conditionalFormatting>
  <conditionalFormatting sqref="O434">
    <cfRule type="duplicateValues" dxfId="705" priority="8"/>
  </conditionalFormatting>
  <conditionalFormatting sqref="O228:O229">
    <cfRule type="duplicateValues" dxfId="704" priority="119"/>
  </conditionalFormatting>
  <conditionalFormatting sqref="O69">
    <cfRule type="duplicateValues" dxfId="703" priority="120"/>
  </conditionalFormatting>
  <conditionalFormatting sqref="O478:P478">
    <cfRule type="duplicateValues" dxfId="702" priority="7"/>
  </conditionalFormatting>
  <conditionalFormatting sqref="O363">
    <cfRule type="duplicateValues" dxfId="701" priority="6"/>
  </conditionalFormatting>
  <conditionalFormatting sqref="O365">
    <cfRule type="duplicateValues" dxfId="700" priority="5"/>
  </conditionalFormatting>
  <conditionalFormatting sqref="O364">
    <cfRule type="duplicateValues" dxfId="699" priority="4"/>
  </conditionalFormatting>
  <conditionalFormatting sqref="C363">
    <cfRule type="duplicateValues" dxfId="698" priority="3"/>
  </conditionalFormatting>
  <conditionalFormatting sqref="C365">
    <cfRule type="duplicateValues" dxfId="697" priority="2"/>
  </conditionalFormatting>
  <conditionalFormatting sqref="C364">
    <cfRule type="duplicateValues" dxfId="696" priority="1"/>
  </conditionalFormatting>
  <pageMargins left="0.7" right="0.7" top="0.75" bottom="0.75" header="0.3" footer="0.3"/>
  <pageSetup paperSize="9" orientation="portrait" r:id="rId3"/>
  <customProperties>
    <customPr name="EpmWorksheetKeyString_GUID" r:id="rId4"/>
  </customPropertie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O651"/>
  <sheetViews>
    <sheetView showGridLines="0" topLeftCell="F154" workbookViewId="0">
      <selection activeCell="I645" sqref="I645"/>
    </sheetView>
  </sheetViews>
  <sheetFormatPr baseColWidth="10" defaultColWidth="10.85546875" defaultRowHeight="15" outlineLevelRow="1" outlineLevelCol="2"/>
  <cols>
    <col min="1" max="2" width="11.42578125" style="427" hidden="1" customWidth="1" outlineLevel="1"/>
    <col min="3" max="3" width="11" style="427" hidden="1" customWidth="1" outlineLevel="1"/>
    <col min="4" max="4" width="17.28515625" style="427" hidden="1" customWidth="1" outlineLevel="1" collapsed="1"/>
    <col min="5" max="5" width="24" style="427" hidden="1" customWidth="1" outlineLevel="1"/>
    <col min="6" max="6" width="3.5703125" style="427" customWidth="1" collapsed="1"/>
    <col min="7" max="11" width="10.42578125" style="427" hidden="1" customWidth="1" outlineLevel="1"/>
    <col min="12" max="12" width="9.5703125" style="427" hidden="1" customWidth="1" outlineLevel="1"/>
    <col min="13" max="13" width="10.7109375" style="427" hidden="1" customWidth="1" outlineLevel="1"/>
    <col min="14" max="14" width="9.5703125" style="427" hidden="1" customWidth="1" outlineLevel="1"/>
    <col min="15" max="15" width="10.28515625" style="427" hidden="1" customWidth="1" outlineLevel="1"/>
    <col min="16" max="16" width="10" style="427" hidden="1" customWidth="1" outlineLevel="1"/>
    <col min="17" max="17" width="11.140625" style="427" hidden="1" customWidth="1" outlineLevel="1"/>
    <col min="18" max="18" width="17.28515625" style="427" bestFit="1" customWidth="1" collapsed="1"/>
    <col min="19" max="19" width="137.7109375" style="427" hidden="1" customWidth="1" outlineLevel="1"/>
    <col min="20" max="20" width="14.28515625" style="427" hidden="1" customWidth="1" outlineLevel="1"/>
    <col min="21" max="21" width="120.7109375" style="427" customWidth="1" collapsed="1"/>
    <col min="22" max="22" width="14.28515625" style="427" hidden="1" customWidth="1" outlineLevel="1"/>
    <col min="23" max="23" width="41.7109375" style="427" hidden="1" customWidth="1" outlineLevel="1"/>
    <col min="24" max="24" width="14.28515625" style="427" hidden="1" customWidth="1" outlineLevel="1"/>
    <col min="25" max="25" width="91.28515625" style="427" hidden="1" customWidth="1" outlineLevel="1"/>
    <col min="26" max="26" width="14.28515625" style="427" hidden="1" customWidth="1" outlineLevel="1"/>
    <col min="27" max="27" width="71.7109375" style="427" hidden="1" customWidth="1" outlineLevel="1"/>
    <col min="28" max="28" width="14.28515625" style="427" hidden="1" customWidth="1" outlineLevel="1"/>
    <col min="29" max="29" width="68.5703125" style="427" hidden="1" customWidth="1" outlineLevel="1"/>
    <col min="30" max="31" width="14.28515625" style="427" hidden="1" customWidth="1" outlineLevel="1"/>
    <col min="32" max="32" width="103.140625" style="427" hidden="1" customWidth="1" outlineLevel="1"/>
    <col min="33" max="33" width="14.28515625" style="922" hidden="1" customWidth="1" outlineLevel="2" collapsed="1"/>
    <col min="34" max="34" width="14.28515625" style="922" hidden="1" customWidth="1" outlineLevel="2"/>
    <col min="35" max="35" width="22.5703125" style="923" hidden="1" customWidth="1" outlineLevel="2"/>
    <col min="36" max="36" width="6.5703125" style="923" hidden="1" customWidth="1" outlineLevel="2"/>
    <col min="37" max="37" width="8.28515625" style="923" hidden="1" customWidth="1" outlineLevel="2"/>
    <col min="38" max="38" width="17.28515625" style="427" hidden="1" customWidth="1" outlineLevel="2"/>
    <col min="39" max="39" width="10.85546875" style="427" collapsed="1"/>
    <col min="40" max="16384" width="10.85546875" style="381"/>
  </cols>
  <sheetData>
    <row r="1" spans="1:39" hidden="1" outlineLevel="1">
      <c r="A1" s="454" t="e">
        <f>#REF!</f>
        <v>#REF!</v>
      </c>
    </row>
    <row r="2" spans="1:39" hidden="1" outlineLevel="1">
      <c r="A2" s="454" t="e">
        <f>#REF!</f>
        <v>#REF!</v>
      </c>
    </row>
    <row r="3" spans="1:39" hidden="1" outlineLevel="1">
      <c r="A3" s="454" t="s">
        <v>72</v>
      </c>
    </row>
    <row r="4" spans="1:39" hidden="1" outlineLevel="1">
      <c r="A4" s="454"/>
    </row>
    <row r="5" spans="1:39" hidden="1" outlineLevel="1">
      <c r="A5" s="454" t="e">
        <f>#REF!</f>
        <v>#REF!</v>
      </c>
    </row>
    <row r="6" spans="1:39" hidden="1" outlineLevel="1">
      <c r="A6" s="454" t="s">
        <v>71</v>
      </c>
    </row>
    <row r="7" spans="1:39" ht="28.5" hidden="1" outlineLevel="1">
      <c r="A7" s="454" t="s">
        <v>74</v>
      </c>
      <c r="C7" s="428"/>
      <c r="AG7" s="924" t="s">
        <v>9125</v>
      </c>
      <c r="AH7" s="924" t="s">
        <v>9126</v>
      </c>
    </row>
    <row r="8" spans="1:39" hidden="1" outlineLevel="1">
      <c r="C8" s="428"/>
      <c r="AG8" s="925" t="s">
        <v>304</v>
      </c>
      <c r="AH8" s="925" t="s">
        <v>66</v>
      </c>
    </row>
    <row r="9" spans="1:39" hidden="1" outlineLevel="1">
      <c r="C9" s="428"/>
      <c r="AG9" s="926">
        <v>327</v>
      </c>
      <c r="AH9" s="428"/>
    </row>
    <row r="10" spans="1:39" ht="15.75" collapsed="1" thickBot="1">
      <c r="C10" s="428"/>
      <c r="AG10" s="927"/>
      <c r="AH10" s="428"/>
    </row>
    <row r="11" spans="1:39" ht="16.5" thickTop="1" thickBot="1">
      <c r="D11" s="928"/>
      <c r="E11" s="928" t="s">
        <v>9127</v>
      </c>
      <c r="F11" s="928"/>
      <c r="G11" s="928"/>
      <c r="H11" s="928"/>
      <c r="I11" s="928"/>
      <c r="J11" s="928"/>
      <c r="K11" s="928"/>
      <c r="L11" s="928"/>
      <c r="M11" s="928"/>
      <c r="N11" s="928"/>
      <c r="O11" s="928"/>
      <c r="P11" s="928"/>
      <c r="Q11" s="928"/>
      <c r="R11" s="928"/>
      <c r="S11" s="928"/>
      <c r="T11" s="929"/>
      <c r="U11" s="928"/>
      <c r="V11" s="929"/>
      <c r="W11" s="928"/>
      <c r="X11" s="929"/>
      <c r="Y11" s="929"/>
      <c r="Z11" s="929"/>
      <c r="AA11" s="929"/>
      <c r="AB11" s="929"/>
      <c r="AC11" s="929"/>
      <c r="AD11" s="929"/>
      <c r="AE11" s="929"/>
      <c r="AF11" s="929"/>
      <c r="AG11" s="924" t="s">
        <v>305</v>
      </c>
      <c r="AH11" s="924" t="s">
        <v>306</v>
      </c>
      <c r="AM11" s="481"/>
    </row>
    <row r="12" spans="1:39" ht="90.75" thickTop="1" thickBot="1">
      <c r="A12" s="930" t="s">
        <v>2884</v>
      </c>
      <c r="B12" s="930" t="s">
        <v>2885</v>
      </c>
      <c r="C12" s="930" t="s">
        <v>2886</v>
      </c>
      <c r="D12" s="930" t="s">
        <v>9128</v>
      </c>
      <c r="E12" s="930" t="s">
        <v>2886</v>
      </c>
      <c r="F12" s="930" t="s">
        <v>2887</v>
      </c>
      <c r="G12" s="931" t="s">
        <v>2888</v>
      </c>
      <c r="H12" s="932">
        <v>1</v>
      </c>
      <c r="I12" s="933">
        <v>2</v>
      </c>
      <c r="J12" s="934">
        <v>3</v>
      </c>
      <c r="K12" s="935">
        <v>4</v>
      </c>
      <c r="L12" s="936">
        <v>5</v>
      </c>
      <c r="M12" s="937">
        <v>6</v>
      </c>
      <c r="N12" s="938">
        <v>7</v>
      </c>
      <c r="O12" s="939">
        <v>8</v>
      </c>
      <c r="P12" s="940">
        <v>9</v>
      </c>
      <c r="Q12" s="941" t="s">
        <v>9129</v>
      </c>
      <c r="R12" s="941" t="s">
        <v>9130</v>
      </c>
      <c r="S12" s="941" t="s">
        <v>9131</v>
      </c>
      <c r="T12" s="942" t="s">
        <v>9132</v>
      </c>
      <c r="U12" s="941" t="s">
        <v>9133</v>
      </c>
      <c r="V12" s="942" t="s">
        <v>9132</v>
      </c>
      <c r="W12" s="941" t="s">
        <v>9134</v>
      </c>
      <c r="X12" s="942" t="s">
        <v>9132</v>
      </c>
      <c r="Y12" s="943" t="s">
        <v>9135</v>
      </c>
      <c r="Z12" s="942" t="s">
        <v>9132</v>
      </c>
      <c r="AA12" s="943" t="s">
        <v>9136</v>
      </c>
      <c r="AB12" s="942" t="s">
        <v>9132</v>
      </c>
      <c r="AC12" s="943" t="s">
        <v>9137</v>
      </c>
      <c r="AD12" s="942" t="s">
        <v>9132</v>
      </c>
      <c r="AE12" s="478" t="s">
        <v>2905</v>
      </c>
      <c r="AF12" s="478" t="s">
        <v>2906</v>
      </c>
      <c r="AG12" s="925" t="s">
        <v>304</v>
      </c>
      <c r="AH12" s="925" t="s">
        <v>66</v>
      </c>
      <c r="AI12" s="944" t="s">
        <v>9138</v>
      </c>
      <c r="AJ12" s="945"/>
      <c r="AK12" s="946" t="s">
        <v>1435</v>
      </c>
      <c r="AL12" s="947" t="s">
        <v>9139</v>
      </c>
      <c r="AM12" s="481" t="s">
        <v>2324</v>
      </c>
    </row>
    <row r="13" spans="1:39">
      <c r="B13" s="427" t="s">
        <v>6610</v>
      </c>
      <c r="D13" s="948" t="s">
        <v>2325</v>
      </c>
      <c r="E13" s="949" t="s">
        <v>2912</v>
      </c>
      <c r="F13" s="950">
        <v>0</v>
      </c>
      <c r="G13" s="951" t="s">
        <v>9140</v>
      </c>
      <c r="H13" s="951"/>
      <c r="I13" s="951"/>
      <c r="J13" s="951"/>
      <c r="K13" s="951"/>
      <c r="L13" s="950"/>
      <c r="M13" s="950"/>
      <c r="N13" s="950"/>
      <c r="O13" s="950"/>
      <c r="P13" s="950"/>
      <c r="Q13" s="952"/>
      <c r="R13" s="948" t="s">
        <v>9140</v>
      </c>
      <c r="S13" s="953" t="s">
        <v>9141</v>
      </c>
      <c r="T13" s="954">
        <f t="shared" ref="T13:T76" si="0">LEN(S13)</f>
        <v>29</v>
      </c>
      <c r="U13" s="953" t="s">
        <v>9141</v>
      </c>
      <c r="V13" s="954">
        <f t="shared" ref="V13:V86" si="1">LEN(U13)</f>
        <v>29</v>
      </c>
      <c r="W13" s="953" t="s">
        <v>9141</v>
      </c>
      <c r="X13" s="954">
        <f t="shared" ref="X13:X86" si="2">LEN(W13)</f>
        <v>29</v>
      </c>
      <c r="Y13" s="955" t="s">
        <v>9142</v>
      </c>
      <c r="Z13" s="954">
        <f t="shared" ref="Z13:Z86" si="3">LEN(Y13)</f>
        <v>58</v>
      </c>
      <c r="AA13" s="955" t="s">
        <v>9142</v>
      </c>
      <c r="AB13" s="954">
        <f t="shared" ref="AB13:AB86" si="4">LEN(AA13)</f>
        <v>58</v>
      </c>
      <c r="AC13" s="955" t="s">
        <v>9143</v>
      </c>
      <c r="AD13" s="954">
        <f t="shared" ref="AD13:AD86" si="5">LEN(AC13)</f>
        <v>30</v>
      </c>
      <c r="AE13" s="954"/>
      <c r="AF13" s="954"/>
      <c r="AG13" s="956"/>
      <c r="AH13" s="957"/>
      <c r="AI13" s="494" t="s">
        <v>2917</v>
      </c>
      <c r="AJ13" s="958">
        <v>1</v>
      </c>
      <c r="AK13" s="959"/>
      <c r="AL13" s="960"/>
      <c r="AM13" s="961">
        <f>_xll.GetCtData("COAMOUNT","CONSAMOUNT",$A$1:$A$7,$D13,AM$10,"#1717019,36707624")</f>
        <v>1717019</v>
      </c>
    </row>
    <row r="14" spans="1:39">
      <c r="B14" s="427" t="s">
        <v>6610</v>
      </c>
      <c r="D14" s="962" t="s">
        <v>9144</v>
      </c>
      <c r="E14" s="949" t="s">
        <v>2912</v>
      </c>
      <c r="F14" s="950">
        <v>5</v>
      </c>
      <c r="G14" s="950"/>
      <c r="H14" s="950"/>
      <c r="I14" s="950"/>
      <c r="J14" s="950"/>
      <c r="K14" s="950"/>
      <c r="L14" s="963" t="s">
        <v>9145</v>
      </c>
      <c r="M14" s="964"/>
      <c r="N14" s="964"/>
      <c r="O14" s="964"/>
      <c r="P14" s="964"/>
      <c r="Q14" s="963"/>
      <c r="R14" s="962" t="s">
        <v>9145</v>
      </c>
      <c r="S14" s="963" t="s">
        <v>107</v>
      </c>
      <c r="T14" s="965">
        <f t="shared" si="0"/>
        <v>34</v>
      </c>
      <c r="U14" s="963" t="s">
        <v>107</v>
      </c>
      <c r="V14" s="965">
        <f t="shared" si="1"/>
        <v>34</v>
      </c>
      <c r="W14" s="963" t="s">
        <v>9146</v>
      </c>
      <c r="X14" s="965">
        <f t="shared" si="2"/>
        <v>30</v>
      </c>
      <c r="Y14" s="966" t="s">
        <v>9147</v>
      </c>
      <c r="Z14" s="965">
        <f t="shared" si="3"/>
        <v>42</v>
      </c>
      <c r="AA14" s="966" t="s">
        <v>9147</v>
      </c>
      <c r="AB14" s="965">
        <f t="shared" si="4"/>
        <v>42</v>
      </c>
      <c r="AC14" s="966" t="s">
        <v>9148</v>
      </c>
      <c r="AD14" s="965">
        <f t="shared" si="5"/>
        <v>29</v>
      </c>
      <c r="AE14" s="965"/>
      <c r="AF14" s="965"/>
      <c r="AG14" s="967"/>
      <c r="AH14" s="968"/>
      <c r="AI14" s="530" t="s">
        <v>2969</v>
      </c>
      <c r="AJ14" s="958">
        <v>1</v>
      </c>
      <c r="AK14" s="959"/>
      <c r="AL14" s="960"/>
      <c r="AM14" s="969">
        <f>_xll.GetCtData("COAMOUNT","CONSAMOUNT",$A$1:$A$7,$D14,AM$10,"#3210476,63711944")</f>
        <v>3210476</v>
      </c>
    </row>
    <row r="15" spans="1:39">
      <c r="B15" s="427" t="s">
        <v>6610</v>
      </c>
      <c r="D15" s="970" t="s">
        <v>9149</v>
      </c>
      <c r="E15" s="949" t="s">
        <v>2912</v>
      </c>
      <c r="F15" s="950">
        <v>6</v>
      </c>
      <c r="G15" s="950"/>
      <c r="H15" s="950"/>
      <c r="I15" s="950"/>
      <c r="J15" s="950"/>
      <c r="K15" s="950"/>
      <c r="L15" s="950"/>
      <c r="M15" s="971" t="s">
        <v>9150</v>
      </c>
      <c r="N15" s="970"/>
      <c r="O15" s="970"/>
      <c r="P15" s="970"/>
      <c r="Q15" s="970"/>
      <c r="R15" s="970" t="s">
        <v>9150</v>
      </c>
      <c r="S15" s="970" t="s">
        <v>20</v>
      </c>
      <c r="T15" s="972">
        <f t="shared" si="0"/>
        <v>34</v>
      </c>
      <c r="U15" s="970" t="s">
        <v>20</v>
      </c>
      <c r="V15" s="972">
        <f t="shared" si="1"/>
        <v>34</v>
      </c>
      <c r="W15" s="970" t="s">
        <v>9151</v>
      </c>
      <c r="X15" s="972">
        <f t="shared" si="2"/>
        <v>13</v>
      </c>
      <c r="Y15" s="973" t="s">
        <v>9152</v>
      </c>
      <c r="Z15" s="972">
        <f t="shared" si="3"/>
        <v>17</v>
      </c>
      <c r="AA15" s="973" t="s">
        <v>9152</v>
      </c>
      <c r="AB15" s="972">
        <f t="shared" si="4"/>
        <v>17</v>
      </c>
      <c r="AC15" s="973" t="s">
        <v>9152</v>
      </c>
      <c r="AD15" s="972">
        <f t="shared" si="5"/>
        <v>17</v>
      </c>
      <c r="AE15" s="972"/>
      <c r="AF15" s="972"/>
      <c r="AG15" s="967"/>
      <c r="AH15" s="968"/>
      <c r="AI15" s="530" t="s">
        <v>2969</v>
      </c>
      <c r="AJ15" s="958">
        <v>1</v>
      </c>
      <c r="AK15" s="959"/>
      <c r="AL15" s="960"/>
      <c r="AM15" s="974">
        <f>_xll.GetCtData("COAMOUNT","CONSAMOUNT",$A$1:$A$7,$D15,AM$10,"#11003129,7876323")</f>
        <v>11003129</v>
      </c>
    </row>
    <row r="16" spans="1:39">
      <c r="A16" s="427">
        <v>3</v>
      </c>
      <c r="B16" s="427" t="s">
        <v>9153</v>
      </c>
      <c r="D16" s="410" t="s">
        <v>9154</v>
      </c>
      <c r="E16" s="949" t="s">
        <v>2912</v>
      </c>
      <c r="F16" s="950">
        <v>7</v>
      </c>
      <c r="G16" s="950"/>
      <c r="H16" s="950"/>
      <c r="I16" s="950"/>
      <c r="J16" s="950"/>
      <c r="K16" s="950"/>
      <c r="L16" s="950"/>
      <c r="M16" s="950"/>
      <c r="N16" s="410" t="s">
        <v>9155</v>
      </c>
      <c r="O16" s="975"/>
      <c r="P16" s="975"/>
      <c r="Q16" s="410"/>
      <c r="R16" s="410" t="s">
        <v>9155</v>
      </c>
      <c r="S16" s="410" t="s">
        <v>9156</v>
      </c>
      <c r="T16" s="976">
        <f t="shared" si="0"/>
        <v>53</v>
      </c>
      <c r="U16" s="410" t="s">
        <v>9156</v>
      </c>
      <c r="V16" s="976">
        <f t="shared" si="1"/>
        <v>53</v>
      </c>
      <c r="W16" s="410" t="s">
        <v>9157</v>
      </c>
      <c r="X16" s="976">
        <f t="shared" si="2"/>
        <v>21</v>
      </c>
      <c r="Y16" s="977" t="s">
        <v>9158</v>
      </c>
      <c r="Z16" s="976">
        <f t="shared" si="3"/>
        <v>32</v>
      </c>
      <c r="AA16" s="977" t="s">
        <v>9159</v>
      </c>
      <c r="AB16" s="976">
        <f t="shared" si="4"/>
        <v>31</v>
      </c>
      <c r="AC16" s="977" t="s">
        <v>9160</v>
      </c>
      <c r="AD16" s="976">
        <f t="shared" si="5"/>
        <v>29</v>
      </c>
      <c r="AE16" s="978"/>
      <c r="AF16" s="978"/>
      <c r="AG16" s="979"/>
      <c r="AH16" s="979"/>
      <c r="AI16" s="530" t="s">
        <v>2969</v>
      </c>
      <c r="AJ16" s="958">
        <v>1</v>
      </c>
      <c r="AK16" s="959"/>
      <c r="AL16" s="960" t="s">
        <v>5930</v>
      </c>
      <c r="AM16" s="980">
        <f>_xll.GetCtData("COAMOUNT","CONSAMOUNT",$A$1:$A$7,$D16,AM$10,"#10107659,7876323")</f>
        <v>10107659</v>
      </c>
    </row>
    <row r="17" spans="1:39">
      <c r="A17" s="427">
        <v>3</v>
      </c>
      <c r="B17" s="427" t="s">
        <v>9153</v>
      </c>
      <c r="D17" s="981" t="s">
        <v>9161</v>
      </c>
      <c r="E17" s="949" t="s">
        <v>2912</v>
      </c>
      <c r="F17" s="950">
        <v>8</v>
      </c>
      <c r="G17" s="950"/>
      <c r="H17" s="950"/>
      <c r="I17" s="950"/>
      <c r="J17" s="950"/>
      <c r="K17" s="950"/>
      <c r="L17" s="950"/>
      <c r="M17" s="950"/>
      <c r="N17" s="950"/>
      <c r="O17" s="981" t="s">
        <v>9162</v>
      </c>
      <c r="P17" s="982"/>
      <c r="Q17" s="981"/>
      <c r="R17" s="981" t="s">
        <v>9162</v>
      </c>
      <c r="S17" s="981" t="s">
        <v>9163</v>
      </c>
      <c r="T17" s="983">
        <f t="shared" si="0"/>
        <v>47</v>
      </c>
      <c r="U17" s="981" t="s">
        <v>9163</v>
      </c>
      <c r="V17" s="983">
        <f t="shared" si="1"/>
        <v>47</v>
      </c>
      <c r="W17" s="981" t="s">
        <v>9164</v>
      </c>
      <c r="X17" s="983">
        <f t="shared" si="2"/>
        <v>18</v>
      </c>
      <c r="Y17" s="981" t="s">
        <v>9165</v>
      </c>
      <c r="Z17" s="983">
        <f t="shared" si="3"/>
        <v>24</v>
      </c>
      <c r="AA17" s="981" t="s">
        <v>9166</v>
      </c>
      <c r="AB17" s="983">
        <f t="shared" si="4"/>
        <v>23</v>
      </c>
      <c r="AC17" s="981" t="s">
        <v>9165</v>
      </c>
      <c r="AD17" s="983">
        <f t="shared" si="5"/>
        <v>24</v>
      </c>
      <c r="AE17" s="984"/>
      <c r="AF17" s="984"/>
      <c r="AI17" s="530" t="s">
        <v>2969</v>
      </c>
      <c r="AJ17" s="958">
        <v>1</v>
      </c>
      <c r="AK17" s="959"/>
      <c r="AL17" s="960" t="s">
        <v>5930</v>
      </c>
      <c r="AM17" s="985">
        <f>_xll.GetCtData("COAMOUNT","CONSAMOUNT",$A$1:$A$7,$D17,AM$10,"#5406819,51296938")</f>
        <v>5406819</v>
      </c>
    </row>
    <row r="18" spans="1:39">
      <c r="A18" s="427">
        <v>3</v>
      </c>
      <c r="B18" s="427" t="s">
        <v>9153</v>
      </c>
      <c r="D18" s="986" t="s">
        <v>9167</v>
      </c>
      <c r="E18" s="949" t="s">
        <v>2912</v>
      </c>
      <c r="F18" s="950">
        <v>9</v>
      </c>
      <c r="G18" s="950"/>
      <c r="H18" s="950"/>
      <c r="I18" s="950"/>
      <c r="J18" s="950"/>
      <c r="K18" s="950"/>
      <c r="L18" s="950"/>
      <c r="M18" s="950"/>
      <c r="N18" s="950"/>
      <c r="O18" s="950"/>
      <c r="P18" s="986" t="s">
        <v>9168</v>
      </c>
      <c r="Q18" s="986"/>
      <c r="R18" s="986" t="s">
        <v>9168</v>
      </c>
      <c r="S18" s="986" t="s">
        <v>9169</v>
      </c>
      <c r="T18" s="987">
        <f t="shared" si="0"/>
        <v>79</v>
      </c>
      <c r="U18" s="986" t="s">
        <v>9169</v>
      </c>
      <c r="V18" s="987">
        <f t="shared" si="1"/>
        <v>79</v>
      </c>
      <c r="W18" s="986" t="s">
        <v>9170</v>
      </c>
      <c r="X18" s="987">
        <f t="shared" si="2"/>
        <v>30</v>
      </c>
      <c r="Y18" s="988" t="s">
        <v>9171</v>
      </c>
      <c r="Z18" s="987">
        <f t="shared" si="3"/>
        <v>55</v>
      </c>
      <c r="AA18" s="988" t="s">
        <v>9172</v>
      </c>
      <c r="AB18" s="987">
        <f t="shared" si="4"/>
        <v>54</v>
      </c>
      <c r="AC18" s="988" t="s">
        <v>9173</v>
      </c>
      <c r="AD18" s="987">
        <f t="shared" si="5"/>
        <v>26</v>
      </c>
      <c r="AE18" s="987"/>
      <c r="AF18" s="987"/>
      <c r="AG18" s="967"/>
      <c r="AH18" s="968"/>
      <c r="AI18" s="530" t="s">
        <v>2969</v>
      </c>
      <c r="AJ18" s="958">
        <v>1</v>
      </c>
      <c r="AK18" s="959"/>
      <c r="AL18" s="960" t="s">
        <v>5930</v>
      </c>
      <c r="AM18" s="989">
        <f>_xll.GetCtData("COAMOUNT","CONSAMOUNT",$A$1:$A$7,$D18,AM$10,"#2863220,60375625")</f>
        <v>2863220</v>
      </c>
    </row>
    <row r="19" spans="1:39">
      <c r="A19" s="427" t="s">
        <v>6610</v>
      </c>
      <c r="B19" s="427" t="s">
        <v>6610</v>
      </c>
      <c r="D19" s="990" t="s">
        <v>983</v>
      </c>
      <c r="E19" s="949" t="s">
        <v>2930</v>
      </c>
      <c r="F19" s="950">
        <v>10</v>
      </c>
      <c r="G19" s="950"/>
      <c r="H19" s="950"/>
      <c r="I19" s="950"/>
      <c r="J19" s="950"/>
      <c r="K19" s="950"/>
      <c r="L19" s="950"/>
      <c r="M19" s="950"/>
      <c r="N19" s="950"/>
      <c r="O19" s="950"/>
      <c r="P19" s="950"/>
      <c r="Q19" s="991"/>
      <c r="R19" s="990" t="s">
        <v>1489</v>
      </c>
      <c r="S19" s="992" t="s">
        <v>965</v>
      </c>
      <c r="T19" s="993">
        <f t="shared" si="0"/>
        <v>109</v>
      </c>
      <c r="U19" s="992" t="s">
        <v>965</v>
      </c>
      <c r="V19" s="993">
        <f t="shared" si="1"/>
        <v>109</v>
      </c>
      <c r="W19" s="992" t="s">
        <v>9174</v>
      </c>
      <c r="X19" s="993">
        <f t="shared" si="2"/>
        <v>30</v>
      </c>
      <c r="Y19" s="994" t="s">
        <v>9175</v>
      </c>
      <c r="Z19" s="993">
        <f t="shared" si="3"/>
        <v>88</v>
      </c>
      <c r="AA19" s="994" t="s">
        <v>9175</v>
      </c>
      <c r="AB19" s="993">
        <f t="shared" si="4"/>
        <v>88</v>
      </c>
      <c r="AC19" s="994" t="s">
        <v>9176</v>
      </c>
      <c r="AD19" s="993">
        <f t="shared" si="5"/>
        <v>26</v>
      </c>
      <c r="AE19" s="518" t="s">
        <v>9177</v>
      </c>
      <c r="AF19" s="519" t="s">
        <v>9178</v>
      </c>
      <c r="AG19" s="995" t="s">
        <v>9179</v>
      </c>
      <c r="AH19" s="996" t="s">
        <v>169</v>
      </c>
      <c r="AI19" s="530" t="s">
        <v>2969</v>
      </c>
      <c r="AJ19" s="958">
        <v>1</v>
      </c>
      <c r="AK19" s="959" t="s">
        <v>5359</v>
      </c>
      <c r="AL19" s="960"/>
      <c r="AM19" s="997">
        <f>_xll.GetCtData("COAMOUNT","CONSAMOUNT",$A$1:$A$7,$D19,AM$10,"#2861447,60375625")</f>
        <v>2861447</v>
      </c>
    </row>
    <row r="20" spans="1:39">
      <c r="A20" s="427">
        <v>3</v>
      </c>
      <c r="B20" s="427" t="s">
        <v>9153</v>
      </c>
      <c r="D20" s="990" t="s">
        <v>984</v>
      </c>
      <c r="E20" s="949" t="s">
        <v>2930</v>
      </c>
      <c r="F20" s="950">
        <v>10</v>
      </c>
      <c r="G20" s="950"/>
      <c r="H20" s="950"/>
      <c r="I20" s="950"/>
      <c r="J20" s="950"/>
      <c r="K20" s="950"/>
      <c r="L20" s="950"/>
      <c r="M20" s="950"/>
      <c r="N20" s="950"/>
      <c r="O20" s="950"/>
      <c r="P20" s="950"/>
      <c r="Q20" s="991"/>
      <c r="R20" s="990" t="s">
        <v>1499</v>
      </c>
      <c r="S20" s="992" t="s">
        <v>966</v>
      </c>
      <c r="T20" s="993">
        <f t="shared" si="0"/>
        <v>130</v>
      </c>
      <c r="U20" s="992" t="s">
        <v>1500</v>
      </c>
      <c r="V20" s="993">
        <f t="shared" si="1"/>
        <v>114</v>
      </c>
      <c r="W20" s="992" t="s">
        <v>9180</v>
      </c>
      <c r="X20" s="993">
        <f t="shared" si="2"/>
        <v>30</v>
      </c>
      <c r="Y20" s="994" t="s">
        <v>9181</v>
      </c>
      <c r="Z20" s="993">
        <f t="shared" si="3"/>
        <v>117</v>
      </c>
      <c r="AA20" s="994" t="s">
        <v>9181</v>
      </c>
      <c r="AB20" s="993">
        <f t="shared" si="4"/>
        <v>117</v>
      </c>
      <c r="AC20" s="994" t="s">
        <v>9182</v>
      </c>
      <c r="AD20" s="993">
        <f t="shared" si="5"/>
        <v>29</v>
      </c>
      <c r="AE20" s="518" t="s">
        <v>9183</v>
      </c>
      <c r="AF20" s="519" t="s">
        <v>9184</v>
      </c>
      <c r="AG20" s="995" t="s">
        <v>9179</v>
      </c>
      <c r="AH20" s="996" t="s">
        <v>169</v>
      </c>
      <c r="AI20" s="530" t="s">
        <v>2969</v>
      </c>
      <c r="AJ20" s="958">
        <v>1</v>
      </c>
      <c r="AK20" s="959" t="s">
        <v>5359</v>
      </c>
      <c r="AL20" s="960" t="s">
        <v>5930</v>
      </c>
      <c r="AM20" s="997">
        <f>_xll.GetCtData("COAMOUNT","CONSAMOUNT",$A$1:$A$7,$D20,AM$10,"#1773")</f>
        <v>1773</v>
      </c>
    </row>
    <row r="21" spans="1:39">
      <c r="A21" s="427" t="s">
        <v>6610</v>
      </c>
      <c r="B21" s="427" t="s">
        <v>6610</v>
      </c>
      <c r="D21" s="986" t="s">
        <v>9185</v>
      </c>
      <c r="E21" s="949" t="s">
        <v>2912</v>
      </c>
      <c r="F21" s="950">
        <v>9</v>
      </c>
      <c r="G21" s="950"/>
      <c r="H21" s="950"/>
      <c r="I21" s="950"/>
      <c r="J21" s="950"/>
      <c r="K21" s="950"/>
      <c r="L21" s="950"/>
      <c r="M21" s="950"/>
      <c r="N21" s="950"/>
      <c r="O21" s="950"/>
      <c r="P21" s="986" t="s">
        <v>9186</v>
      </c>
      <c r="Q21" s="986"/>
      <c r="R21" s="986" t="s">
        <v>9186</v>
      </c>
      <c r="S21" s="986" t="s">
        <v>967</v>
      </c>
      <c r="T21" s="987">
        <f t="shared" si="0"/>
        <v>99</v>
      </c>
      <c r="U21" s="986" t="s">
        <v>967</v>
      </c>
      <c r="V21" s="987">
        <f t="shared" si="1"/>
        <v>99</v>
      </c>
      <c r="W21" s="986" t="s">
        <v>9187</v>
      </c>
      <c r="X21" s="987">
        <f t="shared" si="2"/>
        <v>28</v>
      </c>
      <c r="Y21" s="988" t="s">
        <v>9188</v>
      </c>
      <c r="Z21" s="987">
        <f t="shared" si="3"/>
        <v>60</v>
      </c>
      <c r="AA21" s="988" t="s">
        <v>9189</v>
      </c>
      <c r="AB21" s="987">
        <f t="shared" si="4"/>
        <v>59</v>
      </c>
      <c r="AC21" s="988" t="s">
        <v>9190</v>
      </c>
      <c r="AD21" s="987">
        <f t="shared" si="5"/>
        <v>30</v>
      </c>
      <c r="AE21" s="987"/>
      <c r="AF21" s="987"/>
      <c r="AG21" s="967"/>
      <c r="AH21" s="968"/>
      <c r="AI21" s="530" t="s">
        <v>2969</v>
      </c>
      <c r="AJ21" s="958">
        <v>1</v>
      </c>
      <c r="AK21" s="959"/>
      <c r="AL21" s="960" t="s">
        <v>5930</v>
      </c>
      <c r="AM21" s="989">
        <f>_xll.GetCtData("COAMOUNT","CONSAMOUNT",$A$1:$A$7,$D21,AM$10,"#175550,267603")</f>
        <v>175550</v>
      </c>
    </row>
    <row r="22" spans="1:39">
      <c r="A22" s="427">
        <v>3</v>
      </c>
      <c r="B22" s="427" t="s">
        <v>9153</v>
      </c>
      <c r="D22" s="990" t="s">
        <v>985</v>
      </c>
      <c r="E22" s="949" t="s">
        <v>2930</v>
      </c>
      <c r="F22" s="950">
        <v>10</v>
      </c>
      <c r="G22" s="950"/>
      <c r="H22" s="950"/>
      <c r="I22" s="950"/>
      <c r="J22" s="950"/>
      <c r="K22" s="950"/>
      <c r="L22" s="950"/>
      <c r="M22" s="950"/>
      <c r="N22" s="950"/>
      <c r="O22" s="950"/>
      <c r="P22" s="950"/>
      <c r="Q22" s="991"/>
      <c r="R22" s="990" t="s">
        <v>1493</v>
      </c>
      <c r="S22" s="992" t="s">
        <v>967</v>
      </c>
      <c r="T22" s="993">
        <f t="shared" si="0"/>
        <v>99</v>
      </c>
      <c r="U22" s="992" t="s">
        <v>967</v>
      </c>
      <c r="V22" s="993">
        <f t="shared" si="1"/>
        <v>99</v>
      </c>
      <c r="W22" s="992" t="s">
        <v>9191</v>
      </c>
      <c r="X22" s="993">
        <f t="shared" si="2"/>
        <v>28</v>
      </c>
      <c r="Y22" s="994" t="s">
        <v>9188</v>
      </c>
      <c r="Z22" s="993">
        <f t="shared" si="3"/>
        <v>60</v>
      </c>
      <c r="AA22" s="994" t="s">
        <v>9189</v>
      </c>
      <c r="AB22" s="993">
        <f t="shared" si="4"/>
        <v>59</v>
      </c>
      <c r="AC22" s="994" t="s">
        <v>9190</v>
      </c>
      <c r="AD22" s="993">
        <f t="shared" si="5"/>
        <v>30</v>
      </c>
      <c r="AE22" s="518" t="s">
        <v>9192</v>
      </c>
      <c r="AF22" s="519" t="s">
        <v>9193</v>
      </c>
      <c r="AG22" s="995" t="s">
        <v>9179</v>
      </c>
      <c r="AH22" s="996" t="s">
        <v>169</v>
      </c>
      <c r="AI22" s="530" t="s">
        <v>2969</v>
      </c>
      <c r="AJ22" s="958">
        <v>1</v>
      </c>
      <c r="AK22" s="959" t="s">
        <v>5359</v>
      </c>
      <c r="AL22" s="960" t="s">
        <v>5930</v>
      </c>
      <c r="AM22" s="997">
        <f>_xll.GetCtData("COAMOUNT","CONSAMOUNT",$A$1:$A$7,$D22,AM$10,"#175550,267603")</f>
        <v>175550</v>
      </c>
    </row>
    <row r="23" spans="1:39">
      <c r="A23" s="427">
        <v>3</v>
      </c>
      <c r="B23" s="427" t="s">
        <v>9153</v>
      </c>
      <c r="D23" s="986" t="s">
        <v>9194</v>
      </c>
      <c r="E23" s="949" t="s">
        <v>2912</v>
      </c>
      <c r="F23" s="950">
        <v>9</v>
      </c>
      <c r="G23" s="950"/>
      <c r="H23" s="950"/>
      <c r="I23" s="950"/>
      <c r="J23" s="950"/>
      <c r="K23" s="950"/>
      <c r="L23" s="950"/>
      <c r="M23" s="950"/>
      <c r="N23" s="950"/>
      <c r="O23" s="950"/>
      <c r="P23" s="986" t="s">
        <v>9195</v>
      </c>
      <c r="Q23" s="986"/>
      <c r="R23" s="986" t="s">
        <v>9195</v>
      </c>
      <c r="S23" s="986" t="s">
        <v>1496</v>
      </c>
      <c r="T23" s="987">
        <f t="shared" si="0"/>
        <v>82</v>
      </c>
      <c r="U23" s="986" t="s">
        <v>1496</v>
      </c>
      <c r="V23" s="987">
        <f t="shared" si="1"/>
        <v>82</v>
      </c>
      <c r="W23" s="986" t="s">
        <v>9196</v>
      </c>
      <c r="X23" s="987">
        <f t="shared" si="2"/>
        <v>29</v>
      </c>
      <c r="Y23" s="988" t="s">
        <v>9197</v>
      </c>
      <c r="Z23" s="987">
        <f t="shared" si="3"/>
        <v>51</v>
      </c>
      <c r="AA23" s="988" t="s">
        <v>9198</v>
      </c>
      <c r="AB23" s="987">
        <f t="shared" si="4"/>
        <v>49</v>
      </c>
      <c r="AC23" s="988" t="s">
        <v>9199</v>
      </c>
      <c r="AD23" s="987">
        <f t="shared" si="5"/>
        <v>30</v>
      </c>
      <c r="AE23" s="987"/>
      <c r="AF23" s="987"/>
      <c r="AG23" s="967"/>
      <c r="AH23" s="968"/>
      <c r="AI23" s="530" t="s">
        <v>2969</v>
      </c>
      <c r="AJ23" s="958">
        <v>1</v>
      </c>
      <c r="AK23" s="959"/>
      <c r="AL23" s="960" t="s">
        <v>5930</v>
      </c>
      <c r="AM23" s="989">
        <f>_xll.GetCtData("COAMOUNT","CONSAMOUNT",$A$1:$A$7,$D23,AM$10,"#860846,756656682")</f>
        <v>860846</v>
      </c>
    </row>
    <row r="24" spans="1:39">
      <c r="A24" s="427">
        <v>3</v>
      </c>
      <c r="B24" s="427" t="s">
        <v>9153</v>
      </c>
      <c r="D24" s="990" t="s">
        <v>986</v>
      </c>
      <c r="E24" s="949" t="s">
        <v>2930</v>
      </c>
      <c r="F24" s="950">
        <v>10</v>
      </c>
      <c r="G24" s="950"/>
      <c r="H24" s="950"/>
      <c r="I24" s="950"/>
      <c r="J24" s="950"/>
      <c r="K24" s="950"/>
      <c r="L24" s="950"/>
      <c r="M24" s="950"/>
      <c r="N24" s="950"/>
      <c r="O24" s="950"/>
      <c r="P24" s="950"/>
      <c r="Q24" s="991"/>
      <c r="R24" s="990" t="s">
        <v>1495</v>
      </c>
      <c r="S24" s="992" t="s">
        <v>1496</v>
      </c>
      <c r="T24" s="993">
        <f t="shared" si="0"/>
        <v>82</v>
      </c>
      <c r="U24" s="992" t="s">
        <v>1496</v>
      </c>
      <c r="V24" s="993">
        <f t="shared" si="1"/>
        <v>82</v>
      </c>
      <c r="W24" s="992" t="s">
        <v>9196</v>
      </c>
      <c r="X24" s="993">
        <f t="shared" si="2"/>
        <v>29</v>
      </c>
      <c r="Y24" s="994" t="s">
        <v>9197</v>
      </c>
      <c r="Z24" s="993">
        <f t="shared" si="3"/>
        <v>51</v>
      </c>
      <c r="AA24" s="994" t="s">
        <v>9198</v>
      </c>
      <c r="AB24" s="993">
        <f t="shared" si="4"/>
        <v>49</v>
      </c>
      <c r="AC24" s="994" t="s">
        <v>9199</v>
      </c>
      <c r="AD24" s="993">
        <f t="shared" si="5"/>
        <v>30</v>
      </c>
      <c r="AE24" s="518" t="s">
        <v>9200</v>
      </c>
      <c r="AF24" s="519" t="s">
        <v>9201</v>
      </c>
      <c r="AG24" s="995" t="s">
        <v>9179</v>
      </c>
      <c r="AH24" s="996" t="s">
        <v>169</v>
      </c>
      <c r="AI24" s="530" t="s">
        <v>2969</v>
      </c>
      <c r="AJ24" s="958">
        <v>1</v>
      </c>
      <c r="AK24" s="959" t="s">
        <v>5359</v>
      </c>
      <c r="AL24" s="960" t="s">
        <v>5930</v>
      </c>
      <c r="AM24" s="997">
        <f>_xll.GetCtData("COAMOUNT","CONSAMOUNT",$A$1:$A$7,$D24,AM$10,"#860846,756656682")</f>
        <v>860846</v>
      </c>
    </row>
    <row r="25" spans="1:39">
      <c r="A25" s="427">
        <v>3</v>
      </c>
      <c r="B25" s="427" t="s">
        <v>9153</v>
      </c>
      <c r="D25" s="986" t="s">
        <v>9202</v>
      </c>
      <c r="E25" s="949" t="s">
        <v>2912</v>
      </c>
      <c r="F25" s="950">
        <v>9</v>
      </c>
      <c r="G25" s="950"/>
      <c r="H25" s="950"/>
      <c r="I25" s="950"/>
      <c r="J25" s="950"/>
      <c r="K25" s="950"/>
      <c r="L25" s="950"/>
      <c r="M25" s="950"/>
      <c r="N25" s="950"/>
      <c r="O25" s="950"/>
      <c r="P25" s="986" t="s">
        <v>9203</v>
      </c>
      <c r="Q25" s="986"/>
      <c r="R25" s="986" t="s">
        <v>9203</v>
      </c>
      <c r="S25" s="986" t="s">
        <v>2673</v>
      </c>
      <c r="T25" s="987">
        <f t="shared" si="0"/>
        <v>85</v>
      </c>
      <c r="U25" s="986" t="s">
        <v>2673</v>
      </c>
      <c r="V25" s="987">
        <f t="shared" si="1"/>
        <v>85</v>
      </c>
      <c r="W25" s="986" t="s">
        <v>9204</v>
      </c>
      <c r="X25" s="987">
        <f t="shared" si="2"/>
        <v>28</v>
      </c>
      <c r="Y25" s="988" t="s">
        <v>9205</v>
      </c>
      <c r="Z25" s="987">
        <f t="shared" si="3"/>
        <v>55</v>
      </c>
      <c r="AA25" s="988" t="s">
        <v>9206</v>
      </c>
      <c r="AB25" s="987">
        <f t="shared" si="4"/>
        <v>54</v>
      </c>
      <c r="AC25" s="988" t="s">
        <v>9207</v>
      </c>
      <c r="AD25" s="987">
        <f t="shared" si="5"/>
        <v>26</v>
      </c>
      <c r="AE25" s="987"/>
      <c r="AF25" s="987"/>
      <c r="AG25" s="967"/>
      <c r="AH25" s="968"/>
      <c r="AI25" s="530" t="s">
        <v>2969</v>
      </c>
      <c r="AJ25" s="958">
        <v>1</v>
      </c>
      <c r="AK25" s="959"/>
      <c r="AL25" s="960" t="s">
        <v>5930</v>
      </c>
      <c r="AM25" s="989">
        <f>_xll.GetCtData("COAMOUNT","CONSAMOUNT",$A$1:$A$7,$D25,AM$10,"#1346730,01282548")</f>
        <v>1346730</v>
      </c>
    </row>
    <row r="26" spans="1:39">
      <c r="A26" s="427">
        <v>3</v>
      </c>
      <c r="B26" s="427" t="s">
        <v>9153</v>
      </c>
      <c r="D26" s="990" t="s">
        <v>987</v>
      </c>
      <c r="E26" s="949" t="s">
        <v>2930</v>
      </c>
      <c r="F26" s="950">
        <v>10</v>
      </c>
      <c r="G26" s="950"/>
      <c r="H26" s="950"/>
      <c r="I26" s="950"/>
      <c r="J26" s="950"/>
      <c r="K26" s="950"/>
      <c r="L26" s="950"/>
      <c r="M26" s="950"/>
      <c r="N26" s="950"/>
      <c r="O26" s="950"/>
      <c r="P26" s="950"/>
      <c r="Q26" s="991"/>
      <c r="R26" s="990" t="s">
        <v>2541</v>
      </c>
      <c r="S26" s="992" t="s">
        <v>2673</v>
      </c>
      <c r="T26" s="993">
        <f t="shared" si="0"/>
        <v>85</v>
      </c>
      <c r="U26" s="992" t="s">
        <v>2673</v>
      </c>
      <c r="V26" s="993">
        <f t="shared" si="1"/>
        <v>85</v>
      </c>
      <c r="W26" s="992" t="s">
        <v>9204</v>
      </c>
      <c r="X26" s="993">
        <f t="shared" si="2"/>
        <v>28</v>
      </c>
      <c r="Y26" s="994" t="s">
        <v>9205</v>
      </c>
      <c r="Z26" s="993">
        <f t="shared" si="3"/>
        <v>55</v>
      </c>
      <c r="AA26" s="994" t="s">
        <v>9206</v>
      </c>
      <c r="AB26" s="993">
        <f t="shared" si="4"/>
        <v>54</v>
      </c>
      <c r="AC26" s="994" t="s">
        <v>9207</v>
      </c>
      <c r="AD26" s="993">
        <f t="shared" si="5"/>
        <v>26</v>
      </c>
      <c r="AE26" s="518" t="s">
        <v>9208</v>
      </c>
      <c r="AF26" s="519" t="s">
        <v>9209</v>
      </c>
      <c r="AG26" s="995" t="s">
        <v>9179</v>
      </c>
      <c r="AH26" s="996" t="s">
        <v>169</v>
      </c>
      <c r="AI26" s="530" t="s">
        <v>2969</v>
      </c>
      <c r="AJ26" s="958">
        <v>1</v>
      </c>
      <c r="AK26" s="959" t="s">
        <v>5359</v>
      </c>
      <c r="AL26" s="960" t="s">
        <v>5930</v>
      </c>
      <c r="AM26" s="997">
        <f>_xll.GetCtData("COAMOUNT","CONSAMOUNT",$A$1:$A$7,$D26,AM$10,"#1346730,01282548")</f>
        <v>1346730</v>
      </c>
    </row>
    <row r="27" spans="1:39">
      <c r="A27" s="427">
        <v>3</v>
      </c>
      <c r="B27" s="427" t="s">
        <v>9153</v>
      </c>
      <c r="D27" s="986" t="s">
        <v>9210</v>
      </c>
      <c r="E27" s="949" t="s">
        <v>2912</v>
      </c>
      <c r="F27" s="950">
        <v>9</v>
      </c>
      <c r="G27" s="950"/>
      <c r="H27" s="950"/>
      <c r="I27" s="950"/>
      <c r="J27" s="950"/>
      <c r="K27" s="950"/>
      <c r="L27" s="950"/>
      <c r="M27" s="950"/>
      <c r="N27" s="950"/>
      <c r="O27" s="950"/>
      <c r="P27" s="986" t="s">
        <v>9211</v>
      </c>
      <c r="Q27" s="986"/>
      <c r="R27" s="986" t="s">
        <v>9211</v>
      </c>
      <c r="S27" s="986" t="s">
        <v>9212</v>
      </c>
      <c r="T27" s="987">
        <f t="shared" si="0"/>
        <v>81</v>
      </c>
      <c r="U27" s="986" t="s">
        <v>9212</v>
      </c>
      <c r="V27" s="987">
        <f t="shared" si="1"/>
        <v>81</v>
      </c>
      <c r="W27" s="986" t="s">
        <v>9213</v>
      </c>
      <c r="X27" s="987">
        <f t="shared" si="2"/>
        <v>24</v>
      </c>
      <c r="Y27" s="988" t="s">
        <v>9214</v>
      </c>
      <c r="Z27" s="987">
        <f t="shared" si="3"/>
        <v>69</v>
      </c>
      <c r="AA27" s="988" t="s">
        <v>9215</v>
      </c>
      <c r="AB27" s="987">
        <f t="shared" si="4"/>
        <v>68</v>
      </c>
      <c r="AC27" s="988" t="s">
        <v>9216</v>
      </c>
      <c r="AD27" s="987">
        <f t="shared" si="5"/>
        <v>30</v>
      </c>
      <c r="AE27" s="987"/>
      <c r="AF27" s="987"/>
      <c r="AG27" s="967"/>
      <c r="AH27" s="968"/>
      <c r="AI27" s="530" t="s">
        <v>2969</v>
      </c>
      <c r="AJ27" s="958">
        <v>1</v>
      </c>
      <c r="AK27" s="959"/>
      <c r="AL27" s="960" t="s">
        <v>5930</v>
      </c>
      <c r="AM27" s="989">
        <f>_xll.GetCtData("COAMOUNT","CONSAMOUNT",$A$1:$A$7,$D27,AM$10,"#191107,355255594")</f>
        <v>191107</v>
      </c>
    </row>
    <row r="28" spans="1:39">
      <c r="A28" s="427">
        <v>3</v>
      </c>
      <c r="B28" s="427" t="s">
        <v>9153</v>
      </c>
      <c r="D28" s="990" t="s">
        <v>988</v>
      </c>
      <c r="E28" s="949" t="s">
        <v>2930</v>
      </c>
      <c r="F28" s="950">
        <v>10</v>
      </c>
      <c r="G28" s="950"/>
      <c r="H28" s="950"/>
      <c r="I28" s="950"/>
      <c r="J28" s="950"/>
      <c r="K28" s="950"/>
      <c r="L28" s="950"/>
      <c r="M28" s="950"/>
      <c r="N28" s="950"/>
      <c r="O28" s="950"/>
      <c r="P28" s="950"/>
      <c r="Q28" s="991"/>
      <c r="R28" s="990" t="s">
        <v>968</v>
      </c>
      <c r="S28" s="992" t="s">
        <v>969</v>
      </c>
      <c r="T28" s="993">
        <f t="shared" si="0"/>
        <v>103</v>
      </c>
      <c r="U28" s="992" t="s">
        <v>969</v>
      </c>
      <c r="V28" s="993">
        <f t="shared" si="1"/>
        <v>103</v>
      </c>
      <c r="W28" s="992" t="s">
        <v>9217</v>
      </c>
      <c r="X28" s="993">
        <f t="shared" si="2"/>
        <v>30</v>
      </c>
      <c r="Y28" s="994" t="s">
        <v>9214</v>
      </c>
      <c r="Z28" s="993">
        <f t="shared" si="3"/>
        <v>69</v>
      </c>
      <c r="AA28" s="994" t="s">
        <v>9215</v>
      </c>
      <c r="AB28" s="993">
        <f t="shared" si="4"/>
        <v>68</v>
      </c>
      <c r="AC28" s="994" t="s">
        <v>9216</v>
      </c>
      <c r="AD28" s="993">
        <f t="shared" si="5"/>
        <v>30</v>
      </c>
      <c r="AE28" s="518" t="s">
        <v>9218</v>
      </c>
      <c r="AF28" s="519" t="s">
        <v>9219</v>
      </c>
      <c r="AG28" s="995" t="s">
        <v>9179</v>
      </c>
      <c r="AH28" s="996" t="s">
        <v>169</v>
      </c>
      <c r="AI28" s="530" t="s">
        <v>2969</v>
      </c>
      <c r="AJ28" s="958">
        <v>1</v>
      </c>
      <c r="AK28" s="959" t="s">
        <v>5359</v>
      </c>
      <c r="AL28" s="960" t="s">
        <v>5930</v>
      </c>
      <c r="AM28" s="997">
        <f>_xll.GetCtData("COAMOUNT","CONSAMOUNT",$A$1:$A$7,$D28,AM$10,"#216098,85160249")</f>
        <v>216098</v>
      </c>
    </row>
    <row r="29" spans="1:39">
      <c r="A29" s="427">
        <v>3</v>
      </c>
      <c r="B29" s="427" t="s">
        <v>9153</v>
      </c>
      <c r="D29" s="990" t="s">
        <v>989</v>
      </c>
      <c r="E29" s="949" t="s">
        <v>2930</v>
      </c>
      <c r="F29" s="950">
        <v>10</v>
      </c>
      <c r="G29" s="950"/>
      <c r="H29" s="950"/>
      <c r="I29" s="950"/>
      <c r="J29" s="950"/>
      <c r="K29" s="950"/>
      <c r="L29" s="950"/>
      <c r="M29" s="950"/>
      <c r="N29" s="950"/>
      <c r="O29" s="950"/>
      <c r="P29" s="950"/>
      <c r="Q29" s="991"/>
      <c r="R29" s="990" t="s">
        <v>970</v>
      </c>
      <c r="S29" s="992" t="s">
        <v>971</v>
      </c>
      <c r="T29" s="993">
        <f t="shared" si="0"/>
        <v>109</v>
      </c>
      <c r="U29" s="992" t="s">
        <v>971</v>
      </c>
      <c r="V29" s="993">
        <f t="shared" si="1"/>
        <v>109</v>
      </c>
      <c r="W29" s="992" t="s">
        <v>9220</v>
      </c>
      <c r="X29" s="993">
        <f t="shared" si="2"/>
        <v>28</v>
      </c>
      <c r="Y29" s="994" t="s">
        <v>9221</v>
      </c>
      <c r="Z29" s="993">
        <f t="shared" si="3"/>
        <v>69</v>
      </c>
      <c r="AA29" s="994" t="s">
        <v>9222</v>
      </c>
      <c r="AB29" s="993">
        <f t="shared" si="4"/>
        <v>68</v>
      </c>
      <c r="AC29" s="994" t="s">
        <v>9223</v>
      </c>
      <c r="AD29" s="993">
        <f t="shared" si="5"/>
        <v>30</v>
      </c>
      <c r="AE29" s="518" t="s">
        <v>9224</v>
      </c>
      <c r="AF29" s="519" t="s">
        <v>9225</v>
      </c>
      <c r="AG29" s="995" t="s">
        <v>9179</v>
      </c>
      <c r="AH29" s="996" t="s">
        <v>169</v>
      </c>
      <c r="AI29" s="530" t="s">
        <v>2969</v>
      </c>
      <c r="AJ29" s="958">
        <v>1</v>
      </c>
      <c r="AK29" s="959" t="s">
        <v>5359</v>
      </c>
      <c r="AL29" s="960" t="s">
        <v>5930</v>
      </c>
      <c r="AM29" s="997">
        <f>_xll.GetCtData("COAMOUNT","CONSAMOUNT",$A$1:$A$7,$D29,AM$10,"#-24991,4963468961")</f>
        <v>-24991</v>
      </c>
    </row>
    <row r="30" spans="1:39">
      <c r="A30" s="427" t="s">
        <v>6610</v>
      </c>
      <c r="B30" s="427" t="s">
        <v>6610</v>
      </c>
      <c r="D30" s="986" t="s">
        <v>9226</v>
      </c>
      <c r="E30" s="949" t="s">
        <v>2912</v>
      </c>
      <c r="F30" s="950">
        <v>9</v>
      </c>
      <c r="G30" s="950"/>
      <c r="H30" s="950"/>
      <c r="I30" s="950"/>
      <c r="J30" s="950"/>
      <c r="K30" s="950"/>
      <c r="L30" s="950"/>
      <c r="M30" s="950"/>
      <c r="N30" s="950"/>
      <c r="O30" s="950"/>
      <c r="P30" s="986" t="s">
        <v>9227</v>
      </c>
      <c r="Q30" s="986"/>
      <c r="R30" s="986" t="s">
        <v>9227</v>
      </c>
      <c r="S30" s="986" t="s">
        <v>9228</v>
      </c>
      <c r="T30" s="987">
        <f t="shared" si="0"/>
        <v>80</v>
      </c>
      <c r="U30" s="986" t="s">
        <v>9228</v>
      </c>
      <c r="V30" s="987">
        <f t="shared" si="1"/>
        <v>80</v>
      </c>
      <c r="W30" s="986" t="s">
        <v>9229</v>
      </c>
      <c r="X30" s="987">
        <f t="shared" si="2"/>
        <v>29</v>
      </c>
      <c r="Y30" s="988" t="s">
        <v>9230</v>
      </c>
      <c r="Z30" s="987">
        <f t="shared" si="3"/>
        <v>58</v>
      </c>
      <c r="AA30" s="988" t="s">
        <v>9231</v>
      </c>
      <c r="AB30" s="987">
        <f t="shared" si="4"/>
        <v>56</v>
      </c>
      <c r="AC30" s="988" t="s">
        <v>9232</v>
      </c>
      <c r="AD30" s="987">
        <f t="shared" si="5"/>
        <v>30</v>
      </c>
      <c r="AE30" s="987"/>
      <c r="AF30" s="987"/>
      <c r="AG30" s="967"/>
      <c r="AH30" s="968"/>
      <c r="AI30" s="530" t="s">
        <v>2969</v>
      </c>
      <c r="AJ30" s="958">
        <v>1</v>
      </c>
      <c r="AK30" s="959"/>
      <c r="AL30" s="960" t="s">
        <v>5930</v>
      </c>
      <c r="AM30" s="989">
        <f>_xll.GetCtData("COAMOUNT","CONSAMOUNT",$A$1:$A$7,$D30,AM$10,"#-17044")</f>
        <v>-17044</v>
      </c>
    </row>
    <row r="31" spans="1:39">
      <c r="A31" s="427">
        <v>3</v>
      </c>
      <c r="B31" s="427" t="s">
        <v>9153</v>
      </c>
      <c r="D31" s="990" t="s">
        <v>990</v>
      </c>
      <c r="E31" s="949" t="s">
        <v>2930</v>
      </c>
      <c r="F31" s="950">
        <v>10</v>
      </c>
      <c r="G31" s="950"/>
      <c r="H31" s="950"/>
      <c r="I31" s="950"/>
      <c r="J31" s="950"/>
      <c r="K31" s="950"/>
      <c r="L31" s="950"/>
      <c r="M31" s="950"/>
      <c r="N31" s="950"/>
      <c r="O31" s="950"/>
      <c r="P31" s="950"/>
      <c r="Q31" s="991"/>
      <c r="R31" s="990" t="s">
        <v>9233</v>
      </c>
      <c r="S31" s="992" t="s">
        <v>972</v>
      </c>
      <c r="T31" s="993">
        <f t="shared" si="0"/>
        <v>67</v>
      </c>
      <c r="U31" s="992" t="s">
        <v>972</v>
      </c>
      <c r="V31" s="993">
        <f t="shared" si="1"/>
        <v>67</v>
      </c>
      <c r="W31" s="992" t="s">
        <v>9234</v>
      </c>
      <c r="X31" s="993">
        <f t="shared" si="2"/>
        <v>28</v>
      </c>
      <c r="Y31" s="994" t="s">
        <v>9235</v>
      </c>
      <c r="Z31" s="993">
        <f t="shared" si="3"/>
        <v>43</v>
      </c>
      <c r="AA31" s="994" t="s">
        <v>9236</v>
      </c>
      <c r="AB31" s="993">
        <f t="shared" si="4"/>
        <v>41</v>
      </c>
      <c r="AC31" s="994" t="s">
        <v>9237</v>
      </c>
      <c r="AD31" s="993">
        <f t="shared" si="5"/>
        <v>29</v>
      </c>
      <c r="AE31" s="518" t="s">
        <v>9238</v>
      </c>
      <c r="AF31" s="519" t="s">
        <v>9239</v>
      </c>
      <c r="AG31" s="995" t="s">
        <v>9179</v>
      </c>
      <c r="AH31" s="996" t="s">
        <v>169</v>
      </c>
      <c r="AI31" s="530" t="s">
        <v>2969</v>
      </c>
      <c r="AJ31" s="958">
        <v>1</v>
      </c>
      <c r="AK31" s="959"/>
      <c r="AL31" s="960" t="s">
        <v>5930</v>
      </c>
      <c r="AM31" s="997">
        <f>_xll.GetCtData("COAMOUNT","CONSAMOUNT",$A$1:$A$7,$D31,AM$10,"#0")</f>
        <v>0</v>
      </c>
    </row>
    <row r="32" spans="1:39">
      <c r="A32" s="427" t="s">
        <v>6610</v>
      </c>
      <c r="B32" s="427" t="s">
        <v>6610</v>
      </c>
      <c r="D32" s="990" t="s">
        <v>991</v>
      </c>
      <c r="E32" s="949" t="s">
        <v>2930</v>
      </c>
      <c r="F32" s="950">
        <v>10</v>
      </c>
      <c r="G32" s="950"/>
      <c r="H32" s="950"/>
      <c r="I32" s="950"/>
      <c r="J32" s="950"/>
      <c r="K32" s="950"/>
      <c r="L32" s="950"/>
      <c r="M32" s="950"/>
      <c r="N32" s="950"/>
      <c r="O32" s="950"/>
      <c r="P32" s="950"/>
      <c r="Q32" s="991"/>
      <c r="R32" s="990" t="s">
        <v>1491</v>
      </c>
      <c r="S32" s="992" t="s">
        <v>973</v>
      </c>
      <c r="T32" s="993">
        <f t="shared" si="0"/>
        <v>66</v>
      </c>
      <c r="U32" s="992" t="s">
        <v>973</v>
      </c>
      <c r="V32" s="993">
        <f t="shared" si="1"/>
        <v>66</v>
      </c>
      <c r="W32" s="992" t="s">
        <v>9240</v>
      </c>
      <c r="X32" s="993">
        <f t="shared" si="2"/>
        <v>27</v>
      </c>
      <c r="Y32" s="994" t="s">
        <v>9241</v>
      </c>
      <c r="Z32" s="993">
        <f t="shared" si="3"/>
        <v>46</v>
      </c>
      <c r="AA32" s="994" t="s">
        <v>9242</v>
      </c>
      <c r="AB32" s="993">
        <f t="shared" si="4"/>
        <v>44</v>
      </c>
      <c r="AC32" s="994" t="s">
        <v>9243</v>
      </c>
      <c r="AD32" s="993">
        <f t="shared" si="5"/>
        <v>24</v>
      </c>
      <c r="AE32" s="518" t="s">
        <v>9244</v>
      </c>
      <c r="AF32" s="519" t="s">
        <v>9245</v>
      </c>
      <c r="AG32" s="995" t="s">
        <v>9179</v>
      </c>
      <c r="AH32" s="996" t="s">
        <v>169</v>
      </c>
      <c r="AI32" s="530" t="s">
        <v>2969</v>
      </c>
      <c r="AJ32" s="958">
        <v>1</v>
      </c>
      <c r="AK32" s="959" t="s">
        <v>5359</v>
      </c>
      <c r="AL32" s="960" t="s">
        <v>5930</v>
      </c>
      <c r="AM32" s="997">
        <f>_xll.GetCtData("COAMOUNT","CONSAMOUNT",$A$1:$A$7,$D32,AM$10,"#-17044")</f>
        <v>-17044</v>
      </c>
    </row>
    <row r="33" spans="1:39">
      <c r="A33" s="427" t="s">
        <v>2962</v>
      </c>
      <c r="B33" s="998">
        <v>44515</v>
      </c>
      <c r="D33" s="986" t="s">
        <v>9246</v>
      </c>
      <c r="E33" s="949" t="s">
        <v>2912</v>
      </c>
      <c r="F33" s="950">
        <v>9</v>
      </c>
      <c r="G33" s="950"/>
      <c r="H33" s="950"/>
      <c r="I33" s="950"/>
      <c r="J33" s="950"/>
      <c r="K33" s="950"/>
      <c r="L33" s="950"/>
      <c r="M33" s="950"/>
      <c r="N33" s="950"/>
      <c r="O33" s="950"/>
      <c r="P33" s="986" t="s">
        <v>9247</v>
      </c>
      <c r="Q33" s="986"/>
      <c r="R33" s="986" t="s">
        <v>9247</v>
      </c>
      <c r="S33" s="986" t="s">
        <v>1504</v>
      </c>
      <c r="T33" s="987">
        <f t="shared" si="0"/>
        <v>85</v>
      </c>
      <c r="U33" s="986" t="s">
        <v>1504</v>
      </c>
      <c r="V33" s="987">
        <f t="shared" si="1"/>
        <v>85</v>
      </c>
      <c r="W33" s="986" t="s">
        <v>9248</v>
      </c>
      <c r="X33" s="987">
        <f t="shared" si="2"/>
        <v>24</v>
      </c>
      <c r="Y33" s="988" t="s">
        <v>9249</v>
      </c>
      <c r="Z33" s="987">
        <f t="shared" si="3"/>
        <v>40</v>
      </c>
      <c r="AA33" s="988" t="s">
        <v>9249</v>
      </c>
      <c r="AB33" s="987">
        <f t="shared" si="4"/>
        <v>40</v>
      </c>
      <c r="AC33" s="988" t="s">
        <v>9250</v>
      </c>
      <c r="AD33" s="987">
        <f t="shared" si="5"/>
        <v>18</v>
      </c>
      <c r="AE33" s="987"/>
      <c r="AF33" s="987"/>
      <c r="AG33" s="967"/>
      <c r="AH33" s="968"/>
      <c r="AI33" s="530" t="s">
        <v>2969</v>
      </c>
      <c r="AJ33" s="958">
        <v>1</v>
      </c>
      <c r="AK33" s="959"/>
      <c r="AL33" s="960" t="s">
        <v>9251</v>
      </c>
      <c r="AM33" s="989">
        <f>_xll.GetCtData("COAMOUNT","CONSAMOUNT",$A$1:$A$7,$D33,AM$10,"#-13591,483127635")</f>
        <v>-13591</v>
      </c>
    </row>
    <row r="34" spans="1:39">
      <c r="A34" s="427" t="s">
        <v>2962</v>
      </c>
      <c r="B34" s="998">
        <v>44515</v>
      </c>
      <c r="D34" s="990" t="s">
        <v>992</v>
      </c>
      <c r="E34" s="949" t="s">
        <v>2930</v>
      </c>
      <c r="F34" s="950">
        <v>10</v>
      </c>
      <c r="G34" s="950"/>
      <c r="H34" s="950"/>
      <c r="I34" s="950"/>
      <c r="J34" s="950"/>
      <c r="K34" s="950"/>
      <c r="L34" s="950"/>
      <c r="M34" s="950"/>
      <c r="N34" s="950"/>
      <c r="O34" s="950"/>
      <c r="P34" s="950"/>
      <c r="Q34" s="991"/>
      <c r="R34" s="990" t="s">
        <v>1503</v>
      </c>
      <c r="S34" s="992" t="s">
        <v>1504</v>
      </c>
      <c r="T34" s="993">
        <f t="shared" si="0"/>
        <v>85</v>
      </c>
      <c r="U34" s="992" t="s">
        <v>1504</v>
      </c>
      <c r="V34" s="993">
        <f t="shared" si="1"/>
        <v>85</v>
      </c>
      <c r="W34" s="992" t="s">
        <v>9248</v>
      </c>
      <c r="X34" s="993">
        <f t="shared" si="2"/>
        <v>24</v>
      </c>
      <c r="Y34" s="994" t="s">
        <v>9249</v>
      </c>
      <c r="Z34" s="993">
        <f t="shared" si="3"/>
        <v>40</v>
      </c>
      <c r="AA34" s="994" t="s">
        <v>9249</v>
      </c>
      <c r="AB34" s="993">
        <f t="shared" si="4"/>
        <v>40</v>
      </c>
      <c r="AC34" s="994" t="s">
        <v>9250</v>
      </c>
      <c r="AD34" s="993">
        <f t="shared" si="5"/>
        <v>18</v>
      </c>
      <c r="AE34" s="518" t="s">
        <v>9252</v>
      </c>
      <c r="AF34" s="519" t="s">
        <v>9253</v>
      </c>
      <c r="AG34" s="995" t="s">
        <v>9179</v>
      </c>
      <c r="AH34" s="996" t="s">
        <v>169</v>
      </c>
      <c r="AI34" s="530" t="s">
        <v>2969</v>
      </c>
      <c r="AJ34" s="958">
        <v>1</v>
      </c>
      <c r="AK34" s="959" t="s">
        <v>5359</v>
      </c>
      <c r="AL34" s="960" t="s">
        <v>9251</v>
      </c>
      <c r="AM34" s="997">
        <f>_xll.GetCtData("COAMOUNT","CONSAMOUNT",$A$1:$A$7,$D34,AM$10,"#-13591,483127635")</f>
        <v>-13591</v>
      </c>
    </row>
    <row r="35" spans="1:39">
      <c r="A35" s="427">
        <v>3</v>
      </c>
      <c r="B35" s="427" t="s">
        <v>9153</v>
      </c>
      <c r="D35" s="981" t="s">
        <v>9254</v>
      </c>
      <c r="E35" s="949" t="s">
        <v>2912</v>
      </c>
      <c r="F35" s="950">
        <v>8</v>
      </c>
      <c r="G35" s="950"/>
      <c r="H35" s="950"/>
      <c r="I35" s="950"/>
      <c r="J35" s="950"/>
      <c r="K35" s="950"/>
      <c r="L35" s="950"/>
      <c r="M35" s="950"/>
      <c r="N35" s="950"/>
      <c r="O35" s="981" t="s">
        <v>9255</v>
      </c>
      <c r="P35" s="982"/>
      <c r="Q35" s="981"/>
      <c r="R35" s="981" t="s">
        <v>9255</v>
      </c>
      <c r="S35" s="981" t="s">
        <v>9256</v>
      </c>
      <c r="T35" s="983">
        <f t="shared" si="0"/>
        <v>47</v>
      </c>
      <c r="U35" s="981" t="s">
        <v>9256</v>
      </c>
      <c r="V35" s="983">
        <f t="shared" si="1"/>
        <v>47</v>
      </c>
      <c r="W35" s="981" t="s">
        <v>9257</v>
      </c>
      <c r="X35" s="983">
        <f t="shared" si="2"/>
        <v>17</v>
      </c>
      <c r="Y35" s="981" t="s">
        <v>9258</v>
      </c>
      <c r="Z35" s="983">
        <f t="shared" si="3"/>
        <v>24</v>
      </c>
      <c r="AA35" s="981" t="s">
        <v>9259</v>
      </c>
      <c r="AB35" s="983">
        <f t="shared" si="4"/>
        <v>23</v>
      </c>
      <c r="AC35" s="981" t="s">
        <v>9258</v>
      </c>
      <c r="AD35" s="983">
        <f t="shared" si="5"/>
        <v>24</v>
      </c>
      <c r="AE35" s="984"/>
      <c r="AF35" s="984"/>
      <c r="AI35" s="530" t="s">
        <v>2969</v>
      </c>
      <c r="AJ35" s="958">
        <v>1</v>
      </c>
      <c r="AK35" s="959"/>
      <c r="AL35" s="960" t="s">
        <v>5930</v>
      </c>
      <c r="AM35" s="985">
        <f>_xll.GetCtData("COAMOUNT","CONSAMOUNT",$A$1:$A$7,$D35,AM$10,"#4700840,27466293")</f>
        <v>4700840</v>
      </c>
    </row>
    <row r="36" spans="1:39">
      <c r="A36" s="427">
        <v>3</v>
      </c>
      <c r="B36" s="427" t="s">
        <v>9153</v>
      </c>
      <c r="D36" s="986" t="s">
        <v>9260</v>
      </c>
      <c r="E36" s="949" t="s">
        <v>2912</v>
      </c>
      <c r="F36" s="950">
        <v>9</v>
      </c>
      <c r="G36" s="950"/>
      <c r="H36" s="950"/>
      <c r="I36" s="950"/>
      <c r="J36" s="950"/>
      <c r="K36" s="950"/>
      <c r="L36" s="950"/>
      <c r="M36" s="950"/>
      <c r="N36" s="950"/>
      <c r="O36" s="950"/>
      <c r="P36" s="986" t="s">
        <v>9261</v>
      </c>
      <c r="Q36" s="986"/>
      <c r="R36" s="986" t="s">
        <v>9261</v>
      </c>
      <c r="S36" s="986" t="s">
        <v>9262</v>
      </c>
      <c r="T36" s="987">
        <f t="shared" si="0"/>
        <v>79</v>
      </c>
      <c r="U36" s="986" t="s">
        <v>9262</v>
      </c>
      <c r="V36" s="987">
        <f t="shared" si="1"/>
        <v>79</v>
      </c>
      <c r="W36" s="986" t="s">
        <v>9263</v>
      </c>
      <c r="X36" s="987">
        <f t="shared" si="2"/>
        <v>30</v>
      </c>
      <c r="Y36" s="988" t="s">
        <v>9264</v>
      </c>
      <c r="Z36" s="987">
        <f t="shared" si="3"/>
        <v>55</v>
      </c>
      <c r="AA36" s="988" t="s">
        <v>9265</v>
      </c>
      <c r="AB36" s="987">
        <f t="shared" si="4"/>
        <v>54</v>
      </c>
      <c r="AC36" s="988" t="s">
        <v>9266</v>
      </c>
      <c r="AD36" s="987">
        <f t="shared" si="5"/>
        <v>26</v>
      </c>
      <c r="AE36" s="987"/>
      <c r="AF36" s="987"/>
      <c r="AG36" s="967"/>
      <c r="AH36" s="968"/>
      <c r="AI36" s="530" t="s">
        <v>2969</v>
      </c>
      <c r="AJ36" s="958">
        <v>1</v>
      </c>
      <c r="AK36" s="959"/>
      <c r="AL36" s="960" t="s">
        <v>5930</v>
      </c>
      <c r="AM36" s="989">
        <f>_xll.GetCtData("COAMOUNT","CONSAMOUNT",$A$1:$A$7,$D36,AM$10,"#2668646,03516011")</f>
        <v>2668646</v>
      </c>
    </row>
    <row r="37" spans="1:39">
      <c r="A37" s="427">
        <v>3</v>
      </c>
      <c r="B37" s="427" t="s">
        <v>9153</v>
      </c>
      <c r="D37" s="990" t="s">
        <v>993</v>
      </c>
      <c r="E37" s="949" t="s">
        <v>2930</v>
      </c>
      <c r="F37" s="950">
        <v>10</v>
      </c>
      <c r="G37" s="950"/>
      <c r="H37" s="950"/>
      <c r="I37" s="950"/>
      <c r="J37" s="950"/>
      <c r="K37" s="950"/>
      <c r="L37" s="950"/>
      <c r="M37" s="950"/>
      <c r="N37" s="950"/>
      <c r="O37" s="950"/>
      <c r="P37" s="950"/>
      <c r="Q37" s="991"/>
      <c r="R37" s="990" t="s">
        <v>1490</v>
      </c>
      <c r="S37" s="992" t="s">
        <v>974</v>
      </c>
      <c r="T37" s="993">
        <f t="shared" si="0"/>
        <v>108</v>
      </c>
      <c r="U37" s="992" t="s">
        <v>974</v>
      </c>
      <c r="V37" s="993">
        <f t="shared" si="1"/>
        <v>108</v>
      </c>
      <c r="W37" s="992" t="s">
        <v>9267</v>
      </c>
      <c r="X37" s="993">
        <f t="shared" si="2"/>
        <v>30</v>
      </c>
      <c r="Y37" s="994" t="s">
        <v>9268</v>
      </c>
      <c r="Z37" s="993">
        <f t="shared" si="3"/>
        <v>88</v>
      </c>
      <c r="AA37" s="994" t="s">
        <v>9268</v>
      </c>
      <c r="AB37" s="993">
        <f t="shared" si="4"/>
        <v>88</v>
      </c>
      <c r="AC37" s="994" t="s">
        <v>9269</v>
      </c>
      <c r="AD37" s="993">
        <f t="shared" si="5"/>
        <v>26</v>
      </c>
      <c r="AE37" s="518" t="s">
        <v>9177</v>
      </c>
      <c r="AF37" s="519" t="s">
        <v>9178</v>
      </c>
      <c r="AG37" s="995" t="s">
        <v>9179</v>
      </c>
      <c r="AH37" s="996" t="s">
        <v>169</v>
      </c>
      <c r="AI37" s="530" t="s">
        <v>2969</v>
      </c>
      <c r="AJ37" s="958">
        <v>1</v>
      </c>
      <c r="AK37" s="959" t="s">
        <v>5359</v>
      </c>
      <c r="AL37" s="960" t="s">
        <v>5930</v>
      </c>
      <c r="AM37" s="997">
        <f>_xll.GetCtData("COAMOUNT","CONSAMOUNT",$A$1:$A$7,$D37,AM$10,"#2520814,03516011")</f>
        <v>2520814</v>
      </c>
    </row>
    <row r="38" spans="1:39">
      <c r="A38" s="427" t="s">
        <v>6610</v>
      </c>
      <c r="B38" s="427" t="s">
        <v>6610</v>
      </c>
      <c r="D38" s="990" t="s">
        <v>994</v>
      </c>
      <c r="E38" s="949" t="s">
        <v>2930</v>
      </c>
      <c r="F38" s="950">
        <v>10</v>
      </c>
      <c r="G38" s="950"/>
      <c r="H38" s="950"/>
      <c r="I38" s="950"/>
      <c r="J38" s="950"/>
      <c r="K38" s="950"/>
      <c r="L38" s="950"/>
      <c r="M38" s="950"/>
      <c r="N38" s="950"/>
      <c r="O38" s="950"/>
      <c r="P38" s="950"/>
      <c r="Q38" s="991"/>
      <c r="R38" s="990" t="s">
        <v>1501</v>
      </c>
      <c r="S38" s="992" t="s">
        <v>975</v>
      </c>
      <c r="T38" s="993">
        <f t="shared" si="0"/>
        <v>130</v>
      </c>
      <c r="U38" s="992" t="s">
        <v>1502</v>
      </c>
      <c r="V38" s="993">
        <f t="shared" si="1"/>
        <v>114</v>
      </c>
      <c r="W38" s="992" t="s">
        <v>9270</v>
      </c>
      <c r="X38" s="993">
        <f t="shared" si="2"/>
        <v>30</v>
      </c>
      <c r="Y38" s="994" t="s">
        <v>9271</v>
      </c>
      <c r="Z38" s="993">
        <f t="shared" si="3"/>
        <v>117</v>
      </c>
      <c r="AA38" s="994" t="s">
        <v>9271</v>
      </c>
      <c r="AB38" s="993">
        <f t="shared" si="4"/>
        <v>117</v>
      </c>
      <c r="AC38" s="994" t="s">
        <v>9272</v>
      </c>
      <c r="AD38" s="993">
        <f t="shared" si="5"/>
        <v>29</v>
      </c>
      <c r="AE38" s="518" t="s">
        <v>9183</v>
      </c>
      <c r="AF38" s="519" t="s">
        <v>9184</v>
      </c>
      <c r="AG38" s="995" t="s">
        <v>9179</v>
      </c>
      <c r="AH38" s="996" t="s">
        <v>169</v>
      </c>
      <c r="AI38" s="530" t="s">
        <v>2969</v>
      </c>
      <c r="AJ38" s="958">
        <v>1</v>
      </c>
      <c r="AK38" s="959" t="s">
        <v>5359</v>
      </c>
      <c r="AL38" s="960"/>
      <c r="AM38" s="997">
        <f>_xll.GetCtData("COAMOUNT","CONSAMOUNT",$A$1:$A$7,$D38,AM$10,"#147832")</f>
        <v>147832</v>
      </c>
    </row>
    <row r="39" spans="1:39">
      <c r="A39" s="427">
        <v>3</v>
      </c>
      <c r="B39" s="427" t="s">
        <v>9153</v>
      </c>
      <c r="D39" s="986" t="s">
        <v>9273</v>
      </c>
      <c r="E39" s="949" t="s">
        <v>2912</v>
      </c>
      <c r="F39" s="950">
        <v>9</v>
      </c>
      <c r="G39" s="950"/>
      <c r="H39" s="950"/>
      <c r="I39" s="950"/>
      <c r="J39" s="950"/>
      <c r="K39" s="950"/>
      <c r="L39" s="950"/>
      <c r="M39" s="950"/>
      <c r="N39" s="950"/>
      <c r="O39" s="950"/>
      <c r="P39" s="986" t="s">
        <v>9274</v>
      </c>
      <c r="Q39" s="986"/>
      <c r="R39" s="986" t="s">
        <v>9274</v>
      </c>
      <c r="S39" s="986" t="s">
        <v>976</v>
      </c>
      <c r="T39" s="987">
        <f t="shared" si="0"/>
        <v>99</v>
      </c>
      <c r="U39" s="986" t="s">
        <v>976</v>
      </c>
      <c r="V39" s="987">
        <f t="shared" si="1"/>
        <v>99</v>
      </c>
      <c r="W39" s="986" t="s">
        <v>9275</v>
      </c>
      <c r="X39" s="987">
        <f t="shared" si="2"/>
        <v>28</v>
      </c>
      <c r="Y39" s="988" t="s">
        <v>9276</v>
      </c>
      <c r="Z39" s="987">
        <f t="shared" si="3"/>
        <v>60</v>
      </c>
      <c r="AA39" s="988" t="s">
        <v>9277</v>
      </c>
      <c r="AB39" s="987">
        <f t="shared" si="4"/>
        <v>59</v>
      </c>
      <c r="AC39" s="988" t="s">
        <v>9278</v>
      </c>
      <c r="AD39" s="987">
        <f t="shared" si="5"/>
        <v>30</v>
      </c>
      <c r="AE39" s="987"/>
      <c r="AF39" s="987"/>
      <c r="AG39" s="967"/>
      <c r="AH39" s="968"/>
      <c r="AI39" s="530" t="s">
        <v>2969</v>
      </c>
      <c r="AJ39" s="958">
        <v>1</v>
      </c>
      <c r="AK39" s="959"/>
      <c r="AL39" s="960" t="s">
        <v>5930</v>
      </c>
      <c r="AM39" s="989">
        <f>_xll.GetCtData("COAMOUNT","CONSAMOUNT",$A$1:$A$7,$D39,AM$10,"#105913,708923867")</f>
        <v>105913</v>
      </c>
    </row>
    <row r="40" spans="1:39">
      <c r="A40" s="427">
        <v>3</v>
      </c>
      <c r="B40" s="427" t="s">
        <v>9153</v>
      </c>
      <c r="D40" s="990" t="s">
        <v>995</v>
      </c>
      <c r="E40" s="949" t="s">
        <v>2930</v>
      </c>
      <c r="F40" s="950">
        <v>10</v>
      </c>
      <c r="G40" s="950"/>
      <c r="H40" s="950"/>
      <c r="I40" s="950"/>
      <c r="J40" s="950"/>
      <c r="K40" s="950"/>
      <c r="L40" s="950"/>
      <c r="M40" s="950"/>
      <c r="N40" s="950"/>
      <c r="O40" s="950"/>
      <c r="P40" s="950"/>
      <c r="Q40" s="991"/>
      <c r="R40" s="990" t="s">
        <v>1494</v>
      </c>
      <c r="S40" s="992" t="s">
        <v>976</v>
      </c>
      <c r="T40" s="993">
        <f t="shared" si="0"/>
        <v>99</v>
      </c>
      <c r="U40" s="992" t="s">
        <v>976</v>
      </c>
      <c r="V40" s="993">
        <f t="shared" si="1"/>
        <v>99</v>
      </c>
      <c r="W40" s="992" t="s">
        <v>9275</v>
      </c>
      <c r="X40" s="993">
        <f t="shared" si="2"/>
        <v>28</v>
      </c>
      <c r="Y40" s="994" t="s">
        <v>9276</v>
      </c>
      <c r="Z40" s="993">
        <f t="shared" si="3"/>
        <v>60</v>
      </c>
      <c r="AA40" s="994" t="s">
        <v>9277</v>
      </c>
      <c r="AB40" s="993">
        <f t="shared" si="4"/>
        <v>59</v>
      </c>
      <c r="AC40" s="994" t="s">
        <v>9278</v>
      </c>
      <c r="AD40" s="993">
        <f t="shared" si="5"/>
        <v>30</v>
      </c>
      <c r="AE40" s="518" t="s">
        <v>9192</v>
      </c>
      <c r="AF40" s="519" t="s">
        <v>9193</v>
      </c>
      <c r="AG40" s="995" t="s">
        <v>9179</v>
      </c>
      <c r="AH40" s="996" t="s">
        <v>169</v>
      </c>
      <c r="AI40" s="530" t="s">
        <v>2969</v>
      </c>
      <c r="AJ40" s="958">
        <v>1</v>
      </c>
      <c r="AK40" s="959" t="s">
        <v>5359</v>
      </c>
      <c r="AL40" s="960" t="s">
        <v>5930</v>
      </c>
      <c r="AM40" s="997">
        <f>_xll.GetCtData("COAMOUNT","CONSAMOUNT",$A$1:$A$7,$D40,AM$10,"#105913,708923867")</f>
        <v>105913</v>
      </c>
    </row>
    <row r="41" spans="1:39">
      <c r="A41" s="427">
        <v>3</v>
      </c>
      <c r="B41" s="427" t="s">
        <v>9153</v>
      </c>
      <c r="D41" s="986" t="s">
        <v>9279</v>
      </c>
      <c r="E41" s="949" t="s">
        <v>2912</v>
      </c>
      <c r="F41" s="950">
        <v>9</v>
      </c>
      <c r="G41" s="950"/>
      <c r="H41" s="950"/>
      <c r="I41" s="950"/>
      <c r="J41" s="950"/>
      <c r="K41" s="950"/>
      <c r="L41" s="950"/>
      <c r="M41" s="950"/>
      <c r="N41" s="950"/>
      <c r="O41" s="950"/>
      <c r="P41" s="986" t="s">
        <v>9280</v>
      </c>
      <c r="Q41" s="986"/>
      <c r="R41" s="986" t="s">
        <v>9280</v>
      </c>
      <c r="S41" s="986" t="s">
        <v>1498</v>
      </c>
      <c r="T41" s="987">
        <f t="shared" si="0"/>
        <v>82</v>
      </c>
      <c r="U41" s="986" t="s">
        <v>1498</v>
      </c>
      <c r="V41" s="987">
        <f t="shared" si="1"/>
        <v>82</v>
      </c>
      <c r="W41" s="986" t="s">
        <v>9281</v>
      </c>
      <c r="X41" s="987">
        <f t="shared" si="2"/>
        <v>29</v>
      </c>
      <c r="Y41" s="988" t="s">
        <v>9282</v>
      </c>
      <c r="Z41" s="987">
        <f t="shared" si="3"/>
        <v>51</v>
      </c>
      <c r="AA41" s="988" t="s">
        <v>9283</v>
      </c>
      <c r="AB41" s="987">
        <f t="shared" si="4"/>
        <v>49</v>
      </c>
      <c r="AC41" s="988" t="s">
        <v>9284</v>
      </c>
      <c r="AD41" s="987">
        <f t="shared" si="5"/>
        <v>30</v>
      </c>
      <c r="AE41" s="987"/>
      <c r="AF41" s="987"/>
      <c r="AG41" s="967"/>
      <c r="AH41" s="968"/>
      <c r="AI41" s="530" t="s">
        <v>2969</v>
      </c>
      <c r="AJ41" s="958">
        <v>1</v>
      </c>
      <c r="AK41" s="959"/>
      <c r="AL41" s="960" t="s">
        <v>5930</v>
      </c>
      <c r="AM41" s="989">
        <f>_xll.GetCtData("COAMOUNT","CONSAMOUNT",$A$1:$A$7,$D41,AM$10,"#1753756,96683671")</f>
        <v>1753756</v>
      </c>
    </row>
    <row r="42" spans="1:39">
      <c r="A42" s="427">
        <v>3</v>
      </c>
      <c r="B42" s="427" t="s">
        <v>9153</v>
      </c>
      <c r="D42" s="990" t="s">
        <v>1639</v>
      </c>
      <c r="E42" s="949" t="s">
        <v>2930</v>
      </c>
      <c r="F42" s="950">
        <v>10</v>
      </c>
      <c r="G42" s="950"/>
      <c r="H42" s="950"/>
      <c r="I42" s="950"/>
      <c r="J42" s="950"/>
      <c r="K42" s="950"/>
      <c r="L42" s="950"/>
      <c r="M42" s="950"/>
      <c r="N42" s="950"/>
      <c r="O42" s="950"/>
      <c r="P42" s="950"/>
      <c r="Q42" s="991"/>
      <c r="R42" s="990" t="s">
        <v>1497</v>
      </c>
      <c r="S42" s="992" t="s">
        <v>1498</v>
      </c>
      <c r="T42" s="993">
        <f t="shared" si="0"/>
        <v>82</v>
      </c>
      <c r="U42" s="992" t="s">
        <v>1498</v>
      </c>
      <c r="V42" s="993">
        <f t="shared" si="1"/>
        <v>82</v>
      </c>
      <c r="W42" s="992" t="s">
        <v>9281</v>
      </c>
      <c r="X42" s="993">
        <f t="shared" si="2"/>
        <v>29</v>
      </c>
      <c r="Y42" s="994" t="s">
        <v>9282</v>
      </c>
      <c r="Z42" s="993">
        <f t="shared" si="3"/>
        <v>51</v>
      </c>
      <c r="AA42" s="994" t="s">
        <v>9283</v>
      </c>
      <c r="AB42" s="993">
        <f t="shared" si="4"/>
        <v>49</v>
      </c>
      <c r="AC42" s="994" t="s">
        <v>9284</v>
      </c>
      <c r="AD42" s="993">
        <f t="shared" si="5"/>
        <v>30</v>
      </c>
      <c r="AE42" s="518" t="s">
        <v>9200</v>
      </c>
      <c r="AF42" s="519" t="s">
        <v>9201</v>
      </c>
      <c r="AG42" s="995" t="s">
        <v>9179</v>
      </c>
      <c r="AH42" s="996" t="s">
        <v>169</v>
      </c>
      <c r="AI42" s="530" t="s">
        <v>2969</v>
      </c>
      <c r="AJ42" s="958">
        <v>1</v>
      </c>
      <c r="AK42" s="959" t="s">
        <v>5359</v>
      </c>
      <c r="AL42" s="960" t="s">
        <v>5930</v>
      </c>
      <c r="AM42" s="997">
        <f>_xll.GetCtData("COAMOUNT","CONSAMOUNT",$A$1:$A$7,$D42,AM$10,"#1753756,96683671")</f>
        <v>1753756</v>
      </c>
    </row>
    <row r="43" spans="1:39">
      <c r="A43" s="427">
        <v>3</v>
      </c>
      <c r="B43" s="427" t="s">
        <v>9153</v>
      </c>
      <c r="D43" s="986" t="s">
        <v>9285</v>
      </c>
      <c r="E43" s="949" t="s">
        <v>2912</v>
      </c>
      <c r="F43" s="950">
        <v>9</v>
      </c>
      <c r="G43" s="950"/>
      <c r="H43" s="950"/>
      <c r="I43" s="950"/>
      <c r="J43" s="950"/>
      <c r="K43" s="950"/>
      <c r="L43" s="950"/>
      <c r="M43" s="950"/>
      <c r="N43" s="950"/>
      <c r="O43" s="950"/>
      <c r="P43" s="986" t="s">
        <v>9286</v>
      </c>
      <c r="Q43" s="986"/>
      <c r="R43" s="986" t="s">
        <v>9286</v>
      </c>
      <c r="S43" s="986" t="s">
        <v>2674</v>
      </c>
      <c r="T43" s="987">
        <f t="shared" si="0"/>
        <v>85</v>
      </c>
      <c r="U43" s="986" t="s">
        <v>2674</v>
      </c>
      <c r="V43" s="987">
        <f t="shared" si="1"/>
        <v>85</v>
      </c>
      <c r="W43" s="986" t="s">
        <v>9287</v>
      </c>
      <c r="X43" s="987">
        <f t="shared" si="2"/>
        <v>30</v>
      </c>
      <c r="Y43" s="988" t="s">
        <v>9288</v>
      </c>
      <c r="Z43" s="987">
        <f t="shared" si="3"/>
        <v>55</v>
      </c>
      <c r="AA43" s="988" t="s">
        <v>9289</v>
      </c>
      <c r="AB43" s="987">
        <f t="shared" si="4"/>
        <v>54</v>
      </c>
      <c r="AC43" s="988" t="s">
        <v>9290</v>
      </c>
      <c r="AD43" s="987">
        <f t="shared" si="5"/>
        <v>26</v>
      </c>
      <c r="AE43" s="987"/>
      <c r="AF43" s="987"/>
      <c r="AG43" s="967"/>
      <c r="AH43" s="968"/>
      <c r="AI43" s="530" t="s">
        <v>2969</v>
      </c>
      <c r="AJ43" s="958">
        <v>1</v>
      </c>
      <c r="AK43" s="959"/>
      <c r="AL43" s="960" t="s">
        <v>5930</v>
      </c>
      <c r="AM43" s="989">
        <f>_xll.GetCtData("COAMOUNT","CONSAMOUNT",$A$1:$A$7,$D43,AM$10,"#168484,777840685")</f>
        <v>168484</v>
      </c>
    </row>
    <row r="44" spans="1:39">
      <c r="A44" s="427">
        <v>3</v>
      </c>
      <c r="B44" s="427" t="s">
        <v>9153</v>
      </c>
      <c r="D44" s="990" t="s">
        <v>996</v>
      </c>
      <c r="E44" s="949" t="s">
        <v>2930</v>
      </c>
      <c r="F44" s="950">
        <v>10</v>
      </c>
      <c r="G44" s="950"/>
      <c r="H44" s="950"/>
      <c r="I44" s="950"/>
      <c r="J44" s="950"/>
      <c r="K44" s="950"/>
      <c r="L44" s="950"/>
      <c r="M44" s="950"/>
      <c r="N44" s="950"/>
      <c r="O44" s="950"/>
      <c r="P44" s="950"/>
      <c r="Q44" s="991"/>
      <c r="R44" s="990" t="s">
        <v>2542</v>
      </c>
      <c r="S44" s="992" t="s">
        <v>2674</v>
      </c>
      <c r="T44" s="993">
        <f t="shared" si="0"/>
        <v>85</v>
      </c>
      <c r="U44" s="992" t="s">
        <v>2674</v>
      </c>
      <c r="V44" s="993">
        <f t="shared" si="1"/>
        <v>85</v>
      </c>
      <c r="W44" s="992" t="s">
        <v>9287</v>
      </c>
      <c r="X44" s="993">
        <f t="shared" si="2"/>
        <v>30</v>
      </c>
      <c r="Y44" s="994" t="s">
        <v>9288</v>
      </c>
      <c r="Z44" s="993">
        <f t="shared" si="3"/>
        <v>55</v>
      </c>
      <c r="AA44" s="994" t="s">
        <v>9289</v>
      </c>
      <c r="AB44" s="993">
        <f t="shared" si="4"/>
        <v>54</v>
      </c>
      <c r="AC44" s="994" t="s">
        <v>9290</v>
      </c>
      <c r="AD44" s="993">
        <f t="shared" si="5"/>
        <v>26</v>
      </c>
      <c r="AE44" s="518" t="s">
        <v>9208</v>
      </c>
      <c r="AF44" s="519" t="s">
        <v>9209</v>
      </c>
      <c r="AG44" s="995" t="s">
        <v>9179</v>
      </c>
      <c r="AH44" s="996" t="s">
        <v>169</v>
      </c>
      <c r="AI44" s="530" t="s">
        <v>2969</v>
      </c>
      <c r="AJ44" s="958">
        <v>1</v>
      </c>
      <c r="AK44" s="959" t="s">
        <v>5359</v>
      </c>
      <c r="AL44" s="960" t="s">
        <v>5930</v>
      </c>
      <c r="AM44" s="997">
        <f>_xll.GetCtData("COAMOUNT","CONSAMOUNT",$A$1:$A$7,$D44,AM$10,"#168484,777840685")</f>
        <v>168484</v>
      </c>
    </row>
    <row r="45" spans="1:39">
      <c r="A45" s="427">
        <v>3</v>
      </c>
      <c r="B45" s="427" t="s">
        <v>9153</v>
      </c>
      <c r="D45" s="986" t="s">
        <v>9291</v>
      </c>
      <c r="E45" s="949" t="s">
        <v>2912</v>
      </c>
      <c r="F45" s="950">
        <v>9</v>
      </c>
      <c r="G45" s="950"/>
      <c r="H45" s="950"/>
      <c r="I45" s="950"/>
      <c r="J45" s="950"/>
      <c r="K45" s="950"/>
      <c r="L45" s="950"/>
      <c r="M45" s="950"/>
      <c r="N45" s="950"/>
      <c r="O45" s="950"/>
      <c r="P45" s="986" t="s">
        <v>9292</v>
      </c>
      <c r="Q45" s="986"/>
      <c r="R45" s="986" t="s">
        <v>9292</v>
      </c>
      <c r="S45" s="986" t="s">
        <v>9293</v>
      </c>
      <c r="T45" s="987">
        <f t="shared" si="0"/>
        <v>81</v>
      </c>
      <c r="U45" s="986" t="s">
        <v>9293</v>
      </c>
      <c r="V45" s="987">
        <f t="shared" si="1"/>
        <v>81</v>
      </c>
      <c r="W45" s="986" t="s">
        <v>9294</v>
      </c>
      <c r="X45" s="987">
        <f t="shared" si="2"/>
        <v>24</v>
      </c>
      <c r="Y45" s="988" t="s">
        <v>9295</v>
      </c>
      <c r="Z45" s="987">
        <f t="shared" si="3"/>
        <v>69</v>
      </c>
      <c r="AA45" s="988" t="s">
        <v>9296</v>
      </c>
      <c r="AB45" s="987">
        <f t="shared" si="4"/>
        <v>68</v>
      </c>
      <c r="AC45" s="988" t="s">
        <v>9297</v>
      </c>
      <c r="AD45" s="987">
        <f t="shared" si="5"/>
        <v>30</v>
      </c>
      <c r="AE45" s="987"/>
      <c r="AF45" s="987"/>
      <c r="AG45" s="967"/>
      <c r="AH45" s="968"/>
      <c r="AI45" s="530" t="s">
        <v>2969</v>
      </c>
      <c r="AJ45" s="958">
        <v>1</v>
      </c>
      <c r="AK45" s="959"/>
      <c r="AL45" s="960" t="s">
        <v>5930</v>
      </c>
      <c r="AM45" s="989">
        <f>_xll.GetCtData("COAMOUNT","CONSAMOUNT",$A$1:$A$7,$D45,AM$10,"#")</f>
        <v>0</v>
      </c>
    </row>
    <row r="46" spans="1:39">
      <c r="A46" s="427" t="s">
        <v>6610</v>
      </c>
      <c r="B46" s="427" t="s">
        <v>6610</v>
      </c>
      <c r="D46" s="990" t="s">
        <v>997</v>
      </c>
      <c r="E46" s="949" t="s">
        <v>2930</v>
      </c>
      <c r="F46" s="950">
        <v>10</v>
      </c>
      <c r="G46" s="950"/>
      <c r="H46" s="950"/>
      <c r="I46" s="950"/>
      <c r="J46" s="950"/>
      <c r="K46" s="950"/>
      <c r="L46" s="950"/>
      <c r="M46" s="950"/>
      <c r="N46" s="950"/>
      <c r="O46" s="950"/>
      <c r="P46" s="950"/>
      <c r="Q46" s="991"/>
      <c r="R46" s="990" t="s">
        <v>977</v>
      </c>
      <c r="S46" s="992" t="s">
        <v>978</v>
      </c>
      <c r="T46" s="993">
        <f t="shared" si="0"/>
        <v>103</v>
      </c>
      <c r="U46" s="992" t="s">
        <v>978</v>
      </c>
      <c r="V46" s="993">
        <f t="shared" si="1"/>
        <v>103</v>
      </c>
      <c r="W46" s="992" t="s">
        <v>9298</v>
      </c>
      <c r="X46" s="993">
        <f t="shared" si="2"/>
        <v>30</v>
      </c>
      <c r="Y46" s="994" t="s">
        <v>9295</v>
      </c>
      <c r="Z46" s="993">
        <f t="shared" si="3"/>
        <v>69</v>
      </c>
      <c r="AA46" s="994" t="s">
        <v>9296</v>
      </c>
      <c r="AB46" s="993">
        <f t="shared" si="4"/>
        <v>68</v>
      </c>
      <c r="AC46" s="994" t="s">
        <v>9297</v>
      </c>
      <c r="AD46" s="993">
        <f t="shared" si="5"/>
        <v>30</v>
      </c>
      <c r="AE46" s="518" t="s">
        <v>9218</v>
      </c>
      <c r="AF46" s="519" t="s">
        <v>9219</v>
      </c>
      <c r="AG46" s="995" t="s">
        <v>9179</v>
      </c>
      <c r="AH46" s="996" t="s">
        <v>169</v>
      </c>
      <c r="AI46" s="530" t="s">
        <v>2969</v>
      </c>
      <c r="AJ46" s="958">
        <v>1</v>
      </c>
      <c r="AK46" s="959" t="s">
        <v>5359</v>
      </c>
      <c r="AL46" s="960" t="s">
        <v>5930</v>
      </c>
      <c r="AM46" s="997">
        <f>_xll.GetCtData("COAMOUNT","CONSAMOUNT",$A$1:$A$7,$D46,AM$10,"#")</f>
        <v>0</v>
      </c>
    </row>
    <row r="47" spans="1:39">
      <c r="A47" s="427" t="s">
        <v>6610</v>
      </c>
      <c r="B47" s="427" t="s">
        <v>6610</v>
      </c>
      <c r="D47" s="990" t="s">
        <v>998</v>
      </c>
      <c r="E47" s="949" t="s">
        <v>2930</v>
      </c>
      <c r="F47" s="950">
        <v>10</v>
      </c>
      <c r="G47" s="950"/>
      <c r="H47" s="950"/>
      <c r="I47" s="950"/>
      <c r="J47" s="950"/>
      <c r="K47" s="950"/>
      <c r="L47" s="950"/>
      <c r="M47" s="950"/>
      <c r="N47" s="950"/>
      <c r="O47" s="950"/>
      <c r="P47" s="950"/>
      <c r="Q47" s="991"/>
      <c r="R47" s="990" t="s">
        <v>979</v>
      </c>
      <c r="S47" s="992" t="s">
        <v>980</v>
      </c>
      <c r="T47" s="993">
        <f t="shared" si="0"/>
        <v>109</v>
      </c>
      <c r="U47" s="992" t="s">
        <v>980</v>
      </c>
      <c r="V47" s="993">
        <f t="shared" si="1"/>
        <v>109</v>
      </c>
      <c r="W47" s="992" t="s">
        <v>9299</v>
      </c>
      <c r="X47" s="993">
        <f t="shared" si="2"/>
        <v>30</v>
      </c>
      <c r="Y47" s="994" t="s">
        <v>9300</v>
      </c>
      <c r="Z47" s="993">
        <f t="shared" si="3"/>
        <v>69</v>
      </c>
      <c r="AA47" s="994" t="s">
        <v>9301</v>
      </c>
      <c r="AB47" s="993">
        <f t="shared" si="4"/>
        <v>68</v>
      </c>
      <c r="AC47" s="994" t="s">
        <v>9302</v>
      </c>
      <c r="AD47" s="993">
        <f t="shared" si="5"/>
        <v>30</v>
      </c>
      <c r="AE47" s="518" t="s">
        <v>9224</v>
      </c>
      <c r="AF47" s="519" t="s">
        <v>9225</v>
      </c>
      <c r="AG47" s="995" t="s">
        <v>9179</v>
      </c>
      <c r="AH47" s="996" t="s">
        <v>169</v>
      </c>
      <c r="AI47" s="530" t="s">
        <v>2969</v>
      </c>
      <c r="AJ47" s="958">
        <v>1</v>
      </c>
      <c r="AK47" s="959" t="s">
        <v>5359</v>
      </c>
      <c r="AL47" s="960" t="s">
        <v>5930</v>
      </c>
      <c r="AM47" s="997">
        <f>_xll.GetCtData("COAMOUNT","CONSAMOUNT",$A$1:$A$7,$D47,AM$10,"#")</f>
        <v>0</v>
      </c>
    </row>
    <row r="48" spans="1:39">
      <c r="A48" s="427" t="s">
        <v>6610</v>
      </c>
      <c r="B48" s="427" t="s">
        <v>6610</v>
      </c>
      <c r="D48" s="986" t="s">
        <v>9303</v>
      </c>
      <c r="E48" s="949" t="s">
        <v>2912</v>
      </c>
      <c r="F48" s="950">
        <v>9</v>
      </c>
      <c r="G48" s="950"/>
      <c r="H48" s="950"/>
      <c r="I48" s="950"/>
      <c r="J48" s="950"/>
      <c r="K48" s="950"/>
      <c r="L48" s="950"/>
      <c r="M48" s="950"/>
      <c r="N48" s="950"/>
      <c r="O48" s="950"/>
      <c r="P48" s="986" t="s">
        <v>9304</v>
      </c>
      <c r="Q48" s="986"/>
      <c r="R48" s="986" t="s">
        <v>9304</v>
      </c>
      <c r="S48" s="986" t="s">
        <v>9305</v>
      </c>
      <c r="T48" s="987">
        <f t="shared" si="0"/>
        <v>80</v>
      </c>
      <c r="U48" s="986" t="s">
        <v>9305</v>
      </c>
      <c r="V48" s="987">
        <f t="shared" si="1"/>
        <v>80</v>
      </c>
      <c r="W48" s="986" t="s">
        <v>9306</v>
      </c>
      <c r="X48" s="987">
        <f t="shared" si="2"/>
        <v>30</v>
      </c>
      <c r="Y48" s="988" t="s">
        <v>9307</v>
      </c>
      <c r="Z48" s="987">
        <f t="shared" si="3"/>
        <v>58</v>
      </c>
      <c r="AA48" s="988" t="s">
        <v>9308</v>
      </c>
      <c r="AB48" s="987">
        <f t="shared" si="4"/>
        <v>56</v>
      </c>
      <c r="AC48" s="988" t="s">
        <v>9309</v>
      </c>
      <c r="AD48" s="987">
        <f t="shared" si="5"/>
        <v>30</v>
      </c>
      <c r="AE48" s="987"/>
      <c r="AF48" s="987"/>
      <c r="AG48" s="967"/>
      <c r="AH48" s="968"/>
      <c r="AI48" s="530" t="s">
        <v>2969</v>
      </c>
      <c r="AJ48" s="958">
        <v>1</v>
      </c>
      <c r="AK48" s="959"/>
      <c r="AL48" s="960" t="s">
        <v>5930</v>
      </c>
      <c r="AM48" s="989">
        <f>_xll.GetCtData("COAMOUNT","CONSAMOUNT",$A$1:$A$7,$D48,AM$10,"#4894")</f>
        <v>4894</v>
      </c>
    </row>
    <row r="49" spans="1:39">
      <c r="A49" s="427" t="s">
        <v>6610</v>
      </c>
      <c r="B49" s="427" t="s">
        <v>6610</v>
      </c>
      <c r="D49" s="990" t="s">
        <v>999</v>
      </c>
      <c r="E49" s="949" t="s">
        <v>2930</v>
      </c>
      <c r="F49" s="950">
        <v>10</v>
      </c>
      <c r="G49" s="950"/>
      <c r="H49" s="950"/>
      <c r="I49" s="950"/>
      <c r="J49" s="950"/>
      <c r="K49" s="950"/>
      <c r="L49" s="950"/>
      <c r="M49" s="950"/>
      <c r="N49" s="950"/>
      <c r="O49" s="950"/>
      <c r="P49" s="950"/>
      <c r="Q49" s="991"/>
      <c r="R49" s="990" t="s">
        <v>9310</v>
      </c>
      <c r="S49" s="992" t="s">
        <v>981</v>
      </c>
      <c r="T49" s="993">
        <f t="shared" si="0"/>
        <v>68</v>
      </c>
      <c r="U49" s="992" t="s">
        <v>981</v>
      </c>
      <c r="V49" s="993">
        <f t="shared" si="1"/>
        <v>68</v>
      </c>
      <c r="W49" s="992" t="s">
        <v>9311</v>
      </c>
      <c r="X49" s="993">
        <f t="shared" si="2"/>
        <v>30</v>
      </c>
      <c r="Y49" s="994" t="s">
        <v>9312</v>
      </c>
      <c r="Z49" s="993">
        <f t="shared" si="3"/>
        <v>43</v>
      </c>
      <c r="AA49" s="994" t="s">
        <v>9313</v>
      </c>
      <c r="AB49" s="993">
        <f t="shared" si="4"/>
        <v>41</v>
      </c>
      <c r="AC49" s="994" t="s">
        <v>9314</v>
      </c>
      <c r="AD49" s="993">
        <f t="shared" si="5"/>
        <v>29</v>
      </c>
      <c r="AE49" s="518" t="s">
        <v>9238</v>
      </c>
      <c r="AF49" s="519" t="s">
        <v>9239</v>
      </c>
      <c r="AG49" s="995" t="s">
        <v>9179</v>
      </c>
      <c r="AH49" s="996" t="s">
        <v>169</v>
      </c>
      <c r="AI49" s="530" t="s">
        <v>2969</v>
      </c>
      <c r="AJ49" s="958">
        <v>1</v>
      </c>
      <c r="AK49" s="959"/>
      <c r="AL49" s="960" t="s">
        <v>5930</v>
      </c>
      <c r="AM49" s="997">
        <f>_xll.GetCtData("COAMOUNT","CONSAMOUNT",$A$1:$A$7,$D49,AM$10,"#0")</f>
        <v>0</v>
      </c>
    </row>
    <row r="50" spans="1:39">
      <c r="A50" s="427" t="s">
        <v>6610</v>
      </c>
      <c r="B50" s="427" t="s">
        <v>6610</v>
      </c>
      <c r="D50" s="990" t="s">
        <v>1000</v>
      </c>
      <c r="E50" s="949" t="s">
        <v>2930</v>
      </c>
      <c r="F50" s="950">
        <v>10</v>
      </c>
      <c r="G50" s="950"/>
      <c r="H50" s="950"/>
      <c r="I50" s="950"/>
      <c r="J50" s="950"/>
      <c r="K50" s="950"/>
      <c r="L50" s="950"/>
      <c r="M50" s="950"/>
      <c r="N50" s="950"/>
      <c r="O50" s="950"/>
      <c r="P50" s="950"/>
      <c r="Q50" s="991"/>
      <c r="R50" s="990" t="s">
        <v>1492</v>
      </c>
      <c r="S50" s="992" t="s">
        <v>982</v>
      </c>
      <c r="T50" s="993">
        <f t="shared" si="0"/>
        <v>66</v>
      </c>
      <c r="U50" s="992" t="s">
        <v>982</v>
      </c>
      <c r="V50" s="993">
        <f t="shared" si="1"/>
        <v>66</v>
      </c>
      <c r="W50" s="992" t="s">
        <v>9315</v>
      </c>
      <c r="X50" s="993">
        <f t="shared" si="2"/>
        <v>30</v>
      </c>
      <c r="Y50" s="994" t="s">
        <v>9316</v>
      </c>
      <c r="Z50" s="993">
        <f t="shared" si="3"/>
        <v>46</v>
      </c>
      <c r="AA50" s="994" t="s">
        <v>9317</v>
      </c>
      <c r="AB50" s="993">
        <f t="shared" si="4"/>
        <v>44</v>
      </c>
      <c r="AC50" s="994" t="s">
        <v>9318</v>
      </c>
      <c r="AD50" s="993">
        <f t="shared" si="5"/>
        <v>24</v>
      </c>
      <c r="AE50" s="518" t="s">
        <v>9244</v>
      </c>
      <c r="AF50" s="519" t="s">
        <v>9245</v>
      </c>
      <c r="AG50" s="995" t="s">
        <v>9179</v>
      </c>
      <c r="AH50" s="996" t="s">
        <v>169</v>
      </c>
      <c r="AI50" s="530" t="s">
        <v>2969</v>
      </c>
      <c r="AJ50" s="958">
        <v>1</v>
      </c>
      <c r="AK50" s="959" t="s">
        <v>5359</v>
      </c>
      <c r="AL50" s="960" t="s">
        <v>5930</v>
      </c>
      <c r="AM50" s="997">
        <f>_xll.GetCtData("COAMOUNT","CONSAMOUNT",$A$1:$A$7,$D50,AM$10,"#4894")</f>
        <v>4894</v>
      </c>
    </row>
    <row r="51" spans="1:39">
      <c r="A51" s="427" t="s">
        <v>2962</v>
      </c>
      <c r="B51" s="998">
        <v>44515</v>
      </c>
      <c r="D51" s="986" t="s">
        <v>9319</v>
      </c>
      <c r="E51" s="949" t="s">
        <v>2912</v>
      </c>
      <c r="F51" s="950">
        <v>9</v>
      </c>
      <c r="G51" s="950"/>
      <c r="H51" s="950"/>
      <c r="I51" s="950"/>
      <c r="J51" s="950"/>
      <c r="K51" s="950"/>
      <c r="L51" s="950"/>
      <c r="M51" s="950"/>
      <c r="N51" s="950"/>
      <c r="O51" s="950"/>
      <c r="P51" s="986" t="s">
        <v>9320</v>
      </c>
      <c r="Q51" s="986"/>
      <c r="R51" s="986" t="s">
        <v>9320</v>
      </c>
      <c r="S51" s="986" t="s">
        <v>1506</v>
      </c>
      <c r="T51" s="987">
        <f t="shared" si="0"/>
        <v>85</v>
      </c>
      <c r="U51" s="986" t="s">
        <v>1506</v>
      </c>
      <c r="V51" s="987">
        <f t="shared" si="1"/>
        <v>85</v>
      </c>
      <c r="W51" s="986" t="s">
        <v>9321</v>
      </c>
      <c r="X51" s="987">
        <f t="shared" si="2"/>
        <v>24</v>
      </c>
      <c r="Y51" s="988" t="s">
        <v>9322</v>
      </c>
      <c r="Z51" s="987">
        <f t="shared" si="3"/>
        <v>40</v>
      </c>
      <c r="AA51" s="988" t="s">
        <v>9322</v>
      </c>
      <c r="AB51" s="987">
        <f t="shared" si="4"/>
        <v>40</v>
      </c>
      <c r="AC51" s="988" t="s">
        <v>9323</v>
      </c>
      <c r="AD51" s="987">
        <f t="shared" si="5"/>
        <v>18</v>
      </c>
      <c r="AE51" s="987"/>
      <c r="AF51" s="987"/>
      <c r="AG51" s="967"/>
      <c r="AH51" s="968"/>
      <c r="AI51" s="530" t="s">
        <v>2969</v>
      </c>
      <c r="AJ51" s="958">
        <v>1</v>
      </c>
      <c r="AK51" s="959"/>
      <c r="AL51" s="960" t="s">
        <v>9251</v>
      </c>
      <c r="AM51" s="989">
        <f>_xll.GetCtData("COAMOUNT","CONSAMOUNT",$A$1:$A$7,$D51,AM$10,"#-855,21409844003")</f>
        <v>-855</v>
      </c>
    </row>
    <row r="52" spans="1:39">
      <c r="A52" s="427" t="s">
        <v>2962</v>
      </c>
      <c r="B52" s="998">
        <v>44515</v>
      </c>
      <c r="D52" s="990" t="s">
        <v>1001</v>
      </c>
      <c r="E52" s="949" t="s">
        <v>2930</v>
      </c>
      <c r="F52" s="950">
        <v>10</v>
      </c>
      <c r="G52" s="950"/>
      <c r="H52" s="950"/>
      <c r="I52" s="950"/>
      <c r="J52" s="950"/>
      <c r="K52" s="950"/>
      <c r="L52" s="950"/>
      <c r="M52" s="950"/>
      <c r="N52" s="950"/>
      <c r="O52" s="950"/>
      <c r="P52" s="950"/>
      <c r="Q52" s="991"/>
      <c r="R52" s="990" t="s">
        <v>1505</v>
      </c>
      <c r="S52" s="992" t="s">
        <v>1506</v>
      </c>
      <c r="T52" s="993">
        <f t="shared" si="0"/>
        <v>85</v>
      </c>
      <c r="U52" s="992" t="s">
        <v>1506</v>
      </c>
      <c r="V52" s="993">
        <f t="shared" si="1"/>
        <v>85</v>
      </c>
      <c r="W52" s="992" t="s">
        <v>9321</v>
      </c>
      <c r="X52" s="993">
        <f t="shared" si="2"/>
        <v>24</v>
      </c>
      <c r="Y52" s="994" t="s">
        <v>9322</v>
      </c>
      <c r="Z52" s="993">
        <f t="shared" si="3"/>
        <v>40</v>
      </c>
      <c r="AA52" s="994" t="s">
        <v>9322</v>
      </c>
      <c r="AB52" s="993">
        <f t="shared" si="4"/>
        <v>40</v>
      </c>
      <c r="AC52" s="994" t="s">
        <v>9323</v>
      </c>
      <c r="AD52" s="993">
        <f t="shared" si="5"/>
        <v>18</v>
      </c>
      <c r="AE52" s="518" t="s">
        <v>9252</v>
      </c>
      <c r="AF52" s="519" t="s">
        <v>9253</v>
      </c>
      <c r="AG52" s="995" t="s">
        <v>9179</v>
      </c>
      <c r="AH52" s="996" t="s">
        <v>169</v>
      </c>
      <c r="AI52" s="530" t="s">
        <v>2969</v>
      </c>
      <c r="AJ52" s="958">
        <v>1</v>
      </c>
      <c r="AK52" s="959" t="s">
        <v>5359</v>
      </c>
      <c r="AL52" s="960" t="s">
        <v>9251</v>
      </c>
      <c r="AM52" s="997">
        <f>_xll.GetCtData("COAMOUNT","CONSAMOUNT",$A$1:$A$7,$D52,AM$10,"#-855,21409844003")</f>
        <v>-855</v>
      </c>
    </row>
    <row r="53" spans="1:39">
      <c r="A53" s="427">
        <v>3</v>
      </c>
      <c r="B53" s="427" t="s">
        <v>9153</v>
      </c>
      <c r="D53" s="410" t="s">
        <v>9324</v>
      </c>
      <c r="E53" s="949" t="s">
        <v>2912</v>
      </c>
      <c r="F53" s="950">
        <v>7</v>
      </c>
      <c r="G53" s="950"/>
      <c r="H53" s="950"/>
      <c r="I53" s="950"/>
      <c r="J53" s="950"/>
      <c r="K53" s="950"/>
      <c r="L53" s="950"/>
      <c r="M53" s="950"/>
      <c r="N53" s="410" t="s">
        <v>9325</v>
      </c>
      <c r="O53" s="975"/>
      <c r="P53" s="975"/>
      <c r="Q53" s="410"/>
      <c r="R53" s="410" t="s">
        <v>9325</v>
      </c>
      <c r="S53" s="410" t="s">
        <v>9326</v>
      </c>
      <c r="T53" s="976">
        <f t="shared" si="0"/>
        <v>47</v>
      </c>
      <c r="U53" s="410" t="s">
        <v>9326</v>
      </c>
      <c r="V53" s="976">
        <f t="shared" si="1"/>
        <v>47</v>
      </c>
      <c r="W53" s="410" t="s">
        <v>9327</v>
      </c>
      <c r="X53" s="976">
        <f t="shared" si="2"/>
        <v>17</v>
      </c>
      <c r="Y53" s="977" t="s">
        <v>9328</v>
      </c>
      <c r="Z53" s="976">
        <f t="shared" si="3"/>
        <v>21</v>
      </c>
      <c r="AA53" s="977" t="s">
        <v>9328</v>
      </c>
      <c r="AB53" s="976">
        <f t="shared" si="4"/>
        <v>21</v>
      </c>
      <c r="AC53" s="977" t="s">
        <v>9328</v>
      </c>
      <c r="AD53" s="976">
        <f t="shared" si="5"/>
        <v>21</v>
      </c>
      <c r="AE53" s="976"/>
      <c r="AF53" s="976"/>
      <c r="AG53" s="995"/>
      <c r="AH53" s="996"/>
      <c r="AI53" s="530" t="s">
        <v>2969</v>
      </c>
      <c r="AJ53" s="958">
        <v>1</v>
      </c>
      <c r="AK53" s="959"/>
      <c r="AL53" s="960" t="s">
        <v>5930</v>
      </c>
      <c r="AM53" s="980">
        <f>_xll.GetCtData("COAMOUNT","CONSAMOUNT",$A$1:$A$7,$D53,AM$10,"#895470")</f>
        <v>895470</v>
      </c>
    </row>
    <row r="54" spans="1:39">
      <c r="A54" s="427">
        <v>3</v>
      </c>
      <c r="B54" s="427" t="s">
        <v>9153</v>
      </c>
      <c r="D54" s="981" t="s">
        <v>9329</v>
      </c>
      <c r="E54" s="949" t="s">
        <v>2912</v>
      </c>
      <c r="F54" s="950">
        <v>8</v>
      </c>
      <c r="G54" s="950"/>
      <c r="H54" s="950"/>
      <c r="I54" s="950"/>
      <c r="J54" s="950"/>
      <c r="K54" s="950"/>
      <c r="L54" s="950"/>
      <c r="M54" s="950"/>
      <c r="N54" s="950"/>
      <c r="O54" s="981" t="s">
        <v>9330</v>
      </c>
      <c r="P54" s="982"/>
      <c r="Q54" s="981"/>
      <c r="R54" s="981" t="s">
        <v>9330</v>
      </c>
      <c r="S54" s="981" t="s">
        <v>9326</v>
      </c>
      <c r="T54" s="983">
        <f t="shared" si="0"/>
        <v>47</v>
      </c>
      <c r="U54" s="981" t="s">
        <v>9326</v>
      </c>
      <c r="V54" s="983">
        <f t="shared" si="1"/>
        <v>47</v>
      </c>
      <c r="W54" s="981" t="s">
        <v>9327</v>
      </c>
      <c r="X54" s="983">
        <f t="shared" si="2"/>
        <v>17</v>
      </c>
      <c r="Y54" s="981" t="s">
        <v>9328</v>
      </c>
      <c r="Z54" s="983">
        <f t="shared" si="3"/>
        <v>21</v>
      </c>
      <c r="AA54" s="981" t="s">
        <v>9328</v>
      </c>
      <c r="AB54" s="983">
        <f t="shared" si="4"/>
        <v>21</v>
      </c>
      <c r="AC54" s="981" t="s">
        <v>9328</v>
      </c>
      <c r="AD54" s="983">
        <f t="shared" si="5"/>
        <v>21</v>
      </c>
      <c r="AE54" s="984"/>
      <c r="AF54" s="984"/>
      <c r="AI54" s="530" t="s">
        <v>2969</v>
      </c>
      <c r="AJ54" s="958">
        <v>1</v>
      </c>
      <c r="AK54" s="959"/>
      <c r="AL54" s="960" t="s">
        <v>5930</v>
      </c>
      <c r="AM54" s="985">
        <f>_xll.GetCtData("COAMOUNT","CONSAMOUNT",$A$1:$A$7,$D54,AM$10,"#895470")</f>
        <v>895470</v>
      </c>
    </row>
    <row r="55" spans="1:39">
      <c r="A55" s="427" t="s">
        <v>6610</v>
      </c>
      <c r="B55" s="427" t="s">
        <v>6610</v>
      </c>
      <c r="D55" s="986" t="s">
        <v>9331</v>
      </c>
      <c r="E55" s="949" t="s">
        <v>2912</v>
      </c>
      <c r="F55" s="950">
        <v>9</v>
      </c>
      <c r="G55" s="950"/>
      <c r="H55" s="950"/>
      <c r="I55" s="950"/>
      <c r="J55" s="950"/>
      <c r="K55" s="950"/>
      <c r="L55" s="950"/>
      <c r="M55" s="950"/>
      <c r="N55" s="950"/>
      <c r="O55" s="950"/>
      <c r="P55" s="986" t="s">
        <v>9332</v>
      </c>
      <c r="Q55" s="986"/>
      <c r="R55" s="986" t="s">
        <v>9332</v>
      </c>
      <c r="S55" s="986" t="s">
        <v>2767</v>
      </c>
      <c r="T55" s="987">
        <f t="shared" si="0"/>
        <v>104</v>
      </c>
      <c r="U55" s="986" t="s">
        <v>2767</v>
      </c>
      <c r="V55" s="987">
        <f t="shared" si="1"/>
        <v>104</v>
      </c>
      <c r="W55" s="986" t="s">
        <v>9333</v>
      </c>
      <c r="X55" s="987">
        <f t="shared" si="2"/>
        <v>30</v>
      </c>
      <c r="Y55" s="988" t="s">
        <v>9334</v>
      </c>
      <c r="Z55" s="987">
        <f t="shared" si="3"/>
        <v>88</v>
      </c>
      <c r="AA55" s="988" t="s">
        <v>9334</v>
      </c>
      <c r="AB55" s="987">
        <f t="shared" si="4"/>
        <v>88</v>
      </c>
      <c r="AC55" s="988" t="s">
        <v>9335</v>
      </c>
      <c r="AD55" s="987">
        <f t="shared" si="5"/>
        <v>30</v>
      </c>
      <c r="AE55" s="987"/>
      <c r="AF55" s="987"/>
      <c r="AG55" s="967"/>
      <c r="AH55" s="968"/>
      <c r="AI55" s="530" t="s">
        <v>2969</v>
      </c>
      <c r="AJ55" s="958">
        <v>1</v>
      </c>
      <c r="AK55" s="959"/>
      <c r="AL55" s="960"/>
      <c r="AM55" s="989">
        <f>_xll.GetCtData("COAMOUNT","CONSAMOUNT",$A$1:$A$7,$D55,AM$10,"#895470")</f>
        <v>895470</v>
      </c>
    </row>
    <row r="56" spans="1:39">
      <c r="A56" s="427" t="s">
        <v>6610</v>
      </c>
      <c r="B56" s="427" t="s">
        <v>6610</v>
      </c>
      <c r="D56" s="990" t="s">
        <v>1035</v>
      </c>
      <c r="E56" s="949" t="s">
        <v>2930</v>
      </c>
      <c r="F56" s="950">
        <v>10</v>
      </c>
      <c r="G56" s="950"/>
      <c r="H56" s="950"/>
      <c r="I56" s="950"/>
      <c r="J56" s="950"/>
      <c r="K56" s="950"/>
      <c r="L56" s="950"/>
      <c r="M56" s="950"/>
      <c r="N56" s="950"/>
      <c r="O56" s="950"/>
      <c r="P56" s="950"/>
      <c r="Q56" s="991"/>
      <c r="R56" s="990" t="s">
        <v>2766</v>
      </c>
      <c r="S56" s="992" t="s">
        <v>2767</v>
      </c>
      <c r="T56" s="993">
        <f t="shared" si="0"/>
        <v>104</v>
      </c>
      <c r="U56" s="992" t="s">
        <v>2767</v>
      </c>
      <c r="V56" s="993">
        <f t="shared" si="1"/>
        <v>104</v>
      </c>
      <c r="W56" s="992" t="s">
        <v>9333</v>
      </c>
      <c r="X56" s="993">
        <f t="shared" si="2"/>
        <v>30</v>
      </c>
      <c r="Y56" s="994" t="s">
        <v>9334</v>
      </c>
      <c r="Z56" s="993">
        <f t="shared" si="3"/>
        <v>88</v>
      </c>
      <c r="AA56" s="994" t="s">
        <v>9334</v>
      </c>
      <c r="AB56" s="993">
        <f t="shared" si="4"/>
        <v>88</v>
      </c>
      <c r="AC56" s="994" t="s">
        <v>9335</v>
      </c>
      <c r="AD56" s="993">
        <f t="shared" si="5"/>
        <v>30</v>
      </c>
      <c r="AE56" s="518" t="s">
        <v>9336</v>
      </c>
      <c r="AF56" s="519" t="s">
        <v>9337</v>
      </c>
      <c r="AG56" s="995" t="s">
        <v>9179</v>
      </c>
      <c r="AH56" s="996" t="s">
        <v>169</v>
      </c>
      <c r="AI56" s="530" t="s">
        <v>2969</v>
      </c>
      <c r="AJ56" s="958">
        <v>1</v>
      </c>
      <c r="AK56" s="959" t="s">
        <v>5359</v>
      </c>
      <c r="AL56" s="960"/>
      <c r="AM56" s="997">
        <f>_xll.GetCtData("COAMOUNT","CONSAMOUNT",$A$1:$A$7,$D56,AM$10,"#895470")</f>
        <v>895470</v>
      </c>
    </row>
    <row r="57" spans="1:39">
      <c r="A57" s="427" t="s">
        <v>6610</v>
      </c>
      <c r="B57" s="427" t="s">
        <v>6610</v>
      </c>
      <c r="D57" s="986" t="s">
        <v>9338</v>
      </c>
      <c r="E57" s="949" t="s">
        <v>2912</v>
      </c>
      <c r="F57" s="950">
        <v>9</v>
      </c>
      <c r="G57" s="950"/>
      <c r="H57" s="950"/>
      <c r="I57" s="950"/>
      <c r="J57" s="950"/>
      <c r="K57" s="950"/>
      <c r="L57" s="950"/>
      <c r="M57" s="950"/>
      <c r="N57" s="950"/>
      <c r="O57" s="950"/>
      <c r="P57" s="986" t="s">
        <v>9339</v>
      </c>
      <c r="Q57" s="986"/>
      <c r="R57" s="986" t="s">
        <v>9339</v>
      </c>
      <c r="S57" s="986" t="s">
        <v>9340</v>
      </c>
      <c r="T57" s="987">
        <f t="shared" si="0"/>
        <v>79</v>
      </c>
      <c r="U57" s="986" t="s">
        <v>9340</v>
      </c>
      <c r="V57" s="987">
        <f t="shared" si="1"/>
        <v>79</v>
      </c>
      <c r="W57" s="986" t="s">
        <v>9341</v>
      </c>
      <c r="X57" s="987">
        <f t="shared" si="2"/>
        <v>27</v>
      </c>
      <c r="Y57" s="988" t="s">
        <v>9342</v>
      </c>
      <c r="Z57" s="987">
        <f t="shared" si="3"/>
        <v>58</v>
      </c>
      <c r="AA57" s="988" t="s">
        <v>9343</v>
      </c>
      <c r="AB57" s="987">
        <f t="shared" si="4"/>
        <v>56</v>
      </c>
      <c r="AC57" s="988" t="s">
        <v>9344</v>
      </c>
      <c r="AD57" s="987">
        <f t="shared" si="5"/>
        <v>28</v>
      </c>
      <c r="AE57" s="987"/>
      <c r="AF57" s="987"/>
      <c r="AG57" s="999"/>
      <c r="AH57" s="1000"/>
      <c r="AI57" s="530" t="s">
        <v>2969</v>
      </c>
      <c r="AJ57" s="958">
        <v>1</v>
      </c>
      <c r="AK57" s="959"/>
      <c r="AL57" s="960" t="s">
        <v>5930</v>
      </c>
      <c r="AM57" s="989">
        <f>_xll.GetCtData("COAMOUNT","CONSAMOUNT",$A$1:$A$7,$D57,AM$10,"#")</f>
        <v>0</v>
      </c>
    </row>
    <row r="58" spans="1:39">
      <c r="A58" s="427" t="s">
        <v>6610</v>
      </c>
      <c r="B58" s="427" t="s">
        <v>6610</v>
      </c>
      <c r="D58" s="990" t="s">
        <v>1036</v>
      </c>
      <c r="E58" s="949" t="s">
        <v>2930</v>
      </c>
      <c r="F58" s="950">
        <v>10</v>
      </c>
      <c r="G58" s="950"/>
      <c r="H58" s="950"/>
      <c r="I58" s="950"/>
      <c r="J58" s="950"/>
      <c r="K58" s="950"/>
      <c r="L58" s="950"/>
      <c r="M58" s="950"/>
      <c r="N58" s="950"/>
      <c r="O58" s="950"/>
      <c r="P58" s="950"/>
      <c r="Q58" s="991"/>
      <c r="R58" s="990" t="s">
        <v>9345</v>
      </c>
      <c r="S58" s="992" t="s">
        <v>9346</v>
      </c>
      <c r="T58" s="993">
        <f t="shared" si="0"/>
        <v>68</v>
      </c>
      <c r="U58" s="992" t="s">
        <v>9346</v>
      </c>
      <c r="V58" s="993">
        <f t="shared" si="1"/>
        <v>68</v>
      </c>
      <c r="W58" s="992" t="s">
        <v>9347</v>
      </c>
      <c r="X58" s="993">
        <f t="shared" si="2"/>
        <v>30</v>
      </c>
      <c r="Y58" s="994" t="s">
        <v>9348</v>
      </c>
      <c r="Z58" s="993">
        <f t="shared" si="3"/>
        <v>43</v>
      </c>
      <c r="AA58" s="994" t="s">
        <v>9349</v>
      </c>
      <c r="AB58" s="993">
        <f t="shared" si="4"/>
        <v>41</v>
      </c>
      <c r="AC58" s="994" t="s">
        <v>9350</v>
      </c>
      <c r="AD58" s="993">
        <f t="shared" si="5"/>
        <v>28</v>
      </c>
      <c r="AE58" s="518" t="s">
        <v>9351</v>
      </c>
      <c r="AF58" s="519" t="s">
        <v>9352</v>
      </c>
      <c r="AG58" s="995" t="s">
        <v>9179</v>
      </c>
      <c r="AH58" s="996" t="s">
        <v>169</v>
      </c>
      <c r="AI58" s="530" t="s">
        <v>2969</v>
      </c>
      <c r="AJ58" s="958">
        <v>1</v>
      </c>
      <c r="AK58" s="959"/>
      <c r="AL58" s="960" t="s">
        <v>5930</v>
      </c>
      <c r="AM58" s="997">
        <f>_xll.GetCtData("COAMOUNT","CONSAMOUNT",$A$1:$A$7,$D58,AM$10,"#")</f>
        <v>0</v>
      </c>
    </row>
    <row r="59" spans="1:39">
      <c r="A59" s="427" t="s">
        <v>6610</v>
      </c>
      <c r="B59" s="427" t="s">
        <v>6610</v>
      </c>
      <c r="D59" s="990" t="s">
        <v>1037</v>
      </c>
      <c r="E59" s="949" t="s">
        <v>2930</v>
      </c>
      <c r="F59" s="950">
        <v>10</v>
      </c>
      <c r="G59" s="950"/>
      <c r="H59" s="950"/>
      <c r="I59" s="950"/>
      <c r="J59" s="950"/>
      <c r="K59" s="950"/>
      <c r="L59" s="950"/>
      <c r="M59" s="950"/>
      <c r="N59" s="950"/>
      <c r="O59" s="950"/>
      <c r="P59" s="950"/>
      <c r="Q59" s="991"/>
      <c r="R59" s="990" t="s">
        <v>2768</v>
      </c>
      <c r="S59" s="992" t="s">
        <v>2769</v>
      </c>
      <c r="T59" s="993">
        <f t="shared" si="0"/>
        <v>66</v>
      </c>
      <c r="U59" s="992" t="s">
        <v>2769</v>
      </c>
      <c r="V59" s="993">
        <f t="shared" si="1"/>
        <v>66</v>
      </c>
      <c r="W59" s="992" t="s">
        <v>9353</v>
      </c>
      <c r="X59" s="993">
        <f t="shared" si="2"/>
        <v>26</v>
      </c>
      <c r="Y59" s="994" t="s">
        <v>9354</v>
      </c>
      <c r="Z59" s="993">
        <f t="shared" si="3"/>
        <v>46</v>
      </c>
      <c r="AA59" s="994" t="s">
        <v>9355</v>
      </c>
      <c r="AB59" s="993">
        <f t="shared" si="4"/>
        <v>44</v>
      </c>
      <c r="AC59" s="994" t="s">
        <v>9356</v>
      </c>
      <c r="AD59" s="993">
        <f t="shared" si="5"/>
        <v>24</v>
      </c>
      <c r="AE59" s="518" t="s">
        <v>9357</v>
      </c>
      <c r="AF59" s="519" t="s">
        <v>9358</v>
      </c>
      <c r="AG59" s="995" t="s">
        <v>9179</v>
      </c>
      <c r="AH59" s="996" t="s">
        <v>169</v>
      </c>
      <c r="AI59" s="530" t="s">
        <v>2969</v>
      </c>
      <c r="AJ59" s="958">
        <v>1</v>
      </c>
      <c r="AK59" s="959" t="s">
        <v>5359</v>
      </c>
      <c r="AL59" s="960" t="s">
        <v>5930</v>
      </c>
      <c r="AM59" s="997">
        <f>_xll.GetCtData("COAMOUNT","CONSAMOUNT",$A$1:$A$7,$D59,AM$10,"#")</f>
        <v>0</v>
      </c>
    </row>
    <row r="60" spans="1:39">
      <c r="A60" s="427" t="s">
        <v>6610</v>
      </c>
      <c r="B60" s="427" t="s">
        <v>6610</v>
      </c>
      <c r="D60" s="970" t="s">
        <v>9359</v>
      </c>
      <c r="E60" s="949" t="s">
        <v>2912</v>
      </c>
      <c r="F60" s="950">
        <v>6</v>
      </c>
      <c r="G60" s="950"/>
      <c r="H60" s="950"/>
      <c r="I60" s="950"/>
      <c r="J60" s="950"/>
      <c r="K60" s="950"/>
      <c r="L60" s="950"/>
      <c r="M60" s="970" t="s">
        <v>9360</v>
      </c>
      <c r="N60" s="1001"/>
      <c r="O60" s="1001"/>
      <c r="P60" s="1001"/>
      <c r="Q60" s="970"/>
      <c r="R60" s="970" t="s">
        <v>9360</v>
      </c>
      <c r="S60" s="970" t="s">
        <v>21</v>
      </c>
      <c r="T60" s="972">
        <f t="shared" si="0"/>
        <v>44</v>
      </c>
      <c r="U60" s="970" t="s">
        <v>21</v>
      </c>
      <c r="V60" s="972">
        <f t="shared" si="1"/>
        <v>44</v>
      </c>
      <c r="W60" s="970" t="s">
        <v>9361</v>
      </c>
      <c r="X60" s="972">
        <f t="shared" si="2"/>
        <v>13</v>
      </c>
      <c r="Y60" s="973" t="s">
        <v>9362</v>
      </c>
      <c r="Z60" s="972">
        <f t="shared" si="3"/>
        <v>40</v>
      </c>
      <c r="AA60" s="973" t="s">
        <v>9363</v>
      </c>
      <c r="AB60" s="972">
        <f t="shared" si="4"/>
        <v>39</v>
      </c>
      <c r="AC60" s="973" t="s">
        <v>9364</v>
      </c>
      <c r="AD60" s="972">
        <f t="shared" si="5"/>
        <v>15</v>
      </c>
      <c r="AE60" s="972"/>
      <c r="AF60" s="972"/>
      <c r="AG60" s="995"/>
      <c r="AH60" s="996"/>
      <c r="AI60" s="530" t="s">
        <v>2969</v>
      </c>
      <c r="AJ60" s="958">
        <v>1</v>
      </c>
      <c r="AK60" s="959"/>
      <c r="AL60" s="960" t="s">
        <v>5930</v>
      </c>
      <c r="AM60" s="974">
        <f>_xll.GetCtData("COAMOUNT","CONSAMOUNT",$A$1:$A$7,$D60,AM$10,"#-7705834,059105")</f>
        <v>-7705834</v>
      </c>
    </row>
    <row r="61" spans="1:39">
      <c r="A61" s="427" t="s">
        <v>6610</v>
      </c>
      <c r="B61" s="427" t="s">
        <v>6610</v>
      </c>
      <c r="D61" s="410" t="s">
        <v>9365</v>
      </c>
      <c r="E61" s="949" t="s">
        <v>2912</v>
      </c>
      <c r="F61" s="950">
        <v>7</v>
      </c>
      <c r="G61" s="950"/>
      <c r="H61" s="950"/>
      <c r="I61" s="950"/>
      <c r="J61" s="950"/>
      <c r="K61" s="950"/>
      <c r="L61" s="950"/>
      <c r="M61" s="950"/>
      <c r="N61" s="410" t="s">
        <v>9366</v>
      </c>
      <c r="O61" s="975"/>
      <c r="P61" s="975"/>
      <c r="Q61" s="410"/>
      <c r="R61" s="410" t="s">
        <v>9366</v>
      </c>
      <c r="S61" s="410" t="s">
        <v>9367</v>
      </c>
      <c r="T61" s="976">
        <f t="shared" si="0"/>
        <v>64</v>
      </c>
      <c r="U61" s="410" t="s">
        <v>9367</v>
      </c>
      <c r="V61" s="976">
        <f t="shared" si="1"/>
        <v>64</v>
      </c>
      <c r="W61" s="410" t="s">
        <v>9368</v>
      </c>
      <c r="X61" s="976">
        <f t="shared" si="2"/>
        <v>21</v>
      </c>
      <c r="Y61" s="977" t="s">
        <v>9369</v>
      </c>
      <c r="Z61" s="976">
        <f t="shared" si="3"/>
        <v>51</v>
      </c>
      <c r="AA61" s="977" t="s">
        <v>9369</v>
      </c>
      <c r="AB61" s="976">
        <f t="shared" si="4"/>
        <v>51</v>
      </c>
      <c r="AC61" s="977" t="s">
        <v>9370</v>
      </c>
      <c r="AD61" s="976">
        <f t="shared" si="5"/>
        <v>26</v>
      </c>
      <c r="AE61" s="976"/>
      <c r="AF61" s="976"/>
      <c r="AG61" s="995"/>
      <c r="AH61" s="996"/>
      <c r="AI61" s="530" t="s">
        <v>2969</v>
      </c>
      <c r="AJ61" s="958">
        <v>1</v>
      </c>
      <c r="AK61" s="959"/>
      <c r="AL61" s="960"/>
      <c r="AM61" s="980">
        <f>_xll.GetCtData("COAMOUNT","CONSAMOUNT",$A$1:$A$7,$D61,AM$10,"#-6976598,059105")</f>
        <v>-6976598</v>
      </c>
    </row>
    <row r="62" spans="1:39">
      <c r="A62" s="427">
        <v>3</v>
      </c>
      <c r="B62" s="427" t="s">
        <v>9153</v>
      </c>
      <c r="D62" s="981" t="s">
        <v>9371</v>
      </c>
      <c r="E62" s="949" t="s">
        <v>2912</v>
      </c>
      <c r="F62" s="950">
        <v>8</v>
      </c>
      <c r="G62" s="950"/>
      <c r="H62" s="950"/>
      <c r="I62" s="950"/>
      <c r="J62" s="950"/>
      <c r="K62" s="950"/>
      <c r="L62" s="950"/>
      <c r="M62" s="950"/>
      <c r="N62" s="950"/>
      <c r="O62" s="981" t="s">
        <v>9372</v>
      </c>
      <c r="P62" s="982"/>
      <c r="Q62" s="981"/>
      <c r="R62" s="981" t="s">
        <v>9372</v>
      </c>
      <c r="S62" s="981" t="s">
        <v>9373</v>
      </c>
      <c r="T62" s="1002">
        <f t="shared" si="0"/>
        <v>57</v>
      </c>
      <c r="U62" s="981" t="s">
        <v>9373</v>
      </c>
      <c r="V62" s="1002">
        <f t="shared" si="1"/>
        <v>57</v>
      </c>
      <c r="W62" s="981" t="s">
        <v>9374</v>
      </c>
      <c r="X62" s="1002">
        <f t="shared" si="2"/>
        <v>17</v>
      </c>
      <c r="Y62" s="1003" t="s">
        <v>9375</v>
      </c>
      <c r="Z62" s="1002">
        <f t="shared" si="3"/>
        <v>43</v>
      </c>
      <c r="AA62" s="1003" t="s">
        <v>9375</v>
      </c>
      <c r="AB62" s="1002">
        <f t="shared" si="4"/>
        <v>43</v>
      </c>
      <c r="AC62" s="1003" t="s">
        <v>9376</v>
      </c>
      <c r="AD62" s="1002">
        <f t="shared" si="5"/>
        <v>18</v>
      </c>
      <c r="AE62" s="1002"/>
      <c r="AF62" s="1002"/>
      <c r="AG62" s="995"/>
      <c r="AH62" s="996"/>
      <c r="AI62" s="530" t="s">
        <v>2969</v>
      </c>
      <c r="AJ62" s="958">
        <v>1</v>
      </c>
      <c r="AK62" s="959"/>
      <c r="AL62" s="960" t="s">
        <v>5930</v>
      </c>
      <c r="AM62" s="985">
        <f>_xll.GetCtData("COAMOUNT","CONSAMOUNT",$A$1:$A$7,$D62,AM$10,"#-4167940,34905878")</f>
        <v>-4167940</v>
      </c>
    </row>
    <row r="63" spans="1:39">
      <c r="A63" s="427">
        <v>3</v>
      </c>
      <c r="B63" s="427" t="s">
        <v>9153</v>
      </c>
      <c r="D63" s="986" t="s">
        <v>9377</v>
      </c>
      <c r="E63" s="949" t="s">
        <v>2912</v>
      </c>
      <c r="F63" s="950">
        <v>9</v>
      </c>
      <c r="G63" s="950"/>
      <c r="H63" s="950"/>
      <c r="I63" s="950"/>
      <c r="J63" s="950"/>
      <c r="K63" s="950"/>
      <c r="L63" s="950"/>
      <c r="M63" s="950"/>
      <c r="N63" s="950"/>
      <c r="O63" s="950"/>
      <c r="P63" s="986" t="s">
        <v>9378</v>
      </c>
      <c r="Q63" s="986"/>
      <c r="R63" s="986" t="s">
        <v>9378</v>
      </c>
      <c r="S63" s="986" t="s">
        <v>9379</v>
      </c>
      <c r="T63" s="987">
        <f t="shared" si="0"/>
        <v>86</v>
      </c>
      <c r="U63" s="986" t="s">
        <v>9379</v>
      </c>
      <c r="V63" s="987">
        <f t="shared" si="1"/>
        <v>86</v>
      </c>
      <c r="W63" s="986" t="s">
        <v>9380</v>
      </c>
      <c r="X63" s="987">
        <f t="shared" si="2"/>
        <v>30</v>
      </c>
      <c r="Y63" s="988" t="s">
        <v>9381</v>
      </c>
      <c r="Z63" s="987">
        <f t="shared" si="3"/>
        <v>77</v>
      </c>
      <c r="AA63" s="988" t="s">
        <v>9382</v>
      </c>
      <c r="AB63" s="987">
        <f t="shared" si="4"/>
        <v>76</v>
      </c>
      <c r="AC63" s="988" t="s">
        <v>9383</v>
      </c>
      <c r="AD63" s="987">
        <f t="shared" si="5"/>
        <v>30</v>
      </c>
      <c r="AE63" s="987"/>
      <c r="AF63" s="987"/>
      <c r="AG63" s="999"/>
      <c r="AH63" s="1000"/>
      <c r="AI63" s="530" t="s">
        <v>2969</v>
      </c>
      <c r="AJ63" s="958">
        <v>1</v>
      </c>
      <c r="AK63" s="959"/>
      <c r="AL63" s="960" t="s">
        <v>5930</v>
      </c>
      <c r="AM63" s="989">
        <f>_xll.GetCtData("COAMOUNT","CONSAMOUNT",$A$1:$A$7,$D63,AM$10,"#-3872830,07887838")</f>
        <v>-3872830</v>
      </c>
    </row>
    <row r="64" spans="1:39">
      <c r="A64" s="427">
        <v>3</v>
      </c>
      <c r="B64" s="427" t="s">
        <v>9153</v>
      </c>
      <c r="D64" s="990" t="s">
        <v>1646</v>
      </c>
      <c r="E64" s="949" t="s">
        <v>2930</v>
      </c>
      <c r="F64" s="950">
        <v>10</v>
      </c>
      <c r="G64" s="950"/>
      <c r="H64" s="950"/>
      <c r="I64" s="950"/>
      <c r="J64" s="950"/>
      <c r="K64" s="950"/>
      <c r="L64" s="950"/>
      <c r="M64" s="950"/>
      <c r="N64" s="950"/>
      <c r="O64" s="950"/>
      <c r="P64" s="950"/>
      <c r="Q64" s="991"/>
      <c r="R64" s="990" t="s">
        <v>1453</v>
      </c>
      <c r="S64" s="992" t="s">
        <v>1454</v>
      </c>
      <c r="T64" s="993">
        <f t="shared" si="0"/>
        <v>108</v>
      </c>
      <c r="U64" s="992" t="s">
        <v>1454</v>
      </c>
      <c r="V64" s="993">
        <f t="shared" si="1"/>
        <v>108</v>
      </c>
      <c r="W64" s="992" t="s">
        <v>9384</v>
      </c>
      <c r="X64" s="993">
        <f t="shared" si="2"/>
        <v>30</v>
      </c>
      <c r="Y64" s="994" t="s">
        <v>9385</v>
      </c>
      <c r="Z64" s="993">
        <f t="shared" si="3"/>
        <v>94</v>
      </c>
      <c r="AA64" s="994" t="s">
        <v>9385</v>
      </c>
      <c r="AB64" s="993">
        <f t="shared" si="4"/>
        <v>94</v>
      </c>
      <c r="AC64" s="994" t="s">
        <v>9386</v>
      </c>
      <c r="AD64" s="993">
        <f t="shared" si="5"/>
        <v>30</v>
      </c>
      <c r="AE64" s="518" t="s">
        <v>9387</v>
      </c>
      <c r="AF64" s="519" t="s">
        <v>9388</v>
      </c>
      <c r="AG64" s="995" t="s">
        <v>9179</v>
      </c>
      <c r="AH64" s="996" t="s">
        <v>169</v>
      </c>
      <c r="AI64" s="530" t="s">
        <v>2969</v>
      </c>
      <c r="AJ64" s="958">
        <v>1</v>
      </c>
      <c r="AK64" s="959" t="s">
        <v>5359</v>
      </c>
      <c r="AL64" s="960" t="s">
        <v>5930</v>
      </c>
      <c r="AM64" s="997">
        <f>_xll.GetCtData("COAMOUNT","CONSAMOUNT",$A$1:$A$7,$D64,AM$10,"#-3373108,09519199")</f>
        <v>-3373108</v>
      </c>
    </row>
    <row r="65" spans="1:39">
      <c r="A65" s="427" t="s">
        <v>6610</v>
      </c>
      <c r="B65" s="427" t="s">
        <v>6610</v>
      </c>
      <c r="D65" s="990" t="s">
        <v>1647</v>
      </c>
      <c r="E65" s="949" t="s">
        <v>2930</v>
      </c>
      <c r="F65" s="950">
        <v>10</v>
      </c>
      <c r="G65" s="950"/>
      <c r="H65" s="950"/>
      <c r="I65" s="950"/>
      <c r="J65" s="950"/>
      <c r="K65" s="950"/>
      <c r="L65" s="950"/>
      <c r="M65" s="950"/>
      <c r="N65" s="950"/>
      <c r="O65" s="950"/>
      <c r="P65" s="950"/>
      <c r="Q65" s="991"/>
      <c r="R65" s="990" t="s">
        <v>1481</v>
      </c>
      <c r="S65" s="992" t="s">
        <v>1482</v>
      </c>
      <c r="T65" s="993">
        <f t="shared" si="0"/>
        <v>100</v>
      </c>
      <c r="U65" s="992" t="s">
        <v>1482</v>
      </c>
      <c r="V65" s="993">
        <f t="shared" si="1"/>
        <v>100</v>
      </c>
      <c r="W65" s="992" t="s">
        <v>9389</v>
      </c>
      <c r="X65" s="993">
        <f t="shared" si="2"/>
        <v>22</v>
      </c>
      <c r="Y65" s="994" t="s">
        <v>9390</v>
      </c>
      <c r="Z65" s="993">
        <f t="shared" si="3"/>
        <v>120</v>
      </c>
      <c r="AA65" s="994" t="s">
        <v>9390</v>
      </c>
      <c r="AB65" s="993">
        <f t="shared" si="4"/>
        <v>120</v>
      </c>
      <c r="AC65" s="994" t="s">
        <v>9391</v>
      </c>
      <c r="AD65" s="993">
        <f t="shared" si="5"/>
        <v>28</v>
      </c>
      <c r="AE65" s="518" t="s">
        <v>9392</v>
      </c>
      <c r="AF65" s="519" t="s">
        <v>9393</v>
      </c>
      <c r="AG65" s="995" t="s">
        <v>9179</v>
      </c>
      <c r="AH65" s="996" t="s">
        <v>169</v>
      </c>
      <c r="AI65" s="530" t="s">
        <v>2969</v>
      </c>
      <c r="AJ65" s="958">
        <v>1</v>
      </c>
      <c r="AK65" s="959" t="s">
        <v>5359</v>
      </c>
      <c r="AL65" s="960"/>
      <c r="AM65" s="997">
        <f>_xll.GetCtData("COAMOUNT","CONSAMOUNT",$A$1:$A$7,$D65,AM$10,"#-136137,540337168")</f>
        <v>-136137</v>
      </c>
    </row>
    <row r="66" spans="1:39">
      <c r="A66" s="427">
        <v>3</v>
      </c>
      <c r="B66" s="427" t="s">
        <v>9153</v>
      </c>
      <c r="D66" s="990" t="s">
        <v>1648</v>
      </c>
      <c r="E66" s="949" t="s">
        <v>2930</v>
      </c>
      <c r="F66" s="950">
        <v>10</v>
      </c>
      <c r="G66" s="950"/>
      <c r="H66" s="950"/>
      <c r="I66" s="950"/>
      <c r="J66" s="950"/>
      <c r="K66" s="950"/>
      <c r="L66" s="950"/>
      <c r="M66" s="950"/>
      <c r="N66" s="950"/>
      <c r="O66" s="950"/>
      <c r="P66" s="950"/>
      <c r="Q66" s="991"/>
      <c r="R66" s="990" t="s">
        <v>1485</v>
      </c>
      <c r="S66" s="992" t="s">
        <v>1486</v>
      </c>
      <c r="T66" s="993">
        <f t="shared" si="0"/>
        <v>113</v>
      </c>
      <c r="U66" s="992" t="s">
        <v>1486</v>
      </c>
      <c r="V66" s="993">
        <f t="shared" si="1"/>
        <v>113</v>
      </c>
      <c r="W66" s="992" t="s">
        <v>9394</v>
      </c>
      <c r="X66" s="993">
        <f t="shared" si="2"/>
        <v>27</v>
      </c>
      <c r="Y66" s="994" t="s">
        <v>9395</v>
      </c>
      <c r="Z66" s="993">
        <f t="shared" si="3"/>
        <v>109</v>
      </c>
      <c r="AA66" s="994" t="s">
        <v>9395</v>
      </c>
      <c r="AB66" s="993">
        <f t="shared" si="4"/>
        <v>109</v>
      </c>
      <c r="AC66" s="994" t="s">
        <v>9396</v>
      </c>
      <c r="AD66" s="993">
        <f t="shared" si="5"/>
        <v>30</v>
      </c>
      <c r="AE66" s="518" t="s">
        <v>9397</v>
      </c>
      <c r="AF66" s="519" t="s">
        <v>9398</v>
      </c>
      <c r="AG66" s="995" t="s">
        <v>9179</v>
      </c>
      <c r="AH66" s="996" t="s">
        <v>169</v>
      </c>
      <c r="AI66" s="530" t="s">
        <v>2969</v>
      </c>
      <c r="AJ66" s="958">
        <v>1</v>
      </c>
      <c r="AK66" s="959" t="s">
        <v>5359</v>
      </c>
      <c r="AL66" s="960" t="s">
        <v>5930</v>
      </c>
      <c r="AM66" s="997">
        <f>_xll.GetCtData("COAMOUNT","CONSAMOUNT",$A$1:$A$7,$D66,AM$10,"#-363584,443349221")</f>
        <v>-363584</v>
      </c>
    </row>
    <row r="67" spans="1:39">
      <c r="A67" s="427">
        <v>3</v>
      </c>
      <c r="B67" s="427" t="s">
        <v>9153</v>
      </c>
      <c r="D67" s="986" t="s">
        <v>9399</v>
      </c>
      <c r="E67" s="949" t="s">
        <v>2912</v>
      </c>
      <c r="F67" s="950">
        <v>9</v>
      </c>
      <c r="G67" s="950"/>
      <c r="H67" s="950"/>
      <c r="I67" s="950"/>
      <c r="J67" s="950"/>
      <c r="K67" s="950"/>
      <c r="L67" s="950"/>
      <c r="M67" s="950"/>
      <c r="N67" s="950"/>
      <c r="O67" s="950"/>
      <c r="P67" s="986" t="s">
        <v>9400</v>
      </c>
      <c r="Q67" s="986"/>
      <c r="R67" s="986" t="s">
        <v>9400</v>
      </c>
      <c r="S67" s="986" t="s">
        <v>2693</v>
      </c>
      <c r="T67" s="987">
        <f t="shared" si="0"/>
        <v>94</v>
      </c>
      <c r="U67" s="986" t="s">
        <v>2693</v>
      </c>
      <c r="V67" s="987">
        <f t="shared" si="1"/>
        <v>94</v>
      </c>
      <c r="W67" s="986" t="s">
        <v>9401</v>
      </c>
      <c r="X67" s="987">
        <f t="shared" si="2"/>
        <v>30</v>
      </c>
      <c r="Y67" s="988" t="s">
        <v>9402</v>
      </c>
      <c r="Z67" s="987">
        <f t="shared" si="3"/>
        <v>110</v>
      </c>
      <c r="AA67" s="988" t="s">
        <v>9403</v>
      </c>
      <c r="AB67" s="987">
        <f t="shared" si="4"/>
        <v>109</v>
      </c>
      <c r="AC67" s="988" t="s">
        <v>9404</v>
      </c>
      <c r="AD67" s="987">
        <f t="shared" si="5"/>
        <v>27</v>
      </c>
      <c r="AE67" s="987"/>
      <c r="AF67" s="987"/>
      <c r="AG67" s="999"/>
      <c r="AH67" s="1000"/>
      <c r="AI67" s="530" t="s">
        <v>2969</v>
      </c>
      <c r="AJ67" s="958">
        <v>1</v>
      </c>
      <c r="AK67" s="959"/>
      <c r="AL67" s="960" t="s">
        <v>5930</v>
      </c>
      <c r="AM67" s="989">
        <f>_xll.GetCtData("COAMOUNT","CONSAMOUNT",$A$1:$A$7,$D67,AM$10,"#1118368,60443604")</f>
        <v>1118368</v>
      </c>
    </row>
    <row r="68" spans="1:39">
      <c r="A68" s="427">
        <v>3</v>
      </c>
      <c r="B68" s="427" t="s">
        <v>9153</v>
      </c>
      <c r="D68" s="990" t="s">
        <v>2691</v>
      </c>
      <c r="E68" s="949" t="s">
        <v>2930</v>
      </c>
      <c r="F68" s="950">
        <v>10</v>
      </c>
      <c r="G68" s="950"/>
      <c r="H68" s="950"/>
      <c r="I68" s="950"/>
      <c r="J68" s="950"/>
      <c r="K68" s="950"/>
      <c r="L68" s="950"/>
      <c r="M68" s="950"/>
      <c r="N68" s="950"/>
      <c r="O68" s="950"/>
      <c r="P68" s="950"/>
      <c r="Q68" s="991"/>
      <c r="R68" s="990" t="s">
        <v>2692</v>
      </c>
      <c r="S68" s="992" t="s">
        <v>2693</v>
      </c>
      <c r="T68" s="993">
        <f t="shared" si="0"/>
        <v>94</v>
      </c>
      <c r="U68" s="992" t="s">
        <v>2693</v>
      </c>
      <c r="V68" s="993">
        <f t="shared" si="1"/>
        <v>94</v>
      </c>
      <c r="W68" s="992" t="s">
        <v>9401</v>
      </c>
      <c r="X68" s="993">
        <f t="shared" si="2"/>
        <v>30</v>
      </c>
      <c r="Y68" s="994" t="s">
        <v>9403</v>
      </c>
      <c r="Z68" s="993">
        <f t="shared" si="3"/>
        <v>109</v>
      </c>
      <c r="AA68" s="994" t="s">
        <v>9403</v>
      </c>
      <c r="AB68" s="993">
        <f t="shared" si="4"/>
        <v>109</v>
      </c>
      <c r="AC68" s="994" t="s">
        <v>9404</v>
      </c>
      <c r="AD68" s="993">
        <f t="shared" si="5"/>
        <v>27</v>
      </c>
      <c r="AE68" s="518" t="s">
        <v>9405</v>
      </c>
      <c r="AF68" s="519" t="s">
        <v>9406</v>
      </c>
      <c r="AG68" s="995" t="s">
        <v>9179</v>
      </c>
      <c r="AH68" s="996" t="s">
        <v>169</v>
      </c>
      <c r="AI68" s="530" t="s">
        <v>2969</v>
      </c>
      <c r="AJ68" s="958">
        <v>1</v>
      </c>
      <c r="AK68" s="959" t="s">
        <v>5359</v>
      </c>
      <c r="AL68" s="960" t="s">
        <v>5930</v>
      </c>
      <c r="AM68" s="997">
        <f>_xll.GetCtData("COAMOUNT","CONSAMOUNT",$A$1:$A$7,$D68,AM$10,"#1118368,60443604")</f>
        <v>1118368</v>
      </c>
    </row>
    <row r="69" spans="1:39">
      <c r="A69" s="427">
        <v>3</v>
      </c>
      <c r="B69" s="427" t="s">
        <v>9153</v>
      </c>
      <c r="D69" s="986" t="s">
        <v>9407</v>
      </c>
      <c r="E69" s="949" t="s">
        <v>2912</v>
      </c>
      <c r="F69" s="950">
        <v>9</v>
      </c>
      <c r="G69" s="950"/>
      <c r="H69" s="950"/>
      <c r="I69" s="950"/>
      <c r="J69" s="950"/>
      <c r="K69" s="950"/>
      <c r="L69" s="950"/>
      <c r="M69" s="950"/>
      <c r="N69" s="950"/>
      <c r="O69" s="950"/>
      <c r="P69" s="986" t="s">
        <v>9408</v>
      </c>
      <c r="Q69" s="986"/>
      <c r="R69" s="986" t="s">
        <v>9408</v>
      </c>
      <c r="S69" s="986" t="s">
        <v>9409</v>
      </c>
      <c r="T69" s="987">
        <f t="shared" si="0"/>
        <v>79</v>
      </c>
      <c r="U69" s="986" t="s">
        <v>9409</v>
      </c>
      <c r="V69" s="987">
        <f t="shared" si="1"/>
        <v>79</v>
      </c>
      <c r="W69" s="986" t="s">
        <v>9410</v>
      </c>
      <c r="X69" s="987">
        <f t="shared" si="2"/>
        <v>20</v>
      </c>
      <c r="Y69" s="988" t="s">
        <v>9411</v>
      </c>
      <c r="Z69" s="987">
        <f t="shared" si="3"/>
        <v>93</v>
      </c>
      <c r="AA69" s="988" t="s">
        <v>9411</v>
      </c>
      <c r="AB69" s="987">
        <f t="shared" si="4"/>
        <v>93</v>
      </c>
      <c r="AC69" s="988" t="s">
        <v>9412</v>
      </c>
      <c r="AD69" s="987">
        <f t="shared" si="5"/>
        <v>30</v>
      </c>
      <c r="AE69" s="987"/>
      <c r="AF69" s="987"/>
      <c r="AG69" s="999"/>
      <c r="AH69" s="1000"/>
      <c r="AI69" s="530" t="s">
        <v>2969</v>
      </c>
      <c r="AJ69" s="958">
        <v>1</v>
      </c>
      <c r="AK69" s="959"/>
      <c r="AL69" s="960" t="s">
        <v>5930</v>
      </c>
      <c r="AM69" s="989">
        <f>_xll.GetCtData("COAMOUNT","CONSAMOUNT",$A$1:$A$7,$D69,AM$10,"#-51755,2892294883")</f>
        <v>-51755</v>
      </c>
    </row>
    <row r="70" spans="1:39">
      <c r="A70" s="427" t="s">
        <v>6610</v>
      </c>
      <c r="B70" s="427" t="s">
        <v>6610</v>
      </c>
      <c r="D70" s="990" t="s">
        <v>2703</v>
      </c>
      <c r="E70" s="949" t="s">
        <v>2930</v>
      </c>
      <c r="F70" s="950">
        <v>10</v>
      </c>
      <c r="G70" s="950"/>
      <c r="H70" s="950"/>
      <c r="I70" s="950"/>
      <c r="J70" s="950"/>
      <c r="K70" s="950"/>
      <c r="L70" s="950"/>
      <c r="M70" s="950"/>
      <c r="N70" s="950"/>
      <c r="O70" s="950"/>
      <c r="P70" s="950"/>
      <c r="Q70" s="991"/>
      <c r="R70" s="990" t="s">
        <v>2704</v>
      </c>
      <c r="S70" s="992" t="s">
        <v>9413</v>
      </c>
      <c r="T70" s="993">
        <f t="shared" si="0"/>
        <v>121</v>
      </c>
      <c r="U70" s="992" t="s">
        <v>2705</v>
      </c>
      <c r="V70" s="993">
        <f t="shared" si="1"/>
        <v>116</v>
      </c>
      <c r="W70" s="992" t="s">
        <v>9414</v>
      </c>
      <c r="X70" s="993">
        <f t="shared" si="2"/>
        <v>30</v>
      </c>
      <c r="Y70" s="994" t="s">
        <v>9415</v>
      </c>
      <c r="Z70" s="993">
        <f t="shared" si="3"/>
        <v>121</v>
      </c>
      <c r="AA70" s="994" t="s">
        <v>9416</v>
      </c>
      <c r="AB70" s="993">
        <f t="shared" si="4"/>
        <v>115</v>
      </c>
      <c r="AC70" s="994" t="s">
        <v>9417</v>
      </c>
      <c r="AD70" s="993">
        <f t="shared" si="5"/>
        <v>30</v>
      </c>
      <c r="AE70" s="518" t="s">
        <v>9418</v>
      </c>
      <c r="AF70" s="519" t="s">
        <v>9419</v>
      </c>
      <c r="AG70" s="995" t="s">
        <v>9179</v>
      </c>
      <c r="AH70" s="996" t="s">
        <v>169</v>
      </c>
      <c r="AI70" s="530" t="s">
        <v>2969</v>
      </c>
      <c r="AJ70" s="958">
        <v>1</v>
      </c>
      <c r="AK70" s="959" t="s">
        <v>5359</v>
      </c>
      <c r="AL70" s="960" t="s">
        <v>9420</v>
      </c>
      <c r="AM70" s="997">
        <f>_xll.GetCtData("COAMOUNT","CONSAMOUNT",$A$1:$A$7,$D70,AM$10,"#-65346,7723571233")</f>
        <v>-65346</v>
      </c>
    </row>
    <row r="71" spans="1:39">
      <c r="A71" s="427">
        <v>3</v>
      </c>
      <c r="B71" s="427" t="s">
        <v>9153</v>
      </c>
      <c r="D71" s="990" t="s">
        <v>1649</v>
      </c>
      <c r="E71" s="949" t="s">
        <v>2930</v>
      </c>
      <c r="F71" s="950">
        <v>10</v>
      </c>
      <c r="G71" s="950"/>
      <c r="H71" s="950"/>
      <c r="I71" s="950"/>
      <c r="J71" s="950"/>
      <c r="K71" s="950"/>
      <c r="L71" s="950"/>
      <c r="M71" s="950"/>
      <c r="N71" s="950"/>
      <c r="O71" s="950"/>
      <c r="P71" s="950"/>
      <c r="Q71" s="991"/>
      <c r="R71" s="990" t="s">
        <v>1477</v>
      </c>
      <c r="S71" s="992" t="s">
        <v>1478</v>
      </c>
      <c r="T71" s="993">
        <f t="shared" si="0"/>
        <v>113</v>
      </c>
      <c r="U71" s="992" t="s">
        <v>1478</v>
      </c>
      <c r="V71" s="993">
        <f t="shared" si="1"/>
        <v>113</v>
      </c>
      <c r="W71" s="992" t="s">
        <v>9421</v>
      </c>
      <c r="X71" s="993">
        <f t="shared" si="2"/>
        <v>30</v>
      </c>
      <c r="Y71" s="994" t="s">
        <v>9422</v>
      </c>
      <c r="Z71" s="993">
        <f t="shared" si="3"/>
        <v>111</v>
      </c>
      <c r="AA71" s="994" t="s">
        <v>9422</v>
      </c>
      <c r="AB71" s="993">
        <f t="shared" si="4"/>
        <v>111</v>
      </c>
      <c r="AC71" s="994" t="s">
        <v>9423</v>
      </c>
      <c r="AD71" s="993">
        <f t="shared" si="5"/>
        <v>28</v>
      </c>
      <c r="AE71" s="518" t="s">
        <v>9424</v>
      </c>
      <c r="AF71" s="519" t="s">
        <v>9425</v>
      </c>
      <c r="AG71" s="995" t="s">
        <v>9179</v>
      </c>
      <c r="AH71" s="996" t="s">
        <v>169</v>
      </c>
      <c r="AI71" s="530" t="s">
        <v>2969</v>
      </c>
      <c r="AJ71" s="958">
        <v>1</v>
      </c>
      <c r="AK71" s="959" t="s">
        <v>5359</v>
      </c>
      <c r="AL71" s="960" t="s">
        <v>5930</v>
      </c>
      <c r="AM71" s="997">
        <f>_xll.GetCtData("COAMOUNT","CONSAMOUNT",$A$1:$A$7,$D71,AM$10,"#13591,483127635")</f>
        <v>13591</v>
      </c>
    </row>
    <row r="72" spans="1:39">
      <c r="A72" s="427">
        <v>3</v>
      </c>
      <c r="B72" s="427" t="s">
        <v>9153</v>
      </c>
      <c r="D72" s="986" t="s">
        <v>9426</v>
      </c>
      <c r="E72" s="949" t="s">
        <v>2912</v>
      </c>
      <c r="F72" s="950">
        <v>9</v>
      </c>
      <c r="G72" s="950"/>
      <c r="H72" s="950"/>
      <c r="I72" s="950"/>
      <c r="J72" s="950"/>
      <c r="K72" s="950"/>
      <c r="L72" s="950"/>
      <c r="M72" s="950"/>
      <c r="N72" s="950"/>
      <c r="O72" s="950"/>
      <c r="P72" s="986" t="s">
        <v>9427</v>
      </c>
      <c r="Q72" s="986"/>
      <c r="R72" s="986" t="s">
        <v>9427</v>
      </c>
      <c r="S72" s="986" t="s">
        <v>2687</v>
      </c>
      <c r="T72" s="987">
        <f t="shared" si="0"/>
        <v>97</v>
      </c>
      <c r="U72" s="986" t="s">
        <v>2687</v>
      </c>
      <c r="V72" s="987">
        <f t="shared" si="1"/>
        <v>97</v>
      </c>
      <c r="W72" s="986" t="s">
        <v>9428</v>
      </c>
      <c r="X72" s="987">
        <f t="shared" si="2"/>
        <v>30</v>
      </c>
      <c r="Y72" s="1004" t="s">
        <v>9429</v>
      </c>
      <c r="Z72" s="987">
        <f t="shared" si="3"/>
        <v>126</v>
      </c>
      <c r="AA72" s="988" t="s">
        <v>9430</v>
      </c>
      <c r="AB72" s="987">
        <f t="shared" si="4"/>
        <v>120</v>
      </c>
      <c r="AC72" s="988" t="s">
        <v>9431</v>
      </c>
      <c r="AD72" s="987">
        <f t="shared" si="5"/>
        <v>30</v>
      </c>
      <c r="AE72" s="987"/>
      <c r="AF72" s="987"/>
      <c r="AG72" s="999"/>
      <c r="AH72" s="1000"/>
      <c r="AI72" s="530" t="s">
        <v>2969</v>
      </c>
      <c r="AJ72" s="958">
        <v>1</v>
      </c>
      <c r="AK72" s="959"/>
      <c r="AL72" s="960" t="s">
        <v>5930</v>
      </c>
      <c r="AM72" s="989">
        <f>_xll.GetCtData("COAMOUNT","CONSAMOUNT",$A$1:$A$7,$D72,AM$10,"#-1346730,01282548")</f>
        <v>-1346730</v>
      </c>
    </row>
    <row r="73" spans="1:39">
      <c r="A73" s="427">
        <v>3</v>
      </c>
      <c r="B73" s="427" t="s">
        <v>9153</v>
      </c>
      <c r="D73" s="990" t="s">
        <v>2685</v>
      </c>
      <c r="E73" s="949" t="s">
        <v>2930</v>
      </c>
      <c r="F73" s="950">
        <v>10</v>
      </c>
      <c r="G73" s="950"/>
      <c r="H73" s="950"/>
      <c r="I73" s="950"/>
      <c r="J73" s="950"/>
      <c r="K73" s="950"/>
      <c r="L73" s="950"/>
      <c r="M73" s="950"/>
      <c r="N73" s="950"/>
      <c r="O73" s="950"/>
      <c r="P73" s="950"/>
      <c r="Q73" s="991"/>
      <c r="R73" s="990" t="s">
        <v>2686</v>
      </c>
      <c r="S73" s="992" t="s">
        <v>2687</v>
      </c>
      <c r="T73" s="993">
        <f t="shared" si="0"/>
        <v>97</v>
      </c>
      <c r="U73" s="992" t="s">
        <v>2687</v>
      </c>
      <c r="V73" s="993">
        <f t="shared" si="1"/>
        <v>97</v>
      </c>
      <c r="W73" s="992" t="s">
        <v>9428</v>
      </c>
      <c r="X73" s="993">
        <f t="shared" si="2"/>
        <v>30</v>
      </c>
      <c r="Y73" s="994" t="s">
        <v>9432</v>
      </c>
      <c r="Z73" s="993">
        <f t="shared" si="3"/>
        <v>109</v>
      </c>
      <c r="AA73" s="994" t="s">
        <v>9433</v>
      </c>
      <c r="AB73" s="993">
        <f t="shared" si="4"/>
        <v>103</v>
      </c>
      <c r="AC73" s="994" t="s">
        <v>9434</v>
      </c>
      <c r="AD73" s="993">
        <f t="shared" si="5"/>
        <v>23</v>
      </c>
      <c r="AE73" s="518" t="s">
        <v>9435</v>
      </c>
      <c r="AF73" s="519" t="s">
        <v>9436</v>
      </c>
      <c r="AG73" s="995" t="s">
        <v>9179</v>
      </c>
      <c r="AH73" s="996" t="s">
        <v>169</v>
      </c>
      <c r="AI73" s="530" t="s">
        <v>2969</v>
      </c>
      <c r="AJ73" s="958">
        <v>1</v>
      </c>
      <c r="AK73" s="959" t="s">
        <v>5359</v>
      </c>
      <c r="AL73" s="960" t="s">
        <v>9437</v>
      </c>
      <c r="AM73" s="997">
        <f>_xll.GetCtData("COAMOUNT","CONSAMOUNT",$A$1:$A$7,$D73,AM$10,"#-1346730,01282548")</f>
        <v>-1346730</v>
      </c>
    </row>
    <row r="74" spans="1:39">
      <c r="A74" s="427">
        <v>3</v>
      </c>
      <c r="B74" s="427" t="s">
        <v>9153</v>
      </c>
      <c r="D74" s="986" t="s">
        <v>9438</v>
      </c>
      <c r="E74" s="949" t="s">
        <v>2912</v>
      </c>
      <c r="F74" s="950">
        <v>9</v>
      </c>
      <c r="G74" s="950"/>
      <c r="H74" s="950"/>
      <c r="I74" s="950"/>
      <c r="J74" s="950"/>
      <c r="K74" s="950"/>
      <c r="L74" s="950"/>
      <c r="M74" s="950"/>
      <c r="N74" s="950"/>
      <c r="O74" s="950"/>
      <c r="P74" s="986" t="s">
        <v>9439</v>
      </c>
      <c r="Q74" s="986"/>
      <c r="R74" s="986" t="s">
        <v>9439</v>
      </c>
      <c r="S74" s="986" t="s">
        <v>2681</v>
      </c>
      <c r="T74" s="987">
        <f t="shared" si="0"/>
        <v>103</v>
      </c>
      <c r="U74" s="986" t="s">
        <v>2681</v>
      </c>
      <c r="V74" s="987">
        <f t="shared" si="1"/>
        <v>103</v>
      </c>
      <c r="W74" s="986" t="s">
        <v>9440</v>
      </c>
      <c r="X74" s="987">
        <f t="shared" si="2"/>
        <v>29</v>
      </c>
      <c r="Y74" s="988" t="s">
        <v>9441</v>
      </c>
      <c r="Z74" s="987">
        <f t="shared" si="3"/>
        <v>83</v>
      </c>
      <c r="AA74" s="988" t="s">
        <v>9442</v>
      </c>
      <c r="AB74" s="987">
        <f t="shared" si="4"/>
        <v>82</v>
      </c>
      <c r="AC74" s="988" t="s">
        <v>9443</v>
      </c>
      <c r="AD74" s="987">
        <f t="shared" si="5"/>
        <v>29</v>
      </c>
      <c r="AE74" s="987"/>
      <c r="AF74" s="987"/>
      <c r="AG74" s="999"/>
      <c r="AH74" s="1000"/>
      <c r="AI74" s="530" t="s">
        <v>2969</v>
      </c>
      <c r="AJ74" s="958">
        <v>1</v>
      </c>
      <c r="AK74" s="959"/>
      <c r="AL74" s="960" t="s">
        <v>5930</v>
      </c>
      <c r="AM74" s="989">
        <f>_xll.GetCtData("COAMOUNT","CONSAMOUNT",$A$1:$A$7,$D74,AM$10,"#-20774,0677275464")</f>
        <v>-20774</v>
      </c>
    </row>
    <row r="75" spans="1:39">
      <c r="A75" s="427">
        <v>3</v>
      </c>
      <c r="B75" s="427" t="s">
        <v>9153</v>
      </c>
      <c r="D75" s="990" t="s">
        <v>2679</v>
      </c>
      <c r="E75" s="949" t="s">
        <v>2930</v>
      </c>
      <c r="F75" s="950">
        <v>10</v>
      </c>
      <c r="G75" s="950"/>
      <c r="H75" s="950"/>
      <c r="I75" s="950"/>
      <c r="J75" s="950"/>
      <c r="K75" s="950"/>
      <c r="L75" s="950"/>
      <c r="M75" s="950"/>
      <c r="N75" s="950"/>
      <c r="O75" s="950"/>
      <c r="P75" s="950"/>
      <c r="Q75" s="991"/>
      <c r="R75" s="990" t="s">
        <v>2680</v>
      </c>
      <c r="S75" s="992" t="s">
        <v>2681</v>
      </c>
      <c r="T75" s="993">
        <f t="shared" si="0"/>
        <v>103</v>
      </c>
      <c r="U75" s="992" t="s">
        <v>2681</v>
      </c>
      <c r="V75" s="993">
        <f t="shared" si="1"/>
        <v>103</v>
      </c>
      <c r="W75" s="992" t="s">
        <v>9440</v>
      </c>
      <c r="X75" s="993">
        <f t="shared" si="2"/>
        <v>29</v>
      </c>
      <c r="Y75" s="994" t="s">
        <v>9441</v>
      </c>
      <c r="Z75" s="993">
        <f t="shared" si="3"/>
        <v>83</v>
      </c>
      <c r="AA75" s="994" t="s">
        <v>9442</v>
      </c>
      <c r="AB75" s="993">
        <f t="shared" si="4"/>
        <v>82</v>
      </c>
      <c r="AC75" s="994" t="s">
        <v>9443</v>
      </c>
      <c r="AD75" s="993">
        <f t="shared" si="5"/>
        <v>29</v>
      </c>
      <c r="AE75" s="518" t="s">
        <v>9444</v>
      </c>
      <c r="AF75" s="519" t="s">
        <v>9445</v>
      </c>
      <c r="AG75" s="995" t="s">
        <v>9179</v>
      </c>
      <c r="AH75" s="996" t="s">
        <v>169</v>
      </c>
      <c r="AI75" s="530" t="s">
        <v>2969</v>
      </c>
      <c r="AJ75" s="958">
        <v>1</v>
      </c>
      <c r="AK75" s="959" t="s">
        <v>5359</v>
      </c>
      <c r="AL75" s="960" t="s">
        <v>9446</v>
      </c>
      <c r="AM75" s="997">
        <f>_xll.GetCtData("COAMOUNT","CONSAMOUNT",$A$1:$A$7,$D75,AM$10,"#-20774,0677275464")</f>
        <v>-20774</v>
      </c>
    </row>
    <row r="76" spans="1:39">
      <c r="A76" s="427" t="s">
        <v>6610</v>
      </c>
      <c r="B76" s="427" t="s">
        <v>6610</v>
      </c>
      <c r="D76" s="986" t="s">
        <v>9447</v>
      </c>
      <c r="E76" s="949" t="s">
        <v>2912</v>
      </c>
      <c r="F76" s="950">
        <v>9</v>
      </c>
      <c r="G76" s="950"/>
      <c r="H76" s="950"/>
      <c r="I76" s="950"/>
      <c r="J76" s="950"/>
      <c r="K76" s="950"/>
      <c r="L76" s="950"/>
      <c r="M76" s="950"/>
      <c r="N76" s="950"/>
      <c r="O76" s="950"/>
      <c r="P76" s="986" t="s">
        <v>9448</v>
      </c>
      <c r="Q76" s="986"/>
      <c r="R76" s="986" t="s">
        <v>9448</v>
      </c>
      <c r="S76" s="986" t="s">
        <v>9449</v>
      </c>
      <c r="T76" s="987">
        <f t="shared" si="0"/>
        <v>118</v>
      </c>
      <c r="U76" s="986" t="s">
        <v>9450</v>
      </c>
      <c r="V76" s="987">
        <f t="shared" si="1"/>
        <v>91</v>
      </c>
      <c r="W76" s="986" t="s">
        <v>9451</v>
      </c>
      <c r="X76" s="987">
        <f t="shared" si="2"/>
        <v>30</v>
      </c>
      <c r="Y76" s="988" t="s">
        <v>9452</v>
      </c>
      <c r="Z76" s="987">
        <f t="shared" si="3"/>
        <v>80</v>
      </c>
      <c r="AA76" s="988" t="s">
        <v>9453</v>
      </c>
      <c r="AB76" s="987">
        <f t="shared" si="4"/>
        <v>78</v>
      </c>
      <c r="AC76" s="988" t="s">
        <v>9454</v>
      </c>
      <c r="AD76" s="987">
        <f t="shared" si="5"/>
        <v>30</v>
      </c>
      <c r="AE76" s="987"/>
      <c r="AF76" s="987"/>
      <c r="AG76" s="999"/>
      <c r="AH76" s="1000"/>
      <c r="AI76" s="530" t="s">
        <v>2969</v>
      </c>
      <c r="AJ76" s="958">
        <v>1</v>
      </c>
      <c r="AK76" s="959"/>
      <c r="AL76" s="960" t="s">
        <v>9455</v>
      </c>
      <c r="AM76" s="989">
        <f>_xll.GetCtData("COAMOUNT","CONSAMOUNT",$A$1:$A$7,$D76,AM$10,"#5780,49516607575")</f>
        <v>5780</v>
      </c>
    </row>
    <row r="77" spans="1:39">
      <c r="A77" s="427" t="s">
        <v>6610</v>
      </c>
      <c r="B77" s="427" t="s">
        <v>6610</v>
      </c>
      <c r="D77" s="1005" t="s">
        <v>9456</v>
      </c>
      <c r="E77" s="949" t="s">
        <v>5409</v>
      </c>
      <c r="F77" s="950">
        <v>10</v>
      </c>
      <c r="G77" s="950"/>
      <c r="H77" s="950"/>
      <c r="I77" s="950"/>
      <c r="J77" s="950"/>
      <c r="K77" s="950"/>
      <c r="L77" s="950"/>
      <c r="M77" s="950"/>
      <c r="N77" s="950"/>
      <c r="O77" s="950"/>
      <c r="P77" s="950"/>
      <c r="Q77" s="991"/>
      <c r="R77" s="1005" t="s">
        <v>9457</v>
      </c>
      <c r="S77" s="992" t="s">
        <v>9458</v>
      </c>
      <c r="T77" s="993">
        <f t="shared" ref="T77:T137" si="6">LEN(S77)</f>
        <v>107</v>
      </c>
      <c r="U77" s="1006" t="s">
        <v>9459</v>
      </c>
      <c r="V77" s="993">
        <f t="shared" si="1"/>
        <v>101</v>
      </c>
      <c r="W77" s="992" t="s">
        <v>9460</v>
      </c>
      <c r="X77" s="993">
        <f t="shared" si="2"/>
        <v>30</v>
      </c>
      <c r="Y77" s="994" t="s">
        <v>9461</v>
      </c>
      <c r="Z77" s="993">
        <f t="shared" si="3"/>
        <v>95</v>
      </c>
      <c r="AA77" s="994" t="s">
        <v>9461</v>
      </c>
      <c r="AB77" s="993">
        <f t="shared" si="4"/>
        <v>95</v>
      </c>
      <c r="AC77" s="994" t="s">
        <v>9462</v>
      </c>
      <c r="AD77" s="993">
        <f t="shared" si="5"/>
        <v>30</v>
      </c>
      <c r="AE77" s="518" t="s">
        <v>9463</v>
      </c>
      <c r="AF77" s="519" t="s">
        <v>9239</v>
      </c>
      <c r="AG77" s="995" t="s">
        <v>9179</v>
      </c>
      <c r="AH77" s="996" t="s">
        <v>169</v>
      </c>
      <c r="AI77" s="530" t="s">
        <v>2969</v>
      </c>
      <c r="AJ77" s="958">
        <v>1</v>
      </c>
      <c r="AK77" s="959"/>
      <c r="AL77" s="960" t="s">
        <v>9455</v>
      </c>
      <c r="AM77" s="997">
        <f>_xll.GetCtData("COAMOUNT","CONSAMOUNT",$A$1:$A$7,$D77,AM$10,"#0")</f>
        <v>0</v>
      </c>
    </row>
    <row r="78" spans="1:39">
      <c r="A78" s="427" t="s">
        <v>6610</v>
      </c>
      <c r="B78" s="427" t="s">
        <v>6610</v>
      </c>
      <c r="D78" s="1005" t="s">
        <v>1650</v>
      </c>
      <c r="E78" s="949" t="s">
        <v>5409</v>
      </c>
      <c r="F78" s="950">
        <v>10</v>
      </c>
      <c r="G78" s="950"/>
      <c r="H78" s="950"/>
      <c r="I78" s="950"/>
      <c r="J78" s="950"/>
      <c r="K78" s="950"/>
      <c r="L78" s="950"/>
      <c r="M78" s="950"/>
      <c r="N78" s="950"/>
      <c r="O78" s="950"/>
      <c r="P78" s="950"/>
      <c r="Q78" s="991"/>
      <c r="R78" s="1005" t="s">
        <v>1457</v>
      </c>
      <c r="S78" s="992" t="s">
        <v>9464</v>
      </c>
      <c r="T78" s="993">
        <f t="shared" si="6"/>
        <v>105</v>
      </c>
      <c r="U78" s="1006" t="s">
        <v>9465</v>
      </c>
      <c r="V78" s="993">
        <f t="shared" si="1"/>
        <v>100</v>
      </c>
      <c r="W78" s="992" t="s">
        <v>9466</v>
      </c>
      <c r="X78" s="993">
        <f t="shared" si="2"/>
        <v>27</v>
      </c>
      <c r="Y78" s="994" t="s">
        <v>9467</v>
      </c>
      <c r="Z78" s="993">
        <f t="shared" si="3"/>
        <v>98</v>
      </c>
      <c r="AA78" s="994" t="s">
        <v>9467</v>
      </c>
      <c r="AB78" s="993">
        <f t="shared" si="4"/>
        <v>98</v>
      </c>
      <c r="AC78" s="994" t="s">
        <v>9468</v>
      </c>
      <c r="AD78" s="993">
        <f t="shared" si="5"/>
        <v>28</v>
      </c>
      <c r="AE78" s="518" t="s">
        <v>9469</v>
      </c>
      <c r="AF78" s="519" t="s">
        <v>9245</v>
      </c>
      <c r="AG78" s="995" t="s">
        <v>9179</v>
      </c>
      <c r="AH78" s="996" t="s">
        <v>169</v>
      </c>
      <c r="AI78" s="530" t="s">
        <v>2969</v>
      </c>
      <c r="AJ78" s="958">
        <v>1</v>
      </c>
      <c r="AK78" s="959" t="s">
        <v>5359</v>
      </c>
      <c r="AL78" s="960" t="s">
        <v>9455</v>
      </c>
      <c r="AM78" s="997">
        <f>_xll.GetCtData("COAMOUNT","CONSAMOUNT",$A$1:$A$7,$D78,AM$10,"#-36085,5048339242")</f>
        <v>-36085</v>
      </c>
    </row>
    <row r="79" spans="1:39">
      <c r="D79" s="1005" t="s">
        <v>9470</v>
      </c>
      <c r="E79" s="949" t="s">
        <v>5409</v>
      </c>
      <c r="F79" s="950"/>
      <c r="G79" s="950"/>
      <c r="H79" s="950"/>
      <c r="I79" s="950"/>
      <c r="J79" s="950"/>
      <c r="K79" s="950"/>
      <c r="L79" s="950"/>
      <c r="M79" s="950"/>
      <c r="N79" s="950"/>
      <c r="O79" s="950"/>
      <c r="P79" s="950"/>
      <c r="Q79" s="991"/>
      <c r="R79" s="1005" t="s">
        <v>9471</v>
      </c>
      <c r="S79" s="1007" t="s">
        <v>9472</v>
      </c>
      <c r="T79" s="993">
        <f t="shared" si="6"/>
        <v>109</v>
      </c>
      <c r="U79" s="1006" t="s">
        <v>9472</v>
      </c>
      <c r="V79" s="993">
        <f t="shared" si="1"/>
        <v>109</v>
      </c>
      <c r="W79" s="992" t="s">
        <v>9473</v>
      </c>
      <c r="X79" s="993">
        <f t="shared" si="2"/>
        <v>30</v>
      </c>
      <c r="Y79" s="994" t="s">
        <v>9474</v>
      </c>
      <c r="Z79" s="993">
        <f t="shared" si="3"/>
        <v>96</v>
      </c>
      <c r="AA79" s="994" t="s">
        <v>9474</v>
      </c>
      <c r="AB79" s="993">
        <f t="shared" si="4"/>
        <v>96</v>
      </c>
      <c r="AC79" s="994" t="s">
        <v>9475</v>
      </c>
      <c r="AD79" s="993">
        <f t="shared" si="5"/>
        <v>30</v>
      </c>
      <c r="AE79" s="518" t="s">
        <v>9476</v>
      </c>
      <c r="AF79" s="519" t="s">
        <v>9239</v>
      </c>
      <c r="AG79" s="995" t="s">
        <v>9179</v>
      </c>
      <c r="AH79" s="996" t="s">
        <v>169</v>
      </c>
      <c r="AI79" s="530" t="s">
        <v>2969</v>
      </c>
      <c r="AJ79" s="958">
        <v>1</v>
      </c>
      <c r="AK79" s="959"/>
      <c r="AL79" s="960" t="s">
        <v>9455</v>
      </c>
      <c r="AM79" s="1008">
        <f>_xll.GetCtData("COAMOUNT","CONSAMOUNT",$A$1:$A$7,$D79,AM$10,"#")</f>
        <v>0</v>
      </c>
    </row>
    <row r="80" spans="1:39">
      <c r="D80" s="1005" t="s">
        <v>2697</v>
      </c>
      <c r="E80" s="949" t="s">
        <v>5409</v>
      </c>
      <c r="F80" s="950"/>
      <c r="G80" s="950"/>
      <c r="H80" s="950"/>
      <c r="I80" s="950"/>
      <c r="J80" s="950"/>
      <c r="K80" s="950"/>
      <c r="L80" s="950"/>
      <c r="M80" s="950"/>
      <c r="N80" s="950"/>
      <c r="O80" s="950"/>
      <c r="P80" s="950"/>
      <c r="Q80" s="991"/>
      <c r="R80" s="1005" t="s">
        <v>2698</v>
      </c>
      <c r="S80" s="1007" t="s">
        <v>2699</v>
      </c>
      <c r="T80" s="993">
        <f t="shared" si="6"/>
        <v>107</v>
      </c>
      <c r="U80" s="1006" t="s">
        <v>2699</v>
      </c>
      <c r="V80" s="993">
        <f t="shared" si="1"/>
        <v>107</v>
      </c>
      <c r="W80" s="992" t="s">
        <v>9477</v>
      </c>
      <c r="X80" s="993">
        <f t="shared" si="2"/>
        <v>29</v>
      </c>
      <c r="Y80" s="994" t="s">
        <v>9478</v>
      </c>
      <c r="Z80" s="993">
        <f t="shared" si="3"/>
        <v>98</v>
      </c>
      <c r="AA80" s="994" t="s">
        <v>9478</v>
      </c>
      <c r="AB80" s="993">
        <f t="shared" si="4"/>
        <v>98</v>
      </c>
      <c r="AC80" s="994" t="s">
        <v>9479</v>
      </c>
      <c r="AD80" s="993">
        <f t="shared" si="5"/>
        <v>27</v>
      </c>
      <c r="AE80" s="518" t="s">
        <v>9480</v>
      </c>
      <c r="AF80" s="519" t="s">
        <v>9245</v>
      </c>
      <c r="AG80" s="995" t="s">
        <v>9179</v>
      </c>
      <c r="AH80" s="996" t="s">
        <v>169</v>
      </c>
      <c r="AI80" s="530" t="s">
        <v>2969</v>
      </c>
      <c r="AJ80" s="958">
        <v>1</v>
      </c>
      <c r="AK80" s="959" t="s">
        <v>5359</v>
      </c>
      <c r="AL80" s="960" t="s">
        <v>9455</v>
      </c>
      <c r="AM80" s="1008">
        <f>_xll.GetCtData("COAMOUNT","CONSAMOUNT",$A$1:$A$7,$D80,AM$10,"#37509")</f>
        <v>37509</v>
      </c>
    </row>
    <row r="81" spans="1:39">
      <c r="D81" s="1005" t="s">
        <v>1841</v>
      </c>
      <c r="E81" s="949" t="s">
        <v>5409</v>
      </c>
      <c r="F81" s="950"/>
      <c r="G81" s="950"/>
      <c r="H81" s="950"/>
      <c r="I81" s="950"/>
      <c r="J81" s="950"/>
      <c r="K81" s="950"/>
      <c r="L81" s="950"/>
      <c r="M81" s="950"/>
      <c r="N81" s="950"/>
      <c r="O81" s="950"/>
      <c r="P81" s="950"/>
      <c r="Q81" s="991"/>
      <c r="R81" s="1005" t="s">
        <v>9481</v>
      </c>
      <c r="S81" s="1007" t="s">
        <v>9482</v>
      </c>
      <c r="T81" s="993">
        <f t="shared" si="6"/>
        <v>118</v>
      </c>
      <c r="U81" s="1006" t="s">
        <v>9482</v>
      </c>
      <c r="V81" s="993">
        <f t="shared" si="1"/>
        <v>118</v>
      </c>
      <c r="W81" s="992" t="s">
        <v>9483</v>
      </c>
      <c r="X81" s="993">
        <f t="shared" si="2"/>
        <v>30</v>
      </c>
      <c r="Y81" s="994" t="s">
        <v>9484</v>
      </c>
      <c r="Z81" s="993">
        <f t="shared" si="3"/>
        <v>108</v>
      </c>
      <c r="AA81" s="994" t="s">
        <v>9484</v>
      </c>
      <c r="AB81" s="993">
        <f t="shared" si="4"/>
        <v>108</v>
      </c>
      <c r="AC81" s="994" t="s">
        <v>9485</v>
      </c>
      <c r="AD81" s="993">
        <f t="shared" si="5"/>
        <v>28</v>
      </c>
      <c r="AE81" s="518" t="s">
        <v>9486</v>
      </c>
      <c r="AF81" s="519" t="s">
        <v>9239</v>
      </c>
      <c r="AG81" s="995" t="s">
        <v>9179</v>
      </c>
      <c r="AH81" s="996" t="s">
        <v>169</v>
      </c>
      <c r="AI81" s="530" t="s">
        <v>2969</v>
      </c>
      <c r="AJ81" s="958">
        <v>1</v>
      </c>
      <c r="AK81" s="959"/>
      <c r="AL81" s="960" t="s">
        <v>9455</v>
      </c>
      <c r="AM81" s="1008">
        <f>_xll.GetCtData("COAMOUNT","CONSAMOUNT",$A$1:$A$7,$D81,AM$10,"#0")</f>
        <v>0</v>
      </c>
    </row>
    <row r="82" spans="1:39">
      <c r="D82" s="1005" t="s">
        <v>1836</v>
      </c>
      <c r="E82" s="949" t="s">
        <v>5409</v>
      </c>
      <c r="F82" s="950"/>
      <c r="G82" s="950"/>
      <c r="H82" s="950"/>
      <c r="I82" s="950"/>
      <c r="J82" s="950"/>
      <c r="K82" s="950"/>
      <c r="L82" s="950"/>
      <c r="M82" s="950"/>
      <c r="N82" s="950"/>
      <c r="O82" s="950"/>
      <c r="P82" s="950"/>
      <c r="Q82" s="991"/>
      <c r="R82" s="1005" t="s">
        <v>2709</v>
      </c>
      <c r="S82" s="1007" t="s">
        <v>2710</v>
      </c>
      <c r="T82" s="993">
        <f t="shared" si="6"/>
        <v>116</v>
      </c>
      <c r="U82" s="1006" t="s">
        <v>2710</v>
      </c>
      <c r="V82" s="993">
        <f t="shared" si="1"/>
        <v>116</v>
      </c>
      <c r="W82" s="992" t="s">
        <v>9487</v>
      </c>
      <c r="X82" s="993">
        <f t="shared" si="2"/>
        <v>29</v>
      </c>
      <c r="Y82" s="994" t="s">
        <v>9488</v>
      </c>
      <c r="Z82" s="993">
        <f t="shared" si="3"/>
        <v>110</v>
      </c>
      <c r="AA82" s="994" t="s">
        <v>9488</v>
      </c>
      <c r="AB82" s="993">
        <f t="shared" si="4"/>
        <v>110</v>
      </c>
      <c r="AC82" s="994" t="s">
        <v>9489</v>
      </c>
      <c r="AD82" s="993">
        <f t="shared" si="5"/>
        <v>24</v>
      </c>
      <c r="AE82" s="518" t="s">
        <v>9490</v>
      </c>
      <c r="AF82" s="519" t="s">
        <v>9245</v>
      </c>
      <c r="AG82" s="995" t="s">
        <v>9179</v>
      </c>
      <c r="AH82" s="996" t="s">
        <v>169</v>
      </c>
      <c r="AI82" s="530" t="s">
        <v>2969</v>
      </c>
      <c r="AJ82" s="958">
        <v>1</v>
      </c>
      <c r="AK82" s="959" t="s">
        <v>5359</v>
      </c>
      <c r="AL82" s="960" t="s">
        <v>9455</v>
      </c>
      <c r="AM82" s="1008">
        <f>_xll.GetCtData("COAMOUNT","CONSAMOUNT",$A$1:$A$7,$D82,AM$10,"#4357")</f>
        <v>4357</v>
      </c>
    </row>
    <row r="83" spans="1:39">
      <c r="D83" s="1005" t="s">
        <v>1842</v>
      </c>
      <c r="E83" s="949" t="s">
        <v>5409</v>
      </c>
      <c r="F83" s="950"/>
      <c r="G83" s="950"/>
      <c r="H83" s="950"/>
      <c r="I83" s="950"/>
      <c r="J83" s="950"/>
      <c r="K83" s="950"/>
      <c r="L83" s="950"/>
      <c r="M83" s="950"/>
      <c r="N83" s="950"/>
      <c r="O83" s="950"/>
      <c r="P83" s="950"/>
      <c r="Q83" s="991"/>
      <c r="R83" s="1005" t="s">
        <v>9491</v>
      </c>
      <c r="S83" s="1007" t="s">
        <v>9492</v>
      </c>
      <c r="T83" s="993">
        <f t="shared" si="6"/>
        <v>106</v>
      </c>
      <c r="U83" s="1006" t="s">
        <v>9492</v>
      </c>
      <c r="V83" s="993">
        <f t="shared" si="1"/>
        <v>106</v>
      </c>
      <c r="W83" s="992" t="s">
        <v>9493</v>
      </c>
      <c r="X83" s="993">
        <f t="shared" si="2"/>
        <v>30</v>
      </c>
      <c r="Y83" s="994" t="s">
        <v>9494</v>
      </c>
      <c r="Z83" s="993">
        <f t="shared" si="3"/>
        <v>98</v>
      </c>
      <c r="AA83" s="994" t="s">
        <v>9494</v>
      </c>
      <c r="AB83" s="993">
        <f t="shared" si="4"/>
        <v>98</v>
      </c>
      <c r="AC83" s="994" t="s">
        <v>9495</v>
      </c>
      <c r="AD83" s="993">
        <f t="shared" si="5"/>
        <v>30</v>
      </c>
      <c r="AE83" s="518" t="s">
        <v>9486</v>
      </c>
      <c r="AF83" s="519" t="s">
        <v>9239</v>
      </c>
      <c r="AG83" s="995" t="s">
        <v>9179</v>
      </c>
      <c r="AH83" s="996" t="s">
        <v>169</v>
      </c>
      <c r="AI83" s="530" t="s">
        <v>2969</v>
      </c>
      <c r="AJ83" s="958">
        <v>1</v>
      </c>
      <c r="AK83" s="959"/>
      <c r="AL83" s="960" t="s">
        <v>9455</v>
      </c>
      <c r="AM83" s="1008">
        <f>_xll.GetCtData("COAMOUNT","CONSAMOUNT",$A$1:$A$7,$D83,AM$10,"#")</f>
        <v>0</v>
      </c>
    </row>
    <row r="84" spans="1:39">
      <c r="D84" s="1005" t="s">
        <v>1843</v>
      </c>
      <c r="E84" s="949" t="s">
        <v>5409</v>
      </c>
      <c r="F84" s="950"/>
      <c r="G84" s="950"/>
      <c r="H84" s="950"/>
      <c r="I84" s="950"/>
      <c r="J84" s="950"/>
      <c r="K84" s="950"/>
      <c r="L84" s="950"/>
      <c r="M84" s="950"/>
      <c r="N84" s="950"/>
      <c r="O84" s="950"/>
      <c r="P84" s="950"/>
      <c r="Q84" s="991"/>
      <c r="R84" s="1005" t="s">
        <v>2675</v>
      </c>
      <c r="S84" s="1007" t="s">
        <v>2676</v>
      </c>
      <c r="T84" s="993">
        <f t="shared" si="6"/>
        <v>104</v>
      </c>
      <c r="U84" s="1006" t="s">
        <v>2676</v>
      </c>
      <c r="V84" s="993">
        <f t="shared" si="1"/>
        <v>104</v>
      </c>
      <c r="W84" s="992" t="s">
        <v>9496</v>
      </c>
      <c r="X84" s="993">
        <f t="shared" si="2"/>
        <v>30</v>
      </c>
      <c r="Y84" s="994" t="s">
        <v>9488</v>
      </c>
      <c r="Z84" s="993">
        <f t="shared" si="3"/>
        <v>110</v>
      </c>
      <c r="AA84" s="994" t="s">
        <v>9488</v>
      </c>
      <c r="AB84" s="993">
        <f t="shared" si="4"/>
        <v>110</v>
      </c>
      <c r="AC84" s="994" t="s">
        <v>9497</v>
      </c>
      <c r="AD84" s="993">
        <f t="shared" si="5"/>
        <v>26</v>
      </c>
      <c r="AE84" s="518" t="s">
        <v>9490</v>
      </c>
      <c r="AF84" s="519" t="s">
        <v>9245</v>
      </c>
      <c r="AG84" s="995" t="s">
        <v>9179</v>
      </c>
      <c r="AH84" s="996" t="s">
        <v>169</v>
      </c>
      <c r="AI84" s="530" t="s">
        <v>2969</v>
      </c>
      <c r="AJ84" s="958">
        <v>1</v>
      </c>
      <c r="AK84" s="959" t="s">
        <v>5359</v>
      </c>
      <c r="AL84" s="960" t="s">
        <v>9455</v>
      </c>
      <c r="AM84" s="1008">
        <f>_xll.GetCtData("COAMOUNT","CONSAMOUNT",$A$1:$A$7,$D84,AM$10,"#")</f>
        <v>0</v>
      </c>
    </row>
    <row r="85" spans="1:39">
      <c r="A85" s="427">
        <v>3</v>
      </c>
      <c r="B85" s="427" t="s">
        <v>9153</v>
      </c>
      <c r="D85" s="981" t="s">
        <v>9498</v>
      </c>
      <c r="E85" s="949" t="s">
        <v>2912</v>
      </c>
      <c r="F85" s="950">
        <v>8</v>
      </c>
      <c r="G85" s="950"/>
      <c r="H85" s="950"/>
      <c r="I85" s="950"/>
      <c r="J85" s="950"/>
      <c r="K85" s="950"/>
      <c r="L85" s="950"/>
      <c r="M85" s="950"/>
      <c r="N85" s="950"/>
      <c r="O85" s="981" t="s">
        <v>9499</v>
      </c>
      <c r="P85" s="982"/>
      <c r="Q85" s="981"/>
      <c r="R85" s="981" t="s">
        <v>9499</v>
      </c>
      <c r="S85" s="981" t="s">
        <v>9500</v>
      </c>
      <c r="T85" s="1002">
        <f t="shared" si="6"/>
        <v>57</v>
      </c>
      <c r="U85" s="981" t="s">
        <v>9500</v>
      </c>
      <c r="V85" s="1002">
        <f t="shared" si="1"/>
        <v>57</v>
      </c>
      <c r="W85" s="981" t="s">
        <v>9501</v>
      </c>
      <c r="X85" s="1002">
        <f t="shared" si="2"/>
        <v>17</v>
      </c>
      <c r="Y85" s="1003" t="s">
        <v>9502</v>
      </c>
      <c r="Z85" s="1002">
        <f t="shared" si="3"/>
        <v>43</v>
      </c>
      <c r="AA85" s="1003" t="s">
        <v>9502</v>
      </c>
      <c r="AB85" s="1002">
        <f t="shared" si="4"/>
        <v>43</v>
      </c>
      <c r="AC85" s="1003" t="s">
        <v>9503</v>
      </c>
      <c r="AD85" s="1002">
        <f t="shared" si="5"/>
        <v>18</v>
      </c>
      <c r="AE85" s="1002"/>
      <c r="AF85" s="1002"/>
      <c r="AG85" s="995"/>
      <c r="AH85" s="996"/>
      <c r="AI85" s="530" t="s">
        <v>2969</v>
      </c>
      <c r="AJ85" s="958">
        <v>1</v>
      </c>
      <c r="AK85" s="959"/>
      <c r="AL85" s="960" t="s">
        <v>5930</v>
      </c>
      <c r="AM85" s="985">
        <f>_xll.GetCtData("COAMOUNT","CONSAMOUNT",$A$1:$A$7,$D85,AM$10,"#-2808657,71004622")</f>
        <v>-2808657</v>
      </c>
    </row>
    <row r="86" spans="1:39">
      <c r="A86" s="427">
        <v>3</v>
      </c>
      <c r="B86" s="427" t="s">
        <v>9153</v>
      </c>
      <c r="D86" s="986" t="s">
        <v>9504</v>
      </c>
      <c r="E86" s="949" t="s">
        <v>2912</v>
      </c>
      <c r="F86" s="950">
        <v>9</v>
      </c>
      <c r="G86" s="950"/>
      <c r="H86" s="950"/>
      <c r="I86" s="950"/>
      <c r="J86" s="950"/>
      <c r="K86" s="950"/>
      <c r="L86" s="950"/>
      <c r="M86" s="950"/>
      <c r="N86" s="950"/>
      <c r="O86" s="950"/>
      <c r="P86" s="986" t="s">
        <v>9505</v>
      </c>
      <c r="Q86" s="986"/>
      <c r="R86" s="986" t="s">
        <v>9505</v>
      </c>
      <c r="S86" s="986" t="s">
        <v>9506</v>
      </c>
      <c r="T86" s="987">
        <f t="shared" si="6"/>
        <v>86</v>
      </c>
      <c r="U86" s="986" t="s">
        <v>9506</v>
      </c>
      <c r="V86" s="987">
        <f t="shared" si="1"/>
        <v>86</v>
      </c>
      <c r="W86" s="986" t="s">
        <v>9507</v>
      </c>
      <c r="X86" s="987">
        <f t="shared" si="2"/>
        <v>29</v>
      </c>
      <c r="Y86" s="988" t="s">
        <v>9508</v>
      </c>
      <c r="Z86" s="987">
        <f t="shared" si="3"/>
        <v>77</v>
      </c>
      <c r="AA86" s="988" t="s">
        <v>9509</v>
      </c>
      <c r="AB86" s="987">
        <f t="shared" si="4"/>
        <v>76</v>
      </c>
      <c r="AC86" s="988" t="s">
        <v>9510</v>
      </c>
      <c r="AD86" s="987">
        <f t="shared" si="5"/>
        <v>29</v>
      </c>
      <c r="AE86" s="987"/>
      <c r="AF86" s="987"/>
      <c r="AG86" s="999"/>
      <c r="AH86" s="1000"/>
      <c r="AI86" s="530" t="s">
        <v>2969</v>
      </c>
      <c r="AJ86" s="958">
        <v>1</v>
      </c>
      <c r="AK86" s="959"/>
      <c r="AL86" s="960" t="s">
        <v>5930</v>
      </c>
      <c r="AM86" s="989">
        <f>_xll.GetCtData("COAMOUNT","CONSAMOUNT",$A$1:$A$7,$D86,AM$10,"#-2631460,90970878")</f>
        <v>-2631460</v>
      </c>
    </row>
    <row r="87" spans="1:39">
      <c r="A87" s="427">
        <v>3</v>
      </c>
      <c r="B87" s="427" t="s">
        <v>9153</v>
      </c>
      <c r="D87" s="990" t="s">
        <v>1642</v>
      </c>
      <c r="E87" s="949" t="s">
        <v>2930</v>
      </c>
      <c r="F87" s="950">
        <v>10</v>
      </c>
      <c r="G87" s="950"/>
      <c r="H87" s="950"/>
      <c r="I87" s="950"/>
      <c r="J87" s="950"/>
      <c r="K87" s="950"/>
      <c r="L87" s="950"/>
      <c r="M87" s="950"/>
      <c r="N87" s="950"/>
      <c r="O87" s="950"/>
      <c r="P87" s="950"/>
      <c r="Q87" s="991"/>
      <c r="R87" s="990" t="s">
        <v>1455</v>
      </c>
      <c r="S87" s="992" t="s">
        <v>1456</v>
      </c>
      <c r="T87" s="993">
        <f t="shared" si="6"/>
        <v>108</v>
      </c>
      <c r="U87" s="992" t="s">
        <v>1456</v>
      </c>
      <c r="V87" s="993">
        <f t="shared" ref="V87:V164" si="7">LEN(U87)</f>
        <v>108</v>
      </c>
      <c r="W87" s="992" t="s">
        <v>9507</v>
      </c>
      <c r="X87" s="993">
        <f t="shared" ref="X87:X164" si="8">LEN(W87)</f>
        <v>29</v>
      </c>
      <c r="Y87" s="994" t="s">
        <v>9511</v>
      </c>
      <c r="Z87" s="993">
        <f t="shared" ref="Z87:Z164" si="9">LEN(Y87)</f>
        <v>94</v>
      </c>
      <c r="AA87" s="994" t="s">
        <v>9511</v>
      </c>
      <c r="AB87" s="993">
        <f t="shared" ref="AB87:AB164" si="10">LEN(AA87)</f>
        <v>94</v>
      </c>
      <c r="AC87" s="994" t="s">
        <v>9512</v>
      </c>
      <c r="AD87" s="993">
        <f t="shared" ref="AD87:AD164" si="11">LEN(AC87)</f>
        <v>23</v>
      </c>
      <c r="AE87" s="518" t="s">
        <v>9387</v>
      </c>
      <c r="AF87" s="519" t="s">
        <v>9388</v>
      </c>
      <c r="AG87" s="995" t="s">
        <v>9179</v>
      </c>
      <c r="AH87" s="996" t="s">
        <v>169</v>
      </c>
      <c r="AI87" s="530" t="s">
        <v>2969</v>
      </c>
      <c r="AJ87" s="958">
        <v>1</v>
      </c>
      <c r="AK87" s="959" t="s">
        <v>5359</v>
      </c>
      <c r="AL87" s="960" t="s">
        <v>5930</v>
      </c>
      <c r="AM87" s="997">
        <f>_xll.GetCtData("COAMOUNT","CONSAMOUNT",$A$1:$A$7,$D87,AM$10,"#-942292,575044235")</f>
        <v>-942292</v>
      </c>
    </row>
    <row r="88" spans="1:39">
      <c r="A88" s="427">
        <v>3</v>
      </c>
      <c r="B88" s="427" t="s">
        <v>9153</v>
      </c>
      <c r="D88" s="990" t="s">
        <v>1643</v>
      </c>
      <c r="E88" s="949" t="s">
        <v>2930</v>
      </c>
      <c r="F88" s="950">
        <v>10</v>
      </c>
      <c r="G88" s="950"/>
      <c r="H88" s="950"/>
      <c r="I88" s="950"/>
      <c r="J88" s="950"/>
      <c r="K88" s="950"/>
      <c r="L88" s="950"/>
      <c r="M88" s="950"/>
      <c r="N88" s="950"/>
      <c r="O88" s="950"/>
      <c r="P88" s="950"/>
      <c r="Q88" s="991"/>
      <c r="R88" s="990" t="s">
        <v>1483</v>
      </c>
      <c r="S88" s="992" t="s">
        <v>1484</v>
      </c>
      <c r="T88" s="993">
        <f t="shared" si="6"/>
        <v>100</v>
      </c>
      <c r="U88" s="992" t="s">
        <v>1484</v>
      </c>
      <c r="V88" s="993">
        <f t="shared" si="7"/>
        <v>100</v>
      </c>
      <c r="W88" s="992" t="s">
        <v>9513</v>
      </c>
      <c r="X88" s="993">
        <f t="shared" si="8"/>
        <v>22</v>
      </c>
      <c r="Y88" s="994" t="s">
        <v>9514</v>
      </c>
      <c r="Z88" s="993">
        <f t="shared" si="9"/>
        <v>120</v>
      </c>
      <c r="AA88" s="994" t="s">
        <v>9514</v>
      </c>
      <c r="AB88" s="993">
        <f t="shared" si="10"/>
        <v>120</v>
      </c>
      <c r="AC88" s="994" t="s">
        <v>9515</v>
      </c>
      <c r="AD88" s="993">
        <f t="shared" si="11"/>
        <v>28</v>
      </c>
      <c r="AE88" s="518" t="s">
        <v>9392</v>
      </c>
      <c r="AF88" s="519" t="s">
        <v>9393</v>
      </c>
      <c r="AG88" s="995" t="s">
        <v>9179</v>
      </c>
      <c r="AH88" s="996" t="s">
        <v>169</v>
      </c>
      <c r="AI88" s="530" t="s">
        <v>2969</v>
      </c>
      <c r="AJ88" s="958">
        <v>1</v>
      </c>
      <c r="AK88" s="959" t="s">
        <v>5359</v>
      </c>
      <c r="AL88" s="960" t="s">
        <v>5930</v>
      </c>
      <c r="AM88" s="997">
        <f>_xll.GetCtData("COAMOUNT","CONSAMOUNT",$A$1:$A$7,$D88,AM$10,"#-1238418,29337562")</f>
        <v>-1238418</v>
      </c>
    </row>
    <row r="89" spans="1:39">
      <c r="A89" s="427">
        <v>3</v>
      </c>
      <c r="B89" s="427" t="s">
        <v>9153</v>
      </c>
      <c r="D89" s="990" t="s">
        <v>1644</v>
      </c>
      <c r="E89" s="949" t="s">
        <v>2930</v>
      </c>
      <c r="F89" s="950">
        <v>10</v>
      </c>
      <c r="G89" s="950"/>
      <c r="H89" s="950"/>
      <c r="I89" s="950"/>
      <c r="J89" s="950"/>
      <c r="K89" s="950"/>
      <c r="L89" s="950"/>
      <c r="M89" s="950"/>
      <c r="N89" s="950"/>
      <c r="O89" s="950"/>
      <c r="P89" s="950"/>
      <c r="Q89" s="991"/>
      <c r="R89" s="990" t="s">
        <v>1487</v>
      </c>
      <c r="S89" s="992" t="s">
        <v>1488</v>
      </c>
      <c r="T89" s="993">
        <f t="shared" si="6"/>
        <v>113</v>
      </c>
      <c r="U89" s="992" t="s">
        <v>1488</v>
      </c>
      <c r="V89" s="993">
        <f t="shared" si="7"/>
        <v>113</v>
      </c>
      <c r="W89" s="992" t="s">
        <v>9516</v>
      </c>
      <c r="X89" s="993">
        <f t="shared" si="8"/>
        <v>30</v>
      </c>
      <c r="Y89" s="994" t="s">
        <v>9517</v>
      </c>
      <c r="Z89" s="993">
        <f t="shared" si="9"/>
        <v>109</v>
      </c>
      <c r="AA89" s="994" t="s">
        <v>9517</v>
      </c>
      <c r="AB89" s="993">
        <f t="shared" si="10"/>
        <v>109</v>
      </c>
      <c r="AC89" s="994" t="s">
        <v>9518</v>
      </c>
      <c r="AD89" s="993">
        <f t="shared" si="11"/>
        <v>26</v>
      </c>
      <c r="AE89" s="518" t="s">
        <v>9397</v>
      </c>
      <c r="AF89" s="519" t="s">
        <v>9398</v>
      </c>
      <c r="AG89" s="995" t="s">
        <v>9179</v>
      </c>
      <c r="AH89" s="996" t="s">
        <v>169</v>
      </c>
      <c r="AI89" s="530" t="s">
        <v>2969</v>
      </c>
      <c r="AJ89" s="958">
        <v>1</v>
      </c>
      <c r="AK89" s="959" t="s">
        <v>5359</v>
      </c>
      <c r="AL89" s="960" t="s">
        <v>5930</v>
      </c>
      <c r="AM89" s="997">
        <f>_xll.GetCtData("COAMOUNT","CONSAMOUNT",$A$1:$A$7,$D89,AM$10,"#-450750,041288918")</f>
        <v>-450750</v>
      </c>
    </row>
    <row r="90" spans="1:39">
      <c r="A90" s="427">
        <v>3</v>
      </c>
      <c r="B90" s="427" t="s">
        <v>9153</v>
      </c>
      <c r="D90" s="986" t="s">
        <v>9519</v>
      </c>
      <c r="E90" s="949" t="s">
        <v>2912</v>
      </c>
      <c r="F90" s="950">
        <v>9</v>
      </c>
      <c r="G90" s="950"/>
      <c r="H90" s="950"/>
      <c r="I90" s="950"/>
      <c r="J90" s="950"/>
      <c r="K90" s="950"/>
      <c r="L90" s="950"/>
      <c r="M90" s="950"/>
      <c r="N90" s="950"/>
      <c r="O90" s="950"/>
      <c r="P90" s="986" t="s">
        <v>9520</v>
      </c>
      <c r="Q90" s="986"/>
      <c r="R90" s="986" t="s">
        <v>9520</v>
      </c>
      <c r="S90" s="986" t="s">
        <v>2696</v>
      </c>
      <c r="T90" s="987">
        <f t="shared" si="6"/>
        <v>94</v>
      </c>
      <c r="U90" s="986" t="s">
        <v>2696</v>
      </c>
      <c r="V90" s="987">
        <f t="shared" si="7"/>
        <v>94</v>
      </c>
      <c r="W90" s="986" t="s">
        <v>9521</v>
      </c>
      <c r="X90" s="987">
        <f t="shared" si="8"/>
        <v>30</v>
      </c>
      <c r="Y90" s="988" t="s">
        <v>9522</v>
      </c>
      <c r="Z90" s="987">
        <f t="shared" si="9"/>
        <v>110</v>
      </c>
      <c r="AA90" s="988" t="s">
        <v>9523</v>
      </c>
      <c r="AB90" s="987">
        <f t="shared" si="10"/>
        <v>109</v>
      </c>
      <c r="AC90" s="988" t="s">
        <v>9524</v>
      </c>
      <c r="AD90" s="987">
        <f t="shared" si="11"/>
        <v>29</v>
      </c>
      <c r="AE90" s="987"/>
      <c r="AF90" s="987"/>
      <c r="AG90" s="999"/>
      <c r="AH90" s="1000"/>
      <c r="AI90" s="530" t="s">
        <v>2969</v>
      </c>
      <c r="AJ90" s="958">
        <v>1</v>
      </c>
      <c r="AK90" s="959"/>
      <c r="AL90" s="960" t="s">
        <v>5930</v>
      </c>
      <c r="AM90" s="989">
        <f>_xll.GetCtData("COAMOUNT","CONSAMOUNT",$A$1:$A$7,$D90,AM$10,"#8415,67967034899")</f>
        <v>8415</v>
      </c>
    </row>
    <row r="91" spans="1:39">
      <c r="A91" s="427">
        <v>3</v>
      </c>
      <c r="B91" s="427" t="s">
        <v>9153</v>
      </c>
      <c r="D91" s="990" t="s">
        <v>2694</v>
      </c>
      <c r="E91" s="949" t="s">
        <v>2930</v>
      </c>
      <c r="F91" s="950">
        <v>10</v>
      </c>
      <c r="G91" s="950"/>
      <c r="H91" s="950"/>
      <c r="I91" s="950"/>
      <c r="J91" s="950"/>
      <c r="K91" s="950"/>
      <c r="L91" s="950"/>
      <c r="M91" s="950"/>
      <c r="N91" s="950"/>
      <c r="O91" s="950"/>
      <c r="P91" s="950"/>
      <c r="Q91" s="991"/>
      <c r="R91" s="990" t="s">
        <v>2695</v>
      </c>
      <c r="S91" s="992" t="s">
        <v>2696</v>
      </c>
      <c r="T91" s="993">
        <f t="shared" si="6"/>
        <v>94</v>
      </c>
      <c r="U91" s="992" t="s">
        <v>2696</v>
      </c>
      <c r="V91" s="993">
        <f t="shared" si="7"/>
        <v>94</v>
      </c>
      <c r="W91" s="992" t="s">
        <v>9521</v>
      </c>
      <c r="X91" s="993">
        <f t="shared" si="8"/>
        <v>30</v>
      </c>
      <c r="Y91" s="994" t="s">
        <v>9523</v>
      </c>
      <c r="Z91" s="993">
        <f t="shared" si="9"/>
        <v>109</v>
      </c>
      <c r="AA91" s="994" t="s">
        <v>9523</v>
      </c>
      <c r="AB91" s="993">
        <f t="shared" si="10"/>
        <v>109</v>
      </c>
      <c r="AC91" s="994" t="s">
        <v>9524</v>
      </c>
      <c r="AD91" s="993">
        <f t="shared" si="11"/>
        <v>29</v>
      </c>
      <c r="AE91" s="518" t="s">
        <v>9405</v>
      </c>
      <c r="AF91" s="519" t="s">
        <v>9406</v>
      </c>
      <c r="AG91" s="995" t="s">
        <v>9179</v>
      </c>
      <c r="AH91" s="996" t="s">
        <v>169</v>
      </c>
      <c r="AI91" s="530" t="s">
        <v>2969</v>
      </c>
      <c r="AJ91" s="958">
        <v>1</v>
      </c>
      <c r="AK91" s="959" t="s">
        <v>5359</v>
      </c>
      <c r="AL91" s="960" t="s">
        <v>5930</v>
      </c>
      <c r="AM91" s="997">
        <f>_xll.GetCtData("COAMOUNT","CONSAMOUNT",$A$1:$A$7,$D91,AM$10,"#8415,67967034899")</f>
        <v>8415</v>
      </c>
    </row>
    <row r="92" spans="1:39">
      <c r="A92" s="427">
        <v>3</v>
      </c>
      <c r="B92" s="427" t="s">
        <v>9153</v>
      </c>
      <c r="D92" s="986" t="s">
        <v>9525</v>
      </c>
      <c r="E92" s="949" t="s">
        <v>2912</v>
      </c>
      <c r="F92" s="950">
        <v>9</v>
      </c>
      <c r="G92" s="950"/>
      <c r="H92" s="950"/>
      <c r="I92" s="950"/>
      <c r="J92" s="950"/>
      <c r="K92" s="950"/>
      <c r="L92" s="950"/>
      <c r="M92" s="950"/>
      <c r="N92" s="950"/>
      <c r="O92" s="950"/>
      <c r="P92" s="986" t="s">
        <v>9526</v>
      </c>
      <c r="Q92" s="986"/>
      <c r="R92" s="986" t="s">
        <v>9526</v>
      </c>
      <c r="S92" s="986" t="s">
        <v>9527</v>
      </c>
      <c r="T92" s="987">
        <f t="shared" si="6"/>
        <v>79</v>
      </c>
      <c r="U92" s="986" t="s">
        <v>9527</v>
      </c>
      <c r="V92" s="987">
        <f t="shared" si="7"/>
        <v>79</v>
      </c>
      <c r="W92" s="986" t="s">
        <v>9528</v>
      </c>
      <c r="X92" s="987">
        <f t="shared" si="8"/>
        <v>20</v>
      </c>
      <c r="Y92" s="988" t="s">
        <v>9529</v>
      </c>
      <c r="Z92" s="987">
        <f t="shared" si="9"/>
        <v>93</v>
      </c>
      <c r="AA92" s="988" t="s">
        <v>9529</v>
      </c>
      <c r="AB92" s="987">
        <f t="shared" si="10"/>
        <v>93</v>
      </c>
      <c r="AC92" s="988" t="s">
        <v>9530</v>
      </c>
      <c r="AD92" s="987">
        <f t="shared" si="11"/>
        <v>30</v>
      </c>
      <c r="AE92" s="987"/>
      <c r="AF92" s="987"/>
      <c r="AG92" s="999"/>
      <c r="AH92" s="1000"/>
      <c r="AI92" s="530" t="s">
        <v>2969</v>
      </c>
      <c r="AJ92" s="958">
        <v>1</v>
      </c>
      <c r="AK92" s="959"/>
      <c r="AL92" s="960" t="s">
        <v>5930</v>
      </c>
      <c r="AM92" s="989">
        <f>_xll.GetCtData("COAMOUNT","CONSAMOUNT",$A$1:$A$7,$D92,AM$10,"#-11509,8129552766")</f>
        <v>-11509</v>
      </c>
    </row>
    <row r="93" spans="1:39">
      <c r="A93" s="427">
        <v>3</v>
      </c>
      <c r="B93" s="427" t="s">
        <v>9153</v>
      </c>
      <c r="D93" s="990" t="s">
        <v>2706</v>
      </c>
      <c r="E93" s="949" t="s">
        <v>2930</v>
      </c>
      <c r="F93" s="950">
        <v>10</v>
      </c>
      <c r="G93" s="950"/>
      <c r="H93" s="950"/>
      <c r="I93" s="950"/>
      <c r="J93" s="950"/>
      <c r="K93" s="950"/>
      <c r="L93" s="950"/>
      <c r="M93" s="950"/>
      <c r="N93" s="950"/>
      <c r="O93" s="950"/>
      <c r="P93" s="950"/>
      <c r="Q93" s="991"/>
      <c r="R93" s="990" t="s">
        <v>2707</v>
      </c>
      <c r="S93" s="992" t="s">
        <v>1844</v>
      </c>
      <c r="T93" s="993">
        <f t="shared" si="6"/>
        <v>121</v>
      </c>
      <c r="U93" s="992" t="s">
        <v>2708</v>
      </c>
      <c r="V93" s="993">
        <f t="shared" si="7"/>
        <v>116</v>
      </c>
      <c r="W93" s="992" t="s">
        <v>9531</v>
      </c>
      <c r="X93" s="993">
        <f t="shared" si="8"/>
        <v>28</v>
      </c>
      <c r="Y93" s="994" t="s">
        <v>9532</v>
      </c>
      <c r="Z93" s="993">
        <f t="shared" si="9"/>
        <v>121</v>
      </c>
      <c r="AA93" s="994" t="s">
        <v>9533</v>
      </c>
      <c r="AB93" s="993">
        <f t="shared" si="10"/>
        <v>115</v>
      </c>
      <c r="AC93" s="994" t="s">
        <v>9534</v>
      </c>
      <c r="AD93" s="993">
        <f t="shared" si="11"/>
        <v>30</v>
      </c>
      <c r="AE93" s="518" t="s">
        <v>9418</v>
      </c>
      <c r="AF93" s="519" t="s">
        <v>9419</v>
      </c>
      <c r="AG93" s="995" t="s">
        <v>9179</v>
      </c>
      <c r="AH93" s="996" t="s">
        <v>169</v>
      </c>
      <c r="AI93" s="530" t="s">
        <v>2969</v>
      </c>
      <c r="AJ93" s="958">
        <v>1</v>
      </c>
      <c r="AK93" s="959" t="s">
        <v>5359</v>
      </c>
      <c r="AL93" s="960" t="s">
        <v>9437</v>
      </c>
      <c r="AM93" s="997">
        <f>_xll.GetCtData("COAMOUNT","CONSAMOUNT",$A$1:$A$7,$D93,AM$10,"#-12365,0270537167")</f>
        <v>-12365</v>
      </c>
    </row>
    <row r="94" spans="1:39">
      <c r="A94" s="427">
        <v>3</v>
      </c>
      <c r="B94" s="427" t="s">
        <v>9153</v>
      </c>
      <c r="D94" s="990" t="s">
        <v>1645</v>
      </c>
      <c r="E94" s="949" t="s">
        <v>2930</v>
      </c>
      <c r="F94" s="950">
        <v>10</v>
      </c>
      <c r="G94" s="950"/>
      <c r="H94" s="950"/>
      <c r="I94" s="950"/>
      <c r="J94" s="950"/>
      <c r="K94" s="950"/>
      <c r="L94" s="950"/>
      <c r="M94" s="950"/>
      <c r="N94" s="950"/>
      <c r="O94" s="950"/>
      <c r="P94" s="950"/>
      <c r="Q94" s="991"/>
      <c r="R94" s="990" t="s">
        <v>1479</v>
      </c>
      <c r="S94" s="992" t="s">
        <v>1480</v>
      </c>
      <c r="T94" s="993">
        <f t="shared" si="6"/>
        <v>113</v>
      </c>
      <c r="U94" s="992" t="s">
        <v>1480</v>
      </c>
      <c r="V94" s="993">
        <f t="shared" si="7"/>
        <v>113</v>
      </c>
      <c r="W94" s="992" t="s">
        <v>9535</v>
      </c>
      <c r="X94" s="993">
        <f t="shared" si="8"/>
        <v>30</v>
      </c>
      <c r="Y94" s="994" t="s">
        <v>9536</v>
      </c>
      <c r="Z94" s="993">
        <f t="shared" si="9"/>
        <v>111</v>
      </c>
      <c r="AA94" s="994" t="s">
        <v>9536</v>
      </c>
      <c r="AB94" s="993">
        <f t="shared" si="10"/>
        <v>111</v>
      </c>
      <c r="AC94" s="994" t="s">
        <v>9537</v>
      </c>
      <c r="AD94" s="993">
        <f t="shared" si="11"/>
        <v>28</v>
      </c>
      <c r="AE94" s="518" t="s">
        <v>9424</v>
      </c>
      <c r="AF94" s="519" t="s">
        <v>9425</v>
      </c>
      <c r="AG94" s="995" t="s">
        <v>9179</v>
      </c>
      <c r="AH94" s="996" t="s">
        <v>169</v>
      </c>
      <c r="AI94" s="530" t="s">
        <v>2969</v>
      </c>
      <c r="AJ94" s="958">
        <v>1</v>
      </c>
      <c r="AK94" s="959" t="s">
        <v>5359</v>
      </c>
      <c r="AL94" s="960" t="s">
        <v>5930</v>
      </c>
      <c r="AM94" s="997">
        <f>_xll.GetCtData("COAMOUNT","CONSAMOUNT",$A$1:$A$7,$D94,AM$10,"#855,21409844003")</f>
        <v>855</v>
      </c>
    </row>
    <row r="95" spans="1:39">
      <c r="A95" s="427">
        <v>3</v>
      </c>
      <c r="B95" s="427" t="s">
        <v>9153</v>
      </c>
      <c r="D95" s="986" t="s">
        <v>9538</v>
      </c>
      <c r="E95" s="949" t="s">
        <v>2912</v>
      </c>
      <c r="F95" s="950">
        <v>9</v>
      </c>
      <c r="G95" s="950"/>
      <c r="H95" s="950"/>
      <c r="I95" s="950"/>
      <c r="J95" s="950"/>
      <c r="K95" s="950"/>
      <c r="L95" s="950"/>
      <c r="M95" s="950"/>
      <c r="N95" s="950"/>
      <c r="O95" s="950"/>
      <c r="P95" s="986" t="s">
        <v>9539</v>
      </c>
      <c r="Q95" s="986"/>
      <c r="R95" s="986" t="s">
        <v>9539</v>
      </c>
      <c r="S95" s="986" t="s">
        <v>2690</v>
      </c>
      <c r="T95" s="987">
        <f t="shared" si="6"/>
        <v>97</v>
      </c>
      <c r="U95" s="986" t="s">
        <v>2690</v>
      </c>
      <c r="V95" s="987">
        <f t="shared" si="7"/>
        <v>97</v>
      </c>
      <c r="W95" s="986" t="s">
        <v>9540</v>
      </c>
      <c r="X95" s="987">
        <f t="shared" si="8"/>
        <v>30</v>
      </c>
      <c r="Y95" s="988" t="s">
        <v>9541</v>
      </c>
      <c r="Z95" s="987">
        <f t="shared" si="9"/>
        <v>126</v>
      </c>
      <c r="AA95" s="988" t="s">
        <v>9542</v>
      </c>
      <c r="AB95" s="987">
        <f t="shared" si="10"/>
        <v>103</v>
      </c>
      <c r="AC95" s="988" t="s">
        <v>9543</v>
      </c>
      <c r="AD95" s="987">
        <f t="shared" si="11"/>
        <v>30</v>
      </c>
      <c r="AE95" s="987"/>
      <c r="AF95" s="987"/>
      <c r="AG95" s="999"/>
      <c r="AH95" s="1000"/>
      <c r="AI95" s="530" t="s">
        <v>2969</v>
      </c>
      <c r="AJ95" s="958">
        <v>1</v>
      </c>
      <c r="AK95" s="959"/>
      <c r="AL95" s="960" t="s">
        <v>5930</v>
      </c>
      <c r="AM95" s="989">
        <f>_xll.GetCtData("COAMOUNT","CONSAMOUNT",$A$1:$A$7,$D95,AM$10,"#-168484,777840685")</f>
        <v>-168484</v>
      </c>
    </row>
    <row r="96" spans="1:39">
      <c r="A96" s="427">
        <v>3</v>
      </c>
      <c r="B96" s="427" t="s">
        <v>9153</v>
      </c>
      <c r="D96" s="990" t="s">
        <v>2688</v>
      </c>
      <c r="E96" s="949" t="s">
        <v>2930</v>
      </c>
      <c r="F96" s="950">
        <v>10</v>
      </c>
      <c r="G96" s="950"/>
      <c r="H96" s="950"/>
      <c r="I96" s="950"/>
      <c r="J96" s="950"/>
      <c r="K96" s="950"/>
      <c r="L96" s="950"/>
      <c r="M96" s="950"/>
      <c r="N96" s="950"/>
      <c r="O96" s="950"/>
      <c r="P96" s="950"/>
      <c r="Q96" s="991"/>
      <c r="R96" s="990" t="s">
        <v>2689</v>
      </c>
      <c r="S96" s="992" t="s">
        <v>2690</v>
      </c>
      <c r="T96" s="993">
        <f t="shared" si="6"/>
        <v>97</v>
      </c>
      <c r="U96" s="992" t="s">
        <v>2690</v>
      </c>
      <c r="V96" s="993">
        <f t="shared" si="7"/>
        <v>97</v>
      </c>
      <c r="W96" s="992" t="s">
        <v>9540</v>
      </c>
      <c r="X96" s="993">
        <f t="shared" si="8"/>
        <v>30</v>
      </c>
      <c r="Y96" s="994" t="s">
        <v>9544</v>
      </c>
      <c r="Z96" s="993">
        <f t="shared" si="9"/>
        <v>109</v>
      </c>
      <c r="AA96" s="994" t="s">
        <v>9542</v>
      </c>
      <c r="AB96" s="993">
        <f t="shared" si="10"/>
        <v>103</v>
      </c>
      <c r="AC96" s="994" t="s">
        <v>9545</v>
      </c>
      <c r="AD96" s="993">
        <f t="shared" si="11"/>
        <v>22</v>
      </c>
      <c r="AE96" s="518" t="s">
        <v>9435</v>
      </c>
      <c r="AF96" s="519" t="s">
        <v>9436</v>
      </c>
      <c r="AG96" s="995" t="s">
        <v>9179</v>
      </c>
      <c r="AH96" s="996" t="s">
        <v>169</v>
      </c>
      <c r="AI96" s="530" t="s">
        <v>2969</v>
      </c>
      <c r="AJ96" s="958">
        <v>1</v>
      </c>
      <c r="AK96" s="959" t="s">
        <v>5359</v>
      </c>
      <c r="AL96" s="960" t="s">
        <v>9437</v>
      </c>
      <c r="AM96" s="997">
        <f>_xll.GetCtData("COAMOUNT","CONSAMOUNT",$A$1:$A$7,$D96,AM$10,"#-168484,777840685")</f>
        <v>-168484</v>
      </c>
    </row>
    <row r="97" spans="1:39">
      <c r="A97" s="427">
        <v>3</v>
      </c>
      <c r="B97" s="427" t="s">
        <v>9153</v>
      </c>
      <c r="D97" s="986" t="s">
        <v>9546</v>
      </c>
      <c r="E97" s="949" t="s">
        <v>2912</v>
      </c>
      <c r="F97" s="950">
        <v>9</v>
      </c>
      <c r="G97" s="950"/>
      <c r="H97" s="950"/>
      <c r="I97" s="950"/>
      <c r="J97" s="950"/>
      <c r="K97" s="950"/>
      <c r="L97" s="950"/>
      <c r="M97" s="950"/>
      <c r="N97" s="950"/>
      <c r="O97" s="950"/>
      <c r="P97" s="986" t="s">
        <v>9547</v>
      </c>
      <c r="Q97" s="986"/>
      <c r="R97" s="986" t="s">
        <v>9547</v>
      </c>
      <c r="S97" s="986" t="s">
        <v>2684</v>
      </c>
      <c r="T97" s="987">
        <f t="shared" si="6"/>
        <v>103</v>
      </c>
      <c r="U97" s="986" t="s">
        <v>2684</v>
      </c>
      <c r="V97" s="987">
        <f t="shared" si="7"/>
        <v>103</v>
      </c>
      <c r="W97" s="986" t="s">
        <v>9548</v>
      </c>
      <c r="X97" s="987">
        <f t="shared" si="8"/>
        <v>29</v>
      </c>
      <c r="Y97" s="988" t="s">
        <v>9549</v>
      </c>
      <c r="Z97" s="987">
        <f t="shared" si="9"/>
        <v>83</v>
      </c>
      <c r="AA97" s="988" t="s">
        <v>9550</v>
      </c>
      <c r="AB97" s="987">
        <f t="shared" si="10"/>
        <v>82</v>
      </c>
      <c r="AC97" s="988" t="s">
        <v>9551</v>
      </c>
      <c r="AD97" s="987">
        <f t="shared" si="11"/>
        <v>29</v>
      </c>
      <c r="AE97" s="987"/>
      <c r="AF97" s="987"/>
      <c r="AG97" s="999"/>
      <c r="AH97" s="1000"/>
      <c r="AI97" s="530" t="s">
        <v>2969</v>
      </c>
      <c r="AJ97" s="958">
        <v>1</v>
      </c>
      <c r="AK97" s="959"/>
      <c r="AL97" s="960" t="s">
        <v>5930</v>
      </c>
      <c r="AM97" s="989">
        <f>_xll.GetCtData("COAMOUNT","CONSAMOUNT",$A$1:$A$7,$D97,AM$10,"#18,1107881679644")</f>
        <v>18</v>
      </c>
    </row>
    <row r="98" spans="1:39">
      <c r="A98" s="427">
        <v>3</v>
      </c>
      <c r="B98" s="427" t="s">
        <v>9153</v>
      </c>
      <c r="D98" s="990" t="s">
        <v>2682</v>
      </c>
      <c r="E98" s="949" t="s">
        <v>2930</v>
      </c>
      <c r="F98" s="950">
        <v>10</v>
      </c>
      <c r="G98" s="950"/>
      <c r="H98" s="950"/>
      <c r="I98" s="950"/>
      <c r="J98" s="950"/>
      <c r="K98" s="950"/>
      <c r="L98" s="950"/>
      <c r="M98" s="950"/>
      <c r="N98" s="950"/>
      <c r="O98" s="950"/>
      <c r="P98" s="950"/>
      <c r="Q98" s="991"/>
      <c r="R98" s="990" t="s">
        <v>2683</v>
      </c>
      <c r="S98" s="992" t="s">
        <v>2684</v>
      </c>
      <c r="T98" s="993">
        <f t="shared" si="6"/>
        <v>103</v>
      </c>
      <c r="U98" s="992" t="s">
        <v>2684</v>
      </c>
      <c r="V98" s="993">
        <f t="shared" si="7"/>
        <v>103</v>
      </c>
      <c r="W98" s="992" t="s">
        <v>9548</v>
      </c>
      <c r="X98" s="993">
        <f t="shared" si="8"/>
        <v>29</v>
      </c>
      <c r="Y98" s="994" t="s">
        <v>9549</v>
      </c>
      <c r="Z98" s="993">
        <f t="shared" si="9"/>
        <v>83</v>
      </c>
      <c r="AA98" s="994" t="s">
        <v>9550</v>
      </c>
      <c r="AB98" s="993">
        <f t="shared" si="10"/>
        <v>82</v>
      </c>
      <c r="AC98" s="994" t="s">
        <v>9551</v>
      </c>
      <c r="AD98" s="993">
        <f t="shared" si="11"/>
        <v>29</v>
      </c>
      <c r="AE98" s="518" t="s">
        <v>9444</v>
      </c>
      <c r="AF98" s="519" t="s">
        <v>9445</v>
      </c>
      <c r="AG98" s="995" t="s">
        <v>9179</v>
      </c>
      <c r="AH98" s="996" t="s">
        <v>169</v>
      </c>
      <c r="AI98" s="530" t="s">
        <v>2969</v>
      </c>
      <c r="AJ98" s="958">
        <v>1</v>
      </c>
      <c r="AK98" s="959" t="s">
        <v>5359</v>
      </c>
      <c r="AL98" s="960" t="s">
        <v>9446</v>
      </c>
      <c r="AM98" s="997">
        <f>_xll.GetCtData("COAMOUNT","CONSAMOUNT",$A$1:$A$7,$D98,AM$10,"#18,1107881679644")</f>
        <v>18</v>
      </c>
    </row>
    <row r="99" spans="1:39">
      <c r="A99" s="427" t="s">
        <v>6610</v>
      </c>
      <c r="B99" s="427" t="s">
        <v>6610</v>
      </c>
      <c r="D99" s="986" t="s">
        <v>9552</v>
      </c>
      <c r="E99" s="949" t="s">
        <v>2912</v>
      </c>
      <c r="F99" s="950">
        <v>9</v>
      </c>
      <c r="G99" s="950"/>
      <c r="H99" s="950"/>
      <c r="I99" s="950"/>
      <c r="J99" s="950"/>
      <c r="K99" s="950"/>
      <c r="L99" s="950"/>
      <c r="M99" s="950"/>
      <c r="N99" s="950"/>
      <c r="O99" s="950"/>
      <c r="P99" s="986" t="s">
        <v>9553</v>
      </c>
      <c r="Q99" s="986"/>
      <c r="R99" s="986" t="s">
        <v>9553</v>
      </c>
      <c r="S99" s="986" t="s">
        <v>9554</v>
      </c>
      <c r="T99" s="987">
        <f t="shared" si="6"/>
        <v>118</v>
      </c>
      <c r="U99" s="986" t="s">
        <v>9555</v>
      </c>
      <c r="V99" s="987">
        <f t="shared" si="7"/>
        <v>89</v>
      </c>
      <c r="W99" s="986" t="s">
        <v>9556</v>
      </c>
      <c r="X99" s="987">
        <f t="shared" si="8"/>
        <v>29</v>
      </c>
      <c r="Y99" s="988" t="s">
        <v>9557</v>
      </c>
      <c r="Z99" s="987">
        <f t="shared" si="9"/>
        <v>80</v>
      </c>
      <c r="AA99" s="988" t="s">
        <v>9558</v>
      </c>
      <c r="AB99" s="987">
        <f t="shared" si="10"/>
        <v>78</v>
      </c>
      <c r="AC99" s="988" t="s">
        <v>9559</v>
      </c>
      <c r="AD99" s="987">
        <f t="shared" si="11"/>
        <v>30</v>
      </c>
      <c r="AE99" s="987"/>
      <c r="AF99" s="987"/>
      <c r="AG99" s="999"/>
      <c r="AH99" s="1000"/>
      <c r="AI99" s="530" t="s">
        <v>2969</v>
      </c>
      <c r="AJ99" s="958">
        <v>1</v>
      </c>
      <c r="AK99" s="959"/>
      <c r="AL99" s="960" t="s">
        <v>9455</v>
      </c>
      <c r="AM99" s="989">
        <f>_xll.GetCtData("COAMOUNT","CONSAMOUNT",$A$1:$A$7,$D99,AM$10,"#-5636")</f>
        <v>-5636</v>
      </c>
    </row>
    <row r="100" spans="1:39">
      <c r="A100" s="427" t="s">
        <v>6610</v>
      </c>
      <c r="B100" s="427" t="s">
        <v>6610</v>
      </c>
      <c r="D100" s="1005" t="s">
        <v>9560</v>
      </c>
      <c r="E100" s="949" t="s">
        <v>5409</v>
      </c>
      <c r="F100" s="950">
        <v>10</v>
      </c>
      <c r="G100" s="950"/>
      <c r="H100" s="950"/>
      <c r="I100" s="950"/>
      <c r="J100" s="950"/>
      <c r="K100" s="950"/>
      <c r="L100" s="950"/>
      <c r="M100" s="950"/>
      <c r="N100" s="950"/>
      <c r="O100" s="950"/>
      <c r="P100" s="950"/>
      <c r="Q100" s="991"/>
      <c r="R100" s="1005" t="s">
        <v>9561</v>
      </c>
      <c r="S100" s="992" t="s">
        <v>9562</v>
      </c>
      <c r="T100" s="993">
        <f t="shared" si="6"/>
        <v>107</v>
      </c>
      <c r="U100" s="1006" t="s">
        <v>9563</v>
      </c>
      <c r="V100" s="993">
        <f t="shared" si="7"/>
        <v>101</v>
      </c>
      <c r="W100" s="992" t="s">
        <v>9564</v>
      </c>
      <c r="X100" s="993">
        <f t="shared" si="8"/>
        <v>30</v>
      </c>
      <c r="Y100" s="994" t="s">
        <v>9565</v>
      </c>
      <c r="Z100" s="993">
        <f t="shared" si="9"/>
        <v>95</v>
      </c>
      <c r="AA100" s="994" t="s">
        <v>9565</v>
      </c>
      <c r="AB100" s="993">
        <f t="shared" si="10"/>
        <v>95</v>
      </c>
      <c r="AC100" s="994" t="s">
        <v>9566</v>
      </c>
      <c r="AD100" s="993">
        <f t="shared" si="11"/>
        <v>30</v>
      </c>
      <c r="AE100" s="518" t="s">
        <v>9463</v>
      </c>
      <c r="AF100" s="519" t="s">
        <v>9239</v>
      </c>
      <c r="AG100" s="995" t="s">
        <v>9179</v>
      </c>
      <c r="AH100" s="996" t="s">
        <v>169</v>
      </c>
      <c r="AI100" s="530" t="s">
        <v>2969</v>
      </c>
      <c r="AJ100" s="958">
        <v>1</v>
      </c>
      <c r="AK100" s="959"/>
      <c r="AL100" s="960" t="s">
        <v>9455</v>
      </c>
      <c r="AM100" s="997">
        <f>_xll.GetCtData("COAMOUNT","CONSAMOUNT",$A$1:$A$7,$D100,AM$10,"#0")</f>
        <v>0</v>
      </c>
    </row>
    <row r="101" spans="1:39">
      <c r="A101" s="427" t="s">
        <v>6610</v>
      </c>
      <c r="B101" s="427" t="s">
        <v>6610</v>
      </c>
      <c r="D101" s="1005" t="s">
        <v>1651</v>
      </c>
      <c r="E101" s="949" t="s">
        <v>5409</v>
      </c>
      <c r="F101" s="950">
        <v>10</v>
      </c>
      <c r="G101" s="950"/>
      <c r="H101" s="950"/>
      <c r="I101" s="950"/>
      <c r="J101" s="950"/>
      <c r="K101" s="950"/>
      <c r="L101" s="950"/>
      <c r="M101" s="950"/>
      <c r="N101" s="950"/>
      <c r="O101" s="950"/>
      <c r="P101" s="950"/>
      <c r="Q101" s="991"/>
      <c r="R101" s="1005" t="s">
        <v>1459</v>
      </c>
      <c r="S101" s="992" t="s">
        <v>9567</v>
      </c>
      <c r="T101" s="993">
        <f t="shared" si="6"/>
        <v>104</v>
      </c>
      <c r="U101" s="1006" t="s">
        <v>9568</v>
      </c>
      <c r="V101" s="993">
        <f t="shared" si="7"/>
        <v>98</v>
      </c>
      <c r="W101" s="992" t="s">
        <v>9569</v>
      </c>
      <c r="X101" s="993">
        <f t="shared" si="8"/>
        <v>27</v>
      </c>
      <c r="Y101" s="994" t="s">
        <v>9570</v>
      </c>
      <c r="Z101" s="993">
        <f t="shared" si="9"/>
        <v>97</v>
      </c>
      <c r="AA101" s="994" t="s">
        <v>9571</v>
      </c>
      <c r="AB101" s="993">
        <f t="shared" si="10"/>
        <v>97</v>
      </c>
      <c r="AC101" s="994" t="s">
        <v>9572</v>
      </c>
      <c r="AD101" s="993">
        <f t="shared" si="11"/>
        <v>28</v>
      </c>
      <c r="AE101" s="518" t="s">
        <v>9469</v>
      </c>
      <c r="AF101" s="519" t="s">
        <v>9245</v>
      </c>
      <c r="AG101" s="995" t="s">
        <v>9179</v>
      </c>
      <c r="AH101" s="996" t="s">
        <v>169</v>
      </c>
      <c r="AI101" s="530" t="s">
        <v>2969</v>
      </c>
      <c r="AJ101" s="958">
        <v>1</v>
      </c>
      <c r="AK101" s="959" t="s">
        <v>5359</v>
      </c>
      <c r="AL101" s="960" t="s">
        <v>9455</v>
      </c>
      <c r="AM101" s="997">
        <f>_xll.GetCtData("COAMOUNT","CONSAMOUNT",$A$1:$A$7,$D101,AM$10,"#-5636")</f>
        <v>-5636</v>
      </c>
    </row>
    <row r="102" spans="1:39">
      <c r="D102" s="1005" t="s">
        <v>9573</v>
      </c>
      <c r="E102" s="949" t="s">
        <v>5409</v>
      </c>
      <c r="F102" s="950"/>
      <c r="G102" s="950"/>
      <c r="H102" s="950"/>
      <c r="I102" s="950"/>
      <c r="J102" s="950"/>
      <c r="K102" s="950"/>
      <c r="L102" s="950"/>
      <c r="M102" s="950"/>
      <c r="N102" s="950"/>
      <c r="O102" s="950"/>
      <c r="P102" s="950"/>
      <c r="Q102" s="991"/>
      <c r="R102" s="1005" t="s">
        <v>9574</v>
      </c>
      <c r="S102" s="1007" t="s">
        <v>9575</v>
      </c>
      <c r="T102" s="993">
        <f t="shared" si="6"/>
        <v>109</v>
      </c>
      <c r="U102" s="1006" t="s">
        <v>9575</v>
      </c>
      <c r="V102" s="993">
        <f t="shared" si="7"/>
        <v>109</v>
      </c>
      <c r="W102" s="992" t="s">
        <v>9576</v>
      </c>
      <c r="X102" s="993">
        <f t="shared" si="8"/>
        <v>30</v>
      </c>
      <c r="Y102" s="994" t="s">
        <v>9577</v>
      </c>
      <c r="Z102" s="993">
        <f t="shared" si="9"/>
        <v>96</v>
      </c>
      <c r="AA102" s="994" t="s">
        <v>9577</v>
      </c>
      <c r="AB102" s="993">
        <f t="shared" si="10"/>
        <v>96</v>
      </c>
      <c r="AC102" s="994" t="s">
        <v>9578</v>
      </c>
      <c r="AD102" s="993">
        <f t="shared" si="11"/>
        <v>30</v>
      </c>
      <c r="AE102" s="518" t="s">
        <v>9476</v>
      </c>
      <c r="AF102" s="519" t="s">
        <v>9239</v>
      </c>
      <c r="AG102" s="995" t="s">
        <v>9179</v>
      </c>
      <c r="AH102" s="996" t="s">
        <v>169</v>
      </c>
      <c r="AI102" s="530" t="s">
        <v>2969</v>
      </c>
      <c r="AJ102" s="958">
        <v>1</v>
      </c>
      <c r="AK102" s="959" t="s">
        <v>5359</v>
      </c>
      <c r="AL102" s="960" t="s">
        <v>9455</v>
      </c>
      <c r="AM102" s="1008">
        <f>_xll.GetCtData("COAMOUNT","CONSAMOUNT",$A$1:$A$7,$D102,AM$10,"#")</f>
        <v>0</v>
      </c>
    </row>
    <row r="103" spans="1:39">
      <c r="D103" s="1005" t="s">
        <v>2700</v>
      </c>
      <c r="E103" s="949" t="s">
        <v>5409</v>
      </c>
      <c r="F103" s="950"/>
      <c r="G103" s="950"/>
      <c r="H103" s="950"/>
      <c r="I103" s="950"/>
      <c r="J103" s="950"/>
      <c r="K103" s="950"/>
      <c r="L103" s="950"/>
      <c r="M103" s="950"/>
      <c r="N103" s="950"/>
      <c r="O103" s="950"/>
      <c r="P103" s="950"/>
      <c r="Q103" s="991"/>
      <c r="R103" s="1005" t="s">
        <v>2701</v>
      </c>
      <c r="S103" s="1007" t="s">
        <v>2702</v>
      </c>
      <c r="T103" s="993">
        <f t="shared" si="6"/>
        <v>107</v>
      </c>
      <c r="U103" s="1006" t="s">
        <v>2702</v>
      </c>
      <c r="V103" s="993">
        <f t="shared" si="7"/>
        <v>107</v>
      </c>
      <c r="W103" s="992" t="s">
        <v>9579</v>
      </c>
      <c r="X103" s="993">
        <f t="shared" si="8"/>
        <v>29</v>
      </c>
      <c r="Y103" s="994" t="s">
        <v>9580</v>
      </c>
      <c r="Z103" s="993">
        <f t="shared" si="9"/>
        <v>97</v>
      </c>
      <c r="AA103" s="994" t="s">
        <v>9581</v>
      </c>
      <c r="AB103" s="993">
        <f t="shared" si="10"/>
        <v>98</v>
      </c>
      <c r="AC103" s="994" t="s">
        <v>9582</v>
      </c>
      <c r="AD103" s="993">
        <f t="shared" si="11"/>
        <v>27</v>
      </c>
      <c r="AE103" s="518" t="s">
        <v>9480</v>
      </c>
      <c r="AF103" s="519" t="s">
        <v>9245</v>
      </c>
      <c r="AG103" s="995" t="s">
        <v>9179</v>
      </c>
      <c r="AH103" s="996" t="s">
        <v>169</v>
      </c>
      <c r="AI103" s="530" t="s">
        <v>2969</v>
      </c>
      <c r="AJ103" s="958">
        <v>1</v>
      </c>
      <c r="AK103" s="959" t="s">
        <v>5359</v>
      </c>
      <c r="AL103" s="960" t="s">
        <v>9455</v>
      </c>
      <c r="AM103" s="1008">
        <f>_xll.GetCtData("COAMOUNT","CONSAMOUNT",$A$1:$A$7,$D103,AM$10,"#")</f>
        <v>0</v>
      </c>
    </row>
    <row r="104" spans="1:39">
      <c r="D104" s="1005" t="s">
        <v>9583</v>
      </c>
      <c r="E104" s="949" t="s">
        <v>5409</v>
      </c>
      <c r="F104" s="950"/>
      <c r="G104" s="950"/>
      <c r="H104" s="950"/>
      <c r="I104" s="950"/>
      <c r="J104" s="950"/>
      <c r="K104" s="950"/>
      <c r="L104" s="950"/>
      <c r="M104" s="950"/>
      <c r="N104" s="950"/>
      <c r="O104" s="950"/>
      <c r="P104" s="950"/>
      <c r="Q104" s="991"/>
      <c r="R104" s="1005" t="s">
        <v>9584</v>
      </c>
      <c r="S104" s="1007" t="s">
        <v>9585</v>
      </c>
      <c r="T104" s="993">
        <f t="shared" si="6"/>
        <v>118</v>
      </c>
      <c r="U104" s="1006" t="s">
        <v>9585</v>
      </c>
      <c r="V104" s="993">
        <f t="shared" si="7"/>
        <v>118</v>
      </c>
      <c r="W104" s="992" t="s">
        <v>9586</v>
      </c>
      <c r="X104" s="993">
        <f t="shared" si="8"/>
        <v>30</v>
      </c>
      <c r="Y104" s="994" t="s">
        <v>9587</v>
      </c>
      <c r="Z104" s="993">
        <f t="shared" si="9"/>
        <v>108</v>
      </c>
      <c r="AA104" s="994" t="s">
        <v>9587</v>
      </c>
      <c r="AB104" s="993">
        <f t="shared" si="10"/>
        <v>108</v>
      </c>
      <c r="AC104" s="994" t="s">
        <v>9588</v>
      </c>
      <c r="AD104" s="993">
        <f t="shared" si="11"/>
        <v>28</v>
      </c>
      <c r="AE104" s="518" t="s">
        <v>9486</v>
      </c>
      <c r="AF104" s="519" t="s">
        <v>9239</v>
      </c>
      <c r="AG104" s="995" t="s">
        <v>9179</v>
      </c>
      <c r="AH104" s="996" t="s">
        <v>169</v>
      </c>
      <c r="AI104" s="530" t="s">
        <v>2969</v>
      </c>
      <c r="AJ104" s="958">
        <v>1</v>
      </c>
      <c r="AK104" s="959" t="s">
        <v>5359</v>
      </c>
      <c r="AL104" s="960" t="s">
        <v>9455</v>
      </c>
      <c r="AM104" s="1008">
        <f>_xll.GetCtData("COAMOUNT","CONSAMOUNT",$A$1:$A$7,$D104,AM$10,"#")</f>
        <v>0</v>
      </c>
    </row>
    <row r="105" spans="1:39">
      <c r="D105" s="1005" t="s">
        <v>1837</v>
      </c>
      <c r="E105" s="949" t="s">
        <v>5409</v>
      </c>
      <c r="F105" s="950"/>
      <c r="G105" s="950"/>
      <c r="H105" s="950"/>
      <c r="I105" s="950"/>
      <c r="J105" s="950"/>
      <c r="K105" s="950"/>
      <c r="L105" s="950"/>
      <c r="M105" s="950"/>
      <c r="N105" s="950"/>
      <c r="O105" s="950"/>
      <c r="P105" s="950"/>
      <c r="Q105" s="991"/>
      <c r="R105" s="1005" t="s">
        <v>2711</v>
      </c>
      <c r="S105" s="1007" t="s">
        <v>2712</v>
      </c>
      <c r="T105" s="993">
        <f t="shared" si="6"/>
        <v>116</v>
      </c>
      <c r="U105" s="1006" t="s">
        <v>2712</v>
      </c>
      <c r="V105" s="993">
        <f t="shared" si="7"/>
        <v>116</v>
      </c>
      <c r="W105" s="992" t="s">
        <v>9589</v>
      </c>
      <c r="X105" s="993">
        <f t="shared" si="8"/>
        <v>29</v>
      </c>
      <c r="Y105" s="994" t="s">
        <v>9590</v>
      </c>
      <c r="Z105" s="993">
        <f t="shared" si="9"/>
        <v>110</v>
      </c>
      <c r="AA105" s="994" t="s">
        <v>9590</v>
      </c>
      <c r="AB105" s="993">
        <f t="shared" si="10"/>
        <v>110</v>
      </c>
      <c r="AC105" s="994" t="s">
        <v>9591</v>
      </c>
      <c r="AD105" s="993">
        <f t="shared" si="11"/>
        <v>24</v>
      </c>
      <c r="AE105" s="518" t="s">
        <v>9490</v>
      </c>
      <c r="AF105" s="519" t="s">
        <v>9245</v>
      </c>
      <c r="AG105" s="995" t="s">
        <v>9179</v>
      </c>
      <c r="AH105" s="996" t="s">
        <v>169</v>
      </c>
      <c r="AI105" s="530" t="s">
        <v>2969</v>
      </c>
      <c r="AJ105" s="958">
        <v>1</v>
      </c>
      <c r="AK105" s="959" t="s">
        <v>5359</v>
      </c>
      <c r="AL105" s="960" t="s">
        <v>9455</v>
      </c>
      <c r="AM105" s="1008">
        <f>_xll.GetCtData("COAMOUNT","CONSAMOUNT",$A$1:$A$7,$D105,AM$10,"#")</f>
        <v>0</v>
      </c>
    </row>
    <row r="106" spans="1:39">
      <c r="D106" s="1005" t="s">
        <v>9592</v>
      </c>
      <c r="E106" s="949" t="s">
        <v>5409</v>
      </c>
      <c r="F106" s="950"/>
      <c r="G106" s="950"/>
      <c r="H106" s="950"/>
      <c r="I106" s="950"/>
      <c r="J106" s="950"/>
      <c r="K106" s="950"/>
      <c r="L106" s="950"/>
      <c r="M106" s="950"/>
      <c r="N106" s="950"/>
      <c r="O106" s="950"/>
      <c r="P106" s="950"/>
      <c r="Q106" s="991"/>
      <c r="R106" s="1005" t="s">
        <v>9593</v>
      </c>
      <c r="S106" s="1007" t="s">
        <v>9594</v>
      </c>
      <c r="T106" s="993">
        <f t="shared" si="6"/>
        <v>106</v>
      </c>
      <c r="U106" s="1006" t="s">
        <v>9594</v>
      </c>
      <c r="V106" s="993">
        <f t="shared" si="7"/>
        <v>106</v>
      </c>
      <c r="W106" s="992" t="s">
        <v>9595</v>
      </c>
      <c r="X106" s="993">
        <f t="shared" si="8"/>
        <v>30</v>
      </c>
      <c r="Y106" s="994" t="s">
        <v>9596</v>
      </c>
      <c r="Z106" s="993">
        <f t="shared" si="9"/>
        <v>98</v>
      </c>
      <c r="AA106" s="994" t="s">
        <v>9596</v>
      </c>
      <c r="AB106" s="993">
        <f t="shared" si="10"/>
        <v>98</v>
      </c>
      <c r="AC106" s="994" t="s">
        <v>9597</v>
      </c>
      <c r="AD106" s="993">
        <f t="shared" si="11"/>
        <v>30</v>
      </c>
      <c r="AE106" s="518" t="s">
        <v>9486</v>
      </c>
      <c r="AF106" s="519" t="s">
        <v>9239</v>
      </c>
      <c r="AG106" s="995" t="s">
        <v>9179</v>
      </c>
      <c r="AH106" s="996" t="s">
        <v>169</v>
      </c>
      <c r="AI106" s="530" t="s">
        <v>2969</v>
      </c>
      <c r="AJ106" s="958">
        <v>1</v>
      </c>
      <c r="AK106" s="959" t="s">
        <v>5359</v>
      </c>
      <c r="AL106" s="960" t="s">
        <v>9455</v>
      </c>
      <c r="AM106" s="1008">
        <f>_xll.GetCtData("COAMOUNT","CONSAMOUNT",$A$1:$A$7,$D106,AM$10,"#")</f>
        <v>0</v>
      </c>
    </row>
    <row r="107" spans="1:39">
      <c r="D107" s="1005" t="s">
        <v>1838</v>
      </c>
      <c r="E107" s="949" t="s">
        <v>5409</v>
      </c>
      <c r="F107" s="950"/>
      <c r="G107" s="950"/>
      <c r="H107" s="950"/>
      <c r="I107" s="950"/>
      <c r="J107" s="950"/>
      <c r="K107" s="950"/>
      <c r="L107" s="950"/>
      <c r="M107" s="950"/>
      <c r="N107" s="950"/>
      <c r="O107" s="950"/>
      <c r="P107" s="950"/>
      <c r="Q107" s="991"/>
      <c r="R107" s="1005" t="s">
        <v>2677</v>
      </c>
      <c r="S107" s="1007" t="s">
        <v>2678</v>
      </c>
      <c r="T107" s="993">
        <f t="shared" si="6"/>
        <v>104</v>
      </c>
      <c r="U107" s="1006" t="s">
        <v>2678</v>
      </c>
      <c r="V107" s="993">
        <f t="shared" si="7"/>
        <v>104</v>
      </c>
      <c r="W107" s="992" t="s">
        <v>9598</v>
      </c>
      <c r="X107" s="993">
        <f t="shared" si="8"/>
        <v>30</v>
      </c>
      <c r="Y107" s="994" t="s">
        <v>9590</v>
      </c>
      <c r="Z107" s="993">
        <f t="shared" si="9"/>
        <v>110</v>
      </c>
      <c r="AA107" s="994" t="s">
        <v>9590</v>
      </c>
      <c r="AB107" s="993">
        <f t="shared" si="10"/>
        <v>110</v>
      </c>
      <c r="AC107" s="994" t="s">
        <v>9599</v>
      </c>
      <c r="AD107" s="993">
        <f t="shared" si="11"/>
        <v>26</v>
      </c>
      <c r="AE107" s="518" t="s">
        <v>9490</v>
      </c>
      <c r="AF107" s="519" t="s">
        <v>9245</v>
      </c>
      <c r="AG107" s="995" t="s">
        <v>9179</v>
      </c>
      <c r="AH107" s="996" t="s">
        <v>169</v>
      </c>
      <c r="AI107" s="530" t="s">
        <v>2969</v>
      </c>
      <c r="AJ107" s="958">
        <v>1</v>
      </c>
      <c r="AK107" s="959" t="s">
        <v>5359</v>
      </c>
      <c r="AL107" s="960" t="s">
        <v>9455</v>
      </c>
      <c r="AM107" s="1008">
        <f>_xll.GetCtData("COAMOUNT","CONSAMOUNT",$A$1:$A$7,$D107,AM$10,"#")</f>
        <v>0</v>
      </c>
    </row>
    <row r="108" spans="1:39">
      <c r="A108" s="427" t="s">
        <v>6610</v>
      </c>
      <c r="B108" s="427" t="s">
        <v>6610</v>
      </c>
      <c r="D108" s="410" t="s">
        <v>9600</v>
      </c>
      <c r="E108" s="949" t="s">
        <v>2912</v>
      </c>
      <c r="F108" s="950">
        <v>7</v>
      </c>
      <c r="G108" s="950"/>
      <c r="H108" s="950"/>
      <c r="I108" s="950"/>
      <c r="J108" s="950"/>
      <c r="K108" s="950"/>
      <c r="L108" s="950"/>
      <c r="M108" s="950"/>
      <c r="N108" s="410" t="s">
        <v>9601</v>
      </c>
      <c r="O108" s="975"/>
      <c r="P108" s="975"/>
      <c r="Q108" s="410"/>
      <c r="R108" s="410" t="s">
        <v>9601</v>
      </c>
      <c r="S108" s="410" t="s">
        <v>9602</v>
      </c>
      <c r="T108" s="976">
        <f t="shared" si="6"/>
        <v>57</v>
      </c>
      <c r="U108" s="1009" t="s">
        <v>9602</v>
      </c>
      <c r="V108" s="976">
        <f t="shared" si="7"/>
        <v>57</v>
      </c>
      <c r="W108" s="410" t="s">
        <v>9603</v>
      </c>
      <c r="X108" s="976">
        <f t="shared" si="8"/>
        <v>17</v>
      </c>
      <c r="Y108" s="977" t="s">
        <v>9604</v>
      </c>
      <c r="Z108" s="976">
        <f t="shared" si="9"/>
        <v>43</v>
      </c>
      <c r="AA108" s="977" t="s">
        <v>9604</v>
      </c>
      <c r="AB108" s="976">
        <f t="shared" si="10"/>
        <v>43</v>
      </c>
      <c r="AC108" s="977" t="s">
        <v>9605</v>
      </c>
      <c r="AD108" s="976">
        <f t="shared" si="11"/>
        <v>18</v>
      </c>
      <c r="AE108" s="976"/>
      <c r="AF108" s="976"/>
      <c r="AG108" s="995"/>
      <c r="AH108" s="996"/>
      <c r="AI108" s="530" t="s">
        <v>2969</v>
      </c>
      <c r="AJ108" s="958">
        <v>1</v>
      </c>
      <c r="AK108" s="959"/>
      <c r="AL108" s="960"/>
      <c r="AM108" s="980">
        <f>_xll.GetCtData("COAMOUNT","CONSAMOUNT",$A$1:$A$7,$D108,AM$10,"#-729236")</f>
        <v>-729236</v>
      </c>
    </row>
    <row r="109" spans="1:39">
      <c r="A109" s="427" t="s">
        <v>6610</v>
      </c>
      <c r="B109" s="427" t="s">
        <v>6610</v>
      </c>
      <c r="D109" s="981" t="s">
        <v>9606</v>
      </c>
      <c r="E109" s="949" t="s">
        <v>2912</v>
      </c>
      <c r="F109" s="950">
        <v>8</v>
      </c>
      <c r="G109" s="950"/>
      <c r="H109" s="950"/>
      <c r="I109" s="950"/>
      <c r="J109" s="950"/>
      <c r="K109" s="950"/>
      <c r="L109" s="950"/>
      <c r="M109" s="950"/>
      <c r="N109" s="950"/>
      <c r="O109" s="981" t="s">
        <v>9607</v>
      </c>
      <c r="P109" s="982"/>
      <c r="Q109" s="981"/>
      <c r="R109" s="981" t="s">
        <v>9607</v>
      </c>
      <c r="S109" s="981" t="s">
        <v>9602</v>
      </c>
      <c r="T109" s="1002">
        <f t="shared" si="6"/>
        <v>57</v>
      </c>
      <c r="U109" s="981" t="s">
        <v>9602</v>
      </c>
      <c r="V109" s="1002">
        <f t="shared" si="7"/>
        <v>57</v>
      </c>
      <c r="W109" s="981" t="s">
        <v>9603</v>
      </c>
      <c r="X109" s="1002">
        <f t="shared" si="8"/>
        <v>17</v>
      </c>
      <c r="Y109" s="1003" t="s">
        <v>9604</v>
      </c>
      <c r="Z109" s="1002">
        <f t="shared" si="9"/>
        <v>43</v>
      </c>
      <c r="AA109" s="1003" t="s">
        <v>9604</v>
      </c>
      <c r="AB109" s="1002">
        <f t="shared" si="10"/>
        <v>43</v>
      </c>
      <c r="AC109" s="1003" t="s">
        <v>9605</v>
      </c>
      <c r="AD109" s="1002">
        <f t="shared" si="11"/>
        <v>18</v>
      </c>
      <c r="AE109" s="1002"/>
      <c r="AF109" s="1002"/>
      <c r="AG109" s="995"/>
      <c r="AH109" s="996"/>
      <c r="AI109" s="530" t="s">
        <v>2969</v>
      </c>
      <c r="AJ109" s="958">
        <v>1</v>
      </c>
      <c r="AK109" s="959"/>
      <c r="AL109" s="960"/>
      <c r="AM109" s="985">
        <f>_xll.GetCtData("COAMOUNT","CONSAMOUNT",$A$1:$A$7,$D109,AM$10,"#-729236")</f>
        <v>-729236</v>
      </c>
    </row>
    <row r="110" spans="1:39">
      <c r="A110" s="427" t="s">
        <v>6610</v>
      </c>
      <c r="B110" s="427" t="s">
        <v>6610</v>
      </c>
      <c r="D110" s="986" t="s">
        <v>9608</v>
      </c>
      <c r="E110" s="949" t="s">
        <v>2912</v>
      </c>
      <c r="F110" s="950">
        <v>9</v>
      </c>
      <c r="G110" s="950"/>
      <c r="H110" s="950"/>
      <c r="I110" s="950"/>
      <c r="J110" s="950"/>
      <c r="K110" s="950"/>
      <c r="L110" s="950"/>
      <c r="M110" s="950"/>
      <c r="N110" s="950"/>
      <c r="O110" s="950"/>
      <c r="P110" s="986" t="s">
        <v>9609</v>
      </c>
      <c r="Q110" s="986"/>
      <c r="R110" s="986" t="s">
        <v>9609</v>
      </c>
      <c r="S110" s="986" t="s">
        <v>9610</v>
      </c>
      <c r="T110" s="987">
        <f t="shared" si="6"/>
        <v>86</v>
      </c>
      <c r="U110" s="986" t="s">
        <v>9610</v>
      </c>
      <c r="V110" s="987">
        <f t="shared" si="7"/>
        <v>86</v>
      </c>
      <c r="W110" s="986" t="s">
        <v>9611</v>
      </c>
      <c r="X110" s="987">
        <f t="shared" si="8"/>
        <v>30</v>
      </c>
      <c r="Y110" s="988" t="s">
        <v>9612</v>
      </c>
      <c r="Z110" s="987">
        <f t="shared" si="9"/>
        <v>76</v>
      </c>
      <c r="AA110" s="988" t="s">
        <v>9612</v>
      </c>
      <c r="AB110" s="987">
        <f t="shared" si="10"/>
        <v>76</v>
      </c>
      <c r="AC110" s="988" t="s">
        <v>9613</v>
      </c>
      <c r="AD110" s="987">
        <f t="shared" si="11"/>
        <v>29</v>
      </c>
      <c r="AE110" s="987"/>
      <c r="AF110" s="987"/>
      <c r="AG110" s="999"/>
      <c r="AH110" s="1000"/>
      <c r="AI110" s="530" t="s">
        <v>2969</v>
      </c>
      <c r="AJ110" s="958">
        <v>1</v>
      </c>
      <c r="AK110" s="959"/>
      <c r="AL110" s="960"/>
      <c r="AM110" s="989">
        <f>_xll.GetCtData("COAMOUNT","CONSAMOUNT",$A$1:$A$7,$D110,AM$10,"#-707989")</f>
        <v>-707989</v>
      </c>
    </row>
    <row r="111" spans="1:39">
      <c r="A111" s="427">
        <v>3</v>
      </c>
      <c r="B111" s="427" t="s">
        <v>9153</v>
      </c>
      <c r="D111" s="990" t="s">
        <v>2770</v>
      </c>
      <c r="E111" s="949" t="s">
        <v>2930</v>
      </c>
      <c r="F111" s="950">
        <v>10</v>
      </c>
      <c r="G111" s="950"/>
      <c r="H111" s="950"/>
      <c r="I111" s="950"/>
      <c r="J111" s="950"/>
      <c r="K111" s="950"/>
      <c r="L111" s="950"/>
      <c r="M111" s="950"/>
      <c r="N111" s="950"/>
      <c r="O111" s="950"/>
      <c r="P111" s="950"/>
      <c r="Q111" s="991"/>
      <c r="R111" s="990" t="s">
        <v>2771</v>
      </c>
      <c r="S111" s="992" t="s">
        <v>2772</v>
      </c>
      <c r="T111" s="993">
        <f t="shared" si="6"/>
        <v>108</v>
      </c>
      <c r="U111" s="992" t="s">
        <v>2772</v>
      </c>
      <c r="V111" s="993">
        <f t="shared" si="7"/>
        <v>108</v>
      </c>
      <c r="W111" s="992" t="s">
        <v>9614</v>
      </c>
      <c r="X111" s="993">
        <f t="shared" si="8"/>
        <v>29</v>
      </c>
      <c r="Y111" s="994" t="s">
        <v>9615</v>
      </c>
      <c r="Z111" s="993">
        <f t="shared" si="9"/>
        <v>94</v>
      </c>
      <c r="AA111" s="994" t="s">
        <v>9615</v>
      </c>
      <c r="AB111" s="993">
        <f t="shared" si="10"/>
        <v>94</v>
      </c>
      <c r="AC111" s="994" t="s">
        <v>9616</v>
      </c>
      <c r="AD111" s="993">
        <f t="shared" si="11"/>
        <v>24</v>
      </c>
      <c r="AE111" s="518" t="s">
        <v>9617</v>
      </c>
      <c r="AF111" s="519" t="s">
        <v>9618</v>
      </c>
      <c r="AG111" s="995" t="s">
        <v>9179</v>
      </c>
      <c r="AH111" s="996" t="s">
        <v>169</v>
      </c>
      <c r="AI111" s="530" t="s">
        <v>2969</v>
      </c>
      <c r="AJ111" s="958">
        <v>1</v>
      </c>
      <c r="AK111" s="959" t="s">
        <v>5359</v>
      </c>
      <c r="AL111" s="960" t="s">
        <v>5930</v>
      </c>
      <c r="AM111" s="997">
        <f>_xll.GetCtData("COAMOUNT","CONSAMOUNT",$A$1:$A$7,$D111,AM$10,"#-147557")</f>
        <v>-147557</v>
      </c>
    </row>
    <row r="112" spans="1:39">
      <c r="A112" s="427" t="s">
        <v>6610</v>
      </c>
      <c r="B112" s="427" t="s">
        <v>6610</v>
      </c>
      <c r="D112" s="990" t="s">
        <v>2773</v>
      </c>
      <c r="E112" s="949" t="s">
        <v>2930</v>
      </c>
      <c r="F112" s="950">
        <v>10</v>
      </c>
      <c r="G112" s="950"/>
      <c r="H112" s="950"/>
      <c r="I112" s="950"/>
      <c r="J112" s="950"/>
      <c r="K112" s="950"/>
      <c r="L112" s="950"/>
      <c r="M112" s="950"/>
      <c r="N112" s="950"/>
      <c r="O112" s="950"/>
      <c r="P112" s="950"/>
      <c r="Q112" s="991"/>
      <c r="R112" s="990" t="s">
        <v>2774</v>
      </c>
      <c r="S112" s="992" t="s">
        <v>2775</v>
      </c>
      <c r="T112" s="993">
        <f t="shared" si="6"/>
        <v>100</v>
      </c>
      <c r="U112" s="992" t="s">
        <v>2775</v>
      </c>
      <c r="V112" s="993">
        <f t="shared" si="7"/>
        <v>100</v>
      </c>
      <c r="W112" s="992" t="s">
        <v>9619</v>
      </c>
      <c r="X112" s="993">
        <f t="shared" si="8"/>
        <v>22</v>
      </c>
      <c r="Y112" s="994" t="s">
        <v>9620</v>
      </c>
      <c r="Z112" s="993">
        <f t="shared" si="9"/>
        <v>120</v>
      </c>
      <c r="AA112" s="994" t="s">
        <v>9620</v>
      </c>
      <c r="AB112" s="993">
        <f t="shared" si="10"/>
        <v>120</v>
      </c>
      <c r="AC112" s="994" t="s">
        <v>9621</v>
      </c>
      <c r="AD112" s="993">
        <f t="shared" si="11"/>
        <v>30</v>
      </c>
      <c r="AE112" s="518" t="s">
        <v>9622</v>
      </c>
      <c r="AF112" s="519" t="s">
        <v>9623</v>
      </c>
      <c r="AG112" s="995" t="s">
        <v>9179</v>
      </c>
      <c r="AH112" s="996" t="s">
        <v>169</v>
      </c>
      <c r="AI112" s="530" t="s">
        <v>2969</v>
      </c>
      <c r="AJ112" s="958">
        <v>1</v>
      </c>
      <c r="AK112" s="959" t="s">
        <v>5359</v>
      </c>
      <c r="AL112" s="960"/>
      <c r="AM112" s="997">
        <f>_xll.GetCtData("COAMOUNT","CONSAMOUNT",$A$1:$A$7,$D112,AM$10,"#-530025")</f>
        <v>-530025</v>
      </c>
    </row>
    <row r="113" spans="1:39">
      <c r="A113" s="427" t="s">
        <v>6610</v>
      </c>
      <c r="B113" s="427" t="s">
        <v>6610</v>
      </c>
      <c r="D113" s="990" t="s">
        <v>2776</v>
      </c>
      <c r="E113" s="949" t="s">
        <v>2930</v>
      </c>
      <c r="F113" s="950">
        <v>10</v>
      </c>
      <c r="G113" s="950"/>
      <c r="H113" s="950"/>
      <c r="I113" s="950"/>
      <c r="J113" s="950"/>
      <c r="K113" s="950"/>
      <c r="L113" s="950"/>
      <c r="M113" s="950"/>
      <c r="N113" s="950"/>
      <c r="O113" s="950"/>
      <c r="P113" s="950"/>
      <c r="Q113" s="991"/>
      <c r="R113" s="990" t="s">
        <v>2777</v>
      </c>
      <c r="S113" s="992" t="s">
        <v>2778</v>
      </c>
      <c r="T113" s="993">
        <f t="shared" si="6"/>
        <v>113</v>
      </c>
      <c r="U113" s="992" t="s">
        <v>2778</v>
      </c>
      <c r="V113" s="993">
        <f t="shared" si="7"/>
        <v>113</v>
      </c>
      <c r="W113" s="992" t="s">
        <v>9624</v>
      </c>
      <c r="X113" s="993">
        <f t="shared" si="8"/>
        <v>30</v>
      </c>
      <c r="Y113" s="994" t="s">
        <v>9625</v>
      </c>
      <c r="Z113" s="993">
        <f t="shared" si="9"/>
        <v>109</v>
      </c>
      <c r="AA113" s="994" t="s">
        <v>9625</v>
      </c>
      <c r="AB113" s="993">
        <f t="shared" si="10"/>
        <v>109</v>
      </c>
      <c r="AC113" s="994" t="s">
        <v>9626</v>
      </c>
      <c r="AD113" s="993">
        <f t="shared" si="11"/>
        <v>28</v>
      </c>
      <c r="AE113" s="518" t="s">
        <v>9627</v>
      </c>
      <c r="AF113" s="519" t="s">
        <v>9628</v>
      </c>
      <c r="AG113" s="995" t="s">
        <v>9179</v>
      </c>
      <c r="AH113" s="996" t="s">
        <v>169</v>
      </c>
      <c r="AI113" s="530" t="s">
        <v>2969</v>
      </c>
      <c r="AJ113" s="958">
        <v>1</v>
      </c>
      <c r="AK113" s="959" t="s">
        <v>5359</v>
      </c>
      <c r="AL113" s="960"/>
      <c r="AM113" s="997">
        <f>_xll.GetCtData("COAMOUNT","CONSAMOUNT",$A$1:$A$7,$D113,AM$10,"#-30407")</f>
        <v>-30407</v>
      </c>
    </row>
    <row r="114" spans="1:39">
      <c r="A114" s="427" t="s">
        <v>6610</v>
      </c>
      <c r="B114" s="427" t="s">
        <v>6610</v>
      </c>
      <c r="D114" s="986" t="s">
        <v>9629</v>
      </c>
      <c r="E114" s="949" t="s">
        <v>2912</v>
      </c>
      <c r="F114" s="950">
        <v>9</v>
      </c>
      <c r="G114" s="950"/>
      <c r="H114" s="950"/>
      <c r="I114" s="950"/>
      <c r="J114" s="950"/>
      <c r="K114" s="950"/>
      <c r="L114" s="950"/>
      <c r="M114" s="950"/>
      <c r="N114" s="950"/>
      <c r="O114" s="950"/>
      <c r="P114" s="986" t="s">
        <v>9630</v>
      </c>
      <c r="Q114" s="986"/>
      <c r="R114" s="986" t="s">
        <v>9630</v>
      </c>
      <c r="S114" s="986" t="s">
        <v>9631</v>
      </c>
      <c r="T114" s="987">
        <f t="shared" si="6"/>
        <v>94</v>
      </c>
      <c r="U114" s="986" t="s">
        <v>9631</v>
      </c>
      <c r="V114" s="987">
        <f t="shared" si="7"/>
        <v>94</v>
      </c>
      <c r="W114" s="986" t="s">
        <v>9632</v>
      </c>
      <c r="X114" s="987">
        <f t="shared" si="8"/>
        <v>30</v>
      </c>
      <c r="Y114" s="988" t="s">
        <v>9633</v>
      </c>
      <c r="Z114" s="987">
        <f t="shared" si="9"/>
        <v>141</v>
      </c>
      <c r="AA114" s="988" t="s">
        <v>9634</v>
      </c>
      <c r="AB114" s="987">
        <f t="shared" si="10"/>
        <v>142</v>
      </c>
      <c r="AC114" s="988" t="s">
        <v>9635</v>
      </c>
      <c r="AD114" s="987">
        <f t="shared" si="11"/>
        <v>30</v>
      </c>
      <c r="AE114" s="987"/>
      <c r="AF114" s="987"/>
      <c r="AG114" s="999"/>
      <c r="AH114" s="1000"/>
      <c r="AI114" s="530" t="s">
        <v>2969</v>
      </c>
      <c r="AJ114" s="958">
        <v>1</v>
      </c>
      <c r="AK114" s="959"/>
      <c r="AL114" s="960"/>
      <c r="AM114" s="989">
        <f>_xll.GetCtData("COAMOUNT","CONSAMOUNT",$A$1:$A$7,$D114,AM$10,"#-1995")</f>
        <v>-1995</v>
      </c>
    </row>
    <row r="115" spans="1:39">
      <c r="A115" s="427" t="s">
        <v>6610</v>
      </c>
      <c r="B115" s="427" t="s">
        <v>6610</v>
      </c>
      <c r="D115" s="990" t="s">
        <v>9636</v>
      </c>
      <c r="E115" s="949" t="s">
        <v>2930</v>
      </c>
      <c r="F115" s="950">
        <v>10</v>
      </c>
      <c r="G115" s="950"/>
      <c r="H115" s="950"/>
      <c r="I115" s="950"/>
      <c r="J115" s="950"/>
      <c r="K115" s="950"/>
      <c r="L115" s="950"/>
      <c r="M115" s="950"/>
      <c r="N115" s="950"/>
      <c r="O115" s="950"/>
      <c r="P115" s="950"/>
      <c r="Q115" s="991"/>
      <c r="R115" s="990" t="s">
        <v>9637</v>
      </c>
      <c r="S115" s="992" t="s">
        <v>9631</v>
      </c>
      <c r="T115" s="993">
        <f t="shared" si="6"/>
        <v>94</v>
      </c>
      <c r="U115" s="992" t="s">
        <v>9631</v>
      </c>
      <c r="V115" s="993">
        <f t="shared" si="7"/>
        <v>94</v>
      </c>
      <c r="W115" s="992" t="s">
        <v>9632</v>
      </c>
      <c r="X115" s="993">
        <f t="shared" si="8"/>
        <v>30</v>
      </c>
      <c r="Y115" s="994" t="s">
        <v>9638</v>
      </c>
      <c r="Z115" s="993">
        <f t="shared" si="9"/>
        <v>110</v>
      </c>
      <c r="AA115" s="994" t="s">
        <v>9638</v>
      </c>
      <c r="AB115" s="993">
        <f t="shared" si="10"/>
        <v>110</v>
      </c>
      <c r="AC115" s="994" t="s">
        <v>9635</v>
      </c>
      <c r="AD115" s="993">
        <f t="shared" si="11"/>
        <v>30</v>
      </c>
      <c r="AE115" s="518" t="s">
        <v>9639</v>
      </c>
      <c r="AF115" s="519" t="s">
        <v>9640</v>
      </c>
      <c r="AG115" s="995" t="s">
        <v>9179</v>
      </c>
      <c r="AH115" s="996" t="s">
        <v>169</v>
      </c>
      <c r="AI115" s="530" t="s">
        <v>2969</v>
      </c>
      <c r="AJ115" s="958">
        <v>1</v>
      </c>
      <c r="AK115" s="959" t="s">
        <v>5359</v>
      </c>
      <c r="AL115" s="960"/>
      <c r="AM115" s="997">
        <f>_xll.GetCtData("COAMOUNT","CONSAMOUNT",$A$1:$A$7,$D115,AM$10,"#-1995")</f>
        <v>-1995</v>
      </c>
    </row>
    <row r="116" spans="1:39">
      <c r="A116" s="427" t="s">
        <v>6610</v>
      </c>
      <c r="B116" s="427" t="s">
        <v>6610</v>
      </c>
      <c r="D116" s="986" t="s">
        <v>9641</v>
      </c>
      <c r="E116" s="949" t="s">
        <v>2912</v>
      </c>
      <c r="F116" s="950">
        <v>9</v>
      </c>
      <c r="G116" s="950"/>
      <c r="H116" s="950"/>
      <c r="I116" s="950"/>
      <c r="J116" s="950"/>
      <c r="K116" s="950"/>
      <c r="L116" s="950"/>
      <c r="M116" s="950"/>
      <c r="N116" s="950"/>
      <c r="O116" s="950"/>
      <c r="P116" s="986" t="s">
        <v>9642</v>
      </c>
      <c r="Q116" s="986"/>
      <c r="R116" s="986" t="s">
        <v>9642</v>
      </c>
      <c r="S116" s="986" t="s">
        <v>2786</v>
      </c>
      <c r="T116" s="987">
        <f t="shared" si="6"/>
        <v>97</v>
      </c>
      <c r="U116" s="986" t="s">
        <v>2786</v>
      </c>
      <c r="V116" s="987">
        <f t="shared" si="7"/>
        <v>97</v>
      </c>
      <c r="W116" s="986" t="s">
        <v>9643</v>
      </c>
      <c r="X116" s="987">
        <f t="shared" si="8"/>
        <v>30</v>
      </c>
      <c r="Y116" s="988" t="s">
        <v>9644</v>
      </c>
      <c r="Z116" s="987">
        <f t="shared" si="9"/>
        <v>109</v>
      </c>
      <c r="AA116" s="988" t="s">
        <v>9644</v>
      </c>
      <c r="AB116" s="987">
        <f t="shared" si="10"/>
        <v>109</v>
      </c>
      <c r="AC116" s="988" t="s">
        <v>9645</v>
      </c>
      <c r="AD116" s="987">
        <f t="shared" si="11"/>
        <v>28</v>
      </c>
      <c r="AE116" s="987"/>
      <c r="AF116" s="987"/>
      <c r="AG116" s="999"/>
      <c r="AH116" s="1000"/>
      <c r="AI116" s="530" t="s">
        <v>2969</v>
      </c>
      <c r="AJ116" s="958">
        <v>1</v>
      </c>
      <c r="AK116" s="959"/>
      <c r="AL116" s="960"/>
      <c r="AM116" s="989">
        <f>_xll.GetCtData("COAMOUNT","CONSAMOUNT",$A$1:$A$7,$D116,AM$10,"#-20381")</f>
        <v>-20381</v>
      </c>
    </row>
    <row r="117" spans="1:39">
      <c r="A117" s="427" t="s">
        <v>6610</v>
      </c>
      <c r="B117" s="427" t="s">
        <v>6610</v>
      </c>
      <c r="D117" s="990" t="s">
        <v>2784</v>
      </c>
      <c r="E117" s="949" t="s">
        <v>2930</v>
      </c>
      <c r="F117" s="950">
        <v>10</v>
      </c>
      <c r="G117" s="950"/>
      <c r="H117" s="950"/>
      <c r="I117" s="950"/>
      <c r="J117" s="950"/>
      <c r="K117" s="950"/>
      <c r="L117" s="950"/>
      <c r="M117" s="950"/>
      <c r="N117" s="950"/>
      <c r="O117" s="950"/>
      <c r="P117" s="950"/>
      <c r="Q117" s="991"/>
      <c r="R117" s="990" t="s">
        <v>2785</v>
      </c>
      <c r="S117" s="992" t="s">
        <v>2786</v>
      </c>
      <c r="T117" s="993">
        <f t="shared" si="6"/>
        <v>97</v>
      </c>
      <c r="U117" s="992" t="s">
        <v>2786</v>
      </c>
      <c r="V117" s="993">
        <f t="shared" si="7"/>
        <v>97</v>
      </c>
      <c r="W117" s="992" t="s">
        <v>9643</v>
      </c>
      <c r="X117" s="993">
        <f t="shared" si="8"/>
        <v>30</v>
      </c>
      <c r="Y117" s="994" t="s">
        <v>9644</v>
      </c>
      <c r="Z117" s="993">
        <f t="shared" si="9"/>
        <v>109</v>
      </c>
      <c r="AA117" s="994" t="s">
        <v>9644</v>
      </c>
      <c r="AB117" s="993">
        <f t="shared" si="10"/>
        <v>109</v>
      </c>
      <c r="AC117" s="994" t="s">
        <v>9645</v>
      </c>
      <c r="AD117" s="993">
        <f t="shared" si="11"/>
        <v>28</v>
      </c>
      <c r="AE117" s="518" t="s">
        <v>9646</v>
      </c>
      <c r="AF117" s="519" t="s">
        <v>9647</v>
      </c>
      <c r="AG117" s="995" t="s">
        <v>9179</v>
      </c>
      <c r="AH117" s="996" t="s">
        <v>169</v>
      </c>
      <c r="AI117" s="530" t="s">
        <v>2969</v>
      </c>
      <c r="AJ117" s="958">
        <v>1</v>
      </c>
      <c r="AK117" s="959" t="s">
        <v>5359</v>
      </c>
      <c r="AL117" s="960"/>
      <c r="AM117" s="997">
        <f>_xll.GetCtData("COAMOUNT","CONSAMOUNT",$A$1:$A$7,$D117,AM$10,"#-20381")</f>
        <v>-20381</v>
      </c>
    </row>
    <row r="118" spans="1:39">
      <c r="A118" s="427" t="s">
        <v>6610</v>
      </c>
      <c r="B118" s="427" t="s">
        <v>6610</v>
      </c>
      <c r="D118" s="986" t="s">
        <v>9648</v>
      </c>
      <c r="E118" s="949" t="s">
        <v>2912</v>
      </c>
      <c r="F118" s="950">
        <v>9</v>
      </c>
      <c r="G118" s="950"/>
      <c r="H118" s="950"/>
      <c r="I118" s="950"/>
      <c r="J118" s="950"/>
      <c r="K118" s="950"/>
      <c r="L118" s="950"/>
      <c r="M118" s="950"/>
      <c r="N118" s="950"/>
      <c r="O118" s="950"/>
      <c r="P118" s="986" t="s">
        <v>9649</v>
      </c>
      <c r="Q118" s="986"/>
      <c r="R118" s="986" t="s">
        <v>9649</v>
      </c>
      <c r="S118" s="986" t="s">
        <v>9650</v>
      </c>
      <c r="T118" s="987">
        <f t="shared" si="6"/>
        <v>76</v>
      </c>
      <c r="U118" s="986" t="s">
        <v>9650</v>
      </c>
      <c r="V118" s="987">
        <f t="shared" si="7"/>
        <v>76</v>
      </c>
      <c r="W118" s="986" t="s">
        <v>9651</v>
      </c>
      <c r="X118" s="987">
        <f t="shared" si="8"/>
        <v>20</v>
      </c>
      <c r="Y118" s="988" t="s">
        <v>9652</v>
      </c>
      <c r="Z118" s="987">
        <f t="shared" si="9"/>
        <v>62</v>
      </c>
      <c r="AA118" s="988" t="s">
        <v>9652</v>
      </c>
      <c r="AB118" s="987">
        <f t="shared" si="10"/>
        <v>62</v>
      </c>
      <c r="AC118" s="988" t="s">
        <v>9653</v>
      </c>
      <c r="AD118" s="987">
        <f t="shared" si="11"/>
        <v>30</v>
      </c>
      <c r="AE118" s="987"/>
      <c r="AF118" s="987"/>
      <c r="AG118" s="999"/>
      <c r="AH118" s="1000"/>
      <c r="AI118" s="530" t="s">
        <v>2969</v>
      </c>
      <c r="AJ118" s="958">
        <v>1</v>
      </c>
      <c r="AK118" s="959"/>
      <c r="AL118" s="960"/>
      <c r="AM118" s="989">
        <f>_xll.GetCtData("COAMOUNT","CONSAMOUNT",$A$1:$A$7,$D118,AM$10,"#")</f>
        <v>0</v>
      </c>
    </row>
    <row r="119" spans="1:39">
      <c r="A119" s="427" t="s">
        <v>6610</v>
      </c>
      <c r="B119" s="427" t="s">
        <v>6610</v>
      </c>
      <c r="D119" s="990" t="s">
        <v>2790</v>
      </c>
      <c r="E119" s="949" t="s">
        <v>2930</v>
      </c>
      <c r="F119" s="950">
        <v>10</v>
      </c>
      <c r="G119" s="950"/>
      <c r="H119" s="950"/>
      <c r="I119" s="950"/>
      <c r="J119" s="950"/>
      <c r="K119" s="950"/>
      <c r="L119" s="950"/>
      <c r="M119" s="950"/>
      <c r="N119" s="950"/>
      <c r="O119" s="950"/>
      <c r="P119" s="950"/>
      <c r="Q119" s="991"/>
      <c r="R119" s="990" t="s">
        <v>2791</v>
      </c>
      <c r="S119" s="992" t="s">
        <v>2792</v>
      </c>
      <c r="T119" s="993">
        <f t="shared" si="6"/>
        <v>103</v>
      </c>
      <c r="U119" s="992" t="s">
        <v>2792</v>
      </c>
      <c r="V119" s="993">
        <f t="shared" si="7"/>
        <v>103</v>
      </c>
      <c r="W119" s="992" t="s">
        <v>9654</v>
      </c>
      <c r="X119" s="993">
        <f t="shared" si="8"/>
        <v>30</v>
      </c>
      <c r="Y119" s="994" t="s">
        <v>9655</v>
      </c>
      <c r="Z119" s="993">
        <f t="shared" si="9"/>
        <v>123</v>
      </c>
      <c r="AA119" s="994" t="s">
        <v>9656</v>
      </c>
      <c r="AB119" s="993">
        <f t="shared" si="10"/>
        <v>117</v>
      </c>
      <c r="AC119" s="994" t="s">
        <v>9657</v>
      </c>
      <c r="AD119" s="993">
        <f t="shared" si="11"/>
        <v>30</v>
      </c>
      <c r="AE119" s="518" t="s">
        <v>9658</v>
      </c>
      <c r="AF119" s="519" t="s">
        <v>9659</v>
      </c>
      <c r="AG119" s="995" t="s">
        <v>9179</v>
      </c>
      <c r="AH119" s="996" t="s">
        <v>169</v>
      </c>
      <c r="AI119" s="530" t="s">
        <v>2969</v>
      </c>
      <c r="AJ119" s="958">
        <v>1</v>
      </c>
      <c r="AK119" s="959" t="s">
        <v>5359</v>
      </c>
      <c r="AL119" s="960"/>
      <c r="AM119" s="997">
        <f>_xll.GetCtData("COAMOUNT","CONSAMOUNT",$A$1:$A$7,$D119,AM$10,"#")</f>
        <v>0</v>
      </c>
    </row>
    <row r="120" spans="1:39">
      <c r="A120" s="427">
        <v>3</v>
      </c>
      <c r="B120" s="427" t="s">
        <v>9153</v>
      </c>
      <c r="D120" s="986" t="s">
        <v>9660</v>
      </c>
      <c r="E120" s="949" t="s">
        <v>2912</v>
      </c>
      <c r="F120" s="950">
        <v>9</v>
      </c>
      <c r="G120" s="950"/>
      <c r="H120" s="950"/>
      <c r="I120" s="950"/>
      <c r="J120" s="950"/>
      <c r="K120" s="950"/>
      <c r="L120" s="950"/>
      <c r="M120" s="950"/>
      <c r="N120" s="950"/>
      <c r="O120" s="950"/>
      <c r="P120" s="986" t="s">
        <v>9661</v>
      </c>
      <c r="Q120" s="986"/>
      <c r="R120" s="986" t="s">
        <v>9661</v>
      </c>
      <c r="S120" s="986" t="s">
        <v>2783</v>
      </c>
      <c r="T120" s="987">
        <f t="shared" si="6"/>
        <v>101</v>
      </c>
      <c r="U120" s="986" t="s">
        <v>2783</v>
      </c>
      <c r="V120" s="987">
        <f t="shared" si="7"/>
        <v>101</v>
      </c>
      <c r="W120" s="986" t="s">
        <v>9662</v>
      </c>
      <c r="X120" s="987">
        <f t="shared" si="8"/>
        <v>29</v>
      </c>
      <c r="Y120" s="988" t="s">
        <v>9663</v>
      </c>
      <c r="Z120" s="987">
        <f t="shared" si="9"/>
        <v>83</v>
      </c>
      <c r="AA120" s="988" t="s">
        <v>9664</v>
      </c>
      <c r="AB120" s="987">
        <f t="shared" si="10"/>
        <v>82</v>
      </c>
      <c r="AC120" s="988" t="s">
        <v>9665</v>
      </c>
      <c r="AD120" s="987">
        <f t="shared" si="11"/>
        <v>29</v>
      </c>
      <c r="AE120" s="987"/>
      <c r="AF120" s="987"/>
      <c r="AG120" s="999"/>
      <c r="AH120" s="1000"/>
      <c r="AI120" s="530" t="s">
        <v>2969</v>
      </c>
      <c r="AJ120" s="958">
        <v>1</v>
      </c>
      <c r="AK120" s="959"/>
      <c r="AL120" s="960" t="s">
        <v>5930</v>
      </c>
      <c r="AM120" s="989">
        <f>_xll.GetCtData("COAMOUNT","CONSAMOUNT",$A$1:$A$7,$D120,AM$10,"#1129")</f>
        <v>1129</v>
      </c>
    </row>
    <row r="121" spans="1:39">
      <c r="A121" s="427">
        <v>3</v>
      </c>
      <c r="B121" s="427" t="s">
        <v>9153</v>
      </c>
      <c r="D121" s="990" t="s">
        <v>2781</v>
      </c>
      <c r="E121" s="949" t="s">
        <v>2930</v>
      </c>
      <c r="F121" s="950">
        <v>10</v>
      </c>
      <c r="G121" s="950"/>
      <c r="H121" s="950"/>
      <c r="I121" s="950"/>
      <c r="J121" s="950"/>
      <c r="K121" s="950"/>
      <c r="L121" s="950"/>
      <c r="M121" s="950"/>
      <c r="N121" s="950"/>
      <c r="O121" s="950"/>
      <c r="P121" s="950"/>
      <c r="Q121" s="991"/>
      <c r="R121" s="990" t="s">
        <v>2782</v>
      </c>
      <c r="S121" s="992" t="s">
        <v>2783</v>
      </c>
      <c r="T121" s="993">
        <f t="shared" si="6"/>
        <v>101</v>
      </c>
      <c r="U121" s="992" t="s">
        <v>2783</v>
      </c>
      <c r="V121" s="993">
        <f t="shared" si="7"/>
        <v>101</v>
      </c>
      <c r="W121" s="992" t="s">
        <v>9662</v>
      </c>
      <c r="X121" s="993">
        <f t="shared" si="8"/>
        <v>29</v>
      </c>
      <c r="Y121" s="994" t="s">
        <v>9663</v>
      </c>
      <c r="Z121" s="993">
        <f t="shared" si="9"/>
        <v>83</v>
      </c>
      <c r="AA121" s="994" t="s">
        <v>9664</v>
      </c>
      <c r="AB121" s="993">
        <f t="shared" si="10"/>
        <v>82</v>
      </c>
      <c r="AC121" s="994" t="s">
        <v>9665</v>
      </c>
      <c r="AD121" s="993">
        <f t="shared" si="11"/>
        <v>29</v>
      </c>
      <c r="AE121" s="518" t="s">
        <v>9666</v>
      </c>
      <c r="AF121" s="519" t="s">
        <v>9667</v>
      </c>
      <c r="AG121" s="995" t="s">
        <v>9179</v>
      </c>
      <c r="AH121" s="996" t="s">
        <v>169</v>
      </c>
      <c r="AI121" s="530" t="s">
        <v>2969</v>
      </c>
      <c r="AJ121" s="958">
        <v>1</v>
      </c>
      <c r="AK121" s="959" t="s">
        <v>5359</v>
      </c>
      <c r="AL121" s="960" t="s">
        <v>9446</v>
      </c>
      <c r="AM121" s="997">
        <f>_xll.GetCtData("COAMOUNT","CONSAMOUNT",$A$1:$A$7,$D121,AM$10,"#1129")</f>
        <v>1129</v>
      </c>
    </row>
    <row r="122" spans="1:39">
      <c r="A122" s="427" t="s">
        <v>6610</v>
      </c>
      <c r="B122" s="427" t="s">
        <v>6610</v>
      </c>
      <c r="D122" s="986" t="s">
        <v>9668</v>
      </c>
      <c r="E122" s="949" t="s">
        <v>2912</v>
      </c>
      <c r="F122" s="950">
        <v>9</v>
      </c>
      <c r="G122" s="950"/>
      <c r="H122" s="950"/>
      <c r="I122" s="950"/>
      <c r="J122" s="950"/>
      <c r="K122" s="950"/>
      <c r="L122" s="950"/>
      <c r="M122" s="950"/>
      <c r="N122" s="950"/>
      <c r="O122" s="950"/>
      <c r="P122" s="986" t="s">
        <v>9669</v>
      </c>
      <c r="Q122" s="986"/>
      <c r="R122" s="986" t="s">
        <v>9669</v>
      </c>
      <c r="S122" s="986" t="s">
        <v>9670</v>
      </c>
      <c r="T122" s="987">
        <f t="shared" si="6"/>
        <v>118</v>
      </c>
      <c r="U122" s="986" t="s">
        <v>9671</v>
      </c>
      <c r="V122" s="987">
        <f t="shared" si="7"/>
        <v>89</v>
      </c>
      <c r="W122" s="986" t="s">
        <v>9672</v>
      </c>
      <c r="X122" s="987">
        <f t="shared" si="8"/>
        <v>29</v>
      </c>
      <c r="Y122" s="988" t="s">
        <v>9673</v>
      </c>
      <c r="Z122" s="987">
        <f t="shared" si="9"/>
        <v>80</v>
      </c>
      <c r="AA122" s="988" t="s">
        <v>9674</v>
      </c>
      <c r="AB122" s="987">
        <f t="shared" si="10"/>
        <v>78</v>
      </c>
      <c r="AC122" s="988" t="s">
        <v>9675</v>
      </c>
      <c r="AD122" s="987">
        <f t="shared" si="11"/>
        <v>30</v>
      </c>
      <c r="AE122" s="987"/>
      <c r="AF122" s="987"/>
      <c r="AG122" s="999"/>
      <c r="AH122" s="1000"/>
      <c r="AI122" s="530" t="s">
        <v>2969</v>
      </c>
      <c r="AJ122" s="958">
        <v>1</v>
      </c>
      <c r="AK122" s="959"/>
      <c r="AL122" s="960" t="s">
        <v>9455</v>
      </c>
      <c r="AM122" s="989">
        <f>_xll.GetCtData("COAMOUNT","CONSAMOUNT",$A$1:$A$7,$D122,AM$10,"#")</f>
        <v>0</v>
      </c>
    </row>
    <row r="123" spans="1:39">
      <c r="A123" s="427" t="s">
        <v>6610</v>
      </c>
      <c r="B123" s="427" t="s">
        <v>6610</v>
      </c>
      <c r="D123" s="1005" t="s">
        <v>9676</v>
      </c>
      <c r="E123" s="949" t="s">
        <v>5409</v>
      </c>
      <c r="F123" s="950">
        <v>10</v>
      </c>
      <c r="G123" s="950"/>
      <c r="H123" s="950"/>
      <c r="I123" s="950"/>
      <c r="J123" s="950"/>
      <c r="K123" s="950"/>
      <c r="L123" s="950"/>
      <c r="M123" s="950"/>
      <c r="N123" s="950"/>
      <c r="O123" s="950"/>
      <c r="P123" s="950"/>
      <c r="Q123" s="991"/>
      <c r="R123" s="1005" t="s">
        <v>9677</v>
      </c>
      <c r="S123" s="992" t="s">
        <v>9678</v>
      </c>
      <c r="T123" s="993">
        <f t="shared" si="6"/>
        <v>107</v>
      </c>
      <c r="U123" s="1006" t="s">
        <v>9679</v>
      </c>
      <c r="V123" s="993">
        <f t="shared" si="7"/>
        <v>101</v>
      </c>
      <c r="W123" s="992" t="s">
        <v>9680</v>
      </c>
      <c r="X123" s="993">
        <f t="shared" si="8"/>
        <v>30</v>
      </c>
      <c r="Y123" s="994" t="s">
        <v>9681</v>
      </c>
      <c r="Z123" s="993">
        <f t="shared" si="9"/>
        <v>95</v>
      </c>
      <c r="AA123" s="994" t="s">
        <v>9681</v>
      </c>
      <c r="AB123" s="993">
        <f t="shared" si="10"/>
        <v>95</v>
      </c>
      <c r="AC123" s="994" t="s">
        <v>9682</v>
      </c>
      <c r="AD123" s="993">
        <f t="shared" si="11"/>
        <v>30</v>
      </c>
      <c r="AE123" s="518" t="s">
        <v>9683</v>
      </c>
      <c r="AF123" s="519" t="s">
        <v>9352</v>
      </c>
      <c r="AG123" s="995" t="s">
        <v>9179</v>
      </c>
      <c r="AH123" s="996" t="s">
        <v>169</v>
      </c>
      <c r="AI123" s="530" t="s">
        <v>2969</v>
      </c>
      <c r="AJ123" s="958">
        <v>1</v>
      </c>
      <c r="AK123" s="959" t="s">
        <v>5359</v>
      </c>
      <c r="AL123" s="960" t="s">
        <v>9455</v>
      </c>
      <c r="AM123" s="997">
        <f>_xll.GetCtData("COAMOUNT","CONSAMOUNT",$A$1:$A$7,$D123,AM$10,"#")</f>
        <v>0</v>
      </c>
    </row>
    <row r="124" spans="1:39">
      <c r="A124" s="427" t="s">
        <v>6610</v>
      </c>
      <c r="B124" s="427" t="s">
        <v>6610</v>
      </c>
      <c r="D124" s="1005" t="s">
        <v>2779</v>
      </c>
      <c r="E124" s="949" t="s">
        <v>5409</v>
      </c>
      <c r="F124" s="950">
        <v>10</v>
      </c>
      <c r="G124" s="950"/>
      <c r="H124" s="950"/>
      <c r="I124" s="950"/>
      <c r="J124" s="950"/>
      <c r="K124" s="950"/>
      <c r="L124" s="950"/>
      <c r="M124" s="950"/>
      <c r="N124" s="950"/>
      <c r="O124" s="950"/>
      <c r="P124" s="950"/>
      <c r="Q124" s="991"/>
      <c r="R124" s="1005" t="s">
        <v>2780</v>
      </c>
      <c r="S124" s="992" t="s">
        <v>9684</v>
      </c>
      <c r="T124" s="993">
        <f t="shared" si="6"/>
        <v>105</v>
      </c>
      <c r="U124" s="1006" t="s">
        <v>9685</v>
      </c>
      <c r="V124" s="993">
        <f t="shared" si="7"/>
        <v>99</v>
      </c>
      <c r="W124" s="992" t="s">
        <v>9686</v>
      </c>
      <c r="X124" s="993">
        <f t="shared" si="8"/>
        <v>27</v>
      </c>
      <c r="Y124" s="994" t="s">
        <v>9687</v>
      </c>
      <c r="Z124" s="993">
        <f t="shared" si="9"/>
        <v>97</v>
      </c>
      <c r="AA124" s="994" t="s">
        <v>9688</v>
      </c>
      <c r="AB124" s="993">
        <f t="shared" si="10"/>
        <v>97</v>
      </c>
      <c r="AC124" s="994" t="s">
        <v>9689</v>
      </c>
      <c r="AD124" s="993">
        <f t="shared" si="11"/>
        <v>28</v>
      </c>
      <c r="AE124" s="518" t="s">
        <v>9690</v>
      </c>
      <c r="AF124" s="519" t="s">
        <v>9358</v>
      </c>
      <c r="AG124" s="995" t="s">
        <v>9179</v>
      </c>
      <c r="AH124" s="996" t="s">
        <v>169</v>
      </c>
      <c r="AI124" s="530" t="s">
        <v>2969</v>
      </c>
      <c r="AJ124" s="958">
        <v>1</v>
      </c>
      <c r="AK124" s="959" t="s">
        <v>5359</v>
      </c>
      <c r="AL124" s="960" t="s">
        <v>9455</v>
      </c>
      <c r="AM124" s="997">
        <f>_xll.GetCtData("COAMOUNT","CONSAMOUNT",$A$1:$A$7,$D124,AM$10,"#")</f>
        <v>0</v>
      </c>
    </row>
    <row r="125" spans="1:39">
      <c r="A125" s="427" t="s">
        <v>6610</v>
      </c>
      <c r="B125" s="427" t="s">
        <v>6610</v>
      </c>
      <c r="D125" s="1005" t="s">
        <v>9691</v>
      </c>
      <c r="E125" s="949" t="s">
        <v>5409</v>
      </c>
      <c r="F125" s="950">
        <v>10</v>
      </c>
      <c r="G125" s="950"/>
      <c r="H125" s="950"/>
      <c r="I125" s="950"/>
      <c r="J125" s="950"/>
      <c r="K125" s="950"/>
      <c r="L125" s="950"/>
      <c r="M125" s="950"/>
      <c r="N125" s="950"/>
      <c r="O125" s="950"/>
      <c r="P125" s="950"/>
      <c r="Q125" s="991"/>
      <c r="R125" s="1005" t="s">
        <v>9692</v>
      </c>
      <c r="S125" s="1007" t="s">
        <v>9693</v>
      </c>
      <c r="T125" s="993">
        <f t="shared" si="6"/>
        <v>107</v>
      </c>
      <c r="U125" s="1006" t="s">
        <v>9693</v>
      </c>
      <c r="V125" s="993">
        <f t="shared" si="7"/>
        <v>107</v>
      </c>
      <c r="W125" s="992" t="s">
        <v>9694</v>
      </c>
      <c r="X125" s="993">
        <f t="shared" si="8"/>
        <v>30</v>
      </c>
      <c r="Y125" s="994" t="s">
        <v>9695</v>
      </c>
      <c r="Z125" s="993">
        <f t="shared" si="9"/>
        <v>96</v>
      </c>
      <c r="AA125" s="994" t="s">
        <v>9695</v>
      </c>
      <c r="AB125" s="993">
        <f t="shared" si="10"/>
        <v>96</v>
      </c>
      <c r="AC125" s="994" t="s">
        <v>9696</v>
      </c>
      <c r="AD125" s="993">
        <f t="shared" si="11"/>
        <v>30</v>
      </c>
      <c r="AE125" s="518" t="s">
        <v>9697</v>
      </c>
      <c r="AF125" s="519" t="s">
        <v>9352</v>
      </c>
      <c r="AG125" s="995" t="s">
        <v>9179</v>
      </c>
      <c r="AH125" s="996" t="s">
        <v>169</v>
      </c>
      <c r="AI125" s="530" t="s">
        <v>2969</v>
      </c>
      <c r="AJ125" s="958">
        <v>1</v>
      </c>
      <c r="AK125" s="959" t="s">
        <v>5359</v>
      </c>
      <c r="AL125" s="960" t="s">
        <v>9455</v>
      </c>
      <c r="AM125" s="1008">
        <f>_xll.GetCtData("COAMOUNT","CONSAMOUNT",$A$1:$A$7,$D125,AM$10,"#")</f>
        <v>0</v>
      </c>
    </row>
    <row r="126" spans="1:39">
      <c r="A126" s="427" t="s">
        <v>6610</v>
      </c>
      <c r="B126" s="427" t="s">
        <v>6610</v>
      </c>
      <c r="D126" s="1005" t="s">
        <v>9698</v>
      </c>
      <c r="E126" s="949" t="s">
        <v>5409</v>
      </c>
      <c r="F126" s="950">
        <v>10</v>
      </c>
      <c r="G126" s="950"/>
      <c r="H126" s="950"/>
      <c r="I126" s="950"/>
      <c r="J126" s="950"/>
      <c r="K126" s="950"/>
      <c r="L126" s="950"/>
      <c r="M126" s="950"/>
      <c r="N126" s="950"/>
      <c r="O126" s="950"/>
      <c r="P126" s="950"/>
      <c r="Q126" s="991"/>
      <c r="R126" s="1005" t="s">
        <v>9699</v>
      </c>
      <c r="S126" s="1007" t="s">
        <v>9693</v>
      </c>
      <c r="T126" s="993">
        <f t="shared" si="6"/>
        <v>107</v>
      </c>
      <c r="U126" s="1006" t="s">
        <v>9693</v>
      </c>
      <c r="V126" s="993">
        <f t="shared" si="7"/>
        <v>107</v>
      </c>
      <c r="W126" s="992" t="s">
        <v>9700</v>
      </c>
      <c r="X126" s="993">
        <f t="shared" si="8"/>
        <v>29</v>
      </c>
      <c r="Y126" s="994" t="s">
        <v>9701</v>
      </c>
      <c r="Z126" s="993">
        <f t="shared" si="9"/>
        <v>97</v>
      </c>
      <c r="AA126" s="994" t="s">
        <v>9702</v>
      </c>
      <c r="AB126" s="993">
        <f t="shared" si="10"/>
        <v>98</v>
      </c>
      <c r="AC126" s="994" t="s">
        <v>9703</v>
      </c>
      <c r="AD126" s="993">
        <f t="shared" si="11"/>
        <v>27</v>
      </c>
      <c r="AE126" s="518" t="s">
        <v>9704</v>
      </c>
      <c r="AF126" s="519" t="s">
        <v>9358</v>
      </c>
      <c r="AG126" s="995" t="s">
        <v>9179</v>
      </c>
      <c r="AH126" s="996" t="s">
        <v>169</v>
      </c>
      <c r="AI126" s="530" t="s">
        <v>2969</v>
      </c>
      <c r="AJ126" s="958">
        <v>1</v>
      </c>
      <c r="AK126" s="959" t="s">
        <v>5359</v>
      </c>
      <c r="AL126" s="960" t="s">
        <v>9455</v>
      </c>
      <c r="AM126" s="1008">
        <f>_xll.GetCtData("COAMOUNT","CONSAMOUNT",$A$1:$A$7,$D126,AM$10,"#")</f>
        <v>0</v>
      </c>
    </row>
    <row r="127" spans="1:39">
      <c r="A127" s="427" t="s">
        <v>6610</v>
      </c>
      <c r="B127" s="427" t="s">
        <v>6610</v>
      </c>
      <c r="D127" s="1005" t="s">
        <v>1839</v>
      </c>
      <c r="E127" s="949" t="s">
        <v>5409</v>
      </c>
      <c r="F127" s="950">
        <v>10</v>
      </c>
      <c r="G127" s="950"/>
      <c r="H127" s="950"/>
      <c r="I127" s="950"/>
      <c r="J127" s="950"/>
      <c r="K127" s="950"/>
      <c r="L127" s="950"/>
      <c r="M127" s="950"/>
      <c r="N127" s="950"/>
      <c r="O127" s="950"/>
      <c r="P127" s="950"/>
      <c r="Q127" s="991"/>
      <c r="R127" s="1005" t="s">
        <v>9705</v>
      </c>
      <c r="S127" s="1007" t="s">
        <v>9706</v>
      </c>
      <c r="T127" s="993">
        <f t="shared" si="6"/>
        <v>118</v>
      </c>
      <c r="U127" s="1006" t="s">
        <v>9706</v>
      </c>
      <c r="V127" s="993">
        <f t="shared" si="7"/>
        <v>118</v>
      </c>
      <c r="W127" s="992" t="s">
        <v>9707</v>
      </c>
      <c r="X127" s="993">
        <f t="shared" si="8"/>
        <v>30</v>
      </c>
      <c r="Y127" s="994" t="s">
        <v>9708</v>
      </c>
      <c r="Z127" s="993">
        <f t="shared" si="9"/>
        <v>108</v>
      </c>
      <c r="AA127" s="994" t="s">
        <v>9708</v>
      </c>
      <c r="AB127" s="993">
        <f t="shared" si="10"/>
        <v>108</v>
      </c>
      <c r="AC127" s="994" t="s">
        <v>9709</v>
      </c>
      <c r="AD127" s="993">
        <f t="shared" si="11"/>
        <v>28</v>
      </c>
      <c r="AE127" s="518" t="s">
        <v>9710</v>
      </c>
      <c r="AF127" s="519" t="s">
        <v>9352</v>
      </c>
      <c r="AG127" s="995" t="s">
        <v>9179</v>
      </c>
      <c r="AH127" s="996" t="s">
        <v>169</v>
      </c>
      <c r="AI127" s="530" t="s">
        <v>2969</v>
      </c>
      <c r="AJ127" s="958">
        <v>1</v>
      </c>
      <c r="AK127" s="959" t="s">
        <v>5359</v>
      </c>
      <c r="AL127" s="960" t="s">
        <v>9455</v>
      </c>
      <c r="AM127" s="1008">
        <f>_xll.GetCtData("COAMOUNT","CONSAMOUNT",$A$1:$A$7,$D127,AM$10,"#")</f>
        <v>0</v>
      </c>
    </row>
    <row r="128" spans="1:39">
      <c r="A128" s="427" t="s">
        <v>6610</v>
      </c>
      <c r="B128" s="427" t="s">
        <v>6610</v>
      </c>
      <c r="D128" s="1005" t="s">
        <v>1840</v>
      </c>
      <c r="E128" s="949" t="s">
        <v>5409</v>
      </c>
      <c r="F128" s="950">
        <v>10</v>
      </c>
      <c r="G128" s="950"/>
      <c r="H128" s="950"/>
      <c r="I128" s="950"/>
      <c r="J128" s="950"/>
      <c r="K128" s="950"/>
      <c r="L128" s="950"/>
      <c r="M128" s="950"/>
      <c r="N128" s="950"/>
      <c r="O128" s="950"/>
      <c r="P128" s="950"/>
      <c r="Q128" s="991"/>
      <c r="R128" s="1005" t="s">
        <v>2793</v>
      </c>
      <c r="S128" s="1007" t="s">
        <v>2794</v>
      </c>
      <c r="T128" s="993">
        <f t="shared" si="6"/>
        <v>116</v>
      </c>
      <c r="U128" s="1006" t="s">
        <v>2794</v>
      </c>
      <c r="V128" s="993">
        <f t="shared" si="7"/>
        <v>116</v>
      </c>
      <c r="W128" s="992" t="s">
        <v>9711</v>
      </c>
      <c r="X128" s="993">
        <f t="shared" si="8"/>
        <v>29</v>
      </c>
      <c r="Y128" s="994" t="s">
        <v>9712</v>
      </c>
      <c r="Z128" s="993">
        <f t="shared" si="9"/>
        <v>110</v>
      </c>
      <c r="AA128" s="994" t="s">
        <v>9712</v>
      </c>
      <c r="AB128" s="993">
        <f t="shared" si="10"/>
        <v>110</v>
      </c>
      <c r="AC128" s="994" t="s">
        <v>9713</v>
      </c>
      <c r="AD128" s="993">
        <f t="shared" si="11"/>
        <v>24</v>
      </c>
      <c r="AE128" s="518" t="s">
        <v>9714</v>
      </c>
      <c r="AF128" s="519" t="s">
        <v>9358</v>
      </c>
      <c r="AG128" s="995" t="s">
        <v>9179</v>
      </c>
      <c r="AH128" s="996" t="s">
        <v>169</v>
      </c>
      <c r="AI128" s="530" t="s">
        <v>2969</v>
      </c>
      <c r="AJ128" s="958">
        <v>1</v>
      </c>
      <c r="AK128" s="959" t="s">
        <v>5359</v>
      </c>
      <c r="AL128" s="960" t="s">
        <v>9455</v>
      </c>
      <c r="AM128" s="1008">
        <f>_xll.GetCtData("COAMOUNT","CONSAMOUNT",$A$1:$A$7,$D128,AM$10,"#")</f>
        <v>0</v>
      </c>
    </row>
    <row r="129" spans="1:39">
      <c r="A129" s="427" t="s">
        <v>6610</v>
      </c>
      <c r="B129" s="427" t="s">
        <v>6610</v>
      </c>
      <c r="D129" s="970" t="s">
        <v>9715</v>
      </c>
      <c r="E129" s="949" t="s">
        <v>2912</v>
      </c>
      <c r="F129" s="950">
        <v>6</v>
      </c>
      <c r="G129" s="950"/>
      <c r="H129" s="950"/>
      <c r="I129" s="950"/>
      <c r="J129" s="950"/>
      <c r="K129" s="950"/>
      <c r="L129" s="950"/>
      <c r="M129" s="970" t="s">
        <v>9716</v>
      </c>
      <c r="N129" s="1001"/>
      <c r="O129" s="1001"/>
      <c r="P129" s="1001"/>
      <c r="Q129" s="1001"/>
      <c r="R129" s="970" t="s">
        <v>9716</v>
      </c>
      <c r="S129" s="970" t="s">
        <v>2446</v>
      </c>
      <c r="T129" s="972">
        <f t="shared" si="6"/>
        <v>36</v>
      </c>
      <c r="U129" s="970" t="s">
        <v>2446</v>
      </c>
      <c r="V129" s="972">
        <f t="shared" si="7"/>
        <v>36</v>
      </c>
      <c r="W129" s="992" t="s">
        <v>9595</v>
      </c>
      <c r="X129" s="972">
        <f t="shared" si="8"/>
        <v>30</v>
      </c>
      <c r="Y129" s="994" t="s">
        <v>9596</v>
      </c>
      <c r="Z129" s="993">
        <f t="shared" si="9"/>
        <v>98</v>
      </c>
      <c r="AA129" s="994" t="s">
        <v>9596</v>
      </c>
      <c r="AB129" s="993">
        <f t="shared" si="10"/>
        <v>98</v>
      </c>
      <c r="AC129" s="994" t="s">
        <v>9597</v>
      </c>
      <c r="AD129" s="972">
        <f t="shared" si="11"/>
        <v>30</v>
      </c>
      <c r="AE129" s="972"/>
      <c r="AF129" s="972"/>
      <c r="AG129" s="995"/>
      <c r="AH129" s="996"/>
      <c r="AI129" s="530" t="s">
        <v>2969</v>
      </c>
      <c r="AJ129" s="958">
        <v>1</v>
      </c>
      <c r="AK129" s="959"/>
      <c r="AL129" s="960" t="s">
        <v>5930</v>
      </c>
      <c r="AM129" s="974">
        <f>_xll.GetCtData("COAMOUNT","CONSAMOUNT",$A$1:$A$7,$D129,AM$10,"#593923,401838335")</f>
        <v>593923</v>
      </c>
    </row>
    <row r="130" spans="1:39">
      <c r="A130" s="427" t="s">
        <v>6610</v>
      </c>
      <c r="B130" s="427" t="s">
        <v>6610</v>
      </c>
      <c r="D130" s="410" t="s">
        <v>2545</v>
      </c>
      <c r="E130" s="949" t="s">
        <v>2912</v>
      </c>
      <c r="F130" s="950">
        <v>7</v>
      </c>
      <c r="G130" s="950"/>
      <c r="H130" s="950"/>
      <c r="I130" s="950"/>
      <c r="J130" s="950"/>
      <c r="K130" s="950"/>
      <c r="L130" s="950"/>
      <c r="M130" s="950"/>
      <c r="N130" s="410" t="s">
        <v>9717</v>
      </c>
      <c r="O130" s="975"/>
      <c r="P130" s="975"/>
      <c r="Q130" s="410"/>
      <c r="R130" s="410" t="s">
        <v>9717</v>
      </c>
      <c r="S130" s="410" t="s">
        <v>9718</v>
      </c>
      <c r="T130" s="976">
        <f t="shared" si="6"/>
        <v>63</v>
      </c>
      <c r="U130" s="410" t="s">
        <v>9718</v>
      </c>
      <c r="V130" s="976">
        <f t="shared" si="7"/>
        <v>63</v>
      </c>
      <c r="W130" s="992" t="s">
        <v>9598</v>
      </c>
      <c r="X130" s="976">
        <f t="shared" si="8"/>
        <v>30</v>
      </c>
      <c r="Y130" s="994" t="s">
        <v>9590</v>
      </c>
      <c r="Z130" s="993">
        <f t="shared" si="9"/>
        <v>110</v>
      </c>
      <c r="AA130" s="994" t="s">
        <v>9590</v>
      </c>
      <c r="AB130" s="993">
        <f t="shared" si="10"/>
        <v>110</v>
      </c>
      <c r="AC130" s="994" t="s">
        <v>9599</v>
      </c>
      <c r="AD130" s="976">
        <f t="shared" si="11"/>
        <v>26</v>
      </c>
      <c r="AE130" s="976"/>
      <c r="AF130" s="976"/>
      <c r="AG130" s="995"/>
      <c r="AH130" s="996"/>
      <c r="AI130" s="530" t="s">
        <v>2969</v>
      </c>
      <c r="AJ130" s="958">
        <v>1</v>
      </c>
      <c r="AK130" s="959"/>
      <c r="AL130" s="960" t="s">
        <v>5930</v>
      </c>
      <c r="AM130" s="980">
        <f>_xll.GetCtData("COAMOUNT","CONSAMOUNT",$A$1:$A$7,$D130,AM$10,"#589906")</f>
        <v>589906</v>
      </c>
    </row>
    <row r="131" spans="1:39">
      <c r="A131" s="427" t="s">
        <v>6610</v>
      </c>
      <c r="B131" s="427" t="s">
        <v>6610</v>
      </c>
      <c r="D131" s="981" t="s">
        <v>9719</v>
      </c>
      <c r="E131" s="949" t="s">
        <v>2912</v>
      </c>
      <c r="F131" s="950">
        <v>8</v>
      </c>
      <c r="G131" s="950"/>
      <c r="H131" s="950"/>
      <c r="I131" s="950"/>
      <c r="J131" s="950"/>
      <c r="K131" s="950"/>
      <c r="L131" s="950"/>
      <c r="M131" s="950"/>
      <c r="N131" s="950"/>
      <c r="O131" s="981" t="s">
        <v>9720</v>
      </c>
      <c r="P131" s="982"/>
      <c r="Q131" s="981"/>
      <c r="R131" s="981" t="s">
        <v>9720</v>
      </c>
      <c r="S131" s="981" t="s">
        <v>9721</v>
      </c>
      <c r="T131" s="1002">
        <f t="shared" si="6"/>
        <v>55</v>
      </c>
      <c r="U131" s="981" t="s">
        <v>9721</v>
      </c>
      <c r="V131" s="1002">
        <f t="shared" si="7"/>
        <v>55</v>
      </c>
      <c r="W131" s="981" t="s">
        <v>9722</v>
      </c>
      <c r="X131" s="1002">
        <f t="shared" si="8"/>
        <v>21</v>
      </c>
      <c r="Y131" s="1003" t="s">
        <v>9723</v>
      </c>
      <c r="Z131" s="1002">
        <f t="shared" si="9"/>
        <v>47</v>
      </c>
      <c r="AA131" s="1003" t="s">
        <v>9724</v>
      </c>
      <c r="AB131" s="1002">
        <f t="shared" si="10"/>
        <v>46</v>
      </c>
      <c r="AC131" s="1003" t="s">
        <v>9725</v>
      </c>
      <c r="AD131" s="1002">
        <f t="shared" si="11"/>
        <v>25</v>
      </c>
      <c r="AE131" s="1002"/>
      <c r="AF131" s="1002"/>
      <c r="AG131" s="995"/>
      <c r="AH131" s="996"/>
      <c r="AI131" s="530" t="s">
        <v>2969</v>
      </c>
      <c r="AJ131" s="958">
        <v>1</v>
      </c>
      <c r="AK131" s="959"/>
      <c r="AL131" s="960" t="s">
        <v>5930</v>
      </c>
      <c r="AM131" s="985">
        <f>_xll.GetCtData("COAMOUNT","CONSAMOUNT",$A$1:$A$7,$D131,AM$10,"#525240")</f>
        <v>525240</v>
      </c>
    </row>
    <row r="132" spans="1:39">
      <c r="A132" s="427" t="s">
        <v>6610</v>
      </c>
      <c r="B132" s="427" t="s">
        <v>6610</v>
      </c>
      <c r="D132" s="986" t="s">
        <v>9726</v>
      </c>
      <c r="E132" s="949" t="s">
        <v>2912</v>
      </c>
      <c r="F132" s="950">
        <v>9</v>
      </c>
      <c r="G132" s="950"/>
      <c r="H132" s="950"/>
      <c r="I132" s="950"/>
      <c r="J132" s="950"/>
      <c r="K132" s="950"/>
      <c r="L132" s="950"/>
      <c r="M132" s="950"/>
      <c r="N132" s="950"/>
      <c r="O132" s="950"/>
      <c r="P132" s="986" t="s">
        <v>9727</v>
      </c>
      <c r="Q132" s="986"/>
      <c r="R132" s="986" t="s">
        <v>9727</v>
      </c>
      <c r="S132" s="986" t="s">
        <v>9728</v>
      </c>
      <c r="T132" s="987">
        <f t="shared" si="6"/>
        <v>90</v>
      </c>
      <c r="U132" s="986" t="s">
        <v>9728</v>
      </c>
      <c r="V132" s="987">
        <f t="shared" si="7"/>
        <v>90</v>
      </c>
      <c r="W132" s="986" t="s">
        <v>9729</v>
      </c>
      <c r="X132" s="987">
        <f t="shared" si="8"/>
        <v>30</v>
      </c>
      <c r="Y132" s="988" t="s">
        <v>9730</v>
      </c>
      <c r="Z132" s="987">
        <f t="shared" si="9"/>
        <v>84</v>
      </c>
      <c r="AA132" s="988" t="s">
        <v>9731</v>
      </c>
      <c r="AB132" s="987">
        <f t="shared" si="10"/>
        <v>83</v>
      </c>
      <c r="AC132" s="988" t="s">
        <v>9732</v>
      </c>
      <c r="AD132" s="987">
        <f t="shared" si="11"/>
        <v>30</v>
      </c>
      <c r="AE132" s="987"/>
      <c r="AF132" s="987"/>
      <c r="AG132" s="999"/>
      <c r="AH132" s="1000"/>
      <c r="AI132" s="530" t="s">
        <v>2969</v>
      </c>
      <c r="AJ132" s="958">
        <v>1</v>
      </c>
      <c r="AK132" s="959"/>
      <c r="AL132" s="960" t="s">
        <v>5930</v>
      </c>
      <c r="AM132" s="989">
        <f>_xll.GetCtData("COAMOUNT","CONSAMOUNT",$A$1:$A$7,$D132,AM$10,"#480314")</f>
        <v>480314</v>
      </c>
    </row>
    <row r="133" spans="1:39">
      <c r="A133" s="427" t="s">
        <v>6610</v>
      </c>
      <c r="B133" s="427" t="s">
        <v>6610</v>
      </c>
      <c r="D133" s="990" t="s">
        <v>2805</v>
      </c>
      <c r="E133" s="949" t="s">
        <v>2930</v>
      </c>
      <c r="F133" s="950">
        <v>10</v>
      </c>
      <c r="G133" s="950"/>
      <c r="H133" s="950"/>
      <c r="I133" s="950"/>
      <c r="J133" s="950"/>
      <c r="K133" s="950"/>
      <c r="L133" s="950"/>
      <c r="M133" s="950"/>
      <c r="N133" s="950"/>
      <c r="O133" s="950"/>
      <c r="P133" s="950"/>
      <c r="Q133" s="991"/>
      <c r="R133" s="990" t="s">
        <v>1038</v>
      </c>
      <c r="S133" s="992" t="s">
        <v>1039</v>
      </c>
      <c r="T133" s="993">
        <f t="shared" si="6"/>
        <v>119</v>
      </c>
      <c r="U133" s="992" t="s">
        <v>1039</v>
      </c>
      <c r="V133" s="993">
        <f t="shared" si="7"/>
        <v>119</v>
      </c>
      <c r="W133" s="992" t="s">
        <v>9733</v>
      </c>
      <c r="X133" s="993">
        <f t="shared" si="8"/>
        <v>30</v>
      </c>
      <c r="Y133" s="994" t="s">
        <v>9734</v>
      </c>
      <c r="Z133" s="993">
        <f t="shared" si="9"/>
        <v>108</v>
      </c>
      <c r="AA133" s="994" t="s">
        <v>9735</v>
      </c>
      <c r="AB133" s="993">
        <f t="shared" si="10"/>
        <v>107</v>
      </c>
      <c r="AC133" s="994" t="s">
        <v>9736</v>
      </c>
      <c r="AD133" s="993">
        <f t="shared" si="11"/>
        <v>30</v>
      </c>
      <c r="AE133" s="518" t="s">
        <v>9737</v>
      </c>
      <c r="AF133" s="519" t="s">
        <v>9738</v>
      </c>
      <c r="AG133" s="995" t="s">
        <v>9179</v>
      </c>
      <c r="AH133" s="996" t="s">
        <v>169</v>
      </c>
      <c r="AI133" s="530" t="s">
        <v>2969</v>
      </c>
      <c r="AJ133" s="958">
        <v>1</v>
      </c>
      <c r="AK133" s="959" t="s">
        <v>5359</v>
      </c>
      <c r="AL133" s="960" t="s">
        <v>5930</v>
      </c>
      <c r="AM133" s="997">
        <f>_xll.GetCtData("COAMOUNT","CONSAMOUNT",$A$1:$A$7,$D133,AM$10,"#480339")</f>
        <v>480339</v>
      </c>
    </row>
    <row r="134" spans="1:39">
      <c r="A134" s="427" t="s">
        <v>6610</v>
      </c>
      <c r="B134" s="427" t="s">
        <v>6610</v>
      </c>
      <c r="D134" s="990" t="s">
        <v>2806</v>
      </c>
      <c r="E134" s="949" t="s">
        <v>2930</v>
      </c>
      <c r="F134" s="950">
        <v>10</v>
      </c>
      <c r="G134" s="950"/>
      <c r="H134" s="950"/>
      <c r="I134" s="950"/>
      <c r="J134" s="950"/>
      <c r="K134" s="950"/>
      <c r="L134" s="950"/>
      <c r="M134" s="950"/>
      <c r="N134" s="950"/>
      <c r="O134" s="950"/>
      <c r="P134" s="950"/>
      <c r="Q134" s="991"/>
      <c r="R134" s="990" t="s">
        <v>1040</v>
      </c>
      <c r="S134" s="992" t="s">
        <v>1041</v>
      </c>
      <c r="T134" s="993">
        <f t="shared" si="6"/>
        <v>104</v>
      </c>
      <c r="U134" s="992" t="s">
        <v>1041</v>
      </c>
      <c r="V134" s="993">
        <f t="shared" si="7"/>
        <v>104</v>
      </c>
      <c r="W134" s="992" t="s">
        <v>9739</v>
      </c>
      <c r="X134" s="993">
        <f t="shared" si="8"/>
        <v>25</v>
      </c>
      <c r="Y134" s="994" t="s">
        <v>9740</v>
      </c>
      <c r="Z134" s="993">
        <f t="shared" si="9"/>
        <v>122</v>
      </c>
      <c r="AA134" s="994" t="s">
        <v>9741</v>
      </c>
      <c r="AB134" s="993">
        <f t="shared" si="10"/>
        <v>115</v>
      </c>
      <c r="AC134" s="994" t="s">
        <v>9742</v>
      </c>
      <c r="AD134" s="993">
        <f t="shared" si="11"/>
        <v>28</v>
      </c>
      <c r="AE134" s="518" t="s">
        <v>9743</v>
      </c>
      <c r="AF134" s="519" t="s">
        <v>9744</v>
      </c>
      <c r="AG134" s="995" t="s">
        <v>9179</v>
      </c>
      <c r="AH134" s="996" t="s">
        <v>169</v>
      </c>
      <c r="AI134" s="530" t="s">
        <v>2969</v>
      </c>
      <c r="AJ134" s="958">
        <v>1</v>
      </c>
      <c r="AK134" s="959" t="s">
        <v>5359</v>
      </c>
      <c r="AL134" s="960" t="s">
        <v>5930</v>
      </c>
      <c r="AM134" s="997">
        <f>_xll.GetCtData("COAMOUNT","CONSAMOUNT",$A$1:$A$7,$D134,AM$10,"#-25")</f>
        <v>-25</v>
      </c>
    </row>
    <row r="135" spans="1:39">
      <c r="A135" s="427" t="s">
        <v>6610</v>
      </c>
      <c r="B135" s="427" t="s">
        <v>6610</v>
      </c>
      <c r="D135" s="990" t="s">
        <v>2807</v>
      </c>
      <c r="E135" s="949" t="s">
        <v>2930</v>
      </c>
      <c r="F135" s="950">
        <v>10</v>
      </c>
      <c r="G135" s="950"/>
      <c r="H135" s="950"/>
      <c r="I135" s="950"/>
      <c r="J135" s="950"/>
      <c r="K135" s="950"/>
      <c r="L135" s="950"/>
      <c r="M135" s="950"/>
      <c r="N135" s="950"/>
      <c r="O135" s="950"/>
      <c r="P135" s="950"/>
      <c r="Q135" s="991"/>
      <c r="R135" s="990" t="s">
        <v>1042</v>
      </c>
      <c r="S135" s="992" t="s">
        <v>1043</v>
      </c>
      <c r="T135" s="993">
        <f t="shared" si="6"/>
        <v>106</v>
      </c>
      <c r="U135" s="992" t="s">
        <v>1043</v>
      </c>
      <c r="V135" s="993">
        <f t="shared" si="7"/>
        <v>106</v>
      </c>
      <c r="W135" s="992" t="s">
        <v>9745</v>
      </c>
      <c r="X135" s="993">
        <f t="shared" si="8"/>
        <v>30</v>
      </c>
      <c r="Y135" s="994" t="s">
        <v>9746</v>
      </c>
      <c r="Z135" s="993">
        <f t="shared" si="9"/>
        <v>114</v>
      </c>
      <c r="AA135" s="994" t="s">
        <v>9747</v>
      </c>
      <c r="AB135" s="993">
        <f t="shared" si="10"/>
        <v>113</v>
      </c>
      <c r="AC135" s="994" t="s">
        <v>9748</v>
      </c>
      <c r="AD135" s="993">
        <f t="shared" si="11"/>
        <v>30</v>
      </c>
      <c r="AE135" s="518" t="s">
        <v>9749</v>
      </c>
      <c r="AF135" s="519" t="s">
        <v>9750</v>
      </c>
      <c r="AG135" s="995" t="s">
        <v>9179</v>
      </c>
      <c r="AH135" s="996" t="s">
        <v>169</v>
      </c>
      <c r="AI135" s="530" t="s">
        <v>2969</v>
      </c>
      <c r="AJ135" s="958">
        <v>1</v>
      </c>
      <c r="AK135" s="959" t="s">
        <v>5359</v>
      </c>
      <c r="AL135" s="960" t="s">
        <v>5930</v>
      </c>
      <c r="AM135" s="997">
        <f>_xll.GetCtData("COAMOUNT","CONSAMOUNT",$A$1:$A$7,$D135,AM$10,"#")</f>
        <v>0</v>
      </c>
    </row>
    <row r="136" spans="1:39">
      <c r="A136" s="427" t="s">
        <v>6610</v>
      </c>
      <c r="B136" s="427" t="s">
        <v>6610</v>
      </c>
      <c r="D136" s="986" t="s">
        <v>9751</v>
      </c>
      <c r="E136" s="949" t="s">
        <v>2912</v>
      </c>
      <c r="F136" s="950">
        <v>9</v>
      </c>
      <c r="G136" s="950"/>
      <c r="H136" s="950"/>
      <c r="I136" s="950"/>
      <c r="J136" s="950"/>
      <c r="K136" s="950"/>
      <c r="L136" s="950"/>
      <c r="M136" s="950"/>
      <c r="N136" s="950"/>
      <c r="O136" s="950"/>
      <c r="P136" s="986" t="s">
        <v>9752</v>
      </c>
      <c r="Q136" s="986"/>
      <c r="R136" s="986" t="s">
        <v>9752</v>
      </c>
      <c r="S136" s="986" t="s">
        <v>9753</v>
      </c>
      <c r="T136" s="987">
        <f t="shared" si="6"/>
        <v>92</v>
      </c>
      <c r="U136" s="986" t="s">
        <v>9753</v>
      </c>
      <c r="V136" s="987">
        <f t="shared" si="7"/>
        <v>92</v>
      </c>
      <c r="W136" s="986" t="s">
        <v>9754</v>
      </c>
      <c r="X136" s="987">
        <f t="shared" si="8"/>
        <v>29</v>
      </c>
      <c r="Y136" s="988" t="s">
        <v>9755</v>
      </c>
      <c r="Z136" s="987">
        <f t="shared" si="9"/>
        <v>117</v>
      </c>
      <c r="AA136" s="988" t="s">
        <v>9756</v>
      </c>
      <c r="AB136" s="987">
        <f t="shared" si="10"/>
        <v>116</v>
      </c>
      <c r="AC136" s="988" t="s">
        <v>9757</v>
      </c>
      <c r="AD136" s="987">
        <f t="shared" si="11"/>
        <v>29</v>
      </c>
      <c r="AE136" s="987"/>
      <c r="AF136" s="987"/>
      <c r="AG136" s="999"/>
      <c r="AH136" s="1000"/>
      <c r="AI136" s="530" t="s">
        <v>2969</v>
      </c>
      <c r="AJ136" s="958">
        <v>1</v>
      </c>
      <c r="AK136" s="959"/>
      <c r="AL136" s="960" t="s">
        <v>5930</v>
      </c>
      <c r="AM136" s="989">
        <f>_xll.GetCtData("COAMOUNT","CONSAMOUNT",$A$1:$A$7,$D136,AM$10,"#-27527")</f>
        <v>-27527</v>
      </c>
    </row>
    <row r="137" spans="1:39">
      <c r="A137" s="427" t="s">
        <v>6610</v>
      </c>
      <c r="B137" s="427" t="s">
        <v>6610</v>
      </c>
      <c r="D137" s="990" t="s">
        <v>9758</v>
      </c>
      <c r="E137" s="949" t="s">
        <v>2930</v>
      </c>
      <c r="F137" s="950">
        <v>10</v>
      </c>
      <c r="G137" s="950"/>
      <c r="H137" s="950"/>
      <c r="I137" s="950"/>
      <c r="J137" s="950"/>
      <c r="K137" s="950"/>
      <c r="L137" s="950"/>
      <c r="M137" s="950"/>
      <c r="N137" s="950"/>
      <c r="O137" s="950"/>
      <c r="P137" s="950"/>
      <c r="Q137" s="991"/>
      <c r="R137" s="990" t="s">
        <v>9759</v>
      </c>
      <c r="S137" s="992" t="s">
        <v>9753</v>
      </c>
      <c r="T137" s="993">
        <f t="shared" si="6"/>
        <v>92</v>
      </c>
      <c r="U137" s="992" t="s">
        <v>9753</v>
      </c>
      <c r="V137" s="993">
        <f t="shared" si="7"/>
        <v>92</v>
      </c>
      <c r="W137" s="992" t="s">
        <v>9754</v>
      </c>
      <c r="X137" s="993">
        <f t="shared" si="8"/>
        <v>29</v>
      </c>
      <c r="Y137" s="994" t="s">
        <v>9755</v>
      </c>
      <c r="Z137" s="993">
        <f t="shared" si="9"/>
        <v>117</v>
      </c>
      <c r="AA137" s="994" t="s">
        <v>9756</v>
      </c>
      <c r="AB137" s="993">
        <f t="shared" si="10"/>
        <v>116</v>
      </c>
      <c r="AC137" s="994" t="s">
        <v>9757</v>
      </c>
      <c r="AD137" s="993">
        <f t="shared" si="11"/>
        <v>29</v>
      </c>
      <c r="AE137" s="518" t="s">
        <v>9760</v>
      </c>
      <c r="AF137" s="519" t="s">
        <v>9761</v>
      </c>
      <c r="AG137" s="995" t="s">
        <v>9179</v>
      </c>
      <c r="AH137" s="996" t="s">
        <v>169</v>
      </c>
      <c r="AI137" s="530" t="s">
        <v>2969</v>
      </c>
      <c r="AJ137" s="958">
        <v>1</v>
      </c>
      <c r="AK137" s="959" t="s">
        <v>5359</v>
      </c>
      <c r="AL137" s="960" t="s">
        <v>5930</v>
      </c>
      <c r="AM137" s="997">
        <f>_xll.GetCtData("COAMOUNT","CONSAMOUNT",$A$1:$A$7,$D137,AM$10,"#-27527")</f>
        <v>-27527</v>
      </c>
    </row>
    <row r="138" spans="1:39">
      <c r="A138" s="427" t="s">
        <v>6610</v>
      </c>
      <c r="B138" s="427" t="s">
        <v>6610</v>
      </c>
      <c r="D138" s="986" t="s">
        <v>9762</v>
      </c>
      <c r="E138" s="949" t="s">
        <v>2912</v>
      </c>
      <c r="F138" s="950">
        <v>9</v>
      </c>
      <c r="G138" s="950"/>
      <c r="H138" s="950"/>
      <c r="I138" s="950"/>
      <c r="J138" s="950"/>
      <c r="K138" s="950"/>
      <c r="L138" s="950"/>
      <c r="M138" s="950"/>
      <c r="N138" s="950"/>
      <c r="O138" s="950"/>
      <c r="P138" s="986" t="s">
        <v>9763</v>
      </c>
      <c r="Q138" s="986"/>
      <c r="R138" s="986" t="s">
        <v>9763</v>
      </c>
      <c r="S138" s="986" t="s">
        <v>9764</v>
      </c>
      <c r="T138" s="987">
        <v>74</v>
      </c>
      <c r="U138" s="986" t="s">
        <v>9764</v>
      </c>
      <c r="V138" s="987">
        <f t="shared" si="7"/>
        <v>74</v>
      </c>
      <c r="W138" s="986" t="s">
        <v>9765</v>
      </c>
      <c r="X138" s="987">
        <f t="shared" si="8"/>
        <v>23</v>
      </c>
      <c r="Y138" s="988" t="s">
        <v>9766</v>
      </c>
      <c r="Z138" s="987">
        <f t="shared" si="9"/>
        <v>64</v>
      </c>
      <c r="AA138" s="988" t="s">
        <v>9767</v>
      </c>
      <c r="AB138" s="987">
        <f t="shared" si="10"/>
        <v>63</v>
      </c>
      <c r="AC138" s="988" t="s">
        <v>9768</v>
      </c>
      <c r="AD138" s="987">
        <f t="shared" si="11"/>
        <v>27</v>
      </c>
      <c r="AE138" s="987"/>
      <c r="AF138" s="987"/>
      <c r="AG138" s="999"/>
      <c r="AH138" s="1000"/>
      <c r="AI138" s="530" t="s">
        <v>2969</v>
      </c>
      <c r="AJ138" s="958">
        <v>1</v>
      </c>
      <c r="AK138" s="959"/>
      <c r="AL138" s="960" t="s">
        <v>5930</v>
      </c>
      <c r="AM138" s="989">
        <f>_xll.GetCtData("COAMOUNT","CONSAMOUNT",$A$1:$A$7,$D138,AM$10,"#2445")</f>
        <v>2445</v>
      </c>
    </row>
    <row r="139" spans="1:39">
      <c r="A139" s="427" t="s">
        <v>6610</v>
      </c>
      <c r="B139" s="427" t="s">
        <v>6610</v>
      </c>
      <c r="D139" s="990" t="s">
        <v>9769</v>
      </c>
      <c r="E139" s="949" t="s">
        <v>2930</v>
      </c>
      <c r="F139" s="950">
        <v>10</v>
      </c>
      <c r="G139" s="950"/>
      <c r="H139" s="950"/>
      <c r="I139" s="950"/>
      <c r="J139" s="950"/>
      <c r="K139" s="950"/>
      <c r="L139" s="950"/>
      <c r="M139" s="950"/>
      <c r="N139" s="950"/>
      <c r="O139" s="950"/>
      <c r="P139" s="950"/>
      <c r="Q139" s="991"/>
      <c r="R139" s="990" t="s">
        <v>9770</v>
      </c>
      <c r="S139" s="992" t="s">
        <v>9771</v>
      </c>
      <c r="T139" s="993">
        <v>147</v>
      </c>
      <c r="U139" s="992" t="s">
        <v>9772</v>
      </c>
      <c r="V139" s="993">
        <f t="shared" si="7"/>
        <v>118</v>
      </c>
      <c r="W139" s="992" t="s">
        <v>9773</v>
      </c>
      <c r="X139" s="993">
        <f t="shared" si="8"/>
        <v>30</v>
      </c>
      <c r="Y139" s="994" t="s">
        <v>9774</v>
      </c>
      <c r="Z139" s="993">
        <f t="shared" si="9"/>
        <v>125</v>
      </c>
      <c r="AA139" s="994" t="s">
        <v>9775</v>
      </c>
      <c r="AB139" s="993">
        <f t="shared" si="10"/>
        <v>118</v>
      </c>
      <c r="AC139" s="994" t="s">
        <v>9776</v>
      </c>
      <c r="AD139" s="993">
        <f t="shared" si="11"/>
        <v>30</v>
      </c>
      <c r="AE139" s="518" t="s">
        <v>9777</v>
      </c>
      <c r="AF139" s="519" t="s">
        <v>9778</v>
      </c>
      <c r="AG139" s="995" t="s">
        <v>9179</v>
      </c>
      <c r="AH139" s="996" t="s">
        <v>169</v>
      </c>
      <c r="AI139" s="530" t="s">
        <v>2969</v>
      </c>
      <c r="AJ139" s="958">
        <v>1</v>
      </c>
      <c r="AK139" s="959" t="s">
        <v>5359</v>
      </c>
      <c r="AL139" s="960" t="s">
        <v>5930</v>
      </c>
      <c r="AM139" s="997">
        <f>_xll.GetCtData("COAMOUNT","CONSAMOUNT",$A$1:$A$7,$D139,AM$10,"#2445")</f>
        <v>2445</v>
      </c>
    </row>
    <row r="140" spans="1:39">
      <c r="A140" s="427" t="s">
        <v>6610</v>
      </c>
      <c r="B140" s="427" t="s">
        <v>6610</v>
      </c>
      <c r="D140" s="990" t="s">
        <v>2821</v>
      </c>
      <c r="E140" s="949" t="s">
        <v>2930</v>
      </c>
      <c r="F140" s="950">
        <v>10</v>
      </c>
      <c r="G140" s="950"/>
      <c r="H140" s="950"/>
      <c r="I140" s="950"/>
      <c r="J140" s="950"/>
      <c r="K140" s="950"/>
      <c r="L140" s="950"/>
      <c r="M140" s="950"/>
      <c r="N140" s="950"/>
      <c r="O140" s="950"/>
      <c r="P140" s="950"/>
      <c r="Q140" s="991"/>
      <c r="R140" s="990" t="s">
        <v>1044</v>
      </c>
      <c r="S140" s="992" t="s">
        <v>1045</v>
      </c>
      <c r="T140" s="993">
        <v>108</v>
      </c>
      <c r="U140" s="992" t="s">
        <v>1045</v>
      </c>
      <c r="V140" s="993">
        <f t="shared" si="7"/>
        <v>108</v>
      </c>
      <c r="W140" s="992" t="s">
        <v>9779</v>
      </c>
      <c r="X140" s="993">
        <f t="shared" si="8"/>
        <v>29</v>
      </c>
      <c r="Y140" s="994" t="s">
        <v>9780</v>
      </c>
      <c r="Z140" s="993">
        <f t="shared" si="9"/>
        <v>113</v>
      </c>
      <c r="AA140" s="994" t="s">
        <v>9781</v>
      </c>
      <c r="AB140" s="993">
        <f t="shared" si="10"/>
        <v>112</v>
      </c>
      <c r="AC140" s="994" t="s">
        <v>9782</v>
      </c>
      <c r="AD140" s="993">
        <f t="shared" si="11"/>
        <v>30</v>
      </c>
      <c r="AE140" s="518" t="s">
        <v>9783</v>
      </c>
      <c r="AF140" s="519" t="s">
        <v>9784</v>
      </c>
      <c r="AG140" s="995" t="s">
        <v>9179</v>
      </c>
      <c r="AH140" s="996" t="s">
        <v>169</v>
      </c>
      <c r="AI140" s="530" t="s">
        <v>2969</v>
      </c>
      <c r="AJ140" s="958">
        <v>1</v>
      </c>
      <c r="AK140" s="959" t="s">
        <v>5359</v>
      </c>
      <c r="AL140" s="960" t="s">
        <v>9785</v>
      </c>
      <c r="AM140" s="997">
        <f>_xll.GetCtData("COAMOUNT","CONSAMOUNT",$A$1:$A$7,$D140,AM$10,"#")</f>
        <v>0</v>
      </c>
    </row>
    <row r="141" spans="1:39">
      <c r="A141" s="427">
        <v>3</v>
      </c>
      <c r="B141" s="427" t="s">
        <v>9153</v>
      </c>
      <c r="D141" s="986" t="s">
        <v>9786</v>
      </c>
      <c r="E141" s="949" t="s">
        <v>2912</v>
      </c>
      <c r="F141" s="950">
        <v>9</v>
      </c>
      <c r="G141" s="950"/>
      <c r="H141" s="950"/>
      <c r="I141" s="950"/>
      <c r="J141" s="950"/>
      <c r="K141" s="950"/>
      <c r="L141" s="950"/>
      <c r="M141" s="950"/>
      <c r="N141" s="950"/>
      <c r="O141" s="950"/>
      <c r="P141" s="986" t="s">
        <v>9787</v>
      </c>
      <c r="Q141" s="986"/>
      <c r="R141" s="986" t="s">
        <v>9787</v>
      </c>
      <c r="S141" s="986" t="s">
        <v>9788</v>
      </c>
      <c r="T141" s="987">
        <v>101</v>
      </c>
      <c r="U141" s="986" t="s">
        <v>9789</v>
      </c>
      <c r="V141" s="987">
        <f t="shared" si="7"/>
        <v>100</v>
      </c>
      <c r="W141" s="986" t="s">
        <v>9790</v>
      </c>
      <c r="X141" s="987">
        <f t="shared" si="8"/>
        <v>28</v>
      </c>
      <c r="Y141" s="988" t="s">
        <v>9791</v>
      </c>
      <c r="Z141" s="987">
        <f t="shared" si="9"/>
        <v>85</v>
      </c>
      <c r="AA141" s="988" t="s">
        <v>9792</v>
      </c>
      <c r="AB141" s="987">
        <f t="shared" si="10"/>
        <v>83</v>
      </c>
      <c r="AC141" s="988" t="s">
        <v>9793</v>
      </c>
      <c r="AD141" s="987">
        <f t="shared" si="11"/>
        <v>30</v>
      </c>
      <c r="AE141" s="987"/>
      <c r="AF141" s="987"/>
      <c r="AG141" s="999"/>
      <c r="AH141" s="1000"/>
      <c r="AI141" s="530" t="s">
        <v>2969</v>
      </c>
      <c r="AJ141" s="958">
        <v>1</v>
      </c>
      <c r="AK141" s="959"/>
      <c r="AL141" s="960" t="s">
        <v>5930</v>
      </c>
      <c r="AM141" s="989">
        <f>_xll.GetCtData("COAMOUNT","CONSAMOUNT",$A$1:$A$7,$D141,AM$10,"#1228")</f>
        <v>1228</v>
      </c>
    </row>
    <row r="142" spans="1:39">
      <c r="A142" s="427">
        <v>3</v>
      </c>
      <c r="B142" s="427" t="s">
        <v>9153</v>
      </c>
      <c r="D142" s="990" t="s">
        <v>9794</v>
      </c>
      <c r="E142" s="949" t="s">
        <v>2930</v>
      </c>
      <c r="F142" s="950">
        <v>10</v>
      </c>
      <c r="G142" s="950"/>
      <c r="H142" s="950"/>
      <c r="I142" s="950"/>
      <c r="J142" s="950"/>
      <c r="K142" s="950"/>
      <c r="L142" s="950"/>
      <c r="M142" s="950"/>
      <c r="N142" s="950"/>
      <c r="O142" s="950"/>
      <c r="P142" s="950"/>
      <c r="Q142" s="991"/>
      <c r="R142" s="990" t="s">
        <v>9795</v>
      </c>
      <c r="S142" s="992" t="s">
        <v>9788</v>
      </c>
      <c r="T142" s="993">
        <v>101</v>
      </c>
      <c r="U142" s="992" t="s">
        <v>9788</v>
      </c>
      <c r="V142" s="993">
        <f t="shared" si="7"/>
        <v>99</v>
      </c>
      <c r="W142" s="992" t="s">
        <v>9790</v>
      </c>
      <c r="X142" s="993">
        <f t="shared" si="8"/>
        <v>28</v>
      </c>
      <c r="Y142" s="994" t="s">
        <v>9791</v>
      </c>
      <c r="Z142" s="993">
        <f t="shared" si="9"/>
        <v>85</v>
      </c>
      <c r="AA142" s="994" t="s">
        <v>9792</v>
      </c>
      <c r="AB142" s="993">
        <f t="shared" si="10"/>
        <v>83</v>
      </c>
      <c r="AC142" s="994" t="s">
        <v>9793</v>
      </c>
      <c r="AD142" s="993">
        <f t="shared" si="11"/>
        <v>30</v>
      </c>
      <c r="AE142" s="518" t="s">
        <v>9796</v>
      </c>
      <c r="AF142" s="519" t="s">
        <v>9797</v>
      </c>
      <c r="AG142" s="995" t="s">
        <v>9179</v>
      </c>
      <c r="AH142" s="996" t="s">
        <v>169</v>
      </c>
      <c r="AI142" s="530" t="s">
        <v>2969</v>
      </c>
      <c r="AJ142" s="958">
        <v>1</v>
      </c>
      <c r="AK142" s="959"/>
      <c r="AL142" s="960" t="s">
        <v>5930</v>
      </c>
      <c r="AM142" s="997">
        <f>_xll.GetCtData("COAMOUNT","CONSAMOUNT",$A$1:$A$7,$D142,AM$10,"#1228")</f>
        <v>1228</v>
      </c>
    </row>
    <row r="143" spans="1:39">
      <c r="B143" s="1010">
        <v>44753</v>
      </c>
      <c r="D143" s="986" t="s">
        <v>9798</v>
      </c>
      <c r="E143" s="949" t="s">
        <v>2912</v>
      </c>
      <c r="F143" s="950">
        <v>9</v>
      </c>
      <c r="G143" s="950"/>
      <c r="H143" s="950"/>
      <c r="I143" s="950"/>
      <c r="J143" s="950"/>
      <c r="K143" s="950"/>
      <c r="L143" s="950"/>
      <c r="M143" s="950"/>
      <c r="N143" s="950"/>
      <c r="O143" s="950"/>
      <c r="P143" s="986" t="s">
        <v>9799</v>
      </c>
      <c r="Q143" s="986"/>
      <c r="R143" s="986" t="s">
        <v>9799</v>
      </c>
      <c r="S143" s="986" t="s">
        <v>9800</v>
      </c>
      <c r="T143" s="987">
        <f>LEN(S143)</f>
        <v>95</v>
      </c>
      <c r="U143" s="986" t="s">
        <v>9800</v>
      </c>
      <c r="V143" s="987">
        <f>LEN(U143)</f>
        <v>95</v>
      </c>
      <c r="W143" s="986" t="s">
        <v>9801</v>
      </c>
      <c r="X143" s="987">
        <f>LEN(W143)</f>
        <v>29</v>
      </c>
      <c r="Y143" s="988" t="s">
        <v>9802</v>
      </c>
      <c r="Z143" s="987">
        <f>LEN(Y143)</f>
        <v>79</v>
      </c>
      <c r="AA143" s="988" t="s">
        <v>9802</v>
      </c>
      <c r="AB143" s="987">
        <f>LEN(AA143)</f>
        <v>79</v>
      </c>
      <c r="AC143" s="988" t="s">
        <v>9803</v>
      </c>
      <c r="AD143" s="987">
        <f>LEN(AC143)</f>
        <v>30</v>
      </c>
      <c r="AE143" s="987"/>
      <c r="AF143" s="987"/>
      <c r="AG143" s="999"/>
      <c r="AH143" s="1000"/>
      <c r="AI143" s="530" t="s">
        <v>2969</v>
      </c>
      <c r="AJ143" s="958">
        <v>1</v>
      </c>
      <c r="AK143" s="959"/>
      <c r="AL143" s="960" t="s">
        <v>9804</v>
      </c>
      <c r="AM143" s="989">
        <f>_xll.GetCtData("COAMOUNT","CONSAMOUNT",$A$1:$A$7,$D143,AM$10,"#68780")</f>
        <v>68780</v>
      </c>
    </row>
    <row r="144" spans="1:39">
      <c r="B144" s="1010">
        <v>44753</v>
      </c>
      <c r="D144" s="990" t="s">
        <v>9805</v>
      </c>
      <c r="E144" s="949" t="s">
        <v>2930</v>
      </c>
      <c r="F144" s="950">
        <v>10</v>
      </c>
      <c r="G144" s="950"/>
      <c r="H144" s="950"/>
      <c r="I144" s="950"/>
      <c r="J144" s="950"/>
      <c r="K144" s="950"/>
      <c r="L144" s="950"/>
      <c r="M144" s="950"/>
      <c r="N144" s="950"/>
      <c r="O144" s="950"/>
      <c r="P144" s="950"/>
      <c r="Q144" s="991"/>
      <c r="R144" s="990" t="s">
        <v>9806</v>
      </c>
      <c r="S144" s="992" t="s">
        <v>9800</v>
      </c>
      <c r="T144" s="993">
        <f>LEN(S144)</f>
        <v>95</v>
      </c>
      <c r="U144" s="992" t="s">
        <v>9800</v>
      </c>
      <c r="V144" s="993">
        <f>LEN(U144)</f>
        <v>95</v>
      </c>
      <c r="W144" s="992" t="s">
        <v>9801</v>
      </c>
      <c r="X144" s="993">
        <f>LEN(W144)</f>
        <v>29</v>
      </c>
      <c r="Y144" s="994" t="s">
        <v>9802</v>
      </c>
      <c r="Z144" s="993">
        <f>LEN(Y144)</f>
        <v>79</v>
      </c>
      <c r="AA144" s="994" t="s">
        <v>9802</v>
      </c>
      <c r="AB144" s="993">
        <f>LEN(AA144)</f>
        <v>79</v>
      </c>
      <c r="AC144" s="994" t="s">
        <v>9803</v>
      </c>
      <c r="AD144" s="993">
        <f>LEN(AC144)</f>
        <v>30</v>
      </c>
      <c r="AE144" s="662"/>
      <c r="AF144" s="663"/>
      <c r="AG144" s="995" t="s">
        <v>9179</v>
      </c>
      <c r="AH144" s="996" t="s">
        <v>169</v>
      </c>
      <c r="AI144" s="530" t="s">
        <v>2969</v>
      </c>
      <c r="AJ144" s="958">
        <v>1</v>
      </c>
      <c r="AK144" s="959" t="s">
        <v>5359</v>
      </c>
      <c r="AL144" s="960" t="s">
        <v>9804</v>
      </c>
      <c r="AM144" s="997">
        <f>_xll.GetCtData("COAMOUNT","CONSAMOUNT",$A$1:$A$7,$D144,AM$10,"#68780")</f>
        <v>68780</v>
      </c>
    </row>
    <row r="145" spans="1:41">
      <c r="A145" s="427" t="s">
        <v>6610</v>
      </c>
      <c r="B145" s="427" t="s">
        <v>6610</v>
      </c>
      <c r="D145" s="981" t="s">
        <v>9807</v>
      </c>
      <c r="E145" s="949" t="s">
        <v>2912</v>
      </c>
      <c r="F145" s="950">
        <v>8</v>
      </c>
      <c r="G145" s="950"/>
      <c r="H145" s="950"/>
      <c r="I145" s="950"/>
      <c r="J145" s="950"/>
      <c r="K145" s="950"/>
      <c r="L145" s="950"/>
      <c r="M145" s="950"/>
      <c r="N145" s="950"/>
      <c r="O145" s="981" t="s">
        <v>9808</v>
      </c>
      <c r="P145" s="982"/>
      <c r="Q145" s="981"/>
      <c r="R145" s="981" t="s">
        <v>9808</v>
      </c>
      <c r="S145" s="981" t="s">
        <v>9809</v>
      </c>
      <c r="T145" s="1002">
        <f t="shared" ref="T145:T151" si="12">LEN(S145)</f>
        <v>55</v>
      </c>
      <c r="U145" s="981" t="s">
        <v>9809</v>
      </c>
      <c r="V145" s="1002">
        <f t="shared" si="7"/>
        <v>55</v>
      </c>
      <c r="W145" s="981" t="s">
        <v>9810</v>
      </c>
      <c r="X145" s="1002">
        <f t="shared" si="8"/>
        <v>21</v>
      </c>
      <c r="Y145" s="1003" t="s">
        <v>9811</v>
      </c>
      <c r="Z145" s="1002">
        <f t="shared" si="9"/>
        <v>47</v>
      </c>
      <c r="AA145" s="1003" t="s">
        <v>9812</v>
      </c>
      <c r="AB145" s="1002">
        <f t="shared" si="10"/>
        <v>46</v>
      </c>
      <c r="AC145" s="1003" t="s">
        <v>9813</v>
      </c>
      <c r="AD145" s="1002">
        <f t="shared" si="11"/>
        <v>25</v>
      </c>
      <c r="AE145" s="1002"/>
      <c r="AF145" s="1002"/>
      <c r="AG145" s="995"/>
      <c r="AH145" s="996"/>
      <c r="AI145" s="530" t="s">
        <v>2969</v>
      </c>
      <c r="AJ145" s="958">
        <v>1</v>
      </c>
      <c r="AK145" s="959"/>
      <c r="AL145" s="960" t="s">
        <v>5930</v>
      </c>
      <c r="AM145" s="985">
        <f>_xll.GetCtData("COAMOUNT","CONSAMOUNT",$A$1:$A$7,$D145,AM$10,"#64666")</f>
        <v>64666</v>
      </c>
    </row>
    <row r="146" spans="1:41">
      <c r="A146" s="427" t="s">
        <v>6610</v>
      </c>
      <c r="B146" s="427" t="s">
        <v>6610</v>
      </c>
      <c r="D146" s="986" t="s">
        <v>9814</v>
      </c>
      <c r="E146" s="949" t="s">
        <v>2912</v>
      </c>
      <c r="F146" s="950">
        <v>9</v>
      </c>
      <c r="G146" s="950"/>
      <c r="H146" s="950"/>
      <c r="I146" s="950"/>
      <c r="J146" s="950"/>
      <c r="K146" s="950"/>
      <c r="L146" s="950"/>
      <c r="M146" s="950"/>
      <c r="N146" s="950"/>
      <c r="O146" s="950"/>
      <c r="P146" s="986" t="s">
        <v>9815</v>
      </c>
      <c r="Q146" s="986"/>
      <c r="R146" s="986" t="s">
        <v>9815</v>
      </c>
      <c r="S146" s="986" t="s">
        <v>9816</v>
      </c>
      <c r="T146" s="987">
        <f t="shared" si="12"/>
        <v>90</v>
      </c>
      <c r="U146" s="986" t="s">
        <v>9816</v>
      </c>
      <c r="V146" s="987">
        <f t="shared" si="7"/>
        <v>90</v>
      </c>
      <c r="W146" s="986" t="s">
        <v>9817</v>
      </c>
      <c r="X146" s="987">
        <f t="shared" si="8"/>
        <v>30</v>
      </c>
      <c r="Y146" s="988" t="s">
        <v>9818</v>
      </c>
      <c r="Z146" s="987">
        <f t="shared" si="9"/>
        <v>84</v>
      </c>
      <c r="AA146" s="988" t="s">
        <v>9819</v>
      </c>
      <c r="AB146" s="987">
        <f t="shared" si="10"/>
        <v>83</v>
      </c>
      <c r="AC146" s="988" t="s">
        <v>9820</v>
      </c>
      <c r="AD146" s="987">
        <f t="shared" si="11"/>
        <v>30</v>
      </c>
      <c r="AE146" s="987"/>
      <c r="AF146" s="987"/>
      <c r="AG146" s="999"/>
      <c r="AH146" s="1000"/>
      <c r="AI146" s="530" t="s">
        <v>2969</v>
      </c>
      <c r="AJ146" s="958">
        <v>1</v>
      </c>
      <c r="AK146" s="959"/>
      <c r="AL146" s="960" t="s">
        <v>5930</v>
      </c>
      <c r="AM146" s="989">
        <f>_xll.GetCtData("COAMOUNT","CONSAMOUNT",$A$1:$A$7,$D146,AM$10,"#63822")</f>
        <v>63822</v>
      </c>
    </row>
    <row r="147" spans="1:41">
      <c r="A147" s="427" t="s">
        <v>6610</v>
      </c>
      <c r="B147" s="427" t="s">
        <v>6610</v>
      </c>
      <c r="D147" s="990" t="s">
        <v>2808</v>
      </c>
      <c r="E147" s="949" t="s">
        <v>2930</v>
      </c>
      <c r="F147" s="950">
        <v>10</v>
      </c>
      <c r="G147" s="950"/>
      <c r="H147" s="950"/>
      <c r="I147" s="950"/>
      <c r="J147" s="950"/>
      <c r="K147" s="950"/>
      <c r="L147" s="950"/>
      <c r="M147" s="950"/>
      <c r="N147" s="950"/>
      <c r="O147" s="950"/>
      <c r="P147" s="950"/>
      <c r="Q147" s="991"/>
      <c r="R147" s="990" t="s">
        <v>1507</v>
      </c>
      <c r="S147" s="992" t="s">
        <v>1508</v>
      </c>
      <c r="T147" s="993">
        <f t="shared" si="12"/>
        <v>119</v>
      </c>
      <c r="U147" s="992" t="s">
        <v>1508</v>
      </c>
      <c r="V147" s="993">
        <f t="shared" si="7"/>
        <v>119</v>
      </c>
      <c r="W147" s="992" t="s">
        <v>9821</v>
      </c>
      <c r="X147" s="993">
        <f t="shared" si="8"/>
        <v>30</v>
      </c>
      <c r="Y147" s="994" t="s">
        <v>9822</v>
      </c>
      <c r="Z147" s="993">
        <f t="shared" si="9"/>
        <v>108</v>
      </c>
      <c r="AA147" s="994" t="s">
        <v>9823</v>
      </c>
      <c r="AB147" s="993">
        <f t="shared" si="10"/>
        <v>107</v>
      </c>
      <c r="AC147" s="994" t="s">
        <v>9824</v>
      </c>
      <c r="AD147" s="993">
        <f t="shared" si="11"/>
        <v>30</v>
      </c>
      <c r="AE147" s="518" t="s">
        <v>9737</v>
      </c>
      <c r="AF147" s="519" t="s">
        <v>9738</v>
      </c>
      <c r="AG147" s="995" t="s">
        <v>9179</v>
      </c>
      <c r="AH147" s="996" t="s">
        <v>169</v>
      </c>
      <c r="AI147" s="530" t="s">
        <v>2969</v>
      </c>
      <c r="AJ147" s="958">
        <v>1</v>
      </c>
      <c r="AK147" s="959" t="s">
        <v>5359</v>
      </c>
      <c r="AL147" s="960" t="s">
        <v>5930</v>
      </c>
      <c r="AM147" s="997">
        <f>_xll.GetCtData("COAMOUNT","CONSAMOUNT",$A$1:$A$7,$D147,AM$10,"#63822")</f>
        <v>63822</v>
      </c>
    </row>
    <row r="148" spans="1:41">
      <c r="A148" s="427" t="s">
        <v>6610</v>
      </c>
      <c r="B148" s="427" t="s">
        <v>6610</v>
      </c>
      <c r="D148" s="990" t="s">
        <v>2809</v>
      </c>
      <c r="E148" s="949" t="s">
        <v>2930</v>
      </c>
      <c r="F148" s="950">
        <v>10</v>
      </c>
      <c r="G148" s="950"/>
      <c r="H148" s="950"/>
      <c r="I148" s="950"/>
      <c r="J148" s="950"/>
      <c r="K148" s="950"/>
      <c r="L148" s="950"/>
      <c r="M148" s="950"/>
      <c r="N148" s="950"/>
      <c r="O148" s="950"/>
      <c r="P148" s="950"/>
      <c r="Q148" s="991"/>
      <c r="R148" s="990" t="s">
        <v>1509</v>
      </c>
      <c r="S148" s="992" t="s">
        <v>1510</v>
      </c>
      <c r="T148" s="993">
        <f t="shared" si="12"/>
        <v>104</v>
      </c>
      <c r="U148" s="992" t="s">
        <v>1510</v>
      </c>
      <c r="V148" s="993">
        <f t="shared" si="7"/>
        <v>104</v>
      </c>
      <c r="W148" s="992" t="s">
        <v>9825</v>
      </c>
      <c r="X148" s="993">
        <f t="shared" si="8"/>
        <v>26</v>
      </c>
      <c r="Y148" s="994" t="s">
        <v>9826</v>
      </c>
      <c r="Z148" s="993">
        <f t="shared" si="9"/>
        <v>122</v>
      </c>
      <c r="AA148" s="994" t="s">
        <v>9827</v>
      </c>
      <c r="AB148" s="993">
        <f t="shared" si="10"/>
        <v>115</v>
      </c>
      <c r="AC148" s="994" t="s">
        <v>9828</v>
      </c>
      <c r="AD148" s="993">
        <f t="shared" si="11"/>
        <v>28</v>
      </c>
      <c r="AE148" s="518" t="s">
        <v>9743</v>
      </c>
      <c r="AF148" s="519" t="s">
        <v>9744</v>
      </c>
      <c r="AG148" s="995" t="s">
        <v>9179</v>
      </c>
      <c r="AH148" s="996" t="s">
        <v>169</v>
      </c>
      <c r="AI148" s="530" t="s">
        <v>2969</v>
      </c>
      <c r="AJ148" s="958">
        <v>1</v>
      </c>
      <c r="AK148" s="959" t="s">
        <v>5359</v>
      </c>
      <c r="AL148" s="960" t="s">
        <v>5930</v>
      </c>
      <c r="AM148" s="997">
        <f>_xll.GetCtData("COAMOUNT","CONSAMOUNT",$A$1:$A$7,$D148,AM$10,"#")</f>
        <v>0</v>
      </c>
    </row>
    <row r="149" spans="1:41">
      <c r="A149" s="427" t="s">
        <v>6610</v>
      </c>
      <c r="B149" s="427" t="s">
        <v>6610</v>
      </c>
      <c r="D149" s="990" t="s">
        <v>2810</v>
      </c>
      <c r="E149" s="949" t="s">
        <v>2930</v>
      </c>
      <c r="F149" s="950">
        <v>10</v>
      </c>
      <c r="G149" s="950"/>
      <c r="H149" s="950"/>
      <c r="I149" s="950"/>
      <c r="J149" s="950"/>
      <c r="K149" s="950"/>
      <c r="L149" s="950"/>
      <c r="M149" s="950"/>
      <c r="N149" s="950"/>
      <c r="O149" s="950"/>
      <c r="P149" s="950"/>
      <c r="Q149" s="991"/>
      <c r="R149" s="990" t="s">
        <v>1761</v>
      </c>
      <c r="S149" s="992" t="s">
        <v>1762</v>
      </c>
      <c r="T149" s="993">
        <f t="shared" si="12"/>
        <v>106</v>
      </c>
      <c r="U149" s="992" t="s">
        <v>1762</v>
      </c>
      <c r="V149" s="993">
        <f t="shared" si="7"/>
        <v>106</v>
      </c>
      <c r="W149" s="992" t="s">
        <v>9829</v>
      </c>
      <c r="X149" s="993">
        <f t="shared" si="8"/>
        <v>30</v>
      </c>
      <c r="Y149" s="994" t="s">
        <v>9830</v>
      </c>
      <c r="Z149" s="993">
        <f t="shared" si="9"/>
        <v>114</v>
      </c>
      <c r="AA149" s="994" t="s">
        <v>9831</v>
      </c>
      <c r="AB149" s="993">
        <f t="shared" si="10"/>
        <v>113</v>
      </c>
      <c r="AC149" s="994" t="s">
        <v>9832</v>
      </c>
      <c r="AD149" s="993">
        <f t="shared" si="11"/>
        <v>30</v>
      </c>
      <c r="AE149" s="518" t="s">
        <v>9749</v>
      </c>
      <c r="AF149" s="519" t="s">
        <v>9750</v>
      </c>
      <c r="AG149" s="995" t="s">
        <v>9179</v>
      </c>
      <c r="AH149" s="996" t="s">
        <v>169</v>
      </c>
      <c r="AI149" s="530" t="s">
        <v>2969</v>
      </c>
      <c r="AJ149" s="958">
        <v>1</v>
      </c>
      <c r="AK149" s="959" t="s">
        <v>5359</v>
      </c>
      <c r="AL149" s="960" t="s">
        <v>5930</v>
      </c>
      <c r="AM149" s="997">
        <f>_xll.GetCtData("COAMOUNT","CONSAMOUNT",$A$1:$A$7,$D149,AM$10,"#")</f>
        <v>0</v>
      </c>
    </row>
    <row r="150" spans="1:41">
      <c r="A150" s="427" t="s">
        <v>6610</v>
      </c>
      <c r="B150" s="427" t="s">
        <v>6610</v>
      </c>
      <c r="D150" s="986" t="s">
        <v>9833</v>
      </c>
      <c r="E150" s="949" t="s">
        <v>2912</v>
      </c>
      <c r="F150" s="950">
        <v>9</v>
      </c>
      <c r="G150" s="950"/>
      <c r="H150" s="950"/>
      <c r="I150" s="950"/>
      <c r="J150" s="950"/>
      <c r="K150" s="950"/>
      <c r="L150" s="950"/>
      <c r="M150" s="950"/>
      <c r="N150" s="950"/>
      <c r="O150" s="950"/>
      <c r="P150" s="986" t="s">
        <v>9834</v>
      </c>
      <c r="Q150" s="986"/>
      <c r="R150" s="986" t="s">
        <v>9834</v>
      </c>
      <c r="S150" s="986" t="s">
        <v>9835</v>
      </c>
      <c r="T150" s="987">
        <f t="shared" si="12"/>
        <v>92</v>
      </c>
      <c r="U150" s="986" t="s">
        <v>9835</v>
      </c>
      <c r="V150" s="987">
        <f t="shared" si="7"/>
        <v>92</v>
      </c>
      <c r="W150" s="986" t="s">
        <v>9836</v>
      </c>
      <c r="X150" s="987">
        <f t="shared" si="8"/>
        <v>29</v>
      </c>
      <c r="Y150" s="988" t="s">
        <v>9837</v>
      </c>
      <c r="Z150" s="987">
        <f t="shared" si="9"/>
        <v>117</v>
      </c>
      <c r="AA150" s="988" t="s">
        <v>9838</v>
      </c>
      <c r="AB150" s="987">
        <f t="shared" si="10"/>
        <v>116</v>
      </c>
      <c r="AC150" s="988" t="s">
        <v>9839</v>
      </c>
      <c r="AD150" s="987">
        <f t="shared" si="11"/>
        <v>29</v>
      </c>
      <c r="AE150" s="987"/>
      <c r="AF150" s="987"/>
      <c r="AG150" s="999"/>
      <c r="AH150" s="1000"/>
      <c r="AI150" s="530" t="s">
        <v>2969</v>
      </c>
      <c r="AJ150" s="958">
        <v>1</v>
      </c>
      <c r="AK150" s="959"/>
      <c r="AL150" s="960" t="s">
        <v>5930</v>
      </c>
      <c r="AM150" s="989">
        <f>_xll.GetCtData("COAMOUNT","CONSAMOUNT",$A$1:$A$7,$D150,AM$10,"#")</f>
        <v>0</v>
      </c>
    </row>
    <row r="151" spans="1:41">
      <c r="A151" s="427" t="s">
        <v>6610</v>
      </c>
      <c r="B151" s="427" t="s">
        <v>6610</v>
      </c>
      <c r="D151" s="990" t="s">
        <v>9840</v>
      </c>
      <c r="E151" s="949" t="s">
        <v>2930</v>
      </c>
      <c r="F151" s="950">
        <v>10</v>
      </c>
      <c r="G151" s="950"/>
      <c r="H151" s="950"/>
      <c r="I151" s="950"/>
      <c r="J151" s="950"/>
      <c r="K151" s="950"/>
      <c r="L151" s="950"/>
      <c r="M151" s="950"/>
      <c r="N151" s="950"/>
      <c r="O151" s="950"/>
      <c r="P151" s="950"/>
      <c r="Q151" s="991"/>
      <c r="R151" s="990" t="s">
        <v>9841</v>
      </c>
      <c r="S151" s="992" t="s">
        <v>9835</v>
      </c>
      <c r="T151" s="993">
        <f t="shared" si="12"/>
        <v>92</v>
      </c>
      <c r="U151" s="992" t="s">
        <v>9835</v>
      </c>
      <c r="V151" s="993">
        <f t="shared" si="7"/>
        <v>92</v>
      </c>
      <c r="W151" s="992" t="s">
        <v>9836</v>
      </c>
      <c r="X151" s="993">
        <f t="shared" si="8"/>
        <v>29</v>
      </c>
      <c r="Y151" s="994" t="s">
        <v>9837</v>
      </c>
      <c r="Z151" s="993">
        <f t="shared" si="9"/>
        <v>117</v>
      </c>
      <c r="AA151" s="994" t="s">
        <v>9838</v>
      </c>
      <c r="AB151" s="993">
        <f t="shared" si="10"/>
        <v>116</v>
      </c>
      <c r="AC151" s="994" t="s">
        <v>9839</v>
      </c>
      <c r="AD151" s="993">
        <f t="shared" si="11"/>
        <v>29</v>
      </c>
      <c r="AE151" s="518" t="s">
        <v>9760</v>
      </c>
      <c r="AF151" s="519" t="s">
        <v>9761</v>
      </c>
      <c r="AG151" s="995" t="s">
        <v>9179</v>
      </c>
      <c r="AH151" s="996" t="s">
        <v>169</v>
      </c>
      <c r="AI151" s="530" t="s">
        <v>2969</v>
      </c>
      <c r="AJ151" s="958">
        <v>1</v>
      </c>
      <c r="AK151" s="959" t="s">
        <v>5359</v>
      </c>
      <c r="AL151" s="960" t="s">
        <v>5930</v>
      </c>
      <c r="AM151" s="997">
        <f>_xll.GetCtData("COAMOUNT","CONSAMOUNT",$A$1:$A$7,$D151,AM$10,"#")</f>
        <v>0</v>
      </c>
    </row>
    <row r="152" spans="1:41">
      <c r="A152" s="427" t="s">
        <v>6610</v>
      </c>
      <c r="B152" s="427" t="s">
        <v>6610</v>
      </c>
      <c r="D152" s="986" t="s">
        <v>9842</v>
      </c>
      <c r="E152" s="949" t="s">
        <v>2912</v>
      </c>
      <c r="F152" s="950">
        <v>9</v>
      </c>
      <c r="G152" s="950"/>
      <c r="H152" s="950"/>
      <c r="I152" s="950"/>
      <c r="J152" s="950"/>
      <c r="K152" s="950"/>
      <c r="L152" s="950"/>
      <c r="M152" s="950"/>
      <c r="N152" s="950"/>
      <c r="O152" s="950"/>
      <c r="P152" s="986" t="s">
        <v>9843</v>
      </c>
      <c r="Q152" s="986"/>
      <c r="R152" s="986" t="s">
        <v>9843</v>
      </c>
      <c r="S152" s="986" t="s">
        <v>9844</v>
      </c>
      <c r="T152" s="987">
        <v>73</v>
      </c>
      <c r="U152" s="986" t="s">
        <v>9844</v>
      </c>
      <c r="V152" s="987">
        <f t="shared" si="7"/>
        <v>73</v>
      </c>
      <c r="W152" s="986" t="s">
        <v>9845</v>
      </c>
      <c r="X152" s="987">
        <f t="shared" si="8"/>
        <v>24</v>
      </c>
      <c r="Y152" s="988" t="s">
        <v>9846</v>
      </c>
      <c r="Z152" s="987">
        <f t="shared" si="9"/>
        <v>64</v>
      </c>
      <c r="AA152" s="988" t="s">
        <v>9847</v>
      </c>
      <c r="AB152" s="987">
        <f t="shared" si="10"/>
        <v>63</v>
      </c>
      <c r="AC152" s="988" t="s">
        <v>9848</v>
      </c>
      <c r="AD152" s="987">
        <f t="shared" si="11"/>
        <v>27</v>
      </c>
      <c r="AE152" s="987"/>
      <c r="AF152" s="987"/>
      <c r="AG152" s="999"/>
      <c r="AH152" s="1000"/>
      <c r="AI152" s="530" t="s">
        <v>2969</v>
      </c>
      <c r="AJ152" s="958">
        <v>1</v>
      </c>
      <c r="AK152" s="959"/>
      <c r="AL152" s="960" t="s">
        <v>5930</v>
      </c>
      <c r="AM152" s="989">
        <f>_xll.GetCtData("COAMOUNT","CONSAMOUNT",$A$1:$A$7,$D152,AM$10,"#")</f>
        <v>0</v>
      </c>
    </row>
    <row r="153" spans="1:41">
      <c r="A153" s="427" t="s">
        <v>6610</v>
      </c>
      <c r="B153" s="427" t="s">
        <v>6610</v>
      </c>
      <c r="D153" s="990" t="s">
        <v>9849</v>
      </c>
      <c r="E153" s="949" t="s">
        <v>2930</v>
      </c>
      <c r="F153" s="950">
        <v>10</v>
      </c>
      <c r="G153" s="950"/>
      <c r="H153" s="950"/>
      <c r="I153" s="950"/>
      <c r="J153" s="950"/>
      <c r="K153" s="950"/>
      <c r="L153" s="950"/>
      <c r="M153" s="950"/>
      <c r="N153" s="950"/>
      <c r="O153" s="950"/>
      <c r="P153" s="950"/>
      <c r="Q153" s="991"/>
      <c r="R153" s="990" t="s">
        <v>9850</v>
      </c>
      <c r="S153" s="992" t="s">
        <v>9851</v>
      </c>
      <c r="T153" s="993">
        <v>147</v>
      </c>
      <c r="U153" s="992" t="s">
        <v>9852</v>
      </c>
      <c r="V153" s="993">
        <f t="shared" si="7"/>
        <v>119</v>
      </c>
      <c r="W153" s="992" t="s">
        <v>9853</v>
      </c>
      <c r="X153" s="993">
        <f t="shared" si="8"/>
        <v>30</v>
      </c>
      <c r="Y153" s="994" t="s">
        <v>9854</v>
      </c>
      <c r="Z153" s="993">
        <f t="shared" si="9"/>
        <v>125</v>
      </c>
      <c r="AA153" s="994" t="s">
        <v>9855</v>
      </c>
      <c r="AB153" s="993">
        <f t="shared" si="10"/>
        <v>118</v>
      </c>
      <c r="AC153" s="994" t="s">
        <v>9856</v>
      </c>
      <c r="AD153" s="993">
        <f t="shared" si="11"/>
        <v>30</v>
      </c>
      <c r="AE153" s="518" t="s">
        <v>9777</v>
      </c>
      <c r="AF153" s="519" t="s">
        <v>9778</v>
      </c>
      <c r="AG153" s="995" t="s">
        <v>9179</v>
      </c>
      <c r="AH153" s="996" t="s">
        <v>169</v>
      </c>
      <c r="AI153" s="530" t="s">
        <v>2969</v>
      </c>
      <c r="AJ153" s="958">
        <v>1</v>
      </c>
      <c r="AK153" s="959" t="s">
        <v>5359</v>
      </c>
      <c r="AL153" s="960" t="s">
        <v>5930</v>
      </c>
      <c r="AM153" s="997">
        <f>_xll.GetCtData("COAMOUNT","CONSAMOUNT",$A$1:$A$7,$D153,AM$10,"#")</f>
        <v>0</v>
      </c>
    </row>
    <row r="154" spans="1:41">
      <c r="A154" s="427" t="s">
        <v>6610</v>
      </c>
      <c r="B154" s="427" t="s">
        <v>6610</v>
      </c>
      <c r="D154" s="990" t="s">
        <v>2822</v>
      </c>
      <c r="E154" s="949" t="s">
        <v>2930</v>
      </c>
      <c r="F154" s="950">
        <v>10</v>
      </c>
      <c r="G154" s="950"/>
      <c r="H154" s="950"/>
      <c r="I154" s="950"/>
      <c r="J154" s="950"/>
      <c r="K154" s="950"/>
      <c r="L154" s="950"/>
      <c r="M154" s="950"/>
      <c r="N154" s="950"/>
      <c r="O154" s="950"/>
      <c r="P154" s="950"/>
      <c r="Q154" s="991"/>
      <c r="R154" s="990" t="s">
        <v>1771</v>
      </c>
      <c r="S154" s="992" t="s">
        <v>1772</v>
      </c>
      <c r="T154" s="993">
        <v>108</v>
      </c>
      <c r="U154" s="992" t="s">
        <v>1772</v>
      </c>
      <c r="V154" s="993">
        <f t="shared" si="7"/>
        <v>108</v>
      </c>
      <c r="W154" s="992" t="s">
        <v>9857</v>
      </c>
      <c r="X154" s="993">
        <f t="shared" si="8"/>
        <v>30</v>
      </c>
      <c r="Y154" s="994" t="s">
        <v>9858</v>
      </c>
      <c r="Z154" s="993">
        <f t="shared" si="9"/>
        <v>112</v>
      </c>
      <c r="AA154" s="994" t="s">
        <v>9858</v>
      </c>
      <c r="AB154" s="993">
        <f t="shared" si="10"/>
        <v>112</v>
      </c>
      <c r="AC154" s="994" t="s">
        <v>9859</v>
      </c>
      <c r="AD154" s="993">
        <f t="shared" si="11"/>
        <v>30</v>
      </c>
      <c r="AE154" s="518" t="s">
        <v>9783</v>
      </c>
      <c r="AF154" s="519" t="s">
        <v>9784</v>
      </c>
      <c r="AG154" s="995" t="s">
        <v>9179</v>
      </c>
      <c r="AH154" s="996" t="s">
        <v>169</v>
      </c>
      <c r="AI154" s="530" t="s">
        <v>2969</v>
      </c>
      <c r="AJ154" s="958">
        <v>1</v>
      </c>
      <c r="AK154" s="959" t="s">
        <v>5359</v>
      </c>
      <c r="AL154" s="960" t="s">
        <v>9860</v>
      </c>
      <c r="AM154" s="997">
        <f>_xll.GetCtData("COAMOUNT","CONSAMOUNT",$A$1:$A$7,$D154,AM$10,"#")</f>
        <v>0</v>
      </c>
    </row>
    <row r="155" spans="1:41">
      <c r="A155" s="427">
        <v>3</v>
      </c>
      <c r="B155" s="427" t="s">
        <v>9153</v>
      </c>
      <c r="D155" s="986" t="s">
        <v>9861</v>
      </c>
      <c r="E155" s="949" t="s">
        <v>2912</v>
      </c>
      <c r="F155" s="950">
        <v>9</v>
      </c>
      <c r="G155" s="950"/>
      <c r="H155" s="950"/>
      <c r="I155" s="950"/>
      <c r="J155" s="950"/>
      <c r="K155" s="950"/>
      <c r="L155" s="950"/>
      <c r="M155" s="950"/>
      <c r="N155" s="950"/>
      <c r="O155" s="950"/>
      <c r="P155" s="986" t="s">
        <v>9862</v>
      </c>
      <c r="Q155" s="986"/>
      <c r="R155" s="986" t="s">
        <v>9862</v>
      </c>
      <c r="S155" s="986" t="s">
        <v>9863</v>
      </c>
      <c r="T155" s="987">
        <v>100</v>
      </c>
      <c r="U155" s="986" t="s">
        <v>9863</v>
      </c>
      <c r="V155" s="987">
        <f t="shared" si="7"/>
        <v>99</v>
      </c>
      <c r="W155" s="986" t="s">
        <v>9864</v>
      </c>
      <c r="X155" s="987">
        <f t="shared" si="8"/>
        <v>29</v>
      </c>
      <c r="Y155" s="988" t="s">
        <v>9865</v>
      </c>
      <c r="Z155" s="987">
        <f t="shared" si="9"/>
        <v>85</v>
      </c>
      <c r="AA155" s="988" t="s">
        <v>9866</v>
      </c>
      <c r="AB155" s="987">
        <f t="shared" si="10"/>
        <v>83</v>
      </c>
      <c r="AC155" s="988" t="s">
        <v>9867</v>
      </c>
      <c r="AD155" s="987">
        <f t="shared" si="11"/>
        <v>30</v>
      </c>
      <c r="AE155" s="987"/>
      <c r="AF155" s="987"/>
      <c r="AG155" s="999"/>
      <c r="AH155" s="1000"/>
      <c r="AI155" s="530" t="s">
        <v>2969</v>
      </c>
      <c r="AJ155" s="958">
        <v>1</v>
      </c>
      <c r="AK155" s="959"/>
      <c r="AL155" s="960" t="s">
        <v>5930</v>
      </c>
      <c r="AM155" s="989">
        <f>_xll.GetCtData("COAMOUNT","CONSAMOUNT",$A$1:$A$7,$D155,AM$10,"#")</f>
        <v>0</v>
      </c>
    </row>
    <row r="156" spans="1:41">
      <c r="A156" s="427">
        <v>3</v>
      </c>
      <c r="B156" s="427" t="s">
        <v>9153</v>
      </c>
      <c r="D156" s="990" t="s">
        <v>9868</v>
      </c>
      <c r="E156" s="949" t="s">
        <v>2930</v>
      </c>
      <c r="F156" s="950">
        <v>10</v>
      </c>
      <c r="G156" s="950"/>
      <c r="H156" s="950"/>
      <c r="I156" s="950"/>
      <c r="J156" s="950"/>
      <c r="K156" s="950"/>
      <c r="L156" s="950"/>
      <c r="M156" s="950"/>
      <c r="N156" s="950"/>
      <c r="O156" s="950"/>
      <c r="P156" s="950"/>
      <c r="Q156" s="991"/>
      <c r="R156" s="990" t="s">
        <v>9869</v>
      </c>
      <c r="S156" s="992" t="s">
        <v>9863</v>
      </c>
      <c r="T156" s="993">
        <v>100</v>
      </c>
      <c r="U156" s="992" t="s">
        <v>9863</v>
      </c>
      <c r="V156" s="993">
        <f t="shared" si="7"/>
        <v>99</v>
      </c>
      <c r="W156" s="992" t="s">
        <v>9864</v>
      </c>
      <c r="X156" s="993">
        <f t="shared" si="8"/>
        <v>29</v>
      </c>
      <c r="Y156" s="994" t="s">
        <v>9865</v>
      </c>
      <c r="Z156" s="993">
        <f t="shared" si="9"/>
        <v>85</v>
      </c>
      <c r="AA156" s="994" t="s">
        <v>9866</v>
      </c>
      <c r="AB156" s="993">
        <f t="shared" si="10"/>
        <v>83</v>
      </c>
      <c r="AC156" s="994" t="s">
        <v>9867</v>
      </c>
      <c r="AD156" s="993">
        <f t="shared" si="11"/>
        <v>30</v>
      </c>
      <c r="AE156" s="518" t="s">
        <v>9796</v>
      </c>
      <c r="AF156" s="519" t="s">
        <v>9797</v>
      </c>
      <c r="AG156" s="995" t="s">
        <v>9179</v>
      </c>
      <c r="AH156" s="996" t="s">
        <v>169</v>
      </c>
      <c r="AI156" s="530" t="s">
        <v>2969</v>
      </c>
      <c r="AJ156" s="958">
        <v>1</v>
      </c>
      <c r="AK156" s="959"/>
      <c r="AL156" s="960" t="s">
        <v>5930</v>
      </c>
      <c r="AM156" s="997">
        <f>_xll.GetCtData("COAMOUNT","CONSAMOUNT",$A$1:$A$7,$D156,AM$10,"#")</f>
        <v>0</v>
      </c>
    </row>
    <row r="157" spans="1:41">
      <c r="B157" s="1010">
        <v>44753</v>
      </c>
      <c r="D157" s="986" t="s">
        <v>9870</v>
      </c>
      <c r="E157" s="949" t="s">
        <v>2912</v>
      </c>
      <c r="F157" s="950">
        <v>9</v>
      </c>
      <c r="G157" s="950"/>
      <c r="H157" s="950"/>
      <c r="I157" s="950"/>
      <c r="J157" s="950"/>
      <c r="K157" s="950"/>
      <c r="L157" s="950"/>
      <c r="M157" s="950"/>
      <c r="N157" s="950"/>
      <c r="O157" s="950"/>
      <c r="P157" s="986" t="s">
        <v>9871</v>
      </c>
      <c r="Q157" s="986"/>
      <c r="R157" s="986" t="s">
        <v>9871</v>
      </c>
      <c r="S157" s="986" t="s">
        <v>9872</v>
      </c>
      <c r="T157" s="987">
        <f>LEN(S157)</f>
        <v>95</v>
      </c>
      <c r="U157" s="986" t="s">
        <v>9872</v>
      </c>
      <c r="V157" s="987">
        <f>LEN(U157)</f>
        <v>95</v>
      </c>
      <c r="W157" s="986" t="s">
        <v>9873</v>
      </c>
      <c r="X157" s="987">
        <f>LEN(W157)</f>
        <v>29</v>
      </c>
      <c r="Y157" s="988" t="s">
        <v>9874</v>
      </c>
      <c r="Z157" s="987">
        <f>LEN(Y157)</f>
        <v>79</v>
      </c>
      <c r="AA157" s="988" t="s">
        <v>9874</v>
      </c>
      <c r="AB157" s="987">
        <f>LEN(AA157)</f>
        <v>79</v>
      </c>
      <c r="AC157" s="988" t="s">
        <v>9875</v>
      </c>
      <c r="AD157" s="987">
        <f>LEN(AC157)</f>
        <v>30</v>
      </c>
      <c r="AE157" s="987"/>
      <c r="AF157" s="987"/>
      <c r="AG157" s="999"/>
      <c r="AH157" s="1000"/>
      <c r="AI157" s="530" t="s">
        <v>2969</v>
      </c>
      <c r="AJ157" s="958">
        <v>1</v>
      </c>
      <c r="AK157" s="959"/>
      <c r="AL157" s="960" t="s">
        <v>9804</v>
      </c>
      <c r="AM157" s="989">
        <f>_xll.GetCtData("COAMOUNT","CONSAMOUNT",$A$1:$A$7,$D157,AM$10,"#844")</f>
        <v>844</v>
      </c>
    </row>
    <row r="158" spans="1:41">
      <c r="B158" s="1010">
        <v>44753</v>
      </c>
      <c r="D158" s="990" t="s">
        <v>9876</v>
      </c>
      <c r="E158" s="949" t="s">
        <v>2930</v>
      </c>
      <c r="F158" s="950">
        <v>10</v>
      </c>
      <c r="G158" s="950"/>
      <c r="H158" s="950"/>
      <c r="I158" s="950"/>
      <c r="J158" s="950"/>
      <c r="K158" s="950"/>
      <c r="L158" s="950"/>
      <c r="M158" s="950"/>
      <c r="N158" s="950"/>
      <c r="O158" s="950"/>
      <c r="P158" s="950"/>
      <c r="Q158" s="991"/>
      <c r="R158" s="990" t="s">
        <v>9877</v>
      </c>
      <c r="S158" s="992" t="s">
        <v>9872</v>
      </c>
      <c r="T158" s="993">
        <f>LEN(S158)</f>
        <v>95</v>
      </c>
      <c r="U158" s="992" t="s">
        <v>9872</v>
      </c>
      <c r="V158" s="993">
        <f>LEN(U158)</f>
        <v>95</v>
      </c>
      <c r="W158" s="992" t="s">
        <v>9873</v>
      </c>
      <c r="X158" s="993">
        <f>LEN(W158)</f>
        <v>29</v>
      </c>
      <c r="Y158" s="994" t="s">
        <v>9874</v>
      </c>
      <c r="Z158" s="993">
        <f>LEN(Y158)</f>
        <v>79</v>
      </c>
      <c r="AA158" s="994" t="s">
        <v>9874</v>
      </c>
      <c r="AB158" s="993">
        <f>LEN(AA158)</f>
        <v>79</v>
      </c>
      <c r="AC158" s="994" t="s">
        <v>9875</v>
      </c>
      <c r="AD158" s="993">
        <f>LEN(AC158)</f>
        <v>30</v>
      </c>
      <c r="AE158" s="662"/>
      <c r="AF158" s="663"/>
      <c r="AG158" s="995" t="s">
        <v>9179</v>
      </c>
      <c r="AH158" s="996" t="s">
        <v>169</v>
      </c>
      <c r="AI158" s="530" t="s">
        <v>2969</v>
      </c>
      <c r="AJ158" s="958">
        <v>1</v>
      </c>
      <c r="AK158" s="959" t="s">
        <v>5359</v>
      </c>
      <c r="AL158" s="960" t="s">
        <v>9804</v>
      </c>
      <c r="AM158" s="997">
        <f>_xll.GetCtData("COAMOUNT","CONSAMOUNT",$A$1:$A$7,$D158,AM$10,"#844")</f>
        <v>844</v>
      </c>
      <c r="AO158" s="632">
        <f>+AM158+AM144</f>
        <v>69624</v>
      </c>
    </row>
    <row r="159" spans="1:41">
      <c r="A159" s="427" t="s">
        <v>6610</v>
      </c>
      <c r="B159" s="427" t="s">
        <v>6610</v>
      </c>
      <c r="D159" s="410" t="s">
        <v>2546</v>
      </c>
      <c r="E159" s="949" t="s">
        <v>2912</v>
      </c>
      <c r="F159" s="950">
        <v>7</v>
      </c>
      <c r="G159" s="950"/>
      <c r="H159" s="950"/>
      <c r="I159" s="950"/>
      <c r="J159" s="950"/>
      <c r="K159" s="950"/>
      <c r="L159" s="950"/>
      <c r="M159" s="950"/>
      <c r="N159" s="410" t="s">
        <v>9878</v>
      </c>
      <c r="O159" s="975"/>
      <c r="P159" s="975"/>
      <c r="Q159" s="410"/>
      <c r="R159" s="410" t="s">
        <v>9878</v>
      </c>
      <c r="S159" s="410" t="s">
        <v>9879</v>
      </c>
      <c r="T159" s="976">
        <f t="shared" ref="T159:T166" si="13">LEN(S159)</f>
        <v>55</v>
      </c>
      <c r="U159" s="410" t="s">
        <v>9879</v>
      </c>
      <c r="V159" s="976">
        <f t="shared" si="7"/>
        <v>55</v>
      </c>
      <c r="W159" s="410" t="s">
        <v>9880</v>
      </c>
      <c r="X159" s="976">
        <f t="shared" si="8"/>
        <v>21</v>
      </c>
      <c r="Y159" s="977" t="s">
        <v>9881</v>
      </c>
      <c r="Z159" s="976">
        <f t="shared" si="9"/>
        <v>47</v>
      </c>
      <c r="AA159" s="977" t="s">
        <v>9882</v>
      </c>
      <c r="AB159" s="976">
        <f t="shared" si="10"/>
        <v>46</v>
      </c>
      <c r="AC159" s="977" t="s">
        <v>9883</v>
      </c>
      <c r="AD159" s="976">
        <f t="shared" si="11"/>
        <v>27</v>
      </c>
      <c r="AE159" s="976"/>
      <c r="AF159" s="976"/>
      <c r="AG159" s="995"/>
      <c r="AH159" s="996"/>
      <c r="AI159" s="530" t="s">
        <v>2969</v>
      </c>
      <c r="AJ159" s="958">
        <v>1</v>
      </c>
      <c r="AK159" s="959"/>
      <c r="AL159" s="960" t="s">
        <v>5930</v>
      </c>
      <c r="AM159" s="980">
        <f>_xll.GetCtData("COAMOUNT","CONSAMOUNT",$A$1:$A$7,$D159,AM$10,"#4017,40183833516")</f>
        <v>4017</v>
      </c>
    </row>
    <row r="160" spans="1:41">
      <c r="A160" s="427" t="s">
        <v>6610</v>
      </c>
      <c r="B160" s="427" t="s">
        <v>6610</v>
      </c>
      <c r="D160" s="981" t="s">
        <v>9884</v>
      </c>
      <c r="E160" s="949" t="s">
        <v>2912</v>
      </c>
      <c r="F160" s="950">
        <v>8</v>
      </c>
      <c r="G160" s="950"/>
      <c r="H160" s="950"/>
      <c r="I160" s="950"/>
      <c r="J160" s="950"/>
      <c r="K160" s="950"/>
      <c r="L160" s="950"/>
      <c r="M160" s="950"/>
      <c r="N160" s="950"/>
      <c r="O160" s="981" t="s">
        <v>9885</v>
      </c>
      <c r="P160" s="982"/>
      <c r="Q160" s="981"/>
      <c r="R160" s="981" t="s">
        <v>9885</v>
      </c>
      <c r="S160" s="981" t="s">
        <v>9879</v>
      </c>
      <c r="T160" s="1002">
        <f t="shared" si="13"/>
        <v>55</v>
      </c>
      <c r="U160" s="981" t="s">
        <v>9879</v>
      </c>
      <c r="V160" s="1002">
        <f t="shared" si="7"/>
        <v>55</v>
      </c>
      <c r="W160" s="981" t="s">
        <v>9880</v>
      </c>
      <c r="X160" s="1002">
        <f t="shared" si="8"/>
        <v>21</v>
      </c>
      <c r="Y160" s="1003" t="s">
        <v>9881</v>
      </c>
      <c r="Z160" s="1002">
        <f t="shared" si="9"/>
        <v>47</v>
      </c>
      <c r="AA160" s="1003" t="s">
        <v>9882</v>
      </c>
      <c r="AB160" s="1002">
        <f t="shared" si="10"/>
        <v>46</v>
      </c>
      <c r="AC160" s="1003" t="s">
        <v>9883</v>
      </c>
      <c r="AD160" s="1002">
        <f t="shared" si="11"/>
        <v>27</v>
      </c>
      <c r="AE160" s="1002"/>
      <c r="AF160" s="1002"/>
      <c r="AG160" s="995"/>
      <c r="AH160" s="996"/>
      <c r="AI160" s="530" t="s">
        <v>2969</v>
      </c>
      <c r="AJ160" s="958">
        <v>1</v>
      </c>
      <c r="AK160" s="959"/>
      <c r="AL160" s="960" t="s">
        <v>5930</v>
      </c>
      <c r="AM160" s="985">
        <f>_xll.GetCtData("COAMOUNT","CONSAMOUNT",$A$1:$A$7,$D160,AM$10,"#4017,40183833516")</f>
        <v>4017</v>
      </c>
    </row>
    <row r="161" spans="1:39">
      <c r="A161" s="427" t="s">
        <v>6610</v>
      </c>
      <c r="B161" s="427" t="s">
        <v>6610</v>
      </c>
      <c r="D161" s="986" t="s">
        <v>9886</v>
      </c>
      <c r="E161" s="949" t="s">
        <v>2912</v>
      </c>
      <c r="F161" s="950">
        <v>9</v>
      </c>
      <c r="G161" s="950"/>
      <c r="H161" s="950"/>
      <c r="I161" s="950"/>
      <c r="J161" s="950"/>
      <c r="K161" s="950"/>
      <c r="L161" s="950"/>
      <c r="M161" s="950"/>
      <c r="N161" s="950"/>
      <c r="O161" s="950"/>
      <c r="P161" s="986" t="s">
        <v>9887</v>
      </c>
      <c r="Q161" s="986"/>
      <c r="R161" s="986" t="s">
        <v>9887</v>
      </c>
      <c r="S161" s="986" t="s">
        <v>9888</v>
      </c>
      <c r="T161" s="987">
        <f t="shared" si="13"/>
        <v>90</v>
      </c>
      <c r="U161" s="986" t="s">
        <v>9888</v>
      </c>
      <c r="V161" s="987">
        <f t="shared" si="7"/>
        <v>90</v>
      </c>
      <c r="W161" s="1011" t="s">
        <v>9889</v>
      </c>
      <c r="X161" s="987">
        <f t="shared" si="8"/>
        <v>30</v>
      </c>
      <c r="Y161" s="988" t="s">
        <v>9890</v>
      </c>
      <c r="Z161" s="987">
        <f t="shared" si="9"/>
        <v>84</v>
      </c>
      <c r="AA161" s="988" t="s">
        <v>9891</v>
      </c>
      <c r="AB161" s="987">
        <f t="shared" si="10"/>
        <v>83</v>
      </c>
      <c r="AC161" s="988" t="s">
        <v>9892</v>
      </c>
      <c r="AD161" s="987">
        <f t="shared" si="11"/>
        <v>30</v>
      </c>
      <c r="AE161" s="987"/>
      <c r="AF161" s="987"/>
      <c r="AG161" s="999"/>
      <c r="AH161" s="1000"/>
      <c r="AI161" s="530" t="s">
        <v>2969</v>
      </c>
      <c r="AJ161" s="958">
        <v>1</v>
      </c>
      <c r="AK161" s="959"/>
      <c r="AL161" s="960" t="s">
        <v>5930</v>
      </c>
      <c r="AM161" s="989">
        <f>_xll.GetCtData("COAMOUNT","CONSAMOUNT",$A$1:$A$7,$D161,AM$10,"#3715,70277374691")</f>
        <v>3715</v>
      </c>
    </row>
    <row r="162" spans="1:39">
      <c r="A162" s="427" t="s">
        <v>6610</v>
      </c>
      <c r="B162" s="427" t="s">
        <v>6610</v>
      </c>
      <c r="D162" s="990" t="s">
        <v>2855</v>
      </c>
      <c r="E162" s="949" t="s">
        <v>2930</v>
      </c>
      <c r="F162" s="950">
        <v>10</v>
      </c>
      <c r="G162" s="950"/>
      <c r="H162" s="950"/>
      <c r="I162" s="950"/>
      <c r="J162" s="950"/>
      <c r="K162" s="950"/>
      <c r="L162" s="950"/>
      <c r="M162" s="950"/>
      <c r="N162" s="950"/>
      <c r="O162" s="950"/>
      <c r="P162" s="950"/>
      <c r="Q162" s="991"/>
      <c r="R162" s="990" t="s">
        <v>2856</v>
      </c>
      <c r="S162" s="992" t="s">
        <v>2857</v>
      </c>
      <c r="T162" s="993">
        <f t="shared" si="13"/>
        <v>119</v>
      </c>
      <c r="U162" s="992" t="s">
        <v>2857</v>
      </c>
      <c r="V162" s="993">
        <f t="shared" si="7"/>
        <v>119</v>
      </c>
      <c r="W162" s="992" t="s">
        <v>9893</v>
      </c>
      <c r="X162" s="993">
        <f t="shared" si="8"/>
        <v>30</v>
      </c>
      <c r="Y162" s="994" t="s">
        <v>9894</v>
      </c>
      <c r="Z162" s="993">
        <f t="shared" si="9"/>
        <v>108</v>
      </c>
      <c r="AA162" s="994" t="s">
        <v>9895</v>
      </c>
      <c r="AB162" s="993">
        <f t="shared" si="10"/>
        <v>107</v>
      </c>
      <c r="AC162" s="994" t="s">
        <v>9896</v>
      </c>
      <c r="AD162" s="993">
        <f t="shared" si="11"/>
        <v>30</v>
      </c>
      <c r="AE162" s="518" t="s">
        <v>9897</v>
      </c>
      <c r="AF162" s="519" t="s">
        <v>9898</v>
      </c>
      <c r="AG162" s="995" t="s">
        <v>9179</v>
      </c>
      <c r="AH162" s="996" t="s">
        <v>169</v>
      </c>
      <c r="AI162" s="530" t="s">
        <v>2969</v>
      </c>
      <c r="AJ162" s="958">
        <v>1</v>
      </c>
      <c r="AK162" s="959" t="s">
        <v>5359</v>
      </c>
      <c r="AL162" s="960" t="s">
        <v>5930</v>
      </c>
      <c r="AM162" s="997">
        <f>_xll.GetCtData("COAMOUNT","CONSAMOUNT",$A$1:$A$7,$D162,AM$10,"#3418,59489206727")</f>
        <v>3418</v>
      </c>
    </row>
    <row r="163" spans="1:39">
      <c r="A163" s="427" t="s">
        <v>6610</v>
      </c>
      <c r="B163" s="427" t="s">
        <v>6610</v>
      </c>
      <c r="D163" s="990" t="s">
        <v>2858</v>
      </c>
      <c r="E163" s="949" t="s">
        <v>2930</v>
      </c>
      <c r="F163" s="950">
        <v>10</v>
      </c>
      <c r="G163" s="950"/>
      <c r="H163" s="950"/>
      <c r="I163" s="950"/>
      <c r="J163" s="950"/>
      <c r="K163" s="950"/>
      <c r="L163" s="950"/>
      <c r="M163" s="950"/>
      <c r="N163" s="950"/>
      <c r="O163" s="950"/>
      <c r="P163" s="950"/>
      <c r="Q163" s="991"/>
      <c r="R163" s="990" t="s">
        <v>2859</v>
      </c>
      <c r="S163" s="992" t="s">
        <v>2860</v>
      </c>
      <c r="T163" s="993">
        <f t="shared" si="13"/>
        <v>104</v>
      </c>
      <c r="U163" s="992" t="s">
        <v>2860</v>
      </c>
      <c r="V163" s="993">
        <f t="shared" si="7"/>
        <v>104</v>
      </c>
      <c r="W163" s="992" t="s">
        <v>9899</v>
      </c>
      <c r="X163" s="993">
        <f t="shared" si="8"/>
        <v>26</v>
      </c>
      <c r="Y163" s="994" t="s">
        <v>9900</v>
      </c>
      <c r="Z163" s="993">
        <f t="shared" si="9"/>
        <v>122</v>
      </c>
      <c r="AA163" s="994" t="s">
        <v>9901</v>
      </c>
      <c r="AB163" s="993">
        <f t="shared" si="10"/>
        <v>115</v>
      </c>
      <c r="AC163" s="994" t="s">
        <v>9902</v>
      </c>
      <c r="AD163" s="993">
        <f t="shared" si="11"/>
        <v>28</v>
      </c>
      <c r="AE163" s="518" t="s">
        <v>9903</v>
      </c>
      <c r="AF163" s="519" t="s">
        <v>9904</v>
      </c>
      <c r="AG163" s="995" t="s">
        <v>9179</v>
      </c>
      <c r="AH163" s="996" t="s">
        <v>169</v>
      </c>
      <c r="AI163" s="530" t="s">
        <v>2969</v>
      </c>
      <c r="AJ163" s="958">
        <v>1</v>
      </c>
      <c r="AK163" s="959" t="s">
        <v>5359</v>
      </c>
      <c r="AL163" s="960" t="s">
        <v>5930</v>
      </c>
      <c r="AM163" s="997">
        <f>_xll.GetCtData("COAMOUNT","CONSAMOUNT",$A$1:$A$7,$D163,AM$10,"#297,107881679644")</f>
        <v>297</v>
      </c>
    </row>
    <row r="164" spans="1:39">
      <c r="A164" s="427" t="s">
        <v>6610</v>
      </c>
      <c r="B164" s="427" t="s">
        <v>6610</v>
      </c>
      <c r="D164" s="990" t="s">
        <v>2861</v>
      </c>
      <c r="E164" s="949" t="s">
        <v>2930</v>
      </c>
      <c r="F164" s="950">
        <v>10</v>
      </c>
      <c r="G164" s="950"/>
      <c r="H164" s="950"/>
      <c r="I164" s="950"/>
      <c r="J164" s="950"/>
      <c r="K164" s="950"/>
      <c r="L164" s="950"/>
      <c r="M164" s="950"/>
      <c r="N164" s="950"/>
      <c r="O164" s="950"/>
      <c r="P164" s="950"/>
      <c r="Q164" s="991"/>
      <c r="R164" s="990" t="s">
        <v>2862</v>
      </c>
      <c r="S164" s="992" t="s">
        <v>2863</v>
      </c>
      <c r="T164" s="993">
        <f t="shared" si="13"/>
        <v>106</v>
      </c>
      <c r="U164" s="992" t="s">
        <v>2863</v>
      </c>
      <c r="V164" s="993">
        <f t="shared" si="7"/>
        <v>106</v>
      </c>
      <c r="W164" s="992" t="s">
        <v>9905</v>
      </c>
      <c r="X164" s="993">
        <f t="shared" si="8"/>
        <v>30</v>
      </c>
      <c r="Y164" s="994" t="s">
        <v>9906</v>
      </c>
      <c r="Z164" s="993">
        <f t="shared" si="9"/>
        <v>114</v>
      </c>
      <c r="AA164" s="994" t="s">
        <v>9907</v>
      </c>
      <c r="AB164" s="993">
        <f t="shared" si="10"/>
        <v>113</v>
      </c>
      <c r="AC164" s="994" t="s">
        <v>9908</v>
      </c>
      <c r="AD164" s="993">
        <f t="shared" si="11"/>
        <v>30</v>
      </c>
      <c r="AE164" s="518" t="s">
        <v>9909</v>
      </c>
      <c r="AF164" s="519" t="s">
        <v>9910</v>
      </c>
      <c r="AG164" s="995" t="s">
        <v>9179</v>
      </c>
      <c r="AH164" s="996" t="s">
        <v>169</v>
      </c>
      <c r="AI164" s="530" t="s">
        <v>2969</v>
      </c>
      <c r="AJ164" s="958">
        <v>1</v>
      </c>
      <c r="AK164" s="959" t="s">
        <v>5359</v>
      </c>
      <c r="AL164" s="960" t="s">
        <v>5930</v>
      </c>
      <c r="AM164" s="997">
        <f>_xll.GetCtData("COAMOUNT","CONSAMOUNT",$A$1:$A$7,$D164,AM$10,"#")</f>
        <v>0</v>
      </c>
    </row>
    <row r="165" spans="1:39">
      <c r="A165" s="427" t="s">
        <v>6610</v>
      </c>
      <c r="B165" s="427" t="s">
        <v>6610</v>
      </c>
      <c r="D165" s="986" t="s">
        <v>9911</v>
      </c>
      <c r="E165" s="949" t="s">
        <v>2912</v>
      </c>
      <c r="F165" s="950">
        <v>9</v>
      </c>
      <c r="G165" s="950"/>
      <c r="H165" s="950"/>
      <c r="I165" s="950"/>
      <c r="J165" s="950"/>
      <c r="K165" s="950"/>
      <c r="L165" s="950"/>
      <c r="M165" s="950"/>
      <c r="N165" s="950"/>
      <c r="O165" s="950"/>
      <c r="P165" s="986" t="s">
        <v>9912</v>
      </c>
      <c r="Q165" s="986"/>
      <c r="R165" s="986" t="s">
        <v>9912</v>
      </c>
      <c r="S165" s="986" t="s">
        <v>9913</v>
      </c>
      <c r="T165" s="987">
        <f t="shared" si="13"/>
        <v>92</v>
      </c>
      <c r="U165" s="986" t="s">
        <v>9913</v>
      </c>
      <c r="V165" s="987">
        <f t="shared" ref="V165:V244" si="14">LEN(U165)</f>
        <v>92</v>
      </c>
      <c r="W165" s="986" t="s">
        <v>9914</v>
      </c>
      <c r="X165" s="987">
        <f t="shared" ref="X165:X244" si="15">LEN(W165)</f>
        <v>29</v>
      </c>
      <c r="Y165" s="988" t="s">
        <v>9915</v>
      </c>
      <c r="Z165" s="987">
        <f t="shared" ref="Z165:Z244" si="16">LEN(Y165)</f>
        <v>117</v>
      </c>
      <c r="AA165" s="988" t="s">
        <v>9916</v>
      </c>
      <c r="AB165" s="987">
        <f t="shared" ref="AB165:AB244" si="17">LEN(AA165)</f>
        <v>116</v>
      </c>
      <c r="AC165" s="988" t="s">
        <v>9917</v>
      </c>
      <c r="AD165" s="987">
        <f t="shared" ref="AD165:AD244" si="18">LEN(AC165)</f>
        <v>29</v>
      </c>
      <c r="AE165" s="987"/>
      <c r="AF165" s="987"/>
      <c r="AG165" s="999"/>
      <c r="AH165" s="1000"/>
      <c r="AI165" s="530" t="s">
        <v>2969</v>
      </c>
      <c r="AJ165" s="958">
        <v>1</v>
      </c>
      <c r="AK165" s="959"/>
      <c r="AL165" s="960" t="s">
        <v>5930</v>
      </c>
      <c r="AM165" s="989">
        <f>_xll.GetCtData("COAMOUNT","CONSAMOUNT",$A$1:$A$7,$D165,AM$10,"#724,699064588252")</f>
        <v>724</v>
      </c>
    </row>
    <row r="166" spans="1:39">
      <c r="A166" s="427" t="s">
        <v>6610</v>
      </c>
      <c r="B166" s="427" t="s">
        <v>6610</v>
      </c>
      <c r="D166" s="990" t="s">
        <v>9918</v>
      </c>
      <c r="E166" s="949" t="s">
        <v>2930</v>
      </c>
      <c r="F166" s="950">
        <v>10</v>
      </c>
      <c r="G166" s="950"/>
      <c r="H166" s="950"/>
      <c r="I166" s="950"/>
      <c r="J166" s="950"/>
      <c r="K166" s="950"/>
      <c r="L166" s="950"/>
      <c r="M166" s="950"/>
      <c r="N166" s="950"/>
      <c r="O166" s="950"/>
      <c r="P166" s="950"/>
      <c r="Q166" s="991"/>
      <c r="R166" s="990" t="s">
        <v>9919</v>
      </c>
      <c r="S166" s="992" t="s">
        <v>9913</v>
      </c>
      <c r="T166" s="993">
        <f t="shared" si="13"/>
        <v>92</v>
      </c>
      <c r="U166" s="992" t="s">
        <v>9913</v>
      </c>
      <c r="V166" s="993">
        <f t="shared" si="14"/>
        <v>92</v>
      </c>
      <c r="W166" s="992" t="s">
        <v>9914</v>
      </c>
      <c r="X166" s="993">
        <f t="shared" si="15"/>
        <v>29</v>
      </c>
      <c r="Y166" s="994" t="s">
        <v>9915</v>
      </c>
      <c r="Z166" s="993">
        <f t="shared" si="16"/>
        <v>117</v>
      </c>
      <c r="AA166" s="994" t="s">
        <v>9916</v>
      </c>
      <c r="AB166" s="993">
        <f t="shared" si="17"/>
        <v>116</v>
      </c>
      <c r="AC166" s="994" t="s">
        <v>9917</v>
      </c>
      <c r="AD166" s="993">
        <f t="shared" si="18"/>
        <v>29</v>
      </c>
      <c r="AE166" s="518" t="s">
        <v>9920</v>
      </c>
      <c r="AF166" s="519" t="s">
        <v>9921</v>
      </c>
      <c r="AG166" s="995" t="s">
        <v>9179</v>
      </c>
      <c r="AH166" s="996" t="s">
        <v>169</v>
      </c>
      <c r="AI166" s="530" t="s">
        <v>2969</v>
      </c>
      <c r="AJ166" s="958">
        <v>1</v>
      </c>
      <c r="AK166" s="959" t="s">
        <v>5359</v>
      </c>
      <c r="AL166" s="960" t="s">
        <v>5930</v>
      </c>
      <c r="AM166" s="997">
        <f>_xll.GetCtData("COAMOUNT","CONSAMOUNT",$A$1:$A$7,$D166,AM$10,"#724,699064588252")</f>
        <v>724</v>
      </c>
    </row>
    <row r="167" spans="1:39">
      <c r="A167" s="427" t="s">
        <v>6610</v>
      </c>
      <c r="B167" s="427" t="s">
        <v>6610</v>
      </c>
      <c r="D167" s="986" t="s">
        <v>9922</v>
      </c>
      <c r="E167" s="949" t="s">
        <v>2912</v>
      </c>
      <c r="F167" s="950">
        <v>9</v>
      </c>
      <c r="G167" s="950"/>
      <c r="H167" s="950"/>
      <c r="I167" s="950"/>
      <c r="J167" s="950"/>
      <c r="K167" s="950"/>
      <c r="L167" s="950"/>
      <c r="M167" s="950"/>
      <c r="N167" s="950"/>
      <c r="O167" s="950"/>
      <c r="P167" s="986" t="s">
        <v>9923</v>
      </c>
      <c r="Q167" s="986"/>
      <c r="R167" s="986" t="s">
        <v>9923</v>
      </c>
      <c r="S167" s="986" t="s">
        <v>9924</v>
      </c>
      <c r="T167" s="987">
        <v>74</v>
      </c>
      <c r="U167" s="986" t="s">
        <v>9924</v>
      </c>
      <c r="V167" s="987">
        <f t="shared" si="14"/>
        <v>74</v>
      </c>
      <c r="W167" s="986" t="s">
        <v>9925</v>
      </c>
      <c r="X167" s="987">
        <f t="shared" si="15"/>
        <v>24</v>
      </c>
      <c r="Y167" s="988" t="s">
        <v>9926</v>
      </c>
      <c r="Z167" s="987">
        <f t="shared" si="16"/>
        <v>64</v>
      </c>
      <c r="AA167" s="988" t="s">
        <v>9927</v>
      </c>
      <c r="AB167" s="987">
        <f t="shared" si="17"/>
        <v>63</v>
      </c>
      <c r="AC167" s="988" t="s">
        <v>9928</v>
      </c>
      <c r="AD167" s="987">
        <f t="shared" si="18"/>
        <v>27</v>
      </c>
      <c r="AE167" s="987"/>
      <c r="AF167" s="987"/>
      <c r="AG167" s="999"/>
      <c r="AH167" s="1000"/>
      <c r="AI167" s="530" t="s">
        <v>2969</v>
      </c>
      <c r="AJ167" s="958">
        <v>1</v>
      </c>
      <c r="AK167" s="959"/>
      <c r="AL167" s="960" t="s">
        <v>5930</v>
      </c>
      <c r="AM167" s="989">
        <f>_xll.GetCtData("COAMOUNT","CONSAMOUNT",$A$1:$A$7,$D167,AM$10,"#")</f>
        <v>0</v>
      </c>
    </row>
    <row r="168" spans="1:39">
      <c r="A168" s="427" t="s">
        <v>6610</v>
      </c>
      <c r="B168" s="427" t="s">
        <v>6610</v>
      </c>
      <c r="D168" s="990" t="s">
        <v>2864</v>
      </c>
      <c r="E168" s="949" t="s">
        <v>2930</v>
      </c>
      <c r="F168" s="950">
        <v>10</v>
      </c>
      <c r="G168" s="950"/>
      <c r="H168" s="950"/>
      <c r="I168" s="950"/>
      <c r="J168" s="950"/>
      <c r="K168" s="950"/>
      <c r="L168" s="950"/>
      <c r="M168" s="950"/>
      <c r="N168" s="950"/>
      <c r="O168" s="950"/>
      <c r="P168" s="950"/>
      <c r="Q168" s="991"/>
      <c r="R168" s="990" t="s">
        <v>2865</v>
      </c>
      <c r="S168" s="992" t="s">
        <v>9929</v>
      </c>
      <c r="T168" s="993">
        <v>146</v>
      </c>
      <c r="U168" s="992" t="s">
        <v>2866</v>
      </c>
      <c r="V168" s="993">
        <f t="shared" si="14"/>
        <v>119</v>
      </c>
      <c r="W168" s="992" t="s">
        <v>9930</v>
      </c>
      <c r="X168" s="993">
        <f t="shared" si="15"/>
        <v>30</v>
      </c>
      <c r="Y168" s="994" t="s">
        <v>9931</v>
      </c>
      <c r="Z168" s="993">
        <f t="shared" si="16"/>
        <v>125</v>
      </c>
      <c r="AA168" s="994" t="s">
        <v>9932</v>
      </c>
      <c r="AB168" s="993">
        <f t="shared" si="17"/>
        <v>118</v>
      </c>
      <c r="AC168" s="994" t="s">
        <v>9933</v>
      </c>
      <c r="AD168" s="993">
        <f t="shared" si="18"/>
        <v>30</v>
      </c>
      <c r="AE168" s="518" t="s">
        <v>9934</v>
      </c>
      <c r="AF168" s="519" t="s">
        <v>9935</v>
      </c>
      <c r="AG168" s="995" t="s">
        <v>9179</v>
      </c>
      <c r="AH168" s="996" t="s">
        <v>169</v>
      </c>
      <c r="AI168" s="530" t="s">
        <v>2969</v>
      </c>
      <c r="AJ168" s="958">
        <v>1</v>
      </c>
      <c r="AK168" s="959" t="s">
        <v>5359</v>
      </c>
      <c r="AL168" s="960" t="s">
        <v>5930</v>
      </c>
      <c r="AM168" s="997">
        <f>_xll.GetCtData("COAMOUNT","CONSAMOUNT",$A$1:$A$7,$D168,AM$10,"#")</f>
        <v>0</v>
      </c>
    </row>
    <row r="169" spans="1:39">
      <c r="A169" s="427">
        <v>3</v>
      </c>
      <c r="B169" s="427" t="s">
        <v>9153</v>
      </c>
      <c r="D169" s="986" t="s">
        <v>9936</v>
      </c>
      <c r="E169" s="949" t="s">
        <v>2912</v>
      </c>
      <c r="F169" s="950">
        <v>9</v>
      </c>
      <c r="G169" s="950"/>
      <c r="H169" s="950"/>
      <c r="I169" s="950"/>
      <c r="J169" s="950"/>
      <c r="K169" s="950"/>
      <c r="L169" s="950"/>
      <c r="M169" s="950"/>
      <c r="N169" s="950"/>
      <c r="O169" s="950"/>
      <c r="P169" s="986" t="s">
        <v>9937</v>
      </c>
      <c r="Q169" s="986"/>
      <c r="R169" s="986" t="s">
        <v>9937</v>
      </c>
      <c r="S169" s="986" t="s">
        <v>9938</v>
      </c>
      <c r="T169" s="987">
        <v>100</v>
      </c>
      <c r="U169" s="986" t="s">
        <v>9938</v>
      </c>
      <c r="V169" s="987">
        <f t="shared" si="14"/>
        <v>99</v>
      </c>
      <c r="W169" s="986" t="s">
        <v>9939</v>
      </c>
      <c r="X169" s="987">
        <f t="shared" si="15"/>
        <v>29</v>
      </c>
      <c r="Y169" s="988" t="s">
        <v>9940</v>
      </c>
      <c r="Z169" s="987">
        <f t="shared" si="16"/>
        <v>85</v>
      </c>
      <c r="AA169" s="988" t="s">
        <v>9941</v>
      </c>
      <c r="AB169" s="987">
        <f t="shared" si="17"/>
        <v>83</v>
      </c>
      <c r="AC169" s="988" t="s">
        <v>9942</v>
      </c>
      <c r="AD169" s="987">
        <f t="shared" si="18"/>
        <v>30</v>
      </c>
      <c r="AE169" s="987"/>
      <c r="AF169" s="987"/>
      <c r="AG169" s="999"/>
      <c r="AH169" s="1000"/>
      <c r="AI169" s="530" t="s">
        <v>2969</v>
      </c>
      <c r="AJ169" s="958">
        <v>1</v>
      </c>
      <c r="AK169" s="959"/>
      <c r="AL169" s="960" t="s">
        <v>5930</v>
      </c>
      <c r="AM169" s="989">
        <f>_xll.GetCtData("COAMOUNT","CONSAMOUNT",$A$1:$A$7,$D169,AM$10,"#-423")</f>
        <v>-423</v>
      </c>
    </row>
    <row r="170" spans="1:39">
      <c r="A170" s="427">
        <v>3</v>
      </c>
      <c r="B170" s="427" t="s">
        <v>9153</v>
      </c>
      <c r="D170" s="990" t="s">
        <v>9943</v>
      </c>
      <c r="E170" s="949" t="s">
        <v>2930</v>
      </c>
      <c r="F170" s="950">
        <v>10</v>
      </c>
      <c r="G170" s="950"/>
      <c r="H170" s="950"/>
      <c r="I170" s="950"/>
      <c r="J170" s="950"/>
      <c r="K170" s="950"/>
      <c r="L170" s="950"/>
      <c r="M170" s="950"/>
      <c r="N170" s="950"/>
      <c r="O170" s="950"/>
      <c r="P170" s="950"/>
      <c r="Q170" s="991"/>
      <c r="R170" s="990" t="s">
        <v>9944</v>
      </c>
      <c r="S170" s="992" t="s">
        <v>9938</v>
      </c>
      <c r="T170" s="993">
        <v>101</v>
      </c>
      <c r="U170" s="992" t="s">
        <v>9938</v>
      </c>
      <c r="V170" s="993">
        <f t="shared" si="14"/>
        <v>99</v>
      </c>
      <c r="W170" s="992" t="s">
        <v>9939</v>
      </c>
      <c r="X170" s="993">
        <f t="shared" si="15"/>
        <v>29</v>
      </c>
      <c r="Y170" s="994" t="s">
        <v>9940</v>
      </c>
      <c r="Z170" s="993">
        <f t="shared" si="16"/>
        <v>85</v>
      </c>
      <c r="AA170" s="994" t="s">
        <v>9941</v>
      </c>
      <c r="AB170" s="993">
        <f t="shared" si="17"/>
        <v>83</v>
      </c>
      <c r="AC170" s="994" t="s">
        <v>9942</v>
      </c>
      <c r="AD170" s="993">
        <f t="shared" si="18"/>
        <v>30</v>
      </c>
      <c r="AE170" s="518" t="s">
        <v>9945</v>
      </c>
      <c r="AF170" s="519" t="s">
        <v>9946</v>
      </c>
      <c r="AG170" s="995" t="s">
        <v>9179</v>
      </c>
      <c r="AH170" s="996" t="s">
        <v>169</v>
      </c>
      <c r="AI170" s="530" t="s">
        <v>2969</v>
      </c>
      <c r="AJ170" s="958">
        <v>1</v>
      </c>
      <c r="AK170" s="959"/>
      <c r="AL170" s="960" t="s">
        <v>5930</v>
      </c>
      <c r="AM170" s="997">
        <f>_xll.GetCtData("COAMOUNT","CONSAMOUNT",$A$1:$A$7,$D170,AM$10,"#-423")</f>
        <v>-423</v>
      </c>
    </row>
    <row r="171" spans="1:39">
      <c r="A171" s="427" t="s">
        <v>6610</v>
      </c>
      <c r="B171" s="1010">
        <v>44753</v>
      </c>
      <c r="D171" s="986" t="s">
        <v>9947</v>
      </c>
      <c r="E171" s="949" t="s">
        <v>2912</v>
      </c>
      <c r="F171" s="950">
        <v>9</v>
      </c>
      <c r="G171" s="950"/>
      <c r="H171" s="950"/>
      <c r="I171" s="950"/>
      <c r="J171" s="950"/>
      <c r="K171" s="950"/>
      <c r="L171" s="950"/>
      <c r="M171" s="950"/>
      <c r="N171" s="950"/>
      <c r="O171" s="950"/>
      <c r="P171" s="986" t="s">
        <v>9948</v>
      </c>
      <c r="Q171" s="986"/>
      <c r="R171" s="986" t="s">
        <v>9948</v>
      </c>
      <c r="S171" s="986" t="s">
        <v>9949</v>
      </c>
      <c r="T171" s="987">
        <f t="shared" ref="T171:T234" si="19">LEN(S171)</f>
        <v>95</v>
      </c>
      <c r="U171" s="986" t="s">
        <v>9949</v>
      </c>
      <c r="V171" s="987">
        <f t="shared" si="14"/>
        <v>95</v>
      </c>
      <c r="W171" s="986" t="s">
        <v>9950</v>
      </c>
      <c r="X171" s="987">
        <f>LEN(W171)</f>
        <v>29</v>
      </c>
      <c r="Y171" s="988" t="s">
        <v>9951</v>
      </c>
      <c r="Z171" s="987">
        <f t="shared" si="16"/>
        <v>80</v>
      </c>
      <c r="AA171" s="988" t="s">
        <v>9951</v>
      </c>
      <c r="AB171" s="987">
        <f t="shared" si="17"/>
        <v>80</v>
      </c>
      <c r="AC171" s="988" t="s">
        <v>9952</v>
      </c>
      <c r="AD171" s="987">
        <f>LEN(AC171)</f>
        <v>26</v>
      </c>
      <c r="AE171" s="987"/>
      <c r="AF171" s="987"/>
      <c r="AG171" s="999"/>
      <c r="AH171" s="1000"/>
      <c r="AI171" s="530" t="s">
        <v>2969</v>
      </c>
      <c r="AJ171" s="958">
        <v>1</v>
      </c>
      <c r="AK171" s="959"/>
      <c r="AL171" s="960" t="s">
        <v>9804</v>
      </c>
      <c r="AM171" s="989">
        <f>_xll.GetCtData("COAMOUNT","CONSAMOUNT",$A$1:$A$7,$D171,AM$10,"#")</f>
        <v>0</v>
      </c>
    </row>
    <row r="172" spans="1:39">
      <c r="A172" s="427" t="s">
        <v>6610</v>
      </c>
      <c r="B172" s="1010">
        <v>44753</v>
      </c>
      <c r="D172" s="990" t="s">
        <v>9953</v>
      </c>
      <c r="E172" s="949" t="s">
        <v>2930</v>
      </c>
      <c r="F172" s="950">
        <v>10</v>
      </c>
      <c r="G172" s="950"/>
      <c r="H172" s="950"/>
      <c r="I172" s="950"/>
      <c r="J172" s="950"/>
      <c r="K172" s="950"/>
      <c r="L172" s="950"/>
      <c r="M172" s="950"/>
      <c r="N172" s="950"/>
      <c r="O172" s="950"/>
      <c r="P172" s="950"/>
      <c r="Q172" s="991"/>
      <c r="R172" s="990" t="s">
        <v>9954</v>
      </c>
      <c r="S172" s="992" t="s">
        <v>9949</v>
      </c>
      <c r="T172" s="993">
        <f t="shared" si="19"/>
        <v>95</v>
      </c>
      <c r="U172" s="992" t="s">
        <v>9949</v>
      </c>
      <c r="V172" s="993">
        <f t="shared" si="14"/>
        <v>95</v>
      </c>
      <c r="W172" s="992" t="s">
        <v>9950</v>
      </c>
      <c r="X172" s="993">
        <f t="shared" si="15"/>
        <v>29</v>
      </c>
      <c r="Y172" s="994" t="s">
        <v>9951</v>
      </c>
      <c r="Z172" s="993">
        <f t="shared" si="16"/>
        <v>80</v>
      </c>
      <c r="AA172" s="994" t="s">
        <v>9951</v>
      </c>
      <c r="AB172" s="993">
        <f t="shared" si="17"/>
        <v>80</v>
      </c>
      <c r="AC172" s="994" t="s">
        <v>9952</v>
      </c>
      <c r="AD172" s="993">
        <f t="shared" si="18"/>
        <v>26</v>
      </c>
      <c r="AE172" s="518"/>
      <c r="AF172" s="519"/>
      <c r="AG172" s="995" t="s">
        <v>9179</v>
      </c>
      <c r="AH172" s="996" t="s">
        <v>169</v>
      </c>
      <c r="AI172" s="530" t="s">
        <v>2969</v>
      </c>
      <c r="AJ172" s="958">
        <v>1</v>
      </c>
      <c r="AK172" s="959" t="s">
        <v>5359</v>
      </c>
      <c r="AL172" s="960" t="s">
        <v>9804</v>
      </c>
      <c r="AM172" s="997">
        <f>_xll.GetCtData("COAMOUNT","CONSAMOUNT",$A$1:$A$7,$D172,AM$10,"#")</f>
        <v>0</v>
      </c>
    </row>
    <row r="173" spans="1:39">
      <c r="A173" s="427" t="s">
        <v>6610</v>
      </c>
      <c r="B173" s="427" t="s">
        <v>6610</v>
      </c>
      <c r="D173" s="970" t="s">
        <v>9955</v>
      </c>
      <c r="E173" s="949" t="s">
        <v>2912</v>
      </c>
      <c r="F173" s="950">
        <v>6</v>
      </c>
      <c r="G173" s="950"/>
      <c r="H173" s="950"/>
      <c r="I173" s="950"/>
      <c r="J173" s="950"/>
      <c r="K173" s="950"/>
      <c r="L173" s="950"/>
      <c r="M173" s="970" t="s">
        <v>9956</v>
      </c>
      <c r="N173" s="970"/>
      <c r="O173" s="970"/>
      <c r="P173" s="970"/>
      <c r="Q173" s="970"/>
      <c r="R173" s="970" t="s">
        <v>9956</v>
      </c>
      <c r="S173" s="970" t="s">
        <v>2447</v>
      </c>
      <c r="T173" s="972">
        <f t="shared" si="19"/>
        <v>35</v>
      </c>
      <c r="U173" s="970" t="s">
        <v>2447</v>
      </c>
      <c r="V173" s="972">
        <f t="shared" si="14"/>
        <v>35</v>
      </c>
      <c r="W173" s="970" t="s">
        <v>9957</v>
      </c>
      <c r="X173" s="972">
        <f t="shared" si="15"/>
        <v>27</v>
      </c>
      <c r="Y173" s="973" t="s">
        <v>9958</v>
      </c>
      <c r="Z173" s="972">
        <f t="shared" si="16"/>
        <v>41</v>
      </c>
      <c r="AA173" s="973" t="s">
        <v>9959</v>
      </c>
      <c r="AB173" s="972">
        <f t="shared" si="17"/>
        <v>40</v>
      </c>
      <c r="AC173" s="973" t="s">
        <v>9960</v>
      </c>
      <c r="AD173" s="972">
        <f t="shared" si="18"/>
        <v>21</v>
      </c>
      <c r="AE173" s="972"/>
      <c r="AF173" s="972"/>
      <c r="AG173" s="995"/>
      <c r="AH173" s="996"/>
      <c r="AI173" s="530" t="s">
        <v>2969</v>
      </c>
      <c r="AJ173" s="958">
        <v>1</v>
      </c>
      <c r="AK173" s="959"/>
      <c r="AL173" s="960" t="s">
        <v>5930</v>
      </c>
      <c r="AM173" s="974">
        <f>_xll.GetCtData("COAMOUNT","CONSAMOUNT",$A$1:$A$7,$D173,AM$10,"#-680742,493246197")</f>
        <v>-680742</v>
      </c>
    </row>
    <row r="174" spans="1:39">
      <c r="A174" s="427" t="s">
        <v>6610</v>
      </c>
      <c r="B174" s="427" t="s">
        <v>6610</v>
      </c>
      <c r="D174" s="410" t="s">
        <v>2543</v>
      </c>
      <c r="E174" s="949" t="s">
        <v>2912</v>
      </c>
      <c r="F174" s="950">
        <v>7</v>
      </c>
      <c r="G174" s="950"/>
      <c r="H174" s="950"/>
      <c r="I174" s="950"/>
      <c r="J174" s="950"/>
      <c r="K174" s="950"/>
      <c r="L174" s="950"/>
      <c r="M174" s="950"/>
      <c r="N174" s="410" t="s">
        <v>9961</v>
      </c>
      <c r="O174" s="975"/>
      <c r="P174" s="975"/>
      <c r="Q174" s="410"/>
      <c r="R174" s="410" t="s">
        <v>9961</v>
      </c>
      <c r="S174" s="410" t="s">
        <v>9962</v>
      </c>
      <c r="T174" s="976">
        <f t="shared" si="19"/>
        <v>63</v>
      </c>
      <c r="U174" s="410" t="s">
        <v>9962</v>
      </c>
      <c r="V174" s="976">
        <f t="shared" si="14"/>
        <v>63</v>
      </c>
      <c r="W174" s="410" t="s">
        <v>9963</v>
      </c>
      <c r="X174" s="976">
        <f t="shared" si="15"/>
        <v>21</v>
      </c>
      <c r="Y174" s="977" t="s">
        <v>9964</v>
      </c>
      <c r="Z174" s="976">
        <f t="shared" si="16"/>
        <v>55</v>
      </c>
      <c r="AA174" s="977" t="s">
        <v>9965</v>
      </c>
      <c r="AB174" s="976">
        <f t="shared" si="17"/>
        <v>54</v>
      </c>
      <c r="AC174" s="977" t="s">
        <v>9966</v>
      </c>
      <c r="AD174" s="976">
        <f t="shared" si="18"/>
        <v>30</v>
      </c>
      <c r="AE174" s="976"/>
      <c r="AF174" s="976"/>
      <c r="AG174" s="995"/>
      <c r="AH174" s="996"/>
      <c r="AI174" s="530" t="s">
        <v>2969</v>
      </c>
      <c r="AJ174" s="958">
        <v>1</v>
      </c>
      <c r="AK174" s="959"/>
      <c r="AL174" s="960" t="s">
        <v>5930</v>
      </c>
      <c r="AM174" s="980">
        <f>_xll.GetCtData("COAMOUNT","CONSAMOUNT",$A$1:$A$7,$D174,AM$10,"#-651953")</f>
        <v>-651953</v>
      </c>
    </row>
    <row r="175" spans="1:39">
      <c r="A175" s="427" t="s">
        <v>6610</v>
      </c>
      <c r="B175" s="427" t="s">
        <v>6610</v>
      </c>
      <c r="D175" s="981" t="s">
        <v>9967</v>
      </c>
      <c r="E175" s="949" t="s">
        <v>2912</v>
      </c>
      <c r="F175" s="950">
        <v>8</v>
      </c>
      <c r="G175" s="950"/>
      <c r="H175" s="950"/>
      <c r="I175" s="950"/>
      <c r="J175" s="950"/>
      <c r="K175" s="950"/>
      <c r="L175" s="950"/>
      <c r="M175" s="950"/>
      <c r="N175" s="950"/>
      <c r="O175" s="981" t="s">
        <v>9968</v>
      </c>
      <c r="P175" s="982"/>
      <c r="Q175" s="981"/>
      <c r="R175" s="981" t="s">
        <v>9968</v>
      </c>
      <c r="S175" s="981" t="s">
        <v>9969</v>
      </c>
      <c r="T175" s="1002">
        <f t="shared" si="19"/>
        <v>55</v>
      </c>
      <c r="U175" s="981" t="s">
        <v>9969</v>
      </c>
      <c r="V175" s="1002">
        <f t="shared" si="14"/>
        <v>55</v>
      </c>
      <c r="W175" s="981" t="s">
        <v>9970</v>
      </c>
      <c r="X175" s="1002">
        <f t="shared" si="15"/>
        <v>24</v>
      </c>
      <c r="Y175" s="1003" t="s">
        <v>9971</v>
      </c>
      <c r="Z175" s="1002">
        <f t="shared" si="16"/>
        <v>47</v>
      </c>
      <c r="AA175" s="1003" t="s">
        <v>9972</v>
      </c>
      <c r="AB175" s="1002">
        <f t="shared" si="17"/>
        <v>46</v>
      </c>
      <c r="AC175" s="1003" t="s">
        <v>9973</v>
      </c>
      <c r="AD175" s="1002">
        <f t="shared" si="18"/>
        <v>29</v>
      </c>
      <c r="AE175" s="1002"/>
      <c r="AF175" s="1002"/>
      <c r="AG175" s="995"/>
      <c r="AH175" s="996"/>
      <c r="AI175" s="530" t="s">
        <v>2969</v>
      </c>
      <c r="AJ175" s="958">
        <v>1</v>
      </c>
      <c r="AK175" s="959"/>
      <c r="AL175" s="960" t="s">
        <v>5930</v>
      </c>
      <c r="AM175" s="985">
        <f>_xll.GetCtData("COAMOUNT","CONSAMOUNT",$A$1:$A$7,$D175,AM$10,"#-642062")</f>
        <v>-642062</v>
      </c>
    </row>
    <row r="176" spans="1:39">
      <c r="A176" s="427" t="s">
        <v>6610</v>
      </c>
      <c r="B176" s="427" t="s">
        <v>6610</v>
      </c>
      <c r="D176" s="986" t="s">
        <v>9974</v>
      </c>
      <c r="E176" s="949" t="s">
        <v>2912</v>
      </c>
      <c r="F176" s="950">
        <v>9</v>
      </c>
      <c r="G176" s="950"/>
      <c r="H176" s="950"/>
      <c r="I176" s="950"/>
      <c r="J176" s="950"/>
      <c r="K176" s="950"/>
      <c r="L176" s="950"/>
      <c r="M176" s="950"/>
      <c r="N176" s="950"/>
      <c r="O176" s="950" t="s">
        <v>169</v>
      </c>
      <c r="P176" s="986" t="s">
        <v>9975</v>
      </c>
      <c r="Q176" s="986"/>
      <c r="R176" s="986" t="s">
        <v>9975</v>
      </c>
      <c r="S176" s="986" t="s">
        <v>9976</v>
      </c>
      <c r="T176" s="987">
        <f t="shared" si="19"/>
        <v>87</v>
      </c>
      <c r="U176" s="986" t="s">
        <v>9976</v>
      </c>
      <c r="V176" s="987">
        <f t="shared" si="14"/>
        <v>87</v>
      </c>
      <c r="W176" s="986" t="s">
        <v>9977</v>
      </c>
      <c r="X176" s="987">
        <f t="shared" si="15"/>
        <v>30</v>
      </c>
      <c r="Y176" s="988" t="s">
        <v>9978</v>
      </c>
      <c r="Z176" s="987">
        <f t="shared" si="16"/>
        <v>84</v>
      </c>
      <c r="AA176" s="988" t="s">
        <v>9979</v>
      </c>
      <c r="AB176" s="987">
        <f t="shared" si="17"/>
        <v>83</v>
      </c>
      <c r="AC176" s="988" t="s">
        <v>9980</v>
      </c>
      <c r="AD176" s="987">
        <f t="shared" si="18"/>
        <v>30</v>
      </c>
      <c r="AE176" s="987"/>
      <c r="AF176" s="987"/>
      <c r="AG176" s="999"/>
      <c r="AH176" s="1000"/>
      <c r="AI176" s="530" t="s">
        <v>2969</v>
      </c>
      <c r="AJ176" s="958">
        <v>1</v>
      </c>
      <c r="AK176" s="959"/>
      <c r="AL176" s="960" t="s">
        <v>5930</v>
      </c>
      <c r="AM176" s="989">
        <f>_xll.GetCtData("COAMOUNT","CONSAMOUNT",$A$1:$A$7,$D176,AM$10,"#-494006")</f>
        <v>-494006</v>
      </c>
    </row>
    <row r="177" spans="1:39">
      <c r="A177" s="427" t="s">
        <v>6610</v>
      </c>
      <c r="B177" s="427" t="s">
        <v>6610</v>
      </c>
      <c r="D177" s="990" t="s">
        <v>2811</v>
      </c>
      <c r="E177" s="949" t="s">
        <v>2930</v>
      </c>
      <c r="F177" s="950">
        <v>10</v>
      </c>
      <c r="G177" s="950"/>
      <c r="H177" s="950"/>
      <c r="I177" s="950"/>
      <c r="J177" s="950"/>
      <c r="K177" s="950"/>
      <c r="L177" s="950"/>
      <c r="M177" s="950"/>
      <c r="N177" s="950"/>
      <c r="O177" s="950"/>
      <c r="P177" s="950"/>
      <c r="Q177" s="991"/>
      <c r="R177" s="990" t="s">
        <v>1461</v>
      </c>
      <c r="S177" s="992" t="s">
        <v>1462</v>
      </c>
      <c r="T177" s="993">
        <f t="shared" si="19"/>
        <v>117</v>
      </c>
      <c r="U177" s="992" t="s">
        <v>1462</v>
      </c>
      <c r="V177" s="993">
        <f t="shared" si="14"/>
        <v>117</v>
      </c>
      <c r="W177" s="992" t="s">
        <v>9981</v>
      </c>
      <c r="X177" s="993">
        <f t="shared" si="15"/>
        <v>29</v>
      </c>
      <c r="Y177" s="994" t="s">
        <v>9982</v>
      </c>
      <c r="Z177" s="993">
        <f t="shared" si="16"/>
        <v>124</v>
      </c>
      <c r="AA177" s="994" t="s">
        <v>9983</v>
      </c>
      <c r="AB177" s="993">
        <f t="shared" si="17"/>
        <v>117</v>
      </c>
      <c r="AC177" s="994" t="s">
        <v>9984</v>
      </c>
      <c r="AD177" s="993">
        <f t="shared" si="18"/>
        <v>30</v>
      </c>
      <c r="AE177" s="518" t="s">
        <v>9985</v>
      </c>
      <c r="AF177" s="519" t="s">
        <v>9986</v>
      </c>
      <c r="AG177" s="995" t="s">
        <v>9179</v>
      </c>
      <c r="AH177" s="996" t="s">
        <v>169</v>
      </c>
      <c r="AI177" s="530" t="s">
        <v>2969</v>
      </c>
      <c r="AJ177" s="958">
        <v>1</v>
      </c>
      <c r="AK177" s="959" t="s">
        <v>5359</v>
      </c>
      <c r="AL177" s="960" t="s">
        <v>5930</v>
      </c>
      <c r="AM177" s="997">
        <f>_xll.GetCtData("COAMOUNT","CONSAMOUNT",$A$1:$A$7,$D177,AM$10,"#-494006")</f>
        <v>-494006</v>
      </c>
    </row>
    <row r="178" spans="1:39">
      <c r="A178" s="427" t="s">
        <v>6610</v>
      </c>
      <c r="B178" s="427" t="s">
        <v>6610</v>
      </c>
      <c r="D178" s="990" t="s">
        <v>2812</v>
      </c>
      <c r="E178" s="949" t="s">
        <v>2930</v>
      </c>
      <c r="F178" s="950">
        <v>10</v>
      </c>
      <c r="G178" s="950"/>
      <c r="H178" s="950"/>
      <c r="I178" s="950"/>
      <c r="J178" s="950"/>
      <c r="K178" s="950"/>
      <c r="L178" s="950"/>
      <c r="M178" s="950"/>
      <c r="N178" s="950"/>
      <c r="O178" s="950"/>
      <c r="P178" s="950"/>
      <c r="Q178" s="991"/>
      <c r="R178" s="990" t="s">
        <v>1763</v>
      </c>
      <c r="S178" s="992" t="s">
        <v>9987</v>
      </c>
      <c r="T178" s="993">
        <f t="shared" si="19"/>
        <v>133</v>
      </c>
      <c r="U178" s="992" t="s">
        <v>1764</v>
      </c>
      <c r="V178" s="993">
        <f t="shared" si="14"/>
        <v>116</v>
      </c>
      <c r="W178" s="992" t="s">
        <v>9988</v>
      </c>
      <c r="X178" s="993">
        <f t="shared" si="15"/>
        <v>30</v>
      </c>
      <c r="Y178" s="994" t="s">
        <v>9989</v>
      </c>
      <c r="Z178" s="993">
        <f t="shared" si="16"/>
        <v>138</v>
      </c>
      <c r="AA178" s="994" t="s">
        <v>9990</v>
      </c>
      <c r="AB178" s="993">
        <f t="shared" si="17"/>
        <v>120</v>
      </c>
      <c r="AC178" s="994" t="s">
        <v>9991</v>
      </c>
      <c r="AD178" s="993">
        <f t="shared" si="18"/>
        <v>30</v>
      </c>
      <c r="AE178" s="518" t="s">
        <v>9992</v>
      </c>
      <c r="AF178" s="519" t="s">
        <v>9993</v>
      </c>
      <c r="AG178" s="995" t="s">
        <v>9179</v>
      </c>
      <c r="AH178" s="996" t="s">
        <v>169</v>
      </c>
      <c r="AI178" s="530" t="s">
        <v>2969</v>
      </c>
      <c r="AJ178" s="958">
        <v>1</v>
      </c>
      <c r="AK178" s="959" t="s">
        <v>5359</v>
      </c>
      <c r="AL178" s="960"/>
      <c r="AM178" s="997">
        <f>_xll.GetCtData("COAMOUNT","CONSAMOUNT",$A$1:$A$7,$D178,AM$10,"#")</f>
        <v>0</v>
      </c>
    </row>
    <row r="179" spans="1:39">
      <c r="A179" s="427" t="s">
        <v>6610</v>
      </c>
      <c r="B179" s="427" t="s">
        <v>6610</v>
      </c>
      <c r="D179" s="986" t="s">
        <v>9994</v>
      </c>
      <c r="E179" s="949" t="s">
        <v>2912</v>
      </c>
      <c r="F179" s="950">
        <v>9</v>
      </c>
      <c r="G179" s="950"/>
      <c r="H179" s="950"/>
      <c r="I179" s="950"/>
      <c r="J179" s="950"/>
      <c r="K179" s="950"/>
      <c r="L179" s="950"/>
      <c r="M179" s="950"/>
      <c r="N179" s="950"/>
      <c r="O179" s="950" t="s">
        <v>169</v>
      </c>
      <c r="P179" s="986" t="s">
        <v>9995</v>
      </c>
      <c r="Q179" s="986"/>
      <c r="R179" s="986" t="s">
        <v>9995</v>
      </c>
      <c r="S179" s="986" t="s">
        <v>1466</v>
      </c>
      <c r="T179" s="987">
        <f t="shared" si="19"/>
        <v>106</v>
      </c>
      <c r="U179" s="986" t="s">
        <v>1466</v>
      </c>
      <c r="V179" s="987">
        <f t="shared" si="14"/>
        <v>106</v>
      </c>
      <c r="W179" s="986" t="s">
        <v>9996</v>
      </c>
      <c r="X179" s="987">
        <f t="shared" si="15"/>
        <v>30</v>
      </c>
      <c r="Y179" s="988" t="s">
        <v>9997</v>
      </c>
      <c r="Z179" s="987">
        <f t="shared" si="16"/>
        <v>88</v>
      </c>
      <c r="AA179" s="988" t="s">
        <v>9998</v>
      </c>
      <c r="AB179" s="987">
        <f t="shared" si="17"/>
        <v>87</v>
      </c>
      <c r="AC179" s="988" t="s">
        <v>9999</v>
      </c>
      <c r="AD179" s="987">
        <f t="shared" si="18"/>
        <v>30</v>
      </c>
      <c r="AE179" s="987"/>
      <c r="AF179" s="987"/>
      <c r="AG179" s="999"/>
      <c r="AH179" s="1000"/>
      <c r="AI179" s="530" t="s">
        <v>2969</v>
      </c>
      <c r="AJ179" s="958">
        <v>1</v>
      </c>
      <c r="AK179" s="959"/>
      <c r="AL179" s="960" t="s">
        <v>5930</v>
      </c>
      <c r="AM179" s="989">
        <f>_xll.GetCtData("COAMOUNT","CONSAMOUNT",$A$1:$A$7,$D179,AM$10,"#-11198")</f>
        <v>-11198</v>
      </c>
    </row>
    <row r="180" spans="1:39">
      <c r="A180" s="427" t="s">
        <v>6610</v>
      </c>
      <c r="B180" s="427" t="s">
        <v>6610</v>
      </c>
      <c r="D180" s="990" t="s">
        <v>2819</v>
      </c>
      <c r="E180" s="949" t="s">
        <v>2930</v>
      </c>
      <c r="F180" s="950">
        <v>10</v>
      </c>
      <c r="G180" s="950"/>
      <c r="H180" s="950"/>
      <c r="I180" s="950"/>
      <c r="J180" s="950"/>
      <c r="K180" s="950"/>
      <c r="L180" s="950"/>
      <c r="M180" s="950"/>
      <c r="N180" s="950"/>
      <c r="O180" s="950"/>
      <c r="P180" s="950"/>
      <c r="Q180" s="991"/>
      <c r="R180" s="990" t="s">
        <v>1465</v>
      </c>
      <c r="S180" s="992" t="s">
        <v>1466</v>
      </c>
      <c r="T180" s="993">
        <f t="shared" si="19"/>
        <v>106</v>
      </c>
      <c r="U180" s="992" t="s">
        <v>1466</v>
      </c>
      <c r="V180" s="993">
        <f t="shared" si="14"/>
        <v>106</v>
      </c>
      <c r="W180" s="992" t="s">
        <v>9996</v>
      </c>
      <c r="X180" s="993">
        <f t="shared" si="15"/>
        <v>30</v>
      </c>
      <c r="Y180" s="994" t="s">
        <v>9997</v>
      </c>
      <c r="Z180" s="993">
        <f t="shared" si="16"/>
        <v>88</v>
      </c>
      <c r="AA180" s="994" t="s">
        <v>9998</v>
      </c>
      <c r="AB180" s="993">
        <f t="shared" si="17"/>
        <v>87</v>
      </c>
      <c r="AC180" s="994" t="s">
        <v>9999</v>
      </c>
      <c r="AD180" s="993">
        <f t="shared" si="18"/>
        <v>30</v>
      </c>
      <c r="AE180" s="518" t="s">
        <v>10000</v>
      </c>
      <c r="AF180" s="519" t="s">
        <v>10001</v>
      </c>
      <c r="AG180" s="995" t="s">
        <v>9179</v>
      </c>
      <c r="AH180" s="996" t="s">
        <v>169</v>
      </c>
      <c r="AI180" s="530" t="s">
        <v>2969</v>
      </c>
      <c r="AJ180" s="958">
        <v>1</v>
      </c>
      <c r="AK180" s="959" t="s">
        <v>5359</v>
      </c>
      <c r="AL180" s="960" t="s">
        <v>5930</v>
      </c>
      <c r="AM180" s="997">
        <f>_xll.GetCtData("COAMOUNT","CONSAMOUNT",$A$1:$A$7,$D180,AM$10,"#-11198")</f>
        <v>-11198</v>
      </c>
    </row>
    <row r="181" spans="1:39">
      <c r="A181" s="427" t="s">
        <v>6610</v>
      </c>
      <c r="B181" s="427" t="s">
        <v>6610</v>
      </c>
      <c r="D181" s="986" t="s">
        <v>10002</v>
      </c>
      <c r="E181" s="949" t="s">
        <v>2912</v>
      </c>
      <c r="F181" s="950">
        <v>9</v>
      </c>
      <c r="G181" s="950"/>
      <c r="H181" s="950"/>
      <c r="I181" s="950"/>
      <c r="J181" s="950"/>
      <c r="K181" s="950"/>
      <c r="L181" s="950"/>
      <c r="M181" s="950"/>
      <c r="N181" s="950"/>
      <c r="O181" s="950" t="s">
        <v>169</v>
      </c>
      <c r="P181" s="986" t="s">
        <v>10003</v>
      </c>
      <c r="Q181" s="986"/>
      <c r="R181" s="986" t="s">
        <v>10003</v>
      </c>
      <c r="S181" s="986" t="s">
        <v>10004</v>
      </c>
      <c r="T181" s="987">
        <f t="shared" si="19"/>
        <v>124</v>
      </c>
      <c r="U181" s="986" t="s">
        <v>10005</v>
      </c>
      <c r="V181" s="987">
        <f t="shared" si="14"/>
        <v>118</v>
      </c>
      <c r="W181" s="986" t="s">
        <v>10006</v>
      </c>
      <c r="X181" s="987">
        <f t="shared" si="15"/>
        <v>29</v>
      </c>
      <c r="Y181" s="988" t="s">
        <v>10007</v>
      </c>
      <c r="Z181" s="987">
        <f t="shared" si="16"/>
        <v>84</v>
      </c>
      <c r="AA181" s="988" t="s">
        <v>10008</v>
      </c>
      <c r="AB181" s="987">
        <f t="shared" si="17"/>
        <v>83</v>
      </c>
      <c r="AC181" s="988" t="s">
        <v>10009</v>
      </c>
      <c r="AD181" s="987">
        <f t="shared" si="18"/>
        <v>29</v>
      </c>
      <c r="AE181" s="987"/>
      <c r="AF181" s="987"/>
      <c r="AG181" s="999"/>
      <c r="AH181" s="1000"/>
      <c r="AI181" s="530" t="s">
        <v>2969</v>
      </c>
      <c r="AJ181" s="958">
        <v>1</v>
      </c>
      <c r="AK181" s="959"/>
      <c r="AL181" s="960" t="s">
        <v>5930</v>
      </c>
      <c r="AM181" s="989">
        <f>_xll.GetCtData("COAMOUNT","CONSAMOUNT",$A$1:$A$7,$D181,AM$10,"#-60077")</f>
        <v>-60077</v>
      </c>
    </row>
    <row r="182" spans="1:39">
      <c r="A182" s="427" t="s">
        <v>6610</v>
      </c>
      <c r="B182" s="427" t="s">
        <v>6610</v>
      </c>
      <c r="D182" s="990" t="s">
        <v>2803</v>
      </c>
      <c r="E182" s="949" t="s">
        <v>2930</v>
      </c>
      <c r="F182" s="950">
        <v>10</v>
      </c>
      <c r="G182" s="950"/>
      <c r="H182" s="950"/>
      <c r="I182" s="950"/>
      <c r="J182" s="950"/>
      <c r="K182" s="950"/>
      <c r="L182" s="950"/>
      <c r="M182" s="950"/>
      <c r="N182" s="950"/>
      <c r="O182" s="950"/>
      <c r="P182" s="950"/>
      <c r="Q182" s="991"/>
      <c r="R182" s="990" t="s">
        <v>1469</v>
      </c>
      <c r="S182" s="992" t="s">
        <v>10004</v>
      </c>
      <c r="T182" s="993">
        <f t="shared" si="19"/>
        <v>124</v>
      </c>
      <c r="U182" s="992" t="s">
        <v>1470</v>
      </c>
      <c r="V182" s="993">
        <f t="shared" si="14"/>
        <v>119</v>
      </c>
      <c r="W182" s="992" t="s">
        <v>10006</v>
      </c>
      <c r="X182" s="993">
        <f t="shared" si="15"/>
        <v>29</v>
      </c>
      <c r="Y182" s="994" t="s">
        <v>10007</v>
      </c>
      <c r="Z182" s="993">
        <f t="shared" si="16"/>
        <v>84</v>
      </c>
      <c r="AA182" s="994" t="s">
        <v>10008</v>
      </c>
      <c r="AB182" s="993">
        <f t="shared" si="17"/>
        <v>83</v>
      </c>
      <c r="AC182" s="994" t="s">
        <v>10009</v>
      </c>
      <c r="AD182" s="993">
        <f t="shared" si="18"/>
        <v>29</v>
      </c>
      <c r="AE182" s="518" t="s">
        <v>10010</v>
      </c>
      <c r="AF182" s="519" t="s">
        <v>10011</v>
      </c>
      <c r="AG182" s="995" t="s">
        <v>9179</v>
      </c>
      <c r="AH182" s="996" t="s">
        <v>169</v>
      </c>
      <c r="AI182" s="530" t="s">
        <v>2969</v>
      </c>
      <c r="AJ182" s="958">
        <v>1</v>
      </c>
      <c r="AK182" s="959" t="s">
        <v>5359</v>
      </c>
      <c r="AL182" s="960" t="s">
        <v>5930</v>
      </c>
      <c r="AM182" s="997">
        <f>_xll.GetCtData("COAMOUNT","CONSAMOUNT",$A$1:$A$7,$D182,AM$10,"#-60077")</f>
        <v>-60077</v>
      </c>
    </row>
    <row r="183" spans="1:39">
      <c r="A183" s="427" t="s">
        <v>6610</v>
      </c>
      <c r="B183" s="427" t="s">
        <v>6610</v>
      </c>
      <c r="D183" s="986" t="s">
        <v>10012</v>
      </c>
      <c r="E183" s="949" t="s">
        <v>2912</v>
      </c>
      <c r="F183" s="950">
        <v>9</v>
      </c>
      <c r="G183" s="950"/>
      <c r="H183" s="950"/>
      <c r="I183" s="950"/>
      <c r="J183" s="950"/>
      <c r="K183" s="950"/>
      <c r="L183" s="950"/>
      <c r="M183" s="950"/>
      <c r="N183" s="950"/>
      <c r="O183" s="950" t="s">
        <v>169</v>
      </c>
      <c r="P183" s="986" t="s">
        <v>10013</v>
      </c>
      <c r="Q183" s="986"/>
      <c r="R183" s="986" t="s">
        <v>10013</v>
      </c>
      <c r="S183" s="986" t="s">
        <v>10014</v>
      </c>
      <c r="T183" s="987">
        <f t="shared" si="19"/>
        <v>89</v>
      </c>
      <c r="U183" s="986" t="s">
        <v>10014</v>
      </c>
      <c r="V183" s="987">
        <f t="shared" si="14"/>
        <v>89</v>
      </c>
      <c r="W183" s="986" t="s">
        <v>10015</v>
      </c>
      <c r="X183" s="987">
        <f t="shared" si="15"/>
        <v>30</v>
      </c>
      <c r="Y183" s="988" t="s">
        <v>10016</v>
      </c>
      <c r="Z183" s="987">
        <f t="shared" si="16"/>
        <v>71</v>
      </c>
      <c r="AA183" s="988" t="s">
        <v>10017</v>
      </c>
      <c r="AB183" s="987">
        <f t="shared" si="17"/>
        <v>70</v>
      </c>
      <c r="AC183" s="988" t="s">
        <v>10018</v>
      </c>
      <c r="AD183" s="987">
        <f t="shared" si="18"/>
        <v>29</v>
      </c>
      <c r="AE183" s="987"/>
      <c r="AF183" s="987"/>
      <c r="AG183" s="999"/>
      <c r="AH183" s="1000"/>
      <c r="AI183" s="530" t="s">
        <v>2969</v>
      </c>
      <c r="AJ183" s="958">
        <v>1</v>
      </c>
      <c r="AK183" s="959"/>
      <c r="AL183" s="960" t="s">
        <v>5930</v>
      </c>
      <c r="AM183" s="989">
        <f>_xll.GetCtData("COAMOUNT","CONSAMOUNT",$A$1:$A$7,$D183,AM$10,"#-8001")</f>
        <v>-8001</v>
      </c>
    </row>
    <row r="184" spans="1:39">
      <c r="A184" s="427">
        <v>3</v>
      </c>
      <c r="B184" s="427" t="s">
        <v>9153</v>
      </c>
      <c r="D184" s="990" t="s">
        <v>2815</v>
      </c>
      <c r="E184" s="949" t="s">
        <v>2930</v>
      </c>
      <c r="F184" s="950">
        <v>10</v>
      </c>
      <c r="G184" s="950"/>
      <c r="H184" s="950"/>
      <c r="I184" s="950"/>
      <c r="J184" s="950"/>
      <c r="K184" s="950"/>
      <c r="L184" s="950"/>
      <c r="M184" s="950"/>
      <c r="N184" s="950"/>
      <c r="O184" s="950"/>
      <c r="P184" s="950"/>
      <c r="Q184" s="991"/>
      <c r="R184" s="990" t="s">
        <v>1475</v>
      </c>
      <c r="S184" s="992" t="s">
        <v>1476</v>
      </c>
      <c r="T184" s="993">
        <f t="shared" si="19"/>
        <v>111</v>
      </c>
      <c r="U184" s="992" t="s">
        <v>1476</v>
      </c>
      <c r="V184" s="993">
        <f t="shared" si="14"/>
        <v>111</v>
      </c>
      <c r="W184" s="992" t="s">
        <v>10019</v>
      </c>
      <c r="X184" s="993">
        <f t="shared" si="15"/>
        <v>30</v>
      </c>
      <c r="Y184" s="994" t="s">
        <v>10020</v>
      </c>
      <c r="Z184" s="993">
        <f t="shared" si="16"/>
        <v>92</v>
      </c>
      <c r="AA184" s="994" t="s">
        <v>10021</v>
      </c>
      <c r="AB184" s="993">
        <f t="shared" si="17"/>
        <v>91</v>
      </c>
      <c r="AC184" s="994" t="s">
        <v>10022</v>
      </c>
      <c r="AD184" s="993">
        <f t="shared" si="18"/>
        <v>30</v>
      </c>
      <c r="AE184" s="518" t="s">
        <v>10023</v>
      </c>
      <c r="AF184" s="519" t="s">
        <v>10024</v>
      </c>
      <c r="AG184" s="995" t="s">
        <v>9179</v>
      </c>
      <c r="AH184" s="996" t="s">
        <v>169</v>
      </c>
      <c r="AI184" s="530" t="s">
        <v>2969</v>
      </c>
      <c r="AJ184" s="958">
        <v>1</v>
      </c>
      <c r="AK184" s="959" t="s">
        <v>5359</v>
      </c>
      <c r="AL184" s="960" t="s">
        <v>5930</v>
      </c>
      <c r="AM184" s="997">
        <f>_xll.GetCtData("COAMOUNT","CONSAMOUNT",$A$1:$A$7,$D184,AM$10,"#-4143")</f>
        <v>-4143</v>
      </c>
    </row>
    <row r="185" spans="1:39">
      <c r="A185" s="427">
        <v>3</v>
      </c>
      <c r="B185" s="427" t="s">
        <v>9153</v>
      </c>
      <c r="D185" s="990" t="s">
        <v>2816</v>
      </c>
      <c r="E185" s="949" t="s">
        <v>2930</v>
      </c>
      <c r="F185" s="950">
        <v>10</v>
      </c>
      <c r="G185" s="950"/>
      <c r="H185" s="950"/>
      <c r="I185" s="950"/>
      <c r="J185" s="950"/>
      <c r="K185" s="950"/>
      <c r="L185" s="950"/>
      <c r="M185" s="950"/>
      <c r="N185" s="950"/>
      <c r="O185" s="950"/>
      <c r="P185" s="950"/>
      <c r="Q185" s="991"/>
      <c r="R185" s="990" t="s">
        <v>1473</v>
      </c>
      <c r="S185" s="992" t="s">
        <v>1474</v>
      </c>
      <c r="T185" s="993">
        <f t="shared" si="19"/>
        <v>117</v>
      </c>
      <c r="U185" s="992" t="s">
        <v>1474</v>
      </c>
      <c r="V185" s="993">
        <f t="shared" si="14"/>
        <v>117</v>
      </c>
      <c r="W185" s="992" t="s">
        <v>10025</v>
      </c>
      <c r="X185" s="993">
        <f t="shared" si="15"/>
        <v>30</v>
      </c>
      <c r="Y185" s="994" t="s">
        <v>10026</v>
      </c>
      <c r="Z185" s="993">
        <f t="shared" si="16"/>
        <v>92</v>
      </c>
      <c r="AA185" s="994" t="s">
        <v>10027</v>
      </c>
      <c r="AB185" s="993">
        <f t="shared" si="17"/>
        <v>91</v>
      </c>
      <c r="AC185" s="994" t="s">
        <v>10028</v>
      </c>
      <c r="AD185" s="993">
        <f t="shared" si="18"/>
        <v>29</v>
      </c>
      <c r="AE185" s="518" t="s">
        <v>10029</v>
      </c>
      <c r="AF185" s="519" t="s">
        <v>10030</v>
      </c>
      <c r="AG185" s="995" t="s">
        <v>9179</v>
      </c>
      <c r="AH185" s="996" t="s">
        <v>169</v>
      </c>
      <c r="AI185" s="530" t="s">
        <v>2969</v>
      </c>
      <c r="AJ185" s="958">
        <v>1</v>
      </c>
      <c r="AK185" s="959" t="s">
        <v>5359</v>
      </c>
      <c r="AL185" s="960" t="s">
        <v>5930</v>
      </c>
      <c r="AM185" s="997">
        <f>_xll.GetCtData("COAMOUNT","CONSAMOUNT",$A$1:$A$7,$D185,AM$10,"#-3858")</f>
        <v>-3858</v>
      </c>
    </row>
    <row r="186" spans="1:39">
      <c r="A186" s="427" t="s">
        <v>2962</v>
      </c>
      <c r="B186" s="998">
        <v>44515</v>
      </c>
      <c r="D186" s="986" t="s">
        <v>10031</v>
      </c>
      <c r="E186" s="949" t="s">
        <v>2912</v>
      </c>
      <c r="F186" s="950">
        <v>9</v>
      </c>
      <c r="G186" s="950"/>
      <c r="H186" s="950"/>
      <c r="I186" s="950"/>
      <c r="J186" s="950"/>
      <c r="K186" s="950"/>
      <c r="L186" s="950"/>
      <c r="M186" s="950"/>
      <c r="N186" s="950"/>
      <c r="O186" s="950" t="s">
        <v>169</v>
      </c>
      <c r="P186" s="986" t="s">
        <v>10032</v>
      </c>
      <c r="Q186" s="986"/>
      <c r="R186" s="986" t="s">
        <v>10032</v>
      </c>
      <c r="S186" s="986" t="s">
        <v>10033</v>
      </c>
      <c r="T186" s="987">
        <f t="shared" si="19"/>
        <v>124</v>
      </c>
      <c r="U186" s="986" t="s">
        <v>1775</v>
      </c>
      <c r="V186" s="987">
        <f t="shared" si="14"/>
        <v>119</v>
      </c>
      <c r="W186" s="986" t="s">
        <v>10034</v>
      </c>
      <c r="X186" s="987">
        <f t="shared" si="15"/>
        <v>30</v>
      </c>
      <c r="Y186" s="988" t="s">
        <v>10035</v>
      </c>
      <c r="Z186" s="987">
        <f t="shared" si="16"/>
        <v>97</v>
      </c>
      <c r="AA186" s="988" t="s">
        <v>10035</v>
      </c>
      <c r="AB186" s="987">
        <f t="shared" si="17"/>
        <v>97</v>
      </c>
      <c r="AC186" s="988" t="s">
        <v>10036</v>
      </c>
      <c r="AD186" s="987">
        <f t="shared" si="18"/>
        <v>30</v>
      </c>
      <c r="AE186" s="987"/>
      <c r="AF186" s="987"/>
      <c r="AG186" s="999"/>
      <c r="AH186" s="1000"/>
      <c r="AI186" s="530" t="s">
        <v>2969</v>
      </c>
      <c r="AJ186" s="958">
        <v>1</v>
      </c>
      <c r="AK186" s="959"/>
      <c r="AL186" s="960" t="s">
        <v>10037</v>
      </c>
      <c r="AM186" s="989">
        <f>_xll.GetCtData("COAMOUNT","CONSAMOUNT",$A$1:$A$7,$D186,AM$10,"#")</f>
        <v>0</v>
      </c>
    </row>
    <row r="187" spans="1:39">
      <c r="A187" s="427" t="s">
        <v>2962</v>
      </c>
      <c r="B187" s="998">
        <v>44515</v>
      </c>
      <c r="D187" s="990" t="s">
        <v>2823</v>
      </c>
      <c r="E187" s="949" t="s">
        <v>2930</v>
      </c>
      <c r="F187" s="950">
        <v>10</v>
      </c>
      <c r="G187" s="950"/>
      <c r="H187" s="950"/>
      <c r="I187" s="950"/>
      <c r="J187" s="950"/>
      <c r="K187" s="950"/>
      <c r="L187" s="950"/>
      <c r="M187" s="950"/>
      <c r="N187" s="950"/>
      <c r="O187" s="950"/>
      <c r="P187" s="950"/>
      <c r="Q187" s="991"/>
      <c r="R187" s="990" t="s">
        <v>1774</v>
      </c>
      <c r="S187" s="992" t="s">
        <v>10033</v>
      </c>
      <c r="T187" s="993">
        <f t="shared" si="19"/>
        <v>124</v>
      </c>
      <c r="U187" s="992" t="s">
        <v>1775</v>
      </c>
      <c r="V187" s="993">
        <f t="shared" si="14"/>
        <v>119</v>
      </c>
      <c r="W187" s="992" t="s">
        <v>10034</v>
      </c>
      <c r="X187" s="993">
        <f t="shared" si="15"/>
        <v>30</v>
      </c>
      <c r="Y187" s="994" t="s">
        <v>10035</v>
      </c>
      <c r="Z187" s="993">
        <f t="shared" si="16"/>
        <v>97</v>
      </c>
      <c r="AA187" s="994" t="s">
        <v>10035</v>
      </c>
      <c r="AB187" s="993">
        <f t="shared" si="17"/>
        <v>97</v>
      </c>
      <c r="AC187" s="994" t="s">
        <v>10036</v>
      </c>
      <c r="AD187" s="993">
        <f t="shared" si="18"/>
        <v>30</v>
      </c>
      <c r="AE187" s="518" t="s">
        <v>10038</v>
      </c>
      <c r="AF187" s="519" t="s">
        <v>10039</v>
      </c>
      <c r="AG187" s="995" t="s">
        <v>9179</v>
      </c>
      <c r="AH187" s="996" t="s">
        <v>169</v>
      </c>
      <c r="AI187" s="530" t="s">
        <v>2969</v>
      </c>
      <c r="AJ187" s="958">
        <v>1</v>
      </c>
      <c r="AK187" s="959" t="s">
        <v>5359</v>
      </c>
      <c r="AL187" s="960" t="s">
        <v>10037</v>
      </c>
      <c r="AM187" s="997">
        <f>_xll.GetCtData("COAMOUNT","CONSAMOUNT",$A$1:$A$7,$D187,AM$10,"#")</f>
        <v>0</v>
      </c>
    </row>
    <row r="188" spans="1:39">
      <c r="A188" s="427" t="s">
        <v>2962</v>
      </c>
      <c r="B188" s="998">
        <v>44515</v>
      </c>
      <c r="D188" s="986" t="s">
        <v>10040</v>
      </c>
      <c r="E188" s="949" t="s">
        <v>2912</v>
      </c>
      <c r="F188" s="950">
        <v>9</v>
      </c>
      <c r="G188" s="950"/>
      <c r="H188" s="950"/>
      <c r="I188" s="950"/>
      <c r="J188" s="950"/>
      <c r="K188" s="950"/>
      <c r="L188" s="950"/>
      <c r="M188" s="950"/>
      <c r="N188" s="950"/>
      <c r="O188" s="950" t="s">
        <v>169</v>
      </c>
      <c r="P188" s="986" t="s">
        <v>10041</v>
      </c>
      <c r="Q188" s="986"/>
      <c r="R188" s="986" t="s">
        <v>10041</v>
      </c>
      <c r="S188" s="986" t="s">
        <v>10042</v>
      </c>
      <c r="T188" s="987">
        <f t="shared" si="19"/>
        <v>93</v>
      </c>
      <c r="U188" s="986" t="s">
        <v>10042</v>
      </c>
      <c r="V188" s="987">
        <f t="shared" si="14"/>
        <v>93</v>
      </c>
      <c r="W188" s="986" t="s">
        <v>10043</v>
      </c>
      <c r="X188" s="987">
        <f t="shared" si="15"/>
        <v>30</v>
      </c>
      <c r="Y188" s="988" t="s">
        <v>10044</v>
      </c>
      <c r="Z188" s="987">
        <f t="shared" si="16"/>
        <v>63</v>
      </c>
      <c r="AA188" s="988" t="s">
        <v>10044</v>
      </c>
      <c r="AB188" s="987">
        <f t="shared" si="17"/>
        <v>63</v>
      </c>
      <c r="AC188" s="988" t="s">
        <v>10045</v>
      </c>
      <c r="AD188" s="987">
        <f t="shared" si="18"/>
        <v>26</v>
      </c>
      <c r="AE188" s="987"/>
      <c r="AF188" s="987"/>
      <c r="AG188" s="967"/>
      <c r="AH188" s="968"/>
      <c r="AI188" s="530" t="s">
        <v>2969</v>
      </c>
      <c r="AJ188" s="958">
        <v>1</v>
      </c>
      <c r="AK188" s="959"/>
      <c r="AL188" s="960" t="s">
        <v>9251</v>
      </c>
      <c r="AM188" s="989">
        <f>_xll.GetCtData("COAMOUNT","CONSAMOUNT",$A$1:$A$7,$D188,AM$10,"#")</f>
        <v>0</v>
      </c>
    </row>
    <row r="189" spans="1:39">
      <c r="A189" s="427" t="s">
        <v>2962</v>
      </c>
      <c r="B189" s="998">
        <v>44515</v>
      </c>
      <c r="D189" s="990" t="s">
        <v>10046</v>
      </c>
      <c r="E189" s="949" t="s">
        <v>2930</v>
      </c>
      <c r="F189" s="950">
        <v>10</v>
      </c>
      <c r="G189" s="950"/>
      <c r="H189" s="950"/>
      <c r="I189" s="950"/>
      <c r="J189" s="950"/>
      <c r="K189" s="950"/>
      <c r="L189" s="950"/>
      <c r="M189" s="950"/>
      <c r="N189" s="950"/>
      <c r="O189" s="950"/>
      <c r="P189" s="950"/>
      <c r="Q189" s="991"/>
      <c r="R189" s="990" t="s">
        <v>10047</v>
      </c>
      <c r="S189" s="992" t="s">
        <v>10042</v>
      </c>
      <c r="T189" s="993">
        <f t="shared" si="19"/>
        <v>93</v>
      </c>
      <c r="U189" s="992" t="s">
        <v>10042</v>
      </c>
      <c r="V189" s="993">
        <f t="shared" si="14"/>
        <v>93</v>
      </c>
      <c r="W189" s="992" t="s">
        <v>10043</v>
      </c>
      <c r="X189" s="993">
        <f t="shared" si="15"/>
        <v>30</v>
      </c>
      <c r="Y189" s="994" t="s">
        <v>10044</v>
      </c>
      <c r="Z189" s="993">
        <f t="shared" si="16"/>
        <v>63</v>
      </c>
      <c r="AA189" s="994" t="s">
        <v>10044</v>
      </c>
      <c r="AB189" s="993">
        <f t="shared" si="17"/>
        <v>63</v>
      </c>
      <c r="AC189" s="994" t="s">
        <v>10045</v>
      </c>
      <c r="AD189" s="993">
        <f t="shared" si="18"/>
        <v>26</v>
      </c>
      <c r="AE189" s="518" t="s">
        <v>10048</v>
      </c>
      <c r="AF189" s="519" t="s">
        <v>10049</v>
      </c>
      <c r="AG189" s="995" t="s">
        <v>9179</v>
      </c>
      <c r="AH189" s="996" t="s">
        <v>169</v>
      </c>
      <c r="AI189" s="530" t="s">
        <v>2969</v>
      </c>
      <c r="AJ189" s="958">
        <v>1</v>
      </c>
      <c r="AK189" s="959" t="s">
        <v>5359</v>
      </c>
      <c r="AL189" s="960" t="s">
        <v>9251</v>
      </c>
      <c r="AM189" s="997">
        <f>_xll.GetCtData("COAMOUNT","CONSAMOUNT",$A$1:$A$7,$D189,AM$10,"#")</f>
        <v>0</v>
      </c>
    </row>
    <row r="190" spans="1:39">
      <c r="B190" s="1010">
        <v>44753</v>
      </c>
      <c r="D190" s="986" t="s">
        <v>10050</v>
      </c>
      <c r="E190" s="949" t="s">
        <v>2912</v>
      </c>
      <c r="F190" s="950">
        <v>9</v>
      </c>
      <c r="G190" s="950"/>
      <c r="H190" s="950"/>
      <c r="I190" s="950"/>
      <c r="J190" s="950"/>
      <c r="K190" s="950"/>
      <c r="L190" s="950"/>
      <c r="M190" s="950"/>
      <c r="N190" s="950"/>
      <c r="O190" s="950"/>
      <c r="P190" s="986" t="s">
        <v>10051</v>
      </c>
      <c r="Q190" s="986"/>
      <c r="R190" s="986" t="s">
        <v>10051</v>
      </c>
      <c r="S190" s="986" t="s">
        <v>10052</v>
      </c>
      <c r="T190" s="987">
        <f>LEN(S190)</f>
        <v>93</v>
      </c>
      <c r="U190" s="986" t="s">
        <v>10052</v>
      </c>
      <c r="V190" s="987">
        <f>LEN(U190)</f>
        <v>93</v>
      </c>
      <c r="W190" s="986" t="s">
        <v>10053</v>
      </c>
      <c r="X190" s="987">
        <f>LEN(W190)</f>
        <v>28</v>
      </c>
      <c r="Y190" s="988" t="s">
        <v>10054</v>
      </c>
      <c r="Z190" s="987">
        <f>LEN(Y190)</f>
        <v>78</v>
      </c>
      <c r="AA190" s="988" t="s">
        <v>10054</v>
      </c>
      <c r="AB190" s="987">
        <f>LEN(AA190)</f>
        <v>78</v>
      </c>
      <c r="AC190" s="988" t="s">
        <v>10055</v>
      </c>
      <c r="AD190" s="987">
        <f>LEN(AC190)</f>
        <v>27</v>
      </c>
      <c r="AE190" s="987"/>
      <c r="AF190" s="987"/>
      <c r="AG190" s="999"/>
      <c r="AH190" s="1000"/>
      <c r="AI190" s="530" t="s">
        <v>2969</v>
      </c>
      <c r="AJ190" s="958">
        <v>1</v>
      </c>
      <c r="AK190" s="959"/>
      <c r="AL190" s="960" t="s">
        <v>9804</v>
      </c>
      <c r="AM190" s="989">
        <f>_xll.GetCtData("COAMOUNT","CONSAMOUNT",$A$1:$A$7,$D190,AM$10,"#-68780")</f>
        <v>-68780</v>
      </c>
    </row>
    <row r="191" spans="1:39">
      <c r="B191" s="1010">
        <v>44753</v>
      </c>
      <c r="D191" s="990" t="s">
        <v>10056</v>
      </c>
      <c r="E191" s="949" t="s">
        <v>2930</v>
      </c>
      <c r="F191" s="950">
        <v>10</v>
      </c>
      <c r="G191" s="950"/>
      <c r="H191" s="950"/>
      <c r="I191" s="950"/>
      <c r="J191" s="950"/>
      <c r="K191" s="950"/>
      <c r="L191" s="950"/>
      <c r="M191" s="950"/>
      <c r="N191" s="950"/>
      <c r="O191" s="950"/>
      <c r="P191" s="950"/>
      <c r="Q191" s="991"/>
      <c r="R191" s="990" t="s">
        <v>10057</v>
      </c>
      <c r="S191" s="992" t="s">
        <v>10052</v>
      </c>
      <c r="T191" s="993">
        <f>LEN(S191)</f>
        <v>93</v>
      </c>
      <c r="U191" s="992" t="s">
        <v>10052</v>
      </c>
      <c r="V191" s="993">
        <f>LEN(U191)</f>
        <v>93</v>
      </c>
      <c r="W191" s="992" t="s">
        <v>10053</v>
      </c>
      <c r="X191" s="993">
        <f>LEN(W191)</f>
        <v>28</v>
      </c>
      <c r="Y191" s="994" t="s">
        <v>10054</v>
      </c>
      <c r="Z191" s="993">
        <f>LEN(Y191)</f>
        <v>78</v>
      </c>
      <c r="AA191" s="994" t="s">
        <v>10054</v>
      </c>
      <c r="AB191" s="993">
        <f>LEN(AA191)</f>
        <v>78</v>
      </c>
      <c r="AC191" s="994" t="s">
        <v>10055</v>
      </c>
      <c r="AD191" s="993">
        <f>LEN(AC191)</f>
        <v>27</v>
      </c>
      <c r="AE191" s="662"/>
      <c r="AF191" s="663"/>
      <c r="AG191" s="995" t="s">
        <v>9179</v>
      </c>
      <c r="AH191" s="996" t="s">
        <v>169</v>
      </c>
      <c r="AI191" s="530" t="s">
        <v>2969</v>
      </c>
      <c r="AJ191" s="958">
        <v>1</v>
      </c>
      <c r="AK191" s="959" t="s">
        <v>5359</v>
      </c>
      <c r="AL191" s="960" t="s">
        <v>9804</v>
      </c>
      <c r="AM191" s="997">
        <f>_xll.GetCtData("COAMOUNT","CONSAMOUNT",$A$1:$A$7,$D191,AM$10,"#-68780")</f>
        <v>-68780</v>
      </c>
    </row>
    <row r="192" spans="1:39">
      <c r="A192" s="427" t="s">
        <v>6610</v>
      </c>
      <c r="B192" s="427" t="s">
        <v>6610</v>
      </c>
      <c r="D192" s="981" t="s">
        <v>10058</v>
      </c>
      <c r="E192" s="949" t="s">
        <v>2912</v>
      </c>
      <c r="F192" s="950">
        <v>8</v>
      </c>
      <c r="G192" s="950"/>
      <c r="H192" s="950"/>
      <c r="I192" s="950"/>
      <c r="J192" s="950"/>
      <c r="K192" s="950"/>
      <c r="L192" s="950"/>
      <c r="M192" s="950"/>
      <c r="N192" s="950"/>
      <c r="O192" s="981" t="s">
        <v>10059</v>
      </c>
      <c r="P192" s="982"/>
      <c r="Q192" s="981"/>
      <c r="R192" s="981" t="s">
        <v>10059</v>
      </c>
      <c r="S192" s="981" t="s">
        <v>10060</v>
      </c>
      <c r="T192" s="1002">
        <f t="shared" si="19"/>
        <v>55</v>
      </c>
      <c r="U192" s="981" t="s">
        <v>10060</v>
      </c>
      <c r="V192" s="1002">
        <f t="shared" si="14"/>
        <v>55</v>
      </c>
      <c r="W192" s="981" t="s">
        <v>10061</v>
      </c>
      <c r="X192" s="1002">
        <f t="shared" si="15"/>
        <v>14</v>
      </c>
      <c r="Y192" s="1003" t="s">
        <v>10062</v>
      </c>
      <c r="Z192" s="1002">
        <f t="shared" si="16"/>
        <v>47</v>
      </c>
      <c r="AA192" s="1003" t="s">
        <v>10063</v>
      </c>
      <c r="AB192" s="1002">
        <f t="shared" si="17"/>
        <v>46</v>
      </c>
      <c r="AC192" s="1003" t="s">
        <v>10064</v>
      </c>
      <c r="AD192" s="1002">
        <f t="shared" si="18"/>
        <v>29</v>
      </c>
      <c r="AE192" s="1002"/>
      <c r="AF192" s="1002"/>
      <c r="AG192" s="995"/>
      <c r="AH192" s="996"/>
      <c r="AI192" s="530" t="s">
        <v>2969</v>
      </c>
      <c r="AJ192" s="958">
        <v>1</v>
      </c>
      <c r="AK192" s="959"/>
      <c r="AL192" s="960" t="s">
        <v>5930</v>
      </c>
      <c r="AM192" s="985">
        <f>_xll.GetCtData("COAMOUNT","CONSAMOUNT",$A$1:$A$7,$D192,AM$10,"#-9891")</f>
        <v>-9891</v>
      </c>
    </row>
    <row r="193" spans="1:39">
      <c r="A193" s="427" t="s">
        <v>6610</v>
      </c>
      <c r="B193" s="427" t="s">
        <v>6610</v>
      </c>
      <c r="D193" s="986" t="s">
        <v>10065</v>
      </c>
      <c r="E193" s="949" t="s">
        <v>2912</v>
      </c>
      <c r="F193" s="950">
        <v>9</v>
      </c>
      <c r="G193" s="950"/>
      <c r="H193" s="950"/>
      <c r="I193" s="950"/>
      <c r="J193" s="950"/>
      <c r="K193" s="950"/>
      <c r="L193" s="950"/>
      <c r="M193" s="950"/>
      <c r="N193" s="950"/>
      <c r="O193" s="950" t="s">
        <v>169</v>
      </c>
      <c r="P193" s="986" t="s">
        <v>10066</v>
      </c>
      <c r="Q193" s="986"/>
      <c r="R193" s="986" t="s">
        <v>10066</v>
      </c>
      <c r="S193" s="986" t="s">
        <v>10067</v>
      </c>
      <c r="T193" s="987">
        <f t="shared" si="19"/>
        <v>87</v>
      </c>
      <c r="U193" s="986" t="s">
        <v>10067</v>
      </c>
      <c r="V193" s="987">
        <f t="shared" si="14"/>
        <v>87</v>
      </c>
      <c r="W193" s="986" t="s">
        <v>10068</v>
      </c>
      <c r="X193" s="987">
        <f t="shared" si="15"/>
        <v>27</v>
      </c>
      <c r="Y193" s="988" t="s">
        <v>10069</v>
      </c>
      <c r="Z193" s="987">
        <f t="shared" si="16"/>
        <v>84</v>
      </c>
      <c r="AA193" s="988" t="s">
        <v>10070</v>
      </c>
      <c r="AB193" s="987">
        <f t="shared" si="17"/>
        <v>83</v>
      </c>
      <c r="AC193" s="988" t="s">
        <v>10071</v>
      </c>
      <c r="AD193" s="987">
        <f t="shared" si="18"/>
        <v>28</v>
      </c>
      <c r="AE193" s="987"/>
      <c r="AF193" s="987"/>
      <c r="AG193" s="999"/>
      <c r="AH193" s="1000"/>
      <c r="AI193" s="530" t="s">
        <v>2969</v>
      </c>
      <c r="AJ193" s="958">
        <v>1</v>
      </c>
      <c r="AK193" s="959"/>
      <c r="AL193" s="960" t="s">
        <v>5930</v>
      </c>
      <c r="AM193" s="989">
        <f>_xll.GetCtData("COAMOUNT","CONSAMOUNT",$A$1:$A$7,$D193,AM$10,"#-2517")</f>
        <v>-2517</v>
      </c>
    </row>
    <row r="194" spans="1:39">
      <c r="A194" s="427" t="s">
        <v>6610</v>
      </c>
      <c r="B194" s="427" t="s">
        <v>6610</v>
      </c>
      <c r="D194" s="990" t="s">
        <v>2813</v>
      </c>
      <c r="E194" s="949" t="s">
        <v>2930</v>
      </c>
      <c r="F194" s="950">
        <v>10</v>
      </c>
      <c r="G194" s="950"/>
      <c r="H194" s="950"/>
      <c r="I194" s="950"/>
      <c r="J194" s="950"/>
      <c r="K194" s="950"/>
      <c r="L194" s="950"/>
      <c r="M194" s="950"/>
      <c r="N194" s="950"/>
      <c r="O194" s="950"/>
      <c r="P194" s="950"/>
      <c r="Q194" s="991"/>
      <c r="R194" s="990" t="s">
        <v>1463</v>
      </c>
      <c r="S194" s="992" t="s">
        <v>1464</v>
      </c>
      <c r="T194" s="993">
        <f t="shared" si="19"/>
        <v>117</v>
      </c>
      <c r="U194" s="992" t="s">
        <v>1464</v>
      </c>
      <c r="V194" s="993">
        <f t="shared" si="14"/>
        <v>117</v>
      </c>
      <c r="W194" s="992" t="s">
        <v>10072</v>
      </c>
      <c r="X194" s="993">
        <f t="shared" si="15"/>
        <v>28</v>
      </c>
      <c r="Y194" s="994" t="s">
        <v>10073</v>
      </c>
      <c r="Z194" s="993">
        <f t="shared" si="16"/>
        <v>124</v>
      </c>
      <c r="AA194" s="994" t="s">
        <v>10074</v>
      </c>
      <c r="AB194" s="993">
        <f t="shared" si="17"/>
        <v>117</v>
      </c>
      <c r="AC194" s="994" t="s">
        <v>10075</v>
      </c>
      <c r="AD194" s="993">
        <f t="shared" si="18"/>
        <v>30</v>
      </c>
      <c r="AE194" s="518" t="s">
        <v>9985</v>
      </c>
      <c r="AF194" s="519" t="s">
        <v>9986</v>
      </c>
      <c r="AG194" s="995" t="s">
        <v>9179</v>
      </c>
      <c r="AH194" s="996" t="s">
        <v>169</v>
      </c>
      <c r="AI194" s="530" t="s">
        <v>2969</v>
      </c>
      <c r="AJ194" s="958">
        <v>1</v>
      </c>
      <c r="AK194" s="959" t="s">
        <v>5359</v>
      </c>
      <c r="AL194" s="960" t="s">
        <v>5930</v>
      </c>
      <c r="AM194" s="997">
        <f>_xll.GetCtData("COAMOUNT","CONSAMOUNT",$A$1:$A$7,$D194,AM$10,"#-2517")</f>
        <v>-2517</v>
      </c>
    </row>
    <row r="195" spans="1:39">
      <c r="A195" s="427" t="s">
        <v>6610</v>
      </c>
      <c r="B195" s="427" t="s">
        <v>6610</v>
      </c>
      <c r="D195" s="990" t="s">
        <v>2814</v>
      </c>
      <c r="E195" s="949" t="s">
        <v>2930</v>
      </c>
      <c r="F195" s="950">
        <v>10</v>
      </c>
      <c r="G195" s="950"/>
      <c r="H195" s="950"/>
      <c r="I195" s="950"/>
      <c r="J195" s="950"/>
      <c r="K195" s="950"/>
      <c r="L195" s="950"/>
      <c r="M195" s="950"/>
      <c r="N195" s="950"/>
      <c r="O195" s="950"/>
      <c r="P195" s="950"/>
      <c r="Q195" s="991"/>
      <c r="R195" s="990" t="s">
        <v>1765</v>
      </c>
      <c r="S195" s="992" t="s">
        <v>10076</v>
      </c>
      <c r="T195" s="993">
        <f t="shared" si="19"/>
        <v>133</v>
      </c>
      <c r="U195" s="992" t="s">
        <v>1766</v>
      </c>
      <c r="V195" s="993">
        <f t="shared" si="14"/>
        <v>115</v>
      </c>
      <c r="W195" s="992" t="s">
        <v>10077</v>
      </c>
      <c r="X195" s="993">
        <f t="shared" si="15"/>
        <v>30</v>
      </c>
      <c r="Y195" s="994" t="s">
        <v>10078</v>
      </c>
      <c r="Z195" s="993">
        <f t="shared" si="16"/>
        <v>138</v>
      </c>
      <c r="AA195" s="994" t="s">
        <v>10079</v>
      </c>
      <c r="AB195" s="993">
        <f t="shared" si="17"/>
        <v>113</v>
      </c>
      <c r="AC195" s="994" t="s">
        <v>10080</v>
      </c>
      <c r="AD195" s="993">
        <f t="shared" si="18"/>
        <v>30</v>
      </c>
      <c r="AE195" s="518" t="s">
        <v>9992</v>
      </c>
      <c r="AF195" s="519" t="s">
        <v>9993</v>
      </c>
      <c r="AG195" s="995" t="s">
        <v>9179</v>
      </c>
      <c r="AH195" s="996" t="s">
        <v>169</v>
      </c>
      <c r="AI195" s="530" t="s">
        <v>2969</v>
      </c>
      <c r="AJ195" s="958">
        <v>1</v>
      </c>
      <c r="AK195" s="959" t="s">
        <v>5359</v>
      </c>
      <c r="AL195" s="960" t="s">
        <v>5930</v>
      </c>
      <c r="AM195" s="997">
        <f>_xll.GetCtData("COAMOUNT","CONSAMOUNT",$A$1:$A$7,$D195,AM$10,"#")</f>
        <v>0</v>
      </c>
    </row>
    <row r="196" spans="1:39">
      <c r="A196" s="427" t="s">
        <v>6610</v>
      </c>
      <c r="B196" s="427" t="s">
        <v>6610</v>
      </c>
      <c r="D196" s="986" t="s">
        <v>10081</v>
      </c>
      <c r="E196" s="949" t="s">
        <v>2912</v>
      </c>
      <c r="F196" s="950">
        <v>9</v>
      </c>
      <c r="G196" s="950"/>
      <c r="H196" s="950"/>
      <c r="I196" s="950"/>
      <c r="J196" s="950"/>
      <c r="K196" s="950"/>
      <c r="L196" s="950"/>
      <c r="M196" s="950"/>
      <c r="N196" s="950"/>
      <c r="O196" s="950" t="s">
        <v>169</v>
      </c>
      <c r="P196" s="986" t="s">
        <v>10082</v>
      </c>
      <c r="Q196" s="986"/>
      <c r="R196" s="986" t="s">
        <v>10082</v>
      </c>
      <c r="S196" s="986" t="s">
        <v>1468</v>
      </c>
      <c r="T196" s="987">
        <f t="shared" si="19"/>
        <v>106</v>
      </c>
      <c r="U196" s="986" t="s">
        <v>1468</v>
      </c>
      <c r="V196" s="987">
        <f t="shared" si="14"/>
        <v>106</v>
      </c>
      <c r="W196" s="986" t="s">
        <v>10083</v>
      </c>
      <c r="X196" s="987">
        <f t="shared" si="15"/>
        <v>30</v>
      </c>
      <c r="Y196" s="988" t="s">
        <v>10084</v>
      </c>
      <c r="Z196" s="987">
        <f t="shared" si="16"/>
        <v>88</v>
      </c>
      <c r="AA196" s="988" t="s">
        <v>10085</v>
      </c>
      <c r="AB196" s="987">
        <f t="shared" si="17"/>
        <v>87</v>
      </c>
      <c r="AC196" s="988" t="s">
        <v>10086</v>
      </c>
      <c r="AD196" s="987">
        <f t="shared" si="18"/>
        <v>30</v>
      </c>
      <c r="AE196" s="987"/>
      <c r="AF196" s="987"/>
      <c r="AG196" s="999"/>
      <c r="AH196" s="1000"/>
      <c r="AI196" s="530" t="s">
        <v>2969</v>
      </c>
      <c r="AJ196" s="958">
        <v>1</v>
      </c>
      <c r="AK196" s="959"/>
      <c r="AL196" s="960" t="s">
        <v>5930</v>
      </c>
      <c r="AM196" s="989">
        <f>_xll.GetCtData("COAMOUNT","CONSAMOUNT",$A$1:$A$7,$D196,AM$10,"#-10")</f>
        <v>-10</v>
      </c>
    </row>
    <row r="197" spans="1:39">
      <c r="A197" s="427" t="s">
        <v>6610</v>
      </c>
      <c r="B197" s="427" t="s">
        <v>6610</v>
      </c>
      <c r="D197" s="990" t="s">
        <v>2820</v>
      </c>
      <c r="E197" s="949" t="s">
        <v>2930</v>
      </c>
      <c r="F197" s="950">
        <v>10</v>
      </c>
      <c r="G197" s="950"/>
      <c r="H197" s="950"/>
      <c r="I197" s="950"/>
      <c r="J197" s="950"/>
      <c r="K197" s="950"/>
      <c r="L197" s="950"/>
      <c r="M197" s="950"/>
      <c r="N197" s="950"/>
      <c r="O197" s="950"/>
      <c r="P197" s="950"/>
      <c r="Q197" s="991"/>
      <c r="R197" s="990" t="s">
        <v>1467</v>
      </c>
      <c r="S197" s="992" t="s">
        <v>1468</v>
      </c>
      <c r="T197" s="993">
        <f t="shared" si="19"/>
        <v>106</v>
      </c>
      <c r="U197" s="992" t="s">
        <v>1468</v>
      </c>
      <c r="V197" s="993">
        <f t="shared" si="14"/>
        <v>106</v>
      </c>
      <c r="W197" s="992" t="s">
        <v>10083</v>
      </c>
      <c r="X197" s="993">
        <f t="shared" si="15"/>
        <v>30</v>
      </c>
      <c r="Y197" s="994" t="s">
        <v>10084</v>
      </c>
      <c r="Z197" s="993">
        <f t="shared" si="16"/>
        <v>88</v>
      </c>
      <c r="AA197" s="994" t="s">
        <v>10085</v>
      </c>
      <c r="AB197" s="993">
        <f t="shared" si="17"/>
        <v>87</v>
      </c>
      <c r="AC197" s="994" t="s">
        <v>10086</v>
      </c>
      <c r="AD197" s="993">
        <f t="shared" si="18"/>
        <v>30</v>
      </c>
      <c r="AE197" s="518" t="s">
        <v>10000</v>
      </c>
      <c r="AF197" s="519" t="s">
        <v>10001</v>
      </c>
      <c r="AG197" s="995" t="s">
        <v>9179</v>
      </c>
      <c r="AH197" s="996" t="s">
        <v>169</v>
      </c>
      <c r="AI197" s="530" t="s">
        <v>2969</v>
      </c>
      <c r="AJ197" s="958">
        <v>1</v>
      </c>
      <c r="AK197" s="959" t="s">
        <v>5359</v>
      </c>
      <c r="AL197" s="960" t="s">
        <v>5930</v>
      </c>
      <c r="AM197" s="997">
        <f>_xll.GetCtData("COAMOUNT","CONSAMOUNT",$A$1:$A$7,$D197,AM$10,"#-10")</f>
        <v>-10</v>
      </c>
    </row>
    <row r="198" spans="1:39">
      <c r="A198" s="427" t="s">
        <v>6610</v>
      </c>
      <c r="B198" s="427" t="s">
        <v>6610</v>
      </c>
      <c r="D198" s="986" t="s">
        <v>10087</v>
      </c>
      <c r="E198" s="949" t="s">
        <v>2912</v>
      </c>
      <c r="F198" s="950">
        <v>9</v>
      </c>
      <c r="G198" s="950"/>
      <c r="H198" s="950"/>
      <c r="I198" s="950"/>
      <c r="J198" s="950"/>
      <c r="K198" s="950"/>
      <c r="L198" s="950"/>
      <c r="M198" s="950"/>
      <c r="N198" s="950"/>
      <c r="O198" s="950" t="s">
        <v>169</v>
      </c>
      <c r="P198" s="986" t="s">
        <v>10088</v>
      </c>
      <c r="Q198" s="986"/>
      <c r="R198" s="986" t="s">
        <v>10088</v>
      </c>
      <c r="S198" s="986" t="s">
        <v>10089</v>
      </c>
      <c r="T198" s="987">
        <f t="shared" si="19"/>
        <v>124</v>
      </c>
      <c r="U198" s="986" t="s">
        <v>1472</v>
      </c>
      <c r="V198" s="987">
        <f t="shared" si="14"/>
        <v>119</v>
      </c>
      <c r="W198" s="986" t="s">
        <v>10090</v>
      </c>
      <c r="X198" s="987">
        <f t="shared" si="15"/>
        <v>29</v>
      </c>
      <c r="Y198" s="988" t="s">
        <v>10091</v>
      </c>
      <c r="Z198" s="987">
        <f t="shared" si="16"/>
        <v>84</v>
      </c>
      <c r="AA198" s="988" t="s">
        <v>10092</v>
      </c>
      <c r="AB198" s="987">
        <f t="shared" si="17"/>
        <v>83</v>
      </c>
      <c r="AC198" s="988" t="s">
        <v>10093</v>
      </c>
      <c r="AD198" s="987">
        <f t="shared" si="18"/>
        <v>30</v>
      </c>
      <c r="AE198" s="987"/>
      <c r="AF198" s="987"/>
      <c r="AG198" s="999"/>
      <c r="AH198" s="1000"/>
      <c r="AI198" s="530" t="s">
        <v>2969</v>
      </c>
      <c r="AJ198" s="958">
        <v>1</v>
      </c>
      <c r="AK198" s="959"/>
      <c r="AL198" s="960" t="s">
        <v>5930</v>
      </c>
      <c r="AM198" s="989">
        <f>_xll.GetCtData("COAMOUNT","CONSAMOUNT",$A$1:$A$7,$D198,AM$10,"#-6520")</f>
        <v>-6520</v>
      </c>
    </row>
    <row r="199" spans="1:39">
      <c r="A199" s="427" t="s">
        <v>6610</v>
      </c>
      <c r="B199" s="427" t="s">
        <v>6610</v>
      </c>
      <c r="D199" s="990" t="s">
        <v>2804</v>
      </c>
      <c r="E199" s="949" t="s">
        <v>2930</v>
      </c>
      <c r="F199" s="950">
        <v>10</v>
      </c>
      <c r="G199" s="950"/>
      <c r="H199" s="950"/>
      <c r="I199" s="950"/>
      <c r="J199" s="950"/>
      <c r="K199" s="950"/>
      <c r="L199" s="950"/>
      <c r="M199" s="950"/>
      <c r="N199" s="950"/>
      <c r="O199" s="950"/>
      <c r="P199" s="950"/>
      <c r="Q199" s="991"/>
      <c r="R199" s="990" t="s">
        <v>1471</v>
      </c>
      <c r="S199" s="992" t="s">
        <v>10089</v>
      </c>
      <c r="T199" s="993">
        <f t="shared" si="19"/>
        <v>124</v>
      </c>
      <c r="U199" s="992" t="s">
        <v>1472</v>
      </c>
      <c r="V199" s="993">
        <f t="shared" si="14"/>
        <v>119</v>
      </c>
      <c r="W199" s="992" t="s">
        <v>10090</v>
      </c>
      <c r="X199" s="993">
        <f t="shared" si="15"/>
        <v>29</v>
      </c>
      <c r="Y199" s="994" t="s">
        <v>10091</v>
      </c>
      <c r="Z199" s="993">
        <f t="shared" si="16"/>
        <v>84</v>
      </c>
      <c r="AA199" s="994" t="s">
        <v>10092</v>
      </c>
      <c r="AB199" s="993">
        <f t="shared" si="17"/>
        <v>83</v>
      </c>
      <c r="AC199" s="994" t="s">
        <v>10093</v>
      </c>
      <c r="AD199" s="993">
        <f t="shared" si="18"/>
        <v>30</v>
      </c>
      <c r="AE199" s="518" t="s">
        <v>10010</v>
      </c>
      <c r="AF199" s="519" t="s">
        <v>10011</v>
      </c>
      <c r="AG199" s="995" t="s">
        <v>9179</v>
      </c>
      <c r="AH199" s="996" t="s">
        <v>169</v>
      </c>
      <c r="AI199" s="530" t="s">
        <v>2969</v>
      </c>
      <c r="AJ199" s="958">
        <v>1</v>
      </c>
      <c r="AK199" s="959" t="s">
        <v>5359</v>
      </c>
      <c r="AL199" s="960" t="s">
        <v>5930</v>
      </c>
      <c r="AM199" s="997">
        <f>_xll.GetCtData("COAMOUNT","CONSAMOUNT",$A$1:$A$7,$D199,AM$10,"#-6520")</f>
        <v>-6520</v>
      </c>
    </row>
    <row r="200" spans="1:39">
      <c r="A200" s="427" t="s">
        <v>6610</v>
      </c>
      <c r="B200" s="427" t="s">
        <v>6610</v>
      </c>
      <c r="D200" s="986" t="s">
        <v>10094</v>
      </c>
      <c r="E200" s="949" t="s">
        <v>2912</v>
      </c>
      <c r="F200" s="950">
        <v>9</v>
      </c>
      <c r="G200" s="950"/>
      <c r="H200" s="950"/>
      <c r="I200" s="950"/>
      <c r="J200" s="950"/>
      <c r="K200" s="950"/>
      <c r="L200" s="950"/>
      <c r="M200" s="950"/>
      <c r="N200" s="950"/>
      <c r="O200" s="950" t="s">
        <v>169</v>
      </c>
      <c r="P200" s="986" t="s">
        <v>10095</v>
      </c>
      <c r="Q200" s="986"/>
      <c r="R200" s="986" t="s">
        <v>10095</v>
      </c>
      <c r="S200" s="986" t="s">
        <v>10096</v>
      </c>
      <c r="T200" s="987">
        <f t="shared" si="19"/>
        <v>89</v>
      </c>
      <c r="U200" s="986" t="s">
        <v>10096</v>
      </c>
      <c r="V200" s="987">
        <f t="shared" si="14"/>
        <v>89</v>
      </c>
      <c r="W200" s="986" t="s">
        <v>10097</v>
      </c>
      <c r="X200" s="987">
        <f t="shared" si="15"/>
        <v>26</v>
      </c>
      <c r="Y200" s="988" t="s">
        <v>10098</v>
      </c>
      <c r="Z200" s="987">
        <f t="shared" si="16"/>
        <v>71</v>
      </c>
      <c r="AA200" s="988" t="s">
        <v>10099</v>
      </c>
      <c r="AB200" s="987">
        <f t="shared" si="17"/>
        <v>70</v>
      </c>
      <c r="AC200" s="988" t="s">
        <v>10100</v>
      </c>
      <c r="AD200" s="987">
        <f t="shared" si="18"/>
        <v>27</v>
      </c>
      <c r="AE200" s="987"/>
      <c r="AF200" s="987"/>
      <c r="AG200" s="999"/>
      <c r="AH200" s="1000"/>
      <c r="AI200" s="530" t="s">
        <v>2969</v>
      </c>
      <c r="AJ200" s="958">
        <v>1</v>
      </c>
      <c r="AK200" s="959"/>
      <c r="AL200" s="960" t="s">
        <v>5930</v>
      </c>
      <c r="AM200" s="989">
        <f>_xll.GetCtData("COAMOUNT","CONSAMOUNT",$A$1:$A$7,$D200,AM$10,"#")</f>
        <v>0</v>
      </c>
    </row>
    <row r="201" spans="1:39">
      <c r="A201" s="427">
        <v>3</v>
      </c>
      <c r="B201" s="427" t="s">
        <v>9153</v>
      </c>
      <c r="D201" s="990" t="s">
        <v>2817</v>
      </c>
      <c r="E201" s="949" t="s">
        <v>2930</v>
      </c>
      <c r="F201" s="950">
        <v>10</v>
      </c>
      <c r="G201" s="950"/>
      <c r="H201" s="950"/>
      <c r="I201" s="950"/>
      <c r="J201" s="950"/>
      <c r="K201" s="950"/>
      <c r="L201" s="950"/>
      <c r="M201" s="950"/>
      <c r="N201" s="950"/>
      <c r="O201" s="950"/>
      <c r="P201" s="950"/>
      <c r="Q201" s="991"/>
      <c r="R201" s="990" t="s">
        <v>1767</v>
      </c>
      <c r="S201" s="992" t="s">
        <v>1768</v>
      </c>
      <c r="T201" s="993">
        <f t="shared" si="19"/>
        <v>111</v>
      </c>
      <c r="U201" s="992" t="s">
        <v>1768</v>
      </c>
      <c r="V201" s="993">
        <f t="shared" si="14"/>
        <v>111</v>
      </c>
      <c r="W201" s="992" t="s">
        <v>10101</v>
      </c>
      <c r="X201" s="993">
        <f t="shared" si="15"/>
        <v>25</v>
      </c>
      <c r="Y201" s="994" t="s">
        <v>10102</v>
      </c>
      <c r="Z201" s="993">
        <f t="shared" si="16"/>
        <v>92</v>
      </c>
      <c r="AA201" s="994" t="s">
        <v>10103</v>
      </c>
      <c r="AB201" s="993">
        <f t="shared" si="17"/>
        <v>91</v>
      </c>
      <c r="AC201" s="994" t="s">
        <v>10104</v>
      </c>
      <c r="AD201" s="993">
        <f t="shared" si="18"/>
        <v>30</v>
      </c>
      <c r="AE201" s="518" t="s">
        <v>10023</v>
      </c>
      <c r="AF201" s="519" t="s">
        <v>10024</v>
      </c>
      <c r="AG201" s="995" t="s">
        <v>9179</v>
      </c>
      <c r="AH201" s="996" t="s">
        <v>169</v>
      </c>
      <c r="AI201" s="530" t="s">
        <v>2969</v>
      </c>
      <c r="AJ201" s="958">
        <v>1</v>
      </c>
      <c r="AK201" s="959" t="s">
        <v>5359</v>
      </c>
      <c r="AL201" s="960" t="s">
        <v>5930</v>
      </c>
      <c r="AM201" s="997">
        <f>_xll.GetCtData("COAMOUNT","CONSAMOUNT",$A$1:$A$7,$D201,AM$10,"#")</f>
        <v>0</v>
      </c>
    </row>
    <row r="202" spans="1:39">
      <c r="A202" s="427">
        <v>3</v>
      </c>
      <c r="B202" s="427" t="s">
        <v>9153</v>
      </c>
      <c r="D202" s="990" t="s">
        <v>2818</v>
      </c>
      <c r="E202" s="949" t="s">
        <v>2930</v>
      </c>
      <c r="F202" s="950">
        <v>10</v>
      </c>
      <c r="G202" s="950"/>
      <c r="H202" s="950"/>
      <c r="I202" s="950"/>
      <c r="J202" s="950"/>
      <c r="K202" s="950"/>
      <c r="L202" s="950"/>
      <c r="M202" s="950"/>
      <c r="N202" s="950"/>
      <c r="O202" s="950"/>
      <c r="P202" s="950"/>
      <c r="Q202" s="991"/>
      <c r="R202" s="990" t="s">
        <v>1769</v>
      </c>
      <c r="S202" s="992" t="s">
        <v>1770</v>
      </c>
      <c r="T202" s="993">
        <f t="shared" si="19"/>
        <v>117</v>
      </c>
      <c r="U202" s="992" t="s">
        <v>1770</v>
      </c>
      <c r="V202" s="993">
        <f t="shared" si="14"/>
        <v>117</v>
      </c>
      <c r="W202" s="992" t="s">
        <v>10105</v>
      </c>
      <c r="X202" s="993">
        <f t="shared" si="15"/>
        <v>26</v>
      </c>
      <c r="Y202" s="994" t="s">
        <v>10106</v>
      </c>
      <c r="Z202" s="993">
        <f t="shared" si="16"/>
        <v>92</v>
      </c>
      <c r="AA202" s="994" t="s">
        <v>10107</v>
      </c>
      <c r="AB202" s="993">
        <f t="shared" si="17"/>
        <v>91</v>
      </c>
      <c r="AC202" s="994" t="s">
        <v>10108</v>
      </c>
      <c r="AD202" s="993">
        <f t="shared" si="18"/>
        <v>30</v>
      </c>
      <c r="AE202" s="518" t="s">
        <v>10029</v>
      </c>
      <c r="AF202" s="519" t="s">
        <v>10030</v>
      </c>
      <c r="AG202" s="995" t="s">
        <v>9179</v>
      </c>
      <c r="AH202" s="996" t="s">
        <v>169</v>
      </c>
      <c r="AI202" s="530" t="s">
        <v>2969</v>
      </c>
      <c r="AJ202" s="958">
        <v>1</v>
      </c>
      <c r="AK202" s="959" t="s">
        <v>5359</v>
      </c>
      <c r="AL202" s="960" t="s">
        <v>5930</v>
      </c>
      <c r="AM202" s="997">
        <f>_xll.GetCtData("COAMOUNT","CONSAMOUNT",$A$1:$A$7,$D202,AM$10,"#")</f>
        <v>0</v>
      </c>
    </row>
    <row r="203" spans="1:39">
      <c r="A203" s="427" t="s">
        <v>2962</v>
      </c>
      <c r="B203" s="998">
        <v>44515</v>
      </c>
      <c r="D203" s="986" t="s">
        <v>10109</v>
      </c>
      <c r="E203" s="949" t="s">
        <v>2912</v>
      </c>
      <c r="F203" s="950">
        <v>9</v>
      </c>
      <c r="G203" s="950"/>
      <c r="H203" s="950"/>
      <c r="I203" s="950"/>
      <c r="J203" s="950"/>
      <c r="K203" s="950"/>
      <c r="L203" s="950"/>
      <c r="M203" s="950"/>
      <c r="N203" s="950"/>
      <c r="O203" s="950" t="s">
        <v>169</v>
      </c>
      <c r="P203" s="986" t="s">
        <v>10110</v>
      </c>
      <c r="Q203" s="986"/>
      <c r="R203" s="986" t="s">
        <v>10110</v>
      </c>
      <c r="S203" s="986" t="s">
        <v>10111</v>
      </c>
      <c r="T203" s="987">
        <f t="shared" si="19"/>
        <v>124</v>
      </c>
      <c r="U203" s="986" t="s">
        <v>1777</v>
      </c>
      <c r="V203" s="987">
        <f t="shared" si="14"/>
        <v>119</v>
      </c>
      <c r="W203" s="986" t="s">
        <v>10112</v>
      </c>
      <c r="X203" s="987">
        <f t="shared" si="15"/>
        <v>30</v>
      </c>
      <c r="Y203" s="988" t="s">
        <v>10113</v>
      </c>
      <c r="Z203" s="987">
        <f t="shared" si="16"/>
        <v>97</v>
      </c>
      <c r="AA203" s="988" t="s">
        <v>10113</v>
      </c>
      <c r="AB203" s="987">
        <f t="shared" si="17"/>
        <v>97</v>
      </c>
      <c r="AC203" s="988" t="s">
        <v>10114</v>
      </c>
      <c r="AD203" s="987">
        <f t="shared" si="18"/>
        <v>30</v>
      </c>
      <c r="AE203" s="987"/>
      <c r="AF203" s="987"/>
      <c r="AG203" s="999"/>
      <c r="AH203" s="1000"/>
      <c r="AI203" s="530" t="s">
        <v>2969</v>
      </c>
      <c r="AJ203" s="958">
        <v>1</v>
      </c>
      <c r="AK203" s="959"/>
      <c r="AL203" s="960" t="s">
        <v>10037</v>
      </c>
      <c r="AM203" s="989">
        <f>_xll.GetCtData("COAMOUNT","CONSAMOUNT",$A$1:$A$7,$D203,AM$10,"#")</f>
        <v>0</v>
      </c>
    </row>
    <row r="204" spans="1:39">
      <c r="A204" s="427" t="s">
        <v>2962</v>
      </c>
      <c r="B204" s="998">
        <v>44515</v>
      </c>
      <c r="D204" s="990" t="s">
        <v>2824</v>
      </c>
      <c r="E204" s="949" t="s">
        <v>2930</v>
      </c>
      <c r="F204" s="950">
        <v>10</v>
      </c>
      <c r="G204" s="950"/>
      <c r="H204" s="950"/>
      <c r="I204" s="950"/>
      <c r="J204" s="950"/>
      <c r="K204" s="950"/>
      <c r="L204" s="950"/>
      <c r="M204" s="950"/>
      <c r="N204" s="950"/>
      <c r="O204" s="950"/>
      <c r="P204" s="950"/>
      <c r="Q204" s="991"/>
      <c r="R204" s="990" t="s">
        <v>1776</v>
      </c>
      <c r="S204" s="992" t="s">
        <v>10111</v>
      </c>
      <c r="T204" s="993">
        <f t="shared" si="19"/>
        <v>124</v>
      </c>
      <c r="U204" s="992" t="s">
        <v>1777</v>
      </c>
      <c r="V204" s="993">
        <f t="shared" si="14"/>
        <v>119</v>
      </c>
      <c r="W204" s="992" t="s">
        <v>10112</v>
      </c>
      <c r="X204" s="993">
        <f t="shared" si="15"/>
        <v>30</v>
      </c>
      <c r="Y204" s="994" t="s">
        <v>10113</v>
      </c>
      <c r="Z204" s="993">
        <f t="shared" si="16"/>
        <v>97</v>
      </c>
      <c r="AA204" s="994" t="s">
        <v>10113</v>
      </c>
      <c r="AB204" s="993">
        <f t="shared" si="17"/>
        <v>97</v>
      </c>
      <c r="AC204" s="994" t="s">
        <v>10114</v>
      </c>
      <c r="AD204" s="993">
        <f t="shared" si="18"/>
        <v>30</v>
      </c>
      <c r="AE204" s="518" t="s">
        <v>10038</v>
      </c>
      <c r="AF204" s="519" t="s">
        <v>10039</v>
      </c>
      <c r="AG204" s="995" t="s">
        <v>9179</v>
      </c>
      <c r="AH204" s="996" t="s">
        <v>169</v>
      </c>
      <c r="AI204" s="530" t="s">
        <v>2969</v>
      </c>
      <c r="AJ204" s="958">
        <v>1</v>
      </c>
      <c r="AK204" s="959" t="s">
        <v>5359</v>
      </c>
      <c r="AL204" s="960" t="s">
        <v>10037</v>
      </c>
      <c r="AM204" s="997">
        <f>_xll.GetCtData("COAMOUNT","CONSAMOUNT",$A$1:$A$7,$D204,AM$10,"#")</f>
        <v>0</v>
      </c>
    </row>
    <row r="205" spans="1:39">
      <c r="A205" s="427" t="s">
        <v>2962</v>
      </c>
      <c r="B205" s="998">
        <v>44515</v>
      </c>
      <c r="D205" s="986" t="s">
        <v>10115</v>
      </c>
      <c r="E205" s="949" t="s">
        <v>2912</v>
      </c>
      <c r="F205" s="950">
        <v>9</v>
      </c>
      <c r="G205" s="950"/>
      <c r="H205" s="950"/>
      <c r="I205" s="950"/>
      <c r="J205" s="950"/>
      <c r="K205" s="950"/>
      <c r="L205" s="950"/>
      <c r="M205" s="950"/>
      <c r="N205" s="950"/>
      <c r="O205" s="950" t="s">
        <v>169</v>
      </c>
      <c r="P205" s="986" t="s">
        <v>10116</v>
      </c>
      <c r="Q205" s="986"/>
      <c r="R205" s="986" t="s">
        <v>10116</v>
      </c>
      <c r="S205" s="986" t="s">
        <v>10117</v>
      </c>
      <c r="T205" s="987">
        <f t="shared" si="19"/>
        <v>93</v>
      </c>
      <c r="U205" s="986" t="s">
        <v>10117</v>
      </c>
      <c r="V205" s="987">
        <f t="shared" si="14"/>
        <v>93</v>
      </c>
      <c r="W205" s="986" t="s">
        <v>10118</v>
      </c>
      <c r="X205" s="987">
        <f t="shared" si="15"/>
        <v>30</v>
      </c>
      <c r="Y205" s="988" t="s">
        <v>10119</v>
      </c>
      <c r="Z205" s="987">
        <f t="shared" si="16"/>
        <v>61</v>
      </c>
      <c r="AA205" s="988" t="s">
        <v>10119</v>
      </c>
      <c r="AB205" s="987">
        <f t="shared" si="17"/>
        <v>61</v>
      </c>
      <c r="AC205" s="988" t="s">
        <v>10120</v>
      </c>
      <c r="AD205" s="987">
        <f t="shared" si="18"/>
        <v>26</v>
      </c>
      <c r="AE205" s="987"/>
      <c r="AF205" s="987"/>
      <c r="AG205" s="967"/>
      <c r="AH205" s="968"/>
      <c r="AI205" s="530" t="s">
        <v>2969</v>
      </c>
      <c r="AJ205" s="958">
        <v>1</v>
      </c>
      <c r="AK205" s="959"/>
      <c r="AL205" s="960" t="s">
        <v>9251</v>
      </c>
      <c r="AM205" s="989">
        <f>_xll.GetCtData("COAMOUNT","CONSAMOUNT",$A$1:$A$7,$D205,AM$10,"#")</f>
        <v>0</v>
      </c>
    </row>
    <row r="206" spans="1:39">
      <c r="A206" s="427" t="s">
        <v>2962</v>
      </c>
      <c r="B206" s="998">
        <v>44515</v>
      </c>
      <c r="D206" s="990" t="s">
        <v>10121</v>
      </c>
      <c r="E206" s="949" t="s">
        <v>2930</v>
      </c>
      <c r="F206" s="950">
        <v>10</v>
      </c>
      <c r="G206" s="950"/>
      <c r="H206" s="950"/>
      <c r="I206" s="950"/>
      <c r="J206" s="950"/>
      <c r="K206" s="950"/>
      <c r="L206" s="950"/>
      <c r="M206" s="950"/>
      <c r="N206" s="950"/>
      <c r="O206" s="950"/>
      <c r="P206" s="950"/>
      <c r="Q206" s="991"/>
      <c r="R206" s="990" t="s">
        <v>10122</v>
      </c>
      <c r="S206" s="992" t="s">
        <v>10117</v>
      </c>
      <c r="T206" s="993">
        <f t="shared" si="19"/>
        <v>93</v>
      </c>
      <c r="U206" s="992" t="s">
        <v>10117</v>
      </c>
      <c r="V206" s="993">
        <f t="shared" si="14"/>
        <v>93</v>
      </c>
      <c r="W206" s="992" t="s">
        <v>10118</v>
      </c>
      <c r="X206" s="993">
        <f t="shared" si="15"/>
        <v>30</v>
      </c>
      <c r="Y206" s="994" t="s">
        <v>10119</v>
      </c>
      <c r="Z206" s="993">
        <f t="shared" si="16"/>
        <v>61</v>
      </c>
      <c r="AA206" s="994" t="s">
        <v>10119</v>
      </c>
      <c r="AB206" s="993">
        <f t="shared" si="17"/>
        <v>61</v>
      </c>
      <c r="AC206" s="994" t="s">
        <v>10120</v>
      </c>
      <c r="AD206" s="993">
        <f t="shared" si="18"/>
        <v>26</v>
      </c>
      <c r="AE206" s="518" t="s">
        <v>10048</v>
      </c>
      <c r="AF206" s="519" t="s">
        <v>10049</v>
      </c>
      <c r="AG206" s="995" t="s">
        <v>9179</v>
      </c>
      <c r="AH206" s="996" t="s">
        <v>169</v>
      </c>
      <c r="AI206" s="530" t="s">
        <v>2969</v>
      </c>
      <c r="AJ206" s="958">
        <v>1</v>
      </c>
      <c r="AK206" s="959" t="s">
        <v>5359</v>
      </c>
      <c r="AL206" s="960" t="s">
        <v>9251</v>
      </c>
      <c r="AM206" s="997">
        <f>_xll.GetCtData("COAMOUNT","CONSAMOUNT",$A$1:$A$7,$D206,AM$10,"#")</f>
        <v>0</v>
      </c>
    </row>
    <row r="207" spans="1:39">
      <c r="B207" s="1010">
        <v>44753</v>
      </c>
      <c r="D207" s="986" t="s">
        <v>10123</v>
      </c>
      <c r="E207" s="949" t="s">
        <v>2912</v>
      </c>
      <c r="F207" s="950">
        <v>9</v>
      </c>
      <c r="G207" s="950"/>
      <c r="H207" s="950"/>
      <c r="I207" s="950"/>
      <c r="J207" s="950"/>
      <c r="K207" s="950"/>
      <c r="L207" s="950"/>
      <c r="M207" s="950"/>
      <c r="N207" s="950"/>
      <c r="O207" s="950"/>
      <c r="P207" s="986" t="s">
        <v>10124</v>
      </c>
      <c r="Q207" s="986"/>
      <c r="R207" s="986" t="s">
        <v>10124</v>
      </c>
      <c r="S207" s="986" t="s">
        <v>10125</v>
      </c>
      <c r="T207" s="987">
        <f>LEN(S207)</f>
        <v>93</v>
      </c>
      <c r="U207" s="986" t="s">
        <v>10125</v>
      </c>
      <c r="V207" s="987">
        <f>LEN(U207)</f>
        <v>93</v>
      </c>
      <c r="W207" s="986" t="s">
        <v>10126</v>
      </c>
      <c r="X207" s="987">
        <f>LEN(W207)</f>
        <v>28</v>
      </c>
      <c r="Y207" s="988" t="s">
        <v>10127</v>
      </c>
      <c r="Z207" s="987">
        <f>LEN(Y207)</f>
        <v>77</v>
      </c>
      <c r="AA207" s="988" t="s">
        <v>10127</v>
      </c>
      <c r="AB207" s="987">
        <f>LEN(AA207)</f>
        <v>77</v>
      </c>
      <c r="AC207" s="988" t="s">
        <v>10128</v>
      </c>
      <c r="AD207" s="987">
        <f>LEN(AC207)</f>
        <v>27</v>
      </c>
      <c r="AE207" s="987"/>
      <c r="AF207" s="987"/>
      <c r="AG207" s="999"/>
      <c r="AH207" s="1000"/>
      <c r="AI207" s="530" t="s">
        <v>2969</v>
      </c>
      <c r="AJ207" s="958">
        <v>1</v>
      </c>
      <c r="AK207" s="959"/>
      <c r="AL207" s="960" t="s">
        <v>9804</v>
      </c>
      <c r="AM207" s="989">
        <f>_xll.GetCtData("COAMOUNT","CONSAMOUNT",$A$1:$A$7,$D207,AM$10,"#-844")</f>
        <v>-844</v>
      </c>
    </row>
    <row r="208" spans="1:39">
      <c r="B208" s="1010">
        <v>44753</v>
      </c>
      <c r="D208" s="990" t="s">
        <v>10129</v>
      </c>
      <c r="E208" s="949" t="s">
        <v>2930</v>
      </c>
      <c r="F208" s="950">
        <v>10</v>
      </c>
      <c r="G208" s="950"/>
      <c r="H208" s="950"/>
      <c r="I208" s="950"/>
      <c r="J208" s="950"/>
      <c r="K208" s="950"/>
      <c r="L208" s="950"/>
      <c r="M208" s="950"/>
      <c r="N208" s="950"/>
      <c r="O208" s="950"/>
      <c r="P208" s="950"/>
      <c r="Q208" s="991"/>
      <c r="R208" s="990" t="s">
        <v>10130</v>
      </c>
      <c r="S208" s="992" t="s">
        <v>10125</v>
      </c>
      <c r="T208" s="993">
        <f>LEN(S208)</f>
        <v>93</v>
      </c>
      <c r="U208" s="992" t="s">
        <v>10125</v>
      </c>
      <c r="V208" s="993">
        <f>LEN(U208)</f>
        <v>93</v>
      </c>
      <c r="W208" s="992" t="s">
        <v>10126</v>
      </c>
      <c r="X208" s="993">
        <f>LEN(W208)</f>
        <v>28</v>
      </c>
      <c r="Y208" s="994" t="s">
        <v>10127</v>
      </c>
      <c r="Z208" s="993">
        <f>LEN(Y208)</f>
        <v>77</v>
      </c>
      <c r="AA208" s="994" t="s">
        <v>10127</v>
      </c>
      <c r="AB208" s="993">
        <f>LEN(AA208)</f>
        <v>77</v>
      </c>
      <c r="AC208" s="994" t="s">
        <v>10128</v>
      </c>
      <c r="AD208" s="993">
        <f>LEN(AC208)</f>
        <v>27</v>
      </c>
      <c r="AE208" s="662"/>
      <c r="AF208" s="663"/>
      <c r="AG208" s="995" t="s">
        <v>9179</v>
      </c>
      <c r="AH208" s="996" t="s">
        <v>169</v>
      </c>
      <c r="AI208" s="530" t="s">
        <v>2969</v>
      </c>
      <c r="AJ208" s="958">
        <v>1</v>
      </c>
      <c r="AK208" s="959" t="s">
        <v>5359</v>
      </c>
      <c r="AL208" s="960" t="s">
        <v>9804</v>
      </c>
      <c r="AM208" s="997">
        <f>_xll.GetCtData("COAMOUNT","CONSAMOUNT",$A$1:$A$7,$D208,AM$10,"#-844")</f>
        <v>-844</v>
      </c>
    </row>
    <row r="209" spans="1:39">
      <c r="A209" s="427" t="s">
        <v>6610</v>
      </c>
      <c r="B209" s="427" t="s">
        <v>6610</v>
      </c>
      <c r="D209" s="410" t="s">
        <v>2544</v>
      </c>
      <c r="E209" s="949" t="s">
        <v>2912</v>
      </c>
      <c r="F209" s="950">
        <v>7</v>
      </c>
      <c r="G209" s="950"/>
      <c r="H209" s="950"/>
      <c r="I209" s="950"/>
      <c r="J209" s="950"/>
      <c r="K209" s="950"/>
      <c r="L209" s="950"/>
      <c r="M209" s="950"/>
      <c r="N209" s="410" t="s">
        <v>10131</v>
      </c>
      <c r="O209" s="975"/>
      <c r="P209" s="975"/>
      <c r="Q209" s="410"/>
      <c r="R209" s="410" t="s">
        <v>10131</v>
      </c>
      <c r="S209" s="410" t="s">
        <v>10132</v>
      </c>
      <c r="T209" s="976">
        <f t="shared" si="19"/>
        <v>55</v>
      </c>
      <c r="U209" s="410" t="s">
        <v>10132</v>
      </c>
      <c r="V209" s="976">
        <f t="shared" si="14"/>
        <v>55</v>
      </c>
      <c r="W209" s="410" t="s">
        <v>10133</v>
      </c>
      <c r="X209" s="976">
        <f t="shared" si="15"/>
        <v>30</v>
      </c>
      <c r="Y209" s="977" t="s">
        <v>10134</v>
      </c>
      <c r="Z209" s="976">
        <f t="shared" si="16"/>
        <v>47</v>
      </c>
      <c r="AA209" s="977" t="s">
        <v>10135</v>
      </c>
      <c r="AB209" s="976">
        <f t="shared" si="17"/>
        <v>46</v>
      </c>
      <c r="AC209" s="977" t="s">
        <v>10136</v>
      </c>
      <c r="AD209" s="976">
        <f t="shared" si="18"/>
        <v>27</v>
      </c>
      <c r="AE209" s="976"/>
      <c r="AF209" s="976"/>
      <c r="AG209" s="995"/>
      <c r="AH209" s="996"/>
      <c r="AI209" s="530" t="s">
        <v>2969</v>
      </c>
      <c r="AJ209" s="958">
        <v>1</v>
      </c>
      <c r="AK209" s="959"/>
      <c r="AL209" s="960" t="s">
        <v>5930</v>
      </c>
      <c r="AM209" s="980">
        <f>_xll.GetCtData("COAMOUNT","CONSAMOUNT",$A$1:$A$7,$D209,AM$10,"#-28789,4932461969")</f>
        <v>-28789</v>
      </c>
    </row>
    <row r="210" spans="1:39">
      <c r="A210" s="427" t="s">
        <v>6610</v>
      </c>
      <c r="B210" s="427" t="s">
        <v>6610</v>
      </c>
      <c r="D210" s="981" t="s">
        <v>10137</v>
      </c>
      <c r="E210" s="949" t="s">
        <v>2912</v>
      </c>
      <c r="F210" s="950">
        <v>8</v>
      </c>
      <c r="G210" s="950"/>
      <c r="H210" s="950"/>
      <c r="I210" s="950"/>
      <c r="J210" s="950"/>
      <c r="K210" s="950"/>
      <c r="L210" s="950"/>
      <c r="M210" s="950"/>
      <c r="N210" s="950"/>
      <c r="O210" s="981" t="s">
        <v>10138</v>
      </c>
      <c r="P210" s="982"/>
      <c r="Q210" s="981"/>
      <c r="R210" s="981" t="s">
        <v>10138</v>
      </c>
      <c r="S210" s="981" t="s">
        <v>10132</v>
      </c>
      <c r="T210" s="1002">
        <f t="shared" si="19"/>
        <v>55</v>
      </c>
      <c r="U210" s="981" t="s">
        <v>10132</v>
      </c>
      <c r="V210" s="1002">
        <f t="shared" si="14"/>
        <v>55</v>
      </c>
      <c r="W210" s="981" t="s">
        <v>10133</v>
      </c>
      <c r="X210" s="1002">
        <f t="shared" si="15"/>
        <v>30</v>
      </c>
      <c r="Y210" s="1003" t="s">
        <v>10134</v>
      </c>
      <c r="Z210" s="1002">
        <f t="shared" si="16"/>
        <v>47</v>
      </c>
      <c r="AA210" s="1003" t="s">
        <v>10135</v>
      </c>
      <c r="AB210" s="1002">
        <f t="shared" si="17"/>
        <v>46</v>
      </c>
      <c r="AC210" s="1003" t="s">
        <v>10136</v>
      </c>
      <c r="AD210" s="1002">
        <f t="shared" si="18"/>
        <v>27</v>
      </c>
      <c r="AE210" s="1002"/>
      <c r="AF210" s="1002"/>
      <c r="AG210" s="995"/>
      <c r="AH210" s="996"/>
      <c r="AI210" s="530" t="s">
        <v>2969</v>
      </c>
      <c r="AJ210" s="958">
        <v>1</v>
      </c>
      <c r="AK210" s="959"/>
      <c r="AL210" s="960" t="s">
        <v>5930</v>
      </c>
      <c r="AM210" s="985">
        <f>_xll.GetCtData("COAMOUNT","CONSAMOUNT",$A$1:$A$7,$D210,AM$10,"#-28789,4932461969")</f>
        <v>-28789</v>
      </c>
    </row>
    <row r="211" spans="1:39">
      <c r="A211" s="427" t="s">
        <v>6610</v>
      </c>
      <c r="B211" s="427" t="s">
        <v>6610</v>
      </c>
      <c r="D211" s="986" t="s">
        <v>10139</v>
      </c>
      <c r="E211" s="949" t="s">
        <v>2912</v>
      </c>
      <c r="F211" s="950">
        <v>9</v>
      </c>
      <c r="G211" s="950"/>
      <c r="H211" s="950"/>
      <c r="I211" s="950"/>
      <c r="J211" s="950"/>
      <c r="K211" s="950"/>
      <c r="L211" s="950"/>
      <c r="M211" s="950"/>
      <c r="N211" s="950"/>
      <c r="O211" s="950"/>
      <c r="P211" s="986" t="s">
        <v>10140</v>
      </c>
      <c r="Q211" s="986"/>
      <c r="R211" s="986" t="s">
        <v>10140</v>
      </c>
      <c r="S211" s="986" t="s">
        <v>2872</v>
      </c>
      <c r="T211" s="1012">
        <f t="shared" si="19"/>
        <v>102</v>
      </c>
      <c r="U211" s="986" t="s">
        <v>2872</v>
      </c>
      <c r="V211" s="1012">
        <f t="shared" si="14"/>
        <v>102</v>
      </c>
      <c r="W211" s="986" t="s">
        <v>10141</v>
      </c>
      <c r="X211" s="1012">
        <f t="shared" si="15"/>
        <v>29</v>
      </c>
      <c r="Y211" s="986" t="s">
        <v>10142</v>
      </c>
      <c r="Z211" s="1012">
        <f t="shared" si="16"/>
        <v>108</v>
      </c>
      <c r="AA211" s="986" t="s">
        <v>10143</v>
      </c>
      <c r="AB211" s="1012">
        <f t="shared" si="17"/>
        <v>107</v>
      </c>
      <c r="AC211" s="986" t="s">
        <v>10144</v>
      </c>
      <c r="AD211" s="1012">
        <f t="shared" si="18"/>
        <v>30</v>
      </c>
      <c r="AE211" s="987"/>
      <c r="AF211" s="987"/>
      <c r="AG211" s="995"/>
      <c r="AH211" s="996"/>
      <c r="AI211" s="530" t="s">
        <v>2969</v>
      </c>
      <c r="AJ211" s="958">
        <v>1</v>
      </c>
      <c r="AK211" s="959"/>
      <c r="AL211" s="960" t="s">
        <v>5930</v>
      </c>
      <c r="AM211" s="989">
        <f>_xll.GetCtData("COAMOUNT","CONSAMOUNT",$A$1:$A$7,$D211,AM$10,"#-32310,0749125464")</f>
        <v>-32310</v>
      </c>
    </row>
    <row r="212" spans="1:39">
      <c r="A212" s="427" t="s">
        <v>6610</v>
      </c>
      <c r="B212" s="427" t="s">
        <v>6610</v>
      </c>
      <c r="D212" s="990" t="s">
        <v>2870</v>
      </c>
      <c r="E212" s="949" t="s">
        <v>2930</v>
      </c>
      <c r="F212" s="950">
        <v>10</v>
      </c>
      <c r="G212" s="950"/>
      <c r="H212" s="950"/>
      <c r="I212" s="950"/>
      <c r="J212" s="950"/>
      <c r="K212" s="950"/>
      <c r="L212" s="950"/>
      <c r="M212" s="950"/>
      <c r="N212" s="950"/>
      <c r="O212" s="950"/>
      <c r="P212" s="950"/>
      <c r="Q212" s="991"/>
      <c r="R212" s="990" t="s">
        <v>2871</v>
      </c>
      <c r="S212" s="992" t="s">
        <v>2872</v>
      </c>
      <c r="T212" s="993">
        <f t="shared" si="19"/>
        <v>102</v>
      </c>
      <c r="U212" s="992" t="s">
        <v>2872</v>
      </c>
      <c r="V212" s="993">
        <f t="shared" si="14"/>
        <v>102</v>
      </c>
      <c r="W212" s="992" t="s">
        <v>10141</v>
      </c>
      <c r="X212" s="993">
        <f t="shared" si="15"/>
        <v>29</v>
      </c>
      <c r="Y212" s="994" t="s">
        <v>10142</v>
      </c>
      <c r="Z212" s="993">
        <f t="shared" si="16"/>
        <v>108</v>
      </c>
      <c r="AA212" s="994" t="s">
        <v>10143</v>
      </c>
      <c r="AB212" s="993">
        <f t="shared" si="17"/>
        <v>107</v>
      </c>
      <c r="AC212" s="994" t="s">
        <v>10144</v>
      </c>
      <c r="AD212" s="993">
        <f t="shared" si="18"/>
        <v>30</v>
      </c>
      <c r="AE212" s="518" t="s">
        <v>10145</v>
      </c>
      <c r="AF212" s="519" t="s">
        <v>10146</v>
      </c>
      <c r="AG212" s="995" t="s">
        <v>9179</v>
      </c>
      <c r="AH212" s="996" t="s">
        <v>169</v>
      </c>
      <c r="AI212" s="530" t="s">
        <v>2969</v>
      </c>
      <c r="AJ212" s="958">
        <v>1</v>
      </c>
      <c r="AK212" s="959" t="s">
        <v>5359</v>
      </c>
      <c r="AL212" s="960" t="s">
        <v>5930</v>
      </c>
      <c r="AM212" s="997">
        <f>_xll.GetCtData("COAMOUNT","CONSAMOUNT",$A$1:$A$7,$D212,AM$10,"#-32310,0749125464")</f>
        <v>-32310</v>
      </c>
    </row>
    <row r="213" spans="1:39">
      <c r="A213" s="427" t="s">
        <v>6610</v>
      </c>
      <c r="B213" s="427" t="s">
        <v>6610</v>
      </c>
      <c r="D213" s="986" t="s">
        <v>10147</v>
      </c>
      <c r="E213" s="949" t="s">
        <v>2912</v>
      </c>
      <c r="F213" s="950">
        <v>9</v>
      </c>
      <c r="G213" s="950"/>
      <c r="H213" s="950"/>
      <c r="I213" s="950"/>
      <c r="J213" s="950"/>
      <c r="K213" s="950"/>
      <c r="L213" s="950"/>
      <c r="M213" s="950"/>
      <c r="N213" s="950"/>
      <c r="O213" s="950"/>
      <c r="P213" s="986" t="s">
        <v>10148</v>
      </c>
      <c r="Q213" s="986"/>
      <c r="R213" s="986" t="s">
        <v>10148</v>
      </c>
      <c r="S213" s="986" t="s">
        <v>2875</v>
      </c>
      <c r="T213" s="1012">
        <f t="shared" si="19"/>
        <v>106</v>
      </c>
      <c r="U213" s="986" t="s">
        <v>2875</v>
      </c>
      <c r="V213" s="1012">
        <f t="shared" si="14"/>
        <v>106</v>
      </c>
      <c r="W213" s="986" t="s">
        <v>10149</v>
      </c>
      <c r="X213" s="1012">
        <f t="shared" si="15"/>
        <v>29</v>
      </c>
      <c r="Y213" s="986" t="s">
        <v>10150</v>
      </c>
      <c r="Z213" s="1012">
        <f t="shared" si="16"/>
        <v>100</v>
      </c>
      <c r="AA213" s="986" t="s">
        <v>10151</v>
      </c>
      <c r="AB213" s="1012">
        <f t="shared" si="17"/>
        <v>99</v>
      </c>
      <c r="AC213" s="986" t="s">
        <v>10152</v>
      </c>
      <c r="AD213" s="1012">
        <f t="shared" si="18"/>
        <v>30</v>
      </c>
      <c r="AE213" s="987"/>
      <c r="AF213" s="987"/>
      <c r="AG213" s="995"/>
      <c r="AH213" s="996"/>
      <c r="AI213" s="530" t="s">
        <v>2969</v>
      </c>
      <c r="AJ213" s="958">
        <v>1</v>
      </c>
      <c r="AK213" s="959"/>
      <c r="AL213" s="960" t="s">
        <v>5930</v>
      </c>
      <c r="AM213" s="989">
        <f>_xll.GetCtData("COAMOUNT","CONSAMOUNT",$A$1:$A$7,$D213,AM$10,"#")</f>
        <v>0</v>
      </c>
    </row>
    <row r="214" spans="1:39">
      <c r="A214" s="427" t="s">
        <v>6610</v>
      </c>
      <c r="B214" s="427" t="s">
        <v>6610</v>
      </c>
      <c r="D214" s="990" t="s">
        <v>2873</v>
      </c>
      <c r="E214" s="949" t="s">
        <v>2930</v>
      </c>
      <c r="F214" s="950">
        <v>10</v>
      </c>
      <c r="G214" s="950"/>
      <c r="H214" s="950"/>
      <c r="I214" s="950"/>
      <c r="J214" s="950"/>
      <c r="K214" s="950"/>
      <c r="L214" s="950"/>
      <c r="M214" s="950"/>
      <c r="N214" s="950"/>
      <c r="O214" s="950"/>
      <c r="P214" s="950"/>
      <c r="Q214" s="991"/>
      <c r="R214" s="990" t="s">
        <v>2874</v>
      </c>
      <c r="S214" s="992" t="s">
        <v>2875</v>
      </c>
      <c r="T214" s="993">
        <f t="shared" si="19"/>
        <v>106</v>
      </c>
      <c r="U214" s="992" t="s">
        <v>2875</v>
      </c>
      <c r="V214" s="993">
        <f t="shared" si="14"/>
        <v>106</v>
      </c>
      <c r="W214" s="992" t="s">
        <v>10149</v>
      </c>
      <c r="X214" s="993">
        <f t="shared" si="15"/>
        <v>29</v>
      </c>
      <c r="Y214" s="994" t="s">
        <v>10150</v>
      </c>
      <c r="Z214" s="993">
        <f t="shared" si="16"/>
        <v>100</v>
      </c>
      <c r="AA214" s="994" t="s">
        <v>10151</v>
      </c>
      <c r="AB214" s="993">
        <f t="shared" si="17"/>
        <v>99</v>
      </c>
      <c r="AC214" s="994" t="s">
        <v>10152</v>
      </c>
      <c r="AD214" s="993">
        <f t="shared" si="18"/>
        <v>30</v>
      </c>
      <c r="AE214" s="518" t="s">
        <v>10153</v>
      </c>
      <c r="AF214" s="519" t="s">
        <v>10154</v>
      </c>
      <c r="AG214" s="995" t="s">
        <v>9179</v>
      </c>
      <c r="AH214" s="996" t="s">
        <v>169</v>
      </c>
      <c r="AI214" s="530" t="s">
        <v>2969</v>
      </c>
      <c r="AJ214" s="958">
        <v>1</v>
      </c>
      <c r="AK214" s="959" t="s">
        <v>5359</v>
      </c>
      <c r="AL214" s="960" t="s">
        <v>5930</v>
      </c>
      <c r="AM214" s="997">
        <f>_xll.GetCtData("COAMOUNT","CONSAMOUNT",$A$1:$A$7,$D214,AM$10,"#")</f>
        <v>0</v>
      </c>
    </row>
    <row r="215" spans="1:39">
      <c r="A215" s="427" t="s">
        <v>6610</v>
      </c>
      <c r="B215" s="427" t="s">
        <v>6610</v>
      </c>
      <c r="D215" s="986" t="s">
        <v>10155</v>
      </c>
      <c r="E215" s="949" t="s">
        <v>2912</v>
      </c>
      <c r="F215" s="950">
        <v>9</v>
      </c>
      <c r="G215" s="950"/>
      <c r="H215" s="950"/>
      <c r="I215" s="950"/>
      <c r="J215" s="950"/>
      <c r="K215" s="950"/>
      <c r="L215" s="950"/>
      <c r="M215" s="950"/>
      <c r="N215" s="950"/>
      <c r="O215" s="950"/>
      <c r="P215" s="986" t="s">
        <v>10156</v>
      </c>
      <c r="Q215" s="986"/>
      <c r="R215" s="986" t="s">
        <v>10156</v>
      </c>
      <c r="S215" s="986" t="s">
        <v>10157</v>
      </c>
      <c r="T215" s="1012">
        <f t="shared" si="19"/>
        <v>74</v>
      </c>
      <c r="U215" s="986" t="s">
        <v>10157</v>
      </c>
      <c r="V215" s="1012">
        <f t="shared" si="14"/>
        <v>74</v>
      </c>
      <c r="W215" s="986" t="s">
        <v>10158</v>
      </c>
      <c r="X215" s="1012">
        <f t="shared" si="15"/>
        <v>22</v>
      </c>
      <c r="Y215" s="986" t="s">
        <v>10159</v>
      </c>
      <c r="Z215" s="1012">
        <f t="shared" si="16"/>
        <v>121</v>
      </c>
      <c r="AA215" s="986" t="s">
        <v>10160</v>
      </c>
      <c r="AB215" s="1012">
        <f t="shared" si="17"/>
        <v>114</v>
      </c>
      <c r="AC215" s="986" t="s">
        <v>10161</v>
      </c>
      <c r="AD215" s="1012">
        <f t="shared" si="18"/>
        <v>30</v>
      </c>
      <c r="AE215" s="987"/>
      <c r="AF215" s="987"/>
      <c r="AG215" s="995"/>
      <c r="AH215" s="996"/>
      <c r="AI215" s="530" t="s">
        <v>2969</v>
      </c>
      <c r="AJ215" s="958"/>
      <c r="AK215" s="959"/>
      <c r="AL215" s="960" t="s">
        <v>5930</v>
      </c>
      <c r="AM215" s="989">
        <f>_xll.GetCtData("COAMOUNT","CONSAMOUNT",$A$1:$A$7,$D215,AM$10,"#3520,58166634946")</f>
        <v>3520</v>
      </c>
    </row>
    <row r="216" spans="1:39">
      <c r="A216" s="427" t="s">
        <v>6610</v>
      </c>
      <c r="B216" s="427" t="s">
        <v>6610</v>
      </c>
      <c r="D216" s="1013" t="s">
        <v>2876</v>
      </c>
      <c r="E216" s="949" t="s">
        <v>2930</v>
      </c>
      <c r="F216" s="950">
        <v>10</v>
      </c>
      <c r="G216" s="950"/>
      <c r="H216" s="950"/>
      <c r="I216" s="950"/>
      <c r="J216" s="950"/>
      <c r="K216" s="950"/>
      <c r="L216" s="950"/>
      <c r="M216" s="950"/>
      <c r="N216" s="950"/>
      <c r="O216" s="950"/>
      <c r="P216" s="950"/>
      <c r="Q216" s="950"/>
      <c r="R216" s="1013" t="s">
        <v>2877</v>
      </c>
      <c r="S216" s="1014" t="s">
        <v>2878</v>
      </c>
      <c r="T216" s="1015">
        <f t="shared" si="19"/>
        <v>111</v>
      </c>
      <c r="U216" s="1014" t="s">
        <v>2878</v>
      </c>
      <c r="V216" s="1015">
        <f t="shared" si="14"/>
        <v>111</v>
      </c>
      <c r="W216" s="1014" t="s">
        <v>10162</v>
      </c>
      <c r="X216" s="1015">
        <f t="shared" si="15"/>
        <v>28</v>
      </c>
      <c r="Y216" s="1016" t="s">
        <v>10159</v>
      </c>
      <c r="Z216" s="1015">
        <f t="shared" si="16"/>
        <v>121</v>
      </c>
      <c r="AA216" s="1016" t="s">
        <v>10160</v>
      </c>
      <c r="AB216" s="1015">
        <f t="shared" si="17"/>
        <v>114</v>
      </c>
      <c r="AC216" s="1016" t="s">
        <v>10163</v>
      </c>
      <c r="AD216" s="1015">
        <f t="shared" si="18"/>
        <v>30</v>
      </c>
      <c r="AE216" s="518" t="s">
        <v>10164</v>
      </c>
      <c r="AF216" s="519" t="s">
        <v>10165</v>
      </c>
      <c r="AG216" s="995" t="s">
        <v>9179</v>
      </c>
      <c r="AH216" s="996" t="s">
        <v>169</v>
      </c>
      <c r="AI216" s="1017" t="s">
        <v>8115</v>
      </c>
      <c r="AJ216" s="958">
        <v>1</v>
      </c>
      <c r="AK216" s="959"/>
      <c r="AL216" s="960" t="s">
        <v>5930</v>
      </c>
      <c r="AM216" s="1018">
        <f>_xll.GetCtData("COAMOUNT","CONSAMOUNT",$A$1:$A$7,$D216,AM$10,"#3520,58166634946")</f>
        <v>3520</v>
      </c>
    </row>
    <row r="217" spans="1:39">
      <c r="A217" s="427" t="s">
        <v>2962</v>
      </c>
      <c r="B217" s="998">
        <v>44515</v>
      </c>
      <c r="D217" s="986" t="s">
        <v>10166</v>
      </c>
      <c r="E217" s="949" t="s">
        <v>2912</v>
      </c>
      <c r="F217" s="950">
        <v>9</v>
      </c>
      <c r="G217" s="950"/>
      <c r="H217" s="950"/>
      <c r="I217" s="950"/>
      <c r="J217" s="950"/>
      <c r="K217" s="950"/>
      <c r="L217" s="950"/>
      <c r="M217" s="950"/>
      <c r="N217" s="950"/>
      <c r="O217" s="950"/>
      <c r="P217" s="986" t="s">
        <v>10167</v>
      </c>
      <c r="Q217" s="986"/>
      <c r="R217" s="986" t="s">
        <v>10167</v>
      </c>
      <c r="S217" s="986" t="s">
        <v>2869</v>
      </c>
      <c r="T217" s="987">
        <f t="shared" si="19"/>
        <v>124</v>
      </c>
      <c r="U217" s="986" t="s">
        <v>10168</v>
      </c>
      <c r="V217" s="987">
        <f t="shared" si="14"/>
        <v>119</v>
      </c>
      <c r="W217" s="986" t="s">
        <v>10169</v>
      </c>
      <c r="X217" s="987">
        <f t="shared" si="15"/>
        <v>30</v>
      </c>
      <c r="Y217" s="988" t="s">
        <v>10170</v>
      </c>
      <c r="Z217" s="987">
        <f t="shared" si="16"/>
        <v>97</v>
      </c>
      <c r="AA217" s="988" t="s">
        <v>10170</v>
      </c>
      <c r="AB217" s="987">
        <f t="shared" si="17"/>
        <v>97</v>
      </c>
      <c r="AC217" s="988" t="s">
        <v>10171</v>
      </c>
      <c r="AD217" s="987">
        <f t="shared" si="18"/>
        <v>30</v>
      </c>
      <c r="AE217" s="987"/>
      <c r="AF217" s="987"/>
      <c r="AG217" s="999"/>
      <c r="AH217" s="1000"/>
      <c r="AI217" s="530" t="s">
        <v>2969</v>
      </c>
      <c r="AJ217" s="958">
        <v>1</v>
      </c>
      <c r="AK217" s="959"/>
      <c r="AL217" s="960" t="s">
        <v>10037</v>
      </c>
      <c r="AM217" s="989">
        <f>_xll.GetCtData("COAMOUNT","CONSAMOUNT",$A$1:$A$7,$D217,AM$10,"#")</f>
        <v>0</v>
      </c>
    </row>
    <row r="218" spans="1:39">
      <c r="A218" s="427" t="s">
        <v>2962</v>
      </c>
      <c r="B218" s="998">
        <v>44515</v>
      </c>
      <c r="D218" s="990" t="s">
        <v>2867</v>
      </c>
      <c r="E218" s="949" t="s">
        <v>2930</v>
      </c>
      <c r="F218" s="950">
        <v>10</v>
      </c>
      <c r="G218" s="950"/>
      <c r="H218" s="950"/>
      <c r="I218" s="950"/>
      <c r="J218" s="950"/>
      <c r="K218" s="950"/>
      <c r="L218" s="950"/>
      <c r="M218" s="950"/>
      <c r="N218" s="950"/>
      <c r="O218" s="950"/>
      <c r="P218" s="950"/>
      <c r="Q218" s="991"/>
      <c r="R218" s="990" t="s">
        <v>2868</v>
      </c>
      <c r="S218" s="992" t="s">
        <v>2869</v>
      </c>
      <c r="T218" s="993">
        <f t="shared" si="19"/>
        <v>124</v>
      </c>
      <c r="U218" s="992" t="s">
        <v>10168</v>
      </c>
      <c r="V218" s="993">
        <f t="shared" si="14"/>
        <v>119</v>
      </c>
      <c r="W218" s="992" t="s">
        <v>10169</v>
      </c>
      <c r="X218" s="993">
        <f t="shared" si="15"/>
        <v>30</v>
      </c>
      <c r="Y218" s="994" t="s">
        <v>10170</v>
      </c>
      <c r="Z218" s="993">
        <f t="shared" si="16"/>
        <v>97</v>
      </c>
      <c r="AA218" s="994" t="s">
        <v>10170</v>
      </c>
      <c r="AB218" s="993">
        <f t="shared" si="17"/>
        <v>97</v>
      </c>
      <c r="AC218" s="994" t="s">
        <v>10171</v>
      </c>
      <c r="AD218" s="993">
        <f t="shared" si="18"/>
        <v>30</v>
      </c>
      <c r="AE218" s="518" t="s">
        <v>10172</v>
      </c>
      <c r="AF218" s="519" t="s">
        <v>10173</v>
      </c>
      <c r="AG218" s="995" t="s">
        <v>9179</v>
      </c>
      <c r="AH218" s="996" t="s">
        <v>169</v>
      </c>
      <c r="AI218" s="530" t="s">
        <v>2969</v>
      </c>
      <c r="AJ218" s="958">
        <v>1</v>
      </c>
      <c r="AK218" s="959" t="s">
        <v>5359</v>
      </c>
      <c r="AL218" s="960" t="s">
        <v>10037</v>
      </c>
      <c r="AM218" s="997">
        <f>_xll.GetCtData("COAMOUNT","CONSAMOUNT",$A$1:$A$7,$D218,AM$10,"#")</f>
        <v>0</v>
      </c>
    </row>
    <row r="219" spans="1:39">
      <c r="A219" s="427">
        <v>3</v>
      </c>
      <c r="B219" s="427" t="s">
        <v>9153</v>
      </c>
      <c r="D219" s="1019" t="s">
        <v>10174</v>
      </c>
      <c r="E219" s="949" t="s">
        <v>2912</v>
      </c>
      <c r="F219" s="950">
        <v>5</v>
      </c>
      <c r="G219" s="950"/>
      <c r="H219" s="950"/>
      <c r="I219" s="950"/>
      <c r="J219" s="950"/>
      <c r="K219" s="950"/>
      <c r="L219" s="1019" t="s">
        <v>10175</v>
      </c>
      <c r="M219" s="964"/>
      <c r="N219" s="964"/>
      <c r="O219" s="964"/>
      <c r="P219" s="964"/>
      <c r="Q219" s="1020"/>
      <c r="R219" s="1019" t="s">
        <v>10175</v>
      </c>
      <c r="S219" s="963" t="s">
        <v>10176</v>
      </c>
      <c r="T219" s="965">
        <f t="shared" si="19"/>
        <v>35</v>
      </c>
      <c r="U219" s="963" t="s">
        <v>10176</v>
      </c>
      <c r="V219" s="965">
        <f t="shared" si="14"/>
        <v>35</v>
      </c>
      <c r="W219" s="963" t="s">
        <v>10177</v>
      </c>
      <c r="X219" s="965">
        <f t="shared" si="15"/>
        <v>26</v>
      </c>
      <c r="Y219" s="966" t="s">
        <v>10178</v>
      </c>
      <c r="Z219" s="965">
        <f t="shared" si="16"/>
        <v>20</v>
      </c>
      <c r="AA219" s="966" t="s">
        <v>10178</v>
      </c>
      <c r="AB219" s="965">
        <f t="shared" si="17"/>
        <v>20</v>
      </c>
      <c r="AC219" s="966" t="s">
        <v>10178</v>
      </c>
      <c r="AD219" s="965">
        <f t="shared" si="18"/>
        <v>20</v>
      </c>
      <c r="AE219" s="965"/>
      <c r="AF219" s="965"/>
      <c r="AG219" s="956"/>
      <c r="AH219" s="957"/>
      <c r="AI219" s="530" t="s">
        <v>2969</v>
      </c>
      <c r="AJ219" s="958">
        <v>1</v>
      </c>
      <c r="AK219" s="959"/>
      <c r="AL219" s="960" t="s">
        <v>5930</v>
      </c>
      <c r="AM219" s="969">
        <f>_xll.GetCtData("COAMOUNT","CONSAMOUNT",$A$1:$A$7,$D219,AM$10,"#653764,083860276")</f>
        <v>653764</v>
      </c>
    </row>
    <row r="220" spans="1:39" ht="25.5">
      <c r="A220" s="427" t="s">
        <v>6610</v>
      </c>
      <c r="B220" s="427" t="s">
        <v>6610</v>
      </c>
      <c r="D220" s="970" t="s">
        <v>10179</v>
      </c>
      <c r="E220" s="949" t="s">
        <v>2912</v>
      </c>
      <c r="F220" s="950">
        <v>6</v>
      </c>
      <c r="G220" s="950"/>
      <c r="H220" s="950"/>
      <c r="I220" s="950"/>
      <c r="J220" s="950"/>
      <c r="K220" s="950"/>
      <c r="L220" s="950"/>
      <c r="M220" s="970" t="s">
        <v>10180</v>
      </c>
      <c r="N220" s="970"/>
      <c r="O220" s="970"/>
      <c r="P220" s="970"/>
      <c r="Q220" s="970"/>
      <c r="R220" s="970" t="s">
        <v>10180</v>
      </c>
      <c r="S220" s="970" t="s">
        <v>10181</v>
      </c>
      <c r="T220" s="972">
        <f t="shared" si="19"/>
        <v>85</v>
      </c>
      <c r="U220" s="970" t="s">
        <v>10181</v>
      </c>
      <c r="V220" s="972">
        <f t="shared" si="14"/>
        <v>85</v>
      </c>
      <c r="W220" s="970" t="s">
        <v>10182</v>
      </c>
      <c r="X220" s="972">
        <f t="shared" si="15"/>
        <v>30</v>
      </c>
      <c r="Y220" s="973" t="s">
        <v>10183</v>
      </c>
      <c r="Z220" s="972">
        <f t="shared" si="16"/>
        <v>93</v>
      </c>
      <c r="AA220" s="973" t="s">
        <v>10184</v>
      </c>
      <c r="AB220" s="972">
        <f t="shared" si="17"/>
        <v>92</v>
      </c>
      <c r="AC220" s="973" t="s">
        <v>10185</v>
      </c>
      <c r="AD220" s="972">
        <f t="shared" si="18"/>
        <v>30</v>
      </c>
      <c r="AE220" s="972"/>
      <c r="AF220" s="972"/>
      <c r="AG220" s="956"/>
      <c r="AH220" s="957"/>
      <c r="AI220" s="494" t="s">
        <v>2917</v>
      </c>
      <c r="AJ220" s="958">
        <v>1</v>
      </c>
      <c r="AK220" s="959"/>
      <c r="AL220" s="960" t="s">
        <v>5930</v>
      </c>
      <c r="AM220" s="974">
        <f>_xll.GetCtData("COAMOUNT","CONSAMOUNT",$A$1:$A$7,$D220,AM$10,"#5754195,88102705")</f>
        <v>5754195</v>
      </c>
    </row>
    <row r="221" spans="1:39">
      <c r="A221" s="427" t="s">
        <v>6610</v>
      </c>
      <c r="B221" s="427" t="s">
        <v>6610</v>
      </c>
      <c r="D221" s="410" t="s">
        <v>10186</v>
      </c>
      <c r="E221" s="949" t="s">
        <v>2912</v>
      </c>
      <c r="F221" s="950">
        <v>7</v>
      </c>
      <c r="G221" s="950"/>
      <c r="H221" s="950"/>
      <c r="I221" s="950"/>
      <c r="J221" s="950"/>
      <c r="K221" s="950"/>
      <c r="L221" s="950"/>
      <c r="M221" s="950"/>
      <c r="N221" s="410" t="s">
        <v>10187</v>
      </c>
      <c r="O221" s="975"/>
      <c r="P221" s="975"/>
      <c r="Q221" s="410"/>
      <c r="R221" s="410" t="s">
        <v>10187</v>
      </c>
      <c r="S221" s="410" t="s">
        <v>1879</v>
      </c>
      <c r="T221" s="976">
        <f t="shared" si="19"/>
        <v>23</v>
      </c>
      <c r="U221" s="410" t="s">
        <v>1879</v>
      </c>
      <c r="V221" s="976">
        <f t="shared" si="14"/>
        <v>23</v>
      </c>
      <c r="W221" s="410" t="s">
        <v>1879</v>
      </c>
      <c r="X221" s="976">
        <f t="shared" si="15"/>
        <v>23</v>
      </c>
      <c r="Y221" s="977" t="s">
        <v>10188</v>
      </c>
      <c r="Z221" s="976">
        <f t="shared" si="16"/>
        <v>17</v>
      </c>
      <c r="AA221" s="977" t="s">
        <v>10188</v>
      </c>
      <c r="AB221" s="976">
        <f t="shared" si="17"/>
        <v>17</v>
      </c>
      <c r="AC221" s="977" t="s">
        <v>10188</v>
      </c>
      <c r="AD221" s="976">
        <f t="shared" si="18"/>
        <v>17</v>
      </c>
      <c r="AE221" s="976"/>
      <c r="AF221" s="976"/>
      <c r="AG221" s="956"/>
      <c r="AH221" s="957"/>
      <c r="AI221" s="494" t="s">
        <v>2917</v>
      </c>
      <c r="AJ221" s="958">
        <v>1</v>
      </c>
      <c r="AK221" s="959"/>
      <c r="AL221" s="960"/>
      <c r="AM221" s="980">
        <f>_xll.GetCtData("COAMOUNT","CONSAMOUNT",$A$1:$A$7,$D221,AM$10,"#7054825,60004049")</f>
        <v>7054825</v>
      </c>
    </row>
    <row r="222" spans="1:39">
      <c r="A222" s="427" t="s">
        <v>6610</v>
      </c>
      <c r="B222" s="427" t="s">
        <v>6610</v>
      </c>
      <c r="D222" s="981" t="s">
        <v>10189</v>
      </c>
      <c r="E222" s="949" t="s">
        <v>2912</v>
      </c>
      <c r="F222" s="950">
        <v>8</v>
      </c>
      <c r="G222" s="950"/>
      <c r="H222" s="950"/>
      <c r="I222" s="950"/>
      <c r="J222" s="950"/>
      <c r="K222" s="950"/>
      <c r="L222" s="950"/>
      <c r="M222" s="950"/>
      <c r="N222" s="950"/>
      <c r="O222" s="981" t="s">
        <v>10190</v>
      </c>
      <c r="P222" s="982"/>
      <c r="Q222" s="981"/>
      <c r="R222" s="981" t="s">
        <v>10190</v>
      </c>
      <c r="S222" s="981" t="s">
        <v>10191</v>
      </c>
      <c r="T222" s="1002">
        <f t="shared" si="19"/>
        <v>32</v>
      </c>
      <c r="U222" s="981" t="s">
        <v>10191</v>
      </c>
      <c r="V222" s="1002">
        <f t="shared" si="14"/>
        <v>32</v>
      </c>
      <c r="W222" s="981" t="s">
        <v>10192</v>
      </c>
      <c r="X222" s="1002">
        <f t="shared" si="15"/>
        <v>27</v>
      </c>
      <c r="Y222" s="1003" t="s">
        <v>10193</v>
      </c>
      <c r="Z222" s="1002">
        <f t="shared" si="16"/>
        <v>29</v>
      </c>
      <c r="AA222" s="1003" t="s">
        <v>10193</v>
      </c>
      <c r="AB222" s="1002">
        <f t="shared" si="17"/>
        <v>29</v>
      </c>
      <c r="AC222" s="1003" t="s">
        <v>10193</v>
      </c>
      <c r="AD222" s="1002">
        <f t="shared" si="18"/>
        <v>29</v>
      </c>
      <c r="AE222" s="1002"/>
      <c r="AF222" s="1002"/>
      <c r="AG222" s="956"/>
      <c r="AH222" s="957"/>
      <c r="AI222" s="494" t="s">
        <v>2917</v>
      </c>
      <c r="AJ222" s="958">
        <v>1</v>
      </c>
      <c r="AK222" s="959"/>
      <c r="AL222" s="960"/>
      <c r="AM222" s="985">
        <f>_xll.GetCtData("COAMOUNT","CONSAMOUNT",$A$1:$A$7,$D222,AM$10,"#252652,645375775")</f>
        <v>252652</v>
      </c>
    </row>
    <row r="223" spans="1:39">
      <c r="A223" s="427" t="s">
        <v>6610</v>
      </c>
      <c r="B223" s="427" t="s">
        <v>6610</v>
      </c>
      <c r="D223" s="990" t="s">
        <v>1304</v>
      </c>
      <c r="E223" s="949" t="s">
        <v>5409</v>
      </c>
      <c r="F223" s="950">
        <v>10</v>
      </c>
      <c r="G223" s="950"/>
      <c r="H223" s="950"/>
      <c r="I223" s="950"/>
      <c r="J223" s="950"/>
      <c r="K223" s="950"/>
      <c r="L223" s="950"/>
      <c r="M223" s="950"/>
      <c r="N223" s="950"/>
      <c r="O223" s="950"/>
      <c r="P223" s="950"/>
      <c r="Q223" s="991"/>
      <c r="R223" s="990" t="s">
        <v>10194</v>
      </c>
      <c r="S223" s="992" t="s">
        <v>10195</v>
      </c>
      <c r="T223" s="993">
        <f t="shared" si="19"/>
        <v>39</v>
      </c>
      <c r="U223" s="992" t="s">
        <v>10195</v>
      </c>
      <c r="V223" s="993">
        <f t="shared" si="14"/>
        <v>39</v>
      </c>
      <c r="W223" s="992" t="s">
        <v>10196</v>
      </c>
      <c r="X223" s="993">
        <f t="shared" si="15"/>
        <v>29</v>
      </c>
      <c r="Y223" s="994" t="s">
        <v>10197</v>
      </c>
      <c r="Z223" s="993">
        <f t="shared" si="16"/>
        <v>47</v>
      </c>
      <c r="AA223" s="994" t="s">
        <v>10197</v>
      </c>
      <c r="AB223" s="993">
        <f t="shared" si="17"/>
        <v>47</v>
      </c>
      <c r="AC223" s="994" t="s">
        <v>10198</v>
      </c>
      <c r="AD223" s="993">
        <f t="shared" si="18"/>
        <v>30</v>
      </c>
      <c r="AE223" s="518" t="s">
        <v>10199</v>
      </c>
      <c r="AF223" s="519" t="s">
        <v>10200</v>
      </c>
      <c r="AG223" s="1021" t="s">
        <v>9179</v>
      </c>
      <c r="AH223" s="1022" t="s">
        <v>169</v>
      </c>
      <c r="AI223" s="494" t="s">
        <v>2917</v>
      </c>
      <c r="AJ223" s="958">
        <v>1</v>
      </c>
      <c r="AK223" s="959"/>
      <c r="AL223" s="960"/>
      <c r="AM223" s="997" t="str">
        <f>_xll.GetCtData("COAMOUNT","CONSAMOUNT",$A$1:$A$7,$D223,AM$10,"#-1,41E-32")</f>
        <v>-1,41E-32</v>
      </c>
    </row>
    <row r="224" spans="1:39">
      <c r="A224" s="427" t="s">
        <v>6610</v>
      </c>
      <c r="B224" s="427" t="s">
        <v>6610</v>
      </c>
      <c r="D224" s="990" t="s">
        <v>1305</v>
      </c>
      <c r="E224" s="949" t="s">
        <v>2930</v>
      </c>
      <c r="F224" s="950">
        <v>10</v>
      </c>
      <c r="G224" s="950"/>
      <c r="H224" s="950"/>
      <c r="I224" s="950"/>
      <c r="J224" s="950"/>
      <c r="K224" s="950"/>
      <c r="L224" s="950"/>
      <c r="M224" s="950"/>
      <c r="N224" s="950"/>
      <c r="O224" s="950"/>
      <c r="P224" s="950"/>
      <c r="Q224" s="991"/>
      <c r="R224" s="990" t="s">
        <v>10201</v>
      </c>
      <c r="S224" s="992" t="s">
        <v>10191</v>
      </c>
      <c r="T224" s="993">
        <f t="shared" si="19"/>
        <v>32</v>
      </c>
      <c r="U224" s="992" t="s">
        <v>10191</v>
      </c>
      <c r="V224" s="993">
        <f t="shared" si="14"/>
        <v>32</v>
      </c>
      <c r="W224" s="992" t="s">
        <v>10192</v>
      </c>
      <c r="X224" s="993">
        <f t="shared" si="15"/>
        <v>27</v>
      </c>
      <c r="Y224" s="994" t="s">
        <v>10193</v>
      </c>
      <c r="Z224" s="993">
        <f t="shared" si="16"/>
        <v>29</v>
      </c>
      <c r="AA224" s="994" t="s">
        <v>10193</v>
      </c>
      <c r="AB224" s="993">
        <f t="shared" si="17"/>
        <v>29</v>
      </c>
      <c r="AC224" s="994" t="s">
        <v>10193</v>
      </c>
      <c r="AD224" s="993">
        <f t="shared" si="18"/>
        <v>29</v>
      </c>
      <c r="AE224" s="518" t="s">
        <v>10202</v>
      </c>
      <c r="AF224" s="519" t="s">
        <v>10203</v>
      </c>
      <c r="AG224" s="995" t="s">
        <v>9179</v>
      </c>
      <c r="AH224" s="996" t="s">
        <v>169</v>
      </c>
      <c r="AI224" s="494" t="s">
        <v>2917</v>
      </c>
      <c r="AJ224" s="958">
        <v>1</v>
      </c>
      <c r="AK224" s="959" t="s">
        <v>5359</v>
      </c>
      <c r="AL224" s="960"/>
      <c r="AM224" s="997">
        <f>_xll.GetCtData("COAMOUNT","CONSAMOUNT",$A$1:$A$7,$D224,AM$10,"#234442,645375775")</f>
        <v>234442</v>
      </c>
    </row>
    <row r="225" spans="1:39">
      <c r="A225" s="427" t="s">
        <v>6610</v>
      </c>
      <c r="B225" s="427" t="s">
        <v>6610</v>
      </c>
      <c r="D225" s="990" t="s">
        <v>1316</v>
      </c>
      <c r="E225" s="949" t="s">
        <v>5409</v>
      </c>
      <c r="F225" s="950">
        <v>10</v>
      </c>
      <c r="G225" s="950"/>
      <c r="H225" s="950"/>
      <c r="I225" s="950"/>
      <c r="J225" s="950"/>
      <c r="K225" s="950"/>
      <c r="L225" s="950"/>
      <c r="M225" s="950"/>
      <c r="N225" s="950"/>
      <c r="O225" s="950"/>
      <c r="P225" s="950"/>
      <c r="Q225" s="991"/>
      <c r="R225" s="990" t="s">
        <v>10204</v>
      </c>
      <c r="S225" s="992" t="s">
        <v>10205</v>
      </c>
      <c r="T225" s="993">
        <f t="shared" si="19"/>
        <v>40</v>
      </c>
      <c r="U225" s="992" t="s">
        <v>10205</v>
      </c>
      <c r="V225" s="993">
        <f t="shared" si="14"/>
        <v>40</v>
      </c>
      <c r="W225" s="992" t="s">
        <v>10206</v>
      </c>
      <c r="X225" s="993">
        <f t="shared" si="15"/>
        <v>28</v>
      </c>
      <c r="Y225" s="994" t="s">
        <v>10207</v>
      </c>
      <c r="Z225" s="993">
        <f t="shared" si="16"/>
        <v>54</v>
      </c>
      <c r="AA225" s="994" t="s">
        <v>10208</v>
      </c>
      <c r="AB225" s="993">
        <f t="shared" si="17"/>
        <v>52</v>
      </c>
      <c r="AC225" s="994" t="s">
        <v>10209</v>
      </c>
      <c r="AD225" s="993">
        <f t="shared" si="18"/>
        <v>30</v>
      </c>
      <c r="AE225" s="518" t="s">
        <v>10210</v>
      </c>
      <c r="AF225" s="519" t="s">
        <v>10211</v>
      </c>
      <c r="AG225" s="1021" t="s">
        <v>9179</v>
      </c>
      <c r="AH225" s="1022" t="s">
        <v>169</v>
      </c>
      <c r="AI225" s="530" t="s">
        <v>2969</v>
      </c>
      <c r="AJ225" s="958">
        <v>1</v>
      </c>
      <c r="AK225" s="959" t="s">
        <v>5359</v>
      </c>
      <c r="AL225" s="960" t="s">
        <v>10212</v>
      </c>
      <c r="AM225" s="997">
        <f>_xll.GetCtData("COAMOUNT","CONSAMOUNT",$A$1:$A$7,$D225,AM$10,"#0")</f>
        <v>0</v>
      </c>
    </row>
    <row r="226" spans="1:39">
      <c r="A226" s="427" t="s">
        <v>6610</v>
      </c>
      <c r="B226" s="427" t="s">
        <v>6610</v>
      </c>
      <c r="D226" s="990" t="s">
        <v>1317</v>
      </c>
      <c r="E226" s="949" t="s">
        <v>5409</v>
      </c>
      <c r="F226" s="950">
        <v>10</v>
      </c>
      <c r="G226" s="950"/>
      <c r="H226" s="950"/>
      <c r="I226" s="950"/>
      <c r="J226" s="950"/>
      <c r="K226" s="950"/>
      <c r="L226" s="950"/>
      <c r="M226" s="950"/>
      <c r="N226" s="950"/>
      <c r="O226" s="950"/>
      <c r="P226" s="950"/>
      <c r="Q226" s="991"/>
      <c r="R226" s="990" t="s">
        <v>10213</v>
      </c>
      <c r="S226" s="992" t="s">
        <v>10214</v>
      </c>
      <c r="T226" s="993">
        <f t="shared" si="19"/>
        <v>43</v>
      </c>
      <c r="U226" s="992" t="s">
        <v>10214</v>
      </c>
      <c r="V226" s="993">
        <f t="shared" si="14"/>
        <v>43</v>
      </c>
      <c r="W226" s="992" t="s">
        <v>10215</v>
      </c>
      <c r="X226" s="993">
        <f t="shared" si="15"/>
        <v>24</v>
      </c>
      <c r="Y226" s="994" t="s">
        <v>10216</v>
      </c>
      <c r="Z226" s="993">
        <f t="shared" si="16"/>
        <v>57</v>
      </c>
      <c r="AA226" s="994" t="s">
        <v>10217</v>
      </c>
      <c r="AB226" s="993">
        <f t="shared" si="17"/>
        <v>55</v>
      </c>
      <c r="AC226" s="994" t="s">
        <v>10218</v>
      </c>
      <c r="AD226" s="993">
        <f t="shared" si="18"/>
        <v>26</v>
      </c>
      <c r="AE226" s="518" t="s">
        <v>10219</v>
      </c>
      <c r="AF226" s="519" t="s">
        <v>10220</v>
      </c>
      <c r="AG226" s="995" t="s">
        <v>9179</v>
      </c>
      <c r="AH226" s="996" t="s">
        <v>169</v>
      </c>
      <c r="AI226" s="530" t="s">
        <v>2969</v>
      </c>
      <c r="AJ226" s="958">
        <v>1</v>
      </c>
      <c r="AK226" s="959" t="s">
        <v>5359</v>
      </c>
      <c r="AL226" s="960" t="s">
        <v>10212</v>
      </c>
      <c r="AM226" s="997">
        <f>_xll.GetCtData("COAMOUNT","CONSAMOUNT",$A$1:$A$7,$D226,AM$10,"#18210")</f>
        <v>18210</v>
      </c>
    </row>
    <row r="227" spans="1:39">
      <c r="A227" s="427" t="s">
        <v>6610</v>
      </c>
      <c r="B227" s="427" t="s">
        <v>6610</v>
      </c>
      <c r="D227" s="981" t="s">
        <v>10221</v>
      </c>
      <c r="E227" s="949" t="s">
        <v>2912</v>
      </c>
      <c r="F227" s="950">
        <v>8</v>
      </c>
      <c r="G227" s="950"/>
      <c r="H227" s="950"/>
      <c r="I227" s="950"/>
      <c r="J227" s="950"/>
      <c r="K227" s="950"/>
      <c r="L227" s="950"/>
      <c r="M227" s="950"/>
      <c r="N227" s="950"/>
      <c r="O227" s="981" t="s">
        <v>10222</v>
      </c>
      <c r="P227" s="982"/>
      <c r="Q227" s="981"/>
      <c r="R227" s="981" t="s">
        <v>10222</v>
      </c>
      <c r="S227" s="981" t="s">
        <v>10223</v>
      </c>
      <c r="T227" s="1002">
        <f t="shared" si="19"/>
        <v>21</v>
      </c>
      <c r="U227" s="981" t="s">
        <v>10223</v>
      </c>
      <c r="V227" s="1002">
        <f t="shared" si="14"/>
        <v>21</v>
      </c>
      <c r="W227" s="981" t="s">
        <v>10223</v>
      </c>
      <c r="X227" s="1002">
        <f t="shared" si="15"/>
        <v>21</v>
      </c>
      <c r="Y227" s="1003" t="s">
        <v>10224</v>
      </c>
      <c r="Z227" s="1002">
        <f t="shared" si="16"/>
        <v>24</v>
      </c>
      <c r="AA227" s="1003" t="s">
        <v>10224</v>
      </c>
      <c r="AB227" s="1002">
        <f t="shared" si="17"/>
        <v>24</v>
      </c>
      <c r="AC227" s="1003" t="s">
        <v>10224</v>
      </c>
      <c r="AD227" s="1002">
        <f t="shared" si="18"/>
        <v>24</v>
      </c>
      <c r="AE227" s="1002"/>
      <c r="AF227" s="1002"/>
      <c r="AG227" s="956"/>
      <c r="AH227" s="957"/>
      <c r="AI227" s="494" t="s">
        <v>2917</v>
      </c>
      <c r="AJ227" s="958">
        <v>1</v>
      </c>
      <c r="AK227" s="959"/>
      <c r="AL227" s="960"/>
      <c r="AM227" s="985">
        <f>_xll.GetCtData("COAMOUNT","CONSAMOUNT",$A$1:$A$7,$D227,AM$10,"#47292,2120868504")</f>
        <v>47292</v>
      </c>
    </row>
    <row r="228" spans="1:39">
      <c r="A228" s="427" t="s">
        <v>6610</v>
      </c>
      <c r="B228" s="427" t="s">
        <v>6610</v>
      </c>
      <c r="D228" s="990" t="s">
        <v>1306</v>
      </c>
      <c r="E228" s="949" t="s">
        <v>2930</v>
      </c>
      <c r="F228" s="950">
        <v>10</v>
      </c>
      <c r="G228" s="950"/>
      <c r="H228" s="950"/>
      <c r="I228" s="950"/>
      <c r="J228" s="950"/>
      <c r="K228" s="950"/>
      <c r="L228" s="950"/>
      <c r="M228" s="950"/>
      <c r="N228" s="950"/>
      <c r="O228" s="950"/>
      <c r="P228" s="950"/>
      <c r="Q228" s="991"/>
      <c r="R228" s="990" t="s">
        <v>10225</v>
      </c>
      <c r="S228" s="992" t="s">
        <v>10226</v>
      </c>
      <c r="T228" s="993">
        <f t="shared" si="19"/>
        <v>62</v>
      </c>
      <c r="U228" s="992" t="s">
        <v>10226</v>
      </c>
      <c r="V228" s="993">
        <f t="shared" si="14"/>
        <v>62</v>
      </c>
      <c r="W228" s="992" t="s">
        <v>10227</v>
      </c>
      <c r="X228" s="993">
        <f t="shared" si="15"/>
        <v>25</v>
      </c>
      <c r="Y228" s="994" t="s">
        <v>10228</v>
      </c>
      <c r="Z228" s="993">
        <f t="shared" si="16"/>
        <v>61</v>
      </c>
      <c r="AA228" s="994" t="s">
        <v>10228</v>
      </c>
      <c r="AB228" s="993">
        <f t="shared" si="17"/>
        <v>61</v>
      </c>
      <c r="AC228" s="994" t="s">
        <v>10229</v>
      </c>
      <c r="AD228" s="993">
        <f t="shared" si="18"/>
        <v>30</v>
      </c>
      <c r="AE228" s="518" t="s">
        <v>10230</v>
      </c>
      <c r="AF228" s="519" t="s">
        <v>10231</v>
      </c>
      <c r="AG228" s="1021" t="s">
        <v>9179</v>
      </c>
      <c r="AH228" s="1022" t="s">
        <v>169</v>
      </c>
      <c r="AI228" s="494" t="s">
        <v>2917</v>
      </c>
      <c r="AJ228" s="958">
        <v>1</v>
      </c>
      <c r="AK228" s="959" t="s">
        <v>5359</v>
      </c>
      <c r="AL228" s="1023" t="s">
        <v>10232</v>
      </c>
      <c r="AM228" s="997">
        <f>_xll.GetCtData("COAMOUNT","CONSAMOUNT",$A$1:$A$7,$D228,AM$10,"#5920")</f>
        <v>5920</v>
      </c>
    </row>
    <row r="229" spans="1:39">
      <c r="A229" s="427" t="s">
        <v>6610</v>
      </c>
      <c r="B229" s="427" t="s">
        <v>6610</v>
      </c>
      <c r="D229" s="990" t="s">
        <v>1307</v>
      </c>
      <c r="E229" s="949" t="s">
        <v>2930</v>
      </c>
      <c r="F229" s="950">
        <v>10</v>
      </c>
      <c r="G229" s="950"/>
      <c r="H229" s="950"/>
      <c r="I229" s="950"/>
      <c r="J229" s="950"/>
      <c r="K229" s="950"/>
      <c r="L229" s="950"/>
      <c r="M229" s="950"/>
      <c r="N229" s="950"/>
      <c r="O229" s="950"/>
      <c r="P229" s="950"/>
      <c r="Q229" s="991"/>
      <c r="R229" s="990" t="s">
        <v>10233</v>
      </c>
      <c r="S229" s="992" t="s">
        <v>10234</v>
      </c>
      <c r="T229" s="993">
        <f t="shared" si="19"/>
        <v>52</v>
      </c>
      <c r="U229" s="992" t="s">
        <v>10234</v>
      </c>
      <c r="V229" s="993">
        <f t="shared" si="14"/>
        <v>52</v>
      </c>
      <c r="W229" s="992" t="s">
        <v>10235</v>
      </c>
      <c r="X229" s="993">
        <f t="shared" si="15"/>
        <v>23</v>
      </c>
      <c r="Y229" s="994" t="s">
        <v>10236</v>
      </c>
      <c r="Z229" s="993">
        <f t="shared" si="16"/>
        <v>60</v>
      </c>
      <c r="AA229" s="994" t="s">
        <v>10236</v>
      </c>
      <c r="AB229" s="993">
        <f t="shared" si="17"/>
        <v>60</v>
      </c>
      <c r="AC229" s="994" t="s">
        <v>10237</v>
      </c>
      <c r="AD229" s="993">
        <f t="shared" si="18"/>
        <v>30</v>
      </c>
      <c r="AE229" s="518" t="s">
        <v>10230</v>
      </c>
      <c r="AF229" s="519" t="s">
        <v>10231</v>
      </c>
      <c r="AG229" s="1021" t="s">
        <v>9179</v>
      </c>
      <c r="AH229" s="1022" t="s">
        <v>169</v>
      </c>
      <c r="AI229" s="494" t="s">
        <v>2917</v>
      </c>
      <c r="AJ229" s="958">
        <v>1</v>
      </c>
      <c r="AK229" s="959" t="s">
        <v>5359</v>
      </c>
      <c r="AL229" s="1023" t="s">
        <v>10232</v>
      </c>
      <c r="AM229" s="997">
        <f>_xll.GetCtData("COAMOUNT","CONSAMOUNT",$A$1:$A$7,$D229,AM$10,"#41372,2120868504")</f>
        <v>41372</v>
      </c>
    </row>
    <row r="230" spans="1:39">
      <c r="A230" s="427" t="s">
        <v>6610</v>
      </c>
      <c r="B230" s="427" t="s">
        <v>6610</v>
      </c>
      <c r="D230" s="981" t="s">
        <v>10238</v>
      </c>
      <c r="E230" s="949" t="s">
        <v>2912</v>
      </c>
      <c r="F230" s="950">
        <v>8</v>
      </c>
      <c r="G230" s="950"/>
      <c r="H230" s="950"/>
      <c r="I230" s="950"/>
      <c r="J230" s="950"/>
      <c r="K230" s="950"/>
      <c r="L230" s="950"/>
      <c r="M230" s="950"/>
      <c r="N230" s="950"/>
      <c r="O230" s="981" t="s">
        <v>10239</v>
      </c>
      <c r="P230" s="982"/>
      <c r="Q230" s="981"/>
      <c r="R230" s="981" t="s">
        <v>10239</v>
      </c>
      <c r="S230" s="981" t="s">
        <v>10240</v>
      </c>
      <c r="T230" s="1002">
        <f t="shared" si="19"/>
        <v>16</v>
      </c>
      <c r="U230" s="981" t="s">
        <v>10240</v>
      </c>
      <c r="V230" s="1002">
        <f t="shared" si="14"/>
        <v>16</v>
      </c>
      <c r="W230" s="981" t="s">
        <v>10240</v>
      </c>
      <c r="X230" s="1002">
        <f t="shared" si="15"/>
        <v>16</v>
      </c>
      <c r="Y230" s="1003" t="s">
        <v>10241</v>
      </c>
      <c r="Z230" s="1002">
        <f t="shared" si="16"/>
        <v>24</v>
      </c>
      <c r="AA230" s="1003" t="s">
        <v>10241</v>
      </c>
      <c r="AB230" s="1002">
        <f t="shared" si="17"/>
        <v>24</v>
      </c>
      <c r="AC230" s="1003" t="s">
        <v>10241</v>
      </c>
      <c r="AD230" s="1002">
        <f t="shared" si="18"/>
        <v>24</v>
      </c>
      <c r="AE230" s="1002"/>
      <c r="AF230" s="1002"/>
      <c r="AG230" s="956"/>
      <c r="AH230" s="957"/>
      <c r="AI230" s="494" t="s">
        <v>2917</v>
      </c>
      <c r="AJ230" s="958">
        <v>1</v>
      </c>
      <c r="AK230" s="959"/>
      <c r="AL230" s="960"/>
      <c r="AM230" s="985">
        <f>_xll.GetCtData("COAMOUNT","CONSAMOUNT",$A$1:$A$7,$D230,AM$10,"#4234272,69611422")</f>
        <v>4234272</v>
      </c>
    </row>
    <row r="231" spans="1:39">
      <c r="A231" s="427" t="s">
        <v>6610</v>
      </c>
      <c r="B231" s="427" t="s">
        <v>6610</v>
      </c>
      <c r="D231" s="986" t="s">
        <v>10242</v>
      </c>
      <c r="E231" s="949" t="s">
        <v>2912</v>
      </c>
      <c r="F231" s="950">
        <v>9</v>
      </c>
      <c r="G231" s="950"/>
      <c r="H231" s="950"/>
      <c r="I231" s="950"/>
      <c r="J231" s="950"/>
      <c r="K231" s="950"/>
      <c r="L231" s="950"/>
      <c r="M231" s="950"/>
      <c r="N231" s="950"/>
      <c r="O231" s="950"/>
      <c r="P231" s="986" t="s">
        <v>10243</v>
      </c>
      <c r="Q231" s="986"/>
      <c r="R231" s="986" t="s">
        <v>10243</v>
      </c>
      <c r="S231" s="986" t="s">
        <v>10244</v>
      </c>
      <c r="T231" s="1012">
        <f t="shared" si="19"/>
        <v>42</v>
      </c>
      <c r="U231" s="986" t="s">
        <v>10244</v>
      </c>
      <c r="V231" s="1012">
        <f t="shared" si="14"/>
        <v>42</v>
      </c>
      <c r="W231" s="986" t="s">
        <v>10245</v>
      </c>
      <c r="X231" s="1012">
        <f t="shared" si="15"/>
        <v>27</v>
      </c>
      <c r="Y231" s="986" t="s">
        <v>10246</v>
      </c>
      <c r="Z231" s="1012">
        <f t="shared" si="16"/>
        <v>47</v>
      </c>
      <c r="AA231" s="986" t="s">
        <v>10246</v>
      </c>
      <c r="AB231" s="1012">
        <f t="shared" si="17"/>
        <v>47</v>
      </c>
      <c r="AC231" s="986" t="s">
        <v>10247</v>
      </c>
      <c r="AD231" s="1012">
        <f t="shared" si="18"/>
        <v>27</v>
      </c>
      <c r="AE231" s="987"/>
      <c r="AF231" s="987"/>
      <c r="AG231" s="995"/>
      <c r="AH231" s="996"/>
      <c r="AI231" s="494" t="s">
        <v>2917</v>
      </c>
      <c r="AJ231" s="958">
        <v>1</v>
      </c>
      <c r="AK231" s="959"/>
      <c r="AL231" s="960"/>
      <c r="AM231" s="989">
        <f>_xll.GetCtData("COAMOUNT","CONSAMOUNT",$A$1:$A$7,$D231,AM$10,"#3708601,69611422")</f>
        <v>3708601</v>
      </c>
    </row>
    <row r="232" spans="1:39">
      <c r="A232" s="427" t="s">
        <v>6610</v>
      </c>
      <c r="B232" s="427" t="s">
        <v>6610</v>
      </c>
      <c r="D232" s="990" t="s">
        <v>1308</v>
      </c>
      <c r="E232" s="949" t="s">
        <v>2930</v>
      </c>
      <c r="F232" s="950">
        <v>10</v>
      </c>
      <c r="G232" s="950"/>
      <c r="H232" s="950"/>
      <c r="I232" s="950"/>
      <c r="J232" s="950"/>
      <c r="K232" s="950"/>
      <c r="L232" s="950"/>
      <c r="M232" s="950"/>
      <c r="N232" s="950"/>
      <c r="O232" s="950"/>
      <c r="P232" s="950"/>
      <c r="Q232" s="991"/>
      <c r="R232" s="990" t="s">
        <v>10248</v>
      </c>
      <c r="S232" s="992" t="s">
        <v>10249</v>
      </c>
      <c r="T232" s="993">
        <f t="shared" si="19"/>
        <v>48</v>
      </c>
      <c r="U232" s="992" t="s">
        <v>10249</v>
      </c>
      <c r="V232" s="993">
        <f t="shared" si="14"/>
        <v>48</v>
      </c>
      <c r="W232" s="992" t="s">
        <v>10250</v>
      </c>
      <c r="X232" s="993">
        <f t="shared" si="15"/>
        <v>26</v>
      </c>
      <c r="Y232" s="994" t="s">
        <v>10251</v>
      </c>
      <c r="Z232" s="993">
        <f t="shared" si="16"/>
        <v>54</v>
      </c>
      <c r="AA232" s="994" t="s">
        <v>10251</v>
      </c>
      <c r="AB232" s="993">
        <f t="shared" si="17"/>
        <v>54</v>
      </c>
      <c r="AC232" s="994" t="s">
        <v>10252</v>
      </c>
      <c r="AD232" s="993">
        <f t="shared" si="18"/>
        <v>30</v>
      </c>
      <c r="AE232" s="518" t="s">
        <v>10253</v>
      </c>
      <c r="AF232" s="519" t="s">
        <v>10254</v>
      </c>
      <c r="AG232" s="1021" t="s">
        <v>9179</v>
      </c>
      <c r="AH232" s="1022" t="s">
        <v>169</v>
      </c>
      <c r="AI232" s="494" t="s">
        <v>2917</v>
      </c>
      <c r="AJ232" s="958">
        <v>1</v>
      </c>
      <c r="AK232" s="959" t="s">
        <v>5359</v>
      </c>
      <c r="AL232" s="1023" t="s">
        <v>10255</v>
      </c>
      <c r="AM232" s="997">
        <f>_xll.GetCtData("COAMOUNT","CONSAMOUNT",$A$1:$A$7,$D232,AM$10,"#3493165,18077082")</f>
        <v>3493165</v>
      </c>
    </row>
    <row r="233" spans="1:39">
      <c r="A233" s="427" t="s">
        <v>6610</v>
      </c>
      <c r="B233" s="427" t="s">
        <v>6610</v>
      </c>
      <c r="D233" s="990" t="s">
        <v>1309</v>
      </c>
      <c r="E233" s="949" t="s">
        <v>2930</v>
      </c>
      <c r="F233" s="950">
        <v>10</v>
      </c>
      <c r="G233" s="950"/>
      <c r="H233" s="950"/>
      <c r="I233" s="950"/>
      <c r="J233" s="950"/>
      <c r="K233" s="950"/>
      <c r="L233" s="950"/>
      <c r="M233" s="950"/>
      <c r="N233" s="950"/>
      <c r="O233" s="950"/>
      <c r="P233" s="950"/>
      <c r="Q233" s="991"/>
      <c r="R233" s="990" t="s">
        <v>10256</v>
      </c>
      <c r="S233" s="992" t="s">
        <v>10257</v>
      </c>
      <c r="T233" s="993">
        <f t="shared" si="19"/>
        <v>37</v>
      </c>
      <c r="U233" s="992" t="s">
        <v>10257</v>
      </c>
      <c r="V233" s="993">
        <f t="shared" si="14"/>
        <v>37</v>
      </c>
      <c r="W233" s="992" t="s">
        <v>10258</v>
      </c>
      <c r="X233" s="993">
        <f t="shared" si="15"/>
        <v>24</v>
      </c>
      <c r="Y233" s="994" t="s">
        <v>10259</v>
      </c>
      <c r="Z233" s="993">
        <f t="shared" si="16"/>
        <v>52</v>
      </c>
      <c r="AA233" s="994" t="s">
        <v>10259</v>
      </c>
      <c r="AB233" s="993">
        <f t="shared" si="17"/>
        <v>52</v>
      </c>
      <c r="AC233" s="994" t="s">
        <v>10260</v>
      </c>
      <c r="AD233" s="993">
        <f t="shared" si="18"/>
        <v>30</v>
      </c>
      <c r="AE233" s="518" t="s">
        <v>10253</v>
      </c>
      <c r="AF233" s="519" t="s">
        <v>10254</v>
      </c>
      <c r="AG233" s="1021" t="s">
        <v>9179</v>
      </c>
      <c r="AH233" s="1022" t="s">
        <v>169</v>
      </c>
      <c r="AI233" s="494" t="s">
        <v>2917</v>
      </c>
      <c r="AJ233" s="958">
        <v>1</v>
      </c>
      <c r="AK233" s="959" t="s">
        <v>5359</v>
      </c>
      <c r="AL233" s="1023" t="s">
        <v>10232</v>
      </c>
      <c r="AM233" s="997">
        <f>_xll.GetCtData("COAMOUNT","CONSAMOUNT",$A$1:$A$7,$D233,AM$10,"#215436,515343402")</f>
        <v>215436</v>
      </c>
    </row>
    <row r="234" spans="1:39">
      <c r="A234" s="427" t="s">
        <v>6610</v>
      </c>
      <c r="B234" s="427" t="s">
        <v>6610</v>
      </c>
      <c r="D234" s="986" t="s">
        <v>10261</v>
      </c>
      <c r="E234" s="949" t="s">
        <v>2912</v>
      </c>
      <c r="F234" s="950">
        <v>9</v>
      </c>
      <c r="G234" s="950"/>
      <c r="H234" s="950"/>
      <c r="I234" s="950"/>
      <c r="J234" s="950"/>
      <c r="K234" s="950"/>
      <c r="L234" s="950"/>
      <c r="M234" s="950"/>
      <c r="N234" s="950"/>
      <c r="O234" s="950"/>
      <c r="P234" s="986" t="s">
        <v>10262</v>
      </c>
      <c r="Q234" s="986"/>
      <c r="R234" s="986" t="s">
        <v>10262</v>
      </c>
      <c r="S234" s="986" t="s">
        <v>10263</v>
      </c>
      <c r="T234" s="1012">
        <f t="shared" si="19"/>
        <v>53</v>
      </c>
      <c r="U234" s="986" t="s">
        <v>10263</v>
      </c>
      <c r="V234" s="1012">
        <f t="shared" si="14"/>
        <v>53</v>
      </c>
      <c r="W234" s="986" t="s">
        <v>10264</v>
      </c>
      <c r="X234" s="1012">
        <f t="shared" si="15"/>
        <v>22</v>
      </c>
      <c r="Y234" s="986" t="s">
        <v>10265</v>
      </c>
      <c r="Z234" s="1012">
        <f t="shared" si="16"/>
        <v>50</v>
      </c>
      <c r="AA234" s="986" t="s">
        <v>10265</v>
      </c>
      <c r="AB234" s="1012">
        <f t="shared" si="17"/>
        <v>50</v>
      </c>
      <c r="AC234" s="986" t="s">
        <v>10266</v>
      </c>
      <c r="AD234" s="1012">
        <f t="shared" si="18"/>
        <v>30</v>
      </c>
      <c r="AE234" s="987"/>
      <c r="AF234" s="987"/>
      <c r="AG234" s="995"/>
      <c r="AH234" s="996"/>
      <c r="AI234" s="494" t="s">
        <v>2917</v>
      </c>
      <c r="AJ234" s="958">
        <v>1</v>
      </c>
      <c r="AK234" s="959"/>
      <c r="AL234" s="960"/>
      <c r="AM234" s="989">
        <f>_xll.GetCtData("COAMOUNT","CONSAMOUNT",$A$1:$A$7,$D234,AM$10,"#525671")</f>
        <v>525671</v>
      </c>
    </row>
    <row r="235" spans="1:39">
      <c r="A235" s="427" t="s">
        <v>6610</v>
      </c>
      <c r="B235" s="427" t="s">
        <v>6610</v>
      </c>
      <c r="D235" s="990" t="s">
        <v>1310</v>
      </c>
      <c r="E235" s="949" t="s">
        <v>2930</v>
      </c>
      <c r="F235" s="950">
        <v>10</v>
      </c>
      <c r="G235" s="950"/>
      <c r="H235" s="950"/>
      <c r="I235" s="950"/>
      <c r="J235" s="950"/>
      <c r="K235" s="950"/>
      <c r="L235" s="950"/>
      <c r="M235" s="950"/>
      <c r="N235" s="950"/>
      <c r="O235" s="950"/>
      <c r="P235" s="950"/>
      <c r="Q235" s="991"/>
      <c r="R235" s="990" t="s">
        <v>10267</v>
      </c>
      <c r="S235" s="992" t="s">
        <v>10268</v>
      </c>
      <c r="T235" s="993">
        <f t="shared" ref="T235:T312" si="20">LEN(S235)</f>
        <v>53</v>
      </c>
      <c r="U235" s="992" t="s">
        <v>10268</v>
      </c>
      <c r="V235" s="993">
        <f t="shared" si="14"/>
        <v>53</v>
      </c>
      <c r="W235" s="992" t="s">
        <v>10269</v>
      </c>
      <c r="X235" s="993">
        <f t="shared" si="15"/>
        <v>28</v>
      </c>
      <c r="Y235" s="994" t="s">
        <v>10270</v>
      </c>
      <c r="Z235" s="993">
        <f t="shared" si="16"/>
        <v>51</v>
      </c>
      <c r="AA235" s="994" t="s">
        <v>10270</v>
      </c>
      <c r="AB235" s="993">
        <f t="shared" si="17"/>
        <v>51</v>
      </c>
      <c r="AC235" s="994" t="s">
        <v>10271</v>
      </c>
      <c r="AD235" s="993">
        <f t="shared" si="18"/>
        <v>30</v>
      </c>
      <c r="AE235" s="518" t="s">
        <v>10272</v>
      </c>
      <c r="AF235" s="519" t="s">
        <v>10273</v>
      </c>
      <c r="AG235" s="1021" t="s">
        <v>9179</v>
      </c>
      <c r="AH235" s="1022" t="s">
        <v>169</v>
      </c>
      <c r="AI235" s="494" t="s">
        <v>2917</v>
      </c>
      <c r="AJ235" s="958">
        <v>1</v>
      </c>
      <c r="AK235" s="959" t="s">
        <v>5359</v>
      </c>
      <c r="AL235" s="1023" t="s">
        <v>10232</v>
      </c>
      <c r="AM235" s="997">
        <f>_xll.GetCtData("COAMOUNT","CONSAMOUNT",$A$1:$A$7,$D235,AM$10,"#525671")</f>
        <v>525671</v>
      </c>
    </row>
    <row r="236" spans="1:39">
      <c r="A236" s="427" t="s">
        <v>6610</v>
      </c>
      <c r="B236" s="427" t="s">
        <v>6610</v>
      </c>
      <c r="D236" s="990" t="s">
        <v>1311</v>
      </c>
      <c r="E236" s="949" t="s">
        <v>2930</v>
      </c>
      <c r="F236" s="950">
        <v>10</v>
      </c>
      <c r="G236" s="950"/>
      <c r="H236" s="950"/>
      <c r="I236" s="950"/>
      <c r="J236" s="950"/>
      <c r="K236" s="950"/>
      <c r="L236" s="950"/>
      <c r="M236" s="950"/>
      <c r="N236" s="950"/>
      <c r="O236" s="950"/>
      <c r="P236" s="950"/>
      <c r="Q236" s="991"/>
      <c r="R236" s="990" t="s">
        <v>10274</v>
      </c>
      <c r="S236" s="427" t="s">
        <v>10275</v>
      </c>
      <c r="T236" s="979">
        <f t="shared" si="20"/>
        <v>49</v>
      </c>
      <c r="U236" s="427" t="s">
        <v>10275</v>
      </c>
      <c r="V236" s="979">
        <f t="shared" si="14"/>
        <v>49</v>
      </c>
      <c r="W236" s="992" t="s">
        <v>10276</v>
      </c>
      <c r="X236" s="979">
        <f t="shared" si="15"/>
        <v>29</v>
      </c>
      <c r="Y236" s="427" t="s">
        <v>10277</v>
      </c>
      <c r="Z236" s="979">
        <f t="shared" si="16"/>
        <v>47</v>
      </c>
      <c r="AA236" s="427" t="s">
        <v>10277</v>
      </c>
      <c r="AB236" s="979">
        <f t="shared" si="17"/>
        <v>47</v>
      </c>
      <c r="AC236" s="427" t="s">
        <v>10278</v>
      </c>
      <c r="AD236" s="979">
        <f t="shared" si="18"/>
        <v>30</v>
      </c>
      <c r="AE236" s="518" t="s">
        <v>10272</v>
      </c>
      <c r="AF236" s="519" t="s">
        <v>10273</v>
      </c>
      <c r="AG236" s="1021" t="s">
        <v>9179</v>
      </c>
      <c r="AH236" s="1022" t="s">
        <v>169</v>
      </c>
      <c r="AI236" s="494" t="s">
        <v>2917</v>
      </c>
      <c r="AJ236" s="958">
        <v>1</v>
      </c>
      <c r="AK236" s="959" t="s">
        <v>5359</v>
      </c>
      <c r="AL236" s="1023" t="s">
        <v>10232</v>
      </c>
      <c r="AM236" s="1024">
        <f>_xll.GetCtData("COAMOUNT","CONSAMOUNT",$A$1:$A$7,$D236,AM$10,"#")</f>
        <v>0</v>
      </c>
    </row>
    <row r="237" spans="1:39">
      <c r="A237" s="427" t="s">
        <v>6610</v>
      </c>
      <c r="B237" s="427" t="s">
        <v>6610</v>
      </c>
      <c r="D237" s="981" t="s">
        <v>10279</v>
      </c>
      <c r="E237" s="949" t="s">
        <v>2912</v>
      </c>
      <c r="F237" s="950">
        <v>8</v>
      </c>
      <c r="G237" s="950"/>
      <c r="H237" s="950"/>
      <c r="I237" s="950"/>
      <c r="J237" s="950"/>
      <c r="K237" s="950"/>
      <c r="L237" s="950"/>
      <c r="M237" s="950"/>
      <c r="N237" s="950"/>
      <c r="O237" s="981" t="s">
        <v>10280</v>
      </c>
      <c r="P237" s="982"/>
      <c r="Q237" s="981"/>
      <c r="R237" s="981" t="s">
        <v>10280</v>
      </c>
      <c r="S237" s="981" t="s">
        <v>10281</v>
      </c>
      <c r="T237" s="1002">
        <f t="shared" si="20"/>
        <v>25</v>
      </c>
      <c r="U237" s="981" t="s">
        <v>10281</v>
      </c>
      <c r="V237" s="1002">
        <f t="shared" si="14"/>
        <v>25</v>
      </c>
      <c r="W237" s="981" t="s">
        <v>10281</v>
      </c>
      <c r="X237" s="1002">
        <f t="shared" si="15"/>
        <v>25</v>
      </c>
      <c r="Y237" s="1003" t="s">
        <v>10282</v>
      </c>
      <c r="Z237" s="1002">
        <f t="shared" si="16"/>
        <v>24</v>
      </c>
      <c r="AA237" s="1003" t="s">
        <v>10282</v>
      </c>
      <c r="AB237" s="1002">
        <f t="shared" si="17"/>
        <v>24</v>
      </c>
      <c r="AC237" s="1003" t="s">
        <v>10282</v>
      </c>
      <c r="AD237" s="1002">
        <f t="shared" si="18"/>
        <v>24</v>
      </c>
      <c r="AE237" s="1002"/>
      <c r="AF237" s="1002"/>
      <c r="AG237" s="956"/>
      <c r="AH237" s="957"/>
      <c r="AI237" s="494" t="s">
        <v>2917</v>
      </c>
      <c r="AJ237" s="958">
        <v>1</v>
      </c>
      <c r="AK237" s="959"/>
      <c r="AL237" s="960"/>
      <c r="AM237" s="985">
        <f>_xll.GetCtData("COAMOUNT","CONSAMOUNT",$A$1:$A$7,$D237,AM$10,"#1710719,04646364")</f>
        <v>1710719</v>
      </c>
    </row>
    <row r="238" spans="1:39">
      <c r="A238" s="427" t="s">
        <v>6610</v>
      </c>
      <c r="B238" s="427" t="s">
        <v>6610</v>
      </c>
      <c r="D238" s="986" t="s">
        <v>10283</v>
      </c>
      <c r="E238" s="949" t="s">
        <v>2912</v>
      </c>
      <c r="F238" s="950">
        <v>9</v>
      </c>
      <c r="G238" s="950"/>
      <c r="H238" s="950"/>
      <c r="I238" s="950"/>
      <c r="J238" s="950"/>
      <c r="K238" s="950"/>
      <c r="L238" s="950"/>
      <c r="M238" s="950"/>
      <c r="N238" s="950"/>
      <c r="O238" s="950"/>
      <c r="P238" s="986" t="s">
        <v>10284</v>
      </c>
      <c r="Q238" s="986"/>
      <c r="R238" s="986" t="s">
        <v>10284</v>
      </c>
      <c r="S238" s="986" t="s">
        <v>10285</v>
      </c>
      <c r="T238" s="1012">
        <f t="shared" si="20"/>
        <v>49</v>
      </c>
      <c r="U238" s="986" t="s">
        <v>10285</v>
      </c>
      <c r="V238" s="1012">
        <f t="shared" si="14"/>
        <v>49</v>
      </c>
      <c r="W238" s="986" t="s">
        <v>10286</v>
      </c>
      <c r="X238" s="1012">
        <f t="shared" si="15"/>
        <v>26</v>
      </c>
      <c r="Y238" s="986" t="s">
        <v>10287</v>
      </c>
      <c r="Z238" s="1012">
        <f t="shared" si="16"/>
        <v>43</v>
      </c>
      <c r="AA238" s="986" t="s">
        <v>10287</v>
      </c>
      <c r="AB238" s="1012">
        <f t="shared" si="17"/>
        <v>43</v>
      </c>
      <c r="AC238" s="986" t="s">
        <v>10288</v>
      </c>
      <c r="AD238" s="1012">
        <f t="shared" si="18"/>
        <v>25</v>
      </c>
      <c r="AE238" s="987"/>
      <c r="AF238" s="987"/>
      <c r="AG238" s="995"/>
      <c r="AH238" s="996"/>
      <c r="AI238" s="494" t="s">
        <v>2917</v>
      </c>
      <c r="AJ238" s="958">
        <v>1</v>
      </c>
      <c r="AK238" s="959"/>
      <c r="AL238" s="960"/>
      <c r="AM238" s="989">
        <f>_xll.GetCtData("COAMOUNT","CONSAMOUNT",$A$1:$A$7,$D238,AM$10,"#585828,213426701")</f>
        <v>585828</v>
      </c>
    </row>
    <row r="239" spans="1:39">
      <c r="A239" s="427" t="s">
        <v>6610</v>
      </c>
      <c r="B239" s="427" t="s">
        <v>6610</v>
      </c>
      <c r="D239" s="990" t="s">
        <v>1312</v>
      </c>
      <c r="E239" s="949" t="s">
        <v>2930</v>
      </c>
      <c r="F239" s="950">
        <v>10</v>
      </c>
      <c r="G239" s="950"/>
      <c r="H239" s="950"/>
      <c r="I239" s="950"/>
      <c r="J239" s="950"/>
      <c r="K239" s="950"/>
      <c r="L239" s="950"/>
      <c r="M239" s="950"/>
      <c r="N239" s="950"/>
      <c r="O239" s="950"/>
      <c r="P239" s="950"/>
      <c r="Q239" s="991"/>
      <c r="R239" s="990" t="s">
        <v>10289</v>
      </c>
      <c r="S239" s="992" t="s">
        <v>10290</v>
      </c>
      <c r="T239" s="993">
        <f t="shared" si="20"/>
        <v>63</v>
      </c>
      <c r="U239" s="992" t="s">
        <v>10290</v>
      </c>
      <c r="V239" s="993">
        <f t="shared" si="14"/>
        <v>63</v>
      </c>
      <c r="W239" s="992" t="s">
        <v>10291</v>
      </c>
      <c r="X239" s="993">
        <f t="shared" si="15"/>
        <v>26</v>
      </c>
      <c r="Y239" s="994" t="s">
        <v>10292</v>
      </c>
      <c r="Z239" s="993">
        <f t="shared" si="16"/>
        <v>61</v>
      </c>
      <c r="AA239" s="994" t="s">
        <v>10292</v>
      </c>
      <c r="AB239" s="993">
        <f t="shared" si="17"/>
        <v>61</v>
      </c>
      <c r="AC239" s="994" t="s">
        <v>10293</v>
      </c>
      <c r="AD239" s="993">
        <f t="shared" si="18"/>
        <v>30</v>
      </c>
      <c r="AE239" s="518" t="s">
        <v>10294</v>
      </c>
      <c r="AF239" s="519" t="s">
        <v>10295</v>
      </c>
      <c r="AG239" s="1021" t="s">
        <v>9179</v>
      </c>
      <c r="AH239" s="1022" t="s">
        <v>169</v>
      </c>
      <c r="AI239" s="494" t="s">
        <v>2917</v>
      </c>
      <c r="AJ239" s="958">
        <v>1</v>
      </c>
      <c r="AK239" s="959"/>
      <c r="AL239" s="960"/>
      <c r="AM239" s="997">
        <f>_xll.GetCtData("COAMOUNT","CONSAMOUNT",$A$1:$A$7,$D239,AM$10,"#491203,8700112")</f>
        <v>491203</v>
      </c>
    </row>
    <row r="240" spans="1:39">
      <c r="A240" s="427" t="s">
        <v>6610</v>
      </c>
      <c r="B240" s="427" t="s">
        <v>6610</v>
      </c>
      <c r="D240" s="990" t="s">
        <v>1288</v>
      </c>
      <c r="E240" s="949" t="s">
        <v>2930</v>
      </c>
      <c r="F240" s="950">
        <v>10</v>
      </c>
      <c r="G240" s="950"/>
      <c r="H240" s="950"/>
      <c r="I240" s="950"/>
      <c r="J240" s="950"/>
      <c r="K240" s="950"/>
      <c r="L240" s="950"/>
      <c r="M240" s="950"/>
      <c r="N240" s="950"/>
      <c r="O240" s="950"/>
      <c r="P240" s="950"/>
      <c r="Q240" s="991"/>
      <c r="R240" s="990" t="s">
        <v>10296</v>
      </c>
      <c r="S240" s="992" t="s">
        <v>10297</v>
      </c>
      <c r="T240" s="993">
        <f t="shared" si="20"/>
        <v>53</v>
      </c>
      <c r="U240" s="992" t="s">
        <v>10297</v>
      </c>
      <c r="V240" s="993">
        <f t="shared" si="14"/>
        <v>53</v>
      </c>
      <c r="W240" s="992" t="s">
        <v>10298</v>
      </c>
      <c r="X240" s="993">
        <f t="shared" si="15"/>
        <v>24</v>
      </c>
      <c r="Y240" s="994" t="s">
        <v>10299</v>
      </c>
      <c r="Z240" s="993">
        <f t="shared" si="16"/>
        <v>60</v>
      </c>
      <c r="AA240" s="994" t="s">
        <v>10299</v>
      </c>
      <c r="AB240" s="993">
        <f t="shared" si="17"/>
        <v>60</v>
      </c>
      <c r="AC240" s="994" t="s">
        <v>10300</v>
      </c>
      <c r="AD240" s="993">
        <f t="shared" si="18"/>
        <v>30</v>
      </c>
      <c r="AE240" s="518" t="s">
        <v>10294</v>
      </c>
      <c r="AF240" s="519" t="s">
        <v>10295</v>
      </c>
      <c r="AG240" s="1021" t="s">
        <v>9179</v>
      </c>
      <c r="AH240" s="1022" t="s">
        <v>169</v>
      </c>
      <c r="AI240" s="494" t="s">
        <v>2917</v>
      </c>
      <c r="AJ240" s="958">
        <v>1</v>
      </c>
      <c r="AK240" s="959"/>
      <c r="AL240" s="960"/>
      <c r="AM240" s="997">
        <f>_xll.GetCtData("COAMOUNT","CONSAMOUNT",$A$1:$A$7,$D240,AM$10,"#94624,3434155015")</f>
        <v>94624</v>
      </c>
    </row>
    <row r="241" spans="1:39">
      <c r="A241" s="427" t="s">
        <v>6610</v>
      </c>
      <c r="B241" s="427" t="s">
        <v>6610</v>
      </c>
      <c r="D241" s="986" t="s">
        <v>10301</v>
      </c>
      <c r="E241" s="949" t="s">
        <v>2912</v>
      </c>
      <c r="F241" s="950">
        <v>9</v>
      </c>
      <c r="G241" s="950"/>
      <c r="H241" s="950"/>
      <c r="I241" s="950"/>
      <c r="J241" s="950"/>
      <c r="K241" s="950"/>
      <c r="L241" s="950"/>
      <c r="M241" s="950"/>
      <c r="N241" s="950"/>
      <c r="O241" s="950"/>
      <c r="P241" s="986" t="s">
        <v>10302</v>
      </c>
      <c r="Q241" s="986"/>
      <c r="R241" s="986" t="s">
        <v>10302</v>
      </c>
      <c r="S241" s="986" t="s">
        <v>10303</v>
      </c>
      <c r="T241" s="1012">
        <f t="shared" si="20"/>
        <v>59</v>
      </c>
      <c r="U241" s="986" t="s">
        <v>10303</v>
      </c>
      <c r="V241" s="1012">
        <f t="shared" si="14"/>
        <v>59</v>
      </c>
      <c r="W241" s="986" t="s">
        <v>10304</v>
      </c>
      <c r="X241" s="1012">
        <f t="shared" si="15"/>
        <v>26</v>
      </c>
      <c r="Y241" s="986" t="s">
        <v>10305</v>
      </c>
      <c r="Z241" s="1012">
        <f t="shared" si="16"/>
        <v>45</v>
      </c>
      <c r="AA241" s="986" t="s">
        <v>10305</v>
      </c>
      <c r="AB241" s="1012">
        <f t="shared" si="17"/>
        <v>45</v>
      </c>
      <c r="AC241" s="986" t="s">
        <v>10306</v>
      </c>
      <c r="AD241" s="1012">
        <f t="shared" si="18"/>
        <v>27</v>
      </c>
      <c r="AE241" s="987"/>
      <c r="AF241" s="987"/>
      <c r="AG241" s="995"/>
      <c r="AH241" s="996"/>
      <c r="AI241" s="494" t="s">
        <v>2917</v>
      </c>
      <c r="AJ241" s="958">
        <v>1</v>
      </c>
      <c r="AK241" s="959"/>
      <c r="AL241" s="960"/>
      <c r="AM241" s="989">
        <f>_xll.GetCtData("COAMOUNT","CONSAMOUNT",$A$1:$A$7,$D241,AM$10,"#1124890,83303694")</f>
        <v>1124890</v>
      </c>
    </row>
    <row r="242" spans="1:39">
      <c r="A242" s="427" t="s">
        <v>6610</v>
      </c>
      <c r="B242" s="427" t="s">
        <v>6610</v>
      </c>
      <c r="D242" s="990" t="s">
        <v>1289</v>
      </c>
      <c r="E242" s="949" t="s">
        <v>2930</v>
      </c>
      <c r="F242" s="950">
        <v>10</v>
      </c>
      <c r="G242" s="950"/>
      <c r="H242" s="950"/>
      <c r="I242" s="950"/>
      <c r="J242" s="950"/>
      <c r="K242" s="950"/>
      <c r="L242" s="950"/>
      <c r="M242" s="950"/>
      <c r="N242" s="950"/>
      <c r="O242" s="950"/>
      <c r="P242" s="950"/>
      <c r="Q242" s="991"/>
      <c r="R242" s="990" t="s">
        <v>10307</v>
      </c>
      <c r="S242" s="992" t="s">
        <v>10308</v>
      </c>
      <c r="T242" s="993">
        <f t="shared" si="20"/>
        <v>72</v>
      </c>
      <c r="U242" s="992" t="s">
        <v>10308</v>
      </c>
      <c r="V242" s="993">
        <f t="shared" si="14"/>
        <v>72</v>
      </c>
      <c r="W242" s="992" t="s">
        <v>10309</v>
      </c>
      <c r="X242" s="993">
        <f t="shared" si="15"/>
        <v>23</v>
      </c>
      <c r="Y242" s="994" t="s">
        <v>10310</v>
      </c>
      <c r="Z242" s="993">
        <f t="shared" si="16"/>
        <v>57</v>
      </c>
      <c r="AA242" s="994" t="s">
        <v>10310</v>
      </c>
      <c r="AB242" s="993">
        <f t="shared" si="17"/>
        <v>57</v>
      </c>
      <c r="AC242" s="994" t="s">
        <v>10311</v>
      </c>
      <c r="AD242" s="993">
        <f t="shared" si="18"/>
        <v>30</v>
      </c>
      <c r="AE242" s="518" t="s">
        <v>10312</v>
      </c>
      <c r="AF242" s="519" t="s">
        <v>10313</v>
      </c>
      <c r="AG242" s="1021" t="s">
        <v>9179</v>
      </c>
      <c r="AH242" s="1022" t="s">
        <v>169</v>
      </c>
      <c r="AI242" s="494" t="s">
        <v>2917</v>
      </c>
      <c r="AJ242" s="958">
        <v>1</v>
      </c>
      <c r="AK242" s="959"/>
      <c r="AL242" s="960"/>
      <c r="AM242" s="997">
        <f>_xll.GetCtData("COAMOUNT","CONSAMOUNT",$A$1:$A$7,$D242,AM$10,"#672206")</f>
        <v>672206</v>
      </c>
    </row>
    <row r="243" spans="1:39">
      <c r="A243" s="427" t="s">
        <v>6610</v>
      </c>
      <c r="B243" s="427" t="s">
        <v>6610</v>
      </c>
      <c r="D243" s="990" t="s">
        <v>1290</v>
      </c>
      <c r="E243" s="949" t="s">
        <v>2930</v>
      </c>
      <c r="F243" s="950">
        <v>10</v>
      </c>
      <c r="G243" s="950"/>
      <c r="H243" s="950"/>
      <c r="I243" s="950"/>
      <c r="J243" s="950"/>
      <c r="K243" s="950"/>
      <c r="L243" s="950"/>
      <c r="M243" s="950"/>
      <c r="N243" s="950"/>
      <c r="O243" s="950"/>
      <c r="P243" s="950"/>
      <c r="Q243" s="991"/>
      <c r="R243" s="990" t="s">
        <v>10314</v>
      </c>
      <c r="S243" s="992" t="s">
        <v>10315</v>
      </c>
      <c r="T243" s="993">
        <f t="shared" si="20"/>
        <v>68</v>
      </c>
      <c r="U243" s="992" t="s">
        <v>10315</v>
      </c>
      <c r="V243" s="993">
        <f t="shared" si="14"/>
        <v>68</v>
      </c>
      <c r="W243" s="992" t="s">
        <v>10316</v>
      </c>
      <c r="X243" s="993">
        <f t="shared" si="15"/>
        <v>26</v>
      </c>
      <c r="Y243" s="994" t="s">
        <v>10317</v>
      </c>
      <c r="Z243" s="993">
        <f t="shared" si="16"/>
        <v>53</v>
      </c>
      <c r="AA243" s="994" t="s">
        <v>10317</v>
      </c>
      <c r="AB243" s="993">
        <f t="shared" si="17"/>
        <v>53</v>
      </c>
      <c r="AC243" s="994" t="s">
        <v>10318</v>
      </c>
      <c r="AD243" s="993">
        <f t="shared" si="18"/>
        <v>30</v>
      </c>
      <c r="AE243" s="518" t="s">
        <v>10312</v>
      </c>
      <c r="AF243" s="519" t="s">
        <v>10313</v>
      </c>
      <c r="AG243" s="1021" t="s">
        <v>9179</v>
      </c>
      <c r="AH243" s="1022" t="s">
        <v>169</v>
      </c>
      <c r="AI243" s="494" t="s">
        <v>2917</v>
      </c>
      <c r="AJ243" s="958">
        <v>1</v>
      </c>
      <c r="AK243" s="959" t="s">
        <v>5359</v>
      </c>
      <c r="AL243" s="1023" t="s">
        <v>10232</v>
      </c>
      <c r="AM243" s="997">
        <f>_xll.GetCtData("COAMOUNT","CONSAMOUNT",$A$1:$A$7,$D243,AM$10,"#452684,833036942")</f>
        <v>452684</v>
      </c>
    </row>
    <row r="244" spans="1:39">
      <c r="A244" s="427" t="s">
        <v>6610</v>
      </c>
      <c r="B244" s="427" t="s">
        <v>6610</v>
      </c>
      <c r="D244" s="981" t="s">
        <v>10319</v>
      </c>
      <c r="E244" s="949" t="s">
        <v>2912</v>
      </c>
      <c r="F244" s="950">
        <v>8</v>
      </c>
      <c r="G244" s="950"/>
      <c r="H244" s="950"/>
      <c r="I244" s="950"/>
      <c r="J244" s="950"/>
      <c r="K244" s="950"/>
      <c r="L244" s="950"/>
      <c r="M244" s="950"/>
      <c r="N244" s="950"/>
      <c r="O244" s="981" t="s">
        <v>10320</v>
      </c>
      <c r="P244" s="982"/>
      <c r="Q244" s="981"/>
      <c r="R244" s="981" t="s">
        <v>10320</v>
      </c>
      <c r="S244" s="981" t="s">
        <v>10321</v>
      </c>
      <c r="T244" s="1002">
        <f t="shared" si="20"/>
        <v>36</v>
      </c>
      <c r="U244" s="981" t="s">
        <v>10321</v>
      </c>
      <c r="V244" s="1002">
        <f t="shared" si="14"/>
        <v>36</v>
      </c>
      <c r="W244" s="981" t="s">
        <v>10322</v>
      </c>
      <c r="X244" s="1002">
        <f t="shared" si="15"/>
        <v>22</v>
      </c>
      <c r="Y244" s="1003" t="s">
        <v>10323</v>
      </c>
      <c r="Z244" s="1002">
        <f t="shared" si="16"/>
        <v>31</v>
      </c>
      <c r="AA244" s="1003" t="s">
        <v>10323</v>
      </c>
      <c r="AB244" s="1002">
        <f t="shared" si="17"/>
        <v>31</v>
      </c>
      <c r="AC244" s="1003" t="s">
        <v>10324</v>
      </c>
      <c r="AD244" s="1002">
        <f t="shared" si="18"/>
        <v>27</v>
      </c>
      <c r="AE244" s="1002"/>
      <c r="AF244" s="1002"/>
      <c r="AG244" s="956"/>
      <c r="AH244" s="957"/>
      <c r="AI244" s="494" t="s">
        <v>2917</v>
      </c>
      <c r="AJ244" s="958">
        <v>1</v>
      </c>
      <c r="AK244" s="959"/>
      <c r="AL244" s="960"/>
      <c r="AM244" s="985">
        <f>_xll.GetCtData("COAMOUNT","CONSAMOUNT",$A$1:$A$7,$D244,AM$10,"#86150")</f>
        <v>86150</v>
      </c>
    </row>
    <row r="245" spans="1:39">
      <c r="A245" s="427" t="s">
        <v>6610</v>
      </c>
      <c r="B245" s="427" t="s">
        <v>6610</v>
      </c>
      <c r="D245" s="990" t="s">
        <v>1291</v>
      </c>
      <c r="E245" s="949" t="s">
        <v>2930</v>
      </c>
      <c r="F245" s="950">
        <v>10</v>
      </c>
      <c r="G245" s="950"/>
      <c r="H245" s="950"/>
      <c r="I245" s="950"/>
      <c r="J245" s="950"/>
      <c r="K245" s="950"/>
      <c r="L245" s="950"/>
      <c r="M245" s="950"/>
      <c r="N245" s="950"/>
      <c r="O245" s="950"/>
      <c r="P245" s="950"/>
      <c r="Q245" s="991"/>
      <c r="R245" s="990" t="s">
        <v>10325</v>
      </c>
      <c r="S245" s="992" t="s">
        <v>10326</v>
      </c>
      <c r="T245" s="993">
        <f t="shared" si="20"/>
        <v>77</v>
      </c>
      <c r="U245" s="992" t="s">
        <v>10326</v>
      </c>
      <c r="V245" s="993">
        <f t="shared" ref="V245:V314" si="21">LEN(U245)</f>
        <v>77</v>
      </c>
      <c r="W245" s="992" t="s">
        <v>10327</v>
      </c>
      <c r="X245" s="993">
        <f t="shared" ref="X245:X314" si="22">LEN(W245)</f>
        <v>24</v>
      </c>
      <c r="Y245" s="994" t="s">
        <v>10328</v>
      </c>
      <c r="Z245" s="993">
        <f t="shared" ref="Z245:Z314" si="23">LEN(Y245)</f>
        <v>68</v>
      </c>
      <c r="AA245" s="994" t="s">
        <v>10328</v>
      </c>
      <c r="AB245" s="993">
        <f t="shared" ref="AB245:AB314" si="24">LEN(AA245)</f>
        <v>68</v>
      </c>
      <c r="AC245" s="994" t="s">
        <v>10329</v>
      </c>
      <c r="AD245" s="993">
        <f t="shared" ref="AD245:AD314" si="25">LEN(AC245)</f>
        <v>30</v>
      </c>
      <c r="AE245" s="518" t="s">
        <v>10330</v>
      </c>
      <c r="AF245" s="519" t="s">
        <v>10331</v>
      </c>
      <c r="AG245" s="1021" t="s">
        <v>9179</v>
      </c>
      <c r="AH245" s="1022" t="s">
        <v>169</v>
      </c>
      <c r="AI245" s="494" t="s">
        <v>2917</v>
      </c>
      <c r="AJ245" s="958">
        <v>1</v>
      </c>
      <c r="AK245" s="959" t="s">
        <v>5359</v>
      </c>
      <c r="AL245" s="1023" t="s">
        <v>10232</v>
      </c>
      <c r="AM245" s="997">
        <f>_xll.GetCtData("COAMOUNT","CONSAMOUNT",$A$1:$A$7,$D245,AM$10,"#102328")</f>
        <v>102328</v>
      </c>
    </row>
    <row r="246" spans="1:39">
      <c r="A246" s="427" t="s">
        <v>6610</v>
      </c>
      <c r="B246" s="427" t="s">
        <v>6610</v>
      </c>
      <c r="D246" s="990" t="s">
        <v>1292</v>
      </c>
      <c r="E246" s="949" t="s">
        <v>2930</v>
      </c>
      <c r="F246" s="950">
        <v>10</v>
      </c>
      <c r="G246" s="950"/>
      <c r="H246" s="950"/>
      <c r="I246" s="950"/>
      <c r="J246" s="950"/>
      <c r="K246" s="950"/>
      <c r="L246" s="950"/>
      <c r="M246" s="950"/>
      <c r="N246" s="950"/>
      <c r="O246" s="950"/>
      <c r="P246" s="950"/>
      <c r="Q246" s="991"/>
      <c r="R246" s="990" t="s">
        <v>10332</v>
      </c>
      <c r="S246" s="992" t="s">
        <v>10333</v>
      </c>
      <c r="T246" s="993">
        <f t="shared" si="20"/>
        <v>67</v>
      </c>
      <c r="U246" s="992" t="s">
        <v>10333</v>
      </c>
      <c r="V246" s="993">
        <f t="shared" si="21"/>
        <v>67</v>
      </c>
      <c r="W246" s="992" t="s">
        <v>10334</v>
      </c>
      <c r="X246" s="993">
        <f t="shared" si="22"/>
        <v>22</v>
      </c>
      <c r="Y246" s="994" t="s">
        <v>10335</v>
      </c>
      <c r="Z246" s="993">
        <f t="shared" si="23"/>
        <v>67</v>
      </c>
      <c r="AA246" s="994" t="s">
        <v>10335</v>
      </c>
      <c r="AB246" s="993">
        <f t="shared" si="24"/>
        <v>67</v>
      </c>
      <c r="AC246" s="994" t="s">
        <v>10336</v>
      </c>
      <c r="AD246" s="993">
        <f t="shared" si="25"/>
        <v>30</v>
      </c>
      <c r="AE246" s="518" t="s">
        <v>10330</v>
      </c>
      <c r="AF246" s="519" t="s">
        <v>10331</v>
      </c>
      <c r="AG246" s="1021" t="s">
        <v>9179</v>
      </c>
      <c r="AH246" s="1022" t="s">
        <v>169</v>
      </c>
      <c r="AI246" s="494" t="s">
        <v>2917</v>
      </c>
      <c r="AJ246" s="958">
        <v>1</v>
      </c>
      <c r="AK246" s="959" t="s">
        <v>5359</v>
      </c>
      <c r="AL246" s="1023" t="s">
        <v>10232</v>
      </c>
      <c r="AM246" s="997">
        <f>_xll.GetCtData("COAMOUNT","CONSAMOUNT",$A$1:$A$7,$D246,AM$10,"#-16178")</f>
        <v>-16178</v>
      </c>
    </row>
    <row r="247" spans="1:39">
      <c r="A247" s="427" t="s">
        <v>6610</v>
      </c>
      <c r="B247" s="427" t="s">
        <v>6610</v>
      </c>
      <c r="D247" s="981" t="s">
        <v>10337</v>
      </c>
      <c r="E247" s="949" t="s">
        <v>2912</v>
      </c>
      <c r="F247" s="950">
        <v>8</v>
      </c>
      <c r="G247" s="950"/>
      <c r="H247" s="950"/>
      <c r="I247" s="950"/>
      <c r="J247" s="950"/>
      <c r="K247" s="950"/>
      <c r="L247" s="950"/>
      <c r="M247" s="950"/>
      <c r="N247" s="950"/>
      <c r="O247" s="981" t="s">
        <v>10338</v>
      </c>
      <c r="P247" s="982"/>
      <c r="Q247" s="981"/>
      <c r="R247" s="981" t="s">
        <v>10338</v>
      </c>
      <c r="S247" s="981" t="s">
        <v>10339</v>
      </c>
      <c r="T247" s="1002">
        <f t="shared" si="20"/>
        <v>29</v>
      </c>
      <c r="U247" s="981" t="s">
        <v>10339</v>
      </c>
      <c r="V247" s="1002">
        <f t="shared" si="21"/>
        <v>29</v>
      </c>
      <c r="W247" s="981" t="s">
        <v>10339</v>
      </c>
      <c r="X247" s="1002">
        <f t="shared" si="22"/>
        <v>29</v>
      </c>
      <c r="Y247" s="1003" t="s">
        <v>10340</v>
      </c>
      <c r="Z247" s="1002">
        <f t="shared" si="23"/>
        <v>32</v>
      </c>
      <c r="AA247" s="1003" t="s">
        <v>10340</v>
      </c>
      <c r="AB247" s="1002">
        <f t="shared" si="24"/>
        <v>32</v>
      </c>
      <c r="AC247" s="1003" t="s">
        <v>10341</v>
      </c>
      <c r="AD247" s="1002">
        <f t="shared" si="25"/>
        <v>26</v>
      </c>
      <c r="AE247" s="1002"/>
      <c r="AF247" s="1002"/>
      <c r="AG247" s="956"/>
      <c r="AH247" s="957"/>
      <c r="AI247" s="494" t="s">
        <v>2917</v>
      </c>
      <c r="AJ247" s="958">
        <v>1</v>
      </c>
      <c r="AK247" s="959"/>
      <c r="AL247" s="960"/>
      <c r="AM247" s="985">
        <f>_xll.GetCtData("COAMOUNT","CONSAMOUNT",$A$1:$A$7,$D247,AM$10,"#270184")</f>
        <v>270184</v>
      </c>
    </row>
    <row r="248" spans="1:39">
      <c r="A248" s="427" t="s">
        <v>6610</v>
      </c>
      <c r="B248" s="427" t="s">
        <v>6610</v>
      </c>
      <c r="D248" s="990" t="s">
        <v>1293</v>
      </c>
      <c r="E248" s="949" t="s">
        <v>2930</v>
      </c>
      <c r="F248" s="950">
        <v>10</v>
      </c>
      <c r="G248" s="950"/>
      <c r="H248" s="950"/>
      <c r="I248" s="950"/>
      <c r="J248" s="950"/>
      <c r="K248" s="950"/>
      <c r="L248" s="950"/>
      <c r="M248" s="950"/>
      <c r="N248" s="950"/>
      <c r="O248" s="950"/>
      <c r="P248" s="950"/>
      <c r="Q248" s="991"/>
      <c r="R248" s="990" t="s">
        <v>10342</v>
      </c>
      <c r="S248" s="992" t="s">
        <v>10339</v>
      </c>
      <c r="T248" s="993">
        <f t="shared" si="20"/>
        <v>29</v>
      </c>
      <c r="U248" s="992" t="s">
        <v>10339</v>
      </c>
      <c r="V248" s="993">
        <f t="shared" si="21"/>
        <v>29</v>
      </c>
      <c r="W248" s="992" t="s">
        <v>10339</v>
      </c>
      <c r="X248" s="993">
        <f t="shared" si="22"/>
        <v>29</v>
      </c>
      <c r="Y248" s="994" t="s">
        <v>10340</v>
      </c>
      <c r="Z248" s="993">
        <f t="shared" si="23"/>
        <v>32</v>
      </c>
      <c r="AA248" s="994" t="s">
        <v>10340</v>
      </c>
      <c r="AB248" s="993">
        <f t="shared" si="24"/>
        <v>32</v>
      </c>
      <c r="AC248" s="994" t="s">
        <v>10341</v>
      </c>
      <c r="AD248" s="993">
        <f t="shared" si="25"/>
        <v>26</v>
      </c>
      <c r="AE248" s="518" t="s">
        <v>10343</v>
      </c>
      <c r="AF248" s="519" t="s">
        <v>10344</v>
      </c>
      <c r="AG248" s="995" t="s">
        <v>9179</v>
      </c>
      <c r="AH248" s="996" t="s">
        <v>169</v>
      </c>
      <c r="AI248" s="494" t="s">
        <v>2917</v>
      </c>
      <c r="AJ248" s="958">
        <v>1</v>
      </c>
      <c r="AK248" s="959" t="s">
        <v>5359</v>
      </c>
      <c r="AL248" s="1023" t="s">
        <v>10232</v>
      </c>
      <c r="AM248" s="997">
        <f>_xll.GetCtData("COAMOUNT","CONSAMOUNT",$A$1:$A$7,$D248,AM$10,"#178915")</f>
        <v>178915</v>
      </c>
    </row>
    <row r="249" spans="1:39">
      <c r="A249" s="427" t="s">
        <v>6610</v>
      </c>
      <c r="B249" s="427" t="s">
        <v>6610</v>
      </c>
      <c r="D249" s="990" t="s">
        <v>1294</v>
      </c>
      <c r="E249" s="949" t="s">
        <v>2930</v>
      </c>
      <c r="F249" s="950">
        <v>10</v>
      </c>
      <c r="G249" s="950"/>
      <c r="H249" s="950"/>
      <c r="I249" s="950"/>
      <c r="J249" s="950"/>
      <c r="K249" s="950"/>
      <c r="L249" s="950"/>
      <c r="M249" s="950"/>
      <c r="N249" s="950"/>
      <c r="O249" s="950"/>
      <c r="P249" s="950"/>
      <c r="Q249" s="991"/>
      <c r="R249" s="990" t="s">
        <v>10345</v>
      </c>
      <c r="S249" s="992" t="s">
        <v>10346</v>
      </c>
      <c r="T249" s="993">
        <f t="shared" si="20"/>
        <v>36</v>
      </c>
      <c r="U249" s="992" t="s">
        <v>10346</v>
      </c>
      <c r="V249" s="993">
        <f t="shared" si="21"/>
        <v>36</v>
      </c>
      <c r="W249" s="992" t="s">
        <v>10347</v>
      </c>
      <c r="X249" s="993">
        <f t="shared" si="22"/>
        <v>27</v>
      </c>
      <c r="Y249" s="994" t="s">
        <v>10348</v>
      </c>
      <c r="Z249" s="993">
        <f t="shared" si="23"/>
        <v>51</v>
      </c>
      <c r="AA249" s="994" t="s">
        <v>10348</v>
      </c>
      <c r="AB249" s="993">
        <f t="shared" si="24"/>
        <v>51</v>
      </c>
      <c r="AC249" s="994" t="s">
        <v>10349</v>
      </c>
      <c r="AD249" s="993">
        <f t="shared" si="25"/>
        <v>28</v>
      </c>
      <c r="AE249" s="518" t="s">
        <v>10343</v>
      </c>
      <c r="AF249" s="519" t="s">
        <v>10344</v>
      </c>
      <c r="AG249" s="995" t="s">
        <v>9179</v>
      </c>
      <c r="AH249" s="996" t="s">
        <v>169</v>
      </c>
      <c r="AI249" s="494" t="s">
        <v>2917</v>
      </c>
      <c r="AJ249" s="958">
        <v>1</v>
      </c>
      <c r="AK249" s="959" t="s">
        <v>5359</v>
      </c>
      <c r="AL249" s="1023" t="s">
        <v>10232</v>
      </c>
      <c r="AM249" s="997">
        <f>_xll.GetCtData("COAMOUNT","CONSAMOUNT",$A$1:$A$7,$D249,AM$10,"#91269")</f>
        <v>91269</v>
      </c>
    </row>
    <row r="250" spans="1:39">
      <c r="A250" s="427" t="s">
        <v>6610</v>
      </c>
      <c r="B250" s="427" t="s">
        <v>6610</v>
      </c>
      <c r="D250" s="981" t="s">
        <v>10350</v>
      </c>
      <c r="E250" s="949" t="s">
        <v>2912</v>
      </c>
      <c r="F250" s="950">
        <v>8</v>
      </c>
      <c r="G250" s="950"/>
      <c r="H250" s="950"/>
      <c r="I250" s="950"/>
      <c r="J250" s="950"/>
      <c r="K250" s="950"/>
      <c r="L250" s="950"/>
      <c r="M250" s="950"/>
      <c r="N250" s="950"/>
      <c r="O250" s="981" t="s">
        <v>10351</v>
      </c>
      <c r="P250" s="982"/>
      <c r="Q250" s="981"/>
      <c r="R250" s="981" t="s">
        <v>10351</v>
      </c>
      <c r="S250" s="981" t="s">
        <v>10352</v>
      </c>
      <c r="T250" s="1002">
        <f t="shared" si="20"/>
        <v>23</v>
      </c>
      <c r="U250" s="981" t="s">
        <v>10352</v>
      </c>
      <c r="V250" s="1002">
        <f t="shared" si="21"/>
        <v>23</v>
      </c>
      <c r="W250" s="981" t="s">
        <v>10352</v>
      </c>
      <c r="X250" s="1002">
        <f t="shared" si="22"/>
        <v>23</v>
      </c>
      <c r="Y250" s="1003" t="s">
        <v>10353</v>
      </c>
      <c r="Z250" s="1002">
        <f t="shared" si="23"/>
        <v>29</v>
      </c>
      <c r="AA250" s="1003" t="s">
        <v>10353</v>
      </c>
      <c r="AB250" s="1002">
        <f t="shared" si="24"/>
        <v>29</v>
      </c>
      <c r="AC250" s="1003" t="s">
        <v>10353</v>
      </c>
      <c r="AD250" s="1002">
        <f t="shared" si="25"/>
        <v>29</v>
      </c>
      <c r="AE250" s="1002"/>
      <c r="AF250" s="1002"/>
      <c r="AG250" s="956"/>
      <c r="AH250" s="957"/>
      <c r="AI250" s="494" t="s">
        <v>2917</v>
      </c>
      <c r="AJ250" s="958">
        <v>1</v>
      </c>
      <c r="AK250" s="959"/>
      <c r="AL250" s="960"/>
      <c r="AM250" s="985">
        <f>_xll.GetCtData("COAMOUNT","CONSAMOUNT",$A$1:$A$7,$D250,AM$10,"#233606")</f>
        <v>233606</v>
      </c>
    </row>
    <row r="251" spans="1:39">
      <c r="A251" s="427" t="s">
        <v>6610</v>
      </c>
      <c r="B251" s="427" t="s">
        <v>6610</v>
      </c>
      <c r="D251" s="986" t="s">
        <v>10354</v>
      </c>
      <c r="E251" s="949" t="s">
        <v>2912</v>
      </c>
      <c r="F251" s="950">
        <v>9</v>
      </c>
      <c r="G251" s="950"/>
      <c r="H251" s="950"/>
      <c r="I251" s="950"/>
      <c r="J251" s="950"/>
      <c r="K251" s="950"/>
      <c r="L251" s="950"/>
      <c r="M251" s="950"/>
      <c r="N251" s="950"/>
      <c r="O251" s="950"/>
      <c r="P251" s="986" t="s">
        <v>10355</v>
      </c>
      <c r="Q251" s="986"/>
      <c r="R251" s="986" t="s">
        <v>10355</v>
      </c>
      <c r="S251" s="986" t="s">
        <v>10356</v>
      </c>
      <c r="T251" s="1012">
        <f t="shared" si="20"/>
        <v>40</v>
      </c>
      <c r="U251" s="986" t="s">
        <v>10356</v>
      </c>
      <c r="V251" s="1012">
        <f t="shared" si="21"/>
        <v>40</v>
      </c>
      <c r="W251" s="986" t="s">
        <v>10357</v>
      </c>
      <c r="X251" s="1012">
        <f t="shared" si="22"/>
        <v>30</v>
      </c>
      <c r="Y251" s="986" t="s">
        <v>10358</v>
      </c>
      <c r="Z251" s="1012">
        <f t="shared" si="23"/>
        <v>43</v>
      </c>
      <c r="AA251" s="986" t="s">
        <v>10358</v>
      </c>
      <c r="AB251" s="1012">
        <f t="shared" si="24"/>
        <v>43</v>
      </c>
      <c r="AC251" s="986" t="s">
        <v>10359</v>
      </c>
      <c r="AD251" s="1012">
        <f t="shared" si="25"/>
        <v>28</v>
      </c>
      <c r="AE251" s="987"/>
      <c r="AF251" s="987"/>
      <c r="AG251" s="995"/>
      <c r="AH251" s="996"/>
      <c r="AI251" s="494" t="s">
        <v>2917</v>
      </c>
      <c r="AJ251" s="958">
        <v>1</v>
      </c>
      <c r="AK251" s="959"/>
      <c r="AL251" s="960"/>
      <c r="AM251" s="989">
        <f>_xll.GetCtData("COAMOUNT","CONSAMOUNT",$A$1:$A$7,$D251,AM$10,"#175999")</f>
        <v>175999</v>
      </c>
    </row>
    <row r="252" spans="1:39">
      <c r="A252" s="427" t="s">
        <v>6610</v>
      </c>
      <c r="B252" s="427" t="s">
        <v>6610</v>
      </c>
      <c r="D252" s="990" t="s">
        <v>1295</v>
      </c>
      <c r="E252" s="949" t="s">
        <v>2930</v>
      </c>
      <c r="F252" s="950">
        <v>10</v>
      </c>
      <c r="G252" s="950"/>
      <c r="H252" s="950"/>
      <c r="I252" s="950"/>
      <c r="J252" s="950"/>
      <c r="K252" s="950"/>
      <c r="L252" s="950"/>
      <c r="M252" s="950"/>
      <c r="N252" s="950"/>
      <c r="O252" s="950"/>
      <c r="P252" s="950"/>
      <c r="Q252" s="991"/>
      <c r="R252" s="990" t="s">
        <v>10360</v>
      </c>
      <c r="S252" s="992" t="s">
        <v>10361</v>
      </c>
      <c r="T252" s="993">
        <f t="shared" si="20"/>
        <v>53</v>
      </c>
      <c r="U252" s="992" t="s">
        <v>10361</v>
      </c>
      <c r="V252" s="993">
        <f t="shared" si="21"/>
        <v>53</v>
      </c>
      <c r="W252" s="992" t="s">
        <v>10362</v>
      </c>
      <c r="X252" s="993">
        <f t="shared" si="22"/>
        <v>30</v>
      </c>
      <c r="Y252" s="994" t="s">
        <v>10363</v>
      </c>
      <c r="Z252" s="993">
        <f t="shared" si="23"/>
        <v>55</v>
      </c>
      <c r="AA252" s="994" t="s">
        <v>10363</v>
      </c>
      <c r="AB252" s="993">
        <f t="shared" si="24"/>
        <v>55</v>
      </c>
      <c r="AC252" s="994" t="s">
        <v>10364</v>
      </c>
      <c r="AD252" s="993">
        <f t="shared" si="25"/>
        <v>27</v>
      </c>
      <c r="AE252" s="518" t="s">
        <v>10312</v>
      </c>
      <c r="AF252" s="519" t="s">
        <v>10313</v>
      </c>
      <c r="AG252" s="995" t="s">
        <v>9179</v>
      </c>
      <c r="AH252" s="996" t="s">
        <v>169</v>
      </c>
      <c r="AI252" s="494" t="s">
        <v>2917</v>
      </c>
      <c r="AJ252" s="958">
        <v>1</v>
      </c>
      <c r="AK252" s="959" t="s">
        <v>8327</v>
      </c>
      <c r="AL252" s="960"/>
      <c r="AM252" s="997" t="str">
        <f>_xll.GetCtData("COAMOUNT","CONSAMOUNT",$A$1:$A$7,$D252,AM$10,"#2,45E-32")</f>
        <v>2,45E-32</v>
      </c>
    </row>
    <row r="253" spans="1:39">
      <c r="A253" s="427" t="s">
        <v>6610</v>
      </c>
      <c r="B253" s="427" t="s">
        <v>6610</v>
      </c>
      <c r="D253" s="990" t="s">
        <v>1296</v>
      </c>
      <c r="E253" s="949" t="s">
        <v>2930</v>
      </c>
      <c r="F253" s="950">
        <v>10</v>
      </c>
      <c r="G253" s="950"/>
      <c r="H253" s="950"/>
      <c r="I253" s="950"/>
      <c r="J253" s="950"/>
      <c r="K253" s="950"/>
      <c r="L253" s="950"/>
      <c r="M253" s="950"/>
      <c r="N253" s="950"/>
      <c r="O253" s="950"/>
      <c r="P253" s="950"/>
      <c r="Q253" s="991"/>
      <c r="R253" s="990" t="s">
        <v>10365</v>
      </c>
      <c r="S253" s="992" t="s">
        <v>10366</v>
      </c>
      <c r="T253" s="993">
        <f t="shared" si="20"/>
        <v>70</v>
      </c>
      <c r="U253" s="992" t="s">
        <v>10366</v>
      </c>
      <c r="V253" s="993">
        <f t="shared" si="21"/>
        <v>70</v>
      </c>
      <c r="W253" s="992" t="s">
        <v>10367</v>
      </c>
      <c r="X253" s="993">
        <f t="shared" si="22"/>
        <v>30</v>
      </c>
      <c r="Y253" s="994" t="s">
        <v>10368</v>
      </c>
      <c r="Z253" s="993">
        <f t="shared" si="23"/>
        <v>90</v>
      </c>
      <c r="AA253" s="994" t="s">
        <v>10368</v>
      </c>
      <c r="AB253" s="993">
        <f t="shared" si="24"/>
        <v>90</v>
      </c>
      <c r="AC253" s="994" t="s">
        <v>10369</v>
      </c>
      <c r="AD253" s="993">
        <f t="shared" si="25"/>
        <v>30</v>
      </c>
      <c r="AE253" s="518" t="s">
        <v>10370</v>
      </c>
      <c r="AF253" s="519" t="s">
        <v>10371</v>
      </c>
      <c r="AG253" s="995" t="s">
        <v>9179</v>
      </c>
      <c r="AH253" s="996" t="s">
        <v>169</v>
      </c>
      <c r="AI253" s="494" t="s">
        <v>2917</v>
      </c>
      <c r="AJ253" s="958">
        <v>1</v>
      </c>
      <c r="AK253" s="959" t="s">
        <v>5359</v>
      </c>
      <c r="AL253" s="960"/>
      <c r="AM253" s="997">
        <f>_xll.GetCtData("COAMOUNT","CONSAMOUNT",$A$1:$A$7,$D253,AM$10,"#66042")</f>
        <v>66042</v>
      </c>
    </row>
    <row r="254" spans="1:39">
      <c r="A254" s="427" t="s">
        <v>6610</v>
      </c>
      <c r="B254" s="427" t="s">
        <v>6610</v>
      </c>
      <c r="D254" s="990" t="s">
        <v>1297</v>
      </c>
      <c r="E254" s="949" t="s">
        <v>2930</v>
      </c>
      <c r="F254" s="950">
        <v>10</v>
      </c>
      <c r="G254" s="950"/>
      <c r="H254" s="950"/>
      <c r="I254" s="950"/>
      <c r="J254" s="950"/>
      <c r="K254" s="950"/>
      <c r="L254" s="950"/>
      <c r="M254" s="950"/>
      <c r="N254" s="950"/>
      <c r="O254" s="950"/>
      <c r="P254" s="950"/>
      <c r="Q254" s="991"/>
      <c r="R254" s="990" t="s">
        <v>10372</v>
      </c>
      <c r="S254" s="992" t="s">
        <v>10373</v>
      </c>
      <c r="T254" s="993">
        <f t="shared" si="20"/>
        <v>57</v>
      </c>
      <c r="U254" s="992" t="s">
        <v>10373</v>
      </c>
      <c r="V254" s="993">
        <f t="shared" si="21"/>
        <v>57</v>
      </c>
      <c r="W254" s="992" t="s">
        <v>10374</v>
      </c>
      <c r="X254" s="993">
        <f t="shared" si="22"/>
        <v>27</v>
      </c>
      <c r="Y254" s="994" t="s">
        <v>10375</v>
      </c>
      <c r="Z254" s="993">
        <f t="shared" si="23"/>
        <v>59</v>
      </c>
      <c r="AA254" s="994" t="s">
        <v>10375</v>
      </c>
      <c r="AB254" s="993">
        <f t="shared" si="24"/>
        <v>59</v>
      </c>
      <c r="AC254" s="994" t="s">
        <v>10376</v>
      </c>
      <c r="AD254" s="993">
        <f t="shared" si="25"/>
        <v>28</v>
      </c>
      <c r="AE254" s="518" t="s">
        <v>10370</v>
      </c>
      <c r="AF254" s="519" t="s">
        <v>10371</v>
      </c>
      <c r="AG254" s="995" t="s">
        <v>9179</v>
      </c>
      <c r="AH254" s="996" t="s">
        <v>169</v>
      </c>
      <c r="AI254" s="494" t="s">
        <v>2917</v>
      </c>
      <c r="AJ254" s="958">
        <v>1</v>
      </c>
      <c r="AK254" s="959" t="s">
        <v>5359</v>
      </c>
      <c r="AL254" s="960"/>
      <c r="AM254" s="997">
        <f>_xll.GetCtData("COAMOUNT","CONSAMOUNT",$A$1:$A$7,$D254,AM$10,"#109957")</f>
        <v>109957</v>
      </c>
    </row>
    <row r="255" spans="1:39">
      <c r="A255" s="427" t="s">
        <v>6610</v>
      </c>
      <c r="B255" s="427" t="s">
        <v>6610</v>
      </c>
      <c r="D255" s="990" t="s">
        <v>1298</v>
      </c>
      <c r="E255" s="949" t="s">
        <v>2930</v>
      </c>
      <c r="F255" s="950">
        <v>10</v>
      </c>
      <c r="G255" s="950"/>
      <c r="H255" s="950"/>
      <c r="I255" s="950"/>
      <c r="J255" s="950"/>
      <c r="K255" s="950"/>
      <c r="L255" s="950"/>
      <c r="M255" s="950"/>
      <c r="N255" s="950"/>
      <c r="O255" s="950"/>
      <c r="P255" s="950"/>
      <c r="Q255" s="991"/>
      <c r="R255" s="990" t="s">
        <v>10377</v>
      </c>
      <c r="S255" s="992" t="s">
        <v>10378</v>
      </c>
      <c r="T255" s="993">
        <f t="shared" si="20"/>
        <v>50</v>
      </c>
      <c r="U255" s="992" t="s">
        <v>10378</v>
      </c>
      <c r="V255" s="993">
        <f t="shared" si="21"/>
        <v>50</v>
      </c>
      <c r="W255" s="992" t="s">
        <v>10379</v>
      </c>
      <c r="X255" s="993">
        <f t="shared" si="22"/>
        <v>29</v>
      </c>
      <c r="Y255" s="994" t="s">
        <v>10380</v>
      </c>
      <c r="Z255" s="993">
        <f t="shared" si="23"/>
        <v>72</v>
      </c>
      <c r="AA255" s="994" t="s">
        <v>10380</v>
      </c>
      <c r="AB255" s="993">
        <f t="shared" si="24"/>
        <v>72</v>
      </c>
      <c r="AC255" s="994" t="s">
        <v>10381</v>
      </c>
      <c r="AD255" s="993">
        <f t="shared" si="25"/>
        <v>29</v>
      </c>
      <c r="AE255" s="518" t="s">
        <v>10382</v>
      </c>
      <c r="AF255" s="519" t="s">
        <v>10383</v>
      </c>
      <c r="AG255" s="995" t="s">
        <v>9179</v>
      </c>
      <c r="AH255" s="996" t="s">
        <v>169</v>
      </c>
      <c r="AI255" s="494" t="s">
        <v>2917</v>
      </c>
      <c r="AJ255" s="958">
        <v>1</v>
      </c>
      <c r="AK255" s="959"/>
      <c r="AL255" s="960"/>
      <c r="AM255" s="997">
        <f>_xll.GetCtData("COAMOUNT","CONSAMOUNT",$A$1:$A$7,$D255,AM$10,"#")</f>
        <v>0</v>
      </c>
    </row>
    <row r="256" spans="1:39">
      <c r="A256" s="427" t="s">
        <v>6610</v>
      </c>
      <c r="B256" s="427" t="s">
        <v>6610</v>
      </c>
      <c r="D256" s="990" t="s">
        <v>1299</v>
      </c>
      <c r="E256" s="949" t="s">
        <v>2930</v>
      </c>
      <c r="F256" s="950">
        <v>10</v>
      </c>
      <c r="G256" s="950"/>
      <c r="H256" s="950"/>
      <c r="I256" s="950"/>
      <c r="J256" s="950"/>
      <c r="K256" s="950"/>
      <c r="L256" s="950"/>
      <c r="M256" s="950"/>
      <c r="N256" s="950"/>
      <c r="O256" s="950"/>
      <c r="P256" s="950"/>
      <c r="Q256" s="991"/>
      <c r="R256" s="990" t="s">
        <v>10384</v>
      </c>
      <c r="S256" s="992" t="s">
        <v>10385</v>
      </c>
      <c r="T256" s="993">
        <f t="shared" si="20"/>
        <v>53</v>
      </c>
      <c r="U256" s="992" t="s">
        <v>10385</v>
      </c>
      <c r="V256" s="993">
        <f t="shared" si="21"/>
        <v>53</v>
      </c>
      <c r="W256" s="992" t="s">
        <v>10386</v>
      </c>
      <c r="X256" s="993">
        <f t="shared" si="22"/>
        <v>28</v>
      </c>
      <c r="Y256" s="994" t="s">
        <v>10387</v>
      </c>
      <c r="Z256" s="993">
        <f t="shared" si="23"/>
        <v>74</v>
      </c>
      <c r="AA256" s="994" t="s">
        <v>10387</v>
      </c>
      <c r="AB256" s="993">
        <f t="shared" si="24"/>
        <v>74</v>
      </c>
      <c r="AC256" s="994" t="s">
        <v>10388</v>
      </c>
      <c r="AD256" s="993">
        <f t="shared" si="25"/>
        <v>30</v>
      </c>
      <c r="AE256" s="518" t="s">
        <v>10382</v>
      </c>
      <c r="AF256" s="519" t="s">
        <v>10383</v>
      </c>
      <c r="AG256" s="995" t="s">
        <v>9179</v>
      </c>
      <c r="AH256" s="996" t="s">
        <v>169</v>
      </c>
      <c r="AI256" s="494" t="s">
        <v>2917</v>
      </c>
      <c r="AJ256" s="958">
        <v>1</v>
      </c>
      <c r="AK256" s="959"/>
      <c r="AL256" s="960"/>
      <c r="AM256" s="997">
        <f>_xll.GetCtData("COAMOUNT","CONSAMOUNT",$A$1:$A$7,$D256,AM$10,"#")</f>
        <v>0</v>
      </c>
    </row>
    <row r="257" spans="1:39">
      <c r="A257" s="427" t="s">
        <v>6610</v>
      </c>
      <c r="B257" s="427" t="s">
        <v>6610</v>
      </c>
      <c r="D257" s="986" t="s">
        <v>10389</v>
      </c>
      <c r="E257" s="949" t="s">
        <v>2912</v>
      </c>
      <c r="F257" s="950">
        <v>9</v>
      </c>
      <c r="G257" s="950"/>
      <c r="H257" s="950"/>
      <c r="I257" s="950"/>
      <c r="J257" s="950"/>
      <c r="K257" s="950"/>
      <c r="L257" s="950"/>
      <c r="M257" s="950"/>
      <c r="N257" s="950"/>
      <c r="O257" s="950"/>
      <c r="P257" s="986" t="s">
        <v>10390</v>
      </c>
      <c r="Q257" s="986"/>
      <c r="R257" s="986" t="s">
        <v>10390</v>
      </c>
      <c r="S257" s="986" t="s">
        <v>10391</v>
      </c>
      <c r="T257" s="1012">
        <f t="shared" si="20"/>
        <v>31</v>
      </c>
      <c r="U257" s="986" t="s">
        <v>10391</v>
      </c>
      <c r="V257" s="1012">
        <f t="shared" si="21"/>
        <v>31</v>
      </c>
      <c r="W257" s="986" t="s">
        <v>10392</v>
      </c>
      <c r="X257" s="1012">
        <f t="shared" si="22"/>
        <v>27</v>
      </c>
      <c r="Y257" s="986" t="s">
        <v>10393</v>
      </c>
      <c r="Z257" s="1012">
        <f t="shared" si="23"/>
        <v>35</v>
      </c>
      <c r="AA257" s="986" t="s">
        <v>10393</v>
      </c>
      <c r="AB257" s="1012">
        <f t="shared" si="24"/>
        <v>35</v>
      </c>
      <c r="AC257" s="986" t="s">
        <v>10394</v>
      </c>
      <c r="AD257" s="1012">
        <f t="shared" si="25"/>
        <v>25</v>
      </c>
      <c r="AE257" s="987"/>
      <c r="AF257" s="987"/>
      <c r="AG257" s="995"/>
      <c r="AH257" s="996"/>
      <c r="AI257" s="494" t="s">
        <v>2917</v>
      </c>
      <c r="AJ257" s="958">
        <v>1</v>
      </c>
      <c r="AK257" s="959"/>
      <c r="AL257" s="960"/>
      <c r="AM257" s="989">
        <f>_xll.GetCtData("COAMOUNT","CONSAMOUNT",$A$1:$A$7,$D257,AM$10,"#25")</f>
        <v>25</v>
      </c>
    </row>
    <row r="258" spans="1:39">
      <c r="A258" s="427" t="s">
        <v>6610</v>
      </c>
      <c r="B258" s="427" t="s">
        <v>6610</v>
      </c>
      <c r="D258" s="990" t="s">
        <v>1300</v>
      </c>
      <c r="E258" s="949" t="s">
        <v>2930</v>
      </c>
      <c r="F258" s="950">
        <v>10</v>
      </c>
      <c r="G258" s="950"/>
      <c r="H258" s="950"/>
      <c r="I258" s="950"/>
      <c r="J258" s="950"/>
      <c r="K258" s="950"/>
      <c r="L258" s="950"/>
      <c r="M258" s="950"/>
      <c r="N258" s="950"/>
      <c r="O258" s="950"/>
      <c r="P258" s="950"/>
      <c r="Q258" s="991"/>
      <c r="R258" s="990" t="s">
        <v>10395</v>
      </c>
      <c r="S258" s="992" t="s">
        <v>10391</v>
      </c>
      <c r="T258" s="993">
        <f t="shared" si="20"/>
        <v>31</v>
      </c>
      <c r="U258" s="992" t="s">
        <v>10391</v>
      </c>
      <c r="V258" s="993">
        <f t="shared" si="21"/>
        <v>31</v>
      </c>
      <c r="W258" s="992" t="s">
        <v>10392</v>
      </c>
      <c r="X258" s="993">
        <f t="shared" si="22"/>
        <v>27</v>
      </c>
      <c r="Y258" s="994" t="s">
        <v>10393</v>
      </c>
      <c r="Z258" s="993">
        <f t="shared" si="23"/>
        <v>35</v>
      </c>
      <c r="AA258" s="994" t="s">
        <v>10393</v>
      </c>
      <c r="AB258" s="993">
        <f t="shared" si="24"/>
        <v>35</v>
      </c>
      <c r="AC258" s="994" t="s">
        <v>10394</v>
      </c>
      <c r="AD258" s="993">
        <f t="shared" si="25"/>
        <v>25</v>
      </c>
      <c r="AE258" s="518" t="s">
        <v>10294</v>
      </c>
      <c r="AF258" s="519" t="s">
        <v>10295</v>
      </c>
      <c r="AG258" s="995" t="s">
        <v>9179</v>
      </c>
      <c r="AH258" s="996" t="s">
        <v>169</v>
      </c>
      <c r="AI258" s="494" t="s">
        <v>2917</v>
      </c>
      <c r="AJ258" s="958">
        <v>1</v>
      </c>
      <c r="AK258" s="959"/>
      <c r="AL258" s="960"/>
      <c r="AM258" s="997">
        <f>_xll.GetCtData("COAMOUNT","CONSAMOUNT",$A$1:$A$7,$D258,AM$10,"#25")</f>
        <v>25</v>
      </c>
    </row>
    <row r="259" spans="1:39">
      <c r="A259" s="427" t="s">
        <v>6610</v>
      </c>
      <c r="B259" s="427" t="s">
        <v>6610</v>
      </c>
      <c r="D259" s="986" t="s">
        <v>10396</v>
      </c>
      <c r="E259" s="949" t="s">
        <v>2912</v>
      </c>
      <c r="F259" s="950">
        <v>9</v>
      </c>
      <c r="G259" s="950"/>
      <c r="H259" s="950"/>
      <c r="I259" s="950"/>
      <c r="J259" s="950"/>
      <c r="K259" s="950"/>
      <c r="L259" s="950"/>
      <c r="M259" s="950"/>
      <c r="N259" s="950"/>
      <c r="O259" s="950"/>
      <c r="P259" s="986" t="s">
        <v>10397</v>
      </c>
      <c r="Q259" s="986"/>
      <c r="R259" s="986" t="s">
        <v>10397</v>
      </c>
      <c r="S259" s="986" t="s">
        <v>10398</v>
      </c>
      <c r="T259" s="1012">
        <f t="shared" si="20"/>
        <v>29</v>
      </c>
      <c r="U259" s="986" t="s">
        <v>10398</v>
      </c>
      <c r="V259" s="1012">
        <f t="shared" si="21"/>
        <v>29</v>
      </c>
      <c r="W259" s="986" t="s">
        <v>10398</v>
      </c>
      <c r="X259" s="1012">
        <f t="shared" si="22"/>
        <v>29</v>
      </c>
      <c r="Y259" s="986" t="s">
        <v>10399</v>
      </c>
      <c r="Z259" s="1012">
        <f t="shared" si="23"/>
        <v>62</v>
      </c>
      <c r="AA259" s="986" t="s">
        <v>10399</v>
      </c>
      <c r="AB259" s="1012">
        <f t="shared" si="24"/>
        <v>62</v>
      </c>
      <c r="AC259" s="986" t="s">
        <v>10400</v>
      </c>
      <c r="AD259" s="1012">
        <f t="shared" si="25"/>
        <v>28</v>
      </c>
      <c r="AE259" s="987"/>
      <c r="AF259" s="987"/>
      <c r="AG259" s="995"/>
      <c r="AH259" s="996"/>
      <c r="AI259" s="494" t="s">
        <v>2917</v>
      </c>
      <c r="AJ259" s="958">
        <v>1</v>
      </c>
      <c r="AK259" s="959"/>
      <c r="AL259" s="960"/>
      <c r="AM259" s="989">
        <f>_xll.GetCtData("COAMOUNT","CONSAMOUNT",$A$1:$A$7,$D259,AM$10,"#57582")</f>
        <v>57582</v>
      </c>
    </row>
    <row r="260" spans="1:39">
      <c r="A260" s="427" t="s">
        <v>6610</v>
      </c>
      <c r="B260" s="427" t="s">
        <v>6610</v>
      </c>
      <c r="D260" s="990" t="s">
        <v>1301</v>
      </c>
      <c r="E260" s="949" t="s">
        <v>2930</v>
      </c>
      <c r="F260" s="950">
        <v>10</v>
      </c>
      <c r="G260" s="950"/>
      <c r="H260" s="950"/>
      <c r="I260" s="950"/>
      <c r="J260" s="950"/>
      <c r="K260" s="950"/>
      <c r="L260" s="950"/>
      <c r="M260" s="950"/>
      <c r="N260" s="950"/>
      <c r="O260" s="950"/>
      <c r="P260" s="950"/>
      <c r="Q260" s="991"/>
      <c r="R260" s="990" t="s">
        <v>10401</v>
      </c>
      <c r="S260" s="992" t="s">
        <v>10402</v>
      </c>
      <c r="T260" s="993">
        <f t="shared" si="20"/>
        <v>42</v>
      </c>
      <c r="U260" s="992" t="s">
        <v>10402</v>
      </c>
      <c r="V260" s="993">
        <f t="shared" si="21"/>
        <v>42</v>
      </c>
      <c r="W260" s="992" t="s">
        <v>10403</v>
      </c>
      <c r="X260" s="993">
        <f t="shared" si="22"/>
        <v>29</v>
      </c>
      <c r="Y260" s="994" t="s">
        <v>10404</v>
      </c>
      <c r="Z260" s="993">
        <f t="shared" si="23"/>
        <v>48</v>
      </c>
      <c r="AA260" s="994" t="s">
        <v>10404</v>
      </c>
      <c r="AB260" s="993">
        <f t="shared" si="24"/>
        <v>48</v>
      </c>
      <c r="AC260" s="994" t="s">
        <v>10405</v>
      </c>
      <c r="AD260" s="993">
        <f t="shared" si="25"/>
        <v>28</v>
      </c>
      <c r="AE260" s="518" t="s">
        <v>10312</v>
      </c>
      <c r="AF260" s="519" t="s">
        <v>10313</v>
      </c>
      <c r="AG260" s="995" t="s">
        <v>9179</v>
      </c>
      <c r="AH260" s="996" t="s">
        <v>169</v>
      </c>
      <c r="AI260" s="494" t="s">
        <v>2917</v>
      </c>
      <c r="AJ260" s="958">
        <v>1</v>
      </c>
      <c r="AK260" s="959" t="s">
        <v>8327</v>
      </c>
      <c r="AL260" s="960"/>
      <c r="AM260" s="997">
        <f>_xll.GetCtData("COAMOUNT","CONSAMOUNT",$A$1:$A$7,$D260,AM$10,"#57582")</f>
        <v>57582</v>
      </c>
    </row>
    <row r="261" spans="1:39">
      <c r="A261" s="427" t="s">
        <v>6610</v>
      </c>
      <c r="B261" s="427" t="s">
        <v>6610</v>
      </c>
      <c r="D261" s="990" t="s">
        <v>1302</v>
      </c>
      <c r="E261" s="949" t="s">
        <v>2930</v>
      </c>
      <c r="F261" s="950">
        <v>10</v>
      </c>
      <c r="G261" s="950"/>
      <c r="H261" s="950"/>
      <c r="I261" s="950"/>
      <c r="J261" s="950"/>
      <c r="K261" s="950"/>
      <c r="L261" s="950"/>
      <c r="M261" s="950"/>
      <c r="N261" s="950"/>
      <c r="O261" s="950"/>
      <c r="P261" s="950"/>
      <c r="Q261" s="991"/>
      <c r="R261" s="990" t="s">
        <v>10406</v>
      </c>
      <c r="S261" s="992" t="s">
        <v>10407</v>
      </c>
      <c r="T261" s="993">
        <f t="shared" si="20"/>
        <v>39</v>
      </c>
      <c r="U261" s="992" t="s">
        <v>10407</v>
      </c>
      <c r="V261" s="993">
        <f t="shared" si="21"/>
        <v>39</v>
      </c>
      <c r="W261" s="992" t="s">
        <v>10408</v>
      </c>
      <c r="X261" s="993">
        <f t="shared" si="22"/>
        <v>28</v>
      </c>
      <c r="Y261" s="994" t="s">
        <v>10409</v>
      </c>
      <c r="Z261" s="993">
        <f t="shared" si="23"/>
        <v>65</v>
      </c>
      <c r="AA261" s="994" t="s">
        <v>10409</v>
      </c>
      <c r="AB261" s="993">
        <f t="shared" si="24"/>
        <v>65</v>
      </c>
      <c r="AC261" s="994" t="s">
        <v>10410</v>
      </c>
      <c r="AD261" s="993">
        <f t="shared" si="25"/>
        <v>27</v>
      </c>
      <c r="AE261" s="518" t="s">
        <v>10382</v>
      </c>
      <c r="AF261" s="519" t="s">
        <v>10383</v>
      </c>
      <c r="AG261" s="995" t="s">
        <v>9179</v>
      </c>
      <c r="AH261" s="996" t="s">
        <v>169</v>
      </c>
      <c r="AI261" s="494" t="s">
        <v>2917</v>
      </c>
      <c r="AJ261" s="958">
        <v>1</v>
      </c>
      <c r="AK261" s="959"/>
      <c r="AL261" s="960"/>
      <c r="AM261" s="997">
        <f>_xll.GetCtData("COAMOUNT","CONSAMOUNT",$A$1:$A$7,$D261,AM$10,"#")</f>
        <v>0</v>
      </c>
    </row>
    <row r="262" spans="1:39">
      <c r="A262" s="427" t="s">
        <v>6610</v>
      </c>
      <c r="B262" s="427" t="s">
        <v>6610</v>
      </c>
      <c r="D262" s="990" t="s">
        <v>1303</v>
      </c>
      <c r="E262" s="949" t="s">
        <v>2930</v>
      </c>
      <c r="F262" s="950">
        <v>10</v>
      </c>
      <c r="G262" s="950"/>
      <c r="H262" s="950"/>
      <c r="I262" s="950"/>
      <c r="J262" s="950"/>
      <c r="K262" s="950"/>
      <c r="L262" s="950"/>
      <c r="M262" s="950"/>
      <c r="N262" s="950"/>
      <c r="O262" s="950"/>
      <c r="P262" s="950"/>
      <c r="Q262" s="991"/>
      <c r="R262" s="990" t="s">
        <v>10411</v>
      </c>
      <c r="S262" s="992" t="s">
        <v>10412</v>
      </c>
      <c r="T262" s="993">
        <f t="shared" si="20"/>
        <v>42</v>
      </c>
      <c r="U262" s="992" t="s">
        <v>10412</v>
      </c>
      <c r="V262" s="993">
        <f t="shared" si="21"/>
        <v>42</v>
      </c>
      <c r="W262" s="992" t="s">
        <v>10413</v>
      </c>
      <c r="X262" s="993">
        <f t="shared" si="22"/>
        <v>27</v>
      </c>
      <c r="Y262" s="994" t="s">
        <v>10414</v>
      </c>
      <c r="Z262" s="993">
        <f t="shared" si="23"/>
        <v>67</v>
      </c>
      <c r="AA262" s="994" t="s">
        <v>10414</v>
      </c>
      <c r="AB262" s="993">
        <f t="shared" si="24"/>
        <v>67</v>
      </c>
      <c r="AC262" s="994" t="s">
        <v>10415</v>
      </c>
      <c r="AD262" s="993">
        <f t="shared" si="25"/>
        <v>29</v>
      </c>
      <c r="AE262" s="518" t="s">
        <v>10382</v>
      </c>
      <c r="AF262" s="519" t="s">
        <v>10383</v>
      </c>
      <c r="AG262" s="995" t="s">
        <v>9179</v>
      </c>
      <c r="AH262" s="996" t="s">
        <v>169</v>
      </c>
      <c r="AI262" s="494" t="s">
        <v>2917</v>
      </c>
      <c r="AJ262" s="958">
        <v>1</v>
      </c>
      <c r="AK262" s="959"/>
      <c r="AL262" s="960"/>
      <c r="AM262" s="997">
        <f>_xll.GetCtData("COAMOUNT","CONSAMOUNT",$A$1:$A$7,$D262,AM$10,"#0")</f>
        <v>0</v>
      </c>
    </row>
    <row r="263" spans="1:39">
      <c r="A263" s="427" t="s">
        <v>6610</v>
      </c>
      <c r="B263" s="427" t="s">
        <v>6610</v>
      </c>
      <c r="D263" s="981" t="s">
        <v>10416</v>
      </c>
      <c r="E263" s="949" t="s">
        <v>2912</v>
      </c>
      <c r="F263" s="950">
        <v>8</v>
      </c>
      <c r="G263" s="950"/>
      <c r="H263" s="950"/>
      <c r="I263" s="950"/>
      <c r="J263" s="950"/>
      <c r="K263" s="950"/>
      <c r="L263" s="950"/>
      <c r="M263" s="950"/>
      <c r="N263" s="950"/>
      <c r="O263" s="981" t="s">
        <v>10417</v>
      </c>
      <c r="P263" s="982"/>
      <c r="Q263" s="981"/>
      <c r="R263" s="981" t="s">
        <v>10417</v>
      </c>
      <c r="S263" s="981" t="s">
        <v>10418</v>
      </c>
      <c r="T263" s="1002">
        <f t="shared" si="20"/>
        <v>14</v>
      </c>
      <c r="U263" s="981" t="s">
        <v>10418</v>
      </c>
      <c r="V263" s="1002">
        <f t="shared" si="21"/>
        <v>14</v>
      </c>
      <c r="W263" s="981" t="s">
        <v>10418</v>
      </c>
      <c r="X263" s="1002">
        <f t="shared" si="22"/>
        <v>14</v>
      </c>
      <c r="Y263" s="1003" t="s">
        <v>10419</v>
      </c>
      <c r="Z263" s="1002">
        <f t="shared" si="23"/>
        <v>13</v>
      </c>
      <c r="AA263" s="1003" t="s">
        <v>10419</v>
      </c>
      <c r="AB263" s="1002">
        <f t="shared" si="24"/>
        <v>13</v>
      </c>
      <c r="AC263" s="1003" t="s">
        <v>10419</v>
      </c>
      <c r="AD263" s="1002">
        <f t="shared" si="25"/>
        <v>13</v>
      </c>
      <c r="AE263" s="1002"/>
      <c r="AF263" s="1002"/>
      <c r="AG263" s="956"/>
      <c r="AH263" s="957"/>
      <c r="AI263" s="494" t="s">
        <v>2917</v>
      </c>
      <c r="AJ263" s="958">
        <v>1</v>
      </c>
      <c r="AK263" s="959"/>
      <c r="AL263" s="960"/>
      <c r="AM263" s="985">
        <f>_xll.GetCtData("COAMOUNT","CONSAMOUNT",$A$1:$A$7,$D263,AM$10,"#219949")</f>
        <v>219949</v>
      </c>
    </row>
    <row r="264" spans="1:39">
      <c r="A264" s="427" t="s">
        <v>6610</v>
      </c>
      <c r="B264" s="427" t="s">
        <v>6610</v>
      </c>
      <c r="D264" s="990" t="s">
        <v>1313</v>
      </c>
      <c r="E264" s="949" t="s">
        <v>2930</v>
      </c>
      <c r="F264" s="950">
        <v>10</v>
      </c>
      <c r="G264" s="950"/>
      <c r="H264" s="950"/>
      <c r="I264" s="950"/>
      <c r="J264" s="950"/>
      <c r="K264" s="950"/>
      <c r="L264" s="950"/>
      <c r="M264" s="950"/>
      <c r="N264" s="950"/>
      <c r="O264" s="950"/>
      <c r="P264" s="950"/>
      <c r="Q264" s="950"/>
      <c r="R264" s="990" t="s">
        <v>10420</v>
      </c>
      <c r="S264" s="992" t="s">
        <v>10421</v>
      </c>
      <c r="T264" s="993">
        <f t="shared" si="20"/>
        <v>55</v>
      </c>
      <c r="U264" s="992" t="s">
        <v>10421</v>
      </c>
      <c r="V264" s="993">
        <f t="shared" si="21"/>
        <v>55</v>
      </c>
      <c r="W264" s="992" t="s">
        <v>10422</v>
      </c>
      <c r="X264" s="993">
        <f t="shared" si="22"/>
        <v>30</v>
      </c>
      <c r="Y264" s="994" t="s">
        <v>10423</v>
      </c>
      <c r="Z264" s="993">
        <f t="shared" si="23"/>
        <v>45</v>
      </c>
      <c r="AA264" s="994" t="s">
        <v>10423</v>
      </c>
      <c r="AB264" s="993">
        <f t="shared" si="24"/>
        <v>45</v>
      </c>
      <c r="AC264" s="994" t="s">
        <v>10424</v>
      </c>
      <c r="AD264" s="993">
        <f t="shared" si="25"/>
        <v>25</v>
      </c>
      <c r="AE264" s="518" t="s">
        <v>10425</v>
      </c>
      <c r="AF264" s="519" t="s">
        <v>10426</v>
      </c>
      <c r="AG264" s="995" t="s">
        <v>9179</v>
      </c>
      <c r="AH264" s="996" t="s">
        <v>169</v>
      </c>
      <c r="AI264" s="494" t="s">
        <v>2917</v>
      </c>
      <c r="AJ264" s="958">
        <v>1</v>
      </c>
      <c r="AK264" s="959"/>
      <c r="AL264" s="960"/>
      <c r="AM264" s="997">
        <f>_xll.GetCtData("COAMOUNT","CONSAMOUNT",$A$1:$A$7,$D264,AM$10,"#238769")</f>
        <v>238769</v>
      </c>
    </row>
    <row r="265" spans="1:39">
      <c r="A265" s="427" t="s">
        <v>6610</v>
      </c>
      <c r="B265" s="427" t="s">
        <v>6610</v>
      </c>
      <c r="D265" s="990" t="s">
        <v>1314</v>
      </c>
      <c r="E265" s="949" t="s">
        <v>2930</v>
      </c>
      <c r="F265" s="950">
        <v>10</v>
      </c>
      <c r="G265" s="950"/>
      <c r="H265" s="950"/>
      <c r="I265" s="950"/>
      <c r="J265" s="950"/>
      <c r="K265" s="950"/>
      <c r="L265" s="950"/>
      <c r="M265" s="950"/>
      <c r="N265" s="950"/>
      <c r="O265" s="950"/>
      <c r="P265" s="950"/>
      <c r="Q265" s="950"/>
      <c r="R265" s="990" t="s">
        <v>10427</v>
      </c>
      <c r="S265" s="992" t="s">
        <v>10428</v>
      </c>
      <c r="T265" s="993">
        <f t="shared" si="20"/>
        <v>56</v>
      </c>
      <c r="U265" s="992" t="s">
        <v>10428</v>
      </c>
      <c r="V265" s="993">
        <f t="shared" si="21"/>
        <v>56</v>
      </c>
      <c r="W265" s="992" t="s">
        <v>10429</v>
      </c>
      <c r="X265" s="993">
        <f t="shared" si="22"/>
        <v>30</v>
      </c>
      <c r="Y265" s="994" t="s">
        <v>10430</v>
      </c>
      <c r="Z265" s="993">
        <f t="shared" si="23"/>
        <v>53</v>
      </c>
      <c r="AA265" s="994" t="s">
        <v>10430</v>
      </c>
      <c r="AB265" s="993">
        <f t="shared" si="24"/>
        <v>53</v>
      </c>
      <c r="AC265" s="994" t="s">
        <v>10431</v>
      </c>
      <c r="AD265" s="993">
        <f t="shared" si="25"/>
        <v>30</v>
      </c>
      <c r="AE265" s="518" t="s">
        <v>10432</v>
      </c>
      <c r="AF265" s="519" t="s">
        <v>10433</v>
      </c>
      <c r="AG265" s="995" t="s">
        <v>9179</v>
      </c>
      <c r="AH265" s="996" t="s">
        <v>169</v>
      </c>
      <c r="AI265" s="494" t="s">
        <v>2917</v>
      </c>
      <c r="AJ265" s="958">
        <v>1</v>
      </c>
      <c r="AK265" s="959"/>
      <c r="AL265" s="960"/>
      <c r="AM265" s="997">
        <f>_xll.GetCtData("COAMOUNT","CONSAMOUNT",$A$1:$A$7,$D265,AM$10,"#1201")</f>
        <v>1201</v>
      </c>
    </row>
    <row r="266" spans="1:39">
      <c r="A266" s="427" t="s">
        <v>6610</v>
      </c>
      <c r="B266" s="427" t="s">
        <v>6610</v>
      </c>
      <c r="D266" s="990" t="s">
        <v>1315</v>
      </c>
      <c r="E266" s="949" t="s">
        <v>2930</v>
      </c>
      <c r="F266" s="950">
        <v>10</v>
      </c>
      <c r="G266" s="950"/>
      <c r="H266" s="950"/>
      <c r="I266" s="950"/>
      <c r="J266" s="950"/>
      <c r="K266" s="950"/>
      <c r="L266" s="950"/>
      <c r="M266" s="950"/>
      <c r="N266" s="950"/>
      <c r="O266" s="950"/>
      <c r="P266" s="950"/>
      <c r="Q266" s="950"/>
      <c r="R266" s="990" t="s">
        <v>10434</v>
      </c>
      <c r="S266" s="992" t="s">
        <v>10435</v>
      </c>
      <c r="T266" s="993">
        <f t="shared" si="20"/>
        <v>48</v>
      </c>
      <c r="U266" s="992" t="s">
        <v>10435</v>
      </c>
      <c r="V266" s="993">
        <f t="shared" si="21"/>
        <v>48</v>
      </c>
      <c r="W266" s="992" t="s">
        <v>10436</v>
      </c>
      <c r="X266" s="993">
        <f t="shared" si="22"/>
        <v>29</v>
      </c>
      <c r="Y266" s="994" t="s">
        <v>10437</v>
      </c>
      <c r="Z266" s="993">
        <f t="shared" si="23"/>
        <v>58</v>
      </c>
      <c r="AA266" s="994" t="s">
        <v>10437</v>
      </c>
      <c r="AB266" s="993">
        <f t="shared" si="24"/>
        <v>58</v>
      </c>
      <c r="AC266" s="994" t="s">
        <v>10438</v>
      </c>
      <c r="AD266" s="993">
        <f t="shared" si="25"/>
        <v>28</v>
      </c>
      <c r="AE266" s="518" t="s">
        <v>10425</v>
      </c>
      <c r="AF266" s="519" t="s">
        <v>10426</v>
      </c>
      <c r="AG266" s="995" t="s">
        <v>9179</v>
      </c>
      <c r="AH266" s="996" t="s">
        <v>169</v>
      </c>
      <c r="AI266" s="494" t="s">
        <v>2917</v>
      </c>
      <c r="AJ266" s="958">
        <v>1</v>
      </c>
      <c r="AK266" s="959" t="s">
        <v>5359</v>
      </c>
      <c r="AL266" s="960"/>
      <c r="AM266" s="997">
        <f>_xll.GetCtData("COAMOUNT","CONSAMOUNT",$A$1:$A$7,$D266,AM$10,"#-20021")</f>
        <v>-20021</v>
      </c>
    </row>
    <row r="267" spans="1:39">
      <c r="A267" s="427" t="s">
        <v>6610</v>
      </c>
      <c r="B267" s="427" t="s">
        <v>6610</v>
      </c>
      <c r="D267" s="410" t="s">
        <v>10439</v>
      </c>
      <c r="E267" s="949" t="s">
        <v>2912</v>
      </c>
      <c r="F267" s="950">
        <v>7</v>
      </c>
      <c r="G267" s="950"/>
      <c r="H267" s="950"/>
      <c r="I267" s="950"/>
      <c r="J267" s="950"/>
      <c r="K267" s="950"/>
      <c r="L267" s="950"/>
      <c r="M267" s="950"/>
      <c r="N267" s="410" t="s">
        <v>10440</v>
      </c>
      <c r="O267" s="975"/>
      <c r="P267" s="975"/>
      <c r="Q267" s="410"/>
      <c r="R267" s="410" t="s">
        <v>10440</v>
      </c>
      <c r="S267" s="410" t="s">
        <v>1201</v>
      </c>
      <c r="T267" s="976">
        <f t="shared" si="20"/>
        <v>71</v>
      </c>
      <c r="U267" s="410" t="s">
        <v>1201</v>
      </c>
      <c r="V267" s="976">
        <f t="shared" si="21"/>
        <v>71</v>
      </c>
      <c r="W267" s="410" t="s">
        <v>10441</v>
      </c>
      <c r="X267" s="976">
        <f t="shared" si="22"/>
        <v>26</v>
      </c>
      <c r="Y267" s="977" t="s">
        <v>10442</v>
      </c>
      <c r="Z267" s="976">
        <f t="shared" si="23"/>
        <v>61</v>
      </c>
      <c r="AA267" s="977" t="s">
        <v>10442</v>
      </c>
      <c r="AB267" s="976">
        <f t="shared" si="24"/>
        <v>61</v>
      </c>
      <c r="AC267" s="977" t="s">
        <v>10443</v>
      </c>
      <c r="AD267" s="976">
        <f t="shared" si="25"/>
        <v>29</v>
      </c>
      <c r="AE267" s="976"/>
      <c r="AF267" s="976"/>
      <c r="AG267" s="956"/>
      <c r="AH267" s="957"/>
      <c r="AI267" s="494" t="s">
        <v>2917</v>
      </c>
      <c r="AJ267" s="958">
        <v>1</v>
      </c>
      <c r="AK267" s="959"/>
      <c r="AL267" s="960"/>
      <c r="AM267" s="980">
        <f>_xll.GetCtData("COAMOUNT","CONSAMOUNT",$A$1:$A$7,$D267,AM$10,"#-1300629,71901344")</f>
        <v>-1300629</v>
      </c>
    </row>
    <row r="268" spans="1:39">
      <c r="A268" s="427" t="s">
        <v>6610</v>
      </c>
      <c r="B268" s="427" t="s">
        <v>6610</v>
      </c>
      <c r="D268" s="981" t="s">
        <v>10444</v>
      </c>
      <c r="E268" s="949" t="s">
        <v>2912</v>
      </c>
      <c r="F268" s="950">
        <v>8</v>
      </c>
      <c r="G268" s="950"/>
      <c r="H268" s="950"/>
      <c r="I268" s="950"/>
      <c r="J268" s="950"/>
      <c r="K268" s="950"/>
      <c r="L268" s="950"/>
      <c r="M268" s="950"/>
      <c r="N268" s="950"/>
      <c r="O268" s="981" t="s">
        <v>10445</v>
      </c>
      <c r="P268" s="982"/>
      <c r="Q268" s="981"/>
      <c r="R268" s="981" t="s">
        <v>10445</v>
      </c>
      <c r="S268" s="981" t="s">
        <v>10446</v>
      </c>
      <c r="T268" s="1002">
        <f t="shared" si="20"/>
        <v>34</v>
      </c>
      <c r="U268" s="981" t="s">
        <v>10446</v>
      </c>
      <c r="V268" s="1002">
        <f t="shared" si="21"/>
        <v>34</v>
      </c>
      <c r="W268" s="981" t="s">
        <v>10447</v>
      </c>
      <c r="X268" s="1002">
        <f t="shared" si="22"/>
        <v>25</v>
      </c>
      <c r="Y268" s="1003" t="s">
        <v>10448</v>
      </c>
      <c r="Z268" s="1002">
        <f t="shared" si="23"/>
        <v>28</v>
      </c>
      <c r="AA268" s="1003" t="s">
        <v>10448</v>
      </c>
      <c r="AB268" s="1002">
        <f t="shared" si="24"/>
        <v>28</v>
      </c>
      <c r="AC268" s="1003" t="s">
        <v>10448</v>
      </c>
      <c r="AD268" s="1002">
        <f t="shared" si="25"/>
        <v>28</v>
      </c>
      <c r="AE268" s="1002"/>
      <c r="AF268" s="1002"/>
      <c r="AG268" s="956"/>
      <c r="AH268" s="957"/>
      <c r="AI268" s="494" t="s">
        <v>2917</v>
      </c>
      <c r="AJ268" s="958">
        <v>1</v>
      </c>
      <c r="AK268" s="959"/>
      <c r="AL268" s="960"/>
      <c r="AM268" s="985">
        <f>_xll.GetCtData("COAMOUNT","CONSAMOUNT",$A$1:$A$7,$D268,AM$10,"#-93653")</f>
        <v>-93653</v>
      </c>
    </row>
    <row r="269" spans="1:39">
      <c r="A269" s="427" t="s">
        <v>6610</v>
      </c>
      <c r="B269" s="427" t="s">
        <v>6610</v>
      </c>
      <c r="D269" s="990" t="s">
        <v>1351</v>
      </c>
      <c r="E269" s="949" t="s">
        <v>2930</v>
      </c>
      <c r="F269" s="950">
        <v>10</v>
      </c>
      <c r="G269" s="950"/>
      <c r="H269" s="950"/>
      <c r="I269" s="950"/>
      <c r="J269" s="950"/>
      <c r="K269" s="950"/>
      <c r="L269" s="950"/>
      <c r="M269" s="950"/>
      <c r="N269" s="950"/>
      <c r="O269" s="950"/>
      <c r="P269" s="950"/>
      <c r="Q269" s="991"/>
      <c r="R269" s="990" t="s">
        <v>10449</v>
      </c>
      <c r="S269" s="992" t="s">
        <v>10450</v>
      </c>
      <c r="T269" s="993">
        <f t="shared" si="20"/>
        <v>80</v>
      </c>
      <c r="U269" s="992" t="s">
        <v>10450</v>
      </c>
      <c r="V269" s="993">
        <f t="shared" si="21"/>
        <v>80</v>
      </c>
      <c r="W269" s="992" t="s">
        <v>10451</v>
      </c>
      <c r="X269" s="993">
        <f t="shared" si="22"/>
        <v>30</v>
      </c>
      <c r="Y269" s="994" t="s">
        <v>10452</v>
      </c>
      <c r="Z269" s="993">
        <f t="shared" si="23"/>
        <v>66</v>
      </c>
      <c r="AA269" s="994" t="s">
        <v>10452</v>
      </c>
      <c r="AB269" s="993">
        <f t="shared" si="24"/>
        <v>66</v>
      </c>
      <c r="AC269" s="994" t="s">
        <v>10453</v>
      </c>
      <c r="AD269" s="993">
        <f t="shared" si="25"/>
        <v>30</v>
      </c>
      <c r="AE269" s="518" t="s">
        <v>10454</v>
      </c>
      <c r="AF269" s="519" t="s">
        <v>10455</v>
      </c>
      <c r="AG269" s="995" t="s">
        <v>9179</v>
      </c>
      <c r="AH269" s="996" t="s">
        <v>169</v>
      </c>
      <c r="AI269" s="494" t="s">
        <v>2917</v>
      </c>
      <c r="AJ269" s="958">
        <v>1</v>
      </c>
      <c r="AK269" s="959"/>
      <c r="AL269" s="960"/>
      <c r="AM269" s="997">
        <f>_xll.GetCtData("COAMOUNT","CONSAMOUNT",$A$1:$A$7,$D269,AM$10,"#-85627")</f>
        <v>-85627</v>
      </c>
    </row>
    <row r="270" spans="1:39">
      <c r="A270" s="427" t="s">
        <v>6610</v>
      </c>
      <c r="B270" s="427" t="s">
        <v>6610</v>
      </c>
      <c r="D270" s="990" t="s">
        <v>1352</v>
      </c>
      <c r="E270" s="949" t="s">
        <v>2930</v>
      </c>
      <c r="F270" s="950">
        <v>10</v>
      </c>
      <c r="G270" s="950"/>
      <c r="H270" s="950"/>
      <c r="I270" s="950"/>
      <c r="J270" s="950"/>
      <c r="K270" s="950"/>
      <c r="L270" s="950"/>
      <c r="M270" s="950"/>
      <c r="N270" s="950"/>
      <c r="O270" s="950"/>
      <c r="P270" s="950"/>
      <c r="Q270" s="991"/>
      <c r="R270" s="990" t="s">
        <v>10456</v>
      </c>
      <c r="S270" s="992" t="s">
        <v>10457</v>
      </c>
      <c r="T270" s="993">
        <f t="shared" si="20"/>
        <v>60</v>
      </c>
      <c r="U270" s="992" t="s">
        <v>10457</v>
      </c>
      <c r="V270" s="993">
        <f t="shared" si="21"/>
        <v>60</v>
      </c>
      <c r="W270" s="992" t="s">
        <v>10458</v>
      </c>
      <c r="X270" s="993">
        <f t="shared" si="22"/>
        <v>28</v>
      </c>
      <c r="Y270" s="994" t="s">
        <v>10459</v>
      </c>
      <c r="Z270" s="993">
        <f t="shared" si="23"/>
        <v>49</v>
      </c>
      <c r="AA270" s="994" t="s">
        <v>10459</v>
      </c>
      <c r="AB270" s="993">
        <f t="shared" si="24"/>
        <v>49</v>
      </c>
      <c r="AC270" s="994" t="s">
        <v>10460</v>
      </c>
      <c r="AD270" s="993">
        <f t="shared" si="25"/>
        <v>27</v>
      </c>
      <c r="AE270" s="518" t="s">
        <v>10461</v>
      </c>
      <c r="AF270" s="519" t="s">
        <v>10462</v>
      </c>
      <c r="AG270" s="995" t="s">
        <v>9179</v>
      </c>
      <c r="AH270" s="996" t="s">
        <v>169</v>
      </c>
      <c r="AI270" s="494" t="s">
        <v>2917</v>
      </c>
      <c r="AJ270" s="958">
        <v>1</v>
      </c>
      <c r="AK270" s="959"/>
      <c r="AL270" s="960"/>
      <c r="AM270" s="997">
        <f>_xll.GetCtData("COAMOUNT","CONSAMOUNT",$A$1:$A$7,$D270,AM$10,"#-8026")</f>
        <v>-8026</v>
      </c>
    </row>
    <row r="271" spans="1:39">
      <c r="A271" s="427" t="s">
        <v>6610</v>
      </c>
      <c r="B271" s="427" t="s">
        <v>6610</v>
      </c>
      <c r="D271" s="981" t="s">
        <v>10463</v>
      </c>
      <c r="E271" s="949" t="s">
        <v>2912</v>
      </c>
      <c r="F271" s="950">
        <v>8</v>
      </c>
      <c r="G271" s="950"/>
      <c r="H271" s="950"/>
      <c r="I271" s="950"/>
      <c r="J271" s="950"/>
      <c r="K271" s="950"/>
      <c r="L271" s="950"/>
      <c r="M271" s="950"/>
      <c r="N271" s="950"/>
      <c r="O271" s="981" t="s">
        <v>10464</v>
      </c>
      <c r="P271" s="982"/>
      <c r="Q271" s="981"/>
      <c r="R271" s="981" t="s">
        <v>10464</v>
      </c>
      <c r="S271" s="981" t="s">
        <v>10465</v>
      </c>
      <c r="T271" s="1002">
        <f t="shared" si="20"/>
        <v>33</v>
      </c>
      <c r="U271" s="981" t="s">
        <v>10465</v>
      </c>
      <c r="V271" s="1002">
        <f t="shared" si="21"/>
        <v>33</v>
      </c>
      <c r="W271" s="981" t="s">
        <v>10466</v>
      </c>
      <c r="X271" s="1002">
        <f t="shared" si="22"/>
        <v>27</v>
      </c>
      <c r="Y271" s="1003" t="s">
        <v>10467</v>
      </c>
      <c r="Z271" s="1002">
        <f t="shared" si="23"/>
        <v>19</v>
      </c>
      <c r="AA271" s="1003" t="s">
        <v>10467</v>
      </c>
      <c r="AB271" s="1002">
        <f t="shared" si="24"/>
        <v>19</v>
      </c>
      <c r="AC271" s="1003" t="s">
        <v>10467</v>
      </c>
      <c r="AD271" s="1002">
        <f t="shared" si="25"/>
        <v>19</v>
      </c>
      <c r="AE271" s="1002"/>
      <c r="AF271" s="1002"/>
      <c r="AG271" s="956"/>
      <c r="AH271" s="957"/>
      <c r="AI271" s="494" t="s">
        <v>2917</v>
      </c>
      <c r="AJ271" s="958">
        <v>1</v>
      </c>
      <c r="AK271" s="959"/>
      <c r="AL271" s="960"/>
      <c r="AM271" s="985">
        <f>_xll.GetCtData("COAMOUNT","CONSAMOUNT",$A$1:$A$7,$D271,AM$10,"#-1206976,71901344")</f>
        <v>-1206976</v>
      </c>
    </row>
    <row r="272" spans="1:39">
      <c r="A272" s="427" t="s">
        <v>6610</v>
      </c>
      <c r="B272" s="427" t="s">
        <v>6610</v>
      </c>
      <c r="D272" s="986" t="s">
        <v>10468</v>
      </c>
      <c r="E272" s="949" t="s">
        <v>2912</v>
      </c>
      <c r="F272" s="950">
        <v>9</v>
      </c>
      <c r="G272" s="950"/>
      <c r="H272" s="950"/>
      <c r="I272" s="950"/>
      <c r="J272" s="950"/>
      <c r="K272" s="950"/>
      <c r="L272" s="950"/>
      <c r="M272" s="950"/>
      <c r="N272" s="950"/>
      <c r="O272" s="950"/>
      <c r="P272" s="986" t="s">
        <v>10469</v>
      </c>
      <c r="Q272" s="986"/>
      <c r="R272" s="986" t="s">
        <v>10469</v>
      </c>
      <c r="S272" s="986" t="s">
        <v>10470</v>
      </c>
      <c r="T272" s="1012">
        <f t="shared" si="20"/>
        <v>43</v>
      </c>
      <c r="U272" s="986" t="s">
        <v>10470</v>
      </c>
      <c r="V272" s="1012">
        <f t="shared" si="21"/>
        <v>43</v>
      </c>
      <c r="W272" s="986" t="s">
        <v>10471</v>
      </c>
      <c r="X272" s="1012">
        <f t="shared" si="22"/>
        <v>30</v>
      </c>
      <c r="Y272" s="986" t="s">
        <v>10472</v>
      </c>
      <c r="Z272" s="1012">
        <f t="shared" si="23"/>
        <v>43</v>
      </c>
      <c r="AA272" s="986" t="s">
        <v>10473</v>
      </c>
      <c r="AB272" s="1012">
        <f t="shared" si="24"/>
        <v>41</v>
      </c>
      <c r="AC272" s="986" t="s">
        <v>10474</v>
      </c>
      <c r="AD272" s="1012">
        <f t="shared" si="25"/>
        <v>27</v>
      </c>
      <c r="AE272" s="987"/>
      <c r="AF272" s="987"/>
      <c r="AG272" s="995"/>
      <c r="AH272" s="996"/>
      <c r="AI272" s="494" t="s">
        <v>2917</v>
      </c>
      <c r="AJ272" s="958">
        <v>1</v>
      </c>
      <c r="AK272" s="959"/>
      <c r="AL272" s="960" t="s">
        <v>5930</v>
      </c>
      <c r="AM272" s="989">
        <f>_xll.GetCtData("COAMOUNT","CONSAMOUNT",$A$1:$A$7,$D272,AM$10,"#-1041")</f>
        <v>-1041</v>
      </c>
    </row>
    <row r="273" spans="1:39">
      <c r="A273" s="427" t="s">
        <v>6610</v>
      </c>
      <c r="B273" s="427" t="s">
        <v>6610</v>
      </c>
      <c r="D273" s="990" t="s">
        <v>1353</v>
      </c>
      <c r="E273" s="949" t="s">
        <v>2930</v>
      </c>
      <c r="F273" s="950">
        <v>10</v>
      </c>
      <c r="G273" s="950"/>
      <c r="H273" s="950"/>
      <c r="I273" s="950"/>
      <c r="J273" s="950"/>
      <c r="K273" s="950"/>
      <c r="L273" s="950"/>
      <c r="M273" s="950"/>
      <c r="N273" s="950"/>
      <c r="O273" s="950"/>
      <c r="P273" s="950"/>
      <c r="Q273" s="1025"/>
      <c r="R273" s="990" t="s">
        <v>10475</v>
      </c>
      <c r="S273" s="992" t="s">
        <v>10476</v>
      </c>
      <c r="T273" s="993">
        <f t="shared" si="20"/>
        <v>84</v>
      </c>
      <c r="U273" s="992" t="s">
        <v>10476</v>
      </c>
      <c r="V273" s="993">
        <f t="shared" si="21"/>
        <v>84</v>
      </c>
      <c r="W273" s="992" t="s">
        <v>10477</v>
      </c>
      <c r="X273" s="993">
        <f t="shared" si="22"/>
        <v>30</v>
      </c>
      <c r="Y273" s="994" t="s">
        <v>10478</v>
      </c>
      <c r="Z273" s="993">
        <f t="shared" si="23"/>
        <v>88</v>
      </c>
      <c r="AA273" s="994" t="s">
        <v>10478</v>
      </c>
      <c r="AB273" s="993">
        <f t="shared" si="24"/>
        <v>88</v>
      </c>
      <c r="AC273" s="994" t="s">
        <v>10479</v>
      </c>
      <c r="AD273" s="993">
        <f t="shared" si="25"/>
        <v>29</v>
      </c>
      <c r="AE273" s="518" t="s">
        <v>10480</v>
      </c>
      <c r="AF273" s="519" t="s">
        <v>10481</v>
      </c>
      <c r="AG273" s="995" t="s">
        <v>9179</v>
      </c>
      <c r="AH273" s="996" t="s">
        <v>169</v>
      </c>
      <c r="AI273" s="494" t="s">
        <v>2917</v>
      </c>
      <c r="AJ273" s="958">
        <v>1</v>
      </c>
      <c r="AK273" s="959" t="s">
        <v>5359</v>
      </c>
      <c r="AL273" s="960"/>
      <c r="AM273" s="997">
        <f>_xll.GetCtData("COAMOUNT","CONSAMOUNT",$A$1:$A$7,$D273,AM$10,"#-1041")</f>
        <v>-1041</v>
      </c>
    </row>
    <row r="274" spans="1:39">
      <c r="A274" s="427" t="s">
        <v>6610</v>
      </c>
      <c r="B274" s="427" t="s">
        <v>6610</v>
      </c>
      <c r="D274" s="986" t="s">
        <v>10482</v>
      </c>
      <c r="E274" s="949" t="s">
        <v>2912</v>
      </c>
      <c r="F274" s="950">
        <v>9</v>
      </c>
      <c r="G274" s="950"/>
      <c r="H274" s="950"/>
      <c r="I274" s="950"/>
      <c r="J274" s="950"/>
      <c r="K274" s="950"/>
      <c r="L274" s="950"/>
      <c r="M274" s="950"/>
      <c r="N274" s="950"/>
      <c r="O274" s="950"/>
      <c r="P274" s="986" t="s">
        <v>10483</v>
      </c>
      <c r="Q274" s="986"/>
      <c r="R274" s="986" t="s">
        <v>10483</v>
      </c>
      <c r="S274" s="986" t="s">
        <v>10484</v>
      </c>
      <c r="T274" s="1012">
        <f t="shared" si="20"/>
        <v>44</v>
      </c>
      <c r="U274" s="986" t="s">
        <v>10484</v>
      </c>
      <c r="V274" s="1012">
        <f t="shared" si="21"/>
        <v>44</v>
      </c>
      <c r="W274" s="986" t="s">
        <v>10485</v>
      </c>
      <c r="X274" s="1012">
        <f t="shared" si="22"/>
        <v>28</v>
      </c>
      <c r="Y274" s="986" t="s">
        <v>10486</v>
      </c>
      <c r="Z274" s="1012">
        <f t="shared" si="23"/>
        <v>39</v>
      </c>
      <c r="AA274" s="986" t="s">
        <v>10486</v>
      </c>
      <c r="AB274" s="1012">
        <f t="shared" si="24"/>
        <v>39</v>
      </c>
      <c r="AC274" s="986" t="s">
        <v>10487</v>
      </c>
      <c r="AD274" s="1012">
        <f t="shared" si="25"/>
        <v>29</v>
      </c>
      <c r="AE274" s="987"/>
      <c r="AF274" s="987"/>
      <c r="AG274" s="995"/>
      <c r="AH274" s="996"/>
      <c r="AI274" s="494" t="s">
        <v>2917</v>
      </c>
      <c r="AJ274" s="958">
        <v>1</v>
      </c>
      <c r="AK274" s="959"/>
      <c r="AL274" s="960"/>
      <c r="AM274" s="989">
        <f>_xll.GetCtData("COAMOUNT","CONSAMOUNT",$A$1:$A$7,$D274,AM$10,"#-1154094,61191293")</f>
        <v>-1154094</v>
      </c>
    </row>
    <row r="275" spans="1:39">
      <c r="A275" s="427" t="s">
        <v>6610</v>
      </c>
      <c r="B275" s="427" t="s">
        <v>6610</v>
      </c>
      <c r="D275" s="990" t="s">
        <v>1354</v>
      </c>
      <c r="E275" s="949" t="s">
        <v>2930</v>
      </c>
      <c r="F275" s="950">
        <v>10</v>
      </c>
      <c r="G275" s="950"/>
      <c r="H275" s="950"/>
      <c r="I275" s="950"/>
      <c r="J275" s="950"/>
      <c r="K275" s="950"/>
      <c r="L275" s="950"/>
      <c r="M275" s="950"/>
      <c r="N275" s="950"/>
      <c r="O275" s="950"/>
      <c r="P275" s="950"/>
      <c r="Q275" s="1025"/>
      <c r="R275" s="990" t="s">
        <v>10488</v>
      </c>
      <c r="S275" s="992" t="s">
        <v>10489</v>
      </c>
      <c r="T275" s="993">
        <f t="shared" si="20"/>
        <v>70</v>
      </c>
      <c r="U275" s="992" t="s">
        <v>10489</v>
      </c>
      <c r="V275" s="993">
        <f t="shared" si="21"/>
        <v>70</v>
      </c>
      <c r="W275" s="992" t="s">
        <v>10490</v>
      </c>
      <c r="X275" s="993">
        <f t="shared" si="22"/>
        <v>28</v>
      </c>
      <c r="Y275" s="994" t="s">
        <v>10491</v>
      </c>
      <c r="Z275" s="993">
        <f t="shared" si="23"/>
        <v>55</v>
      </c>
      <c r="AA275" s="994" t="s">
        <v>10491</v>
      </c>
      <c r="AB275" s="993">
        <f t="shared" si="24"/>
        <v>55</v>
      </c>
      <c r="AC275" s="994" t="s">
        <v>10492</v>
      </c>
      <c r="AD275" s="993">
        <f t="shared" si="25"/>
        <v>26</v>
      </c>
      <c r="AE275" s="518" t="s">
        <v>10493</v>
      </c>
      <c r="AF275" s="519" t="s">
        <v>10494</v>
      </c>
      <c r="AG275" s="995" t="s">
        <v>9179</v>
      </c>
      <c r="AH275" s="996" t="s">
        <v>169</v>
      </c>
      <c r="AI275" s="494" t="s">
        <v>2917</v>
      </c>
      <c r="AJ275" s="958">
        <v>1</v>
      </c>
      <c r="AK275" s="959"/>
      <c r="AL275" s="960"/>
      <c r="AM275" s="997">
        <f>_xll.GetCtData("COAMOUNT","CONSAMOUNT",$A$1:$A$7,$D275,AM$10,"#-646")</f>
        <v>-646</v>
      </c>
    </row>
    <row r="276" spans="1:39">
      <c r="A276" s="427" t="s">
        <v>6610</v>
      </c>
      <c r="B276" s="427" t="s">
        <v>6610</v>
      </c>
      <c r="D276" s="990" t="s">
        <v>1355</v>
      </c>
      <c r="E276" s="949" t="s">
        <v>2930</v>
      </c>
      <c r="F276" s="950">
        <v>10</v>
      </c>
      <c r="G276" s="950"/>
      <c r="H276" s="950"/>
      <c r="I276" s="950"/>
      <c r="J276" s="950"/>
      <c r="K276" s="950"/>
      <c r="L276" s="950"/>
      <c r="M276" s="950"/>
      <c r="N276" s="950"/>
      <c r="O276" s="950"/>
      <c r="P276" s="950"/>
      <c r="Q276" s="1025"/>
      <c r="R276" s="990" t="s">
        <v>10495</v>
      </c>
      <c r="S276" s="992" t="s">
        <v>10496</v>
      </c>
      <c r="T276" s="993">
        <f t="shared" si="20"/>
        <v>81</v>
      </c>
      <c r="U276" s="992" t="s">
        <v>10496</v>
      </c>
      <c r="V276" s="993">
        <f t="shared" si="21"/>
        <v>81</v>
      </c>
      <c r="W276" s="992" t="s">
        <v>10497</v>
      </c>
      <c r="X276" s="993">
        <f t="shared" si="22"/>
        <v>29</v>
      </c>
      <c r="Y276" s="994" t="s">
        <v>10498</v>
      </c>
      <c r="Z276" s="993">
        <f t="shared" si="23"/>
        <v>63</v>
      </c>
      <c r="AA276" s="994" t="s">
        <v>10498</v>
      </c>
      <c r="AB276" s="993">
        <f t="shared" si="24"/>
        <v>63</v>
      </c>
      <c r="AC276" s="994" t="s">
        <v>10499</v>
      </c>
      <c r="AD276" s="993">
        <f t="shared" si="25"/>
        <v>28</v>
      </c>
      <c r="AE276" s="518" t="s">
        <v>10493</v>
      </c>
      <c r="AF276" s="519" t="s">
        <v>10494</v>
      </c>
      <c r="AG276" s="995" t="s">
        <v>9179</v>
      </c>
      <c r="AH276" s="996" t="s">
        <v>169</v>
      </c>
      <c r="AI276" s="494" t="s">
        <v>2917</v>
      </c>
      <c r="AJ276" s="958">
        <v>1</v>
      </c>
      <c r="AK276" s="959"/>
      <c r="AL276" s="960"/>
      <c r="AM276" s="997">
        <f>_xll.GetCtData("COAMOUNT","CONSAMOUNT",$A$1:$A$7,$D276,AM$10,"#-72091")</f>
        <v>-72091</v>
      </c>
    </row>
    <row r="277" spans="1:39">
      <c r="A277" s="427" t="s">
        <v>6610</v>
      </c>
      <c r="B277" s="427" t="s">
        <v>6610</v>
      </c>
      <c r="D277" s="990" t="s">
        <v>1356</v>
      </c>
      <c r="E277" s="949" t="s">
        <v>2930</v>
      </c>
      <c r="F277" s="950">
        <v>10</v>
      </c>
      <c r="G277" s="950"/>
      <c r="H277" s="950"/>
      <c r="I277" s="950"/>
      <c r="J277" s="950"/>
      <c r="K277" s="950"/>
      <c r="L277" s="950"/>
      <c r="M277" s="950"/>
      <c r="N277" s="950"/>
      <c r="O277" s="950"/>
      <c r="P277" s="950"/>
      <c r="Q277" s="1025"/>
      <c r="R277" s="990" t="s">
        <v>10500</v>
      </c>
      <c r="S277" s="992" t="s">
        <v>10501</v>
      </c>
      <c r="T277" s="993">
        <f t="shared" si="20"/>
        <v>50</v>
      </c>
      <c r="U277" s="992" t="s">
        <v>10501</v>
      </c>
      <c r="V277" s="993">
        <f t="shared" si="21"/>
        <v>50</v>
      </c>
      <c r="W277" s="992" t="s">
        <v>10502</v>
      </c>
      <c r="X277" s="993">
        <f t="shared" si="22"/>
        <v>29</v>
      </c>
      <c r="Y277" s="994" t="s">
        <v>10503</v>
      </c>
      <c r="Z277" s="993">
        <f t="shared" si="23"/>
        <v>51</v>
      </c>
      <c r="AA277" s="994" t="s">
        <v>10503</v>
      </c>
      <c r="AB277" s="993">
        <f t="shared" si="24"/>
        <v>51</v>
      </c>
      <c r="AC277" s="994" t="s">
        <v>10504</v>
      </c>
      <c r="AD277" s="993">
        <f t="shared" si="25"/>
        <v>21</v>
      </c>
      <c r="AE277" s="518" t="s">
        <v>10505</v>
      </c>
      <c r="AF277" s="519" t="s">
        <v>10506</v>
      </c>
      <c r="AG277" s="995" t="s">
        <v>9179</v>
      </c>
      <c r="AH277" s="996" t="s">
        <v>169</v>
      </c>
      <c r="AI277" s="494" t="s">
        <v>2917</v>
      </c>
      <c r="AJ277" s="958">
        <v>1</v>
      </c>
      <c r="AK277" s="959"/>
      <c r="AL277" s="960"/>
      <c r="AM277" s="997">
        <f>_xll.GetCtData("COAMOUNT","CONSAMOUNT",$A$1:$A$7,$D277,AM$10,"#-567603")</f>
        <v>-567603</v>
      </c>
    </row>
    <row r="278" spans="1:39">
      <c r="A278" s="427" t="s">
        <v>6610</v>
      </c>
      <c r="B278" s="427" t="s">
        <v>6610</v>
      </c>
      <c r="D278" s="990" t="s">
        <v>1357</v>
      </c>
      <c r="E278" s="949" t="s">
        <v>2930</v>
      </c>
      <c r="F278" s="950">
        <v>10</v>
      </c>
      <c r="G278" s="950"/>
      <c r="H278" s="950"/>
      <c r="I278" s="950"/>
      <c r="J278" s="950"/>
      <c r="K278" s="950"/>
      <c r="L278" s="950"/>
      <c r="M278" s="950"/>
      <c r="N278" s="950"/>
      <c r="O278" s="950"/>
      <c r="P278" s="950"/>
      <c r="Q278" s="1025"/>
      <c r="R278" s="990" t="s">
        <v>10507</v>
      </c>
      <c r="S278" s="992" t="s">
        <v>10508</v>
      </c>
      <c r="T278" s="993">
        <f t="shared" si="20"/>
        <v>66</v>
      </c>
      <c r="U278" s="992" t="s">
        <v>10508</v>
      </c>
      <c r="V278" s="993">
        <f t="shared" si="21"/>
        <v>66</v>
      </c>
      <c r="W278" s="992" t="s">
        <v>10509</v>
      </c>
      <c r="X278" s="993">
        <f t="shared" si="22"/>
        <v>30</v>
      </c>
      <c r="Y278" s="994" t="s">
        <v>10510</v>
      </c>
      <c r="Z278" s="993">
        <f t="shared" si="23"/>
        <v>55</v>
      </c>
      <c r="AA278" s="994" t="s">
        <v>10510</v>
      </c>
      <c r="AB278" s="993">
        <f t="shared" si="24"/>
        <v>55</v>
      </c>
      <c r="AC278" s="994" t="s">
        <v>10511</v>
      </c>
      <c r="AD278" s="993">
        <f t="shared" si="25"/>
        <v>28</v>
      </c>
      <c r="AE278" s="518" t="s">
        <v>10493</v>
      </c>
      <c r="AF278" s="519" t="s">
        <v>10494</v>
      </c>
      <c r="AG278" s="995" t="s">
        <v>9179</v>
      </c>
      <c r="AH278" s="996" t="s">
        <v>169</v>
      </c>
      <c r="AI278" s="494" t="s">
        <v>2917</v>
      </c>
      <c r="AJ278" s="958">
        <v>1</v>
      </c>
      <c r="AK278" s="959" t="s">
        <v>5359</v>
      </c>
      <c r="AL278" s="960" t="s">
        <v>10512</v>
      </c>
      <c r="AM278" s="997">
        <f>_xll.GetCtData("COAMOUNT","CONSAMOUNT",$A$1:$A$7,$D278,AM$10,"#16947,3880870665")</f>
        <v>16947</v>
      </c>
    </row>
    <row r="279" spans="1:39">
      <c r="A279" s="427" t="s">
        <v>6610</v>
      </c>
      <c r="B279" s="427" t="s">
        <v>6610</v>
      </c>
      <c r="D279" s="990" t="s">
        <v>1358</v>
      </c>
      <c r="E279" s="949" t="s">
        <v>2930</v>
      </c>
      <c r="F279" s="950">
        <v>10</v>
      </c>
      <c r="G279" s="950"/>
      <c r="H279" s="950"/>
      <c r="I279" s="950"/>
      <c r="J279" s="950"/>
      <c r="K279" s="950"/>
      <c r="L279" s="950"/>
      <c r="M279" s="950"/>
      <c r="N279" s="950"/>
      <c r="O279" s="950"/>
      <c r="P279" s="950"/>
      <c r="Q279" s="1025"/>
      <c r="R279" s="990" t="s">
        <v>10513</v>
      </c>
      <c r="S279" s="992" t="s">
        <v>10514</v>
      </c>
      <c r="T279" s="993">
        <f t="shared" si="20"/>
        <v>66</v>
      </c>
      <c r="U279" s="992" t="s">
        <v>10514</v>
      </c>
      <c r="V279" s="993">
        <f t="shared" si="21"/>
        <v>66</v>
      </c>
      <c r="W279" s="992" t="s">
        <v>10515</v>
      </c>
      <c r="X279" s="993">
        <f t="shared" si="22"/>
        <v>30</v>
      </c>
      <c r="Y279" s="994" t="s">
        <v>10516</v>
      </c>
      <c r="Z279" s="993">
        <f t="shared" si="23"/>
        <v>59</v>
      </c>
      <c r="AA279" s="994" t="s">
        <v>10516</v>
      </c>
      <c r="AB279" s="993">
        <f t="shared" si="24"/>
        <v>59</v>
      </c>
      <c r="AC279" s="994" t="s">
        <v>10517</v>
      </c>
      <c r="AD279" s="993">
        <f t="shared" si="25"/>
        <v>28</v>
      </c>
      <c r="AE279" s="518" t="s">
        <v>10518</v>
      </c>
      <c r="AF279" s="519" t="s">
        <v>10519</v>
      </c>
      <c r="AG279" s="1021" t="s">
        <v>9179</v>
      </c>
      <c r="AH279" s="1022" t="s">
        <v>169</v>
      </c>
      <c r="AI279" s="494" t="s">
        <v>2917</v>
      </c>
      <c r="AJ279" s="958">
        <v>1</v>
      </c>
      <c r="AK279" s="959"/>
      <c r="AL279" s="960"/>
      <c r="AM279" s="997">
        <f>_xll.GetCtData("COAMOUNT","CONSAMOUNT",$A$1:$A$7,$D279,AM$10,"#-530702")</f>
        <v>-530702</v>
      </c>
    </row>
    <row r="280" spans="1:39">
      <c r="A280" s="427" t="s">
        <v>6610</v>
      </c>
      <c r="B280" s="427" t="s">
        <v>6610</v>
      </c>
      <c r="D280" s="986" t="s">
        <v>10520</v>
      </c>
      <c r="E280" s="949" t="s">
        <v>2912</v>
      </c>
      <c r="F280" s="950">
        <v>9</v>
      </c>
      <c r="G280" s="950"/>
      <c r="H280" s="950"/>
      <c r="I280" s="950"/>
      <c r="J280" s="950"/>
      <c r="K280" s="950"/>
      <c r="L280" s="950"/>
      <c r="M280" s="950"/>
      <c r="N280" s="950"/>
      <c r="O280" s="950"/>
      <c r="P280" s="986" t="s">
        <v>10521</v>
      </c>
      <c r="Q280" s="986"/>
      <c r="R280" s="986" t="s">
        <v>10522</v>
      </c>
      <c r="S280" s="986" t="s">
        <v>10523</v>
      </c>
      <c r="T280" s="1012">
        <f t="shared" si="20"/>
        <v>102</v>
      </c>
      <c r="U280" s="986" t="s">
        <v>10523</v>
      </c>
      <c r="V280" s="1012">
        <f t="shared" si="21"/>
        <v>102</v>
      </c>
      <c r="W280" s="986" t="s">
        <v>10524</v>
      </c>
      <c r="X280" s="1012">
        <f t="shared" si="22"/>
        <v>23</v>
      </c>
      <c r="Y280" s="986" t="s">
        <v>10510</v>
      </c>
      <c r="Z280" s="1012">
        <f t="shared" si="23"/>
        <v>55</v>
      </c>
      <c r="AA280" s="986" t="s">
        <v>10525</v>
      </c>
      <c r="AB280" s="1012">
        <f t="shared" si="24"/>
        <v>96</v>
      </c>
      <c r="AC280" s="986" t="s">
        <v>10526</v>
      </c>
      <c r="AD280" s="1012">
        <f t="shared" si="25"/>
        <v>30</v>
      </c>
      <c r="AE280" s="987"/>
      <c r="AF280" s="987"/>
      <c r="AG280" s="995"/>
      <c r="AH280" s="996"/>
      <c r="AI280" s="494" t="s">
        <v>2917</v>
      </c>
      <c r="AJ280" s="958">
        <v>1</v>
      </c>
      <c r="AK280" s="959"/>
      <c r="AL280" s="960" t="s">
        <v>10527</v>
      </c>
      <c r="AM280" s="989">
        <f>_xll.GetCtData("COAMOUNT","CONSAMOUNT",$A$1:$A$7,$D280,AM$10,"#-45842,1071005068")</f>
        <v>-45842</v>
      </c>
    </row>
    <row r="281" spans="1:39">
      <c r="A281" s="427" t="s">
        <v>6610</v>
      </c>
      <c r="B281" s="427" t="s">
        <v>6610</v>
      </c>
      <c r="D281" s="990" t="s">
        <v>1126</v>
      </c>
      <c r="E281" s="949" t="s">
        <v>2930</v>
      </c>
      <c r="F281" s="950">
        <v>10</v>
      </c>
      <c r="G281" s="950"/>
      <c r="H281" s="950"/>
      <c r="I281" s="950"/>
      <c r="J281" s="950"/>
      <c r="K281" s="950"/>
      <c r="L281" s="950"/>
      <c r="M281" s="950"/>
      <c r="N281" s="950"/>
      <c r="O281" s="950"/>
      <c r="P281" s="950"/>
      <c r="Q281" s="1025"/>
      <c r="R281" s="990" t="s">
        <v>10528</v>
      </c>
      <c r="S281" s="992" t="s">
        <v>10523</v>
      </c>
      <c r="T281" s="993">
        <f t="shared" si="20"/>
        <v>102</v>
      </c>
      <c r="U281" s="992" t="s">
        <v>10523</v>
      </c>
      <c r="V281" s="993">
        <f t="shared" si="21"/>
        <v>102</v>
      </c>
      <c r="W281" s="992" t="s">
        <v>10524</v>
      </c>
      <c r="X281" s="993">
        <f t="shared" si="22"/>
        <v>23</v>
      </c>
      <c r="Y281" s="994" t="s">
        <v>10529</v>
      </c>
      <c r="Z281" s="993">
        <f t="shared" si="23"/>
        <v>100</v>
      </c>
      <c r="AA281" s="994" t="s">
        <v>10529</v>
      </c>
      <c r="AB281" s="993">
        <f t="shared" si="24"/>
        <v>100</v>
      </c>
      <c r="AC281" s="994" t="s">
        <v>10530</v>
      </c>
      <c r="AD281" s="993">
        <f t="shared" si="25"/>
        <v>30</v>
      </c>
      <c r="AE281" s="518" t="s">
        <v>10531</v>
      </c>
      <c r="AF281" s="519" t="s">
        <v>10532</v>
      </c>
      <c r="AG281" s="1021" t="s">
        <v>9179</v>
      </c>
      <c r="AH281" s="1022" t="s">
        <v>169</v>
      </c>
      <c r="AI281" s="530" t="s">
        <v>2969</v>
      </c>
      <c r="AJ281" s="958">
        <v>1</v>
      </c>
      <c r="AK281" s="959"/>
      <c r="AL281" s="960" t="s">
        <v>10527</v>
      </c>
      <c r="AM281" s="997">
        <f>_xll.GetCtData("COAMOUNT","CONSAMOUNT",$A$1:$A$7,$D281,AM$10,"#-45842,1071005068")</f>
        <v>-45842</v>
      </c>
    </row>
    <row r="282" spans="1:39">
      <c r="A282" s="427" t="s">
        <v>6610</v>
      </c>
      <c r="B282" s="427" t="s">
        <v>6610</v>
      </c>
      <c r="D282" s="986" t="s">
        <v>10533</v>
      </c>
      <c r="E282" s="949" t="s">
        <v>2912</v>
      </c>
      <c r="F282" s="950">
        <v>9</v>
      </c>
      <c r="G282" s="950"/>
      <c r="H282" s="950"/>
      <c r="I282" s="950"/>
      <c r="J282" s="950"/>
      <c r="K282" s="950"/>
      <c r="L282" s="950"/>
      <c r="M282" s="950"/>
      <c r="N282" s="950"/>
      <c r="O282" s="950"/>
      <c r="P282" s="986" t="s">
        <v>10521</v>
      </c>
      <c r="Q282" s="986"/>
      <c r="R282" s="986" t="s">
        <v>10521</v>
      </c>
      <c r="S282" s="986" t="s">
        <v>10534</v>
      </c>
      <c r="T282" s="1012">
        <f t="shared" si="20"/>
        <v>79</v>
      </c>
      <c r="U282" s="986" t="s">
        <v>10534</v>
      </c>
      <c r="V282" s="1012">
        <f t="shared" si="21"/>
        <v>79</v>
      </c>
      <c r="W282" s="986" t="s">
        <v>10535</v>
      </c>
      <c r="X282" s="1012">
        <f t="shared" si="22"/>
        <v>29</v>
      </c>
      <c r="Y282" s="986" t="s">
        <v>10525</v>
      </c>
      <c r="Z282" s="1012">
        <f t="shared" si="23"/>
        <v>96</v>
      </c>
      <c r="AA282" s="986" t="s">
        <v>10525</v>
      </c>
      <c r="AB282" s="1012">
        <f t="shared" si="24"/>
        <v>96</v>
      </c>
      <c r="AC282" s="986" t="s">
        <v>10526</v>
      </c>
      <c r="AD282" s="1012">
        <f t="shared" si="25"/>
        <v>30</v>
      </c>
      <c r="AE282" s="987"/>
      <c r="AF282" s="987"/>
      <c r="AG282" s="995"/>
      <c r="AH282" s="996"/>
      <c r="AI282" s="494" t="s">
        <v>2917</v>
      </c>
      <c r="AJ282" s="958">
        <v>1</v>
      </c>
      <c r="AK282" s="959"/>
      <c r="AL282" s="960"/>
      <c r="AM282" s="989">
        <f>_xll.GetCtData("COAMOUNT","CONSAMOUNT",$A$1:$A$7,$D282,AM$10,"#-5999")</f>
        <v>-5999</v>
      </c>
    </row>
    <row r="283" spans="1:39">
      <c r="A283" s="427" t="s">
        <v>6610</v>
      </c>
      <c r="B283" s="427" t="s">
        <v>6610</v>
      </c>
      <c r="D283" s="990" t="s">
        <v>1359</v>
      </c>
      <c r="E283" s="949" t="s">
        <v>5409</v>
      </c>
      <c r="F283" s="950">
        <v>10</v>
      </c>
      <c r="G283" s="950"/>
      <c r="H283" s="950"/>
      <c r="I283" s="950"/>
      <c r="J283" s="950"/>
      <c r="K283" s="950"/>
      <c r="L283" s="950"/>
      <c r="M283" s="950"/>
      <c r="N283" s="950"/>
      <c r="O283" s="950"/>
      <c r="P283" s="950"/>
      <c r="Q283" s="1025"/>
      <c r="R283" s="990" t="s">
        <v>10536</v>
      </c>
      <c r="S283" s="992" t="s">
        <v>10537</v>
      </c>
      <c r="T283" s="993">
        <f t="shared" si="20"/>
        <v>81</v>
      </c>
      <c r="U283" s="992" t="s">
        <v>10537</v>
      </c>
      <c r="V283" s="993">
        <f t="shared" si="21"/>
        <v>81</v>
      </c>
      <c r="W283" s="992" t="s">
        <v>10538</v>
      </c>
      <c r="X283" s="993">
        <f t="shared" si="22"/>
        <v>30</v>
      </c>
      <c r="Y283" s="994" t="s">
        <v>10539</v>
      </c>
      <c r="Z283" s="993">
        <f t="shared" si="23"/>
        <v>81</v>
      </c>
      <c r="AA283" s="994" t="s">
        <v>10540</v>
      </c>
      <c r="AB283" s="993">
        <f t="shared" si="24"/>
        <v>80</v>
      </c>
      <c r="AC283" s="994" t="s">
        <v>10541</v>
      </c>
      <c r="AD283" s="993">
        <f t="shared" si="25"/>
        <v>28</v>
      </c>
      <c r="AE283" s="518" t="s">
        <v>10210</v>
      </c>
      <c r="AF283" s="519" t="s">
        <v>10211</v>
      </c>
      <c r="AG283" s="995" t="s">
        <v>9179</v>
      </c>
      <c r="AH283" s="996" t="s">
        <v>169</v>
      </c>
      <c r="AI283" s="494" t="s">
        <v>2917</v>
      </c>
      <c r="AJ283" s="958">
        <v>1</v>
      </c>
      <c r="AK283" s="959"/>
      <c r="AL283" s="960" t="s">
        <v>5930</v>
      </c>
      <c r="AM283" s="997">
        <f>_xll.GetCtData("COAMOUNT","CONSAMOUNT",$A$1:$A$7,$D283,AM$10,"#0")</f>
        <v>0</v>
      </c>
    </row>
    <row r="284" spans="1:39">
      <c r="A284" s="427" t="s">
        <v>6610</v>
      </c>
      <c r="B284" s="427" t="s">
        <v>6610</v>
      </c>
      <c r="D284" s="990" t="s">
        <v>1360</v>
      </c>
      <c r="E284" s="949" t="s">
        <v>5409</v>
      </c>
      <c r="F284" s="950">
        <v>10</v>
      </c>
      <c r="G284" s="950"/>
      <c r="H284" s="950"/>
      <c r="I284" s="950"/>
      <c r="J284" s="950"/>
      <c r="K284" s="950"/>
      <c r="L284" s="950"/>
      <c r="M284" s="950"/>
      <c r="N284" s="950"/>
      <c r="O284" s="950"/>
      <c r="P284" s="950"/>
      <c r="Q284" s="1025"/>
      <c r="R284" s="990" t="s">
        <v>10542</v>
      </c>
      <c r="S284" s="992" t="s">
        <v>10543</v>
      </c>
      <c r="T284" s="993">
        <f t="shared" si="20"/>
        <v>80</v>
      </c>
      <c r="U284" s="992" t="s">
        <v>10543</v>
      </c>
      <c r="V284" s="993">
        <f t="shared" si="21"/>
        <v>80</v>
      </c>
      <c r="W284" s="992" t="s">
        <v>10544</v>
      </c>
      <c r="X284" s="993">
        <f t="shared" si="22"/>
        <v>30</v>
      </c>
      <c r="Y284" s="994" t="s">
        <v>10545</v>
      </c>
      <c r="Z284" s="993">
        <f t="shared" si="23"/>
        <v>75</v>
      </c>
      <c r="AA284" s="994" t="s">
        <v>10545</v>
      </c>
      <c r="AB284" s="993">
        <f t="shared" si="24"/>
        <v>75</v>
      </c>
      <c r="AC284" s="994" t="s">
        <v>10546</v>
      </c>
      <c r="AD284" s="993">
        <f t="shared" si="25"/>
        <v>30</v>
      </c>
      <c r="AE284" s="518" t="s">
        <v>10219</v>
      </c>
      <c r="AF284" s="519" t="s">
        <v>10220</v>
      </c>
      <c r="AG284" s="995" t="s">
        <v>9179</v>
      </c>
      <c r="AH284" s="996" t="s">
        <v>169</v>
      </c>
      <c r="AI284" s="494" t="s">
        <v>2917</v>
      </c>
      <c r="AJ284" s="958">
        <v>1</v>
      </c>
      <c r="AK284" s="959" t="s">
        <v>5359</v>
      </c>
      <c r="AL284" s="960"/>
      <c r="AM284" s="997">
        <f>_xll.GetCtData("COAMOUNT","CONSAMOUNT",$A$1:$A$7,$D284,AM$10,"#-5999")</f>
        <v>-5999</v>
      </c>
    </row>
    <row r="285" spans="1:39" ht="25.5">
      <c r="A285" s="427" t="s">
        <v>6610</v>
      </c>
      <c r="B285" s="427" t="s">
        <v>6610</v>
      </c>
      <c r="D285" s="970" t="s">
        <v>2626</v>
      </c>
      <c r="E285" s="949" t="s">
        <v>2912</v>
      </c>
      <c r="F285" s="950">
        <v>6</v>
      </c>
      <c r="G285" s="950"/>
      <c r="H285" s="950"/>
      <c r="I285" s="950"/>
      <c r="J285" s="950"/>
      <c r="K285" s="950"/>
      <c r="L285" s="950"/>
      <c r="M285" s="970" t="s">
        <v>10547</v>
      </c>
      <c r="N285" s="970"/>
      <c r="O285" s="970"/>
      <c r="P285" s="970"/>
      <c r="Q285" s="970"/>
      <c r="R285" s="970" t="s">
        <v>10547</v>
      </c>
      <c r="S285" s="970" t="s">
        <v>10548</v>
      </c>
      <c r="T285" s="972">
        <f t="shared" si="20"/>
        <v>76</v>
      </c>
      <c r="U285" s="970" t="s">
        <v>10548</v>
      </c>
      <c r="V285" s="972">
        <f t="shared" si="21"/>
        <v>76</v>
      </c>
      <c r="W285" s="970" t="s">
        <v>10549</v>
      </c>
      <c r="X285" s="972">
        <f t="shared" si="22"/>
        <v>30</v>
      </c>
      <c r="Y285" s="973" t="s">
        <v>10550</v>
      </c>
      <c r="Z285" s="972">
        <f t="shared" si="23"/>
        <v>87</v>
      </c>
      <c r="AA285" s="973" t="s">
        <v>10550</v>
      </c>
      <c r="AB285" s="972">
        <f t="shared" si="24"/>
        <v>87</v>
      </c>
      <c r="AC285" s="973" t="s">
        <v>10551</v>
      </c>
      <c r="AD285" s="972">
        <f t="shared" si="25"/>
        <v>30</v>
      </c>
      <c r="AE285" s="972"/>
      <c r="AF285" s="972"/>
      <c r="AG285" s="956"/>
      <c r="AH285" s="957"/>
      <c r="AI285" s="494" t="s">
        <v>2917</v>
      </c>
      <c r="AJ285" s="958">
        <v>1</v>
      </c>
      <c r="AK285" s="959"/>
      <c r="AL285" s="960"/>
      <c r="AM285" s="974">
        <f>_xll.GetCtData("COAMOUNT","CONSAMOUNT",$A$1:$A$7,$D285,AM$10,"#1481766,03224611")</f>
        <v>1481766</v>
      </c>
    </row>
    <row r="286" spans="1:39">
      <c r="A286" s="427" t="s">
        <v>6610</v>
      </c>
      <c r="B286" s="427" t="s">
        <v>6610</v>
      </c>
      <c r="D286" s="410" t="s">
        <v>1372</v>
      </c>
      <c r="E286" s="949" t="s">
        <v>2912</v>
      </c>
      <c r="F286" s="950">
        <v>7</v>
      </c>
      <c r="G286" s="950"/>
      <c r="H286" s="950"/>
      <c r="I286" s="950"/>
      <c r="J286" s="950"/>
      <c r="K286" s="950"/>
      <c r="L286" s="950"/>
      <c r="M286" s="950"/>
      <c r="N286" s="410" t="s">
        <v>10552</v>
      </c>
      <c r="O286" s="975"/>
      <c r="P286" s="975"/>
      <c r="Q286" s="410"/>
      <c r="R286" s="410" t="s">
        <v>10552</v>
      </c>
      <c r="S286" s="410" t="s">
        <v>10553</v>
      </c>
      <c r="T286" s="976">
        <f t="shared" si="20"/>
        <v>55</v>
      </c>
      <c r="U286" s="410" t="s">
        <v>10553</v>
      </c>
      <c r="V286" s="976">
        <f t="shared" si="21"/>
        <v>55</v>
      </c>
      <c r="W286" s="410" t="s">
        <v>10554</v>
      </c>
      <c r="X286" s="976">
        <f t="shared" si="22"/>
        <v>30</v>
      </c>
      <c r="Y286" s="977" t="s">
        <v>10555</v>
      </c>
      <c r="Z286" s="976">
        <f t="shared" si="23"/>
        <v>56</v>
      </c>
      <c r="AA286" s="977" t="s">
        <v>10556</v>
      </c>
      <c r="AB286" s="976">
        <f t="shared" si="24"/>
        <v>55</v>
      </c>
      <c r="AC286" s="977" t="s">
        <v>10557</v>
      </c>
      <c r="AD286" s="976">
        <f t="shared" si="25"/>
        <v>30</v>
      </c>
      <c r="AE286" s="976"/>
      <c r="AF286" s="976"/>
      <c r="AG286" s="956"/>
      <c r="AH286" s="957"/>
      <c r="AI286" s="494" t="s">
        <v>2917</v>
      </c>
      <c r="AJ286" s="958">
        <v>1</v>
      </c>
      <c r="AK286" s="959"/>
      <c r="AL286" s="960" t="s">
        <v>5930</v>
      </c>
      <c r="AM286" s="980">
        <f>_xll.GetCtData("COAMOUNT","CONSAMOUNT",$A$1:$A$7,$D286,AM$10,"#32269")</f>
        <v>32269</v>
      </c>
    </row>
    <row r="287" spans="1:39">
      <c r="A287" s="427" t="s">
        <v>6610</v>
      </c>
      <c r="B287" s="427" t="s">
        <v>6610</v>
      </c>
      <c r="D287" s="990" t="s">
        <v>1226</v>
      </c>
      <c r="E287" s="949" t="s">
        <v>2930</v>
      </c>
      <c r="F287" s="950">
        <v>10</v>
      </c>
      <c r="G287" s="950"/>
      <c r="H287" s="950"/>
      <c r="I287" s="950"/>
      <c r="J287" s="950"/>
      <c r="K287" s="950"/>
      <c r="L287" s="950"/>
      <c r="M287" s="950"/>
      <c r="N287" s="950"/>
      <c r="O287" s="950"/>
      <c r="P287" s="950"/>
      <c r="Q287" s="950"/>
      <c r="R287" s="990" t="s">
        <v>10558</v>
      </c>
      <c r="S287" s="992" t="s">
        <v>2619</v>
      </c>
      <c r="T287" s="993">
        <f t="shared" si="20"/>
        <v>47</v>
      </c>
      <c r="U287" s="992" t="s">
        <v>2619</v>
      </c>
      <c r="V287" s="993">
        <f t="shared" si="21"/>
        <v>47</v>
      </c>
      <c r="W287" s="992" t="s">
        <v>10559</v>
      </c>
      <c r="X287" s="993">
        <f t="shared" si="22"/>
        <v>29</v>
      </c>
      <c r="Y287" s="994" t="s">
        <v>10560</v>
      </c>
      <c r="Z287" s="993">
        <f t="shared" si="23"/>
        <v>48</v>
      </c>
      <c r="AA287" s="994" t="s">
        <v>10560</v>
      </c>
      <c r="AB287" s="993">
        <f t="shared" si="24"/>
        <v>48</v>
      </c>
      <c r="AC287" s="994" t="s">
        <v>10561</v>
      </c>
      <c r="AD287" s="993">
        <f t="shared" si="25"/>
        <v>30</v>
      </c>
      <c r="AE287" s="518" t="s">
        <v>10562</v>
      </c>
      <c r="AF287" s="519" t="s">
        <v>10563</v>
      </c>
      <c r="AG287" s="995" t="s">
        <v>9179</v>
      </c>
      <c r="AH287" s="996" t="s">
        <v>169</v>
      </c>
      <c r="AI287" s="494" t="s">
        <v>2917</v>
      </c>
      <c r="AJ287" s="958">
        <v>1</v>
      </c>
      <c r="AK287" s="959"/>
      <c r="AL287" s="960"/>
      <c r="AM287" s="997">
        <f>_xll.GetCtData("COAMOUNT","CONSAMOUNT",$A$1:$A$7,$D287,AM$10,"#-1681")</f>
        <v>-1681</v>
      </c>
    </row>
    <row r="288" spans="1:39">
      <c r="A288" s="427" t="s">
        <v>6610</v>
      </c>
      <c r="B288" s="427" t="s">
        <v>6610</v>
      </c>
      <c r="D288" s="990" t="s">
        <v>1227</v>
      </c>
      <c r="E288" s="949" t="s">
        <v>2930</v>
      </c>
      <c r="F288" s="950">
        <v>10</v>
      </c>
      <c r="G288" s="950"/>
      <c r="H288" s="950"/>
      <c r="I288" s="950"/>
      <c r="J288" s="950"/>
      <c r="K288" s="950"/>
      <c r="L288" s="950"/>
      <c r="M288" s="950"/>
      <c r="N288" s="950"/>
      <c r="O288" s="950"/>
      <c r="P288" s="950"/>
      <c r="Q288" s="950"/>
      <c r="R288" s="990" t="s">
        <v>10564</v>
      </c>
      <c r="S288" s="992" t="s">
        <v>2620</v>
      </c>
      <c r="T288" s="993">
        <f t="shared" si="20"/>
        <v>46</v>
      </c>
      <c r="U288" s="992" t="s">
        <v>2620</v>
      </c>
      <c r="V288" s="993">
        <f t="shared" si="21"/>
        <v>46</v>
      </c>
      <c r="W288" s="992" t="s">
        <v>10565</v>
      </c>
      <c r="X288" s="993">
        <f t="shared" si="22"/>
        <v>28</v>
      </c>
      <c r="Y288" s="994" t="s">
        <v>10566</v>
      </c>
      <c r="Z288" s="993">
        <f t="shared" si="23"/>
        <v>47</v>
      </c>
      <c r="AA288" s="994" t="s">
        <v>10566</v>
      </c>
      <c r="AB288" s="993">
        <f t="shared" si="24"/>
        <v>47</v>
      </c>
      <c r="AC288" s="994" t="s">
        <v>10567</v>
      </c>
      <c r="AD288" s="993">
        <f t="shared" si="25"/>
        <v>30</v>
      </c>
      <c r="AE288" s="518" t="s">
        <v>10568</v>
      </c>
      <c r="AF288" s="519" t="s">
        <v>10569</v>
      </c>
      <c r="AG288" s="995" t="s">
        <v>9179</v>
      </c>
      <c r="AH288" s="996" t="s">
        <v>169</v>
      </c>
      <c r="AI288" s="494" t="s">
        <v>2917</v>
      </c>
      <c r="AJ288" s="958">
        <v>1</v>
      </c>
      <c r="AK288" s="959"/>
      <c r="AL288" s="960"/>
      <c r="AM288" s="997">
        <f>_xll.GetCtData("COAMOUNT","CONSAMOUNT",$A$1:$A$7,$D288,AM$10,"#33950")</f>
        <v>33950</v>
      </c>
    </row>
    <row r="289" spans="1:39">
      <c r="A289" s="427" t="s">
        <v>6610</v>
      </c>
      <c r="B289" s="427" t="s">
        <v>6610</v>
      </c>
      <c r="D289" s="410" t="s">
        <v>1373</v>
      </c>
      <c r="E289" s="949" t="s">
        <v>2912</v>
      </c>
      <c r="F289" s="950">
        <v>7</v>
      </c>
      <c r="G289" s="950"/>
      <c r="H289" s="950"/>
      <c r="I289" s="950"/>
      <c r="J289" s="950"/>
      <c r="K289" s="950"/>
      <c r="L289" s="950"/>
      <c r="M289" s="950"/>
      <c r="N289" s="410" t="s">
        <v>10570</v>
      </c>
      <c r="O289" s="975"/>
      <c r="P289" s="975"/>
      <c r="Q289" s="410"/>
      <c r="R289" s="410" t="s">
        <v>10570</v>
      </c>
      <c r="S289" s="410" t="s">
        <v>10571</v>
      </c>
      <c r="T289" s="976">
        <f t="shared" si="20"/>
        <v>46</v>
      </c>
      <c r="U289" s="410" t="s">
        <v>10571</v>
      </c>
      <c r="V289" s="976">
        <f t="shared" si="21"/>
        <v>46</v>
      </c>
      <c r="W289" s="410" t="s">
        <v>10572</v>
      </c>
      <c r="X289" s="976">
        <f t="shared" si="22"/>
        <v>30</v>
      </c>
      <c r="Y289" s="977" t="s">
        <v>10573</v>
      </c>
      <c r="Z289" s="976">
        <f t="shared" si="23"/>
        <v>56</v>
      </c>
      <c r="AA289" s="977" t="s">
        <v>10573</v>
      </c>
      <c r="AB289" s="976">
        <f t="shared" si="24"/>
        <v>56</v>
      </c>
      <c r="AC289" s="977" t="s">
        <v>10574</v>
      </c>
      <c r="AD289" s="976">
        <f t="shared" si="25"/>
        <v>30</v>
      </c>
      <c r="AE289" s="976"/>
      <c r="AF289" s="976"/>
      <c r="AG289" s="956"/>
      <c r="AH289" s="957"/>
      <c r="AI289" s="494" t="s">
        <v>2917</v>
      </c>
      <c r="AJ289" s="958">
        <v>1</v>
      </c>
      <c r="AK289" s="959"/>
      <c r="AL289" s="960"/>
      <c r="AM289" s="980">
        <f>_xll.GetCtData("COAMOUNT","CONSAMOUNT",$A$1:$A$7,$D289,AM$10,"#237068,206930024")</f>
        <v>237068</v>
      </c>
    </row>
    <row r="290" spans="1:39">
      <c r="A290" s="427" t="s">
        <v>6610</v>
      </c>
      <c r="B290" s="427" t="s">
        <v>6610</v>
      </c>
      <c r="D290" s="990" t="s">
        <v>1228</v>
      </c>
      <c r="E290" s="949" t="s">
        <v>2930</v>
      </c>
      <c r="F290" s="950">
        <v>10</v>
      </c>
      <c r="G290" s="950"/>
      <c r="H290" s="950"/>
      <c r="I290" s="950"/>
      <c r="J290" s="950"/>
      <c r="K290" s="950"/>
      <c r="L290" s="950"/>
      <c r="M290" s="950"/>
      <c r="N290" s="950"/>
      <c r="O290" s="950"/>
      <c r="P290" s="950"/>
      <c r="Q290" s="1025"/>
      <c r="R290" s="990" t="s">
        <v>10575</v>
      </c>
      <c r="S290" s="992" t="s">
        <v>10576</v>
      </c>
      <c r="T290" s="993">
        <f t="shared" si="20"/>
        <v>62</v>
      </c>
      <c r="U290" s="992" t="s">
        <v>10576</v>
      </c>
      <c r="V290" s="993">
        <f t="shared" si="21"/>
        <v>62</v>
      </c>
      <c r="W290" s="992" t="s">
        <v>10577</v>
      </c>
      <c r="X290" s="993">
        <f t="shared" si="22"/>
        <v>30</v>
      </c>
      <c r="Y290" s="994" t="s">
        <v>10578</v>
      </c>
      <c r="Z290" s="993">
        <f t="shared" si="23"/>
        <v>65</v>
      </c>
      <c r="AA290" s="994" t="s">
        <v>10578</v>
      </c>
      <c r="AB290" s="993">
        <f t="shared" si="24"/>
        <v>65</v>
      </c>
      <c r="AC290" s="994" t="s">
        <v>10579</v>
      </c>
      <c r="AD290" s="993">
        <f t="shared" si="25"/>
        <v>30</v>
      </c>
      <c r="AE290" s="518" t="s">
        <v>10580</v>
      </c>
      <c r="AF290" s="519" t="s">
        <v>10581</v>
      </c>
      <c r="AG290" s="1021" t="s">
        <v>9179</v>
      </c>
      <c r="AH290" s="1022" t="s">
        <v>169</v>
      </c>
      <c r="AI290" s="494" t="s">
        <v>2917</v>
      </c>
      <c r="AJ290" s="958">
        <v>1</v>
      </c>
      <c r="AK290" s="959"/>
      <c r="AL290" s="960"/>
      <c r="AM290" s="997">
        <f>_xll.GetCtData("COAMOUNT","CONSAMOUNT",$A$1:$A$7,$D290,AM$10,"#1790114,60392049")</f>
        <v>1790114</v>
      </c>
    </row>
    <row r="291" spans="1:39">
      <c r="A291" s="427" t="s">
        <v>6610</v>
      </c>
      <c r="B291" s="427" t="s">
        <v>6610</v>
      </c>
      <c r="D291" s="990" t="s">
        <v>1229</v>
      </c>
      <c r="E291" s="949" t="s">
        <v>2930</v>
      </c>
      <c r="F291" s="950">
        <v>10</v>
      </c>
      <c r="G291" s="950"/>
      <c r="H291" s="950"/>
      <c r="I291" s="950"/>
      <c r="J291" s="950"/>
      <c r="K291" s="950"/>
      <c r="L291" s="950"/>
      <c r="M291" s="950"/>
      <c r="N291" s="950"/>
      <c r="O291" s="950"/>
      <c r="P291" s="950"/>
      <c r="Q291" s="1025"/>
      <c r="R291" s="990" t="s">
        <v>10582</v>
      </c>
      <c r="S291" s="992" t="s">
        <v>10583</v>
      </c>
      <c r="T291" s="993">
        <f t="shared" si="20"/>
        <v>63</v>
      </c>
      <c r="U291" s="992" t="s">
        <v>10583</v>
      </c>
      <c r="V291" s="993">
        <f t="shared" si="21"/>
        <v>63</v>
      </c>
      <c r="W291" s="992" t="s">
        <v>10584</v>
      </c>
      <c r="X291" s="993">
        <f t="shared" si="22"/>
        <v>30</v>
      </c>
      <c r="Y291" s="994" t="s">
        <v>10585</v>
      </c>
      <c r="Z291" s="993">
        <f t="shared" si="23"/>
        <v>66</v>
      </c>
      <c r="AA291" s="994" t="s">
        <v>10585</v>
      </c>
      <c r="AB291" s="993">
        <f t="shared" si="24"/>
        <v>66</v>
      </c>
      <c r="AC291" s="994" t="s">
        <v>10586</v>
      </c>
      <c r="AD291" s="993">
        <f t="shared" si="25"/>
        <v>30</v>
      </c>
      <c r="AE291" s="518" t="s">
        <v>10587</v>
      </c>
      <c r="AF291" s="519" t="s">
        <v>10588</v>
      </c>
      <c r="AG291" s="1021" t="s">
        <v>9179</v>
      </c>
      <c r="AH291" s="1022" t="s">
        <v>169</v>
      </c>
      <c r="AI291" s="494" t="s">
        <v>2917</v>
      </c>
      <c r="AJ291" s="958">
        <v>1</v>
      </c>
      <c r="AK291" s="959"/>
      <c r="AL291" s="960"/>
      <c r="AM291" s="997">
        <f>_xll.GetCtData("COAMOUNT","CONSAMOUNT",$A$1:$A$7,$D291,AM$10,"#-1553046,39699047")</f>
        <v>-1553046</v>
      </c>
    </row>
    <row r="292" spans="1:39">
      <c r="A292" s="427" t="s">
        <v>6610</v>
      </c>
      <c r="B292" s="427" t="s">
        <v>6610</v>
      </c>
      <c r="D292" s="410" t="s">
        <v>10589</v>
      </c>
      <c r="E292" s="949" t="s">
        <v>2912</v>
      </c>
      <c r="F292" s="950">
        <v>7</v>
      </c>
      <c r="G292" s="950"/>
      <c r="H292" s="950"/>
      <c r="I292" s="950"/>
      <c r="J292" s="950"/>
      <c r="K292" s="950"/>
      <c r="L292" s="950"/>
      <c r="M292" s="950"/>
      <c r="N292" s="410" t="s">
        <v>10590</v>
      </c>
      <c r="O292" s="975"/>
      <c r="P292" s="975"/>
      <c r="Q292" s="410"/>
      <c r="R292" s="410" t="s">
        <v>10591</v>
      </c>
      <c r="S292" s="410" t="s">
        <v>10592</v>
      </c>
      <c r="T292" s="976">
        <f t="shared" si="20"/>
        <v>48</v>
      </c>
      <c r="U292" s="410" t="s">
        <v>10592</v>
      </c>
      <c r="V292" s="976">
        <f t="shared" si="21"/>
        <v>48</v>
      </c>
      <c r="W292" s="410" t="s">
        <v>10593</v>
      </c>
      <c r="X292" s="976">
        <f t="shared" si="22"/>
        <v>26</v>
      </c>
      <c r="Y292" s="977" t="s">
        <v>10594</v>
      </c>
      <c r="Z292" s="976">
        <f t="shared" si="23"/>
        <v>52</v>
      </c>
      <c r="AA292" s="977" t="s">
        <v>10594</v>
      </c>
      <c r="AB292" s="976">
        <f t="shared" si="24"/>
        <v>52</v>
      </c>
      <c r="AC292" s="977" t="s">
        <v>10595</v>
      </c>
      <c r="AD292" s="976">
        <f t="shared" si="25"/>
        <v>30</v>
      </c>
      <c r="AE292" s="976"/>
      <c r="AF292" s="976"/>
      <c r="AG292" s="956"/>
      <c r="AH292" s="957"/>
      <c r="AI292" s="494" t="s">
        <v>2917</v>
      </c>
      <c r="AJ292" s="958">
        <v>1</v>
      </c>
      <c r="AK292" s="959"/>
      <c r="AL292" s="960"/>
      <c r="AM292" s="980" t="str">
        <f>_xll.GetCtData("COAMOUNT","CONSAMOUNT",$A$1:$A$7,$D292,AM$10,"#Le code TR152X n'existe pas
pour la dimension AC (Rubrique)")</f>
        <v>Le code TR152X n'existe pas
pour la dimension AC (Rubrique)</v>
      </c>
    </row>
    <row r="293" spans="1:39">
      <c r="A293" s="427" t="s">
        <v>6610</v>
      </c>
      <c r="B293" s="427" t="s">
        <v>6610</v>
      </c>
      <c r="D293" s="410" t="s">
        <v>2617</v>
      </c>
      <c r="E293" s="949" t="s">
        <v>2912</v>
      </c>
      <c r="F293" s="950">
        <v>7</v>
      </c>
      <c r="G293" s="950"/>
      <c r="H293" s="950"/>
      <c r="I293" s="950"/>
      <c r="J293" s="950"/>
      <c r="K293" s="950"/>
      <c r="L293" s="950"/>
      <c r="M293" s="950"/>
      <c r="N293" s="410" t="s">
        <v>10590</v>
      </c>
      <c r="O293" s="975"/>
      <c r="P293" s="975"/>
      <c r="Q293" s="410"/>
      <c r="R293" s="410" t="s">
        <v>10590</v>
      </c>
      <c r="S293" s="410" t="s">
        <v>10596</v>
      </c>
      <c r="T293" s="976">
        <f t="shared" si="20"/>
        <v>48</v>
      </c>
      <c r="U293" s="410" t="s">
        <v>10596</v>
      </c>
      <c r="V293" s="976">
        <f t="shared" si="21"/>
        <v>48</v>
      </c>
      <c r="W293" s="410" t="s">
        <v>10593</v>
      </c>
      <c r="X293" s="976">
        <f t="shared" si="22"/>
        <v>26</v>
      </c>
      <c r="Y293" s="977" t="s">
        <v>10594</v>
      </c>
      <c r="Z293" s="976">
        <f t="shared" si="23"/>
        <v>52</v>
      </c>
      <c r="AA293" s="977" t="s">
        <v>10594</v>
      </c>
      <c r="AB293" s="976">
        <f t="shared" si="24"/>
        <v>52</v>
      </c>
      <c r="AC293" s="977" t="s">
        <v>10595</v>
      </c>
      <c r="AD293" s="976">
        <f t="shared" si="25"/>
        <v>30</v>
      </c>
      <c r="AE293" s="976"/>
      <c r="AF293" s="976"/>
      <c r="AG293" s="956"/>
      <c r="AH293" s="957"/>
      <c r="AI293" s="494" t="s">
        <v>2917</v>
      </c>
      <c r="AJ293" s="958">
        <v>1</v>
      </c>
      <c r="AK293" s="959"/>
      <c r="AL293" s="960"/>
      <c r="AM293" s="980">
        <f>_xll.GetCtData("COAMOUNT","CONSAMOUNT",$A$1:$A$7,$D293,AM$10,"#1161864,74052545")</f>
        <v>1161864</v>
      </c>
    </row>
    <row r="294" spans="1:39">
      <c r="A294" s="427" t="s">
        <v>6610</v>
      </c>
      <c r="B294" s="427" t="s">
        <v>6610</v>
      </c>
      <c r="D294" s="990" t="s">
        <v>1230</v>
      </c>
      <c r="E294" s="949" t="s">
        <v>2930</v>
      </c>
      <c r="F294" s="950">
        <v>10</v>
      </c>
      <c r="G294" s="950"/>
      <c r="H294" s="950"/>
      <c r="I294" s="950"/>
      <c r="J294" s="950"/>
      <c r="K294" s="950"/>
      <c r="L294" s="950"/>
      <c r="M294" s="950"/>
      <c r="N294" s="950"/>
      <c r="O294" s="950"/>
      <c r="P294" s="950"/>
      <c r="Q294" s="991"/>
      <c r="R294" s="990" t="s">
        <v>10597</v>
      </c>
      <c r="S294" s="992" t="s">
        <v>10598</v>
      </c>
      <c r="T294" s="993">
        <f t="shared" si="20"/>
        <v>63</v>
      </c>
      <c r="U294" s="992" t="s">
        <v>10598</v>
      </c>
      <c r="V294" s="993">
        <f t="shared" si="21"/>
        <v>63</v>
      </c>
      <c r="W294" s="992" t="s">
        <v>10599</v>
      </c>
      <c r="X294" s="993">
        <f t="shared" si="22"/>
        <v>26</v>
      </c>
      <c r="Y294" s="994" t="s">
        <v>10600</v>
      </c>
      <c r="Z294" s="993">
        <f t="shared" si="23"/>
        <v>61</v>
      </c>
      <c r="AA294" s="994" t="s">
        <v>10600</v>
      </c>
      <c r="AB294" s="993">
        <f t="shared" si="24"/>
        <v>61</v>
      </c>
      <c r="AC294" s="994" t="s">
        <v>10601</v>
      </c>
      <c r="AD294" s="993">
        <f t="shared" si="25"/>
        <v>30</v>
      </c>
      <c r="AE294" s="518" t="s">
        <v>10602</v>
      </c>
      <c r="AF294" s="519" t="s">
        <v>10603</v>
      </c>
      <c r="AG294" s="1021" t="s">
        <v>9179</v>
      </c>
      <c r="AH294" s="1022" t="s">
        <v>169</v>
      </c>
      <c r="AI294" s="494" t="s">
        <v>2917</v>
      </c>
      <c r="AJ294" s="958">
        <v>1</v>
      </c>
      <c r="AK294" s="959"/>
      <c r="AL294" s="960"/>
      <c r="AM294" s="997">
        <f>_xll.GetCtData("COAMOUNT","CONSAMOUNT",$A$1:$A$7,$D294,AM$10,"#1729998,03644497")</f>
        <v>1729998</v>
      </c>
    </row>
    <row r="295" spans="1:39">
      <c r="A295" s="427" t="s">
        <v>6610</v>
      </c>
      <c r="B295" s="427" t="s">
        <v>6610</v>
      </c>
      <c r="D295" s="990" t="s">
        <v>1231</v>
      </c>
      <c r="E295" s="949" t="s">
        <v>2930</v>
      </c>
      <c r="F295" s="950">
        <v>10</v>
      </c>
      <c r="G295" s="950"/>
      <c r="H295" s="950"/>
      <c r="I295" s="950"/>
      <c r="J295" s="950"/>
      <c r="K295" s="950"/>
      <c r="L295" s="950"/>
      <c r="M295" s="950"/>
      <c r="N295" s="950"/>
      <c r="O295" s="950"/>
      <c r="P295" s="950"/>
      <c r="Q295" s="991"/>
      <c r="R295" s="990" t="s">
        <v>10604</v>
      </c>
      <c r="S295" s="992" t="s">
        <v>10605</v>
      </c>
      <c r="T295" s="993">
        <f t="shared" si="20"/>
        <v>64</v>
      </c>
      <c r="U295" s="992" t="s">
        <v>10605</v>
      </c>
      <c r="V295" s="993">
        <f t="shared" si="21"/>
        <v>64</v>
      </c>
      <c r="W295" s="992" t="s">
        <v>10606</v>
      </c>
      <c r="X295" s="993">
        <f t="shared" si="22"/>
        <v>27</v>
      </c>
      <c r="Y295" s="994" t="s">
        <v>10607</v>
      </c>
      <c r="Z295" s="993">
        <f t="shared" si="23"/>
        <v>62</v>
      </c>
      <c r="AA295" s="994" t="s">
        <v>10607</v>
      </c>
      <c r="AB295" s="993">
        <f t="shared" si="24"/>
        <v>62</v>
      </c>
      <c r="AC295" s="994" t="s">
        <v>10608</v>
      </c>
      <c r="AD295" s="993">
        <f t="shared" si="25"/>
        <v>30</v>
      </c>
      <c r="AE295" s="518" t="s">
        <v>10602</v>
      </c>
      <c r="AF295" s="519" t="s">
        <v>10603</v>
      </c>
      <c r="AG295" s="1021" t="s">
        <v>9179</v>
      </c>
      <c r="AH295" s="1022" t="s">
        <v>169</v>
      </c>
      <c r="AI295" s="494" t="s">
        <v>2917</v>
      </c>
      <c r="AJ295" s="958">
        <v>1</v>
      </c>
      <c r="AK295" s="959"/>
      <c r="AL295" s="960"/>
      <c r="AM295" s="997">
        <f>_xll.GetCtData("COAMOUNT","CONSAMOUNT",$A$1:$A$7,$D295,AM$10,"#-490782,295919529")</f>
        <v>-490782</v>
      </c>
    </row>
    <row r="296" spans="1:39">
      <c r="A296" s="427" t="s">
        <v>6610</v>
      </c>
      <c r="B296" s="427" t="s">
        <v>6610</v>
      </c>
      <c r="D296" s="990" t="s">
        <v>1232</v>
      </c>
      <c r="E296" s="949" t="s">
        <v>2930</v>
      </c>
      <c r="F296" s="950">
        <v>10</v>
      </c>
      <c r="G296" s="950"/>
      <c r="H296" s="950"/>
      <c r="I296" s="950"/>
      <c r="J296" s="950"/>
      <c r="K296" s="950"/>
      <c r="L296" s="950"/>
      <c r="M296" s="950"/>
      <c r="N296" s="950"/>
      <c r="O296" s="950"/>
      <c r="P296" s="950"/>
      <c r="Q296" s="991"/>
      <c r="R296" s="990" t="s">
        <v>10609</v>
      </c>
      <c r="S296" s="992" t="s">
        <v>10610</v>
      </c>
      <c r="T296" s="993">
        <f t="shared" si="20"/>
        <v>73</v>
      </c>
      <c r="U296" s="992" t="s">
        <v>10610</v>
      </c>
      <c r="V296" s="993">
        <f t="shared" si="21"/>
        <v>73</v>
      </c>
      <c r="W296" s="992" t="s">
        <v>10611</v>
      </c>
      <c r="X296" s="993">
        <f t="shared" si="22"/>
        <v>27</v>
      </c>
      <c r="Y296" s="994" t="s">
        <v>10612</v>
      </c>
      <c r="Z296" s="993">
        <f t="shared" si="23"/>
        <v>63</v>
      </c>
      <c r="AA296" s="994" t="s">
        <v>10612</v>
      </c>
      <c r="AB296" s="993">
        <f t="shared" si="24"/>
        <v>63</v>
      </c>
      <c r="AC296" s="994" t="s">
        <v>10613</v>
      </c>
      <c r="AD296" s="993">
        <f t="shared" si="25"/>
        <v>29</v>
      </c>
      <c r="AE296" s="518" t="s">
        <v>10614</v>
      </c>
      <c r="AF296" s="519" t="s">
        <v>10615</v>
      </c>
      <c r="AG296" s="1021" t="s">
        <v>9179</v>
      </c>
      <c r="AH296" s="1022" t="s">
        <v>169</v>
      </c>
      <c r="AI296" s="494" t="s">
        <v>2917</v>
      </c>
      <c r="AJ296" s="958">
        <v>1</v>
      </c>
      <c r="AK296" s="959"/>
      <c r="AL296" s="960"/>
      <c r="AM296" s="997">
        <f>_xll.GetCtData("COAMOUNT","CONSAMOUNT",$A$1:$A$7,$D296,AM$10,"#11143")</f>
        <v>11143</v>
      </c>
    </row>
    <row r="297" spans="1:39">
      <c r="A297" s="427" t="s">
        <v>6610</v>
      </c>
      <c r="B297" s="427" t="s">
        <v>6610</v>
      </c>
      <c r="D297" s="990" t="s">
        <v>1233</v>
      </c>
      <c r="E297" s="949" t="s">
        <v>2930</v>
      </c>
      <c r="F297" s="950">
        <v>10</v>
      </c>
      <c r="G297" s="950"/>
      <c r="H297" s="950"/>
      <c r="I297" s="950"/>
      <c r="J297" s="950"/>
      <c r="K297" s="950"/>
      <c r="L297" s="950"/>
      <c r="M297" s="950"/>
      <c r="N297" s="950"/>
      <c r="O297" s="950"/>
      <c r="P297" s="950"/>
      <c r="Q297" s="991"/>
      <c r="R297" s="990" t="s">
        <v>10616</v>
      </c>
      <c r="S297" s="992" t="s">
        <v>10617</v>
      </c>
      <c r="T297" s="993">
        <f t="shared" si="20"/>
        <v>74</v>
      </c>
      <c r="U297" s="992" t="s">
        <v>10617</v>
      </c>
      <c r="V297" s="993">
        <f t="shared" si="21"/>
        <v>74</v>
      </c>
      <c r="W297" s="992" t="s">
        <v>10618</v>
      </c>
      <c r="X297" s="993">
        <f t="shared" si="22"/>
        <v>27</v>
      </c>
      <c r="Y297" s="994" t="s">
        <v>10619</v>
      </c>
      <c r="Z297" s="993">
        <f t="shared" si="23"/>
        <v>64</v>
      </c>
      <c r="AA297" s="994" t="s">
        <v>10619</v>
      </c>
      <c r="AB297" s="993">
        <f t="shared" si="24"/>
        <v>64</v>
      </c>
      <c r="AC297" s="994" t="s">
        <v>10620</v>
      </c>
      <c r="AD297" s="993">
        <f t="shared" si="25"/>
        <v>29</v>
      </c>
      <c r="AE297" s="518" t="s">
        <v>10614</v>
      </c>
      <c r="AF297" s="519" t="s">
        <v>10615</v>
      </c>
      <c r="AG297" s="1021" t="s">
        <v>9179</v>
      </c>
      <c r="AH297" s="1022" t="s">
        <v>169</v>
      </c>
      <c r="AI297" s="494" t="s">
        <v>2917</v>
      </c>
      <c r="AJ297" s="958">
        <v>1</v>
      </c>
      <c r="AK297" s="959"/>
      <c r="AL297" s="960"/>
      <c r="AM297" s="997">
        <f>_xll.GetCtData("COAMOUNT","CONSAMOUNT",$A$1:$A$7,$D297,AM$10,"#-88494")</f>
        <v>-88494</v>
      </c>
    </row>
    <row r="298" spans="1:39">
      <c r="A298" s="427" t="s">
        <v>6610</v>
      </c>
      <c r="B298" s="427" t="s">
        <v>6610</v>
      </c>
      <c r="D298" s="410" t="s">
        <v>2618</v>
      </c>
      <c r="E298" s="949" t="s">
        <v>2912</v>
      </c>
      <c r="F298" s="950">
        <v>7</v>
      </c>
      <c r="G298" s="950"/>
      <c r="H298" s="950"/>
      <c r="I298" s="950"/>
      <c r="J298" s="950"/>
      <c r="K298" s="950"/>
      <c r="L298" s="950"/>
      <c r="M298" s="950"/>
      <c r="N298" s="410" t="s">
        <v>10621</v>
      </c>
      <c r="O298" s="975"/>
      <c r="P298" s="975"/>
      <c r="Q298" s="410"/>
      <c r="R298" s="410" t="s">
        <v>10621</v>
      </c>
      <c r="S298" s="410" t="s">
        <v>10622</v>
      </c>
      <c r="T298" s="976">
        <f t="shared" si="20"/>
        <v>59</v>
      </c>
      <c r="U298" s="410" t="s">
        <v>10622</v>
      </c>
      <c r="V298" s="976">
        <f t="shared" si="21"/>
        <v>59</v>
      </c>
      <c r="W298" s="410" t="s">
        <v>10623</v>
      </c>
      <c r="X298" s="976">
        <f t="shared" si="22"/>
        <v>30</v>
      </c>
      <c r="Y298" s="977" t="s">
        <v>10624</v>
      </c>
      <c r="Z298" s="976">
        <f t="shared" si="23"/>
        <v>59</v>
      </c>
      <c r="AA298" s="977" t="s">
        <v>10624</v>
      </c>
      <c r="AB298" s="976">
        <f t="shared" si="24"/>
        <v>59</v>
      </c>
      <c r="AC298" s="977" t="s">
        <v>10625</v>
      </c>
      <c r="AD298" s="976">
        <f t="shared" si="25"/>
        <v>28</v>
      </c>
      <c r="AE298" s="976"/>
      <c r="AF298" s="976"/>
      <c r="AG298" s="956"/>
      <c r="AH298" s="957"/>
      <c r="AI298" s="494" t="s">
        <v>2917</v>
      </c>
      <c r="AJ298" s="958">
        <v>1</v>
      </c>
      <c r="AK298" s="959"/>
      <c r="AL298" s="960"/>
      <c r="AM298" s="980">
        <f>_xll.GetCtData("COAMOUNT","CONSAMOUNT",$A$1:$A$7,$D298,AM$10,"#156638")</f>
        <v>156638</v>
      </c>
    </row>
    <row r="299" spans="1:39">
      <c r="A299" s="427" t="s">
        <v>6610</v>
      </c>
      <c r="B299" s="427" t="s">
        <v>6610</v>
      </c>
      <c r="D299" s="990" t="s">
        <v>1234</v>
      </c>
      <c r="E299" s="949" t="s">
        <v>2930</v>
      </c>
      <c r="F299" s="950">
        <v>10</v>
      </c>
      <c r="G299" s="950"/>
      <c r="H299" s="950"/>
      <c r="I299" s="950"/>
      <c r="J299" s="950"/>
      <c r="K299" s="950"/>
      <c r="L299" s="950"/>
      <c r="M299" s="950"/>
      <c r="N299" s="950"/>
      <c r="O299" s="950"/>
      <c r="P299" s="950"/>
      <c r="Q299" s="991"/>
      <c r="R299" s="990" t="s">
        <v>10626</v>
      </c>
      <c r="S299" s="992" t="s">
        <v>10627</v>
      </c>
      <c r="T299" s="993">
        <f t="shared" si="20"/>
        <v>74</v>
      </c>
      <c r="U299" s="992" t="s">
        <v>10627</v>
      </c>
      <c r="V299" s="993">
        <f t="shared" si="21"/>
        <v>74</v>
      </c>
      <c r="W299" s="992" t="s">
        <v>10628</v>
      </c>
      <c r="X299" s="993">
        <f t="shared" si="22"/>
        <v>30</v>
      </c>
      <c r="Y299" s="994" t="s">
        <v>10629</v>
      </c>
      <c r="Z299" s="993">
        <f t="shared" si="23"/>
        <v>68</v>
      </c>
      <c r="AA299" s="994" t="s">
        <v>10629</v>
      </c>
      <c r="AB299" s="993">
        <f t="shared" si="24"/>
        <v>68</v>
      </c>
      <c r="AC299" s="994" t="s">
        <v>10630</v>
      </c>
      <c r="AD299" s="993">
        <f t="shared" si="25"/>
        <v>30</v>
      </c>
      <c r="AE299" s="518" t="s">
        <v>10631</v>
      </c>
      <c r="AF299" s="519" t="s">
        <v>10632</v>
      </c>
      <c r="AG299" s="1021" t="s">
        <v>9179</v>
      </c>
      <c r="AH299" s="1022" t="s">
        <v>169</v>
      </c>
      <c r="AI299" s="494" t="s">
        <v>2917</v>
      </c>
      <c r="AJ299" s="958">
        <v>1</v>
      </c>
      <c r="AK299" s="959"/>
      <c r="AL299" s="960"/>
      <c r="AM299" s="997">
        <f>_xll.GetCtData("COAMOUNT","CONSAMOUNT",$A$1:$A$7,$D299,AM$10,"#180941")</f>
        <v>180941</v>
      </c>
    </row>
    <row r="300" spans="1:39">
      <c r="A300" s="427" t="s">
        <v>6610</v>
      </c>
      <c r="B300" s="427" t="s">
        <v>6610</v>
      </c>
      <c r="D300" s="990" t="s">
        <v>1235</v>
      </c>
      <c r="E300" s="949" t="s">
        <v>2930</v>
      </c>
      <c r="F300" s="950">
        <v>10</v>
      </c>
      <c r="G300" s="950"/>
      <c r="H300" s="950"/>
      <c r="I300" s="950"/>
      <c r="J300" s="950"/>
      <c r="K300" s="950"/>
      <c r="L300" s="950"/>
      <c r="M300" s="950"/>
      <c r="N300" s="950"/>
      <c r="O300" s="950"/>
      <c r="P300" s="950"/>
      <c r="Q300" s="991"/>
      <c r="R300" s="990" t="s">
        <v>10633</v>
      </c>
      <c r="S300" s="992" t="s">
        <v>10634</v>
      </c>
      <c r="T300" s="993">
        <f t="shared" si="20"/>
        <v>75</v>
      </c>
      <c r="U300" s="992" t="s">
        <v>10634</v>
      </c>
      <c r="V300" s="993">
        <f t="shared" si="21"/>
        <v>75</v>
      </c>
      <c r="W300" s="992" t="s">
        <v>10635</v>
      </c>
      <c r="X300" s="993">
        <f t="shared" si="22"/>
        <v>30</v>
      </c>
      <c r="Y300" s="994" t="s">
        <v>10636</v>
      </c>
      <c r="Z300" s="993">
        <f t="shared" si="23"/>
        <v>69</v>
      </c>
      <c r="AA300" s="994" t="s">
        <v>10636</v>
      </c>
      <c r="AB300" s="993">
        <f t="shared" si="24"/>
        <v>69</v>
      </c>
      <c r="AC300" s="994" t="s">
        <v>10637</v>
      </c>
      <c r="AD300" s="993">
        <f t="shared" si="25"/>
        <v>30</v>
      </c>
      <c r="AE300" s="518" t="s">
        <v>10631</v>
      </c>
      <c r="AF300" s="519" t="s">
        <v>10632</v>
      </c>
      <c r="AG300" s="1021" t="s">
        <v>9179</v>
      </c>
      <c r="AH300" s="1022" t="s">
        <v>169</v>
      </c>
      <c r="AI300" s="494" t="s">
        <v>2917</v>
      </c>
      <c r="AJ300" s="958">
        <v>1</v>
      </c>
      <c r="AK300" s="959"/>
      <c r="AL300" s="960"/>
      <c r="AM300" s="997">
        <f>_xll.GetCtData("COAMOUNT","CONSAMOUNT",$A$1:$A$7,$D300,AM$10,"#-24303")</f>
        <v>-24303</v>
      </c>
    </row>
    <row r="301" spans="1:39">
      <c r="A301" s="427" t="s">
        <v>6610</v>
      </c>
      <c r="B301" s="427" t="s">
        <v>6610</v>
      </c>
      <c r="D301" s="410" t="s">
        <v>2621</v>
      </c>
      <c r="E301" s="949" t="s">
        <v>2912</v>
      </c>
      <c r="F301" s="950">
        <v>7</v>
      </c>
      <c r="G301" s="950"/>
      <c r="H301" s="950"/>
      <c r="I301" s="950"/>
      <c r="J301" s="950"/>
      <c r="K301" s="950"/>
      <c r="L301" s="950"/>
      <c r="M301" s="950"/>
      <c r="N301" s="410" t="s">
        <v>10638</v>
      </c>
      <c r="O301" s="975"/>
      <c r="P301" s="975"/>
      <c r="Q301" s="410"/>
      <c r="R301" s="410" t="s">
        <v>10638</v>
      </c>
      <c r="S301" s="410" t="s">
        <v>2622</v>
      </c>
      <c r="T301" s="976">
        <f t="shared" si="20"/>
        <v>52</v>
      </c>
      <c r="U301" s="410" t="s">
        <v>2622</v>
      </c>
      <c r="V301" s="976">
        <f t="shared" si="21"/>
        <v>52</v>
      </c>
      <c r="W301" s="410" t="s">
        <v>10639</v>
      </c>
      <c r="X301" s="976">
        <f t="shared" si="22"/>
        <v>30</v>
      </c>
      <c r="Y301" s="977" t="s">
        <v>10640</v>
      </c>
      <c r="Z301" s="976">
        <f t="shared" si="23"/>
        <v>60</v>
      </c>
      <c r="AA301" s="977" t="s">
        <v>10640</v>
      </c>
      <c r="AB301" s="976">
        <f t="shared" si="24"/>
        <v>60</v>
      </c>
      <c r="AC301" s="977" t="s">
        <v>10641</v>
      </c>
      <c r="AD301" s="976">
        <f t="shared" si="25"/>
        <v>30</v>
      </c>
      <c r="AE301" s="976"/>
      <c r="AF301" s="976"/>
      <c r="AG301" s="956"/>
      <c r="AH301" s="957"/>
      <c r="AI301" s="494" t="s">
        <v>2917</v>
      </c>
      <c r="AJ301" s="958">
        <v>1</v>
      </c>
      <c r="AK301" s="959"/>
      <c r="AL301" s="960"/>
      <c r="AM301" s="980">
        <f>_xll.GetCtData("COAMOUNT","CONSAMOUNT",$A$1:$A$7,$D301,AM$10,"#")</f>
        <v>0</v>
      </c>
    </row>
    <row r="302" spans="1:39">
      <c r="A302" s="427" t="s">
        <v>6610</v>
      </c>
      <c r="B302" s="427" t="s">
        <v>6610</v>
      </c>
      <c r="D302" s="990" t="s">
        <v>1237</v>
      </c>
      <c r="E302" s="949" t="s">
        <v>2930</v>
      </c>
      <c r="F302" s="950">
        <v>10</v>
      </c>
      <c r="G302" s="950"/>
      <c r="H302" s="950"/>
      <c r="I302" s="950"/>
      <c r="J302" s="950"/>
      <c r="K302" s="950"/>
      <c r="L302" s="950"/>
      <c r="M302" s="950"/>
      <c r="N302" s="950"/>
      <c r="O302" s="950"/>
      <c r="P302" s="950"/>
      <c r="Q302" s="991"/>
      <c r="R302" s="990" t="s">
        <v>10642</v>
      </c>
      <c r="S302" s="992" t="s">
        <v>2624</v>
      </c>
      <c r="T302" s="993">
        <f t="shared" si="20"/>
        <v>43</v>
      </c>
      <c r="U302" s="992" t="s">
        <v>2624</v>
      </c>
      <c r="V302" s="993">
        <f t="shared" si="21"/>
        <v>43</v>
      </c>
      <c r="W302" s="992" t="s">
        <v>10643</v>
      </c>
      <c r="X302" s="993">
        <f t="shared" si="22"/>
        <v>29</v>
      </c>
      <c r="Y302" s="994" t="s">
        <v>10644</v>
      </c>
      <c r="Z302" s="993">
        <f t="shared" si="23"/>
        <v>50</v>
      </c>
      <c r="AA302" s="994" t="s">
        <v>10644</v>
      </c>
      <c r="AB302" s="993">
        <f t="shared" si="24"/>
        <v>50</v>
      </c>
      <c r="AC302" s="994" t="s">
        <v>10645</v>
      </c>
      <c r="AD302" s="993">
        <f t="shared" si="25"/>
        <v>29</v>
      </c>
      <c r="AE302" s="518" t="s">
        <v>10646</v>
      </c>
      <c r="AF302" s="519" t="s">
        <v>10647</v>
      </c>
      <c r="AG302" s="995" t="s">
        <v>9179</v>
      </c>
      <c r="AH302" s="996" t="s">
        <v>169</v>
      </c>
      <c r="AI302" s="494" t="s">
        <v>2917</v>
      </c>
      <c r="AJ302" s="958">
        <v>1</v>
      </c>
      <c r="AK302" s="959"/>
      <c r="AL302" s="960"/>
      <c r="AM302" s="997">
        <f>_xll.GetCtData("COAMOUNT","CONSAMOUNT",$A$1:$A$7,$D302,AM$10,"#")</f>
        <v>0</v>
      </c>
    </row>
    <row r="303" spans="1:39">
      <c r="A303" s="427" t="s">
        <v>6610</v>
      </c>
      <c r="B303" s="427" t="s">
        <v>6610</v>
      </c>
      <c r="D303" s="990" t="s">
        <v>1236</v>
      </c>
      <c r="E303" s="949" t="s">
        <v>2930</v>
      </c>
      <c r="F303" s="950">
        <v>10</v>
      </c>
      <c r="G303" s="950"/>
      <c r="H303" s="950"/>
      <c r="I303" s="950"/>
      <c r="J303" s="950"/>
      <c r="K303" s="950"/>
      <c r="L303" s="950"/>
      <c r="M303" s="950"/>
      <c r="N303" s="950"/>
      <c r="O303" s="950"/>
      <c r="P303" s="950"/>
      <c r="Q303" s="991"/>
      <c r="R303" s="990" t="s">
        <v>10648</v>
      </c>
      <c r="S303" s="992" t="s">
        <v>2623</v>
      </c>
      <c r="T303" s="993">
        <f t="shared" si="20"/>
        <v>45</v>
      </c>
      <c r="U303" s="992" t="s">
        <v>2623</v>
      </c>
      <c r="V303" s="993">
        <f t="shared" si="21"/>
        <v>45</v>
      </c>
      <c r="W303" s="992" t="s">
        <v>10649</v>
      </c>
      <c r="X303" s="993">
        <f t="shared" si="22"/>
        <v>30</v>
      </c>
      <c r="Y303" s="994" t="s">
        <v>10650</v>
      </c>
      <c r="Z303" s="993">
        <f t="shared" si="23"/>
        <v>51</v>
      </c>
      <c r="AA303" s="994" t="s">
        <v>10650</v>
      </c>
      <c r="AB303" s="993">
        <f t="shared" si="24"/>
        <v>51</v>
      </c>
      <c r="AC303" s="994" t="s">
        <v>10651</v>
      </c>
      <c r="AD303" s="993">
        <f t="shared" si="25"/>
        <v>30</v>
      </c>
      <c r="AE303" s="518" t="s">
        <v>10646</v>
      </c>
      <c r="AF303" s="519" t="s">
        <v>10647</v>
      </c>
      <c r="AG303" s="995" t="s">
        <v>9179</v>
      </c>
      <c r="AH303" s="996" t="s">
        <v>169</v>
      </c>
      <c r="AI303" s="494" t="s">
        <v>2917</v>
      </c>
      <c r="AJ303" s="958">
        <v>1</v>
      </c>
      <c r="AK303" s="959"/>
      <c r="AL303" s="960"/>
      <c r="AM303" s="997">
        <f>_xll.GetCtData("COAMOUNT","CONSAMOUNT",$A$1:$A$7,$D303,AM$10,"#")</f>
        <v>0</v>
      </c>
    </row>
    <row r="304" spans="1:39">
      <c r="A304" s="427" t="s">
        <v>6610</v>
      </c>
      <c r="B304" s="427" t="s">
        <v>6610</v>
      </c>
      <c r="D304" s="410" t="s">
        <v>2625</v>
      </c>
      <c r="E304" s="949" t="s">
        <v>2912</v>
      </c>
      <c r="F304" s="950">
        <v>7</v>
      </c>
      <c r="G304" s="950"/>
      <c r="H304" s="950"/>
      <c r="I304" s="950"/>
      <c r="J304" s="950"/>
      <c r="K304" s="950"/>
      <c r="L304" s="950"/>
      <c r="M304" s="950"/>
      <c r="N304" s="410" t="s">
        <v>10652</v>
      </c>
      <c r="O304" s="975"/>
      <c r="P304" s="975"/>
      <c r="Q304" s="410"/>
      <c r="R304" s="410" t="s">
        <v>10652</v>
      </c>
      <c r="S304" s="410" t="s">
        <v>10653</v>
      </c>
      <c r="T304" s="976">
        <f t="shared" si="20"/>
        <v>18</v>
      </c>
      <c r="U304" s="410" t="s">
        <v>10653</v>
      </c>
      <c r="V304" s="976">
        <f t="shared" si="21"/>
        <v>18</v>
      </c>
      <c r="W304" s="410" t="s">
        <v>10653</v>
      </c>
      <c r="X304" s="976">
        <f t="shared" si="22"/>
        <v>18</v>
      </c>
      <c r="Y304" s="977" t="s">
        <v>10654</v>
      </c>
      <c r="Z304" s="976">
        <f t="shared" si="23"/>
        <v>25</v>
      </c>
      <c r="AA304" s="977" t="s">
        <v>10654</v>
      </c>
      <c r="AB304" s="976">
        <f t="shared" si="24"/>
        <v>25</v>
      </c>
      <c r="AC304" s="977" t="s">
        <v>10654</v>
      </c>
      <c r="AD304" s="976">
        <f t="shared" si="25"/>
        <v>25</v>
      </c>
      <c r="AE304" s="976"/>
      <c r="AF304" s="976"/>
      <c r="AG304" s="956"/>
      <c r="AH304" s="957"/>
      <c r="AI304" s="494" t="s">
        <v>2917</v>
      </c>
      <c r="AJ304" s="958">
        <v>1</v>
      </c>
      <c r="AK304" s="959"/>
      <c r="AL304" s="960"/>
      <c r="AM304" s="980">
        <f>_xll.GetCtData("COAMOUNT","CONSAMOUNT",$A$1:$A$7,$D304,AM$10,"#-60398,9152093565")</f>
        <v>-60398</v>
      </c>
    </row>
    <row r="305" spans="1:39">
      <c r="A305" s="427" t="s">
        <v>6610</v>
      </c>
      <c r="B305" s="427" t="s">
        <v>6610</v>
      </c>
      <c r="D305" s="992" t="s">
        <v>1349</v>
      </c>
      <c r="E305" s="949" t="s">
        <v>2930</v>
      </c>
      <c r="F305" s="950">
        <v>10</v>
      </c>
      <c r="G305" s="950"/>
      <c r="H305" s="950"/>
      <c r="I305" s="950"/>
      <c r="J305" s="950"/>
      <c r="K305" s="950"/>
      <c r="L305" s="950"/>
      <c r="M305" s="950"/>
      <c r="N305" s="950"/>
      <c r="O305" s="950"/>
      <c r="P305" s="950"/>
      <c r="Q305" s="990"/>
      <c r="R305" s="992" t="s">
        <v>10655</v>
      </c>
      <c r="S305" s="950" t="s">
        <v>10656</v>
      </c>
      <c r="T305" s="1026">
        <f t="shared" si="20"/>
        <v>65</v>
      </c>
      <c r="U305" s="950" t="s">
        <v>10657</v>
      </c>
      <c r="V305" s="1026">
        <f t="shared" si="21"/>
        <v>65</v>
      </c>
      <c r="W305" s="950" t="s">
        <v>10658</v>
      </c>
      <c r="X305" s="1026">
        <f t="shared" si="22"/>
        <v>27</v>
      </c>
      <c r="Y305" s="956" t="s">
        <v>10659</v>
      </c>
      <c r="Z305" s="1026">
        <f t="shared" si="23"/>
        <v>59</v>
      </c>
      <c r="AA305" s="956" t="s">
        <v>10659</v>
      </c>
      <c r="AB305" s="1026">
        <f t="shared" si="24"/>
        <v>59</v>
      </c>
      <c r="AC305" s="956" t="s">
        <v>10660</v>
      </c>
      <c r="AD305" s="1026">
        <f t="shared" si="25"/>
        <v>28</v>
      </c>
      <c r="AE305" s="518" t="s">
        <v>10661</v>
      </c>
      <c r="AF305" s="519" t="s">
        <v>10662</v>
      </c>
      <c r="AG305" s="995" t="s">
        <v>9179</v>
      </c>
      <c r="AH305" s="996" t="s">
        <v>169</v>
      </c>
      <c r="AI305" s="494" t="s">
        <v>2917</v>
      </c>
      <c r="AJ305" s="958">
        <v>1</v>
      </c>
      <c r="AK305" s="959"/>
      <c r="AL305" s="960" t="s">
        <v>10663</v>
      </c>
      <c r="AM305" s="1027">
        <f>_xll.GetCtData("COAMOUNT","CONSAMOUNT",$A$1:$A$7,$D305,AM$10,"#-107778")</f>
        <v>-107778</v>
      </c>
    </row>
    <row r="306" spans="1:39">
      <c r="A306" s="427" t="s">
        <v>6610</v>
      </c>
      <c r="B306" s="427" t="s">
        <v>6610</v>
      </c>
      <c r="D306" s="992" t="s">
        <v>1350</v>
      </c>
      <c r="E306" s="949" t="s">
        <v>2930</v>
      </c>
      <c r="F306" s="950">
        <v>10</v>
      </c>
      <c r="G306" s="950"/>
      <c r="H306" s="950"/>
      <c r="I306" s="950"/>
      <c r="J306" s="950"/>
      <c r="K306" s="950"/>
      <c r="L306" s="950"/>
      <c r="M306" s="950"/>
      <c r="N306" s="950"/>
      <c r="O306" s="950"/>
      <c r="P306" s="950"/>
      <c r="Q306" s="990"/>
      <c r="R306" s="992" t="s">
        <v>10664</v>
      </c>
      <c r="S306" s="950" t="s">
        <v>10665</v>
      </c>
      <c r="T306" s="1026">
        <f t="shared" si="20"/>
        <v>62</v>
      </c>
      <c r="U306" s="950" t="s">
        <v>10666</v>
      </c>
      <c r="V306" s="1026">
        <f t="shared" si="21"/>
        <v>62</v>
      </c>
      <c r="W306" s="950" t="s">
        <v>10667</v>
      </c>
      <c r="X306" s="1026">
        <f t="shared" si="22"/>
        <v>26</v>
      </c>
      <c r="Y306" s="956" t="s">
        <v>10668</v>
      </c>
      <c r="Z306" s="1026">
        <f t="shared" si="23"/>
        <v>58</v>
      </c>
      <c r="AA306" s="956" t="s">
        <v>10668</v>
      </c>
      <c r="AB306" s="1026">
        <f t="shared" si="24"/>
        <v>58</v>
      </c>
      <c r="AC306" s="956" t="s">
        <v>10669</v>
      </c>
      <c r="AD306" s="1026">
        <f t="shared" si="25"/>
        <v>29</v>
      </c>
      <c r="AE306" s="518" t="s">
        <v>10670</v>
      </c>
      <c r="AF306" s="519" t="s">
        <v>10671</v>
      </c>
      <c r="AG306" s="995" t="s">
        <v>9179</v>
      </c>
      <c r="AH306" s="996" t="s">
        <v>169</v>
      </c>
      <c r="AI306" s="494" t="s">
        <v>2917</v>
      </c>
      <c r="AJ306" s="958">
        <v>1</v>
      </c>
      <c r="AK306" s="959"/>
      <c r="AL306" s="960" t="s">
        <v>10672</v>
      </c>
      <c r="AM306" s="1027">
        <f>_xll.GetCtData("COAMOUNT","CONSAMOUNT",$A$1:$A$7,$D306,AM$10,"#47379,0847906435")</f>
        <v>47379</v>
      </c>
    </row>
    <row r="307" spans="1:39">
      <c r="A307" s="427" t="s">
        <v>6610</v>
      </c>
      <c r="B307" s="427" t="s">
        <v>6610</v>
      </c>
      <c r="D307" s="410" t="s">
        <v>1374</v>
      </c>
      <c r="E307" s="949" t="s">
        <v>2912</v>
      </c>
      <c r="F307" s="950">
        <v>7</v>
      </c>
      <c r="G307" s="950"/>
      <c r="H307" s="950"/>
      <c r="I307" s="950"/>
      <c r="J307" s="950"/>
      <c r="K307" s="950"/>
      <c r="L307" s="950"/>
      <c r="M307" s="950"/>
      <c r="N307" s="410" t="s">
        <v>10673</v>
      </c>
      <c r="O307" s="975"/>
      <c r="P307" s="975"/>
      <c r="Q307" s="410"/>
      <c r="R307" s="410" t="s">
        <v>10673</v>
      </c>
      <c r="S307" s="410" t="s">
        <v>10674</v>
      </c>
      <c r="T307" s="976">
        <f t="shared" si="20"/>
        <v>74</v>
      </c>
      <c r="U307" s="410" t="s">
        <v>70</v>
      </c>
      <c r="V307" s="976">
        <f t="shared" si="21"/>
        <v>11</v>
      </c>
      <c r="W307" s="410" t="s">
        <v>10675</v>
      </c>
      <c r="X307" s="976">
        <f t="shared" si="22"/>
        <v>30</v>
      </c>
      <c r="Y307" s="977" t="s">
        <v>10676</v>
      </c>
      <c r="Z307" s="976">
        <f t="shared" si="23"/>
        <v>78</v>
      </c>
      <c r="AA307" s="977" t="s">
        <v>10676</v>
      </c>
      <c r="AB307" s="976">
        <f t="shared" si="24"/>
        <v>78</v>
      </c>
      <c r="AC307" s="977" t="s">
        <v>10677</v>
      </c>
      <c r="AD307" s="976">
        <f t="shared" si="25"/>
        <v>30</v>
      </c>
      <c r="AE307" s="976"/>
      <c r="AF307" s="976"/>
      <c r="AG307" s="956"/>
      <c r="AH307" s="957"/>
      <c r="AI307" s="1028" t="s">
        <v>2721</v>
      </c>
      <c r="AJ307" s="958">
        <v>1</v>
      </c>
      <c r="AK307" s="959"/>
      <c r="AL307" s="960" t="s">
        <v>10678</v>
      </c>
      <c r="AM307" s="980">
        <f>_xll.GetCtData("COAMOUNT","CONSAMOUNT",$A$1:$A$7,$D307,AM$10,"#-45675")</f>
        <v>-45675</v>
      </c>
    </row>
    <row r="308" spans="1:39">
      <c r="A308" s="427" t="s">
        <v>6610</v>
      </c>
      <c r="B308" s="427" t="s">
        <v>6610</v>
      </c>
      <c r="D308" s="990" t="s">
        <v>1238</v>
      </c>
      <c r="E308" s="949" t="s">
        <v>2930</v>
      </c>
      <c r="F308" s="950">
        <v>10</v>
      </c>
      <c r="G308" s="950"/>
      <c r="H308" s="950"/>
      <c r="I308" s="950"/>
      <c r="J308" s="950"/>
      <c r="K308" s="950"/>
      <c r="L308" s="950"/>
      <c r="M308" s="950"/>
      <c r="N308" s="950"/>
      <c r="O308" s="950"/>
      <c r="P308" s="950"/>
      <c r="Q308" s="991"/>
      <c r="R308" s="990" t="s">
        <v>10679</v>
      </c>
      <c r="S308" s="992" t="s">
        <v>10680</v>
      </c>
      <c r="T308" s="993">
        <f t="shared" si="20"/>
        <v>71</v>
      </c>
      <c r="U308" s="992" t="s">
        <v>10680</v>
      </c>
      <c r="V308" s="993">
        <f t="shared" si="21"/>
        <v>71</v>
      </c>
      <c r="W308" s="992" t="s">
        <v>10681</v>
      </c>
      <c r="X308" s="993">
        <f t="shared" si="22"/>
        <v>30</v>
      </c>
      <c r="Y308" s="994" t="s">
        <v>10682</v>
      </c>
      <c r="Z308" s="993">
        <f t="shared" si="23"/>
        <v>46</v>
      </c>
      <c r="AA308" s="994" t="s">
        <v>10682</v>
      </c>
      <c r="AB308" s="993">
        <f t="shared" si="24"/>
        <v>46</v>
      </c>
      <c r="AC308" s="994" t="s">
        <v>10683</v>
      </c>
      <c r="AD308" s="993">
        <f t="shared" si="25"/>
        <v>29</v>
      </c>
      <c r="AE308" s="518" t="s">
        <v>10684</v>
      </c>
      <c r="AF308" s="519" t="s">
        <v>10685</v>
      </c>
      <c r="AG308" s="995" t="s">
        <v>9179</v>
      </c>
      <c r="AH308" s="996" t="s">
        <v>169</v>
      </c>
      <c r="AI308" s="494" t="s">
        <v>2917</v>
      </c>
      <c r="AJ308" s="958">
        <v>1</v>
      </c>
      <c r="AK308" s="959"/>
      <c r="AL308" s="960"/>
      <c r="AM308" s="997">
        <f>_xll.GetCtData("COAMOUNT","CONSAMOUNT",$A$1:$A$7,$D308,AM$10,"#")</f>
        <v>0</v>
      </c>
    </row>
    <row r="309" spans="1:39">
      <c r="D309" s="990" t="s">
        <v>1239</v>
      </c>
      <c r="E309" s="949" t="s">
        <v>5409</v>
      </c>
      <c r="F309" s="950">
        <v>10</v>
      </c>
      <c r="G309" s="950"/>
      <c r="H309" s="950"/>
      <c r="I309" s="950"/>
      <c r="J309" s="950"/>
      <c r="K309" s="950"/>
      <c r="L309" s="950"/>
      <c r="M309" s="950"/>
      <c r="N309" s="950"/>
      <c r="O309" s="950"/>
      <c r="P309" s="950"/>
      <c r="Q309" s="991"/>
      <c r="R309" s="990" t="s">
        <v>10686</v>
      </c>
      <c r="S309" s="992" t="s">
        <v>10687</v>
      </c>
      <c r="T309" s="993">
        <f t="shared" si="20"/>
        <v>26</v>
      </c>
      <c r="U309" s="992" t="s">
        <v>10687</v>
      </c>
      <c r="V309" s="993">
        <f t="shared" si="21"/>
        <v>26</v>
      </c>
      <c r="W309" s="992" t="s">
        <v>10687</v>
      </c>
      <c r="X309" s="993">
        <f t="shared" si="22"/>
        <v>26</v>
      </c>
      <c r="Y309" s="1029" t="s">
        <v>10688</v>
      </c>
      <c r="Z309" s="993">
        <f t="shared" si="23"/>
        <v>32</v>
      </c>
      <c r="AA309" s="1029" t="s">
        <v>10688</v>
      </c>
      <c r="AB309" s="993">
        <f t="shared" si="24"/>
        <v>32</v>
      </c>
      <c r="AC309" s="1029" t="s">
        <v>10689</v>
      </c>
      <c r="AD309" s="993">
        <f t="shared" si="25"/>
        <v>29</v>
      </c>
      <c r="AE309" s="518" t="s">
        <v>10531</v>
      </c>
      <c r="AF309" s="519" t="s">
        <v>10532</v>
      </c>
      <c r="AG309" s="995" t="s">
        <v>9179</v>
      </c>
      <c r="AH309" s="996" t="s">
        <v>169</v>
      </c>
      <c r="AI309" s="530" t="s">
        <v>2969</v>
      </c>
      <c r="AJ309" s="958">
        <v>1</v>
      </c>
      <c r="AK309" s="959"/>
      <c r="AL309" s="960" t="s">
        <v>10678</v>
      </c>
      <c r="AM309" s="997">
        <f>_xll.GetCtData("COAMOUNT","CONSAMOUNT",$A$1:$A$7,$D309,AM$10,"#-45675")</f>
        <v>-45675</v>
      </c>
    </row>
    <row r="310" spans="1:39">
      <c r="D310" s="990" t="s">
        <v>1241</v>
      </c>
      <c r="E310" s="949" t="s">
        <v>2930</v>
      </c>
      <c r="F310" s="950">
        <v>10</v>
      </c>
      <c r="G310" s="950"/>
      <c r="H310" s="950"/>
      <c r="I310" s="950"/>
      <c r="J310" s="950"/>
      <c r="K310" s="950"/>
      <c r="L310" s="950"/>
      <c r="M310" s="950"/>
      <c r="N310" s="950"/>
      <c r="O310" s="950"/>
      <c r="P310" s="950"/>
      <c r="Q310" s="991"/>
      <c r="R310" s="990" t="s">
        <v>10690</v>
      </c>
      <c r="S310" s="992" t="s">
        <v>10691</v>
      </c>
      <c r="T310" s="993">
        <f t="shared" si="20"/>
        <v>18</v>
      </c>
      <c r="U310" s="992" t="s">
        <v>10691</v>
      </c>
      <c r="V310" s="993">
        <f t="shared" si="21"/>
        <v>18</v>
      </c>
      <c r="W310" s="992" t="s">
        <v>10691</v>
      </c>
      <c r="X310" s="993">
        <f t="shared" si="22"/>
        <v>18</v>
      </c>
      <c r="Y310" s="1029" t="s">
        <v>10692</v>
      </c>
      <c r="Z310" s="993">
        <f t="shared" si="23"/>
        <v>13</v>
      </c>
      <c r="AA310" s="1029" t="s">
        <v>10692</v>
      </c>
      <c r="AB310" s="993">
        <f t="shared" si="24"/>
        <v>13</v>
      </c>
      <c r="AC310" s="1029" t="s">
        <v>10692</v>
      </c>
      <c r="AD310" s="993">
        <f t="shared" si="25"/>
        <v>13</v>
      </c>
      <c r="AE310" s="518" t="s">
        <v>10531</v>
      </c>
      <c r="AF310" s="519" t="s">
        <v>10532</v>
      </c>
      <c r="AG310" s="995" t="s">
        <v>9179</v>
      </c>
      <c r="AH310" s="996" t="s">
        <v>169</v>
      </c>
      <c r="AI310" s="530" t="s">
        <v>2969</v>
      </c>
      <c r="AJ310" s="958">
        <v>1</v>
      </c>
      <c r="AK310" s="959"/>
      <c r="AL310" s="960" t="s">
        <v>10693</v>
      </c>
      <c r="AM310" s="997">
        <f>_xll.GetCtData("COAMOUNT","CONSAMOUNT",$A$1:$A$7,$D310,AM$10,"#0")</f>
        <v>0</v>
      </c>
    </row>
    <row r="311" spans="1:39">
      <c r="D311" s="990" t="s">
        <v>1240</v>
      </c>
      <c r="E311" s="949" t="s">
        <v>2930</v>
      </c>
      <c r="F311" s="950">
        <v>10</v>
      </c>
      <c r="G311" s="950"/>
      <c r="H311" s="950"/>
      <c r="I311" s="950"/>
      <c r="J311" s="950"/>
      <c r="K311" s="950"/>
      <c r="L311" s="950"/>
      <c r="M311" s="950"/>
      <c r="N311" s="950"/>
      <c r="O311" s="950"/>
      <c r="P311" s="950"/>
      <c r="Q311" s="991"/>
      <c r="R311" s="990" t="s">
        <v>10694</v>
      </c>
      <c r="S311" s="992" t="s">
        <v>10695</v>
      </c>
      <c r="T311" s="993">
        <f t="shared" si="20"/>
        <v>17</v>
      </c>
      <c r="U311" s="992" t="s">
        <v>10695</v>
      </c>
      <c r="V311" s="993">
        <f t="shared" si="21"/>
        <v>17</v>
      </c>
      <c r="W311" s="992" t="s">
        <v>10695</v>
      </c>
      <c r="X311" s="993">
        <f t="shared" si="22"/>
        <v>17</v>
      </c>
      <c r="Y311" s="1029" t="s">
        <v>10696</v>
      </c>
      <c r="Z311" s="993">
        <f t="shared" si="23"/>
        <v>15</v>
      </c>
      <c r="AA311" s="1029" t="s">
        <v>10696</v>
      </c>
      <c r="AB311" s="993">
        <f t="shared" si="24"/>
        <v>15</v>
      </c>
      <c r="AC311" s="1029" t="s">
        <v>10696</v>
      </c>
      <c r="AD311" s="993">
        <f t="shared" si="25"/>
        <v>15</v>
      </c>
      <c r="AE311" s="518" t="s">
        <v>10531</v>
      </c>
      <c r="AF311" s="519" t="s">
        <v>10532</v>
      </c>
      <c r="AG311" s="995" t="s">
        <v>9179</v>
      </c>
      <c r="AH311" s="996" t="s">
        <v>169</v>
      </c>
      <c r="AI311" s="530" t="s">
        <v>2969</v>
      </c>
      <c r="AJ311" s="958">
        <v>1</v>
      </c>
      <c r="AK311" s="959"/>
      <c r="AL311" s="960" t="s">
        <v>10693</v>
      </c>
      <c r="AM311" s="997">
        <f>_xll.GetCtData("COAMOUNT","CONSAMOUNT",$A$1:$A$7,$D311,AM$10,"#")</f>
        <v>0</v>
      </c>
    </row>
    <row r="312" spans="1:39">
      <c r="A312" s="427" t="s">
        <v>6610</v>
      </c>
      <c r="B312" s="427" t="s">
        <v>6610</v>
      </c>
      <c r="D312" s="970" t="s">
        <v>10697</v>
      </c>
      <c r="E312" s="949" t="s">
        <v>2912</v>
      </c>
      <c r="F312" s="950">
        <v>6</v>
      </c>
      <c r="G312" s="950"/>
      <c r="H312" s="950"/>
      <c r="I312" s="950"/>
      <c r="J312" s="950"/>
      <c r="K312" s="950"/>
      <c r="L312" s="950"/>
      <c r="M312" s="970" t="s">
        <v>10698</v>
      </c>
      <c r="N312" s="970"/>
      <c r="O312" s="970"/>
      <c r="P312" s="970"/>
      <c r="Q312" s="970"/>
      <c r="R312" s="970" t="s">
        <v>10698</v>
      </c>
      <c r="S312" s="970" t="s">
        <v>25</v>
      </c>
      <c r="T312" s="972">
        <f t="shared" si="20"/>
        <v>71</v>
      </c>
      <c r="U312" s="970" t="s">
        <v>25</v>
      </c>
      <c r="V312" s="972">
        <f t="shared" si="21"/>
        <v>71</v>
      </c>
      <c r="W312" s="1030" t="s">
        <v>10699</v>
      </c>
      <c r="X312" s="972">
        <f t="shared" si="22"/>
        <v>27</v>
      </c>
      <c r="Y312" s="973" t="s">
        <v>10700</v>
      </c>
      <c r="Z312" s="972">
        <f t="shared" si="23"/>
        <v>73</v>
      </c>
      <c r="AA312" s="973" t="s">
        <v>10700</v>
      </c>
      <c r="AB312" s="972">
        <f t="shared" si="24"/>
        <v>73</v>
      </c>
      <c r="AC312" s="973" t="s">
        <v>10701</v>
      </c>
      <c r="AD312" s="972">
        <f t="shared" si="25"/>
        <v>25</v>
      </c>
      <c r="AE312" s="972"/>
      <c r="AF312" s="972"/>
      <c r="AG312" s="956"/>
      <c r="AH312" s="957"/>
      <c r="AI312" s="494" t="s">
        <v>2917</v>
      </c>
      <c r="AJ312" s="958">
        <v>1</v>
      </c>
      <c r="AK312" s="959"/>
      <c r="AL312" s="960"/>
      <c r="AM312" s="974">
        <f>_xll.GetCtData("COAMOUNT","CONSAMOUNT",$A$1:$A$7,$D312,AM$10,"#77")</f>
        <v>77</v>
      </c>
    </row>
    <row r="313" spans="1:39">
      <c r="A313" s="427" t="s">
        <v>6610</v>
      </c>
      <c r="B313" s="427" t="s">
        <v>6610</v>
      </c>
      <c r="D313" s="1009" t="s">
        <v>10702</v>
      </c>
      <c r="E313" s="949" t="s">
        <v>2912</v>
      </c>
      <c r="F313" s="950">
        <v>7</v>
      </c>
      <c r="G313" s="950"/>
      <c r="H313" s="950"/>
      <c r="I313" s="950"/>
      <c r="J313" s="950"/>
      <c r="K313" s="950"/>
      <c r="L313" s="950"/>
      <c r="M313" s="950"/>
      <c r="N313" s="1009" t="s">
        <v>10703</v>
      </c>
      <c r="O313" s="975"/>
      <c r="P313" s="975"/>
      <c r="Q313" s="410"/>
      <c r="R313" s="1009" t="s">
        <v>10703</v>
      </c>
      <c r="S313" s="410" t="s">
        <v>10704</v>
      </c>
      <c r="T313" s="976">
        <f t="shared" ref="T313:T382" si="26">LEN(S313)</f>
        <v>86</v>
      </c>
      <c r="U313" s="410" t="s">
        <v>10704</v>
      </c>
      <c r="V313" s="976">
        <f t="shared" si="21"/>
        <v>86</v>
      </c>
      <c r="W313" s="410" t="s">
        <v>10705</v>
      </c>
      <c r="X313" s="976">
        <f t="shared" si="22"/>
        <v>22</v>
      </c>
      <c r="Y313" s="977" t="s">
        <v>10706</v>
      </c>
      <c r="Z313" s="976">
        <f t="shared" si="23"/>
        <v>91</v>
      </c>
      <c r="AA313" s="977" t="s">
        <v>10707</v>
      </c>
      <c r="AB313" s="976">
        <f t="shared" si="24"/>
        <v>90</v>
      </c>
      <c r="AC313" s="977" t="s">
        <v>10708</v>
      </c>
      <c r="AD313" s="976">
        <f t="shared" si="25"/>
        <v>30</v>
      </c>
      <c r="AE313" s="976"/>
      <c r="AF313" s="976"/>
      <c r="AG313" s="956"/>
      <c r="AH313" s="957"/>
      <c r="AI313" s="494" t="s">
        <v>2917</v>
      </c>
      <c r="AJ313" s="958">
        <v>1</v>
      </c>
      <c r="AK313" s="959"/>
      <c r="AL313" s="960" t="s">
        <v>5930</v>
      </c>
      <c r="AM313" s="980">
        <f>_xll.GetCtData("COAMOUNT","CONSAMOUNT",$A$1:$A$7,$D313,AM$10,"#77")</f>
        <v>77</v>
      </c>
    </row>
    <row r="314" spans="1:39">
      <c r="A314" s="427" t="s">
        <v>6610</v>
      </c>
      <c r="B314" s="427" t="s">
        <v>6610</v>
      </c>
      <c r="D314" s="990" t="s">
        <v>1347</v>
      </c>
      <c r="E314" s="949" t="s">
        <v>2930</v>
      </c>
      <c r="F314" s="950">
        <v>10</v>
      </c>
      <c r="G314" s="950"/>
      <c r="H314" s="950"/>
      <c r="I314" s="950"/>
      <c r="J314" s="950"/>
      <c r="K314" s="950"/>
      <c r="L314" s="950"/>
      <c r="M314" s="950"/>
      <c r="N314" s="950"/>
      <c r="O314" s="950"/>
      <c r="P314" s="950"/>
      <c r="Q314" s="1025"/>
      <c r="R314" s="990" t="s">
        <v>10709</v>
      </c>
      <c r="S314" s="1014" t="s">
        <v>10710</v>
      </c>
      <c r="T314" s="1015">
        <f t="shared" si="26"/>
        <v>100</v>
      </c>
      <c r="U314" s="1014" t="s">
        <v>10710</v>
      </c>
      <c r="V314" s="1015">
        <f t="shared" si="21"/>
        <v>100</v>
      </c>
      <c r="W314" s="1014" t="s">
        <v>10711</v>
      </c>
      <c r="X314" s="1015">
        <f t="shared" si="22"/>
        <v>30</v>
      </c>
      <c r="Y314" s="1016" t="s">
        <v>10712</v>
      </c>
      <c r="Z314" s="1015">
        <f t="shared" si="23"/>
        <v>99</v>
      </c>
      <c r="AA314" s="1016" t="s">
        <v>10713</v>
      </c>
      <c r="AB314" s="1015">
        <f t="shared" si="24"/>
        <v>98</v>
      </c>
      <c r="AC314" s="1016" t="s">
        <v>10714</v>
      </c>
      <c r="AD314" s="1015">
        <f t="shared" si="25"/>
        <v>30</v>
      </c>
      <c r="AE314" s="518" t="s">
        <v>10715</v>
      </c>
      <c r="AF314" s="519" t="s">
        <v>10716</v>
      </c>
      <c r="AG314" s="1021" t="s">
        <v>9179</v>
      </c>
      <c r="AH314" s="1022" t="s">
        <v>169</v>
      </c>
      <c r="AI314" s="494" t="s">
        <v>2917</v>
      </c>
      <c r="AJ314" s="958">
        <v>1</v>
      </c>
      <c r="AK314" s="959"/>
      <c r="AL314" s="960" t="s">
        <v>5930</v>
      </c>
      <c r="AM314" s="1018">
        <f>_xll.GetCtData("COAMOUNT","CONSAMOUNT",$A$1:$A$7,$D314,AM$10,"#77")</f>
        <v>77</v>
      </c>
    </row>
    <row r="315" spans="1:39">
      <c r="A315" s="427" t="s">
        <v>6610</v>
      </c>
      <c r="B315" s="427" t="s">
        <v>6610</v>
      </c>
      <c r="D315" s="990" t="s">
        <v>1348</v>
      </c>
      <c r="E315" s="949" t="s">
        <v>2930</v>
      </c>
      <c r="F315" s="950">
        <v>10</v>
      </c>
      <c r="G315" s="950"/>
      <c r="H315" s="950"/>
      <c r="I315" s="950"/>
      <c r="J315" s="950"/>
      <c r="K315" s="950"/>
      <c r="L315" s="950"/>
      <c r="M315" s="950"/>
      <c r="N315" s="950"/>
      <c r="O315" s="950"/>
      <c r="P315" s="950"/>
      <c r="Q315" s="1025"/>
      <c r="R315" s="990" t="s">
        <v>10717</v>
      </c>
      <c r="S315" s="1014" t="s">
        <v>10718</v>
      </c>
      <c r="T315" s="1015">
        <f t="shared" si="26"/>
        <v>102</v>
      </c>
      <c r="U315" s="1014" t="s">
        <v>10718</v>
      </c>
      <c r="V315" s="1015">
        <f t="shared" ref="V315:V381" si="27">LEN(U315)</f>
        <v>102</v>
      </c>
      <c r="W315" s="1014" t="s">
        <v>10719</v>
      </c>
      <c r="X315" s="1015">
        <f t="shared" ref="X315:X381" si="28">LEN(W315)</f>
        <v>30</v>
      </c>
      <c r="Y315" s="1016" t="s">
        <v>10720</v>
      </c>
      <c r="Z315" s="1015">
        <f t="shared" ref="Z315:Z381" si="29">LEN(Y315)</f>
        <v>100</v>
      </c>
      <c r="AA315" s="1016" t="s">
        <v>10721</v>
      </c>
      <c r="AB315" s="1015">
        <f t="shared" ref="AB315:AB381" si="30">LEN(AA315)</f>
        <v>99</v>
      </c>
      <c r="AC315" s="1016" t="s">
        <v>10722</v>
      </c>
      <c r="AD315" s="1015">
        <f t="shared" ref="AD315:AD381" si="31">LEN(AC315)</f>
        <v>29</v>
      </c>
      <c r="AE315" s="518" t="s">
        <v>10723</v>
      </c>
      <c r="AF315" s="519" t="s">
        <v>10724</v>
      </c>
      <c r="AG315" s="1021" t="s">
        <v>9179</v>
      </c>
      <c r="AH315" s="1022" t="s">
        <v>169</v>
      </c>
      <c r="AI315" s="494" t="s">
        <v>2917</v>
      </c>
      <c r="AJ315" s="958">
        <v>1</v>
      </c>
      <c r="AK315" s="959"/>
      <c r="AL315" s="960" t="s">
        <v>5930</v>
      </c>
      <c r="AM315" s="1018">
        <f>_xll.GetCtData("COAMOUNT","CONSAMOUNT",$A$1:$A$7,$D315,AM$10,"#")</f>
        <v>0</v>
      </c>
    </row>
    <row r="316" spans="1:39">
      <c r="A316" s="427" t="s">
        <v>6610</v>
      </c>
      <c r="B316" s="427" t="s">
        <v>6610</v>
      </c>
      <c r="D316" s="970" t="s">
        <v>2627</v>
      </c>
      <c r="E316" s="949" t="s">
        <v>2912</v>
      </c>
      <c r="F316" s="950">
        <v>6</v>
      </c>
      <c r="G316" s="950"/>
      <c r="H316" s="950"/>
      <c r="I316" s="950"/>
      <c r="J316" s="950"/>
      <c r="K316" s="950"/>
      <c r="L316" s="950"/>
      <c r="M316" s="970" t="s">
        <v>10725</v>
      </c>
      <c r="N316" s="970"/>
      <c r="O316" s="970"/>
      <c r="P316" s="970"/>
      <c r="Q316" s="970"/>
      <c r="R316" s="970" t="s">
        <v>10725</v>
      </c>
      <c r="S316" s="970" t="s">
        <v>26</v>
      </c>
      <c r="T316" s="1031">
        <f t="shared" si="26"/>
        <v>85</v>
      </c>
      <c r="U316" s="970" t="s">
        <v>26</v>
      </c>
      <c r="V316" s="1031">
        <f t="shared" si="27"/>
        <v>85</v>
      </c>
      <c r="W316" s="970" t="s">
        <v>10726</v>
      </c>
      <c r="X316" s="1031">
        <f t="shared" si="28"/>
        <v>30</v>
      </c>
      <c r="Y316" s="970" t="s">
        <v>10727</v>
      </c>
      <c r="Z316" s="1031">
        <f t="shared" si="29"/>
        <v>58</v>
      </c>
      <c r="AA316" s="970" t="s">
        <v>10727</v>
      </c>
      <c r="AB316" s="1031">
        <f t="shared" si="30"/>
        <v>58</v>
      </c>
      <c r="AC316" s="970" t="s">
        <v>10728</v>
      </c>
      <c r="AD316" s="1031">
        <f t="shared" si="31"/>
        <v>30</v>
      </c>
      <c r="AE316" s="972"/>
      <c r="AF316" s="972"/>
      <c r="AG316" s="956"/>
      <c r="AH316" s="957"/>
      <c r="AI316" s="494" t="s">
        <v>2917</v>
      </c>
      <c r="AJ316" s="958">
        <v>1</v>
      </c>
      <c r="AK316" s="959"/>
      <c r="AL316" s="960"/>
      <c r="AM316" s="974">
        <f>_xll.GetCtData("COAMOUNT","CONSAMOUNT",$A$1:$A$7,$D316,AM$10,"#5961058,6886406")</f>
        <v>5961058</v>
      </c>
    </row>
    <row r="317" spans="1:39">
      <c r="A317" s="427" t="s">
        <v>6610</v>
      </c>
      <c r="B317" s="427" t="s">
        <v>6610</v>
      </c>
      <c r="D317" s="1009" t="s">
        <v>10729</v>
      </c>
      <c r="E317" s="949" t="s">
        <v>2912</v>
      </c>
      <c r="F317" s="950">
        <v>7</v>
      </c>
      <c r="G317" s="950"/>
      <c r="H317" s="950"/>
      <c r="I317" s="950"/>
      <c r="J317" s="950"/>
      <c r="K317" s="950"/>
      <c r="L317" s="950"/>
      <c r="M317" s="950"/>
      <c r="N317" s="1009" t="s">
        <v>10730</v>
      </c>
      <c r="O317" s="975"/>
      <c r="P317" s="975"/>
      <c r="Q317" s="410"/>
      <c r="R317" s="1009" t="s">
        <v>10730</v>
      </c>
      <c r="S317" s="410" t="s">
        <v>10731</v>
      </c>
      <c r="T317" s="976">
        <f t="shared" si="26"/>
        <v>55</v>
      </c>
      <c r="U317" s="410" t="s">
        <v>10731</v>
      </c>
      <c r="V317" s="976">
        <f t="shared" si="27"/>
        <v>55</v>
      </c>
      <c r="W317" s="410" t="s">
        <v>10732</v>
      </c>
      <c r="X317" s="976">
        <f t="shared" si="28"/>
        <v>15</v>
      </c>
      <c r="Y317" s="977" t="s">
        <v>10733</v>
      </c>
      <c r="Z317" s="976">
        <f t="shared" si="29"/>
        <v>48</v>
      </c>
      <c r="AA317" s="977" t="s">
        <v>10733</v>
      </c>
      <c r="AB317" s="976">
        <f t="shared" si="30"/>
        <v>48</v>
      </c>
      <c r="AC317" s="977" t="s">
        <v>10734</v>
      </c>
      <c r="AD317" s="976">
        <f t="shared" si="31"/>
        <v>30</v>
      </c>
      <c r="AE317" s="976"/>
      <c r="AF317" s="976"/>
      <c r="AG317" s="956"/>
      <c r="AH317" s="957"/>
      <c r="AI317" s="494" t="s">
        <v>2917</v>
      </c>
      <c r="AJ317" s="958">
        <v>1</v>
      </c>
      <c r="AK317" s="959"/>
      <c r="AL317" s="960"/>
      <c r="AM317" s="980">
        <f>_xll.GetCtData("COAMOUNT","CONSAMOUNT",$A$1:$A$7,$D317,AM$10,"#-636155")</f>
        <v>-636155</v>
      </c>
    </row>
    <row r="318" spans="1:39">
      <c r="A318" s="427" t="s">
        <v>6610</v>
      </c>
      <c r="B318" s="427" t="s">
        <v>6610</v>
      </c>
      <c r="D318" s="950" t="s">
        <v>1329</v>
      </c>
      <c r="E318" s="949" t="s">
        <v>2930</v>
      </c>
      <c r="F318" s="950">
        <v>10</v>
      </c>
      <c r="G318" s="950"/>
      <c r="H318" s="950"/>
      <c r="I318" s="950"/>
      <c r="J318" s="950"/>
      <c r="K318" s="950"/>
      <c r="L318" s="950"/>
      <c r="M318" s="950"/>
      <c r="N318" s="950"/>
      <c r="O318" s="950"/>
      <c r="P318" s="950"/>
      <c r="Q318" s="950"/>
      <c r="R318" s="950" t="s">
        <v>10735</v>
      </c>
      <c r="S318" s="950" t="s">
        <v>10736</v>
      </c>
      <c r="T318" s="1026">
        <f t="shared" si="26"/>
        <v>44</v>
      </c>
      <c r="U318" s="950" t="s">
        <v>10736</v>
      </c>
      <c r="V318" s="1026">
        <f t="shared" si="27"/>
        <v>44</v>
      </c>
      <c r="W318" s="950" t="s">
        <v>10737</v>
      </c>
      <c r="X318" s="1026">
        <f t="shared" si="28"/>
        <v>23</v>
      </c>
      <c r="Y318" s="956" t="s">
        <v>10738</v>
      </c>
      <c r="Z318" s="1026">
        <f t="shared" si="29"/>
        <v>45</v>
      </c>
      <c r="AA318" s="956" t="s">
        <v>10738</v>
      </c>
      <c r="AB318" s="1026">
        <f t="shared" si="30"/>
        <v>45</v>
      </c>
      <c r="AC318" s="956" t="s">
        <v>10739</v>
      </c>
      <c r="AD318" s="1026">
        <f t="shared" si="31"/>
        <v>28</v>
      </c>
      <c r="AE318" s="518" t="s">
        <v>10740</v>
      </c>
      <c r="AF318" s="519" t="s">
        <v>10741</v>
      </c>
      <c r="AG318" s="995" t="s">
        <v>9179</v>
      </c>
      <c r="AH318" s="996" t="s">
        <v>169</v>
      </c>
      <c r="AI318" s="494" t="s">
        <v>2917</v>
      </c>
      <c r="AJ318" s="958">
        <v>1</v>
      </c>
      <c r="AK318" s="959"/>
      <c r="AL318" s="960"/>
      <c r="AM318" s="1027">
        <f>_xll.GetCtData("COAMOUNT","CONSAMOUNT",$A$1:$A$7,$D318,AM$10,"#-636442")</f>
        <v>-636442</v>
      </c>
    </row>
    <row r="319" spans="1:39">
      <c r="A319" s="427" t="s">
        <v>6610</v>
      </c>
      <c r="B319" s="427" t="s">
        <v>6610</v>
      </c>
      <c r="D319" s="950" t="s">
        <v>1330</v>
      </c>
      <c r="E319" s="949" t="s">
        <v>2930</v>
      </c>
      <c r="F319" s="950">
        <v>10</v>
      </c>
      <c r="G319" s="950"/>
      <c r="H319" s="950"/>
      <c r="I319" s="950"/>
      <c r="J319" s="950"/>
      <c r="K319" s="950"/>
      <c r="L319" s="950"/>
      <c r="M319" s="950"/>
      <c r="N319" s="950"/>
      <c r="O319" s="950"/>
      <c r="P319" s="950"/>
      <c r="Q319" s="950"/>
      <c r="R319" s="950" t="s">
        <v>10742</v>
      </c>
      <c r="S319" s="950" t="s">
        <v>10743</v>
      </c>
      <c r="T319" s="1026">
        <f t="shared" si="26"/>
        <v>45</v>
      </c>
      <c r="U319" s="950" t="s">
        <v>10743</v>
      </c>
      <c r="V319" s="1026">
        <f t="shared" si="27"/>
        <v>45</v>
      </c>
      <c r="W319" s="950" t="s">
        <v>10744</v>
      </c>
      <c r="X319" s="1026">
        <f t="shared" si="28"/>
        <v>26</v>
      </c>
      <c r="Y319" s="956" t="s">
        <v>10745</v>
      </c>
      <c r="Z319" s="1026">
        <f t="shared" si="29"/>
        <v>45</v>
      </c>
      <c r="AA319" s="956" t="s">
        <v>10745</v>
      </c>
      <c r="AB319" s="1026">
        <f t="shared" si="30"/>
        <v>45</v>
      </c>
      <c r="AC319" s="956" t="s">
        <v>10746</v>
      </c>
      <c r="AD319" s="1026">
        <f t="shared" si="31"/>
        <v>28</v>
      </c>
      <c r="AE319" s="518" t="s">
        <v>10747</v>
      </c>
      <c r="AF319" s="519" t="s">
        <v>10748</v>
      </c>
      <c r="AG319" s="995" t="s">
        <v>9179</v>
      </c>
      <c r="AH319" s="996" t="s">
        <v>169</v>
      </c>
      <c r="AI319" s="494" t="s">
        <v>2917</v>
      </c>
      <c r="AJ319" s="958">
        <v>1</v>
      </c>
      <c r="AK319" s="959"/>
      <c r="AL319" s="960"/>
      <c r="AM319" s="1027">
        <f>_xll.GetCtData("COAMOUNT","CONSAMOUNT",$A$1:$A$7,$D319,AM$10,"#287")</f>
        <v>287</v>
      </c>
    </row>
    <row r="320" spans="1:39">
      <c r="A320" s="427" t="s">
        <v>6610</v>
      </c>
      <c r="B320" s="427" t="s">
        <v>6610</v>
      </c>
      <c r="D320" s="1009" t="s">
        <v>10749</v>
      </c>
      <c r="E320" s="949" t="s">
        <v>2912</v>
      </c>
      <c r="F320" s="950">
        <v>7</v>
      </c>
      <c r="G320" s="950"/>
      <c r="H320" s="950"/>
      <c r="I320" s="950"/>
      <c r="J320" s="950"/>
      <c r="K320" s="950"/>
      <c r="L320" s="950"/>
      <c r="M320" s="950"/>
      <c r="N320" s="1009" t="s">
        <v>10750</v>
      </c>
      <c r="O320" s="975"/>
      <c r="P320" s="975"/>
      <c r="Q320" s="410"/>
      <c r="R320" s="1009" t="s">
        <v>10750</v>
      </c>
      <c r="S320" s="410" t="s">
        <v>10751</v>
      </c>
      <c r="T320" s="976">
        <f t="shared" si="26"/>
        <v>28</v>
      </c>
      <c r="U320" s="410" t="s">
        <v>10751</v>
      </c>
      <c r="V320" s="976">
        <f t="shared" si="27"/>
        <v>28</v>
      </c>
      <c r="W320" s="410" t="s">
        <v>10751</v>
      </c>
      <c r="X320" s="976">
        <f t="shared" si="28"/>
        <v>28</v>
      </c>
      <c r="Y320" s="977" t="s">
        <v>10752</v>
      </c>
      <c r="Z320" s="976">
        <f t="shared" si="29"/>
        <v>28</v>
      </c>
      <c r="AA320" s="977" t="s">
        <v>10753</v>
      </c>
      <c r="AB320" s="976">
        <f t="shared" si="30"/>
        <v>26</v>
      </c>
      <c r="AC320" s="977" t="s">
        <v>10752</v>
      </c>
      <c r="AD320" s="976">
        <f t="shared" si="31"/>
        <v>28</v>
      </c>
      <c r="AE320" s="976"/>
      <c r="AF320" s="976"/>
      <c r="AG320" s="956"/>
      <c r="AH320" s="957"/>
      <c r="AI320" s="494" t="s">
        <v>2917</v>
      </c>
      <c r="AJ320" s="958">
        <v>1</v>
      </c>
      <c r="AK320" s="959"/>
      <c r="AL320" s="960" t="s">
        <v>5930</v>
      </c>
      <c r="AM320" s="980">
        <f>_xll.GetCtData("COAMOUNT","CONSAMOUNT",$A$1:$A$7,$D320,AM$10,"#222778,561879745")</f>
        <v>222778</v>
      </c>
    </row>
    <row r="321" spans="1:39">
      <c r="A321" s="427" t="s">
        <v>6610</v>
      </c>
      <c r="B321" s="427" t="s">
        <v>6610</v>
      </c>
      <c r="D321" s="990" t="s">
        <v>1331</v>
      </c>
      <c r="E321" s="949" t="s">
        <v>2930</v>
      </c>
      <c r="F321" s="950">
        <v>10</v>
      </c>
      <c r="G321" s="950"/>
      <c r="H321" s="950"/>
      <c r="I321" s="950"/>
      <c r="J321" s="950"/>
      <c r="K321" s="950"/>
      <c r="L321" s="950"/>
      <c r="M321" s="950"/>
      <c r="N321" s="950"/>
      <c r="O321" s="950"/>
      <c r="P321" s="950"/>
      <c r="Q321" s="950"/>
      <c r="R321" s="990" t="s">
        <v>10754</v>
      </c>
      <c r="S321" s="992" t="s">
        <v>10755</v>
      </c>
      <c r="T321" s="993">
        <f t="shared" si="26"/>
        <v>60</v>
      </c>
      <c r="U321" s="992" t="s">
        <v>10755</v>
      </c>
      <c r="V321" s="993">
        <f t="shared" si="27"/>
        <v>60</v>
      </c>
      <c r="W321" s="992" t="s">
        <v>10756</v>
      </c>
      <c r="X321" s="993">
        <f t="shared" si="28"/>
        <v>28</v>
      </c>
      <c r="Y321" s="994" t="s">
        <v>10757</v>
      </c>
      <c r="Z321" s="993">
        <f t="shared" si="29"/>
        <v>59</v>
      </c>
      <c r="AA321" s="994" t="s">
        <v>10757</v>
      </c>
      <c r="AB321" s="993">
        <f t="shared" si="30"/>
        <v>59</v>
      </c>
      <c r="AC321" s="994" t="s">
        <v>10758</v>
      </c>
      <c r="AD321" s="993">
        <f t="shared" si="31"/>
        <v>29</v>
      </c>
      <c r="AE321" s="518" t="s">
        <v>10759</v>
      </c>
      <c r="AF321" s="519" t="s">
        <v>10760</v>
      </c>
      <c r="AG321" s="1021" t="s">
        <v>9179</v>
      </c>
      <c r="AH321" s="1022" t="s">
        <v>169</v>
      </c>
      <c r="AI321" s="494" t="s">
        <v>2917</v>
      </c>
      <c r="AJ321" s="958">
        <v>1</v>
      </c>
      <c r="AK321" s="959"/>
      <c r="AL321" s="960"/>
      <c r="AM321" s="997">
        <f>_xll.GetCtData("COAMOUNT","CONSAMOUNT",$A$1:$A$7,$D321,AM$10,"#3819030,55271332")</f>
        <v>3819030</v>
      </c>
    </row>
    <row r="322" spans="1:39">
      <c r="A322" s="427" t="s">
        <v>6610</v>
      </c>
      <c r="B322" s="427" t="s">
        <v>6610</v>
      </c>
      <c r="D322" s="990" t="s">
        <v>1332</v>
      </c>
      <c r="E322" s="949" t="s">
        <v>2930</v>
      </c>
      <c r="F322" s="950">
        <v>10</v>
      </c>
      <c r="G322" s="950"/>
      <c r="H322" s="950"/>
      <c r="I322" s="950"/>
      <c r="J322" s="950"/>
      <c r="K322" s="950"/>
      <c r="L322" s="950"/>
      <c r="M322" s="950"/>
      <c r="N322" s="950"/>
      <c r="O322" s="950"/>
      <c r="P322" s="950"/>
      <c r="Q322" s="950"/>
      <c r="R322" s="990" t="s">
        <v>10761</v>
      </c>
      <c r="S322" s="992" t="s">
        <v>10762</v>
      </c>
      <c r="T322" s="993">
        <f t="shared" si="26"/>
        <v>59</v>
      </c>
      <c r="U322" s="992" t="s">
        <v>10762</v>
      </c>
      <c r="V322" s="993">
        <f t="shared" si="27"/>
        <v>59</v>
      </c>
      <c r="W322" s="992" t="s">
        <v>10763</v>
      </c>
      <c r="X322" s="993">
        <f t="shared" si="28"/>
        <v>28</v>
      </c>
      <c r="Y322" s="994" t="s">
        <v>10764</v>
      </c>
      <c r="Z322" s="993">
        <f t="shared" si="29"/>
        <v>59</v>
      </c>
      <c r="AA322" s="994" t="s">
        <v>10764</v>
      </c>
      <c r="AB322" s="993">
        <f t="shared" si="30"/>
        <v>59</v>
      </c>
      <c r="AC322" s="994" t="s">
        <v>10765</v>
      </c>
      <c r="AD322" s="993">
        <f t="shared" si="31"/>
        <v>29</v>
      </c>
      <c r="AE322" s="518" t="s">
        <v>10759</v>
      </c>
      <c r="AF322" s="519" t="s">
        <v>10760</v>
      </c>
      <c r="AG322" s="1021" t="s">
        <v>9179</v>
      </c>
      <c r="AH322" s="1022" t="s">
        <v>169</v>
      </c>
      <c r="AI322" s="494" t="s">
        <v>2917</v>
      </c>
      <c r="AJ322" s="958">
        <v>1</v>
      </c>
      <c r="AK322" s="959"/>
      <c r="AL322" s="960"/>
      <c r="AM322" s="997">
        <f>_xll.GetCtData("COAMOUNT","CONSAMOUNT",$A$1:$A$7,$D322,AM$10,"#-2240958,29591953")</f>
        <v>-2240958</v>
      </c>
    </row>
    <row r="323" spans="1:39">
      <c r="A323" s="427" t="s">
        <v>6610</v>
      </c>
      <c r="B323" s="427" t="s">
        <v>6610</v>
      </c>
      <c r="D323" s="990" t="s">
        <v>1333</v>
      </c>
      <c r="E323" s="949" t="s">
        <v>2930</v>
      </c>
      <c r="F323" s="950">
        <v>10</v>
      </c>
      <c r="G323" s="950"/>
      <c r="H323" s="950"/>
      <c r="I323" s="950"/>
      <c r="J323" s="950"/>
      <c r="K323" s="950"/>
      <c r="L323" s="950"/>
      <c r="M323" s="950"/>
      <c r="N323" s="950"/>
      <c r="O323" s="950"/>
      <c r="P323" s="950"/>
      <c r="Q323" s="950"/>
      <c r="R323" s="990" t="s">
        <v>10766</v>
      </c>
      <c r="S323" s="992" t="s">
        <v>10767</v>
      </c>
      <c r="T323" s="993">
        <f t="shared" si="26"/>
        <v>70</v>
      </c>
      <c r="U323" s="992" t="s">
        <v>10767</v>
      </c>
      <c r="V323" s="993">
        <f t="shared" si="27"/>
        <v>70</v>
      </c>
      <c r="W323" s="992" t="s">
        <v>10768</v>
      </c>
      <c r="X323" s="993">
        <f t="shared" si="28"/>
        <v>28</v>
      </c>
      <c r="Y323" s="994" t="s">
        <v>10769</v>
      </c>
      <c r="Z323" s="993">
        <f t="shared" si="29"/>
        <v>61</v>
      </c>
      <c r="AA323" s="994" t="s">
        <v>10769</v>
      </c>
      <c r="AB323" s="993">
        <f t="shared" si="30"/>
        <v>61</v>
      </c>
      <c r="AC323" s="994" t="s">
        <v>10770</v>
      </c>
      <c r="AD323" s="993">
        <f t="shared" si="31"/>
        <v>30</v>
      </c>
      <c r="AE323" s="518" t="s">
        <v>10382</v>
      </c>
      <c r="AF323" s="519" t="s">
        <v>10383</v>
      </c>
      <c r="AG323" s="1021" t="s">
        <v>9179</v>
      </c>
      <c r="AH323" s="1022" t="s">
        <v>169</v>
      </c>
      <c r="AI323" s="494" t="s">
        <v>2917</v>
      </c>
      <c r="AJ323" s="958">
        <v>1</v>
      </c>
      <c r="AK323" s="959"/>
      <c r="AL323" s="960"/>
      <c r="AM323" s="997">
        <f>_xll.GetCtData("COAMOUNT","CONSAMOUNT",$A$1:$A$7,$D323,AM$10,"#495707,305085955")</f>
        <v>495707</v>
      </c>
    </row>
    <row r="324" spans="1:39">
      <c r="A324" s="427" t="s">
        <v>6610</v>
      </c>
      <c r="B324" s="427" t="s">
        <v>6610</v>
      </c>
      <c r="D324" s="990" t="s">
        <v>1334</v>
      </c>
      <c r="E324" s="949" t="s">
        <v>2930</v>
      </c>
      <c r="F324" s="950">
        <v>10</v>
      </c>
      <c r="G324" s="950"/>
      <c r="H324" s="950"/>
      <c r="I324" s="950"/>
      <c r="J324" s="950"/>
      <c r="K324" s="950"/>
      <c r="L324" s="950"/>
      <c r="M324" s="950"/>
      <c r="N324" s="950"/>
      <c r="O324" s="950"/>
      <c r="P324" s="950"/>
      <c r="Q324" s="950"/>
      <c r="R324" s="990" t="s">
        <v>10771</v>
      </c>
      <c r="S324" s="992" t="s">
        <v>10772</v>
      </c>
      <c r="T324" s="993">
        <f t="shared" si="26"/>
        <v>69</v>
      </c>
      <c r="U324" s="992" t="s">
        <v>10772</v>
      </c>
      <c r="V324" s="993">
        <f t="shared" si="27"/>
        <v>69</v>
      </c>
      <c r="W324" s="992" t="s">
        <v>10773</v>
      </c>
      <c r="X324" s="993">
        <f t="shared" si="28"/>
        <v>28</v>
      </c>
      <c r="Y324" s="994" t="s">
        <v>10774</v>
      </c>
      <c r="Z324" s="993">
        <f t="shared" si="29"/>
        <v>61</v>
      </c>
      <c r="AA324" s="994" t="s">
        <v>10774</v>
      </c>
      <c r="AB324" s="993">
        <f t="shared" si="30"/>
        <v>61</v>
      </c>
      <c r="AC324" s="994" t="s">
        <v>10775</v>
      </c>
      <c r="AD324" s="993">
        <f t="shared" si="31"/>
        <v>30</v>
      </c>
      <c r="AE324" s="518" t="s">
        <v>10382</v>
      </c>
      <c r="AF324" s="519" t="s">
        <v>10383</v>
      </c>
      <c r="AG324" s="1021" t="s">
        <v>9179</v>
      </c>
      <c r="AH324" s="1022" t="s">
        <v>169</v>
      </c>
      <c r="AI324" s="494" t="s">
        <v>2917</v>
      </c>
      <c r="AJ324" s="958">
        <v>1</v>
      </c>
      <c r="AK324" s="959"/>
      <c r="AL324" s="960"/>
      <c r="AM324" s="997">
        <f>_xll.GetCtData("COAMOUNT","CONSAMOUNT",$A$1:$A$7,$D324,AM$10,"#-1851001")</f>
        <v>-1851001</v>
      </c>
    </row>
    <row r="325" spans="1:39">
      <c r="A325" s="427" t="s">
        <v>6610</v>
      </c>
      <c r="B325" s="427" t="s">
        <v>6610</v>
      </c>
      <c r="D325" s="1009" t="s">
        <v>10776</v>
      </c>
      <c r="E325" s="949" t="s">
        <v>2912</v>
      </c>
      <c r="F325" s="950">
        <v>7</v>
      </c>
      <c r="G325" s="950"/>
      <c r="H325" s="950"/>
      <c r="I325" s="950"/>
      <c r="J325" s="950"/>
      <c r="K325" s="950"/>
      <c r="L325" s="950"/>
      <c r="M325" s="950"/>
      <c r="N325" s="1009" t="s">
        <v>10777</v>
      </c>
      <c r="O325" s="975"/>
      <c r="P325" s="975"/>
      <c r="Q325" s="410"/>
      <c r="R325" s="1009" t="s">
        <v>10777</v>
      </c>
      <c r="S325" s="410" t="s">
        <v>10778</v>
      </c>
      <c r="T325" s="976">
        <f t="shared" si="26"/>
        <v>39</v>
      </c>
      <c r="U325" s="410" t="s">
        <v>10778</v>
      </c>
      <c r="V325" s="976">
        <f t="shared" si="27"/>
        <v>39</v>
      </c>
      <c r="W325" s="410" t="s">
        <v>10779</v>
      </c>
      <c r="X325" s="976">
        <f t="shared" si="28"/>
        <v>25</v>
      </c>
      <c r="Y325" s="977" t="s">
        <v>10780</v>
      </c>
      <c r="Z325" s="976">
        <f t="shared" si="29"/>
        <v>33</v>
      </c>
      <c r="AA325" s="977" t="s">
        <v>10780</v>
      </c>
      <c r="AB325" s="976">
        <f t="shared" si="30"/>
        <v>33</v>
      </c>
      <c r="AC325" s="977" t="s">
        <v>10781</v>
      </c>
      <c r="AD325" s="976">
        <f t="shared" si="31"/>
        <v>26</v>
      </c>
      <c r="AE325" s="976"/>
      <c r="AF325" s="976"/>
      <c r="AG325" s="956"/>
      <c r="AH325" s="957"/>
      <c r="AI325" s="494" t="s">
        <v>2917</v>
      </c>
      <c r="AJ325" s="958">
        <v>1</v>
      </c>
      <c r="AK325" s="959"/>
      <c r="AL325" s="960"/>
      <c r="AM325" s="980">
        <f>_xll.GetCtData("COAMOUNT","CONSAMOUNT",$A$1:$A$7,$D325,AM$10,"#-360226")</f>
        <v>-360226</v>
      </c>
    </row>
    <row r="326" spans="1:39">
      <c r="A326" s="427" t="s">
        <v>6610</v>
      </c>
      <c r="B326" s="427" t="s">
        <v>6610</v>
      </c>
      <c r="D326" s="990" t="s">
        <v>1335</v>
      </c>
      <c r="E326" s="949" t="s">
        <v>2930</v>
      </c>
      <c r="F326" s="950">
        <v>10</v>
      </c>
      <c r="G326" s="950"/>
      <c r="H326" s="950"/>
      <c r="I326" s="950"/>
      <c r="J326" s="950"/>
      <c r="K326" s="950"/>
      <c r="L326" s="950"/>
      <c r="M326" s="950"/>
      <c r="N326" s="950"/>
      <c r="O326" s="950"/>
      <c r="P326" s="950"/>
      <c r="Q326" s="950"/>
      <c r="R326" s="990" t="s">
        <v>10782</v>
      </c>
      <c r="S326" s="992" t="s">
        <v>10783</v>
      </c>
      <c r="T326" s="993">
        <f t="shared" si="26"/>
        <v>71</v>
      </c>
      <c r="U326" s="992" t="s">
        <v>10783</v>
      </c>
      <c r="V326" s="993">
        <f t="shared" si="27"/>
        <v>71</v>
      </c>
      <c r="W326" s="992" t="s">
        <v>10784</v>
      </c>
      <c r="X326" s="993">
        <f t="shared" si="28"/>
        <v>30</v>
      </c>
      <c r="Y326" s="994" t="s">
        <v>10785</v>
      </c>
      <c r="Z326" s="993">
        <f t="shared" si="29"/>
        <v>66</v>
      </c>
      <c r="AA326" s="994" t="s">
        <v>10785</v>
      </c>
      <c r="AB326" s="993">
        <f t="shared" si="30"/>
        <v>66</v>
      </c>
      <c r="AC326" s="994" t="s">
        <v>10786</v>
      </c>
      <c r="AD326" s="993">
        <f t="shared" si="31"/>
        <v>30</v>
      </c>
      <c r="AE326" s="518" t="s">
        <v>10787</v>
      </c>
      <c r="AF326" s="519" t="s">
        <v>10788</v>
      </c>
      <c r="AG326" s="1021" t="s">
        <v>9179</v>
      </c>
      <c r="AH326" s="1022" t="s">
        <v>169</v>
      </c>
      <c r="AI326" s="494" t="s">
        <v>2917</v>
      </c>
      <c r="AJ326" s="958">
        <v>1</v>
      </c>
      <c r="AK326" s="959"/>
      <c r="AL326" s="960"/>
      <c r="AM326" s="997">
        <f>_xll.GetCtData("COAMOUNT","CONSAMOUNT",$A$1:$A$7,$D326,AM$10,"#59296")</f>
        <v>59296</v>
      </c>
    </row>
    <row r="327" spans="1:39">
      <c r="A327" s="427" t="s">
        <v>6610</v>
      </c>
      <c r="B327" s="427" t="s">
        <v>6610</v>
      </c>
      <c r="D327" s="990" t="s">
        <v>1336</v>
      </c>
      <c r="E327" s="949" t="s">
        <v>2930</v>
      </c>
      <c r="F327" s="950">
        <v>10</v>
      </c>
      <c r="G327" s="950"/>
      <c r="H327" s="950"/>
      <c r="I327" s="950"/>
      <c r="J327" s="950"/>
      <c r="K327" s="950"/>
      <c r="L327" s="950"/>
      <c r="M327" s="950"/>
      <c r="N327" s="950"/>
      <c r="O327" s="950"/>
      <c r="P327" s="950"/>
      <c r="Q327" s="950"/>
      <c r="R327" s="990" t="s">
        <v>10789</v>
      </c>
      <c r="S327" s="992" t="s">
        <v>10790</v>
      </c>
      <c r="T327" s="993">
        <f t="shared" si="26"/>
        <v>70</v>
      </c>
      <c r="U327" s="992" t="s">
        <v>10790</v>
      </c>
      <c r="V327" s="993">
        <f t="shared" si="27"/>
        <v>70</v>
      </c>
      <c r="W327" s="992" t="s">
        <v>10791</v>
      </c>
      <c r="X327" s="993">
        <f t="shared" si="28"/>
        <v>30</v>
      </c>
      <c r="Y327" s="994" t="s">
        <v>10792</v>
      </c>
      <c r="Z327" s="993">
        <f t="shared" si="29"/>
        <v>66</v>
      </c>
      <c r="AA327" s="994" t="s">
        <v>10792</v>
      </c>
      <c r="AB327" s="993">
        <f t="shared" si="30"/>
        <v>66</v>
      </c>
      <c r="AC327" s="994" t="s">
        <v>10793</v>
      </c>
      <c r="AD327" s="993">
        <f t="shared" si="31"/>
        <v>30</v>
      </c>
      <c r="AE327" s="518" t="s">
        <v>10787</v>
      </c>
      <c r="AF327" s="519" t="s">
        <v>10788</v>
      </c>
      <c r="AG327" s="1021" t="s">
        <v>9179</v>
      </c>
      <c r="AH327" s="1022" t="s">
        <v>169</v>
      </c>
      <c r="AI327" s="494" t="s">
        <v>2917</v>
      </c>
      <c r="AJ327" s="958">
        <v>1</v>
      </c>
      <c r="AK327" s="959"/>
      <c r="AL327" s="960"/>
      <c r="AM327" s="997">
        <f>_xll.GetCtData("COAMOUNT","CONSAMOUNT",$A$1:$A$7,$D327,AM$10,"#-419522")</f>
        <v>-419522</v>
      </c>
    </row>
    <row r="328" spans="1:39">
      <c r="A328" s="427" t="s">
        <v>6610</v>
      </c>
      <c r="B328" s="427" t="s">
        <v>6610</v>
      </c>
      <c r="D328" s="1009" t="s">
        <v>10794</v>
      </c>
      <c r="E328" s="949" t="s">
        <v>2912</v>
      </c>
      <c r="F328" s="950">
        <v>7</v>
      </c>
      <c r="G328" s="950"/>
      <c r="H328" s="950"/>
      <c r="I328" s="950"/>
      <c r="J328" s="950"/>
      <c r="K328" s="950"/>
      <c r="L328" s="950"/>
      <c r="M328" s="950"/>
      <c r="N328" s="1009" t="s">
        <v>10795</v>
      </c>
      <c r="O328" s="975"/>
      <c r="P328" s="975"/>
      <c r="Q328" s="410"/>
      <c r="R328" s="1009" t="s">
        <v>10795</v>
      </c>
      <c r="S328" s="410" t="s">
        <v>10796</v>
      </c>
      <c r="T328" s="976">
        <f t="shared" si="26"/>
        <v>37</v>
      </c>
      <c r="U328" s="410" t="s">
        <v>10796</v>
      </c>
      <c r="V328" s="976">
        <f t="shared" si="27"/>
        <v>37</v>
      </c>
      <c r="W328" s="410" t="s">
        <v>10797</v>
      </c>
      <c r="X328" s="976">
        <f t="shared" si="28"/>
        <v>29</v>
      </c>
      <c r="Y328" s="977" t="s">
        <v>10798</v>
      </c>
      <c r="Z328" s="976">
        <f t="shared" si="29"/>
        <v>39</v>
      </c>
      <c r="AA328" s="977" t="s">
        <v>10798</v>
      </c>
      <c r="AB328" s="976">
        <f t="shared" si="30"/>
        <v>39</v>
      </c>
      <c r="AC328" s="977" t="s">
        <v>10799</v>
      </c>
      <c r="AD328" s="976">
        <f t="shared" si="31"/>
        <v>26</v>
      </c>
      <c r="AE328" s="976"/>
      <c r="AF328" s="976"/>
      <c r="AG328" s="956"/>
      <c r="AH328" s="957"/>
      <c r="AI328" s="494" t="s">
        <v>2917</v>
      </c>
      <c r="AJ328" s="958">
        <v>1</v>
      </c>
      <c r="AK328" s="959"/>
      <c r="AL328" s="960"/>
      <c r="AM328" s="980">
        <f>_xll.GetCtData("COAMOUNT","CONSAMOUNT",$A$1:$A$7,$D328,AM$10,"#-1526299")</f>
        <v>-1526299</v>
      </c>
    </row>
    <row r="329" spans="1:39">
      <c r="A329" s="427" t="s">
        <v>6610</v>
      </c>
      <c r="B329" s="427" t="s">
        <v>6610</v>
      </c>
      <c r="D329" s="990" t="s">
        <v>1340</v>
      </c>
      <c r="E329" s="949" t="s">
        <v>2930</v>
      </c>
      <c r="F329" s="950">
        <v>10</v>
      </c>
      <c r="G329" s="950"/>
      <c r="H329" s="950"/>
      <c r="I329" s="950"/>
      <c r="J329" s="950"/>
      <c r="K329" s="950"/>
      <c r="L329" s="950"/>
      <c r="M329" s="950"/>
      <c r="N329" s="950"/>
      <c r="O329" s="950"/>
      <c r="P329" s="950"/>
      <c r="Q329" s="991"/>
      <c r="R329" s="990" t="s">
        <v>10800</v>
      </c>
      <c r="S329" s="992" t="s">
        <v>10801</v>
      </c>
      <c r="T329" s="993">
        <f t="shared" si="26"/>
        <v>40</v>
      </c>
      <c r="U329" s="992" t="s">
        <v>10801</v>
      </c>
      <c r="V329" s="993">
        <f t="shared" si="27"/>
        <v>40</v>
      </c>
      <c r="W329" s="992" t="s">
        <v>10802</v>
      </c>
      <c r="X329" s="993">
        <f t="shared" si="28"/>
        <v>30</v>
      </c>
      <c r="Y329" s="994" t="s">
        <v>10803</v>
      </c>
      <c r="Z329" s="993">
        <f t="shared" si="29"/>
        <v>48</v>
      </c>
      <c r="AA329" s="994" t="s">
        <v>10803</v>
      </c>
      <c r="AB329" s="993">
        <f t="shared" si="30"/>
        <v>48</v>
      </c>
      <c r="AC329" s="994" t="s">
        <v>10804</v>
      </c>
      <c r="AD329" s="993">
        <f t="shared" si="31"/>
        <v>24</v>
      </c>
      <c r="AE329" s="518" t="s">
        <v>10805</v>
      </c>
      <c r="AF329" s="519" t="s">
        <v>10806</v>
      </c>
      <c r="AG329" s="995" t="s">
        <v>9179</v>
      </c>
      <c r="AH329" s="996" t="s">
        <v>169</v>
      </c>
      <c r="AI329" s="494" t="s">
        <v>2917</v>
      </c>
      <c r="AJ329" s="958">
        <v>1</v>
      </c>
      <c r="AK329" s="959"/>
      <c r="AL329" s="960"/>
      <c r="AM329" s="997">
        <f>_xll.GetCtData("COAMOUNT","CONSAMOUNT",$A$1:$A$7,$D329,AM$10,"#905182")</f>
        <v>905182</v>
      </c>
    </row>
    <row r="330" spans="1:39">
      <c r="A330" s="427" t="s">
        <v>6610</v>
      </c>
      <c r="B330" s="427" t="s">
        <v>6610</v>
      </c>
      <c r="D330" s="990" t="s">
        <v>1337</v>
      </c>
      <c r="E330" s="949" t="s">
        <v>2930</v>
      </c>
      <c r="F330" s="950">
        <v>10</v>
      </c>
      <c r="G330" s="950"/>
      <c r="H330" s="950"/>
      <c r="I330" s="950"/>
      <c r="J330" s="950"/>
      <c r="K330" s="950"/>
      <c r="L330" s="950"/>
      <c r="M330" s="950"/>
      <c r="N330" s="950"/>
      <c r="O330" s="950"/>
      <c r="P330" s="950"/>
      <c r="Q330" s="991"/>
      <c r="R330" s="990" t="s">
        <v>10807</v>
      </c>
      <c r="S330" s="992" t="s">
        <v>10808</v>
      </c>
      <c r="T330" s="993">
        <f t="shared" si="26"/>
        <v>39</v>
      </c>
      <c r="U330" s="992" t="s">
        <v>10808</v>
      </c>
      <c r="V330" s="993">
        <f t="shared" si="27"/>
        <v>39</v>
      </c>
      <c r="W330" s="992" t="s">
        <v>10809</v>
      </c>
      <c r="X330" s="993">
        <f t="shared" si="28"/>
        <v>30</v>
      </c>
      <c r="Y330" s="994" t="s">
        <v>10810</v>
      </c>
      <c r="Z330" s="993">
        <f t="shared" si="29"/>
        <v>48</v>
      </c>
      <c r="AA330" s="994" t="s">
        <v>10810</v>
      </c>
      <c r="AB330" s="993">
        <f t="shared" si="30"/>
        <v>48</v>
      </c>
      <c r="AC330" s="994" t="s">
        <v>10811</v>
      </c>
      <c r="AD330" s="993">
        <f t="shared" si="31"/>
        <v>24</v>
      </c>
      <c r="AE330" s="518" t="s">
        <v>10518</v>
      </c>
      <c r="AF330" s="519" t="s">
        <v>10519</v>
      </c>
      <c r="AG330" s="995" t="s">
        <v>9179</v>
      </c>
      <c r="AH330" s="996" t="s">
        <v>169</v>
      </c>
      <c r="AI330" s="494" t="s">
        <v>2917</v>
      </c>
      <c r="AJ330" s="958">
        <v>1</v>
      </c>
      <c r="AK330" s="959" t="s">
        <v>5359</v>
      </c>
      <c r="AL330" s="960" t="s">
        <v>10255</v>
      </c>
      <c r="AM330" s="997">
        <f>_xll.GetCtData("COAMOUNT","CONSAMOUNT",$A$1:$A$7,$D330,AM$10,"#-2431481")</f>
        <v>-2431481</v>
      </c>
    </row>
    <row r="331" spans="1:39">
      <c r="A331" s="427" t="s">
        <v>6610</v>
      </c>
      <c r="B331" s="427" t="s">
        <v>6610</v>
      </c>
      <c r="D331" s="427" t="s">
        <v>1338</v>
      </c>
      <c r="E331" s="949" t="s">
        <v>2930</v>
      </c>
      <c r="F331" s="950">
        <v>10</v>
      </c>
      <c r="G331" s="950"/>
      <c r="H331" s="950"/>
      <c r="I331" s="950"/>
      <c r="J331" s="950"/>
      <c r="K331" s="950"/>
      <c r="L331" s="950"/>
      <c r="M331" s="950"/>
      <c r="N331" s="950"/>
      <c r="O331" s="950"/>
      <c r="P331" s="950"/>
      <c r="Q331" s="991"/>
      <c r="R331" s="427" t="s">
        <v>10812</v>
      </c>
      <c r="S331" s="992" t="s">
        <v>10813</v>
      </c>
      <c r="T331" s="993">
        <f t="shared" si="26"/>
        <v>92</v>
      </c>
      <c r="U331" s="992" t="s">
        <v>10813</v>
      </c>
      <c r="V331" s="993">
        <f t="shared" si="27"/>
        <v>92</v>
      </c>
      <c r="W331" s="992" t="s">
        <v>10814</v>
      </c>
      <c r="X331" s="993">
        <f t="shared" si="28"/>
        <v>30</v>
      </c>
      <c r="Y331" s="994" t="s">
        <v>10815</v>
      </c>
      <c r="Z331" s="993">
        <f t="shared" si="29"/>
        <v>83</v>
      </c>
      <c r="AA331" s="994" t="s">
        <v>10815</v>
      </c>
      <c r="AB331" s="993">
        <f t="shared" si="30"/>
        <v>83</v>
      </c>
      <c r="AC331" s="994" t="s">
        <v>10816</v>
      </c>
      <c r="AD331" s="993">
        <f t="shared" si="31"/>
        <v>30</v>
      </c>
      <c r="AE331" s="518" t="s">
        <v>10817</v>
      </c>
      <c r="AF331" s="519" t="s">
        <v>10818</v>
      </c>
      <c r="AG331" s="995" t="s">
        <v>9179</v>
      </c>
      <c r="AH331" s="996" t="s">
        <v>169</v>
      </c>
      <c r="AI331" s="494" t="s">
        <v>2917</v>
      </c>
      <c r="AJ331" s="958">
        <v>1</v>
      </c>
      <c r="AK331" s="959"/>
      <c r="AL331" s="960"/>
      <c r="AM331" s="997">
        <f>_xll.GetCtData("COAMOUNT","CONSAMOUNT",$A$1:$A$7,$D331,AM$10,"#")</f>
        <v>0</v>
      </c>
    </row>
    <row r="332" spans="1:39">
      <c r="A332" s="427" t="s">
        <v>6610</v>
      </c>
      <c r="B332" s="427" t="s">
        <v>6610</v>
      </c>
      <c r="D332" s="427" t="s">
        <v>1339</v>
      </c>
      <c r="E332" s="949" t="s">
        <v>2930</v>
      </c>
      <c r="F332" s="950">
        <v>10</v>
      </c>
      <c r="G332" s="950"/>
      <c r="H332" s="950"/>
      <c r="I332" s="950"/>
      <c r="J332" s="950"/>
      <c r="K332" s="950"/>
      <c r="L332" s="950"/>
      <c r="M332" s="950"/>
      <c r="N332" s="950"/>
      <c r="O332" s="950"/>
      <c r="P332" s="950"/>
      <c r="Q332" s="991"/>
      <c r="R332" s="427" t="s">
        <v>10819</v>
      </c>
      <c r="S332" s="992" t="s">
        <v>10820</v>
      </c>
      <c r="T332" s="993">
        <f t="shared" si="26"/>
        <v>90</v>
      </c>
      <c r="U332" s="992" t="s">
        <v>10820</v>
      </c>
      <c r="V332" s="993">
        <f t="shared" si="27"/>
        <v>90</v>
      </c>
      <c r="W332" s="992" t="s">
        <v>10821</v>
      </c>
      <c r="X332" s="993">
        <f t="shared" si="28"/>
        <v>30</v>
      </c>
      <c r="Y332" s="994" t="s">
        <v>10822</v>
      </c>
      <c r="Z332" s="993">
        <f t="shared" si="29"/>
        <v>83</v>
      </c>
      <c r="AA332" s="994" t="s">
        <v>10822</v>
      </c>
      <c r="AB332" s="993">
        <f t="shared" si="30"/>
        <v>83</v>
      </c>
      <c r="AC332" s="994" t="s">
        <v>10823</v>
      </c>
      <c r="AD332" s="993">
        <f t="shared" si="31"/>
        <v>30</v>
      </c>
      <c r="AE332" s="518" t="s">
        <v>10817</v>
      </c>
      <c r="AF332" s="519" t="s">
        <v>10818</v>
      </c>
      <c r="AG332" s="995" t="s">
        <v>9179</v>
      </c>
      <c r="AH332" s="996" t="s">
        <v>169</v>
      </c>
      <c r="AI332" s="494" t="s">
        <v>2917</v>
      </c>
      <c r="AJ332" s="958">
        <v>1</v>
      </c>
      <c r="AK332" s="959"/>
      <c r="AL332" s="960"/>
      <c r="AM332" s="997">
        <f>_xll.GetCtData("COAMOUNT","CONSAMOUNT",$A$1:$A$7,$D332,AM$10,"#")</f>
        <v>0</v>
      </c>
    </row>
    <row r="333" spans="1:39">
      <c r="A333" s="427" t="s">
        <v>6610</v>
      </c>
      <c r="B333" s="427" t="s">
        <v>6610</v>
      </c>
      <c r="D333" s="1009" t="s">
        <v>10824</v>
      </c>
      <c r="E333" s="949" t="s">
        <v>2912</v>
      </c>
      <c r="F333" s="950">
        <v>7</v>
      </c>
      <c r="G333" s="950"/>
      <c r="H333" s="950"/>
      <c r="I333" s="950"/>
      <c r="J333" s="950"/>
      <c r="K333" s="950"/>
      <c r="L333" s="950"/>
      <c r="M333" s="950"/>
      <c r="N333" s="1009" t="s">
        <v>10825</v>
      </c>
      <c r="O333" s="975"/>
      <c r="P333" s="975"/>
      <c r="Q333" s="410"/>
      <c r="R333" s="1009" t="s">
        <v>10825</v>
      </c>
      <c r="S333" s="410" t="s">
        <v>10826</v>
      </c>
      <c r="T333" s="976">
        <f t="shared" si="26"/>
        <v>43</v>
      </c>
      <c r="U333" s="410" t="s">
        <v>10826</v>
      </c>
      <c r="V333" s="976">
        <f t="shared" si="27"/>
        <v>43</v>
      </c>
      <c r="W333" s="410" t="s">
        <v>10827</v>
      </c>
      <c r="X333" s="976">
        <f t="shared" si="28"/>
        <v>29</v>
      </c>
      <c r="Y333" s="977" t="s">
        <v>10828</v>
      </c>
      <c r="Z333" s="976">
        <f t="shared" si="29"/>
        <v>50</v>
      </c>
      <c r="AA333" s="977" t="s">
        <v>10828</v>
      </c>
      <c r="AB333" s="976">
        <f t="shared" si="30"/>
        <v>50</v>
      </c>
      <c r="AC333" s="977" t="s">
        <v>10829</v>
      </c>
      <c r="AD333" s="976">
        <f t="shared" si="31"/>
        <v>30</v>
      </c>
      <c r="AE333" s="976"/>
      <c r="AF333" s="976"/>
      <c r="AG333" s="956"/>
      <c r="AH333" s="957"/>
      <c r="AI333" s="494" t="s">
        <v>2917</v>
      </c>
      <c r="AJ333" s="958">
        <v>1</v>
      </c>
      <c r="AK333" s="959"/>
      <c r="AL333" s="960"/>
      <c r="AM333" s="980">
        <f>_xll.GetCtData("COAMOUNT","CONSAMOUNT",$A$1:$A$7,$D333,AM$10,"#-143780")</f>
        <v>-143780</v>
      </c>
    </row>
    <row r="334" spans="1:39">
      <c r="A334" s="427" t="s">
        <v>6610</v>
      </c>
      <c r="B334" s="427" t="s">
        <v>6610</v>
      </c>
      <c r="D334" s="1014" t="s">
        <v>1341</v>
      </c>
      <c r="E334" s="949" t="s">
        <v>2930</v>
      </c>
      <c r="F334" s="950">
        <v>10</v>
      </c>
      <c r="G334" s="950"/>
      <c r="H334" s="950"/>
      <c r="I334" s="950"/>
      <c r="J334" s="950"/>
      <c r="K334" s="950"/>
      <c r="L334" s="950"/>
      <c r="M334" s="950"/>
      <c r="N334" s="950"/>
      <c r="O334" s="950"/>
      <c r="P334" s="950"/>
      <c r="Q334" s="990"/>
      <c r="R334" s="1014" t="s">
        <v>10830</v>
      </c>
      <c r="S334" s="950" t="s">
        <v>10831</v>
      </c>
      <c r="T334" s="1026">
        <f t="shared" si="26"/>
        <v>32</v>
      </c>
      <c r="U334" s="950" t="s">
        <v>10831</v>
      </c>
      <c r="V334" s="1026">
        <f t="shared" si="27"/>
        <v>32</v>
      </c>
      <c r="W334" s="950" t="s">
        <v>10832</v>
      </c>
      <c r="X334" s="1026">
        <f t="shared" si="28"/>
        <v>29</v>
      </c>
      <c r="Y334" s="956" t="s">
        <v>10833</v>
      </c>
      <c r="Z334" s="1026">
        <f t="shared" si="29"/>
        <v>47</v>
      </c>
      <c r="AA334" s="956" t="s">
        <v>10833</v>
      </c>
      <c r="AB334" s="1026">
        <f t="shared" si="30"/>
        <v>47</v>
      </c>
      <c r="AC334" s="956" t="s">
        <v>10834</v>
      </c>
      <c r="AD334" s="1026">
        <f t="shared" si="31"/>
        <v>28</v>
      </c>
      <c r="AE334" s="518" t="s">
        <v>10835</v>
      </c>
      <c r="AF334" s="519" t="s">
        <v>10836</v>
      </c>
      <c r="AG334" s="995" t="s">
        <v>9179</v>
      </c>
      <c r="AH334" s="996" t="s">
        <v>169</v>
      </c>
      <c r="AI334" s="494" t="s">
        <v>2917</v>
      </c>
      <c r="AJ334" s="958">
        <v>1</v>
      </c>
      <c r="AK334" s="959"/>
      <c r="AL334" s="960"/>
      <c r="AM334" s="1027">
        <f>_xll.GetCtData("COAMOUNT","CONSAMOUNT",$A$1:$A$7,$D334,AM$10,"#-176047")</f>
        <v>-176047</v>
      </c>
    </row>
    <row r="335" spans="1:39">
      <c r="A335" s="427" t="s">
        <v>6610</v>
      </c>
      <c r="B335" s="427" t="s">
        <v>6610</v>
      </c>
      <c r="D335" s="992" t="s">
        <v>1342</v>
      </c>
      <c r="E335" s="949" t="s">
        <v>2930</v>
      </c>
      <c r="F335" s="950">
        <v>10</v>
      </c>
      <c r="G335" s="950"/>
      <c r="H335" s="950"/>
      <c r="I335" s="950"/>
      <c r="J335" s="950"/>
      <c r="K335" s="950"/>
      <c r="L335" s="950"/>
      <c r="M335" s="950"/>
      <c r="N335" s="950"/>
      <c r="O335" s="950"/>
      <c r="P335" s="950"/>
      <c r="Q335" s="990"/>
      <c r="R335" s="992" t="s">
        <v>10837</v>
      </c>
      <c r="S335" s="950" t="s">
        <v>10838</v>
      </c>
      <c r="T335" s="1026">
        <f t="shared" si="26"/>
        <v>33</v>
      </c>
      <c r="U335" s="950" t="s">
        <v>10838</v>
      </c>
      <c r="V335" s="1026">
        <f t="shared" si="27"/>
        <v>33</v>
      </c>
      <c r="W335" s="950" t="s">
        <v>10839</v>
      </c>
      <c r="X335" s="1026">
        <f t="shared" si="28"/>
        <v>27</v>
      </c>
      <c r="Y335" s="956" t="s">
        <v>10840</v>
      </c>
      <c r="Z335" s="1026">
        <f t="shared" si="29"/>
        <v>47</v>
      </c>
      <c r="AA335" s="956" t="s">
        <v>10840</v>
      </c>
      <c r="AB335" s="1026">
        <f t="shared" si="30"/>
        <v>47</v>
      </c>
      <c r="AC335" s="956" t="s">
        <v>10841</v>
      </c>
      <c r="AD335" s="1026">
        <f t="shared" si="31"/>
        <v>28</v>
      </c>
      <c r="AE335" s="518" t="s">
        <v>10835</v>
      </c>
      <c r="AF335" s="519" t="s">
        <v>10836</v>
      </c>
      <c r="AG335" s="995" t="s">
        <v>9179</v>
      </c>
      <c r="AH335" s="996" t="s">
        <v>169</v>
      </c>
      <c r="AI335" s="494" t="s">
        <v>2917</v>
      </c>
      <c r="AJ335" s="958">
        <v>1</v>
      </c>
      <c r="AK335" s="959"/>
      <c r="AL335" s="960"/>
      <c r="AM335" s="1027">
        <f>_xll.GetCtData("COAMOUNT","CONSAMOUNT",$A$1:$A$7,$D335,AM$10,"#32267")</f>
        <v>32267</v>
      </c>
    </row>
    <row r="336" spans="1:39">
      <c r="A336" s="427" t="s">
        <v>6610</v>
      </c>
      <c r="B336" s="427" t="s">
        <v>6610</v>
      </c>
      <c r="D336" s="1009" t="s">
        <v>10842</v>
      </c>
      <c r="E336" s="949" t="s">
        <v>2912</v>
      </c>
      <c r="F336" s="950">
        <v>7</v>
      </c>
      <c r="G336" s="950"/>
      <c r="H336" s="950"/>
      <c r="I336" s="950"/>
      <c r="J336" s="950"/>
      <c r="K336" s="950"/>
      <c r="L336" s="950"/>
      <c r="M336" s="950"/>
      <c r="N336" s="1009" t="s">
        <v>10843</v>
      </c>
      <c r="O336" s="975"/>
      <c r="P336" s="975"/>
      <c r="Q336" s="410"/>
      <c r="R336" s="1009" t="s">
        <v>10843</v>
      </c>
      <c r="S336" s="410" t="s">
        <v>10844</v>
      </c>
      <c r="T336" s="976">
        <f t="shared" si="26"/>
        <v>51</v>
      </c>
      <c r="U336" s="410" t="s">
        <v>10844</v>
      </c>
      <c r="V336" s="976">
        <f t="shared" si="27"/>
        <v>51</v>
      </c>
      <c r="W336" s="410" t="s">
        <v>10845</v>
      </c>
      <c r="X336" s="976">
        <f t="shared" si="28"/>
        <v>29</v>
      </c>
      <c r="Y336" s="977" t="s">
        <v>10846</v>
      </c>
      <c r="Z336" s="976">
        <f t="shared" si="29"/>
        <v>61</v>
      </c>
      <c r="AA336" s="977" t="s">
        <v>10846</v>
      </c>
      <c r="AB336" s="976">
        <f t="shared" si="30"/>
        <v>61</v>
      </c>
      <c r="AC336" s="977" t="s">
        <v>10847</v>
      </c>
      <c r="AD336" s="976">
        <f t="shared" si="31"/>
        <v>30</v>
      </c>
      <c r="AE336" s="976"/>
      <c r="AF336" s="976"/>
      <c r="AG336" s="956"/>
      <c r="AH336" s="957"/>
      <c r="AI336" s="494" t="s">
        <v>2917</v>
      </c>
      <c r="AJ336" s="958">
        <v>1</v>
      </c>
      <c r="AK336" s="959"/>
      <c r="AL336" s="960"/>
      <c r="AM336" s="980">
        <f>_xll.GetCtData("COAMOUNT","CONSAMOUNT",$A$1:$A$7,$D336,AM$10,"#8486276,12676086")</f>
        <v>8486276</v>
      </c>
    </row>
    <row r="337" spans="1:39">
      <c r="A337" s="427" t="s">
        <v>6610</v>
      </c>
      <c r="B337" s="427" t="s">
        <v>6610</v>
      </c>
      <c r="D337" s="990" t="s">
        <v>1343</v>
      </c>
      <c r="E337" s="949" t="s">
        <v>2930</v>
      </c>
      <c r="F337" s="950">
        <v>10</v>
      </c>
      <c r="G337" s="950"/>
      <c r="H337" s="950"/>
      <c r="I337" s="950"/>
      <c r="J337" s="950"/>
      <c r="K337" s="950"/>
      <c r="L337" s="950"/>
      <c r="M337" s="950"/>
      <c r="N337" s="950"/>
      <c r="O337" s="950"/>
      <c r="P337" s="950"/>
      <c r="Q337" s="1025"/>
      <c r="R337" s="990" t="s">
        <v>10848</v>
      </c>
      <c r="S337" s="1014" t="s">
        <v>10849</v>
      </c>
      <c r="T337" s="1015">
        <f t="shared" si="26"/>
        <v>43</v>
      </c>
      <c r="U337" s="1014" t="s">
        <v>10849</v>
      </c>
      <c r="V337" s="1015">
        <f t="shared" si="27"/>
        <v>43</v>
      </c>
      <c r="W337" s="1014" t="s">
        <v>10850</v>
      </c>
      <c r="X337" s="1015">
        <f t="shared" si="28"/>
        <v>28</v>
      </c>
      <c r="Y337" s="1016" t="s">
        <v>10851</v>
      </c>
      <c r="Z337" s="1015">
        <f t="shared" si="29"/>
        <v>53</v>
      </c>
      <c r="AA337" s="1016" t="s">
        <v>10851</v>
      </c>
      <c r="AB337" s="1015">
        <f t="shared" si="30"/>
        <v>53</v>
      </c>
      <c r="AC337" s="1016" t="s">
        <v>10852</v>
      </c>
      <c r="AD337" s="1015">
        <f t="shared" si="31"/>
        <v>29</v>
      </c>
      <c r="AE337" s="518" t="s">
        <v>10835</v>
      </c>
      <c r="AF337" s="519" t="s">
        <v>10836</v>
      </c>
      <c r="AG337" s="995" t="s">
        <v>9179</v>
      </c>
      <c r="AH337" s="996" t="s">
        <v>169</v>
      </c>
      <c r="AI337" s="494" t="s">
        <v>2917</v>
      </c>
      <c r="AJ337" s="958">
        <v>1</v>
      </c>
      <c r="AK337" s="959"/>
      <c r="AL337" s="960"/>
      <c r="AM337" s="1018">
        <f>_xll.GetCtData("COAMOUNT","CONSAMOUNT",$A$1:$A$7,$D337,AM$10,"#20528091,338999")</f>
        <v>20528091</v>
      </c>
    </row>
    <row r="338" spans="1:39">
      <c r="A338" s="427" t="s">
        <v>6610</v>
      </c>
      <c r="B338" s="427" t="s">
        <v>6610</v>
      </c>
      <c r="D338" s="990" t="s">
        <v>1344</v>
      </c>
      <c r="E338" s="949" t="s">
        <v>2930</v>
      </c>
      <c r="F338" s="950">
        <v>10</v>
      </c>
      <c r="G338" s="950"/>
      <c r="H338" s="950"/>
      <c r="I338" s="950"/>
      <c r="J338" s="950"/>
      <c r="K338" s="950"/>
      <c r="L338" s="950"/>
      <c r="M338" s="950"/>
      <c r="N338" s="950"/>
      <c r="O338" s="950"/>
      <c r="P338" s="950"/>
      <c r="Q338" s="1025"/>
      <c r="R338" s="990" t="s">
        <v>10853</v>
      </c>
      <c r="S338" s="1014" t="s">
        <v>10854</v>
      </c>
      <c r="T338" s="1015">
        <f t="shared" si="26"/>
        <v>43</v>
      </c>
      <c r="U338" s="1014" t="s">
        <v>10854</v>
      </c>
      <c r="V338" s="1015">
        <f t="shared" si="27"/>
        <v>43</v>
      </c>
      <c r="W338" s="1014" t="s">
        <v>10855</v>
      </c>
      <c r="X338" s="1015">
        <f t="shared" si="28"/>
        <v>26</v>
      </c>
      <c r="Y338" s="1016" t="s">
        <v>10856</v>
      </c>
      <c r="Z338" s="1015">
        <f t="shared" si="29"/>
        <v>53</v>
      </c>
      <c r="AA338" s="1016" t="s">
        <v>10856</v>
      </c>
      <c r="AB338" s="1015">
        <f t="shared" si="30"/>
        <v>53</v>
      </c>
      <c r="AC338" s="1016" t="s">
        <v>10857</v>
      </c>
      <c r="AD338" s="1015">
        <f t="shared" si="31"/>
        <v>29</v>
      </c>
      <c r="AE338" s="518" t="s">
        <v>10835</v>
      </c>
      <c r="AF338" s="519" t="s">
        <v>10836</v>
      </c>
      <c r="AG338" s="995" t="s">
        <v>9179</v>
      </c>
      <c r="AH338" s="996" t="s">
        <v>169</v>
      </c>
      <c r="AI338" s="494" t="s">
        <v>2917</v>
      </c>
      <c r="AJ338" s="958">
        <v>1</v>
      </c>
      <c r="AK338" s="959"/>
      <c r="AL338" s="960"/>
      <c r="AM338" s="1018">
        <f>_xll.GetCtData("COAMOUNT","CONSAMOUNT",$A$1:$A$7,$D338,AM$10,"#-12041815,2122381")</f>
        <v>-12041815</v>
      </c>
    </row>
    <row r="339" spans="1:39">
      <c r="A339" s="427" t="s">
        <v>6610</v>
      </c>
      <c r="B339" s="427" t="s">
        <v>6610</v>
      </c>
      <c r="D339" s="1009" t="s">
        <v>10858</v>
      </c>
      <c r="E339" s="949" t="s">
        <v>2912</v>
      </c>
      <c r="F339" s="950">
        <v>7</v>
      </c>
      <c r="G339" s="950"/>
      <c r="H339" s="950"/>
      <c r="I339" s="950"/>
      <c r="J339" s="950"/>
      <c r="K339" s="950"/>
      <c r="L339" s="950"/>
      <c r="M339" s="950"/>
      <c r="N339" s="1009" t="s">
        <v>10859</v>
      </c>
      <c r="O339" s="975"/>
      <c r="P339" s="975"/>
      <c r="Q339" s="410"/>
      <c r="R339" s="1009" t="s">
        <v>10859</v>
      </c>
      <c r="S339" s="410" t="s">
        <v>10860</v>
      </c>
      <c r="T339" s="1032">
        <f t="shared" si="26"/>
        <v>52</v>
      </c>
      <c r="U339" s="410" t="s">
        <v>10860</v>
      </c>
      <c r="V339" s="1032">
        <f t="shared" si="27"/>
        <v>52</v>
      </c>
      <c r="W339" s="410" t="s">
        <v>10861</v>
      </c>
      <c r="X339" s="1032">
        <f t="shared" si="28"/>
        <v>30</v>
      </c>
      <c r="Y339" s="410" t="s">
        <v>10862</v>
      </c>
      <c r="Z339" s="1032">
        <f t="shared" si="29"/>
        <v>62</v>
      </c>
      <c r="AA339" s="410" t="s">
        <v>10862</v>
      </c>
      <c r="AB339" s="1032">
        <f t="shared" si="30"/>
        <v>62</v>
      </c>
      <c r="AC339" s="410" t="s">
        <v>10863</v>
      </c>
      <c r="AD339" s="1032">
        <f t="shared" si="31"/>
        <v>30</v>
      </c>
      <c r="AE339" s="976"/>
      <c r="AF339" s="976"/>
      <c r="AG339" s="956"/>
      <c r="AH339" s="957"/>
      <c r="AI339" s="494" t="s">
        <v>2917</v>
      </c>
      <c r="AJ339" s="958">
        <v>1</v>
      </c>
      <c r="AK339" s="959"/>
      <c r="AL339" s="960"/>
      <c r="AM339" s="980">
        <f>_xll.GetCtData("COAMOUNT","CONSAMOUNT",$A$1:$A$7,$D339,AM$10,"#-81536")</f>
        <v>-81536</v>
      </c>
    </row>
    <row r="340" spans="1:39">
      <c r="A340" s="427" t="s">
        <v>6610</v>
      </c>
      <c r="B340" s="427" t="s">
        <v>6610</v>
      </c>
      <c r="D340" s="990" t="s">
        <v>1345</v>
      </c>
      <c r="E340" s="949" t="s">
        <v>2930</v>
      </c>
      <c r="F340" s="950">
        <v>10</v>
      </c>
      <c r="G340" s="950"/>
      <c r="H340" s="950"/>
      <c r="I340" s="950"/>
      <c r="J340" s="950"/>
      <c r="K340" s="950"/>
      <c r="L340" s="950"/>
      <c r="M340" s="950"/>
      <c r="N340" s="950"/>
      <c r="O340" s="950"/>
      <c r="P340" s="950"/>
      <c r="Q340" s="950"/>
      <c r="R340" s="990" t="s">
        <v>10864</v>
      </c>
      <c r="S340" s="1014" t="s">
        <v>10865</v>
      </c>
      <c r="T340" s="1015">
        <f t="shared" si="26"/>
        <v>44</v>
      </c>
      <c r="U340" s="1014" t="s">
        <v>10865</v>
      </c>
      <c r="V340" s="1015">
        <f t="shared" si="27"/>
        <v>44</v>
      </c>
      <c r="W340" s="1014" t="s">
        <v>10866</v>
      </c>
      <c r="X340" s="1015">
        <f t="shared" si="28"/>
        <v>27</v>
      </c>
      <c r="Y340" s="1016" t="s">
        <v>10867</v>
      </c>
      <c r="Z340" s="1015">
        <f t="shared" si="29"/>
        <v>54</v>
      </c>
      <c r="AA340" s="1016" t="s">
        <v>10867</v>
      </c>
      <c r="AB340" s="1015">
        <f t="shared" si="30"/>
        <v>54</v>
      </c>
      <c r="AC340" s="1016" t="s">
        <v>10868</v>
      </c>
      <c r="AD340" s="1015">
        <f t="shared" si="31"/>
        <v>30</v>
      </c>
      <c r="AE340" s="518" t="s">
        <v>10835</v>
      </c>
      <c r="AF340" s="519" t="s">
        <v>10836</v>
      </c>
      <c r="AG340" s="995" t="s">
        <v>9179</v>
      </c>
      <c r="AH340" s="996" t="s">
        <v>169</v>
      </c>
      <c r="AI340" s="494" t="s">
        <v>2917</v>
      </c>
      <c r="AJ340" s="958">
        <v>1</v>
      </c>
      <c r="AK340" s="959"/>
      <c r="AL340" s="960"/>
      <c r="AM340" s="1018">
        <f>_xll.GetCtData("COAMOUNT","CONSAMOUNT",$A$1:$A$7,$D340,AM$10,"#55777")</f>
        <v>55777</v>
      </c>
    </row>
    <row r="341" spans="1:39">
      <c r="A341" s="427" t="s">
        <v>6610</v>
      </c>
      <c r="B341" s="427" t="s">
        <v>6610</v>
      </c>
      <c r="D341" s="990" t="s">
        <v>1346</v>
      </c>
      <c r="E341" s="949" t="s">
        <v>2930</v>
      </c>
      <c r="F341" s="950">
        <v>10</v>
      </c>
      <c r="G341" s="950"/>
      <c r="H341" s="950"/>
      <c r="I341" s="950"/>
      <c r="J341" s="950"/>
      <c r="K341" s="950"/>
      <c r="L341" s="950"/>
      <c r="M341" s="950"/>
      <c r="N341" s="951"/>
      <c r="O341" s="950"/>
      <c r="P341" s="950"/>
      <c r="Q341" s="950"/>
      <c r="R341" s="990" t="s">
        <v>10869</v>
      </c>
      <c r="S341" s="1014" t="s">
        <v>10870</v>
      </c>
      <c r="T341" s="1015">
        <f t="shared" si="26"/>
        <v>44</v>
      </c>
      <c r="U341" s="1014" t="s">
        <v>10870</v>
      </c>
      <c r="V341" s="1015">
        <f t="shared" si="27"/>
        <v>44</v>
      </c>
      <c r="W341" s="1014" t="s">
        <v>10871</v>
      </c>
      <c r="X341" s="1015">
        <f t="shared" si="28"/>
        <v>27</v>
      </c>
      <c r="Y341" s="1016" t="s">
        <v>10872</v>
      </c>
      <c r="Z341" s="1015">
        <f t="shared" si="29"/>
        <v>54</v>
      </c>
      <c r="AA341" s="1016" t="s">
        <v>10872</v>
      </c>
      <c r="AB341" s="1015">
        <f t="shared" si="30"/>
        <v>54</v>
      </c>
      <c r="AC341" s="1016" t="s">
        <v>10873</v>
      </c>
      <c r="AD341" s="1015">
        <f t="shared" si="31"/>
        <v>30</v>
      </c>
      <c r="AE341" s="518" t="s">
        <v>10835</v>
      </c>
      <c r="AF341" s="519" t="s">
        <v>10836</v>
      </c>
      <c r="AG341" s="995" t="s">
        <v>9179</v>
      </c>
      <c r="AH341" s="996" t="s">
        <v>169</v>
      </c>
      <c r="AI341" s="494" t="s">
        <v>2917</v>
      </c>
      <c r="AJ341" s="958">
        <v>1</v>
      </c>
      <c r="AK341" s="959"/>
      <c r="AL341" s="960"/>
      <c r="AM341" s="1018">
        <f>_xll.GetCtData("COAMOUNT","CONSAMOUNT",$A$1:$A$7,$D341,AM$10,"#-137313")</f>
        <v>-137313</v>
      </c>
    </row>
    <row r="342" spans="1:39">
      <c r="A342" s="427" t="s">
        <v>6610</v>
      </c>
      <c r="B342" s="427" t="s">
        <v>6610</v>
      </c>
      <c r="D342" s="970" t="s">
        <v>10874</v>
      </c>
      <c r="E342" s="949" t="s">
        <v>2912</v>
      </c>
      <c r="F342" s="950">
        <v>6</v>
      </c>
      <c r="G342" s="950"/>
      <c r="H342" s="950"/>
      <c r="I342" s="950"/>
      <c r="J342" s="950"/>
      <c r="K342" s="950"/>
      <c r="L342" s="950"/>
      <c r="M342" s="970" t="s">
        <v>10875</v>
      </c>
      <c r="N342" s="970"/>
      <c r="O342" s="970"/>
      <c r="P342" s="970"/>
      <c r="Q342" s="970"/>
      <c r="R342" s="970" t="s">
        <v>10875</v>
      </c>
      <c r="S342" s="1033" t="s">
        <v>10876</v>
      </c>
      <c r="T342" s="1034">
        <f t="shared" si="26"/>
        <v>48</v>
      </c>
      <c r="U342" s="1033" t="s">
        <v>10876</v>
      </c>
      <c r="V342" s="1034">
        <f t="shared" si="27"/>
        <v>48</v>
      </c>
      <c r="W342" s="1033" t="s">
        <v>10877</v>
      </c>
      <c r="X342" s="1034">
        <f t="shared" si="28"/>
        <v>29</v>
      </c>
      <c r="Y342" s="1035" t="s">
        <v>10878</v>
      </c>
      <c r="Z342" s="1034">
        <f t="shared" si="29"/>
        <v>45</v>
      </c>
      <c r="AA342" s="1035" t="s">
        <v>10878</v>
      </c>
      <c r="AB342" s="1034">
        <f t="shared" si="30"/>
        <v>45</v>
      </c>
      <c r="AC342" s="1035" t="s">
        <v>10879</v>
      </c>
      <c r="AD342" s="1034">
        <f t="shared" si="31"/>
        <v>26</v>
      </c>
      <c r="AE342" s="1034"/>
      <c r="AF342" s="1034"/>
      <c r="AG342" s="956"/>
      <c r="AH342" s="957"/>
      <c r="AI342" s="494" t="s">
        <v>2917</v>
      </c>
      <c r="AJ342" s="958">
        <v>1</v>
      </c>
      <c r="AK342" s="959"/>
      <c r="AL342" s="960"/>
      <c r="AM342" s="1036">
        <f>_xll.GetCtData("COAMOUNT","CONSAMOUNT",$A$1:$A$7,$D342,AM$10,"#-72367,3282381278")</f>
        <v>-72367</v>
      </c>
    </row>
    <row r="343" spans="1:39">
      <c r="A343" s="427" t="s">
        <v>6610</v>
      </c>
      <c r="B343" s="427" t="s">
        <v>6610</v>
      </c>
      <c r="D343" s="1009" t="s">
        <v>10880</v>
      </c>
      <c r="E343" s="949" t="s">
        <v>2912</v>
      </c>
      <c r="F343" s="950">
        <v>7</v>
      </c>
      <c r="G343" s="950"/>
      <c r="H343" s="950"/>
      <c r="I343" s="950"/>
      <c r="J343" s="950"/>
      <c r="K343" s="950"/>
      <c r="L343" s="950"/>
      <c r="M343" s="950"/>
      <c r="N343" s="1009" t="s">
        <v>10881</v>
      </c>
      <c r="O343" s="975"/>
      <c r="P343" s="975"/>
      <c r="Q343" s="410"/>
      <c r="R343" s="1009" t="s">
        <v>10881</v>
      </c>
      <c r="S343" s="410" t="s">
        <v>10882</v>
      </c>
      <c r="T343" s="976">
        <f t="shared" si="26"/>
        <v>47</v>
      </c>
      <c r="U343" s="410" t="s">
        <v>10882</v>
      </c>
      <c r="V343" s="976">
        <f t="shared" si="27"/>
        <v>47</v>
      </c>
      <c r="W343" s="410" t="s">
        <v>10883</v>
      </c>
      <c r="X343" s="976">
        <f t="shared" si="28"/>
        <v>28</v>
      </c>
      <c r="Y343" s="977" t="s">
        <v>10884</v>
      </c>
      <c r="Z343" s="976">
        <f t="shared" si="29"/>
        <v>57</v>
      </c>
      <c r="AA343" s="977" t="s">
        <v>10884</v>
      </c>
      <c r="AB343" s="976">
        <f t="shared" si="30"/>
        <v>57</v>
      </c>
      <c r="AC343" s="977" t="s">
        <v>10885</v>
      </c>
      <c r="AD343" s="976">
        <f t="shared" si="31"/>
        <v>30</v>
      </c>
      <c r="AE343" s="976"/>
      <c r="AF343" s="976"/>
      <c r="AG343" s="956"/>
      <c r="AH343" s="957"/>
      <c r="AI343" s="494" t="s">
        <v>2917</v>
      </c>
      <c r="AJ343" s="958">
        <v>1</v>
      </c>
      <c r="AK343" s="959"/>
      <c r="AL343" s="960"/>
      <c r="AM343" s="980">
        <f>_xll.GetCtData("COAMOUNT","CONSAMOUNT",$A$1:$A$7,$D343,AM$10,"#-75975")</f>
        <v>-75975</v>
      </c>
    </row>
    <row r="344" spans="1:39">
      <c r="A344" s="427" t="s">
        <v>6610</v>
      </c>
      <c r="B344" s="427" t="s">
        <v>6610</v>
      </c>
      <c r="D344" s="990" t="s">
        <v>1250</v>
      </c>
      <c r="E344" s="949" t="s">
        <v>2930</v>
      </c>
      <c r="F344" s="950">
        <v>10</v>
      </c>
      <c r="G344" s="950"/>
      <c r="H344" s="950"/>
      <c r="I344" s="950"/>
      <c r="J344" s="950"/>
      <c r="K344" s="950"/>
      <c r="L344" s="950"/>
      <c r="M344" s="950"/>
      <c r="N344" s="950"/>
      <c r="O344" s="950"/>
      <c r="P344" s="950"/>
      <c r="Q344" s="950"/>
      <c r="R344" s="990" t="s">
        <v>10886</v>
      </c>
      <c r="S344" s="1014" t="s">
        <v>10887</v>
      </c>
      <c r="T344" s="1015">
        <f t="shared" si="26"/>
        <v>42</v>
      </c>
      <c r="U344" s="1014" t="s">
        <v>10887</v>
      </c>
      <c r="V344" s="1015">
        <f t="shared" si="27"/>
        <v>42</v>
      </c>
      <c r="W344" s="1014" t="s">
        <v>10888</v>
      </c>
      <c r="X344" s="1015">
        <f t="shared" si="28"/>
        <v>23</v>
      </c>
      <c r="Y344" s="1016" t="s">
        <v>10889</v>
      </c>
      <c r="Z344" s="1015">
        <f t="shared" si="29"/>
        <v>58</v>
      </c>
      <c r="AA344" s="1016" t="s">
        <v>10889</v>
      </c>
      <c r="AB344" s="1015">
        <f t="shared" si="30"/>
        <v>58</v>
      </c>
      <c r="AC344" s="1016" t="s">
        <v>10890</v>
      </c>
      <c r="AD344" s="1015">
        <f t="shared" si="31"/>
        <v>29</v>
      </c>
      <c r="AE344" s="518" t="s">
        <v>10891</v>
      </c>
      <c r="AF344" s="519" t="s">
        <v>10892</v>
      </c>
      <c r="AG344" s="995" t="s">
        <v>9179</v>
      </c>
      <c r="AH344" s="996" t="s">
        <v>169</v>
      </c>
      <c r="AI344" s="494" t="s">
        <v>2917</v>
      </c>
      <c r="AJ344" s="958">
        <v>1</v>
      </c>
      <c r="AK344" s="959"/>
      <c r="AL344" s="960"/>
      <c r="AM344" s="1018">
        <f>_xll.GetCtData("COAMOUNT","CONSAMOUNT",$A$1:$A$7,$D344,AM$10,"#-76100")</f>
        <v>-76100</v>
      </c>
    </row>
    <row r="345" spans="1:39">
      <c r="A345" s="427" t="s">
        <v>6610</v>
      </c>
      <c r="B345" s="427" t="s">
        <v>6610</v>
      </c>
      <c r="D345" s="990" t="s">
        <v>1251</v>
      </c>
      <c r="E345" s="949" t="s">
        <v>2930</v>
      </c>
      <c r="F345" s="950">
        <v>10</v>
      </c>
      <c r="G345" s="950"/>
      <c r="H345" s="950"/>
      <c r="I345" s="950"/>
      <c r="J345" s="950"/>
      <c r="K345" s="950"/>
      <c r="L345" s="950"/>
      <c r="M345" s="950"/>
      <c r="N345" s="950"/>
      <c r="O345" s="950"/>
      <c r="P345" s="950"/>
      <c r="Q345" s="950"/>
      <c r="R345" s="990" t="s">
        <v>10893</v>
      </c>
      <c r="S345" s="1014" t="s">
        <v>10894</v>
      </c>
      <c r="T345" s="1015">
        <f t="shared" si="26"/>
        <v>45</v>
      </c>
      <c r="U345" s="1014" t="s">
        <v>10894</v>
      </c>
      <c r="V345" s="1015">
        <f t="shared" si="27"/>
        <v>45</v>
      </c>
      <c r="W345" s="1014" t="s">
        <v>10895</v>
      </c>
      <c r="X345" s="1015">
        <f t="shared" si="28"/>
        <v>23</v>
      </c>
      <c r="Y345" s="1016" t="s">
        <v>10896</v>
      </c>
      <c r="Z345" s="1015">
        <f t="shared" si="29"/>
        <v>60</v>
      </c>
      <c r="AA345" s="1016" t="s">
        <v>10896</v>
      </c>
      <c r="AB345" s="1015">
        <f t="shared" si="30"/>
        <v>60</v>
      </c>
      <c r="AC345" s="1016" t="s">
        <v>10897</v>
      </c>
      <c r="AD345" s="1015">
        <f t="shared" si="31"/>
        <v>28</v>
      </c>
      <c r="AE345" s="518" t="s">
        <v>10898</v>
      </c>
      <c r="AF345" s="519" t="s">
        <v>10899</v>
      </c>
      <c r="AG345" s="995" t="s">
        <v>9179</v>
      </c>
      <c r="AH345" s="996" t="s">
        <v>169</v>
      </c>
      <c r="AI345" s="494" t="s">
        <v>2917</v>
      </c>
      <c r="AJ345" s="958">
        <v>1</v>
      </c>
      <c r="AK345" s="959"/>
      <c r="AL345" s="960"/>
      <c r="AM345" s="1018">
        <f>_xll.GetCtData("COAMOUNT","CONSAMOUNT",$A$1:$A$7,$D345,AM$10,"#125")</f>
        <v>125</v>
      </c>
    </row>
    <row r="346" spans="1:39">
      <c r="A346" s="427" t="s">
        <v>6610</v>
      </c>
      <c r="B346" s="427" t="s">
        <v>6610</v>
      </c>
      <c r="D346" s="1009" t="s">
        <v>10900</v>
      </c>
      <c r="E346" s="949" t="s">
        <v>2912</v>
      </c>
      <c r="F346" s="950">
        <v>7</v>
      </c>
      <c r="G346" s="950"/>
      <c r="H346" s="950"/>
      <c r="I346" s="950"/>
      <c r="J346" s="950"/>
      <c r="K346" s="950"/>
      <c r="L346" s="950"/>
      <c r="M346" s="950"/>
      <c r="N346" s="1009" t="s">
        <v>10901</v>
      </c>
      <c r="O346" s="975"/>
      <c r="P346" s="975"/>
      <c r="Q346" s="410"/>
      <c r="R346" s="1009" t="s">
        <v>10901</v>
      </c>
      <c r="S346" s="410" t="s">
        <v>10902</v>
      </c>
      <c r="T346" s="976">
        <v>75</v>
      </c>
      <c r="U346" s="410" t="s">
        <v>10902</v>
      </c>
      <c r="V346" s="976">
        <f t="shared" si="27"/>
        <v>75</v>
      </c>
      <c r="W346" s="410" t="s">
        <v>10883</v>
      </c>
      <c r="X346" s="976">
        <f t="shared" si="28"/>
        <v>28</v>
      </c>
      <c r="Y346" s="977" t="s">
        <v>10884</v>
      </c>
      <c r="Z346" s="976">
        <f t="shared" si="29"/>
        <v>57</v>
      </c>
      <c r="AA346" s="977" t="s">
        <v>10884</v>
      </c>
      <c r="AB346" s="976">
        <f t="shared" si="30"/>
        <v>57</v>
      </c>
      <c r="AC346" s="977" t="s">
        <v>10885</v>
      </c>
      <c r="AD346" s="976">
        <f t="shared" si="31"/>
        <v>30</v>
      </c>
      <c r="AE346" s="976"/>
      <c r="AF346" s="976"/>
      <c r="AG346" s="956"/>
      <c r="AH346" s="957"/>
      <c r="AI346" s="530" t="s">
        <v>2969</v>
      </c>
      <c r="AJ346" s="958">
        <v>1</v>
      </c>
      <c r="AK346" s="959"/>
      <c r="AL346" s="960" t="s">
        <v>10903</v>
      </c>
      <c r="AM346" s="980">
        <f>_xll.GetCtData("COAMOUNT","CONSAMOUNT",$A$1:$A$7,$D346,AM$10,"#-21,0443729605274")</f>
        <v>-21</v>
      </c>
    </row>
    <row r="347" spans="1:39">
      <c r="A347" s="427" t="s">
        <v>6610</v>
      </c>
      <c r="B347" s="427" t="s">
        <v>6610</v>
      </c>
      <c r="D347" s="990" t="s">
        <v>1286</v>
      </c>
      <c r="E347" s="949" t="s">
        <v>2930</v>
      </c>
      <c r="F347" s="950">
        <v>10</v>
      </c>
      <c r="G347" s="950"/>
      <c r="H347" s="950"/>
      <c r="I347" s="950"/>
      <c r="J347" s="950"/>
      <c r="K347" s="950"/>
      <c r="L347" s="950"/>
      <c r="M347" s="950"/>
      <c r="N347" s="950"/>
      <c r="O347" s="950"/>
      <c r="P347" s="950"/>
      <c r="Q347" s="950"/>
      <c r="R347" s="990" t="s">
        <v>10904</v>
      </c>
      <c r="S347" s="992" t="s">
        <v>10905</v>
      </c>
      <c r="T347" s="993">
        <v>68</v>
      </c>
      <c r="U347" s="992" t="s">
        <v>10905</v>
      </c>
      <c r="V347" s="1015">
        <f t="shared" si="27"/>
        <v>54</v>
      </c>
      <c r="W347" s="1014" t="s">
        <v>10906</v>
      </c>
      <c r="X347" s="1015">
        <f>LEN(W347)</f>
        <v>22</v>
      </c>
      <c r="Y347" s="1016" t="s">
        <v>10907</v>
      </c>
      <c r="Z347" s="1015">
        <f>LEN(Y347)</f>
        <v>75</v>
      </c>
      <c r="AA347" s="1016" t="s">
        <v>10907</v>
      </c>
      <c r="AB347" s="1015">
        <f>LEN(AA347)</f>
        <v>75</v>
      </c>
      <c r="AC347" s="1016" t="s">
        <v>10908</v>
      </c>
      <c r="AD347" s="1015">
        <f>LEN(AC347)</f>
        <v>28</v>
      </c>
      <c r="AE347" s="518"/>
      <c r="AF347" s="519"/>
      <c r="AG347" s="995" t="s">
        <v>9179</v>
      </c>
      <c r="AH347" s="996" t="s">
        <v>169</v>
      </c>
      <c r="AI347" s="1037" t="s">
        <v>10909</v>
      </c>
      <c r="AJ347" s="958">
        <v>1</v>
      </c>
      <c r="AK347" s="959"/>
      <c r="AL347" s="960" t="s">
        <v>10910</v>
      </c>
      <c r="AM347" s="997">
        <f>_xll.GetCtData("COAMOUNT","CONSAMOUNT",$A$1:$A$7,$D347,AM$10,"#-21,0443729605274")</f>
        <v>-21</v>
      </c>
    </row>
    <row r="348" spans="1:39">
      <c r="A348" s="427" t="s">
        <v>6610</v>
      </c>
      <c r="B348" s="427" t="s">
        <v>6610</v>
      </c>
      <c r="D348" s="990" t="s">
        <v>1287</v>
      </c>
      <c r="E348" s="949" t="s">
        <v>2930</v>
      </c>
      <c r="F348" s="950">
        <v>10</v>
      </c>
      <c r="G348" s="950"/>
      <c r="H348" s="950"/>
      <c r="I348" s="950"/>
      <c r="J348" s="950"/>
      <c r="K348" s="950"/>
      <c r="L348" s="950"/>
      <c r="M348" s="950"/>
      <c r="N348" s="950"/>
      <c r="O348" s="950"/>
      <c r="P348" s="950"/>
      <c r="Q348" s="950"/>
      <c r="R348" s="990" t="s">
        <v>10911</v>
      </c>
      <c r="S348" s="992" t="s">
        <v>10912</v>
      </c>
      <c r="T348" s="993">
        <v>71</v>
      </c>
      <c r="U348" s="992" t="s">
        <v>10912</v>
      </c>
      <c r="V348" s="1015">
        <f t="shared" si="27"/>
        <v>54</v>
      </c>
      <c r="W348" s="1014" t="s">
        <v>10913</v>
      </c>
      <c r="X348" s="1015">
        <f>LEN(W348)</f>
        <v>22</v>
      </c>
      <c r="Y348" s="1016" t="s">
        <v>10914</v>
      </c>
      <c r="Z348" s="1015">
        <f>LEN(Y348)</f>
        <v>77</v>
      </c>
      <c r="AA348" s="1016" t="s">
        <v>10914</v>
      </c>
      <c r="AB348" s="1015">
        <f>LEN(AA348)</f>
        <v>77</v>
      </c>
      <c r="AC348" s="1016" t="s">
        <v>10915</v>
      </c>
      <c r="AD348" s="1015">
        <f>LEN(AC348)</f>
        <v>28</v>
      </c>
      <c r="AE348" s="518"/>
      <c r="AF348" s="519"/>
      <c r="AG348" s="995" t="s">
        <v>9179</v>
      </c>
      <c r="AH348" s="996" t="s">
        <v>169</v>
      </c>
      <c r="AI348" s="1037" t="s">
        <v>10909</v>
      </c>
      <c r="AJ348" s="958">
        <v>1</v>
      </c>
      <c r="AK348" s="959"/>
      <c r="AL348" s="960" t="s">
        <v>10910</v>
      </c>
      <c r="AM348" s="997">
        <f>_xll.GetCtData("COAMOUNT","CONSAMOUNT",$A$1:$A$7,$D348,AM$10,"#")</f>
        <v>0</v>
      </c>
    </row>
    <row r="349" spans="1:39">
      <c r="A349" s="427" t="s">
        <v>6610</v>
      </c>
      <c r="B349" s="427" t="s">
        <v>6610</v>
      </c>
      <c r="D349" s="1009" t="s">
        <v>10916</v>
      </c>
      <c r="E349" s="949" t="s">
        <v>2912</v>
      </c>
      <c r="F349" s="950">
        <v>7</v>
      </c>
      <c r="G349" s="950"/>
      <c r="H349" s="950"/>
      <c r="I349" s="950"/>
      <c r="J349" s="950"/>
      <c r="K349" s="950"/>
      <c r="L349" s="950"/>
      <c r="M349" s="950"/>
      <c r="N349" s="1009" t="s">
        <v>10917</v>
      </c>
      <c r="O349" s="975"/>
      <c r="P349" s="975"/>
      <c r="Q349" s="410"/>
      <c r="R349" s="1009" t="s">
        <v>10917</v>
      </c>
      <c r="S349" s="410" t="s">
        <v>10918</v>
      </c>
      <c r="T349" s="976">
        <f t="shared" si="26"/>
        <v>36</v>
      </c>
      <c r="U349" s="410" t="s">
        <v>10918</v>
      </c>
      <c r="V349" s="976">
        <f t="shared" si="27"/>
        <v>36</v>
      </c>
      <c r="W349" s="410" t="s">
        <v>10919</v>
      </c>
      <c r="X349" s="976">
        <f t="shared" si="28"/>
        <v>29</v>
      </c>
      <c r="Y349" s="977" t="s">
        <v>10920</v>
      </c>
      <c r="Z349" s="976">
        <f t="shared" si="29"/>
        <v>52</v>
      </c>
      <c r="AA349" s="977" t="s">
        <v>10920</v>
      </c>
      <c r="AB349" s="976">
        <f t="shared" si="30"/>
        <v>52</v>
      </c>
      <c r="AC349" s="977" t="s">
        <v>10921</v>
      </c>
      <c r="AD349" s="976">
        <f t="shared" si="31"/>
        <v>28</v>
      </c>
      <c r="AE349" s="976"/>
      <c r="AF349" s="976"/>
      <c r="AG349" s="956"/>
      <c r="AH349" s="957"/>
      <c r="AI349" s="494" t="s">
        <v>2917</v>
      </c>
      <c r="AJ349" s="958">
        <v>1</v>
      </c>
      <c r="AK349" s="959"/>
      <c r="AL349" s="960"/>
      <c r="AM349" s="980">
        <f>_xll.GetCtData("COAMOUNT","CONSAMOUNT",$A$1:$A$7,$D349,AM$10,"#-2044,82917333908")</f>
        <v>-2044</v>
      </c>
    </row>
    <row r="350" spans="1:39">
      <c r="A350" s="427" t="s">
        <v>6610</v>
      </c>
      <c r="B350" s="427" t="s">
        <v>6610</v>
      </c>
      <c r="D350" s="981" t="s">
        <v>10922</v>
      </c>
      <c r="E350" s="949" t="s">
        <v>2912</v>
      </c>
      <c r="F350" s="950">
        <v>8</v>
      </c>
      <c r="G350" s="950"/>
      <c r="H350" s="950"/>
      <c r="I350" s="950"/>
      <c r="J350" s="950"/>
      <c r="K350" s="950"/>
      <c r="L350" s="950"/>
      <c r="M350" s="950"/>
      <c r="N350" s="950"/>
      <c r="O350" s="981" t="s">
        <v>10923</v>
      </c>
      <c r="P350" s="982"/>
      <c r="Q350" s="981"/>
      <c r="R350" s="981" t="s">
        <v>10923</v>
      </c>
      <c r="S350" s="981" t="s">
        <v>10924</v>
      </c>
      <c r="T350" s="1002">
        <f t="shared" si="26"/>
        <v>60</v>
      </c>
      <c r="U350" s="981" t="s">
        <v>10924</v>
      </c>
      <c r="V350" s="1002">
        <f t="shared" si="27"/>
        <v>60</v>
      </c>
      <c r="W350" s="981" t="s">
        <v>10925</v>
      </c>
      <c r="X350" s="1002">
        <f t="shared" si="28"/>
        <v>30</v>
      </c>
      <c r="Y350" s="1003" t="s">
        <v>10926</v>
      </c>
      <c r="Z350" s="1002">
        <f t="shared" si="29"/>
        <v>58</v>
      </c>
      <c r="AA350" s="1003" t="s">
        <v>10927</v>
      </c>
      <c r="AB350" s="1002">
        <f t="shared" si="30"/>
        <v>57</v>
      </c>
      <c r="AC350" s="1003" t="s">
        <v>10928</v>
      </c>
      <c r="AD350" s="1002">
        <f t="shared" si="31"/>
        <v>28</v>
      </c>
      <c r="AE350" s="1002"/>
      <c r="AF350" s="1002"/>
      <c r="AG350" s="956"/>
      <c r="AH350" s="957"/>
      <c r="AI350" s="494" t="s">
        <v>2917</v>
      </c>
      <c r="AJ350" s="958">
        <v>1</v>
      </c>
      <c r="AK350" s="959"/>
      <c r="AL350" s="960" t="s">
        <v>5930</v>
      </c>
      <c r="AM350" s="985">
        <f>_xll.GetCtData("COAMOUNT","CONSAMOUNT",$A$1:$A$7,$D350,AM$10,"#-2044,82917333908")</f>
        <v>-2044</v>
      </c>
    </row>
    <row r="351" spans="1:39">
      <c r="A351" s="427" t="s">
        <v>6610</v>
      </c>
      <c r="B351" s="427" t="s">
        <v>6610</v>
      </c>
      <c r="D351" s="990" t="s">
        <v>1252</v>
      </c>
      <c r="E351" s="949" t="s">
        <v>2930</v>
      </c>
      <c r="F351" s="950">
        <v>10</v>
      </c>
      <c r="G351" s="950"/>
      <c r="H351" s="950"/>
      <c r="I351" s="950"/>
      <c r="J351" s="950"/>
      <c r="K351" s="950"/>
      <c r="L351" s="950"/>
      <c r="M351" s="950"/>
      <c r="N351" s="950"/>
      <c r="O351" s="950"/>
      <c r="P351" s="950"/>
      <c r="Q351" s="950"/>
      <c r="R351" s="990" t="s">
        <v>10929</v>
      </c>
      <c r="S351" s="1014" t="s">
        <v>10930</v>
      </c>
      <c r="T351" s="1015">
        <f t="shared" si="26"/>
        <v>60</v>
      </c>
      <c r="U351" s="1014" t="s">
        <v>10930</v>
      </c>
      <c r="V351" s="1015">
        <f t="shared" si="27"/>
        <v>60</v>
      </c>
      <c r="W351" s="1014" t="s">
        <v>10931</v>
      </c>
      <c r="X351" s="1015">
        <f t="shared" si="28"/>
        <v>28</v>
      </c>
      <c r="Y351" s="1016" t="s">
        <v>10932</v>
      </c>
      <c r="Z351" s="1015">
        <f t="shared" si="29"/>
        <v>62</v>
      </c>
      <c r="AA351" s="1016" t="s">
        <v>10932</v>
      </c>
      <c r="AB351" s="1015">
        <f t="shared" si="30"/>
        <v>62</v>
      </c>
      <c r="AC351" s="1016" t="s">
        <v>10933</v>
      </c>
      <c r="AD351" s="1015">
        <f t="shared" si="31"/>
        <v>25</v>
      </c>
      <c r="AE351" s="518" t="s">
        <v>10934</v>
      </c>
      <c r="AF351" s="519" t="s">
        <v>10935</v>
      </c>
      <c r="AG351" s="1021" t="s">
        <v>9179</v>
      </c>
      <c r="AH351" s="1022" t="s">
        <v>169</v>
      </c>
      <c r="AI351" s="494" t="s">
        <v>2917</v>
      </c>
      <c r="AJ351" s="958">
        <v>1</v>
      </c>
      <c r="AK351" s="959"/>
      <c r="AL351" s="960"/>
      <c r="AM351" s="1018">
        <f>_xll.GetCtData("COAMOUNT","CONSAMOUNT",$A$1:$A$7,$D351,AM$10,"#-2595,27714122581")</f>
        <v>-2595</v>
      </c>
    </row>
    <row r="352" spans="1:39">
      <c r="A352" s="427" t="s">
        <v>6610</v>
      </c>
      <c r="B352" s="427" t="s">
        <v>6610</v>
      </c>
      <c r="D352" s="990" t="s">
        <v>1253</v>
      </c>
      <c r="E352" s="949" t="s">
        <v>2930</v>
      </c>
      <c r="F352" s="950">
        <v>10</v>
      </c>
      <c r="G352" s="950"/>
      <c r="H352" s="950"/>
      <c r="I352" s="950"/>
      <c r="J352" s="950"/>
      <c r="K352" s="950"/>
      <c r="L352" s="950"/>
      <c r="M352" s="950"/>
      <c r="N352" s="950"/>
      <c r="O352" s="950"/>
      <c r="P352" s="950"/>
      <c r="Q352" s="950"/>
      <c r="R352" s="990" t="s">
        <v>10936</v>
      </c>
      <c r="S352" s="1014" t="s">
        <v>10937</v>
      </c>
      <c r="T352" s="1015">
        <f t="shared" si="26"/>
        <v>60</v>
      </c>
      <c r="U352" s="1014" t="s">
        <v>10937</v>
      </c>
      <c r="V352" s="1015">
        <f t="shared" si="27"/>
        <v>60</v>
      </c>
      <c r="W352" s="1014" t="s">
        <v>10938</v>
      </c>
      <c r="X352" s="1015">
        <f t="shared" si="28"/>
        <v>28</v>
      </c>
      <c r="Y352" s="1016" t="s">
        <v>10939</v>
      </c>
      <c r="Z352" s="1015">
        <f t="shared" si="29"/>
        <v>62</v>
      </c>
      <c r="AA352" s="1016" t="s">
        <v>10939</v>
      </c>
      <c r="AB352" s="1015">
        <f t="shared" si="30"/>
        <v>62</v>
      </c>
      <c r="AC352" s="1016" t="s">
        <v>10940</v>
      </c>
      <c r="AD352" s="1015">
        <f t="shared" si="31"/>
        <v>25</v>
      </c>
      <c r="AE352" s="518" t="s">
        <v>10941</v>
      </c>
      <c r="AF352" s="519" t="s">
        <v>10942</v>
      </c>
      <c r="AG352" s="1021" t="s">
        <v>9179</v>
      </c>
      <c r="AH352" s="1022" t="s">
        <v>169</v>
      </c>
      <c r="AI352" s="494" t="s">
        <v>2917</v>
      </c>
      <c r="AJ352" s="958">
        <v>1</v>
      </c>
      <c r="AK352" s="959"/>
      <c r="AL352" s="960"/>
      <c r="AM352" s="1018">
        <f>_xll.GetCtData("COAMOUNT","CONSAMOUNT",$A$1:$A$7,$D352,AM$10,"#-82")</f>
        <v>-82</v>
      </c>
    </row>
    <row r="353" spans="1:39">
      <c r="A353" s="427" t="s">
        <v>6610</v>
      </c>
      <c r="B353" s="427" t="s">
        <v>6610</v>
      </c>
      <c r="D353" s="990" t="s">
        <v>1254</v>
      </c>
      <c r="E353" s="949" t="s">
        <v>2930</v>
      </c>
      <c r="F353" s="950">
        <v>10</v>
      </c>
      <c r="G353" s="950"/>
      <c r="H353" s="950"/>
      <c r="I353" s="950"/>
      <c r="J353" s="950"/>
      <c r="K353" s="950"/>
      <c r="L353" s="950"/>
      <c r="M353" s="950"/>
      <c r="N353" s="950"/>
      <c r="O353" s="950"/>
      <c r="P353" s="950"/>
      <c r="Q353" s="950"/>
      <c r="R353" s="990" t="s">
        <v>10943</v>
      </c>
      <c r="S353" s="1014" t="s">
        <v>10944</v>
      </c>
      <c r="T353" s="1015">
        <f t="shared" si="26"/>
        <v>59</v>
      </c>
      <c r="U353" s="1014" t="s">
        <v>10944</v>
      </c>
      <c r="V353" s="1015">
        <f t="shared" si="27"/>
        <v>59</v>
      </c>
      <c r="W353" s="1014" t="s">
        <v>10945</v>
      </c>
      <c r="X353" s="1015">
        <f t="shared" si="28"/>
        <v>28</v>
      </c>
      <c r="Y353" s="1016" t="s">
        <v>10946</v>
      </c>
      <c r="Z353" s="1015">
        <f t="shared" si="29"/>
        <v>61</v>
      </c>
      <c r="AA353" s="1016" t="s">
        <v>10946</v>
      </c>
      <c r="AB353" s="1015">
        <f t="shared" si="30"/>
        <v>61</v>
      </c>
      <c r="AC353" s="1016" t="s">
        <v>10947</v>
      </c>
      <c r="AD353" s="1015">
        <f t="shared" si="31"/>
        <v>25</v>
      </c>
      <c r="AE353" s="518" t="s">
        <v>10948</v>
      </c>
      <c r="AF353" s="519" t="s">
        <v>10949</v>
      </c>
      <c r="AG353" s="1021" t="s">
        <v>9179</v>
      </c>
      <c r="AH353" s="1022" t="s">
        <v>169</v>
      </c>
      <c r="AI353" s="494" t="s">
        <v>2917</v>
      </c>
      <c r="AJ353" s="958">
        <v>1</v>
      </c>
      <c r="AK353" s="959"/>
      <c r="AL353" s="960"/>
      <c r="AM353" s="1018">
        <f>_xll.GetCtData("COAMOUNT","CONSAMOUNT",$A$1:$A$7,$D353,AM$10,"#")</f>
        <v>0</v>
      </c>
    </row>
    <row r="354" spans="1:39">
      <c r="A354" s="427" t="s">
        <v>6610</v>
      </c>
      <c r="B354" s="427" t="s">
        <v>6610</v>
      </c>
      <c r="D354" s="990" t="s">
        <v>1255</v>
      </c>
      <c r="E354" s="949" t="s">
        <v>2930</v>
      </c>
      <c r="F354" s="950">
        <v>10</v>
      </c>
      <c r="G354" s="950"/>
      <c r="H354" s="950"/>
      <c r="I354" s="950"/>
      <c r="J354" s="950"/>
      <c r="K354" s="950"/>
      <c r="L354" s="950"/>
      <c r="M354" s="950"/>
      <c r="N354" s="950"/>
      <c r="O354" s="950"/>
      <c r="P354" s="950"/>
      <c r="Q354" s="950"/>
      <c r="R354" s="990" t="s">
        <v>10950</v>
      </c>
      <c r="S354" s="1014" t="s">
        <v>10951</v>
      </c>
      <c r="T354" s="1015">
        <f t="shared" si="26"/>
        <v>62</v>
      </c>
      <c r="U354" s="1014" t="s">
        <v>10951</v>
      </c>
      <c r="V354" s="1015">
        <f t="shared" si="27"/>
        <v>62</v>
      </c>
      <c r="W354" s="1014" t="s">
        <v>10952</v>
      </c>
      <c r="X354" s="1015">
        <f t="shared" si="28"/>
        <v>30</v>
      </c>
      <c r="Y354" s="1016" t="s">
        <v>10953</v>
      </c>
      <c r="Z354" s="1015">
        <f t="shared" si="29"/>
        <v>64</v>
      </c>
      <c r="AA354" s="1016" t="s">
        <v>10953</v>
      </c>
      <c r="AB354" s="1015">
        <f t="shared" si="30"/>
        <v>64</v>
      </c>
      <c r="AC354" s="1016" t="s">
        <v>10954</v>
      </c>
      <c r="AD354" s="1015">
        <f t="shared" si="31"/>
        <v>27</v>
      </c>
      <c r="AE354" s="518" t="s">
        <v>10948</v>
      </c>
      <c r="AF354" s="519" t="s">
        <v>10949</v>
      </c>
      <c r="AG354" s="1021" t="s">
        <v>9179</v>
      </c>
      <c r="AH354" s="1022" t="s">
        <v>169</v>
      </c>
      <c r="AI354" s="494" t="s">
        <v>2917</v>
      </c>
      <c r="AJ354" s="958">
        <v>1</v>
      </c>
      <c r="AK354" s="959"/>
      <c r="AL354" s="960"/>
      <c r="AM354" s="1018">
        <f>_xll.GetCtData("COAMOUNT","CONSAMOUNT",$A$1:$A$7,$D354,AM$10,"#")</f>
        <v>0</v>
      </c>
    </row>
    <row r="355" spans="1:39">
      <c r="A355" s="427" t="s">
        <v>6610</v>
      </c>
      <c r="B355" s="427" t="s">
        <v>6610</v>
      </c>
      <c r="D355" s="990" t="s">
        <v>1256</v>
      </c>
      <c r="E355" s="949" t="s">
        <v>2930</v>
      </c>
      <c r="F355" s="950">
        <v>10</v>
      </c>
      <c r="G355" s="950"/>
      <c r="H355" s="950"/>
      <c r="I355" s="950"/>
      <c r="J355" s="950"/>
      <c r="K355" s="950"/>
      <c r="L355" s="950"/>
      <c r="M355" s="950"/>
      <c r="N355" s="950"/>
      <c r="O355" s="950"/>
      <c r="P355" s="950"/>
      <c r="Q355" s="950"/>
      <c r="R355" s="990" t="s">
        <v>10955</v>
      </c>
      <c r="S355" s="1014" t="s">
        <v>10956</v>
      </c>
      <c r="T355" s="1015">
        <f t="shared" si="26"/>
        <v>63</v>
      </c>
      <c r="U355" s="1014" t="s">
        <v>10956</v>
      </c>
      <c r="V355" s="1015">
        <f t="shared" si="27"/>
        <v>63</v>
      </c>
      <c r="W355" s="1014" t="s">
        <v>10957</v>
      </c>
      <c r="X355" s="1015">
        <f t="shared" si="28"/>
        <v>28</v>
      </c>
      <c r="Y355" s="1016" t="s">
        <v>10958</v>
      </c>
      <c r="Z355" s="1015">
        <f t="shared" si="29"/>
        <v>62</v>
      </c>
      <c r="AA355" s="1016" t="s">
        <v>10959</v>
      </c>
      <c r="AB355" s="1015">
        <f t="shared" si="30"/>
        <v>60</v>
      </c>
      <c r="AC355" s="1016" t="s">
        <v>10960</v>
      </c>
      <c r="AD355" s="1015">
        <f t="shared" si="31"/>
        <v>26</v>
      </c>
      <c r="AE355" s="518" t="s">
        <v>10961</v>
      </c>
      <c r="AF355" s="519" t="s">
        <v>10962</v>
      </c>
      <c r="AG355" s="1021" t="s">
        <v>9179</v>
      </c>
      <c r="AH355" s="1022" t="s">
        <v>169</v>
      </c>
      <c r="AI355" s="494" t="s">
        <v>2917</v>
      </c>
      <c r="AJ355" s="958">
        <v>1</v>
      </c>
      <c r="AK355" s="959"/>
      <c r="AL355" s="960" t="s">
        <v>5930</v>
      </c>
      <c r="AM355" s="1018">
        <f>_xll.GetCtData("COAMOUNT","CONSAMOUNT",$A$1:$A$7,$D355,AM$10,"#497,447967886729")</f>
        <v>497</v>
      </c>
    </row>
    <row r="356" spans="1:39">
      <c r="A356" s="427" t="s">
        <v>6610</v>
      </c>
      <c r="B356" s="427" t="s">
        <v>6610</v>
      </c>
      <c r="D356" s="990" t="s">
        <v>1257</v>
      </c>
      <c r="E356" s="949" t="s">
        <v>2930</v>
      </c>
      <c r="F356" s="950">
        <v>10</v>
      </c>
      <c r="G356" s="950"/>
      <c r="H356" s="950"/>
      <c r="I356" s="950"/>
      <c r="J356" s="950"/>
      <c r="K356" s="950"/>
      <c r="L356" s="950"/>
      <c r="M356" s="950"/>
      <c r="N356" s="950"/>
      <c r="O356" s="950"/>
      <c r="P356" s="950"/>
      <c r="Q356" s="950"/>
      <c r="R356" s="990" t="s">
        <v>10963</v>
      </c>
      <c r="S356" s="1014" t="s">
        <v>10964</v>
      </c>
      <c r="T356" s="1015">
        <f t="shared" si="26"/>
        <v>63</v>
      </c>
      <c r="U356" s="1014" t="s">
        <v>10964</v>
      </c>
      <c r="V356" s="1015">
        <f t="shared" si="27"/>
        <v>63</v>
      </c>
      <c r="W356" s="1014" t="s">
        <v>10965</v>
      </c>
      <c r="X356" s="1015">
        <f t="shared" si="28"/>
        <v>28</v>
      </c>
      <c r="Y356" s="1016" t="s">
        <v>10966</v>
      </c>
      <c r="Z356" s="1015">
        <f t="shared" si="29"/>
        <v>62</v>
      </c>
      <c r="AA356" s="1016" t="s">
        <v>10967</v>
      </c>
      <c r="AB356" s="1015">
        <f t="shared" si="30"/>
        <v>60</v>
      </c>
      <c r="AC356" s="1016" t="s">
        <v>10968</v>
      </c>
      <c r="AD356" s="1015">
        <f t="shared" si="31"/>
        <v>26</v>
      </c>
      <c r="AE356" s="518" t="s">
        <v>10969</v>
      </c>
      <c r="AF356" s="519" t="s">
        <v>10970</v>
      </c>
      <c r="AG356" s="1021" t="s">
        <v>9179</v>
      </c>
      <c r="AH356" s="1022" t="s">
        <v>169</v>
      </c>
      <c r="AI356" s="494" t="s">
        <v>2917</v>
      </c>
      <c r="AJ356" s="958">
        <v>1</v>
      </c>
      <c r="AK356" s="959"/>
      <c r="AL356" s="960" t="s">
        <v>5930</v>
      </c>
      <c r="AM356" s="1018">
        <f>_xll.GetCtData("COAMOUNT","CONSAMOUNT",$A$1:$A$7,$D356,AM$10,"#135")</f>
        <v>135</v>
      </c>
    </row>
    <row r="357" spans="1:39">
      <c r="A357" s="427" t="s">
        <v>6610</v>
      </c>
      <c r="B357" s="427" t="s">
        <v>6610</v>
      </c>
      <c r="D357" s="990" t="s">
        <v>1258</v>
      </c>
      <c r="E357" s="949" t="s">
        <v>2930</v>
      </c>
      <c r="F357" s="950">
        <v>10</v>
      </c>
      <c r="G357" s="950"/>
      <c r="H357" s="950"/>
      <c r="I357" s="950"/>
      <c r="J357" s="950"/>
      <c r="K357" s="950"/>
      <c r="L357" s="950"/>
      <c r="M357" s="950"/>
      <c r="N357" s="950"/>
      <c r="O357" s="950"/>
      <c r="P357" s="950"/>
      <c r="Q357" s="950"/>
      <c r="R357" s="990" t="s">
        <v>10971</v>
      </c>
      <c r="S357" s="1014" t="s">
        <v>10972</v>
      </c>
      <c r="T357" s="1015">
        <f t="shared" si="26"/>
        <v>63</v>
      </c>
      <c r="U357" s="1014" t="s">
        <v>10972</v>
      </c>
      <c r="V357" s="1015">
        <f t="shared" si="27"/>
        <v>63</v>
      </c>
      <c r="W357" s="1014" t="s">
        <v>10973</v>
      </c>
      <c r="X357" s="1015">
        <f t="shared" si="28"/>
        <v>28</v>
      </c>
      <c r="Y357" s="1016" t="s">
        <v>10974</v>
      </c>
      <c r="Z357" s="1015">
        <f t="shared" si="29"/>
        <v>62</v>
      </c>
      <c r="AA357" s="1016" t="s">
        <v>10975</v>
      </c>
      <c r="AB357" s="1015">
        <f t="shared" si="30"/>
        <v>60</v>
      </c>
      <c r="AC357" s="1016" t="s">
        <v>10976</v>
      </c>
      <c r="AD357" s="1015">
        <f t="shared" si="31"/>
        <v>26</v>
      </c>
      <c r="AE357" s="518" t="s">
        <v>10977</v>
      </c>
      <c r="AF357" s="519" t="s">
        <v>10978</v>
      </c>
      <c r="AG357" s="1021" t="s">
        <v>9179</v>
      </c>
      <c r="AH357" s="1022" t="s">
        <v>169</v>
      </c>
      <c r="AI357" s="494" t="s">
        <v>2917</v>
      </c>
      <c r="AJ357" s="958">
        <v>1</v>
      </c>
      <c r="AK357" s="959"/>
      <c r="AL357" s="960" t="s">
        <v>5930</v>
      </c>
      <c r="AM357" s="1018">
        <f>_xll.GetCtData("COAMOUNT","CONSAMOUNT",$A$1:$A$7,$D357,AM$10,"#")</f>
        <v>0</v>
      </c>
    </row>
    <row r="358" spans="1:39">
      <c r="A358" s="427" t="s">
        <v>6610</v>
      </c>
      <c r="B358" s="427" t="s">
        <v>6610</v>
      </c>
      <c r="D358" s="990" t="s">
        <v>1259</v>
      </c>
      <c r="E358" s="949" t="s">
        <v>2930</v>
      </c>
      <c r="F358" s="950">
        <v>10</v>
      </c>
      <c r="G358" s="950"/>
      <c r="H358" s="950"/>
      <c r="I358" s="950"/>
      <c r="J358" s="950"/>
      <c r="K358" s="950"/>
      <c r="L358" s="950"/>
      <c r="M358" s="950"/>
      <c r="N358" s="950"/>
      <c r="O358" s="950"/>
      <c r="P358" s="950"/>
      <c r="Q358" s="950"/>
      <c r="R358" s="990" t="s">
        <v>10979</v>
      </c>
      <c r="S358" s="1014" t="s">
        <v>10980</v>
      </c>
      <c r="T358" s="1015">
        <f t="shared" si="26"/>
        <v>65</v>
      </c>
      <c r="U358" s="1014" t="s">
        <v>10980</v>
      </c>
      <c r="V358" s="1015">
        <f t="shared" si="27"/>
        <v>65</v>
      </c>
      <c r="W358" s="1014" t="s">
        <v>10981</v>
      </c>
      <c r="X358" s="1015">
        <f t="shared" si="28"/>
        <v>30</v>
      </c>
      <c r="Y358" s="1016" t="s">
        <v>10982</v>
      </c>
      <c r="Z358" s="1015">
        <f t="shared" si="29"/>
        <v>64</v>
      </c>
      <c r="AA358" s="1016" t="s">
        <v>10983</v>
      </c>
      <c r="AB358" s="1015">
        <f t="shared" si="30"/>
        <v>62</v>
      </c>
      <c r="AC358" s="1016" t="s">
        <v>10984</v>
      </c>
      <c r="AD358" s="1015">
        <f t="shared" si="31"/>
        <v>28</v>
      </c>
      <c r="AE358" s="518" t="s">
        <v>10977</v>
      </c>
      <c r="AF358" s="519" t="s">
        <v>10978</v>
      </c>
      <c r="AG358" s="1021" t="s">
        <v>9179</v>
      </c>
      <c r="AH358" s="1022" t="s">
        <v>169</v>
      </c>
      <c r="AI358" s="494" t="s">
        <v>2917</v>
      </c>
      <c r="AJ358" s="958">
        <v>1</v>
      </c>
      <c r="AK358" s="959"/>
      <c r="AL358" s="960" t="s">
        <v>7841</v>
      </c>
      <c r="AM358" s="1018">
        <f>_xll.GetCtData("COAMOUNT","CONSAMOUNT",$A$1:$A$7,$D358,AM$10,"#")</f>
        <v>0</v>
      </c>
    </row>
    <row r="359" spans="1:39">
      <c r="A359" s="427" t="s">
        <v>6610</v>
      </c>
      <c r="B359" s="427" t="s">
        <v>6610</v>
      </c>
      <c r="D359" s="981" t="s">
        <v>10985</v>
      </c>
      <c r="E359" s="949" t="s">
        <v>2912</v>
      </c>
      <c r="F359" s="950">
        <v>8</v>
      </c>
      <c r="G359" s="950"/>
      <c r="H359" s="950"/>
      <c r="I359" s="950"/>
      <c r="J359" s="950"/>
      <c r="K359" s="950"/>
      <c r="L359" s="950"/>
      <c r="M359" s="950"/>
      <c r="N359" s="950"/>
      <c r="O359" s="981" t="s">
        <v>10986</v>
      </c>
      <c r="P359" s="982"/>
      <c r="Q359" s="981"/>
      <c r="R359" s="981" t="s">
        <v>10986</v>
      </c>
      <c r="S359" s="981" t="s">
        <v>10987</v>
      </c>
      <c r="T359" s="1002">
        <f t="shared" si="26"/>
        <v>55</v>
      </c>
      <c r="U359" s="981" t="s">
        <v>10987</v>
      </c>
      <c r="V359" s="1002">
        <f t="shared" si="27"/>
        <v>55</v>
      </c>
      <c r="W359" s="981" t="s">
        <v>10988</v>
      </c>
      <c r="X359" s="1002">
        <f t="shared" si="28"/>
        <v>30</v>
      </c>
      <c r="Y359" s="1003" t="s">
        <v>10989</v>
      </c>
      <c r="Z359" s="1002">
        <f t="shared" si="29"/>
        <v>64</v>
      </c>
      <c r="AA359" s="1003" t="s">
        <v>10990</v>
      </c>
      <c r="AB359" s="1002">
        <f t="shared" si="30"/>
        <v>62</v>
      </c>
      <c r="AC359" s="1003" t="s">
        <v>10991</v>
      </c>
      <c r="AD359" s="1002">
        <f t="shared" si="31"/>
        <v>23</v>
      </c>
      <c r="AE359" s="1002"/>
      <c r="AF359" s="1002"/>
      <c r="AG359" s="956"/>
      <c r="AH359" s="957"/>
      <c r="AI359" s="494" t="s">
        <v>2917</v>
      </c>
      <c r="AJ359" s="958">
        <v>1</v>
      </c>
      <c r="AK359" s="959"/>
      <c r="AL359" s="960" t="s">
        <v>5930</v>
      </c>
      <c r="AM359" s="985">
        <f>_xll.GetCtData("COAMOUNT","CONSAMOUNT",$A$1:$A$7,$D359,AM$10,"#")</f>
        <v>0</v>
      </c>
    </row>
    <row r="360" spans="1:39">
      <c r="A360" s="427" t="s">
        <v>6610</v>
      </c>
      <c r="B360" s="427" t="s">
        <v>6610</v>
      </c>
      <c r="D360" s="990" t="s">
        <v>1260</v>
      </c>
      <c r="E360" s="949" t="s">
        <v>2930</v>
      </c>
      <c r="F360" s="950">
        <v>10</v>
      </c>
      <c r="G360" s="950"/>
      <c r="H360" s="950"/>
      <c r="I360" s="950"/>
      <c r="J360" s="950"/>
      <c r="K360" s="950"/>
      <c r="L360" s="950"/>
      <c r="M360" s="950"/>
      <c r="N360" s="950"/>
      <c r="O360" s="950"/>
      <c r="P360" s="950"/>
      <c r="Q360" s="950"/>
      <c r="R360" s="990" t="s">
        <v>10992</v>
      </c>
      <c r="S360" s="1014" t="s">
        <v>10993</v>
      </c>
      <c r="T360" s="1015">
        <f t="shared" si="26"/>
        <v>55</v>
      </c>
      <c r="U360" s="1014" t="s">
        <v>10993</v>
      </c>
      <c r="V360" s="1015">
        <f t="shared" si="27"/>
        <v>55</v>
      </c>
      <c r="W360" s="1014" t="s">
        <v>10994</v>
      </c>
      <c r="X360" s="1015">
        <f t="shared" si="28"/>
        <v>30</v>
      </c>
      <c r="Y360" s="1016" t="s">
        <v>10995</v>
      </c>
      <c r="Z360" s="1015">
        <f t="shared" si="29"/>
        <v>67</v>
      </c>
      <c r="AA360" s="1016" t="s">
        <v>10995</v>
      </c>
      <c r="AB360" s="1015">
        <f t="shared" si="30"/>
        <v>67</v>
      </c>
      <c r="AC360" s="1016" t="s">
        <v>10996</v>
      </c>
      <c r="AD360" s="1015">
        <f t="shared" si="31"/>
        <v>27</v>
      </c>
      <c r="AE360" s="518" t="s">
        <v>10997</v>
      </c>
      <c r="AF360" s="519" t="s">
        <v>10998</v>
      </c>
      <c r="AG360" s="1021" t="s">
        <v>9179</v>
      </c>
      <c r="AH360" s="1022" t="s">
        <v>169</v>
      </c>
      <c r="AI360" s="494" t="s">
        <v>2917</v>
      </c>
      <c r="AJ360" s="958">
        <v>1</v>
      </c>
      <c r="AK360" s="959"/>
      <c r="AL360" s="960"/>
      <c r="AM360" s="1018">
        <f>_xll.GetCtData("COAMOUNT","CONSAMOUNT",$A$1:$A$7,$D360,AM$10,"#")</f>
        <v>0</v>
      </c>
    </row>
    <row r="361" spans="1:39">
      <c r="A361" s="427" t="s">
        <v>6610</v>
      </c>
      <c r="B361" s="427" t="s">
        <v>6610</v>
      </c>
      <c r="D361" s="990" t="s">
        <v>1261</v>
      </c>
      <c r="E361" s="949" t="s">
        <v>2930</v>
      </c>
      <c r="F361" s="950">
        <v>10</v>
      </c>
      <c r="G361" s="950"/>
      <c r="H361" s="950"/>
      <c r="I361" s="950"/>
      <c r="J361" s="950"/>
      <c r="K361" s="950"/>
      <c r="L361" s="950"/>
      <c r="M361" s="950"/>
      <c r="N361" s="950"/>
      <c r="O361" s="950"/>
      <c r="P361" s="950"/>
      <c r="Q361" s="950"/>
      <c r="R361" s="990" t="s">
        <v>10999</v>
      </c>
      <c r="S361" s="1014" t="s">
        <v>11000</v>
      </c>
      <c r="T361" s="1015">
        <f t="shared" si="26"/>
        <v>55</v>
      </c>
      <c r="U361" s="1014" t="s">
        <v>11000</v>
      </c>
      <c r="V361" s="1015">
        <f t="shared" si="27"/>
        <v>55</v>
      </c>
      <c r="W361" s="1014" t="s">
        <v>11001</v>
      </c>
      <c r="X361" s="1015">
        <f t="shared" si="28"/>
        <v>30</v>
      </c>
      <c r="Y361" s="1016" t="s">
        <v>11002</v>
      </c>
      <c r="Z361" s="1015">
        <f t="shared" si="29"/>
        <v>67</v>
      </c>
      <c r="AA361" s="1016" t="s">
        <v>11002</v>
      </c>
      <c r="AB361" s="1015">
        <f t="shared" si="30"/>
        <v>67</v>
      </c>
      <c r="AC361" s="1016" t="s">
        <v>11003</v>
      </c>
      <c r="AD361" s="1015">
        <f t="shared" si="31"/>
        <v>27</v>
      </c>
      <c r="AE361" s="518" t="s">
        <v>10997</v>
      </c>
      <c r="AF361" s="519" t="s">
        <v>10998</v>
      </c>
      <c r="AG361" s="1021" t="s">
        <v>9179</v>
      </c>
      <c r="AH361" s="1022" t="s">
        <v>169</v>
      </c>
      <c r="AI361" s="494" t="s">
        <v>2917</v>
      </c>
      <c r="AJ361" s="958">
        <v>1</v>
      </c>
      <c r="AK361" s="959"/>
      <c r="AL361" s="960"/>
      <c r="AM361" s="1018">
        <f>_xll.GetCtData("COAMOUNT","CONSAMOUNT",$A$1:$A$7,$D361,AM$10,"#")</f>
        <v>0</v>
      </c>
    </row>
    <row r="362" spans="1:39">
      <c r="A362" s="427" t="s">
        <v>6610</v>
      </c>
      <c r="B362" s="427" t="s">
        <v>6610</v>
      </c>
      <c r="D362" s="990" t="s">
        <v>1262</v>
      </c>
      <c r="E362" s="949" t="s">
        <v>2930</v>
      </c>
      <c r="F362" s="950">
        <v>10</v>
      </c>
      <c r="G362" s="950"/>
      <c r="H362" s="950"/>
      <c r="I362" s="950"/>
      <c r="J362" s="950"/>
      <c r="K362" s="950"/>
      <c r="L362" s="950"/>
      <c r="M362" s="950"/>
      <c r="N362" s="950"/>
      <c r="O362" s="950"/>
      <c r="P362" s="950"/>
      <c r="Q362" s="950"/>
      <c r="R362" s="990" t="s">
        <v>11004</v>
      </c>
      <c r="S362" s="1014" t="s">
        <v>11005</v>
      </c>
      <c r="T362" s="1015">
        <f t="shared" si="26"/>
        <v>55</v>
      </c>
      <c r="U362" s="1014" t="s">
        <v>11005</v>
      </c>
      <c r="V362" s="1015">
        <f t="shared" si="27"/>
        <v>55</v>
      </c>
      <c r="W362" s="1014" t="s">
        <v>11006</v>
      </c>
      <c r="X362" s="1015">
        <f t="shared" si="28"/>
        <v>30</v>
      </c>
      <c r="Y362" s="1016" t="s">
        <v>11007</v>
      </c>
      <c r="Z362" s="1015">
        <f t="shared" si="29"/>
        <v>67</v>
      </c>
      <c r="AA362" s="1016" t="s">
        <v>11007</v>
      </c>
      <c r="AB362" s="1015">
        <f t="shared" si="30"/>
        <v>67</v>
      </c>
      <c r="AC362" s="1016" t="s">
        <v>11008</v>
      </c>
      <c r="AD362" s="1015">
        <f t="shared" si="31"/>
        <v>27</v>
      </c>
      <c r="AE362" s="518" t="s">
        <v>10997</v>
      </c>
      <c r="AF362" s="519" t="s">
        <v>10998</v>
      </c>
      <c r="AG362" s="1021" t="s">
        <v>9179</v>
      </c>
      <c r="AH362" s="1022" t="s">
        <v>169</v>
      </c>
      <c r="AI362" s="494" t="s">
        <v>2917</v>
      </c>
      <c r="AJ362" s="958">
        <v>1</v>
      </c>
      <c r="AK362" s="959"/>
      <c r="AL362" s="960"/>
      <c r="AM362" s="1018">
        <f>_xll.GetCtData("COAMOUNT","CONSAMOUNT",$A$1:$A$7,$D362,AM$10,"#")</f>
        <v>0</v>
      </c>
    </row>
    <row r="363" spans="1:39">
      <c r="A363" s="427" t="s">
        <v>6610</v>
      </c>
      <c r="B363" s="427" t="s">
        <v>6610</v>
      </c>
      <c r="D363" s="990" t="s">
        <v>1263</v>
      </c>
      <c r="E363" s="949" t="s">
        <v>2930</v>
      </c>
      <c r="F363" s="950">
        <v>10</v>
      </c>
      <c r="G363" s="950"/>
      <c r="H363" s="950"/>
      <c r="I363" s="950"/>
      <c r="J363" s="950"/>
      <c r="K363" s="950"/>
      <c r="L363" s="950"/>
      <c r="M363" s="950"/>
      <c r="N363" s="950"/>
      <c r="O363" s="950"/>
      <c r="P363" s="950"/>
      <c r="Q363" s="950"/>
      <c r="R363" s="990" t="s">
        <v>11009</v>
      </c>
      <c r="S363" s="1014" t="s">
        <v>11010</v>
      </c>
      <c r="T363" s="1015">
        <f t="shared" si="26"/>
        <v>57</v>
      </c>
      <c r="U363" s="1014" t="s">
        <v>11010</v>
      </c>
      <c r="V363" s="1015">
        <f t="shared" si="27"/>
        <v>57</v>
      </c>
      <c r="W363" s="1014" t="s">
        <v>11011</v>
      </c>
      <c r="X363" s="1015">
        <f t="shared" si="28"/>
        <v>30</v>
      </c>
      <c r="Y363" s="1016" t="s">
        <v>11012</v>
      </c>
      <c r="Z363" s="1015">
        <f t="shared" si="29"/>
        <v>69</v>
      </c>
      <c r="AA363" s="1016" t="s">
        <v>11012</v>
      </c>
      <c r="AB363" s="1015">
        <f t="shared" si="30"/>
        <v>69</v>
      </c>
      <c r="AC363" s="1016" t="s">
        <v>11013</v>
      </c>
      <c r="AD363" s="1015">
        <f t="shared" si="31"/>
        <v>29</v>
      </c>
      <c r="AE363" s="518" t="s">
        <v>10997</v>
      </c>
      <c r="AF363" s="519" t="s">
        <v>10998</v>
      </c>
      <c r="AG363" s="1021" t="s">
        <v>9179</v>
      </c>
      <c r="AH363" s="1022" t="s">
        <v>169</v>
      </c>
      <c r="AI363" s="494" t="s">
        <v>2917</v>
      </c>
      <c r="AJ363" s="958">
        <v>1</v>
      </c>
      <c r="AK363" s="959"/>
      <c r="AL363" s="960"/>
      <c r="AM363" s="1018">
        <f>_xll.GetCtData("COAMOUNT","CONSAMOUNT",$A$1:$A$7,$D363,AM$10,"#")</f>
        <v>0</v>
      </c>
    </row>
    <row r="364" spans="1:39">
      <c r="A364" s="427" t="s">
        <v>6610</v>
      </c>
      <c r="B364" s="427" t="s">
        <v>6610</v>
      </c>
      <c r="D364" s="990" t="s">
        <v>1264</v>
      </c>
      <c r="E364" s="949" t="s">
        <v>2930</v>
      </c>
      <c r="F364" s="950">
        <v>10</v>
      </c>
      <c r="G364" s="950"/>
      <c r="H364" s="950"/>
      <c r="I364" s="950"/>
      <c r="J364" s="950"/>
      <c r="K364" s="950"/>
      <c r="L364" s="950"/>
      <c r="M364" s="950"/>
      <c r="N364" s="950"/>
      <c r="O364" s="950"/>
      <c r="P364" s="950"/>
      <c r="Q364" s="950"/>
      <c r="R364" s="990" t="s">
        <v>11014</v>
      </c>
      <c r="S364" s="1014" t="s">
        <v>11015</v>
      </c>
      <c r="T364" s="1015">
        <f t="shared" si="26"/>
        <v>58</v>
      </c>
      <c r="U364" s="1014" t="s">
        <v>11015</v>
      </c>
      <c r="V364" s="1015">
        <f t="shared" si="27"/>
        <v>58</v>
      </c>
      <c r="W364" s="1014" t="s">
        <v>11016</v>
      </c>
      <c r="X364" s="1015">
        <f t="shared" si="28"/>
        <v>30</v>
      </c>
      <c r="Y364" s="1016" t="s">
        <v>11017</v>
      </c>
      <c r="Z364" s="1015">
        <f t="shared" si="29"/>
        <v>67</v>
      </c>
      <c r="AA364" s="1016" t="s">
        <v>11018</v>
      </c>
      <c r="AB364" s="1015">
        <f t="shared" si="30"/>
        <v>65</v>
      </c>
      <c r="AC364" s="1016" t="s">
        <v>11019</v>
      </c>
      <c r="AD364" s="1015">
        <f t="shared" si="31"/>
        <v>28</v>
      </c>
      <c r="AE364" s="518" t="s">
        <v>10997</v>
      </c>
      <c r="AF364" s="519" t="s">
        <v>10998</v>
      </c>
      <c r="AG364" s="1021" t="s">
        <v>9179</v>
      </c>
      <c r="AH364" s="1022" t="s">
        <v>169</v>
      </c>
      <c r="AI364" s="494" t="s">
        <v>2917</v>
      </c>
      <c r="AJ364" s="958">
        <v>1</v>
      </c>
      <c r="AK364" s="959"/>
      <c r="AL364" s="960" t="s">
        <v>5930</v>
      </c>
      <c r="AM364" s="1018">
        <f>_xll.GetCtData("COAMOUNT","CONSAMOUNT",$A$1:$A$7,$D364,AM$10,"#")</f>
        <v>0</v>
      </c>
    </row>
    <row r="365" spans="1:39">
      <c r="A365" s="427" t="s">
        <v>6610</v>
      </c>
      <c r="B365" s="427" t="s">
        <v>6610</v>
      </c>
      <c r="D365" s="990" t="s">
        <v>1265</v>
      </c>
      <c r="E365" s="949" t="s">
        <v>2930</v>
      </c>
      <c r="F365" s="950">
        <v>10</v>
      </c>
      <c r="G365" s="950"/>
      <c r="H365" s="950"/>
      <c r="I365" s="950"/>
      <c r="J365" s="950"/>
      <c r="K365" s="950"/>
      <c r="L365" s="950"/>
      <c r="M365" s="950"/>
      <c r="N365" s="950"/>
      <c r="O365" s="950"/>
      <c r="P365" s="950"/>
      <c r="Q365" s="950"/>
      <c r="R365" s="990" t="s">
        <v>11020</v>
      </c>
      <c r="S365" s="1014" t="s">
        <v>11021</v>
      </c>
      <c r="T365" s="1015">
        <f t="shared" si="26"/>
        <v>58</v>
      </c>
      <c r="U365" s="1014" t="s">
        <v>11021</v>
      </c>
      <c r="V365" s="1015">
        <f t="shared" si="27"/>
        <v>58</v>
      </c>
      <c r="W365" s="1014" t="s">
        <v>11022</v>
      </c>
      <c r="X365" s="1015">
        <f t="shared" si="28"/>
        <v>30</v>
      </c>
      <c r="Y365" s="1016" t="s">
        <v>11023</v>
      </c>
      <c r="Z365" s="1015">
        <f t="shared" si="29"/>
        <v>67</v>
      </c>
      <c r="AA365" s="1016" t="s">
        <v>11024</v>
      </c>
      <c r="AB365" s="1015">
        <f t="shared" si="30"/>
        <v>65</v>
      </c>
      <c r="AC365" s="1016" t="s">
        <v>11025</v>
      </c>
      <c r="AD365" s="1015">
        <f t="shared" si="31"/>
        <v>28</v>
      </c>
      <c r="AE365" s="518" t="s">
        <v>10997</v>
      </c>
      <c r="AF365" s="519" t="s">
        <v>10998</v>
      </c>
      <c r="AG365" s="1021" t="s">
        <v>9179</v>
      </c>
      <c r="AH365" s="1022" t="s">
        <v>169</v>
      </c>
      <c r="AI365" s="494" t="s">
        <v>2917</v>
      </c>
      <c r="AJ365" s="958">
        <v>1</v>
      </c>
      <c r="AK365" s="959"/>
      <c r="AL365" s="960" t="s">
        <v>5930</v>
      </c>
      <c r="AM365" s="1018">
        <f>_xll.GetCtData("COAMOUNT","CONSAMOUNT",$A$1:$A$7,$D365,AM$10,"#")</f>
        <v>0</v>
      </c>
    </row>
    <row r="366" spans="1:39">
      <c r="A366" s="427" t="s">
        <v>6610</v>
      </c>
      <c r="B366" s="427" t="s">
        <v>6610</v>
      </c>
      <c r="D366" s="990" t="s">
        <v>1266</v>
      </c>
      <c r="E366" s="949" t="s">
        <v>2930</v>
      </c>
      <c r="F366" s="950">
        <v>10</v>
      </c>
      <c r="G366" s="950"/>
      <c r="H366" s="950"/>
      <c r="I366" s="950"/>
      <c r="J366" s="950"/>
      <c r="K366" s="950"/>
      <c r="L366" s="950"/>
      <c r="M366" s="950"/>
      <c r="N366" s="950"/>
      <c r="O366" s="950"/>
      <c r="P366" s="950"/>
      <c r="Q366" s="950"/>
      <c r="R366" s="990" t="s">
        <v>11026</v>
      </c>
      <c r="S366" s="1014" t="s">
        <v>11027</v>
      </c>
      <c r="T366" s="1015">
        <f t="shared" si="26"/>
        <v>58</v>
      </c>
      <c r="U366" s="1014" t="s">
        <v>11027</v>
      </c>
      <c r="V366" s="1015">
        <f t="shared" si="27"/>
        <v>58</v>
      </c>
      <c r="W366" s="1014" t="s">
        <v>11028</v>
      </c>
      <c r="X366" s="1015">
        <f t="shared" si="28"/>
        <v>30</v>
      </c>
      <c r="Y366" s="1016" t="s">
        <v>11029</v>
      </c>
      <c r="Z366" s="1015">
        <f t="shared" si="29"/>
        <v>67</v>
      </c>
      <c r="AA366" s="1016" t="s">
        <v>11030</v>
      </c>
      <c r="AB366" s="1015">
        <f t="shared" si="30"/>
        <v>65</v>
      </c>
      <c r="AC366" s="1016" t="s">
        <v>11031</v>
      </c>
      <c r="AD366" s="1015">
        <f t="shared" si="31"/>
        <v>28</v>
      </c>
      <c r="AE366" s="518" t="s">
        <v>10997</v>
      </c>
      <c r="AF366" s="519" t="s">
        <v>10998</v>
      </c>
      <c r="AG366" s="1021" t="s">
        <v>9179</v>
      </c>
      <c r="AH366" s="1022" t="s">
        <v>169</v>
      </c>
      <c r="AI366" s="494" t="s">
        <v>2917</v>
      </c>
      <c r="AJ366" s="958">
        <v>1</v>
      </c>
      <c r="AK366" s="959"/>
      <c r="AL366" s="960" t="s">
        <v>5930</v>
      </c>
      <c r="AM366" s="1018">
        <f>_xll.GetCtData("COAMOUNT","CONSAMOUNT",$A$1:$A$7,$D366,AM$10,"#")</f>
        <v>0</v>
      </c>
    </row>
    <row r="367" spans="1:39">
      <c r="A367" s="427" t="s">
        <v>6610</v>
      </c>
      <c r="B367" s="427" t="s">
        <v>6610</v>
      </c>
      <c r="D367" s="990" t="s">
        <v>1267</v>
      </c>
      <c r="E367" s="949" t="s">
        <v>2930</v>
      </c>
      <c r="F367" s="950">
        <v>10</v>
      </c>
      <c r="G367" s="950"/>
      <c r="H367" s="950"/>
      <c r="I367" s="950"/>
      <c r="J367" s="950"/>
      <c r="K367" s="950"/>
      <c r="L367" s="950"/>
      <c r="M367" s="950"/>
      <c r="N367" s="950"/>
      <c r="O367" s="950"/>
      <c r="P367" s="950"/>
      <c r="Q367" s="950"/>
      <c r="R367" s="990" t="s">
        <v>11032</v>
      </c>
      <c r="S367" s="1014" t="s">
        <v>11033</v>
      </c>
      <c r="T367" s="1015">
        <f t="shared" si="26"/>
        <v>60</v>
      </c>
      <c r="U367" s="1014" t="s">
        <v>11033</v>
      </c>
      <c r="V367" s="1015">
        <f t="shared" si="27"/>
        <v>60</v>
      </c>
      <c r="W367" s="1014" t="s">
        <v>11034</v>
      </c>
      <c r="X367" s="1015">
        <f t="shared" si="28"/>
        <v>30</v>
      </c>
      <c r="Y367" s="1016" t="s">
        <v>11035</v>
      </c>
      <c r="Z367" s="1015">
        <f t="shared" si="29"/>
        <v>69</v>
      </c>
      <c r="AA367" s="1016" t="s">
        <v>11036</v>
      </c>
      <c r="AB367" s="1015">
        <f t="shared" si="30"/>
        <v>67</v>
      </c>
      <c r="AC367" s="1016" t="s">
        <v>11037</v>
      </c>
      <c r="AD367" s="1015">
        <f t="shared" si="31"/>
        <v>29</v>
      </c>
      <c r="AE367" s="518" t="s">
        <v>10997</v>
      </c>
      <c r="AF367" s="519" t="s">
        <v>10998</v>
      </c>
      <c r="AG367" s="1021" t="s">
        <v>9179</v>
      </c>
      <c r="AH367" s="1022" t="s">
        <v>169</v>
      </c>
      <c r="AI367" s="494" t="s">
        <v>2917</v>
      </c>
      <c r="AJ367" s="958">
        <v>1</v>
      </c>
      <c r="AK367" s="959"/>
      <c r="AL367" s="960" t="s">
        <v>7841</v>
      </c>
      <c r="AM367" s="1018">
        <f>_xll.GetCtData("COAMOUNT","CONSAMOUNT",$A$1:$A$7,$D367,AM$10,"#")</f>
        <v>0</v>
      </c>
    </row>
    <row r="368" spans="1:39">
      <c r="A368" s="427" t="s">
        <v>6610</v>
      </c>
      <c r="B368" s="427" t="s">
        <v>6610</v>
      </c>
      <c r="D368" s="1009" t="s">
        <v>11038</v>
      </c>
      <c r="E368" s="949" t="s">
        <v>2912</v>
      </c>
      <c r="F368" s="950">
        <v>7</v>
      </c>
      <c r="G368" s="950"/>
      <c r="H368" s="950"/>
      <c r="I368" s="950"/>
      <c r="J368" s="950"/>
      <c r="K368" s="950"/>
      <c r="L368" s="950"/>
      <c r="M368" s="950"/>
      <c r="N368" s="1009" t="s">
        <v>11039</v>
      </c>
      <c r="O368" s="975"/>
      <c r="P368" s="975"/>
      <c r="Q368" s="410"/>
      <c r="R368" s="1009" t="s">
        <v>11039</v>
      </c>
      <c r="S368" s="410" t="s">
        <v>11040</v>
      </c>
      <c r="T368" s="976">
        <f t="shared" si="26"/>
        <v>31</v>
      </c>
      <c r="U368" s="410" t="s">
        <v>11040</v>
      </c>
      <c r="V368" s="976">
        <f t="shared" si="27"/>
        <v>31</v>
      </c>
      <c r="W368" s="410" t="s">
        <v>11041</v>
      </c>
      <c r="X368" s="976">
        <f t="shared" si="28"/>
        <v>26</v>
      </c>
      <c r="Y368" s="977" t="s">
        <v>11042</v>
      </c>
      <c r="Z368" s="976">
        <f t="shared" si="29"/>
        <v>52</v>
      </c>
      <c r="AA368" s="977" t="s">
        <v>11042</v>
      </c>
      <c r="AB368" s="976">
        <f t="shared" si="30"/>
        <v>52</v>
      </c>
      <c r="AC368" s="977" t="s">
        <v>11043</v>
      </c>
      <c r="AD368" s="976">
        <f t="shared" si="31"/>
        <v>23</v>
      </c>
      <c r="AE368" s="976"/>
      <c r="AF368" s="976"/>
      <c r="AG368" s="956"/>
      <c r="AH368" s="957"/>
      <c r="AI368" s="494" t="s">
        <v>2917</v>
      </c>
      <c r="AJ368" s="958">
        <v>1</v>
      </c>
      <c r="AK368" s="959"/>
      <c r="AL368" s="960"/>
      <c r="AM368" s="980">
        <f>_xll.GetCtData("COAMOUNT","CONSAMOUNT",$A$1:$A$7,$D368,AM$10,"#5673,54530817185")</f>
        <v>5673</v>
      </c>
    </row>
    <row r="369" spans="1:39">
      <c r="A369" s="427" t="s">
        <v>6610</v>
      </c>
      <c r="B369" s="427" t="s">
        <v>6610</v>
      </c>
      <c r="D369" s="981" t="s">
        <v>11044</v>
      </c>
      <c r="E369" s="949" t="s">
        <v>2912</v>
      </c>
      <c r="F369" s="950">
        <v>8</v>
      </c>
      <c r="G369" s="950"/>
      <c r="H369" s="950"/>
      <c r="I369" s="950"/>
      <c r="J369" s="950"/>
      <c r="K369" s="950"/>
      <c r="L369" s="950"/>
      <c r="M369" s="950"/>
      <c r="N369" s="950"/>
      <c r="O369" s="981" t="s">
        <v>11045</v>
      </c>
      <c r="P369" s="982"/>
      <c r="Q369" s="981"/>
      <c r="R369" s="981" t="s">
        <v>11045</v>
      </c>
      <c r="S369" s="981" t="s">
        <v>11046</v>
      </c>
      <c r="T369" s="1002">
        <f t="shared" si="26"/>
        <v>55</v>
      </c>
      <c r="U369" s="981" t="s">
        <v>11046</v>
      </c>
      <c r="V369" s="1002">
        <f t="shared" si="27"/>
        <v>55</v>
      </c>
      <c r="W369" s="981" t="s">
        <v>11047</v>
      </c>
      <c r="X369" s="1002">
        <f t="shared" si="28"/>
        <v>27</v>
      </c>
      <c r="Y369" s="1003" t="s">
        <v>11048</v>
      </c>
      <c r="Z369" s="1002">
        <f t="shared" si="29"/>
        <v>49</v>
      </c>
      <c r="AA369" s="1003" t="s">
        <v>11049</v>
      </c>
      <c r="AB369" s="1002">
        <f t="shared" si="30"/>
        <v>48</v>
      </c>
      <c r="AC369" s="1003" t="s">
        <v>11050</v>
      </c>
      <c r="AD369" s="1002">
        <f t="shared" si="31"/>
        <v>30</v>
      </c>
      <c r="AE369" s="1002"/>
      <c r="AF369" s="1002"/>
      <c r="AG369" s="956"/>
      <c r="AH369" s="957"/>
      <c r="AI369" s="494" t="s">
        <v>2917</v>
      </c>
      <c r="AJ369" s="958">
        <v>1</v>
      </c>
      <c r="AK369" s="959"/>
      <c r="AL369" s="960" t="s">
        <v>5930</v>
      </c>
      <c r="AM369" s="985">
        <f>_xll.GetCtData("COAMOUNT","CONSAMOUNT",$A$1:$A$7,$D369,AM$10,"#5673,54530817185")</f>
        <v>5673</v>
      </c>
    </row>
    <row r="370" spans="1:39">
      <c r="A370" s="427" t="s">
        <v>6610</v>
      </c>
      <c r="B370" s="427" t="s">
        <v>6610</v>
      </c>
      <c r="D370" s="990" t="s">
        <v>1268</v>
      </c>
      <c r="E370" s="949" t="s">
        <v>2930</v>
      </c>
      <c r="F370" s="950">
        <v>10</v>
      </c>
      <c r="G370" s="950"/>
      <c r="H370" s="950"/>
      <c r="I370" s="950"/>
      <c r="J370" s="950"/>
      <c r="K370" s="950"/>
      <c r="L370" s="950"/>
      <c r="M370" s="950"/>
      <c r="N370" s="950"/>
      <c r="O370" s="950"/>
      <c r="P370" s="950"/>
      <c r="Q370" s="950"/>
      <c r="R370" s="990" t="s">
        <v>11051</v>
      </c>
      <c r="S370" s="992" t="s">
        <v>11052</v>
      </c>
      <c r="T370" s="993">
        <f t="shared" si="26"/>
        <v>66</v>
      </c>
      <c r="U370" s="992" t="s">
        <v>11052</v>
      </c>
      <c r="V370" s="993">
        <f t="shared" si="27"/>
        <v>66</v>
      </c>
      <c r="W370" s="992" t="s">
        <v>11053</v>
      </c>
      <c r="X370" s="993">
        <f t="shared" si="28"/>
        <v>30</v>
      </c>
      <c r="Y370" s="994" t="s">
        <v>11054</v>
      </c>
      <c r="Z370" s="993">
        <f t="shared" si="29"/>
        <v>55</v>
      </c>
      <c r="AA370" s="994" t="s">
        <v>11054</v>
      </c>
      <c r="AB370" s="993">
        <f t="shared" si="30"/>
        <v>55</v>
      </c>
      <c r="AC370" s="994" t="s">
        <v>11055</v>
      </c>
      <c r="AD370" s="993">
        <f t="shared" si="31"/>
        <v>28</v>
      </c>
      <c r="AE370" s="518" t="s">
        <v>11056</v>
      </c>
      <c r="AF370" s="519" t="s">
        <v>11057</v>
      </c>
      <c r="AG370" s="1021" t="s">
        <v>9179</v>
      </c>
      <c r="AH370" s="1022" t="s">
        <v>169</v>
      </c>
      <c r="AI370" s="494" t="s">
        <v>2917</v>
      </c>
      <c r="AJ370" s="958">
        <v>1</v>
      </c>
      <c r="AK370" s="959"/>
      <c r="AL370" s="960"/>
      <c r="AM370" s="997">
        <f>_xll.GetCtData("COAMOUNT","CONSAMOUNT",$A$1:$A$7,$D370,AM$10,"#-281885,255243807")</f>
        <v>-281885</v>
      </c>
    </row>
    <row r="371" spans="1:39">
      <c r="A371" s="427" t="s">
        <v>6610</v>
      </c>
      <c r="B371" s="427" t="s">
        <v>6610</v>
      </c>
      <c r="D371" s="990" t="s">
        <v>1269</v>
      </c>
      <c r="E371" s="949" t="s">
        <v>2930</v>
      </c>
      <c r="F371" s="950">
        <v>10</v>
      </c>
      <c r="G371" s="950"/>
      <c r="H371" s="950"/>
      <c r="I371" s="950"/>
      <c r="J371" s="950"/>
      <c r="K371" s="950"/>
      <c r="L371" s="950"/>
      <c r="M371" s="950"/>
      <c r="N371" s="950"/>
      <c r="O371" s="950"/>
      <c r="P371" s="950"/>
      <c r="Q371" s="950"/>
      <c r="R371" s="990" t="s">
        <v>11058</v>
      </c>
      <c r="S371" s="992" t="s">
        <v>11059</v>
      </c>
      <c r="T371" s="993">
        <f t="shared" si="26"/>
        <v>66</v>
      </c>
      <c r="U371" s="992" t="s">
        <v>11059</v>
      </c>
      <c r="V371" s="993">
        <f t="shared" si="27"/>
        <v>66</v>
      </c>
      <c r="W371" s="992" t="s">
        <v>11060</v>
      </c>
      <c r="X371" s="993">
        <f t="shared" si="28"/>
        <v>30</v>
      </c>
      <c r="Y371" s="994" t="s">
        <v>11061</v>
      </c>
      <c r="Z371" s="993">
        <f t="shared" si="29"/>
        <v>55</v>
      </c>
      <c r="AA371" s="994" t="s">
        <v>11061</v>
      </c>
      <c r="AB371" s="993">
        <f t="shared" si="30"/>
        <v>55</v>
      </c>
      <c r="AC371" s="994" t="s">
        <v>11062</v>
      </c>
      <c r="AD371" s="993">
        <f t="shared" si="31"/>
        <v>28</v>
      </c>
      <c r="AE371" s="518" t="s">
        <v>11063</v>
      </c>
      <c r="AF371" s="519" t="s">
        <v>11064</v>
      </c>
      <c r="AG371" s="1021" t="s">
        <v>9179</v>
      </c>
      <c r="AH371" s="1022" t="s">
        <v>169</v>
      </c>
      <c r="AI371" s="494" t="s">
        <v>2917</v>
      </c>
      <c r="AJ371" s="958">
        <v>1</v>
      </c>
      <c r="AK371" s="959"/>
      <c r="AL371" s="960"/>
      <c r="AM371" s="997">
        <f>_xll.GetCtData("COAMOUNT","CONSAMOUNT",$A$1:$A$7,$D371,AM$10,"#-367")</f>
        <v>-367</v>
      </c>
    </row>
    <row r="372" spans="1:39">
      <c r="A372" s="427" t="s">
        <v>6610</v>
      </c>
      <c r="B372" s="427" t="s">
        <v>6610</v>
      </c>
      <c r="D372" s="990" t="s">
        <v>1270</v>
      </c>
      <c r="E372" s="949" t="s">
        <v>2930</v>
      </c>
      <c r="F372" s="950">
        <v>10</v>
      </c>
      <c r="G372" s="950"/>
      <c r="H372" s="950"/>
      <c r="I372" s="950"/>
      <c r="J372" s="950"/>
      <c r="K372" s="950"/>
      <c r="L372" s="950"/>
      <c r="M372" s="950"/>
      <c r="N372" s="950"/>
      <c r="O372" s="950"/>
      <c r="P372" s="950"/>
      <c r="Q372" s="950"/>
      <c r="R372" s="990" t="s">
        <v>11065</v>
      </c>
      <c r="S372" s="992" t="s">
        <v>11066</v>
      </c>
      <c r="T372" s="993">
        <f t="shared" si="26"/>
        <v>66</v>
      </c>
      <c r="U372" s="992" t="s">
        <v>11066</v>
      </c>
      <c r="V372" s="993">
        <f t="shared" si="27"/>
        <v>66</v>
      </c>
      <c r="W372" s="992" t="s">
        <v>11067</v>
      </c>
      <c r="X372" s="993">
        <f t="shared" si="28"/>
        <v>30</v>
      </c>
      <c r="Y372" s="994" t="s">
        <v>11068</v>
      </c>
      <c r="Z372" s="993">
        <f t="shared" si="29"/>
        <v>55</v>
      </c>
      <c r="AA372" s="994" t="s">
        <v>11068</v>
      </c>
      <c r="AB372" s="993">
        <f t="shared" si="30"/>
        <v>55</v>
      </c>
      <c r="AC372" s="994" t="s">
        <v>11069</v>
      </c>
      <c r="AD372" s="993">
        <f t="shared" si="31"/>
        <v>28</v>
      </c>
      <c r="AE372" s="518" t="s">
        <v>11070</v>
      </c>
      <c r="AF372" s="519" t="s">
        <v>11071</v>
      </c>
      <c r="AG372" s="1021" t="s">
        <v>9179</v>
      </c>
      <c r="AH372" s="1022" t="s">
        <v>169</v>
      </c>
      <c r="AI372" s="494" t="s">
        <v>2917</v>
      </c>
      <c r="AJ372" s="958">
        <v>1</v>
      </c>
      <c r="AK372" s="959"/>
      <c r="AL372" s="960"/>
      <c r="AM372" s="997">
        <f>_xll.GetCtData("COAMOUNT","CONSAMOUNT",$A$1:$A$7,$D372,AM$10,"#")</f>
        <v>0</v>
      </c>
    </row>
    <row r="373" spans="1:39">
      <c r="A373" s="427" t="s">
        <v>6610</v>
      </c>
      <c r="B373" s="427" t="s">
        <v>6610</v>
      </c>
      <c r="D373" s="990" t="s">
        <v>1271</v>
      </c>
      <c r="E373" s="949" t="s">
        <v>2930</v>
      </c>
      <c r="F373" s="950">
        <v>10</v>
      </c>
      <c r="G373" s="950"/>
      <c r="H373" s="950"/>
      <c r="I373" s="950"/>
      <c r="J373" s="950"/>
      <c r="K373" s="950"/>
      <c r="L373" s="950"/>
      <c r="M373" s="950"/>
      <c r="N373" s="950"/>
      <c r="O373" s="950"/>
      <c r="P373" s="950"/>
      <c r="Q373" s="950"/>
      <c r="R373" s="990" t="s">
        <v>11072</v>
      </c>
      <c r="S373" s="992" t="s">
        <v>11073</v>
      </c>
      <c r="T373" s="993">
        <f t="shared" si="26"/>
        <v>68</v>
      </c>
      <c r="U373" s="992" t="s">
        <v>11073</v>
      </c>
      <c r="V373" s="993">
        <f t="shared" si="27"/>
        <v>68</v>
      </c>
      <c r="W373" s="992" t="s">
        <v>11074</v>
      </c>
      <c r="X373" s="993">
        <f t="shared" si="28"/>
        <v>30</v>
      </c>
      <c r="Y373" s="994" t="s">
        <v>11075</v>
      </c>
      <c r="Z373" s="993">
        <f t="shared" si="29"/>
        <v>57</v>
      </c>
      <c r="AA373" s="994" t="s">
        <v>11075</v>
      </c>
      <c r="AB373" s="993">
        <f t="shared" si="30"/>
        <v>57</v>
      </c>
      <c r="AC373" s="994" t="s">
        <v>11076</v>
      </c>
      <c r="AD373" s="993">
        <f t="shared" si="31"/>
        <v>30</v>
      </c>
      <c r="AE373" s="518" t="s">
        <v>11070</v>
      </c>
      <c r="AF373" s="519" t="s">
        <v>11071</v>
      </c>
      <c r="AG373" s="1021" t="s">
        <v>9179</v>
      </c>
      <c r="AH373" s="1022" t="s">
        <v>169</v>
      </c>
      <c r="AI373" s="494" t="s">
        <v>2917</v>
      </c>
      <c r="AJ373" s="958">
        <v>1</v>
      </c>
      <c r="AK373" s="959"/>
      <c r="AL373" s="960"/>
      <c r="AM373" s="997">
        <f>_xll.GetCtData("COAMOUNT","CONSAMOUNT",$A$1:$A$7,$D373,AM$10,"#")</f>
        <v>0</v>
      </c>
    </row>
    <row r="374" spans="1:39">
      <c r="A374" s="427" t="s">
        <v>6610</v>
      </c>
      <c r="B374" s="427" t="s">
        <v>6610</v>
      </c>
      <c r="D374" s="990" t="s">
        <v>1272</v>
      </c>
      <c r="E374" s="949" t="s">
        <v>2930</v>
      </c>
      <c r="F374" s="950">
        <v>10</v>
      </c>
      <c r="G374" s="950"/>
      <c r="H374" s="950"/>
      <c r="I374" s="950"/>
      <c r="J374" s="950"/>
      <c r="K374" s="950"/>
      <c r="L374" s="950"/>
      <c r="M374" s="950"/>
      <c r="N374" s="950"/>
      <c r="O374" s="950"/>
      <c r="P374" s="950"/>
      <c r="Q374" s="950"/>
      <c r="R374" s="990" t="s">
        <v>11077</v>
      </c>
      <c r="S374" s="992" t="s">
        <v>11078</v>
      </c>
      <c r="T374" s="993">
        <f t="shared" si="26"/>
        <v>68</v>
      </c>
      <c r="U374" s="992" t="s">
        <v>11078</v>
      </c>
      <c r="V374" s="993">
        <f t="shared" si="27"/>
        <v>68</v>
      </c>
      <c r="W374" s="992" t="s">
        <v>11079</v>
      </c>
      <c r="X374" s="993">
        <f t="shared" si="28"/>
        <v>29</v>
      </c>
      <c r="Y374" s="994" t="s">
        <v>11080</v>
      </c>
      <c r="Z374" s="993">
        <f t="shared" si="29"/>
        <v>54</v>
      </c>
      <c r="AA374" s="994" t="s">
        <v>11081</v>
      </c>
      <c r="AB374" s="993">
        <f t="shared" si="30"/>
        <v>52</v>
      </c>
      <c r="AC374" s="994" t="s">
        <v>11082</v>
      </c>
      <c r="AD374" s="993">
        <f t="shared" si="31"/>
        <v>29</v>
      </c>
      <c r="AE374" s="518" t="s">
        <v>11083</v>
      </c>
      <c r="AF374" s="519" t="s">
        <v>11084</v>
      </c>
      <c r="AG374" s="1021" t="s">
        <v>9179</v>
      </c>
      <c r="AH374" s="1022" t="s">
        <v>169</v>
      </c>
      <c r="AI374" s="494" t="s">
        <v>2917</v>
      </c>
      <c r="AJ374" s="958">
        <v>1</v>
      </c>
      <c r="AK374" s="959"/>
      <c r="AL374" s="960" t="s">
        <v>5930</v>
      </c>
      <c r="AM374" s="997">
        <f>_xll.GetCtData("COAMOUNT","CONSAMOUNT",$A$1:$A$7,$D374,AM$10,"#287195,800551979")</f>
        <v>287195</v>
      </c>
    </row>
    <row r="375" spans="1:39">
      <c r="A375" s="427" t="s">
        <v>6610</v>
      </c>
      <c r="B375" s="427" t="s">
        <v>6610</v>
      </c>
      <c r="D375" s="990" t="s">
        <v>1273</v>
      </c>
      <c r="E375" s="949" t="s">
        <v>2930</v>
      </c>
      <c r="F375" s="950">
        <v>10</v>
      </c>
      <c r="G375" s="950"/>
      <c r="H375" s="950"/>
      <c r="I375" s="950"/>
      <c r="J375" s="950"/>
      <c r="K375" s="950"/>
      <c r="L375" s="950"/>
      <c r="M375" s="950"/>
      <c r="N375" s="950"/>
      <c r="O375" s="950"/>
      <c r="P375" s="950"/>
      <c r="Q375" s="950"/>
      <c r="R375" s="990" t="s">
        <v>11085</v>
      </c>
      <c r="S375" s="992" t="s">
        <v>11086</v>
      </c>
      <c r="T375" s="993">
        <f t="shared" si="26"/>
        <v>69</v>
      </c>
      <c r="U375" s="992" t="s">
        <v>11086</v>
      </c>
      <c r="V375" s="993">
        <f t="shared" si="27"/>
        <v>69</v>
      </c>
      <c r="W375" s="992" t="s">
        <v>11087</v>
      </c>
      <c r="X375" s="993">
        <f t="shared" si="28"/>
        <v>29</v>
      </c>
      <c r="Y375" s="994" t="s">
        <v>11088</v>
      </c>
      <c r="Z375" s="993">
        <f t="shared" si="29"/>
        <v>55</v>
      </c>
      <c r="AA375" s="994" t="s">
        <v>11089</v>
      </c>
      <c r="AB375" s="993">
        <f t="shared" si="30"/>
        <v>53</v>
      </c>
      <c r="AC375" s="994" t="s">
        <v>11090</v>
      </c>
      <c r="AD375" s="993">
        <f t="shared" si="31"/>
        <v>29</v>
      </c>
      <c r="AE375" s="518" t="s">
        <v>11091</v>
      </c>
      <c r="AF375" s="519" t="s">
        <v>11092</v>
      </c>
      <c r="AG375" s="1021" t="s">
        <v>9179</v>
      </c>
      <c r="AH375" s="1022" t="s">
        <v>169</v>
      </c>
      <c r="AI375" s="494" t="s">
        <v>2917</v>
      </c>
      <c r="AJ375" s="958">
        <v>1</v>
      </c>
      <c r="AK375" s="959"/>
      <c r="AL375" s="960" t="s">
        <v>5930</v>
      </c>
      <c r="AM375" s="997">
        <f>_xll.GetCtData("COAMOUNT","CONSAMOUNT",$A$1:$A$7,$D375,AM$10,"#730")</f>
        <v>730</v>
      </c>
    </row>
    <row r="376" spans="1:39">
      <c r="A376" s="427" t="s">
        <v>6610</v>
      </c>
      <c r="B376" s="427" t="s">
        <v>6610</v>
      </c>
      <c r="D376" s="990" t="s">
        <v>1274</v>
      </c>
      <c r="E376" s="949" t="s">
        <v>2930</v>
      </c>
      <c r="F376" s="950">
        <v>10</v>
      </c>
      <c r="G376" s="950"/>
      <c r="H376" s="950"/>
      <c r="I376" s="950"/>
      <c r="J376" s="950"/>
      <c r="K376" s="950"/>
      <c r="L376" s="950"/>
      <c r="M376" s="950"/>
      <c r="N376" s="950"/>
      <c r="O376" s="950"/>
      <c r="P376" s="950"/>
      <c r="Q376" s="950"/>
      <c r="R376" s="990" t="s">
        <v>11093</v>
      </c>
      <c r="S376" s="992" t="s">
        <v>11094</v>
      </c>
      <c r="T376" s="993">
        <f t="shared" si="26"/>
        <v>68</v>
      </c>
      <c r="U376" s="992" t="s">
        <v>11094</v>
      </c>
      <c r="V376" s="993">
        <f t="shared" si="27"/>
        <v>68</v>
      </c>
      <c r="W376" s="992" t="s">
        <v>11095</v>
      </c>
      <c r="X376" s="993">
        <f t="shared" si="28"/>
        <v>29</v>
      </c>
      <c r="Y376" s="994" t="s">
        <v>11096</v>
      </c>
      <c r="Z376" s="993">
        <f t="shared" si="29"/>
        <v>54</v>
      </c>
      <c r="AA376" s="994" t="s">
        <v>11097</v>
      </c>
      <c r="AB376" s="993">
        <f t="shared" si="30"/>
        <v>52</v>
      </c>
      <c r="AC376" s="994" t="s">
        <v>11098</v>
      </c>
      <c r="AD376" s="993">
        <f t="shared" si="31"/>
        <v>29</v>
      </c>
      <c r="AE376" s="518" t="s">
        <v>11099</v>
      </c>
      <c r="AF376" s="519" t="s">
        <v>11100</v>
      </c>
      <c r="AG376" s="1021" t="s">
        <v>9179</v>
      </c>
      <c r="AH376" s="1022" t="s">
        <v>169</v>
      </c>
      <c r="AI376" s="494" t="s">
        <v>2917</v>
      </c>
      <c r="AJ376" s="958">
        <v>1</v>
      </c>
      <c r="AK376" s="959"/>
      <c r="AL376" s="960" t="s">
        <v>5930</v>
      </c>
      <c r="AM376" s="997">
        <f>_xll.GetCtData("COAMOUNT","CONSAMOUNT",$A$1:$A$7,$D376,AM$10,"#")</f>
        <v>0</v>
      </c>
    </row>
    <row r="377" spans="1:39">
      <c r="A377" s="427" t="s">
        <v>6610</v>
      </c>
      <c r="B377" s="427" t="s">
        <v>6610</v>
      </c>
      <c r="D377" s="990" t="s">
        <v>1275</v>
      </c>
      <c r="E377" s="949" t="s">
        <v>2930</v>
      </c>
      <c r="F377" s="950">
        <v>10</v>
      </c>
      <c r="G377" s="950"/>
      <c r="H377" s="950"/>
      <c r="I377" s="950"/>
      <c r="J377" s="950"/>
      <c r="K377" s="950"/>
      <c r="L377" s="950"/>
      <c r="M377" s="950"/>
      <c r="N377" s="950"/>
      <c r="O377" s="950"/>
      <c r="P377" s="950"/>
      <c r="Q377" s="950"/>
      <c r="R377" s="990" t="s">
        <v>11101</v>
      </c>
      <c r="S377" s="992" t="s">
        <v>11102</v>
      </c>
      <c r="T377" s="993">
        <f t="shared" si="26"/>
        <v>71</v>
      </c>
      <c r="U377" s="992" t="s">
        <v>11102</v>
      </c>
      <c r="V377" s="993">
        <f t="shared" si="27"/>
        <v>71</v>
      </c>
      <c r="W377" s="992" t="s">
        <v>11103</v>
      </c>
      <c r="X377" s="993">
        <f t="shared" si="28"/>
        <v>30</v>
      </c>
      <c r="Y377" s="994" t="s">
        <v>11104</v>
      </c>
      <c r="Z377" s="993">
        <f t="shared" si="29"/>
        <v>57</v>
      </c>
      <c r="AA377" s="994" t="s">
        <v>11105</v>
      </c>
      <c r="AB377" s="993">
        <f t="shared" si="30"/>
        <v>55</v>
      </c>
      <c r="AC377" s="994" t="s">
        <v>11106</v>
      </c>
      <c r="AD377" s="993">
        <f t="shared" si="31"/>
        <v>30</v>
      </c>
      <c r="AE377" s="518" t="s">
        <v>11099</v>
      </c>
      <c r="AF377" s="519" t="s">
        <v>11100</v>
      </c>
      <c r="AG377" s="1021" t="s">
        <v>9179</v>
      </c>
      <c r="AH377" s="1022" t="s">
        <v>169</v>
      </c>
      <c r="AI377" s="494" t="s">
        <v>2917</v>
      </c>
      <c r="AJ377" s="958">
        <v>1</v>
      </c>
      <c r="AK377" s="959"/>
      <c r="AL377" s="960" t="s">
        <v>5930</v>
      </c>
      <c r="AM377" s="997">
        <f>_xll.GetCtData("COAMOUNT","CONSAMOUNT",$A$1:$A$7,$D377,AM$10,"#")</f>
        <v>0</v>
      </c>
    </row>
    <row r="378" spans="1:39">
      <c r="A378" s="427" t="s">
        <v>6610</v>
      </c>
      <c r="B378" s="427" t="s">
        <v>6610</v>
      </c>
      <c r="D378" s="981" t="s">
        <v>11107</v>
      </c>
      <c r="E378" s="949" t="s">
        <v>2912</v>
      </c>
      <c r="F378" s="950">
        <v>8</v>
      </c>
      <c r="G378" s="950"/>
      <c r="H378" s="950"/>
      <c r="I378" s="950"/>
      <c r="J378" s="950"/>
      <c r="K378" s="950"/>
      <c r="L378" s="950"/>
      <c r="M378" s="950"/>
      <c r="N378" s="950"/>
      <c r="O378" s="981" t="s">
        <v>11108</v>
      </c>
      <c r="P378" s="982"/>
      <c r="Q378" s="981"/>
      <c r="R378" s="981" t="s">
        <v>11108</v>
      </c>
      <c r="S378" s="981" t="s">
        <v>11109</v>
      </c>
      <c r="T378" s="1002">
        <f t="shared" si="26"/>
        <v>50</v>
      </c>
      <c r="U378" s="981" t="s">
        <v>11109</v>
      </c>
      <c r="V378" s="1002">
        <f t="shared" si="27"/>
        <v>50</v>
      </c>
      <c r="W378" s="981" t="s">
        <v>11110</v>
      </c>
      <c r="X378" s="1002">
        <f t="shared" si="28"/>
        <v>30</v>
      </c>
      <c r="Y378" s="1003" t="s">
        <v>11111</v>
      </c>
      <c r="Z378" s="1002">
        <f t="shared" si="29"/>
        <v>55</v>
      </c>
      <c r="AA378" s="1003" t="s">
        <v>11112</v>
      </c>
      <c r="AB378" s="1002">
        <f t="shared" si="30"/>
        <v>53</v>
      </c>
      <c r="AC378" s="1003" t="s">
        <v>11113</v>
      </c>
      <c r="AD378" s="1002">
        <f t="shared" si="31"/>
        <v>25</v>
      </c>
      <c r="AE378" s="1002"/>
      <c r="AF378" s="1002"/>
      <c r="AG378" s="956"/>
      <c r="AH378" s="957"/>
      <c r="AI378" s="494" t="s">
        <v>2917</v>
      </c>
      <c r="AJ378" s="958">
        <v>1</v>
      </c>
      <c r="AK378" s="959"/>
      <c r="AL378" s="960" t="s">
        <v>5930</v>
      </c>
      <c r="AM378" s="985">
        <f>_xll.GetCtData("COAMOUNT","CONSAMOUNT",$A$1:$A$7,$D378,AM$10,"#")</f>
        <v>0</v>
      </c>
    </row>
    <row r="379" spans="1:39">
      <c r="A379" s="427" t="s">
        <v>6610</v>
      </c>
      <c r="B379" s="427" t="s">
        <v>6610</v>
      </c>
      <c r="D379" s="990" t="s">
        <v>1276</v>
      </c>
      <c r="E379" s="949" t="s">
        <v>2930</v>
      </c>
      <c r="F379" s="950">
        <v>10</v>
      </c>
      <c r="G379" s="950"/>
      <c r="H379" s="950"/>
      <c r="I379" s="950"/>
      <c r="J379" s="950"/>
      <c r="K379" s="950"/>
      <c r="L379" s="950"/>
      <c r="M379" s="950"/>
      <c r="N379" s="950"/>
      <c r="O379" s="950"/>
      <c r="P379" s="950"/>
      <c r="Q379" s="950"/>
      <c r="R379" s="990" t="s">
        <v>11114</v>
      </c>
      <c r="S379" s="992" t="s">
        <v>11115</v>
      </c>
      <c r="T379" s="993">
        <f t="shared" si="26"/>
        <v>61</v>
      </c>
      <c r="U379" s="992" t="s">
        <v>11115</v>
      </c>
      <c r="V379" s="993">
        <f t="shared" si="27"/>
        <v>61</v>
      </c>
      <c r="W379" s="992" t="s">
        <v>11116</v>
      </c>
      <c r="X379" s="993">
        <f t="shared" si="28"/>
        <v>30</v>
      </c>
      <c r="Y379" s="994" t="s">
        <v>11117</v>
      </c>
      <c r="Z379" s="993">
        <f t="shared" si="29"/>
        <v>60</v>
      </c>
      <c r="AA379" s="994" t="s">
        <v>11117</v>
      </c>
      <c r="AB379" s="993">
        <f t="shared" si="30"/>
        <v>60</v>
      </c>
      <c r="AC379" s="994" t="s">
        <v>11118</v>
      </c>
      <c r="AD379" s="993">
        <f t="shared" si="31"/>
        <v>29</v>
      </c>
      <c r="AE379" s="518" t="s">
        <v>11119</v>
      </c>
      <c r="AF379" s="519" t="s">
        <v>11120</v>
      </c>
      <c r="AG379" s="1021" t="s">
        <v>9179</v>
      </c>
      <c r="AH379" s="1022" t="s">
        <v>169</v>
      </c>
      <c r="AI379" s="494" t="s">
        <v>2917</v>
      </c>
      <c r="AJ379" s="958">
        <v>1</v>
      </c>
      <c r="AK379" s="959"/>
      <c r="AL379" s="960"/>
      <c r="AM379" s="997">
        <f>_xll.GetCtData("COAMOUNT","CONSAMOUNT",$A$1:$A$7,$D379,AM$10,"#")</f>
        <v>0</v>
      </c>
    </row>
    <row r="380" spans="1:39">
      <c r="A380" s="427" t="s">
        <v>6610</v>
      </c>
      <c r="B380" s="427" t="s">
        <v>6610</v>
      </c>
      <c r="D380" s="990" t="s">
        <v>1277</v>
      </c>
      <c r="E380" s="949" t="s">
        <v>2930</v>
      </c>
      <c r="F380" s="950">
        <v>10</v>
      </c>
      <c r="G380" s="950"/>
      <c r="H380" s="950"/>
      <c r="I380" s="950"/>
      <c r="J380" s="950"/>
      <c r="K380" s="950"/>
      <c r="L380" s="950"/>
      <c r="M380" s="950"/>
      <c r="N380" s="950"/>
      <c r="O380" s="950"/>
      <c r="P380" s="950"/>
      <c r="Q380" s="950"/>
      <c r="R380" s="990" t="s">
        <v>11121</v>
      </c>
      <c r="S380" s="992" t="s">
        <v>11122</v>
      </c>
      <c r="T380" s="993">
        <f t="shared" si="26"/>
        <v>61</v>
      </c>
      <c r="U380" s="992" t="s">
        <v>11122</v>
      </c>
      <c r="V380" s="993">
        <f t="shared" si="27"/>
        <v>61</v>
      </c>
      <c r="W380" s="992" t="s">
        <v>11123</v>
      </c>
      <c r="X380" s="993">
        <f t="shared" si="28"/>
        <v>30</v>
      </c>
      <c r="Y380" s="994" t="s">
        <v>11124</v>
      </c>
      <c r="Z380" s="993">
        <f t="shared" si="29"/>
        <v>60</v>
      </c>
      <c r="AA380" s="994" t="s">
        <v>11124</v>
      </c>
      <c r="AB380" s="993">
        <f t="shared" si="30"/>
        <v>60</v>
      </c>
      <c r="AC380" s="994" t="s">
        <v>11125</v>
      </c>
      <c r="AD380" s="993">
        <f t="shared" si="31"/>
        <v>29</v>
      </c>
      <c r="AE380" s="518" t="s">
        <v>11126</v>
      </c>
      <c r="AF380" s="519" t="s">
        <v>11127</v>
      </c>
      <c r="AG380" s="1021" t="s">
        <v>9179</v>
      </c>
      <c r="AH380" s="1022" t="s">
        <v>169</v>
      </c>
      <c r="AI380" s="494" t="s">
        <v>2917</v>
      </c>
      <c r="AJ380" s="958">
        <v>1</v>
      </c>
      <c r="AK380" s="959"/>
      <c r="AL380" s="960"/>
      <c r="AM380" s="997">
        <f>_xll.GetCtData("COAMOUNT","CONSAMOUNT",$A$1:$A$7,$D380,AM$10,"#")</f>
        <v>0</v>
      </c>
    </row>
    <row r="381" spans="1:39">
      <c r="A381" s="427" t="s">
        <v>6610</v>
      </c>
      <c r="B381" s="427" t="s">
        <v>6610</v>
      </c>
      <c r="D381" s="990" t="s">
        <v>1278</v>
      </c>
      <c r="E381" s="949" t="s">
        <v>2930</v>
      </c>
      <c r="F381" s="950">
        <v>10</v>
      </c>
      <c r="G381" s="950"/>
      <c r="H381" s="950"/>
      <c r="I381" s="950"/>
      <c r="J381" s="950"/>
      <c r="K381" s="950"/>
      <c r="L381" s="950"/>
      <c r="M381" s="950"/>
      <c r="N381" s="950"/>
      <c r="O381" s="950"/>
      <c r="P381" s="950"/>
      <c r="Q381" s="950"/>
      <c r="R381" s="990" t="s">
        <v>11128</v>
      </c>
      <c r="S381" s="992" t="s">
        <v>11129</v>
      </c>
      <c r="T381" s="993">
        <f t="shared" si="26"/>
        <v>61</v>
      </c>
      <c r="U381" s="992" t="s">
        <v>11129</v>
      </c>
      <c r="V381" s="993">
        <f t="shared" si="27"/>
        <v>61</v>
      </c>
      <c r="W381" s="992" t="s">
        <v>11130</v>
      </c>
      <c r="X381" s="993">
        <f t="shared" si="28"/>
        <v>30</v>
      </c>
      <c r="Y381" s="994" t="s">
        <v>11131</v>
      </c>
      <c r="Z381" s="993">
        <f t="shared" si="29"/>
        <v>60</v>
      </c>
      <c r="AA381" s="994" t="s">
        <v>11131</v>
      </c>
      <c r="AB381" s="993">
        <f t="shared" si="30"/>
        <v>60</v>
      </c>
      <c r="AC381" s="994" t="s">
        <v>11132</v>
      </c>
      <c r="AD381" s="993">
        <f t="shared" si="31"/>
        <v>29</v>
      </c>
      <c r="AE381" s="518" t="s">
        <v>11133</v>
      </c>
      <c r="AF381" s="519" t="s">
        <v>11134</v>
      </c>
      <c r="AG381" s="1021" t="s">
        <v>9179</v>
      </c>
      <c r="AH381" s="1022" t="s">
        <v>169</v>
      </c>
      <c r="AI381" s="494" t="s">
        <v>2917</v>
      </c>
      <c r="AJ381" s="958">
        <v>1</v>
      </c>
      <c r="AK381" s="959"/>
      <c r="AL381" s="960"/>
      <c r="AM381" s="997">
        <f>_xll.GetCtData("COAMOUNT","CONSAMOUNT",$A$1:$A$7,$D381,AM$10,"#")</f>
        <v>0</v>
      </c>
    </row>
    <row r="382" spans="1:39">
      <c r="A382" s="427" t="s">
        <v>6610</v>
      </c>
      <c r="B382" s="427" t="s">
        <v>6610</v>
      </c>
      <c r="D382" s="990" t="s">
        <v>1279</v>
      </c>
      <c r="E382" s="949" t="s">
        <v>2930</v>
      </c>
      <c r="F382" s="950">
        <v>10</v>
      </c>
      <c r="G382" s="950"/>
      <c r="H382" s="950"/>
      <c r="I382" s="950"/>
      <c r="J382" s="950"/>
      <c r="K382" s="950"/>
      <c r="L382" s="950"/>
      <c r="M382" s="950"/>
      <c r="N382" s="950"/>
      <c r="O382" s="950"/>
      <c r="P382" s="950"/>
      <c r="Q382" s="950"/>
      <c r="R382" s="990" t="s">
        <v>11135</v>
      </c>
      <c r="S382" s="992" t="s">
        <v>11136</v>
      </c>
      <c r="T382" s="993">
        <f t="shared" si="26"/>
        <v>63</v>
      </c>
      <c r="U382" s="992" t="s">
        <v>11136</v>
      </c>
      <c r="V382" s="993">
        <f t="shared" ref="V382:V446" si="32">LEN(U382)</f>
        <v>63</v>
      </c>
      <c r="W382" s="992" t="s">
        <v>11137</v>
      </c>
      <c r="X382" s="993">
        <f t="shared" ref="X382:X446" si="33">LEN(W382)</f>
        <v>30</v>
      </c>
      <c r="Y382" s="994" t="s">
        <v>11138</v>
      </c>
      <c r="Z382" s="993">
        <f t="shared" ref="Z382:Z446" si="34">LEN(Y382)</f>
        <v>62</v>
      </c>
      <c r="AA382" s="994" t="s">
        <v>11138</v>
      </c>
      <c r="AB382" s="993">
        <f t="shared" ref="AB382:AB446" si="35">LEN(AA382)</f>
        <v>62</v>
      </c>
      <c r="AC382" s="994" t="s">
        <v>11139</v>
      </c>
      <c r="AD382" s="993">
        <f t="shared" ref="AD382:AD446" si="36">LEN(AC382)</f>
        <v>30</v>
      </c>
      <c r="AE382" s="518" t="s">
        <v>11133</v>
      </c>
      <c r="AF382" s="519" t="s">
        <v>11134</v>
      </c>
      <c r="AG382" s="1021" t="s">
        <v>9179</v>
      </c>
      <c r="AH382" s="1022" t="s">
        <v>169</v>
      </c>
      <c r="AI382" s="494" t="s">
        <v>2917</v>
      </c>
      <c r="AJ382" s="958">
        <v>1</v>
      </c>
      <c r="AK382" s="959"/>
      <c r="AL382" s="960"/>
      <c r="AM382" s="997">
        <f>_xll.GetCtData("COAMOUNT","CONSAMOUNT",$A$1:$A$7,$D382,AM$10,"#")</f>
        <v>0</v>
      </c>
    </row>
    <row r="383" spans="1:39">
      <c r="A383" s="427" t="s">
        <v>6610</v>
      </c>
      <c r="B383" s="427" t="s">
        <v>6610</v>
      </c>
      <c r="D383" s="990" t="s">
        <v>1280</v>
      </c>
      <c r="E383" s="949" t="s">
        <v>2930</v>
      </c>
      <c r="F383" s="950">
        <v>10</v>
      </c>
      <c r="G383" s="950"/>
      <c r="H383" s="950"/>
      <c r="I383" s="950"/>
      <c r="J383" s="950"/>
      <c r="K383" s="950"/>
      <c r="L383" s="950"/>
      <c r="M383" s="950"/>
      <c r="N383" s="950"/>
      <c r="O383" s="950"/>
      <c r="P383" s="950"/>
      <c r="Q383" s="950"/>
      <c r="R383" s="990" t="s">
        <v>11140</v>
      </c>
      <c r="S383" s="992" t="s">
        <v>11141</v>
      </c>
      <c r="T383" s="993">
        <f t="shared" ref="T383:T447" si="37">LEN(S383)</f>
        <v>64</v>
      </c>
      <c r="U383" s="992" t="s">
        <v>11141</v>
      </c>
      <c r="V383" s="993">
        <f t="shared" si="32"/>
        <v>64</v>
      </c>
      <c r="W383" s="992" t="s">
        <v>11142</v>
      </c>
      <c r="X383" s="993">
        <f t="shared" si="33"/>
        <v>30</v>
      </c>
      <c r="Y383" s="994" t="s">
        <v>11143</v>
      </c>
      <c r="Z383" s="993">
        <f t="shared" si="34"/>
        <v>60</v>
      </c>
      <c r="AA383" s="994" t="s">
        <v>11144</v>
      </c>
      <c r="AB383" s="993">
        <f t="shared" si="35"/>
        <v>58</v>
      </c>
      <c r="AC383" s="994" t="s">
        <v>11145</v>
      </c>
      <c r="AD383" s="993">
        <f t="shared" si="36"/>
        <v>30</v>
      </c>
      <c r="AE383" s="518" t="s">
        <v>11146</v>
      </c>
      <c r="AF383" s="519" t="s">
        <v>11147</v>
      </c>
      <c r="AG383" s="1021" t="s">
        <v>9179</v>
      </c>
      <c r="AH383" s="1022" t="s">
        <v>169</v>
      </c>
      <c r="AI383" s="494" t="s">
        <v>2917</v>
      </c>
      <c r="AJ383" s="958">
        <v>1</v>
      </c>
      <c r="AK383" s="959"/>
      <c r="AL383" s="960" t="s">
        <v>5930</v>
      </c>
      <c r="AM383" s="997">
        <f>_xll.GetCtData("COAMOUNT","CONSAMOUNT",$A$1:$A$7,$D383,AM$10,"#")</f>
        <v>0</v>
      </c>
    </row>
    <row r="384" spans="1:39">
      <c r="A384" s="427" t="s">
        <v>6610</v>
      </c>
      <c r="B384" s="427" t="s">
        <v>6610</v>
      </c>
      <c r="D384" s="990" t="s">
        <v>1281</v>
      </c>
      <c r="E384" s="949" t="s">
        <v>2930</v>
      </c>
      <c r="F384" s="950">
        <v>10</v>
      </c>
      <c r="G384" s="950"/>
      <c r="H384" s="950"/>
      <c r="I384" s="950"/>
      <c r="J384" s="950"/>
      <c r="K384" s="950"/>
      <c r="L384" s="950"/>
      <c r="M384" s="950"/>
      <c r="N384" s="950"/>
      <c r="O384" s="950"/>
      <c r="P384" s="950"/>
      <c r="Q384" s="950"/>
      <c r="R384" s="990" t="s">
        <v>11148</v>
      </c>
      <c r="S384" s="992" t="s">
        <v>11149</v>
      </c>
      <c r="T384" s="993">
        <f t="shared" si="37"/>
        <v>64</v>
      </c>
      <c r="U384" s="992" t="s">
        <v>11149</v>
      </c>
      <c r="V384" s="993">
        <f t="shared" si="32"/>
        <v>64</v>
      </c>
      <c r="W384" s="992" t="s">
        <v>11150</v>
      </c>
      <c r="X384" s="993">
        <f t="shared" si="33"/>
        <v>30</v>
      </c>
      <c r="Y384" s="994" t="s">
        <v>11151</v>
      </c>
      <c r="Z384" s="993">
        <f t="shared" si="34"/>
        <v>60</v>
      </c>
      <c r="AA384" s="994" t="s">
        <v>11152</v>
      </c>
      <c r="AB384" s="993">
        <f t="shared" si="35"/>
        <v>58</v>
      </c>
      <c r="AC384" s="994" t="s">
        <v>11153</v>
      </c>
      <c r="AD384" s="993">
        <f t="shared" si="36"/>
        <v>30</v>
      </c>
      <c r="AE384" s="518" t="s">
        <v>11154</v>
      </c>
      <c r="AF384" s="519" t="s">
        <v>11155</v>
      </c>
      <c r="AG384" s="1021" t="s">
        <v>9179</v>
      </c>
      <c r="AH384" s="1022" t="s">
        <v>169</v>
      </c>
      <c r="AI384" s="494" t="s">
        <v>2917</v>
      </c>
      <c r="AJ384" s="958">
        <v>1</v>
      </c>
      <c r="AK384" s="959"/>
      <c r="AL384" s="960" t="s">
        <v>5930</v>
      </c>
      <c r="AM384" s="997">
        <f>_xll.GetCtData("COAMOUNT","CONSAMOUNT",$A$1:$A$7,$D384,AM$10,"#")</f>
        <v>0</v>
      </c>
    </row>
    <row r="385" spans="1:39">
      <c r="A385" s="427" t="s">
        <v>6610</v>
      </c>
      <c r="B385" s="427" t="s">
        <v>6610</v>
      </c>
      <c r="D385" s="990" t="s">
        <v>1282</v>
      </c>
      <c r="E385" s="949" t="s">
        <v>2930</v>
      </c>
      <c r="F385" s="950">
        <v>10</v>
      </c>
      <c r="G385" s="950"/>
      <c r="H385" s="950"/>
      <c r="I385" s="950"/>
      <c r="J385" s="950"/>
      <c r="K385" s="950"/>
      <c r="L385" s="950"/>
      <c r="M385" s="950"/>
      <c r="N385" s="950"/>
      <c r="O385" s="950"/>
      <c r="P385" s="950"/>
      <c r="Q385" s="950"/>
      <c r="R385" s="990" t="s">
        <v>11156</v>
      </c>
      <c r="S385" s="992" t="s">
        <v>11157</v>
      </c>
      <c r="T385" s="993">
        <f t="shared" si="37"/>
        <v>63</v>
      </c>
      <c r="U385" s="992" t="s">
        <v>11157</v>
      </c>
      <c r="V385" s="993">
        <f t="shared" si="32"/>
        <v>63</v>
      </c>
      <c r="W385" s="992" t="s">
        <v>11158</v>
      </c>
      <c r="X385" s="993">
        <f t="shared" si="33"/>
        <v>30</v>
      </c>
      <c r="Y385" s="994" t="s">
        <v>11159</v>
      </c>
      <c r="Z385" s="993">
        <f t="shared" si="34"/>
        <v>59</v>
      </c>
      <c r="AA385" s="994" t="s">
        <v>11160</v>
      </c>
      <c r="AB385" s="993">
        <f t="shared" si="35"/>
        <v>57</v>
      </c>
      <c r="AC385" s="994" t="s">
        <v>11161</v>
      </c>
      <c r="AD385" s="993">
        <f t="shared" si="36"/>
        <v>30</v>
      </c>
      <c r="AE385" s="518" t="s">
        <v>11162</v>
      </c>
      <c r="AF385" s="519" t="s">
        <v>11163</v>
      </c>
      <c r="AG385" s="1021" t="s">
        <v>9179</v>
      </c>
      <c r="AH385" s="1022" t="s">
        <v>169</v>
      </c>
      <c r="AI385" s="494" t="s">
        <v>2917</v>
      </c>
      <c r="AJ385" s="958">
        <v>1</v>
      </c>
      <c r="AK385" s="959"/>
      <c r="AL385" s="960" t="s">
        <v>5930</v>
      </c>
      <c r="AM385" s="997">
        <f>_xll.GetCtData("COAMOUNT","CONSAMOUNT",$A$1:$A$7,$D385,AM$10,"#")</f>
        <v>0</v>
      </c>
    </row>
    <row r="386" spans="1:39">
      <c r="A386" s="427" t="s">
        <v>6610</v>
      </c>
      <c r="B386" s="427" t="s">
        <v>6610</v>
      </c>
      <c r="D386" s="990" t="s">
        <v>1283</v>
      </c>
      <c r="E386" s="949" t="s">
        <v>2930</v>
      </c>
      <c r="F386" s="950">
        <v>10</v>
      </c>
      <c r="G386" s="950"/>
      <c r="H386" s="950"/>
      <c r="I386" s="950"/>
      <c r="J386" s="950"/>
      <c r="K386" s="950"/>
      <c r="L386" s="950"/>
      <c r="M386" s="950"/>
      <c r="N386" s="950"/>
      <c r="O386" s="950"/>
      <c r="P386" s="950"/>
      <c r="Q386" s="950"/>
      <c r="R386" s="990" t="s">
        <v>11164</v>
      </c>
      <c r="S386" s="992" t="s">
        <v>11165</v>
      </c>
      <c r="T386" s="993">
        <f t="shared" si="37"/>
        <v>66</v>
      </c>
      <c r="U386" s="992" t="s">
        <v>11165</v>
      </c>
      <c r="V386" s="993">
        <f t="shared" si="32"/>
        <v>66</v>
      </c>
      <c r="W386" s="992" t="s">
        <v>11166</v>
      </c>
      <c r="X386" s="993">
        <f t="shared" si="33"/>
        <v>30</v>
      </c>
      <c r="Y386" s="994" t="s">
        <v>11167</v>
      </c>
      <c r="Z386" s="993">
        <f t="shared" si="34"/>
        <v>61</v>
      </c>
      <c r="AA386" s="994" t="s">
        <v>11168</v>
      </c>
      <c r="AB386" s="993">
        <f t="shared" si="35"/>
        <v>59</v>
      </c>
      <c r="AC386" s="994" t="s">
        <v>11169</v>
      </c>
      <c r="AD386" s="993">
        <f t="shared" si="36"/>
        <v>30</v>
      </c>
      <c r="AE386" s="518" t="s">
        <v>11162</v>
      </c>
      <c r="AF386" s="519" t="s">
        <v>11163</v>
      </c>
      <c r="AG386" s="1021" t="s">
        <v>9179</v>
      </c>
      <c r="AH386" s="1022" t="s">
        <v>169</v>
      </c>
      <c r="AI386" s="494" t="s">
        <v>2917</v>
      </c>
      <c r="AJ386" s="958">
        <v>1</v>
      </c>
      <c r="AK386" s="959"/>
      <c r="AL386" s="960" t="s">
        <v>5930</v>
      </c>
      <c r="AM386" s="997">
        <f>_xll.GetCtData("COAMOUNT","CONSAMOUNT",$A$1:$A$7,$D386,AM$10,"#")</f>
        <v>0</v>
      </c>
    </row>
    <row r="387" spans="1:39">
      <c r="A387" s="427" t="s">
        <v>6610</v>
      </c>
      <c r="B387" s="427" t="s">
        <v>6610</v>
      </c>
      <c r="D387" s="1009" t="s">
        <v>11170</v>
      </c>
      <c r="E387" s="949" t="s">
        <v>2912</v>
      </c>
      <c r="F387" s="950">
        <v>7</v>
      </c>
      <c r="G387" s="950"/>
      <c r="H387" s="950"/>
      <c r="I387" s="950"/>
      <c r="J387" s="950"/>
      <c r="K387" s="950"/>
      <c r="L387" s="950"/>
      <c r="M387" s="950"/>
      <c r="N387" s="1009" t="s">
        <v>11171</v>
      </c>
      <c r="O387" s="975"/>
      <c r="P387" s="975"/>
      <c r="Q387" s="410"/>
      <c r="R387" s="1009" t="s">
        <v>11171</v>
      </c>
      <c r="S387" s="410" t="s">
        <v>11172</v>
      </c>
      <c r="T387" s="976">
        <f t="shared" si="37"/>
        <v>57</v>
      </c>
      <c r="U387" s="410" t="s">
        <v>11172</v>
      </c>
      <c r="V387" s="976">
        <f t="shared" si="32"/>
        <v>57</v>
      </c>
      <c r="W387" s="410" t="s">
        <v>11173</v>
      </c>
      <c r="X387" s="976">
        <f t="shared" si="33"/>
        <v>29</v>
      </c>
      <c r="Y387" s="977" t="s">
        <v>11174</v>
      </c>
      <c r="Z387" s="976">
        <f t="shared" si="34"/>
        <v>85</v>
      </c>
      <c r="AA387" s="977" t="s">
        <v>11175</v>
      </c>
      <c r="AB387" s="976">
        <f t="shared" si="35"/>
        <v>84</v>
      </c>
      <c r="AC387" s="977" t="s">
        <v>11176</v>
      </c>
      <c r="AD387" s="976">
        <f t="shared" si="36"/>
        <v>30</v>
      </c>
      <c r="AE387" s="976"/>
      <c r="AF387" s="976"/>
      <c r="AG387" s="956"/>
      <c r="AH387" s="957"/>
      <c r="AI387" s="494" t="s">
        <v>2917</v>
      </c>
      <c r="AJ387" s="958">
        <v>1</v>
      </c>
      <c r="AK387" s="959"/>
      <c r="AL387" s="960" t="s">
        <v>5930</v>
      </c>
      <c r="AM387" s="980">
        <f>_xll.GetCtData("COAMOUNT","CONSAMOUNT",$A$1:$A$7,$D387,AM$10,"#")</f>
        <v>0</v>
      </c>
    </row>
    <row r="388" spans="1:39">
      <c r="A388" s="427" t="s">
        <v>6610</v>
      </c>
      <c r="B388" s="427" t="s">
        <v>6610</v>
      </c>
      <c r="D388" s="990" t="s">
        <v>1284</v>
      </c>
      <c r="E388" s="949" t="s">
        <v>2930</v>
      </c>
      <c r="F388" s="950">
        <v>10</v>
      </c>
      <c r="G388" s="950"/>
      <c r="H388" s="950"/>
      <c r="I388" s="950"/>
      <c r="J388" s="950"/>
      <c r="K388" s="950"/>
      <c r="L388" s="950"/>
      <c r="M388" s="950"/>
      <c r="N388" s="950"/>
      <c r="O388" s="950"/>
      <c r="P388" s="950"/>
      <c r="Q388" s="1025"/>
      <c r="R388" s="990" t="s">
        <v>11177</v>
      </c>
      <c r="S388" s="992" t="s">
        <v>11178</v>
      </c>
      <c r="T388" s="993">
        <f t="shared" si="37"/>
        <v>52</v>
      </c>
      <c r="U388" s="992" t="s">
        <v>11178</v>
      </c>
      <c r="V388" s="993">
        <f t="shared" si="32"/>
        <v>52</v>
      </c>
      <c r="W388" s="992" t="s">
        <v>11179</v>
      </c>
      <c r="X388" s="993">
        <f t="shared" si="33"/>
        <v>29</v>
      </c>
      <c r="Y388" s="994" t="s">
        <v>11180</v>
      </c>
      <c r="Z388" s="993">
        <f t="shared" si="34"/>
        <v>85</v>
      </c>
      <c r="AA388" s="994" t="s">
        <v>11180</v>
      </c>
      <c r="AB388" s="993">
        <f t="shared" si="35"/>
        <v>85</v>
      </c>
      <c r="AC388" s="994" t="s">
        <v>11181</v>
      </c>
      <c r="AD388" s="993">
        <f t="shared" si="36"/>
        <v>29</v>
      </c>
      <c r="AE388" s="518" t="s">
        <v>10531</v>
      </c>
      <c r="AF388" s="519" t="s">
        <v>10531</v>
      </c>
      <c r="AG388" s="1021" t="s">
        <v>9179</v>
      </c>
      <c r="AH388" s="1022" t="s">
        <v>169</v>
      </c>
      <c r="AI388" s="494" t="s">
        <v>2917</v>
      </c>
      <c r="AJ388" s="958">
        <v>1</v>
      </c>
      <c r="AK388" s="959"/>
      <c r="AL388" s="960"/>
      <c r="AM388" s="997">
        <f>_xll.GetCtData("COAMOUNT","CONSAMOUNT",$A$1:$A$7,$D388,AM$10,"#")</f>
        <v>0</v>
      </c>
    </row>
    <row r="389" spans="1:39">
      <c r="A389" s="427" t="s">
        <v>6610</v>
      </c>
      <c r="B389" s="427" t="s">
        <v>6610</v>
      </c>
      <c r="D389" s="990" t="s">
        <v>1285</v>
      </c>
      <c r="E389" s="949" t="s">
        <v>2930</v>
      </c>
      <c r="F389" s="950">
        <v>10</v>
      </c>
      <c r="G389" s="950"/>
      <c r="H389" s="950"/>
      <c r="I389" s="950"/>
      <c r="J389" s="950"/>
      <c r="K389" s="950"/>
      <c r="L389" s="950"/>
      <c r="M389" s="950"/>
      <c r="N389" s="950"/>
      <c r="O389" s="950"/>
      <c r="P389" s="950"/>
      <c r="Q389" s="1025"/>
      <c r="R389" s="990" t="s">
        <v>11182</v>
      </c>
      <c r="S389" s="992" t="s">
        <v>11183</v>
      </c>
      <c r="T389" s="993">
        <f t="shared" si="37"/>
        <v>55</v>
      </c>
      <c r="U389" s="992" t="s">
        <v>11183</v>
      </c>
      <c r="V389" s="993">
        <f t="shared" si="32"/>
        <v>55</v>
      </c>
      <c r="W389" s="992" t="s">
        <v>11184</v>
      </c>
      <c r="X389" s="993">
        <f t="shared" si="33"/>
        <v>29</v>
      </c>
      <c r="Y389" s="994" t="s">
        <v>11185</v>
      </c>
      <c r="Z389" s="993">
        <f t="shared" si="34"/>
        <v>87</v>
      </c>
      <c r="AA389" s="994" t="s">
        <v>11185</v>
      </c>
      <c r="AB389" s="993">
        <f t="shared" si="35"/>
        <v>87</v>
      </c>
      <c r="AC389" s="994" t="s">
        <v>11186</v>
      </c>
      <c r="AD389" s="993">
        <f t="shared" si="36"/>
        <v>28</v>
      </c>
      <c r="AE389" s="518" t="s">
        <v>10531</v>
      </c>
      <c r="AF389" s="519" t="s">
        <v>10531</v>
      </c>
      <c r="AG389" s="1021" t="s">
        <v>9179</v>
      </c>
      <c r="AH389" s="1022" t="s">
        <v>169</v>
      </c>
      <c r="AI389" s="494" t="s">
        <v>2917</v>
      </c>
      <c r="AJ389" s="958">
        <v>1</v>
      </c>
      <c r="AK389" s="959"/>
      <c r="AL389" s="960"/>
      <c r="AM389" s="997">
        <f>_xll.GetCtData("COAMOUNT","CONSAMOUNT",$A$1:$A$7,$D389,AM$10,"#")</f>
        <v>0</v>
      </c>
    </row>
    <row r="390" spans="1:39">
      <c r="A390" s="427" t="s">
        <v>6610</v>
      </c>
      <c r="B390" s="427" t="s">
        <v>6610</v>
      </c>
      <c r="D390" s="970" t="s">
        <v>2628</v>
      </c>
      <c r="E390" s="949" t="s">
        <v>2912</v>
      </c>
      <c r="F390" s="950">
        <v>6</v>
      </c>
      <c r="G390" s="950"/>
      <c r="H390" s="950"/>
      <c r="I390" s="950"/>
      <c r="J390" s="950"/>
      <c r="K390" s="950"/>
      <c r="L390" s="950"/>
      <c r="M390" s="970" t="s">
        <v>11187</v>
      </c>
      <c r="N390" s="970"/>
      <c r="O390" s="970"/>
      <c r="P390" s="970"/>
      <c r="Q390" s="970"/>
      <c r="R390" s="970" t="s">
        <v>11187</v>
      </c>
      <c r="S390" s="1033" t="s">
        <v>11188</v>
      </c>
      <c r="T390" s="1034">
        <f t="shared" si="37"/>
        <v>34</v>
      </c>
      <c r="U390" s="1033" t="s">
        <v>11188</v>
      </c>
      <c r="V390" s="1034">
        <f t="shared" si="32"/>
        <v>34</v>
      </c>
      <c r="W390" s="1033" t="s">
        <v>11189</v>
      </c>
      <c r="X390" s="1034">
        <f t="shared" si="33"/>
        <v>29</v>
      </c>
      <c r="Y390" s="1035" t="s">
        <v>11190</v>
      </c>
      <c r="Z390" s="1034">
        <f t="shared" si="34"/>
        <v>19</v>
      </c>
      <c r="AA390" s="1035" t="s">
        <v>11190</v>
      </c>
      <c r="AB390" s="1034">
        <f t="shared" si="35"/>
        <v>19</v>
      </c>
      <c r="AC390" s="1035" t="s">
        <v>11190</v>
      </c>
      <c r="AD390" s="1034">
        <f t="shared" si="36"/>
        <v>19</v>
      </c>
      <c r="AE390" s="1034"/>
      <c r="AF390" s="1034"/>
      <c r="AG390" s="956"/>
      <c r="AH390" s="957"/>
      <c r="AI390" s="494" t="s">
        <v>2917</v>
      </c>
      <c r="AJ390" s="958">
        <v>1</v>
      </c>
      <c r="AK390" s="959"/>
      <c r="AL390" s="960"/>
      <c r="AM390" s="1036">
        <f>_xll.GetCtData("COAMOUNT","CONSAMOUNT",$A$1:$A$7,$D390,AM$10,"#")</f>
        <v>0</v>
      </c>
    </row>
    <row r="391" spans="1:39">
      <c r="A391" s="427" t="s">
        <v>6610</v>
      </c>
      <c r="B391" s="427" t="s">
        <v>6610</v>
      </c>
      <c r="D391" s="1009" t="s">
        <v>11191</v>
      </c>
      <c r="E391" s="949" t="s">
        <v>2912</v>
      </c>
      <c r="F391" s="950">
        <v>7</v>
      </c>
      <c r="G391" s="950"/>
      <c r="H391" s="950"/>
      <c r="I391" s="950"/>
      <c r="J391" s="950"/>
      <c r="K391" s="950"/>
      <c r="L391" s="950"/>
      <c r="M391" s="950"/>
      <c r="N391" s="1009" t="s">
        <v>11192</v>
      </c>
      <c r="O391" s="975"/>
      <c r="P391" s="975"/>
      <c r="Q391" s="410"/>
      <c r="R391" s="1009" t="s">
        <v>11192</v>
      </c>
      <c r="S391" s="410" t="s">
        <v>11193</v>
      </c>
      <c r="T391" s="976">
        <f t="shared" si="37"/>
        <v>48</v>
      </c>
      <c r="U391" s="410" t="s">
        <v>11193</v>
      </c>
      <c r="V391" s="976">
        <f t="shared" si="32"/>
        <v>48</v>
      </c>
      <c r="W391" s="410" t="s">
        <v>11194</v>
      </c>
      <c r="X391" s="976">
        <f t="shared" si="33"/>
        <v>30</v>
      </c>
      <c r="Y391" s="977" t="s">
        <v>11195</v>
      </c>
      <c r="Z391" s="976">
        <f t="shared" si="34"/>
        <v>36</v>
      </c>
      <c r="AA391" s="977" t="s">
        <v>11195</v>
      </c>
      <c r="AB391" s="976">
        <f t="shared" si="35"/>
        <v>36</v>
      </c>
      <c r="AC391" s="977" t="s">
        <v>11196</v>
      </c>
      <c r="AD391" s="976">
        <f t="shared" si="36"/>
        <v>25</v>
      </c>
      <c r="AE391" s="976"/>
      <c r="AF391" s="976"/>
      <c r="AG391" s="956"/>
      <c r="AH391" s="957"/>
      <c r="AI391" s="494" t="s">
        <v>2917</v>
      </c>
      <c r="AJ391" s="958">
        <v>1</v>
      </c>
      <c r="AK391" s="959"/>
      <c r="AL391" s="960"/>
      <c r="AM391" s="980">
        <f>_xll.GetCtData("COAMOUNT","CONSAMOUNT",$A$1:$A$7,$D391,AM$10,"#")</f>
        <v>0</v>
      </c>
    </row>
    <row r="392" spans="1:39">
      <c r="A392" s="427" t="s">
        <v>6610</v>
      </c>
      <c r="B392" s="427" t="s">
        <v>6610</v>
      </c>
      <c r="D392" s="990" t="s">
        <v>11197</v>
      </c>
      <c r="E392" s="949" t="s">
        <v>2930</v>
      </c>
      <c r="F392" s="950">
        <v>10</v>
      </c>
      <c r="G392" s="950"/>
      <c r="H392" s="950"/>
      <c r="I392" s="950"/>
      <c r="J392" s="950"/>
      <c r="K392" s="950"/>
      <c r="L392" s="950"/>
      <c r="M392" s="950"/>
      <c r="N392" s="950"/>
      <c r="O392" s="950"/>
      <c r="P392" s="950"/>
      <c r="Q392" s="1025"/>
      <c r="R392" s="990" t="s">
        <v>11198</v>
      </c>
      <c r="S392" s="1014" t="s">
        <v>11199</v>
      </c>
      <c r="T392" s="1015">
        <f t="shared" si="37"/>
        <v>80</v>
      </c>
      <c r="U392" s="1014" t="s">
        <v>11199</v>
      </c>
      <c r="V392" s="1015">
        <f t="shared" si="32"/>
        <v>80</v>
      </c>
      <c r="W392" s="1014" t="s">
        <v>11200</v>
      </c>
      <c r="X392" s="1015">
        <f t="shared" si="33"/>
        <v>29</v>
      </c>
      <c r="Y392" s="1016" t="s">
        <v>11201</v>
      </c>
      <c r="Z392" s="1015">
        <f t="shared" si="34"/>
        <v>59</v>
      </c>
      <c r="AA392" s="1016" t="s">
        <v>11201</v>
      </c>
      <c r="AB392" s="1015">
        <f t="shared" si="35"/>
        <v>59</v>
      </c>
      <c r="AC392" s="1016" t="s">
        <v>11202</v>
      </c>
      <c r="AD392" s="1015">
        <f t="shared" si="36"/>
        <v>30</v>
      </c>
      <c r="AE392" s="518" t="s">
        <v>11203</v>
      </c>
      <c r="AF392" s="519" t="s">
        <v>11204</v>
      </c>
      <c r="AG392" s="1021" t="s">
        <v>9179</v>
      </c>
      <c r="AH392" s="1022" t="s">
        <v>169</v>
      </c>
      <c r="AI392" s="494" t="s">
        <v>2917</v>
      </c>
      <c r="AJ392" s="958">
        <v>1</v>
      </c>
      <c r="AK392" s="959"/>
      <c r="AL392" s="960"/>
      <c r="AM392" s="1018">
        <f>_xll.GetCtData("COAMOUNT","CONSAMOUNT",$A$1:$A$7,$D392,AM$10,"#")</f>
        <v>0</v>
      </c>
    </row>
    <row r="393" spans="1:39">
      <c r="A393" s="427" t="s">
        <v>6610</v>
      </c>
      <c r="B393" s="427" t="s">
        <v>6610</v>
      </c>
      <c r="D393" s="990" t="s">
        <v>11205</v>
      </c>
      <c r="E393" s="949" t="s">
        <v>2930</v>
      </c>
      <c r="F393" s="950">
        <v>10</v>
      </c>
      <c r="G393" s="950"/>
      <c r="H393" s="950"/>
      <c r="I393" s="950"/>
      <c r="J393" s="950"/>
      <c r="K393" s="950"/>
      <c r="L393" s="950"/>
      <c r="M393" s="950"/>
      <c r="N393" s="950"/>
      <c r="O393" s="950"/>
      <c r="P393" s="950"/>
      <c r="Q393" s="1025"/>
      <c r="R393" s="990" t="s">
        <v>11206</v>
      </c>
      <c r="S393" s="1014" t="s">
        <v>11207</v>
      </c>
      <c r="T393" s="1015">
        <f t="shared" si="37"/>
        <v>84</v>
      </c>
      <c r="U393" s="1014" t="s">
        <v>11207</v>
      </c>
      <c r="V393" s="1015">
        <f t="shared" si="32"/>
        <v>84</v>
      </c>
      <c r="W393" s="1014" t="s">
        <v>11208</v>
      </c>
      <c r="X393" s="1015">
        <f t="shared" si="33"/>
        <v>30</v>
      </c>
      <c r="Y393" s="1016" t="s">
        <v>11209</v>
      </c>
      <c r="Z393" s="1015">
        <f t="shared" si="34"/>
        <v>61</v>
      </c>
      <c r="AA393" s="1016" t="s">
        <v>11209</v>
      </c>
      <c r="AB393" s="1015">
        <f t="shared" si="35"/>
        <v>61</v>
      </c>
      <c r="AC393" s="1016" t="s">
        <v>11210</v>
      </c>
      <c r="AD393" s="1015">
        <f t="shared" si="36"/>
        <v>28</v>
      </c>
      <c r="AE393" s="518" t="s">
        <v>11211</v>
      </c>
      <c r="AF393" s="519" t="s">
        <v>11212</v>
      </c>
      <c r="AG393" s="1021" t="s">
        <v>9179</v>
      </c>
      <c r="AH393" s="1022" t="s">
        <v>169</v>
      </c>
      <c r="AI393" s="494" t="s">
        <v>2917</v>
      </c>
      <c r="AJ393" s="958">
        <v>1</v>
      </c>
      <c r="AK393" s="959"/>
      <c r="AL393" s="960"/>
      <c r="AM393" s="1018">
        <f>_xll.GetCtData("COAMOUNT","CONSAMOUNT",$A$1:$A$7,$D393,AM$10,"#")</f>
        <v>0</v>
      </c>
    </row>
    <row r="394" spans="1:39">
      <c r="A394" s="427" t="s">
        <v>6610</v>
      </c>
      <c r="B394" s="427" t="s">
        <v>6610</v>
      </c>
      <c r="D394" s="1009" t="s">
        <v>11213</v>
      </c>
      <c r="E394" s="949" t="s">
        <v>2912</v>
      </c>
      <c r="F394" s="950">
        <v>7</v>
      </c>
      <c r="G394" s="950"/>
      <c r="H394" s="950"/>
      <c r="I394" s="950"/>
      <c r="J394" s="950"/>
      <c r="K394" s="950"/>
      <c r="L394" s="950"/>
      <c r="M394" s="950"/>
      <c r="N394" s="1009" t="s">
        <v>11214</v>
      </c>
      <c r="O394" s="975"/>
      <c r="P394" s="975"/>
      <c r="Q394" s="410"/>
      <c r="R394" s="1009" t="s">
        <v>11214</v>
      </c>
      <c r="S394" s="410" t="s">
        <v>11215</v>
      </c>
      <c r="T394" s="976">
        <f t="shared" si="37"/>
        <v>67</v>
      </c>
      <c r="U394" s="410" t="s">
        <v>11215</v>
      </c>
      <c r="V394" s="976">
        <f t="shared" si="32"/>
        <v>67</v>
      </c>
      <c r="W394" s="410" t="s">
        <v>11216</v>
      </c>
      <c r="X394" s="976">
        <f t="shared" si="33"/>
        <v>30</v>
      </c>
      <c r="Y394" s="977" t="s">
        <v>11217</v>
      </c>
      <c r="Z394" s="976">
        <f t="shared" si="34"/>
        <v>55</v>
      </c>
      <c r="AA394" s="977" t="s">
        <v>11217</v>
      </c>
      <c r="AB394" s="976">
        <f t="shared" si="35"/>
        <v>55</v>
      </c>
      <c r="AC394" s="977" t="s">
        <v>11218</v>
      </c>
      <c r="AD394" s="976">
        <f t="shared" si="36"/>
        <v>30</v>
      </c>
      <c r="AE394" s="976"/>
      <c r="AF394" s="976"/>
      <c r="AG394" s="956"/>
      <c r="AH394" s="957"/>
      <c r="AI394" s="494" t="s">
        <v>2917</v>
      </c>
      <c r="AJ394" s="958">
        <v>1</v>
      </c>
      <c r="AK394" s="959"/>
      <c r="AL394" s="960"/>
      <c r="AM394" s="980">
        <f>_xll.GetCtData("COAMOUNT","CONSAMOUNT",$A$1:$A$7,$D394,AM$10,"#")</f>
        <v>0</v>
      </c>
    </row>
    <row r="395" spans="1:39">
      <c r="A395" s="427" t="s">
        <v>6610</v>
      </c>
      <c r="B395" s="427" t="s">
        <v>6610</v>
      </c>
      <c r="D395" s="990" t="s">
        <v>11219</v>
      </c>
      <c r="E395" s="949" t="s">
        <v>2930</v>
      </c>
      <c r="F395" s="950">
        <v>10</v>
      </c>
      <c r="G395" s="950"/>
      <c r="H395" s="950"/>
      <c r="I395" s="950"/>
      <c r="J395" s="950"/>
      <c r="K395" s="950"/>
      <c r="L395" s="950"/>
      <c r="M395" s="950"/>
      <c r="N395" s="950"/>
      <c r="O395" s="950"/>
      <c r="P395" s="950"/>
      <c r="Q395" s="1025"/>
      <c r="R395" s="990" t="s">
        <v>11220</v>
      </c>
      <c r="S395" s="1014" t="s">
        <v>11221</v>
      </c>
      <c r="T395" s="1015">
        <f t="shared" si="37"/>
        <v>76</v>
      </c>
      <c r="U395" s="1014" t="s">
        <v>11221</v>
      </c>
      <c r="V395" s="1015">
        <f t="shared" si="32"/>
        <v>76</v>
      </c>
      <c r="W395" s="1014" t="s">
        <v>11222</v>
      </c>
      <c r="X395" s="1015">
        <f t="shared" si="33"/>
        <v>30</v>
      </c>
      <c r="Y395" s="1016" t="s">
        <v>11223</v>
      </c>
      <c r="Z395" s="1015">
        <f t="shared" si="34"/>
        <v>59</v>
      </c>
      <c r="AA395" s="1016" t="s">
        <v>11223</v>
      </c>
      <c r="AB395" s="1015">
        <f t="shared" si="35"/>
        <v>59</v>
      </c>
      <c r="AC395" s="1016" t="s">
        <v>11224</v>
      </c>
      <c r="AD395" s="1015">
        <f t="shared" si="36"/>
        <v>28</v>
      </c>
      <c r="AE395" s="518" t="s">
        <v>11225</v>
      </c>
      <c r="AF395" s="519" t="s">
        <v>11226</v>
      </c>
      <c r="AG395" s="1021" t="s">
        <v>9179</v>
      </c>
      <c r="AH395" s="1022" t="s">
        <v>169</v>
      </c>
      <c r="AI395" s="494" t="s">
        <v>2917</v>
      </c>
      <c r="AJ395" s="958">
        <v>1</v>
      </c>
      <c r="AK395" s="959"/>
      <c r="AL395" s="960"/>
      <c r="AM395" s="1018">
        <f>_xll.GetCtData("COAMOUNT","CONSAMOUNT",$A$1:$A$7,$D395,AM$10,"#")</f>
        <v>0</v>
      </c>
    </row>
    <row r="396" spans="1:39">
      <c r="A396" s="427" t="s">
        <v>6610</v>
      </c>
      <c r="B396" s="427" t="s">
        <v>6610</v>
      </c>
      <c r="D396" s="990" t="s">
        <v>11227</v>
      </c>
      <c r="E396" s="949" t="s">
        <v>2930</v>
      </c>
      <c r="F396" s="950">
        <v>10</v>
      </c>
      <c r="G396" s="950"/>
      <c r="H396" s="950"/>
      <c r="I396" s="950"/>
      <c r="J396" s="950"/>
      <c r="K396" s="950"/>
      <c r="L396" s="950"/>
      <c r="M396" s="950"/>
      <c r="N396" s="950"/>
      <c r="O396" s="950"/>
      <c r="P396" s="950"/>
      <c r="Q396" s="1025"/>
      <c r="R396" s="990" t="s">
        <v>11228</v>
      </c>
      <c r="S396" s="1014" t="s">
        <v>11229</v>
      </c>
      <c r="T396" s="1015">
        <f t="shared" si="37"/>
        <v>80</v>
      </c>
      <c r="U396" s="1014" t="s">
        <v>11229</v>
      </c>
      <c r="V396" s="1015">
        <f t="shared" si="32"/>
        <v>80</v>
      </c>
      <c r="W396" s="1014" t="s">
        <v>11230</v>
      </c>
      <c r="X396" s="1015">
        <f t="shared" si="33"/>
        <v>30</v>
      </c>
      <c r="Y396" s="1016" t="s">
        <v>11231</v>
      </c>
      <c r="Z396" s="1015">
        <f t="shared" si="34"/>
        <v>61</v>
      </c>
      <c r="AA396" s="1016" t="s">
        <v>11231</v>
      </c>
      <c r="AB396" s="1015">
        <f t="shared" si="35"/>
        <v>61</v>
      </c>
      <c r="AC396" s="1016" t="s">
        <v>11232</v>
      </c>
      <c r="AD396" s="1015">
        <f t="shared" si="36"/>
        <v>30</v>
      </c>
      <c r="AE396" s="518" t="s">
        <v>11233</v>
      </c>
      <c r="AF396" s="519" t="s">
        <v>11234</v>
      </c>
      <c r="AG396" s="1021" t="s">
        <v>9179</v>
      </c>
      <c r="AH396" s="1022" t="s">
        <v>169</v>
      </c>
      <c r="AI396" s="494" t="s">
        <v>2917</v>
      </c>
      <c r="AJ396" s="958">
        <v>1</v>
      </c>
      <c r="AK396" s="959"/>
      <c r="AL396" s="960"/>
      <c r="AM396" s="1018">
        <f>_xll.GetCtData("COAMOUNT","CONSAMOUNT",$A$1:$A$7,$D396,AM$10,"#")</f>
        <v>0</v>
      </c>
    </row>
    <row r="397" spans="1:39">
      <c r="A397" s="427" t="s">
        <v>6610</v>
      </c>
      <c r="B397" s="427" t="s">
        <v>6610</v>
      </c>
      <c r="D397" s="1009" t="s">
        <v>11235</v>
      </c>
      <c r="E397" s="949" t="s">
        <v>2912</v>
      </c>
      <c r="F397" s="950">
        <v>7</v>
      </c>
      <c r="G397" s="950"/>
      <c r="H397" s="950"/>
      <c r="I397" s="950"/>
      <c r="J397" s="950"/>
      <c r="K397" s="950"/>
      <c r="L397" s="950"/>
      <c r="M397" s="950"/>
      <c r="N397" s="1009" t="s">
        <v>11236</v>
      </c>
      <c r="O397" s="975"/>
      <c r="P397" s="975"/>
      <c r="Q397" s="410"/>
      <c r="R397" s="1009" t="s">
        <v>11236</v>
      </c>
      <c r="S397" s="410" t="s">
        <v>11237</v>
      </c>
      <c r="T397" s="976">
        <f t="shared" si="37"/>
        <v>87</v>
      </c>
      <c r="U397" s="410" t="s">
        <v>11237</v>
      </c>
      <c r="V397" s="976">
        <f t="shared" si="32"/>
        <v>87</v>
      </c>
      <c r="W397" s="410" t="s">
        <v>11238</v>
      </c>
      <c r="X397" s="976">
        <f t="shared" si="33"/>
        <v>30</v>
      </c>
      <c r="Y397" s="977" t="s">
        <v>11239</v>
      </c>
      <c r="Z397" s="976">
        <f t="shared" si="34"/>
        <v>79</v>
      </c>
      <c r="AA397" s="977" t="s">
        <v>11239</v>
      </c>
      <c r="AB397" s="976">
        <f t="shared" si="35"/>
        <v>79</v>
      </c>
      <c r="AC397" s="977" t="s">
        <v>11240</v>
      </c>
      <c r="AD397" s="976">
        <f t="shared" si="36"/>
        <v>30</v>
      </c>
      <c r="AE397" s="976"/>
      <c r="AF397" s="976"/>
      <c r="AG397" s="956"/>
      <c r="AH397" s="957"/>
      <c r="AI397" s="494" t="s">
        <v>2917</v>
      </c>
      <c r="AJ397" s="958">
        <v>1</v>
      </c>
      <c r="AK397" s="959"/>
      <c r="AL397" s="960"/>
      <c r="AM397" s="980">
        <f>_xll.GetCtData("COAMOUNT","CONSAMOUNT",$A$1:$A$7,$D397,AM$10,"#")</f>
        <v>0</v>
      </c>
    </row>
    <row r="398" spans="1:39">
      <c r="A398" s="427" t="s">
        <v>6610</v>
      </c>
      <c r="B398" s="427" t="s">
        <v>6610</v>
      </c>
      <c r="D398" s="990" t="s">
        <v>11241</v>
      </c>
      <c r="E398" s="949" t="s">
        <v>2930</v>
      </c>
      <c r="F398" s="950">
        <v>10</v>
      </c>
      <c r="G398" s="950"/>
      <c r="H398" s="950"/>
      <c r="I398" s="950"/>
      <c r="J398" s="950"/>
      <c r="K398" s="950"/>
      <c r="L398" s="950"/>
      <c r="M398" s="950"/>
      <c r="N398" s="950"/>
      <c r="O398" s="950"/>
      <c r="P398" s="950"/>
      <c r="Q398" s="1025"/>
      <c r="R398" s="990" t="s">
        <v>11242</v>
      </c>
      <c r="S398" s="1014" t="s">
        <v>11243</v>
      </c>
      <c r="T398" s="1015">
        <f t="shared" si="37"/>
        <v>96</v>
      </c>
      <c r="U398" s="1014" t="s">
        <v>11243</v>
      </c>
      <c r="V398" s="1015">
        <f t="shared" si="32"/>
        <v>96</v>
      </c>
      <c r="W398" s="1014" t="s">
        <v>11244</v>
      </c>
      <c r="X398" s="1015">
        <f t="shared" si="33"/>
        <v>30</v>
      </c>
      <c r="Y398" s="1016" t="s">
        <v>11245</v>
      </c>
      <c r="Z398" s="1015">
        <f t="shared" si="34"/>
        <v>83</v>
      </c>
      <c r="AA398" s="1016" t="s">
        <v>11245</v>
      </c>
      <c r="AB398" s="1015">
        <f t="shared" si="35"/>
        <v>83</v>
      </c>
      <c r="AC398" s="1016" t="s">
        <v>11246</v>
      </c>
      <c r="AD398" s="1015">
        <f t="shared" si="36"/>
        <v>27</v>
      </c>
      <c r="AE398" s="518" t="s">
        <v>11247</v>
      </c>
      <c r="AF398" s="519" t="s">
        <v>11248</v>
      </c>
      <c r="AG398" s="1021" t="s">
        <v>9179</v>
      </c>
      <c r="AH398" s="1022" t="s">
        <v>169</v>
      </c>
      <c r="AI398" s="494" t="s">
        <v>2917</v>
      </c>
      <c r="AJ398" s="958">
        <v>1</v>
      </c>
      <c r="AK398" s="959"/>
      <c r="AL398" s="960"/>
      <c r="AM398" s="1018">
        <f>_xll.GetCtData("COAMOUNT","CONSAMOUNT",$A$1:$A$7,$D398,AM$10,"#")</f>
        <v>0</v>
      </c>
    </row>
    <row r="399" spans="1:39">
      <c r="A399" s="427" t="s">
        <v>6610</v>
      </c>
      <c r="B399" s="427" t="s">
        <v>6610</v>
      </c>
      <c r="D399" s="990" t="s">
        <v>11249</v>
      </c>
      <c r="E399" s="949" t="s">
        <v>2930</v>
      </c>
      <c r="F399" s="950">
        <v>10</v>
      </c>
      <c r="G399" s="950"/>
      <c r="H399" s="950"/>
      <c r="I399" s="950"/>
      <c r="J399" s="950"/>
      <c r="K399" s="950"/>
      <c r="L399" s="950"/>
      <c r="M399" s="950"/>
      <c r="N399" s="950"/>
      <c r="O399" s="950"/>
      <c r="P399" s="950"/>
      <c r="Q399" s="1025"/>
      <c r="R399" s="990" t="s">
        <v>11250</v>
      </c>
      <c r="S399" s="1014" t="s">
        <v>11251</v>
      </c>
      <c r="T399" s="1015">
        <f t="shared" si="37"/>
        <v>100</v>
      </c>
      <c r="U399" s="1014" t="s">
        <v>11251</v>
      </c>
      <c r="V399" s="1015">
        <f t="shared" si="32"/>
        <v>100</v>
      </c>
      <c r="W399" s="1014" t="s">
        <v>11252</v>
      </c>
      <c r="X399" s="1015">
        <f t="shared" si="33"/>
        <v>30</v>
      </c>
      <c r="Y399" s="1016" t="s">
        <v>11253</v>
      </c>
      <c r="Z399" s="1015">
        <f t="shared" si="34"/>
        <v>85</v>
      </c>
      <c r="AA399" s="1016" t="s">
        <v>11253</v>
      </c>
      <c r="AB399" s="1015">
        <f t="shared" si="35"/>
        <v>85</v>
      </c>
      <c r="AC399" s="1016" t="s">
        <v>11254</v>
      </c>
      <c r="AD399" s="1015">
        <f t="shared" si="36"/>
        <v>29</v>
      </c>
      <c r="AE399" s="518" t="s">
        <v>11255</v>
      </c>
      <c r="AF399" s="519" t="s">
        <v>11256</v>
      </c>
      <c r="AG399" s="1021" t="s">
        <v>9179</v>
      </c>
      <c r="AH399" s="1022" t="s">
        <v>169</v>
      </c>
      <c r="AI399" s="494" t="s">
        <v>2917</v>
      </c>
      <c r="AJ399" s="958">
        <v>1</v>
      </c>
      <c r="AK399" s="959"/>
      <c r="AL399" s="960"/>
      <c r="AM399" s="1018">
        <f>_xll.GetCtData("COAMOUNT","CONSAMOUNT",$A$1:$A$7,$D399,AM$10,"#")</f>
        <v>0</v>
      </c>
    </row>
    <row r="400" spans="1:39">
      <c r="A400" s="427" t="s">
        <v>6610</v>
      </c>
      <c r="B400" s="427" t="s">
        <v>6610</v>
      </c>
      <c r="D400" s="970" t="s">
        <v>11257</v>
      </c>
      <c r="E400" s="949" t="s">
        <v>2912</v>
      </c>
      <c r="F400" s="950">
        <v>6</v>
      </c>
      <c r="G400" s="950"/>
      <c r="H400" s="950"/>
      <c r="I400" s="950"/>
      <c r="J400" s="950"/>
      <c r="K400" s="950"/>
      <c r="L400" s="950"/>
      <c r="M400" s="970" t="s">
        <v>11258</v>
      </c>
      <c r="N400" s="970"/>
      <c r="O400" s="970"/>
      <c r="P400" s="970"/>
      <c r="Q400" s="970"/>
      <c r="R400" s="970" t="s">
        <v>11258</v>
      </c>
      <c r="S400" s="1033" t="s">
        <v>11259</v>
      </c>
      <c r="T400" s="1034">
        <f t="shared" si="37"/>
        <v>38</v>
      </c>
      <c r="U400" s="1033" t="s">
        <v>11259</v>
      </c>
      <c r="V400" s="1034">
        <f t="shared" si="32"/>
        <v>38</v>
      </c>
      <c r="W400" s="1033" t="s">
        <v>11260</v>
      </c>
      <c r="X400" s="1034">
        <f t="shared" si="33"/>
        <v>29</v>
      </c>
      <c r="Y400" s="1035" t="s">
        <v>11261</v>
      </c>
      <c r="Z400" s="1034">
        <f t="shared" si="34"/>
        <v>52</v>
      </c>
      <c r="AA400" s="1035" t="s">
        <v>11261</v>
      </c>
      <c r="AB400" s="1034">
        <f t="shared" si="35"/>
        <v>52</v>
      </c>
      <c r="AC400" s="1035" t="s">
        <v>11262</v>
      </c>
      <c r="AD400" s="1034">
        <f t="shared" si="36"/>
        <v>25</v>
      </c>
      <c r="AE400" s="1034"/>
      <c r="AF400" s="1034"/>
      <c r="AG400" s="956"/>
      <c r="AH400" s="957"/>
      <c r="AI400" s="494" t="s">
        <v>2917</v>
      </c>
      <c r="AJ400" s="958">
        <v>1</v>
      </c>
      <c r="AK400" s="959"/>
      <c r="AL400" s="960"/>
      <c r="AM400" s="1036">
        <f>_xll.GetCtData("COAMOUNT","CONSAMOUNT",$A$1:$A$7,$D400,AM$10,"#168436")</f>
        <v>168436</v>
      </c>
    </row>
    <row r="401" spans="1:39">
      <c r="A401" s="427" t="s">
        <v>6610</v>
      </c>
      <c r="B401" s="427" t="s">
        <v>6610</v>
      </c>
      <c r="D401" s="1009" t="s">
        <v>1376</v>
      </c>
      <c r="E401" s="949" t="s">
        <v>2912</v>
      </c>
      <c r="F401" s="950">
        <v>7</v>
      </c>
      <c r="G401" s="950"/>
      <c r="H401" s="950"/>
      <c r="I401" s="950"/>
      <c r="J401" s="950"/>
      <c r="K401" s="950"/>
      <c r="L401" s="950"/>
      <c r="M401" s="950"/>
      <c r="N401" s="1009" t="s">
        <v>11263</v>
      </c>
      <c r="O401" s="975"/>
      <c r="P401" s="975"/>
      <c r="Q401" s="410"/>
      <c r="R401" s="1009" t="s">
        <v>11263</v>
      </c>
      <c r="S401" s="410" t="s">
        <v>11264</v>
      </c>
      <c r="T401" s="976">
        <f t="shared" si="37"/>
        <v>52</v>
      </c>
      <c r="U401" s="410" t="s">
        <v>11264</v>
      </c>
      <c r="V401" s="976">
        <f t="shared" si="32"/>
        <v>52</v>
      </c>
      <c r="W401" s="410" t="s">
        <v>11265</v>
      </c>
      <c r="X401" s="976">
        <f t="shared" si="33"/>
        <v>28</v>
      </c>
      <c r="Y401" s="977" t="s">
        <v>11266</v>
      </c>
      <c r="Z401" s="976">
        <f t="shared" si="34"/>
        <v>69</v>
      </c>
      <c r="AA401" s="977" t="s">
        <v>11266</v>
      </c>
      <c r="AB401" s="976">
        <f t="shared" si="35"/>
        <v>69</v>
      </c>
      <c r="AC401" s="977" t="s">
        <v>11267</v>
      </c>
      <c r="AD401" s="976">
        <f t="shared" si="36"/>
        <v>25</v>
      </c>
      <c r="AE401" s="976"/>
      <c r="AF401" s="976"/>
      <c r="AG401" s="956"/>
      <c r="AH401" s="957"/>
      <c r="AI401" s="494" t="s">
        <v>2917</v>
      </c>
      <c r="AJ401" s="958">
        <v>1</v>
      </c>
      <c r="AK401" s="959"/>
      <c r="AL401" s="960"/>
      <c r="AM401" s="980">
        <f>_xll.GetCtData("COAMOUNT","CONSAMOUNT",$A$1:$A$7,$D401,AM$10,"#8355")</f>
        <v>8355</v>
      </c>
    </row>
    <row r="402" spans="1:39">
      <c r="A402" s="427" t="s">
        <v>6610</v>
      </c>
      <c r="B402" s="427" t="s">
        <v>6610</v>
      </c>
      <c r="D402" s="990" t="s">
        <v>1242</v>
      </c>
      <c r="E402" s="949" t="s">
        <v>2930</v>
      </c>
      <c r="F402" s="950">
        <v>10</v>
      </c>
      <c r="G402" s="950"/>
      <c r="H402" s="950"/>
      <c r="I402" s="950"/>
      <c r="J402" s="950"/>
      <c r="K402" s="950"/>
      <c r="L402" s="950"/>
      <c r="M402" s="950"/>
      <c r="N402" s="950"/>
      <c r="O402" s="950"/>
      <c r="P402" s="950"/>
      <c r="Q402" s="1025"/>
      <c r="R402" s="990" t="s">
        <v>11268</v>
      </c>
      <c r="S402" s="1014" t="s">
        <v>11269</v>
      </c>
      <c r="T402" s="1015">
        <f t="shared" si="37"/>
        <v>72</v>
      </c>
      <c r="U402" s="1014" t="s">
        <v>11269</v>
      </c>
      <c r="V402" s="1015">
        <f t="shared" si="32"/>
        <v>72</v>
      </c>
      <c r="W402" s="1014" t="s">
        <v>11270</v>
      </c>
      <c r="X402" s="1015">
        <f t="shared" si="33"/>
        <v>30</v>
      </c>
      <c r="Y402" s="1016" t="s">
        <v>11271</v>
      </c>
      <c r="Z402" s="1015">
        <f t="shared" si="34"/>
        <v>97</v>
      </c>
      <c r="AA402" s="1016" t="s">
        <v>11272</v>
      </c>
      <c r="AB402" s="1015">
        <f t="shared" si="35"/>
        <v>96</v>
      </c>
      <c r="AC402" s="1016" t="s">
        <v>11273</v>
      </c>
      <c r="AD402" s="1015">
        <f t="shared" si="36"/>
        <v>28</v>
      </c>
      <c r="AE402" s="518" t="s">
        <v>11274</v>
      </c>
      <c r="AF402" s="519" t="s">
        <v>11275</v>
      </c>
      <c r="AG402" s="1021" t="s">
        <v>9179</v>
      </c>
      <c r="AH402" s="1022" t="s">
        <v>169</v>
      </c>
      <c r="AI402" s="494" t="s">
        <v>2917</v>
      </c>
      <c r="AJ402" s="958">
        <v>1</v>
      </c>
      <c r="AK402" s="959"/>
      <c r="AL402" s="960" t="s">
        <v>5930</v>
      </c>
      <c r="AM402" s="1018">
        <f>_xll.GetCtData("COAMOUNT","CONSAMOUNT",$A$1:$A$7,$D402,AM$10,"#7711")</f>
        <v>7711</v>
      </c>
    </row>
    <row r="403" spans="1:39">
      <c r="A403" s="427" t="s">
        <v>6610</v>
      </c>
      <c r="B403" s="427" t="s">
        <v>6610</v>
      </c>
      <c r="D403" s="990" t="s">
        <v>1243</v>
      </c>
      <c r="E403" s="949" t="s">
        <v>2930</v>
      </c>
      <c r="F403" s="950">
        <v>10</v>
      </c>
      <c r="G403" s="950"/>
      <c r="H403" s="950"/>
      <c r="I403" s="950"/>
      <c r="J403" s="950"/>
      <c r="K403" s="950"/>
      <c r="L403" s="950"/>
      <c r="M403" s="950"/>
      <c r="N403" s="950"/>
      <c r="O403" s="950"/>
      <c r="P403" s="950"/>
      <c r="Q403" s="1025"/>
      <c r="R403" s="990" t="s">
        <v>11276</v>
      </c>
      <c r="S403" s="1014" t="s">
        <v>11277</v>
      </c>
      <c r="T403" s="1015">
        <f t="shared" si="37"/>
        <v>74</v>
      </c>
      <c r="U403" s="1014" t="s">
        <v>11277</v>
      </c>
      <c r="V403" s="1015">
        <f t="shared" si="32"/>
        <v>74</v>
      </c>
      <c r="W403" s="1014" t="s">
        <v>11278</v>
      </c>
      <c r="X403" s="1015">
        <f t="shared" si="33"/>
        <v>30</v>
      </c>
      <c r="Y403" s="1016" t="s">
        <v>11279</v>
      </c>
      <c r="Z403" s="1015">
        <f t="shared" si="34"/>
        <v>98</v>
      </c>
      <c r="AA403" s="1016" t="s">
        <v>11280</v>
      </c>
      <c r="AB403" s="1015">
        <f t="shared" si="35"/>
        <v>97</v>
      </c>
      <c r="AC403" s="1016" t="s">
        <v>11281</v>
      </c>
      <c r="AD403" s="1015">
        <f t="shared" si="36"/>
        <v>28</v>
      </c>
      <c r="AE403" s="518" t="s">
        <v>11274</v>
      </c>
      <c r="AF403" s="519" t="s">
        <v>11275</v>
      </c>
      <c r="AG403" s="1021" t="s">
        <v>9179</v>
      </c>
      <c r="AH403" s="1022" t="s">
        <v>169</v>
      </c>
      <c r="AI403" s="494" t="s">
        <v>2917</v>
      </c>
      <c r="AJ403" s="958">
        <v>1</v>
      </c>
      <c r="AK403" s="959"/>
      <c r="AL403" s="960" t="s">
        <v>5930</v>
      </c>
      <c r="AM403" s="1018">
        <f>_xll.GetCtData("COAMOUNT","CONSAMOUNT",$A$1:$A$7,$D403,AM$10,"#644")</f>
        <v>644</v>
      </c>
    </row>
    <row r="404" spans="1:39">
      <c r="A404" s="427" t="s">
        <v>6610</v>
      </c>
      <c r="B404" s="427" t="s">
        <v>6610</v>
      </c>
      <c r="D404" s="1009" t="s">
        <v>1375</v>
      </c>
      <c r="E404" s="949" t="s">
        <v>2912</v>
      </c>
      <c r="F404" s="950">
        <v>7</v>
      </c>
      <c r="G404" s="950"/>
      <c r="H404" s="950"/>
      <c r="I404" s="950"/>
      <c r="J404" s="950"/>
      <c r="K404" s="950"/>
      <c r="L404" s="950"/>
      <c r="M404" s="950"/>
      <c r="N404" s="1009" t="s">
        <v>11282</v>
      </c>
      <c r="O404" s="975"/>
      <c r="P404" s="975"/>
      <c r="Q404" s="410"/>
      <c r="R404" s="1009" t="s">
        <v>11282</v>
      </c>
      <c r="S404" s="410" t="s">
        <v>11283</v>
      </c>
      <c r="T404" s="976">
        <f t="shared" si="37"/>
        <v>47</v>
      </c>
      <c r="U404" s="410" t="s">
        <v>11283</v>
      </c>
      <c r="V404" s="976">
        <f t="shared" si="32"/>
        <v>47</v>
      </c>
      <c r="W404" s="410" t="s">
        <v>11284</v>
      </c>
      <c r="X404" s="976">
        <f t="shared" si="33"/>
        <v>30</v>
      </c>
      <c r="Y404" s="977" t="s">
        <v>11285</v>
      </c>
      <c r="Z404" s="976">
        <f t="shared" si="34"/>
        <v>69</v>
      </c>
      <c r="AA404" s="977" t="s">
        <v>11285</v>
      </c>
      <c r="AB404" s="976">
        <f t="shared" si="35"/>
        <v>69</v>
      </c>
      <c r="AC404" s="977" t="s">
        <v>11286</v>
      </c>
      <c r="AD404" s="976">
        <f t="shared" si="36"/>
        <v>30</v>
      </c>
      <c r="AE404" s="976"/>
      <c r="AF404" s="976"/>
      <c r="AG404" s="956"/>
      <c r="AH404" s="957"/>
      <c r="AI404" s="494" t="s">
        <v>2917</v>
      </c>
      <c r="AJ404" s="958">
        <v>1</v>
      </c>
      <c r="AK404" s="959"/>
      <c r="AL404" s="960"/>
      <c r="AM404" s="980">
        <f>_xll.GetCtData("COAMOUNT","CONSAMOUNT",$A$1:$A$7,$D404,AM$10,"#-262901")</f>
        <v>-262901</v>
      </c>
    </row>
    <row r="405" spans="1:39">
      <c r="A405" s="427" t="s">
        <v>6610</v>
      </c>
      <c r="B405" s="427" t="s">
        <v>6610</v>
      </c>
      <c r="D405" s="990" t="s">
        <v>1244</v>
      </c>
      <c r="E405" s="949" t="s">
        <v>2930</v>
      </c>
      <c r="F405" s="950">
        <v>10</v>
      </c>
      <c r="G405" s="950"/>
      <c r="H405" s="950"/>
      <c r="I405" s="950"/>
      <c r="J405" s="950"/>
      <c r="K405" s="950"/>
      <c r="L405" s="950"/>
      <c r="M405" s="950"/>
      <c r="N405" s="950"/>
      <c r="O405" s="950"/>
      <c r="P405" s="950"/>
      <c r="Q405" s="1025"/>
      <c r="R405" s="990" t="s">
        <v>11287</v>
      </c>
      <c r="S405" s="1014" t="s">
        <v>11288</v>
      </c>
      <c r="T405" s="1015">
        <f t="shared" si="37"/>
        <v>67</v>
      </c>
      <c r="U405" s="1014" t="s">
        <v>11288</v>
      </c>
      <c r="V405" s="1015">
        <f t="shared" si="32"/>
        <v>67</v>
      </c>
      <c r="W405" s="1014" t="s">
        <v>11289</v>
      </c>
      <c r="X405" s="1015">
        <f t="shared" si="33"/>
        <v>30</v>
      </c>
      <c r="Y405" s="1016" t="s">
        <v>11290</v>
      </c>
      <c r="Z405" s="1015">
        <f t="shared" si="34"/>
        <v>96</v>
      </c>
      <c r="AA405" s="1016" t="s">
        <v>11290</v>
      </c>
      <c r="AB405" s="1015">
        <f t="shared" si="35"/>
        <v>96</v>
      </c>
      <c r="AC405" s="1016" t="s">
        <v>11291</v>
      </c>
      <c r="AD405" s="1015">
        <f t="shared" si="36"/>
        <v>30</v>
      </c>
      <c r="AE405" s="518" t="s">
        <v>11292</v>
      </c>
      <c r="AF405" s="519" t="s">
        <v>11293</v>
      </c>
      <c r="AG405" s="1021" t="s">
        <v>9179</v>
      </c>
      <c r="AH405" s="1022" t="s">
        <v>169</v>
      </c>
      <c r="AI405" s="494" t="s">
        <v>2917</v>
      </c>
      <c r="AJ405" s="958">
        <v>1</v>
      </c>
      <c r="AK405" s="959"/>
      <c r="AL405" s="960"/>
      <c r="AM405" s="1018">
        <f>_xll.GetCtData("COAMOUNT","CONSAMOUNT",$A$1:$A$7,$D405,AM$10,"#-841719")</f>
        <v>-841719</v>
      </c>
    </row>
    <row r="406" spans="1:39">
      <c r="A406" s="427" t="s">
        <v>6610</v>
      </c>
      <c r="B406" s="427" t="s">
        <v>6610</v>
      </c>
      <c r="D406" s="990" t="s">
        <v>1245</v>
      </c>
      <c r="E406" s="949" t="s">
        <v>2930</v>
      </c>
      <c r="F406" s="950">
        <v>10</v>
      </c>
      <c r="G406" s="950"/>
      <c r="H406" s="950"/>
      <c r="I406" s="950"/>
      <c r="J406" s="950"/>
      <c r="K406" s="950"/>
      <c r="L406" s="950"/>
      <c r="M406" s="950"/>
      <c r="N406" s="950"/>
      <c r="O406" s="950"/>
      <c r="P406" s="950"/>
      <c r="Q406" s="1025"/>
      <c r="R406" s="990" t="s">
        <v>11294</v>
      </c>
      <c r="S406" s="1014" t="s">
        <v>11295</v>
      </c>
      <c r="T406" s="1015">
        <f t="shared" si="37"/>
        <v>69</v>
      </c>
      <c r="U406" s="1014" t="s">
        <v>11295</v>
      </c>
      <c r="V406" s="1015">
        <f t="shared" si="32"/>
        <v>69</v>
      </c>
      <c r="W406" s="1014" t="s">
        <v>11296</v>
      </c>
      <c r="X406" s="1015">
        <f t="shared" si="33"/>
        <v>30</v>
      </c>
      <c r="Y406" s="1016" t="s">
        <v>11297</v>
      </c>
      <c r="Z406" s="1015">
        <f t="shared" si="34"/>
        <v>97</v>
      </c>
      <c r="AA406" s="1016" t="s">
        <v>11297</v>
      </c>
      <c r="AB406" s="1015">
        <f t="shared" si="35"/>
        <v>97</v>
      </c>
      <c r="AC406" s="1016" t="s">
        <v>11298</v>
      </c>
      <c r="AD406" s="1015">
        <f t="shared" si="36"/>
        <v>30</v>
      </c>
      <c r="AE406" s="518" t="s">
        <v>11292</v>
      </c>
      <c r="AF406" s="519" t="s">
        <v>11293</v>
      </c>
      <c r="AG406" s="1021" t="s">
        <v>9179</v>
      </c>
      <c r="AH406" s="1022" t="s">
        <v>169</v>
      </c>
      <c r="AI406" s="494" t="s">
        <v>2917</v>
      </c>
      <c r="AJ406" s="958">
        <v>1</v>
      </c>
      <c r="AK406" s="959"/>
      <c r="AL406" s="960"/>
      <c r="AM406" s="1018">
        <f>_xll.GetCtData("COAMOUNT","CONSAMOUNT",$A$1:$A$7,$D406,AM$10,"#578818")</f>
        <v>578818</v>
      </c>
    </row>
    <row r="407" spans="1:39">
      <c r="A407" s="427" t="s">
        <v>6610</v>
      </c>
      <c r="B407" s="427" t="s">
        <v>6610</v>
      </c>
      <c r="D407" s="1009" t="s">
        <v>11299</v>
      </c>
      <c r="E407" s="949" t="s">
        <v>2912</v>
      </c>
      <c r="F407" s="950">
        <v>7</v>
      </c>
      <c r="G407" s="950"/>
      <c r="H407" s="950"/>
      <c r="I407" s="950"/>
      <c r="J407" s="950"/>
      <c r="K407" s="950"/>
      <c r="L407" s="950"/>
      <c r="M407" s="950"/>
      <c r="N407" s="1009" t="s">
        <v>11300</v>
      </c>
      <c r="O407" s="975"/>
      <c r="P407" s="975"/>
      <c r="Q407" s="410"/>
      <c r="R407" s="1009" t="s">
        <v>11300</v>
      </c>
      <c r="S407" s="410" t="s">
        <v>11301</v>
      </c>
      <c r="T407" s="976">
        <f t="shared" si="37"/>
        <v>56</v>
      </c>
      <c r="U407" s="410" t="s">
        <v>11301</v>
      </c>
      <c r="V407" s="976">
        <f t="shared" si="32"/>
        <v>56</v>
      </c>
      <c r="W407" s="410" t="s">
        <v>11302</v>
      </c>
      <c r="X407" s="976">
        <f t="shared" si="33"/>
        <v>30</v>
      </c>
      <c r="Y407" s="977" t="s">
        <v>11303</v>
      </c>
      <c r="Z407" s="976">
        <f t="shared" si="34"/>
        <v>69</v>
      </c>
      <c r="AA407" s="977" t="s">
        <v>11303</v>
      </c>
      <c r="AB407" s="976">
        <f t="shared" si="35"/>
        <v>69</v>
      </c>
      <c r="AC407" s="977" t="s">
        <v>11304</v>
      </c>
      <c r="AD407" s="976">
        <f t="shared" si="36"/>
        <v>26</v>
      </c>
      <c r="AE407" s="976"/>
      <c r="AF407" s="976"/>
      <c r="AG407" s="956"/>
      <c r="AH407" s="957"/>
      <c r="AI407" s="494" t="s">
        <v>2917</v>
      </c>
      <c r="AJ407" s="958">
        <v>1</v>
      </c>
      <c r="AK407" s="959"/>
      <c r="AL407" s="960"/>
      <c r="AM407" s="980">
        <f>_xll.GetCtData("COAMOUNT","CONSAMOUNT",$A$1:$A$7,$D407,AM$10,"#174120")</f>
        <v>174120</v>
      </c>
    </row>
    <row r="408" spans="1:39">
      <c r="A408" s="427" t="s">
        <v>6610</v>
      </c>
      <c r="B408" s="427" t="s">
        <v>6610</v>
      </c>
      <c r="D408" s="990" t="s">
        <v>1246</v>
      </c>
      <c r="E408" s="949" t="s">
        <v>2930</v>
      </c>
      <c r="F408" s="950">
        <v>10</v>
      </c>
      <c r="G408" s="950"/>
      <c r="H408" s="950"/>
      <c r="I408" s="950"/>
      <c r="J408" s="950"/>
      <c r="K408" s="950"/>
      <c r="L408" s="950"/>
      <c r="M408" s="950"/>
      <c r="N408" s="950"/>
      <c r="O408" s="950"/>
      <c r="P408" s="950"/>
      <c r="Q408" s="1025"/>
      <c r="R408" s="990" t="s">
        <v>11305</v>
      </c>
      <c r="S408" s="992" t="s">
        <v>11306</v>
      </c>
      <c r="T408" s="993">
        <f t="shared" si="37"/>
        <v>76</v>
      </c>
      <c r="U408" s="992" t="s">
        <v>11306</v>
      </c>
      <c r="V408" s="993">
        <f t="shared" si="32"/>
        <v>76</v>
      </c>
      <c r="W408" s="992" t="s">
        <v>11307</v>
      </c>
      <c r="X408" s="993">
        <f t="shared" si="33"/>
        <v>29</v>
      </c>
      <c r="Y408" s="994" t="s">
        <v>11308</v>
      </c>
      <c r="Z408" s="993">
        <f t="shared" si="34"/>
        <v>97</v>
      </c>
      <c r="AA408" s="994" t="s">
        <v>11309</v>
      </c>
      <c r="AB408" s="993">
        <f t="shared" si="35"/>
        <v>96</v>
      </c>
      <c r="AC408" s="994" t="s">
        <v>11310</v>
      </c>
      <c r="AD408" s="993">
        <f t="shared" si="36"/>
        <v>30</v>
      </c>
      <c r="AE408" s="518" t="s">
        <v>10759</v>
      </c>
      <c r="AF408" s="519" t="s">
        <v>10760</v>
      </c>
      <c r="AG408" s="1021" t="s">
        <v>9179</v>
      </c>
      <c r="AH408" s="1022" t="s">
        <v>169</v>
      </c>
      <c r="AI408" s="494" t="s">
        <v>2917</v>
      </c>
      <c r="AJ408" s="958">
        <v>1</v>
      </c>
      <c r="AK408" s="959"/>
      <c r="AL408" s="960" t="s">
        <v>5930</v>
      </c>
      <c r="AM408" s="997">
        <f>_xll.GetCtData("COAMOUNT","CONSAMOUNT",$A$1:$A$7,$D408,AM$10,"#198082")</f>
        <v>198082</v>
      </c>
    </row>
    <row r="409" spans="1:39">
      <c r="A409" s="427" t="s">
        <v>6610</v>
      </c>
      <c r="B409" s="427" t="s">
        <v>6610</v>
      </c>
      <c r="D409" s="990" t="s">
        <v>1247</v>
      </c>
      <c r="E409" s="949" t="s">
        <v>2930</v>
      </c>
      <c r="F409" s="950">
        <v>10</v>
      </c>
      <c r="G409" s="950"/>
      <c r="H409" s="950"/>
      <c r="I409" s="950"/>
      <c r="J409" s="950"/>
      <c r="K409" s="950"/>
      <c r="L409" s="950"/>
      <c r="M409" s="950"/>
      <c r="N409" s="950"/>
      <c r="O409" s="950"/>
      <c r="P409" s="950"/>
      <c r="Q409" s="1025"/>
      <c r="R409" s="990" t="s">
        <v>11311</v>
      </c>
      <c r="S409" s="992" t="s">
        <v>11312</v>
      </c>
      <c r="T409" s="993">
        <f t="shared" si="37"/>
        <v>78</v>
      </c>
      <c r="U409" s="992" t="s">
        <v>11312</v>
      </c>
      <c r="V409" s="993">
        <f t="shared" si="32"/>
        <v>78</v>
      </c>
      <c r="W409" s="992" t="s">
        <v>11313</v>
      </c>
      <c r="X409" s="993">
        <f t="shared" si="33"/>
        <v>29</v>
      </c>
      <c r="Y409" s="994" t="s">
        <v>11314</v>
      </c>
      <c r="Z409" s="993">
        <f t="shared" si="34"/>
        <v>98</v>
      </c>
      <c r="AA409" s="994" t="s">
        <v>11315</v>
      </c>
      <c r="AB409" s="993">
        <f t="shared" si="35"/>
        <v>97</v>
      </c>
      <c r="AC409" s="994" t="s">
        <v>11316</v>
      </c>
      <c r="AD409" s="993">
        <f t="shared" si="36"/>
        <v>30</v>
      </c>
      <c r="AE409" s="518" t="s">
        <v>10759</v>
      </c>
      <c r="AF409" s="519" t="s">
        <v>10760</v>
      </c>
      <c r="AG409" s="1021" t="s">
        <v>9179</v>
      </c>
      <c r="AH409" s="1022" t="s">
        <v>169</v>
      </c>
      <c r="AI409" s="494" t="s">
        <v>2917</v>
      </c>
      <c r="AJ409" s="958">
        <v>1</v>
      </c>
      <c r="AK409" s="959"/>
      <c r="AL409" s="960" t="s">
        <v>5930</v>
      </c>
      <c r="AM409" s="997">
        <f>_xll.GetCtData("COAMOUNT","CONSAMOUNT",$A$1:$A$7,$D409,AM$10,"#-23962")</f>
        <v>-23962</v>
      </c>
    </row>
    <row r="410" spans="1:39">
      <c r="A410" s="427" t="s">
        <v>6610</v>
      </c>
      <c r="B410" s="427" t="s">
        <v>6610</v>
      </c>
      <c r="D410" s="1009" t="s">
        <v>11317</v>
      </c>
      <c r="E410" s="949" t="s">
        <v>2912</v>
      </c>
      <c r="F410" s="950">
        <v>7</v>
      </c>
      <c r="G410" s="950"/>
      <c r="H410" s="950"/>
      <c r="I410" s="950"/>
      <c r="J410" s="950"/>
      <c r="K410" s="950"/>
      <c r="L410" s="950"/>
      <c r="M410" s="950"/>
      <c r="N410" s="1009" t="s">
        <v>11318</v>
      </c>
      <c r="O410" s="975"/>
      <c r="P410" s="975"/>
      <c r="Q410" s="410"/>
      <c r="R410" s="1009" t="s">
        <v>11318</v>
      </c>
      <c r="S410" s="410" t="s">
        <v>11319</v>
      </c>
      <c r="T410" s="976">
        <f t="shared" si="37"/>
        <v>67</v>
      </c>
      <c r="U410" s="410" t="s">
        <v>11319</v>
      </c>
      <c r="V410" s="976">
        <f t="shared" si="32"/>
        <v>67</v>
      </c>
      <c r="W410" s="410" t="s">
        <v>11320</v>
      </c>
      <c r="X410" s="976">
        <f t="shared" si="33"/>
        <v>30</v>
      </c>
      <c r="Y410" s="977" t="s">
        <v>11321</v>
      </c>
      <c r="Z410" s="976">
        <f t="shared" si="34"/>
        <v>76</v>
      </c>
      <c r="AA410" s="977" t="s">
        <v>11321</v>
      </c>
      <c r="AB410" s="976">
        <f t="shared" si="35"/>
        <v>76</v>
      </c>
      <c r="AC410" s="977" t="s">
        <v>11322</v>
      </c>
      <c r="AD410" s="976">
        <f t="shared" si="36"/>
        <v>29</v>
      </c>
      <c r="AE410" s="976"/>
      <c r="AF410" s="976"/>
      <c r="AG410" s="956"/>
      <c r="AH410" s="957"/>
      <c r="AI410" s="494" t="s">
        <v>2917</v>
      </c>
      <c r="AJ410" s="958">
        <v>1</v>
      </c>
      <c r="AK410" s="959"/>
      <c r="AL410" s="960"/>
      <c r="AM410" s="980">
        <f>_xll.GetCtData("COAMOUNT","CONSAMOUNT",$A$1:$A$7,$D410,AM$10,"#248862")</f>
        <v>248862</v>
      </c>
    </row>
    <row r="411" spans="1:39">
      <c r="A411" s="427" t="s">
        <v>6610</v>
      </c>
      <c r="B411" s="427" t="s">
        <v>6610</v>
      </c>
      <c r="D411" s="990" t="s">
        <v>1248</v>
      </c>
      <c r="E411" s="949" t="s">
        <v>2930</v>
      </c>
      <c r="F411" s="950">
        <v>10</v>
      </c>
      <c r="G411" s="950"/>
      <c r="H411" s="950"/>
      <c r="I411" s="950"/>
      <c r="J411" s="950"/>
      <c r="K411" s="950"/>
      <c r="L411" s="950"/>
      <c r="M411" s="950"/>
      <c r="N411" s="950"/>
      <c r="O411" s="950"/>
      <c r="P411" s="950"/>
      <c r="Q411" s="1038"/>
      <c r="R411" s="990" t="s">
        <v>11323</v>
      </c>
      <c r="S411" s="1014" t="s">
        <v>11324</v>
      </c>
      <c r="T411" s="1015">
        <f t="shared" si="37"/>
        <v>87</v>
      </c>
      <c r="U411" s="1014" t="s">
        <v>11324</v>
      </c>
      <c r="V411" s="1015">
        <f t="shared" si="32"/>
        <v>87</v>
      </c>
      <c r="W411" s="1014" t="s">
        <v>11325</v>
      </c>
      <c r="X411" s="1015">
        <f t="shared" si="33"/>
        <v>30</v>
      </c>
      <c r="Y411" s="1016" t="s">
        <v>11326</v>
      </c>
      <c r="Z411" s="1015">
        <f t="shared" si="34"/>
        <v>104</v>
      </c>
      <c r="AA411" s="1016" t="s">
        <v>11327</v>
      </c>
      <c r="AB411" s="1015">
        <f t="shared" si="35"/>
        <v>103</v>
      </c>
      <c r="AC411" s="1016" t="s">
        <v>11328</v>
      </c>
      <c r="AD411" s="1015">
        <f t="shared" si="36"/>
        <v>30</v>
      </c>
      <c r="AE411" s="518" t="s">
        <v>10787</v>
      </c>
      <c r="AF411" s="519" t="s">
        <v>10788</v>
      </c>
      <c r="AG411" s="1021" t="s">
        <v>9179</v>
      </c>
      <c r="AH411" s="1022" t="s">
        <v>169</v>
      </c>
      <c r="AI411" s="494" t="s">
        <v>2917</v>
      </c>
      <c r="AJ411" s="958">
        <v>1</v>
      </c>
      <c r="AK411" s="959"/>
      <c r="AL411" s="960" t="s">
        <v>5930</v>
      </c>
      <c r="AM411" s="1018">
        <f>_xll.GetCtData("COAMOUNT","CONSAMOUNT",$A$1:$A$7,$D411,AM$10,"#-35273")</f>
        <v>-35273</v>
      </c>
    </row>
    <row r="412" spans="1:39">
      <c r="A412" s="427" t="s">
        <v>6610</v>
      </c>
      <c r="B412" s="427" t="s">
        <v>6610</v>
      </c>
      <c r="D412" s="990" t="s">
        <v>1249</v>
      </c>
      <c r="E412" s="949" t="s">
        <v>2930</v>
      </c>
      <c r="F412" s="950">
        <v>10</v>
      </c>
      <c r="G412" s="950"/>
      <c r="H412" s="950"/>
      <c r="I412" s="950"/>
      <c r="J412" s="950"/>
      <c r="K412" s="950"/>
      <c r="L412" s="950"/>
      <c r="M412" s="950"/>
      <c r="N412" s="950"/>
      <c r="O412" s="950"/>
      <c r="P412" s="950"/>
      <c r="Q412" s="1038"/>
      <c r="R412" s="990" t="s">
        <v>11329</v>
      </c>
      <c r="S412" s="1014" t="s">
        <v>11330</v>
      </c>
      <c r="T412" s="1015">
        <f t="shared" si="37"/>
        <v>89</v>
      </c>
      <c r="U412" s="1014" t="s">
        <v>11330</v>
      </c>
      <c r="V412" s="1015">
        <f t="shared" si="32"/>
        <v>89</v>
      </c>
      <c r="W412" s="1014" t="s">
        <v>11331</v>
      </c>
      <c r="X412" s="1015">
        <f t="shared" si="33"/>
        <v>30</v>
      </c>
      <c r="Y412" s="1016" t="s">
        <v>11332</v>
      </c>
      <c r="Z412" s="1015">
        <f t="shared" si="34"/>
        <v>105</v>
      </c>
      <c r="AA412" s="1016" t="s">
        <v>11333</v>
      </c>
      <c r="AB412" s="1015">
        <f t="shared" si="35"/>
        <v>104</v>
      </c>
      <c r="AC412" s="1016" t="s">
        <v>11334</v>
      </c>
      <c r="AD412" s="1015">
        <f t="shared" si="36"/>
        <v>30</v>
      </c>
      <c r="AE412" s="518" t="s">
        <v>10787</v>
      </c>
      <c r="AF412" s="519" t="s">
        <v>10788</v>
      </c>
      <c r="AG412" s="1021" t="s">
        <v>9179</v>
      </c>
      <c r="AH412" s="1022" t="s">
        <v>169</v>
      </c>
      <c r="AI412" s="494" t="s">
        <v>2917</v>
      </c>
      <c r="AJ412" s="958">
        <v>1</v>
      </c>
      <c r="AK412" s="959"/>
      <c r="AL412" s="960" t="s">
        <v>5930</v>
      </c>
      <c r="AM412" s="1018">
        <f>_xll.GetCtData("COAMOUNT","CONSAMOUNT",$A$1:$A$7,$D412,AM$10,"#284135")</f>
        <v>284135</v>
      </c>
    </row>
    <row r="413" spans="1:39" ht="25.5">
      <c r="A413" s="427" t="s">
        <v>6610</v>
      </c>
      <c r="B413" s="427" t="s">
        <v>6610</v>
      </c>
      <c r="D413" s="1033" t="s">
        <v>11335</v>
      </c>
      <c r="E413" s="949" t="s">
        <v>2912</v>
      </c>
      <c r="F413" s="950">
        <v>6</v>
      </c>
      <c r="G413" s="950"/>
      <c r="H413" s="950"/>
      <c r="I413" s="950"/>
      <c r="J413" s="950"/>
      <c r="K413" s="950"/>
      <c r="L413" s="950"/>
      <c r="M413" s="1033" t="s">
        <v>11336</v>
      </c>
      <c r="N413" s="970"/>
      <c r="O413" s="970"/>
      <c r="P413" s="970"/>
      <c r="Q413" s="970"/>
      <c r="R413" s="1033" t="s">
        <v>11336</v>
      </c>
      <c r="S413" s="1033" t="s">
        <v>11337</v>
      </c>
      <c r="T413" s="1034">
        <f t="shared" si="37"/>
        <v>110</v>
      </c>
      <c r="U413" s="1033" t="s">
        <v>11337</v>
      </c>
      <c r="V413" s="1034">
        <f t="shared" si="32"/>
        <v>110</v>
      </c>
      <c r="W413" s="1033" t="s">
        <v>11338</v>
      </c>
      <c r="X413" s="1034">
        <f t="shared" si="33"/>
        <v>30</v>
      </c>
      <c r="Y413" s="1035" t="s">
        <v>11339</v>
      </c>
      <c r="Z413" s="1034">
        <f t="shared" si="34"/>
        <v>115</v>
      </c>
      <c r="AA413" s="1035" t="s">
        <v>11339</v>
      </c>
      <c r="AB413" s="1034">
        <f t="shared" si="35"/>
        <v>115</v>
      </c>
      <c r="AC413" s="1035" t="s">
        <v>11340</v>
      </c>
      <c r="AD413" s="1034">
        <f t="shared" si="36"/>
        <v>30</v>
      </c>
      <c r="AE413" s="1034"/>
      <c r="AF413" s="1034"/>
      <c r="AG413" s="967"/>
      <c r="AH413" s="968"/>
      <c r="AI413" s="494" t="s">
        <v>2917</v>
      </c>
      <c r="AJ413" s="958">
        <v>1</v>
      </c>
      <c r="AK413" s="959"/>
      <c r="AL413" s="960"/>
      <c r="AM413" s="1036">
        <f>_xll.GetCtData("COAMOUNT","CONSAMOUNT",$A$1:$A$7,$D413,AM$10,"#")</f>
        <v>0</v>
      </c>
    </row>
    <row r="414" spans="1:39">
      <c r="A414" s="427" t="s">
        <v>6610</v>
      </c>
      <c r="B414" s="427" t="s">
        <v>6610</v>
      </c>
      <c r="D414" s="990" t="s">
        <v>11341</v>
      </c>
      <c r="E414" s="949" t="s">
        <v>2930</v>
      </c>
      <c r="F414" s="950">
        <v>10</v>
      </c>
      <c r="G414" s="950"/>
      <c r="H414" s="950"/>
      <c r="I414" s="950"/>
      <c r="J414" s="950"/>
      <c r="K414" s="950"/>
      <c r="L414" s="950"/>
      <c r="M414" s="950"/>
      <c r="N414" s="950"/>
      <c r="O414" s="950"/>
      <c r="P414" s="950"/>
      <c r="Q414" s="1038"/>
      <c r="R414" s="990" t="s">
        <v>11342</v>
      </c>
      <c r="S414" s="1014" t="s">
        <v>11343</v>
      </c>
      <c r="T414" s="1015">
        <f t="shared" si="37"/>
        <v>96</v>
      </c>
      <c r="U414" s="1014" t="s">
        <v>11343</v>
      </c>
      <c r="V414" s="1015">
        <f t="shared" si="32"/>
        <v>96</v>
      </c>
      <c r="W414" s="1014" t="s">
        <v>11344</v>
      </c>
      <c r="X414" s="1015">
        <f t="shared" si="33"/>
        <v>30</v>
      </c>
      <c r="Y414" s="1016" t="s">
        <v>11345</v>
      </c>
      <c r="Z414" s="1015">
        <f t="shared" si="34"/>
        <v>104</v>
      </c>
      <c r="AA414" s="1016" t="s">
        <v>11345</v>
      </c>
      <c r="AB414" s="1015">
        <f t="shared" si="35"/>
        <v>104</v>
      </c>
      <c r="AC414" s="1016" t="s">
        <v>11346</v>
      </c>
      <c r="AD414" s="1015">
        <f t="shared" si="36"/>
        <v>30</v>
      </c>
      <c r="AE414" s="518" t="s">
        <v>11347</v>
      </c>
      <c r="AF414" s="519" t="s">
        <v>11348</v>
      </c>
      <c r="AG414" s="1021" t="s">
        <v>9179</v>
      </c>
      <c r="AH414" s="1022" t="s">
        <v>169</v>
      </c>
      <c r="AI414" s="494" t="s">
        <v>2917</v>
      </c>
      <c r="AJ414" s="958">
        <v>1</v>
      </c>
      <c r="AK414" s="959"/>
      <c r="AL414" s="960"/>
      <c r="AM414" s="1018">
        <f>_xll.GetCtData("COAMOUNT","CONSAMOUNT",$A$1:$A$7,$D414,AM$10,"#")</f>
        <v>0</v>
      </c>
    </row>
    <row r="415" spans="1:39">
      <c r="A415" s="427" t="s">
        <v>6610</v>
      </c>
      <c r="B415" s="427" t="s">
        <v>6610</v>
      </c>
      <c r="D415" s="990" t="s">
        <v>11349</v>
      </c>
      <c r="E415" s="949" t="s">
        <v>2930</v>
      </c>
      <c r="F415" s="950">
        <v>10</v>
      </c>
      <c r="G415" s="950"/>
      <c r="H415" s="950"/>
      <c r="I415" s="950"/>
      <c r="J415" s="950"/>
      <c r="K415" s="950"/>
      <c r="L415" s="950"/>
      <c r="M415" s="950"/>
      <c r="N415" s="950"/>
      <c r="O415" s="950"/>
      <c r="P415" s="950"/>
      <c r="Q415" s="1038"/>
      <c r="R415" s="990" t="s">
        <v>11350</v>
      </c>
      <c r="S415" s="1014" t="s">
        <v>11351</v>
      </c>
      <c r="T415" s="1015">
        <f t="shared" si="37"/>
        <v>98</v>
      </c>
      <c r="U415" s="1014" t="s">
        <v>11351</v>
      </c>
      <c r="V415" s="1015">
        <f t="shared" si="32"/>
        <v>98</v>
      </c>
      <c r="W415" s="1014" t="s">
        <v>11352</v>
      </c>
      <c r="X415" s="1015">
        <f t="shared" si="33"/>
        <v>30</v>
      </c>
      <c r="Y415" s="1016" t="s">
        <v>11353</v>
      </c>
      <c r="Z415" s="1015">
        <f t="shared" si="34"/>
        <v>105</v>
      </c>
      <c r="AA415" s="1016" t="s">
        <v>11354</v>
      </c>
      <c r="AB415" s="1015">
        <f t="shared" si="35"/>
        <v>104</v>
      </c>
      <c r="AC415" s="1016" t="s">
        <v>11355</v>
      </c>
      <c r="AD415" s="1015">
        <f t="shared" si="36"/>
        <v>30</v>
      </c>
      <c r="AE415" s="518" t="s">
        <v>11347</v>
      </c>
      <c r="AF415" s="519" t="s">
        <v>11348</v>
      </c>
      <c r="AG415" s="1021" t="s">
        <v>9179</v>
      </c>
      <c r="AH415" s="1022" t="s">
        <v>169</v>
      </c>
      <c r="AI415" s="494" t="s">
        <v>2917</v>
      </c>
      <c r="AJ415" s="958">
        <v>1</v>
      </c>
      <c r="AK415" s="959"/>
      <c r="AL415" s="960" t="s">
        <v>5930</v>
      </c>
      <c r="AM415" s="1018">
        <f>_xll.GetCtData("COAMOUNT","CONSAMOUNT",$A$1:$A$7,$D415,AM$10,"#")</f>
        <v>0</v>
      </c>
    </row>
    <row r="416" spans="1:39" ht="25.5">
      <c r="A416" s="427" t="s">
        <v>6610</v>
      </c>
      <c r="B416" s="427" t="s">
        <v>6610</v>
      </c>
      <c r="D416" s="1033" t="s">
        <v>11356</v>
      </c>
      <c r="E416" s="949" t="s">
        <v>2912</v>
      </c>
      <c r="F416" s="950">
        <v>6</v>
      </c>
      <c r="G416" s="950"/>
      <c r="H416" s="950"/>
      <c r="I416" s="950"/>
      <c r="J416" s="950"/>
      <c r="K416" s="950"/>
      <c r="L416" s="950"/>
      <c r="M416" s="1033" t="s">
        <v>11357</v>
      </c>
      <c r="N416" s="970"/>
      <c r="O416" s="970"/>
      <c r="P416" s="970"/>
      <c r="Q416" s="970"/>
      <c r="R416" s="1033" t="s">
        <v>11357</v>
      </c>
      <c r="S416" s="1033" t="s">
        <v>11358</v>
      </c>
      <c r="T416" s="1034">
        <f t="shared" si="37"/>
        <v>111</v>
      </c>
      <c r="U416" s="1033" t="s">
        <v>11358</v>
      </c>
      <c r="V416" s="1034">
        <f t="shared" si="32"/>
        <v>111</v>
      </c>
      <c r="W416" s="1033" t="s">
        <v>11359</v>
      </c>
      <c r="X416" s="1034">
        <f t="shared" si="33"/>
        <v>29</v>
      </c>
      <c r="Y416" s="1035" t="s">
        <v>11360</v>
      </c>
      <c r="Z416" s="1034">
        <f t="shared" si="34"/>
        <v>119</v>
      </c>
      <c r="AA416" s="1035" t="s">
        <v>11360</v>
      </c>
      <c r="AB416" s="1034">
        <f t="shared" si="35"/>
        <v>119</v>
      </c>
      <c r="AC416" s="1035" t="s">
        <v>11361</v>
      </c>
      <c r="AD416" s="1034">
        <f t="shared" si="36"/>
        <v>30</v>
      </c>
      <c r="AE416" s="1034"/>
      <c r="AF416" s="1034"/>
      <c r="AG416" s="956"/>
      <c r="AH416" s="957"/>
      <c r="AI416" s="494" t="s">
        <v>2917</v>
      </c>
      <c r="AJ416" s="958">
        <v>1</v>
      </c>
      <c r="AK416" s="959"/>
      <c r="AL416" s="960"/>
      <c r="AM416" s="1036">
        <f>_xll.GetCtData("COAMOUNT","CONSAMOUNT",$A$1:$A$7,$D416,AM$10,"#")</f>
        <v>0</v>
      </c>
    </row>
    <row r="417" spans="1:39">
      <c r="A417" s="427" t="s">
        <v>6610</v>
      </c>
      <c r="B417" s="427" t="s">
        <v>6610</v>
      </c>
      <c r="D417" s="427" t="s">
        <v>11362</v>
      </c>
      <c r="E417" s="949" t="s">
        <v>2930</v>
      </c>
      <c r="F417" s="950">
        <v>10</v>
      </c>
      <c r="G417" s="950"/>
      <c r="H417" s="950"/>
      <c r="I417" s="950"/>
      <c r="J417" s="950"/>
      <c r="K417" s="950"/>
      <c r="L417" s="950"/>
      <c r="M417" s="950"/>
      <c r="N417" s="950"/>
      <c r="O417" s="950"/>
      <c r="P417" s="950"/>
      <c r="Q417" s="1038"/>
      <c r="R417" s="427" t="s">
        <v>11363</v>
      </c>
      <c r="S417" s="1014" t="s">
        <v>11364</v>
      </c>
      <c r="T417" s="1015">
        <f t="shared" si="37"/>
        <v>95</v>
      </c>
      <c r="U417" s="1014" t="s">
        <v>11364</v>
      </c>
      <c r="V417" s="1015">
        <f t="shared" si="32"/>
        <v>95</v>
      </c>
      <c r="W417" s="1014" t="s">
        <v>11365</v>
      </c>
      <c r="X417" s="1015">
        <f t="shared" si="33"/>
        <v>30</v>
      </c>
      <c r="Y417" s="1016" t="s">
        <v>11366</v>
      </c>
      <c r="Z417" s="1015">
        <f t="shared" si="34"/>
        <v>113</v>
      </c>
      <c r="AA417" s="1016" t="s">
        <v>11366</v>
      </c>
      <c r="AB417" s="1015">
        <f t="shared" si="35"/>
        <v>113</v>
      </c>
      <c r="AC417" s="1016" t="s">
        <v>11367</v>
      </c>
      <c r="AD417" s="1015">
        <f t="shared" si="36"/>
        <v>30</v>
      </c>
      <c r="AE417" s="518" t="s">
        <v>11368</v>
      </c>
      <c r="AF417" s="519" t="s">
        <v>11369</v>
      </c>
      <c r="AG417" s="1021" t="s">
        <v>9179</v>
      </c>
      <c r="AH417" s="1022" t="s">
        <v>169</v>
      </c>
      <c r="AI417" s="494" t="s">
        <v>2917</v>
      </c>
      <c r="AJ417" s="958">
        <v>1</v>
      </c>
      <c r="AK417" s="959"/>
      <c r="AL417" s="960"/>
      <c r="AM417" s="1018">
        <f>_xll.GetCtData("COAMOUNT","CONSAMOUNT",$A$1:$A$7,$D417,AM$10,"#")</f>
        <v>0</v>
      </c>
    </row>
    <row r="418" spans="1:39">
      <c r="A418" s="427" t="s">
        <v>6610</v>
      </c>
      <c r="B418" s="427" t="s">
        <v>6610</v>
      </c>
      <c r="D418" s="427" t="s">
        <v>11370</v>
      </c>
      <c r="E418" s="949" t="s">
        <v>2930</v>
      </c>
      <c r="F418" s="950">
        <v>10</v>
      </c>
      <c r="G418" s="950"/>
      <c r="H418" s="950"/>
      <c r="I418" s="950"/>
      <c r="J418" s="950"/>
      <c r="K418" s="950"/>
      <c r="L418" s="950"/>
      <c r="M418" s="950"/>
      <c r="N418" s="950"/>
      <c r="O418" s="950"/>
      <c r="P418" s="950"/>
      <c r="Q418" s="1038"/>
      <c r="R418" s="427" t="s">
        <v>11371</v>
      </c>
      <c r="S418" s="1014" t="s">
        <v>11372</v>
      </c>
      <c r="T418" s="1015">
        <f t="shared" si="37"/>
        <v>97</v>
      </c>
      <c r="U418" s="1014" t="s">
        <v>11372</v>
      </c>
      <c r="V418" s="1015">
        <f t="shared" si="32"/>
        <v>97</v>
      </c>
      <c r="W418" s="1014" t="s">
        <v>11373</v>
      </c>
      <c r="X418" s="1015">
        <f t="shared" si="33"/>
        <v>30</v>
      </c>
      <c r="Y418" s="1016" t="s">
        <v>11374</v>
      </c>
      <c r="Z418" s="1015">
        <f t="shared" si="34"/>
        <v>113</v>
      </c>
      <c r="AA418" s="1016" t="s">
        <v>11374</v>
      </c>
      <c r="AB418" s="1015">
        <f t="shared" si="35"/>
        <v>113</v>
      </c>
      <c r="AC418" s="1016" t="s">
        <v>11375</v>
      </c>
      <c r="AD418" s="1015">
        <f t="shared" si="36"/>
        <v>30</v>
      </c>
      <c r="AE418" s="518" t="s">
        <v>11368</v>
      </c>
      <c r="AF418" s="519" t="s">
        <v>11369</v>
      </c>
      <c r="AG418" s="1021" t="s">
        <v>9179</v>
      </c>
      <c r="AH418" s="1022" t="s">
        <v>169</v>
      </c>
      <c r="AI418" s="494" t="s">
        <v>2917</v>
      </c>
      <c r="AJ418" s="958">
        <v>1</v>
      </c>
      <c r="AK418" s="959"/>
      <c r="AL418" s="960"/>
      <c r="AM418" s="1018">
        <f>_xll.GetCtData("COAMOUNT","CONSAMOUNT",$A$1:$A$7,$D418,AM$10,"#")</f>
        <v>0</v>
      </c>
    </row>
    <row r="419" spans="1:39">
      <c r="A419" s="427" t="s">
        <v>6610</v>
      </c>
      <c r="B419" s="427" t="s">
        <v>6610</v>
      </c>
      <c r="D419" s="1039" t="s">
        <v>11376</v>
      </c>
      <c r="E419" s="949" t="s">
        <v>2912</v>
      </c>
      <c r="F419" s="950">
        <v>6</v>
      </c>
      <c r="G419" s="950"/>
      <c r="H419" s="950"/>
      <c r="I419" s="950"/>
      <c r="J419" s="950"/>
      <c r="K419" s="950"/>
      <c r="L419" s="950"/>
      <c r="M419" s="1039" t="s">
        <v>11377</v>
      </c>
      <c r="N419" s="970"/>
      <c r="O419" s="970"/>
      <c r="P419" s="970"/>
      <c r="Q419" s="970"/>
      <c r="R419" s="1039" t="s">
        <v>11377</v>
      </c>
      <c r="S419" s="1033" t="s">
        <v>27</v>
      </c>
      <c r="T419" s="1034">
        <f t="shared" si="37"/>
        <v>31</v>
      </c>
      <c r="U419" s="1033" t="s">
        <v>27</v>
      </c>
      <c r="V419" s="1034">
        <f t="shared" si="32"/>
        <v>31</v>
      </c>
      <c r="W419" s="1033" t="s">
        <v>11378</v>
      </c>
      <c r="X419" s="1034">
        <f t="shared" si="33"/>
        <v>24</v>
      </c>
      <c r="Y419" s="1035" t="s">
        <v>11379</v>
      </c>
      <c r="Z419" s="1034">
        <f t="shared" si="34"/>
        <v>50</v>
      </c>
      <c r="AA419" s="1035" t="s">
        <v>11380</v>
      </c>
      <c r="AB419" s="1034">
        <f t="shared" si="35"/>
        <v>49</v>
      </c>
      <c r="AC419" s="1035" t="s">
        <v>11381</v>
      </c>
      <c r="AD419" s="1034">
        <f t="shared" si="36"/>
        <v>25</v>
      </c>
      <c r="AE419" s="1034"/>
      <c r="AF419" s="1034"/>
      <c r="AG419" s="1021"/>
      <c r="AH419" s="1022"/>
      <c r="AI419" s="530" t="s">
        <v>2969</v>
      </c>
      <c r="AJ419" s="958">
        <v>1</v>
      </c>
      <c r="AK419" s="959"/>
      <c r="AL419" s="960" t="s">
        <v>5930</v>
      </c>
      <c r="AM419" s="1036">
        <f>_xll.GetCtData("COAMOUNT","CONSAMOUNT",$A$1:$A$7,$D419,AM$10,"#-13517055,1898154")</f>
        <v>-13517055</v>
      </c>
    </row>
    <row r="420" spans="1:39">
      <c r="A420" s="427">
        <v>3</v>
      </c>
      <c r="B420" s="427" t="s">
        <v>9153</v>
      </c>
      <c r="D420" s="410" t="s">
        <v>11382</v>
      </c>
      <c r="E420" s="949" t="s">
        <v>2912</v>
      </c>
      <c r="F420" s="950">
        <v>7</v>
      </c>
      <c r="G420" s="950"/>
      <c r="H420" s="950"/>
      <c r="I420" s="950"/>
      <c r="J420" s="950"/>
      <c r="K420" s="950"/>
      <c r="L420" s="950"/>
      <c r="M420" s="950"/>
      <c r="N420" s="410" t="s">
        <v>11383</v>
      </c>
      <c r="O420" s="975"/>
      <c r="P420" s="975"/>
      <c r="Q420" s="410"/>
      <c r="R420" s="410" t="s">
        <v>11383</v>
      </c>
      <c r="S420" s="410" t="s">
        <v>11384</v>
      </c>
      <c r="T420" s="976">
        <f t="shared" si="37"/>
        <v>44</v>
      </c>
      <c r="U420" s="410" t="s">
        <v>11384</v>
      </c>
      <c r="V420" s="976">
        <f t="shared" si="32"/>
        <v>44</v>
      </c>
      <c r="W420" s="410" t="s">
        <v>11385</v>
      </c>
      <c r="X420" s="976">
        <f t="shared" si="33"/>
        <v>28</v>
      </c>
      <c r="Y420" s="977" t="s">
        <v>11386</v>
      </c>
      <c r="Z420" s="976">
        <f t="shared" si="34"/>
        <v>55</v>
      </c>
      <c r="AA420" s="977" t="s">
        <v>11386</v>
      </c>
      <c r="AB420" s="976">
        <f t="shared" si="35"/>
        <v>55</v>
      </c>
      <c r="AC420" s="977" t="s">
        <v>11387</v>
      </c>
      <c r="AD420" s="976">
        <f t="shared" si="36"/>
        <v>30</v>
      </c>
      <c r="AE420" s="976"/>
      <c r="AF420" s="976"/>
      <c r="AG420" s="956"/>
      <c r="AH420" s="957"/>
      <c r="AI420" s="530" t="s">
        <v>2969</v>
      </c>
      <c r="AJ420" s="958">
        <v>1</v>
      </c>
      <c r="AK420" s="959"/>
      <c r="AL420" s="960" t="s">
        <v>5930</v>
      </c>
      <c r="AM420" s="980">
        <f>_xll.GetCtData("COAMOUNT","CONSAMOUNT",$A$1:$A$7,$D420,AM$10,"#-322479,165668906")</f>
        <v>-322479</v>
      </c>
    </row>
    <row r="421" spans="1:39">
      <c r="A421" s="427">
        <v>3</v>
      </c>
      <c r="B421" s="427" t="s">
        <v>9153</v>
      </c>
      <c r="D421" s="981" t="s">
        <v>11388</v>
      </c>
      <c r="E421" s="949" t="s">
        <v>2912</v>
      </c>
      <c r="F421" s="950">
        <v>8</v>
      </c>
      <c r="G421" s="950"/>
      <c r="H421" s="950"/>
      <c r="I421" s="950"/>
      <c r="J421" s="950"/>
      <c r="K421" s="950"/>
      <c r="L421" s="950"/>
      <c r="M421" s="950"/>
      <c r="N421" s="950"/>
      <c r="O421" s="981" t="s">
        <v>11389</v>
      </c>
      <c r="P421" s="982"/>
      <c r="Q421" s="981"/>
      <c r="R421" s="981" t="s">
        <v>11389</v>
      </c>
      <c r="S421" s="981" t="s">
        <v>11384</v>
      </c>
      <c r="T421" s="1002">
        <f t="shared" si="37"/>
        <v>44</v>
      </c>
      <c r="U421" s="981" t="s">
        <v>11384</v>
      </c>
      <c r="V421" s="1002">
        <f t="shared" si="32"/>
        <v>44</v>
      </c>
      <c r="W421" s="981" t="s">
        <v>11390</v>
      </c>
      <c r="X421" s="1002">
        <f t="shared" si="33"/>
        <v>29</v>
      </c>
      <c r="Y421" s="1003" t="s">
        <v>11386</v>
      </c>
      <c r="Z421" s="1002">
        <f t="shared" si="34"/>
        <v>55</v>
      </c>
      <c r="AA421" s="1003" t="s">
        <v>11386</v>
      </c>
      <c r="AB421" s="1002">
        <f t="shared" si="35"/>
        <v>55</v>
      </c>
      <c r="AC421" s="1003" t="s">
        <v>11387</v>
      </c>
      <c r="AD421" s="1002">
        <f t="shared" si="36"/>
        <v>30</v>
      </c>
      <c r="AE421" s="1002"/>
      <c r="AF421" s="1002"/>
      <c r="AG421" s="1021"/>
      <c r="AH421" s="1022"/>
      <c r="AI421" s="530" t="s">
        <v>2969</v>
      </c>
      <c r="AJ421" s="958">
        <v>1</v>
      </c>
      <c r="AK421" s="959"/>
      <c r="AL421" s="960" t="s">
        <v>5930</v>
      </c>
      <c r="AM421" s="985">
        <f>_xll.GetCtData("COAMOUNT","CONSAMOUNT",$A$1:$A$7,$D421,AM$10,"#-322479,165668906")</f>
        <v>-322479</v>
      </c>
    </row>
    <row r="422" spans="1:39">
      <c r="A422" s="427" t="s">
        <v>6610</v>
      </c>
      <c r="B422" s="427" t="s">
        <v>6610</v>
      </c>
      <c r="D422" s="992" t="s">
        <v>11391</v>
      </c>
      <c r="E422" s="949" t="s">
        <v>2930</v>
      </c>
      <c r="F422" s="950">
        <v>10</v>
      </c>
      <c r="G422" s="950"/>
      <c r="H422" s="950"/>
      <c r="I422" s="950"/>
      <c r="J422" s="950"/>
      <c r="K422" s="950"/>
      <c r="L422" s="950"/>
      <c r="M422" s="950"/>
      <c r="N422" s="950"/>
      <c r="O422" s="950"/>
      <c r="P422" s="950"/>
      <c r="Q422" s="1038"/>
      <c r="R422" s="992" t="s">
        <v>11392</v>
      </c>
      <c r="S422" s="1014" t="s">
        <v>11393</v>
      </c>
      <c r="T422" s="1015">
        <f t="shared" si="37"/>
        <v>91</v>
      </c>
      <c r="U422" s="1040" t="s">
        <v>11394</v>
      </c>
      <c r="V422" s="1015">
        <f t="shared" si="32"/>
        <v>72</v>
      </c>
      <c r="W422" s="1014" t="s">
        <v>11395</v>
      </c>
      <c r="X422" s="1015">
        <f t="shared" si="33"/>
        <v>29</v>
      </c>
      <c r="Y422" s="1016" t="s">
        <v>11396</v>
      </c>
      <c r="Z422" s="1015">
        <f t="shared" si="34"/>
        <v>81</v>
      </c>
      <c r="AA422" s="1016" t="s">
        <v>11396</v>
      </c>
      <c r="AB422" s="1015">
        <f t="shared" si="35"/>
        <v>81</v>
      </c>
      <c r="AC422" s="1016" t="s">
        <v>11397</v>
      </c>
      <c r="AD422" s="1015">
        <f t="shared" si="36"/>
        <v>25</v>
      </c>
      <c r="AE422" s="518" t="s">
        <v>11398</v>
      </c>
      <c r="AF422" s="519" t="s">
        <v>11399</v>
      </c>
      <c r="AG422" s="1021" t="s">
        <v>9179</v>
      </c>
      <c r="AH422" s="1022" t="s">
        <v>169</v>
      </c>
      <c r="AI422" s="530" t="s">
        <v>2969</v>
      </c>
      <c r="AJ422" s="958">
        <v>1</v>
      </c>
      <c r="AK422" s="959" t="s">
        <v>5359</v>
      </c>
      <c r="AL422" s="960" t="s">
        <v>6840</v>
      </c>
      <c r="AM422" s="1018">
        <f>_xll.GetCtData("COAMOUNT","CONSAMOUNT",$A$1:$A$7,$D422,AM$10,"#-413790,643405519")</f>
        <v>-413790</v>
      </c>
    </row>
    <row r="423" spans="1:39">
      <c r="A423" s="427" t="s">
        <v>6610</v>
      </c>
      <c r="B423" s="427" t="s">
        <v>6610</v>
      </c>
      <c r="D423" s="992" t="s">
        <v>11400</v>
      </c>
      <c r="E423" s="949" t="s">
        <v>2930</v>
      </c>
      <c r="F423" s="950">
        <v>10</v>
      </c>
      <c r="G423" s="950"/>
      <c r="H423" s="950"/>
      <c r="I423" s="950"/>
      <c r="J423" s="950"/>
      <c r="K423" s="950"/>
      <c r="L423" s="950"/>
      <c r="M423" s="950"/>
      <c r="N423" s="950"/>
      <c r="O423" s="950"/>
      <c r="P423" s="950"/>
      <c r="Q423" s="1038"/>
      <c r="R423" s="992" t="s">
        <v>11401</v>
      </c>
      <c r="S423" s="1014" t="s">
        <v>11402</v>
      </c>
      <c r="T423" s="1015">
        <f t="shared" si="37"/>
        <v>113</v>
      </c>
      <c r="U423" s="1040" t="s">
        <v>11403</v>
      </c>
      <c r="V423" s="1015">
        <f t="shared" si="32"/>
        <v>94</v>
      </c>
      <c r="W423" s="1014" t="s">
        <v>11404</v>
      </c>
      <c r="X423" s="1015">
        <f t="shared" si="33"/>
        <v>29</v>
      </c>
      <c r="Y423" s="1016" t="s">
        <v>11405</v>
      </c>
      <c r="Z423" s="1015">
        <f t="shared" si="34"/>
        <v>98</v>
      </c>
      <c r="AA423" s="1016" t="s">
        <v>11405</v>
      </c>
      <c r="AB423" s="1015">
        <f t="shared" si="35"/>
        <v>98</v>
      </c>
      <c r="AC423" s="1016" t="s">
        <v>11406</v>
      </c>
      <c r="AD423" s="1015">
        <f t="shared" si="36"/>
        <v>28</v>
      </c>
      <c r="AE423" s="518" t="s">
        <v>11407</v>
      </c>
      <c r="AF423" s="519" t="s">
        <v>11408</v>
      </c>
      <c r="AG423" s="1021" t="s">
        <v>9179</v>
      </c>
      <c r="AH423" s="1022" t="s">
        <v>169</v>
      </c>
      <c r="AI423" s="530" t="s">
        <v>2969</v>
      </c>
      <c r="AJ423" s="958">
        <v>1</v>
      </c>
      <c r="AK423" s="959" t="s">
        <v>5359</v>
      </c>
      <c r="AL423" s="960" t="s">
        <v>6840</v>
      </c>
      <c r="AM423" s="1018">
        <f>_xll.GetCtData("COAMOUNT","CONSAMOUNT",$A$1:$A$7,$D423,AM$10,"#91311,4777366129")</f>
        <v>91311</v>
      </c>
    </row>
    <row r="424" spans="1:39">
      <c r="A424" s="427" t="s">
        <v>6610</v>
      </c>
      <c r="B424" s="427" t="s">
        <v>6610</v>
      </c>
      <c r="D424" s="992" t="s">
        <v>11409</v>
      </c>
      <c r="E424" s="949" t="s">
        <v>2930</v>
      </c>
      <c r="F424" s="950">
        <v>10</v>
      </c>
      <c r="G424" s="950"/>
      <c r="H424" s="950"/>
      <c r="I424" s="950"/>
      <c r="J424" s="950"/>
      <c r="K424" s="950"/>
      <c r="L424" s="950"/>
      <c r="M424" s="950"/>
      <c r="N424" s="950"/>
      <c r="O424" s="950"/>
      <c r="P424" s="950"/>
      <c r="Q424" s="1038"/>
      <c r="R424" s="992" t="s">
        <v>11410</v>
      </c>
      <c r="S424" s="1014" t="s">
        <v>11411</v>
      </c>
      <c r="T424" s="1015">
        <f>LEN(S424)</f>
        <v>63</v>
      </c>
      <c r="U424" s="1014" t="s">
        <v>11411</v>
      </c>
      <c r="V424" s="1015">
        <f>LEN(U424)</f>
        <v>63</v>
      </c>
      <c r="W424" s="1014" t="s">
        <v>11412</v>
      </c>
      <c r="X424" s="1015">
        <f>LEN(W424)</f>
        <v>24</v>
      </c>
      <c r="Y424" s="1016" t="s">
        <v>11413</v>
      </c>
      <c r="Z424" s="1015">
        <f>LEN(Y424)</f>
        <v>77</v>
      </c>
      <c r="AA424" s="1016" t="s">
        <v>11413</v>
      </c>
      <c r="AB424" s="1015">
        <f>LEN(AA424)</f>
        <v>77</v>
      </c>
      <c r="AC424" s="1016" t="s">
        <v>11414</v>
      </c>
      <c r="AD424" s="1015">
        <f>LEN(AC424)</f>
        <v>28</v>
      </c>
      <c r="AE424" s="518" t="s">
        <v>11415</v>
      </c>
      <c r="AF424" s="519" t="s">
        <v>11416</v>
      </c>
      <c r="AG424" s="1021" t="s">
        <v>9179</v>
      </c>
      <c r="AH424" s="1022" t="s">
        <v>169</v>
      </c>
      <c r="AI424" s="530" t="s">
        <v>2969</v>
      </c>
      <c r="AJ424" s="958">
        <v>1</v>
      </c>
      <c r="AK424" s="959" t="s">
        <v>5359</v>
      </c>
      <c r="AL424" s="960" t="s">
        <v>11417</v>
      </c>
      <c r="AM424" s="1018">
        <f>_xll.GetCtData("COAMOUNT","CONSAMOUNT",$A$1:$A$7,$D424,AM$10,"#")</f>
        <v>0</v>
      </c>
    </row>
    <row r="425" spans="1:39">
      <c r="A425" s="427" t="s">
        <v>6610</v>
      </c>
      <c r="B425" s="427" t="s">
        <v>6610</v>
      </c>
      <c r="D425" s="981" t="s">
        <v>11418</v>
      </c>
      <c r="E425" s="949" t="s">
        <v>2912</v>
      </c>
      <c r="F425" s="950">
        <v>8</v>
      </c>
      <c r="G425" s="950"/>
      <c r="H425" s="950"/>
      <c r="I425" s="950"/>
      <c r="J425" s="950"/>
      <c r="K425" s="950"/>
      <c r="L425" s="950"/>
      <c r="M425" s="950"/>
      <c r="N425" s="950"/>
      <c r="O425" s="981" t="s">
        <v>11419</v>
      </c>
      <c r="P425" s="982"/>
      <c r="Q425" s="981"/>
      <c r="R425" s="981" t="s">
        <v>11419</v>
      </c>
      <c r="S425" s="981" t="s">
        <v>11420</v>
      </c>
      <c r="T425" s="1002">
        <f t="shared" si="37"/>
        <v>67</v>
      </c>
      <c r="U425" s="981" t="s">
        <v>11420</v>
      </c>
      <c r="V425" s="1002">
        <f t="shared" si="32"/>
        <v>67</v>
      </c>
      <c r="W425" s="981" t="s">
        <v>11421</v>
      </c>
      <c r="X425" s="1002">
        <f t="shared" si="33"/>
        <v>30</v>
      </c>
      <c r="Y425" s="1003" t="s">
        <v>11422</v>
      </c>
      <c r="Z425" s="1002">
        <f t="shared" si="34"/>
        <v>89</v>
      </c>
      <c r="AA425" s="1003" t="s">
        <v>11422</v>
      </c>
      <c r="AB425" s="1002">
        <f t="shared" si="35"/>
        <v>89</v>
      </c>
      <c r="AC425" s="1003" t="s">
        <v>11423</v>
      </c>
      <c r="AD425" s="1002">
        <f t="shared" si="36"/>
        <v>30</v>
      </c>
      <c r="AE425" s="1002"/>
      <c r="AF425" s="1002"/>
      <c r="AG425" s="956"/>
      <c r="AH425" s="957"/>
      <c r="AI425" s="530" t="s">
        <v>2969</v>
      </c>
      <c r="AJ425" s="958">
        <v>1</v>
      </c>
      <c r="AK425" s="959"/>
      <c r="AL425" s="960"/>
      <c r="AM425" s="985">
        <f>_xll.GetCtData("COAMOUNT","CONSAMOUNT",$A$1:$A$7,$D425,AM$10,"#")</f>
        <v>0</v>
      </c>
    </row>
    <row r="426" spans="1:39">
      <c r="A426" s="427" t="s">
        <v>6610</v>
      </c>
      <c r="B426" s="427" t="s">
        <v>6610</v>
      </c>
      <c r="D426" s="992" t="s">
        <v>11424</v>
      </c>
      <c r="E426" s="949" t="s">
        <v>2930</v>
      </c>
      <c r="F426" s="950">
        <v>10</v>
      </c>
      <c r="G426" s="950"/>
      <c r="H426" s="950"/>
      <c r="I426" s="950"/>
      <c r="J426" s="950"/>
      <c r="K426" s="950"/>
      <c r="L426" s="950"/>
      <c r="M426" s="950"/>
      <c r="N426" s="950"/>
      <c r="O426" s="950"/>
      <c r="P426" s="950"/>
      <c r="Q426" s="1038"/>
      <c r="R426" s="992" t="s">
        <v>11425</v>
      </c>
      <c r="S426" s="1014" t="s">
        <v>11426</v>
      </c>
      <c r="T426" s="1015">
        <f t="shared" si="37"/>
        <v>55</v>
      </c>
      <c r="U426" s="1014" t="s">
        <v>11426</v>
      </c>
      <c r="V426" s="1015">
        <f t="shared" si="32"/>
        <v>55</v>
      </c>
      <c r="W426" s="1014" t="s">
        <v>11427</v>
      </c>
      <c r="X426" s="1015">
        <f t="shared" si="33"/>
        <v>30</v>
      </c>
      <c r="Y426" s="1016" t="s">
        <v>11428</v>
      </c>
      <c r="Z426" s="1015">
        <f t="shared" si="34"/>
        <v>72</v>
      </c>
      <c r="AA426" s="1016" t="s">
        <v>11428</v>
      </c>
      <c r="AB426" s="1015">
        <f t="shared" si="35"/>
        <v>72</v>
      </c>
      <c r="AC426" s="1016" t="s">
        <v>11429</v>
      </c>
      <c r="AD426" s="1015">
        <f t="shared" si="36"/>
        <v>30</v>
      </c>
      <c r="AE426" s="518" t="s">
        <v>11430</v>
      </c>
      <c r="AF426" s="519" t="s">
        <v>11431</v>
      </c>
      <c r="AG426" s="1021" t="s">
        <v>9179</v>
      </c>
      <c r="AH426" s="1022" t="s">
        <v>169</v>
      </c>
      <c r="AI426" s="530" t="s">
        <v>2969</v>
      </c>
      <c r="AJ426" s="958">
        <v>1</v>
      </c>
      <c r="AK426" s="959"/>
      <c r="AL426" s="960"/>
      <c r="AM426" s="1018">
        <f>_xll.GetCtData("COAMOUNT","CONSAMOUNT",$A$1:$A$7,$D426,AM$10,"#")</f>
        <v>0</v>
      </c>
    </row>
    <row r="427" spans="1:39">
      <c r="A427" s="427" t="s">
        <v>6610</v>
      </c>
      <c r="B427" s="427" t="s">
        <v>6610</v>
      </c>
      <c r="D427" s="992" t="s">
        <v>11432</v>
      </c>
      <c r="E427" s="949" t="s">
        <v>2930</v>
      </c>
      <c r="F427" s="950">
        <v>10</v>
      </c>
      <c r="G427" s="950"/>
      <c r="H427" s="950"/>
      <c r="I427" s="950"/>
      <c r="J427" s="950"/>
      <c r="K427" s="950"/>
      <c r="L427" s="950"/>
      <c r="M427" s="950"/>
      <c r="N427" s="950"/>
      <c r="O427" s="950"/>
      <c r="P427" s="950"/>
      <c r="Q427" s="1038"/>
      <c r="R427" s="992" t="s">
        <v>11433</v>
      </c>
      <c r="S427" s="1014" t="s">
        <v>11434</v>
      </c>
      <c r="T427" s="1015">
        <f t="shared" si="37"/>
        <v>54</v>
      </c>
      <c r="U427" s="1014" t="s">
        <v>11434</v>
      </c>
      <c r="V427" s="1015">
        <f t="shared" si="32"/>
        <v>54</v>
      </c>
      <c r="W427" s="1014" t="s">
        <v>11435</v>
      </c>
      <c r="X427" s="1015">
        <f t="shared" si="33"/>
        <v>28</v>
      </c>
      <c r="Y427" s="1016" t="s">
        <v>11436</v>
      </c>
      <c r="Z427" s="1015">
        <f t="shared" si="34"/>
        <v>76</v>
      </c>
      <c r="AA427" s="1016" t="s">
        <v>11436</v>
      </c>
      <c r="AB427" s="1015">
        <f t="shared" si="35"/>
        <v>76</v>
      </c>
      <c r="AC427" s="1016" t="s">
        <v>11437</v>
      </c>
      <c r="AD427" s="1015">
        <f t="shared" si="36"/>
        <v>28</v>
      </c>
      <c r="AE427" s="518" t="s">
        <v>11438</v>
      </c>
      <c r="AF427" s="519" t="s">
        <v>11439</v>
      </c>
      <c r="AG427" s="1021" t="s">
        <v>9179</v>
      </c>
      <c r="AH427" s="1022" t="s">
        <v>169</v>
      </c>
      <c r="AI427" s="530" t="s">
        <v>2969</v>
      </c>
      <c r="AJ427" s="958">
        <v>1</v>
      </c>
      <c r="AK427" s="959" t="s">
        <v>5359</v>
      </c>
      <c r="AL427" s="960"/>
      <c r="AM427" s="1018">
        <f>_xll.GetCtData("COAMOUNT","CONSAMOUNT",$A$1:$A$7,$D427,AM$10,"#")</f>
        <v>0</v>
      </c>
    </row>
    <row r="428" spans="1:39">
      <c r="A428" s="427" t="s">
        <v>6610</v>
      </c>
      <c r="B428" s="427" t="s">
        <v>6610</v>
      </c>
      <c r="D428" s="410" t="s">
        <v>11440</v>
      </c>
      <c r="E428" s="949" t="s">
        <v>2912</v>
      </c>
      <c r="F428" s="950">
        <v>7</v>
      </c>
      <c r="G428" s="950"/>
      <c r="H428" s="950"/>
      <c r="I428" s="950"/>
      <c r="J428" s="950"/>
      <c r="K428" s="950"/>
      <c r="L428" s="950"/>
      <c r="M428" s="950"/>
      <c r="N428" s="410" t="s">
        <v>11441</v>
      </c>
      <c r="O428" s="975"/>
      <c r="P428" s="975"/>
      <c r="Q428" s="410"/>
      <c r="R428" s="410" t="s">
        <v>11441</v>
      </c>
      <c r="S428" s="410" t="s">
        <v>11442</v>
      </c>
      <c r="T428" s="1032">
        <f t="shared" si="37"/>
        <v>44</v>
      </c>
      <c r="U428" s="410" t="s">
        <v>11442</v>
      </c>
      <c r="V428" s="1032">
        <f t="shared" si="32"/>
        <v>44</v>
      </c>
      <c r="W428" s="410" t="s">
        <v>11443</v>
      </c>
      <c r="X428" s="1032">
        <f t="shared" si="33"/>
        <v>30</v>
      </c>
      <c r="Y428" s="410" t="s">
        <v>11444</v>
      </c>
      <c r="Z428" s="1032">
        <f t="shared" si="34"/>
        <v>55</v>
      </c>
      <c r="AA428" s="410" t="s">
        <v>11444</v>
      </c>
      <c r="AB428" s="1032">
        <f t="shared" si="35"/>
        <v>55</v>
      </c>
      <c r="AC428" s="410" t="s">
        <v>11445</v>
      </c>
      <c r="AD428" s="1032">
        <f t="shared" si="36"/>
        <v>30</v>
      </c>
      <c r="AE428" s="976"/>
      <c r="AF428" s="976"/>
      <c r="AG428" s="1021"/>
      <c r="AH428" s="1022"/>
      <c r="AI428" s="530" t="s">
        <v>2969</v>
      </c>
      <c r="AJ428" s="958">
        <v>1</v>
      </c>
      <c r="AK428" s="959"/>
      <c r="AL428" s="960"/>
      <c r="AM428" s="980">
        <f>_xll.GetCtData("COAMOUNT","CONSAMOUNT",$A$1:$A$7,$D428,AM$10,"#-854")</f>
        <v>-854</v>
      </c>
    </row>
    <row r="429" spans="1:39">
      <c r="A429" s="427" t="s">
        <v>6610</v>
      </c>
      <c r="B429" s="427" t="s">
        <v>6610</v>
      </c>
      <c r="D429" s="981" t="s">
        <v>11446</v>
      </c>
      <c r="E429" s="949" t="s">
        <v>2912</v>
      </c>
      <c r="F429" s="950">
        <v>8</v>
      </c>
      <c r="G429" s="950"/>
      <c r="H429" s="950"/>
      <c r="I429" s="950"/>
      <c r="J429" s="950"/>
      <c r="K429" s="950"/>
      <c r="L429" s="950"/>
      <c r="M429" s="950"/>
      <c r="N429" s="950"/>
      <c r="O429" s="981" t="s">
        <v>11447</v>
      </c>
      <c r="P429" s="982"/>
      <c r="Q429" s="981"/>
      <c r="R429" s="981" t="s">
        <v>11447</v>
      </c>
      <c r="S429" s="981" t="s">
        <v>11442</v>
      </c>
      <c r="T429" s="1002">
        <f t="shared" si="37"/>
        <v>44</v>
      </c>
      <c r="U429" s="981" t="s">
        <v>11442</v>
      </c>
      <c r="V429" s="1002">
        <f t="shared" si="32"/>
        <v>44</v>
      </c>
      <c r="W429" s="981" t="s">
        <v>11448</v>
      </c>
      <c r="X429" s="1002">
        <f t="shared" si="33"/>
        <v>28</v>
      </c>
      <c r="Y429" s="1003" t="s">
        <v>11444</v>
      </c>
      <c r="Z429" s="1002">
        <f t="shared" si="34"/>
        <v>55</v>
      </c>
      <c r="AA429" s="1003" t="s">
        <v>11444</v>
      </c>
      <c r="AB429" s="1002">
        <f t="shared" si="35"/>
        <v>55</v>
      </c>
      <c r="AC429" s="1003" t="s">
        <v>11445</v>
      </c>
      <c r="AD429" s="1002">
        <f t="shared" si="36"/>
        <v>30</v>
      </c>
      <c r="AE429" s="1002"/>
      <c r="AF429" s="1002"/>
      <c r="AG429" s="1021"/>
      <c r="AH429" s="1022"/>
      <c r="AI429" s="530" t="s">
        <v>2969</v>
      </c>
      <c r="AJ429" s="958">
        <v>1</v>
      </c>
      <c r="AK429" s="959"/>
      <c r="AL429" s="960"/>
      <c r="AM429" s="985">
        <f>_xll.GetCtData("COAMOUNT","CONSAMOUNT",$A$1:$A$7,$D429,AM$10,"#-854")</f>
        <v>-854</v>
      </c>
    </row>
    <row r="430" spans="1:39">
      <c r="A430" s="427" t="s">
        <v>6610</v>
      </c>
      <c r="B430" s="427" t="s">
        <v>6610</v>
      </c>
      <c r="D430" s="992" t="s">
        <v>11449</v>
      </c>
      <c r="E430" s="949" t="s">
        <v>2930</v>
      </c>
      <c r="F430" s="950">
        <v>10</v>
      </c>
      <c r="G430" s="950"/>
      <c r="H430" s="950"/>
      <c r="I430" s="950"/>
      <c r="J430" s="950"/>
      <c r="K430" s="950"/>
      <c r="L430" s="950"/>
      <c r="M430" s="950"/>
      <c r="N430" s="950"/>
      <c r="O430" s="950"/>
      <c r="P430" s="950"/>
      <c r="Q430" s="1038"/>
      <c r="R430" s="992" t="s">
        <v>11450</v>
      </c>
      <c r="S430" s="1014" t="s">
        <v>11451</v>
      </c>
      <c r="T430" s="1015">
        <f t="shared" si="37"/>
        <v>91</v>
      </c>
      <c r="U430" s="1040" t="s">
        <v>11452</v>
      </c>
      <c r="V430" s="1015">
        <f t="shared" si="32"/>
        <v>72</v>
      </c>
      <c r="W430" s="1014" t="s">
        <v>11453</v>
      </c>
      <c r="X430" s="1015">
        <f t="shared" si="33"/>
        <v>34</v>
      </c>
      <c r="Y430" s="1016" t="s">
        <v>11454</v>
      </c>
      <c r="Z430" s="1015">
        <f t="shared" si="34"/>
        <v>81</v>
      </c>
      <c r="AA430" s="1016" t="s">
        <v>11454</v>
      </c>
      <c r="AB430" s="1015">
        <f t="shared" si="35"/>
        <v>81</v>
      </c>
      <c r="AC430" s="1016" t="s">
        <v>11455</v>
      </c>
      <c r="AD430" s="1015">
        <f t="shared" si="36"/>
        <v>25</v>
      </c>
      <c r="AE430" s="518" t="s">
        <v>11456</v>
      </c>
      <c r="AF430" s="519" t="s">
        <v>11457</v>
      </c>
      <c r="AG430" s="1021" t="s">
        <v>9179</v>
      </c>
      <c r="AH430" s="1022" t="s">
        <v>169</v>
      </c>
      <c r="AI430" s="530" t="s">
        <v>2969</v>
      </c>
      <c r="AJ430" s="958">
        <v>1</v>
      </c>
      <c r="AK430" s="959" t="s">
        <v>5359</v>
      </c>
      <c r="AL430" s="960" t="s">
        <v>6840</v>
      </c>
      <c r="AM430" s="1018">
        <f>_xll.GetCtData("COAMOUNT","CONSAMOUNT",$A$1:$A$7,$D430,AM$10,"#-848")</f>
        <v>-848</v>
      </c>
    </row>
    <row r="431" spans="1:39">
      <c r="A431" s="427" t="s">
        <v>6610</v>
      </c>
      <c r="B431" s="427" t="s">
        <v>6610</v>
      </c>
      <c r="D431" s="992" t="s">
        <v>11458</v>
      </c>
      <c r="E431" s="949" t="s">
        <v>2930</v>
      </c>
      <c r="F431" s="950">
        <v>10</v>
      </c>
      <c r="G431" s="950"/>
      <c r="H431" s="950"/>
      <c r="I431" s="950"/>
      <c r="J431" s="950"/>
      <c r="K431" s="950"/>
      <c r="L431" s="950"/>
      <c r="M431" s="950"/>
      <c r="N431" s="950"/>
      <c r="O431" s="950"/>
      <c r="P431" s="950"/>
      <c r="Q431" s="1038"/>
      <c r="R431" s="992" t="s">
        <v>11459</v>
      </c>
      <c r="S431" s="1014" t="s">
        <v>11460</v>
      </c>
      <c r="T431" s="1015">
        <f t="shared" si="37"/>
        <v>113</v>
      </c>
      <c r="U431" s="1040" t="s">
        <v>11461</v>
      </c>
      <c r="V431" s="1015">
        <f t="shared" si="32"/>
        <v>94</v>
      </c>
      <c r="W431" s="1014" t="s">
        <v>11462</v>
      </c>
      <c r="X431" s="1015">
        <f t="shared" si="33"/>
        <v>35</v>
      </c>
      <c r="Y431" s="1016" t="s">
        <v>11463</v>
      </c>
      <c r="Z431" s="1015">
        <f t="shared" si="34"/>
        <v>98</v>
      </c>
      <c r="AA431" s="1016" t="s">
        <v>11463</v>
      </c>
      <c r="AB431" s="1015">
        <f t="shared" si="35"/>
        <v>98</v>
      </c>
      <c r="AC431" s="1016" t="s">
        <v>11464</v>
      </c>
      <c r="AD431" s="1015">
        <f t="shared" si="36"/>
        <v>28</v>
      </c>
      <c r="AE431" s="518" t="s">
        <v>11465</v>
      </c>
      <c r="AF431" s="519" t="s">
        <v>11466</v>
      </c>
      <c r="AG431" s="1021" t="s">
        <v>9179</v>
      </c>
      <c r="AH431" s="1022" t="s">
        <v>169</v>
      </c>
      <c r="AI431" s="530" t="s">
        <v>2969</v>
      </c>
      <c r="AJ431" s="958">
        <v>1</v>
      </c>
      <c r="AK431" s="959" t="s">
        <v>5359</v>
      </c>
      <c r="AL431" s="960" t="s">
        <v>6840</v>
      </c>
      <c r="AM431" s="1018">
        <f>_xll.GetCtData("COAMOUNT","CONSAMOUNT",$A$1:$A$7,$D431,AM$10,"#")</f>
        <v>0</v>
      </c>
    </row>
    <row r="432" spans="1:39">
      <c r="A432" s="427" t="s">
        <v>6610</v>
      </c>
      <c r="B432" s="427" t="s">
        <v>6610</v>
      </c>
      <c r="D432" s="992" t="s">
        <v>11467</v>
      </c>
      <c r="E432" s="949" t="s">
        <v>2930</v>
      </c>
      <c r="F432" s="950">
        <v>10</v>
      </c>
      <c r="G432" s="950"/>
      <c r="H432" s="950"/>
      <c r="I432" s="950"/>
      <c r="J432" s="950"/>
      <c r="K432" s="950"/>
      <c r="L432" s="950"/>
      <c r="M432" s="950"/>
      <c r="N432" s="950"/>
      <c r="O432" s="950"/>
      <c r="P432" s="950"/>
      <c r="Q432" s="1038"/>
      <c r="R432" s="992" t="s">
        <v>11468</v>
      </c>
      <c r="S432" s="1014" t="s">
        <v>11469</v>
      </c>
      <c r="T432" s="1015">
        <f t="shared" si="37"/>
        <v>63</v>
      </c>
      <c r="U432" s="1014" t="s">
        <v>11469</v>
      </c>
      <c r="V432" s="1015">
        <f t="shared" si="32"/>
        <v>63</v>
      </c>
      <c r="W432" s="1014" t="s">
        <v>11470</v>
      </c>
      <c r="X432" s="1015">
        <f t="shared" si="33"/>
        <v>24</v>
      </c>
      <c r="Y432" s="1016" t="s">
        <v>11471</v>
      </c>
      <c r="Z432" s="1015">
        <f t="shared" si="34"/>
        <v>77</v>
      </c>
      <c r="AA432" s="1016" t="s">
        <v>11471</v>
      </c>
      <c r="AB432" s="1015">
        <f t="shared" si="35"/>
        <v>77</v>
      </c>
      <c r="AC432" s="1016" t="s">
        <v>11472</v>
      </c>
      <c r="AD432" s="1015">
        <f t="shared" si="36"/>
        <v>28</v>
      </c>
      <c r="AE432" s="518" t="s">
        <v>11473</v>
      </c>
      <c r="AF432" s="519" t="s">
        <v>11474</v>
      </c>
      <c r="AG432" s="1021" t="s">
        <v>9179</v>
      </c>
      <c r="AH432" s="1022" t="s">
        <v>169</v>
      </c>
      <c r="AI432" s="530" t="s">
        <v>2969</v>
      </c>
      <c r="AJ432" s="958">
        <v>1</v>
      </c>
      <c r="AK432" s="959" t="s">
        <v>5359</v>
      </c>
      <c r="AL432" s="960" t="s">
        <v>11417</v>
      </c>
      <c r="AM432" s="1018">
        <f>_xll.GetCtData("COAMOUNT","CONSAMOUNT",$A$1:$A$7,$D432,AM$10,"#-6")</f>
        <v>-6</v>
      </c>
    </row>
    <row r="433" spans="1:39">
      <c r="A433" s="427" t="s">
        <v>6610</v>
      </c>
      <c r="B433" s="427" t="s">
        <v>6610</v>
      </c>
      <c r="D433" s="981" t="s">
        <v>11475</v>
      </c>
      <c r="E433" s="949" t="s">
        <v>2912</v>
      </c>
      <c r="F433" s="950">
        <v>8</v>
      </c>
      <c r="G433" s="950"/>
      <c r="H433" s="950"/>
      <c r="I433" s="950"/>
      <c r="J433" s="950"/>
      <c r="K433" s="950"/>
      <c r="L433" s="950"/>
      <c r="M433" s="950"/>
      <c r="N433" s="950"/>
      <c r="O433" s="981" t="s">
        <v>11476</v>
      </c>
      <c r="P433" s="982"/>
      <c r="Q433" s="981"/>
      <c r="R433" s="981" t="s">
        <v>11476</v>
      </c>
      <c r="S433" s="981" t="s">
        <v>11477</v>
      </c>
      <c r="T433" s="1002">
        <f t="shared" si="37"/>
        <v>67</v>
      </c>
      <c r="U433" s="981" t="s">
        <v>11477</v>
      </c>
      <c r="V433" s="1002">
        <f t="shared" si="32"/>
        <v>67</v>
      </c>
      <c r="W433" s="981" t="s">
        <v>11478</v>
      </c>
      <c r="X433" s="1002">
        <f t="shared" si="33"/>
        <v>30</v>
      </c>
      <c r="Y433" s="1003" t="s">
        <v>11479</v>
      </c>
      <c r="Z433" s="1002">
        <f t="shared" si="34"/>
        <v>89</v>
      </c>
      <c r="AA433" s="1003" t="s">
        <v>11479</v>
      </c>
      <c r="AB433" s="1002">
        <f t="shared" si="35"/>
        <v>89</v>
      </c>
      <c r="AC433" s="1003" t="s">
        <v>11480</v>
      </c>
      <c r="AD433" s="1002">
        <f t="shared" si="36"/>
        <v>30</v>
      </c>
      <c r="AE433" s="1002"/>
      <c r="AF433" s="1002"/>
      <c r="AG433" s="956"/>
      <c r="AH433" s="957"/>
      <c r="AI433" s="530" t="s">
        <v>2969</v>
      </c>
      <c r="AJ433" s="958">
        <v>1</v>
      </c>
      <c r="AK433" s="959"/>
      <c r="AL433" s="960"/>
      <c r="AM433" s="985">
        <f>_xll.GetCtData("COAMOUNT","CONSAMOUNT",$A$1:$A$7,$D433,AM$10,"#")</f>
        <v>0</v>
      </c>
    </row>
    <row r="434" spans="1:39">
      <c r="A434" s="427" t="s">
        <v>6610</v>
      </c>
      <c r="B434" s="427" t="s">
        <v>6610</v>
      </c>
      <c r="D434" s="992" t="s">
        <v>11481</v>
      </c>
      <c r="E434" s="949" t="s">
        <v>2930</v>
      </c>
      <c r="F434" s="950">
        <v>10</v>
      </c>
      <c r="G434" s="950"/>
      <c r="H434" s="950"/>
      <c r="I434" s="950"/>
      <c r="J434" s="950"/>
      <c r="K434" s="950"/>
      <c r="L434" s="950"/>
      <c r="M434" s="950"/>
      <c r="N434" s="950"/>
      <c r="O434" s="950"/>
      <c r="P434" s="950"/>
      <c r="Q434" s="1038"/>
      <c r="R434" s="992" t="s">
        <v>11482</v>
      </c>
      <c r="S434" s="1014" t="s">
        <v>11483</v>
      </c>
      <c r="T434" s="1015">
        <f t="shared" si="37"/>
        <v>56</v>
      </c>
      <c r="U434" s="1014" t="s">
        <v>11483</v>
      </c>
      <c r="V434" s="1015">
        <f t="shared" si="32"/>
        <v>56</v>
      </c>
      <c r="W434" s="1014" t="s">
        <v>11484</v>
      </c>
      <c r="X434" s="1015">
        <f t="shared" si="33"/>
        <v>27</v>
      </c>
      <c r="Y434" s="1016" t="s">
        <v>11485</v>
      </c>
      <c r="Z434" s="1015">
        <f t="shared" si="34"/>
        <v>72</v>
      </c>
      <c r="AA434" s="1016" t="s">
        <v>11485</v>
      </c>
      <c r="AB434" s="1015">
        <f t="shared" si="35"/>
        <v>72</v>
      </c>
      <c r="AC434" s="1016" t="s">
        <v>11486</v>
      </c>
      <c r="AD434" s="1015">
        <f t="shared" si="36"/>
        <v>30</v>
      </c>
      <c r="AE434" s="518" t="s">
        <v>11487</v>
      </c>
      <c r="AF434" s="519" t="s">
        <v>11488</v>
      </c>
      <c r="AG434" s="1021" t="s">
        <v>9179</v>
      </c>
      <c r="AH434" s="1022" t="s">
        <v>169</v>
      </c>
      <c r="AI434" s="530" t="s">
        <v>2969</v>
      </c>
      <c r="AJ434" s="958">
        <v>1</v>
      </c>
      <c r="AK434" s="959"/>
      <c r="AL434" s="960"/>
      <c r="AM434" s="1018">
        <f>_xll.GetCtData("COAMOUNT","CONSAMOUNT",$A$1:$A$7,$D434,AM$10,"#")</f>
        <v>0</v>
      </c>
    </row>
    <row r="435" spans="1:39">
      <c r="A435" s="427" t="s">
        <v>6610</v>
      </c>
      <c r="B435" s="427" t="s">
        <v>6610</v>
      </c>
      <c r="D435" s="992" t="s">
        <v>11489</v>
      </c>
      <c r="E435" s="949" t="s">
        <v>2930</v>
      </c>
      <c r="F435" s="950">
        <v>10</v>
      </c>
      <c r="G435" s="950"/>
      <c r="H435" s="950"/>
      <c r="I435" s="950"/>
      <c r="J435" s="950"/>
      <c r="K435" s="950"/>
      <c r="L435" s="950"/>
      <c r="M435" s="950"/>
      <c r="N435" s="950"/>
      <c r="O435" s="950"/>
      <c r="P435" s="950"/>
      <c r="Q435" s="1038"/>
      <c r="R435" s="992" t="s">
        <v>11490</v>
      </c>
      <c r="S435" s="1014" t="s">
        <v>11491</v>
      </c>
      <c r="T435" s="1015">
        <f t="shared" si="37"/>
        <v>54</v>
      </c>
      <c r="U435" s="1014" t="s">
        <v>11491</v>
      </c>
      <c r="V435" s="1015">
        <f t="shared" si="32"/>
        <v>54</v>
      </c>
      <c r="W435" s="1014" t="s">
        <v>11492</v>
      </c>
      <c r="X435" s="1015">
        <f t="shared" si="33"/>
        <v>27</v>
      </c>
      <c r="Y435" s="1016" t="s">
        <v>11493</v>
      </c>
      <c r="Z435" s="1015">
        <f t="shared" si="34"/>
        <v>76</v>
      </c>
      <c r="AA435" s="1016" t="s">
        <v>11493</v>
      </c>
      <c r="AB435" s="1015">
        <f t="shared" si="35"/>
        <v>76</v>
      </c>
      <c r="AC435" s="1016" t="s">
        <v>11494</v>
      </c>
      <c r="AD435" s="1015">
        <f t="shared" si="36"/>
        <v>28</v>
      </c>
      <c r="AE435" s="518" t="s">
        <v>11495</v>
      </c>
      <c r="AF435" s="519" t="s">
        <v>11496</v>
      </c>
      <c r="AG435" s="1021" t="s">
        <v>9179</v>
      </c>
      <c r="AH435" s="1022" t="s">
        <v>169</v>
      </c>
      <c r="AI435" s="530" t="s">
        <v>2969</v>
      </c>
      <c r="AJ435" s="958">
        <v>1</v>
      </c>
      <c r="AK435" s="959" t="s">
        <v>5359</v>
      </c>
      <c r="AL435" s="960"/>
      <c r="AM435" s="1018">
        <f>_xll.GetCtData("COAMOUNT","CONSAMOUNT",$A$1:$A$7,$D435,AM$10,"#")</f>
        <v>0</v>
      </c>
    </row>
    <row r="436" spans="1:39">
      <c r="A436" s="427" t="s">
        <v>6610</v>
      </c>
      <c r="B436" s="427" t="s">
        <v>6610</v>
      </c>
      <c r="D436" s="410" t="s">
        <v>11497</v>
      </c>
      <c r="E436" s="949" t="s">
        <v>2912</v>
      </c>
      <c r="F436" s="950">
        <v>7</v>
      </c>
      <c r="G436" s="950"/>
      <c r="H436" s="950"/>
      <c r="I436" s="950"/>
      <c r="J436" s="950"/>
      <c r="K436" s="950"/>
      <c r="L436" s="950"/>
      <c r="M436" s="950"/>
      <c r="N436" s="410" t="s">
        <v>11498</v>
      </c>
      <c r="O436" s="975"/>
      <c r="P436" s="975"/>
      <c r="Q436" s="410"/>
      <c r="R436" s="410" t="s">
        <v>11498</v>
      </c>
      <c r="S436" s="410" t="s">
        <v>11499</v>
      </c>
      <c r="T436" s="976">
        <f t="shared" si="37"/>
        <v>44</v>
      </c>
      <c r="U436" s="410" t="s">
        <v>11499</v>
      </c>
      <c r="V436" s="976">
        <f t="shared" si="32"/>
        <v>44</v>
      </c>
      <c r="W436" s="410" t="s">
        <v>11500</v>
      </c>
      <c r="X436" s="976">
        <f t="shared" si="33"/>
        <v>30</v>
      </c>
      <c r="Y436" s="977" t="s">
        <v>11501</v>
      </c>
      <c r="Z436" s="976">
        <f t="shared" si="34"/>
        <v>55</v>
      </c>
      <c r="AA436" s="977" t="s">
        <v>11501</v>
      </c>
      <c r="AB436" s="976">
        <f t="shared" si="35"/>
        <v>55</v>
      </c>
      <c r="AC436" s="977" t="s">
        <v>11502</v>
      </c>
      <c r="AD436" s="976">
        <f t="shared" si="36"/>
        <v>30</v>
      </c>
      <c r="AE436" s="976"/>
      <c r="AF436" s="976"/>
      <c r="AG436" s="1021"/>
      <c r="AH436" s="1022"/>
      <c r="AI436" s="530" t="s">
        <v>2969</v>
      </c>
      <c r="AJ436" s="958">
        <v>1</v>
      </c>
      <c r="AK436" s="959"/>
      <c r="AL436" s="960"/>
      <c r="AM436" s="980">
        <f>_xll.GetCtData("COAMOUNT","CONSAMOUNT",$A$1:$A$7,$D436,AM$10,"#-13193722,0241465")</f>
        <v>-13193722</v>
      </c>
    </row>
    <row r="437" spans="1:39">
      <c r="A437" s="427" t="s">
        <v>6610</v>
      </c>
      <c r="B437" s="427" t="s">
        <v>6610</v>
      </c>
      <c r="D437" s="981" t="s">
        <v>11503</v>
      </c>
      <c r="E437" s="949" t="s">
        <v>2912</v>
      </c>
      <c r="F437" s="950">
        <v>8</v>
      </c>
      <c r="G437" s="1041"/>
      <c r="H437" s="1041"/>
      <c r="I437" s="1041"/>
      <c r="J437" s="1041"/>
      <c r="K437" s="1041"/>
      <c r="L437" s="1041"/>
      <c r="M437" s="1041"/>
      <c r="N437" s="1041"/>
      <c r="O437" s="981" t="s">
        <v>11504</v>
      </c>
      <c r="P437" s="1042"/>
      <c r="Q437" s="981"/>
      <c r="R437" s="981" t="s">
        <v>11504</v>
      </c>
      <c r="S437" s="981" t="s">
        <v>11499</v>
      </c>
      <c r="T437" s="1002">
        <f t="shared" si="37"/>
        <v>44</v>
      </c>
      <c r="U437" s="981" t="s">
        <v>11499</v>
      </c>
      <c r="V437" s="1002">
        <f t="shared" si="32"/>
        <v>44</v>
      </c>
      <c r="W437" s="981" t="s">
        <v>11500</v>
      </c>
      <c r="X437" s="1002">
        <f t="shared" si="33"/>
        <v>30</v>
      </c>
      <c r="Y437" s="1003" t="s">
        <v>11505</v>
      </c>
      <c r="Z437" s="1002">
        <f t="shared" si="34"/>
        <v>75</v>
      </c>
      <c r="AA437" s="1003" t="s">
        <v>11505</v>
      </c>
      <c r="AB437" s="1002">
        <f t="shared" si="35"/>
        <v>75</v>
      </c>
      <c r="AC437" s="1003" t="s">
        <v>11506</v>
      </c>
      <c r="AD437" s="1002">
        <f t="shared" si="36"/>
        <v>30</v>
      </c>
      <c r="AE437" s="1002"/>
      <c r="AF437" s="1002"/>
      <c r="AG437" s="1021"/>
      <c r="AH437" s="1022"/>
      <c r="AI437" s="530" t="s">
        <v>2969</v>
      </c>
      <c r="AJ437" s="958">
        <v>1</v>
      </c>
      <c r="AK437" s="959"/>
      <c r="AL437" s="960"/>
      <c r="AM437" s="985">
        <f>_xll.GetCtData("COAMOUNT","CONSAMOUNT",$A$1:$A$7,$D437,AM$10,"#-13193722,0241465")</f>
        <v>-13193722</v>
      </c>
    </row>
    <row r="438" spans="1:39">
      <c r="A438" s="427" t="s">
        <v>6610</v>
      </c>
      <c r="B438" s="427" t="s">
        <v>6610</v>
      </c>
      <c r="D438" s="992" t="s">
        <v>11507</v>
      </c>
      <c r="E438" s="949" t="s">
        <v>2930</v>
      </c>
      <c r="F438" s="950">
        <v>10</v>
      </c>
      <c r="G438" s="950"/>
      <c r="H438" s="950"/>
      <c r="I438" s="950"/>
      <c r="J438" s="950"/>
      <c r="K438" s="950"/>
      <c r="L438" s="950"/>
      <c r="M438" s="950"/>
      <c r="N438" s="950"/>
      <c r="O438" s="950"/>
      <c r="P438" s="950"/>
      <c r="Q438" s="1038"/>
      <c r="R438" s="992" t="s">
        <v>11508</v>
      </c>
      <c r="S438" s="1014" t="s">
        <v>11509</v>
      </c>
      <c r="T438" s="1015">
        <f t="shared" si="37"/>
        <v>120</v>
      </c>
      <c r="U438" s="1040" t="s">
        <v>11510</v>
      </c>
      <c r="V438" s="1015">
        <f t="shared" si="32"/>
        <v>102</v>
      </c>
      <c r="W438" s="1014" t="s">
        <v>11511</v>
      </c>
      <c r="X438" s="1015">
        <f t="shared" si="33"/>
        <v>30</v>
      </c>
      <c r="Y438" s="1016" t="s">
        <v>11512</v>
      </c>
      <c r="Z438" s="1015">
        <f t="shared" si="34"/>
        <v>98</v>
      </c>
      <c r="AA438" s="1016" t="s">
        <v>11512</v>
      </c>
      <c r="AB438" s="1015">
        <f t="shared" si="35"/>
        <v>98</v>
      </c>
      <c r="AC438" s="1016" t="s">
        <v>11513</v>
      </c>
      <c r="AD438" s="1015">
        <f t="shared" si="36"/>
        <v>30</v>
      </c>
      <c r="AE438" s="518" t="s">
        <v>11514</v>
      </c>
      <c r="AF438" s="519" t="s">
        <v>11515</v>
      </c>
      <c r="AG438" s="1021" t="s">
        <v>9179</v>
      </c>
      <c r="AH438" s="1022" t="s">
        <v>169</v>
      </c>
      <c r="AI438" s="530" t="s">
        <v>2969</v>
      </c>
      <c r="AJ438" s="958">
        <v>1</v>
      </c>
      <c r="AK438" s="959" t="s">
        <v>5359</v>
      </c>
      <c r="AL438" s="960" t="s">
        <v>6840</v>
      </c>
      <c r="AM438" s="1018">
        <f>_xll.GetCtData("COAMOUNT","CONSAMOUNT",$A$1:$A$7,$D438,AM$10,"#-13240280,2500825")</f>
        <v>-13240280</v>
      </c>
    </row>
    <row r="439" spans="1:39">
      <c r="A439" s="427" t="s">
        <v>6610</v>
      </c>
      <c r="B439" s="427" t="s">
        <v>6610</v>
      </c>
      <c r="D439" s="992" t="s">
        <v>11516</v>
      </c>
      <c r="E439" s="949" t="s">
        <v>2930</v>
      </c>
      <c r="F439" s="950">
        <v>10</v>
      </c>
      <c r="G439" s="950"/>
      <c r="H439" s="950"/>
      <c r="I439" s="950"/>
      <c r="J439" s="950"/>
      <c r="K439" s="950"/>
      <c r="L439" s="950"/>
      <c r="M439" s="950"/>
      <c r="N439" s="950"/>
      <c r="O439" s="950"/>
      <c r="P439" s="950"/>
      <c r="Q439" s="1038"/>
      <c r="R439" s="992" t="s">
        <v>11517</v>
      </c>
      <c r="S439" s="1014" t="s">
        <v>11518</v>
      </c>
      <c r="T439" s="1015">
        <f t="shared" si="37"/>
        <v>149</v>
      </c>
      <c r="U439" s="1040" t="s">
        <v>11519</v>
      </c>
      <c r="V439" s="1015">
        <f t="shared" si="32"/>
        <v>65</v>
      </c>
      <c r="W439" s="1014" t="s">
        <v>11520</v>
      </c>
      <c r="X439" s="1015">
        <f t="shared" si="33"/>
        <v>22</v>
      </c>
      <c r="Y439" s="1016" t="s">
        <v>11521</v>
      </c>
      <c r="Z439" s="1015">
        <f t="shared" si="34"/>
        <v>72</v>
      </c>
      <c r="AA439" s="1016" t="s">
        <v>11521</v>
      </c>
      <c r="AB439" s="1015">
        <f t="shared" si="35"/>
        <v>72</v>
      </c>
      <c r="AC439" s="1016" t="s">
        <v>11522</v>
      </c>
      <c r="AD439" s="1015">
        <f t="shared" si="36"/>
        <v>28</v>
      </c>
      <c r="AE439" s="518" t="s">
        <v>11523</v>
      </c>
      <c r="AF439" s="519" t="s">
        <v>11524</v>
      </c>
      <c r="AG439" s="1021" t="s">
        <v>9179</v>
      </c>
      <c r="AH439" s="1022" t="s">
        <v>169</v>
      </c>
      <c r="AI439" s="530" t="s">
        <v>2969</v>
      </c>
      <c r="AJ439" s="958">
        <v>1</v>
      </c>
      <c r="AK439" s="959" t="s">
        <v>5359</v>
      </c>
      <c r="AL439" s="960" t="s">
        <v>11525</v>
      </c>
      <c r="AM439" s="1018">
        <f>_xll.GetCtData("COAMOUNT","CONSAMOUNT",$A$1:$A$7,$D439,AM$10,"#46558,2259360684")</f>
        <v>46558</v>
      </c>
    </row>
    <row r="440" spans="1:39">
      <c r="A440" s="427" t="s">
        <v>6610</v>
      </c>
      <c r="B440" s="427" t="s">
        <v>6610</v>
      </c>
      <c r="D440" s="992" t="s">
        <v>11526</v>
      </c>
      <c r="E440" s="949" t="s">
        <v>2930</v>
      </c>
      <c r="F440" s="950">
        <v>10</v>
      </c>
      <c r="G440" s="950"/>
      <c r="H440" s="950"/>
      <c r="I440" s="950"/>
      <c r="J440" s="950"/>
      <c r="K440" s="950"/>
      <c r="L440" s="950"/>
      <c r="M440" s="950"/>
      <c r="N440" s="950"/>
      <c r="O440" s="950"/>
      <c r="P440" s="950"/>
      <c r="Q440" s="1038"/>
      <c r="R440" s="992" t="s">
        <v>11527</v>
      </c>
      <c r="S440" s="1014" t="s">
        <v>11528</v>
      </c>
      <c r="T440" s="1015">
        <f>LEN(S440)</f>
        <v>63</v>
      </c>
      <c r="U440" s="1014" t="s">
        <v>11528</v>
      </c>
      <c r="V440" s="1015">
        <f>LEN(U440)</f>
        <v>63</v>
      </c>
      <c r="W440" s="1014" t="s">
        <v>11529</v>
      </c>
      <c r="X440" s="1015">
        <f>LEN(W440)</f>
        <v>24</v>
      </c>
      <c r="Y440" s="1016" t="s">
        <v>11530</v>
      </c>
      <c r="Z440" s="1015">
        <f>LEN(Y440)</f>
        <v>77</v>
      </c>
      <c r="AA440" s="1016" t="s">
        <v>11530</v>
      </c>
      <c r="AB440" s="1015">
        <f>LEN(AA440)</f>
        <v>77</v>
      </c>
      <c r="AC440" s="1016" t="s">
        <v>11531</v>
      </c>
      <c r="AD440" s="1015">
        <f>LEN(AC440)</f>
        <v>28</v>
      </c>
      <c r="AE440" s="518" t="s">
        <v>11415</v>
      </c>
      <c r="AF440" s="519" t="s">
        <v>11416</v>
      </c>
      <c r="AG440" s="1021" t="s">
        <v>9179</v>
      </c>
      <c r="AH440" s="1022" t="s">
        <v>169</v>
      </c>
      <c r="AI440" s="530" t="s">
        <v>2969</v>
      </c>
      <c r="AJ440" s="958">
        <v>1</v>
      </c>
      <c r="AK440" s="959" t="s">
        <v>5359</v>
      </c>
      <c r="AL440" s="960" t="s">
        <v>11417</v>
      </c>
      <c r="AM440" s="1018">
        <f>_xll.GetCtData("COAMOUNT","CONSAMOUNT",$A$1:$A$7,$D440,AM$10,"#")</f>
        <v>0</v>
      </c>
    </row>
    <row r="441" spans="1:39">
      <c r="A441" s="427" t="s">
        <v>6610</v>
      </c>
      <c r="B441" s="427" t="s">
        <v>6610</v>
      </c>
      <c r="D441" s="981" t="s">
        <v>11532</v>
      </c>
      <c r="E441" s="949" t="s">
        <v>2912</v>
      </c>
      <c r="F441" s="950">
        <v>8</v>
      </c>
      <c r="G441" s="950"/>
      <c r="H441" s="950"/>
      <c r="I441" s="950"/>
      <c r="J441" s="950"/>
      <c r="K441" s="950"/>
      <c r="L441" s="950"/>
      <c r="M441" s="950"/>
      <c r="N441" s="950"/>
      <c r="O441" s="981" t="s">
        <v>11533</v>
      </c>
      <c r="P441" s="982"/>
      <c r="Q441" s="981"/>
      <c r="R441" s="981" t="s">
        <v>11533</v>
      </c>
      <c r="S441" s="981" t="s">
        <v>11534</v>
      </c>
      <c r="T441" s="1002">
        <f t="shared" si="37"/>
        <v>67</v>
      </c>
      <c r="U441" s="981" t="s">
        <v>11534</v>
      </c>
      <c r="V441" s="1002">
        <f t="shared" si="32"/>
        <v>67</v>
      </c>
      <c r="W441" s="981" t="s">
        <v>11535</v>
      </c>
      <c r="X441" s="1002">
        <f t="shared" si="33"/>
        <v>30</v>
      </c>
      <c r="Y441" s="1003" t="s">
        <v>11536</v>
      </c>
      <c r="Z441" s="1002">
        <f t="shared" si="34"/>
        <v>89</v>
      </c>
      <c r="AA441" s="1003" t="s">
        <v>11536</v>
      </c>
      <c r="AB441" s="1002">
        <f t="shared" si="35"/>
        <v>89</v>
      </c>
      <c r="AC441" s="1003" t="s">
        <v>11537</v>
      </c>
      <c r="AD441" s="1002">
        <f t="shared" si="36"/>
        <v>30</v>
      </c>
      <c r="AE441" s="1002"/>
      <c r="AF441" s="1002"/>
      <c r="AG441" s="956"/>
      <c r="AH441" s="957"/>
      <c r="AI441" s="530" t="s">
        <v>2969</v>
      </c>
      <c r="AJ441" s="958">
        <v>1</v>
      </c>
      <c r="AK441" s="959"/>
      <c r="AL441" s="960"/>
      <c r="AM441" s="985">
        <f>_xll.GetCtData("COAMOUNT","CONSAMOUNT",$A$1:$A$7,$D441,AM$10,"#")</f>
        <v>0</v>
      </c>
    </row>
    <row r="442" spans="1:39">
      <c r="A442" s="427" t="s">
        <v>6610</v>
      </c>
      <c r="B442" s="427" t="s">
        <v>6610</v>
      </c>
      <c r="D442" s="992" t="s">
        <v>11538</v>
      </c>
      <c r="E442" s="949" t="s">
        <v>2930</v>
      </c>
      <c r="F442" s="950">
        <v>10</v>
      </c>
      <c r="G442" s="950"/>
      <c r="H442" s="950"/>
      <c r="I442" s="950"/>
      <c r="J442" s="950"/>
      <c r="K442" s="950"/>
      <c r="L442" s="950"/>
      <c r="M442" s="950"/>
      <c r="N442" s="950"/>
      <c r="O442" s="950"/>
      <c r="P442" s="950"/>
      <c r="Q442" s="1038"/>
      <c r="R442" s="992" t="s">
        <v>11539</v>
      </c>
      <c r="S442" s="1014" t="s">
        <v>11540</v>
      </c>
      <c r="T442" s="1015">
        <f t="shared" si="37"/>
        <v>55</v>
      </c>
      <c r="U442" s="1014" t="s">
        <v>11540</v>
      </c>
      <c r="V442" s="1015">
        <f t="shared" si="32"/>
        <v>55</v>
      </c>
      <c r="W442" s="1014" t="s">
        <v>11541</v>
      </c>
      <c r="X442" s="1015">
        <f t="shared" si="33"/>
        <v>27</v>
      </c>
      <c r="Y442" s="1016" t="s">
        <v>11542</v>
      </c>
      <c r="Z442" s="1015">
        <f t="shared" si="34"/>
        <v>72</v>
      </c>
      <c r="AA442" s="1016" t="s">
        <v>11542</v>
      </c>
      <c r="AB442" s="1015">
        <f t="shared" si="35"/>
        <v>72</v>
      </c>
      <c r="AC442" s="1016" t="s">
        <v>11543</v>
      </c>
      <c r="AD442" s="1015">
        <f t="shared" si="36"/>
        <v>30</v>
      </c>
      <c r="AE442" s="518" t="s">
        <v>11430</v>
      </c>
      <c r="AF442" s="519" t="s">
        <v>11431</v>
      </c>
      <c r="AG442" s="1021" t="s">
        <v>9179</v>
      </c>
      <c r="AH442" s="1022" t="s">
        <v>169</v>
      </c>
      <c r="AI442" s="530" t="s">
        <v>2969</v>
      </c>
      <c r="AJ442" s="958">
        <v>1</v>
      </c>
      <c r="AK442" s="959"/>
      <c r="AL442" s="960"/>
      <c r="AM442" s="1018">
        <f>_xll.GetCtData("COAMOUNT","CONSAMOUNT",$A$1:$A$7,$D442,AM$10,"#")</f>
        <v>0</v>
      </c>
    </row>
    <row r="443" spans="1:39">
      <c r="A443" s="427" t="s">
        <v>6610</v>
      </c>
      <c r="B443" s="427" t="s">
        <v>6610</v>
      </c>
      <c r="D443" s="992" t="s">
        <v>11544</v>
      </c>
      <c r="E443" s="949" t="s">
        <v>2930</v>
      </c>
      <c r="F443" s="950">
        <v>10</v>
      </c>
      <c r="G443" s="950"/>
      <c r="H443" s="950"/>
      <c r="I443" s="950"/>
      <c r="J443" s="950"/>
      <c r="K443" s="950"/>
      <c r="L443" s="950"/>
      <c r="M443" s="950"/>
      <c r="N443" s="950"/>
      <c r="O443" s="950"/>
      <c r="P443" s="950"/>
      <c r="Q443" s="1038"/>
      <c r="R443" s="992" t="s">
        <v>11545</v>
      </c>
      <c r="S443" s="1014" t="s">
        <v>11546</v>
      </c>
      <c r="T443" s="1015">
        <f t="shared" si="37"/>
        <v>54</v>
      </c>
      <c r="U443" s="1014" t="s">
        <v>11546</v>
      </c>
      <c r="V443" s="1015">
        <f t="shared" si="32"/>
        <v>54</v>
      </c>
      <c r="W443" s="1014" t="s">
        <v>11547</v>
      </c>
      <c r="X443" s="1015">
        <f t="shared" si="33"/>
        <v>26</v>
      </c>
      <c r="Y443" s="1016" t="s">
        <v>11548</v>
      </c>
      <c r="Z443" s="1015">
        <f t="shared" si="34"/>
        <v>76</v>
      </c>
      <c r="AA443" s="1016" t="s">
        <v>11548</v>
      </c>
      <c r="AB443" s="1015">
        <f t="shared" si="35"/>
        <v>76</v>
      </c>
      <c r="AC443" s="1016" t="s">
        <v>11549</v>
      </c>
      <c r="AD443" s="1015">
        <f t="shared" si="36"/>
        <v>28</v>
      </c>
      <c r="AE443" s="518" t="s">
        <v>11438</v>
      </c>
      <c r="AF443" s="519" t="s">
        <v>11439</v>
      </c>
      <c r="AG443" s="1021" t="s">
        <v>9179</v>
      </c>
      <c r="AH443" s="1022" t="s">
        <v>169</v>
      </c>
      <c r="AI443" s="530" t="s">
        <v>2969</v>
      </c>
      <c r="AJ443" s="958">
        <v>1</v>
      </c>
      <c r="AK443" s="959" t="s">
        <v>5359</v>
      </c>
      <c r="AL443" s="960"/>
      <c r="AM443" s="1018">
        <f>_xll.GetCtData("COAMOUNT","CONSAMOUNT",$A$1:$A$7,$D443,AM$10,"#")</f>
        <v>0</v>
      </c>
    </row>
    <row r="444" spans="1:39">
      <c r="A444" s="427" t="s">
        <v>6610</v>
      </c>
      <c r="B444" s="427" t="s">
        <v>6610</v>
      </c>
      <c r="D444" s="1039" t="s">
        <v>11550</v>
      </c>
      <c r="E444" s="949" t="s">
        <v>2912</v>
      </c>
      <c r="F444" s="950">
        <v>6</v>
      </c>
      <c r="G444" s="950"/>
      <c r="H444" s="950"/>
      <c r="I444" s="950"/>
      <c r="J444" s="950"/>
      <c r="K444" s="950"/>
      <c r="L444" s="950"/>
      <c r="M444" s="1039" t="s">
        <v>11551</v>
      </c>
      <c r="N444" s="970"/>
      <c r="O444" s="970"/>
      <c r="P444" s="970"/>
      <c r="Q444" s="970"/>
      <c r="R444" s="1039" t="s">
        <v>11551</v>
      </c>
      <c r="S444" s="1033" t="s">
        <v>28</v>
      </c>
      <c r="T444" s="1034">
        <f t="shared" si="37"/>
        <v>70</v>
      </c>
      <c r="U444" s="1033" t="s">
        <v>28</v>
      </c>
      <c r="V444" s="1034">
        <f t="shared" si="32"/>
        <v>70</v>
      </c>
      <c r="W444" s="1033" t="s">
        <v>11552</v>
      </c>
      <c r="X444" s="1034">
        <f t="shared" si="33"/>
        <v>30</v>
      </c>
      <c r="Y444" s="1035" t="s">
        <v>11553</v>
      </c>
      <c r="Z444" s="1034">
        <f t="shared" si="34"/>
        <v>53</v>
      </c>
      <c r="AA444" s="1035" t="s">
        <v>11554</v>
      </c>
      <c r="AB444" s="1034">
        <f t="shared" si="35"/>
        <v>52</v>
      </c>
      <c r="AC444" s="1035" t="s">
        <v>11555</v>
      </c>
      <c r="AD444" s="1034">
        <f t="shared" si="36"/>
        <v>29</v>
      </c>
      <c r="AE444" s="1034"/>
      <c r="AF444" s="1034"/>
      <c r="AG444" s="1021"/>
      <c r="AH444" s="1022"/>
      <c r="AI444" s="530" t="s">
        <v>2969</v>
      </c>
      <c r="AJ444" s="958">
        <v>1</v>
      </c>
      <c r="AK444" s="959"/>
      <c r="AL444" s="960" t="s">
        <v>5930</v>
      </c>
      <c r="AM444" s="1036">
        <f>_xll.GetCtData("COAMOUNT","CONSAMOUNT",$A$1:$A$7,$D444,AM$10,"#877653")</f>
        <v>877653</v>
      </c>
    </row>
    <row r="445" spans="1:39">
      <c r="A445" s="427" t="s">
        <v>6610</v>
      </c>
      <c r="B445" s="427" t="s">
        <v>6610</v>
      </c>
      <c r="D445" s="410" t="s">
        <v>11556</v>
      </c>
      <c r="E445" s="949" t="s">
        <v>2912</v>
      </c>
      <c r="F445" s="950">
        <v>7</v>
      </c>
      <c r="G445" s="950"/>
      <c r="H445" s="950"/>
      <c r="I445" s="950"/>
      <c r="J445" s="950"/>
      <c r="K445" s="950"/>
      <c r="L445" s="950"/>
      <c r="M445" s="950"/>
      <c r="N445" s="410" t="s">
        <v>11557</v>
      </c>
      <c r="O445" s="975"/>
      <c r="P445" s="975"/>
      <c r="Q445" s="410"/>
      <c r="R445" s="410" t="s">
        <v>11557</v>
      </c>
      <c r="S445" s="410" t="s">
        <v>11558</v>
      </c>
      <c r="T445" s="976">
        <f t="shared" si="37"/>
        <v>72</v>
      </c>
      <c r="U445" s="410" t="s">
        <v>11558</v>
      </c>
      <c r="V445" s="976">
        <f t="shared" si="32"/>
        <v>72</v>
      </c>
      <c r="W445" s="410" t="s">
        <v>11559</v>
      </c>
      <c r="X445" s="976">
        <f t="shared" si="33"/>
        <v>28</v>
      </c>
      <c r="Y445" s="977" t="s">
        <v>11560</v>
      </c>
      <c r="Z445" s="976">
        <f t="shared" si="34"/>
        <v>68</v>
      </c>
      <c r="AA445" s="977" t="s">
        <v>11560</v>
      </c>
      <c r="AB445" s="976">
        <f t="shared" si="35"/>
        <v>68</v>
      </c>
      <c r="AC445" s="977" t="s">
        <v>11561</v>
      </c>
      <c r="AD445" s="976">
        <f t="shared" si="36"/>
        <v>29</v>
      </c>
      <c r="AE445" s="976"/>
      <c r="AF445" s="976"/>
      <c r="AG445" s="956"/>
      <c r="AH445" s="957"/>
      <c r="AI445" s="530" t="s">
        <v>2969</v>
      </c>
      <c r="AJ445" s="958">
        <v>1</v>
      </c>
      <c r="AK445" s="959"/>
      <c r="AL445" s="960"/>
      <c r="AM445" s="980">
        <f>_xll.GetCtData("COAMOUNT","CONSAMOUNT",$A$1:$A$7,$D445,AM$10,"#879630")</f>
        <v>879630</v>
      </c>
    </row>
    <row r="446" spans="1:39">
      <c r="A446" s="427" t="s">
        <v>6610</v>
      </c>
      <c r="B446" s="427" t="s">
        <v>6610</v>
      </c>
      <c r="D446" s="992" t="s">
        <v>11562</v>
      </c>
      <c r="E446" s="949" t="s">
        <v>2930</v>
      </c>
      <c r="F446" s="950">
        <v>10</v>
      </c>
      <c r="G446" s="950"/>
      <c r="H446" s="950"/>
      <c r="I446" s="950"/>
      <c r="J446" s="950"/>
      <c r="K446" s="950"/>
      <c r="L446" s="950"/>
      <c r="M446" s="950"/>
      <c r="N446" s="950"/>
      <c r="O446" s="950"/>
      <c r="P446" s="950"/>
      <c r="Q446" s="1038"/>
      <c r="R446" s="992" t="s">
        <v>11563</v>
      </c>
      <c r="S446" s="1014" t="s">
        <v>11564</v>
      </c>
      <c r="T446" s="1015">
        <f t="shared" si="37"/>
        <v>119</v>
      </c>
      <c r="U446" s="1014" t="s">
        <v>11565</v>
      </c>
      <c r="V446" s="1015">
        <f t="shared" si="32"/>
        <v>99</v>
      </c>
      <c r="W446" s="1014" t="s">
        <v>11566</v>
      </c>
      <c r="X446" s="1015">
        <f t="shared" si="33"/>
        <v>34</v>
      </c>
      <c r="Y446" s="1016" t="s">
        <v>11567</v>
      </c>
      <c r="Z446" s="1015">
        <f t="shared" si="34"/>
        <v>94</v>
      </c>
      <c r="AA446" s="1016" t="s">
        <v>11567</v>
      </c>
      <c r="AB446" s="1015">
        <f t="shared" si="35"/>
        <v>94</v>
      </c>
      <c r="AC446" s="1016" t="s">
        <v>11568</v>
      </c>
      <c r="AD446" s="1015">
        <f t="shared" si="36"/>
        <v>29</v>
      </c>
      <c r="AE446" s="518" t="s">
        <v>11569</v>
      </c>
      <c r="AF446" s="519" t="s">
        <v>11570</v>
      </c>
      <c r="AG446" s="1021" t="s">
        <v>9179</v>
      </c>
      <c r="AH446" s="1022" t="s">
        <v>169</v>
      </c>
      <c r="AI446" s="530" t="s">
        <v>2969</v>
      </c>
      <c r="AJ446" s="958">
        <v>1</v>
      </c>
      <c r="AK446" s="959" t="s">
        <v>5359</v>
      </c>
      <c r="AL446" s="960" t="s">
        <v>6840</v>
      </c>
      <c r="AM446" s="1018">
        <f>_xll.GetCtData("COAMOUNT","CONSAMOUNT",$A$1:$A$7,$D446,AM$10,"#660187")</f>
        <v>660187</v>
      </c>
    </row>
    <row r="447" spans="1:39">
      <c r="A447" s="427" t="s">
        <v>6610</v>
      </c>
      <c r="B447" s="427" t="s">
        <v>6610</v>
      </c>
      <c r="D447" s="992" t="s">
        <v>11571</v>
      </c>
      <c r="E447" s="949" t="s">
        <v>2930</v>
      </c>
      <c r="F447" s="950">
        <v>10</v>
      </c>
      <c r="G447" s="950"/>
      <c r="H447" s="950"/>
      <c r="I447" s="950"/>
      <c r="J447" s="950"/>
      <c r="K447" s="950"/>
      <c r="L447" s="950"/>
      <c r="M447" s="950"/>
      <c r="N447" s="950"/>
      <c r="O447" s="950"/>
      <c r="P447" s="950"/>
      <c r="Q447" s="1038"/>
      <c r="R447" s="992" t="s">
        <v>11572</v>
      </c>
      <c r="S447" s="1014" t="s">
        <v>11573</v>
      </c>
      <c r="T447" s="1015">
        <f t="shared" si="37"/>
        <v>141</v>
      </c>
      <c r="U447" s="1040" t="s">
        <v>11574</v>
      </c>
      <c r="V447" s="1015">
        <f t="shared" ref="V447:V511" si="38">LEN(U447)</f>
        <v>122</v>
      </c>
      <c r="W447" s="1014" t="s">
        <v>11575</v>
      </c>
      <c r="X447" s="1015">
        <f t="shared" ref="X447:X511" si="39">LEN(W447)</f>
        <v>37</v>
      </c>
      <c r="Y447" s="1016" t="s">
        <v>11576</v>
      </c>
      <c r="Z447" s="1015">
        <f t="shared" ref="Z447:Z511" si="40">LEN(Y447)</f>
        <v>110</v>
      </c>
      <c r="AA447" s="1016" t="s">
        <v>11576</v>
      </c>
      <c r="AB447" s="1015">
        <f t="shared" ref="AB447:AB511" si="41">LEN(AA447)</f>
        <v>110</v>
      </c>
      <c r="AC447" s="1016" t="s">
        <v>11577</v>
      </c>
      <c r="AD447" s="1015">
        <f t="shared" ref="AD447:AD511" si="42">LEN(AC447)</f>
        <v>31</v>
      </c>
      <c r="AE447" s="518" t="s">
        <v>11578</v>
      </c>
      <c r="AF447" s="519" t="s">
        <v>11579</v>
      </c>
      <c r="AG447" s="1021" t="s">
        <v>9179</v>
      </c>
      <c r="AH447" s="1022" t="s">
        <v>169</v>
      </c>
      <c r="AI447" s="530" t="s">
        <v>2969</v>
      </c>
      <c r="AJ447" s="958">
        <v>1</v>
      </c>
      <c r="AK447" s="959" t="s">
        <v>5359</v>
      </c>
      <c r="AL447" s="960" t="s">
        <v>6840</v>
      </c>
      <c r="AM447" s="1018">
        <f>_xll.GetCtData("COAMOUNT","CONSAMOUNT",$A$1:$A$7,$D447,AM$10,"#773204")</f>
        <v>773204</v>
      </c>
    </row>
    <row r="448" spans="1:39">
      <c r="A448" s="427" t="s">
        <v>6610</v>
      </c>
      <c r="B448" s="427" t="s">
        <v>6610</v>
      </c>
      <c r="D448" s="992" t="s">
        <v>11580</v>
      </c>
      <c r="E448" s="949" t="s">
        <v>2930</v>
      </c>
      <c r="F448" s="950">
        <v>10</v>
      </c>
      <c r="G448" s="950"/>
      <c r="H448" s="950"/>
      <c r="I448" s="950"/>
      <c r="J448" s="950"/>
      <c r="K448" s="950"/>
      <c r="L448" s="950"/>
      <c r="M448" s="950"/>
      <c r="N448" s="950"/>
      <c r="O448" s="950"/>
      <c r="P448" s="950"/>
      <c r="Q448" s="1038"/>
      <c r="R448" s="992" t="s">
        <v>11581</v>
      </c>
      <c r="S448" s="1014" t="s">
        <v>11582</v>
      </c>
      <c r="T448" s="1015">
        <f>LEN(S448)</f>
        <v>139</v>
      </c>
      <c r="U448" s="1014" t="s">
        <v>11583</v>
      </c>
      <c r="V448" s="1015">
        <f>LEN(U448)</f>
        <v>119</v>
      </c>
      <c r="W448" s="1014" t="s">
        <v>11584</v>
      </c>
      <c r="X448" s="1015">
        <f>LEN(W448)</f>
        <v>28</v>
      </c>
      <c r="Y448" s="1016" t="s">
        <v>11585</v>
      </c>
      <c r="Z448" s="1015">
        <f>LEN(Y448)</f>
        <v>112</v>
      </c>
      <c r="AA448" s="1016" t="s">
        <v>11585</v>
      </c>
      <c r="AB448" s="1015">
        <f>LEN(AA448)</f>
        <v>112</v>
      </c>
      <c r="AC448" s="1016" t="s">
        <v>11586</v>
      </c>
      <c r="AD448" s="1015">
        <f>LEN(AC448)</f>
        <v>29</v>
      </c>
      <c r="AE448" s="518"/>
      <c r="AF448" s="519"/>
      <c r="AG448" s="1021" t="s">
        <v>9179</v>
      </c>
      <c r="AH448" s="1022" t="s">
        <v>169</v>
      </c>
      <c r="AI448" s="530" t="s">
        <v>2969</v>
      </c>
      <c r="AJ448" s="958">
        <v>1</v>
      </c>
      <c r="AK448" s="959"/>
      <c r="AL448" s="960" t="s">
        <v>11587</v>
      </c>
      <c r="AM448" s="1018">
        <f>_xll.GetCtData("COAMOUNT","CONSAMOUNT",$A$1:$A$7,$D448,AM$10,"#-553761")</f>
        <v>-553761</v>
      </c>
    </row>
    <row r="449" spans="1:39">
      <c r="A449" s="427" t="s">
        <v>6610</v>
      </c>
      <c r="B449" s="427" t="s">
        <v>6610</v>
      </c>
      <c r="D449" s="992" t="s">
        <v>11588</v>
      </c>
      <c r="E449" s="949" t="s">
        <v>2930</v>
      </c>
      <c r="F449" s="950">
        <v>10</v>
      </c>
      <c r="G449" s="950"/>
      <c r="H449" s="950"/>
      <c r="I449" s="950"/>
      <c r="J449" s="950"/>
      <c r="K449" s="950"/>
      <c r="L449" s="950"/>
      <c r="M449" s="950"/>
      <c r="N449" s="950"/>
      <c r="O449" s="950"/>
      <c r="P449" s="950"/>
      <c r="Q449" s="1038"/>
      <c r="R449" s="992" t="s">
        <v>11589</v>
      </c>
      <c r="S449" s="1014" t="s">
        <v>11590</v>
      </c>
      <c r="T449" s="1015">
        <f>LEN(S449)</f>
        <v>91</v>
      </c>
      <c r="U449" s="1014" t="s">
        <v>11590</v>
      </c>
      <c r="V449" s="1015">
        <f>LEN(U449)</f>
        <v>91</v>
      </c>
      <c r="W449" s="1014" t="s">
        <v>11591</v>
      </c>
      <c r="X449" s="1015">
        <f>LEN(W449)</f>
        <v>30</v>
      </c>
      <c r="Y449" s="1016" t="s">
        <v>11592</v>
      </c>
      <c r="Z449" s="1015">
        <f>LEN(Y449)</f>
        <v>90</v>
      </c>
      <c r="AA449" s="1016" t="s">
        <v>11592</v>
      </c>
      <c r="AB449" s="1015">
        <f>LEN(AA449)</f>
        <v>90</v>
      </c>
      <c r="AC449" s="1016" t="s">
        <v>11593</v>
      </c>
      <c r="AD449" s="1015">
        <f>LEN(AC449)</f>
        <v>30</v>
      </c>
      <c r="AE449" s="518" t="s">
        <v>11594</v>
      </c>
      <c r="AF449" s="519" t="s">
        <v>11595</v>
      </c>
      <c r="AG449" s="1021" t="s">
        <v>9179</v>
      </c>
      <c r="AH449" s="1022" t="s">
        <v>169</v>
      </c>
      <c r="AI449" s="530" t="s">
        <v>2969</v>
      </c>
      <c r="AJ449" s="958">
        <v>1</v>
      </c>
      <c r="AK449" s="959" t="s">
        <v>5359</v>
      </c>
      <c r="AL449" s="960" t="s">
        <v>11417</v>
      </c>
      <c r="AM449" s="1018">
        <f>_xll.GetCtData("COAMOUNT","CONSAMOUNT",$A$1:$A$7,$D449,AM$10,"#")</f>
        <v>0</v>
      </c>
    </row>
    <row r="450" spans="1:39">
      <c r="A450" s="427" t="s">
        <v>6610</v>
      </c>
      <c r="B450" s="427" t="s">
        <v>6610</v>
      </c>
      <c r="D450" s="410" t="s">
        <v>11596</v>
      </c>
      <c r="E450" s="949" t="s">
        <v>2912</v>
      </c>
      <c r="F450" s="950">
        <v>7</v>
      </c>
      <c r="G450" s="950"/>
      <c r="H450" s="950"/>
      <c r="I450" s="950"/>
      <c r="J450" s="950"/>
      <c r="K450" s="950"/>
      <c r="L450" s="950"/>
      <c r="M450" s="950"/>
      <c r="N450" s="410" t="s">
        <v>11597</v>
      </c>
      <c r="O450" s="975"/>
      <c r="P450" s="975"/>
      <c r="Q450" s="410"/>
      <c r="R450" s="410" t="s">
        <v>11597</v>
      </c>
      <c r="S450" s="410" t="s">
        <v>11598</v>
      </c>
      <c r="T450" s="976">
        <f>LEN(S450)</f>
        <v>72</v>
      </c>
      <c r="U450" s="410" t="s">
        <v>11598</v>
      </c>
      <c r="V450" s="976">
        <f t="shared" si="38"/>
        <v>72</v>
      </c>
      <c r="W450" s="410" t="s">
        <v>11599</v>
      </c>
      <c r="X450" s="976">
        <f t="shared" si="39"/>
        <v>28</v>
      </c>
      <c r="Y450" s="977" t="s">
        <v>11600</v>
      </c>
      <c r="Z450" s="976">
        <f t="shared" si="40"/>
        <v>68</v>
      </c>
      <c r="AA450" s="977" t="s">
        <v>11600</v>
      </c>
      <c r="AB450" s="976">
        <f t="shared" si="41"/>
        <v>68</v>
      </c>
      <c r="AC450" s="977" t="s">
        <v>11601</v>
      </c>
      <c r="AD450" s="976">
        <f t="shared" si="42"/>
        <v>29</v>
      </c>
      <c r="AE450" s="976"/>
      <c r="AF450" s="976"/>
      <c r="AG450" s="956"/>
      <c r="AH450" s="957"/>
      <c r="AI450" s="530" t="s">
        <v>2969</v>
      </c>
      <c r="AJ450" s="958">
        <v>1</v>
      </c>
      <c r="AK450" s="959"/>
      <c r="AL450" s="960"/>
      <c r="AM450" s="980">
        <f>_xll.GetCtData("COAMOUNT","CONSAMOUNT",$A$1:$A$7,$D450,AM$10,"#-2109")</f>
        <v>-2109</v>
      </c>
    </row>
    <row r="451" spans="1:39">
      <c r="A451" s="427" t="s">
        <v>6610</v>
      </c>
      <c r="B451" s="427" t="s">
        <v>6610</v>
      </c>
      <c r="D451" s="992" t="s">
        <v>11602</v>
      </c>
      <c r="E451" s="949" t="s">
        <v>2930</v>
      </c>
      <c r="F451" s="950">
        <v>10</v>
      </c>
      <c r="G451" s="950"/>
      <c r="H451" s="950"/>
      <c r="I451" s="950"/>
      <c r="J451" s="950"/>
      <c r="K451" s="950"/>
      <c r="L451" s="950"/>
      <c r="M451" s="950"/>
      <c r="N451" s="950"/>
      <c r="O451" s="950"/>
      <c r="P451" s="950"/>
      <c r="Q451" s="1038"/>
      <c r="R451" s="992" t="s">
        <v>11603</v>
      </c>
      <c r="S451" s="1014" t="s">
        <v>11604</v>
      </c>
      <c r="T451" s="1015">
        <f>LEN(S451)</f>
        <v>148</v>
      </c>
      <c r="U451" s="1040" t="s">
        <v>11605</v>
      </c>
      <c r="V451" s="1015">
        <f t="shared" si="38"/>
        <v>130</v>
      </c>
      <c r="W451" s="1014" t="s">
        <v>11606</v>
      </c>
      <c r="X451" s="1015">
        <f t="shared" si="39"/>
        <v>28</v>
      </c>
      <c r="Y451" s="1016" t="s">
        <v>11607</v>
      </c>
      <c r="Z451" s="1015">
        <f t="shared" si="40"/>
        <v>110</v>
      </c>
      <c r="AA451" s="1016" t="s">
        <v>11607</v>
      </c>
      <c r="AB451" s="1015">
        <f t="shared" si="41"/>
        <v>110</v>
      </c>
      <c r="AC451" s="1016" t="s">
        <v>11608</v>
      </c>
      <c r="AD451" s="1015">
        <f t="shared" si="42"/>
        <v>30</v>
      </c>
      <c r="AE451" s="518" t="s">
        <v>11578</v>
      </c>
      <c r="AF451" s="519" t="s">
        <v>11579</v>
      </c>
      <c r="AG451" s="1021" t="s">
        <v>9179</v>
      </c>
      <c r="AH451" s="1022" t="s">
        <v>169</v>
      </c>
      <c r="AI451" s="530" t="s">
        <v>2969</v>
      </c>
      <c r="AJ451" s="958">
        <v>1</v>
      </c>
      <c r="AK451" s="959" t="s">
        <v>5359</v>
      </c>
      <c r="AL451" s="960" t="s">
        <v>6840</v>
      </c>
      <c r="AM451" s="1018">
        <f>_xll.GetCtData("COAMOUNT","CONSAMOUNT",$A$1:$A$7,$D451,AM$10,"#-2109")</f>
        <v>-2109</v>
      </c>
    </row>
    <row r="452" spans="1:39">
      <c r="A452" s="427" t="s">
        <v>6610</v>
      </c>
      <c r="B452" s="427" t="s">
        <v>6610</v>
      </c>
      <c r="D452" s="992" t="s">
        <v>11609</v>
      </c>
      <c r="E452" s="949" t="s">
        <v>2930</v>
      </c>
      <c r="F452" s="950">
        <v>10</v>
      </c>
      <c r="G452" s="950"/>
      <c r="H452" s="950"/>
      <c r="I452" s="950"/>
      <c r="J452" s="950"/>
      <c r="K452" s="950"/>
      <c r="L452" s="950"/>
      <c r="M452" s="950"/>
      <c r="N452" s="950"/>
      <c r="O452" s="950"/>
      <c r="P452" s="950"/>
      <c r="Q452" s="1038"/>
      <c r="R452" s="992" t="s">
        <v>11610</v>
      </c>
      <c r="S452" s="1014" t="s">
        <v>11611</v>
      </c>
      <c r="T452" s="1015">
        <f>LEN(S452)</f>
        <v>91</v>
      </c>
      <c r="U452" s="1014" t="s">
        <v>11611</v>
      </c>
      <c r="V452" s="1015">
        <f t="shared" si="38"/>
        <v>91</v>
      </c>
      <c r="W452" s="1014" t="s">
        <v>11612</v>
      </c>
      <c r="X452" s="1015">
        <f t="shared" si="39"/>
        <v>30</v>
      </c>
      <c r="Y452" s="1016" t="s">
        <v>11613</v>
      </c>
      <c r="Z452" s="1015">
        <f t="shared" si="40"/>
        <v>90</v>
      </c>
      <c r="AA452" s="1016" t="s">
        <v>11613</v>
      </c>
      <c r="AB452" s="1015">
        <f t="shared" si="41"/>
        <v>90</v>
      </c>
      <c r="AC452" s="1016" t="s">
        <v>11614</v>
      </c>
      <c r="AD452" s="1015">
        <f t="shared" si="42"/>
        <v>30</v>
      </c>
      <c r="AE452" s="518" t="s">
        <v>11594</v>
      </c>
      <c r="AF452" s="519" t="s">
        <v>11595</v>
      </c>
      <c r="AG452" s="1021" t="s">
        <v>9179</v>
      </c>
      <c r="AH452" s="1022" t="s">
        <v>169</v>
      </c>
      <c r="AI452" s="530" t="s">
        <v>2969</v>
      </c>
      <c r="AJ452" s="958">
        <v>1</v>
      </c>
      <c r="AK452" s="959" t="s">
        <v>5359</v>
      </c>
      <c r="AL452" s="960" t="s">
        <v>11417</v>
      </c>
      <c r="AM452" s="1018">
        <f>_xll.GetCtData("COAMOUNT","CONSAMOUNT",$A$1:$A$7,$D452,AM$10,"#")</f>
        <v>0</v>
      </c>
    </row>
    <row r="453" spans="1:39">
      <c r="A453" s="427" t="s">
        <v>6610</v>
      </c>
      <c r="B453" s="427" t="s">
        <v>6610</v>
      </c>
      <c r="D453" s="410" t="s">
        <v>11615</v>
      </c>
      <c r="E453" s="949" t="s">
        <v>2912</v>
      </c>
      <c r="F453" s="950">
        <v>7</v>
      </c>
      <c r="G453" s="950"/>
      <c r="H453" s="950"/>
      <c r="I453" s="950"/>
      <c r="J453" s="950"/>
      <c r="K453" s="950"/>
      <c r="L453" s="950"/>
      <c r="M453" s="950"/>
      <c r="N453" s="410" t="s">
        <v>11616</v>
      </c>
      <c r="O453" s="975"/>
      <c r="P453" s="975"/>
      <c r="Q453" s="410"/>
      <c r="R453" s="410" t="s">
        <v>11616</v>
      </c>
      <c r="S453" s="410" t="s">
        <v>11617</v>
      </c>
      <c r="T453" s="976">
        <f t="shared" ref="T453:T517" si="43">LEN(S453)</f>
        <v>72</v>
      </c>
      <c r="U453" s="410" t="s">
        <v>11617</v>
      </c>
      <c r="V453" s="976">
        <f t="shared" si="38"/>
        <v>72</v>
      </c>
      <c r="W453" s="410" t="s">
        <v>11618</v>
      </c>
      <c r="X453" s="976">
        <f t="shared" si="39"/>
        <v>24</v>
      </c>
      <c r="Y453" s="977" t="s">
        <v>11619</v>
      </c>
      <c r="Z453" s="976">
        <f t="shared" si="40"/>
        <v>67</v>
      </c>
      <c r="AA453" s="977" t="s">
        <v>11619</v>
      </c>
      <c r="AB453" s="976">
        <f t="shared" si="41"/>
        <v>67</v>
      </c>
      <c r="AC453" s="977" t="s">
        <v>11620</v>
      </c>
      <c r="AD453" s="976">
        <f t="shared" si="42"/>
        <v>26</v>
      </c>
      <c r="AE453" s="976"/>
      <c r="AF453" s="976"/>
      <c r="AG453" s="956"/>
      <c r="AH453" s="957"/>
      <c r="AI453" s="530" t="s">
        <v>2969</v>
      </c>
      <c r="AJ453" s="958">
        <v>1</v>
      </c>
      <c r="AK453" s="959"/>
      <c r="AL453" s="960"/>
      <c r="AM453" s="980">
        <f>_xll.GetCtData("COAMOUNT","CONSAMOUNT",$A$1:$A$7,$D453,AM$10,"#132")</f>
        <v>132</v>
      </c>
    </row>
    <row r="454" spans="1:39">
      <c r="A454" s="427" t="s">
        <v>6610</v>
      </c>
      <c r="B454" s="427" t="s">
        <v>6610</v>
      </c>
      <c r="D454" s="992" t="s">
        <v>11621</v>
      </c>
      <c r="E454" s="949" t="s">
        <v>2930</v>
      </c>
      <c r="F454" s="950">
        <v>10</v>
      </c>
      <c r="G454" s="950"/>
      <c r="H454" s="950"/>
      <c r="I454" s="950"/>
      <c r="J454" s="950"/>
      <c r="K454" s="950"/>
      <c r="L454" s="950"/>
      <c r="M454" s="950"/>
      <c r="N454" s="950"/>
      <c r="O454" s="950"/>
      <c r="P454" s="950"/>
      <c r="Q454" s="1038"/>
      <c r="R454" s="992" t="s">
        <v>11622</v>
      </c>
      <c r="S454" s="1014" t="s">
        <v>11623</v>
      </c>
      <c r="T454" s="1015">
        <f t="shared" si="43"/>
        <v>119</v>
      </c>
      <c r="U454" s="1040" t="s">
        <v>11624</v>
      </c>
      <c r="V454" s="1015">
        <f t="shared" si="38"/>
        <v>99</v>
      </c>
      <c r="W454" s="1014" t="s">
        <v>11625</v>
      </c>
      <c r="X454" s="1015">
        <f t="shared" si="39"/>
        <v>28</v>
      </c>
      <c r="Y454" s="1016" t="s">
        <v>11626</v>
      </c>
      <c r="Z454" s="1015">
        <f t="shared" si="40"/>
        <v>93</v>
      </c>
      <c r="AA454" s="1016" t="s">
        <v>11626</v>
      </c>
      <c r="AB454" s="1015">
        <f t="shared" si="41"/>
        <v>93</v>
      </c>
      <c r="AC454" s="1016" t="s">
        <v>11627</v>
      </c>
      <c r="AD454" s="1015">
        <f t="shared" si="42"/>
        <v>29</v>
      </c>
      <c r="AE454" s="518" t="s">
        <v>11628</v>
      </c>
      <c r="AF454" s="519" t="s">
        <v>11457</v>
      </c>
      <c r="AG454" s="1021" t="s">
        <v>9179</v>
      </c>
      <c r="AH454" s="1022" t="s">
        <v>169</v>
      </c>
      <c r="AI454" s="530" t="s">
        <v>2969</v>
      </c>
      <c r="AJ454" s="958">
        <v>1</v>
      </c>
      <c r="AK454" s="959" t="s">
        <v>5359</v>
      </c>
      <c r="AL454" s="960" t="s">
        <v>6840</v>
      </c>
      <c r="AM454" s="1018">
        <f>_xll.GetCtData("COAMOUNT","CONSAMOUNT",$A$1:$A$7,$D454,AM$10,"#132")</f>
        <v>132</v>
      </c>
    </row>
    <row r="455" spans="1:39">
      <c r="A455" s="427" t="s">
        <v>6610</v>
      </c>
      <c r="B455" s="427" t="s">
        <v>6610</v>
      </c>
      <c r="D455" s="992" t="s">
        <v>11629</v>
      </c>
      <c r="E455" s="949" t="s">
        <v>2930</v>
      </c>
      <c r="F455" s="950">
        <v>10</v>
      </c>
      <c r="G455" s="950"/>
      <c r="H455" s="950"/>
      <c r="I455" s="950"/>
      <c r="J455" s="950"/>
      <c r="K455" s="950"/>
      <c r="L455" s="950"/>
      <c r="M455" s="950"/>
      <c r="N455" s="950"/>
      <c r="O455" s="950"/>
      <c r="P455" s="950"/>
      <c r="Q455" s="1038"/>
      <c r="R455" s="992" t="s">
        <v>11630</v>
      </c>
      <c r="S455" s="1014" t="s">
        <v>11631</v>
      </c>
      <c r="T455" s="1015">
        <f t="shared" si="43"/>
        <v>141</v>
      </c>
      <c r="U455" s="1040" t="s">
        <v>11632</v>
      </c>
      <c r="V455" s="1015">
        <f t="shared" si="38"/>
        <v>141</v>
      </c>
      <c r="W455" s="1014" t="s">
        <v>11633</v>
      </c>
      <c r="X455" s="1015">
        <f t="shared" si="39"/>
        <v>30</v>
      </c>
      <c r="Y455" s="1016" t="s">
        <v>11634</v>
      </c>
      <c r="Z455" s="1015">
        <f t="shared" si="40"/>
        <v>111</v>
      </c>
      <c r="AA455" s="1016" t="s">
        <v>11634</v>
      </c>
      <c r="AB455" s="1015">
        <f t="shared" si="41"/>
        <v>111</v>
      </c>
      <c r="AC455" s="1016" t="s">
        <v>11635</v>
      </c>
      <c r="AD455" s="1015">
        <f t="shared" si="42"/>
        <v>30</v>
      </c>
      <c r="AE455" s="518" t="s">
        <v>11636</v>
      </c>
      <c r="AF455" s="519" t="s">
        <v>11466</v>
      </c>
      <c r="AG455" s="1021" t="s">
        <v>9179</v>
      </c>
      <c r="AH455" s="1022" t="s">
        <v>169</v>
      </c>
      <c r="AI455" s="530" t="s">
        <v>2969</v>
      </c>
      <c r="AJ455" s="958">
        <v>1</v>
      </c>
      <c r="AK455" s="959" t="s">
        <v>5359</v>
      </c>
      <c r="AL455" s="960" t="s">
        <v>6840</v>
      </c>
      <c r="AM455" s="1018">
        <f>_xll.GetCtData("COAMOUNT","CONSAMOUNT",$A$1:$A$7,$D455,AM$10,"#")</f>
        <v>0</v>
      </c>
    </row>
    <row r="456" spans="1:39">
      <c r="A456" s="427" t="s">
        <v>6610</v>
      </c>
      <c r="B456" s="427" t="s">
        <v>6610</v>
      </c>
      <c r="D456" s="992" t="s">
        <v>11637</v>
      </c>
      <c r="E456" s="949" t="s">
        <v>2930</v>
      </c>
      <c r="F456" s="950">
        <v>10</v>
      </c>
      <c r="G456" s="950"/>
      <c r="H456" s="950"/>
      <c r="I456" s="950"/>
      <c r="J456" s="950"/>
      <c r="K456" s="950"/>
      <c r="L456" s="950"/>
      <c r="M456" s="950"/>
      <c r="N456" s="950"/>
      <c r="O456" s="950"/>
      <c r="P456" s="950"/>
      <c r="Q456" s="1038"/>
      <c r="R456" s="992" t="s">
        <v>11638</v>
      </c>
      <c r="S456" s="1014" t="s">
        <v>11639</v>
      </c>
      <c r="T456" s="1015">
        <f t="shared" si="43"/>
        <v>91</v>
      </c>
      <c r="U456" s="1014" t="s">
        <v>11639</v>
      </c>
      <c r="V456" s="1015">
        <f t="shared" si="38"/>
        <v>91</v>
      </c>
      <c r="W456" s="1014" t="s">
        <v>11640</v>
      </c>
      <c r="X456" s="1015">
        <f t="shared" si="39"/>
        <v>30</v>
      </c>
      <c r="Y456" s="1016" t="s">
        <v>11641</v>
      </c>
      <c r="Z456" s="1015">
        <f t="shared" si="40"/>
        <v>90</v>
      </c>
      <c r="AA456" s="1016" t="s">
        <v>11641</v>
      </c>
      <c r="AB456" s="1015">
        <f t="shared" si="41"/>
        <v>90</v>
      </c>
      <c r="AC456" s="1016" t="s">
        <v>11642</v>
      </c>
      <c r="AD456" s="1015">
        <f t="shared" si="42"/>
        <v>30</v>
      </c>
      <c r="AE456" s="518" t="s">
        <v>11643</v>
      </c>
      <c r="AF456" s="519" t="s">
        <v>11474</v>
      </c>
      <c r="AG456" s="1021" t="s">
        <v>9179</v>
      </c>
      <c r="AH456" s="1022" t="s">
        <v>169</v>
      </c>
      <c r="AI456" s="530" t="s">
        <v>2969</v>
      </c>
      <c r="AJ456" s="958">
        <v>1</v>
      </c>
      <c r="AK456" s="959" t="s">
        <v>5359</v>
      </c>
      <c r="AL456" s="960" t="s">
        <v>11417</v>
      </c>
      <c r="AM456" s="1018">
        <f>_xll.GetCtData("COAMOUNT","CONSAMOUNT",$A$1:$A$7,$D456,AM$10,"#")</f>
        <v>0</v>
      </c>
    </row>
    <row r="457" spans="1:39">
      <c r="A457" s="427" t="s">
        <v>6610</v>
      </c>
      <c r="B457" s="427" t="s">
        <v>6610</v>
      </c>
      <c r="D457" s="962" t="s">
        <v>11644</v>
      </c>
      <c r="E457" s="949" t="s">
        <v>2912</v>
      </c>
      <c r="F457" s="950">
        <v>5</v>
      </c>
      <c r="G457" s="950"/>
      <c r="H457" s="950"/>
      <c r="I457" s="950"/>
      <c r="J457" s="950"/>
      <c r="K457" s="950"/>
      <c r="L457" s="963" t="s">
        <v>11645</v>
      </c>
      <c r="M457" s="964"/>
      <c r="N457" s="964"/>
      <c r="O457" s="964"/>
      <c r="P457" s="964"/>
      <c r="Q457" s="1020"/>
      <c r="R457" s="962" t="s">
        <v>11645</v>
      </c>
      <c r="S457" s="963" t="s">
        <v>11646</v>
      </c>
      <c r="T457" s="1043">
        <f t="shared" si="43"/>
        <v>51</v>
      </c>
      <c r="U457" s="963" t="s">
        <v>11646</v>
      </c>
      <c r="V457" s="1043">
        <f t="shared" si="38"/>
        <v>51</v>
      </c>
      <c r="W457" s="963" t="s">
        <v>2638</v>
      </c>
      <c r="X457" s="1043">
        <f t="shared" si="39"/>
        <v>30</v>
      </c>
      <c r="Y457" s="1044" t="s">
        <v>11647</v>
      </c>
      <c r="Z457" s="1043">
        <f t="shared" si="40"/>
        <v>29</v>
      </c>
      <c r="AA457" s="1044" t="s">
        <v>11647</v>
      </c>
      <c r="AB457" s="1043">
        <f t="shared" si="41"/>
        <v>29</v>
      </c>
      <c r="AC457" s="1044" t="s">
        <v>11648</v>
      </c>
      <c r="AD457" s="1043">
        <f t="shared" si="42"/>
        <v>22</v>
      </c>
      <c r="AE457" s="1043"/>
      <c r="AF457" s="1043"/>
      <c r="AG457" s="956"/>
      <c r="AH457" s="957"/>
      <c r="AI457" s="494" t="s">
        <v>2917</v>
      </c>
      <c r="AJ457" s="958">
        <v>1</v>
      </c>
      <c r="AK457" s="959"/>
      <c r="AL457" s="960"/>
      <c r="AM457" s="969">
        <f>_xll.GetCtData("COAMOUNT","CONSAMOUNT",$A$1:$A$7,$D457,AM$10,"#47640,0687915815")</f>
        <v>47640</v>
      </c>
    </row>
    <row r="458" spans="1:39">
      <c r="A458" s="427" t="s">
        <v>6610</v>
      </c>
      <c r="B458" s="427" t="s">
        <v>6610</v>
      </c>
      <c r="D458" s="970" t="s">
        <v>11649</v>
      </c>
      <c r="E458" s="949" t="s">
        <v>2912</v>
      </c>
      <c r="F458" s="950">
        <v>6</v>
      </c>
      <c r="G458" s="950"/>
      <c r="H458" s="950"/>
      <c r="I458" s="950"/>
      <c r="J458" s="950"/>
      <c r="K458" s="950"/>
      <c r="L458" s="950"/>
      <c r="M458" s="1033" t="s">
        <v>11650</v>
      </c>
      <c r="N458" s="970"/>
      <c r="O458" s="970"/>
      <c r="P458" s="970"/>
      <c r="Q458" s="970"/>
      <c r="R458" s="970" t="s">
        <v>11650</v>
      </c>
      <c r="S458" s="1033" t="s">
        <v>11646</v>
      </c>
      <c r="T458" s="1034">
        <f t="shared" si="43"/>
        <v>51</v>
      </c>
      <c r="U458" s="1033" t="s">
        <v>11646</v>
      </c>
      <c r="V458" s="1034">
        <f t="shared" si="38"/>
        <v>51</v>
      </c>
      <c r="W458" s="1033" t="s">
        <v>11651</v>
      </c>
      <c r="X458" s="1034">
        <f t="shared" si="39"/>
        <v>27</v>
      </c>
      <c r="Y458" s="1035" t="s">
        <v>11647</v>
      </c>
      <c r="Z458" s="1034">
        <f t="shared" si="40"/>
        <v>29</v>
      </c>
      <c r="AA458" s="1035" t="s">
        <v>11647</v>
      </c>
      <c r="AB458" s="1034">
        <f t="shared" si="41"/>
        <v>29</v>
      </c>
      <c r="AC458" s="1035" t="s">
        <v>11647</v>
      </c>
      <c r="AD458" s="1034">
        <f t="shared" si="42"/>
        <v>29</v>
      </c>
      <c r="AE458" s="1034"/>
      <c r="AF458" s="1034"/>
      <c r="AG458" s="956"/>
      <c r="AH458" s="957"/>
      <c r="AI458" s="494" t="s">
        <v>2917</v>
      </c>
      <c r="AJ458" s="958">
        <v>1</v>
      </c>
      <c r="AK458" s="959"/>
      <c r="AL458" s="960"/>
      <c r="AM458" s="1036">
        <f>_xll.GetCtData("COAMOUNT","CONSAMOUNT",$A$1:$A$7,$D458,AM$10,"#47640,0687915815")</f>
        <v>47640</v>
      </c>
    </row>
    <row r="459" spans="1:39">
      <c r="A459" s="427" t="s">
        <v>6610</v>
      </c>
      <c r="B459" s="427" t="s">
        <v>6610</v>
      </c>
      <c r="D459" s="410" t="s">
        <v>11652</v>
      </c>
      <c r="E459" s="949" t="s">
        <v>2912</v>
      </c>
      <c r="F459" s="950">
        <v>7</v>
      </c>
      <c r="G459" s="950"/>
      <c r="H459" s="950"/>
      <c r="I459" s="950"/>
      <c r="J459" s="950"/>
      <c r="K459" s="950"/>
      <c r="L459" s="950"/>
      <c r="M459" s="950"/>
      <c r="N459" s="1009" t="s">
        <v>11653</v>
      </c>
      <c r="O459" s="975"/>
      <c r="P459" s="975"/>
      <c r="Q459" s="410"/>
      <c r="R459" s="410" t="s">
        <v>11654</v>
      </c>
      <c r="S459" s="410" t="s">
        <v>11655</v>
      </c>
      <c r="T459" s="976">
        <f t="shared" si="43"/>
        <v>38</v>
      </c>
      <c r="U459" s="410" t="s">
        <v>11655</v>
      </c>
      <c r="V459" s="976">
        <f t="shared" si="38"/>
        <v>38</v>
      </c>
      <c r="W459" s="410" t="s">
        <v>11656</v>
      </c>
      <c r="X459" s="976">
        <f t="shared" si="39"/>
        <v>24</v>
      </c>
      <c r="Y459" s="977" t="s">
        <v>11657</v>
      </c>
      <c r="Z459" s="976">
        <f t="shared" si="40"/>
        <v>24</v>
      </c>
      <c r="AA459" s="977" t="s">
        <v>11657</v>
      </c>
      <c r="AB459" s="976">
        <f t="shared" si="41"/>
        <v>24</v>
      </c>
      <c r="AC459" s="977" t="s">
        <v>11657</v>
      </c>
      <c r="AD459" s="976">
        <f t="shared" si="42"/>
        <v>24</v>
      </c>
      <c r="AE459" s="976"/>
      <c r="AF459" s="976"/>
      <c r="AG459" s="956"/>
      <c r="AH459" s="957"/>
      <c r="AI459" s="494" t="s">
        <v>2917</v>
      </c>
      <c r="AJ459" s="958">
        <v>1</v>
      </c>
      <c r="AK459" s="959"/>
      <c r="AL459" s="960"/>
      <c r="AM459" s="980" t="str">
        <f>_xll.GetCtData("COAMOUNT","CONSAMOUNT",$A$1:$A$7,$D459,AM$10,"#Le code TR3011 n'existe pas
pour la dimension AC (Rubrique)")</f>
        <v>Le code TR3011 n'existe pas
pour la dimension AC (Rubrique)</v>
      </c>
    </row>
    <row r="460" spans="1:39">
      <c r="A460" s="427" t="s">
        <v>6610</v>
      </c>
      <c r="B460" s="427" t="s">
        <v>6610</v>
      </c>
      <c r="D460" s="990" t="s">
        <v>11658</v>
      </c>
      <c r="E460" s="949" t="s">
        <v>2930</v>
      </c>
      <c r="F460" s="950">
        <v>10</v>
      </c>
      <c r="G460" s="950"/>
      <c r="H460" s="950"/>
      <c r="I460" s="950"/>
      <c r="J460" s="950"/>
      <c r="K460" s="950"/>
      <c r="L460" s="950"/>
      <c r="M460" s="950"/>
      <c r="N460" s="950"/>
      <c r="O460" s="950"/>
      <c r="P460" s="950"/>
      <c r="Q460" s="991"/>
      <c r="R460" s="990" t="s">
        <v>11659</v>
      </c>
      <c r="S460" s="992" t="s">
        <v>11660</v>
      </c>
      <c r="T460" s="993">
        <f t="shared" si="43"/>
        <v>42</v>
      </c>
      <c r="U460" s="992" t="s">
        <v>11660</v>
      </c>
      <c r="V460" s="993">
        <f t="shared" si="38"/>
        <v>42</v>
      </c>
      <c r="W460" s="992" t="s">
        <v>11661</v>
      </c>
      <c r="X460" s="993">
        <f t="shared" si="39"/>
        <v>23</v>
      </c>
      <c r="Y460" s="994" t="s">
        <v>11662</v>
      </c>
      <c r="Z460" s="993">
        <f t="shared" si="40"/>
        <v>24</v>
      </c>
      <c r="AA460" s="994" t="s">
        <v>11662</v>
      </c>
      <c r="AB460" s="993">
        <f t="shared" si="41"/>
        <v>24</v>
      </c>
      <c r="AC460" s="994" t="s">
        <v>11663</v>
      </c>
      <c r="AD460" s="993">
        <f t="shared" si="42"/>
        <v>30</v>
      </c>
      <c r="AE460" s="518" t="s">
        <v>11664</v>
      </c>
      <c r="AF460" s="519" t="s">
        <v>11665</v>
      </c>
      <c r="AG460" s="1021" t="s">
        <v>9179</v>
      </c>
      <c r="AH460" s="1022" t="s">
        <v>169</v>
      </c>
      <c r="AI460" s="494" t="s">
        <v>2917</v>
      </c>
      <c r="AJ460" s="958">
        <v>1</v>
      </c>
      <c r="AK460" s="959" t="s">
        <v>5359</v>
      </c>
      <c r="AL460" s="960"/>
      <c r="AM460" s="997">
        <f>_xll.GetCtData("COAMOUNT","CONSAMOUNT",$A$1:$A$7,$D460,AM$10,"#2734,11910629776")</f>
        <v>2734</v>
      </c>
    </row>
    <row r="461" spans="1:39">
      <c r="A461" s="427" t="s">
        <v>6610</v>
      </c>
      <c r="B461" s="427" t="s">
        <v>6610</v>
      </c>
      <c r="D461" s="990" t="s">
        <v>11666</v>
      </c>
      <c r="E461" s="949" t="s">
        <v>2930</v>
      </c>
      <c r="F461" s="950">
        <v>10</v>
      </c>
      <c r="G461" s="950"/>
      <c r="H461" s="950"/>
      <c r="I461" s="950"/>
      <c r="J461" s="950"/>
      <c r="K461" s="950"/>
      <c r="L461" s="950"/>
      <c r="M461" s="950"/>
      <c r="N461" s="950"/>
      <c r="O461" s="950"/>
      <c r="P461" s="950"/>
      <c r="Q461" s="991"/>
      <c r="R461" s="990" t="s">
        <v>11667</v>
      </c>
      <c r="S461" s="992" t="s">
        <v>11668</v>
      </c>
      <c r="T461" s="993">
        <f>LEN(S461)</f>
        <v>47</v>
      </c>
      <c r="U461" s="992" t="s">
        <v>11668</v>
      </c>
      <c r="V461" s="993">
        <f>LEN(U461)</f>
        <v>47</v>
      </c>
      <c r="W461" s="992" t="s">
        <v>11669</v>
      </c>
      <c r="X461" s="993">
        <f>LEN(W461)</f>
        <v>23</v>
      </c>
      <c r="Y461" s="994" t="s">
        <v>11670</v>
      </c>
      <c r="Z461" s="993">
        <f>LEN(Y461)</f>
        <v>71</v>
      </c>
      <c r="AA461" s="994" t="s">
        <v>11671</v>
      </c>
      <c r="AB461" s="993">
        <f>LEN(AA461)</f>
        <v>44</v>
      </c>
      <c r="AC461" s="994" t="s">
        <v>11672</v>
      </c>
      <c r="AD461" s="993">
        <f>LEN(AC461)</f>
        <v>24</v>
      </c>
      <c r="AE461" s="518" t="s">
        <v>11664</v>
      </c>
      <c r="AF461" s="519" t="s">
        <v>11665</v>
      </c>
      <c r="AG461" s="1021" t="s">
        <v>9179</v>
      </c>
      <c r="AH461" s="1022" t="s">
        <v>169</v>
      </c>
      <c r="AI461" s="1045" t="s">
        <v>11673</v>
      </c>
      <c r="AJ461" s="958">
        <v>1</v>
      </c>
      <c r="AK461" s="959" t="s">
        <v>5359</v>
      </c>
      <c r="AL461" s="960" t="s">
        <v>11674</v>
      </c>
      <c r="AM461" s="997">
        <f>_xll.GetCtData("COAMOUNT","CONSAMOUNT",$A$1:$A$7,$D461,AM$10,"#-21147,5350590109")</f>
        <v>-21147</v>
      </c>
    </row>
    <row r="462" spans="1:39">
      <c r="A462" s="427" t="s">
        <v>6610</v>
      </c>
      <c r="B462" s="427" t="s">
        <v>6610</v>
      </c>
      <c r="D462" s="990" t="s">
        <v>11675</v>
      </c>
      <c r="E462" s="949" t="s">
        <v>2930</v>
      </c>
      <c r="F462" s="950">
        <v>10</v>
      </c>
      <c r="G462" s="950"/>
      <c r="H462" s="950"/>
      <c r="I462" s="950"/>
      <c r="J462" s="950"/>
      <c r="K462" s="950"/>
      <c r="L462" s="950"/>
      <c r="M462" s="950"/>
      <c r="N462" s="950"/>
      <c r="O462" s="950"/>
      <c r="P462" s="950"/>
      <c r="Q462" s="991"/>
      <c r="R462" s="990" t="s">
        <v>11676</v>
      </c>
      <c r="S462" s="992" t="s">
        <v>11677</v>
      </c>
      <c r="T462" s="993">
        <f t="shared" si="43"/>
        <v>54</v>
      </c>
      <c r="U462" s="992" t="s">
        <v>11677</v>
      </c>
      <c r="V462" s="993">
        <f t="shared" si="38"/>
        <v>54</v>
      </c>
      <c r="W462" s="992" t="s">
        <v>11678</v>
      </c>
      <c r="X462" s="993">
        <f t="shared" si="39"/>
        <v>30</v>
      </c>
      <c r="Y462" s="994" t="s">
        <v>11663</v>
      </c>
      <c r="Z462" s="993">
        <f t="shared" si="40"/>
        <v>30</v>
      </c>
      <c r="AA462" s="994" t="s">
        <v>11663</v>
      </c>
      <c r="AB462" s="993">
        <f t="shared" si="41"/>
        <v>30</v>
      </c>
      <c r="AC462" s="994" t="s">
        <v>11679</v>
      </c>
      <c r="AD462" s="993">
        <f t="shared" si="42"/>
        <v>25</v>
      </c>
      <c r="AE462" s="518" t="s">
        <v>11664</v>
      </c>
      <c r="AF462" s="519" t="s">
        <v>11665</v>
      </c>
      <c r="AG462" s="1021" t="s">
        <v>9179</v>
      </c>
      <c r="AH462" s="1022" t="s">
        <v>169</v>
      </c>
      <c r="AI462" s="494" t="s">
        <v>2917</v>
      </c>
      <c r="AJ462" s="958">
        <v>1</v>
      </c>
      <c r="AK462" s="959" t="s">
        <v>5359</v>
      </c>
      <c r="AL462" s="960"/>
      <c r="AM462" s="997">
        <f>_xll.GetCtData("COAMOUNT","CONSAMOUNT",$A$1:$A$7,$D462,AM$10,"#6352")</f>
        <v>6352</v>
      </c>
    </row>
    <row r="463" spans="1:39">
      <c r="A463" s="427" t="s">
        <v>6610</v>
      </c>
      <c r="B463" s="427" t="s">
        <v>6610</v>
      </c>
      <c r="D463" s="410" t="s">
        <v>11680</v>
      </c>
      <c r="E463" s="949" t="s">
        <v>2912</v>
      </c>
      <c r="F463" s="950">
        <v>7</v>
      </c>
      <c r="G463" s="950"/>
      <c r="H463" s="950"/>
      <c r="I463" s="950"/>
      <c r="J463" s="950"/>
      <c r="K463" s="950"/>
      <c r="L463" s="950"/>
      <c r="M463" s="950"/>
      <c r="N463" s="1009" t="s">
        <v>11681</v>
      </c>
      <c r="O463" s="975"/>
      <c r="P463" s="975"/>
      <c r="Q463" s="410"/>
      <c r="R463" s="410" t="s">
        <v>11682</v>
      </c>
      <c r="S463" s="410" t="s">
        <v>11656</v>
      </c>
      <c r="T463" s="976">
        <f t="shared" si="43"/>
        <v>24</v>
      </c>
      <c r="U463" s="410" t="s">
        <v>11656</v>
      </c>
      <c r="V463" s="976">
        <f t="shared" si="38"/>
        <v>24</v>
      </c>
      <c r="W463" s="410" t="s">
        <v>11683</v>
      </c>
      <c r="X463" s="976">
        <f t="shared" si="39"/>
        <v>27</v>
      </c>
      <c r="Y463" s="977" t="s">
        <v>11679</v>
      </c>
      <c r="Z463" s="976">
        <f t="shared" si="40"/>
        <v>25</v>
      </c>
      <c r="AA463" s="977" t="s">
        <v>11679</v>
      </c>
      <c r="AB463" s="976">
        <f t="shared" si="41"/>
        <v>25</v>
      </c>
      <c r="AC463" s="977" t="s">
        <v>11679</v>
      </c>
      <c r="AD463" s="976">
        <f t="shared" si="42"/>
        <v>25</v>
      </c>
      <c r="AE463" s="976"/>
      <c r="AF463" s="976"/>
      <c r="AG463" s="956"/>
      <c r="AH463" s="957"/>
      <c r="AI463" s="494" t="s">
        <v>2917</v>
      </c>
      <c r="AJ463" s="958">
        <v>1</v>
      </c>
      <c r="AK463" s="959"/>
      <c r="AL463" s="960"/>
      <c r="AM463" s="980" t="str">
        <f>_xll.GetCtData("COAMOUNT","CONSAMOUNT",$A$1:$A$7,$D463,AM$10,"#Le code TR3012 n'existe pas
pour la dimension AC (Rubrique)")</f>
        <v>Le code TR3012 n'existe pas
pour la dimension AC (Rubrique)</v>
      </c>
    </row>
    <row r="464" spans="1:39">
      <c r="A464" s="427" t="s">
        <v>6610</v>
      </c>
      <c r="B464" s="427" t="s">
        <v>6610</v>
      </c>
      <c r="D464" s="990" t="s">
        <v>11684</v>
      </c>
      <c r="E464" s="949" t="s">
        <v>2930</v>
      </c>
      <c r="F464" s="950">
        <v>10</v>
      </c>
      <c r="G464" s="950"/>
      <c r="H464" s="950"/>
      <c r="I464" s="950"/>
      <c r="J464" s="950"/>
      <c r="K464" s="950"/>
      <c r="L464" s="950"/>
      <c r="M464" s="950"/>
      <c r="N464" s="950"/>
      <c r="O464" s="950"/>
      <c r="P464" s="950"/>
      <c r="Q464" s="991"/>
      <c r="R464" s="990" t="s">
        <v>11685</v>
      </c>
      <c r="S464" s="992" t="s">
        <v>11656</v>
      </c>
      <c r="T464" s="993">
        <f t="shared" si="43"/>
        <v>24</v>
      </c>
      <c r="U464" s="992" t="s">
        <v>11656</v>
      </c>
      <c r="V464" s="993">
        <f t="shared" si="38"/>
        <v>24</v>
      </c>
      <c r="W464" s="992" t="s">
        <v>11656</v>
      </c>
      <c r="X464" s="993">
        <f t="shared" si="39"/>
        <v>24</v>
      </c>
      <c r="Y464" s="994" t="s">
        <v>11679</v>
      </c>
      <c r="Z464" s="993">
        <f t="shared" si="40"/>
        <v>25</v>
      </c>
      <c r="AA464" s="994" t="s">
        <v>11679</v>
      </c>
      <c r="AB464" s="993">
        <f t="shared" si="41"/>
        <v>25</v>
      </c>
      <c r="AC464" s="994" t="s">
        <v>11686</v>
      </c>
      <c r="AD464" s="993">
        <f t="shared" si="42"/>
        <v>26</v>
      </c>
      <c r="AE464" s="518" t="s">
        <v>11687</v>
      </c>
      <c r="AF464" s="519" t="s">
        <v>11688</v>
      </c>
      <c r="AG464" s="1021" t="s">
        <v>9179</v>
      </c>
      <c r="AH464" s="1022" t="s">
        <v>169</v>
      </c>
      <c r="AI464" s="494" t="s">
        <v>2917</v>
      </c>
      <c r="AJ464" s="958">
        <v>1</v>
      </c>
      <c r="AK464" s="959" t="s">
        <v>5359</v>
      </c>
      <c r="AL464" s="960"/>
      <c r="AM464" s="997">
        <f>_xll.GetCtData("COAMOUNT","CONSAMOUNT",$A$1:$A$7,$D464,AM$10,"#69402,4829160473")</f>
        <v>69402</v>
      </c>
    </row>
    <row r="465" spans="1:39">
      <c r="A465" s="427" t="s">
        <v>6610</v>
      </c>
      <c r="B465" s="427" t="s">
        <v>6610</v>
      </c>
      <c r="D465" s="410" t="s">
        <v>11689</v>
      </c>
      <c r="E465" s="949" t="s">
        <v>2912</v>
      </c>
      <c r="F465" s="950">
        <v>7</v>
      </c>
      <c r="G465" s="950"/>
      <c r="H465" s="950"/>
      <c r="I465" s="950"/>
      <c r="J465" s="950"/>
      <c r="K465" s="950"/>
      <c r="L465" s="950"/>
      <c r="M465" s="950"/>
      <c r="N465" s="1009" t="s">
        <v>11690</v>
      </c>
      <c r="O465" s="975"/>
      <c r="P465" s="975"/>
      <c r="Q465" s="410"/>
      <c r="R465" s="410" t="s">
        <v>11691</v>
      </c>
      <c r="S465" s="410" t="s">
        <v>11692</v>
      </c>
      <c r="T465" s="976">
        <f t="shared" si="43"/>
        <v>26</v>
      </c>
      <c r="U465" s="410" t="s">
        <v>11692</v>
      </c>
      <c r="V465" s="976">
        <f t="shared" si="38"/>
        <v>26</v>
      </c>
      <c r="W465" s="410" t="s">
        <v>11692</v>
      </c>
      <c r="X465" s="976">
        <f t="shared" si="39"/>
        <v>26</v>
      </c>
      <c r="Y465" s="977" t="s">
        <v>11686</v>
      </c>
      <c r="Z465" s="976">
        <f t="shared" si="40"/>
        <v>26</v>
      </c>
      <c r="AA465" s="977" t="s">
        <v>11686</v>
      </c>
      <c r="AB465" s="976">
        <f t="shared" si="41"/>
        <v>26</v>
      </c>
      <c r="AC465" s="977" t="s">
        <v>11686</v>
      </c>
      <c r="AD465" s="976">
        <f t="shared" si="42"/>
        <v>26</v>
      </c>
      <c r="AE465" s="976"/>
      <c r="AF465" s="976"/>
      <c r="AG465" s="956"/>
      <c r="AH465" s="957"/>
      <c r="AI465" s="494" t="s">
        <v>2917</v>
      </c>
      <c r="AJ465" s="958">
        <v>1</v>
      </c>
      <c r="AK465" s="959"/>
      <c r="AL465" s="960"/>
      <c r="AM465" s="980" t="str">
        <f>_xll.GetCtData("COAMOUNT","CONSAMOUNT",$A$1:$A$7,$D465,AM$10,"#Le code TR3013 n'existe pas
pour la dimension AC (Rubrique)")</f>
        <v>Le code TR3013 n'existe pas
pour la dimension AC (Rubrique)</v>
      </c>
    </row>
    <row r="466" spans="1:39">
      <c r="A466" s="427" t="s">
        <v>6610</v>
      </c>
      <c r="B466" s="427" t="s">
        <v>6610</v>
      </c>
      <c r="D466" s="990" t="s">
        <v>11693</v>
      </c>
      <c r="E466" s="949" t="s">
        <v>2930</v>
      </c>
      <c r="F466" s="950">
        <v>10</v>
      </c>
      <c r="G466" s="950"/>
      <c r="H466" s="950"/>
      <c r="I466" s="950"/>
      <c r="J466" s="950"/>
      <c r="K466" s="950"/>
      <c r="L466" s="950"/>
      <c r="M466" s="950"/>
      <c r="N466" s="950"/>
      <c r="O466" s="950"/>
      <c r="P466" s="950"/>
      <c r="Q466" s="991"/>
      <c r="R466" s="990" t="s">
        <v>11694</v>
      </c>
      <c r="S466" s="992" t="s">
        <v>11692</v>
      </c>
      <c r="T466" s="993">
        <f t="shared" si="43"/>
        <v>26</v>
      </c>
      <c r="U466" s="992" t="s">
        <v>11692</v>
      </c>
      <c r="V466" s="993">
        <f t="shared" si="38"/>
        <v>26</v>
      </c>
      <c r="W466" s="1046" t="s">
        <v>11692</v>
      </c>
      <c r="X466" s="993">
        <f t="shared" si="39"/>
        <v>26</v>
      </c>
      <c r="Y466" s="994" t="s">
        <v>11686</v>
      </c>
      <c r="Z466" s="993">
        <f t="shared" si="40"/>
        <v>26</v>
      </c>
      <c r="AA466" s="994" t="s">
        <v>11686</v>
      </c>
      <c r="AB466" s="993">
        <f t="shared" si="41"/>
        <v>26</v>
      </c>
      <c r="AC466" s="994" t="s">
        <v>11686</v>
      </c>
      <c r="AD466" s="993">
        <f t="shared" si="42"/>
        <v>26</v>
      </c>
      <c r="AE466" s="518" t="s">
        <v>10370</v>
      </c>
      <c r="AF466" s="519" t="s">
        <v>10371</v>
      </c>
      <c r="AG466" s="1021" t="s">
        <v>9179</v>
      </c>
      <c r="AH466" s="1022" t="s">
        <v>169</v>
      </c>
      <c r="AI466" s="494" t="s">
        <v>2917</v>
      </c>
      <c r="AJ466" s="958">
        <v>1</v>
      </c>
      <c r="AK466" s="959" t="s">
        <v>5359</v>
      </c>
      <c r="AL466" s="960"/>
      <c r="AM466" s="997">
        <f>_xll.GetCtData("COAMOUNT","CONSAMOUNT",$A$1:$A$7,$D466,AM$10,"#516,516417624181")</f>
        <v>516</v>
      </c>
    </row>
    <row r="467" spans="1:39">
      <c r="A467" s="427" t="s">
        <v>6610</v>
      </c>
      <c r="B467" s="427" t="s">
        <v>6610</v>
      </c>
      <c r="D467" s="990" t="s">
        <v>11695</v>
      </c>
      <c r="E467" s="949" t="s">
        <v>2930</v>
      </c>
      <c r="F467" s="950">
        <v>10</v>
      </c>
      <c r="G467" s="950"/>
      <c r="H467" s="950"/>
      <c r="I467" s="950"/>
      <c r="J467" s="950"/>
      <c r="K467" s="950"/>
      <c r="L467" s="950"/>
      <c r="M467" s="950"/>
      <c r="N467" s="950"/>
      <c r="O467" s="950"/>
      <c r="P467" s="950"/>
      <c r="Q467" s="991"/>
      <c r="R467" s="990" t="s">
        <v>11696</v>
      </c>
      <c r="S467" s="992" t="s">
        <v>11697</v>
      </c>
      <c r="T467" s="993">
        <f t="shared" si="43"/>
        <v>40</v>
      </c>
      <c r="U467" s="992" t="s">
        <v>11697</v>
      </c>
      <c r="V467" s="993">
        <f t="shared" si="38"/>
        <v>40</v>
      </c>
      <c r="W467" s="992" t="s">
        <v>11698</v>
      </c>
      <c r="X467" s="993">
        <f t="shared" si="39"/>
        <v>26</v>
      </c>
      <c r="Y467" s="994" t="s">
        <v>11699</v>
      </c>
      <c r="Z467" s="993">
        <f t="shared" si="40"/>
        <v>32</v>
      </c>
      <c r="AA467" s="994" t="s">
        <v>11699</v>
      </c>
      <c r="AB467" s="993">
        <f t="shared" si="41"/>
        <v>32</v>
      </c>
      <c r="AC467" s="994" t="s">
        <v>11700</v>
      </c>
      <c r="AD467" s="993">
        <f t="shared" si="42"/>
        <v>28</v>
      </c>
      <c r="AE467" s="518" t="s">
        <v>10370</v>
      </c>
      <c r="AF467" s="519" t="s">
        <v>10371</v>
      </c>
      <c r="AG467" s="1021" t="s">
        <v>9179</v>
      </c>
      <c r="AH467" s="1022" t="s">
        <v>169</v>
      </c>
      <c r="AI467" s="494" t="s">
        <v>2917</v>
      </c>
      <c r="AJ467" s="958">
        <v>1</v>
      </c>
      <c r="AK467" s="959" t="s">
        <v>5359</v>
      </c>
      <c r="AL467" s="960"/>
      <c r="AM467" s="997">
        <f>_xll.GetCtData("COAMOUNT","CONSAMOUNT",$A$1:$A$7,$D467,AM$10,"#35")</f>
        <v>35</v>
      </c>
    </row>
    <row r="468" spans="1:39">
      <c r="A468" s="427" t="s">
        <v>6610</v>
      </c>
      <c r="B468" s="427" t="s">
        <v>6610</v>
      </c>
      <c r="D468" s="410" t="s">
        <v>11701</v>
      </c>
      <c r="E468" s="949" t="s">
        <v>2912</v>
      </c>
      <c r="F468" s="950">
        <v>7</v>
      </c>
      <c r="G468" s="950"/>
      <c r="H468" s="950"/>
      <c r="I468" s="950"/>
      <c r="J468" s="950"/>
      <c r="K468" s="950"/>
      <c r="L468" s="950"/>
      <c r="M468" s="950"/>
      <c r="N468" s="1009" t="s">
        <v>11702</v>
      </c>
      <c r="O468" s="975"/>
      <c r="P468" s="975"/>
      <c r="Q468" s="410"/>
      <c r="R468" s="410" t="s">
        <v>11703</v>
      </c>
      <c r="S468" s="410" t="s">
        <v>11704</v>
      </c>
      <c r="T468" s="976">
        <f t="shared" si="43"/>
        <v>77</v>
      </c>
      <c r="U468" s="410" t="s">
        <v>11704</v>
      </c>
      <c r="V468" s="976">
        <f t="shared" si="38"/>
        <v>77</v>
      </c>
      <c r="W468" s="410" t="s">
        <v>11705</v>
      </c>
      <c r="X468" s="976">
        <f t="shared" si="39"/>
        <v>27</v>
      </c>
      <c r="Y468" s="977" t="s">
        <v>11706</v>
      </c>
      <c r="Z468" s="976">
        <f t="shared" si="40"/>
        <v>62</v>
      </c>
      <c r="AA468" s="977" t="s">
        <v>11706</v>
      </c>
      <c r="AB468" s="976">
        <f t="shared" si="41"/>
        <v>62</v>
      </c>
      <c r="AC468" s="977" t="s">
        <v>11647</v>
      </c>
      <c r="AD468" s="976">
        <f t="shared" si="42"/>
        <v>29</v>
      </c>
      <c r="AE468" s="976"/>
      <c r="AF468" s="976"/>
      <c r="AG468" s="956"/>
      <c r="AH468" s="957"/>
      <c r="AI468" s="494" t="s">
        <v>2917</v>
      </c>
      <c r="AJ468" s="958">
        <v>1</v>
      </c>
      <c r="AK468" s="959"/>
      <c r="AL468" s="960"/>
      <c r="AM468" s="980" t="str">
        <f>_xll.GetCtData("COAMOUNT","CONSAMOUNT",$A$1:$A$7,$D468,AM$10,"#Le code TR3014 n'existe pas
pour la dimension AC (Rubrique)")</f>
        <v>Le code TR3014 n'existe pas
pour la dimension AC (Rubrique)</v>
      </c>
    </row>
    <row r="469" spans="1:39">
      <c r="A469" s="427" t="s">
        <v>6610</v>
      </c>
      <c r="B469" s="427" t="s">
        <v>6610</v>
      </c>
      <c r="D469" s="990" t="s">
        <v>11707</v>
      </c>
      <c r="E469" s="949" t="s">
        <v>5409</v>
      </c>
      <c r="F469" s="950">
        <v>10</v>
      </c>
      <c r="G469" s="950"/>
      <c r="H469" s="950"/>
      <c r="I469" s="950"/>
      <c r="J469" s="950"/>
      <c r="K469" s="950"/>
      <c r="L469" s="950"/>
      <c r="M469" s="950"/>
      <c r="N469" s="950"/>
      <c r="O469" s="950"/>
      <c r="P469" s="950"/>
      <c r="Q469" s="991"/>
      <c r="R469" s="990" t="s">
        <v>11708</v>
      </c>
      <c r="S469" s="992" t="s">
        <v>11709</v>
      </c>
      <c r="T469" s="993">
        <f t="shared" si="43"/>
        <v>61</v>
      </c>
      <c r="U469" s="992" t="s">
        <v>11709</v>
      </c>
      <c r="V469" s="993">
        <f t="shared" si="38"/>
        <v>61</v>
      </c>
      <c r="W469" s="992" t="s">
        <v>11710</v>
      </c>
      <c r="X469" s="993">
        <f t="shared" si="39"/>
        <v>24</v>
      </c>
      <c r="Y469" s="994" t="s">
        <v>11711</v>
      </c>
      <c r="Z469" s="993">
        <f t="shared" si="40"/>
        <v>48</v>
      </c>
      <c r="AA469" s="994" t="s">
        <v>11711</v>
      </c>
      <c r="AB469" s="993">
        <f t="shared" si="41"/>
        <v>48</v>
      </c>
      <c r="AC469" s="994" t="s">
        <v>11712</v>
      </c>
      <c r="AD469" s="993">
        <f t="shared" si="42"/>
        <v>26</v>
      </c>
      <c r="AE469" s="518" t="s">
        <v>10210</v>
      </c>
      <c r="AF469" s="519" t="s">
        <v>10211</v>
      </c>
      <c r="AG469" s="1021" t="s">
        <v>9179</v>
      </c>
      <c r="AH469" s="1022" t="s">
        <v>169</v>
      </c>
      <c r="AI469" s="494" t="s">
        <v>2917</v>
      </c>
      <c r="AJ469" s="958">
        <v>1</v>
      </c>
      <c r="AK469" s="959"/>
      <c r="AL469" s="960"/>
      <c r="AM469" s="997">
        <f>_xll.GetCtData("COAMOUNT","CONSAMOUNT",$A$1:$A$7,$D469,AM$10,"#")</f>
        <v>0</v>
      </c>
    </row>
    <row r="470" spans="1:39">
      <c r="A470" s="427" t="s">
        <v>6610</v>
      </c>
      <c r="B470" s="427" t="s">
        <v>6610</v>
      </c>
      <c r="D470" s="990" t="s">
        <v>2787</v>
      </c>
      <c r="E470" s="949" t="s">
        <v>5409</v>
      </c>
      <c r="F470" s="950">
        <v>10</v>
      </c>
      <c r="G470" s="950"/>
      <c r="H470" s="950"/>
      <c r="I470" s="950"/>
      <c r="J470" s="950"/>
      <c r="K470" s="950"/>
      <c r="L470" s="950"/>
      <c r="M470" s="950"/>
      <c r="N470" s="950"/>
      <c r="O470" s="950"/>
      <c r="P470" s="950"/>
      <c r="Q470" s="991"/>
      <c r="R470" s="990" t="s">
        <v>2788</v>
      </c>
      <c r="S470" s="992" t="s">
        <v>2789</v>
      </c>
      <c r="T470" s="993">
        <f t="shared" si="43"/>
        <v>60</v>
      </c>
      <c r="U470" s="992" t="s">
        <v>2789</v>
      </c>
      <c r="V470" s="993">
        <f t="shared" si="38"/>
        <v>60</v>
      </c>
      <c r="W470" s="992" t="s">
        <v>11713</v>
      </c>
      <c r="X470" s="993">
        <f t="shared" si="39"/>
        <v>24</v>
      </c>
      <c r="Y470" s="994" t="s">
        <v>11714</v>
      </c>
      <c r="Z470" s="993">
        <f t="shared" si="40"/>
        <v>43</v>
      </c>
      <c r="AA470" s="994" t="s">
        <v>11714</v>
      </c>
      <c r="AB470" s="993">
        <f t="shared" si="41"/>
        <v>43</v>
      </c>
      <c r="AC470" s="994" t="s">
        <v>11715</v>
      </c>
      <c r="AD470" s="993">
        <f t="shared" si="42"/>
        <v>25</v>
      </c>
      <c r="AE470" s="518" t="s">
        <v>10219</v>
      </c>
      <c r="AF470" s="519" t="s">
        <v>10220</v>
      </c>
      <c r="AG470" s="1021" t="s">
        <v>9179</v>
      </c>
      <c r="AH470" s="1022" t="s">
        <v>169</v>
      </c>
      <c r="AI470" s="494" t="s">
        <v>2917</v>
      </c>
      <c r="AJ470" s="958">
        <v>1</v>
      </c>
      <c r="AK470" s="959" t="s">
        <v>5359</v>
      </c>
      <c r="AL470" s="960"/>
      <c r="AM470" s="997">
        <f>_xll.GetCtData("COAMOUNT","CONSAMOUNT",$A$1:$A$7,$D470,AM$10,"#-10252,5145893769")</f>
        <v>-10252</v>
      </c>
    </row>
    <row r="471" spans="1:39">
      <c r="A471" s="427" t="s">
        <v>6610</v>
      </c>
      <c r="B471" s="427" t="s">
        <v>6610</v>
      </c>
      <c r="D471" s="963" t="s">
        <v>11716</v>
      </c>
      <c r="E471" s="949" t="s">
        <v>2912</v>
      </c>
      <c r="F471" s="950">
        <v>5</v>
      </c>
      <c r="G471" s="950"/>
      <c r="H471" s="950"/>
      <c r="I471" s="950"/>
      <c r="J471" s="950"/>
      <c r="K471" s="950"/>
      <c r="L471" s="963" t="s">
        <v>11717</v>
      </c>
      <c r="M471" s="964"/>
      <c r="N471" s="964"/>
      <c r="O471" s="964"/>
      <c r="P471" s="964"/>
      <c r="Q471" s="1020"/>
      <c r="R471" s="963" t="s">
        <v>11717</v>
      </c>
      <c r="S471" s="963" t="s">
        <v>2638</v>
      </c>
      <c r="T471" s="1043">
        <f t="shared" si="43"/>
        <v>30</v>
      </c>
      <c r="U471" s="963" t="s">
        <v>2638</v>
      </c>
      <c r="V471" s="1043">
        <f t="shared" si="38"/>
        <v>30</v>
      </c>
      <c r="W471" s="963" t="s">
        <v>11718</v>
      </c>
      <c r="X471" s="1043">
        <f t="shared" si="39"/>
        <v>16</v>
      </c>
      <c r="Y471" s="1044" t="s">
        <v>11648</v>
      </c>
      <c r="Z471" s="1043">
        <f t="shared" si="40"/>
        <v>22</v>
      </c>
      <c r="AA471" s="1044" t="s">
        <v>11648</v>
      </c>
      <c r="AB471" s="1043">
        <f t="shared" si="41"/>
        <v>22</v>
      </c>
      <c r="AC471" s="1044" t="s">
        <v>11648</v>
      </c>
      <c r="AD471" s="1043">
        <f t="shared" si="42"/>
        <v>22</v>
      </c>
      <c r="AE471" s="1043"/>
      <c r="AF471" s="1043"/>
      <c r="AG471" s="956"/>
      <c r="AH471" s="957"/>
      <c r="AI471" s="494" t="s">
        <v>2917</v>
      </c>
      <c r="AJ471" s="958">
        <v>1</v>
      </c>
      <c r="AK471" s="959"/>
      <c r="AL471" s="960"/>
      <c r="AM471" s="969">
        <f>_xll.GetCtData("COAMOUNT","CONSAMOUNT",$A$1:$A$7,$D471,AM$10,"#0")</f>
        <v>0</v>
      </c>
    </row>
    <row r="472" spans="1:39">
      <c r="A472" s="427" t="s">
        <v>6610</v>
      </c>
      <c r="B472" s="427" t="s">
        <v>6610</v>
      </c>
      <c r="D472" s="990" t="s">
        <v>11719</v>
      </c>
      <c r="E472" s="949" t="s">
        <v>2930</v>
      </c>
      <c r="F472" s="950">
        <v>10</v>
      </c>
      <c r="G472" s="950"/>
      <c r="H472" s="950"/>
      <c r="I472" s="950"/>
      <c r="J472" s="950"/>
      <c r="K472" s="950"/>
      <c r="L472" s="950"/>
      <c r="M472" s="950"/>
      <c r="N472" s="950"/>
      <c r="O472" s="950"/>
      <c r="P472" s="950"/>
      <c r="Q472" s="991"/>
      <c r="R472" s="990" t="s">
        <v>11720</v>
      </c>
      <c r="S472" s="992" t="s">
        <v>2638</v>
      </c>
      <c r="T472" s="993">
        <f t="shared" si="43"/>
        <v>30</v>
      </c>
      <c r="U472" s="992" t="s">
        <v>2638</v>
      </c>
      <c r="V472" s="993">
        <f t="shared" si="38"/>
        <v>30</v>
      </c>
      <c r="W472" s="992" t="s">
        <v>11718</v>
      </c>
      <c r="X472" s="993">
        <f t="shared" si="39"/>
        <v>16</v>
      </c>
      <c r="Y472" s="994" t="s">
        <v>11648</v>
      </c>
      <c r="Z472" s="993">
        <f t="shared" si="40"/>
        <v>22</v>
      </c>
      <c r="AA472" s="994" t="s">
        <v>11648</v>
      </c>
      <c r="AB472" s="993">
        <f t="shared" si="41"/>
        <v>22</v>
      </c>
      <c r="AC472" s="994" t="s">
        <v>11648</v>
      </c>
      <c r="AD472" s="993">
        <f t="shared" si="42"/>
        <v>22</v>
      </c>
      <c r="AE472" s="518" t="s">
        <v>10997</v>
      </c>
      <c r="AF472" s="519" t="s">
        <v>10998</v>
      </c>
      <c r="AG472" s="1021" t="s">
        <v>9179</v>
      </c>
      <c r="AH472" s="1022" t="s">
        <v>169</v>
      </c>
      <c r="AI472" s="494" t="s">
        <v>2917</v>
      </c>
      <c r="AJ472" s="958">
        <v>1</v>
      </c>
      <c r="AK472" s="959"/>
      <c r="AL472" s="960"/>
      <c r="AM472" s="997">
        <f>_xll.GetCtData("COAMOUNT","CONSAMOUNT",$A$1:$A$7,$D472,AM$10,"#0")</f>
        <v>0</v>
      </c>
    </row>
    <row r="473" spans="1:39">
      <c r="A473" s="427" t="s">
        <v>6610</v>
      </c>
      <c r="B473" s="427" t="s">
        <v>6610</v>
      </c>
      <c r="D473" s="962" t="s">
        <v>1173</v>
      </c>
      <c r="E473" s="949" t="s">
        <v>2912</v>
      </c>
      <c r="F473" s="950">
        <v>5</v>
      </c>
      <c r="G473" s="950"/>
      <c r="H473" s="950"/>
      <c r="I473" s="950"/>
      <c r="J473" s="950"/>
      <c r="K473" s="950"/>
      <c r="L473" s="963" t="s">
        <v>1835</v>
      </c>
      <c r="M473" s="964"/>
      <c r="N473" s="964"/>
      <c r="O473" s="964"/>
      <c r="P473" s="964"/>
      <c r="Q473" s="1020"/>
      <c r="R473" s="962" t="s">
        <v>1835</v>
      </c>
      <c r="S473" s="963" t="s">
        <v>11721</v>
      </c>
      <c r="T473" s="965">
        <f t="shared" si="43"/>
        <v>35</v>
      </c>
      <c r="U473" s="963" t="s">
        <v>11721</v>
      </c>
      <c r="V473" s="965">
        <f t="shared" si="38"/>
        <v>35</v>
      </c>
      <c r="W473" s="963" t="s">
        <v>11722</v>
      </c>
      <c r="X473" s="965">
        <f t="shared" si="39"/>
        <v>29</v>
      </c>
      <c r="Y473" s="966" t="s">
        <v>11723</v>
      </c>
      <c r="Z473" s="965">
        <f t="shared" si="40"/>
        <v>44</v>
      </c>
      <c r="AA473" s="966" t="s">
        <v>11723</v>
      </c>
      <c r="AB473" s="965">
        <f t="shared" si="41"/>
        <v>44</v>
      </c>
      <c r="AC473" s="966" t="s">
        <v>11724</v>
      </c>
      <c r="AD473" s="965">
        <f t="shared" si="42"/>
        <v>25</v>
      </c>
      <c r="AE473" s="965"/>
      <c r="AF473" s="965"/>
      <c r="AG473" s="956"/>
      <c r="AH473" s="957"/>
      <c r="AI473" s="494" t="s">
        <v>2917</v>
      </c>
      <c r="AJ473" s="958">
        <v>1</v>
      </c>
      <c r="AK473" s="959"/>
      <c r="AL473" s="960"/>
      <c r="AM473" s="969">
        <f>_xll.GetCtData("COAMOUNT","CONSAMOUNT",$A$1:$A$7,$D473,AM$10,"#-839409,216623721")</f>
        <v>-839409</v>
      </c>
    </row>
    <row r="474" spans="1:39">
      <c r="A474" s="427" t="s">
        <v>6610</v>
      </c>
      <c r="B474" s="427" t="s">
        <v>6610</v>
      </c>
      <c r="D474" s="970" t="s">
        <v>11725</v>
      </c>
      <c r="E474" s="949" t="s">
        <v>2912</v>
      </c>
      <c r="F474" s="950">
        <v>6</v>
      </c>
      <c r="G474" s="950"/>
      <c r="H474" s="950"/>
      <c r="I474" s="950"/>
      <c r="J474" s="950"/>
      <c r="K474" s="950"/>
      <c r="L474" s="950"/>
      <c r="M474" s="970" t="s">
        <v>1813</v>
      </c>
      <c r="N474" s="970"/>
      <c r="O474" s="970"/>
      <c r="P474" s="970"/>
      <c r="Q474" s="970"/>
      <c r="R474" s="970" t="s">
        <v>1813</v>
      </c>
      <c r="S474" s="970" t="s">
        <v>1783</v>
      </c>
      <c r="T474" s="972">
        <f t="shared" si="43"/>
        <v>40</v>
      </c>
      <c r="U474" s="970" t="s">
        <v>1783</v>
      </c>
      <c r="V474" s="972">
        <f t="shared" si="38"/>
        <v>40</v>
      </c>
      <c r="W474" s="970" t="s">
        <v>11726</v>
      </c>
      <c r="X474" s="972">
        <f t="shared" si="39"/>
        <v>30</v>
      </c>
      <c r="Y474" s="973" t="s">
        <v>11727</v>
      </c>
      <c r="Z474" s="972">
        <f t="shared" si="40"/>
        <v>39</v>
      </c>
      <c r="AA474" s="973" t="s">
        <v>11727</v>
      </c>
      <c r="AB474" s="972">
        <f t="shared" si="41"/>
        <v>39</v>
      </c>
      <c r="AC474" s="973" t="s">
        <v>11728</v>
      </c>
      <c r="AD474" s="972">
        <f t="shared" si="42"/>
        <v>30</v>
      </c>
      <c r="AE474" s="972"/>
      <c r="AF474" s="972"/>
      <c r="AG474" s="956"/>
      <c r="AH474" s="957"/>
      <c r="AI474" s="494" t="s">
        <v>2917</v>
      </c>
      <c r="AJ474" s="958">
        <v>1</v>
      </c>
      <c r="AK474" s="959"/>
      <c r="AL474" s="960"/>
      <c r="AM474" s="974">
        <f>_xll.GetCtData("COAMOUNT","CONSAMOUNT",$A$1:$A$7,$D474,AM$10,"#-11933")</f>
        <v>-11933</v>
      </c>
    </row>
    <row r="475" spans="1:39">
      <c r="A475" s="427" t="s">
        <v>6610</v>
      </c>
      <c r="B475" s="427" t="s">
        <v>6610</v>
      </c>
      <c r="D475" s="410" t="s">
        <v>11729</v>
      </c>
      <c r="E475" s="949" t="s">
        <v>2912</v>
      </c>
      <c r="F475" s="950">
        <v>7</v>
      </c>
      <c r="G475" s="950"/>
      <c r="H475" s="950"/>
      <c r="I475" s="950"/>
      <c r="J475" s="950"/>
      <c r="K475" s="950"/>
      <c r="L475" s="950"/>
      <c r="M475" s="950"/>
      <c r="N475" s="1009" t="s">
        <v>11730</v>
      </c>
      <c r="O475" s="975"/>
      <c r="P475" s="975"/>
      <c r="Q475" s="1047"/>
      <c r="R475" s="410" t="s">
        <v>11730</v>
      </c>
      <c r="S475" s="1047" t="s">
        <v>11731</v>
      </c>
      <c r="T475" s="1048">
        <f t="shared" si="43"/>
        <v>58</v>
      </c>
      <c r="U475" s="1047" t="s">
        <v>11731</v>
      </c>
      <c r="V475" s="1048">
        <f t="shared" si="38"/>
        <v>58</v>
      </c>
      <c r="W475" s="1047" t="s">
        <v>11732</v>
      </c>
      <c r="X475" s="1048">
        <f t="shared" si="39"/>
        <v>30</v>
      </c>
      <c r="Y475" s="1049" t="s">
        <v>11733</v>
      </c>
      <c r="Z475" s="1048">
        <f t="shared" si="40"/>
        <v>57</v>
      </c>
      <c r="AA475" s="1049" t="s">
        <v>11733</v>
      </c>
      <c r="AB475" s="1048">
        <f t="shared" si="41"/>
        <v>57</v>
      </c>
      <c r="AC475" s="1049" t="s">
        <v>11734</v>
      </c>
      <c r="AD475" s="1048">
        <f t="shared" si="42"/>
        <v>29</v>
      </c>
      <c r="AE475" s="1048"/>
      <c r="AF475" s="1048"/>
      <c r="AG475" s="956"/>
      <c r="AH475" s="957"/>
      <c r="AI475" s="494" t="s">
        <v>2917</v>
      </c>
      <c r="AJ475" s="958">
        <v>1</v>
      </c>
      <c r="AK475" s="959"/>
      <c r="AL475" s="960"/>
      <c r="AM475" s="1050">
        <f>_xll.GetCtData("COAMOUNT","CONSAMOUNT",$A$1:$A$7,$D475,AM$10,"#-2799")</f>
        <v>-2799</v>
      </c>
    </row>
    <row r="476" spans="1:39">
      <c r="A476" s="427" t="s">
        <v>6610</v>
      </c>
      <c r="B476" s="427" t="s">
        <v>6610</v>
      </c>
      <c r="D476" s="1051" t="s">
        <v>11735</v>
      </c>
      <c r="E476" s="949" t="s">
        <v>2930</v>
      </c>
      <c r="F476" s="950">
        <v>10</v>
      </c>
      <c r="G476" s="950"/>
      <c r="H476" s="950"/>
      <c r="I476" s="950"/>
      <c r="J476" s="950"/>
      <c r="K476" s="950"/>
      <c r="L476" s="950"/>
      <c r="M476" s="950"/>
      <c r="N476" s="950"/>
      <c r="O476" s="950"/>
      <c r="P476" s="950"/>
      <c r="Q476" s="950"/>
      <c r="R476" s="1051" t="s">
        <v>1814</v>
      </c>
      <c r="S476" s="1014" t="s">
        <v>11736</v>
      </c>
      <c r="T476" s="1015">
        <f t="shared" si="43"/>
        <v>35</v>
      </c>
      <c r="U476" s="1014" t="s">
        <v>11736</v>
      </c>
      <c r="V476" s="1015">
        <f t="shared" si="38"/>
        <v>35</v>
      </c>
      <c r="W476" s="1014" t="s">
        <v>11737</v>
      </c>
      <c r="X476" s="1015">
        <f t="shared" si="39"/>
        <v>29</v>
      </c>
      <c r="Y476" s="1016" t="s">
        <v>11738</v>
      </c>
      <c r="Z476" s="1015">
        <f t="shared" si="40"/>
        <v>51</v>
      </c>
      <c r="AA476" s="1016" t="s">
        <v>11738</v>
      </c>
      <c r="AB476" s="1015">
        <f t="shared" si="41"/>
        <v>51</v>
      </c>
      <c r="AC476" s="1016" t="s">
        <v>11739</v>
      </c>
      <c r="AD476" s="1015">
        <f t="shared" si="42"/>
        <v>28</v>
      </c>
      <c r="AE476" s="518" t="s">
        <v>11740</v>
      </c>
      <c r="AF476" s="519" t="s">
        <v>11741</v>
      </c>
      <c r="AG476" s="1021" t="s">
        <v>9179</v>
      </c>
      <c r="AH476" s="1022" t="s">
        <v>169</v>
      </c>
      <c r="AI476" s="494" t="s">
        <v>2917</v>
      </c>
      <c r="AJ476" s="958">
        <v>1</v>
      </c>
      <c r="AK476" s="959"/>
      <c r="AL476" s="960"/>
      <c r="AM476" s="1018">
        <f>_xll.GetCtData("COAMOUNT","CONSAMOUNT",$A$1:$A$7,$D476,AM$10,"#")</f>
        <v>0</v>
      </c>
    </row>
    <row r="477" spans="1:39">
      <c r="A477" s="427" t="s">
        <v>6610</v>
      </c>
      <c r="B477" s="427" t="s">
        <v>6610</v>
      </c>
      <c r="D477" s="1051" t="s">
        <v>11742</v>
      </c>
      <c r="E477" s="949" t="s">
        <v>2930</v>
      </c>
      <c r="F477" s="950">
        <v>10</v>
      </c>
      <c r="G477" s="950"/>
      <c r="H477" s="950"/>
      <c r="I477" s="950"/>
      <c r="J477" s="950"/>
      <c r="K477" s="950"/>
      <c r="L477" s="950"/>
      <c r="M477" s="950"/>
      <c r="N477" s="950"/>
      <c r="O477" s="950"/>
      <c r="P477" s="950"/>
      <c r="Q477" s="950"/>
      <c r="R477" s="1051" t="s">
        <v>1815</v>
      </c>
      <c r="S477" s="1014" t="s">
        <v>11743</v>
      </c>
      <c r="T477" s="1015">
        <f t="shared" si="43"/>
        <v>48</v>
      </c>
      <c r="U477" s="1014" t="s">
        <v>11743</v>
      </c>
      <c r="V477" s="1015">
        <f t="shared" si="38"/>
        <v>48</v>
      </c>
      <c r="W477" s="1014" t="s">
        <v>11744</v>
      </c>
      <c r="X477" s="1015">
        <f t="shared" si="39"/>
        <v>30</v>
      </c>
      <c r="Y477" s="1016" t="s">
        <v>11745</v>
      </c>
      <c r="Z477" s="1015">
        <f t="shared" si="40"/>
        <v>43</v>
      </c>
      <c r="AA477" s="1016" t="s">
        <v>11745</v>
      </c>
      <c r="AB477" s="1015">
        <f t="shared" si="41"/>
        <v>43</v>
      </c>
      <c r="AC477" s="1016" t="s">
        <v>11746</v>
      </c>
      <c r="AD477" s="1015">
        <f t="shared" si="42"/>
        <v>30</v>
      </c>
      <c r="AE477" s="518" t="s">
        <v>10997</v>
      </c>
      <c r="AF477" s="519" t="s">
        <v>10998</v>
      </c>
      <c r="AG477" s="1021" t="s">
        <v>9179</v>
      </c>
      <c r="AH477" s="1022" t="s">
        <v>169</v>
      </c>
      <c r="AI477" s="494" t="s">
        <v>2917</v>
      </c>
      <c r="AJ477" s="958">
        <v>1</v>
      </c>
      <c r="AK477" s="959"/>
      <c r="AL477" s="960"/>
      <c r="AM477" s="1018">
        <f>_xll.GetCtData("COAMOUNT","CONSAMOUNT",$A$1:$A$7,$D477,AM$10,"#-2799")</f>
        <v>-2799</v>
      </c>
    </row>
    <row r="478" spans="1:39">
      <c r="A478" s="427" t="s">
        <v>6610</v>
      </c>
      <c r="B478" s="427" t="s">
        <v>6610</v>
      </c>
      <c r="D478" s="410" t="s">
        <v>11747</v>
      </c>
      <c r="E478" s="949" t="s">
        <v>2912</v>
      </c>
      <c r="F478" s="950">
        <v>7</v>
      </c>
      <c r="G478" s="950"/>
      <c r="H478" s="950"/>
      <c r="I478" s="950"/>
      <c r="J478" s="950"/>
      <c r="K478" s="950"/>
      <c r="L478" s="950"/>
      <c r="M478" s="950"/>
      <c r="N478" s="1009" t="s">
        <v>11748</v>
      </c>
      <c r="O478" s="975"/>
      <c r="P478" s="975"/>
      <c r="Q478" s="1047"/>
      <c r="R478" s="410" t="s">
        <v>11748</v>
      </c>
      <c r="S478" s="1047" t="s">
        <v>11749</v>
      </c>
      <c r="T478" s="1048">
        <f t="shared" si="43"/>
        <v>43</v>
      </c>
      <c r="U478" s="1047" t="s">
        <v>11749</v>
      </c>
      <c r="V478" s="1048">
        <f t="shared" si="38"/>
        <v>43</v>
      </c>
      <c r="W478" s="1047" t="s">
        <v>11750</v>
      </c>
      <c r="X478" s="1048">
        <f t="shared" si="39"/>
        <v>30</v>
      </c>
      <c r="Y478" s="1049" t="s">
        <v>11751</v>
      </c>
      <c r="Z478" s="1048">
        <f t="shared" si="40"/>
        <v>48</v>
      </c>
      <c r="AA478" s="1049" t="s">
        <v>11751</v>
      </c>
      <c r="AB478" s="1048">
        <f t="shared" si="41"/>
        <v>48</v>
      </c>
      <c r="AC478" s="1049" t="s">
        <v>11752</v>
      </c>
      <c r="AD478" s="1048">
        <f t="shared" si="42"/>
        <v>29</v>
      </c>
      <c r="AE478" s="1048"/>
      <c r="AF478" s="1048"/>
      <c r="AG478" s="956"/>
      <c r="AH478" s="957"/>
      <c r="AI478" s="494" t="s">
        <v>2917</v>
      </c>
      <c r="AJ478" s="958">
        <v>1</v>
      </c>
      <c r="AK478" s="959"/>
      <c r="AL478" s="960"/>
      <c r="AM478" s="1050">
        <f>_xll.GetCtData("COAMOUNT","CONSAMOUNT",$A$1:$A$7,$D478,AM$10,"#-9304")</f>
        <v>-9304</v>
      </c>
    </row>
    <row r="479" spans="1:39">
      <c r="A479" s="427" t="s">
        <v>6610</v>
      </c>
      <c r="B479" s="427" t="s">
        <v>6610</v>
      </c>
      <c r="D479" s="1051" t="s">
        <v>11753</v>
      </c>
      <c r="E479" s="949" t="s">
        <v>2930</v>
      </c>
      <c r="F479" s="950">
        <v>10</v>
      </c>
      <c r="G479" s="950"/>
      <c r="H479" s="950"/>
      <c r="I479" s="950"/>
      <c r="J479" s="950"/>
      <c r="K479" s="950"/>
      <c r="L479" s="950"/>
      <c r="M479" s="950"/>
      <c r="N479" s="950"/>
      <c r="O479" s="950"/>
      <c r="P479" s="950"/>
      <c r="Q479" s="950"/>
      <c r="R479" s="1051" t="s">
        <v>1816</v>
      </c>
      <c r="S479" s="1014" t="s">
        <v>11749</v>
      </c>
      <c r="T479" s="1015">
        <f t="shared" si="43"/>
        <v>43</v>
      </c>
      <c r="U479" s="1014" t="s">
        <v>11749</v>
      </c>
      <c r="V479" s="1015">
        <f t="shared" si="38"/>
        <v>43</v>
      </c>
      <c r="W479" s="1014" t="s">
        <v>11754</v>
      </c>
      <c r="X479" s="1015">
        <f t="shared" si="39"/>
        <v>30</v>
      </c>
      <c r="Y479" s="1016" t="s">
        <v>11751</v>
      </c>
      <c r="Z479" s="1015">
        <f t="shared" si="40"/>
        <v>48</v>
      </c>
      <c r="AA479" s="1016" t="s">
        <v>11751</v>
      </c>
      <c r="AB479" s="1015">
        <f t="shared" si="41"/>
        <v>48</v>
      </c>
      <c r="AC479" s="1016" t="s">
        <v>11752</v>
      </c>
      <c r="AD479" s="1015">
        <f t="shared" si="42"/>
        <v>29</v>
      </c>
      <c r="AE479" s="518" t="s">
        <v>10997</v>
      </c>
      <c r="AF479" s="519" t="s">
        <v>10998</v>
      </c>
      <c r="AG479" s="1021" t="s">
        <v>9179</v>
      </c>
      <c r="AH479" s="1022" t="s">
        <v>169</v>
      </c>
      <c r="AI479" s="494" t="s">
        <v>2917</v>
      </c>
      <c r="AJ479" s="958">
        <v>1</v>
      </c>
      <c r="AK479" s="959"/>
      <c r="AL479" s="960"/>
      <c r="AM479" s="1018">
        <f>_xll.GetCtData("COAMOUNT","CONSAMOUNT",$A$1:$A$7,$D479,AM$10,"#-9304")</f>
        <v>-9304</v>
      </c>
    </row>
    <row r="480" spans="1:39">
      <c r="A480" s="427" t="s">
        <v>6610</v>
      </c>
      <c r="B480" s="427" t="s">
        <v>6610</v>
      </c>
      <c r="D480" s="410" t="s">
        <v>11755</v>
      </c>
      <c r="E480" s="949" t="s">
        <v>2912</v>
      </c>
      <c r="F480" s="950">
        <v>7</v>
      </c>
      <c r="G480" s="950"/>
      <c r="H480" s="950"/>
      <c r="I480" s="950"/>
      <c r="J480" s="950"/>
      <c r="K480" s="950"/>
      <c r="L480" s="950"/>
      <c r="M480" s="950"/>
      <c r="N480" s="1009" t="s">
        <v>11756</v>
      </c>
      <c r="O480" s="975"/>
      <c r="P480" s="975"/>
      <c r="Q480" s="1047"/>
      <c r="R480" s="410" t="s">
        <v>11756</v>
      </c>
      <c r="S480" s="1047" t="s">
        <v>11757</v>
      </c>
      <c r="T480" s="1048">
        <f t="shared" si="43"/>
        <v>48</v>
      </c>
      <c r="U480" s="1047" t="s">
        <v>11757</v>
      </c>
      <c r="V480" s="1048">
        <f t="shared" si="38"/>
        <v>48</v>
      </c>
      <c r="W480" s="1047" t="s">
        <v>11758</v>
      </c>
      <c r="X480" s="1048">
        <f t="shared" si="39"/>
        <v>30</v>
      </c>
      <c r="Y480" s="1049" t="s">
        <v>11759</v>
      </c>
      <c r="Z480" s="1048">
        <f t="shared" si="40"/>
        <v>58</v>
      </c>
      <c r="AA480" s="1049" t="s">
        <v>11759</v>
      </c>
      <c r="AB480" s="1048">
        <f t="shared" si="41"/>
        <v>58</v>
      </c>
      <c r="AC480" s="1049" t="s">
        <v>11760</v>
      </c>
      <c r="AD480" s="1048">
        <f t="shared" si="42"/>
        <v>30</v>
      </c>
      <c r="AE480" s="1048"/>
      <c r="AF480" s="1048"/>
      <c r="AG480" s="956"/>
      <c r="AH480" s="957"/>
      <c r="AI480" s="494" t="s">
        <v>2917</v>
      </c>
      <c r="AJ480" s="958">
        <v>1</v>
      </c>
      <c r="AK480" s="959"/>
      <c r="AL480" s="960"/>
      <c r="AM480" s="1050">
        <f>_xll.GetCtData("COAMOUNT","CONSAMOUNT",$A$1:$A$7,$D480,AM$10,"#")</f>
        <v>0</v>
      </c>
    </row>
    <row r="481" spans="1:39">
      <c r="A481" s="427" t="s">
        <v>6610</v>
      </c>
      <c r="B481" s="427" t="s">
        <v>6610</v>
      </c>
      <c r="D481" s="1051" t="s">
        <v>11761</v>
      </c>
      <c r="E481" s="949" t="s">
        <v>2930</v>
      </c>
      <c r="F481" s="950">
        <v>10</v>
      </c>
      <c r="G481" s="950"/>
      <c r="H481" s="950"/>
      <c r="I481" s="950"/>
      <c r="J481" s="950"/>
      <c r="K481" s="950"/>
      <c r="L481" s="950"/>
      <c r="M481" s="950"/>
      <c r="N481" s="950"/>
      <c r="O481" s="950"/>
      <c r="P481" s="950"/>
      <c r="Q481" s="950"/>
      <c r="R481" s="1051" t="s">
        <v>1817</v>
      </c>
      <c r="S481" s="1014" t="s">
        <v>11762</v>
      </c>
      <c r="T481" s="1015">
        <f t="shared" si="43"/>
        <v>43</v>
      </c>
      <c r="U481" s="1014" t="s">
        <v>11762</v>
      </c>
      <c r="V481" s="1015">
        <f t="shared" si="38"/>
        <v>43</v>
      </c>
      <c r="W481" s="1014" t="s">
        <v>11763</v>
      </c>
      <c r="X481" s="1015">
        <f t="shared" si="39"/>
        <v>30</v>
      </c>
      <c r="Y481" s="1016" t="s">
        <v>11764</v>
      </c>
      <c r="Z481" s="1015">
        <f t="shared" si="40"/>
        <v>64</v>
      </c>
      <c r="AA481" s="1016" t="s">
        <v>11764</v>
      </c>
      <c r="AB481" s="1015">
        <f t="shared" si="41"/>
        <v>64</v>
      </c>
      <c r="AC481" s="1016" t="s">
        <v>11765</v>
      </c>
      <c r="AD481" s="1015">
        <f t="shared" si="42"/>
        <v>30</v>
      </c>
      <c r="AE481" s="518" t="s">
        <v>10997</v>
      </c>
      <c r="AF481" s="519" t="s">
        <v>10998</v>
      </c>
      <c r="AG481" s="1021" t="s">
        <v>9179</v>
      </c>
      <c r="AH481" s="1022" t="s">
        <v>169</v>
      </c>
      <c r="AI481" s="494" t="s">
        <v>2917</v>
      </c>
      <c r="AJ481" s="958">
        <v>1</v>
      </c>
      <c r="AK481" s="959"/>
      <c r="AL481" s="960"/>
      <c r="AM481" s="1018">
        <f>_xll.GetCtData("COAMOUNT","CONSAMOUNT",$A$1:$A$7,$D481,AM$10,"#")</f>
        <v>0</v>
      </c>
    </row>
    <row r="482" spans="1:39">
      <c r="A482" s="427" t="s">
        <v>6610</v>
      </c>
      <c r="B482" s="427" t="s">
        <v>6610</v>
      </c>
      <c r="D482" s="1051" t="s">
        <v>11766</v>
      </c>
      <c r="E482" s="949" t="s">
        <v>2930</v>
      </c>
      <c r="F482" s="950">
        <v>10</v>
      </c>
      <c r="G482" s="950"/>
      <c r="H482" s="950"/>
      <c r="I482" s="950"/>
      <c r="J482" s="950"/>
      <c r="K482" s="950"/>
      <c r="L482" s="950"/>
      <c r="M482" s="950"/>
      <c r="N482" s="950"/>
      <c r="O482" s="950"/>
      <c r="P482" s="950"/>
      <c r="Q482" s="950"/>
      <c r="R482" s="1051" t="s">
        <v>1818</v>
      </c>
      <c r="S482" s="1014" t="s">
        <v>11767</v>
      </c>
      <c r="T482" s="1015">
        <f t="shared" si="43"/>
        <v>46</v>
      </c>
      <c r="U482" s="1014" t="s">
        <v>11767</v>
      </c>
      <c r="V482" s="1015">
        <f t="shared" si="38"/>
        <v>46</v>
      </c>
      <c r="W482" s="1014" t="s">
        <v>11768</v>
      </c>
      <c r="X482" s="1015">
        <f t="shared" si="39"/>
        <v>30</v>
      </c>
      <c r="Y482" s="1016" t="s">
        <v>11769</v>
      </c>
      <c r="Z482" s="1015">
        <f t="shared" si="40"/>
        <v>56</v>
      </c>
      <c r="AA482" s="1016" t="s">
        <v>11769</v>
      </c>
      <c r="AB482" s="1015">
        <f t="shared" si="41"/>
        <v>56</v>
      </c>
      <c r="AC482" s="1016" t="s">
        <v>11770</v>
      </c>
      <c r="AD482" s="1015">
        <f t="shared" si="42"/>
        <v>30</v>
      </c>
      <c r="AE482" s="518" t="s">
        <v>10997</v>
      </c>
      <c r="AF482" s="519" t="s">
        <v>10998</v>
      </c>
      <c r="AG482" s="1021" t="s">
        <v>9179</v>
      </c>
      <c r="AH482" s="1022" t="s">
        <v>169</v>
      </c>
      <c r="AI482" s="494" t="s">
        <v>2917</v>
      </c>
      <c r="AJ482" s="958">
        <v>1</v>
      </c>
      <c r="AK482" s="959"/>
      <c r="AL482" s="960"/>
      <c r="AM482" s="1018">
        <f>_xll.GetCtData("COAMOUNT","CONSAMOUNT",$A$1:$A$7,$D482,AM$10,"#")</f>
        <v>0</v>
      </c>
    </row>
    <row r="483" spans="1:39">
      <c r="A483" s="427" t="s">
        <v>6610</v>
      </c>
      <c r="B483" s="427" t="s">
        <v>6610</v>
      </c>
      <c r="D483" s="410" t="s">
        <v>11771</v>
      </c>
      <c r="E483" s="949" t="s">
        <v>2912</v>
      </c>
      <c r="F483" s="950">
        <v>7</v>
      </c>
      <c r="G483" s="950"/>
      <c r="H483" s="950"/>
      <c r="I483" s="950"/>
      <c r="J483" s="950"/>
      <c r="K483" s="950"/>
      <c r="L483" s="950"/>
      <c r="M483" s="950"/>
      <c r="N483" s="1009" t="s">
        <v>11772</v>
      </c>
      <c r="O483" s="975"/>
      <c r="P483" s="975"/>
      <c r="Q483" s="1047"/>
      <c r="R483" s="410" t="s">
        <v>11772</v>
      </c>
      <c r="S483" s="1047" t="s">
        <v>11773</v>
      </c>
      <c r="T483" s="1048">
        <f t="shared" si="43"/>
        <v>51</v>
      </c>
      <c r="U483" s="1047" t="s">
        <v>11773</v>
      </c>
      <c r="V483" s="1048">
        <f t="shared" si="38"/>
        <v>51</v>
      </c>
      <c r="W483" s="1047" t="s">
        <v>11774</v>
      </c>
      <c r="X483" s="1048">
        <f t="shared" si="39"/>
        <v>30</v>
      </c>
      <c r="Y483" s="1049" t="s">
        <v>11775</v>
      </c>
      <c r="Z483" s="1048">
        <f t="shared" si="40"/>
        <v>56</v>
      </c>
      <c r="AA483" s="1049" t="s">
        <v>11775</v>
      </c>
      <c r="AB483" s="1048">
        <f t="shared" si="41"/>
        <v>56</v>
      </c>
      <c r="AC483" s="1049" t="s">
        <v>11776</v>
      </c>
      <c r="AD483" s="1048">
        <f t="shared" si="42"/>
        <v>29</v>
      </c>
      <c r="AE483" s="1048"/>
      <c r="AF483" s="1048"/>
      <c r="AG483" s="956"/>
      <c r="AH483" s="957"/>
      <c r="AI483" s="494" t="s">
        <v>2917</v>
      </c>
      <c r="AJ483" s="958">
        <v>1</v>
      </c>
      <c r="AK483" s="959"/>
      <c r="AL483" s="960"/>
      <c r="AM483" s="1050">
        <f>_xll.GetCtData("COAMOUNT","CONSAMOUNT",$A$1:$A$7,$D483,AM$10,"#")</f>
        <v>0</v>
      </c>
    </row>
    <row r="484" spans="1:39">
      <c r="A484" s="427" t="s">
        <v>6610</v>
      </c>
      <c r="B484" s="427" t="s">
        <v>6610</v>
      </c>
      <c r="D484" s="1051" t="s">
        <v>11777</v>
      </c>
      <c r="E484" s="949" t="s">
        <v>2930</v>
      </c>
      <c r="F484" s="950">
        <v>10</v>
      </c>
      <c r="G484" s="950"/>
      <c r="H484" s="950"/>
      <c r="I484" s="950"/>
      <c r="J484" s="950"/>
      <c r="K484" s="950"/>
      <c r="L484" s="950"/>
      <c r="M484" s="950"/>
      <c r="N484" s="950"/>
      <c r="O484" s="950"/>
      <c r="P484" s="950"/>
      <c r="Q484" s="950"/>
      <c r="R484" s="1051" t="s">
        <v>1819</v>
      </c>
      <c r="S484" s="1014" t="s">
        <v>11778</v>
      </c>
      <c r="T484" s="1015">
        <f t="shared" si="43"/>
        <v>46</v>
      </c>
      <c r="U484" s="1014" t="s">
        <v>11778</v>
      </c>
      <c r="V484" s="1015">
        <f t="shared" si="38"/>
        <v>46</v>
      </c>
      <c r="W484" s="1014" t="s">
        <v>11779</v>
      </c>
      <c r="X484" s="1015">
        <f t="shared" si="39"/>
        <v>30</v>
      </c>
      <c r="Y484" s="1016" t="s">
        <v>11764</v>
      </c>
      <c r="Z484" s="1015">
        <f t="shared" si="40"/>
        <v>64</v>
      </c>
      <c r="AA484" s="1016" t="s">
        <v>11764</v>
      </c>
      <c r="AB484" s="1015">
        <f t="shared" si="41"/>
        <v>64</v>
      </c>
      <c r="AC484" s="1016" t="s">
        <v>11765</v>
      </c>
      <c r="AD484" s="1015">
        <f t="shared" si="42"/>
        <v>30</v>
      </c>
      <c r="AE484" s="518" t="s">
        <v>10997</v>
      </c>
      <c r="AF484" s="519" t="s">
        <v>10998</v>
      </c>
      <c r="AG484" s="1021" t="s">
        <v>9179</v>
      </c>
      <c r="AH484" s="1022" t="s">
        <v>169</v>
      </c>
      <c r="AI484" s="494" t="s">
        <v>2917</v>
      </c>
      <c r="AJ484" s="958">
        <v>1</v>
      </c>
      <c r="AK484" s="959"/>
      <c r="AL484" s="960"/>
      <c r="AM484" s="1018">
        <f>_xll.GetCtData("COAMOUNT","CONSAMOUNT",$A$1:$A$7,$D484,AM$10,"#")</f>
        <v>0</v>
      </c>
    </row>
    <row r="485" spans="1:39">
      <c r="A485" s="427" t="s">
        <v>6610</v>
      </c>
      <c r="B485" s="427" t="s">
        <v>6610</v>
      </c>
      <c r="D485" s="1051" t="s">
        <v>11780</v>
      </c>
      <c r="E485" s="949" t="s">
        <v>2930</v>
      </c>
      <c r="F485" s="950">
        <v>10</v>
      </c>
      <c r="G485" s="950"/>
      <c r="H485" s="950"/>
      <c r="I485" s="950"/>
      <c r="J485" s="950"/>
      <c r="K485" s="950"/>
      <c r="L485" s="950"/>
      <c r="M485" s="950"/>
      <c r="N485" s="950"/>
      <c r="O485" s="950"/>
      <c r="P485" s="950"/>
      <c r="Q485" s="950"/>
      <c r="R485" s="1051" t="s">
        <v>1820</v>
      </c>
      <c r="S485" s="1014" t="s">
        <v>11781</v>
      </c>
      <c r="T485" s="1015">
        <f t="shared" si="43"/>
        <v>49</v>
      </c>
      <c r="U485" s="1014" t="s">
        <v>11781</v>
      </c>
      <c r="V485" s="1015">
        <f t="shared" si="38"/>
        <v>49</v>
      </c>
      <c r="W485" s="1014" t="s">
        <v>11782</v>
      </c>
      <c r="X485" s="1015">
        <f t="shared" si="39"/>
        <v>30</v>
      </c>
      <c r="Y485" s="1016" t="s">
        <v>11769</v>
      </c>
      <c r="Z485" s="1015">
        <f t="shared" si="40"/>
        <v>56</v>
      </c>
      <c r="AA485" s="1016" t="s">
        <v>11769</v>
      </c>
      <c r="AB485" s="1015">
        <f t="shared" si="41"/>
        <v>56</v>
      </c>
      <c r="AC485" s="1016" t="s">
        <v>11770</v>
      </c>
      <c r="AD485" s="1015">
        <f t="shared" si="42"/>
        <v>30</v>
      </c>
      <c r="AE485" s="518" t="s">
        <v>10997</v>
      </c>
      <c r="AF485" s="519" t="s">
        <v>10998</v>
      </c>
      <c r="AG485" s="1021" t="s">
        <v>9179</v>
      </c>
      <c r="AH485" s="1022" t="s">
        <v>169</v>
      </c>
      <c r="AI485" s="494" t="s">
        <v>2917</v>
      </c>
      <c r="AJ485" s="958">
        <v>1</v>
      </c>
      <c r="AK485" s="959"/>
      <c r="AL485" s="960"/>
      <c r="AM485" s="1018">
        <f>_xll.GetCtData("COAMOUNT","CONSAMOUNT",$A$1:$A$7,$D485,AM$10,"#")</f>
        <v>0</v>
      </c>
    </row>
    <row r="486" spans="1:39">
      <c r="A486" s="427" t="s">
        <v>6610</v>
      </c>
      <c r="B486" s="427" t="s">
        <v>6610</v>
      </c>
      <c r="D486" s="410" t="s">
        <v>11783</v>
      </c>
      <c r="E486" s="949" t="s">
        <v>2912</v>
      </c>
      <c r="F486" s="950">
        <v>7</v>
      </c>
      <c r="G486" s="950"/>
      <c r="H486" s="950"/>
      <c r="I486" s="950"/>
      <c r="J486" s="950"/>
      <c r="K486" s="950"/>
      <c r="L486" s="950"/>
      <c r="M486" s="950"/>
      <c r="N486" s="1009" t="s">
        <v>11784</v>
      </c>
      <c r="O486" s="975"/>
      <c r="P486" s="975"/>
      <c r="Q486" s="1047"/>
      <c r="R486" s="410" t="s">
        <v>11784</v>
      </c>
      <c r="S486" s="1047" t="s">
        <v>11785</v>
      </c>
      <c r="T486" s="1048">
        <f t="shared" si="43"/>
        <v>48</v>
      </c>
      <c r="U486" s="1047" t="s">
        <v>11785</v>
      </c>
      <c r="V486" s="1048">
        <f t="shared" si="38"/>
        <v>48</v>
      </c>
      <c r="W486" s="1047" t="s">
        <v>11786</v>
      </c>
      <c r="X486" s="1048">
        <f t="shared" si="39"/>
        <v>30</v>
      </c>
      <c r="Y486" s="1049" t="s">
        <v>11787</v>
      </c>
      <c r="Z486" s="1048">
        <f t="shared" si="40"/>
        <v>57</v>
      </c>
      <c r="AA486" s="1049" t="s">
        <v>11787</v>
      </c>
      <c r="AB486" s="1048">
        <f t="shared" si="41"/>
        <v>57</v>
      </c>
      <c r="AC486" s="1049" t="s">
        <v>11788</v>
      </c>
      <c r="AD486" s="1048">
        <f t="shared" si="42"/>
        <v>30</v>
      </c>
      <c r="AE486" s="1048"/>
      <c r="AF486" s="1048"/>
      <c r="AG486" s="956"/>
      <c r="AH486" s="957"/>
      <c r="AI486" s="494" t="s">
        <v>2917</v>
      </c>
      <c r="AJ486" s="958">
        <v>1</v>
      </c>
      <c r="AK486" s="959"/>
      <c r="AL486" s="960"/>
      <c r="AM486" s="1050">
        <f>_xll.GetCtData("COAMOUNT","CONSAMOUNT",$A$1:$A$7,$D486,AM$10,"#3382")</f>
        <v>3382</v>
      </c>
    </row>
    <row r="487" spans="1:39">
      <c r="A487" s="427" t="s">
        <v>6610</v>
      </c>
      <c r="B487" s="427" t="s">
        <v>6610</v>
      </c>
      <c r="D487" s="1051" t="s">
        <v>11789</v>
      </c>
      <c r="E487" s="949" t="s">
        <v>2930</v>
      </c>
      <c r="F487" s="950">
        <v>10</v>
      </c>
      <c r="G487" s="950"/>
      <c r="H487" s="950"/>
      <c r="I487" s="950"/>
      <c r="J487" s="950"/>
      <c r="K487" s="950"/>
      <c r="L487" s="950"/>
      <c r="M487" s="950"/>
      <c r="N487" s="950"/>
      <c r="O487" s="950"/>
      <c r="P487" s="950"/>
      <c r="Q487" s="950"/>
      <c r="R487" s="1051" t="s">
        <v>1821</v>
      </c>
      <c r="S487" s="1014" t="s">
        <v>11790</v>
      </c>
      <c r="T487" s="1015">
        <f t="shared" si="43"/>
        <v>56</v>
      </c>
      <c r="U487" s="1014" t="s">
        <v>11790</v>
      </c>
      <c r="V487" s="1015">
        <f t="shared" si="38"/>
        <v>56</v>
      </c>
      <c r="W487" s="1014" t="s">
        <v>11791</v>
      </c>
      <c r="X487" s="1015">
        <f t="shared" si="39"/>
        <v>29</v>
      </c>
      <c r="Y487" s="1016" t="s">
        <v>11787</v>
      </c>
      <c r="Z487" s="1015">
        <f t="shared" si="40"/>
        <v>57</v>
      </c>
      <c r="AA487" s="1016" t="s">
        <v>11787</v>
      </c>
      <c r="AB487" s="1015">
        <f t="shared" si="41"/>
        <v>57</v>
      </c>
      <c r="AC487" s="1016" t="s">
        <v>11788</v>
      </c>
      <c r="AD487" s="1015">
        <f t="shared" si="42"/>
        <v>30</v>
      </c>
      <c r="AE487" s="518" t="s">
        <v>10997</v>
      </c>
      <c r="AF487" s="519" t="s">
        <v>10998</v>
      </c>
      <c r="AG487" s="1021" t="s">
        <v>9179</v>
      </c>
      <c r="AH487" s="1022" t="s">
        <v>169</v>
      </c>
      <c r="AI487" s="494" t="s">
        <v>2917</v>
      </c>
      <c r="AJ487" s="958">
        <v>1</v>
      </c>
      <c r="AK487" s="959"/>
      <c r="AL487" s="960"/>
      <c r="AM487" s="1018">
        <f>_xll.GetCtData("COAMOUNT","CONSAMOUNT",$A$1:$A$7,$D487,AM$10,"#-41703")</f>
        <v>-41703</v>
      </c>
    </row>
    <row r="488" spans="1:39">
      <c r="A488" s="427" t="s">
        <v>6610</v>
      </c>
      <c r="B488" s="427" t="s">
        <v>6610</v>
      </c>
      <c r="D488" s="1051" t="s">
        <v>11792</v>
      </c>
      <c r="E488" s="949" t="s">
        <v>2930</v>
      </c>
      <c r="F488" s="950">
        <v>10</v>
      </c>
      <c r="G488" s="950"/>
      <c r="H488" s="950"/>
      <c r="I488" s="950"/>
      <c r="J488" s="950"/>
      <c r="K488" s="950"/>
      <c r="L488" s="950"/>
      <c r="M488" s="950"/>
      <c r="N488" s="950"/>
      <c r="O488" s="950"/>
      <c r="P488" s="950"/>
      <c r="Q488" s="950"/>
      <c r="R488" s="1051" t="s">
        <v>1822</v>
      </c>
      <c r="S488" s="1014" t="s">
        <v>11793</v>
      </c>
      <c r="T488" s="1015">
        <f t="shared" si="43"/>
        <v>53</v>
      </c>
      <c r="U488" s="1014" t="s">
        <v>11793</v>
      </c>
      <c r="V488" s="1015">
        <f t="shared" si="38"/>
        <v>53</v>
      </c>
      <c r="W488" s="1014" t="s">
        <v>11794</v>
      </c>
      <c r="X488" s="1015">
        <f t="shared" si="39"/>
        <v>30</v>
      </c>
      <c r="Y488" s="1016" t="s">
        <v>11795</v>
      </c>
      <c r="Z488" s="1015">
        <f t="shared" si="40"/>
        <v>52</v>
      </c>
      <c r="AA488" s="1016" t="s">
        <v>11795</v>
      </c>
      <c r="AB488" s="1015">
        <f t="shared" si="41"/>
        <v>52</v>
      </c>
      <c r="AC488" s="1016" t="s">
        <v>11796</v>
      </c>
      <c r="AD488" s="1015">
        <f t="shared" si="42"/>
        <v>30</v>
      </c>
      <c r="AE488" s="518" t="s">
        <v>10997</v>
      </c>
      <c r="AF488" s="519" t="s">
        <v>10998</v>
      </c>
      <c r="AG488" s="1021" t="s">
        <v>9179</v>
      </c>
      <c r="AH488" s="1022" t="s">
        <v>169</v>
      </c>
      <c r="AI488" s="494" t="s">
        <v>2917</v>
      </c>
      <c r="AJ488" s="958">
        <v>1</v>
      </c>
      <c r="AK488" s="959"/>
      <c r="AL488" s="960"/>
      <c r="AM488" s="1018">
        <f>_xll.GetCtData("COAMOUNT","CONSAMOUNT",$A$1:$A$7,$D488,AM$10,"#45085")</f>
        <v>45085</v>
      </c>
    </row>
    <row r="489" spans="1:39">
      <c r="A489" s="427" t="s">
        <v>6610</v>
      </c>
      <c r="B489" s="427" t="s">
        <v>6610</v>
      </c>
      <c r="D489" s="410" t="s">
        <v>11797</v>
      </c>
      <c r="E489" s="949" t="s">
        <v>2912</v>
      </c>
      <c r="F489" s="950">
        <v>7</v>
      </c>
      <c r="G489" s="950"/>
      <c r="H489" s="950"/>
      <c r="I489" s="950"/>
      <c r="J489" s="950"/>
      <c r="K489" s="950"/>
      <c r="L489" s="950"/>
      <c r="M489" s="950"/>
      <c r="N489" s="1009" t="s">
        <v>11798</v>
      </c>
      <c r="O489" s="975"/>
      <c r="P489" s="975"/>
      <c r="Q489" s="1047"/>
      <c r="R489" s="410" t="s">
        <v>11798</v>
      </c>
      <c r="S489" s="1047" t="s">
        <v>11799</v>
      </c>
      <c r="T489" s="1048">
        <f t="shared" si="43"/>
        <v>41</v>
      </c>
      <c r="U489" s="1047" t="s">
        <v>11799</v>
      </c>
      <c r="V489" s="1048">
        <f t="shared" si="38"/>
        <v>41</v>
      </c>
      <c r="W489" s="1047" t="s">
        <v>11800</v>
      </c>
      <c r="X489" s="1048">
        <f t="shared" si="39"/>
        <v>30</v>
      </c>
      <c r="Y489" s="1049" t="s">
        <v>11801</v>
      </c>
      <c r="Z489" s="1048">
        <f t="shared" si="40"/>
        <v>37</v>
      </c>
      <c r="AA489" s="1049" t="s">
        <v>11801</v>
      </c>
      <c r="AB489" s="1048">
        <f t="shared" si="41"/>
        <v>37</v>
      </c>
      <c r="AC489" s="1049" t="s">
        <v>11802</v>
      </c>
      <c r="AD489" s="1048">
        <f t="shared" si="42"/>
        <v>27</v>
      </c>
      <c r="AE489" s="1048"/>
      <c r="AF489" s="1048"/>
      <c r="AG489" s="956"/>
      <c r="AH489" s="957"/>
      <c r="AI489" s="494" t="s">
        <v>2917</v>
      </c>
      <c r="AJ489" s="958">
        <v>1</v>
      </c>
      <c r="AK489" s="959"/>
      <c r="AL489" s="960"/>
      <c r="AM489" s="1050">
        <f>_xll.GetCtData("COAMOUNT","CONSAMOUNT",$A$1:$A$7,$D489,AM$10,"#")</f>
        <v>0</v>
      </c>
    </row>
    <row r="490" spans="1:39">
      <c r="A490" s="427" t="s">
        <v>6610</v>
      </c>
      <c r="B490" s="427" t="s">
        <v>6610</v>
      </c>
      <c r="D490" s="1051" t="s">
        <v>11803</v>
      </c>
      <c r="E490" s="949" t="s">
        <v>2930</v>
      </c>
      <c r="F490" s="950">
        <v>10</v>
      </c>
      <c r="G490" s="950"/>
      <c r="H490" s="950"/>
      <c r="I490" s="950"/>
      <c r="J490" s="950"/>
      <c r="K490" s="950"/>
      <c r="L490" s="950"/>
      <c r="M490" s="950"/>
      <c r="N490" s="950"/>
      <c r="O490" s="950"/>
      <c r="P490" s="950"/>
      <c r="Q490" s="950"/>
      <c r="R490" s="1051" t="s">
        <v>1823</v>
      </c>
      <c r="S490" s="1014" t="s">
        <v>11799</v>
      </c>
      <c r="T490" s="1015">
        <f t="shared" si="43"/>
        <v>41</v>
      </c>
      <c r="U490" s="1014" t="s">
        <v>11799</v>
      </c>
      <c r="V490" s="1015">
        <f t="shared" si="38"/>
        <v>41</v>
      </c>
      <c r="W490" s="1014" t="s">
        <v>11800</v>
      </c>
      <c r="X490" s="1015">
        <f t="shared" si="39"/>
        <v>30</v>
      </c>
      <c r="Y490" s="1016" t="s">
        <v>11801</v>
      </c>
      <c r="Z490" s="1015">
        <f t="shared" si="40"/>
        <v>37</v>
      </c>
      <c r="AA490" s="1016" t="s">
        <v>11801</v>
      </c>
      <c r="AB490" s="1015">
        <f t="shared" si="41"/>
        <v>37</v>
      </c>
      <c r="AC490" s="1016" t="s">
        <v>11802</v>
      </c>
      <c r="AD490" s="1015">
        <f t="shared" si="42"/>
        <v>27</v>
      </c>
      <c r="AE490" s="518" t="s">
        <v>10997</v>
      </c>
      <c r="AF490" s="519" t="s">
        <v>10998</v>
      </c>
      <c r="AG490" s="1021" t="s">
        <v>9179</v>
      </c>
      <c r="AH490" s="1022" t="s">
        <v>169</v>
      </c>
      <c r="AI490" s="494" t="s">
        <v>2917</v>
      </c>
      <c r="AJ490" s="958">
        <v>1</v>
      </c>
      <c r="AK490" s="959" t="s">
        <v>5359</v>
      </c>
      <c r="AL490" s="960"/>
      <c r="AM490" s="1018">
        <f>_xll.GetCtData("COAMOUNT","CONSAMOUNT",$A$1:$A$7,$D490,AM$10,"#")</f>
        <v>0</v>
      </c>
    </row>
    <row r="491" spans="1:39">
      <c r="A491" s="427" t="s">
        <v>6610</v>
      </c>
      <c r="B491" s="427" t="s">
        <v>6610</v>
      </c>
      <c r="D491" s="410" t="s">
        <v>11804</v>
      </c>
      <c r="E491" s="949" t="s">
        <v>2912</v>
      </c>
      <c r="F491" s="950">
        <v>7</v>
      </c>
      <c r="G491" s="950"/>
      <c r="H491" s="950"/>
      <c r="I491" s="950"/>
      <c r="J491" s="950"/>
      <c r="K491" s="950"/>
      <c r="L491" s="950"/>
      <c r="M491" s="950"/>
      <c r="N491" s="1009" t="s">
        <v>11805</v>
      </c>
      <c r="O491" s="975"/>
      <c r="P491" s="975"/>
      <c r="Q491" s="1047"/>
      <c r="R491" s="410" t="s">
        <v>11805</v>
      </c>
      <c r="S491" s="1047" t="s">
        <v>11806</v>
      </c>
      <c r="T491" s="1048">
        <f t="shared" si="43"/>
        <v>39</v>
      </c>
      <c r="U491" s="1047" t="s">
        <v>11806</v>
      </c>
      <c r="V491" s="1048">
        <f t="shared" si="38"/>
        <v>39</v>
      </c>
      <c r="W491" s="1047" t="s">
        <v>11807</v>
      </c>
      <c r="X491" s="1048">
        <f t="shared" si="39"/>
        <v>30</v>
      </c>
      <c r="Y491" s="1049" t="s">
        <v>11808</v>
      </c>
      <c r="Z491" s="1048">
        <f t="shared" si="40"/>
        <v>44</v>
      </c>
      <c r="AA491" s="1049" t="s">
        <v>11808</v>
      </c>
      <c r="AB491" s="1048">
        <f t="shared" si="41"/>
        <v>44</v>
      </c>
      <c r="AC491" s="1049" t="s">
        <v>11809</v>
      </c>
      <c r="AD491" s="1048">
        <f t="shared" si="42"/>
        <v>30</v>
      </c>
      <c r="AE491" s="1048"/>
      <c r="AF491" s="1048"/>
      <c r="AG491" s="956"/>
      <c r="AH491" s="957"/>
      <c r="AI491" s="494" t="s">
        <v>2917</v>
      </c>
      <c r="AJ491" s="958">
        <v>1</v>
      </c>
      <c r="AK491" s="959"/>
      <c r="AL491" s="960"/>
      <c r="AM491" s="1050">
        <f>_xll.GetCtData("COAMOUNT","CONSAMOUNT",$A$1:$A$7,$D491,AM$10,"#-5")</f>
        <v>-5</v>
      </c>
    </row>
    <row r="492" spans="1:39">
      <c r="A492" s="427" t="s">
        <v>6610</v>
      </c>
      <c r="B492" s="427" t="s">
        <v>6610</v>
      </c>
      <c r="D492" s="1051" t="s">
        <v>11810</v>
      </c>
      <c r="E492" s="949" t="s">
        <v>2930</v>
      </c>
      <c r="F492" s="950">
        <v>10</v>
      </c>
      <c r="G492" s="950"/>
      <c r="H492" s="950"/>
      <c r="I492" s="950"/>
      <c r="J492" s="950"/>
      <c r="K492" s="950"/>
      <c r="L492" s="950"/>
      <c r="M492" s="950"/>
      <c r="N492" s="950"/>
      <c r="O492" s="950"/>
      <c r="P492" s="950"/>
      <c r="Q492" s="950"/>
      <c r="R492" s="1051" t="s">
        <v>1824</v>
      </c>
      <c r="S492" s="1014" t="s">
        <v>11806</v>
      </c>
      <c r="T492" s="1015">
        <f t="shared" si="43"/>
        <v>39</v>
      </c>
      <c r="U492" s="1014" t="s">
        <v>11806</v>
      </c>
      <c r="V492" s="1015">
        <f t="shared" si="38"/>
        <v>39</v>
      </c>
      <c r="W492" s="1014" t="s">
        <v>11807</v>
      </c>
      <c r="X492" s="1015">
        <f t="shared" si="39"/>
        <v>30</v>
      </c>
      <c r="Y492" s="1016" t="s">
        <v>11808</v>
      </c>
      <c r="Z492" s="1015">
        <f t="shared" si="40"/>
        <v>44</v>
      </c>
      <c r="AA492" s="1016" t="s">
        <v>11808</v>
      </c>
      <c r="AB492" s="1015">
        <f t="shared" si="41"/>
        <v>44</v>
      </c>
      <c r="AC492" s="1016" t="s">
        <v>11809</v>
      </c>
      <c r="AD492" s="1015">
        <f t="shared" si="42"/>
        <v>30</v>
      </c>
      <c r="AE492" s="518" t="s">
        <v>10997</v>
      </c>
      <c r="AF492" s="519" t="s">
        <v>10998</v>
      </c>
      <c r="AG492" s="1021" t="s">
        <v>9179</v>
      </c>
      <c r="AH492" s="1022" t="s">
        <v>169</v>
      </c>
      <c r="AI492" s="494" t="s">
        <v>2917</v>
      </c>
      <c r="AJ492" s="958">
        <v>1</v>
      </c>
      <c r="AK492" s="959"/>
      <c r="AL492" s="960"/>
      <c r="AM492" s="1018">
        <f>_xll.GetCtData("COAMOUNT","CONSAMOUNT",$A$1:$A$7,$D492,AM$10,"#-5")</f>
        <v>-5</v>
      </c>
    </row>
    <row r="493" spans="1:39">
      <c r="A493" s="427" t="s">
        <v>6610</v>
      </c>
      <c r="B493" s="427" t="s">
        <v>6610</v>
      </c>
      <c r="D493" s="410" t="s">
        <v>11811</v>
      </c>
      <c r="E493" s="949" t="s">
        <v>2912</v>
      </c>
      <c r="F493" s="950">
        <v>7</v>
      </c>
      <c r="G493" s="950"/>
      <c r="H493" s="950"/>
      <c r="I493" s="950"/>
      <c r="J493" s="950"/>
      <c r="K493" s="950"/>
      <c r="L493" s="950"/>
      <c r="M493" s="950"/>
      <c r="N493" s="1009" t="s">
        <v>11812</v>
      </c>
      <c r="O493" s="975"/>
      <c r="P493" s="975"/>
      <c r="Q493" s="1047"/>
      <c r="R493" s="410" t="s">
        <v>11812</v>
      </c>
      <c r="S493" s="1047" t="s">
        <v>11813</v>
      </c>
      <c r="T493" s="1048">
        <f t="shared" si="43"/>
        <v>34</v>
      </c>
      <c r="U493" s="1047" t="s">
        <v>11813</v>
      </c>
      <c r="V493" s="1048">
        <f t="shared" si="38"/>
        <v>34</v>
      </c>
      <c r="W493" s="1047" t="s">
        <v>11814</v>
      </c>
      <c r="X493" s="1048">
        <f t="shared" si="39"/>
        <v>29</v>
      </c>
      <c r="Y493" s="1049" t="s">
        <v>11815</v>
      </c>
      <c r="Z493" s="1048">
        <f t="shared" si="40"/>
        <v>45</v>
      </c>
      <c r="AA493" s="1049" t="s">
        <v>11815</v>
      </c>
      <c r="AB493" s="1048">
        <f t="shared" si="41"/>
        <v>45</v>
      </c>
      <c r="AC493" s="1049" t="s">
        <v>11816</v>
      </c>
      <c r="AD493" s="1048">
        <f t="shared" si="42"/>
        <v>30</v>
      </c>
      <c r="AE493" s="1048"/>
      <c r="AF493" s="1048"/>
      <c r="AG493" s="956"/>
      <c r="AH493" s="957"/>
      <c r="AI493" s="494" t="s">
        <v>2917</v>
      </c>
      <c r="AJ493" s="958">
        <v>1</v>
      </c>
      <c r="AK493" s="959"/>
      <c r="AL493" s="960"/>
      <c r="AM493" s="1050">
        <f>_xll.GetCtData("COAMOUNT","CONSAMOUNT",$A$1:$A$7,$D493,AM$10,"#-3207")</f>
        <v>-3207</v>
      </c>
    </row>
    <row r="494" spans="1:39">
      <c r="A494" s="427" t="s">
        <v>6610</v>
      </c>
      <c r="B494" s="427" t="s">
        <v>6610</v>
      </c>
      <c r="D494" s="1051" t="s">
        <v>11817</v>
      </c>
      <c r="E494" s="949" t="s">
        <v>2930</v>
      </c>
      <c r="F494" s="950">
        <v>10</v>
      </c>
      <c r="G494" s="950"/>
      <c r="H494" s="950"/>
      <c r="I494" s="950"/>
      <c r="J494" s="950"/>
      <c r="K494" s="950"/>
      <c r="L494" s="950"/>
      <c r="M494" s="950"/>
      <c r="N494" s="950"/>
      <c r="O494" s="950"/>
      <c r="P494" s="950"/>
      <c r="Q494" s="950"/>
      <c r="R494" s="1051" t="s">
        <v>1825</v>
      </c>
      <c r="S494" s="1014" t="s">
        <v>11813</v>
      </c>
      <c r="T494" s="1015">
        <f t="shared" si="43"/>
        <v>34</v>
      </c>
      <c r="U494" s="1014" t="s">
        <v>11813</v>
      </c>
      <c r="V494" s="1015">
        <f t="shared" si="38"/>
        <v>34</v>
      </c>
      <c r="W494" s="1014" t="s">
        <v>11814</v>
      </c>
      <c r="X494" s="1015">
        <f t="shared" si="39"/>
        <v>29</v>
      </c>
      <c r="Y494" s="1016" t="s">
        <v>11815</v>
      </c>
      <c r="Z494" s="1015">
        <f t="shared" si="40"/>
        <v>45</v>
      </c>
      <c r="AA494" s="1016" t="s">
        <v>11815</v>
      </c>
      <c r="AB494" s="1015">
        <f t="shared" si="41"/>
        <v>45</v>
      </c>
      <c r="AC494" s="1016" t="s">
        <v>11816</v>
      </c>
      <c r="AD494" s="1015">
        <f t="shared" si="42"/>
        <v>30</v>
      </c>
      <c r="AE494" s="518" t="s">
        <v>10997</v>
      </c>
      <c r="AF494" s="519" t="s">
        <v>10998</v>
      </c>
      <c r="AG494" s="1021" t="s">
        <v>9179</v>
      </c>
      <c r="AH494" s="1022" t="s">
        <v>169</v>
      </c>
      <c r="AI494" s="494" t="s">
        <v>2917</v>
      </c>
      <c r="AJ494" s="958">
        <v>1</v>
      </c>
      <c r="AK494" s="959"/>
      <c r="AL494" s="960"/>
      <c r="AM494" s="1018">
        <f>_xll.GetCtData("COAMOUNT","CONSAMOUNT",$A$1:$A$7,$D494,AM$10,"#-3207")</f>
        <v>-3207</v>
      </c>
    </row>
    <row r="495" spans="1:39">
      <c r="A495" s="427" t="s">
        <v>6610</v>
      </c>
      <c r="B495" s="427" t="s">
        <v>6610</v>
      </c>
      <c r="D495" s="970" t="s">
        <v>11818</v>
      </c>
      <c r="E495" s="949" t="s">
        <v>2912</v>
      </c>
      <c r="F495" s="950">
        <v>6</v>
      </c>
      <c r="G495" s="950"/>
      <c r="H495" s="950"/>
      <c r="I495" s="950"/>
      <c r="J495" s="950"/>
      <c r="K495" s="950"/>
      <c r="L495" s="950"/>
      <c r="M495" s="970" t="s">
        <v>1826</v>
      </c>
      <c r="N495" s="970"/>
      <c r="O495" s="970"/>
      <c r="P495" s="970"/>
      <c r="Q495" s="970"/>
      <c r="R495" s="970" t="s">
        <v>1826</v>
      </c>
      <c r="S495" s="970" t="s">
        <v>1782</v>
      </c>
      <c r="T495" s="972">
        <f t="shared" si="43"/>
        <v>92</v>
      </c>
      <c r="U495" s="970" t="s">
        <v>1782</v>
      </c>
      <c r="V495" s="972">
        <f t="shared" si="38"/>
        <v>92</v>
      </c>
      <c r="W495" s="970" t="s">
        <v>11819</v>
      </c>
      <c r="X495" s="972">
        <f t="shared" si="39"/>
        <v>28</v>
      </c>
      <c r="Y495" s="973" t="s">
        <v>11820</v>
      </c>
      <c r="Z495" s="972">
        <f t="shared" si="40"/>
        <v>43</v>
      </c>
      <c r="AA495" s="973" t="s">
        <v>11820</v>
      </c>
      <c r="AB495" s="972">
        <f t="shared" si="41"/>
        <v>43</v>
      </c>
      <c r="AC495" s="973" t="s">
        <v>11821</v>
      </c>
      <c r="AD495" s="972">
        <f t="shared" si="42"/>
        <v>27</v>
      </c>
      <c r="AE495" s="972"/>
      <c r="AF495" s="972"/>
      <c r="AG495" s="956"/>
      <c r="AH495" s="957"/>
      <c r="AI495" s="494" t="s">
        <v>2917</v>
      </c>
      <c r="AJ495" s="958">
        <v>1</v>
      </c>
      <c r="AK495" s="959"/>
      <c r="AL495" s="960"/>
      <c r="AM495" s="974">
        <f>_xll.GetCtData("COAMOUNT","CONSAMOUNT",$A$1:$A$7,$D495,AM$10,"#-163092,579320409")</f>
        <v>-163092</v>
      </c>
    </row>
    <row r="496" spans="1:39">
      <c r="A496" s="427" t="s">
        <v>6610</v>
      </c>
      <c r="B496" s="427" t="s">
        <v>6610</v>
      </c>
      <c r="D496" s="410" t="s">
        <v>11822</v>
      </c>
      <c r="E496" s="949" t="s">
        <v>2912</v>
      </c>
      <c r="F496" s="950">
        <v>7</v>
      </c>
      <c r="G496" s="950"/>
      <c r="H496" s="950"/>
      <c r="I496" s="950"/>
      <c r="J496" s="950"/>
      <c r="K496" s="950"/>
      <c r="L496" s="950"/>
      <c r="M496" s="950"/>
      <c r="N496" s="1009" t="s">
        <v>11823</v>
      </c>
      <c r="O496" s="975"/>
      <c r="P496" s="975"/>
      <c r="Q496" s="1047"/>
      <c r="R496" s="410" t="s">
        <v>11823</v>
      </c>
      <c r="S496" s="1047" t="s">
        <v>11824</v>
      </c>
      <c r="T496" s="1048">
        <f t="shared" si="43"/>
        <v>72</v>
      </c>
      <c r="U496" s="1047" t="s">
        <v>11824</v>
      </c>
      <c r="V496" s="1048">
        <f t="shared" si="38"/>
        <v>72</v>
      </c>
      <c r="W496" s="1047" t="s">
        <v>11825</v>
      </c>
      <c r="X496" s="1048">
        <f t="shared" si="39"/>
        <v>30</v>
      </c>
      <c r="Y496" s="1049" t="s">
        <v>11826</v>
      </c>
      <c r="Z496" s="1048">
        <f t="shared" si="40"/>
        <v>69</v>
      </c>
      <c r="AA496" s="1049" t="s">
        <v>11826</v>
      </c>
      <c r="AB496" s="1048">
        <f t="shared" si="41"/>
        <v>69</v>
      </c>
      <c r="AC496" s="1049" t="s">
        <v>11827</v>
      </c>
      <c r="AD496" s="1048">
        <f t="shared" si="42"/>
        <v>30</v>
      </c>
      <c r="AE496" s="1048"/>
      <c r="AF496" s="1048"/>
      <c r="AG496" s="956"/>
      <c r="AH496" s="957"/>
      <c r="AI496" s="494" t="s">
        <v>2917</v>
      </c>
      <c r="AJ496" s="958">
        <v>1</v>
      </c>
      <c r="AK496" s="959"/>
      <c r="AL496" s="960"/>
      <c r="AM496" s="1050">
        <f>_xll.GetCtData("COAMOUNT","CONSAMOUNT",$A$1:$A$7,$D496,AM$10,"#-163092,579320409")</f>
        <v>-163092</v>
      </c>
    </row>
    <row r="497" spans="1:39">
      <c r="A497" s="427" t="s">
        <v>6610</v>
      </c>
      <c r="B497" s="427" t="s">
        <v>6610</v>
      </c>
      <c r="D497" s="981" t="s">
        <v>11828</v>
      </c>
      <c r="E497" s="949" t="s">
        <v>2912</v>
      </c>
      <c r="F497" s="950">
        <v>8</v>
      </c>
      <c r="G497" s="950"/>
      <c r="H497" s="950"/>
      <c r="I497" s="950"/>
      <c r="J497" s="950"/>
      <c r="K497" s="950"/>
      <c r="L497" s="950"/>
      <c r="M497" s="950"/>
      <c r="N497" s="950"/>
      <c r="O497" s="981" t="s">
        <v>11829</v>
      </c>
      <c r="P497" s="982"/>
      <c r="Q497" s="981"/>
      <c r="R497" s="981" t="s">
        <v>11829</v>
      </c>
      <c r="S497" s="981" t="s">
        <v>11830</v>
      </c>
      <c r="T497" s="1002">
        <f t="shared" si="43"/>
        <v>50</v>
      </c>
      <c r="U497" s="981" t="s">
        <v>11830</v>
      </c>
      <c r="V497" s="1002">
        <f t="shared" si="38"/>
        <v>50</v>
      </c>
      <c r="W497" s="981" t="s">
        <v>11831</v>
      </c>
      <c r="X497" s="1002">
        <f t="shared" si="39"/>
        <v>29</v>
      </c>
      <c r="Y497" s="1003" t="s">
        <v>11832</v>
      </c>
      <c r="Z497" s="1002">
        <f t="shared" si="40"/>
        <v>37</v>
      </c>
      <c r="AA497" s="1003" t="s">
        <v>11832</v>
      </c>
      <c r="AB497" s="1002">
        <f t="shared" si="41"/>
        <v>37</v>
      </c>
      <c r="AC497" s="1003" t="s">
        <v>11833</v>
      </c>
      <c r="AD497" s="1002">
        <f t="shared" si="42"/>
        <v>28</v>
      </c>
      <c r="AE497" s="1002"/>
      <c r="AF497" s="1002"/>
      <c r="AG497" s="956"/>
      <c r="AH497" s="957"/>
      <c r="AI497" s="494" t="s">
        <v>2917</v>
      </c>
      <c r="AJ497" s="958">
        <v>1</v>
      </c>
      <c r="AK497" s="959"/>
      <c r="AL497" s="960"/>
      <c r="AM497" s="985">
        <f>_xll.GetCtData("COAMOUNT","CONSAMOUNT",$A$1:$A$7,$D497,AM$10,"#")</f>
        <v>0</v>
      </c>
    </row>
    <row r="498" spans="1:39">
      <c r="A498" s="427" t="s">
        <v>6610</v>
      </c>
      <c r="B498" s="427" t="s">
        <v>6610</v>
      </c>
      <c r="D498" s="1051" t="s">
        <v>11834</v>
      </c>
      <c r="E498" s="949" t="s">
        <v>2930</v>
      </c>
      <c r="F498" s="950">
        <v>10</v>
      </c>
      <c r="G498" s="950"/>
      <c r="H498" s="950"/>
      <c r="I498" s="950"/>
      <c r="J498" s="950"/>
      <c r="K498" s="950"/>
      <c r="L498" s="950"/>
      <c r="M498" s="950"/>
      <c r="N498" s="950"/>
      <c r="O498" s="950"/>
      <c r="P498" s="950"/>
      <c r="Q498" s="950"/>
      <c r="R498" s="1051" t="s">
        <v>1827</v>
      </c>
      <c r="S498" s="1014" t="s">
        <v>11835</v>
      </c>
      <c r="T498" s="1015">
        <f t="shared" si="43"/>
        <v>37</v>
      </c>
      <c r="U498" s="1014" t="s">
        <v>11835</v>
      </c>
      <c r="V498" s="1015">
        <f t="shared" si="38"/>
        <v>37</v>
      </c>
      <c r="W498" s="1014" t="s">
        <v>11836</v>
      </c>
      <c r="X498" s="1015">
        <f t="shared" si="39"/>
        <v>29</v>
      </c>
      <c r="Y498" s="1016" t="s">
        <v>11837</v>
      </c>
      <c r="Z498" s="1015">
        <f t="shared" si="40"/>
        <v>60</v>
      </c>
      <c r="AA498" s="1016" t="s">
        <v>11837</v>
      </c>
      <c r="AB498" s="1015">
        <f t="shared" si="41"/>
        <v>60</v>
      </c>
      <c r="AC498" s="1016" t="s">
        <v>11838</v>
      </c>
      <c r="AD498" s="1015">
        <f t="shared" si="42"/>
        <v>30</v>
      </c>
      <c r="AE498" s="518" t="s">
        <v>11839</v>
      </c>
      <c r="AF498" s="519" t="s">
        <v>11840</v>
      </c>
      <c r="AG498" s="1021" t="s">
        <v>9179</v>
      </c>
      <c r="AH498" s="1022" t="s">
        <v>169</v>
      </c>
      <c r="AI498" s="494" t="s">
        <v>2917</v>
      </c>
      <c r="AJ498" s="958">
        <v>1</v>
      </c>
      <c r="AK498" s="959"/>
      <c r="AL498" s="960"/>
      <c r="AM498" s="1018">
        <f>_xll.GetCtData("COAMOUNT","CONSAMOUNT",$A$1:$A$7,$D498,AM$10,"#")</f>
        <v>0</v>
      </c>
    </row>
    <row r="499" spans="1:39">
      <c r="A499" s="427" t="s">
        <v>6610</v>
      </c>
      <c r="B499" s="427" t="s">
        <v>6610</v>
      </c>
      <c r="D499" s="1051" t="s">
        <v>11841</v>
      </c>
      <c r="E499" s="949" t="s">
        <v>2930</v>
      </c>
      <c r="F499" s="950">
        <v>10</v>
      </c>
      <c r="G499" s="950"/>
      <c r="H499" s="950"/>
      <c r="I499" s="950"/>
      <c r="J499" s="950"/>
      <c r="K499" s="950"/>
      <c r="L499" s="950"/>
      <c r="M499" s="950"/>
      <c r="N499" s="950"/>
      <c r="O499" s="950"/>
      <c r="P499" s="950"/>
      <c r="Q499" s="950"/>
      <c r="R499" s="1051" t="s">
        <v>1828</v>
      </c>
      <c r="S499" s="1014" t="s">
        <v>11842</v>
      </c>
      <c r="T499" s="1015">
        <f t="shared" si="43"/>
        <v>40</v>
      </c>
      <c r="U499" s="1014" t="s">
        <v>11842</v>
      </c>
      <c r="V499" s="1015">
        <f t="shared" si="38"/>
        <v>40</v>
      </c>
      <c r="W499" s="1014" t="s">
        <v>11843</v>
      </c>
      <c r="X499" s="1015">
        <f t="shared" si="39"/>
        <v>28</v>
      </c>
      <c r="Y499" s="1016" t="s">
        <v>11844</v>
      </c>
      <c r="Z499" s="1015">
        <f t="shared" si="40"/>
        <v>62</v>
      </c>
      <c r="AA499" s="1016" t="s">
        <v>11844</v>
      </c>
      <c r="AB499" s="1015">
        <f t="shared" si="41"/>
        <v>62</v>
      </c>
      <c r="AC499" s="1016" t="s">
        <v>11845</v>
      </c>
      <c r="AD499" s="1015">
        <f t="shared" si="42"/>
        <v>30</v>
      </c>
      <c r="AE499" s="518" t="s">
        <v>11846</v>
      </c>
      <c r="AF499" s="519" t="s">
        <v>11847</v>
      </c>
      <c r="AG499" s="1021" t="s">
        <v>9179</v>
      </c>
      <c r="AH499" s="1022" t="s">
        <v>169</v>
      </c>
      <c r="AI499" s="494" t="s">
        <v>2917</v>
      </c>
      <c r="AJ499" s="958">
        <v>1</v>
      </c>
      <c r="AK499" s="959"/>
      <c r="AL499" s="960"/>
      <c r="AM499" s="1018">
        <f>_xll.GetCtData("COAMOUNT","CONSAMOUNT",$A$1:$A$7,$D499,AM$10,"#")</f>
        <v>0</v>
      </c>
    </row>
    <row r="500" spans="1:39">
      <c r="A500" s="427" t="s">
        <v>6610</v>
      </c>
      <c r="B500" s="427" t="s">
        <v>6610</v>
      </c>
      <c r="D500" s="981" t="s">
        <v>11848</v>
      </c>
      <c r="E500" s="949" t="s">
        <v>2912</v>
      </c>
      <c r="F500" s="950">
        <v>8</v>
      </c>
      <c r="G500" s="950"/>
      <c r="H500" s="950"/>
      <c r="I500" s="950"/>
      <c r="J500" s="950"/>
      <c r="K500" s="950"/>
      <c r="L500" s="950"/>
      <c r="M500" s="950"/>
      <c r="N500" s="950"/>
      <c r="O500" s="981" t="s">
        <v>11849</v>
      </c>
      <c r="P500" s="982"/>
      <c r="Q500" s="981"/>
      <c r="R500" s="981" t="s">
        <v>11849</v>
      </c>
      <c r="S500" s="981" t="s">
        <v>11850</v>
      </c>
      <c r="T500" s="1002">
        <f t="shared" si="43"/>
        <v>33</v>
      </c>
      <c r="U500" s="981" t="s">
        <v>11850</v>
      </c>
      <c r="V500" s="1002">
        <f t="shared" si="38"/>
        <v>33</v>
      </c>
      <c r="W500" s="981" t="s">
        <v>11851</v>
      </c>
      <c r="X500" s="1002">
        <f t="shared" si="39"/>
        <v>28</v>
      </c>
      <c r="Y500" s="1003" t="s">
        <v>11852</v>
      </c>
      <c r="Z500" s="1002">
        <f t="shared" si="40"/>
        <v>33</v>
      </c>
      <c r="AA500" s="1003" t="s">
        <v>11852</v>
      </c>
      <c r="AB500" s="1002">
        <f t="shared" si="41"/>
        <v>33</v>
      </c>
      <c r="AC500" s="1003" t="s">
        <v>11853</v>
      </c>
      <c r="AD500" s="1002">
        <f t="shared" si="42"/>
        <v>30</v>
      </c>
      <c r="AE500" s="1002"/>
      <c r="AF500" s="1002"/>
      <c r="AG500" s="956"/>
      <c r="AH500" s="957"/>
      <c r="AI500" s="1052" t="s">
        <v>2721</v>
      </c>
      <c r="AJ500" s="958">
        <v>1</v>
      </c>
      <c r="AK500" s="959"/>
      <c r="AL500" s="960"/>
      <c r="AM500" s="985">
        <f>_xll.GetCtData("COAMOUNT","CONSAMOUNT",$A$1:$A$7,$D500,AM$10,"#")</f>
        <v>0</v>
      </c>
    </row>
    <row r="501" spans="1:39">
      <c r="A501" s="427" t="s">
        <v>6610</v>
      </c>
      <c r="B501" s="427" t="s">
        <v>6610</v>
      </c>
      <c r="D501" s="1051" t="s">
        <v>11854</v>
      </c>
      <c r="E501" s="949" t="s">
        <v>2930</v>
      </c>
      <c r="F501" s="950">
        <v>10</v>
      </c>
      <c r="G501" s="950"/>
      <c r="H501" s="950"/>
      <c r="I501" s="950"/>
      <c r="J501" s="950"/>
      <c r="K501" s="950"/>
      <c r="L501" s="950"/>
      <c r="M501" s="950"/>
      <c r="N501" s="950"/>
      <c r="O501" s="950"/>
      <c r="P501" s="950"/>
      <c r="Q501" s="950"/>
      <c r="R501" s="1051" t="s">
        <v>1829</v>
      </c>
      <c r="S501" s="1014" t="s">
        <v>11855</v>
      </c>
      <c r="T501" s="1015">
        <f t="shared" si="43"/>
        <v>32</v>
      </c>
      <c r="U501" s="1014" t="s">
        <v>11855</v>
      </c>
      <c r="V501" s="1015">
        <f t="shared" si="38"/>
        <v>32</v>
      </c>
      <c r="W501" s="1014" t="s">
        <v>11856</v>
      </c>
      <c r="X501" s="1015">
        <f t="shared" si="39"/>
        <v>30</v>
      </c>
      <c r="Y501" s="1016" t="s">
        <v>11857</v>
      </c>
      <c r="Z501" s="1015">
        <f t="shared" si="40"/>
        <v>56</v>
      </c>
      <c r="AA501" s="1016" t="s">
        <v>11857</v>
      </c>
      <c r="AB501" s="1015">
        <f t="shared" si="41"/>
        <v>56</v>
      </c>
      <c r="AC501" s="1016" t="s">
        <v>11858</v>
      </c>
      <c r="AD501" s="1015">
        <f t="shared" si="42"/>
        <v>30</v>
      </c>
      <c r="AE501" s="518" t="s">
        <v>11839</v>
      </c>
      <c r="AF501" s="519" t="s">
        <v>11840</v>
      </c>
      <c r="AG501" s="1021" t="s">
        <v>9179</v>
      </c>
      <c r="AH501" s="1022" t="s">
        <v>169</v>
      </c>
      <c r="AI501" s="494" t="s">
        <v>2917</v>
      </c>
      <c r="AJ501" s="958">
        <v>1</v>
      </c>
      <c r="AK501" s="959"/>
      <c r="AL501" s="960"/>
      <c r="AM501" s="1018">
        <f>_xll.GetCtData("COAMOUNT","CONSAMOUNT",$A$1:$A$7,$D501,AM$10,"#")</f>
        <v>0</v>
      </c>
    </row>
    <row r="502" spans="1:39">
      <c r="A502" s="427" t="s">
        <v>6610</v>
      </c>
      <c r="B502" s="427" t="s">
        <v>6610</v>
      </c>
      <c r="D502" s="1051" t="s">
        <v>11859</v>
      </c>
      <c r="E502" s="949" t="s">
        <v>2930</v>
      </c>
      <c r="F502" s="950">
        <v>10</v>
      </c>
      <c r="G502" s="950"/>
      <c r="H502" s="950"/>
      <c r="I502" s="950"/>
      <c r="J502" s="950"/>
      <c r="K502" s="950"/>
      <c r="L502" s="950"/>
      <c r="M502" s="950"/>
      <c r="N502" s="950"/>
      <c r="O502" s="950"/>
      <c r="P502" s="950"/>
      <c r="Q502" s="950"/>
      <c r="R502" s="1051" t="s">
        <v>1830</v>
      </c>
      <c r="S502" s="1014" t="s">
        <v>11860</v>
      </c>
      <c r="T502" s="1015">
        <f t="shared" si="43"/>
        <v>35</v>
      </c>
      <c r="U502" s="1014" t="s">
        <v>11860</v>
      </c>
      <c r="V502" s="1015">
        <f t="shared" si="38"/>
        <v>35</v>
      </c>
      <c r="W502" s="1014" t="s">
        <v>11861</v>
      </c>
      <c r="X502" s="1015">
        <f t="shared" si="39"/>
        <v>29</v>
      </c>
      <c r="Y502" s="1016" t="s">
        <v>11862</v>
      </c>
      <c r="Z502" s="1015">
        <f t="shared" si="40"/>
        <v>58</v>
      </c>
      <c r="AA502" s="1016" t="s">
        <v>11862</v>
      </c>
      <c r="AB502" s="1015">
        <f t="shared" si="41"/>
        <v>58</v>
      </c>
      <c r="AC502" s="1016" t="s">
        <v>11863</v>
      </c>
      <c r="AD502" s="1015">
        <f t="shared" si="42"/>
        <v>30</v>
      </c>
      <c r="AE502" s="518" t="s">
        <v>11839</v>
      </c>
      <c r="AF502" s="519" t="s">
        <v>11840</v>
      </c>
      <c r="AG502" s="1021" t="s">
        <v>9179</v>
      </c>
      <c r="AH502" s="1022" t="s">
        <v>169</v>
      </c>
      <c r="AI502" s="494" t="s">
        <v>2917</v>
      </c>
      <c r="AJ502" s="958">
        <v>1</v>
      </c>
      <c r="AK502" s="959"/>
      <c r="AL502" s="960"/>
      <c r="AM502" s="1018">
        <f>_xll.GetCtData("COAMOUNT","CONSAMOUNT",$A$1:$A$7,$D502,AM$10,"#")</f>
        <v>0</v>
      </c>
    </row>
    <row r="503" spans="1:39">
      <c r="A503" s="427" t="s">
        <v>6610</v>
      </c>
      <c r="B503" s="427" t="s">
        <v>6610</v>
      </c>
      <c r="D503" s="981" t="s">
        <v>11864</v>
      </c>
      <c r="E503" s="949" t="s">
        <v>2912</v>
      </c>
      <c r="F503" s="950">
        <v>8</v>
      </c>
      <c r="G503" s="950"/>
      <c r="H503" s="950"/>
      <c r="I503" s="950"/>
      <c r="J503" s="950"/>
      <c r="K503" s="950"/>
      <c r="L503" s="950"/>
      <c r="M503" s="950"/>
      <c r="N503" s="950"/>
      <c r="O503" s="981" t="s">
        <v>11865</v>
      </c>
      <c r="P503" s="982"/>
      <c r="Q503" s="981"/>
      <c r="R503" s="981" t="s">
        <v>11865</v>
      </c>
      <c r="S503" s="981" t="s">
        <v>11866</v>
      </c>
      <c r="T503" s="1002">
        <f t="shared" si="43"/>
        <v>49</v>
      </c>
      <c r="U503" s="981" t="s">
        <v>11866</v>
      </c>
      <c r="V503" s="1002">
        <f t="shared" si="38"/>
        <v>49</v>
      </c>
      <c r="W503" s="981" t="s">
        <v>11867</v>
      </c>
      <c r="X503" s="1002">
        <f t="shared" si="39"/>
        <v>29</v>
      </c>
      <c r="Y503" s="1003" t="s">
        <v>11832</v>
      </c>
      <c r="Z503" s="1002">
        <f t="shared" si="40"/>
        <v>37</v>
      </c>
      <c r="AA503" s="1003" t="s">
        <v>11832</v>
      </c>
      <c r="AB503" s="1002">
        <f t="shared" si="41"/>
        <v>37</v>
      </c>
      <c r="AC503" s="1003" t="s">
        <v>11833</v>
      </c>
      <c r="AD503" s="1002">
        <f t="shared" si="42"/>
        <v>28</v>
      </c>
      <c r="AE503" s="1002"/>
      <c r="AF503" s="1002"/>
      <c r="AG503" s="956"/>
      <c r="AH503" s="957"/>
      <c r="AI503" s="494" t="s">
        <v>2917</v>
      </c>
      <c r="AJ503" s="958">
        <v>1</v>
      </c>
      <c r="AK503" s="959"/>
      <c r="AL503" s="960"/>
      <c r="AM503" s="985">
        <f>_xll.GetCtData("COAMOUNT","CONSAMOUNT",$A$1:$A$7,$D503,AM$10,"#-163092,579320409")</f>
        <v>-163092</v>
      </c>
    </row>
    <row r="504" spans="1:39">
      <c r="A504" s="427" t="s">
        <v>6610</v>
      </c>
      <c r="B504" s="427" t="s">
        <v>6610</v>
      </c>
      <c r="D504" s="1051" t="s">
        <v>11868</v>
      </c>
      <c r="E504" s="949" t="s">
        <v>2930</v>
      </c>
      <c r="F504" s="950">
        <v>10</v>
      </c>
      <c r="G504" s="950"/>
      <c r="H504" s="950"/>
      <c r="I504" s="950"/>
      <c r="J504" s="950"/>
      <c r="K504" s="950"/>
      <c r="L504" s="950"/>
      <c r="M504" s="950"/>
      <c r="N504" s="950"/>
      <c r="O504" s="950"/>
      <c r="P504" s="950"/>
      <c r="Q504" s="950"/>
      <c r="R504" s="1051" t="s">
        <v>1831</v>
      </c>
      <c r="S504" s="1014" t="s">
        <v>11869</v>
      </c>
      <c r="T504" s="1015">
        <f t="shared" si="43"/>
        <v>48</v>
      </c>
      <c r="U504" s="1014" t="s">
        <v>11869</v>
      </c>
      <c r="V504" s="1015">
        <f t="shared" si="38"/>
        <v>48</v>
      </c>
      <c r="W504" s="1014" t="s">
        <v>11870</v>
      </c>
      <c r="X504" s="1015">
        <f t="shared" si="39"/>
        <v>29</v>
      </c>
      <c r="Y504" s="1016" t="s">
        <v>11871</v>
      </c>
      <c r="Z504" s="1015">
        <f t="shared" si="40"/>
        <v>66</v>
      </c>
      <c r="AA504" s="1016" t="s">
        <v>11871</v>
      </c>
      <c r="AB504" s="1015">
        <f t="shared" si="41"/>
        <v>66</v>
      </c>
      <c r="AC504" s="1016" t="s">
        <v>11872</v>
      </c>
      <c r="AD504" s="1015">
        <f t="shared" si="42"/>
        <v>29</v>
      </c>
      <c r="AE504" s="518" t="s">
        <v>11873</v>
      </c>
      <c r="AF504" s="519" t="s">
        <v>11874</v>
      </c>
      <c r="AG504" s="1021" t="s">
        <v>9179</v>
      </c>
      <c r="AH504" s="1022" t="s">
        <v>169</v>
      </c>
      <c r="AI504" s="494" t="s">
        <v>2917</v>
      </c>
      <c r="AJ504" s="958">
        <v>1</v>
      </c>
      <c r="AK504" s="959"/>
      <c r="AL504" s="960"/>
      <c r="AM504" s="1018">
        <f>_xll.GetCtData("COAMOUNT","CONSAMOUNT",$A$1:$A$7,$D504,AM$10,"#-163092,579320409")</f>
        <v>-163092</v>
      </c>
    </row>
    <row r="505" spans="1:39">
      <c r="A505" s="427" t="s">
        <v>6610</v>
      </c>
      <c r="B505" s="427" t="s">
        <v>6610</v>
      </c>
      <c r="D505" s="1051" t="s">
        <v>11875</v>
      </c>
      <c r="E505" s="949" t="s">
        <v>2930</v>
      </c>
      <c r="F505" s="950">
        <v>10</v>
      </c>
      <c r="G505" s="950"/>
      <c r="H505" s="950"/>
      <c r="I505" s="950"/>
      <c r="J505" s="950"/>
      <c r="K505" s="950"/>
      <c r="L505" s="950"/>
      <c r="M505" s="950"/>
      <c r="N505" s="950"/>
      <c r="O505" s="950"/>
      <c r="P505" s="950"/>
      <c r="Q505" s="950"/>
      <c r="R505" s="1051" t="s">
        <v>1832</v>
      </c>
      <c r="S505" s="1014" t="s">
        <v>11876</v>
      </c>
      <c r="T505" s="1015">
        <f t="shared" si="43"/>
        <v>51</v>
      </c>
      <c r="U505" s="1014" t="s">
        <v>11876</v>
      </c>
      <c r="V505" s="1015">
        <f t="shared" si="38"/>
        <v>51</v>
      </c>
      <c r="W505" s="1014" t="s">
        <v>11877</v>
      </c>
      <c r="X505" s="1015">
        <f t="shared" si="39"/>
        <v>29</v>
      </c>
      <c r="Y505" s="1016" t="s">
        <v>11878</v>
      </c>
      <c r="Z505" s="1015">
        <f t="shared" si="40"/>
        <v>67</v>
      </c>
      <c r="AA505" s="1016" t="s">
        <v>11878</v>
      </c>
      <c r="AB505" s="1015">
        <f t="shared" si="41"/>
        <v>67</v>
      </c>
      <c r="AC505" s="1016" t="s">
        <v>11879</v>
      </c>
      <c r="AD505" s="1015">
        <f t="shared" si="42"/>
        <v>30</v>
      </c>
      <c r="AE505" s="518" t="s">
        <v>11873</v>
      </c>
      <c r="AF505" s="519" t="s">
        <v>11874</v>
      </c>
      <c r="AG505" s="1021" t="s">
        <v>9179</v>
      </c>
      <c r="AH505" s="1022" t="s">
        <v>169</v>
      </c>
      <c r="AI505" s="494" t="s">
        <v>2917</v>
      </c>
      <c r="AJ505" s="958">
        <v>1</v>
      </c>
      <c r="AK505" s="959"/>
      <c r="AL505" s="960"/>
      <c r="AM505" s="1018">
        <f>_xll.GetCtData("COAMOUNT","CONSAMOUNT",$A$1:$A$7,$D505,AM$10,"#")</f>
        <v>0</v>
      </c>
    </row>
    <row r="506" spans="1:39">
      <c r="A506" s="427" t="s">
        <v>6610</v>
      </c>
      <c r="B506" s="427" t="s">
        <v>6610</v>
      </c>
      <c r="D506" s="970" t="s">
        <v>11880</v>
      </c>
      <c r="E506" s="949" t="s">
        <v>2912</v>
      </c>
      <c r="F506" s="950">
        <v>6</v>
      </c>
      <c r="G506" s="950"/>
      <c r="H506" s="950"/>
      <c r="I506" s="950"/>
      <c r="J506" s="950"/>
      <c r="K506" s="950"/>
      <c r="L506" s="950"/>
      <c r="M506" s="970" t="s">
        <v>1833</v>
      </c>
      <c r="N506" s="970"/>
      <c r="O506" s="970"/>
      <c r="P506" s="970"/>
      <c r="Q506" s="970"/>
      <c r="R506" s="970" t="s">
        <v>1833</v>
      </c>
      <c r="S506" s="970" t="s">
        <v>30</v>
      </c>
      <c r="T506" s="972">
        <f t="shared" si="43"/>
        <v>49</v>
      </c>
      <c r="U506" s="970" t="s">
        <v>30</v>
      </c>
      <c r="V506" s="972">
        <f t="shared" si="38"/>
        <v>49</v>
      </c>
      <c r="W506" s="970" t="s">
        <v>11881</v>
      </c>
      <c r="X506" s="972">
        <f t="shared" si="39"/>
        <v>30</v>
      </c>
      <c r="Y506" s="973" t="s">
        <v>11723</v>
      </c>
      <c r="Z506" s="972">
        <f t="shared" si="40"/>
        <v>44</v>
      </c>
      <c r="AA506" s="973" t="s">
        <v>11723</v>
      </c>
      <c r="AB506" s="972">
        <f t="shared" si="41"/>
        <v>44</v>
      </c>
      <c r="AC506" s="973" t="s">
        <v>11724</v>
      </c>
      <c r="AD506" s="972">
        <f t="shared" si="42"/>
        <v>25</v>
      </c>
      <c r="AE506" s="972"/>
      <c r="AF506" s="972"/>
      <c r="AG506" s="956"/>
      <c r="AH506" s="957"/>
      <c r="AI506" s="494" t="s">
        <v>2917</v>
      </c>
      <c r="AJ506" s="958">
        <v>1</v>
      </c>
      <c r="AK506" s="959"/>
      <c r="AL506" s="960"/>
      <c r="AM506" s="974">
        <f>_xll.GetCtData("COAMOUNT","CONSAMOUNT",$A$1:$A$7,$D506,AM$10,"#-664383,637303312")</f>
        <v>-664383</v>
      </c>
    </row>
    <row r="507" spans="1:39">
      <c r="A507" s="427">
        <v>3</v>
      </c>
      <c r="B507" s="427" t="s">
        <v>9153</v>
      </c>
      <c r="D507" s="410" t="s">
        <v>11882</v>
      </c>
      <c r="E507" s="949" t="s">
        <v>2912</v>
      </c>
      <c r="F507" s="950">
        <v>7</v>
      </c>
      <c r="G507" s="950"/>
      <c r="H507" s="950"/>
      <c r="I507" s="950"/>
      <c r="J507" s="950"/>
      <c r="K507" s="950"/>
      <c r="L507" s="950"/>
      <c r="M507" s="950"/>
      <c r="N507" s="1009" t="s">
        <v>11883</v>
      </c>
      <c r="O507" s="975"/>
      <c r="P507" s="975"/>
      <c r="Q507" s="1047"/>
      <c r="R507" s="410" t="s">
        <v>11883</v>
      </c>
      <c r="S507" s="1047" t="s">
        <v>1855</v>
      </c>
      <c r="T507" s="1048">
        <f t="shared" si="43"/>
        <v>22</v>
      </c>
      <c r="U507" s="1047" t="s">
        <v>1855</v>
      </c>
      <c r="V507" s="1048">
        <f t="shared" si="38"/>
        <v>22</v>
      </c>
      <c r="W507" s="1047" t="s">
        <v>11884</v>
      </c>
      <c r="X507" s="1048">
        <f t="shared" si="39"/>
        <v>23</v>
      </c>
      <c r="Y507" s="1049" t="s">
        <v>11885</v>
      </c>
      <c r="Z507" s="1048">
        <f t="shared" si="40"/>
        <v>25</v>
      </c>
      <c r="AA507" s="1049" t="s">
        <v>11885</v>
      </c>
      <c r="AB507" s="1048">
        <f t="shared" si="41"/>
        <v>25</v>
      </c>
      <c r="AC507" s="1049" t="s">
        <v>11885</v>
      </c>
      <c r="AD507" s="1048">
        <f t="shared" si="42"/>
        <v>25</v>
      </c>
      <c r="AE507" s="1048"/>
      <c r="AF507" s="1048"/>
      <c r="AG507" s="956"/>
      <c r="AH507" s="957"/>
      <c r="AI507" s="530" t="s">
        <v>2969</v>
      </c>
      <c r="AJ507" s="958">
        <v>1</v>
      </c>
      <c r="AK507" s="959"/>
      <c r="AL507" s="960" t="s">
        <v>5930</v>
      </c>
      <c r="AM507" s="1050">
        <f>_xll.GetCtData("COAMOUNT","CONSAMOUNT",$A$1:$A$7,$D507,AM$10,"#-419251,793137813")</f>
        <v>-419251</v>
      </c>
    </row>
    <row r="508" spans="1:39">
      <c r="A508" s="427">
        <v>3</v>
      </c>
      <c r="B508" s="427" t="s">
        <v>9153</v>
      </c>
      <c r="D508" s="1053" t="s">
        <v>1192</v>
      </c>
      <c r="E508" s="949" t="s">
        <v>2930</v>
      </c>
      <c r="F508" s="950">
        <v>10</v>
      </c>
      <c r="G508" s="950"/>
      <c r="H508" s="950"/>
      <c r="I508" s="950"/>
      <c r="J508" s="950"/>
      <c r="K508" s="950"/>
      <c r="L508" s="950"/>
      <c r="M508" s="950"/>
      <c r="N508" s="950"/>
      <c r="O508" s="950"/>
      <c r="P508" s="950"/>
      <c r="Q508" s="1054"/>
      <c r="R508" s="1053" t="s">
        <v>1812</v>
      </c>
      <c r="S508" s="1055" t="s">
        <v>1855</v>
      </c>
      <c r="T508" s="1056">
        <f t="shared" si="43"/>
        <v>22</v>
      </c>
      <c r="U508" s="1055" t="s">
        <v>1855</v>
      </c>
      <c r="V508" s="1056">
        <f t="shared" si="38"/>
        <v>22</v>
      </c>
      <c r="W508" s="1055" t="s">
        <v>11884</v>
      </c>
      <c r="X508" s="1056">
        <f t="shared" si="39"/>
        <v>23</v>
      </c>
      <c r="Y508" s="1057" t="s">
        <v>11885</v>
      </c>
      <c r="Z508" s="1056">
        <f t="shared" si="40"/>
        <v>25</v>
      </c>
      <c r="AA508" s="1057" t="s">
        <v>11885</v>
      </c>
      <c r="AB508" s="1056">
        <f t="shared" si="41"/>
        <v>25</v>
      </c>
      <c r="AC508" s="1057" t="s">
        <v>11885</v>
      </c>
      <c r="AD508" s="1056">
        <f t="shared" si="42"/>
        <v>25</v>
      </c>
      <c r="AE508" s="518" t="s">
        <v>11886</v>
      </c>
      <c r="AF508" s="519" t="s">
        <v>10532</v>
      </c>
      <c r="AG508" s="1021" t="s">
        <v>9179</v>
      </c>
      <c r="AH508" s="1022" t="s">
        <v>169</v>
      </c>
      <c r="AI508" s="530" t="s">
        <v>2969</v>
      </c>
      <c r="AJ508" s="958">
        <v>1</v>
      </c>
      <c r="AK508" s="959" t="s">
        <v>5359</v>
      </c>
      <c r="AL508" s="960" t="s">
        <v>5930</v>
      </c>
      <c r="AM508" s="1058">
        <f>_xll.GetCtData("COAMOUNT","CONSAMOUNT",$A$1:$A$7,$D508,AM$10,"#-419251,793137813")</f>
        <v>-419251</v>
      </c>
    </row>
    <row r="509" spans="1:39">
      <c r="A509" s="427" t="s">
        <v>6610</v>
      </c>
      <c r="B509" s="427" t="s">
        <v>6610</v>
      </c>
      <c r="D509" s="410" t="s">
        <v>11887</v>
      </c>
      <c r="E509" s="949" t="s">
        <v>2912</v>
      </c>
      <c r="F509" s="950">
        <v>7</v>
      </c>
      <c r="G509" s="950"/>
      <c r="H509" s="950"/>
      <c r="I509" s="950"/>
      <c r="J509" s="950"/>
      <c r="K509" s="950"/>
      <c r="L509" s="950"/>
      <c r="M509" s="950"/>
      <c r="N509" s="1009" t="s">
        <v>11888</v>
      </c>
      <c r="O509" s="975"/>
      <c r="P509" s="975"/>
      <c r="Q509" s="1047"/>
      <c r="R509" s="410" t="s">
        <v>11888</v>
      </c>
      <c r="S509" s="1047" t="s">
        <v>11721</v>
      </c>
      <c r="T509" s="1048">
        <f t="shared" si="43"/>
        <v>35</v>
      </c>
      <c r="U509" s="1047" t="s">
        <v>11721</v>
      </c>
      <c r="V509" s="1048">
        <f t="shared" si="38"/>
        <v>35</v>
      </c>
      <c r="W509" s="1047" t="s">
        <v>11722</v>
      </c>
      <c r="X509" s="1048">
        <f t="shared" si="39"/>
        <v>29</v>
      </c>
      <c r="Y509" s="1049" t="s">
        <v>11723</v>
      </c>
      <c r="Z509" s="1048">
        <f t="shared" si="40"/>
        <v>44</v>
      </c>
      <c r="AA509" s="1049" t="s">
        <v>11723</v>
      </c>
      <c r="AB509" s="1048">
        <f t="shared" si="41"/>
        <v>44</v>
      </c>
      <c r="AC509" s="1049" t="s">
        <v>11724</v>
      </c>
      <c r="AD509" s="1048">
        <f t="shared" si="42"/>
        <v>25</v>
      </c>
      <c r="AE509" s="1048"/>
      <c r="AF509" s="1048"/>
      <c r="AG509" s="956"/>
      <c r="AH509" s="957"/>
      <c r="AI509" s="494" t="s">
        <v>2917</v>
      </c>
      <c r="AJ509" s="958">
        <v>1</v>
      </c>
      <c r="AK509" s="959"/>
      <c r="AL509" s="960"/>
      <c r="AM509" s="1050">
        <f>_xll.GetCtData("COAMOUNT","CONSAMOUNT",$A$1:$A$7,$D509,AM$10,"#-200664,25122596")</f>
        <v>-200664</v>
      </c>
    </row>
    <row r="510" spans="1:39">
      <c r="A510" s="427" t="s">
        <v>6610</v>
      </c>
      <c r="B510" s="427" t="s">
        <v>6610</v>
      </c>
      <c r="D510" s="981" t="s">
        <v>11889</v>
      </c>
      <c r="E510" s="949" t="s">
        <v>2912</v>
      </c>
      <c r="F510" s="950">
        <v>8</v>
      </c>
      <c r="G510" s="950"/>
      <c r="H510" s="950"/>
      <c r="I510" s="950"/>
      <c r="J510" s="950"/>
      <c r="K510" s="950"/>
      <c r="L510" s="950"/>
      <c r="M510" s="950"/>
      <c r="N510" s="950"/>
      <c r="O510" s="981" t="s">
        <v>11890</v>
      </c>
      <c r="P510" s="982"/>
      <c r="Q510" s="981"/>
      <c r="R510" s="981" t="s">
        <v>11890</v>
      </c>
      <c r="S510" s="981" t="s">
        <v>11891</v>
      </c>
      <c r="T510" s="1002">
        <f t="shared" si="43"/>
        <v>43</v>
      </c>
      <c r="U510" s="981" t="s">
        <v>11891</v>
      </c>
      <c r="V510" s="1002">
        <f t="shared" si="38"/>
        <v>43</v>
      </c>
      <c r="W510" s="981" t="s">
        <v>11892</v>
      </c>
      <c r="X510" s="1002">
        <f t="shared" si="39"/>
        <v>27</v>
      </c>
      <c r="Y510" s="1003" t="s">
        <v>11893</v>
      </c>
      <c r="Z510" s="1002">
        <f t="shared" si="40"/>
        <v>53</v>
      </c>
      <c r="AA510" s="1003" t="s">
        <v>11893</v>
      </c>
      <c r="AB510" s="1002">
        <f t="shared" si="41"/>
        <v>53</v>
      </c>
      <c r="AC510" s="1003" t="s">
        <v>11894</v>
      </c>
      <c r="AD510" s="1002">
        <f t="shared" si="42"/>
        <v>26</v>
      </c>
      <c r="AE510" s="1002"/>
      <c r="AF510" s="1002"/>
      <c r="AG510" s="956"/>
      <c r="AH510" s="957"/>
      <c r="AI510" s="494" t="s">
        <v>2917</v>
      </c>
      <c r="AJ510" s="958">
        <v>1</v>
      </c>
      <c r="AK510" s="959"/>
      <c r="AL510" s="960"/>
      <c r="AM510" s="985">
        <f>_xll.GetCtData("COAMOUNT","CONSAMOUNT",$A$1:$A$7,$D510,AM$10,"#-2684,04367478115")</f>
        <v>-2684</v>
      </c>
    </row>
    <row r="511" spans="1:39">
      <c r="A511" s="427" t="s">
        <v>6610</v>
      </c>
      <c r="B511" s="427" t="s">
        <v>6610</v>
      </c>
      <c r="D511" s="986" t="s">
        <v>11895</v>
      </c>
      <c r="E511" s="949" t="s">
        <v>2912</v>
      </c>
      <c r="F511" s="950">
        <v>9</v>
      </c>
      <c r="G511" s="950"/>
      <c r="H511" s="950"/>
      <c r="I511" s="950"/>
      <c r="J511" s="950"/>
      <c r="K511" s="950"/>
      <c r="L511" s="950"/>
      <c r="M511" s="950"/>
      <c r="N511" s="950"/>
      <c r="O511" s="950"/>
      <c r="P511" s="986" t="s">
        <v>11896</v>
      </c>
      <c r="Q511" s="986"/>
      <c r="R511" s="986" t="s">
        <v>11896</v>
      </c>
      <c r="S511" s="986" t="s">
        <v>11897</v>
      </c>
      <c r="T511" s="987">
        <f t="shared" si="43"/>
        <v>44</v>
      </c>
      <c r="U511" s="986" t="s">
        <v>11897</v>
      </c>
      <c r="V511" s="987">
        <f t="shared" si="38"/>
        <v>44</v>
      </c>
      <c r="W511" s="986" t="s">
        <v>11898</v>
      </c>
      <c r="X511" s="987">
        <f t="shared" si="39"/>
        <v>30</v>
      </c>
      <c r="Y511" s="988" t="s">
        <v>11899</v>
      </c>
      <c r="Z511" s="987">
        <f t="shared" si="40"/>
        <v>58</v>
      </c>
      <c r="AA511" s="988" t="s">
        <v>11899</v>
      </c>
      <c r="AB511" s="987">
        <f t="shared" si="41"/>
        <v>58</v>
      </c>
      <c r="AC511" s="988" t="s">
        <v>11900</v>
      </c>
      <c r="AD511" s="987">
        <f t="shared" si="42"/>
        <v>27</v>
      </c>
      <c r="AE511" s="987"/>
      <c r="AF511" s="987"/>
      <c r="AG511" s="956"/>
      <c r="AH511" s="957"/>
      <c r="AI511" s="494" t="s">
        <v>2917</v>
      </c>
      <c r="AJ511" s="958">
        <v>1</v>
      </c>
      <c r="AK511" s="959"/>
      <c r="AL511" s="960"/>
      <c r="AM511" s="989">
        <f>_xll.GetCtData("COAMOUNT","CONSAMOUNT",$A$1:$A$7,$D511,AM$10,"#")</f>
        <v>0</v>
      </c>
    </row>
    <row r="512" spans="1:39">
      <c r="A512" s="427" t="s">
        <v>6610</v>
      </c>
      <c r="B512" s="427" t="s">
        <v>6610</v>
      </c>
      <c r="D512" s="1051" t="s">
        <v>1178</v>
      </c>
      <c r="E512" s="949" t="s">
        <v>2930</v>
      </c>
      <c r="F512" s="950">
        <v>10</v>
      </c>
      <c r="G512" s="950"/>
      <c r="H512" s="950"/>
      <c r="I512" s="950"/>
      <c r="J512" s="950"/>
      <c r="K512" s="950"/>
      <c r="L512" s="950"/>
      <c r="M512" s="950"/>
      <c r="N512" s="950"/>
      <c r="O512" s="950"/>
      <c r="P512" s="950"/>
      <c r="Q512" s="950"/>
      <c r="R512" s="1051" t="s">
        <v>1784</v>
      </c>
      <c r="S512" s="1014" t="s">
        <v>11901</v>
      </c>
      <c r="T512" s="1015">
        <f t="shared" si="43"/>
        <v>37</v>
      </c>
      <c r="U512" s="1014" t="s">
        <v>11901</v>
      </c>
      <c r="V512" s="1015">
        <f t="shared" ref="V512:V579" si="44">LEN(U512)</f>
        <v>37</v>
      </c>
      <c r="W512" s="1014" t="s">
        <v>11902</v>
      </c>
      <c r="X512" s="1015">
        <f t="shared" ref="X512:X579" si="45">LEN(W512)</f>
        <v>30</v>
      </c>
      <c r="Y512" s="1016" t="s">
        <v>11903</v>
      </c>
      <c r="Z512" s="1015">
        <f t="shared" ref="Z512:Z579" si="46">LEN(Y512)</f>
        <v>53</v>
      </c>
      <c r="AA512" s="1016" t="s">
        <v>11903</v>
      </c>
      <c r="AB512" s="1015">
        <f t="shared" ref="AB512:AB579" si="47">LEN(AA512)</f>
        <v>53</v>
      </c>
      <c r="AC512" s="1016" t="s">
        <v>11904</v>
      </c>
      <c r="AD512" s="1015">
        <f t="shared" ref="AD512:AD579" si="48">LEN(AC512)</f>
        <v>29</v>
      </c>
      <c r="AE512" s="518" t="s">
        <v>11905</v>
      </c>
      <c r="AF512" s="519" t="s">
        <v>11906</v>
      </c>
      <c r="AG512" s="1021" t="s">
        <v>9179</v>
      </c>
      <c r="AH512" s="1022" t="s">
        <v>169</v>
      </c>
      <c r="AI512" s="494" t="s">
        <v>2917</v>
      </c>
      <c r="AJ512" s="958">
        <v>1</v>
      </c>
      <c r="AK512" s="959"/>
      <c r="AL512" s="960"/>
      <c r="AM512" s="1018">
        <f>_xll.GetCtData("COAMOUNT","CONSAMOUNT",$A$1:$A$7,$D512,AM$10,"#")</f>
        <v>0</v>
      </c>
    </row>
    <row r="513" spans="1:39">
      <c r="A513" s="427" t="s">
        <v>6610</v>
      </c>
      <c r="B513" s="427" t="s">
        <v>6610</v>
      </c>
      <c r="D513" s="1051" t="s">
        <v>11907</v>
      </c>
      <c r="E513" s="949" t="s">
        <v>2930</v>
      </c>
      <c r="F513" s="950">
        <v>10</v>
      </c>
      <c r="G513" s="950"/>
      <c r="H513" s="950"/>
      <c r="I513" s="950"/>
      <c r="J513" s="950"/>
      <c r="K513" s="950"/>
      <c r="L513" s="950"/>
      <c r="M513" s="950"/>
      <c r="N513" s="950"/>
      <c r="O513" s="950"/>
      <c r="P513" s="950"/>
      <c r="Q513" s="950"/>
      <c r="R513" s="1051" t="s">
        <v>1785</v>
      </c>
      <c r="S513" s="1014" t="s">
        <v>11908</v>
      </c>
      <c r="T513" s="1015">
        <f t="shared" si="43"/>
        <v>40</v>
      </c>
      <c r="U513" s="1014" t="s">
        <v>11908</v>
      </c>
      <c r="V513" s="1015">
        <f t="shared" si="44"/>
        <v>40</v>
      </c>
      <c r="W513" s="1014" t="s">
        <v>11909</v>
      </c>
      <c r="X513" s="1015">
        <f t="shared" si="45"/>
        <v>30</v>
      </c>
      <c r="Y513" s="1016" t="s">
        <v>11910</v>
      </c>
      <c r="Z513" s="1015">
        <f t="shared" si="46"/>
        <v>55</v>
      </c>
      <c r="AA513" s="1016" t="s">
        <v>11910</v>
      </c>
      <c r="AB513" s="1015">
        <f t="shared" si="47"/>
        <v>55</v>
      </c>
      <c r="AC513" s="1016" t="s">
        <v>11911</v>
      </c>
      <c r="AD513" s="1015">
        <f t="shared" si="48"/>
        <v>30</v>
      </c>
      <c r="AE513" s="518" t="s">
        <v>11912</v>
      </c>
      <c r="AF513" s="519" t="s">
        <v>11913</v>
      </c>
      <c r="AG513" s="1021" t="s">
        <v>9179</v>
      </c>
      <c r="AH513" s="1022" t="s">
        <v>169</v>
      </c>
      <c r="AI513" s="494" t="s">
        <v>2917</v>
      </c>
      <c r="AJ513" s="958">
        <v>1</v>
      </c>
      <c r="AK513" s="959"/>
      <c r="AL513" s="960"/>
      <c r="AM513" s="1018">
        <f>_xll.GetCtData("COAMOUNT","CONSAMOUNT",$A$1:$A$7,$D513,AM$10,"#")</f>
        <v>0</v>
      </c>
    </row>
    <row r="514" spans="1:39">
      <c r="A514" s="427" t="s">
        <v>6610</v>
      </c>
      <c r="B514" s="427" t="s">
        <v>6610</v>
      </c>
      <c r="D514" s="986" t="s">
        <v>11914</v>
      </c>
      <c r="E514" s="949" t="s">
        <v>2912</v>
      </c>
      <c r="F514" s="950">
        <v>9</v>
      </c>
      <c r="G514" s="950"/>
      <c r="H514" s="950"/>
      <c r="I514" s="950"/>
      <c r="J514" s="950"/>
      <c r="K514" s="950"/>
      <c r="L514" s="950"/>
      <c r="M514" s="950"/>
      <c r="N514" s="950"/>
      <c r="O514" s="950"/>
      <c r="P514" s="986" t="s">
        <v>11915</v>
      </c>
      <c r="Q514" s="986"/>
      <c r="R514" s="986" t="s">
        <v>11915</v>
      </c>
      <c r="S514" s="986" t="s">
        <v>11916</v>
      </c>
      <c r="T514" s="987">
        <f t="shared" si="43"/>
        <v>32</v>
      </c>
      <c r="U514" s="986" t="s">
        <v>11916</v>
      </c>
      <c r="V514" s="987">
        <f t="shared" si="44"/>
        <v>32</v>
      </c>
      <c r="W514" s="986" t="s">
        <v>11917</v>
      </c>
      <c r="X514" s="987">
        <f t="shared" si="45"/>
        <v>27</v>
      </c>
      <c r="Y514" s="988" t="s">
        <v>11918</v>
      </c>
      <c r="Z514" s="987">
        <f t="shared" si="46"/>
        <v>51</v>
      </c>
      <c r="AA514" s="988" t="s">
        <v>11918</v>
      </c>
      <c r="AB514" s="987">
        <f t="shared" si="47"/>
        <v>51</v>
      </c>
      <c r="AC514" s="988" t="s">
        <v>11919</v>
      </c>
      <c r="AD514" s="987">
        <f t="shared" si="48"/>
        <v>27</v>
      </c>
      <c r="AE514" s="987"/>
      <c r="AF514" s="987"/>
      <c r="AG514" s="956"/>
      <c r="AH514" s="957"/>
      <c r="AI514" s="494" t="s">
        <v>2917</v>
      </c>
      <c r="AJ514" s="958">
        <v>1</v>
      </c>
      <c r="AK514" s="959"/>
      <c r="AL514" s="960"/>
      <c r="AM514" s="989">
        <f>_xll.GetCtData("COAMOUNT","CONSAMOUNT",$A$1:$A$7,$D514,AM$10,"#-2794,88937584643")</f>
        <v>-2794</v>
      </c>
    </row>
    <row r="515" spans="1:39">
      <c r="A515" s="427" t="s">
        <v>6610</v>
      </c>
      <c r="B515" s="427" t="s">
        <v>6610</v>
      </c>
      <c r="D515" s="1051" t="s">
        <v>1179</v>
      </c>
      <c r="E515" s="949" t="s">
        <v>2930</v>
      </c>
      <c r="F515" s="950">
        <v>10</v>
      </c>
      <c r="G515" s="950"/>
      <c r="H515" s="950"/>
      <c r="I515" s="950"/>
      <c r="J515" s="950"/>
      <c r="K515" s="950"/>
      <c r="L515" s="950"/>
      <c r="M515" s="950"/>
      <c r="N515" s="950"/>
      <c r="O515" s="950"/>
      <c r="P515" s="950"/>
      <c r="Q515" s="950"/>
      <c r="R515" s="1051" t="s">
        <v>1786</v>
      </c>
      <c r="S515" s="1014" t="s">
        <v>11920</v>
      </c>
      <c r="T515" s="1015">
        <f t="shared" si="43"/>
        <v>25</v>
      </c>
      <c r="U515" s="1014" t="s">
        <v>11920</v>
      </c>
      <c r="V515" s="1015">
        <f t="shared" si="44"/>
        <v>25</v>
      </c>
      <c r="W515" s="1014" t="s">
        <v>11920</v>
      </c>
      <c r="X515" s="1015">
        <f t="shared" si="45"/>
        <v>25</v>
      </c>
      <c r="Y515" s="1016" t="s">
        <v>11921</v>
      </c>
      <c r="Z515" s="1015">
        <f t="shared" si="46"/>
        <v>46</v>
      </c>
      <c r="AA515" s="1016" t="s">
        <v>11921</v>
      </c>
      <c r="AB515" s="1015">
        <f t="shared" si="47"/>
        <v>46</v>
      </c>
      <c r="AC515" s="1016" t="s">
        <v>11922</v>
      </c>
      <c r="AD515" s="1015">
        <f t="shared" si="48"/>
        <v>28</v>
      </c>
      <c r="AE515" s="518" t="s">
        <v>11923</v>
      </c>
      <c r="AF515" s="519" t="s">
        <v>11924</v>
      </c>
      <c r="AG515" s="1021" t="s">
        <v>9179</v>
      </c>
      <c r="AH515" s="1022" t="s">
        <v>169</v>
      </c>
      <c r="AI515" s="494" t="s">
        <v>2917</v>
      </c>
      <c r="AJ515" s="958">
        <v>1</v>
      </c>
      <c r="AK515" s="959"/>
      <c r="AL515" s="960"/>
      <c r="AM515" s="1018">
        <f>_xll.GetCtData("COAMOUNT","CONSAMOUNT",$A$1:$A$7,$D515,AM$10,"#-15682,2625394813")</f>
        <v>-15682</v>
      </c>
    </row>
    <row r="516" spans="1:39">
      <c r="A516" s="427" t="s">
        <v>6610</v>
      </c>
      <c r="B516" s="427" t="s">
        <v>6610</v>
      </c>
      <c r="D516" s="1051" t="s">
        <v>11925</v>
      </c>
      <c r="E516" s="949" t="s">
        <v>2930</v>
      </c>
      <c r="F516" s="950">
        <v>10</v>
      </c>
      <c r="G516" s="950"/>
      <c r="H516" s="950"/>
      <c r="I516" s="950"/>
      <c r="J516" s="950"/>
      <c r="K516" s="950"/>
      <c r="L516" s="950"/>
      <c r="M516" s="950"/>
      <c r="N516" s="950"/>
      <c r="O516" s="950"/>
      <c r="P516" s="950"/>
      <c r="Q516" s="950"/>
      <c r="R516" s="1051" t="s">
        <v>1787</v>
      </c>
      <c r="S516" s="1014" t="s">
        <v>11926</v>
      </c>
      <c r="T516" s="1015">
        <f t="shared" si="43"/>
        <v>28</v>
      </c>
      <c r="U516" s="1014" t="s">
        <v>11926</v>
      </c>
      <c r="V516" s="1015">
        <f t="shared" si="44"/>
        <v>28</v>
      </c>
      <c r="W516" s="1014" t="s">
        <v>11926</v>
      </c>
      <c r="X516" s="1015">
        <f t="shared" si="45"/>
        <v>28</v>
      </c>
      <c r="Y516" s="1016" t="s">
        <v>11927</v>
      </c>
      <c r="Z516" s="1015">
        <f t="shared" si="46"/>
        <v>48</v>
      </c>
      <c r="AA516" s="1016" t="s">
        <v>11927</v>
      </c>
      <c r="AB516" s="1015">
        <f t="shared" si="47"/>
        <v>48</v>
      </c>
      <c r="AC516" s="1016" t="s">
        <v>11928</v>
      </c>
      <c r="AD516" s="1015">
        <f t="shared" si="48"/>
        <v>30</v>
      </c>
      <c r="AE516" s="518" t="s">
        <v>11929</v>
      </c>
      <c r="AF516" s="519" t="s">
        <v>11930</v>
      </c>
      <c r="AG516" s="1021" t="s">
        <v>9179</v>
      </c>
      <c r="AH516" s="1022" t="s">
        <v>169</v>
      </c>
      <c r="AI516" s="494" t="s">
        <v>2917</v>
      </c>
      <c r="AJ516" s="958">
        <v>1</v>
      </c>
      <c r="AK516" s="959"/>
      <c r="AL516" s="960"/>
      <c r="AM516" s="1018">
        <f>_xll.GetCtData("COAMOUNT","CONSAMOUNT",$A$1:$A$7,$D516,AM$10,"#12887,3731636348")</f>
        <v>12887</v>
      </c>
    </row>
    <row r="517" spans="1:39">
      <c r="A517" s="427" t="s">
        <v>6610</v>
      </c>
      <c r="B517" s="427" t="s">
        <v>6610</v>
      </c>
      <c r="D517" s="986" t="s">
        <v>11931</v>
      </c>
      <c r="E517" s="949" t="s">
        <v>2912</v>
      </c>
      <c r="F517" s="950">
        <v>9</v>
      </c>
      <c r="G517" s="950"/>
      <c r="H517" s="950"/>
      <c r="I517" s="950"/>
      <c r="J517" s="950"/>
      <c r="K517" s="950"/>
      <c r="L517" s="950"/>
      <c r="M517" s="950"/>
      <c r="N517" s="950"/>
      <c r="O517" s="950"/>
      <c r="P517" s="986" t="s">
        <v>11932</v>
      </c>
      <c r="Q517" s="986"/>
      <c r="R517" s="986" t="s">
        <v>11932</v>
      </c>
      <c r="S517" s="986" t="s">
        <v>11933</v>
      </c>
      <c r="T517" s="987">
        <f t="shared" si="43"/>
        <v>31</v>
      </c>
      <c r="U517" s="986" t="s">
        <v>11933</v>
      </c>
      <c r="V517" s="987">
        <f t="shared" si="44"/>
        <v>31</v>
      </c>
      <c r="W517" s="986" t="s">
        <v>11934</v>
      </c>
      <c r="X517" s="987">
        <f t="shared" si="45"/>
        <v>26</v>
      </c>
      <c r="Y517" s="988" t="s">
        <v>11935</v>
      </c>
      <c r="Z517" s="987">
        <f t="shared" si="46"/>
        <v>35</v>
      </c>
      <c r="AA517" s="988" t="s">
        <v>11935</v>
      </c>
      <c r="AB517" s="987">
        <f t="shared" si="47"/>
        <v>35</v>
      </c>
      <c r="AC517" s="988" t="s">
        <v>11936</v>
      </c>
      <c r="AD517" s="987">
        <f t="shared" si="48"/>
        <v>28</v>
      </c>
      <c r="AE517" s="987"/>
      <c r="AF517" s="987"/>
      <c r="AG517" s="956"/>
      <c r="AH517" s="957"/>
      <c r="AI517" s="494" t="s">
        <v>2917</v>
      </c>
      <c r="AJ517" s="958">
        <v>1</v>
      </c>
      <c r="AK517" s="959"/>
      <c r="AL517" s="960"/>
      <c r="AM517" s="989">
        <f>_xll.GetCtData("COAMOUNT","CONSAMOUNT",$A$1:$A$7,$D517,AM$10,"#88,6779220758255")</f>
        <v>88</v>
      </c>
    </row>
    <row r="518" spans="1:39">
      <c r="A518" s="427" t="s">
        <v>6610</v>
      </c>
      <c r="B518" s="427" t="s">
        <v>6610</v>
      </c>
      <c r="D518" s="1051" t="s">
        <v>1180</v>
      </c>
      <c r="E518" s="949" t="s">
        <v>2930</v>
      </c>
      <c r="F518" s="950">
        <v>10</v>
      </c>
      <c r="G518" s="950"/>
      <c r="H518" s="950"/>
      <c r="I518" s="950"/>
      <c r="J518" s="950"/>
      <c r="K518" s="950"/>
      <c r="L518" s="950"/>
      <c r="M518" s="950"/>
      <c r="N518" s="950"/>
      <c r="O518" s="950"/>
      <c r="P518" s="950"/>
      <c r="Q518" s="950"/>
      <c r="R518" s="1051" t="s">
        <v>1788</v>
      </c>
      <c r="S518" s="1014" t="s">
        <v>11937</v>
      </c>
      <c r="T518" s="1015">
        <f t="shared" ref="T518:T549" si="49">LEN(S518)</f>
        <v>24</v>
      </c>
      <c r="U518" s="1014" t="s">
        <v>11937</v>
      </c>
      <c r="V518" s="1015">
        <f t="shared" si="44"/>
        <v>24</v>
      </c>
      <c r="W518" s="1014" t="s">
        <v>11937</v>
      </c>
      <c r="X518" s="1015">
        <f t="shared" si="45"/>
        <v>24</v>
      </c>
      <c r="Y518" s="1016" t="s">
        <v>11938</v>
      </c>
      <c r="Z518" s="1015">
        <f t="shared" si="46"/>
        <v>30</v>
      </c>
      <c r="AA518" s="1016" t="s">
        <v>11938</v>
      </c>
      <c r="AB518" s="1015">
        <f t="shared" si="47"/>
        <v>30</v>
      </c>
      <c r="AC518" s="1016" t="s">
        <v>11938</v>
      </c>
      <c r="AD518" s="1015">
        <f t="shared" si="48"/>
        <v>30</v>
      </c>
      <c r="AE518" s="518" t="s">
        <v>11939</v>
      </c>
      <c r="AF518" s="519" t="s">
        <v>11940</v>
      </c>
      <c r="AG518" s="1021" t="s">
        <v>9179</v>
      </c>
      <c r="AH518" s="1022" t="s">
        <v>169</v>
      </c>
      <c r="AI518" s="494" t="s">
        <v>2917</v>
      </c>
      <c r="AJ518" s="958">
        <v>1</v>
      </c>
      <c r="AK518" s="959"/>
      <c r="AL518" s="960"/>
      <c r="AM518" s="1018">
        <f>_xll.GetCtData("COAMOUNT","CONSAMOUNT",$A$1:$A$7,$D518,AM$10,"#")</f>
        <v>0</v>
      </c>
    </row>
    <row r="519" spans="1:39">
      <c r="A519" s="427" t="s">
        <v>6610</v>
      </c>
      <c r="B519" s="427" t="s">
        <v>6610</v>
      </c>
      <c r="D519" s="1051" t="s">
        <v>11941</v>
      </c>
      <c r="E519" s="949" t="s">
        <v>2930</v>
      </c>
      <c r="F519" s="950">
        <v>10</v>
      </c>
      <c r="G519" s="950"/>
      <c r="H519" s="950"/>
      <c r="I519" s="950"/>
      <c r="J519" s="950"/>
      <c r="K519" s="950"/>
      <c r="L519" s="950"/>
      <c r="M519" s="950"/>
      <c r="N519" s="950"/>
      <c r="O519" s="950"/>
      <c r="P519" s="950"/>
      <c r="Q519" s="950"/>
      <c r="R519" s="1051" t="s">
        <v>1789</v>
      </c>
      <c r="S519" s="1014" t="s">
        <v>11942</v>
      </c>
      <c r="T519" s="1015">
        <f t="shared" si="49"/>
        <v>27</v>
      </c>
      <c r="U519" s="1014" t="s">
        <v>11942</v>
      </c>
      <c r="V519" s="1015">
        <f t="shared" si="44"/>
        <v>27</v>
      </c>
      <c r="W519" s="1014" t="s">
        <v>11942</v>
      </c>
      <c r="X519" s="1015">
        <f t="shared" si="45"/>
        <v>27</v>
      </c>
      <c r="Y519" s="1016" t="s">
        <v>11943</v>
      </c>
      <c r="Z519" s="1015">
        <f t="shared" si="46"/>
        <v>32</v>
      </c>
      <c r="AA519" s="1016" t="s">
        <v>11943</v>
      </c>
      <c r="AB519" s="1015">
        <f t="shared" si="47"/>
        <v>32</v>
      </c>
      <c r="AC519" s="1016" t="s">
        <v>11944</v>
      </c>
      <c r="AD519" s="1015">
        <f t="shared" si="48"/>
        <v>26</v>
      </c>
      <c r="AE519" s="518" t="s">
        <v>11945</v>
      </c>
      <c r="AF519" s="519" t="s">
        <v>11946</v>
      </c>
      <c r="AG519" s="1021" t="s">
        <v>9179</v>
      </c>
      <c r="AH519" s="1022" t="s">
        <v>169</v>
      </c>
      <c r="AI519" s="494" t="s">
        <v>2917</v>
      </c>
      <c r="AJ519" s="958">
        <v>1</v>
      </c>
      <c r="AK519" s="959"/>
      <c r="AL519" s="960"/>
      <c r="AM519" s="1018">
        <f>_xll.GetCtData("COAMOUNT","CONSAMOUNT",$A$1:$A$7,$D519,AM$10,"#88,6779220758255")</f>
        <v>88</v>
      </c>
    </row>
    <row r="520" spans="1:39">
      <c r="A520" s="427" t="s">
        <v>6610</v>
      </c>
      <c r="B520" s="427" t="s">
        <v>6610</v>
      </c>
      <c r="D520" s="986" t="s">
        <v>11947</v>
      </c>
      <c r="E520" s="949" t="s">
        <v>2912</v>
      </c>
      <c r="F520" s="950">
        <v>9</v>
      </c>
      <c r="G520" s="950"/>
      <c r="H520" s="950"/>
      <c r="I520" s="950"/>
      <c r="J520" s="950"/>
      <c r="K520" s="950"/>
      <c r="L520" s="950"/>
      <c r="M520" s="950"/>
      <c r="N520" s="950"/>
      <c r="O520" s="950"/>
      <c r="P520" s="986" t="s">
        <v>11948</v>
      </c>
      <c r="Q520" s="986"/>
      <c r="R520" s="986" t="s">
        <v>11948</v>
      </c>
      <c r="S520" s="986" t="s">
        <v>11949</v>
      </c>
      <c r="T520" s="987">
        <f t="shared" si="49"/>
        <v>50</v>
      </c>
      <c r="U520" s="986" t="s">
        <v>11949</v>
      </c>
      <c r="V520" s="987">
        <f t="shared" si="44"/>
        <v>50</v>
      </c>
      <c r="W520" s="986" t="s">
        <v>11950</v>
      </c>
      <c r="X520" s="987">
        <f t="shared" si="45"/>
        <v>30</v>
      </c>
      <c r="Y520" s="988" t="s">
        <v>11951</v>
      </c>
      <c r="Z520" s="987">
        <f t="shared" si="46"/>
        <v>59</v>
      </c>
      <c r="AA520" s="988" t="s">
        <v>11951</v>
      </c>
      <c r="AB520" s="987">
        <f t="shared" si="47"/>
        <v>59</v>
      </c>
      <c r="AC520" s="988" t="s">
        <v>11952</v>
      </c>
      <c r="AD520" s="987">
        <f t="shared" si="48"/>
        <v>24</v>
      </c>
      <c r="AE520" s="987"/>
      <c r="AF520" s="987"/>
      <c r="AG520" s="956"/>
      <c r="AH520" s="957"/>
      <c r="AI520" s="494" t="s">
        <v>2917</v>
      </c>
      <c r="AJ520" s="958">
        <v>1</v>
      </c>
      <c r="AK520" s="959"/>
      <c r="AL520" s="960"/>
      <c r="AM520" s="989">
        <f>_xll.GetCtData("COAMOUNT","CONSAMOUNT",$A$1:$A$7,$D520,AM$10,"#22,1677789894582")</f>
        <v>22</v>
      </c>
    </row>
    <row r="521" spans="1:39">
      <c r="A521" s="427" t="s">
        <v>6610</v>
      </c>
      <c r="B521" s="427" t="s">
        <v>6610</v>
      </c>
      <c r="D521" s="1051" t="s">
        <v>1181</v>
      </c>
      <c r="E521" s="949" t="s">
        <v>2930</v>
      </c>
      <c r="F521" s="950">
        <v>10</v>
      </c>
      <c r="G521" s="950"/>
      <c r="H521" s="950"/>
      <c r="I521" s="950"/>
      <c r="J521" s="950"/>
      <c r="K521" s="950"/>
      <c r="L521" s="950"/>
      <c r="M521" s="950"/>
      <c r="N521" s="950"/>
      <c r="O521" s="950"/>
      <c r="P521" s="950"/>
      <c r="Q521" s="950"/>
      <c r="R521" s="1051" t="s">
        <v>1790</v>
      </c>
      <c r="S521" s="1014" t="s">
        <v>11953</v>
      </c>
      <c r="T521" s="1015">
        <f t="shared" si="49"/>
        <v>43</v>
      </c>
      <c r="U521" s="1014" t="s">
        <v>11953</v>
      </c>
      <c r="V521" s="1015">
        <f t="shared" si="44"/>
        <v>43</v>
      </c>
      <c r="W521" s="1014" t="s">
        <v>11954</v>
      </c>
      <c r="X521" s="1015">
        <f t="shared" si="45"/>
        <v>30</v>
      </c>
      <c r="Y521" s="1016" t="s">
        <v>11938</v>
      </c>
      <c r="Z521" s="1015">
        <f t="shared" si="46"/>
        <v>30</v>
      </c>
      <c r="AA521" s="1016" t="s">
        <v>11938</v>
      </c>
      <c r="AB521" s="1015">
        <f t="shared" si="47"/>
        <v>30</v>
      </c>
      <c r="AC521" s="1016" t="s">
        <v>11938</v>
      </c>
      <c r="AD521" s="1015">
        <f t="shared" si="48"/>
        <v>30</v>
      </c>
      <c r="AE521" s="518" t="s">
        <v>11955</v>
      </c>
      <c r="AF521" s="519" t="s">
        <v>11956</v>
      </c>
      <c r="AG521" s="1021" t="s">
        <v>9179</v>
      </c>
      <c r="AH521" s="1022" t="s">
        <v>169</v>
      </c>
      <c r="AI521" s="494" t="s">
        <v>2917</v>
      </c>
      <c r="AJ521" s="958">
        <v>1</v>
      </c>
      <c r="AK521" s="959"/>
      <c r="AL521" s="960"/>
      <c r="AM521" s="1018">
        <f>_xll.GetCtData("COAMOUNT","CONSAMOUNT",$A$1:$A$7,$D521,AM$10,"#-22562,8322210105")</f>
        <v>-22562</v>
      </c>
    </row>
    <row r="522" spans="1:39">
      <c r="A522" s="427" t="s">
        <v>6610</v>
      </c>
      <c r="B522" s="427" t="s">
        <v>6610</v>
      </c>
      <c r="D522" s="1051" t="s">
        <v>11957</v>
      </c>
      <c r="E522" s="949" t="s">
        <v>2930</v>
      </c>
      <c r="F522" s="950">
        <v>10</v>
      </c>
      <c r="G522" s="950"/>
      <c r="H522" s="950"/>
      <c r="I522" s="950"/>
      <c r="J522" s="950"/>
      <c r="K522" s="950"/>
      <c r="L522" s="950"/>
      <c r="M522" s="950"/>
      <c r="N522" s="950"/>
      <c r="O522" s="950"/>
      <c r="P522" s="950"/>
      <c r="Q522" s="950"/>
      <c r="R522" s="1051" t="s">
        <v>1791</v>
      </c>
      <c r="S522" s="1014" t="s">
        <v>11958</v>
      </c>
      <c r="T522" s="1015">
        <f t="shared" si="49"/>
        <v>46</v>
      </c>
      <c r="U522" s="1014" t="s">
        <v>11958</v>
      </c>
      <c r="V522" s="1015">
        <f t="shared" si="44"/>
        <v>46</v>
      </c>
      <c r="W522" s="1014" t="s">
        <v>11959</v>
      </c>
      <c r="X522" s="1015">
        <f t="shared" si="45"/>
        <v>30</v>
      </c>
      <c r="Y522" s="1016" t="s">
        <v>11943</v>
      </c>
      <c r="Z522" s="1015">
        <f t="shared" si="46"/>
        <v>32</v>
      </c>
      <c r="AA522" s="1016" t="s">
        <v>11943</v>
      </c>
      <c r="AB522" s="1015">
        <f t="shared" si="47"/>
        <v>32</v>
      </c>
      <c r="AC522" s="1016" t="s">
        <v>11944</v>
      </c>
      <c r="AD522" s="1015">
        <f t="shared" si="48"/>
        <v>26</v>
      </c>
      <c r="AE522" s="518" t="s">
        <v>11960</v>
      </c>
      <c r="AF522" s="519" t="s">
        <v>11961</v>
      </c>
      <c r="AG522" s="1021" t="s">
        <v>9179</v>
      </c>
      <c r="AH522" s="1022" t="s">
        <v>169</v>
      </c>
      <c r="AI522" s="494" t="s">
        <v>2917</v>
      </c>
      <c r="AJ522" s="958">
        <v>1</v>
      </c>
      <c r="AK522" s="959"/>
      <c r="AL522" s="960"/>
      <c r="AM522" s="1018">
        <f>_xll.GetCtData("COAMOUNT","CONSAMOUNT",$A$1:$A$7,$D522,AM$10,"#22585")</f>
        <v>22585</v>
      </c>
    </row>
    <row r="523" spans="1:39">
      <c r="A523" s="427" t="s">
        <v>6610</v>
      </c>
      <c r="B523" s="427" t="s">
        <v>6610</v>
      </c>
      <c r="D523" s="981" t="s">
        <v>11962</v>
      </c>
      <c r="E523" s="949" t="s">
        <v>2912</v>
      </c>
      <c r="F523" s="950">
        <v>8</v>
      </c>
      <c r="G523" s="950"/>
      <c r="H523" s="950"/>
      <c r="I523" s="950"/>
      <c r="J523" s="950"/>
      <c r="K523" s="950"/>
      <c r="L523" s="950"/>
      <c r="M523" s="950"/>
      <c r="N523" s="950"/>
      <c r="O523" s="981" t="s">
        <v>11963</v>
      </c>
      <c r="P523" s="982"/>
      <c r="Q523" s="981"/>
      <c r="R523" s="981" t="s">
        <v>11963</v>
      </c>
      <c r="S523" s="981" t="s">
        <v>11964</v>
      </c>
      <c r="T523" s="1002">
        <f t="shared" si="49"/>
        <v>68</v>
      </c>
      <c r="U523" s="981" t="s">
        <v>11964</v>
      </c>
      <c r="V523" s="1002">
        <f t="shared" si="44"/>
        <v>68</v>
      </c>
      <c r="W523" s="981" t="s">
        <v>11965</v>
      </c>
      <c r="X523" s="1002">
        <f t="shared" si="45"/>
        <v>30</v>
      </c>
      <c r="Y523" s="1003" t="s">
        <v>11966</v>
      </c>
      <c r="Z523" s="1002">
        <f t="shared" si="46"/>
        <v>53</v>
      </c>
      <c r="AA523" s="1003" t="s">
        <v>11966</v>
      </c>
      <c r="AB523" s="1002">
        <f t="shared" si="47"/>
        <v>53</v>
      </c>
      <c r="AC523" s="1003" t="s">
        <v>11967</v>
      </c>
      <c r="AD523" s="1002">
        <f t="shared" si="48"/>
        <v>30</v>
      </c>
      <c r="AE523" s="1002"/>
      <c r="AF523" s="1002"/>
      <c r="AG523" s="956"/>
      <c r="AH523" s="957"/>
      <c r="AI523" s="494" t="s">
        <v>2917</v>
      </c>
      <c r="AJ523" s="958">
        <v>1</v>
      </c>
      <c r="AK523" s="959"/>
      <c r="AL523" s="960"/>
      <c r="AM523" s="985">
        <f>_xll.GetCtData("COAMOUNT","CONSAMOUNT",$A$1:$A$7,$D523,AM$10,"#-10387,1941327147")</f>
        <v>-10387</v>
      </c>
    </row>
    <row r="524" spans="1:39">
      <c r="A524" s="427" t="s">
        <v>6610</v>
      </c>
      <c r="B524" s="427" t="s">
        <v>6610</v>
      </c>
      <c r="D524" s="986" t="s">
        <v>11968</v>
      </c>
      <c r="E524" s="949" t="s">
        <v>2912</v>
      </c>
      <c r="F524" s="950">
        <v>9</v>
      </c>
      <c r="G524" s="950"/>
      <c r="H524" s="950"/>
      <c r="I524" s="950"/>
      <c r="J524" s="950"/>
      <c r="K524" s="950"/>
      <c r="L524" s="950"/>
      <c r="M524" s="950"/>
      <c r="N524" s="950"/>
      <c r="O524" s="950"/>
      <c r="P524" s="986" t="s">
        <v>11969</v>
      </c>
      <c r="Q524" s="986"/>
      <c r="R524" s="986" t="s">
        <v>11969</v>
      </c>
      <c r="S524" s="986" t="s">
        <v>11970</v>
      </c>
      <c r="T524" s="987">
        <f t="shared" si="49"/>
        <v>44</v>
      </c>
      <c r="U524" s="986" t="s">
        <v>11970</v>
      </c>
      <c r="V524" s="987">
        <f t="shared" si="44"/>
        <v>44</v>
      </c>
      <c r="W524" s="986" t="s">
        <v>11971</v>
      </c>
      <c r="X524" s="987">
        <f t="shared" si="45"/>
        <v>28</v>
      </c>
      <c r="Y524" s="988" t="s">
        <v>11972</v>
      </c>
      <c r="Z524" s="987">
        <f t="shared" si="46"/>
        <v>51</v>
      </c>
      <c r="AA524" s="988" t="s">
        <v>11972</v>
      </c>
      <c r="AB524" s="987">
        <f t="shared" si="47"/>
        <v>51</v>
      </c>
      <c r="AC524" s="988" t="s">
        <v>11973</v>
      </c>
      <c r="AD524" s="987">
        <f t="shared" si="48"/>
        <v>28</v>
      </c>
      <c r="AE524" s="987"/>
      <c r="AF524" s="987"/>
      <c r="AG524" s="956"/>
      <c r="AH524" s="957"/>
      <c r="AI524" s="494" t="s">
        <v>2917</v>
      </c>
      <c r="AJ524" s="958">
        <v>1</v>
      </c>
      <c r="AK524" s="959"/>
      <c r="AL524" s="960"/>
      <c r="AM524" s="989">
        <f>_xll.GetCtData("COAMOUNT","CONSAMOUNT",$A$1:$A$7,$D524,AM$10,"#-10387,1941327147")</f>
        <v>-10387</v>
      </c>
    </row>
    <row r="525" spans="1:39">
      <c r="A525" s="427" t="s">
        <v>6610</v>
      </c>
      <c r="B525" s="427" t="s">
        <v>6610</v>
      </c>
      <c r="D525" s="1051" t="s">
        <v>1182</v>
      </c>
      <c r="E525" s="949" t="s">
        <v>2930</v>
      </c>
      <c r="F525" s="950">
        <v>10</v>
      </c>
      <c r="G525" s="950"/>
      <c r="H525" s="950"/>
      <c r="I525" s="950"/>
      <c r="J525" s="950"/>
      <c r="K525" s="950"/>
      <c r="L525" s="950"/>
      <c r="M525" s="950"/>
      <c r="N525" s="950"/>
      <c r="O525" s="950"/>
      <c r="P525" s="950"/>
      <c r="Q525" s="950"/>
      <c r="R525" s="1051" t="s">
        <v>1792</v>
      </c>
      <c r="S525" s="1014" t="s">
        <v>11970</v>
      </c>
      <c r="T525" s="1015">
        <f t="shared" si="49"/>
        <v>44</v>
      </c>
      <c r="U525" s="1014" t="s">
        <v>11970</v>
      </c>
      <c r="V525" s="1015">
        <f t="shared" si="44"/>
        <v>44</v>
      </c>
      <c r="W525" s="1014" t="s">
        <v>11971</v>
      </c>
      <c r="X525" s="1015">
        <f t="shared" si="45"/>
        <v>28</v>
      </c>
      <c r="Y525" s="1016" t="s">
        <v>11972</v>
      </c>
      <c r="Z525" s="1015">
        <f t="shared" si="46"/>
        <v>51</v>
      </c>
      <c r="AA525" s="1016" t="s">
        <v>11972</v>
      </c>
      <c r="AB525" s="1015">
        <f t="shared" si="47"/>
        <v>51</v>
      </c>
      <c r="AC525" s="1016" t="s">
        <v>11973</v>
      </c>
      <c r="AD525" s="1015">
        <f t="shared" si="48"/>
        <v>28</v>
      </c>
      <c r="AE525" s="518" t="s">
        <v>11974</v>
      </c>
      <c r="AF525" s="519" t="s">
        <v>11975</v>
      </c>
      <c r="AG525" s="1021" t="s">
        <v>9179</v>
      </c>
      <c r="AH525" s="1022" t="s">
        <v>169</v>
      </c>
      <c r="AI525" s="494" t="s">
        <v>2917</v>
      </c>
      <c r="AJ525" s="958">
        <v>1</v>
      </c>
      <c r="AK525" s="959"/>
      <c r="AL525" s="960"/>
      <c r="AM525" s="1018">
        <f>_xll.GetCtData("COAMOUNT","CONSAMOUNT",$A$1:$A$7,$D525,AM$10,"#-10387,1941327147")</f>
        <v>-10387</v>
      </c>
    </row>
    <row r="526" spans="1:39">
      <c r="A526" s="427" t="s">
        <v>6610</v>
      </c>
      <c r="B526" s="427" t="s">
        <v>6610</v>
      </c>
      <c r="D526" s="986" t="s">
        <v>11976</v>
      </c>
      <c r="E526" s="949" t="s">
        <v>2912</v>
      </c>
      <c r="F526" s="950">
        <v>9</v>
      </c>
      <c r="G526" s="950"/>
      <c r="H526" s="950"/>
      <c r="I526" s="950"/>
      <c r="J526" s="950"/>
      <c r="K526" s="950"/>
      <c r="L526" s="950"/>
      <c r="M526" s="950"/>
      <c r="N526" s="950"/>
      <c r="O526" s="950"/>
      <c r="P526" s="986" t="s">
        <v>11977</v>
      </c>
      <c r="Q526" s="986"/>
      <c r="R526" s="986" t="s">
        <v>11977</v>
      </c>
      <c r="S526" s="986" t="s">
        <v>11978</v>
      </c>
      <c r="T526" s="987">
        <f t="shared" si="49"/>
        <v>41</v>
      </c>
      <c r="U526" s="986" t="s">
        <v>11978</v>
      </c>
      <c r="V526" s="987">
        <f t="shared" si="44"/>
        <v>41</v>
      </c>
      <c r="W526" s="986" t="s">
        <v>11979</v>
      </c>
      <c r="X526" s="987">
        <f t="shared" si="45"/>
        <v>30</v>
      </c>
      <c r="Y526" s="988" t="s">
        <v>11980</v>
      </c>
      <c r="Z526" s="987">
        <f t="shared" si="46"/>
        <v>50</v>
      </c>
      <c r="AA526" s="988" t="s">
        <v>11980</v>
      </c>
      <c r="AB526" s="987">
        <f t="shared" si="47"/>
        <v>50</v>
      </c>
      <c r="AC526" s="988" t="s">
        <v>11981</v>
      </c>
      <c r="AD526" s="987">
        <f t="shared" si="48"/>
        <v>29</v>
      </c>
      <c r="AE526" s="987"/>
      <c r="AF526" s="987"/>
      <c r="AG526" s="956"/>
      <c r="AH526" s="957"/>
      <c r="AI526" s="494" t="s">
        <v>2917</v>
      </c>
      <c r="AJ526" s="958">
        <v>1</v>
      </c>
      <c r="AK526" s="959"/>
      <c r="AL526" s="960"/>
      <c r="AM526" s="989">
        <f>_xll.GetCtData("COAMOUNT","CONSAMOUNT",$A$1:$A$7,$D526,AM$10,"#")</f>
        <v>0</v>
      </c>
    </row>
    <row r="527" spans="1:39">
      <c r="A527" s="427" t="s">
        <v>6610</v>
      </c>
      <c r="B527" s="427" t="s">
        <v>6610</v>
      </c>
      <c r="D527" s="1051" t="s">
        <v>1183</v>
      </c>
      <c r="E527" s="949" t="s">
        <v>2930</v>
      </c>
      <c r="F527" s="950">
        <v>10</v>
      </c>
      <c r="G527" s="950"/>
      <c r="H527" s="950"/>
      <c r="I527" s="950"/>
      <c r="J527" s="950"/>
      <c r="K527" s="950"/>
      <c r="L527" s="950"/>
      <c r="M527" s="950"/>
      <c r="N527" s="950"/>
      <c r="O527" s="950"/>
      <c r="P527" s="950"/>
      <c r="Q527" s="950"/>
      <c r="R527" s="1051" t="s">
        <v>1793</v>
      </c>
      <c r="S527" s="1014" t="s">
        <v>11982</v>
      </c>
      <c r="T527" s="1015">
        <f t="shared" si="49"/>
        <v>40</v>
      </c>
      <c r="U527" s="1014" t="s">
        <v>11982</v>
      </c>
      <c r="V527" s="1015">
        <f t="shared" si="44"/>
        <v>40</v>
      </c>
      <c r="W527" s="1014" t="s">
        <v>11983</v>
      </c>
      <c r="X527" s="1015">
        <f t="shared" si="45"/>
        <v>29</v>
      </c>
      <c r="Y527" s="1016" t="s">
        <v>11984</v>
      </c>
      <c r="Z527" s="1015">
        <f t="shared" si="46"/>
        <v>40</v>
      </c>
      <c r="AA527" s="1016" t="s">
        <v>11984</v>
      </c>
      <c r="AB527" s="1015">
        <f t="shared" si="47"/>
        <v>40</v>
      </c>
      <c r="AC527" s="1016" t="s">
        <v>11985</v>
      </c>
      <c r="AD527" s="1015">
        <f t="shared" si="48"/>
        <v>29</v>
      </c>
      <c r="AE527" s="518" t="s">
        <v>11986</v>
      </c>
      <c r="AF527" s="519" t="s">
        <v>11987</v>
      </c>
      <c r="AG527" s="1021" t="s">
        <v>9179</v>
      </c>
      <c r="AH527" s="1022" t="s">
        <v>169</v>
      </c>
      <c r="AI527" s="494" t="s">
        <v>2917</v>
      </c>
      <c r="AJ527" s="958">
        <v>1</v>
      </c>
      <c r="AK527" s="959"/>
      <c r="AL527" s="960"/>
      <c r="AM527" s="1018">
        <f>_xll.GetCtData("COAMOUNT","CONSAMOUNT",$A$1:$A$7,$D527,AM$10,"#")</f>
        <v>0</v>
      </c>
    </row>
    <row r="528" spans="1:39">
      <c r="A528" s="427" t="s">
        <v>6610</v>
      </c>
      <c r="B528" s="427" t="s">
        <v>6610</v>
      </c>
      <c r="D528" s="1051" t="s">
        <v>11988</v>
      </c>
      <c r="E528" s="949" t="s">
        <v>2930</v>
      </c>
      <c r="F528" s="950">
        <v>10</v>
      </c>
      <c r="G528" s="950"/>
      <c r="H528" s="950"/>
      <c r="I528" s="950"/>
      <c r="J528" s="950"/>
      <c r="K528" s="950"/>
      <c r="L528" s="950"/>
      <c r="M528" s="950"/>
      <c r="N528" s="950"/>
      <c r="O528" s="950"/>
      <c r="P528" s="950"/>
      <c r="Q528" s="950"/>
      <c r="R528" s="1051" t="s">
        <v>1794</v>
      </c>
      <c r="S528" s="1014" t="s">
        <v>11989</v>
      </c>
      <c r="T528" s="1015">
        <f t="shared" si="49"/>
        <v>40</v>
      </c>
      <c r="U528" s="1014" t="s">
        <v>11989</v>
      </c>
      <c r="V528" s="1015">
        <f t="shared" si="44"/>
        <v>40</v>
      </c>
      <c r="W528" s="1014" t="s">
        <v>11990</v>
      </c>
      <c r="X528" s="1015">
        <f t="shared" si="45"/>
        <v>29</v>
      </c>
      <c r="Y528" s="1016" t="s">
        <v>11991</v>
      </c>
      <c r="Z528" s="1015">
        <f t="shared" si="46"/>
        <v>39</v>
      </c>
      <c r="AA528" s="1016" t="s">
        <v>11991</v>
      </c>
      <c r="AB528" s="1015">
        <f t="shared" si="47"/>
        <v>39</v>
      </c>
      <c r="AC528" s="1016" t="s">
        <v>11992</v>
      </c>
      <c r="AD528" s="1015">
        <f t="shared" si="48"/>
        <v>29</v>
      </c>
      <c r="AE528" s="518" t="s">
        <v>11993</v>
      </c>
      <c r="AF528" s="519" t="s">
        <v>11994</v>
      </c>
      <c r="AG528" s="1021" t="s">
        <v>9179</v>
      </c>
      <c r="AH528" s="1022" t="s">
        <v>169</v>
      </c>
      <c r="AI528" s="494" t="s">
        <v>2917</v>
      </c>
      <c r="AJ528" s="958">
        <v>1</v>
      </c>
      <c r="AK528" s="959"/>
      <c r="AL528" s="960"/>
      <c r="AM528" s="1018">
        <f>_xll.GetCtData("COAMOUNT","CONSAMOUNT",$A$1:$A$7,$D528,AM$10,"#")</f>
        <v>0</v>
      </c>
    </row>
    <row r="529" spans="1:39">
      <c r="A529" s="427" t="s">
        <v>6610</v>
      </c>
      <c r="B529" s="427" t="s">
        <v>6610</v>
      </c>
      <c r="D529" s="986" t="s">
        <v>11995</v>
      </c>
      <c r="E529" s="949" t="s">
        <v>2912</v>
      </c>
      <c r="F529" s="950">
        <v>9</v>
      </c>
      <c r="G529" s="950"/>
      <c r="H529" s="950"/>
      <c r="I529" s="950"/>
      <c r="J529" s="950"/>
      <c r="K529" s="950"/>
      <c r="L529" s="950"/>
      <c r="M529" s="950"/>
      <c r="N529" s="950"/>
      <c r="O529" s="950"/>
      <c r="P529" s="986" t="s">
        <v>11996</v>
      </c>
      <c r="Q529" s="986"/>
      <c r="R529" s="986" t="s">
        <v>11996</v>
      </c>
      <c r="S529" s="986" t="s">
        <v>11997</v>
      </c>
      <c r="T529" s="987">
        <f t="shared" si="49"/>
        <v>71</v>
      </c>
      <c r="U529" s="986" t="s">
        <v>11997</v>
      </c>
      <c r="V529" s="987">
        <f t="shared" si="44"/>
        <v>71</v>
      </c>
      <c r="W529" s="986" t="s">
        <v>11998</v>
      </c>
      <c r="X529" s="987">
        <f t="shared" si="45"/>
        <v>29</v>
      </c>
      <c r="Y529" s="988" t="s">
        <v>11999</v>
      </c>
      <c r="Z529" s="987">
        <f t="shared" si="46"/>
        <v>71</v>
      </c>
      <c r="AA529" s="988" t="s">
        <v>11999</v>
      </c>
      <c r="AB529" s="987">
        <f t="shared" si="47"/>
        <v>71</v>
      </c>
      <c r="AC529" s="988" t="s">
        <v>12000</v>
      </c>
      <c r="AD529" s="987">
        <f t="shared" si="48"/>
        <v>30</v>
      </c>
      <c r="AE529" s="987"/>
      <c r="AF529" s="987"/>
      <c r="AG529" s="956"/>
      <c r="AH529" s="957"/>
      <c r="AI529" s="494" t="s">
        <v>2917</v>
      </c>
      <c r="AJ529" s="958">
        <v>1</v>
      </c>
      <c r="AK529" s="959"/>
      <c r="AL529" s="960"/>
      <c r="AM529" s="989">
        <f>_xll.GetCtData("COAMOUNT","CONSAMOUNT",$A$1:$A$7,$D529,AM$10,"#")</f>
        <v>0</v>
      </c>
    </row>
    <row r="530" spans="1:39">
      <c r="A530" s="427" t="s">
        <v>6610</v>
      </c>
      <c r="B530" s="427" t="s">
        <v>6610</v>
      </c>
      <c r="D530" s="1051" t="s">
        <v>1184</v>
      </c>
      <c r="E530" s="949" t="s">
        <v>2930</v>
      </c>
      <c r="F530" s="950">
        <v>10</v>
      </c>
      <c r="G530" s="950"/>
      <c r="H530" s="950"/>
      <c r="I530" s="950"/>
      <c r="J530" s="950"/>
      <c r="K530" s="950"/>
      <c r="L530" s="950"/>
      <c r="M530" s="950"/>
      <c r="N530" s="950"/>
      <c r="O530" s="950"/>
      <c r="P530" s="950"/>
      <c r="Q530" s="950"/>
      <c r="R530" s="1051" t="s">
        <v>1795</v>
      </c>
      <c r="S530" s="1014" t="s">
        <v>12001</v>
      </c>
      <c r="T530" s="1015">
        <f t="shared" si="49"/>
        <v>61</v>
      </c>
      <c r="U530" s="1014" t="s">
        <v>12001</v>
      </c>
      <c r="V530" s="1015">
        <f t="shared" si="44"/>
        <v>61</v>
      </c>
      <c r="W530" s="1014" t="s">
        <v>12002</v>
      </c>
      <c r="X530" s="1015">
        <f t="shared" si="45"/>
        <v>29</v>
      </c>
      <c r="Y530" s="1016" t="s">
        <v>12003</v>
      </c>
      <c r="Z530" s="1015">
        <f t="shared" si="46"/>
        <v>61</v>
      </c>
      <c r="AA530" s="1016" t="s">
        <v>12003</v>
      </c>
      <c r="AB530" s="1015">
        <f t="shared" si="47"/>
        <v>61</v>
      </c>
      <c r="AC530" s="1016" t="s">
        <v>12004</v>
      </c>
      <c r="AD530" s="1015">
        <f t="shared" si="48"/>
        <v>28</v>
      </c>
      <c r="AE530" s="518" t="s">
        <v>12005</v>
      </c>
      <c r="AF530" s="519" t="s">
        <v>12006</v>
      </c>
      <c r="AG530" s="1021" t="s">
        <v>9179</v>
      </c>
      <c r="AH530" s="1022" t="s">
        <v>169</v>
      </c>
      <c r="AI530" s="494" t="s">
        <v>2917</v>
      </c>
      <c r="AJ530" s="958">
        <v>1</v>
      </c>
      <c r="AK530" s="959"/>
      <c r="AL530" s="960"/>
      <c r="AM530" s="1018">
        <f>_xll.GetCtData("COAMOUNT","CONSAMOUNT",$A$1:$A$7,$D530,AM$10,"#")</f>
        <v>0</v>
      </c>
    </row>
    <row r="531" spans="1:39">
      <c r="A531" s="427" t="s">
        <v>6610</v>
      </c>
      <c r="B531" s="427" t="s">
        <v>6610</v>
      </c>
      <c r="D531" s="1051" t="s">
        <v>12007</v>
      </c>
      <c r="E531" s="949" t="s">
        <v>2930</v>
      </c>
      <c r="F531" s="950">
        <v>10</v>
      </c>
      <c r="G531" s="950"/>
      <c r="H531" s="950"/>
      <c r="I531" s="950"/>
      <c r="J531" s="950"/>
      <c r="K531" s="950"/>
      <c r="L531" s="950"/>
      <c r="M531" s="950"/>
      <c r="N531" s="950"/>
      <c r="O531" s="950"/>
      <c r="P531" s="950"/>
      <c r="Q531" s="950"/>
      <c r="R531" s="1051" t="s">
        <v>1796</v>
      </c>
      <c r="S531" s="1014" t="s">
        <v>12008</v>
      </c>
      <c r="T531" s="1015">
        <f t="shared" si="49"/>
        <v>64</v>
      </c>
      <c r="U531" s="1014" t="s">
        <v>12008</v>
      </c>
      <c r="V531" s="1015">
        <f t="shared" si="44"/>
        <v>64</v>
      </c>
      <c r="W531" s="1014" t="s">
        <v>12009</v>
      </c>
      <c r="X531" s="1015">
        <f t="shared" si="45"/>
        <v>29</v>
      </c>
      <c r="Y531" s="1016" t="s">
        <v>12010</v>
      </c>
      <c r="Z531" s="1015">
        <f t="shared" si="46"/>
        <v>68</v>
      </c>
      <c r="AA531" s="1016" t="s">
        <v>12010</v>
      </c>
      <c r="AB531" s="1015">
        <f t="shared" si="47"/>
        <v>68</v>
      </c>
      <c r="AC531" s="1016" t="s">
        <v>12011</v>
      </c>
      <c r="AD531" s="1015">
        <f t="shared" si="48"/>
        <v>30</v>
      </c>
      <c r="AE531" s="518" t="s">
        <v>12012</v>
      </c>
      <c r="AF531" s="519" t="s">
        <v>12013</v>
      </c>
      <c r="AG531" s="1021" t="s">
        <v>9179</v>
      </c>
      <c r="AH531" s="1022" t="s">
        <v>169</v>
      </c>
      <c r="AI531" s="494" t="s">
        <v>2917</v>
      </c>
      <c r="AJ531" s="958">
        <v>1</v>
      </c>
      <c r="AK531" s="959"/>
      <c r="AL531" s="960"/>
      <c r="AM531" s="1018">
        <f>_xll.GetCtData("COAMOUNT","CONSAMOUNT",$A$1:$A$7,$D531,AM$10,"#")</f>
        <v>0</v>
      </c>
    </row>
    <row r="532" spans="1:39">
      <c r="A532" s="427" t="s">
        <v>6610</v>
      </c>
      <c r="B532" s="427" t="s">
        <v>6610</v>
      </c>
      <c r="D532" s="981" t="s">
        <v>12014</v>
      </c>
      <c r="E532" s="949" t="s">
        <v>2912</v>
      </c>
      <c r="F532" s="950">
        <v>8</v>
      </c>
      <c r="G532" s="950"/>
      <c r="H532" s="950"/>
      <c r="I532" s="950"/>
      <c r="J532" s="950"/>
      <c r="K532" s="950"/>
      <c r="L532" s="950"/>
      <c r="M532" s="950"/>
      <c r="N532" s="950"/>
      <c r="O532" s="981" t="s">
        <v>12015</v>
      </c>
      <c r="P532" s="982"/>
      <c r="Q532" s="981"/>
      <c r="R532" s="981" t="s">
        <v>12015</v>
      </c>
      <c r="S532" s="981" t="s">
        <v>12016</v>
      </c>
      <c r="T532" s="1002">
        <f t="shared" si="49"/>
        <v>51</v>
      </c>
      <c r="U532" s="981" t="s">
        <v>12016</v>
      </c>
      <c r="V532" s="1002">
        <f t="shared" si="44"/>
        <v>51</v>
      </c>
      <c r="W532" s="981" t="s">
        <v>12017</v>
      </c>
      <c r="X532" s="1002">
        <f t="shared" si="45"/>
        <v>28</v>
      </c>
      <c r="Y532" s="1003" t="s">
        <v>12018</v>
      </c>
      <c r="Z532" s="1002">
        <f t="shared" si="46"/>
        <v>47</v>
      </c>
      <c r="AA532" s="1003" t="s">
        <v>12018</v>
      </c>
      <c r="AB532" s="1002">
        <f t="shared" si="47"/>
        <v>47</v>
      </c>
      <c r="AC532" s="1003" t="s">
        <v>12019</v>
      </c>
      <c r="AD532" s="1002">
        <f t="shared" si="48"/>
        <v>29</v>
      </c>
      <c r="AE532" s="1002"/>
      <c r="AF532" s="1002"/>
      <c r="AG532" s="956"/>
      <c r="AH532" s="957"/>
      <c r="AI532" s="494" t="s">
        <v>2917</v>
      </c>
      <c r="AJ532" s="958">
        <v>1</v>
      </c>
      <c r="AK532" s="959"/>
      <c r="AL532" s="960"/>
      <c r="AM532" s="985">
        <f>_xll.GetCtData("COAMOUNT","CONSAMOUNT",$A$1:$A$7,$D532,AM$10,"#756,609277988505")</f>
        <v>756</v>
      </c>
    </row>
    <row r="533" spans="1:39">
      <c r="A533" s="427" t="s">
        <v>6610</v>
      </c>
      <c r="B533" s="427" t="s">
        <v>6610</v>
      </c>
      <c r="D533" s="1051" t="s">
        <v>1185</v>
      </c>
      <c r="E533" s="949" t="s">
        <v>2930</v>
      </c>
      <c r="F533" s="950">
        <v>10</v>
      </c>
      <c r="G533" s="950"/>
      <c r="H533" s="950"/>
      <c r="I533" s="950"/>
      <c r="J533" s="950"/>
      <c r="K533" s="950"/>
      <c r="L533" s="950"/>
      <c r="M533" s="950"/>
      <c r="N533" s="950"/>
      <c r="O533" s="950"/>
      <c r="P533" s="950"/>
      <c r="Q533" s="950"/>
      <c r="R533" s="1051" t="s">
        <v>1797</v>
      </c>
      <c r="S533" s="1014" t="s">
        <v>12020</v>
      </c>
      <c r="T533" s="1015">
        <f t="shared" si="49"/>
        <v>50</v>
      </c>
      <c r="U533" s="1014" t="s">
        <v>12020</v>
      </c>
      <c r="V533" s="1015">
        <f t="shared" si="44"/>
        <v>50</v>
      </c>
      <c r="W533" s="1014" t="s">
        <v>12021</v>
      </c>
      <c r="X533" s="1015">
        <f t="shared" si="45"/>
        <v>30</v>
      </c>
      <c r="Y533" s="1016" t="s">
        <v>12022</v>
      </c>
      <c r="Z533" s="1015">
        <f t="shared" si="46"/>
        <v>37</v>
      </c>
      <c r="AA533" s="1016" t="s">
        <v>12022</v>
      </c>
      <c r="AB533" s="1015">
        <f t="shared" si="47"/>
        <v>37</v>
      </c>
      <c r="AC533" s="1016" t="s">
        <v>12023</v>
      </c>
      <c r="AD533" s="1015">
        <f t="shared" si="48"/>
        <v>30</v>
      </c>
      <c r="AE533" s="518" t="s">
        <v>11986</v>
      </c>
      <c r="AF533" s="519" t="s">
        <v>11987</v>
      </c>
      <c r="AG533" s="1021" t="s">
        <v>9179</v>
      </c>
      <c r="AH533" s="1022" t="s">
        <v>169</v>
      </c>
      <c r="AI533" s="494" t="s">
        <v>2917</v>
      </c>
      <c r="AJ533" s="958">
        <v>1</v>
      </c>
      <c r="AK533" s="959"/>
      <c r="AL533" s="960"/>
      <c r="AM533" s="1018">
        <f>_xll.GetCtData("COAMOUNT","CONSAMOUNT",$A$1:$A$7,$D533,AM$10,"#-198,460819342975")</f>
        <v>-198</v>
      </c>
    </row>
    <row r="534" spans="1:39">
      <c r="A534" s="427" t="s">
        <v>6610</v>
      </c>
      <c r="B534" s="427" t="s">
        <v>6610</v>
      </c>
      <c r="D534" s="1051" t="s">
        <v>12024</v>
      </c>
      <c r="E534" s="949" t="s">
        <v>2930</v>
      </c>
      <c r="F534" s="950">
        <v>10</v>
      </c>
      <c r="G534" s="950"/>
      <c r="H534" s="950"/>
      <c r="I534" s="950"/>
      <c r="J534" s="950"/>
      <c r="K534" s="950"/>
      <c r="L534" s="950"/>
      <c r="M534" s="950"/>
      <c r="N534" s="950"/>
      <c r="O534" s="950"/>
      <c r="P534" s="950"/>
      <c r="Q534" s="950"/>
      <c r="R534" s="1051" t="s">
        <v>1798</v>
      </c>
      <c r="S534" s="1014" t="s">
        <v>12025</v>
      </c>
      <c r="T534" s="1015">
        <f t="shared" si="49"/>
        <v>50</v>
      </c>
      <c r="U534" s="1014" t="s">
        <v>12025</v>
      </c>
      <c r="V534" s="1015">
        <f t="shared" si="44"/>
        <v>50</v>
      </c>
      <c r="W534" s="1014" t="s">
        <v>12026</v>
      </c>
      <c r="X534" s="1015">
        <f t="shared" si="45"/>
        <v>30</v>
      </c>
      <c r="Y534" s="1016" t="s">
        <v>12027</v>
      </c>
      <c r="Z534" s="1015">
        <f t="shared" si="46"/>
        <v>39</v>
      </c>
      <c r="AA534" s="1016" t="s">
        <v>12027</v>
      </c>
      <c r="AB534" s="1015">
        <f t="shared" si="47"/>
        <v>39</v>
      </c>
      <c r="AC534" s="1016" t="s">
        <v>12028</v>
      </c>
      <c r="AD534" s="1015">
        <f t="shared" si="48"/>
        <v>29</v>
      </c>
      <c r="AE534" s="518" t="s">
        <v>11993</v>
      </c>
      <c r="AF534" s="519" t="s">
        <v>11994</v>
      </c>
      <c r="AG534" s="1021" t="s">
        <v>9179</v>
      </c>
      <c r="AH534" s="1022" t="s">
        <v>169</v>
      </c>
      <c r="AI534" s="494" t="s">
        <v>2917</v>
      </c>
      <c r="AJ534" s="958">
        <v>1</v>
      </c>
      <c r="AK534" s="959"/>
      <c r="AL534" s="960"/>
      <c r="AM534" s="1018">
        <f>_xll.GetCtData("COAMOUNT","CONSAMOUNT",$A$1:$A$7,$D534,AM$10,"#955,07009733148")</f>
        <v>955</v>
      </c>
    </row>
    <row r="535" spans="1:39">
      <c r="A535" s="427" t="s">
        <v>6610</v>
      </c>
      <c r="B535" s="427" t="s">
        <v>6610</v>
      </c>
      <c r="D535" s="981" t="s">
        <v>12029</v>
      </c>
      <c r="E535" s="949" t="s">
        <v>2912</v>
      </c>
      <c r="F535" s="950">
        <v>8</v>
      </c>
      <c r="G535" s="950"/>
      <c r="H535" s="950"/>
      <c r="I535" s="950"/>
      <c r="J535" s="950"/>
      <c r="K535" s="950"/>
      <c r="L535" s="950"/>
      <c r="M535" s="950"/>
      <c r="N535" s="950"/>
      <c r="O535" s="981" t="s">
        <v>12030</v>
      </c>
      <c r="P535" s="982"/>
      <c r="Q535" s="981"/>
      <c r="R535" s="981" t="s">
        <v>12030</v>
      </c>
      <c r="S535" s="981" t="s">
        <v>12031</v>
      </c>
      <c r="T535" s="1002">
        <f t="shared" si="49"/>
        <v>53</v>
      </c>
      <c r="U535" s="981" t="s">
        <v>12031</v>
      </c>
      <c r="V535" s="1002">
        <f t="shared" si="44"/>
        <v>53</v>
      </c>
      <c r="W535" s="981" t="s">
        <v>12032</v>
      </c>
      <c r="X535" s="1002">
        <f t="shared" si="45"/>
        <v>30</v>
      </c>
      <c r="Y535" s="1003" t="s">
        <v>12033</v>
      </c>
      <c r="Z535" s="1002">
        <f t="shared" si="46"/>
        <v>49</v>
      </c>
      <c r="AA535" s="1003" t="s">
        <v>12033</v>
      </c>
      <c r="AB535" s="1002">
        <f t="shared" si="47"/>
        <v>49</v>
      </c>
      <c r="AC535" s="1003" t="s">
        <v>12034</v>
      </c>
      <c r="AD535" s="1002">
        <f t="shared" si="48"/>
        <v>30</v>
      </c>
      <c r="AE535" s="1002"/>
      <c r="AF535" s="1002"/>
      <c r="AG535" s="956"/>
      <c r="AH535" s="957"/>
      <c r="AI535" s="494" t="s">
        <v>2917</v>
      </c>
      <c r="AJ535" s="958">
        <v>1</v>
      </c>
      <c r="AK535" s="959"/>
      <c r="AL535" s="960"/>
      <c r="AM535" s="985">
        <f>_xll.GetCtData("COAMOUNT","CONSAMOUNT",$A$1:$A$7,$D535,AM$10,"#")</f>
        <v>0</v>
      </c>
    </row>
    <row r="536" spans="1:39">
      <c r="A536" s="427" t="s">
        <v>6610</v>
      </c>
      <c r="B536" s="427" t="s">
        <v>6610</v>
      </c>
      <c r="D536" s="1051" t="s">
        <v>1193</v>
      </c>
      <c r="E536" s="949" t="s">
        <v>2930</v>
      </c>
      <c r="F536" s="950">
        <v>10</v>
      </c>
      <c r="G536" s="950"/>
      <c r="H536" s="950"/>
      <c r="I536" s="950"/>
      <c r="J536" s="950"/>
      <c r="K536" s="950"/>
      <c r="L536" s="950"/>
      <c r="M536" s="950"/>
      <c r="N536" s="950"/>
      <c r="O536" s="950"/>
      <c r="P536" s="950"/>
      <c r="Q536" s="1051"/>
      <c r="R536" s="1051" t="s">
        <v>1799</v>
      </c>
      <c r="S536" s="1014" t="s">
        <v>12035</v>
      </c>
      <c r="T536" s="1015">
        <f t="shared" si="49"/>
        <v>52</v>
      </c>
      <c r="U536" s="1014" t="s">
        <v>12035</v>
      </c>
      <c r="V536" s="1015">
        <f t="shared" si="44"/>
        <v>52</v>
      </c>
      <c r="W536" s="1014" t="s">
        <v>12036</v>
      </c>
      <c r="X536" s="1015">
        <f t="shared" si="45"/>
        <v>29</v>
      </c>
      <c r="Y536" s="1016" t="s">
        <v>12037</v>
      </c>
      <c r="Z536" s="1015">
        <f t="shared" si="46"/>
        <v>39</v>
      </c>
      <c r="AA536" s="1016" t="s">
        <v>12037</v>
      </c>
      <c r="AB536" s="1015">
        <f t="shared" si="47"/>
        <v>39</v>
      </c>
      <c r="AC536" s="1016" t="s">
        <v>12038</v>
      </c>
      <c r="AD536" s="1015">
        <f t="shared" si="48"/>
        <v>29</v>
      </c>
      <c r="AE536" s="518" t="s">
        <v>12039</v>
      </c>
      <c r="AF536" s="519" t="s">
        <v>12040</v>
      </c>
      <c r="AG536" s="1021" t="s">
        <v>9179</v>
      </c>
      <c r="AH536" s="1022" t="s">
        <v>169</v>
      </c>
      <c r="AI536" s="494" t="s">
        <v>2917</v>
      </c>
      <c r="AJ536" s="958">
        <v>1</v>
      </c>
      <c r="AK536" s="959"/>
      <c r="AL536" s="960"/>
      <c r="AM536" s="1018">
        <f>_xll.GetCtData("COAMOUNT","CONSAMOUNT",$A$1:$A$7,$D536,AM$10,"#")</f>
        <v>0</v>
      </c>
    </row>
    <row r="537" spans="1:39">
      <c r="A537" s="427" t="s">
        <v>6610</v>
      </c>
      <c r="B537" s="427" t="s">
        <v>6610</v>
      </c>
      <c r="D537" s="1051" t="s">
        <v>12041</v>
      </c>
      <c r="E537" s="949" t="s">
        <v>2930</v>
      </c>
      <c r="F537" s="950">
        <v>10</v>
      </c>
      <c r="G537" s="950"/>
      <c r="H537" s="950"/>
      <c r="I537" s="950"/>
      <c r="J537" s="950"/>
      <c r="K537" s="950"/>
      <c r="L537" s="950"/>
      <c r="M537" s="950"/>
      <c r="N537" s="950"/>
      <c r="O537" s="950"/>
      <c r="P537" s="950"/>
      <c r="Q537" s="1051"/>
      <c r="R537" s="1051" t="s">
        <v>1800</v>
      </c>
      <c r="S537" s="1014" t="s">
        <v>12042</v>
      </c>
      <c r="T537" s="1015">
        <f t="shared" si="49"/>
        <v>52</v>
      </c>
      <c r="U537" s="1014" t="s">
        <v>12042</v>
      </c>
      <c r="V537" s="1015">
        <f t="shared" si="44"/>
        <v>52</v>
      </c>
      <c r="W537" s="1014" t="s">
        <v>12043</v>
      </c>
      <c r="X537" s="1015">
        <f t="shared" si="45"/>
        <v>29</v>
      </c>
      <c r="Y537" s="1016" t="s">
        <v>12044</v>
      </c>
      <c r="Z537" s="1015">
        <f t="shared" si="46"/>
        <v>41</v>
      </c>
      <c r="AA537" s="1016" t="s">
        <v>12044</v>
      </c>
      <c r="AB537" s="1015">
        <f t="shared" si="47"/>
        <v>41</v>
      </c>
      <c r="AC537" s="1016" t="s">
        <v>12045</v>
      </c>
      <c r="AD537" s="1015">
        <f t="shared" si="48"/>
        <v>29</v>
      </c>
      <c r="AE537" s="518" t="s">
        <v>12046</v>
      </c>
      <c r="AF537" s="519" t="s">
        <v>12047</v>
      </c>
      <c r="AG537" s="1021" t="s">
        <v>9179</v>
      </c>
      <c r="AH537" s="1022" t="s">
        <v>169</v>
      </c>
      <c r="AI537" s="494" t="s">
        <v>2917</v>
      </c>
      <c r="AJ537" s="958">
        <v>1</v>
      </c>
      <c r="AK537" s="959"/>
      <c r="AL537" s="960"/>
      <c r="AM537" s="1018">
        <f>_xll.GetCtData("COAMOUNT","CONSAMOUNT",$A$1:$A$7,$D537,AM$10,"#")</f>
        <v>0</v>
      </c>
    </row>
    <row r="538" spans="1:39">
      <c r="A538" s="427" t="s">
        <v>6610</v>
      </c>
      <c r="B538" s="427" t="s">
        <v>6610</v>
      </c>
      <c r="D538" s="1059" t="s">
        <v>12048</v>
      </c>
      <c r="E538" s="949" t="s">
        <v>2912</v>
      </c>
      <c r="F538" s="950">
        <v>8</v>
      </c>
      <c r="G538" s="950"/>
      <c r="H538" s="950"/>
      <c r="I538" s="950"/>
      <c r="J538" s="950"/>
      <c r="K538" s="950"/>
      <c r="L538" s="950"/>
      <c r="M538" s="950"/>
      <c r="N538" s="950"/>
      <c r="O538" s="981" t="s">
        <v>12049</v>
      </c>
      <c r="P538" s="982"/>
      <c r="Q538" s="981"/>
      <c r="R538" s="1059" t="s">
        <v>12049</v>
      </c>
      <c r="S538" s="1059" t="s">
        <v>10902</v>
      </c>
      <c r="T538" s="1060">
        <f t="shared" si="49"/>
        <v>75</v>
      </c>
      <c r="U538" s="1059" t="s">
        <v>10902</v>
      </c>
      <c r="V538" s="1002">
        <f t="shared" si="44"/>
        <v>75</v>
      </c>
      <c r="W538" s="981" t="s">
        <v>12050</v>
      </c>
      <c r="X538" s="1002">
        <f t="shared" si="45"/>
        <v>29</v>
      </c>
      <c r="Y538" s="1003" t="s">
        <v>12051</v>
      </c>
      <c r="Z538" s="1002">
        <f t="shared" si="46"/>
        <v>65</v>
      </c>
      <c r="AA538" s="1003" t="s">
        <v>12051</v>
      </c>
      <c r="AB538" s="1002">
        <f t="shared" si="47"/>
        <v>65</v>
      </c>
      <c r="AC538" s="1003" t="s">
        <v>12052</v>
      </c>
      <c r="AD538" s="1002">
        <f t="shared" si="48"/>
        <v>28</v>
      </c>
      <c r="AE538" s="1002"/>
      <c r="AF538" s="1002"/>
      <c r="AG538" s="956"/>
      <c r="AH538" s="957"/>
      <c r="AI538" s="1061" t="s">
        <v>5577</v>
      </c>
      <c r="AJ538" s="958">
        <v>1</v>
      </c>
      <c r="AK538" s="959"/>
      <c r="AL538" s="960" t="s">
        <v>12053</v>
      </c>
      <c r="AM538" s="1062">
        <f>_xll.GetCtData("COAMOUNT","CONSAMOUNT",$A$1:$A$7,$D538,AM$10,"#-6101,55940662851")</f>
        <v>-6101</v>
      </c>
    </row>
    <row r="539" spans="1:39">
      <c r="A539" s="427" t="s">
        <v>6610</v>
      </c>
      <c r="B539" s="427" t="s">
        <v>6610</v>
      </c>
      <c r="D539" s="1063" t="s">
        <v>1286</v>
      </c>
      <c r="E539" s="949" t="s">
        <v>2930</v>
      </c>
      <c r="F539" s="950">
        <v>10</v>
      </c>
      <c r="G539" s="950"/>
      <c r="H539" s="950"/>
      <c r="I539" s="950"/>
      <c r="J539" s="950"/>
      <c r="K539" s="950"/>
      <c r="L539" s="950"/>
      <c r="M539" s="950"/>
      <c r="N539" s="950"/>
      <c r="O539" s="950"/>
      <c r="P539" s="950"/>
      <c r="Q539" s="950"/>
      <c r="R539" s="1063" t="s">
        <v>10904</v>
      </c>
      <c r="S539" s="1064" t="s">
        <v>12054</v>
      </c>
      <c r="T539" s="1065">
        <f t="shared" si="49"/>
        <v>68</v>
      </c>
      <c r="U539" s="1064" t="s">
        <v>12054</v>
      </c>
      <c r="V539" s="993">
        <f t="shared" si="44"/>
        <v>68</v>
      </c>
      <c r="W539" s="992" t="s">
        <v>12055</v>
      </c>
      <c r="X539" s="993">
        <f t="shared" si="45"/>
        <v>27</v>
      </c>
      <c r="Y539" s="1016" t="s">
        <v>12056</v>
      </c>
      <c r="Z539" s="993">
        <f t="shared" si="46"/>
        <v>71</v>
      </c>
      <c r="AA539" s="1016" t="s">
        <v>12056</v>
      </c>
      <c r="AB539" s="993">
        <f t="shared" si="47"/>
        <v>71</v>
      </c>
      <c r="AC539" s="1016" t="s">
        <v>12057</v>
      </c>
      <c r="AD539" s="993">
        <f t="shared" si="48"/>
        <v>27</v>
      </c>
      <c r="AE539" s="518" t="s">
        <v>12058</v>
      </c>
      <c r="AF539" s="519" t="s">
        <v>12059</v>
      </c>
      <c r="AG539" s="1021" t="s">
        <v>9179</v>
      </c>
      <c r="AH539" s="1022" t="s">
        <v>169</v>
      </c>
      <c r="AI539" s="1037" t="s">
        <v>12060</v>
      </c>
      <c r="AJ539" s="958">
        <v>1</v>
      </c>
      <c r="AK539" s="959"/>
      <c r="AL539" s="960" t="s">
        <v>12053</v>
      </c>
      <c r="AM539" s="1066">
        <f>_xll.GetCtData("COAMOUNT","CONSAMOUNT",$A$1:$A$7,$D539,AM$10,"#-21,0443729605274")</f>
        <v>-21</v>
      </c>
    </row>
    <row r="540" spans="1:39">
      <c r="A540" s="427" t="s">
        <v>6610</v>
      </c>
      <c r="B540" s="427" t="s">
        <v>6610</v>
      </c>
      <c r="D540" s="1063" t="s">
        <v>1287</v>
      </c>
      <c r="E540" s="949" t="s">
        <v>2930</v>
      </c>
      <c r="F540" s="950">
        <v>10</v>
      </c>
      <c r="G540" s="950"/>
      <c r="H540" s="950"/>
      <c r="I540" s="950"/>
      <c r="J540" s="950"/>
      <c r="K540" s="950"/>
      <c r="L540" s="950"/>
      <c r="M540" s="950"/>
      <c r="N540" s="950"/>
      <c r="O540" s="950"/>
      <c r="P540" s="950"/>
      <c r="Q540" s="950"/>
      <c r="R540" s="1063" t="s">
        <v>10911</v>
      </c>
      <c r="S540" s="1067" t="s">
        <v>12061</v>
      </c>
      <c r="T540" s="1068">
        <f t="shared" si="49"/>
        <v>71</v>
      </c>
      <c r="U540" s="1064" t="s">
        <v>12061</v>
      </c>
      <c r="V540" s="1015">
        <f t="shared" si="44"/>
        <v>71</v>
      </c>
      <c r="W540" s="1014" t="s">
        <v>12062</v>
      </c>
      <c r="X540" s="1015">
        <f t="shared" si="45"/>
        <v>27</v>
      </c>
      <c r="Y540" s="1016" t="s">
        <v>12063</v>
      </c>
      <c r="Z540" s="1015">
        <f t="shared" si="46"/>
        <v>73</v>
      </c>
      <c r="AA540" s="1016" t="s">
        <v>12063</v>
      </c>
      <c r="AB540" s="1015">
        <f t="shared" si="47"/>
        <v>73</v>
      </c>
      <c r="AC540" s="1016" t="s">
        <v>12064</v>
      </c>
      <c r="AD540" s="1015">
        <f t="shared" si="48"/>
        <v>29</v>
      </c>
      <c r="AE540" s="518" t="s">
        <v>12065</v>
      </c>
      <c r="AF540" s="519" t="s">
        <v>12066</v>
      </c>
      <c r="AG540" s="1021" t="s">
        <v>9179</v>
      </c>
      <c r="AH540" s="1022" t="s">
        <v>169</v>
      </c>
      <c r="AI540" s="1037" t="s">
        <v>12060</v>
      </c>
      <c r="AJ540" s="958">
        <v>1</v>
      </c>
      <c r="AK540" s="959"/>
      <c r="AL540" s="960" t="s">
        <v>12053</v>
      </c>
      <c r="AM540" s="1066">
        <f>_xll.GetCtData("COAMOUNT","CONSAMOUNT",$A$1:$A$7,$D540,AM$10,"#")</f>
        <v>0</v>
      </c>
    </row>
    <row r="541" spans="1:39">
      <c r="A541" s="427" t="s">
        <v>6610</v>
      </c>
      <c r="B541" s="427" t="s">
        <v>6610</v>
      </c>
      <c r="D541" s="981" t="s">
        <v>12067</v>
      </c>
      <c r="E541" s="949" t="s">
        <v>2912</v>
      </c>
      <c r="F541" s="950">
        <v>8</v>
      </c>
      <c r="G541" s="950"/>
      <c r="H541" s="950"/>
      <c r="I541" s="950"/>
      <c r="J541" s="950"/>
      <c r="K541" s="950"/>
      <c r="L541" s="950"/>
      <c r="M541" s="950"/>
      <c r="N541" s="950"/>
      <c r="O541" s="981" t="s">
        <v>12068</v>
      </c>
      <c r="P541" s="982"/>
      <c r="Q541" s="981"/>
      <c r="R541" s="981" t="s">
        <v>12068</v>
      </c>
      <c r="S541" s="981" t="s">
        <v>12069</v>
      </c>
      <c r="T541" s="1002">
        <f t="shared" si="49"/>
        <v>47</v>
      </c>
      <c r="U541" s="981" t="s">
        <v>12069</v>
      </c>
      <c r="V541" s="1002">
        <f t="shared" si="44"/>
        <v>47</v>
      </c>
      <c r="W541" s="981" t="s">
        <v>12070</v>
      </c>
      <c r="X541" s="1002">
        <f t="shared" si="45"/>
        <v>26</v>
      </c>
      <c r="Y541" s="1003" t="s">
        <v>12071</v>
      </c>
      <c r="Z541" s="1002">
        <f t="shared" si="46"/>
        <v>45</v>
      </c>
      <c r="AA541" s="1003" t="s">
        <v>12071</v>
      </c>
      <c r="AB541" s="1002">
        <f t="shared" si="47"/>
        <v>45</v>
      </c>
      <c r="AC541" s="1003" t="s">
        <v>12072</v>
      </c>
      <c r="AD541" s="1002">
        <f t="shared" si="48"/>
        <v>27</v>
      </c>
      <c r="AE541" s="1002"/>
      <c r="AF541" s="1002"/>
      <c r="AG541" s="956"/>
      <c r="AH541" s="957"/>
      <c r="AI541" s="494" t="s">
        <v>2917</v>
      </c>
      <c r="AJ541" s="958">
        <v>1</v>
      </c>
      <c r="AK541" s="959"/>
      <c r="AL541" s="960"/>
      <c r="AM541" s="985">
        <f>_xll.GetCtData("COAMOUNT","CONSAMOUNT",$A$1:$A$7,$D541,AM$10,"#-9151,8778351174")</f>
        <v>-9151</v>
      </c>
    </row>
    <row r="542" spans="1:39">
      <c r="A542" s="427" t="s">
        <v>6610</v>
      </c>
      <c r="B542" s="427" t="s">
        <v>6610</v>
      </c>
      <c r="D542" s="1051" t="s">
        <v>1186</v>
      </c>
      <c r="E542" s="949" t="s">
        <v>2930</v>
      </c>
      <c r="F542" s="950">
        <v>10</v>
      </c>
      <c r="G542" s="950"/>
      <c r="H542" s="950"/>
      <c r="I542" s="950"/>
      <c r="J542" s="950"/>
      <c r="K542" s="950"/>
      <c r="L542" s="950"/>
      <c r="M542" s="950"/>
      <c r="N542" s="950"/>
      <c r="O542" s="950"/>
      <c r="P542" s="950"/>
      <c r="Q542" s="950"/>
      <c r="R542" s="1051" t="s">
        <v>1801</v>
      </c>
      <c r="S542" s="1014" t="s">
        <v>12073</v>
      </c>
      <c r="T542" s="1015">
        <f t="shared" si="49"/>
        <v>44</v>
      </c>
      <c r="U542" s="1014" t="s">
        <v>12073</v>
      </c>
      <c r="V542" s="1015">
        <f t="shared" si="44"/>
        <v>44</v>
      </c>
      <c r="W542" s="1014" t="s">
        <v>12074</v>
      </c>
      <c r="X542" s="1015">
        <f t="shared" si="45"/>
        <v>30</v>
      </c>
      <c r="Y542" s="1016" t="s">
        <v>12075</v>
      </c>
      <c r="Z542" s="1015">
        <f t="shared" si="46"/>
        <v>56</v>
      </c>
      <c r="AA542" s="1016" t="s">
        <v>12075</v>
      </c>
      <c r="AB542" s="1015">
        <f t="shared" si="47"/>
        <v>56</v>
      </c>
      <c r="AC542" s="1016" t="s">
        <v>12076</v>
      </c>
      <c r="AD542" s="1015">
        <f t="shared" si="48"/>
        <v>26</v>
      </c>
      <c r="AE542" s="518" t="s">
        <v>10997</v>
      </c>
      <c r="AF542" s="519" t="s">
        <v>10998</v>
      </c>
      <c r="AG542" s="1021" t="s">
        <v>9179</v>
      </c>
      <c r="AH542" s="1022" t="s">
        <v>169</v>
      </c>
      <c r="AI542" s="494" t="s">
        <v>2917</v>
      </c>
      <c r="AJ542" s="958">
        <v>1</v>
      </c>
      <c r="AK542" s="959"/>
      <c r="AL542" s="960"/>
      <c r="AM542" s="1018">
        <f>_xll.GetCtData("COAMOUNT","CONSAMOUNT",$A$1:$A$7,$D542,AM$10,"#-32802,8778351174")</f>
        <v>-32802</v>
      </c>
    </row>
    <row r="543" spans="1:39">
      <c r="A543" s="427" t="s">
        <v>6610</v>
      </c>
      <c r="B543" s="427" t="s">
        <v>6610</v>
      </c>
      <c r="D543" s="1051" t="s">
        <v>1187</v>
      </c>
      <c r="E543" s="949" t="s">
        <v>2930</v>
      </c>
      <c r="F543" s="950">
        <v>10</v>
      </c>
      <c r="G543" s="950"/>
      <c r="H543" s="950"/>
      <c r="I543" s="950"/>
      <c r="J543" s="950"/>
      <c r="K543" s="950"/>
      <c r="L543" s="950"/>
      <c r="M543" s="950"/>
      <c r="N543" s="950"/>
      <c r="O543" s="950"/>
      <c r="P543" s="950"/>
      <c r="Q543" s="950"/>
      <c r="R543" s="1051" t="s">
        <v>1802</v>
      </c>
      <c r="S543" s="1014" t="s">
        <v>12077</v>
      </c>
      <c r="T543" s="1015">
        <f t="shared" si="49"/>
        <v>64</v>
      </c>
      <c r="U543" s="1014" t="s">
        <v>12077</v>
      </c>
      <c r="V543" s="1015">
        <f t="shared" si="44"/>
        <v>64</v>
      </c>
      <c r="W543" s="1014" t="s">
        <v>12078</v>
      </c>
      <c r="X543" s="1015">
        <f t="shared" si="45"/>
        <v>30</v>
      </c>
      <c r="Y543" s="1016" t="s">
        <v>12079</v>
      </c>
      <c r="Z543" s="1015">
        <f t="shared" si="46"/>
        <v>86</v>
      </c>
      <c r="AA543" s="1016" t="s">
        <v>12079</v>
      </c>
      <c r="AB543" s="1015">
        <f t="shared" si="47"/>
        <v>86</v>
      </c>
      <c r="AC543" s="1016" t="s">
        <v>12080</v>
      </c>
      <c r="AD543" s="1015">
        <f t="shared" si="48"/>
        <v>30</v>
      </c>
      <c r="AE543" s="518" t="s">
        <v>10997</v>
      </c>
      <c r="AF543" s="519" t="s">
        <v>10998</v>
      </c>
      <c r="AG543" s="1021" t="s">
        <v>9179</v>
      </c>
      <c r="AH543" s="1022" t="s">
        <v>169</v>
      </c>
      <c r="AI543" s="494" t="s">
        <v>2917</v>
      </c>
      <c r="AJ543" s="958">
        <v>1</v>
      </c>
      <c r="AK543" s="959"/>
      <c r="AL543" s="960"/>
      <c r="AM543" s="1018">
        <f>_xll.GetCtData("COAMOUNT","CONSAMOUNT",$A$1:$A$7,$D543,AM$10,"#")</f>
        <v>0</v>
      </c>
    </row>
    <row r="544" spans="1:39">
      <c r="A544" s="427" t="s">
        <v>6610</v>
      </c>
      <c r="B544" s="427" t="s">
        <v>6610</v>
      </c>
      <c r="D544" s="1051" t="s">
        <v>12081</v>
      </c>
      <c r="E544" s="949" t="s">
        <v>2930</v>
      </c>
      <c r="F544" s="950">
        <v>10</v>
      </c>
      <c r="G544" s="950"/>
      <c r="H544" s="950"/>
      <c r="I544" s="950"/>
      <c r="J544" s="950"/>
      <c r="K544" s="950"/>
      <c r="L544" s="950"/>
      <c r="M544" s="950"/>
      <c r="N544" s="950"/>
      <c r="O544" s="950"/>
      <c r="P544" s="950"/>
      <c r="Q544" s="950"/>
      <c r="R544" s="1051" t="s">
        <v>1803</v>
      </c>
      <c r="S544" s="1014" t="s">
        <v>12082</v>
      </c>
      <c r="T544" s="1015">
        <f t="shared" si="49"/>
        <v>47</v>
      </c>
      <c r="U544" s="1014" t="s">
        <v>12082</v>
      </c>
      <c r="V544" s="1015">
        <f t="shared" si="44"/>
        <v>47</v>
      </c>
      <c r="W544" s="1014" t="s">
        <v>12083</v>
      </c>
      <c r="X544" s="1015">
        <f t="shared" si="45"/>
        <v>30</v>
      </c>
      <c r="Y544" s="1016" t="s">
        <v>12084</v>
      </c>
      <c r="Z544" s="1015">
        <f t="shared" si="46"/>
        <v>58</v>
      </c>
      <c r="AA544" s="1016" t="s">
        <v>12084</v>
      </c>
      <c r="AB544" s="1015">
        <f t="shared" si="47"/>
        <v>58</v>
      </c>
      <c r="AC544" s="1016" t="s">
        <v>12085</v>
      </c>
      <c r="AD544" s="1015">
        <f t="shared" si="48"/>
        <v>24</v>
      </c>
      <c r="AE544" s="518" t="s">
        <v>10997</v>
      </c>
      <c r="AF544" s="519" t="s">
        <v>10998</v>
      </c>
      <c r="AG544" s="1021" t="s">
        <v>9179</v>
      </c>
      <c r="AH544" s="1022" t="s">
        <v>169</v>
      </c>
      <c r="AI544" s="494" t="s">
        <v>2917</v>
      </c>
      <c r="AJ544" s="958">
        <v>1</v>
      </c>
      <c r="AK544" s="959"/>
      <c r="AL544" s="960"/>
      <c r="AM544" s="1018">
        <f>_xll.GetCtData("COAMOUNT","CONSAMOUNT",$A$1:$A$7,$D544,AM$10,"#23651")</f>
        <v>23651</v>
      </c>
    </row>
    <row r="545" spans="1:39">
      <c r="A545" s="427" t="s">
        <v>6610</v>
      </c>
      <c r="B545" s="427" t="s">
        <v>6610</v>
      </c>
      <c r="D545" s="1051" t="s">
        <v>12086</v>
      </c>
      <c r="E545" s="949" t="s">
        <v>2930</v>
      </c>
      <c r="F545" s="950">
        <v>10</v>
      </c>
      <c r="G545" s="950"/>
      <c r="H545" s="950"/>
      <c r="I545" s="950"/>
      <c r="J545" s="950"/>
      <c r="K545" s="950"/>
      <c r="L545" s="950"/>
      <c r="M545" s="950"/>
      <c r="N545" s="950"/>
      <c r="O545" s="950"/>
      <c r="P545" s="950"/>
      <c r="Q545" s="950"/>
      <c r="R545" s="1051" t="s">
        <v>1804</v>
      </c>
      <c r="S545" s="1014" t="s">
        <v>12087</v>
      </c>
      <c r="T545" s="1015">
        <f t="shared" si="49"/>
        <v>67</v>
      </c>
      <c r="U545" s="1014" t="s">
        <v>12087</v>
      </c>
      <c r="V545" s="1015">
        <f t="shared" si="44"/>
        <v>67</v>
      </c>
      <c r="W545" s="1014" t="s">
        <v>12088</v>
      </c>
      <c r="X545" s="1015">
        <f t="shared" si="45"/>
        <v>30</v>
      </c>
      <c r="Y545" s="1016" t="s">
        <v>12089</v>
      </c>
      <c r="Z545" s="1015">
        <f t="shared" si="46"/>
        <v>88</v>
      </c>
      <c r="AA545" s="1016" t="s">
        <v>12089</v>
      </c>
      <c r="AB545" s="1015">
        <f t="shared" si="47"/>
        <v>88</v>
      </c>
      <c r="AC545" s="1016" t="s">
        <v>12090</v>
      </c>
      <c r="AD545" s="1015">
        <f t="shared" si="48"/>
        <v>28</v>
      </c>
      <c r="AE545" s="518" t="s">
        <v>10997</v>
      </c>
      <c r="AF545" s="519" t="s">
        <v>10998</v>
      </c>
      <c r="AG545" s="1021" t="s">
        <v>9179</v>
      </c>
      <c r="AH545" s="1022" t="s">
        <v>169</v>
      </c>
      <c r="AI545" s="494" t="s">
        <v>2917</v>
      </c>
      <c r="AJ545" s="958">
        <v>1</v>
      </c>
      <c r="AK545" s="959"/>
      <c r="AL545" s="960"/>
      <c r="AM545" s="1018">
        <f>_xll.GetCtData("COAMOUNT","CONSAMOUNT",$A$1:$A$7,$D545,AM$10,"#")</f>
        <v>0</v>
      </c>
    </row>
    <row r="546" spans="1:39">
      <c r="A546" s="427" t="s">
        <v>6610</v>
      </c>
      <c r="B546" s="427" t="s">
        <v>6610</v>
      </c>
      <c r="D546" s="981" t="s">
        <v>12091</v>
      </c>
      <c r="E546" s="949" t="s">
        <v>2912</v>
      </c>
      <c r="F546" s="950">
        <v>8</v>
      </c>
      <c r="G546" s="950"/>
      <c r="H546" s="950"/>
      <c r="I546" s="950"/>
      <c r="J546" s="950"/>
      <c r="K546" s="950"/>
      <c r="L546" s="950"/>
      <c r="M546" s="950"/>
      <c r="N546" s="950"/>
      <c r="O546" s="981" t="s">
        <v>12092</v>
      </c>
      <c r="P546" s="982"/>
      <c r="Q546" s="981"/>
      <c r="R546" s="981" t="s">
        <v>12092</v>
      </c>
      <c r="S546" s="981" t="s">
        <v>11721</v>
      </c>
      <c r="T546" s="1002">
        <f t="shared" si="49"/>
        <v>35</v>
      </c>
      <c r="U546" s="981" t="s">
        <v>11721</v>
      </c>
      <c r="V546" s="1002">
        <f t="shared" si="44"/>
        <v>35</v>
      </c>
      <c r="W546" s="981" t="s">
        <v>11722</v>
      </c>
      <c r="X546" s="1002">
        <f t="shared" si="45"/>
        <v>29</v>
      </c>
      <c r="Y546" s="1003" t="s">
        <v>11723</v>
      </c>
      <c r="Z546" s="1002">
        <f t="shared" si="46"/>
        <v>44</v>
      </c>
      <c r="AA546" s="1003" t="s">
        <v>11723</v>
      </c>
      <c r="AB546" s="1002">
        <f t="shared" si="47"/>
        <v>44</v>
      </c>
      <c r="AC546" s="1003" t="s">
        <v>11724</v>
      </c>
      <c r="AD546" s="1002">
        <f t="shared" si="48"/>
        <v>25</v>
      </c>
      <c r="AE546" s="1002"/>
      <c r="AF546" s="1002"/>
      <c r="AG546" s="956"/>
      <c r="AH546" s="957"/>
      <c r="AI546" s="494" t="s">
        <v>2917</v>
      </c>
      <c r="AJ546" s="958">
        <v>1</v>
      </c>
      <c r="AK546" s="959"/>
      <c r="AL546" s="960"/>
      <c r="AM546" s="985">
        <f>_xll.GetCtData("COAMOUNT","CONSAMOUNT",$A$1:$A$7,$D546,AM$10,"#-167610,185454707")</f>
        <v>-167610</v>
      </c>
    </row>
    <row r="547" spans="1:39">
      <c r="A547" s="427" t="s">
        <v>6610</v>
      </c>
      <c r="B547" s="427" t="s">
        <v>6610</v>
      </c>
      <c r="D547" s="986" t="s">
        <v>12093</v>
      </c>
      <c r="E547" s="949" t="s">
        <v>2912</v>
      </c>
      <c r="F547" s="950">
        <v>9</v>
      </c>
      <c r="G547" s="950"/>
      <c r="H547" s="950"/>
      <c r="I547" s="950"/>
      <c r="J547" s="950"/>
      <c r="K547" s="950"/>
      <c r="L547" s="950"/>
      <c r="M547" s="950"/>
      <c r="N547" s="950"/>
      <c r="O547" s="950"/>
      <c r="P547" s="986" t="s">
        <v>12094</v>
      </c>
      <c r="Q547" s="986"/>
      <c r="R547" s="986" t="s">
        <v>12094</v>
      </c>
      <c r="S547" s="986" t="s">
        <v>12095</v>
      </c>
      <c r="T547" s="987">
        <f t="shared" si="49"/>
        <v>37</v>
      </c>
      <c r="U547" s="986" t="s">
        <v>12095</v>
      </c>
      <c r="V547" s="987">
        <f t="shared" si="44"/>
        <v>37</v>
      </c>
      <c r="W547" s="986" t="s">
        <v>12096</v>
      </c>
      <c r="X547" s="987">
        <f t="shared" si="45"/>
        <v>25</v>
      </c>
      <c r="Y547" s="988" t="s">
        <v>12097</v>
      </c>
      <c r="Z547" s="987">
        <f t="shared" si="46"/>
        <v>41</v>
      </c>
      <c r="AA547" s="988" t="s">
        <v>12097</v>
      </c>
      <c r="AB547" s="987">
        <f t="shared" si="47"/>
        <v>41</v>
      </c>
      <c r="AC547" s="988" t="s">
        <v>12098</v>
      </c>
      <c r="AD547" s="987">
        <f t="shared" si="48"/>
        <v>28</v>
      </c>
      <c r="AE547" s="987"/>
      <c r="AF547" s="987"/>
      <c r="AG547" s="956"/>
      <c r="AH547" s="957"/>
      <c r="AI547" s="494" t="s">
        <v>2917</v>
      </c>
      <c r="AJ547" s="958">
        <v>1</v>
      </c>
      <c r="AK547" s="959"/>
      <c r="AL547" s="960"/>
      <c r="AM547" s="989">
        <f>_xll.GetCtData("COAMOUNT","CONSAMOUNT",$A$1:$A$7,$D547,AM$10,"#-43804,5084044633")</f>
        <v>-43804</v>
      </c>
    </row>
    <row r="548" spans="1:39">
      <c r="A548" s="427" t="s">
        <v>6610</v>
      </c>
      <c r="B548" s="427" t="s">
        <v>6610</v>
      </c>
      <c r="D548" s="1051" t="s">
        <v>1188</v>
      </c>
      <c r="E548" s="949" t="s">
        <v>2930</v>
      </c>
      <c r="F548" s="950">
        <v>10</v>
      </c>
      <c r="G548" s="950"/>
      <c r="H548" s="950"/>
      <c r="I548" s="950"/>
      <c r="J548" s="950"/>
      <c r="K548" s="950"/>
      <c r="L548" s="950"/>
      <c r="M548" s="950"/>
      <c r="N548" s="950"/>
      <c r="O548" s="950"/>
      <c r="P548" s="950"/>
      <c r="Q548" s="950"/>
      <c r="R548" s="1051" t="s">
        <v>1805</v>
      </c>
      <c r="S548" s="1014" t="s">
        <v>12099</v>
      </c>
      <c r="T548" s="1015">
        <f t="shared" si="49"/>
        <v>24</v>
      </c>
      <c r="U548" s="1014" t="s">
        <v>12099</v>
      </c>
      <c r="V548" s="1015">
        <f t="shared" si="44"/>
        <v>24</v>
      </c>
      <c r="W548" s="1014" t="s">
        <v>12099</v>
      </c>
      <c r="X548" s="1015">
        <f t="shared" si="45"/>
        <v>24</v>
      </c>
      <c r="Y548" s="1016" t="s">
        <v>12100</v>
      </c>
      <c r="Z548" s="1015">
        <f t="shared" si="46"/>
        <v>31</v>
      </c>
      <c r="AA548" s="1016" t="s">
        <v>12100</v>
      </c>
      <c r="AB548" s="1015">
        <f t="shared" si="47"/>
        <v>31</v>
      </c>
      <c r="AC548" s="1016" t="s">
        <v>12101</v>
      </c>
      <c r="AD548" s="1015">
        <f t="shared" si="48"/>
        <v>25</v>
      </c>
      <c r="AE548" s="518" t="s">
        <v>10997</v>
      </c>
      <c r="AF548" s="519" t="s">
        <v>10998</v>
      </c>
      <c r="AG548" s="1021" t="s">
        <v>9179</v>
      </c>
      <c r="AH548" s="1022" t="s">
        <v>169</v>
      </c>
      <c r="AI548" s="494" t="s">
        <v>2917</v>
      </c>
      <c r="AJ548" s="958">
        <v>1</v>
      </c>
      <c r="AK548" s="959"/>
      <c r="AL548" s="960"/>
      <c r="AM548" s="1018">
        <f>_xll.GetCtData("COAMOUNT","CONSAMOUNT",$A$1:$A$7,$D548,AM$10,"#-54003,5084044633")</f>
        <v>-54003</v>
      </c>
    </row>
    <row r="549" spans="1:39">
      <c r="A549" s="427" t="s">
        <v>6610</v>
      </c>
      <c r="B549" s="427" t="s">
        <v>6610</v>
      </c>
      <c r="D549" s="1051" t="s">
        <v>12102</v>
      </c>
      <c r="E549" s="949" t="s">
        <v>2930</v>
      </c>
      <c r="F549" s="950">
        <v>10</v>
      </c>
      <c r="G549" s="950"/>
      <c r="H549" s="950"/>
      <c r="I549" s="950"/>
      <c r="J549" s="950"/>
      <c r="K549" s="950"/>
      <c r="L549" s="950"/>
      <c r="M549" s="950"/>
      <c r="N549" s="950"/>
      <c r="O549" s="950"/>
      <c r="P549" s="950"/>
      <c r="Q549" s="950"/>
      <c r="R549" s="1051" t="s">
        <v>1806</v>
      </c>
      <c r="S549" s="1014" t="s">
        <v>12103</v>
      </c>
      <c r="T549" s="1015">
        <f t="shared" si="49"/>
        <v>26</v>
      </c>
      <c r="U549" s="1014" t="s">
        <v>12103</v>
      </c>
      <c r="V549" s="1015">
        <f t="shared" si="44"/>
        <v>26</v>
      </c>
      <c r="W549" s="1014" t="s">
        <v>12103</v>
      </c>
      <c r="X549" s="1015">
        <f t="shared" si="45"/>
        <v>26</v>
      </c>
      <c r="Y549" s="1016" t="s">
        <v>12104</v>
      </c>
      <c r="Z549" s="1015">
        <f t="shared" si="46"/>
        <v>29</v>
      </c>
      <c r="AA549" s="1016" t="s">
        <v>12104</v>
      </c>
      <c r="AB549" s="1015">
        <f t="shared" si="47"/>
        <v>29</v>
      </c>
      <c r="AC549" s="1016" t="s">
        <v>12104</v>
      </c>
      <c r="AD549" s="1015">
        <f t="shared" si="48"/>
        <v>29</v>
      </c>
      <c r="AE549" s="518" t="s">
        <v>10997</v>
      </c>
      <c r="AF549" s="519" t="s">
        <v>10998</v>
      </c>
      <c r="AG549" s="1021" t="s">
        <v>9179</v>
      </c>
      <c r="AH549" s="1022" t="s">
        <v>169</v>
      </c>
      <c r="AI549" s="494" t="s">
        <v>2917</v>
      </c>
      <c r="AJ549" s="958">
        <v>1</v>
      </c>
      <c r="AK549" s="959"/>
      <c r="AL549" s="960"/>
      <c r="AM549" s="1018">
        <f>_xll.GetCtData("COAMOUNT","CONSAMOUNT",$A$1:$A$7,$D549,AM$10,"#10199")</f>
        <v>10199</v>
      </c>
    </row>
    <row r="550" spans="1:39">
      <c r="A550" s="427" t="s">
        <v>6610</v>
      </c>
      <c r="B550" s="427" t="s">
        <v>6610</v>
      </c>
      <c r="D550" s="986" t="s">
        <v>12105</v>
      </c>
      <c r="E550" s="949" t="s">
        <v>2912</v>
      </c>
      <c r="F550" s="950">
        <v>9</v>
      </c>
      <c r="G550" s="950"/>
      <c r="H550" s="950"/>
      <c r="I550" s="950"/>
      <c r="J550" s="950"/>
      <c r="K550" s="950"/>
      <c r="L550" s="950"/>
      <c r="M550" s="950"/>
      <c r="N550" s="950"/>
      <c r="O550" s="950"/>
      <c r="P550" s="986" t="s">
        <v>12106</v>
      </c>
      <c r="Q550" s="986"/>
      <c r="R550" s="986" t="s">
        <v>12106</v>
      </c>
      <c r="S550" s="986" t="s">
        <v>12107</v>
      </c>
      <c r="T550" s="987">
        <f t="shared" ref="T550:T581" si="50">LEN(S550)</f>
        <v>28</v>
      </c>
      <c r="U550" s="986" t="s">
        <v>12107</v>
      </c>
      <c r="V550" s="987">
        <f t="shared" si="44"/>
        <v>28</v>
      </c>
      <c r="W550" s="986" t="s">
        <v>12107</v>
      </c>
      <c r="X550" s="987">
        <f t="shared" si="45"/>
        <v>28</v>
      </c>
      <c r="Y550" s="988" t="s">
        <v>12108</v>
      </c>
      <c r="Z550" s="987">
        <f t="shared" si="46"/>
        <v>38</v>
      </c>
      <c r="AA550" s="988" t="s">
        <v>12108</v>
      </c>
      <c r="AB550" s="987">
        <f t="shared" si="47"/>
        <v>38</v>
      </c>
      <c r="AC550" s="988" t="s">
        <v>12109</v>
      </c>
      <c r="AD550" s="987">
        <f t="shared" si="48"/>
        <v>30</v>
      </c>
      <c r="AE550" s="987"/>
      <c r="AF550" s="987"/>
      <c r="AG550" s="956"/>
      <c r="AH550" s="957"/>
      <c r="AI550" s="494" t="s">
        <v>2917</v>
      </c>
      <c r="AJ550" s="958">
        <v>1</v>
      </c>
      <c r="AK550" s="959"/>
      <c r="AL550" s="960"/>
      <c r="AM550" s="989">
        <f>_xll.GetCtData("COAMOUNT","CONSAMOUNT",$A$1:$A$7,$D550,AM$10,"#-123805,677050243")</f>
        <v>-123805</v>
      </c>
    </row>
    <row r="551" spans="1:39">
      <c r="A551" s="427" t="s">
        <v>6610</v>
      </c>
      <c r="B551" s="427" t="s">
        <v>6610</v>
      </c>
      <c r="D551" s="1051" t="s">
        <v>1189</v>
      </c>
      <c r="E551" s="949" t="s">
        <v>2930</v>
      </c>
      <c r="F551" s="950">
        <v>10</v>
      </c>
      <c r="G551" s="950"/>
      <c r="H551" s="950"/>
      <c r="I551" s="950"/>
      <c r="J551" s="950"/>
      <c r="K551" s="950"/>
      <c r="L551" s="950"/>
      <c r="M551" s="950"/>
      <c r="N551" s="950"/>
      <c r="O551" s="950"/>
      <c r="P551" s="950"/>
      <c r="Q551" s="950"/>
      <c r="R551" s="1051" t="s">
        <v>1807</v>
      </c>
      <c r="S551" s="1014" t="s">
        <v>12110</v>
      </c>
      <c r="T551" s="1015">
        <f t="shared" si="50"/>
        <v>17</v>
      </c>
      <c r="U551" s="1014" t="s">
        <v>12110</v>
      </c>
      <c r="V551" s="1015">
        <f t="shared" si="44"/>
        <v>17</v>
      </c>
      <c r="W551" s="1014" t="s">
        <v>12110</v>
      </c>
      <c r="X551" s="1015">
        <f t="shared" si="45"/>
        <v>17</v>
      </c>
      <c r="Y551" s="1016" t="s">
        <v>12111</v>
      </c>
      <c r="Z551" s="1015">
        <f t="shared" si="46"/>
        <v>18</v>
      </c>
      <c r="AA551" s="1016" t="s">
        <v>12111</v>
      </c>
      <c r="AB551" s="1015">
        <f t="shared" si="47"/>
        <v>18</v>
      </c>
      <c r="AC551" s="1016" t="s">
        <v>12111</v>
      </c>
      <c r="AD551" s="1015">
        <f t="shared" si="48"/>
        <v>18</v>
      </c>
      <c r="AE551" s="518" t="s">
        <v>10997</v>
      </c>
      <c r="AF551" s="519" t="s">
        <v>10998</v>
      </c>
      <c r="AG551" s="1021" t="s">
        <v>9179</v>
      </c>
      <c r="AH551" s="1022" t="s">
        <v>169</v>
      </c>
      <c r="AI551" s="494" t="s">
        <v>2917</v>
      </c>
      <c r="AJ551" s="958">
        <v>1</v>
      </c>
      <c r="AK551" s="959"/>
      <c r="AL551" s="960"/>
      <c r="AM551" s="1018">
        <f>_xll.GetCtData("COAMOUNT","CONSAMOUNT",$A$1:$A$7,$D551,AM$10,"#-194629,650695143")</f>
        <v>-194629</v>
      </c>
    </row>
    <row r="552" spans="1:39">
      <c r="A552" s="427" t="s">
        <v>6610</v>
      </c>
      <c r="B552" s="427" t="s">
        <v>6610</v>
      </c>
      <c r="D552" s="1051" t="s">
        <v>12112</v>
      </c>
      <c r="E552" s="949" t="s">
        <v>2930</v>
      </c>
      <c r="F552" s="950">
        <v>10</v>
      </c>
      <c r="G552" s="950"/>
      <c r="H552" s="950"/>
      <c r="I552" s="950"/>
      <c r="J552" s="950"/>
      <c r="K552" s="950"/>
      <c r="L552" s="950"/>
      <c r="M552" s="950"/>
      <c r="N552" s="950"/>
      <c r="O552" s="950"/>
      <c r="P552" s="950"/>
      <c r="Q552" s="950"/>
      <c r="R552" s="1051" t="s">
        <v>1808</v>
      </c>
      <c r="S552" s="1014" t="s">
        <v>12113</v>
      </c>
      <c r="T552" s="1015">
        <f t="shared" si="50"/>
        <v>17</v>
      </c>
      <c r="U552" s="1014" t="s">
        <v>12113</v>
      </c>
      <c r="V552" s="1015">
        <f t="shared" si="44"/>
        <v>17</v>
      </c>
      <c r="W552" s="1014" t="s">
        <v>12113</v>
      </c>
      <c r="X552" s="1015">
        <f t="shared" si="45"/>
        <v>17</v>
      </c>
      <c r="Y552" s="1016" t="s">
        <v>12114</v>
      </c>
      <c r="Z552" s="1015">
        <f t="shared" si="46"/>
        <v>16</v>
      </c>
      <c r="AA552" s="1016" t="s">
        <v>12114</v>
      </c>
      <c r="AB552" s="1015">
        <f t="shared" si="47"/>
        <v>16</v>
      </c>
      <c r="AC552" s="1016" t="s">
        <v>12114</v>
      </c>
      <c r="AD552" s="1015">
        <f t="shared" si="48"/>
        <v>16</v>
      </c>
      <c r="AE552" s="518" t="s">
        <v>10997</v>
      </c>
      <c r="AF552" s="519" t="s">
        <v>10998</v>
      </c>
      <c r="AG552" s="1021" t="s">
        <v>9179</v>
      </c>
      <c r="AH552" s="1022" t="s">
        <v>169</v>
      </c>
      <c r="AI552" s="494" t="s">
        <v>2917</v>
      </c>
      <c r="AJ552" s="958">
        <v>1</v>
      </c>
      <c r="AK552" s="959"/>
      <c r="AL552" s="960"/>
      <c r="AM552" s="1018">
        <f>_xll.GetCtData("COAMOUNT","CONSAMOUNT",$A$1:$A$7,$D552,AM$10,"#70823,9736448994")</f>
        <v>70823</v>
      </c>
    </row>
    <row r="553" spans="1:39">
      <c r="A553" s="427" t="s">
        <v>6610</v>
      </c>
      <c r="B553" s="427" t="s">
        <v>6610</v>
      </c>
      <c r="D553" s="981" t="s">
        <v>12048</v>
      </c>
      <c r="E553" s="949" t="s">
        <v>2912</v>
      </c>
      <c r="F553" s="950">
        <v>8</v>
      </c>
      <c r="G553" s="950"/>
      <c r="H553" s="950"/>
      <c r="I553" s="950"/>
      <c r="J553" s="950"/>
      <c r="K553" s="950"/>
      <c r="L553" s="950"/>
      <c r="M553" s="950"/>
      <c r="N553" s="950"/>
      <c r="O553" s="981" t="s">
        <v>12115</v>
      </c>
      <c r="P553" s="982"/>
      <c r="Q553" s="981"/>
      <c r="R553" s="981" t="s">
        <v>12049</v>
      </c>
      <c r="S553" s="981" t="s">
        <v>12116</v>
      </c>
      <c r="T553" s="1002">
        <f t="shared" si="50"/>
        <v>80</v>
      </c>
      <c r="U553" s="981" t="s">
        <v>12116</v>
      </c>
      <c r="V553" s="1002">
        <f t="shared" si="44"/>
        <v>80</v>
      </c>
      <c r="W553" s="981" t="s">
        <v>12117</v>
      </c>
      <c r="X553" s="1002">
        <f t="shared" si="45"/>
        <v>23</v>
      </c>
      <c r="Y553" s="1003" t="s">
        <v>12118</v>
      </c>
      <c r="Z553" s="1002">
        <f t="shared" si="46"/>
        <v>59</v>
      </c>
      <c r="AA553" s="1003" t="s">
        <v>12118</v>
      </c>
      <c r="AB553" s="1002">
        <f t="shared" si="47"/>
        <v>59</v>
      </c>
      <c r="AC553" s="1003" t="s">
        <v>12119</v>
      </c>
      <c r="AD553" s="1002">
        <f t="shared" si="48"/>
        <v>25</v>
      </c>
      <c r="AE553" s="1002"/>
      <c r="AF553" s="1002"/>
      <c r="AG553" s="956"/>
      <c r="AH553" s="957"/>
      <c r="AI553" s="530" t="s">
        <v>2969</v>
      </c>
      <c r="AJ553" s="958">
        <v>1</v>
      </c>
      <c r="AK553" s="959"/>
      <c r="AL553" s="960" t="s">
        <v>12120</v>
      </c>
      <c r="AM553" s="985">
        <f>_xll.GetCtData("COAMOUNT","CONSAMOUNT",$A$1:$A$7,$D553,AM$10,"#-6101,55940662851")</f>
        <v>-6101</v>
      </c>
    </row>
    <row r="554" spans="1:39">
      <c r="D554" s="1051" t="s">
        <v>1190</v>
      </c>
      <c r="E554" s="949" t="s">
        <v>2930</v>
      </c>
      <c r="F554" s="950">
        <v>10</v>
      </c>
      <c r="G554" s="950"/>
      <c r="H554" s="950"/>
      <c r="I554" s="950"/>
      <c r="J554" s="950"/>
      <c r="K554" s="950"/>
      <c r="L554" s="950"/>
      <c r="M554" s="950"/>
      <c r="N554" s="950"/>
      <c r="O554" s="950"/>
      <c r="P554" s="950"/>
      <c r="Q554" s="950"/>
      <c r="R554" s="1051" t="s">
        <v>1809</v>
      </c>
      <c r="S554" s="1014" t="s">
        <v>12121</v>
      </c>
      <c r="T554" s="1015">
        <f t="shared" si="50"/>
        <v>85</v>
      </c>
      <c r="U554" s="1014" t="s">
        <v>12121</v>
      </c>
      <c r="V554" s="1015">
        <f>LEN(U554)</f>
        <v>85</v>
      </c>
      <c r="W554" s="1014" t="s">
        <v>12122</v>
      </c>
      <c r="X554" s="1015">
        <f>LEN(W554)</f>
        <v>30</v>
      </c>
      <c r="Y554" s="1016" t="s">
        <v>12123</v>
      </c>
      <c r="Z554" s="1015">
        <f>LEN(Y554)</f>
        <v>73</v>
      </c>
      <c r="AA554" s="1016" t="s">
        <v>12123</v>
      </c>
      <c r="AB554" s="1015">
        <f>LEN(AA554)</f>
        <v>73</v>
      </c>
      <c r="AC554" s="1016" t="s">
        <v>12124</v>
      </c>
      <c r="AD554" s="1015">
        <f>LEN(AC554)</f>
        <v>25</v>
      </c>
      <c r="AE554" s="518"/>
      <c r="AF554" s="519"/>
      <c r="AG554" s="1021" t="s">
        <v>9179</v>
      </c>
      <c r="AH554" s="1022" t="s">
        <v>169</v>
      </c>
      <c r="AI554" s="530" t="s">
        <v>2969</v>
      </c>
      <c r="AJ554" s="958">
        <v>1</v>
      </c>
      <c r="AK554" s="959"/>
      <c r="AL554" s="960" t="s">
        <v>12120</v>
      </c>
      <c r="AM554" s="1018">
        <f>_xll.GetCtData("COAMOUNT","CONSAMOUNT",$A$1:$A$7,$D554,AM$10,"#")</f>
        <v>0</v>
      </c>
    </row>
    <row r="555" spans="1:39">
      <c r="D555" s="1051" t="s">
        <v>12125</v>
      </c>
      <c r="E555" s="949" t="s">
        <v>2930</v>
      </c>
      <c r="F555" s="950">
        <v>10</v>
      </c>
      <c r="G555" s="950"/>
      <c r="H555" s="950"/>
      <c r="I555" s="950"/>
      <c r="J555" s="950"/>
      <c r="K555" s="950"/>
      <c r="L555" s="950"/>
      <c r="M555" s="950"/>
      <c r="N555" s="950"/>
      <c r="O555" s="950"/>
      <c r="P555" s="950"/>
      <c r="Q555" s="950"/>
      <c r="R555" s="1051" t="s">
        <v>1810</v>
      </c>
      <c r="S555" s="1014" t="s">
        <v>12126</v>
      </c>
      <c r="T555" s="1015">
        <f t="shared" si="50"/>
        <v>87</v>
      </c>
      <c r="U555" s="1014" t="s">
        <v>12126</v>
      </c>
      <c r="V555" s="1015">
        <f>LEN(U555)</f>
        <v>87</v>
      </c>
      <c r="W555" s="1014" t="s">
        <v>12127</v>
      </c>
      <c r="X555" s="1015">
        <f>LEN(W555)</f>
        <v>30</v>
      </c>
      <c r="Y555" s="1016" t="s">
        <v>12128</v>
      </c>
      <c r="Z555" s="1015">
        <f>LEN(Y555)</f>
        <v>87</v>
      </c>
      <c r="AA555" s="1016" t="s">
        <v>12128</v>
      </c>
      <c r="AB555" s="1015">
        <f>LEN(AA555)</f>
        <v>87</v>
      </c>
      <c r="AC555" s="1016" t="s">
        <v>12129</v>
      </c>
      <c r="AD555" s="1015">
        <f>LEN(AC555)</f>
        <v>29</v>
      </c>
      <c r="AE555" s="518"/>
      <c r="AF555" s="519"/>
      <c r="AG555" s="1021" t="s">
        <v>9179</v>
      </c>
      <c r="AH555" s="1022" t="s">
        <v>169</v>
      </c>
      <c r="AI555" s="530" t="s">
        <v>2969</v>
      </c>
      <c r="AJ555" s="958">
        <v>1</v>
      </c>
      <c r="AK555" s="959"/>
      <c r="AL555" s="960" t="s">
        <v>12120</v>
      </c>
      <c r="AM555" s="1018">
        <f>_xll.GetCtData("COAMOUNT","CONSAMOUNT",$A$1:$A$7,$D555,AM$10,"#")</f>
        <v>0</v>
      </c>
    </row>
    <row r="556" spans="1:39">
      <c r="D556" s="1051" t="s">
        <v>1191</v>
      </c>
      <c r="E556" s="949" t="s">
        <v>2930</v>
      </c>
      <c r="F556" s="950">
        <v>10</v>
      </c>
      <c r="G556" s="950"/>
      <c r="H556" s="950"/>
      <c r="I556" s="950"/>
      <c r="J556" s="950"/>
      <c r="K556" s="950"/>
      <c r="L556" s="950"/>
      <c r="M556" s="950"/>
      <c r="N556" s="950"/>
      <c r="O556" s="950"/>
      <c r="P556" s="950"/>
      <c r="Q556" s="950"/>
      <c r="R556" s="1051" t="s">
        <v>1811</v>
      </c>
      <c r="S556" s="1014" t="s">
        <v>12130</v>
      </c>
      <c r="T556" s="1015">
        <f t="shared" si="50"/>
        <v>79</v>
      </c>
      <c r="U556" s="1014" t="s">
        <v>12130</v>
      </c>
      <c r="V556" s="1015">
        <f>LEN(U556)</f>
        <v>79</v>
      </c>
      <c r="W556" s="1014" t="s">
        <v>12131</v>
      </c>
      <c r="X556" s="1015">
        <f>LEN(W556)</f>
        <v>30</v>
      </c>
      <c r="Y556" s="1016" t="s">
        <v>12132</v>
      </c>
      <c r="Z556" s="1015">
        <f>LEN(Y556)</f>
        <v>94</v>
      </c>
      <c r="AA556" s="1016" t="s">
        <v>12132</v>
      </c>
      <c r="AB556" s="1015">
        <f>LEN(AA556)</f>
        <v>94</v>
      </c>
      <c r="AC556" s="1016" t="s">
        <v>12133</v>
      </c>
      <c r="AD556" s="1015">
        <f>LEN(AC556)</f>
        <v>28</v>
      </c>
      <c r="AE556" s="518"/>
      <c r="AF556" s="519"/>
      <c r="AG556" s="1021" t="s">
        <v>9179</v>
      </c>
      <c r="AH556" s="1022" t="s">
        <v>169</v>
      </c>
      <c r="AI556" s="530" t="s">
        <v>2969</v>
      </c>
      <c r="AJ556" s="958">
        <v>1</v>
      </c>
      <c r="AK556" s="959"/>
      <c r="AL556" s="960" t="s">
        <v>12120</v>
      </c>
      <c r="AM556" s="1018">
        <f>_xll.GetCtData("COAMOUNT","CONSAMOUNT",$A$1:$A$7,$D556,AM$10,"#-6101,55940662851")</f>
        <v>-6101</v>
      </c>
    </row>
    <row r="557" spans="1:39">
      <c r="A557" s="427" t="s">
        <v>6610</v>
      </c>
      <c r="B557" s="427" t="s">
        <v>6610</v>
      </c>
      <c r="D557" s="410" t="s">
        <v>12134</v>
      </c>
      <c r="E557" s="949" t="s">
        <v>2912</v>
      </c>
      <c r="F557" s="950">
        <v>7</v>
      </c>
      <c r="G557" s="950"/>
      <c r="H557" s="950"/>
      <c r="I557" s="950"/>
      <c r="J557" s="950"/>
      <c r="K557" s="950"/>
      <c r="L557" s="950"/>
      <c r="M557" s="950"/>
      <c r="N557" s="1009" t="s">
        <v>12135</v>
      </c>
      <c r="O557" s="975"/>
      <c r="P557" s="975"/>
      <c r="Q557" s="1047"/>
      <c r="R557" s="410" t="s">
        <v>12135</v>
      </c>
      <c r="S557" s="1047" t="s">
        <v>89</v>
      </c>
      <c r="T557" s="1048">
        <f t="shared" si="50"/>
        <v>26</v>
      </c>
      <c r="U557" s="1047" t="s">
        <v>89</v>
      </c>
      <c r="V557" s="1048">
        <f t="shared" si="44"/>
        <v>26</v>
      </c>
      <c r="W557" s="1047" t="s">
        <v>89</v>
      </c>
      <c r="X557" s="1048">
        <f t="shared" si="45"/>
        <v>26</v>
      </c>
      <c r="Y557" s="1049" t="s">
        <v>12136</v>
      </c>
      <c r="Z557" s="1048">
        <f t="shared" si="46"/>
        <v>33</v>
      </c>
      <c r="AA557" s="1049" t="s">
        <v>12136</v>
      </c>
      <c r="AB557" s="1048">
        <f t="shared" si="47"/>
        <v>33</v>
      </c>
      <c r="AC557" s="1049" t="s">
        <v>12137</v>
      </c>
      <c r="AD557" s="1048">
        <f t="shared" si="48"/>
        <v>30</v>
      </c>
      <c r="AE557" s="1048"/>
      <c r="AF557" s="1048"/>
      <c r="AG557" s="956"/>
      <c r="AH557" s="957"/>
      <c r="AI557" s="494" t="s">
        <v>2917</v>
      </c>
      <c r="AJ557" s="958">
        <v>1</v>
      </c>
      <c r="AK557" s="959"/>
      <c r="AL557" s="960"/>
      <c r="AM557" s="1050">
        <f>_xll.GetCtData("COAMOUNT","CONSAMOUNT",$A$1:$A$7,$D557,AM$10,"#-44467,5929395386")</f>
        <v>-44467</v>
      </c>
    </row>
    <row r="558" spans="1:39">
      <c r="A558" s="427" t="s">
        <v>6610</v>
      </c>
      <c r="B558" s="427" t="s">
        <v>6610</v>
      </c>
      <c r="D558" s="1051" t="s">
        <v>12138</v>
      </c>
      <c r="E558" s="949" t="s">
        <v>2930</v>
      </c>
      <c r="F558" s="950">
        <v>10</v>
      </c>
      <c r="G558" s="950"/>
      <c r="H558" s="950"/>
      <c r="I558" s="950"/>
      <c r="J558" s="950"/>
      <c r="K558" s="950"/>
      <c r="L558" s="950"/>
      <c r="M558" s="950"/>
      <c r="N558" s="950"/>
      <c r="O558" s="950"/>
      <c r="P558" s="950"/>
      <c r="Q558" s="950"/>
      <c r="R558" s="1051" t="s">
        <v>1834</v>
      </c>
      <c r="S558" s="1014" t="s">
        <v>89</v>
      </c>
      <c r="T558" s="1015">
        <f t="shared" si="50"/>
        <v>26</v>
      </c>
      <c r="U558" s="1014" t="s">
        <v>89</v>
      </c>
      <c r="V558" s="1015">
        <f t="shared" si="44"/>
        <v>26</v>
      </c>
      <c r="W558" s="1014" t="s">
        <v>89</v>
      </c>
      <c r="X558" s="1015">
        <f t="shared" si="45"/>
        <v>26</v>
      </c>
      <c r="Y558" s="1016" t="s">
        <v>12136</v>
      </c>
      <c r="Z558" s="1015">
        <f t="shared" si="46"/>
        <v>33</v>
      </c>
      <c r="AA558" s="1016" t="s">
        <v>12136</v>
      </c>
      <c r="AB558" s="1015">
        <f t="shared" si="47"/>
        <v>33</v>
      </c>
      <c r="AC558" s="1016" t="s">
        <v>12137</v>
      </c>
      <c r="AD558" s="1015">
        <f t="shared" si="48"/>
        <v>30</v>
      </c>
      <c r="AE558" s="518" t="s">
        <v>12139</v>
      </c>
      <c r="AF558" s="519" t="s">
        <v>89</v>
      </c>
      <c r="AG558" s="1021" t="s">
        <v>9179</v>
      </c>
      <c r="AH558" s="1022" t="s">
        <v>169</v>
      </c>
      <c r="AI558" s="494" t="s">
        <v>2917</v>
      </c>
      <c r="AJ558" s="958">
        <v>1</v>
      </c>
      <c r="AK558" s="959"/>
      <c r="AL558" s="960"/>
      <c r="AM558" s="1018">
        <f>_xll.GetCtData("COAMOUNT","CONSAMOUNT",$A$1:$A$7,$D558,AM$10,"#-44467,5929395386")</f>
        <v>-44467</v>
      </c>
    </row>
    <row r="559" spans="1:39">
      <c r="A559" s="427" t="s">
        <v>6610</v>
      </c>
      <c r="B559" s="427" t="s">
        <v>6610</v>
      </c>
      <c r="D559" s="1069" t="s">
        <v>12140</v>
      </c>
      <c r="E559" s="949" t="s">
        <v>2912</v>
      </c>
      <c r="F559" s="950">
        <v>4</v>
      </c>
      <c r="G559" s="950"/>
      <c r="H559" s="950"/>
      <c r="I559" s="950"/>
      <c r="J559" s="950"/>
      <c r="K559" s="1070" t="s">
        <v>12141</v>
      </c>
      <c r="L559" s="1071"/>
      <c r="M559" s="1072"/>
      <c r="N559" s="1072"/>
      <c r="O559" s="1072"/>
      <c r="P559" s="1072"/>
      <c r="Q559" s="1070"/>
      <c r="R559" s="1069" t="s">
        <v>12141</v>
      </c>
      <c r="S559" s="1070" t="s">
        <v>31</v>
      </c>
      <c r="T559" s="1073">
        <f t="shared" si="50"/>
        <v>29</v>
      </c>
      <c r="U559" s="1070" t="s">
        <v>31</v>
      </c>
      <c r="V559" s="1073">
        <f t="shared" si="44"/>
        <v>29</v>
      </c>
      <c r="W559" s="1070" t="s">
        <v>31</v>
      </c>
      <c r="X559" s="1073">
        <f t="shared" si="45"/>
        <v>29</v>
      </c>
      <c r="Y559" s="1074" t="s">
        <v>12142</v>
      </c>
      <c r="Z559" s="1073">
        <f t="shared" si="46"/>
        <v>31</v>
      </c>
      <c r="AA559" s="1074" t="s">
        <v>12142</v>
      </c>
      <c r="AB559" s="1073">
        <f t="shared" si="47"/>
        <v>31</v>
      </c>
      <c r="AC559" s="1074" t="s">
        <v>12143</v>
      </c>
      <c r="AD559" s="1073">
        <f t="shared" si="48"/>
        <v>25</v>
      </c>
      <c r="AE559" s="1073"/>
      <c r="AF559" s="1073"/>
      <c r="AG559" s="956"/>
      <c r="AH559" s="957"/>
      <c r="AI559" s="494" t="s">
        <v>2917</v>
      </c>
      <c r="AJ559" s="958">
        <v>1</v>
      </c>
      <c r="AK559" s="959"/>
      <c r="AL559" s="960"/>
      <c r="AM559" s="1075">
        <f>_xll.GetCtData("COAMOUNT","CONSAMOUNT",$A$1:$A$7,$D559,AM$10,"#3072471,57314758")</f>
        <v>3072471</v>
      </c>
    </row>
    <row r="560" spans="1:39">
      <c r="A560" s="427" t="s">
        <v>6610</v>
      </c>
      <c r="B560" s="427" t="s">
        <v>6610</v>
      </c>
      <c r="D560" s="1069" t="s">
        <v>12144</v>
      </c>
      <c r="E560" s="949" t="s">
        <v>2912</v>
      </c>
      <c r="F560" s="950">
        <v>4</v>
      </c>
      <c r="G560" s="950"/>
      <c r="H560" s="950"/>
      <c r="I560" s="950"/>
      <c r="J560" s="950"/>
      <c r="K560" s="1070" t="s">
        <v>12145</v>
      </c>
      <c r="L560" s="1071"/>
      <c r="M560" s="1072"/>
      <c r="N560" s="1072"/>
      <c r="O560" s="1072"/>
      <c r="P560" s="1072"/>
      <c r="Q560" s="1070"/>
      <c r="R560" s="1069" t="s">
        <v>12145</v>
      </c>
      <c r="S560" s="1070" t="s">
        <v>32</v>
      </c>
      <c r="T560" s="1073">
        <f t="shared" si="50"/>
        <v>53</v>
      </c>
      <c r="U560" s="1070" t="s">
        <v>32</v>
      </c>
      <c r="V560" s="1073">
        <f t="shared" si="44"/>
        <v>53</v>
      </c>
      <c r="W560" s="1070" t="s">
        <v>12146</v>
      </c>
      <c r="X560" s="1073">
        <f t="shared" si="45"/>
        <v>30</v>
      </c>
      <c r="Y560" s="1074" t="s">
        <v>12147</v>
      </c>
      <c r="Z560" s="1073">
        <f t="shared" si="46"/>
        <v>48</v>
      </c>
      <c r="AA560" s="1074" t="s">
        <v>12147</v>
      </c>
      <c r="AB560" s="1073">
        <f t="shared" si="47"/>
        <v>48</v>
      </c>
      <c r="AC560" s="1074" t="s">
        <v>12148</v>
      </c>
      <c r="AD560" s="1073">
        <f t="shared" si="48"/>
        <v>29</v>
      </c>
      <c r="AE560" s="1073"/>
      <c r="AF560" s="1073"/>
      <c r="AG560" s="956"/>
      <c r="AH560" s="957"/>
      <c r="AI560" s="494" t="s">
        <v>2917</v>
      </c>
      <c r="AJ560" s="958">
        <v>1</v>
      </c>
      <c r="AK560" s="959"/>
      <c r="AL560" s="960"/>
      <c r="AM560" s="1075">
        <f>_xll.GetCtData("COAMOUNT","CONSAMOUNT",$A$1:$A$7,$D560,AM$10,"#8515,3080113101")</f>
        <v>8515</v>
      </c>
    </row>
    <row r="561" spans="1:39">
      <c r="A561" s="427" t="s">
        <v>6610</v>
      </c>
      <c r="B561" s="427" t="s">
        <v>6610</v>
      </c>
      <c r="D561" s="1076" t="s">
        <v>12149</v>
      </c>
      <c r="E561" s="949" t="s">
        <v>2912</v>
      </c>
      <c r="F561" s="950">
        <v>5</v>
      </c>
      <c r="G561" s="950"/>
      <c r="H561" s="950"/>
      <c r="I561" s="950"/>
      <c r="J561" s="950"/>
      <c r="K561" s="950"/>
      <c r="L561" s="1077" t="s">
        <v>12150</v>
      </c>
      <c r="M561" s="1078"/>
      <c r="N561" s="1076"/>
      <c r="O561" s="1076"/>
      <c r="P561" s="1076"/>
      <c r="Q561" s="1076"/>
      <c r="R561" s="1076" t="s">
        <v>12150</v>
      </c>
      <c r="S561" s="1077" t="s">
        <v>32</v>
      </c>
      <c r="T561" s="1079">
        <f t="shared" si="50"/>
        <v>53</v>
      </c>
      <c r="U561" s="1077" t="s">
        <v>32</v>
      </c>
      <c r="V561" s="1079">
        <f t="shared" si="44"/>
        <v>53</v>
      </c>
      <c r="W561" s="1077" t="s">
        <v>12146</v>
      </c>
      <c r="X561" s="1079">
        <f t="shared" si="45"/>
        <v>30</v>
      </c>
      <c r="Y561" s="1080" t="s">
        <v>12147</v>
      </c>
      <c r="Z561" s="1079">
        <f t="shared" si="46"/>
        <v>48</v>
      </c>
      <c r="AA561" s="1080" t="s">
        <v>12147</v>
      </c>
      <c r="AB561" s="1079">
        <f t="shared" si="47"/>
        <v>48</v>
      </c>
      <c r="AC561" s="1080" t="s">
        <v>12148</v>
      </c>
      <c r="AD561" s="1079">
        <f t="shared" si="48"/>
        <v>29</v>
      </c>
      <c r="AE561" s="1079"/>
      <c r="AF561" s="1079"/>
      <c r="AG561" s="956"/>
      <c r="AH561" s="957"/>
      <c r="AI561" s="494" t="s">
        <v>2917</v>
      </c>
      <c r="AJ561" s="958">
        <v>1</v>
      </c>
      <c r="AK561" s="959"/>
      <c r="AL561" s="960"/>
      <c r="AM561" s="1081">
        <f>_xll.GetCtData("COAMOUNT","CONSAMOUNT",$A$1:$A$7,$D561,AM$10,"#8515,3080113101")</f>
        <v>8515</v>
      </c>
    </row>
    <row r="562" spans="1:39">
      <c r="A562" s="427" t="s">
        <v>6610</v>
      </c>
      <c r="B562" s="427" t="s">
        <v>6610</v>
      </c>
      <c r="D562" s="1051" t="s">
        <v>12151</v>
      </c>
      <c r="E562" s="949" t="s">
        <v>2930</v>
      </c>
      <c r="F562" s="950">
        <v>10</v>
      </c>
      <c r="G562" s="950"/>
      <c r="H562" s="950"/>
      <c r="I562" s="950"/>
      <c r="J562" s="950"/>
      <c r="K562" s="950"/>
      <c r="L562" s="950"/>
      <c r="M562" s="950"/>
      <c r="N562" s="950"/>
      <c r="O562" s="950"/>
      <c r="P562" s="950"/>
      <c r="Q562" s="1082"/>
      <c r="R562" s="1051" t="s">
        <v>12152</v>
      </c>
      <c r="S562" s="1014" t="s">
        <v>12153</v>
      </c>
      <c r="T562" s="1015">
        <f t="shared" si="50"/>
        <v>37</v>
      </c>
      <c r="U562" s="1014" t="s">
        <v>12153</v>
      </c>
      <c r="V562" s="1015">
        <f t="shared" si="44"/>
        <v>37</v>
      </c>
      <c r="W562" s="1014" t="s">
        <v>12154</v>
      </c>
      <c r="X562" s="1015">
        <f t="shared" si="45"/>
        <v>25</v>
      </c>
      <c r="Y562" s="1016" t="s">
        <v>12155</v>
      </c>
      <c r="Z562" s="1015">
        <f t="shared" si="46"/>
        <v>32</v>
      </c>
      <c r="AA562" s="1016" t="s">
        <v>12155</v>
      </c>
      <c r="AB562" s="1015">
        <f t="shared" si="47"/>
        <v>32</v>
      </c>
      <c r="AC562" s="1016" t="s">
        <v>12156</v>
      </c>
      <c r="AD562" s="1015">
        <f t="shared" si="48"/>
        <v>26</v>
      </c>
      <c r="AE562" s="518" t="s">
        <v>10997</v>
      </c>
      <c r="AF562" s="519" t="s">
        <v>10998</v>
      </c>
      <c r="AG562" s="1021" t="s">
        <v>9179</v>
      </c>
      <c r="AH562" s="1022" t="s">
        <v>169</v>
      </c>
      <c r="AI562" s="494" t="s">
        <v>2917</v>
      </c>
      <c r="AJ562" s="958">
        <v>1</v>
      </c>
      <c r="AK562" s="959"/>
      <c r="AL562" s="960"/>
      <c r="AM562" s="1018">
        <f>_xll.GetCtData("COAMOUNT","CONSAMOUNT",$A$1:$A$7,$D562,AM$10,"#-13599")</f>
        <v>-13599</v>
      </c>
    </row>
    <row r="563" spans="1:39">
      <c r="A563" s="427" t="s">
        <v>6610</v>
      </c>
      <c r="B563" s="427" t="s">
        <v>6610</v>
      </c>
      <c r="D563" s="1051" t="s">
        <v>12157</v>
      </c>
      <c r="E563" s="949" t="s">
        <v>2930</v>
      </c>
      <c r="F563" s="950">
        <v>10</v>
      </c>
      <c r="G563" s="950"/>
      <c r="H563" s="950"/>
      <c r="I563" s="950"/>
      <c r="J563" s="950"/>
      <c r="K563" s="950"/>
      <c r="L563" s="950"/>
      <c r="M563" s="950"/>
      <c r="N563" s="950"/>
      <c r="O563" s="950"/>
      <c r="P563" s="950"/>
      <c r="Q563" s="1082"/>
      <c r="R563" s="1051" t="s">
        <v>12158</v>
      </c>
      <c r="S563" s="1014" t="s">
        <v>12159</v>
      </c>
      <c r="T563" s="1015">
        <f t="shared" si="50"/>
        <v>46</v>
      </c>
      <c r="U563" s="1014" t="s">
        <v>12159</v>
      </c>
      <c r="V563" s="1015">
        <f t="shared" si="44"/>
        <v>46</v>
      </c>
      <c r="W563" s="1014" t="s">
        <v>12160</v>
      </c>
      <c r="X563" s="1015">
        <f t="shared" si="45"/>
        <v>30</v>
      </c>
      <c r="Y563" s="1016" t="s">
        <v>12161</v>
      </c>
      <c r="Z563" s="1015">
        <f t="shared" si="46"/>
        <v>41</v>
      </c>
      <c r="AA563" s="1016" t="s">
        <v>12161</v>
      </c>
      <c r="AB563" s="1015">
        <f t="shared" si="47"/>
        <v>41</v>
      </c>
      <c r="AC563" s="1016" t="s">
        <v>12162</v>
      </c>
      <c r="AD563" s="1015">
        <f t="shared" si="48"/>
        <v>27</v>
      </c>
      <c r="AE563" s="518" t="s">
        <v>12163</v>
      </c>
      <c r="AF563" s="519" t="s">
        <v>12164</v>
      </c>
      <c r="AG563" s="1021" t="s">
        <v>9179</v>
      </c>
      <c r="AH563" s="1022" t="s">
        <v>169</v>
      </c>
      <c r="AI563" s="494" t="s">
        <v>2917</v>
      </c>
      <c r="AJ563" s="958">
        <v>1</v>
      </c>
      <c r="AK563" s="959"/>
      <c r="AL563" s="960"/>
      <c r="AM563" s="1018">
        <f>_xll.GetCtData("COAMOUNT","CONSAMOUNT",$A$1:$A$7,$D563,AM$10,"#")</f>
        <v>0</v>
      </c>
    </row>
    <row r="564" spans="1:39">
      <c r="A564" s="427" t="s">
        <v>6610</v>
      </c>
      <c r="B564" s="427" t="s">
        <v>6610</v>
      </c>
      <c r="D564" s="1051" t="s">
        <v>12165</v>
      </c>
      <c r="E564" s="949" t="s">
        <v>2930</v>
      </c>
      <c r="F564" s="950">
        <v>10</v>
      </c>
      <c r="G564" s="950"/>
      <c r="H564" s="950"/>
      <c r="I564" s="950"/>
      <c r="J564" s="950"/>
      <c r="K564" s="950"/>
      <c r="L564" s="950"/>
      <c r="M564" s="950"/>
      <c r="N564" s="950"/>
      <c r="O564" s="950"/>
      <c r="P564" s="950"/>
      <c r="Q564" s="1082"/>
      <c r="R564" s="1051" t="s">
        <v>12166</v>
      </c>
      <c r="S564" s="1014" t="s">
        <v>12167</v>
      </c>
      <c r="T564" s="1015">
        <f t="shared" si="50"/>
        <v>59</v>
      </c>
      <c r="U564" s="1014" t="s">
        <v>12167</v>
      </c>
      <c r="V564" s="1015">
        <f t="shared" si="44"/>
        <v>59</v>
      </c>
      <c r="W564" s="1014" t="s">
        <v>12168</v>
      </c>
      <c r="X564" s="1015">
        <f t="shared" si="45"/>
        <v>29</v>
      </c>
      <c r="Y564" s="1016" t="s">
        <v>12169</v>
      </c>
      <c r="Z564" s="1015">
        <f t="shared" si="46"/>
        <v>65</v>
      </c>
      <c r="AA564" s="1016" t="s">
        <v>12169</v>
      </c>
      <c r="AB564" s="1015">
        <f t="shared" si="47"/>
        <v>65</v>
      </c>
      <c r="AC564" s="1016" t="s">
        <v>12170</v>
      </c>
      <c r="AD564" s="1015">
        <f t="shared" si="48"/>
        <v>30</v>
      </c>
      <c r="AE564" s="518" t="s">
        <v>10997</v>
      </c>
      <c r="AF564" s="519" t="s">
        <v>10998</v>
      </c>
      <c r="AG564" s="1021" t="s">
        <v>9179</v>
      </c>
      <c r="AH564" s="1022" t="s">
        <v>169</v>
      </c>
      <c r="AI564" s="494" t="s">
        <v>2917</v>
      </c>
      <c r="AJ564" s="958">
        <v>1</v>
      </c>
      <c r="AK564" s="959"/>
      <c r="AL564" s="960"/>
      <c r="AM564" s="1018">
        <f>_xll.GetCtData("COAMOUNT","CONSAMOUNT",$A$1:$A$7,$D564,AM$10,"#")</f>
        <v>0</v>
      </c>
    </row>
    <row r="565" spans="1:39">
      <c r="A565" s="427" t="s">
        <v>6610</v>
      </c>
      <c r="B565" s="427" t="s">
        <v>6610</v>
      </c>
      <c r="D565" s="1051" t="s">
        <v>12171</v>
      </c>
      <c r="E565" s="949" t="s">
        <v>2930</v>
      </c>
      <c r="F565" s="950">
        <v>10</v>
      </c>
      <c r="G565" s="950"/>
      <c r="H565" s="950"/>
      <c r="I565" s="950"/>
      <c r="J565" s="950"/>
      <c r="K565" s="950"/>
      <c r="L565" s="950"/>
      <c r="M565" s="950"/>
      <c r="N565" s="950"/>
      <c r="O565" s="950"/>
      <c r="P565" s="950"/>
      <c r="Q565" s="1082"/>
      <c r="R565" s="1051" t="s">
        <v>12172</v>
      </c>
      <c r="S565" s="1014" t="s">
        <v>12173</v>
      </c>
      <c r="T565" s="1015">
        <f t="shared" si="50"/>
        <v>35</v>
      </c>
      <c r="U565" s="1014" t="s">
        <v>12173</v>
      </c>
      <c r="V565" s="1015">
        <f t="shared" si="44"/>
        <v>35</v>
      </c>
      <c r="W565" s="1014" t="s">
        <v>12174</v>
      </c>
      <c r="X565" s="1015">
        <f t="shared" si="45"/>
        <v>30</v>
      </c>
      <c r="Y565" s="1016" t="s">
        <v>12175</v>
      </c>
      <c r="Z565" s="1015">
        <f t="shared" si="46"/>
        <v>30</v>
      </c>
      <c r="AA565" s="1016" t="s">
        <v>12175</v>
      </c>
      <c r="AB565" s="1015">
        <f t="shared" si="47"/>
        <v>30</v>
      </c>
      <c r="AC565" s="1016" t="s">
        <v>12175</v>
      </c>
      <c r="AD565" s="1015">
        <f t="shared" si="48"/>
        <v>30</v>
      </c>
      <c r="AE565" s="518" t="s">
        <v>10997</v>
      </c>
      <c r="AF565" s="519" t="s">
        <v>10998</v>
      </c>
      <c r="AG565" s="1021" t="s">
        <v>9179</v>
      </c>
      <c r="AH565" s="1022" t="s">
        <v>169</v>
      </c>
      <c r="AI565" s="494" t="s">
        <v>2917</v>
      </c>
      <c r="AJ565" s="958">
        <v>1</v>
      </c>
      <c r="AK565" s="959"/>
      <c r="AL565" s="960"/>
      <c r="AM565" s="1018">
        <f>_xll.GetCtData("COAMOUNT","CONSAMOUNT",$A$1:$A$7,$D565,AM$10,"#22114,3080113101")</f>
        <v>22114</v>
      </c>
    </row>
    <row r="566" spans="1:39">
      <c r="A566" s="427" t="s">
        <v>6610</v>
      </c>
      <c r="B566" s="427" t="s">
        <v>6610</v>
      </c>
      <c r="D566" s="1083" t="s">
        <v>12176</v>
      </c>
      <c r="E566" s="949" t="s">
        <v>2912</v>
      </c>
      <c r="F566" s="950">
        <v>3</v>
      </c>
      <c r="G566" s="950"/>
      <c r="H566" s="950"/>
      <c r="I566" s="950"/>
      <c r="J566" s="1084" t="s">
        <v>12177</v>
      </c>
      <c r="K566" s="1085"/>
      <c r="L566" s="1086"/>
      <c r="M566" s="1085"/>
      <c r="N566" s="1085"/>
      <c r="O566" s="1085"/>
      <c r="P566" s="1085"/>
      <c r="Q566" s="1084"/>
      <c r="R566" s="1083" t="s">
        <v>12177</v>
      </c>
      <c r="S566" s="1084" t="s">
        <v>33</v>
      </c>
      <c r="T566" s="1087">
        <f t="shared" si="50"/>
        <v>21</v>
      </c>
      <c r="U566" s="1084" t="s">
        <v>33</v>
      </c>
      <c r="V566" s="1087">
        <f t="shared" si="44"/>
        <v>21</v>
      </c>
      <c r="W566" s="1084" t="s">
        <v>33</v>
      </c>
      <c r="X566" s="1087">
        <f t="shared" si="45"/>
        <v>21</v>
      </c>
      <c r="Y566" s="1088" t="s">
        <v>12178</v>
      </c>
      <c r="Z566" s="1087">
        <f t="shared" si="46"/>
        <v>21</v>
      </c>
      <c r="AA566" s="1088" t="s">
        <v>12178</v>
      </c>
      <c r="AB566" s="1087">
        <f t="shared" si="47"/>
        <v>21</v>
      </c>
      <c r="AC566" s="1088" t="s">
        <v>12178</v>
      </c>
      <c r="AD566" s="1087">
        <f t="shared" si="48"/>
        <v>21</v>
      </c>
      <c r="AE566" s="1087"/>
      <c r="AF566" s="1087"/>
      <c r="AG566" s="956"/>
      <c r="AH566" s="957"/>
      <c r="AI566" s="494" t="s">
        <v>2917</v>
      </c>
      <c r="AJ566" s="958">
        <v>1</v>
      </c>
      <c r="AK566" s="959"/>
      <c r="AL566" s="960"/>
      <c r="AM566" s="1089">
        <f>_xll.GetCtData("COAMOUNT","CONSAMOUNT",$A$1:$A$7,$D566,AM$10,"#3080986,88115889")</f>
        <v>3080986</v>
      </c>
    </row>
    <row r="567" spans="1:39">
      <c r="A567" s="427" t="s">
        <v>6610</v>
      </c>
      <c r="B567" s="427" t="s">
        <v>6610</v>
      </c>
      <c r="D567" s="1083" t="s">
        <v>12179</v>
      </c>
      <c r="E567" s="949" t="s">
        <v>2912</v>
      </c>
      <c r="F567" s="950">
        <v>3</v>
      </c>
      <c r="G567" s="950"/>
      <c r="H567" s="950"/>
      <c r="I567" s="950"/>
      <c r="J567" s="1084" t="s">
        <v>12180</v>
      </c>
      <c r="K567" s="1085"/>
      <c r="L567" s="1086"/>
      <c r="M567" s="1085"/>
      <c r="N567" s="1085"/>
      <c r="O567" s="1085"/>
      <c r="P567" s="1085"/>
      <c r="Q567" s="1084"/>
      <c r="R567" s="1083" t="s">
        <v>12180</v>
      </c>
      <c r="S567" s="1084" t="s">
        <v>34</v>
      </c>
      <c r="T567" s="1087">
        <f t="shared" si="50"/>
        <v>22</v>
      </c>
      <c r="U567" s="1084" t="s">
        <v>34</v>
      </c>
      <c r="V567" s="1087">
        <f t="shared" si="44"/>
        <v>22</v>
      </c>
      <c r="W567" s="1084" t="s">
        <v>34</v>
      </c>
      <c r="X567" s="1087">
        <f t="shared" si="45"/>
        <v>22</v>
      </c>
      <c r="Y567" s="1088" t="s">
        <v>12181</v>
      </c>
      <c r="Z567" s="1087">
        <f t="shared" si="46"/>
        <v>13</v>
      </c>
      <c r="AA567" s="1088" t="s">
        <v>12181</v>
      </c>
      <c r="AB567" s="1087">
        <f t="shared" si="47"/>
        <v>13</v>
      </c>
      <c r="AC567" s="1088" t="s">
        <v>12181</v>
      </c>
      <c r="AD567" s="1087">
        <f t="shared" si="48"/>
        <v>13</v>
      </c>
      <c r="AE567" s="1087"/>
      <c r="AF567" s="1087"/>
      <c r="AG567" s="956"/>
      <c r="AH567" s="957"/>
      <c r="AI567" s="494" t="s">
        <v>2917</v>
      </c>
      <c r="AJ567" s="958">
        <v>1</v>
      </c>
      <c r="AK567" s="959"/>
      <c r="AL567" s="960"/>
      <c r="AM567" s="1089">
        <f>_xll.GetCtData("COAMOUNT","CONSAMOUNT",$A$1:$A$7,$D567,AM$10,"#-192627")</f>
        <v>-192627</v>
      </c>
    </row>
    <row r="568" spans="1:39">
      <c r="A568" s="427" t="s">
        <v>6610</v>
      </c>
      <c r="B568" s="427" t="s">
        <v>6610</v>
      </c>
      <c r="D568" s="1090" t="s">
        <v>12182</v>
      </c>
      <c r="E568" s="949" t="s">
        <v>2912</v>
      </c>
      <c r="F568" s="950">
        <v>4</v>
      </c>
      <c r="G568" s="950"/>
      <c r="H568" s="950"/>
      <c r="I568" s="950"/>
      <c r="J568" s="950"/>
      <c r="K568" s="1091" t="s">
        <v>12183</v>
      </c>
      <c r="L568" s="1072"/>
      <c r="M568" s="1071"/>
      <c r="N568" s="1090"/>
      <c r="O568" s="1090"/>
      <c r="P568" s="1090"/>
      <c r="Q568" s="1090"/>
      <c r="R568" s="1090" t="s">
        <v>12183</v>
      </c>
      <c r="S568" s="1091" t="s">
        <v>34</v>
      </c>
      <c r="T568" s="1092">
        <f t="shared" si="50"/>
        <v>22</v>
      </c>
      <c r="U568" s="1091" t="s">
        <v>34</v>
      </c>
      <c r="V568" s="1092">
        <f t="shared" si="44"/>
        <v>22</v>
      </c>
      <c r="W568" s="1091" t="s">
        <v>34</v>
      </c>
      <c r="X568" s="1092">
        <f t="shared" si="45"/>
        <v>22</v>
      </c>
      <c r="Y568" s="1093" t="s">
        <v>12181</v>
      </c>
      <c r="Z568" s="1092">
        <f t="shared" si="46"/>
        <v>13</v>
      </c>
      <c r="AA568" s="1093" t="s">
        <v>12181</v>
      </c>
      <c r="AB568" s="1092">
        <f t="shared" si="47"/>
        <v>13</v>
      </c>
      <c r="AC568" s="1093" t="s">
        <v>12181</v>
      </c>
      <c r="AD568" s="1092">
        <f t="shared" si="48"/>
        <v>13</v>
      </c>
      <c r="AE568" s="1092"/>
      <c r="AF568" s="1092"/>
      <c r="AG568" s="956"/>
      <c r="AH568" s="957"/>
      <c r="AI568" s="494" t="s">
        <v>2917</v>
      </c>
      <c r="AJ568" s="958">
        <v>1</v>
      </c>
      <c r="AK568" s="959"/>
      <c r="AL568" s="960"/>
      <c r="AM568" s="1094">
        <f>_xll.GetCtData("COAMOUNT","CONSAMOUNT",$A$1:$A$7,$D568,AM$10,"#-192627")</f>
        <v>-192627</v>
      </c>
    </row>
    <row r="569" spans="1:39">
      <c r="A569" s="427" t="s">
        <v>6610</v>
      </c>
      <c r="B569" s="427" t="s">
        <v>6610</v>
      </c>
      <c r="D569" s="1095" t="s">
        <v>12184</v>
      </c>
      <c r="E569" s="949" t="s">
        <v>2912</v>
      </c>
      <c r="F569" s="950">
        <v>5</v>
      </c>
      <c r="G569" s="950"/>
      <c r="H569" s="950"/>
      <c r="I569" s="950"/>
      <c r="J569" s="950"/>
      <c r="K569" s="950"/>
      <c r="L569" s="1019" t="s">
        <v>12185</v>
      </c>
      <c r="M569" s="964"/>
      <c r="N569" s="1078"/>
      <c r="O569" s="964"/>
      <c r="P569" s="964"/>
      <c r="Q569" s="1020"/>
      <c r="R569" s="1095" t="s">
        <v>12185</v>
      </c>
      <c r="S569" s="1020" t="s">
        <v>12186</v>
      </c>
      <c r="T569" s="1096">
        <f t="shared" si="50"/>
        <v>64</v>
      </c>
      <c r="U569" s="1020" t="s">
        <v>12186</v>
      </c>
      <c r="V569" s="1096">
        <f t="shared" si="44"/>
        <v>64</v>
      </c>
      <c r="W569" s="1020" t="s">
        <v>12187</v>
      </c>
      <c r="X569" s="1096">
        <f t="shared" si="45"/>
        <v>28</v>
      </c>
      <c r="Y569" s="1097" t="s">
        <v>12188</v>
      </c>
      <c r="Z569" s="1096">
        <f t="shared" si="46"/>
        <v>53</v>
      </c>
      <c r="AA569" s="1097" t="s">
        <v>12188</v>
      </c>
      <c r="AB569" s="1096">
        <f t="shared" si="47"/>
        <v>53</v>
      </c>
      <c r="AC569" s="1097" t="s">
        <v>12189</v>
      </c>
      <c r="AD569" s="1096">
        <f t="shared" si="48"/>
        <v>30</v>
      </c>
      <c r="AE569" s="1096"/>
      <c r="AF569" s="1096"/>
      <c r="AG569" s="999"/>
      <c r="AH569" s="1000"/>
      <c r="AI569" s="494" t="s">
        <v>2917</v>
      </c>
      <c r="AJ569" s="958">
        <v>1</v>
      </c>
      <c r="AK569" s="959"/>
      <c r="AL569" s="960"/>
      <c r="AM569" s="1098">
        <f>_xll.GetCtData("COAMOUNT","CONSAMOUNT",$A$1:$A$7,$D569,AM$10,"#-223155")</f>
        <v>-223155</v>
      </c>
    </row>
    <row r="570" spans="1:39">
      <c r="A570" s="427" t="s">
        <v>6610</v>
      </c>
      <c r="B570" s="427" t="s">
        <v>6610</v>
      </c>
      <c r="D570" s="1051" t="s">
        <v>1361</v>
      </c>
      <c r="E570" s="949" t="s">
        <v>2930</v>
      </c>
      <c r="F570" s="950">
        <v>10</v>
      </c>
      <c r="G570" s="950"/>
      <c r="H570" s="950"/>
      <c r="I570" s="950"/>
      <c r="J570" s="950"/>
      <c r="K570" s="950"/>
      <c r="L570" s="950"/>
      <c r="M570" s="950"/>
      <c r="N570" s="950"/>
      <c r="O570" s="950"/>
      <c r="P570" s="950"/>
      <c r="Q570" s="950"/>
      <c r="R570" s="1051" t="s">
        <v>12190</v>
      </c>
      <c r="S570" s="1014" t="s">
        <v>12191</v>
      </c>
      <c r="T570" s="1015">
        <f t="shared" si="50"/>
        <v>62</v>
      </c>
      <c r="U570" s="1014" t="s">
        <v>12191</v>
      </c>
      <c r="V570" s="1015">
        <f t="shared" si="44"/>
        <v>62</v>
      </c>
      <c r="W570" s="1014" t="s">
        <v>12192</v>
      </c>
      <c r="X570" s="1015">
        <f t="shared" si="45"/>
        <v>28</v>
      </c>
      <c r="Y570" s="1016" t="s">
        <v>12193</v>
      </c>
      <c r="Z570" s="1015">
        <f t="shared" si="46"/>
        <v>56</v>
      </c>
      <c r="AA570" s="1016" t="s">
        <v>12193</v>
      </c>
      <c r="AB570" s="1015">
        <f t="shared" si="47"/>
        <v>56</v>
      </c>
      <c r="AC570" s="1016" t="s">
        <v>12194</v>
      </c>
      <c r="AD570" s="1015">
        <f t="shared" si="48"/>
        <v>29</v>
      </c>
      <c r="AE570" s="518" t="s">
        <v>12195</v>
      </c>
      <c r="AF570" s="519" t="s">
        <v>12196</v>
      </c>
      <c r="AG570" s="1021" t="s">
        <v>9179</v>
      </c>
      <c r="AH570" s="1022" t="s">
        <v>169</v>
      </c>
      <c r="AI570" s="494" t="s">
        <v>2917</v>
      </c>
      <c r="AJ570" s="958">
        <v>1</v>
      </c>
      <c r="AK570" s="959" t="s">
        <v>5359</v>
      </c>
      <c r="AL570" s="960"/>
      <c r="AM570" s="1018">
        <f>_xll.GetCtData("COAMOUNT","CONSAMOUNT",$A$1:$A$7,$D570,AM$10,"#-16340")</f>
        <v>-16340</v>
      </c>
    </row>
    <row r="571" spans="1:39">
      <c r="A571" s="427" t="s">
        <v>6610</v>
      </c>
      <c r="B571" s="427" t="s">
        <v>6610</v>
      </c>
      <c r="D571" s="1051" t="s">
        <v>1362</v>
      </c>
      <c r="E571" s="949" t="s">
        <v>2930</v>
      </c>
      <c r="F571" s="950">
        <v>10</v>
      </c>
      <c r="G571" s="950"/>
      <c r="H571" s="950"/>
      <c r="I571" s="950"/>
      <c r="J571" s="950"/>
      <c r="K571" s="950"/>
      <c r="L571" s="950"/>
      <c r="M571" s="950"/>
      <c r="N571" s="950"/>
      <c r="O571" s="950"/>
      <c r="P571" s="950"/>
      <c r="Q571" s="950"/>
      <c r="R571" s="1051" t="s">
        <v>12197</v>
      </c>
      <c r="S571" s="1014" t="s">
        <v>12198</v>
      </c>
      <c r="T571" s="1015">
        <f t="shared" si="50"/>
        <v>66</v>
      </c>
      <c r="U571" s="1014" t="s">
        <v>12198</v>
      </c>
      <c r="V571" s="1015">
        <f t="shared" si="44"/>
        <v>66</v>
      </c>
      <c r="W571" s="1014" t="s">
        <v>12199</v>
      </c>
      <c r="X571" s="1015">
        <f t="shared" si="45"/>
        <v>29</v>
      </c>
      <c r="Y571" s="1016" t="s">
        <v>12200</v>
      </c>
      <c r="Z571" s="1015">
        <f t="shared" si="46"/>
        <v>48</v>
      </c>
      <c r="AA571" s="1016" t="s">
        <v>12200</v>
      </c>
      <c r="AB571" s="1015">
        <f t="shared" si="47"/>
        <v>48</v>
      </c>
      <c r="AC571" s="1016" t="s">
        <v>12201</v>
      </c>
      <c r="AD571" s="1015">
        <f t="shared" si="48"/>
        <v>29</v>
      </c>
      <c r="AE571" s="518" t="s">
        <v>12195</v>
      </c>
      <c r="AF571" s="519" t="s">
        <v>12196</v>
      </c>
      <c r="AG571" s="1021" t="s">
        <v>9179</v>
      </c>
      <c r="AH571" s="1022" t="s">
        <v>169</v>
      </c>
      <c r="AI571" s="494" t="s">
        <v>2917</v>
      </c>
      <c r="AJ571" s="958">
        <v>1</v>
      </c>
      <c r="AK571" s="959" t="s">
        <v>5359</v>
      </c>
      <c r="AL571" s="960"/>
      <c r="AM571" s="1018">
        <f>_xll.GetCtData("COAMOUNT","CONSAMOUNT",$A$1:$A$7,$D571,AM$10,"#-206815")</f>
        <v>-206815</v>
      </c>
    </row>
    <row r="572" spans="1:39">
      <c r="A572" s="427" t="s">
        <v>6610</v>
      </c>
      <c r="B572" s="427" t="s">
        <v>6610</v>
      </c>
      <c r="D572" s="1095" t="s">
        <v>12202</v>
      </c>
      <c r="E572" s="949" t="s">
        <v>2912</v>
      </c>
      <c r="F572" s="950">
        <v>5</v>
      </c>
      <c r="G572" s="950"/>
      <c r="H572" s="950"/>
      <c r="I572" s="950"/>
      <c r="J572" s="950"/>
      <c r="K572" s="950"/>
      <c r="L572" s="1019" t="s">
        <v>12203</v>
      </c>
      <c r="M572" s="964"/>
      <c r="N572" s="1078"/>
      <c r="O572" s="964"/>
      <c r="P572" s="964"/>
      <c r="Q572" s="1020"/>
      <c r="R572" s="1095" t="s">
        <v>12203</v>
      </c>
      <c r="S572" s="1020" t="s">
        <v>12204</v>
      </c>
      <c r="T572" s="1096">
        <f t="shared" si="50"/>
        <v>78</v>
      </c>
      <c r="U572" s="1020" t="s">
        <v>12204</v>
      </c>
      <c r="V572" s="1096">
        <f t="shared" si="44"/>
        <v>78</v>
      </c>
      <c r="W572" s="1020" t="s">
        <v>12205</v>
      </c>
      <c r="X572" s="1096">
        <f t="shared" si="45"/>
        <v>26</v>
      </c>
      <c r="Y572" s="1097" t="s">
        <v>12206</v>
      </c>
      <c r="Z572" s="1096">
        <f t="shared" si="46"/>
        <v>55</v>
      </c>
      <c r="AA572" s="1097" t="s">
        <v>12207</v>
      </c>
      <c r="AB572" s="1096">
        <f t="shared" si="47"/>
        <v>53</v>
      </c>
      <c r="AC572" s="1097" t="s">
        <v>12208</v>
      </c>
      <c r="AD572" s="1096">
        <f t="shared" si="48"/>
        <v>30</v>
      </c>
      <c r="AE572" s="1096"/>
      <c r="AF572" s="1096"/>
      <c r="AG572" s="999"/>
      <c r="AH572" s="1000"/>
      <c r="AI572" s="494" t="s">
        <v>2917</v>
      </c>
      <c r="AJ572" s="958">
        <v>1</v>
      </c>
      <c r="AK572" s="959"/>
      <c r="AL572" s="960" t="s">
        <v>5930</v>
      </c>
      <c r="AM572" s="1098">
        <f>_xll.GetCtData("COAMOUNT","CONSAMOUNT",$A$1:$A$7,$D572,AM$10,"#0")</f>
        <v>0</v>
      </c>
    </row>
    <row r="573" spans="1:39">
      <c r="A573" s="427" t="s">
        <v>6610</v>
      </c>
      <c r="B573" s="427" t="s">
        <v>6610</v>
      </c>
      <c r="D573" s="1051" t="s">
        <v>1363</v>
      </c>
      <c r="E573" s="949" t="s">
        <v>2930</v>
      </c>
      <c r="F573" s="950">
        <v>10</v>
      </c>
      <c r="G573" s="950"/>
      <c r="H573" s="950"/>
      <c r="I573" s="950"/>
      <c r="J573" s="950"/>
      <c r="K573" s="950"/>
      <c r="L573" s="950"/>
      <c r="M573" s="950"/>
      <c r="O573" s="950"/>
      <c r="P573" s="950"/>
      <c r="Q573" s="950"/>
      <c r="R573" s="1051" t="s">
        <v>12209</v>
      </c>
      <c r="S573" s="1014" t="s">
        <v>12210</v>
      </c>
      <c r="T573" s="1015">
        <f t="shared" si="50"/>
        <v>65</v>
      </c>
      <c r="U573" s="1014" t="s">
        <v>12210</v>
      </c>
      <c r="V573" s="1015">
        <f t="shared" si="44"/>
        <v>65</v>
      </c>
      <c r="W573" s="1014" t="s">
        <v>12211</v>
      </c>
      <c r="X573" s="1015">
        <f t="shared" si="45"/>
        <v>26</v>
      </c>
      <c r="Y573" s="1016" t="s">
        <v>12212</v>
      </c>
      <c r="Z573" s="1015">
        <f t="shared" si="46"/>
        <v>56</v>
      </c>
      <c r="AA573" s="1016" t="s">
        <v>12212</v>
      </c>
      <c r="AB573" s="1015">
        <f t="shared" si="47"/>
        <v>56</v>
      </c>
      <c r="AC573" s="1016" t="s">
        <v>12213</v>
      </c>
      <c r="AD573" s="1015">
        <f t="shared" si="48"/>
        <v>29</v>
      </c>
      <c r="AE573" s="518" t="s">
        <v>12214</v>
      </c>
      <c r="AF573" s="519" t="s">
        <v>12215</v>
      </c>
      <c r="AG573" s="1021" t="s">
        <v>9179</v>
      </c>
      <c r="AH573" s="1022" t="s">
        <v>169</v>
      </c>
      <c r="AI573" s="494" t="s">
        <v>2917</v>
      </c>
      <c r="AJ573" s="958">
        <v>1</v>
      </c>
      <c r="AK573" s="959" t="s">
        <v>5359</v>
      </c>
      <c r="AL573" s="960"/>
      <c r="AM573" s="1018">
        <f>_xll.GetCtData("COAMOUNT","CONSAMOUNT",$A$1:$A$7,$D573,AM$10,"#0")</f>
        <v>0</v>
      </c>
    </row>
    <row r="574" spans="1:39">
      <c r="A574" s="427" t="s">
        <v>6610</v>
      </c>
      <c r="B574" s="427" t="s">
        <v>6610</v>
      </c>
      <c r="D574" s="1051" t="s">
        <v>1364</v>
      </c>
      <c r="E574" s="949" t="s">
        <v>2930</v>
      </c>
      <c r="F574" s="950">
        <v>10</v>
      </c>
      <c r="G574" s="950"/>
      <c r="H574" s="950"/>
      <c r="I574" s="950"/>
      <c r="J574" s="950"/>
      <c r="K574" s="950"/>
      <c r="L574" s="950"/>
      <c r="M574" s="950"/>
      <c r="O574" s="950"/>
      <c r="P574" s="950"/>
      <c r="Q574" s="950"/>
      <c r="R574" s="1051" t="s">
        <v>12216</v>
      </c>
      <c r="S574" s="1014" t="s">
        <v>12217</v>
      </c>
      <c r="T574" s="1015">
        <f t="shared" si="50"/>
        <v>69</v>
      </c>
      <c r="U574" s="1014" t="s">
        <v>12217</v>
      </c>
      <c r="V574" s="1015">
        <f t="shared" si="44"/>
        <v>69</v>
      </c>
      <c r="W574" s="1014" t="s">
        <v>12218</v>
      </c>
      <c r="X574" s="1015">
        <f t="shared" si="45"/>
        <v>27</v>
      </c>
      <c r="Y574" s="1016" t="s">
        <v>12219</v>
      </c>
      <c r="Z574" s="1015">
        <f t="shared" si="46"/>
        <v>48</v>
      </c>
      <c r="AA574" s="1016" t="s">
        <v>12219</v>
      </c>
      <c r="AB574" s="1015">
        <f t="shared" si="47"/>
        <v>48</v>
      </c>
      <c r="AC574" s="1016" t="s">
        <v>12220</v>
      </c>
      <c r="AD574" s="1015">
        <f t="shared" si="48"/>
        <v>30</v>
      </c>
      <c r="AE574" s="518" t="s">
        <v>12214</v>
      </c>
      <c r="AF574" s="519" t="s">
        <v>12215</v>
      </c>
      <c r="AG574" s="1021" t="s">
        <v>9179</v>
      </c>
      <c r="AH574" s="1022" t="s">
        <v>169</v>
      </c>
      <c r="AI574" s="494" t="s">
        <v>2917</v>
      </c>
      <c r="AJ574" s="958">
        <v>1</v>
      </c>
      <c r="AK574" s="959" t="s">
        <v>5359</v>
      </c>
      <c r="AL574" s="960"/>
      <c r="AM574" s="1018">
        <f>_xll.GetCtData("COAMOUNT","CONSAMOUNT",$A$1:$A$7,$D574,AM$10,"#")</f>
        <v>0</v>
      </c>
    </row>
    <row r="575" spans="1:39">
      <c r="A575" s="427" t="s">
        <v>6610</v>
      </c>
      <c r="B575" s="427" t="s">
        <v>6610</v>
      </c>
      <c r="D575" s="1095" t="s">
        <v>12221</v>
      </c>
      <c r="E575" s="949" t="s">
        <v>2912</v>
      </c>
      <c r="F575" s="950">
        <v>5</v>
      </c>
      <c r="G575" s="950"/>
      <c r="H575" s="950"/>
      <c r="I575" s="950"/>
      <c r="J575" s="950"/>
      <c r="K575" s="950"/>
      <c r="L575" s="1019" t="s">
        <v>12222</v>
      </c>
      <c r="M575" s="964"/>
      <c r="N575" s="1078"/>
      <c r="O575" s="964"/>
      <c r="P575" s="964"/>
      <c r="Q575" s="1020"/>
      <c r="R575" s="1095" t="s">
        <v>12222</v>
      </c>
      <c r="S575" s="1020" t="s">
        <v>12223</v>
      </c>
      <c r="T575" s="1096">
        <f t="shared" si="50"/>
        <v>73</v>
      </c>
      <c r="U575" s="1020" t="s">
        <v>12223</v>
      </c>
      <c r="V575" s="1096">
        <f t="shared" si="44"/>
        <v>73</v>
      </c>
      <c r="W575" s="1020" t="s">
        <v>12224</v>
      </c>
      <c r="X575" s="1096">
        <f t="shared" si="45"/>
        <v>27</v>
      </c>
      <c r="Y575" s="1097" t="s">
        <v>12225</v>
      </c>
      <c r="Z575" s="1096">
        <f t="shared" si="46"/>
        <v>60</v>
      </c>
      <c r="AA575" s="1097" t="s">
        <v>12225</v>
      </c>
      <c r="AB575" s="1096">
        <f t="shared" si="47"/>
        <v>60</v>
      </c>
      <c r="AC575" s="1097" t="s">
        <v>12226</v>
      </c>
      <c r="AD575" s="1096">
        <f t="shared" si="48"/>
        <v>30</v>
      </c>
      <c r="AE575" s="1096"/>
      <c r="AF575" s="1096"/>
      <c r="AG575" s="999"/>
      <c r="AH575" s="1000"/>
      <c r="AI575" s="494" t="s">
        <v>2917</v>
      </c>
      <c r="AJ575" s="958">
        <v>1</v>
      </c>
      <c r="AK575" s="959"/>
      <c r="AL575" s="960"/>
      <c r="AM575" s="1098">
        <f>_xll.GetCtData("COAMOUNT","CONSAMOUNT",$A$1:$A$7,$D575,AM$10,"#")</f>
        <v>0</v>
      </c>
    </row>
    <row r="576" spans="1:39">
      <c r="A576" s="427" t="s">
        <v>6610</v>
      </c>
      <c r="B576" s="427" t="s">
        <v>6610</v>
      </c>
      <c r="D576" s="1051" t="s">
        <v>1365</v>
      </c>
      <c r="E576" s="949" t="s">
        <v>2930</v>
      </c>
      <c r="F576" s="950">
        <v>10</v>
      </c>
      <c r="G576" s="950"/>
      <c r="H576" s="950"/>
      <c r="I576" s="950"/>
      <c r="J576" s="950"/>
      <c r="K576" s="950"/>
      <c r="L576" s="950"/>
      <c r="M576" s="950"/>
      <c r="O576" s="950"/>
      <c r="P576" s="950"/>
      <c r="Q576" s="950"/>
      <c r="R576" s="1051" t="s">
        <v>12227</v>
      </c>
      <c r="S576" s="1014" t="s">
        <v>12228</v>
      </c>
      <c r="T576" s="1015">
        <f t="shared" si="50"/>
        <v>77</v>
      </c>
      <c r="U576" s="1014" t="s">
        <v>12228</v>
      </c>
      <c r="V576" s="1015">
        <f t="shared" si="44"/>
        <v>77</v>
      </c>
      <c r="W576" s="1014" t="s">
        <v>12229</v>
      </c>
      <c r="X576" s="1015">
        <f t="shared" si="45"/>
        <v>30</v>
      </c>
      <c r="Y576" s="1016" t="s">
        <v>12230</v>
      </c>
      <c r="Z576" s="1015">
        <f t="shared" si="46"/>
        <v>63</v>
      </c>
      <c r="AA576" s="1016" t="s">
        <v>12230</v>
      </c>
      <c r="AB576" s="1015">
        <f t="shared" si="47"/>
        <v>63</v>
      </c>
      <c r="AC576" s="1016" t="s">
        <v>12231</v>
      </c>
      <c r="AD576" s="1015">
        <f t="shared" si="48"/>
        <v>30</v>
      </c>
      <c r="AE576" s="518" t="s">
        <v>12232</v>
      </c>
      <c r="AF576" s="519" t="s">
        <v>12233</v>
      </c>
      <c r="AG576" s="1021" t="s">
        <v>9179</v>
      </c>
      <c r="AH576" s="1022" t="s">
        <v>169</v>
      </c>
      <c r="AI576" s="494" t="s">
        <v>2917</v>
      </c>
      <c r="AJ576" s="958">
        <v>1</v>
      </c>
      <c r="AK576" s="959" t="s">
        <v>5359</v>
      </c>
      <c r="AL576" s="960"/>
      <c r="AM576" s="1018">
        <f>_xll.GetCtData("COAMOUNT","CONSAMOUNT",$A$1:$A$7,$D576,AM$10,"#")</f>
        <v>0</v>
      </c>
    </row>
    <row r="577" spans="1:39">
      <c r="A577" s="427" t="s">
        <v>6610</v>
      </c>
      <c r="B577" s="427" t="s">
        <v>6610</v>
      </c>
      <c r="D577" s="1051" t="s">
        <v>1366</v>
      </c>
      <c r="E577" s="949" t="s">
        <v>2930</v>
      </c>
      <c r="F577" s="950">
        <v>10</v>
      </c>
      <c r="G577" s="950"/>
      <c r="H577" s="950"/>
      <c r="I577" s="950"/>
      <c r="J577" s="950"/>
      <c r="K577" s="950"/>
      <c r="L577" s="950"/>
      <c r="M577" s="950"/>
      <c r="O577" s="950"/>
      <c r="P577" s="950"/>
      <c r="Q577" s="950"/>
      <c r="R577" s="1051" t="s">
        <v>12234</v>
      </c>
      <c r="S577" s="1014" t="s">
        <v>12235</v>
      </c>
      <c r="T577" s="1015">
        <f t="shared" si="50"/>
        <v>81</v>
      </c>
      <c r="U577" s="1014" t="s">
        <v>12235</v>
      </c>
      <c r="V577" s="1015">
        <f t="shared" si="44"/>
        <v>81</v>
      </c>
      <c r="W577" s="1014" t="s">
        <v>12236</v>
      </c>
      <c r="X577" s="1015">
        <f t="shared" si="45"/>
        <v>30</v>
      </c>
      <c r="Y577" s="1016" t="s">
        <v>12237</v>
      </c>
      <c r="Z577" s="1015">
        <f t="shared" si="46"/>
        <v>55</v>
      </c>
      <c r="AA577" s="1016" t="s">
        <v>12237</v>
      </c>
      <c r="AB577" s="1015">
        <f t="shared" si="47"/>
        <v>55</v>
      </c>
      <c r="AC577" s="1016" t="s">
        <v>12238</v>
      </c>
      <c r="AD577" s="1015">
        <f t="shared" si="48"/>
        <v>27</v>
      </c>
      <c r="AE577" s="518" t="s">
        <v>12232</v>
      </c>
      <c r="AF577" s="519" t="s">
        <v>12233</v>
      </c>
      <c r="AG577" s="1021" t="s">
        <v>9179</v>
      </c>
      <c r="AH577" s="1022" t="s">
        <v>169</v>
      </c>
      <c r="AI577" s="494" t="s">
        <v>2917</v>
      </c>
      <c r="AJ577" s="958">
        <v>1</v>
      </c>
      <c r="AK577" s="959" t="s">
        <v>5359</v>
      </c>
      <c r="AL577" s="960"/>
      <c r="AM577" s="1018">
        <f>_xll.GetCtData("COAMOUNT","CONSAMOUNT",$A$1:$A$7,$D577,AM$10,"#")</f>
        <v>0</v>
      </c>
    </row>
    <row r="578" spans="1:39">
      <c r="A578" s="427" t="s">
        <v>6610</v>
      </c>
      <c r="B578" s="427" t="s">
        <v>6610</v>
      </c>
      <c r="D578" s="1095" t="s">
        <v>12239</v>
      </c>
      <c r="E578" s="949" t="s">
        <v>2912</v>
      </c>
      <c r="F578" s="950">
        <v>5</v>
      </c>
      <c r="G578" s="950"/>
      <c r="H578" s="950"/>
      <c r="I578" s="950"/>
      <c r="J578" s="950"/>
      <c r="K578" s="950"/>
      <c r="L578" s="1019" t="s">
        <v>12240</v>
      </c>
      <c r="M578" s="964"/>
      <c r="N578" s="1078"/>
      <c r="O578" s="964"/>
      <c r="P578" s="964"/>
      <c r="Q578" s="1020"/>
      <c r="R578" s="1095" t="s">
        <v>12240</v>
      </c>
      <c r="S578" s="1020" t="s">
        <v>12241</v>
      </c>
      <c r="T578" s="1096">
        <f t="shared" si="50"/>
        <v>69</v>
      </c>
      <c r="U578" s="1020" t="s">
        <v>12241</v>
      </c>
      <c r="V578" s="1096">
        <f t="shared" si="44"/>
        <v>69</v>
      </c>
      <c r="W578" s="1020" t="s">
        <v>12242</v>
      </c>
      <c r="X578" s="1096">
        <f t="shared" si="45"/>
        <v>28</v>
      </c>
      <c r="Y578" s="1097" t="s">
        <v>12243</v>
      </c>
      <c r="Z578" s="1096">
        <f t="shared" si="46"/>
        <v>31</v>
      </c>
      <c r="AA578" s="1097" t="s">
        <v>12243</v>
      </c>
      <c r="AB578" s="1096">
        <f t="shared" si="47"/>
        <v>31</v>
      </c>
      <c r="AC578" s="1097" t="s">
        <v>12244</v>
      </c>
      <c r="AD578" s="1096">
        <f t="shared" si="48"/>
        <v>29</v>
      </c>
      <c r="AE578" s="1096"/>
      <c r="AF578" s="1096"/>
      <c r="AG578" s="999"/>
      <c r="AH578" s="1000"/>
      <c r="AI578" s="494" t="s">
        <v>2917</v>
      </c>
      <c r="AJ578" s="958">
        <v>1</v>
      </c>
      <c r="AK578" s="959"/>
      <c r="AL578" s="960"/>
      <c r="AM578" s="1098">
        <f>_xll.GetCtData("COAMOUNT","CONSAMOUNT",$A$1:$A$7,$D578,AM$10,"#-294")</f>
        <v>-294</v>
      </c>
    </row>
    <row r="579" spans="1:39">
      <c r="A579" s="427" t="s">
        <v>6610</v>
      </c>
      <c r="B579" s="427" t="s">
        <v>6610</v>
      </c>
      <c r="D579" s="1051" t="s">
        <v>1132</v>
      </c>
      <c r="E579" s="949" t="s">
        <v>2930</v>
      </c>
      <c r="F579" s="950">
        <v>10</v>
      </c>
      <c r="G579" s="950"/>
      <c r="H579" s="950"/>
      <c r="I579" s="950"/>
      <c r="J579" s="950"/>
      <c r="K579" s="950"/>
      <c r="L579" s="950"/>
      <c r="M579" s="950"/>
      <c r="O579" s="950"/>
      <c r="P579" s="950"/>
      <c r="Q579" s="1082"/>
      <c r="R579" s="1051" t="s">
        <v>12245</v>
      </c>
      <c r="S579" s="1014" t="s">
        <v>12246</v>
      </c>
      <c r="T579" s="1015">
        <f t="shared" si="50"/>
        <v>55</v>
      </c>
      <c r="U579" s="1014" t="s">
        <v>12246</v>
      </c>
      <c r="V579" s="1015">
        <f t="shared" si="44"/>
        <v>55</v>
      </c>
      <c r="W579" s="1014" t="s">
        <v>12247</v>
      </c>
      <c r="X579" s="1015">
        <f t="shared" si="45"/>
        <v>30</v>
      </c>
      <c r="Y579" s="1016" t="s">
        <v>12248</v>
      </c>
      <c r="Z579" s="1015">
        <f t="shared" si="46"/>
        <v>26</v>
      </c>
      <c r="AA579" s="1016" t="s">
        <v>12248</v>
      </c>
      <c r="AB579" s="1015">
        <f t="shared" si="47"/>
        <v>26</v>
      </c>
      <c r="AC579" s="1016" t="s">
        <v>12248</v>
      </c>
      <c r="AD579" s="1015">
        <f t="shared" si="48"/>
        <v>26</v>
      </c>
      <c r="AE579" s="518" t="s">
        <v>12249</v>
      </c>
      <c r="AF579" s="519" t="s">
        <v>12250</v>
      </c>
      <c r="AG579" s="1021" t="s">
        <v>9179</v>
      </c>
      <c r="AH579" s="1022" t="s">
        <v>169</v>
      </c>
      <c r="AI579" s="494" t="s">
        <v>2917</v>
      </c>
      <c r="AJ579" s="958">
        <v>1</v>
      </c>
      <c r="AK579" s="959"/>
      <c r="AL579" s="960"/>
      <c r="AM579" s="1018">
        <f>_xll.GetCtData("COAMOUNT","CONSAMOUNT",$A$1:$A$7,$D579,AM$10,"#-294")</f>
        <v>-294</v>
      </c>
    </row>
    <row r="580" spans="1:39">
      <c r="A580" s="427" t="s">
        <v>6610</v>
      </c>
      <c r="B580" s="427" t="s">
        <v>6610</v>
      </c>
      <c r="D580" s="1095" t="s">
        <v>12251</v>
      </c>
      <c r="E580" s="949" t="s">
        <v>2912</v>
      </c>
      <c r="F580" s="950">
        <v>5</v>
      </c>
      <c r="G580" s="950"/>
      <c r="H580" s="950"/>
      <c r="I580" s="950"/>
      <c r="J580" s="950"/>
      <c r="K580" s="950"/>
      <c r="L580" s="1019" t="s">
        <v>12252</v>
      </c>
      <c r="M580" s="964"/>
      <c r="N580" s="1078"/>
      <c r="O580" s="964"/>
      <c r="P580" s="964"/>
      <c r="Q580" s="1020"/>
      <c r="R580" s="1095" t="s">
        <v>12252</v>
      </c>
      <c r="S580" s="1020" t="s">
        <v>12253</v>
      </c>
      <c r="T580" s="1096">
        <f t="shared" si="50"/>
        <v>56</v>
      </c>
      <c r="U580" s="1020" t="s">
        <v>12253</v>
      </c>
      <c r="V580" s="1096">
        <f t="shared" ref="V580:V644" si="51">LEN(U580)</f>
        <v>56</v>
      </c>
      <c r="W580" s="1020" t="s">
        <v>12254</v>
      </c>
      <c r="X580" s="1096">
        <f t="shared" ref="X580:X644" si="52">LEN(W580)</f>
        <v>30</v>
      </c>
      <c r="Y580" s="1097" t="s">
        <v>12255</v>
      </c>
      <c r="Z580" s="1096">
        <f t="shared" ref="Z580:Z644" si="53">LEN(Y580)</f>
        <v>32</v>
      </c>
      <c r="AA580" s="1097" t="s">
        <v>12255</v>
      </c>
      <c r="AB580" s="1096">
        <f t="shared" ref="AB580:AB644" si="54">LEN(AA580)</f>
        <v>32</v>
      </c>
      <c r="AC580" s="1097" t="s">
        <v>12256</v>
      </c>
      <c r="AD580" s="1096">
        <f t="shared" ref="AD580:AD644" si="55">LEN(AC580)</f>
        <v>23</v>
      </c>
      <c r="AE580" s="1096"/>
      <c r="AF580" s="1096"/>
      <c r="AG580" s="999"/>
      <c r="AH580" s="1000"/>
      <c r="AI580" s="494" t="s">
        <v>2917</v>
      </c>
      <c r="AJ580" s="958">
        <v>1</v>
      </c>
      <c r="AK580" s="959"/>
      <c r="AL580" s="960"/>
      <c r="AM580" s="1098">
        <f>_xll.GetCtData("COAMOUNT","CONSAMOUNT",$A$1:$A$7,$D580,AM$10,"#21186")</f>
        <v>21186</v>
      </c>
    </row>
    <row r="581" spans="1:39">
      <c r="A581" s="427" t="s">
        <v>6610</v>
      </c>
      <c r="B581" s="427" t="s">
        <v>6610</v>
      </c>
      <c r="D581" s="1051" t="s">
        <v>1367</v>
      </c>
      <c r="E581" s="949" t="s">
        <v>2930</v>
      </c>
      <c r="F581" s="950">
        <v>10</v>
      </c>
      <c r="G581" s="950"/>
      <c r="H581" s="950"/>
      <c r="I581" s="950"/>
      <c r="J581" s="950"/>
      <c r="K581" s="950"/>
      <c r="L581" s="950"/>
      <c r="M581" s="950"/>
      <c r="O581" s="950"/>
      <c r="P581" s="950"/>
      <c r="Q581" s="1082"/>
      <c r="R581" s="1051" t="s">
        <v>12257</v>
      </c>
      <c r="S581" s="1014" t="s">
        <v>12258</v>
      </c>
      <c r="T581" s="1015">
        <f t="shared" si="50"/>
        <v>85</v>
      </c>
      <c r="U581" s="1014" t="s">
        <v>12258</v>
      </c>
      <c r="V581" s="1015">
        <f t="shared" si="51"/>
        <v>85</v>
      </c>
      <c r="W581" s="1014" t="s">
        <v>12259</v>
      </c>
      <c r="X581" s="1015">
        <f t="shared" si="52"/>
        <v>29</v>
      </c>
      <c r="Y581" s="1016" t="s">
        <v>12260</v>
      </c>
      <c r="Z581" s="1015">
        <f t="shared" si="53"/>
        <v>38</v>
      </c>
      <c r="AA581" s="1016" t="s">
        <v>12260</v>
      </c>
      <c r="AB581" s="1015">
        <f t="shared" si="54"/>
        <v>38</v>
      </c>
      <c r="AC581" s="1016" t="s">
        <v>12261</v>
      </c>
      <c r="AD581" s="1015">
        <f t="shared" si="55"/>
        <v>29</v>
      </c>
      <c r="AE581" s="518" t="s">
        <v>10817</v>
      </c>
      <c r="AF581" s="519" t="s">
        <v>10818</v>
      </c>
      <c r="AG581" s="1021" t="s">
        <v>9179</v>
      </c>
      <c r="AH581" s="1022" t="s">
        <v>169</v>
      </c>
      <c r="AI581" s="494" t="s">
        <v>2917</v>
      </c>
      <c r="AJ581" s="958">
        <v>1</v>
      </c>
      <c r="AK581" s="959"/>
      <c r="AL581" s="960"/>
      <c r="AM581" s="1018">
        <f>_xll.GetCtData("COAMOUNT","CONSAMOUNT",$A$1:$A$7,$D581,AM$10,"#")</f>
        <v>0</v>
      </c>
    </row>
    <row r="582" spans="1:39">
      <c r="A582" s="427" t="s">
        <v>6610</v>
      </c>
      <c r="B582" s="427" t="s">
        <v>6610</v>
      </c>
      <c r="D582" s="1051" t="s">
        <v>1368</v>
      </c>
      <c r="E582" s="949" t="s">
        <v>2930</v>
      </c>
      <c r="F582" s="950">
        <v>10</v>
      </c>
      <c r="G582" s="950"/>
      <c r="H582" s="950"/>
      <c r="I582" s="950"/>
      <c r="J582" s="950"/>
      <c r="K582" s="950"/>
      <c r="L582" s="950"/>
      <c r="M582" s="950"/>
      <c r="O582" s="950"/>
      <c r="P582" s="950"/>
      <c r="Q582" s="1082"/>
      <c r="R582" s="1051" t="s">
        <v>12262</v>
      </c>
      <c r="S582" s="1014" t="s">
        <v>12263</v>
      </c>
      <c r="T582" s="1015">
        <f>LEN(S582)</f>
        <v>59</v>
      </c>
      <c r="U582" s="1014" t="s">
        <v>12263</v>
      </c>
      <c r="V582" s="1015">
        <f t="shared" si="51"/>
        <v>59</v>
      </c>
      <c r="W582" s="1014" t="s">
        <v>12264</v>
      </c>
      <c r="X582" s="1015">
        <f t="shared" si="52"/>
        <v>25</v>
      </c>
      <c r="Y582" s="1016" t="s">
        <v>12265</v>
      </c>
      <c r="Z582" s="1015">
        <f t="shared" si="53"/>
        <v>35</v>
      </c>
      <c r="AA582" s="1016" t="s">
        <v>12265</v>
      </c>
      <c r="AB582" s="1015">
        <f t="shared" si="54"/>
        <v>35</v>
      </c>
      <c r="AC582" s="1016" t="s">
        <v>12266</v>
      </c>
      <c r="AD582" s="1015">
        <f t="shared" si="55"/>
        <v>26</v>
      </c>
      <c r="AE582" s="518" t="s">
        <v>10646</v>
      </c>
      <c r="AF582" s="519" t="s">
        <v>10647</v>
      </c>
      <c r="AG582" s="1021" t="s">
        <v>9179</v>
      </c>
      <c r="AH582" s="1022" t="s">
        <v>169</v>
      </c>
      <c r="AI582" s="494" t="s">
        <v>2917</v>
      </c>
      <c r="AJ582" s="958">
        <v>1</v>
      </c>
      <c r="AK582" s="959"/>
      <c r="AL582" s="960"/>
      <c r="AM582" s="1018">
        <f>_xll.GetCtData("COAMOUNT","CONSAMOUNT",$A$1:$A$7,$D582,AM$10,"#")</f>
        <v>0</v>
      </c>
    </row>
    <row r="583" spans="1:39">
      <c r="A583" s="427" t="s">
        <v>6610</v>
      </c>
      <c r="B583" s="427" t="s">
        <v>6610</v>
      </c>
      <c r="D583" s="1051" t="s">
        <v>1369</v>
      </c>
      <c r="E583" s="949" t="s">
        <v>2930</v>
      </c>
      <c r="F583" s="950">
        <v>10</v>
      </c>
      <c r="G583" s="950"/>
      <c r="H583" s="950"/>
      <c r="I583" s="950"/>
      <c r="J583" s="950"/>
      <c r="K583" s="950"/>
      <c r="L583" s="950"/>
      <c r="M583" s="950"/>
      <c r="O583" s="950"/>
      <c r="P583" s="950"/>
      <c r="Q583" s="1082"/>
      <c r="R583" s="1051" t="s">
        <v>12267</v>
      </c>
      <c r="S583" s="1014" t="s">
        <v>12268</v>
      </c>
      <c r="T583" s="1015">
        <f>LEN(S583)</f>
        <v>64</v>
      </c>
      <c r="U583" s="1014" t="s">
        <v>12268</v>
      </c>
      <c r="V583" s="1015">
        <f t="shared" si="51"/>
        <v>64</v>
      </c>
      <c r="W583" s="1014" t="s">
        <v>12269</v>
      </c>
      <c r="X583" s="1015">
        <f t="shared" si="52"/>
        <v>28</v>
      </c>
      <c r="Y583" s="1016" t="s">
        <v>12270</v>
      </c>
      <c r="Z583" s="1015">
        <f t="shared" si="53"/>
        <v>52</v>
      </c>
      <c r="AA583" s="1016" t="s">
        <v>12270</v>
      </c>
      <c r="AB583" s="1015">
        <f t="shared" si="54"/>
        <v>52</v>
      </c>
      <c r="AC583" s="1016" t="s">
        <v>12271</v>
      </c>
      <c r="AD583" s="1015">
        <f t="shared" si="55"/>
        <v>30</v>
      </c>
      <c r="AE583" s="518" t="s">
        <v>12272</v>
      </c>
      <c r="AF583" s="519" t="s">
        <v>12273</v>
      </c>
      <c r="AG583" s="1021" t="s">
        <v>9179</v>
      </c>
      <c r="AH583" s="1022" t="s">
        <v>169</v>
      </c>
      <c r="AI583" s="494" t="s">
        <v>2917</v>
      </c>
      <c r="AJ583" s="958">
        <v>1</v>
      </c>
      <c r="AK583" s="959"/>
      <c r="AL583" s="960"/>
      <c r="AM583" s="1018">
        <f>_xll.GetCtData("COAMOUNT","CONSAMOUNT",$A$1:$A$7,$D583,AM$10,"#21186")</f>
        <v>21186</v>
      </c>
    </row>
    <row r="584" spans="1:39">
      <c r="A584" s="427" t="s">
        <v>6610</v>
      </c>
      <c r="B584" s="427" t="s">
        <v>6610</v>
      </c>
      <c r="D584" s="1095" t="s">
        <v>12274</v>
      </c>
      <c r="E584" s="949" t="s">
        <v>2912</v>
      </c>
      <c r="F584" s="950">
        <v>5</v>
      </c>
      <c r="G584" s="950"/>
      <c r="H584" s="950"/>
      <c r="I584" s="950"/>
      <c r="J584" s="950"/>
      <c r="K584" s="950"/>
      <c r="L584" s="1019" t="s">
        <v>12275</v>
      </c>
      <c r="M584" s="964"/>
      <c r="N584" s="1078"/>
      <c r="O584" s="964"/>
      <c r="P584" s="964"/>
      <c r="Q584" s="1020"/>
      <c r="R584" s="1095" t="s">
        <v>12275</v>
      </c>
      <c r="S584" s="1020" t="s">
        <v>12276</v>
      </c>
      <c r="T584" s="1096">
        <f>LEN(S584)</f>
        <v>65</v>
      </c>
      <c r="U584" s="1020" t="s">
        <v>12276</v>
      </c>
      <c r="V584" s="1096">
        <f t="shared" si="51"/>
        <v>65</v>
      </c>
      <c r="W584" s="1020" t="s">
        <v>12277</v>
      </c>
      <c r="X584" s="1096">
        <f t="shared" si="52"/>
        <v>30</v>
      </c>
      <c r="Y584" s="1097" t="s">
        <v>12278</v>
      </c>
      <c r="Z584" s="1096">
        <f t="shared" si="53"/>
        <v>63</v>
      </c>
      <c r="AA584" s="1097" t="s">
        <v>12278</v>
      </c>
      <c r="AB584" s="1096">
        <f t="shared" si="54"/>
        <v>63</v>
      </c>
      <c r="AC584" s="1097" t="s">
        <v>12279</v>
      </c>
      <c r="AD584" s="1096">
        <f t="shared" si="55"/>
        <v>30</v>
      </c>
      <c r="AE584" s="1096"/>
      <c r="AF584" s="1096"/>
      <c r="AG584" s="956"/>
      <c r="AH584" s="957"/>
      <c r="AI584" s="494" t="s">
        <v>2917</v>
      </c>
      <c r="AJ584" s="958">
        <v>1</v>
      </c>
      <c r="AK584" s="959"/>
      <c r="AL584" s="960"/>
      <c r="AM584" s="1098">
        <f>_xll.GetCtData("COAMOUNT","CONSAMOUNT",$A$1:$A$7,$D584,AM$10,"#9636")</f>
        <v>9636</v>
      </c>
    </row>
    <row r="585" spans="1:39">
      <c r="A585" s="427" t="s">
        <v>6610</v>
      </c>
      <c r="B585" s="427" t="s">
        <v>6610</v>
      </c>
      <c r="D585" s="1051" t="s">
        <v>1370</v>
      </c>
      <c r="E585" s="949" t="s">
        <v>5409</v>
      </c>
      <c r="F585" s="950">
        <v>10</v>
      </c>
      <c r="G585" s="950"/>
      <c r="H585" s="950"/>
      <c r="I585" s="950"/>
      <c r="J585" s="950"/>
      <c r="K585" s="950"/>
      <c r="L585" s="950"/>
      <c r="M585" s="950"/>
      <c r="N585" s="950"/>
      <c r="O585" s="950"/>
      <c r="P585" s="950"/>
      <c r="Q585" s="1082"/>
      <c r="R585" s="1051" t="s">
        <v>12280</v>
      </c>
      <c r="S585" s="1014" t="s">
        <v>12281</v>
      </c>
      <c r="T585" s="1015">
        <f>LEN(S585)</f>
        <v>65</v>
      </c>
      <c r="U585" s="1014" t="s">
        <v>12281</v>
      </c>
      <c r="V585" s="1015">
        <f t="shared" si="51"/>
        <v>65</v>
      </c>
      <c r="W585" s="1014" t="s">
        <v>12282</v>
      </c>
      <c r="X585" s="1015">
        <f t="shared" si="52"/>
        <v>30</v>
      </c>
      <c r="Y585" s="1016" t="s">
        <v>12283</v>
      </c>
      <c r="Z585" s="1015">
        <f t="shared" si="53"/>
        <v>61</v>
      </c>
      <c r="AA585" s="1016" t="s">
        <v>12283</v>
      </c>
      <c r="AB585" s="1015">
        <f t="shared" si="54"/>
        <v>61</v>
      </c>
      <c r="AC585" s="1016" t="s">
        <v>12284</v>
      </c>
      <c r="AD585" s="1015">
        <f t="shared" si="55"/>
        <v>30</v>
      </c>
      <c r="AE585" s="518" t="s">
        <v>12285</v>
      </c>
      <c r="AF585" s="519" t="s">
        <v>12286</v>
      </c>
      <c r="AG585" s="1021" t="s">
        <v>9179</v>
      </c>
      <c r="AH585" s="1022" t="s">
        <v>169</v>
      </c>
      <c r="AI585" s="494" t="s">
        <v>2917</v>
      </c>
      <c r="AJ585" s="958">
        <v>1</v>
      </c>
      <c r="AK585" s="959"/>
      <c r="AL585" s="960"/>
      <c r="AM585" s="1018">
        <f>_xll.GetCtData("COAMOUNT","CONSAMOUNT",$A$1:$A$7,$D585,AM$10,"#0")</f>
        <v>0</v>
      </c>
    </row>
    <row r="586" spans="1:39">
      <c r="A586" s="427" t="s">
        <v>6610</v>
      </c>
      <c r="B586" s="427" t="s">
        <v>6610</v>
      </c>
      <c r="D586" s="1051" t="s">
        <v>1371</v>
      </c>
      <c r="E586" s="949" t="s">
        <v>5409</v>
      </c>
      <c r="F586" s="950">
        <v>10</v>
      </c>
      <c r="G586" s="950"/>
      <c r="H586" s="950"/>
      <c r="I586" s="950"/>
      <c r="J586" s="950"/>
      <c r="K586" s="950"/>
      <c r="L586" s="950"/>
      <c r="M586" s="950"/>
      <c r="N586" s="950"/>
      <c r="O586" s="950"/>
      <c r="P586" s="950"/>
      <c r="Q586" s="1082"/>
      <c r="R586" s="1051" t="s">
        <v>12287</v>
      </c>
      <c r="S586" s="1014" t="s">
        <v>12288</v>
      </c>
      <c r="T586" s="1015">
        <f t="shared" ref="T586:T646" si="56">LEN(S586)</f>
        <v>64</v>
      </c>
      <c r="U586" s="1014" t="s">
        <v>12288</v>
      </c>
      <c r="V586" s="1015">
        <f t="shared" si="51"/>
        <v>64</v>
      </c>
      <c r="W586" s="1014" t="s">
        <v>12289</v>
      </c>
      <c r="X586" s="1015">
        <f t="shared" si="52"/>
        <v>28</v>
      </c>
      <c r="Y586" s="1016" t="s">
        <v>12290</v>
      </c>
      <c r="Z586" s="1015">
        <f t="shared" si="53"/>
        <v>56</v>
      </c>
      <c r="AA586" s="1016" t="s">
        <v>12290</v>
      </c>
      <c r="AB586" s="1015">
        <f t="shared" si="54"/>
        <v>56</v>
      </c>
      <c r="AC586" s="1016" t="s">
        <v>12291</v>
      </c>
      <c r="AD586" s="1015">
        <f t="shared" si="55"/>
        <v>26</v>
      </c>
      <c r="AE586" s="518" t="s">
        <v>12292</v>
      </c>
      <c r="AF586" s="519" t="s">
        <v>12293</v>
      </c>
      <c r="AG586" s="1021" t="s">
        <v>9179</v>
      </c>
      <c r="AH586" s="1022" t="s">
        <v>169</v>
      </c>
      <c r="AI586" s="494" t="s">
        <v>2917</v>
      </c>
      <c r="AJ586" s="958">
        <v>1</v>
      </c>
      <c r="AK586" s="959" t="s">
        <v>5359</v>
      </c>
      <c r="AL586" s="960"/>
      <c r="AM586" s="1018">
        <f>_xll.GetCtData("COAMOUNT","CONSAMOUNT",$A$1:$A$7,$D586,AM$10,"#9636")</f>
        <v>9636</v>
      </c>
    </row>
    <row r="587" spans="1:39">
      <c r="A587" s="427" t="s">
        <v>6610</v>
      </c>
      <c r="B587" s="427" t="s">
        <v>6610</v>
      </c>
      <c r="D587" s="1083" t="s">
        <v>12294</v>
      </c>
      <c r="E587" s="949" t="s">
        <v>2912</v>
      </c>
      <c r="F587" s="950">
        <v>3</v>
      </c>
      <c r="G587" s="950"/>
      <c r="H587" s="950"/>
      <c r="I587" s="950"/>
      <c r="J587" s="1084" t="s">
        <v>12295</v>
      </c>
      <c r="K587" s="1085"/>
      <c r="L587" s="1086"/>
      <c r="M587" s="1085"/>
      <c r="N587" s="1085"/>
      <c r="O587" s="1085"/>
      <c r="P587" s="1085"/>
      <c r="Q587" s="1084"/>
      <c r="R587" s="1083" t="s">
        <v>12295</v>
      </c>
      <c r="S587" s="1084" t="s">
        <v>12296</v>
      </c>
      <c r="T587" s="1087">
        <f t="shared" si="56"/>
        <v>44</v>
      </c>
      <c r="U587" s="1084" t="s">
        <v>12296</v>
      </c>
      <c r="V587" s="1087">
        <f t="shared" si="51"/>
        <v>44</v>
      </c>
      <c r="W587" s="1084" t="s">
        <v>12297</v>
      </c>
      <c r="X587" s="1087">
        <f t="shared" si="52"/>
        <v>28</v>
      </c>
      <c r="Y587" s="1088" t="s">
        <v>12298</v>
      </c>
      <c r="Z587" s="1087">
        <f t="shared" si="53"/>
        <v>37</v>
      </c>
      <c r="AA587" s="1088" t="s">
        <v>12298</v>
      </c>
      <c r="AB587" s="1087">
        <f t="shared" si="54"/>
        <v>37</v>
      </c>
      <c r="AC587" s="1088" t="s">
        <v>12299</v>
      </c>
      <c r="AD587" s="1087">
        <f t="shared" si="55"/>
        <v>28</v>
      </c>
      <c r="AE587" s="1087"/>
      <c r="AF587" s="1087"/>
      <c r="AG587" s="956"/>
      <c r="AH587" s="957"/>
      <c r="AI587" s="494" t="s">
        <v>2917</v>
      </c>
      <c r="AJ587" s="958">
        <v>1</v>
      </c>
      <c r="AK587" s="959"/>
      <c r="AL587" s="960"/>
      <c r="AM587" s="1089">
        <f>_xll.GetCtData("COAMOUNT","CONSAMOUNT",$A$1:$A$7,$D587,AM$10,"#-35988,8003361971")</f>
        <v>-35988</v>
      </c>
    </row>
    <row r="588" spans="1:39">
      <c r="A588" s="427" t="s">
        <v>6610</v>
      </c>
      <c r="B588" s="427" t="s">
        <v>6610</v>
      </c>
      <c r="D588" s="1090" t="s">
        <v>12300</v>
      </c>
      <c r="E588" s="949" t="s">
        <v>2912</v>
      </c>
      <c r="F588" s="950">
        <v>4</v>
      </c>
      <c r="G588" s="950"/>
      <c r="H588" s="950"/>
      <c r="I588" s="950"/>
      <c r="J588" s="950"/>
      <c r="K588" s="1091" t="s">
        <v>12301</v>
      </c>
      <c r="L588" s="1072"/>
      <c r="M588" s="1071"/>
      <c r="N588" s="1090"/>
      <c r="O588" s="1090"/>
      <c r="P588" s="1090"/>
      <c r="Q588" s="1090"/>
      <c r="R588" s="1090" t="s">
        <v>12301</v>
      </c>
      <c r="S588" s="1091" t="s">
        <v>312</v>
      </c>
      <c r="T588" s="1092">
        <f t="shared" si="56"/>
        <v>43</v>
      </c>
      <c r="U588" s="1091" t="s">
        <v>312</v>
      </c>
      <c r="V588" s="1092">
        <f t="shared" si="51"/>
        <v>43</v>
      </c>
      <c r="W588" s="1091" t="s">
        <v>12297</v>
      </c>
      <c r="X588" s="1092">
        <f t="shared" si="52"/>
        <v>28</v>
      </c>
      <c r="Y588" s="1093" t="s">
        <v>12298</v>
      </c>
      <c r="Z588" s="1092">
        <f t="shared" si="53"/>
        <v>37</v>
      </c>
      <c r="AA588" s="1093" t="s">
        <v>12298</v>
      </c>
      <c r="AB588" s="1092">
        <f t="shared" si="54"/>
        <v>37</v>
      </c>
      <c r="AC588" s="1093" t="s">
        <v>12299</v>
      </c>
      <c r="AD588" s="1092">
        <f t="shared" si="55"/>
        <v>28</v>
      </c>
      <c r="AE588" s="1092"/>
      <c r="AF588" s="1092"/>
      <c r="AG588" s="956"/>
      <c r="AH588" s="957"/>
      <c r="AI588" s="494" t="s">
        <v>2917</v>
      </c>
      <c r="AJ588" s="958">
        <v>1</v>
      </c>
      <c r="AK588" s="959"/>
      <c r="AL588" s="960"/>
      <c r="AM588" s="1094">
        <f>_xll.GetCtData("COAMOUNT","CONSAMOUNT",$A$1:$A$7,$D588,AM$10,"#-35988,8003361971")</f>
        <v>-35988</v>
      </c>
    </row>
    <row r="589" spans="1:39">
      <c r="A589" s="427" t="s">
        <v>6610</v>
      </c>
      <c r="B589" s="427" t="s">
        <v>6610</v>
      </c>
      <c r="D589" s="1095" t="s">
        <v>12302</v>
      </c>
      <c r="E589" s="949" t="s">
        <v>2912</v>
      </c>
      <c r="F589" s="950">
        <v>5</v>
      </c>
      <c r="G589" s="950"/>
      <c r="H589" s="950"/>
      <c r="I589" s="950"/>
      <c r="J589" s="950"/>
      <c r="K589" s="950"/>
      <c r="L589" s="1019" t="s">
        <v>12303</v>
      </c>
      <c r="M589" s="964"/>
      <c r="N589" s="1078"/>
      <c r="O589" s="964"/>
      <c r="P589" s="964"/>
      <c r="Q589" s="1020"/>
      <c r="R589" s="1095" t="s">
        <v>12303</v>
      </c>
      <c r="S589" s="1020" t="s">
        <v>12304</v>
      </c>
      <c r="T589" s="1096">
        <f t="shared" si="56"/>
        <v>61</v>
      </c>
      <c r="U589" s="1020" t="s">
        <v>12304</v>
      </c>
      <c r="V589" s="1096">
        <f t="shared" si="51"/>
        <v>61</v>
      </c>
      <c r="W589" s="1020" t="s">
        <v>12305</v>
      </c>
      <c r="X589" s="1096">
        <f t="shared" si="52"/>
        <v>30</v>
      </c>
      <c r="Y589" s="1097" t="s">
        <v>12306</v>
      </c>
      <c r="Z589" s="1096">
        <f t="shared" si="53"/>
        <v>52</v>
      </c>
      <c r="AA589" s="1097" t="s">
        <v>12306</v>
      </c>
      <c r="AB589" s="1096">
        <f t="shared" si="54"/>
        <v>52</v>
      </c>
      <c r="AC589" s="1097" t="s">
        <v>12307</v>
      </c>
      <c r="AD589" s="1096">
        <f t="shared" si="55"/>
        <v>30</v>
      </c>
      <c r="AE589" s="1096"/>
      <c r="AF589" s="1096"/>
      <c r="AG589" s="999"/>
      <c r="AH589" s="1000"/>
      <c r="AI589" s="494" t="s">
        <v>2917</v>
      </c>
      <c r="AJ589" s="958">
        <v>1</v>
      </c>
      <c r="AK589" s="959"/>
      <c r="AL589" s="960"/>
      <c r="AM589" s="1098">
        <f>_xll.GetCtData("COAMOUNT","CONSAMOUNT",$A$1:$A$7,$D589,AM$10,"#-35939")</f>
        <v>-35939</v>
      </c>
    </row>
    <row r="590" spans="1:39">
      <c r="A590" s="427" t="s">
        <v>6610</v>
      </c>
      <c r="B590" s="427" t="s">
        <v>6610</v>
      </c>
      <c r="D590" s="1051" t="s">
        <v>12308</v>
      </c>
      <c r="E590" s="949" t="s">
        <v>2930</v>
      </c>
      <c r="F590" s="950">
        <v>10</v>
      </c>
      <c r="G590" s="950"/>
      <c r="H590" s="950"/>
      <c r="I590" s="950"/>
      <c r="J590" s="950"/>
      <c r="K590" s="950"/>
      <c r="L590" s="950"/>
      <c r="M590" s="950"/>
      <c r="O590" s="950"/>
      <c r="P590" s="950"/>
      <c r="Q590" s="1082"/>
      <c r="R590" s="1051" t="s">
        <v>12309</v>
      </c>
      <c r="S590" s="1014" t="s">
        <v>12310</v>
      </c>
      <c r="T590" s="1015">
        <f t="shared" si="56"/>
        <v>65</v>
      </c>
      <c r="U590" s="1014" t="s">
        <v>12310</v>
      </c>
      <c r="V590" s="1015">
        <f t="shared" si="51"/>
        <v>65</v>
      </c>
      <c r="W590" s="1014" t="s">
        <v>12311</v>
      </c>
      <c r="X590" s="1015">
        <f t="shared" si="52"/>
        <v>28</v>
      </c>
      <c r="Y590" s="1016" t="s">
        <v>12312</v>
      </c>
      <c r="Z590" s="1015">
        <f t="shared" si="53"/>
        <v>36</v>
      </c>
      <c r="AA590" s="1016" t="s">
        <v>12312</v>
      </c>
      <c r="AB590" s="1015">
        <f t="shared" si="54"/>
        <v>36</v>
      </c>
      <c r="AC590" s="1016" t="s">
        <v>12313</v>
      </c>
      <c r="AD590" s="1015">
        <f t="shared" si="55"/>
        <v>23</v>
      </c>
      <c r="AE590" s="518" t="s">
        <v>12314</v>
      </c>
      <c r="AF590" s="519" t="s">
        <v>12315</v>
      </c>
      <c r="AG590" s="1021" t="s">
        <v>9179</v>
      </c>
      <c r="AH590" s="1022" t="s">
        <v>169</v>
      </c>
      <c r="AI590" s="494" t="s">
        <v>2917</v>
      </c>
      <c r="AJ590" s="958">
        <v>1</v>
      </c>
      <c r="AK590" s="959"/>
      <c r="AL590" s="960"/>
      <c r="AM590" s="1018">
        <f>_xll.GetCtData("COAMOUNT","CONSAMOUNT",$A$1:$A$7,$D590,AM$10,"#-35939")</f>
        <v>-35939</v>
      </c>
    </row>
    <row r="591" spans="1:39">
      <c r="A591" s="427" t="s">
        <v>6610</v>
      </c>
      <c r="B591" s="427" t="s">
        <v>6610</v>
      </c>
      <c r="D591" s="1051" t="s">
        <v>12316</v>
      </c>
      <c r="E591" s="949" t="s">
        <v>2930</v>
      </c>
      <c r="F591" s="950">
        <v>10</v>
      </c>
      <c r="G591" s="950"/>
      <c r="H591" s="950"/>
      <c r="I591" s="950"/>
      <c r="J591" s="950"/>
      <c r="K591" s="950"/>
      <c r="L591" s="950"/>
      <c r="M591" s="950"/>
      <c r="O591" s="950"/>
      <c r="P591" s="950"/>
      <c r="Q591" s="1082"/>
      <c r="R591" s="1051" t="s">
        <v>12317</v>
      </c>
      <c r="S591" s="1014" t="s">
        <v>12318</v>
      </c>
      <c r="T591" s="1015">
        <f t="shared" si="56"/>
        <v>65</v>
      </c>
      <c r="U591" s="1014" t="s">
        <v>12318</v>
      </c>
      <c r="V591" s="1015">
        <f t="shared" si="51"/>
        <v>65</v>
      </c>
      <c r="W591" s="1014" t="s">
        <v>12319</v>
      </c>
      <c r="X591" s="1015">
        <f t="shared" si="52"/>
        <v>29</v>
      </c>
      <c r="Y591" s="1016" t="s">
        <v>12320</v>
      </c>
      <c r="Z591" s="1015">
        <f t="shared" si="53"/>
        <v>33</v>
      </c>
      <c r="AA591" s="1016" t="s">
        <v>12320</v>
      </c>
      <c r="AB591" s="1015">
        <f t="shared" si="54"/>
        <v>33</v>
      </c>
      <c r="AC591" s="1016" t="s">
        <v>12321</v>
      </c>
      <c r="AD591" s="1015">
        <f t="shared" si="55"/>
        <v>20</v>
      </c>
      <c r="AE591" s="518" t="s">
        <v>12314</v>
      </c>
      <c r="AF591" s="519" t="s">
        <v>12315</v>
      </c>
      <c r="AG591" s="1021" t="s">
        <v>9179</v>
      </c>
      <c r="AH591" s="1022" t="s">
        <v>169</v>
      </c>
      <c r="AI591" s="494" t="s">
        <v>2917</v>
      </c>
      <c r="AJ591" s="958">
        <v>1</v>
      </c>
      <c r="AK591" s="959"/>
      <c r="AL591" s="960"/>
      <c r="AM591" s="1018">
        <f>_xll.GetCtData("COAMOUNT","CONSAMOUNT",$A$1:$A$7,$D591,AM$10,"#")</f>
        <v>0</v>
      </c>
    </row>
    <row r="592" spans="1:39">
      <c r="A592" s="427" t="s">
        <v>6610</v>
      </c>
      <c r="B592" s="427" t="s">
        <v>6610</v>
      </c>
      <c r="D592" s="1051" t="s">
        <v>12322</v>
      </c>
      <c r="E592" s="949" t="s">
        <v>2930</v>
      </c>
      <c r="F592" s="950">
        <v>10</v>
      </c>
      <c r="G592" s="950"/>
      <c r="H592" s="950"/>
      <c r="I592" s="950"/>
      <c r="J592" s="950"/>
      <c r="K592" s="950"/>
      <c r="L592" s="950"/>
      <c r="M592" s="950"/>
      <c r="O592" s="950"/>
      <c r="P592" s="950"/>
      <c r="Q592" s="1082"/>
      <c r="R592" s="1051" t="s">
        <v>12323</v>
      </c>
      <c r="S592" s="1014" t="s">
        <v>12324</v>
      </c>
      <c r="T592" s="1015">
        <f t="shared" si="56"/>
        <v>32</v>
      </c>
      <c r="U592" s="1014" t="s">
        <v>12324</v>
      </c>
      <c r="V592" s="1015">
        <f t="shared" si="51"/>
        <v>32</v>
      </c>
      <c r="W592" s="1014" t="s">
        <v>12325</v>
      </c>
      <c r="X592" s="1015">
        <f t="shared" si="52"/>
        <v>28</v>
      </c>
      <c r="Y592" s="1016" t="s">
        <v>12326</v>
      </c>
      <c r="Z592" s="1015">
        <f t="shared" si="53"/>
        <v>40</v>
      </c>
      <c r="AA592" s="1016" t="s">
        <v>12326</v>
      </c>
      <c r="AB592" s="1015">
        <f t="shared" si="54"/>
        <v>40</v>
      </c>
      <c r="AC592" s="1016" t="s">
        <v>12327</v>
      </c>
      <c r="AD592" s="1015">
        <f t="shared" si="55"/>
        <v>29</v>
      </c>
      <c r="AE592" s="518" t="s">
        <v>12328</v>
      </c>
      <c r="AF592" s="519" t="s">
        <v>12329</v>
      </c>
      <c r="AG592" s="1021" t="s">
        <v>9179</v>
      </c>
      <c r="AH592" s="1022" t="s">
        <v>169</v>
      </c>
      <c r="AI592" s="494" t="s">
        <v>2917</v>
      </c>
      <c r="AJ592" s="958">
        <v>1</v>
      </c>
      <c r="AK592" s="959"/>
      <c r="AL592" s="960"/>
      <c r="AM592" s="1018">
        <f>_xll.GetCtData("COAMOUNT","CONSAMOUNT",$A$1:$A$7,$D592,AM$10,"#")</f>
        <v>0</v>
      </c>
    </row>
    <row r="593" spans="1:39">
      <c r="A593" s="427" t="s">
        <v>6610</v>
      </c>
      <c r="B593" s="427" t="s">
        <v>6610</v>
      </c>
      <c r="D593" s="1095" t="s">
        <v>12330</v>
      </c>
      <c r="E593" s="949" t="s">
        <v>2912</v>
      </c>
      <c r="F593" s="950">
        <v>5</v>
      </c>
      <c r="G593" s="950"/>
      <c r="H593" s="950"/>
      <c r="I593" s="950"/>
      <c r="J593" s="950"/>
      <c r="K593" s="950"/>
      <c r="L593" s="1019" t="s">
        <v>12331</v>
      </c>
      <c r="M593" s="964"/>
      <c r="N593" s="1078"/>
      <c r="O593" s="964"/>
      <c r="P593" s="964"/>
      <c r="Q593" s="1020"/>
      <c r="R593" s="1095" t="s">
        <v>12331</v>
      </c>
      <c r="S593" s="1020" t="s">
        <v>12332</v>
      </c>
      <c r="T593" s="1096">
        <f t="shared" si="56"/>
        <v>53</v>
      </c>
      <c r="U593" s="1020" t="s">
        <v>12332</v>
      </c>
      <c r="V593" s="1096">
        <f t="shared" si="51"/>
        <v>53</v>
      </c>
      <c r="W593" s="1020" t="s">
        <v>12333</v>
      </c>
      <c r="X593" s="1096">
        <f t="shared" si="52"/>
        <v>26</v>
      </c>
      <c r="Y593" s="1097" t="s">
        <v>12334</v>
      </c>
      <c r="Z593" s="1096">
        <f t="shared" si="53"/>
        <v>68</v>
      </c>
      <c r="AA593" s="1097" t="s">
        <v>12334</v>
      </c>
      <c r="AB593" s="1096">
        <f t="shared" si="54"/>
        <v>68</v>
      </c>
      <c r="AC593" s="1097" t="s">
        <v>12335</v>
      </c>
      <c r="AD593" s="1096">
        <f t="shared" si="55"/>
        <v>30</v>
      </c>
      <c r="AE593" s="1096"/>
      <c r="AF593" s="1096"/>
      <c r="AG593" s="999"/>
      <c r="AH593" s="1000"/>
      <c r="AI593" s="494" t="s">
        <v>2917</v>
      </c>
      <c r="AJ593" s="958">
        <v>1</v>
      </c>
      <c r="AK593" s="959"/>
      <c r="AL593" s="960"/>
      <c r="AM593" s="1098">
        <f>_xll.GetCtData("COAMOUNT","CONSAMOUNT",$A$1:$A$7,$D593,AM$10,"#-49,8003361970711")</f>
        <v>-49</v>
      </c>
    </row>
    <row r="594" spans="1:39">
      <c r="A594" s="427" t="s">
        <v>6610</v>
      </c>
      <c r="B594" s="427" t="s">
        <v>6610</v>
      </c>
      <c r="D594" s="1051" t="s">
        <v>12336</v>
      </c>
      <c r="E594" s="949" t="s">
        <v>2930</v>
      </c>
      <c r="F594" s="950">
        <v>10</v>
      </c>
      <c r="G594" s="950"/>
      <c r="H594" s="950"/>
      <c r="I594" s="950"/>
      <c r="J594" s="950"/>
      <c r="K594" s="950"/>
      <c r="L594" s="950"/>
      <c r="M594" s="950"/>
      <c r="O594" s="950"/>
      <c r="P594" s="950"/>
      <c r="Q594" s="1082"/>
      <c r="R594" s="1051" t="s">
        <v>12337</v>
      </c>
      <c r="S594" s="1014" t="s">
        <v>12338</v>
      </c>
      <c r="T594" s="1015">
        <f t="shared" si="56"/>
        <v>43</v>
      </c>
      <c r="U594" s="1014" t="s">
        <v>12338</v>
      </c>
      <c r="V594" s="1015">
        <f t="shared" si="51"/>
        <v>43</v>
      </c>
      <c r="W594" s="1014" t="s">
        <v>12339</v>
      </c>
      <c r="X594" s="1015">
        <f t="shared" si="52"/>
        <v>26</v>
      </c>
      <c r="Y594" s="1016" t="s">
        <v>12340</v>
      </c>
      <c r="Z594" s="1015">
        <f t="shared" si="53"/>
        <v>65</v>
      </c>
      <c r="AA594" s="1016" t="s">
        <v>12340</v>
      </c>
      <c r="AB594" s="1015">
        <f t="shared" si="54"/>
        <v>65</v>
      </c>
      <c r="AC594" s="1016" t="s">
        <v>12341</v>
      </c>
      <c r="AD594" s="1015">
        <f t="shared" si="55"/>
        <v>30</v>
      </c>
      <c r="AE594" s="518" t="s">
        <v>12342</v>
      </c>
      <c r="AF594" s="519" t="s">
        <v>12343</v>
      </c>
      <c r="AG594" s="1021" t="s">
        <v>9179</v>
      </c>
      <c r="AH594" s="1022" t="s">
        <v>169</v>
      </c>
      <c r="AI594" s="494" t="s">
        <v>2917</v>
      </c>
      <c r="AJ594" s="958">
        <v>1</v>
      </c>
      <c r="AK594" s="959"/>
      <c r="AL594" s="960"/>
      <c r="AM594" s="1018">
        <f>_xll.GetCtData("COAMOUNT","CONSAMOUNT",$A$1:$A$7,$D594,AM$10,"#-49,8003361970711")</f>
        <v>-49</v>
      </c>
    </row>
    <row r="595" spans="1:39">
      <c r="A595" s="427" t="s">
        <v>6610</v>
      </c>
      <c r="B595" s="427" t="s">
        <v>6610</v>
      </c>
      <c r="D595" s="1051" t="s">
        <v>12344</v>
      </c>
      <c r="E595" s="949" t="s">
        <v>2930</v>
      </c>
      <c r="F595" s="950">
        <v>10</v>
      </c>
      <c r="G595" s="950"/>
      <c r="H595" s="950"/>
      <c r="I595" s="950"/>
      <c r="J595" s="950"/>
      <c r="K595" s="950"/>
      <c r="L595" s="950"/>
      <c r="M595" s="950"/>
      <c r="O595" s="950"/>
      <c r="P595" s="950"/>
      <c r="Q595" s="1082"/>
      <c r="R595" s="1051" t="s">
        <v>12345</v>
      </c>
      <c r="S595" s="1014" t="s">
        <v>12346</v>
      </c>
      <c r="T595" s="1015">
        <f t="shared" si="56"/>
        <v>46</v>
      </c>
      <c r="U595" s="1014" t="s">
        <v>12346</v>
      </c>
      <c r="V595" s="1015">
        <f t="shared" si="51"/>
        <v>46</v>
      </c>
      <c r="W595" s="1014" t="s">
        <v>12347</v>
      </c>
      <c r="X595" s="1015">
        <f t="shared" si="52"/>
        <v>29</v>
      </c>
      <c r="Y595" s="1016" t="s">
        <v>12348</v>
      </c>
      <c r="Z595" s="1015">
        <f t="shared" si="53"/>
        <v>67</v>
      </c>
      <c r="AA595" s="1016" t="s">
        <v>12348</v>
      </c>
      <c r="AB595" s="1015">
        <f t="shared" si="54"/>
        <v>67</v>
      </c>
      <c r="AC595" s="1016" t="s">
        <v>12349</v>
      </c>
      <c r="AD595" s="1015">
        <f t="shared" si="55"/>
        <v>30</v>
      </c>
      <c r="AE595" s="518" t="s">
        <v>11846</v>
      </c>
      <c r="AF595" s="519" t="s">
        <v>11847</v>
      </c>
      <c r="AG595" s="1021" t="s">
        <v>9179</v>
      </c>
      <c r="AH595" s="1022" t="s">
        <v>169</v>
      </c>
      <c r="AI595" s="494" t="s">
        <v>2917</v>
      </c>
      <c r="AJ595" s="958">
        <v>1</v>
      </c>
      <c r="AK595" s="959"/>
      <c r="AL595" s="960"/>
      <c r="AM595" s="1018">
        <f>_xll.GetCtData("COAMOUNT","CONSAMOUNT",$A$1:$A$7,$D595,AM$10,"#")</f>
        <v>0</v>
      </c>
    </row>
    <row r="596" spans="1:39">
      <c r="A596" s="427" t="s">
        <v>6610</v>
      </c>
      <c r="B596" s="427" t="s">
        <v>6610</v>
      </c>
      <c r="D596" s="1095" t="s">
        <v>12350</v>
      </c>
      <c r="E596" s="949" t="s">
        <v>2912</v>
      </c>
      <c r="F596" s="950">
        <v>5</v>
      </c>
      <c r="G596" s="950"/>
      <c r="H596" s="950"/>
      <c r="I596" s="950"/>
      <c r="J596" s="950"/>
      <c r="K596" s="950"/>
      <c r="L596" s="1019" t="s">
        <v>12351</v>
      </c>
      <c r="M596" s="964"/>
      <c r="N596" s="1078"/>
      <c r="O596" s="964"/>
      <c r="P596" s="964"/>
      <c r="Q596" s="1020"/>
      <c r="R596" s="1095" t="s">
        <v>12351</v>
      </c>
      <c r="S596" s="1020" t="s">
        <v>12352</v>
      </c>
      <c r="T596" s="1096">
        <f t="shared" si="56"/>
        <v>49</v>
      </c>
      <c r="U596" s="1020" t="s">
        <v>12352</v>
      </c>
      <c r="V596" s="1096">
        <f t="shared" si="51"/>
        <v>49</v>
      </c>
      <c r="W596" s="1020" t="s">
        <v>12353</v>
      </c>
      <c r="X596" s="1096">
        <f t="shared" si="52"/>
        <v>30</v>
      </c>
      <c r="Y596" s="1097" t="s">
        <v>12354</v>
      </c>
      <c r="Z596" s="1096">
        <f t="shared" si="53"/>
        <v>51</v>
      </c>
      <c r="AA596" s="1097" t="s">
        <v>12354</v>
      </c>
      <c r="AB596" s="1096">
        <f t="shared" si="54"/>
        <v>51</v>
      </c>
      <c r="AC596" s="1097" t="s">
        <v>12355</v>
      </c>
      <c r="AD596" s="1096">
        <f t="shared" si="55"/>
        <v>29</v>
      </c>
      <c r="AE596" s="1096"/>
      <c r="AF596" s="1096"/>
      <c r="AG596" s="999"/>
      <c r="AH596" s="1000"/>
      <c r="AI596" s="494" t="s">
        <v>2917</v>
      </c>
      <c r="AJ596" s="958">
        <v>1</v>
      </c>
      <c r="AK596" s="959"/>
      <c r="AL596" s="960"/>
      <c r="AM596" s="1098">
        <f>_xll.GetCtData("COAMOUNT","CONSAMOUNT",$A$1:$A$7,$D596,AM$10,"#")</f>
        <v>0</v>
      </c>
    </row>
    <row r="597" spans="1:39">
      <c r="A597" s="427" t="s">
        <v>6610</v>
      </c>
      <c r="B597" s="427" t="s">
        <v>6610</v>
      </c>
      <c r="D597" s="1051" t="s">
        <v>12356</v>
      </c>
      <c r="E597" s="949" t="s">
        <v>2930</v>
      </c>
      <c r="F597" s="950">
        <v>10</v>
      </c>
      <c r="G597" s="950"/>
      <c r="H597" s="950"/>
      <c r="I597" s="950"/>
      <c r="J597" s="950"/>
      <c r="K597" s="950"/>
      <c r="L597" s="950"/>
      <c r="M597" s="950"/>
      <c r="O597" s="950"/>
      <c r="P597" s="950"/>
      <c r="Q597" s="1082"/>
      <c r="R597" s="1051" t="s">
        <v>12357</v>
      </c>
      <c r="S597" s="1014" t="s">
        <v>12358</v>
      </c>
      <c r="T597" s="1015">
        <f t="shared" si="56"/>
        <v>43</v>
      </c>
      <c r="U597" s="1014" t="s">
        <v>12358</v>
      </c>
      <c r="V597" s="1015">
        <f t="shared" si="51"/>
        <v>43</v>
      </c>
      <c r="W597" s="1014" t="s">
        <v>12359</v>
      </c>
      <c r="X597" s="1015">
        <f t="shared" si="52"/>
        <v>29</v>
      </c>
      <c r="Y597" s="1016" t="s">
        <v>12360</v>
      </c>
      <c r="Z597" s="1015">
        <f t="shared" si="53"/>
        <v>62</v>
      </c>
      <c r="AA597" s="1016" t="s">
        <v>12360</v>
      </c>
      <c r="AB597" s="1015">
        <f t="shared" si="54"/>
        <v>62</v>
      </c>
      <c r="AC597" s="1016" t="s">
        <v>12355</v>
      </c>
      <c r="AD597" s="1015">
        <f t="shared" si="55"/>
        <v>29</v>
      </c>
      <c r="AE597" s="518" t="s">
        <v>12361</v>
      </c>
      <c r="AF597" s="519" t="s">
        <v>12362</v>
      </c>
      <c r="AG597" s="1021" t="s">
        <v>9179</v>
      </c>
      <c r="AH597" s="1022" t="s">
        <v>169</v>
      </c>
      <c r="AI597" s="494" t="s">
        <v>2917</v>
      </c>
      <c r="AJ597" s="958">
        <v>1</v>
      </c>
      <c r="AK597" s="959"/>
      <c r="AL597" s="960"/>
      <c r="AM597" s="1018">
        <f>_xll.GetCtData("COAMOUNT","CONSAMOUNT",$A$1:$A$7,$D597,AM$10,"#")</f>
        <v>0</v>
      </c>
    </row>
    <row r="598" spans="1:39">
      <c r="A598" s="427" t="s">
        <v>2962</v>
      </c>
      <c r="B598" s="998">
        <v>44515</v>
      </c>
      <c r="D598" s="1051" t="s">
        <v>12363</v>
      </c>
      <c r="E598" s="949" t="s">
        <v>2930</v>
      </c>
      <c r="F598" s="950">
        <v>10</v>
      </c>
      <c r="G598" s="950"/>
      <c r="H598" s="950"/>
      <c r="I598" s="950"/>
      <c r="J598" s="950"/>
      <c r="K598" s="950"/>
      <c r="L598" s="950"/>
      <c r="M598" s="950"/>
      <c r="O598" s="950"/>
      <c r="P598" s="950"/>
      <c r="Q598" s="1082"/>
      <c r="R598" s="1051" t="s">
        <v>12364</v>
      </c>
      <c r="S598" s="1014" t="s">
        <v>12365</v>
      </c>
      <c r="T598" s="1015">
        <f t="shared" si="56"/>
        <v>46</v>
      </c>
      <c r="U598" s="1014" t="s">
        <v>12365</v>
      </c>
      <c r="V598" s="1015">
        <f t="shared" si="51"/>
        <v>46</v>
      </c>
      <c r="W598" s="1014" t="s">
        <v>12366</v>
      </c>
      <c r="X598" s="1015">
        <f t="shared" si="52"/>
        <v>29</v>
      </c>
      <c r="Y598" s="1016" t="s">
        <v>12367</v>
      </c>
      <c r="Z598" s="1015">
        <f t="shared" si="53"/>
        <v>64</v>
      </c>
      <c r="AA598" s="1016" t="s">
        <v>12367</v>
      </c>
      <c r="AB598" s="1015">
        <f t="shared" si="54"/>
        <v>64</v>
      </c>
      <c r="AC598" s="1016" t="s">
        <v>12368</v>
      </c>
      <c r="AD598" s="1015">
        <f t="shared" si="55"/>
        <v>29</v>
      </c>
      <c r="AE598" s="518" t="s">
        <v>12369</v>
      </c>
      <c r="AF598" s="519" t="s">
        <v>12370</v>
      </c>
      <c r="AG598" s="1021" t="s">
        <v>9179</v>
      </c>
      <c r="AH598" s="1022" t="s">
        <v>169</v>
      </c>
      <c r="AI598" s="530" t="s">
        <v>2969</v>
      </c>
      <c r="AJ598" s="958">
        <v>1</v>
      </c>
      <c r="AK598" s="959"/>
      <c r="AL598" s="1099" t="s">
        <v>12371</v>
      </c>
      <c r="AM598" s="1018">
        <f>_xll.GetCtData("COAMOUNT","CONSAMOUNT",$A$1:$A$7,$D598,AM$10,"#")</f>
        <v>0</v>
      </c>
    </row>
    <row r="599" spans="1:39">
      <c r="A599" s="427" t="s">
        <v>6610</v>
      </c>
      <c r="B599" s="427" t="s">
        <v>6610</v>
      </c>
      <c r="D599" s="1095" t="s">
        <v>12372</v>
      </c>
      <c r="E599" s="949" t="s">
        <v>2912</v>
      </c>
      <c r="F599" s="950">
        <v>5</v>
      </c>
      <c r="G599" s="950"/>
      <c r="H599" s="950"/>
      <c r="I599" s="950"/>
      <c r="J599" s="950"/>
      <c r="K599" s="950"/>
      <c r="L599" s="1019" t="s">
        <v>12373</v>
      </c>
      <c r="M599" s="1078"/>
      <c r="N599" s="1078"/>
      <c r="O599" s="964"/>
      <c r="P599" s="964"/>
      <c r="Q599" s="1020"/>
      <c r="R599" s="1095" t="s">
        <v>12373</v>
      </c>
      <c r="S599" s="1020" t="s">
        <v>12374</v>
      </c>
      <c r="T599" s="1096">
        <f t="shared" si="56"/>
        <v>43</v>
      </c>
      <c r="U599" s="1020" t="s">
        <v>12374</v>
      </c>
      <c r="V599" s="1096">
        <f t="shared" si="51"/>
        <v>43</v>
      </c>
      <c r="W599" s="1020" t="s">
        <v>12375</v>
      </c>
      <c r="X599" s="1096">
        <f t="shared" si="52"/>
        <v>26</v>
      </c>
      <c r="Y599" s="1097" t="s">
        <v>12376</v>
      </c>
      <c r="Z599" s="1096">
        <f t="shared" si="53"/>
        <v>46</v>
      </c>
      <c r="AA599" s="1097" t="s">
        <v>12376</v>
      </c>
      <c r="AB599" s="1096">
        <f t="shared" si="54"/>
        <v>46</v>
      </c>
      <c r="AC599" s="1097" t="s">
        <v>12377</v>
      </c>
      <c r="AD599" s="1096">
        <f t="shared" si="55"/>
        <v>26</v>
      </c>
      <c r="AE599" s="1096"/>
      <c r="AF599" s="1096"/>
      <c r="AG599" s="999"/>
      <c r="AH599" s="1000"/>
      <c r="AI599" s="494" t="s">
        <v>2917</v>
      </c>
      <c r="AJ599" s="958">
        <v>1</v>
      </c>
      <c r="AK599" s="959"/>
      <c r="AL599" s="960"/>
      <c r="AM599" s="1098">
        <f>_xll.GetCtData("COAMOUNT","CONSAMOUNT",$A$1:$A$7,$D599,AM$10,"#")</f>
        <v>0</v>
      </c>
    </row>
    <row r="600" spans="1:39">
      <c r="A600" s="427" t="s">
        <v>6610</v>
      </c>
      <c r="B600" s="427" t="s">
        <v>6610</v>
      </c>
      <c r="D600" s="1051" t="s">
        <v>12378</v>
      </c>
      <c r="E600" s="949" t="s">
        <v>2930</v>
      </c>
      <c r="F600" s="950">
        <v>10</v>
      </c>
      <c r="G600" s="950"/>
      <c r="H600" s="950"/>
      <c r="I600" s="950"/>
      <c r="J600" s="950"/>
      <c r="K600" s="950"/>
      <c r="L600" s="950"/>
      <c r="M600" s="950"/>
      <c r="O600" s="950"/>
      <c r="P600" s="950"/>
      <c r="Q600" s="1082"/>
      <c r="R600" s="1051" t="s">
        <v>12379</v>
      </c>
      <c r="S600" s="1014" t="s">
        <v>12380</v>
      </c>
      <c r="T600" s="1015">
        <f t="shared" si="56"/>
        <v>23</v>
      </c>
      <c r="U600" s="1014" t="s">
        <v>12380</v>
      </c>
      <c r="V600" s="1015">
        <f t="shared" si="51"/>
        <v>23</v>
      </c>
      <c r="W600" s="1014" t="s">
        <v>12380</v>
      </c>
      <c r="X600" s="1015">
        <f t="shared" si="52"/>
        <v>23</v>
      </c>
      <c r="Y600" s="1016" t="s">
        <v>12381</v>
      </c>
      <c r="Z600" s="1015">
        <f t="shared" si="53"/>
        <v>42</v>
      </c>
      <c r="AA600" s="1016" t="s">
        <v>12381</v>
      </c>
      <c r="AB600" s="1015">
        <f t="shared" si="54"/>
        <v>42</v>
      </c>
      <c r="AC600" s="1016" t="s">
        <v>12382</v>
      </c>
      <c r="AD600" s="1015">
        <f t="shared" si="55"/>
        <v>27</v>
      </c>
      <c r="AE600" s="518" t="s">
        <v>12383</v>
      </c>
      <c r="AF600" s="519" t="s">
        <v>12384</v>
      </c>
      <c r="AG600" s="1021" t="s">
        <v>9179</v>
      </c>
      <c r="AH600" s="1022" t="s">
        <v>169</v>
      </c>
      <c r="AI600" s="494" t="s">
        <v>2917</v>
      </c>
      <c r="AJ600" s="958">
        <v>1</v>
      </c>
      <c r="AK600" s="959"/>
      <c r="AL600" s="960"/>
      <c r="AM600" s="1018">
        <f>_xll.GetCtData("COAMOUNT","CONSAMOUNT",$A$1:$A$7,$D600,AM$10,"#")</f>
        <v>0</v>
      </c>
    </row>
    <row r="601" spans="1:39">
      <c r="A601" s="427" t="s">
        <v>6610</v>
      </c>
      <c r="B601" s="427" t="s">
        <v>6610</v>
      </c>
      <c r="D601" s="1051" t="s">
        <v>12385</v>
      </c>
      <c r="E601" s="949" t="s">
        <v>2930</v>
      </c>
      <c r="F601" s="950">
        <v>10</v>
      </c>
      <c r="G601" s="950"/>
      <c r="H601" s="950"/>
      <c r="I601" s="950"/>
      <c r="J601" s="950"/>
      <c r="K601" s="950"/>
      <c r="L601" s="950"/>
      <c r="M601" s="950"/>
      <c r="O601" s="950"/>
      <c r="P601" s="950"/>
      <c r="Q601" s="1082"/>
      <c r="R601" s="1051" t="s">
        <v>12386</v>
      </c>
      <c r="S601" s="1014" t="s">
        <v>12387</v>
      </c>
      <c r="T601" s="1015">
        <f t="shared" si="56"/>
        <v>26</v>
      </c>
      <c r="U601" s="1014" t="s">
        <v>12387</v>
      </c>
      <c r="V601" s="1015">
        <f t="shared" si="51"/>
        <v>26</v>
      </c>
      <c r="W601" s="1014" t="s">
        <v>12387</v>
      </c>
      <c r="X601" s="1015">
        <f t="shared" si="52"/>
        <v>26</v>
      </c>
      <c r="Y601" s="1016" t="s">
        <v>12388</v>
      </c>
      <c r="Z601" s="1015">
        <f t="shared" si="53"/>
        <v>44</v>
      </c>
      <c r="AA601" s="1016" t="s">
        <v>12388</v>
      </c>
      <c r="AB601" s="1015">
        <f t="shared" si="54"/>
        <v>44</v>
      </c>
      <c r="AC601" s="1016" t="s">
        <v>12389</v>
      </c>
      <c r="AD601" s="1015">
        <f t="shared" si="55"/>
        <v>26</v>
      </c>
      <c r="AE601" s="518" t="s">
        <v>12390</v>
      </c>
      <c r="AF601" s="519" t="s">
        <v>12391</v>
      </c>
      <c r="AG601" s="1021" t="s">
        <v>9179</v>
      </c>
      <c r="AH601" s="1022" t="s">
        <v>169</v>
      </c>
      <c r="AI601" s="494" t="s">
        <v>2917</v>
      </c>
      <c r="AJ601" s="958">
        <v>1</v>
      </c>
      <c r="AK601" s="959"/>
      <c r="AL601" s="960"/>
      <c r="AM601" s="1018">
        <f>_xll.GetCtData("COAMOUNT","CONSAMOUNT",$A$1:$A$7,$D601,AM$10,"#")</f>
        <v>0</v>
      </c>
    </row>
    <row r="602" spans="1:39">
      <c r="A602" s="427" t="s">
        <v>6610</v>
      </c>
      <c r="B602" s="427" t="s">
        <v>6610</v>
      </c>
      <c r="D602" s="1095" t="s">
        <v>12392</v>
      </c>
      <c r="E602" s="949" t="s">
        <v>2912</v>
      </c>
      <c r="F602" s="950">
        <v>5</v>
      </c>
      <c r="G602" s="950"/>
      <c r="H602" s="950"/>
      <c r="I602" s="950"/>
      <c r="J602" s="950"/>
      <c r="K602" s="950"/>
      <c r="L602" s="1019" t="s">
        <v>12393</v>
      </c>
      <c r="M602" s="964"/>
      <c r="N602" s="1078"/>
      <c r="O602" s="964"/>
      <c r="P602" s="964"/>
      <c r="Q602" s="1020"/>
      <c r="R602" s="1095" t="s">
        <v>12393</v>
      </c>
      <c r="S602" s="1020" t="s">
        <v>12394</v>
      </c>
      <c r="T602" s="1096">
        <f t="shared" si="56"/>
        <v>48</v>
      </c>
      <c r="U602" s="1020" t="s">
        <v>12394</v>
      </c>
      <c r="V602" s="1096">
        <f t="shared" si="51"/>
        <v>48</v>
      </c>
      <c r="W602" s="1020" t="s">
        <v>12395</v>
      </c>
      <c r="X602" s="1096">
        <f t="shared" si="52"/>
        <v>28</v>
      </c>
      <c r="Y602" s="1097" t="s">
        <v>12396</v>
      </c>
      <c r="Z602" s="1096">
        <f t="shared" si="53"/>
        <v>71</v>
      </c>
      <c r="AA602" s="1097" t="s">
        <v>12396</v>
      </c>
      <c r="AB602" s="1096">
        <f t="shared" si="54"/>
        <v>71</v>
      </c>
      <c r="AC602" s="1097" t="s">
        <v>12397</v>
      </c>
      <c r="AD602" s="1096">
        <f t="shared" si="55"/>
        <v>30</v>
      </c>
      <c r="AE602" s="1096"/>
      <c r="AF602" s="1096"/>
      <c r="AG602" s="956"/>
      <c r="AH602" s="957"/>
      <c r="AI602" s="494" t="s">
        <v>2917</v>
      </c>
      <c r="AJ602" s="958">
        <v>1</v>
      </c>
      <c r="AK602" s="959"/>
      <c r="AL602" s="960"/>
      <c r="AM602" s="1098">
        <f>_xll.GetCtData("COAMOUNT","CONSAMOUNT",$A$1:$A$7,$D602,AM$10,"#")</f>
        <v>0</v>
      </c>
    </row>
    <row r="603" spans="1:39">
      <c r="A603" s="427" t="s">
        <v>6610</v>
      </c>
      <c r="B603" s="427" t="s">
        <v>6610</v>
      </c>
      <c r="D603" s="1051" t="s">
        <v>12398</v>
      </c>
      <c r="E603" s="949" t="s">
        <v>2930</v>
      </c>
      <c r="F603" s="950">
        <v>10</v>
      </c>
      <c r="G603" s="950"/>
      <c r="H603" s="950"/>
      <c r="I603" s="950"/>
      <c r="J603" s="950"/>
      <c r="K603" s="950"/>
      <c r="L603" s="950"/>
      <c r="M603" s="950"/>
      <c r="O603" s="950"/>
      <c r="P603" s="950"/>
      <c r="Q603" s="1082"/>
      <c r="R603" s="1051" t="s">
        <v>12399</v>
      </c>
      <c r="S603" s="1014" t="s">
        <v>12400</v>
      </c>
      <c r="T603" s="1015">
        <f t="shared" si="56"/>
        <v>31</v>
      </c>
      <c r="U603" s="1014" t="s">
        <v>12400</v>
      </c>
      <c r="V603" s="1015">
        <f t="shared" si="51"/>
        <v>31</v>
      </c>
      <c r="W603" s="1014" t="s">
        <v>12401</v>
      </c>
      <c r="X603" s="1015">
        <f t="shared" si="52"/>
        <v>28</v>
      </c>
      <c r="Y603" s="1016" t="s">
        <v>12402</v>
      </c>
      <c r="Z603" s="1015">
        <f t="shared" si="53"/>
        <v>67</v>
      </c>
      <c r="AA603" s="1016" t="s">
        <v>12402</v>
      </c>
      <c r="AB603" s="1015">
        <f t="shared" si="54"/>
        <v>67</v>
      </c>
      <c r="AC603" s="1016" t="s">
        <v>12403</v>
      </c>
      <c r="AD603" s="1015">
        <f t="shared" si="55"/>
        <v>30</v>
      </c>
      <c r="AE603" s="518" t="s">
        <v>10531</v>
      </c>
      <c r="AF603" s="519" t="s">
        <v>10531</v>
      </c>
      <c r="AG603" s="1021" t="s">
        <v>9179</v>
      </c>
      <c r="AH603" s="1022" t="s">
        <v>169</v>
      </c>
      <c r="AI603" s="494" t="s">
        <v>2917</v>
      </c>
      <c r="AJ603" s="958">
        <v>1</v>
      </c>
      <c r="AK603" s="959"/>
      <c r="AL603" s="960"/>
      <c r="AM603" s="1018">
        <f>_xll.GetCtData("COAMOUNT","CONSAMOUNT",$A$1:$A$7,$D603,AM$10,"#")</f>
        <v>0</v>
      </c>
    </row>
    <row r="604" spans="1:39">
      <c r="A604" s="427" t="s">
        <v>6610</v>
      </c>
      <c r="B604" s="427" t="s">
        <v>6610</v>
      </c>
      <c r="D604" s="1051" t="s">
        <v>12404</v>
      </c>
      <c r="E604" s="949" t="s">
        <v>2930</v>
      </c>
      <c r="F604" s="950">
        <v>10</v>
      </c>
      <c r="G604" s="950"/>
      <c r="H604" s="950"/>
      <c r="I604" s="950"/>
      <c r="J604" s="950"/>
      <c r="K604" s="950"/>
      <c r="L604" s="950"/>
      <c r="M604" s="950"/>
      <c r="O604" s="950"/>
      <c r="P604" s="950"/>
      <c r="Q604" s="1082"/>
      <c r="R604" s="1051" t="s">
        <v>12405</v>
      </c>
      <c r="S604" s="1014" t="s">
        <v>12406</v>
      </c>
      <c r="T604" s="1015">
        <f t="shared" si="56"/>
        <v>34</v>
      </c>
      <c r="U604" s="1014" t="s">
        <v>12406</v>
      </c>
      <c r="V604" s="1015">
        <f t="shared" si="51"/>
        <v>34</v>
      </c>
      <c r="W604" s="1014" t="s">
        <v>12407</v>
      </c>
      <c r="X604" s="1015">
        <f t="shared" si="52"/>
        <v>28</v>
      </c>
      <c r="Y604" s="1016" t="s">
        <v>12408</v>
      </c>
      <c r="Z604" s="1015">
        <f t="shared" si="53"/>
        <v>69</v>
      </c>
      <c r="AA604" s="1016" t="s">
        <v>12408</v>
      </c>
      <c r="AB604" s="1015">
        <f t="shared" si="54"/>
        <v>69</v>
      </c>
      <c r="AC604" s="1016" t="s">
        <v>12409</v>
      </c>
      <c r="AD604" s="1015">
        <f t="shared" si="55"/>
        <v>30</v>
      </c>
      <c r="AE604" s="518" t="s">
        <v>10531</v>
      </c>
      <c r="AF604" s="519" t="s">
        <v>10531</v>
      </c>
      <c r="AG604" s="1021" t="s">
        <v>9179</v>
      </c>
      <c r="AH604" s="1022" t="s">
        <v>169</v>
      </c>
      <c r="AI604" s="494" t="s">
        <v>2917</v>
      </c>
      <c r="AJ604" s="958">
        <v>1</v>
      </c>
      <c r="AK604" s="959"/>
      <c r="AL604" s="960"/>
      <c r="AM604" s="1018">
        <f>_xll.GetCtData("COAMOUNT","CONSAMOUNT",$A$1:$A$7,$D604,AM$10,"#")</f>
        <v>0</v>
      </c>
    </row>
    <row r="605" spans="1:39">
      <c r="A605" s="427" t="s">
        <v>6610</v>
      </c>
      <c r="B605" s="427" t="s">
        <v>6610</v>
      </c>
      <c r="D605" s="1095" t="s">
        <v>12410</v>
      </c>
      <c r="E605" s="949" t="s">
        <v>2912</v>
      </c>
      <c r="F605" s="950">
        <v>5</v>
      </c>
      <c r="G605" s="950"/>
      <c r="H605" s="950"/>
      <c r="I605" s="950"/>
      <c r="J605" s="950"/>
      <c r="K605" s="950"/>
      <c r="L605" s="1019" t="s">
        <v>12411</v>
      </c>
      <c r="M605" s="964"/>
      <c r="N605" s="1078"/>
      <c r="O605" s="964"/>
      <c r="P605" s="964"/>
      <c r="Q605" s="1020"/>
      <c r="R605" s="1095" t="s">
        <v>12411</v>
      </c>
      <c r="S605" s="1020" t="s">
        <v>12412</v>
      </c>
      <c r="T605" s="1096">
        <f t="shared" si="56"/>
        <v>48</v>
      </c>
      <c r="U605" s="1020" t="s">
        <v>12412</v>
      </c>
      <c r="V605" s="1096">
        <f t="shared" si="51"/>
        <v>48</v>
      </c>
      <c r="W605" s="1020" t="s">
        <v>12413</v>
      </c>
      <c r="X605" s="1096">
        <f t="shared" si="52"/>
        <v>28</v>
      </c>
      <c r="Y605" s="1097" t="s">
        <v>12414</v>
      </c>
      <c r="Z605" s="1096">
        <f t="shared" si="53"/>
        <v>50</v>
      </c>
      <c r="AA605" s="1097" t="s">
        <v>12414</v>
      </c>
      <c r="AB605" s="1096">
        <f t="shared" si="54"/>
        <v>50</v>
      </c>
      <c r="AC605" s="1097" t="s">
        <v>12415</v>
      </c>
      <c r="AD605" s="1096">
        <f t="shared" si="55"/>
        <v>26</v>
      </c>
      <c r="AE605" s="1096"/>
      <c r="AF605" s="1096"/>
      <c r="AG605" s="999"/>
      <c r="AH605" s="1000"/>
      <c r="AI605" s="494" t="s">
        <v>2917</v>
      </c>
      <c r="AJ605" s="958">
        <v>1</v>
      </c>
      <c r="AK605" s="959"/>
      <c r="AL605" s="960"/>
      <c r="AM605" s="1098">
        <f>_xll.GetCtData("COAMOUNT","CONSAMOUNT",$A$1:$A$7,$D605,AM$10,"#")</f>
        <v>0</v>
      </c>
    </row>
    <row r="606" spans="1:39">
      <c r="A606" s="427" t="s">
        <v>6610</v>
      </c>
      <c r="B606" s="427" t="s">
        <v>6610</v>
      </c>
      <c r="D606" s="1051" t="s">
        <v>12416</v>
      </c>
      <c r="E606" s="949" t="s">
        <v>2930</v>
      </c>
      <c r="F606" s="950">
        <v>10</v>
      </c>
      <c r="G606" s="950"/>
      <c r="H606" s="950"/>
      <c r="I606" s="950"/>
      <c r="J606" s="950"/>
      <c r="K606" s="950"/>
      <c r="L606" s="950"/>
      <c r="M606" s="950"/>
      <c r="N606" s="950"/>
      <c r="O606" s="950"/>
      <c r="P606" s="950"/>
      <c r="Q606" s="1082"/>
      <c r="R606" s="1051" t="s">
        <v>12417</v>
      </c>
      <c r="S606" s="1014" t="s">
        <v>12343</v>
      </c>
      <c r="T606" s="1015">
        <f t="shared" si="56"/>
        <v>30</v>
      </c>
      <c r="U606" s="1014" t="s">
        <v>12343</v>
      </c>
      <c r="V606" s="1015">
        <f t="shared" si="51"/>
        <v>30</v>
      </c>
      <c r="W606" s="1014" t="s">
        <v>12343</v>
      </c>
      <c r="X606" s="1015">
        <f t="shared" si="52"/>
        <v>30</v>
      </c>
      <c r="Y606" s="1016" t="s">
        <v>12418</v>
      </c>
      <c r="Z606" s="1015">
        <f t="shared" si="53"/>
        <v>36</v>
      </c>
      <c r="AA606" s="1016" t="s">
        <v>12418</v>
      </c>
      <c r="AB606" s="1015">
        <f t="shared" si="54"/>
        <v>36</v>
      </c>
      <c r="AC606" s="1016" t="s">
        <v>12419</v>
      </c>
      <c r="AD606" s="1015">
        <f t="shared" si="55"/>
        <v>29</v>
      </c>
      <c r="AE606" s="518" t="s">
        <v>12342</v>
      </c>
      <c r="AF606" s="519" t="s">
        <v>12343</v>
      </c>
      <c r="AG606" s="1021" t="s">
        <v>9179</v>
      </c>
      <c r="AH606" s="1022" t="s">
        <v>169</v>
      </c>
      <c r="AI606" s="494" t="s">
        <v>2917</v>
      </c>
      <c r="AJ606" s="958">
        <v>1</v>
      </c>
      <c r="AK606" s="959"/>
      <c r="AL606" s="960"/>
      <c r="AM606" s="1018">
        <f>_xll.GetCtData("COAMOUNT","CONSAMOUNT",$A$1:$A$7,$D606,AM$10,"#")</f>
        <v>0</v>
      </c>
    </row>
    <row r="607" spans="1:39">
      <c r="A607" s="427" t="s">
        <v>6610</v>
      </c>
      <c r="B607" s="427" t="s">
        <v>6610</v>
      </c>
      <c r="D607" s="1051" t="s">
        <v>12420</v>
      </c>
      <c r="E607" s="949" t="s">
        <v>2930</v>
      </c>
      <c r="F607" s="950">
        <v>10</v>
      </c>
      <c r="G607" s="950"/>
      <c r="H607" s="950"/>
      <c r="I607" s="950"/>
      <c r="J607" s="950"/>
      <c r="K607" s="950"/>
      <c r="L607" s="950"/>
      <c r="M607" s="950"/>
      <c r="N607" s="950"/>
      <c r="O607" s="950"/>
      <c r="P607" s="950"/>
      <c r="Q607" s="1082"/>
      <c r="R607" s="1051" t="s">
        <v>12421</v>
      </c>
      <c r="S607" s="1014" t="s">
        <v>11847</v>
      </c>
      <c r="T607" s="1015">
        <f t="shared" si="56"/>
        <v>29</v>
      </c>
      <c r="U607" s="1014" t="s">
        <v>11847</v>
      </c>
      <c r="V607" s="1015">
        <f t="shared" si="51"/>
        <v>29</v>
      </c>
      <c r="W607" s="1014" t="s">
        <v>11847</v>
      </c>
      <c r="X607" s="1015">
        <f t="shared" si="52"/>
        <v>29</v>
      </c>
      <c r="Y607" s="1016" t="s">
        <v>12422</v>
      </c>
      <c r="Z607" s="1015">
        <f t="shared" si="53"/>
        <v>45</v>
      </c>
      <c r="AA607" s="1016" t="s">
        <v>12422</v>
      </c>
      <c r="AB607" s="1015">
        <f t="shared" si="54"/>
        <v>45</v>
      </c>
      <c r="AC607" s="1016" t="s">
        <v>12423</v>
      </c>
      <c r="AD607" s="1015">
        <f t="shared" si="55"/>
        <v>29</v>
      </c>
      <c r="AE607" s="518" t="s">
        <v>11846</v>
      </c>
      <c r="AF607" s="519" t="s">
        <v>11847</v>
      </c>
      <c r="AG607" s="1021" t="s">
        <v>9179</v>
      </c>
      <c r="AH607" s="1022" t="s">
        <v>169</v>
      </c>
      <c r="AI607" s="494" t="s">
        <v>2917</v>
      </c>
      <c r="AJ607" s="958">
        <v>1</v>
      </c>
      <c r="AK607" s="959"/>
      <c r="AL607" s="960"/>
      <c r="AM607" s="1018">
        <f>_xll.GetCtData("COAMOUNT","CONSAMOUNT",$A$1:$A$7,$D607,AM$10,"#")</f>
        <v>0</v>
      </c>
    </row>
    <row r="608" spans="1:39">
      <c r="A608" s="427" t="s">
        <v>6610</v>
      </c>
      <c r="B608" s="427" t="s">
        <v>6610</v>
      </c>
      <c r="D608" s="1083" t="s">
        <v>12424</v>
      </c>
      <c r="E608" s="949" t="s">
        <v>2912</v>
      </c>
      <c r="F608" s="950">
        <v>3</v>
      </c>
      <c r="G608" s="950"/>
      <c r="H608" s="950"/>
      <c r="I608" s="950"/>
      <c r="J608" s="1084" t="s">
        <v>12425</v>
      </c>
      <c r="K608" s="1085"/>
      <c r="L608" s="1086"/>
      <c r="M608" s="1085"/>
      <c r="N608" s="1085"/>
      <c r="O608" s="1085"/>
      <c r="P608" s="1085"/>
      <c r="Q608" s="1084"/>
      <c r="R608" s="1083" t="s">
        <v>12425</v>
      </c>
      <c r="S608" s="1084" t="s">
        <v>12426</v>
      </c>
      <c r="T608" s="1087">
        <f t="shared" si="56"/>
        <v>49</v>
      </c>
      <c r="U608" s="1084" t="s">
        <v>12426</v>
      </c>
      <c r="V608" s="1087">
        <f t="shared" si="51"/>
        <v>49</v>
      </c>
      <c r="W608" s="1084" t="s">
        <v>12427</v>
      </c>
      <c r="X608" s="1087">
        <f t="shared" si="52"/>
        <v>27</v>
      </c>
      <c r="Y608" s="1088" t="s">
        <v>12428</v>
      </c>
      <c r="Z608" s="1087">
        <f t="shared" si="53"/>
        <v>36</v>
      </c>
      <c r="AA608" s="1088" t="s">
        <v>12428</v>
      </c>
      <c r="AB608" s="1087">
        <f t="shared" si="54"/>
        <v>36</v>
      </c>
      <c r="AC608" s="1088" t="s">
        <v>12429</v>
      </c>
      <c r="AD608" s="1087">
        <f t="shared" si="55"/>
        <v>30</v>
      </c>
      <c r="AE608" s="1087"/>
      <c r="AF608" s="1087"/>
      <c r="AG608" s="956"/>
      <c r="AH608" s="957"/>
      <c r="AI608" s="494" t="s">
        <v>2917</v>
      </c>
      <c r="AJ608" s="958">
        <v>1</v>
      </c>
      <c r="AK608" s="959"/>
      <c r="AL608" s="960"/>
      <c r="AM608" s="1089">
        <f>_xll.GetCtData("COAMOUNT","CONSAMOUNT",$A$1:$A$7,$D608,AM$10,"#71988,4374180365")</f>
        <v>71988</v>
      </c>
    </row>
    <row r="609" spans="1:39">
      <c r="A609" s="427" t="s">
        <v>6610</v>
      </c>
      <c r="B609" s="427" t="s">
        <v>6610</v>
      </c>
      <c r="D609" s="1090" t="s">
        <v>12430</v>
      </c>
      <c r="E609" s="949" t="s">
        <v>2912</v>
      </c>
      <c r="F609" s="950">
        <v>4</v>
      </c>
      <c r="G609" s="950"/>
      <c r="H609" s="950"/>
      <c r="I609" s="950"/>
      <c r="J609" s="950"/>
      <c r="K609" s="1091" t="s">
        <v>12431</v>
      </c>
      <c r="L609" s="1072"/>
      <c r="M609" s="1071"/>
      <c r="N609" s="1090"/>
      <c r="O609" s="1090"/>
      <c r="P609" s="1090"/>
      <c r="Q609" s="1090"/>
      <c r="R609" s="1090" t="s">
        <v>12431</v>
      </c>
      <c r="S609" s="1091" t="s">
        <v>12432</v>
      </c>
      <c r="T609" s="1092">
        <f t="shared" si="56"/>
        <v>51</v>
      </c>
      <c r="U609" s="1091" t="s">
        <v>12432</v>
      </c>
      <c r="V609" s="1092">
        <f t="shared" si="51"/>
        <v>51</v>
      </c>
      <c r="W609" s="1091" t="s">
        <v>12433</v>
      </c>
      <c r="X609" s="1092">
        <f t="shared" si="52"/>
        <v>29</v>
      </c>
      <c r="Y609" s="1093" t="s">
        <v>12428</v>
      </c>
      <c r="Z609" s="1092">
        <f t="shared" si="53"/>
        <v>36</v>
      </c>
      <c r="AA609" s="1093" t="s">
        <v>12428</v>
      </c>
      <c r="AB609" s="1092">
        <f t="shared" si="54"/>
        <v>36</v>
      </c>
      <c r="AC609" s="1093" t="s">
        <v>12429</v>
      </c>
      <c r="AD609" s="1092">
        <f t="shared" si="55"/>
        <v>30</v>
      </c>
      <c r="AE609" s="1092"/>
      <c r="AF609" s="1092"/>
      <c r="AG609" s="956"/>
      <c r="AH609" s="957"/>
      <c r="AI609" s="494" t="s">
        <v>2917</v>
      </c>
      <c r="AJ609" s="958">
        <v>1</v>
      </c>
      <c r="AK609" s="959"/>
      <c r="AL609" s="960"/>
      <c r="AM609" s="1094">
        <f>_xll.GetCtData("COAMOUNT","CONSAMOUNT",$A$1:$A$7,$D609,AM$10,"#71988,4374180365")</f>
        <v>71988</v>
      </c>
    </row>
    <row r="610" spans="1:39">
      <c r="A610" s="427" t="s">
        <v>6610</v>
      </c>
      <c r="B610" s="427" t="s">
        <v>6610</v>
      </c>
      <c r="D610" s="1095" t="s">
        <v>12434</v>
      </c>
      <c r="E610" s="949" t="s">
        <v>2912</v>
      </c>
      <c r="F610" s="950">
        <v>5</v>
      </c>
      <c r="G610" s="950"/>
      <c r="H610" s="950"/>
      <c r="I610" s="950"/>
      <c r="J610" s="950"/>
      <c r="K610" s="950"/>
      <c r="L610" s="1019" t="s">
        <v>12435</v>
      </c>
      <c r="M610" s="964"/>
      <c r="N610" s="1078"/>
      <c r="O610" s="964"/>
      <c r="P610" s="964"/>
      <c r="Q610" s="1020"/>
      <c r="R610" s="1095" t="s">
        <v>12435</v>
      </c>
      <c r="S610" s="1020" t="s">
        <v>12436</v>
      </c>
      <c r="T610" s="1096">
        <f t="shared" si="56"/>
        <v>44</v>
      </c>
      <c r="U610" s="1020" t="s">
        <v>12436</v>
      </c>
      <c r="V610" s="1096">
        <f t="shared" si="51"/>
        <v>44</v>
      </c>
      <c r="W610" s="1020" t="s">
        <v>12437</v>
      </c>
      <c r="X610" s="1096">
        <f t="shared" si="52"/>
        <v>28</v>
      </c>
      <c r="Y610" s="1097" t="s">
        <v>12428</v>
      </c>
      <c r="Z610" s="1096">
        <f t="shared" si="53"/>
        <v>36</v>
      </c>
      <c r="AA610" s="1097" t="s">
        <v>12428</v>
      </c>
      <c r="AB610" s="1096">
        <f t="shared" si="54"/>
        <v>36</v>
      </c>
      <c r="AC610" s="1097" t="s">
        <v>12429</v>
      </c>
      <c r="AD610" s="1096">
        <f t="shared" si="55"/>
        <v>30</v>
      </c>
      <c r="AE610" s="1096"/>
      <c r="AF610" s="1096"/>
      <c r="AG610" s="999"/>
      <c r="AH610" s="1000"/>
      <c r="AI610" s="494" t="s">
        <v>2917</v>
      </c>
      <c r="AJ610" s="958">
        <v>1</v>
      </c>
      <c r="AK610" s="959"/>
      <c r="AL610" s="960"/>
      <c r="AM610" s="1098">
        <f>_xll.GetCtData("COAMOUNT","CONSAMOUNT",$A$1:$A$7,$D610,AM$10,"#71988,4374180365")</f>
        <v>71988</v>
      </c>
    </row>
    <row r="611" spans="1:39">
      <c r="A611" s="427" t="s">
        <v>6610</v>
      </c>
      <c r="B611" s="427" t="s">
        <v>6610</v>
      </c>
      <c r="D611" s="1051" t="s">
        <v>12438</v>
      </c>
      <c r="E611" s="949" t="s">
        <v>2930</v>
      </c>
      <c r="F611" s="950">
        <v>10</v>
      </c>
      <c r="G611" s="950"/>
      <c r="H611" s="950"/>
      <c r="I611" s="950"/>
      <c r="J611" s="950"/>
      <c r="K611" s="950"/>
      <c r="L611" s="950"/>
      <c r="M611" s="950"/>
      <c r="N611" s="950"/>
      <c r="O611" s="950"/>
      <c r="P611" s="950"/>
      <c r="Q611" s="950"/>
      <c r="R611" s="1051" t="s">
        <v>12439</v>
      </c>
      <c r="S611" s="1014" t="s">
        <v>12440</v>
      </c>
      <c r="T611" s="1015">
        <f t="shared" si="56"/>
        <v>49</v>
      </c>
      <c r="U611" s="1014" t="s">
        <v>12440</v>
      </c>
      <c r="V611" s="1015">
        <f t="shared" si="51"/>
        <v>49</v>
      </c>
      <c r="W611" s="1014" t="s">
        <v>12441</v>
      </c>
      <c r="X611" s="1015">
        <f t="shared" si="52"/>
        <v>29</v>
      </c>
      <c r="Y611" s="1016" t="s">
        <v>12428</v>
      </c>
      <c r="Z611" s="1015">
        <f t="shared" si="53"/>
        <v>36</v>
      </c>
      <c r="AA611" s="1016" t="s">
        <v>12428</v>
      </c>
      <c r="AB611" s="1015">
        <f t="shared" si="54"/>
        <v>36</v>
      </c>
      <c r="AC611" s="1016" t="s">
        <v>12429</v>
      </c>
      <c r="AD611" s="1015">
        <f t="shared" si="55"/>
        <v>30</v>
      </c>
      <c r="AE611" s="518" t="s">
        <v>12442</v>
      </c>
      <c r="AF611" s="519" t="s">
        <v>12443</v>
      </c>
      <c r="AG611" s="1021" t="s">
        <v>9179</v>
      </c>
      <c r="AH611" s="1022" t="s">
        <v>169</v>
      </c>
      <c r="AI611" s="494" t="s">
        <v>2917</v>
      </c>
      <c r="AJ611" s="958">
        <v>1</v>
      </c>
      <c r="AK611" s="959"/>
      <c r="AL611" s="960"/>
      <c r="AM611" s="1018">
        <f>_xll.GetCtData("COAMOUNT","CONSAMOUNT",$A$1:$A$7,$D611,AM$10,"#71988,4374180365")</f>
        <v>71988</v>
      </c>
    </row>
    <row r="612" spans="1:39">
      <c r="A612" s="427" t="s">
        <v>6610</v>
      </c>
      <c r="B612" s="427" t="s">
        <v>6610</v>
      </c>
      <c r="D612" s="1095" t="s">
        <v>12444</v>
      </c>
      <c r="E612" s="949" t="s">
        <v>2912</v>
      </c>
      <c r="F612" s="950">
        <v>5</v>
      </c>
      <c r="G612" s="950"/>
      <c r="H612" s="950"/>
      <c r="I612" s="950"/>
      <c r="J612" s="950"/>
      <c r="K612" s="950"/>
      <c r="L612" s="1019" t="s">
        <v>12445</v>
      </c>
      <c r="M612" s="964"/>
      <c r="N612" s="1078"/>
      <c r="O612" s="964"/>
      <c r="P612" s="964"/>
      <c r="Q612" s="1020"/>
      <c r="R612" s="1095" t="s">
        <v>12445</v>
      </c>
      <c r="S612" s="1020" t="s">
        <v>12446</v>
      </c>
      <c r="T612" s="1096">
        <f t="shared" si="56"/>
        <v>57</v>
      </c>
      <c r="U612" s="1020" t="s">
        <v>12446</v>
      </c>
      <c r="V612" s="1096">
        <f t="shared" si="51"/>
        <v>57</v>
      </c>
      <c r="W612" s="1020" t="s">
        <v>12447</v>
      </c>
      <c r="X612" s="1096">
        <f t="shared" si="52"/>
        <v>30</v>
      </c>
      <c r="Y612" s="1097" t="s">
        <v>12448</v>
      </c>
      <c r="Z612" s="1096">
        <f t="shared" si="53"/>
        <v>53</v>
      </c>
      <c r="AA612" s="1097" t="s">
        <v>12448</v>
      </c>
      <c r="AB612" s="1096">
        <f t="shared" si="54"/>
        <v>53</v>
      </c>
      <c r="AC612" s="1097" t="s">
        <v>12449</v>
      </c>
      <c r="AD612" s="1096">
        <f t="shared" si="55"/>
        <v>29</v>
      </c>
      <c r="AE612" s="1096"/>
      <c r="AF612" s="1096"/>
      <c r="AG612" s="956"/>
      <c r="AH612" s="957"/>
      <c r="AI612" s="494" t="s">
        <v>2917</v>
      </c>
      <c r="AJ612" s="958">
        <v>1</v>
      </c>
      <c r="AK612" s="959"/>
      <c r="AL612" s="960"/>
      <c r="AM612" s="1098">
        <f>_xll.GetCtData("COAMOUNT","CONSAMOUNT",$A$1:$A$7,$D612,AM$10,"#")</f>
        <v>0</v>
      </c>
    </row>
    <row r="613" spans="1:39">
      <c r="A613" s="427" t="s">
        <v>6610</v>
      </c>
      <c r="B613" s="427" t="s">
        <v>6610</v>
      </c>
      <c r="D613" s="1051" t="s">
        <v>12450</v>
      </c>
      <c r="E613" s="949" t="s">
        <v>2930</v>
      </c>
      <c r="F613" s="950">
        <v>10</v>
      </c>
      <c r="G613" s="950"/>
      <c r="H613" s="950"/>
      <c r="I613" s="950"/>
      <c r="J613" s="950"/>
      <c r="K613" s="950"/>
      <c r="L613" s="950"/>
      <c r="M613" s="950"/>
      <c r="N613" s="950"/>
      <c r="O613" s="950"/>
      <c r="P613" s="950"/>
      <c r="Q613" s="950"/>
      <c r="R613" s="1051" t="s">
        <v>12451</v>
      </c>
      <c r="S613" s="1014" t="s">
        <v>12452</v>
      </c>
      <c r="T613" s="1015">
        <f t="shared" si="56"/>
        <v>52</v>
      </c>
      <c r="U613" s="1014" t="s">
        <v>12452</v>
      </c>
      <c r="V613" s="1015">
        <f t="shared" si="51"/>
        <v>52</v>
      </c>
      <c r="W613" s="1014" t="s">
        <v>12453</v>
      </c>
      <c r="X613" s="1015">
        <f t="shared" si="52"/>
        <v>29</v>
      </c>
      <c r="Y613" s="1016" t="s">
        <v>12454</v>
      </c>
      <c r="Z613" s="1015">
        <f t="shared" si="53"/>
        <v>49</v>
      </c>
      <c r="AA613" s="1016" t="s">
        <v>12454</v>
      </c>
      <c r="AB613" s="1015">
        <f t="shared" si="54"/>
        <v>49</v>
      </c>
      <c r="AC613" s="1016" t="s">
        <v>12455</v>
      </c>
      <c r="AD613" s="1015">
        <f t="shared" si="55"/>
        <v>28</v>
      </c>
      <c r="AE613" s="518" t="s">
        <v>12456</v>
      </c>
      <c r="AF613" s="519" t="s">
        <v>12457</v>
      </c>
      <c r="AG613" s="1021" t="s">
        <v>9179</v>
      </c>
      <c r="AH613" s="1022" t="s">
        <v>169</v>
      </c>
      <c r="AI613" s="494" t="s">
        <v>2917</v>
      </c>
      <c r="AJ613" s="958">
        <v>1</v>
      </c>
      <c r="AK613" s="959"/>
      <c r="AL613" s="960"/>
      <c r="AM613" s="1018">
        <f>_xll.GetCtData("COAMOUNT","CONSAMOUNT",$A$1:$A$7,$D613,AM$10,"#")</f>
        <v>0</v>
      </c>
    </row>
    <row r="614" spans="1:39">
      <c r="A614" s="427" t="s">
        <v>6610</v>
      </c>
      <c r="B614" s="427" t="s">
        <v>6610</v>
      </c>
      <c r="D614" s="1051" t="s">
        <v>12458</v>
      </c>
      <c r="E614" s="949" t="s">
        <v>2930</v>
      </c>
      <c r="F614" s="950">
        <v>10</v>
      </c>
      <c r="G614" s="950"/>
      <c r="H614" s="950"/>
      <c r="I614" s="950"/>
      <c r="J614" s="950"/>
      <c r="K614" s="950"/>
      <c r="L614" s="950"/>
      <c r="M614" s="950"/>
      <c r="N614" s="950"/>
      <c r="O614" s="950"/>
      <c r="P614" s="950"/>
      <c r="Q614" s="950"/>
      <c r="R614" s="1051" t="s">
        <v>12459</v>
      </c>
      <c r="S614" s="1014" t="s">
        <v>12460</v>
      </c>
      <c r="T614" s="1015">
        <f t="shared" si="56"/>
        <v>55</v>
      </c>
      <c r="U614" s="1014" t="s">
        <v>12460</v>
      </c>
      <c r="V614" s="1015">
        <f t="shared" si="51"/>
        <v>55</v>
      </c>
      <c r="W614" s="1014" t="s">
        <v>12461</v>
      </c>
      <c r="X614" s="1015">
        <f t="shared" si="52"/>
        <v>29</v>
      </c>
      <c r="Y614" s="1016" t="s">
        <v>12462</v>
      </c>
      <c r="Z614" s="1015">
        <f t="shared" si="53"/>
        <v>51</v>
      </c>
      <c r="AA614" s="1016" t="s">
        <v>12462</v>
      </c>
      <c r="AB614" s="1015">
        <f t="shared" si="54"/>
        <v>51</v>
      </c>
      <c r="AC614" s="1016" t="s">
        <v>12463</v>
      </c>
      <c r="AD614" s="1015">
        <f t="shared" si="55"/>
        <v>28</v>
      </c>
      <c r="AE614" s="518" t="s">
        <v>12464</v>
      </c>
      <c r="AF614" s="519" t="s">
        <v>12465</v>
      </c>
      <c r="AG614" s="1021" t="s">
        <v>9179</v>
      </c>
      <c r="AH614" s="1022" t="s">
        <v>169</v>
      </c>
      <c r="AI614" s="494" t="s">
        <v>2917</v>
      </c>
      <c r="AJ614" s="958">
        <v>1</v>
      </c>
      <c r="AK614" s="959"/>
      <c r="AL614" s="960"/>
      <c r="AM614" s="1018">
        <f>_xll.GetCtData("COAMOUNT","CONSAMOUNT",$A$1:$A$7,$D614,AM$10,"#")</f>
        <v>0</v>
      </c>
    </row>
    <row r="615" spans="1:39">
      <c r="A615" s="427" t="s">
        <v>6610</v>
      </c>
      <c r="B615" s="427" t="s">
        <v>6610</v>
      </c>
      <c r="D615" s="1100" t="s">
        <v>12466</v>
      </c>
      <c r="E615" s="949" t="s">
        <v>2912</v>
      </c>
      <c r="F615" s="950">
        <v>2</v>
      </c>
      <c r="G615" s="950"/>
      <c r="H615" s="950"/>
      <c r="I615" s="1101" t="s">
        <v>12467</v>
      </c>
      <c r="J615" s="1102"/>
      <c r="K615" s="1102"/>
      <c r="L615" s="1103"/>
      <c r="M615" s="1102"/>
      <c r="N615" s="1102"/>
      <c r="O615" s="1102"/>
      <c r="P615" s="1102"/>
      <c r="Q615" s="1101"/>
      <c r="R615" s="1100" t="s">
        <v>12467</v>
      </c>
      <c r="S615" s="1101" t="s">
        <v>12468</v>
      </c>
      <c r="T615" s="1104">
        <f t="shared" si="56"/>
        <v>20</v>
      </c>
      <c r="U615" s="1101" t="s">
        <v>12468</v>
      </c>
      <c r="V615" s="1104">
        <f t="shared" si="51"/>
        <v>20</v>
      </c>
      <c r="W615" s="1101" t="s">
        <v>12468</v>
      </c>
      <c r="X615" s="1104">
        <f t="shared" si="52"/>
        <v>20</v>
      </c>
      <c r="Y615" s="1105" t="s">
        <v>12469</v>
      </c>
      <c r="Z615" s="1104">
        <f t="shared" si="53"/>
        <v>24</v>
      </c>
      <c r="AA615" s="1105" t="s">
        <v>12469</v>
      </c>
      <c r="AB615" s="1104">
        <f t="shared" si="54"/>
        <v>24</v>
      </c>
      <c r="AC615" s="1105" t="s">
        <v>12469</v>
      </c>
      <c r="AD615" s="1104">
        <f t="shared" si="55"/>
        <v>24</v>
      </c>
      <c r="AE615" s="1104"/>
      <c r="AF615" s="1104"/>
      <c r="AG615" s="956"/>
      <c r="AH615" s="957"/>
      <c r="AI615" s="494" t="s">
        <v>2917</v>
      </c>
      <c r="AJ615" s="958">
        <v>1</v>
      </c>
      <c r="AK615" s="959"/>
      <c r="AL615" s="960"/>
      <c r="AM615" s="1106">
        <f>_xll.GetCtData("COAMOUNT","CONSAMOUNT",$A$1:$A$7,$D615,AM$10,"#2924359,51824073")</f>
        <v>2924359</v>
      </c>
    </row>
    <row r="616" spans="1:39">
      <c r="A616" s="427" t="s">
        <v>6610</v>
      </c>
      <c r="B616" s="427" t="s">
        <v>6610</v>
      </c>
      <c r="D616" s="1100" t="s">
        <v>12470</v>
      </c>
      <c r="E616" s="949" t="s">
        <v>2912</v>
      </c>
      <c r="F616" s="950">
        <v>2</v>
      </c>
      <c r="G616" s="950"/>
      <c r="H616" s="950"/>
      <c r="I616" s="1101" t="s">
        <v>12471</v>
      </c>
      <c r="J616" s="1102"/>
      <c r="K616" s="1102"/>
      <c r="L616" s="1103"/>
      <c r="M616" s="1102"/>
      <c r="N616" s="1102"/>
      <c r="O616" s="1102"/>
      <c r="P616" s="1102"/>
      <c r="Q616" s="1101"/>
      <c r="R616" s="1100" t="s">
        <v>12471</v>
      </c>
      <c r="S616" s="1101" t="s">
        <v>37</v>
      </c>
      <c r="T616" s="1104">
        <f t="shared" si="56"/>
        <v>24</v>
      </c>
      <c r="U616" s="1101" t="s">
        <v>37</v>
      </c>
      <c r="V616" s="1104">
        <f t="shared" si="51"/>
        <v>24</v>
      </c>
      <c r="W616" s="1101" t="s">
        <v>37</v>
      </c>
      <c r="X616" s="1104">
        <f t="shared" si="52"/>
        <v>24</v>
      </c>
      <c r="Y616" s="1105" t="s">
        <v>12472</v>
      </c>
      <c r="Z616" s="1104">
        <f t="shared" si="53"/>
        <v>18</v>
      </c>
      <c r="AA616" s="1105" t="s">
        <v>12472</v>
      </c>
      <c r="AB616" s="1104">
        <f t="shared" si="54"/>
        <v>18</v>
      </c>
      <c r="AC616" s="1105" t="s">
        <v>12472</v>
      </c>
      <c r="AD616" s="1104">
        <f t="shared" si="55"/>
        <v>18</v>
      </c>
      <c r="AE616" s="1104"/>
      <c r="AF616" s="1104"/>
      <c r="AG616" s="956"/>
      <c r="AH616" s="957"/>
      <c r="AI616" s="494" t="s">
        <v>2917</v>
      </c>
      <c r="AJ616" s="958">
        <v>1</v>
      </c>
      <c r="AK616" s="959"/>
      <c r="AL616" s="960"/>
      <c r="AM616" s="1106">
        <f>_xll.GetCtData("COAMOUNT","CONSAMOUNT",$A$1:$A$7,$D616,AM$10,"#-880503,03397054")</f>
        <v>-880503</v>
      </c>
    </row>
    <row r="617" spans="1:39">
      <c r="A617" s="427" t="s">
        <v>6610</v>
      </c>
      <c r="B617" s="427" t="s">
        <v>6610</v>
      </c>
      <c r="D617" s="1107" t="s">
        <v>12473</v>
      </c>
      <c r="E617" s="949" t="s">
        <v>2912</v>
      </c>
      <c r="F617" s="949">
        <v>3</v>
      </c>
      <c r="G617" s="949"/>
      <c r="H617" s="949"/>
      <c r="I617" s="949"/>
      <c r="J617" s="1108" t="s">
        <v>12474</v>
      </c>
      <c r="K617" s="1085"/>
      <c r="L617" s="1085"/>
      <c r="M617" s="1086"/>
      <c r="N617" s="1107"/>
      <c r="O617" s="1107"/>
      <c r="P617" s="1107"/>
      <c r="Q617" s="1107"/>
      <c r="R617" s="1107" t="s">
        <v>12474</v>
      </c>
      <c r="S617" s="1108" t="s">
        <v>37</v>
      </c>
      <c r="T617" s="1109">
        <f t="shared" si="56"/>
        <v>24</v>
      </c>
      <c r="U617" s="1108" t="s">
        <v>37</v>
      </c>
      <c r="V617" s="1109">
        <f t="shared" si="51"/>
        <v>24</v>
      </c>
      <c r="W617" s="1108" t="s">
        <v>37</v>
      </c>
      <c r="X617" s="1109">
        <f t="shared" si="52"/>
        <v>24</v>
      </c>
      <c r="Y617" s="1108" t="s">
        <v>12472</v>
      </c>
      <c r="Z617" s="1109">
        <f t="shared" si="53"/>
        <v>18</v>
      </c>
      <c r="AA617" s="1108" t="s">
        <v>12472</v>
      </c>
      <c r="AB617" s="1109">
        <f t="shared" si="54"/>
        <v>18</v>
      </c>
      <c r="AC617" s="1108" t="s">
        <v>12472</v>
      </c>
      <c r="AD617" s="1109">
        <f t="shared" si="55"/>
        <v>18</v>
      </c>
      <c r="AE617" s="1110"/>
      <c r="AF617" s="1110"/>
      <c r="AG617" s="999"/>
      <c r="AH617" s="1000"/>
      <c r="AI617" s="494" t="s">
        <v>2917</v>
      </c>
      <c r="AJ617" s="958">
        <v>1</v>
      </c>
      <c r="AK617" s="959"/>
      <c r="AL617" s="960"/>
      <c r="AM617" s="1111">
        <f>_xll.GetCtData("COAMOUNT","CONSAMOUNT",$A$1:$A$7,$D617,AM$10,"#-880503,03397054")</f>
        <v>-880503</v>
      </c>
    </row>
    <row r="618" spans="1:39">
      <c r="A618" s="427" t="s">
        <v>6610</v>
      </c>
      <c r="B618" s="427" t="s">
        <v>6610</v>
      </c>
      <c r="D618" s="1112" t="s">
        <v>12475</v>
      </c>
      <c r="E618" s="949" t="s">
        <v>2912</v>
      </c>
      <c r="F618" s="949">
        <v>4</v>
      </c>
      <c r="G618" s="949"/>
      <c r="H618" s="949"/>
      <c r="I618" s="949"/>
      <c r="J618" s="949"/>
      <c r="K618" s="1113" t="s">
        <v>12476</v>
      </c>
      <c r="L618" s="1072"/>
      <c r="M618" s="1072"/>
      <c r="N618" s="1071"/>
      <c r="O618" s="1072"/>
      <c r="P618" s="1072"/>
      <c r="Q618" s="1091"/>
      <c r="R618" s="1112" t="s">
        <v>12476</v>
      </c>
      <c r="S618" s="1091" t="s">
        <v>12477</v>
      </c>
      <c r="T618" s="1114">
        <f t="shared" si="56"/>
        <v>14</v>
      </c>
      <c r="U618" s="1091" t="s">
        <v>12477</v>
      </c>
      <c r="V618" s="1114">
        <f t="shared" si="51"/>
        <v>14</v>
      </c>
      <c r="W618" s="1091" t="s">
        <v>12477</v>
      </c>
      <c r="X618" s="1114">
        <f t="shared" si="52"/>
        <v>14</v>
      </c>
      <c r="Y618" s="1091" t="s">
        <v>12478</v>
      </c>
      <c r="Z618" s="1114">
        <f t="shared" si="53"/>
        <v>13</v>
      </c>
      <c r="AA618" s="1091" t="s">
        <v>12478</v>
      </c>
      <c r="AB618" s="1114">
        <f t="shared" si="54"/>
        <v>13</v>
      </c>
      <c r="AC618" s="1091" t="s">
        <v>12478</v>
      </c>
      <c r="AD618" s="1114">
        <f t="shared" si="55"/>
        <v>13</v>
      </c>
      <c r="AE618" s="1092"/>
      <c r="AF618" s="1092"/>
      <c r="AG618" s="999"/>
      <c r="AH618" s="1000"/>
      <c r="AI618" s="494" t="s">
        <v>2917</v>
      </c>
      <c r="AJ618" s="958">
        <v>1</v>
      </c>
      <c r="AK618" s="959"/>
      <c r="AL618" s="960"/>
      <c r="AM618" s="1094">
        <f>_xll.GetCtData("COAMOUNT","CONSAMOUNT",$A$1:$A$7,$D618,AM$10,"#-788828,107671413")</f>
        <v>-788828</v>
      </c>
    </row>
    <row r="619" spans="1:39">
      <c r="A619" s="427" t="s">
        <v>6610</v>
      </c>
      <c r="B619" s="427" t="s">
        <v>6610</v>
      </c>
      <c r="D619" s="1051" t="s">
        <v>12479</v>
      </c>
      <c r="E619" s="949" t="s">
        <v>2930</v>
      </c>
      <c r="F619" s="950">
        <v>10</v>
      </c>
      <c r="G619" s="950"/>
      <c r="H619" s="950"/>
      <c r="I619" s="950"/>
      <c r="J619" s="950"/>
      <c r="K619" s="950"/>
      <c r="L619" s="950"/>
      <c r="M619" s="950"/>
      <c r="O619" s="950"/>
      <c r="P619" s="950"/>
      <c r="Q619" s="950"/>
      <c r="R619" s="1051" t="s">
        <v>2639</v>
      </c>
      <c r="S619" s="1014" t="s">
        <v>12477</v>
      </c>
      <c r="T619" s="1015">
        <f t="shared" si="56"/>
        <v>14</v>
      </c>
      <c r="U619" s="1014" t="s">
        <v>12477</v>
      </c>
      <c r="V619" s="1015">
        <f t="shared" si="51"/>
        <v>14</v>
      </c>
      <c r="W619" s="1014" t="s">
        <v>12477</v>
      </c>
      <c r="X619" s="1015">
        <f t="shared" si="52"/>
        <v>14</v>
      </c>
      <c r="Y619" s="1016" t="s">
        <v>12478</v>
      </c>
      <c r="Z619" s="1015">
        <f t="shared" si="53"/>
        <v>13</v>
      </c>
      <c r="AA619" s="1016" t="s">
        <v>12478</v>
      </c>
      <c r="AB619" s="1015">
        <f t="shared" si="54"/>
        <v>13</v>
      </c>
      <c r="AC619" s="1016" t="s">
        <v>12478</v>
      </c>
      <c r="AD619" s="1015">
        <f t="shared" si="55"/>
        <v>13</v>
      </c>
      <c r="AE619" s="518" t="s">
        <v>12480</v>
      </c>
      <c r="AF619" s="519" t="s">
        <v>12481</v>
      </c>
      <c r="AG619" s="1021" t="s">
        <v>9179</v>
      </c>
      <c r="AH619" s="1022" t="s">
        <v>169</v>
      </c>
      <c r="AI619" s="494" t="s">
        <v>2917</v>
      </c>
      <c r="AJ619" s="958">
        <v>1</v>
      </c>
      <c r="AK619" s="959"/>
      <c r="AL619" s="960"/>
      <c r="AM619" s="1018">
        <f>_xll.GetCtData("COAMOUNT","CONSAMOUNT",$A$1:$A$7,$D619,AM$10,"#-787685,107671413")</f>
        <v>-787685</v>
      </c>
    </row>
    <row r="620" spans="1:39">
      <c r="A620" s="427" t="s">
        <v>6610</v>
      </c>
      <c r="B620" s="427" t="s">
        <v>6610</v>
      </c>
      <c r="D620" s="1051" t="s">
        <v>12482</v>
      </c>
      <c r="E620" s="949" t="s">
        <v>2930</v>
      </c>
      <c r="F620" s="950">
        <v>10</v>
      </c>
      <c r="G620" s="950"/>
      <c r="H620" s="950"/>
      <c r="I620" s="950"/>
      <c r="J620" s="950"/>
      <c r="K620" s="950"/>
      <c r="L620" s="950"/>
      <c r="M620" s="950"/>
      <c r="O620" s="950"/>
      <c r="P620" s="950"/>
      <c r="Q620" s="950"/>
      <c r="R620" s="1051" t="s">
        <v>12483</v>
      </c>
      <c r="S620" s="1014" t="s">
        <v>12484</v>
      </c>
      <c r="T620" s="1015">
        <f t="shared" si="56"/>
        <v>33</v>
      </c>
      <c r="U620" s="1014" t="s">
        <v>12484</v>
      </c>
      <c r="V620" s="1015">
        <f t="shared" si="51"/>
        <v>33</v>
      </c>
      <c r="W620" s="1014" t="s">
        <v>12485</v>
      </c>
      <c r="X620" s="1015">
        <f t="shared" si="52"/>
        <v>30</v>
      </c>
      <c r="Y620" s="1016" t="s">
        <v>12486</v>
      </c>
      <c r="Z620" s="1015">
        <f t="shared" si="53"/>
        <v>11</v>
      </c>
      <c r="AA620" s="1016" t="s">
        <v>12486</v>
      </c>
      <c r="AB620" s="1015">
        <f t="shared" si="54"/>
        <v>11</v>
      </c>
      <c r="AC620" s="1016" t="s">
        <v>12486</v>
      </c>
      <c r="AD620" s="1015">
        <f t="shared" si="55"/>
        <v>11</v>
      </c>
      <c r="AE620" s="518" t="s">
        <v>12480</v>
      </c>
      <c r="AF620" s="519" t="s">
        <v>12481</v>
      </c>
      <c r="AG620" s="1021" t="s">
        <v>9179</v>
      </c>
      <c r="AH620" s="1022" t="s">
        <v>169</v>
      </c>
      <c r="AI620" s="494" t="s">
        <v>2917</v>
      </c>
      <c r="AJ620" s="958">
        <v>1</v>
      </c>
      <c r="AK620" s="959"/>
      <c r="AL620" s="960"/>
      <c r="AM620" s="1018">
        <f>_xll.GetCtData("COAMOUNT","CONSAMOUNT",$A$1:$A$7,$D620,AM$10,"#-1143")</f>
        <v>-1143</v>
      </c>
    </row>
    <row r="621" spans="1:39">
      <c r="A621" s="427" t="s">
        <v>6610</v>
      </c>
      <c r="B621" s="427" t="s">
        <v>6610</v>
      </c>
      <c r="D621" s="1112" t="s">
        <v>2581</v>
      </c>
      <c r="E621" s="949" t="s">
        <v>2912</v>
      </c>
      <c r="F621" s="949">
        <v>4</v>
      </c>
      <c r="G621" s="949"/>
      <c r="H621" s="949"/>
      <c r="I621" s="949"/>
      <c r="J621" s="949"/>
      <c r="K621" s="1113" t="s">
        <v>12487</v>
      </c>
      <c r="L621" s="1072"/>
      <c r="M621" s="1072"/>
      <c r="N621" s="1071"/>
      <c r="O621" s="1072"/>
      <c r="P621" s="1072"/>
      <c r="Q621" s="1091"/>
      <c r="R621" s="1112" t="s">
        <v>12487</v>
      </c>
      <c r="S621" s="1091" t="s">
        <v>41</v>
      </c>
      <c r="T621" s="1114">
        <f t="shared" si="56"/>
        <v>15</v>
      </c>
      <c r="U621" s="1091" t="s">
        <v>41</v>
      </c>
      <c r="V621" s="1114">
        <f t="shared" si="51"/>
        <v>15</v>
      </c>
      <c r="W621" s="1091" t="s">
        <v>41</v>
      </c>
      <c r="X621" s="1114">
        <f t="shared" si="52"/>
        <v>15</v>
      </c>
      <c r="Y621" s="1091" t="s">
        <v>12488</v>
      </c>
      <c r="Z621" s="1114">
        <f t="shared" si="53"/>
        <v>12</v>
      </c>
      <c r="AA621" s="1091" t="s">
        <v>12488</v>
      </c>
      <c r="AB621" s="1114">
        <f t="shared" si="54"/>
        <v>12</v>
      </c>
      <c r="AC621" s="1091" t="s">
        <v>12488</v>
      </c>
      <c r="AD621" s="1114">
        <f t="shared" si="55"/>
        <v>12</v>
      </c>
      <c r="AE621" s="1092"/>
      <c r="AF621" s="1092"/>
      <c r="AG621" s="956"/>
      <c r="AH621" s="957"/>
      <c r="AI621" s="494" t="s">
        <v>2917</v>
      </c>
      <c r="AJ621" s="958">
        <v>1</v>
      </c>
      <c r="AK621" s="959"/>
      <c r="AL621" s="960"/>
      <c r="AM621" s="1094">
        <f>_xll.GetCtData("COAMOUNT","CONSAMOUNT",$A$1:$A$7,$D621,AM$10,"#-91674,9262991278")</f>
        <v>-91674</v>
      </c>
    </row>
    <row r="622" spans="1:39">
      <c r="A622" s="427" t="s">
        <v>6610</v>
      </c>
      <c r="B622" s="427" t="s">
        <v>6610</v>
      </c>
      <c r="D622" s="1095" t="s">
        <v>2573</v>
      </c>
      <c r="E622" s="949" t="s">
        <v>2912</v>
      </c>
      <c r="F622" s="950">
        <v>5</v>
      </c>
      <c r="G622" s="950"/>
      <c r="H622" s="950"/>
      <c r="I622" s="950"/>
      <c r="J622" s="950"/>
      <c r="K622" s="950"/>
      <c r="L622" s="1020" t="s">
        <v>12489</v>
      </c>
      <c r="M622" s="964"/>
      <c r="N622" s="964"/>
      <c r="O622" s="964"/>
      <c r="P622" s="1115"/>
      <c r="Q622" s="1020"/>
      <c r="R622" s="1095" t="s">
        <v>12489</v>
      </c>
      <c r="S622" s="1020" t="s">
        <v>2562</v>
      </c>
      <c r="T622" s="1096">
        <f t="shared" si="56"/>
        <v>41</v>
      </c>
      <c r="U622" s="1020" t="s">
        <v>2562</v>
      </c>
      <c r="V622" s="1096">
        <f t="shared" si="51"/>
        <v>41</v>
      </c>
      <c r="W622" s="1020" t="s">
        <v>12490</v>
      </c>
      <c r="X622" s="1096">
        <f t="shared" si="52"/>
        <v>24</v>
      </c>
      <c r="Y622" s="1097" t="s">
        <v>12491</v>
      </c>
      <c r="Z622" s="1096">
        <f t="shared" si="53"/>
        <v>48</v>
      </c>
      <c r="AA622" s="1097" t="s">
        <v>12492</v>
      </c>
      <c r="AB622" s="1096">
        <f t="shared" si="54"/>
        <v>46</v>
      </c>
      <c r="AC622" s="1097" t="s">
        <v>12493</v>
      </c>
      <c r="AD622" s="1096">
        <f t="shared" si="55"/>
        <v>29</v>
      </c>
      <c r="AE622" s="1096"/>
      <c r="AF622" s="1096"/>
      <c r="AG622" s="999"/>
      <c r="AH622" s="1000"/>
      <c r="AI622" s="494" t="s">
        <v>2917</v>
      </c>
      <c r="AJ622" s="958">
        <v>1</v>
      </c>
      <c r="AK622" s="959"/>
      <c r="AL622" s="960" t="s">
        <v>5930</v>
      </c>
      <c r="AM622" s="1098">
        <f>_xll.GetCtData("COAMOUNT","CONSAMOUNT",$A$1:$A$7,$D622,AM$10,"#-88530")</f>
        <v>-88530</v>
      </c>
    </row>
    <row r="623" spans="1:39">
      <c r="A623" s="427" t="s">
        <v>6610</v>
      </c>
      <c r="B623" s="427" t="s">
        <v>6610</v>
      </c>
      <c r="D623" s="1116" t="s">
        <v>12494</v>
      </c>
      <c r="E623" s="949" t="s">
        <v>2912</v>
      </c>
      <c r="F623" s="950">
        <v>6</v>
      </c>
      <c r="G623" s="950"/>
      <c r="H623" s="950"/>
      <c r="I623" s="950"/>
      <c r="J623" s="950"/>
      <c r="K623" s="950"/>
      <c r="L623" s="950"/>
      <c r="M623" s="1117" t="s">
        <v>12495</v>
      </c>
      <c r="N623" s="1118"/>
      <c r="O623" s="1118"/>
      <c r="P623" s="1119"/>
      <c r="Q623" s="1117"/>
      <c r="R623" s="1116" t="s">
        <v>12495</v>
      </c>
      <c r="S623" s="1117" t="s">
        <v>12496</v>
      </c>
      <c r="T623" s="1120">
        <f t="shared" si="56"/>
        <v>29</v>
      </c>
      <c r="U623" s="1117" t="s">
        <v>12496</v>
      </c>
      <c r="V623" s="1120">
        <f t="shared" si="51"/>
        <v>29</v>
      </c>
      <c r="W623" s="1117" t="s">
        <v>12496</v>
      </c>
      <c r="X623" s="1120">
        <f t="shared" si="52"/>
        <v>29</v>
      </c>
      <c r="Y623" s="1121" t="s">
        <v>12497</v>
      </c>
      <c r="Z623" s="1120">
        <f t="shared" si="53"/>
        <v>36</v>
      </c>
      <c r="AA623" s="1121" t="s">
        <v>12497</v>
      </c>
      <c r="AB623" s="1120">
        <f t="shared" si="54"/>
        <v>36</v>
      </c>
      <c r="AC623" s="1121" t="s">
        <v>12498</v>
      </c>
      <c r="AD623" s="1120">
        <f t="shared" si="55"/>
        <v>29</v>
      </c>
      <c r="AE623" s="1120"/>
      <c r="AF623" s="1120"/>
      <c r="AG623" s="1021"/>
      <c r="AH623" s="1022"/>
      <c r="AI623" s="494" t="s">
        <v>2917</v>
      </c>
      <c r="AJ623" s="958">
        <v>1</v>
      </c>
      <c r="AK623" s="959"/>
      <c r="AL623" s="960"/>
      <c r="AM623" s="1122">
        <f>_xll.GetCtData("COAMOUNT","CONSAMOUNT",$A$1:$A$7,$D623,AM$10,"#-88530")</f>
        <v>-88530</v>
      </c>
    </row>
    <row r="624" spans="1:39">
      <c r="A624" s="427" t="s">
        <v>6610</v>
      </c>
      <c r="B624" s="427" t="s">
        <v>6610</v>
      </c>
      <c r="D624" s="1051" t="s">
        <v>12499</v>
      </c>
      <c r="E624" s="949" t="s">
        <v>2930</v>
      </c>
      <c r="F624" s="950">
        <v>10</v>
      </c>
      <c r="G624" s="950"/>
      <c r="H624" s="950"/>
      <c r="I624" s="950"/>
      <c r="J624" s="950"/>
      <c r="K624" s="950"/>
      <c r="L624" s="950"/>
      <c r="M624" s="950"/>
      <c r="N624" s="950"/>
      <c r="O624" s="950"/>
      <c r="Q624" s="950"/>
      <c r="R624" s="1051" t="s">
        <v>12500</v>
      </c>
      <c r="S624" s="1014" t="s">
        <v>12496</v>
      </c>
      <c r="T624" s="1015">
        <f t="shared" si="56"/>
        <v>29</v>
      </c>
      <c r="U624" s="1014" t="s">
        <v>12496</v>
      </c>
      <c r="V624" s="1015">
        <f t="shared" si="51"/>
        <v>29</v>
      </c>
      <c r="W624" s="1014" t="s">
        <v>12496</v>
      </c>
      <c r="X624" s="1015">
        <f t="shared" si="52"/>
        <v>29</v>
      </c>
      <c r="Y624" s="1016" t="s">
        <v>12497</v>
      </c>
      <c r="Z624" s="1015">
        <f t="shared" si="53"/>
        <v>36</v>
      </c>
      <c r="AA624" s="1016" t="s">
        <v>12497</v>
      </c>
      <c r="AB624" s="1015">
        <f t="shared" si="54"/>
        <v>36</v>
      </c>
      <c r="AC624" s="1016" t="s">
        <v>12498</v>
      </c>
      <c r="AD624" s="1015">
        <f t="shared" si="55"/>
        <v>29</v>
      </c>
      <c r="AE624" s="518" t="s">
        <v>12501</v>
      </c>
      <c r="AF624" s="519" t="s">
        <v>41</v>
      </c>
      <c r="AG624" s="1021" t="s">
        <v>9179</v>
      </c>
      <c r="AH624" s="1022" t="s">
        <v>169</v>
      </c>
      <c r="AI624" s="494" t="s">
        <v>2917</v>
      </c>
      <c r="AJ624" s="958">
        <v>1</v>
      </c>
      <c r="AK624" s="959"/>
      <c r="AL624" s="960"/>
      <c r="AM624" s="1018">
        <f>_xll.GetCtData("COAMOUNT","CONSAMOUNT",$A$1:$A$7,$D624,AM$10,"#-88530")</f>
        <v>-88530</v>
      </c>
    </row>
    <row r="625" spans="1:39">
      <c r="A625" s="427" t="s">
        <v>6610</v>
      </c>
      <c r="B625" s="427" t="s">
        <v>6610</v>
      </c>
      <c r="D625" s="1095" t="s">
        <v>2574</v>
      </c>
      <c r="E625" s="949" t="s">
        <v>2912</v>
      </c>
      <c r="F625" s="950">
        <v>5</v>
      </c>
      <c r="G625" s="950"/>
      <c r="H625" s="950"/>
      <c r="I625" s="950"/>
      <c r="J625" s="950"/>
      <c r="K625" s="950"/>
      <c r="L625" s="1020" t="s">
        <v>12502</v>
      </c>
      <c r="M625" s="964"/>
      <c r="N625" s="964"/>
      <c r="O625" s="964"/>
      <c r="P625" s="1078"/>
      <c r="Q625" s="1020"/>
      <c r="R625" s="1095" t="s">
        <v>12502</v>
      </c>
      <c r="S625" s="1020" t="s">
        <v>2563</v>
      </c>
      <c r="T625" s="1096">
        <f t="shared" si="56"/>
        <v>52</v>
      </c>
      <c r="U625" s="1020" t="s">
        <v>2563</v>
      </c>
      <c r="V625" s="1096">
        <f t="shared" si="51"/>
        <v>52</v>
      </c>
      <c r="W625" s="1020" t="s">
        <v>12503</v>
      </c>
      <c r="X625" s="1096">
        <f t="shared" si="52"/>
        <v>30</v>
      </c>
      <c r="Y625" s="1097" t="s">
        <v>12504</v>
      </c>
      <c r="Z625" s="1096">
        <f t="shared" si="53"/>
        <v>53</v>
      </c>
      <c r="AA625" s="1097" t="s">
        <v>12504</v>
      </c>
      <c r="AB625" s="1096">
        <f t="shared" si="54"/>
        <v>53</v>
      </c>
      <c r="AC625" s="1097" t="s">
        <v>12505</v>
      </c>
      <c r="AD625" s="1096">
        <f t="shared" si="55"/>
        <v>30</v>
      </c>
      <c r="AE625" s="1096"/>
      <c r="AF625" s="1096"/>
      <c r="AG625" s="999"/>
      <c r="AH625" s="1000"/>
      <c r="AI625" s="494" t="s">
        <v>2917</v>
      </c>
      <c r="AJ625" s="958">
        <v>1</v>
      </c>
      <c r="AK625" s="959"/>
      <c r="AL625" s="960"/>
      <c r="AM625" s="1098">
        <f>_xll.GetCtData("COAMOUNT","CONSAMOUNT",$A$1:$A$7,$D625,AM$10,"#93476")</f>
        <v>93476</v>
      </c>
    </row>
    <row r="626" spans="1:39">
      <c r="A626" s="427" t="s">
        <v>6610</v>
      </c>
      <c r="B626" s="427" t="s">
        <v>6610</v>
      </c>
      <c r="D626" s="1116" t="s">
        <v>12506</v>
      </c>
      <c r="E626" s="949" t="s">
        <v>2912</v>
      </c>
      <c r="F626" s="950">
        <v>6</v>
      </c>
      <c r="G626" s="950"/>
      <c r="H626" s="950"/>
      <c r="I626" s="950"/>
      <c r="J626" s="950"/>
      <c r="K626" s="950"/>
      <c r="L626" s="950"/>
      <c r="M626" s="1117" t="s">
        <v>12507</v>
      </c>
      <c r="N626" s="1118"/>
      <c r="O626" s="1118"/>
      <c r="P626" s="1119"/>
      <c r="Q626" s="1117"/>
      <c r="R626" s="1116" t="s">
        <v>12507</v>
      </c>
      <c r="S626" s="1117" t="s">
        <v>12508</v>
      </c>
      <c r="T626" s="1120">
        <f t="shared" si="56"/>
        <v>40</v>
      </c>
      <c r="U626" s="1117" t="s">
        <v>12508</v>
      </c>
      <c r="V626" s="1120">
        <f t="shared" si="51"/>
        <v>40</v>
      </c>
      <c r="W626" s="1117" t="s">
        <v>12509</v>
      </c>
      <c r="X626" s="1120">
        <f t="shared" si="52"/>
        <v>30</v>
      </c>
      <c r="Y626" s="1121" t="s">
        <v>12510</v>
      </c>
      <c r="Z626" s="1120">
        <f t="shared" si="53"/>
        <v>43</v>
      </c>
      <c r="AA626" s="1121" t="s">
        <v>12510</v>
      </c>
      <c r="AB626" s="1120">
        <f t="shared" si="54"/>
        <v>43</v>
      </c>
      <c r="AC626" s="1121" t="s">
        <v>12511</v>
      </c>
      <c r="AD626" s="1120">
        <f t="shared" si="55"/>
        <v>27</v>
      </c>
      <c r="AE626" s="1120"/>
      <c r="AF626" s="1120"/>
      <c r="AG626" s="1026"/>
      <c r="AH626" s="1123"/>
      <c r="AI626" s="494" t="s">
        <v>2917</v>
      </c>
      <c r="AJ626" s="958">
        <v>1</v>
      </c>
      <c r="AK626" s="959"/>
      <c r="AL626" s="960"/>
      <c r="AM626" s="1122">
        <f>_xll.GetCtData("COAMOUNT","CONSAMOUNT",$A$1:$A$7,$D626,AM$10,"#93476")</f>
        <v>93476</v>
      </c>
    </row>
    <row r="627" spans="1:39">
      <c r="A627" s="427" t="s">
        <v>6610</v>
      </c>
      <c r="B627" s="427" t="s">
        <v>6610</v>
      </c>
      <c r="D627" s="1051" t="s">
        <v>12512</v>
      </c>
      <c r="E627" s="949" t="s">
        <v>2930</v>
      </c>
      <c r="F627" s="950">
        <v>10</v>
      </c>
      <c r="G627" s="950"/>
      <c r="H627" s="950"/>
      <c r="I627" s="950"/>
      <c r="J627" s="950"/>
      <c r="K627" s="950"/>
      <c r="L627" s="950"/>
      <c r="M627" s="950"/>
      <c r="N627" s="950"/>
      <c r="O627" s="950"/>
      <c r="Q627" s="950"/>
      <c r="R627" s="1051" t="s">
        <v>12513</v>
      </c>
      <c r="S627" s="1014" t="s">
        <v>12508</v>
      </c>
      <c r="T627" s="1015">
        <f t="shared" si="56"/>
        <v>40</v>
      </c>
      <c r="U627" s="1014" t="s">
        <v>12508</v>
      </c>
      <c r="V627" s="1015">
        <f t="shared" si="51"/>
        <v>40</v>
      </c>
      <c r="W627" s="1014" t="s">
        <v>12509</v>
      </c>
      <c r="X627" s="1015">
        <f t="shared" si="52"/>
        <v>30</v>
      </c>
      <c r="Y627" s="1016" t="s">
        <v>12510</v>
      </c>
      <c r="Z627" s="1015">
        <f t="shared" si="53"/>
        <v>43</v>
      </c>
      <c r="AA627" s="1016" t="s">
        <v>12510</v>
      </c>
      <c r="AB627" s="1015">
        <f t="shared" si="54"/>
        <v>43</v>
      </c>
      <c r="AC627" s="1016" t="s">
        <v>12511</v>
      </c>
      <c r="AD627" s="1015">
        <f t="shared" si="55"/>
        <v>27</v>
      </c>
      <c r="AE627" s="518" t="s">
        <v>12501</v>
      </c>
      <c r="AF627" s="519" t="s">
        <v>41</v>
      </c>
      <c r="AG627" s="1021" t="s">
        <v>9179</v>
      </c>
      <c r="AH627" s="1022" t="s">
        <v>169</v>
      </c>
      <c r="AI627" s="494" t="s">
        <v>2917</v>
      </c>
      <c r="AJ627" s="958">
        <v>1</v>
      </c>
      <c r="AK627" s="959"/>
      <c r="AL627" s="960"/>
      <c r="AM627" s="1018">
        <f>_xll.GetCtData("COAMOUNT","CONSAMOUNT",$A$1:$A$7,$D627,AM$10,"#93476")</f>
        <v>93476</v>
      </c>
    </row>
    <row r="628" spans="1:39">
      <c r="A628" s="427" t="s">
        <v>6610</v>
      </c>
      <c r="B628" s="427" t="s">
        <v>6610</v>
      </c>
      <c r="D628" s="1095" t="s">
        <v>2575</v>
      </c>
      <c r="E628" s="949" t="s">
        <v>2912</v>
      </c>
      <c r="F628" s="950">
        <v>5</v>
      </c>
      <c r="G628" s="950"/>
      <c r="H628" s="950"/>
      <c r="I628" s="950"/>
      <c r="J628" s="950"/>
      <c r="K628" s="950"/>
      <c r="L628" s="1020" t="s">
        <v>12514</v>
      </c>
      <c r="M628" s="964"/>
      <c r="N628" s="964"/>
      <c r="O628" s="964"/>
      <c r="P628" s="1078"/>
      <c r="Q628" s="1020"/>
      <c r="R628" s="1095" t="s">
        <v>12514</v>
      </c>
      <c r="S628" s="1020" t="s">
        <v>2564</v>
      </c>
      <c r="T628" s="1096">
        <f t="shared" si="56"/>
        <v>34</v>
      </c>
      <c r="U628" s="1020" t="s">
        <v>2564</v>
      </c>
      <c r="V628" s="1096">
        <f t="shared" si="51"/>
        <v>34</v>
      </c>
      <c r="W628" s="1020" t="s">
        <v>12515</v>
      </c>
      <c r="X628" s="1096">
        <f t="shared" si="52"/>
        <v>30</v>
      </c>
      <c r="Y628" s="1097" t="s">
        <v>12516</v>
      </c>
      <c r="Z628" s="1096">
        <f t="shared" si="53"/>
        <v>44</v>
      </c>
      <c r="AA628" s="1097" t="s">
        <v>12516</v>
      </c>
      <c r="AB628" s="1096">
        <f t="shared" si="54"/>
        <v>44</v>
      </c>
      <c r="AC628" s="1097" t="s">
        <v>12517</v>
      </c>
      <c r="AD628" s="1096">
        <f t="shared" si="55"/>
        <v>30</v>
      </c>
      <c r="AE628" s="1096"/>
      <c r="AF628" s="1096"/>
      <c r="AG628" s="999"/>
      <c r="AH628" s="1000"/>
      <c r="AI628" s="494" t="s">
        <v>2917</v>
      </c>
      <c r="AJ628" s="958">
        <v>1</v>
      </c>
      <c r="AK628" s="959"/>
      <c r="AL628" s="960" t="s">
        <v>12518</v>
      </c>
      <c r="AM628" s="1098">
        <f>_xll.GetCtData("COAMOUNT","CONSAMOUNT",$A$1:$A$7,$D628,AM$10,"#396119")</f>
        <v>396119</v>
      </c>
    </row>
    <row r="629" spans="1:39">
      <c r="A629" s="427" t="s">
        <v>6610</v>
      </c>
      <c r="B629" s="427" t="s">
        <v>6610</v>
      </c>
      <c r="D629" s="1117" t="s">
        <v>12519</v>
      </c>
      <c r="E629" s="949" t="s">
        <v>2912</v>
      </c>
      <c r="F629" s="950">
        <v>6</v>
      </c>
      <c r="G629" s="950"/>
      <c r="H629" s="950"/>
      <c r="I629" s="950"/>
      <c r="J629" s="950"/>
      <c r="K629" s="950"/>
      <c r="L629" s="950"/>
      <c r="M629" s="1117" t="s">
        <v>12520</v>
      </c>
      <c r="N629" s="1118"/>
      <c r="O629" s="1118"/>
      <c r="P629" s="1119"/>
      <c r="Q629" s="1117"/>
      <c r="R629" s="1117" t="s">
        <v>12520</v>
      </c>
      <c r="S629" s="1117" t="s">
        <v>2564</v>
      </c>
      <c r="T629" s="1120">
        <f t="shared" si="56"/>
        <v>34</v>
      </c>
      <c r="U629" s="1117" t="s">
        <v>2564</v>
      </c>
      <c r="V629" s="1120">
        <f t="shared" si="51"/>
        <v>34</v>
      </c>
      <c r="W629" s="1117" t="s">
        <v>12521</v>
      </c>
      <c r="X629" s="1120">
        <f t="shared" si="52"/>
        <v>30</v>
      </c>
      <c r="Y629" s="1121" t="s">
        <v>12516</v>
      </c>
      <c r="Z629" s="1120">
        <f t="shared" si="53"/>
        <v>44</v>
      </c>
      <c r="AA629" s="1121" t="s">
        <v>12516</v>
      </c>
      <c r="AB629" s="1120">
        <f t="shared" si="54"/>
        <v>44</v>
      </c>
      <c r="AC629" s="1121" t="s">
        <v>12522</v>
      </c>
      <c r="AD629" s="1120">
        <f t="shared" si="55"/>
        <v>30</v>
      </c>
      <c r="AE629" s="1120"/>
      <c r="AF629" s="1120"/>
      <c r="AG629" s="1021"/>
      <c r="AH629" s="1022"/>
      <c r="AI629" s="494" t="s">
        <v>2917</v>
      </c>
      <c r="AJ629" s="958">
        <v>1</v>
      </c>
      <c r="AK629" s="959"/>
      <c r="AL629" s="960"/>
      <c r="AM629" s="1122">
        <f>_xll.GetCtData("COAMOUNT","CONSAMOUNT",$A$1:$A$7,$D629,AM$10,"#396119")</f>
        <v>396119</v>
      </c>
    </row>
    <row r="630" spans="1:39">
      <c r="A630" s="427" t="s">
        <v>6610</v>
      </c>
      <c r="B630" s="427" t="s">
        <v>6610</v>
      </c>
      <c r="D630" s="1051" t="s">
        <v>12523</v>
      </c>
      <c r="E630" s="949" t="s">
        <v>2930</v>
      </c>
      <c r="F630" s="950">
        <v>10</v>
      </c>
      <c r="G630" s="950"/>
      <c r="H630" s="950"/>
      <c r="I630" s="950"/>
      <c r="J630" s="950"/>
      <c r="K630" s="950"/>
      <c r="L630" s="950"/>
      <c r="M630" s="950"/>
      <c r="N630" s="950"/>
      <c r="O630" s="950"/>
      <c r="Q630" s="950"/>
      <c r="R630" s="1051" t="s">
        <v>12524</v>
      </c>
      <c r="S630" s="1014" t="s">
        <v>2564</v>
      </c>
      <c r="T630" s="1015">
        <f t="shared" si="56"/>
        <v>34</v>
      </c>
      <c r="U630" s="1014" t="s">
        <v>2564</v>
      </c>
      <c r="V630" s="1015">
        <f t="shared" si="51"/>
        <v>34</v>
      </c>
      <c r="W630" s="1014" t="s">
        <v>12525</v>
      </c>
      <c r="X630" s="1015">
        <f t="shared" si="52"/>
        <v>29</v>
      </c>
      <c r="Y630" s="1016" t="s">
        <v>12516</v>
      </c>
      <c r="Z630" s="1015">
        <f t="shared" si="53"/>
        <v>44</v>
      </c>
      <c r="AA630" s="1016" t="s">
        <v>12516</v>
      </c>
      <c r="AB630" s="1015">
        <f t="shared" si="54"/>
        <v>44</v>
      </c>
      <c r="AC630" s="1016" t="s">
        <v>12522</v>
      </c>
      <c r="AD630" s="1015">
        <f t="shared" si="55"/>
        <v>30</v>
      </c>
      <c r="AE630" s="518" t="s">
        <v>12501</v>
      </c>
      <c r="AF630" s="519" t="s">
        <v>41</v>
      </c>
      <c r="AG630" s="1021" t="s">
        <v>9179</v>
      </c>
      <c r="AH630" s="1022" t="s">
        <v>169</v>
      </c>
      <c r="AI630" s="494" t="s">
        <v>2917</v>
      </c>
      <c r="AJ630" s="958">
        <v>1</v>
      </c>
      <c r="AK630" s="959"/>
      <c r="AL630" s="960"/>
      <c r="AM630" s="1018">
        <f>_xll.GetCtData("COAMOUNT","CONSAMOUNT",$A$1:$A$7,$D630,AM$10,"#396119")</f>
        <v>396119</v>
      </c>
    </row>
    <row r="631" spans="1:39">
      <c r="A631" s="427" t="s">
        <v>6610</v>
      </c>
      <c r="B631" s="427" t="s">
        <v>6610</v>
      </c>
      <c r="D631" s="427" t="s">
        <v>12526</v>
      </c>
      <c r="E631" s="949" t="s">
        <v>2930</v>
      </c>
      <c r="F631" s="950">
        <v>10</v>
      </c>
      <c r="G631" s="950"/>
      <c r="H631" s="950"/>
      <c r="I631" s="950"/>
      <c r="J631" s="950"/>
      <c r="K631" s="950"/>
      <c r="L631" s="950"/>
      <c r="M631" s="950"/>
      <c r="N631" s="950"/>
      <c r="O631" s="950"/>
      <c r="Q631" s="950"/>
      <c r="R631" s="427" t="s">
        <v>12527</v>
      </c>
      <c r="S631" s="1014" t="s">
        <v>12528</v>
      </c>
      <c r="T631" s="1015">
        <f t="shared" si="56"/>
        <v>68</v>
      </c>
      <c r="U631" s="1014" t="s">
        <v>12528</v>
      </c>
      <c r="V631" s="1015">
        <f t="shared" si="51"/>
        <v>68</v>
      </c>
      <c r="W631" s="1014" t="s">
        <v>12529</v>
      </c>
      <c r="X631" s="1015">
        <f t="shared" si="52"/>
        <v>30</v>
      </c>
      <c r="Y631" s="1016" t="s">
        <v>12530</v>
      </c>
      <c r="Z631" s="1015">
        <f t="shared" si="53"/>
        <v>64</v>
      </c>
      <c r="AA631" s="1016" t="s">
        <v>12530</v>
      </c>
      <c r="AB631" s="1015">
        <f t="shared" si="54"/>
        <v>64</v>
      </c>
      <c r="AC631" s="1016" t="s">
        <v>12531</v>
      </c>
      <c r="AD631" s="1015">
        <f t="shared" si="55"/>
        <v>29</v>
      </c>
      <c r="AE631" s="518" t="s">
        <v>12501</v>
      </c>
      <c r="AF631" s="519" t="s">
        <v>41</v>
      </c>
      <c r="AG631" s="1021" t="s">
        <v>9179</v>
      </c>
      <c r="AH631" s="1022" t="s">
        <v>169</v>
      </c>
      <c r="AI631" s="494" t="s">
        <v>2917</v>
      </c>
      <c r="AJ631" s="958">
        <v>1</v>
      </c>
      <c r="AK631" s="959"/>
      <c r="AL631" s="960"/>
      <c r="AM631" s="1018">
        <f>_xll.GetCtData("COAMOUNT","CONSAMOUNT",$A$1:$A$7,$D631,AM$10,"#")</f>
        <v>0</v>
      </c>
    </row>
    <row r="632" spans="1:39">
      <c r="A632" s="427" t="s">
        <v>6610</v>
      </c>
      <c r="B632" s="427" t="s">
        <v>6610</v>
      </c>
      <c r="D632" s="1095" t="s">
        <v>2576</v>
      </c>
      <c r="E632" s="949" t="s">
        <v>2912</v>
      </c>
      <c r="F632" s="950">
        <v>5</v>
      </c>
      <c r="G632" s="950"/>
      <c r="H632" s="950"/>
      <c r="I632" s="950"/>
      <c r="J632" s="950"/>
      <c r="K632" s="950"/>
      <c r="L632" s="1020" t="s">
        <v>12532</v>
      </c>
      <c r="M632" s="964"/>
      <c r="N632" s="964"/>
      <c r="O632" s="964"/>
      <c r="P632" s="1078"/>
      <c r="Q632" s="1020"/>
      <c r="R632" s="1095" t="s">
        <v>12532</v>
      </c>
      <c r="S632" s="1020" t="s">
        <v>2565</v>
      </c>
      <c r="T632" s="1096">
        <f t="shared" si="56"/>
        <v>45</v>
      </c>
      <c r="U632" s="1020" t="s">
        <v>2565</v>
      </c>
      <c r="V632" s="1096">
        <f t="shared" si="51"/>
        <v>45</v>
      </c>
      <c r="W632" s="1020" t="s">
        <v>12533</v>
      </c>
      <c r="X632" s="1096">
        <f t="shared" si="52"/>
        <v>29</v>
      </c>
      <c r="Y632" s="1097" t="s">
        <v>12534</v>
      </c>
      <c r="Z632" s="1096">
        <f t="shared" si="53"/>
        <v>44</v>
      </c>
      <c r="AA632" s="1097" t="s">
        <v>12534</v>
      </c>
      <c r="AB632" s="1096">
        <f t="shared" si="54"/>
        <v>44</v>
      </c>
      <c r="AC632" s="1097" t="s">
        <v>12535</v>
      </c>
      <c r="AD632" s="1096">
        <f t="shared" si="55"/>
        <v>29</v>
      </c>
      <c r="AE632" s="1096"/>
      <c r="AF632" s="1096"/>
      <c r="AG632" s="999"/>
      <c r="AH632" s="1000"/>
      <c r="AI632" s="494" t="s">
        <v>2917</v>
      </c>
      <c r="AJ632" s="958">
        <v>1</v>
      </c>
      <c r="AK632" s="959"/>
      <c r="AL632" s="960"/>
      <c r="AM632" s="1098">
        <f>_xll.GetCtData("COAMOUNT","CONSAMOUNT",$A$1:$A$7,$D632,AM$10,"#-591059,982502154")</f>
        <v>-591059</v>
      </c>
    </row>
    <row r="633" spans="1:39">
      <c r="A633" s="427" t="s">
        <v>6610</v>
      </c>
      <c r="B633" s="427" t="s">
        <v>6610</v>
      </c>
      <c r="D633" s="1116" t="s">
        <v>12536</v>
      </c>
      <c r="E633" s="949" t="s">
        <v>2912</v>
      </c>
      <c r="F633" s="950">
        <v>6</v>
      </c>
      <c r="G633" s="950"/>
      <c r="H633" s="950"/>
      <c r="I633" s="950"/>
      <c r="J633" s="950"/>
      <c r="K633" s="950"/>
      <c r="L633" s="950"/>
      <c r="M633" s="1117" t="s">
        <v>12537</v>
      </c>
      <c r="N633" s="1118"/>
      <c r="O633" s="1118"/>
      <c r="P633" s="1119"/>
      <c r="Q633" s="1117"/>
      <c r="R633" s="1116" t="s">
        <v>12537</v>
      </c>
      <c r="S633" s="1117" t="s">
        <v>12538</v>
      </c>
      <c r="T633" s="1120">
        <f t="shared" si="56"/>
        <v>30</v>
      </c>
      <c r="U633" s="1117" t="s">
        <v>12538</v>
      </c>
      <c r="V633" s="1120">
        <f t="shared" si="51"/>
        <v>30</v>
      </c>
      <c r="W633" s="1117" t="s">
        <v>12538</v>
      </c>
      <c r="X633" s="1120">
        <f t="shared" si="52"/>
        <v>30</v>
      </c>
      <c r="Y633" s="1121" t="s">
        <v>12539</v>
      </c>
      <c r="Z633" s="1120">
        <f t="shared" si="53"/>
        <v>39</v>
      </c>
      <c r="AA633" s="1121" t="s">
        <v>12539</v>
      </c>
      <c r="AB633" s="1120">
        <f t="shared" si="54"/>
        <v>39</v>
      </c>
      <c r="AC633" s="1121" t="s">
        <v>12540</v>
      </c>
      <c r="AD633" s="1120">
        <f t="shared" si="55"/>
        <v>26</v>
      </c>
      <c r="AE633" s="1120"/>
      <c r="AF633" s="1120"/>
      <c r="AG633" s="1026"/>
      <c r="AH633" s="1123"/>
      <c r="AI633" s="494" t="s">
        <v>2917</v>
      </c>
      <c r="AJ633" s="958">
        <v>1</v>
      </c>
      <c r="AK633" s="959"/>
      <c r="AL633" s="960"/>
      <c r="AM633" s="1122">
        <f>_xll.GetCtData("COAMOUNT","CONSAMOUNT",$A$1:$A$7,$D633,AM$10,"#-591059,982502154")</f>
        <v>-591059</v>
      </c>
    </row>
    <row r="634" spans="1:39">
      <c r="A634" s="427" t="s">
        <v>6610</v>
      </c>
      <c r="B634" s="427" t="s">
        <v>6610</v>
      </c>
      <c r="D634" s="1051" t="s">
        <v>12541</v>
      </c>
      <c r="E634" s="949" t="s">
        <v>2930</v>
      </c>
      <c r="F634" s="950">
        <v>10</v>
      </c>
      <c r="G634" s="950"/>
      <c r="H634" s="950"/>
      <c r="I634" s="950"/>
      <c r="J634" s="950"/>
      <c r="K634" s="950"/>
      <c r="L634" s="950"/>
      <c r="M634" s="950"/>
      <c r="N634" s="950"/>
      <c r="O634" s="950"/>
      <c r="Q634" s="950"/>
      <c r="R634" s="1051" t="s">
        <v>12542</v>
      </c>
      <c r="S634" s="1014" t="s">
        <v>12538</v>
      </c>
      <c r="T634" s="1015">
        <f t="shared" si="56"/>
        <v>30</v>
      </c>
      <c r="U634" s="1014" t="s">
        <v>12538</v>
      </c>
      <c r="V634" s="1015">
        <f t="shared" si="51"/>
        <v>30</v>
      </c>
      <c r="W634" s="1014" t="s">
        <v>12538</v>
      </c>
      <c r="X634" s="1015">
        <f t="shared" si="52"/>
        <v>30</v>
      </c>
      <c r="Y634" s="1016" t="s">
        <v>12539</v>
      </c>
      <c r="Z634" s="1015">
        <f t="shared" si="53"/>
        <v>39</v>
      </c>
      <c r="AA634" s="1016" t="s">
        <v>12539</v>
      </c>
      <c r="AB634" s="1015">
        <f t="shared" si="54"/>
        <v>39</v>
      </c>
      <c r="AC634" s="1016" t="s">
        <v>12540</v>
      </c>
      <c r="AD634" s="1015">
        <f t="shared" si="55"/>
        <v>26</v>
      </c>
      <c r="AE634" s="518" t="s">
        <v>12501</v>
      </c>
      <c r="AF634" s="519" t="s">
        <v>41</v>
      </c>
      <c r="AG634" s="1021" t="s">
        <v>9179</v>
      </c>
      <c r="AH634" s="1022" t="s">
        <v>169</v>
      </c>
      <c r="AI634" s="494" t="s">
        <v>2917</v>
      </c>
      <c r="AJ634" s="958">
        <v>1</v>
      </c>
      <c r="AK634" s="959"/>
      <c r="AL634" s="960"/>
      <c r="AM634" s="1018">
        <f>_xll.GetCtData("COAMOUNT","CONSAMOUNT",$A$1:$A$7,$D634,AM$10,"#-591059,982502154")</f>
        <v>-591059</v>
      </c>
    </row>
    <row r="635" spans="1:39">
      <c r="A635" s="427" t="s">
        <v>6610</v>
      </c>
      <c r="B635" s="427" t="s">
        <v>6610</v>
      </c>
      <c r="D635" s="1095" t="s">
        <v>2577</v>
      </c>
      <c r="E635" s="949" t="s">
        <v>2912</v>
      </c>
      <c r="F635" s="950">
        <v>5</v>
      </c>
      <c r="G635" s="950"/>
      <c r="H635" s="950"/>
      <c r="I635" s="950"/>
      <c r="J635" s="950"/>
      <c r="K635" s="950"/>
      <c r="L635" s="1020" t="s">
        <v>12543</v>
      </c>
      <c r="M635" s="964"/>
      <c r="N635" s="964"/>
      <c r="O635" s="964"/>
      <c r="P635" s="1078"/>
      <c r="Q635" s="1020"/>
      <c r="R635" s="1095" t="s">
        <v>12543</v>
      </c>
      <c r="S635" s="1020" t="s">
        <v>2566</v>
      </c>
      <c r="T635" s="1096">
        <f t="shared" si="56"/>
        <v>18</v>
      </c>
      <c r="U635" s="1020" t="s">
        <v>2566</v>
      </c>
      <c r="V635" s="1096">
        <f t="shared" si="51"/>
        <v>18</v>
      </c>
      <c r="W635" s="1020" t="s">
        <v>2566</v>
      </c>
      <c r="X635" s="1096">
        <f t="shared" si="52"/>
        <v>18</v>
      </c>
      <c r="Y635" s="1097" t="s">
        <v>12544</v>
      </c>
      <c r="Z635" s="1096">
        <f t="shared" si="53"/>
        <v>41</v>
      </c>
      <c r="AA635" s="1097" t="s">
        <v>12544</v>
      </c>
      <c r="AB635" s="1096">
        <f t="shared" si="54"/>
        <v>41</v>
      </c>
      <c r="AC635" s="1097" t="s">
        <v>12545</v>
      </c>
      <c r="AD635" s="1096">
        <f t="shared" si="55"/>
        <v>28</v>
      </c>
      <c r="AE635" s="1096"/>
      <c r="AF635" s="1096"/>
      <c r="AG635" s="999"/>
      <c r="AH635" s="1000"/>
      <c r="AI635" s="494" t="s">
        <v>2917</v>
      </c>
      <c r="AJ635" s="958">
        <v>1</v>
      </c>
      <c r="AK635" s="959"/>
      <c r="AL635" s="960"/>
      <c r="AM635" s="1098">
        <f>_xll.GetCtData("COAMOUNT","CONSAMOUNT",$A$1:$A$7,$D635,AM$10,"#-348,770360349086")</f>
        <v>-348</v>
      </c>
    </row>
    <row r="636" spans="1:39">
      <c r="A636" s="427" t="s">
        <v>6610</v>
      </c>
      <c r="B636" s="427" t="s">
        <v>6610</v>
      </c>
      <c r="D636" s="1116" t="s">
        <v>2578</v>
      </c>
      <c r="E636" s="949" t="s">
        <v>2912</v>
      </c>
      <c r="F636" s="950">
        <v>6</v>
      </c>
      <c r="G636" s="950"/>
      <c r="H636" s="950"/>
      <c r="I636" s="950"/>
      <c r="J636" s="950"/>
      <c r="K636" s="950"/>
      <c r="L636" s="950"/>
      <c r="M636" s="1117" t="s">
        <v>12546</v>
      </c>
      <c r="N636" s="1118"/>
      <c r="O636" s="1118"/>
      <c r="P636" s="1119"/>
      <c r="Q636" s="1117"/>
      <c r="R636" s="1116" t="s">
        <v>12546</v>
      </c>
      <c r="S636" s="1117" t="s">
        <v>2567</v>
      </c>
      <c r="T636" s="1120">
        <f t="shared" si="56"/>
        <v>32</v>
      </c>
      <c r="U636" s="1117" t="s">
        <v>2567</v>
      </c>
      <c r="V636" s="1120">
        <f t="shared" si="51"/>
        <v>32</v>
      </c>
      <c r="W636" s="1117" t="s">
        <v>12547</v>
      </c>
      <c r="X636" s="1120">
        <f t="shared" si="52"/>
        <v>24</v>
      </c>
      <c r="Y636" s="1121" t="s">
        <v>12548</v>
      </c>
      <c r="Z636" s="1120">
        <f t="shared" si="53"/>
        <v>48</v>
      </c>
      <c r="AA636" s="1121" t="s">
        <v>12548</v>
      </c>
      <c r="AB636" s="1120">
        <f t="shared" si="54"/>
        <v>48</v>
      </c>
      <c r="AC636" s="1121" t="s">
        <v>12549</v>
      </c>
      <c r="AD636" s="1120">
        <f t="shared" si="55"/>
        <v>29</v>
      </c>
      <c r="AE636" s="1120"/>
      <c r="AF636" s="1120"/>
      <c r="AG636" s="999"/>
      <c r="AH636" s="1000"/>
      <c r="AI636" s="494" t="s">
        <v>2917</v>
      </c>
      <c r="AJ636" s="958">
        <v>1</v>
      </c>
      <c r="AK636" s="959"/>
      <c r="AL636" s="960"/>
      <c r="AM636" s="1122">
        <f>_xll.GetCtData("COAMOUNT","CONSAMOUNT",$A$1:$A$7,$D636,AM$10,"#484,998432885242")</f>
        <v>484</v>
      </c>
    </row>
    <row r="637" spans="1:39">
      <c r="A637" s="427" t="s">
        <v>6610</v>
      </c>
      <c r="B637" s="427" t="s">
        <v>6610</v>
      </c>
      <c r="D637" s="1051" t="s">
        <v>12550</v>
      </c>
      <c r="E637" s="949" t="s">
        <v>2930</v>
      </c>
      <c r="F637" s="950">
        <v>10</v>
      </c>
      <c r="G637" s="950"/>
      <c r="H637" s="950"/>
      <c r="I637" s="950"/>
      <c r="J637" s="950"/>
      <c r="K637" s="950"/>
      <c r="L637" s="950"/>
      <c r="M637" s="950"/>
      <c r="N637" s="950"/>
      <c r="O637" s="950"/>
      <c r="Q637" s="950"/>
      <c r="R637" s="1051" t="s">
        <v>12551</v>
      </c>
      <c r="S637" s="1014" t="s">
        <v>12552</v>
      </c>
      <c r="T637" s="1015">
        <f t="shared" si="56"/>
        <v>41</v>
      </c>
      <c r="U637" s="1014" t="s">
        <v>12552</v>
      </c>
      <c r="V637" s="1015">
        <f t="shared" si="51"/>
        <v>41</v>
      </c>
      <c r="W637" s="1014" t="s">
        <v>12553</v>
      </c>
      <c r="X637" s="1015">
        <f t="shared" si="52"/>
        <v>18</v>
      </c>
      <c r="Y637" s="1016" t="s">
        <v>12554</v>
      </c>
      <c r="Z637" s="1015">
        <f t="shared" si="53"/>
        <v>61</v>
      </c>
      <c r="AA637" s="1016" t="s">
        <v>12554</v>
      </c>
      <c r="AB637" s="1015">
        <f t="shared" si="54"/>
        <v>61</v>
      </c>
      <c r="AC637" s="1016" t="s">
        <v>12555</v>
      </c>
      <c r="AD637" s="1015">
        <f t="shared" si="55"/>
        <v>26</v>
      </c>
      <c r="AE637" s="518" t="s">
        <v>12501</v>
      </c>
      <c r="AF637" s="519" t="s">
        <v>41</v>
      </c>
      <c r="AG637" s="1021" t="s">
        <v>9179</v>
      </c>
      <c r="AH637" s="1022" t="s">
        <v>169</v>
      </c>
      <c r="AI637" s="494" t="s">
        <v>2917</v>
      </c>
      <c r="AJ637" s="958">
        <v>1</v>
      </c>
      <c r="AK637" s="959"/>
      <c r="AL637" s="960"/>
      <c r="AM637" s="1018">
        <f>_xll.GetCtData("COAMOUNT","CONSAMOUNT",$A$1:$A$7,$D637,AM$10,"#484,998432885242")</f>
        <v>484</v>
      </c>
    </row>
    <row r="638" spans="1:39">
      <c r="A638" s="427" t="s">
        <v>6610</v>
      </c>
      <c r="B638" s="427" t="s">
        <v>6610</v>
      </c>
      <c r="D638" s="1116" t="s">
        <v>2579</v>
      </c>
      <c r="E638" s="949" t="s">
        <v>2912</v>
      </c>
      <c r="F638" s="950">
        <v>6</v>
      </c>
      <c r="G638" s="950"/>
      <c r="H638" s="950"/>
      <c r="I638" s="950"/>
      <c r="J638" s="950"/>
      <c r="K638" s="950"/>
      <c r="L638" s="950"/>
      <c r="M638" s="1117" t="s">
        <v>12556</v>
      </c>
      <c r="N638" s="1118"/>
      <c r="O638" s="1118"/>
      <c r="P638" s="1119"/>
      <c r="Q638" s="1117"/>
      <c r="R638" s="1116" t="s">
        <v>12556</v>
      </c>
      <c r="S638" s="1117" t="s">
        <v>2568</v>
      </c>
      <c r="T638" s="1120">
        <f t="shared" si="56"/>
        <v>27</v>
      </c>
      <c r="U638" s="1117" t="s">
        <v>2568</v>
      </c>
      <c r="V638" s="1120">
        <f t="shared" si="51"/>
        <v>27</v>
      </c>
      <c r="W638" s="1117" t="s">
        <v>2568</v>
      </c>
      <c r="X638" s="1120">
        <f t="shared" si="52"/>
        <v>27</v>
      </c>
      <c r="Y638" s="1121" t="s">
        <v>12557</v>
      </c>
      <c r="Z638" s="1120">
        <f t="shared" si="53"/>
        <v>48</v>
      </c>
      <c r="AA638" s="1121" t="s">
        <v>12557</v>
      </c>
      <c r="AB638" s="1120">
        <f t="shared" si="54"/>
        <v>48</v>
      </c>
      <c r="AC638" s="1121" t="s">
        <v>12558</v>
      </c>
      <c r="AD638" s="1120">
        <f t="shared" si="55"/>
        <v>22</v>
      </c>
      <c r="AE638" s="1120"/>
      <c r="AF638" s="1120"/>
      <c r="AG638" s="956"/>
      <c r="AH638" s="957"/>
      <c r="AI638" s="494" t="s">
        <v>2917</v>
      </c>
      <c r="AJ638" s="958">
        <v>1</v>
      </c>
      <c r="AK638" s="959"/>
      <c r="AL638" s="960"/>
      <c r="AM638" s="1122">
        <f>_xll.GetCtData("COAMOUNT","CONSAMOUNT",$A$1:$A$7,$D638,AM$10,"#-833,768793234329")</f>
        <v>-833</v>
      </c>
    </row>
    <row r="639" spans="1:39">
      <c r="A639" s="427" t="s">
        <v>6610</v>
      </c>
      <c r="B639" s="427" t="s">
        <v>6610</v>
      </c>
      <c r="D639" s="1051" t="s">
        <v>12559</v>
      </c>
      <c r="E639" s="949" t="s">
        <v>2930</v>
      </c>
      <c r="F639" s="950">
        <v>10</v>
      </c>
      <c r="G639" s="950"/>
      <c r="H639" s="950"/>
      <c r="I639" s="950"/>
      <c r="J639" s="950"/>
      <c r="K639" s="950"/>
      <c r="L639" s="950"/>
      <c r="M639" s="950"/>
      <c r="N639" s="950"/>
      <c r="O639" s="950"/>
      <c r="P639" s="957"/>
      <c r="Q639" s="950"/>
      <c r="R639" s="1051" t="s">
        <v>12560</v>
      </c>
      <c r="S639" s="1014" t="s">
        <v>12561</v>
      </c>
      <c r="T639" s="1015">
        <f t="shared" si="56"/>
        <v>26</v>
      </c>
      <c r="U639" s="1014" t="s">
        <v>12561</v>
      </c>
      <c r="V639" s="1015">
        <f t="shared" si="51"/>
        <v>26</v>
      </c>
      <c r="W639" s="1014" t="s">
        <v>12561</v>
      </c>
      <c r="X639" s="1015">
        <f t="shared" si="52"/>
        <v>26</v>
      </c>
      <c r="Y639" s="1016" t="s">
        <v>12562</v>
      </c>
      <c r="Z639" s="1015">
        <f t="shared" si="53"/>
        <v>47</v>
      </c>
      <c r="AA639" s="1016" t="s">
        <v>12562</v>
      </c>
      <c r="AB639" s="1015">
        <f t="shared" si="54"/>
        <v>47</v>
      </c>
      <c r="AC639" s="1016" t="s">
        <v>12563</v>
      </c>
      <c r="AD639" s="1015">
        <f t="shared" si="55"/>
        <v>22</v>
      </c>
      <c r="AE639" s="518" t="s">
        <v>12501</v>
      </c>
      <c r="AF639" s="519" t="s">
        <v>41</v>
      </c>
      <c r="AG639" s="1021" t="s">
        <v>9179</v>
      </c>
      <c r="AH639" s="1022" t="s">
        <v>169</v>
      </c>
      <c r="AI639" s="494" t="s">
        <v>2917</v>
      </c>
      <c r="AJ639" s="958">
        <v>1</v>
      </c>
      <c r="AK639" s="959"/>
      <c r="AL639" s="960"/>
      <c r="AM639" s="1018">
        <f>_xll.GetCtData("COAMOUNT","CONSAMOUNT",$A$1:$A$7,$D639,AM$10,"#-833,768793234329")</f>
        <v>-833</v>
      </c>
    </row>
    <row r="640" spans="1:39">
      <c r="A640" s="427" t="s">
        <v>6610</v>
      </c>
      <c r="B640" s="427" t="s">
        <v>6610</v>
      </c>
      <c r="D640" s="1095" t="s">
        <v>2580</v>
      </c>
      <c r="E640" s="949" t="s">
        <v>2912</v>
      </c>
      <c r="F640" s="950">
        <v>5</v>
      </c>
      <c r="G640" s="950"/>
      <c r="H640" s="950"/>
      <c r="I640" s="950"/>
      <c r="J640" s="950"/>
      <c r="K640" s="950"/>
      <c r="L640" s="1020" t="s">
        <v>12564</v>
      </c>
      <c r="M640" s="964"/>
      <c r="N640" s="964"/>
      <c r="O640" s="1078"/>
      <c r="P640" s="964"/>
      <c r="Q640" s="1020"/>
      <c r="R640" s="1095" t="s">
        <v>12564</v>
      </c>
      <c r="S640" s="1020" t="s">
        <v>2569</v>
      </c>
      <c r="T640" s="1096">
        <f t="shared" si="56"/>
        <v>22</v>
      </c>
      <c r="U640" s="1020" t="s">
        <v>2569</v>
      </c>
      <c r="V640" s="1096">
        <f t="shared" si="51"/>
        <v>22</v>
      </c>
      <c r="W640" s="1020" t="s">
        <v>2569</v>
      </c>
      <c r="X640" s="1096">
        <f t="shared" si="52"/>
        <v>22</v>
      </c>
      <c r="Y640" s="1097" t="s">
        <v>12565</v>
      </c>
      <c r="Z640" s="1096">
        <f t="shared" si="53"/>
        <v>39</v>
      </c>
      <c r="AA640" s="1097" t="s">
        <v>12565</v>
      </c>
      <c r="AB640" s="1096">
        <f t="shared" si="54"/>
        <v>39</v>
      </c>
      <c r="AC640" s="1097" t="s">
        <v>12566</v>
      </c>
      <c r="AD640" s="1096">
        <f t="shared" si="55"/>
        <v>27</v>
      </c>
      <c r="AE640" s="1096"/>
      <c r="AF640" s="1096"/>
      <c r="AG640" s="956"/>
      <c r="AH640" s="957"/>
      <c r="AI640" s="494" t="s">
        <v>2917</v>
      </c>
      <c r="AJ640" s="958">
        <v>1</v>
      </c>
      <c r="AK640" s="959"/>
      <c r="AL640" s="960"/>
      <c r="AM640" s="1098">
        <f>_xll.GetCtData("COAMOUNT","CONSAMOUNT",$A$1:$A$7,$D640,AM$10,"#98668,8265633752")</f>
        <v>98668</v>
      </c>
    </row>
    <row r="641" spans="1:39">
      <c r="A641" s="427" t="s">
        <v>6610</v>
      </c>
      <c r="B641" s="427" t="s">
        <v>6610</v>
      </c>
      <c r="D641" s="1051" t="s">
        <v>12567</v>
      </c>
      <c r="E641" s="949" t="s">
        <v>2930</v>
      </c>
      <c r="F641" s="950">
        <v>10</v>
      </c>
      <c r="G641" s="950"/>
      <c r="H641" s="950"/>
      <c r="I641" s="950"/>
      <c r="J641" s="950"/>
      <c r="K641" s="950"/>
      <c r="L641" s="950"/>
      <c r="M641" s="950"/>
      <c r="N641" s="950"/>
      <c r="O641" s="950"/>
      <c r="P641" s="950"/>
      <c r="Q641" s="950"/>
      <c r="R641" s="1051" t="s">
        <v>12568</v>
      </c>
      <c r="S641" s="1014" t="s">
        <v>2569</v>
      </c>
      <c r="T641" s="1015">
        <f t="shared" si="56"/>
        <v>22</v>
      </c>
      <c r="U641" s="1014" t="s">
        <v>2569</v>
      </c>
      <c r="V641" s="1015">
        <f t="shared" si="51"/>
        <v>22</v>
      </c>
      <c r="W641" s="1014" t="s">
        <v>2569</v>
      </c>
      <c r="X641" s="1015">
        <f t="shared" si="52"/>
        <v>22</v>
      </c>
      <c r="Y641" s="1016" t="s">
        <v>12565</v>
      </c>
      <c r="Z641" s="1015">
        <f t="shared" si="53"/>
        <v>39</v>
      </c>
      <c r="AA641" s="1016" t="s">
        <v>12565</v>
      </c>
      <c r="AB641" s="1015">
        <f t="shared" si="54"/>
        <v>39</v>
      </c>
      <c r="AC641" s="1016" t="s">
        <v>12566</v>
      </c>
      <c r="AD641" s="1015">
        <f t="shared" si="55"/>
        <v>27</v>
      </c>
      <c r="AE641" s="518" t="s">
        <v>12501</v>
      </c>
      <c r="AF641" s="519" t="s">
        <v>41</v>
      </c>
      <c r="AG641" s="1021" t="s">
        <v>9179</v>
      </c>
      <c r="AH641" s="1022" t="s">
        <v>169</v>
      </c>
      <c r="AI641" s="494" t="s">
        <v>2917</v>
      </c>
      <c r="AJ641" s="958">
        <v>1</v>
      </c>
      <c r="AK641" s="959"/>
      <c r="AL641" s="960"/>
      <c r="AM641" s="1018">
        <f>_xll.GetCtData("COAMOUNT","CONSAMOUNT",$A$1:$A$7,$D641,AM$10,"#98668,8265633752")</f>
        <v>98668</v>
      </c>
    </row>
    <row r="642" spans="1:39">
      <c r="A642" s="427" t="s">
        <v>6610</v>
      </c>
      <c r="B642" s="427" t="s">
        <v>6610</v>
      </c>
      <c r="D642" s="1124" t="s">
        <v>12569</v>
      </c>
      <c r="E642" s="949" t="s">
        <v>2912</v>
      </c>
      <c r="F642" s="950">
        <v>1</v>
      </c>
      <c r="G642" s="950"/>
      <c r="H642" s="1125" t="s">
        <v>12570</v>
      </c>
      <c r="I642" s="1126"/>
      <c r="J642" s="1126"/>
      <c r="K642" s="1126"/>
      <c r="L642" s="1127"/>
      <c r="M642" s="1126"/>
      <c r="N642" s="1126"/>
      <c r="O642" s="1126"/>
      <c r="P642" s="1126"/>
      <c r="Q642" s="1125"/>
      <c r="R642" s="1124" t="s">
        <v>12570</v>
      </c>
      <c r="S642" s="1125" t="s">
        <v>12571</v>
      </c>
      <c r="T642" s="1128">
        <f t="shared" si="56"/>
        <v>47</v>
      </c>
      <c r="U642" s="1125" t="s">
        <v>12571</v>
      </c>
      <c r="V642" s="1128">
        <f t="shared" si="51"/>
        <v>47</v>
      </c>
      <c r="W642" s="1125" t="s">
        <v>12572</v>
      </c>
      <c r="X642" s="1128">
        <f t="shared" si="52"/>
        <v>27</v>
      </c>
      <c r="Y642" s="1129" t="s">
        <v>12573</v>
      </c>
      <c r="Z642" s="1128">
        <f t="shared" si="53"/>
        <v>53</v>
      </c>
      <c r="AA642" s="1129" t="s">
        <v>12573</v>
      </c>
      <c r="AB642" s="1128">
        <f t="shared" si="54"/>
        <v>53</v>
      </c>
      <c r="AC642" s="1129" t="s">
        <v>12574</v>
      </c>
      <c r="AD642" s="1128">
        <f t="shared" si="55"/>
        <v>30</v>
      </c>
      <c r="AE642" s="1128"/>
      <c r="AF642" s="1128"/>
      <c r="AG642" s="956"/>
      <c r="AH642" s="957"/>
      <c r="AI642" s="494" t="s">
        <v>2917</v>
      </c>
      <c r="AJ642" s="958">
        <v>1</v>
      </c>
      <c r="AK642" s="959"/>
      <c r="AL642" s="960"/>
      <c r="AM642" s="1130">
        <f>_xll.GetCtData("COAMOUNT","CONSAMOUNT",$A$1:$A$7,$D642,AM$10,"#")</f>
        <v>0</v>
      </c>
    </row>
    <row r="643" spans="1:39">
      <c r="A643" s="427" t="s">
        <v>6610</v>
      </c>
      <c r="B643" s="427" t="s">
        <v>6610</v>
      </c>
      <c r="D643" s="1051" t="s">
        <v>12575</v>
      </c>
      <c r="E643" s="949" t="s">
        <v>5409</v>
      </c>
      <c r="F643" s="950">
        <v>10</v>
      </c>
      <c r="G643" s="950"/>
      <c r="H643" s="950"/>
      <c r="I643" s="950"/>
      <c r="J643" s="950"/>
      <c r="K643" s="950"/>
      <c r="L643" s="950"/>
      <c r="M643" s="950"/>
      <c r="N643" s="950"/>
      <c r="O643" s="950"/>
      <c r="P643" s="950"/>
      <c r="Q643" s="950"/>
      <c r="R643" s="1051" t="s">
        <v>12576</v>
      </c>
      <c r="S643" s="1014" t="s">
        <v>12571</v>
      </c>
      <c r="T643" s="1015">
        <f t="shared" si="56"/>
        <v>47</v>
      </c>
      <c r="U643" s="1014" t="s">
        <v>12571</v>
      </c>
      <c r="V643" s="1015">
        <f t="shared" si="51"/>
        <v>47</v>
      </c>
      <c r="W643" s="1014" t="s">
        <v>12572</v>
      </c>
      <c r="X643" s="1015">
        <f t="shared" si="52"/>
        <v>27</v>
      </c>
      <c r="Y643" s="1016" t="s">
        <v>12573</v>
      </c>
      <c r="Z643" s="1015">
        <f t="shared" si="53"/>
        <v>53</v>
      </c>
      <c r="AA643" s="1016" t="s">
        <v>12573</v>
      </c>
      <c r="AB643" s="1015">
        <f t="shared" si="54"/>
        <v>53</v>
      </c>
      <c r="AC643" s="1016" t="s">
        <v>12574</v>
      </c>
      <c r="AD643" s="1015">
        <f t="shared" si="55"/>
        <v>30</v>
      </c>
      <c r="AE643" s="518" t="s">
        <v>12577</v>
      </c>
      <c r="AF643" s="519" t="s">
        <v>12578</v>
      </c>
      <c r="AG643" s="1021" t="s">
        <v>9179</v>
      </c>
      <c r="AH643" s="1022" t="s">
        <v>169</v>
      </c>
      <c r="AI643" s="494" t="s">
        <v>2917</v>
      </c>
      <c r="AJ643" s="958">
        <v>1</v>
      </c>
      <c r="AK643" s="959"/>
      <c r="AL643" s="960"/>
      <c r="AM643" s="1018">
        <f>_xll.GetCtData("COAMOUNT","CONSAMOUNT",$A$1:$A$7,$D643,AM$10,"#")</f>
        <v>0</v>
      </c>
    </row>
    <row r="644" spans="1:39">
      <c r="A644" s="427" t="s">
        <v>6610</v>
      </c>
      <c r="B644" s="427" t="s">
        <v>6610</v>
      </c>
      <c r="D644" s="1124" t="s">
        <v>12579</v>
      </c>
      <c r="E644" s="949" t="s">
        <v>2912</v>
      </c>
      <c r="F644" s="950">
        <v>1</v>
      </c>
      <c r="G644" s="950"/>
      <c r="H644" s="1125" t="s">
        <v>12580</v>
      </c>
      <c r="I644" s="1126"/>
      <c r="J644" s="1126"/>
      <c r="K644" s="1126"/>
      <c r="L644" s="1127"/>
      <c r="M644" s="1126"/>
      <c r="N644" s="1126"/>
      <c r="O644" s="1126"/>
      <c r="P644" s="1126"/>
      <c r="Q644" s="1125"/>
      <c r="R644" s="1124" t="s">
        <v>12580</v>
      </c>
      <c r="S644" s="1125" t="s">
        <v>38</v>
      </c>
      <c r="T644" s="1128">
        <f t="shared" si="56"/>
        <v>36</v>
      </c>
      <c r="U644" s="1125" t="s">
        <v>38</v>
      </c>
      <c r="V644" s="1128">
        <f t="shared" si="51"/>
        <v>36</v>
      </c>
      <c r="W644" s="1125" t="s">
        <v>12581</v>
      </c>
      <c r="X644" s="1128">
        <f t="shared" si="52"/>
        <v>27</v>
      </c>
      <c r="Y644" s="1129" t="s">
        <v>12582</v>
      </c>
      <c r="Z644" s="1128">
        <f t="shared" si="53"/>
        <v>67</v>
      </c>
      <c r="AA644" s="1129" t="s">
        <v>12582</v>
      </c>
      <c r="AB644" s="1128">
        <f t="shared" si="54"/>
        <v>67</v>
      </c>
      <c r="AC644" s="1129" t="s">
        <v>12583</v>
      </c>
      <c r="AD644" s="1128">
        <f t="shared" si="55"/>
        <v>30</v>
      </c>
      <c r="AE644" s="1128"/>
      <c r="AF644" s="1128"/>
      <c r="AG644" s="956"/>
      <c r="AH644" s="957"/>
      <c r="AI644" s="494" t="s">
        <v>2917</v>
      </c>
      <c r="AJ644" s="958">
        <v>1</v>
      </c>
      <c r="AK644" s="959"/>
      <c r="AL644" s="960"/>
      <c r="AM644" s="1130">
        <f>_xll.GetCtData("COAMOUNT","CONSAMOUNT",$A$1:$A$7,$D644,AM$10,"#2043856,48427019")</f>
        <v>2043856</v>
      </c>
    </row>
    <row r="645" spans="1:39">
      <c r="A645" s="427" t="s">
        <v>6610</v>
      </c>
      <c r="B645" s="427" t="s">
        <v>6610</v>
      </c>
      <c r="D645" s="1124" t="s">
        <v>12584</v>
      </c>
      <c r="E645" s="949" t="s">
        <v>2912</v>
      </c>
      <c r="F645" s="950">
        <v>1</v>
      </c>
      <c r="G645" s="950"/>
      <c r="H645" s="1125" t="s">
        <v>12585</v>
      </c>
      <c r="I645" s="1126"/>
      <c r="J645" s="1126"/>
      <c r="K645" s="1126"/>
      <c r="L645" s="1127"/>
      <c r="M645" s="1126"/>
      <c r="N645" s="1126"/>
      <c r="O645" s="1126"/>
      <c r="P645" s="1126"/>
      <c r="Q645" s="1125"/>
      <c r="R645" s="1124" t="s">
        <v>12585</v>
      </c>
      <c r="S645" s="1125" t="s">
        <v>15</v>
      </c>
      <c r="T645" s="1128">
        <f t="shared" si="56"/>
        <v>21</v>
      </c>
      <c r="U645" s="1125" t="s">
        <v>15</v>
      </c>
      <c r="V645" s="1128">
        <f>LEN(U645)</f>
        <v>21</v>
      </c>
      <c r="W645" s="1125" t="s">
        <v>15</v>
      </c>
      <c r="X645" s="1128">
        <f>LEN(W645)</f>
        <v>21</v>
      </c>
      <c r="Y645" s="1129" t="s">
        <v>7235</v>
      </c>
      <c r="Z645" s="1128">
        <f>LEN(Y645)</f>
        <v>18</v>
      </c>
      <c r="AA645" s="1129" t="s">
        <v>7235</v>
      </c>
      <c r="AB645" s="1128">
        <f>LEN(AA645)</f>
        <v>18</v>
      </c>
      <c r="AC645" s="1129" t="s">
        <v>7235</v>
      </c>
      <c r="AD645" s="1128">
        <f>LEN(AC645)</f>
        <v>18</v>
      </c>
      <c r="AE645" s="1128"/>
      <c r="AF645" s="1128"/>
      <c r="AG645" s="956"/>
      <c r="AH645" s="957"/>
      <c r="AI645" s="494" t="s">
        <v>2917</v>
      </c>
      <c r="AJ645" s="958">
        <v>1</v>
      </c>
      <c r="AK645" s="959"/>
      <c r="AL645" s="960"/>
      <c r="AM645" s="1130">
        <f>_xll.GetCtData("COAMOUNT","CONSAMOUNT",$A$1:$A$7,$D645,AM$10,"#-326837,117193943")</f>
        <v>-326837</v>
      </c>
    </row>
    <row r="646" spans="1:39">
      <c r="A646" s="427" t="s">
        <v>6610</v>
      </c>
      <c r="B646" s="427" t="s">
        <v>6610</v>
      </c>
      <c r="D646" s="1051" t="s">
        <v>12586</v>
      </c>
      <c r="E646" s="949" t="s">
        <v>5409</v>
      </c>
      <c r="F646" s="950">
        <v>10</v>
      </c>
      <c r="G646" s="950"/>
      <c r="H646" s="950"/>
      <c r="I646" s="950"/>
      <c r="J646" s="950"/>
      <c r="K646" s="950"/>
      <c r="L646" s="950"/>
      <c r="M646" s="950"/>
      <c r="N646" s="950"/>
      <c r="O646" s="950"/>
      <c r="P646" s="950"/>
      <c r="Q646" s="950"/>
      <c r="R646" s="1051" t="s">
        <v>12587</v>
      </c>
      <c r="S646" s="1014" t="s">
        <v>12588</v>
      </c>
      <c r="T646" s="1015">
        <f t="shared" si="56"/>
        <v>30</v>
      </c>
      <c r="U646" s="1014" t="s">
        <v>12588</v>
      </c>
      <c r="V646" s="1015">
        <f>LEN(U646)</f>
        <v>30</v>
      </c>
      <c r="W646" s="1014" t="s">
        <v>12588</v>
      </c>
      <c r="X646" s="1015">
        <f>LEN(W646)</f>
        <v>30</v>
      </c>
      <c r="Y646" s="1016" t="s">
        <v>12589</v>
      </c>
      <c r="Z646" s="1015">
        <f>LEN(Y646)</f>
        <v>48</v>
      </c>
      <c r="AA646" s="1016" t="s">
        <v>12589</v>
      </c>
      <c r="AB646" s="1015">
        <f>LEN(AA646)</f>
        <v>48</v>
      </c>
      <c r="AC646" s="1016" t="s">
        <v>12590</v>
      </c>
      <c r="AD646" s="1015">
        <f>LEN(AC646)</f>
        <v>29</v>
      </c>
      <c r="AE646" s="518" t="s">
        <v>12591</v>
      </c>
      <c r="AF646" s="519" t="s">
        <v>12592</v>
      </c>
      <c r="AG646" s="1131" t="s">
        <v>9179</v>
      </c>
      <c r="AH646" s="1132" t="s">
        <v>169</v>
      </c>
      <c r="AI646" s="494" t="s">
        <v>2917</v>
      </c>
      <c r="AJ646" s="958">
        <v>1</v>
      </c>
      <c r="AK646" s="959"/>
      <c r="AL646" s="960"/>
      <c r="AM646" s="1018">
        <f>_xll.GetCtData("COAMOUNT","CONSAMOUNT",$A$1:$A$7,$D646,AM$10,"#-326837,117193943")</f>
        <v>-326837</v>
      </c>
    </row>
    <row r="647" spans="1:39">
      <c r="A647" s="427" t="s">
        <v>6610</v>
      </c>
      <c r="B647" s="427" t="s">
        <v>6610</v>
      </c>
      <c r="D647" s="1133" t="s">
        <v>2879</v>
      </c>
      <c r="E647" s="1134"/>
      <c r="F647" s="1135"/>
      <c r="G647" s="1136"/>
      <c r="H647" s="1136"/>
      <c r="I647" s="1136"/>
      <c r="J647" s="1136"/>
      <c r="K647" s="1136"/>
      <c r="L647" s="1135"/>
      <c r="M647" s="1135"/>
      <c r="N647" s="1135"/>
      <c r="O647" s="1135"/>
      <c r="P647" s="1135"/>
      <c r="Q647" s="1137"/>
      <c r="R647" s="1133"/>
      <c r="S647" s="1138" t="s">
        <v>6610</v>
      </c>
      <c r="T647" s="1139"/>
      <c r="U647" s="1138" t="s">
        <v>6610</v>
      </c>
      <c r="V647" s="1139"/>
      <c r="W647" s="1138"/>
      <c r="X647" s="1139"/>
      <c r="Y647" s="1140"/>
      <c r="Z647" s="1139"/>
      <c r="AA647" s="1140" t="s">
        <v>6610</v>
      </c>
      <c r="AB647" s="1139"/>
      <c r="AC647" s="1140"/>
      <c r="AD647" s="1139"/>
      <c r="AE647" s="1139"/>
      <c r="AF647" s="1139"/>
      <c r="AG647" s="1141"/>
      <c r="AH647" s="1142"/>
      <c r="AI647" s="958"/>
      <c r="AJ647" s="958"/>
      <c r="AK647" s="959"/>
      <c r="AL647" s="960"/>
      <c r="AM647" s="1143"/>
    </row>
    <row r="650" spans="1:39">
      <c r="U650" s="427" t="s">
        <v>12593</v>
      </c>
      <c r="AM650" s="1144">
        <f>AM66+AM89+AM113</f>
        <v>-844741</v>
      </c>
    </row>
    <row r="651" spans="1:39">
      <c r="U651" s="427" t="s">
        <v>12594</v>
      </c>
      <c r="AM651" s="1144">
        <f>+AM281+AM508</f>
        <v>-465093</v>
      </c>
    </row>
  </sheetData>
  <customSheetViews>
    <customSheetView guid="{6357C996-BE12-4F66-ACBB-1F9F08F8885C}" showGridLines="0" hiddenRows="1" hiddenColumns="1" state="hidden" topLeftCell="F154">
      <selection activeCell="I645" sqref="I645"/>
      <pageMargins left="0.7" right="0.7" top="0.75" bottom="0.75" header="0.3" footer="0.3"/>
      <pageSetup paperSize="9" orientation="portrait" r:id="rId1"/>
    </customSheetView>
    <customSheetView guid="{5874C782-5C34-4C4C-BCC6-3692259149CA}" showGridLines="0" hiddenRows="1" hiddenColumns="1" state="hidden" topLeftCell="F154">
      <selection activeCell="I645" sqref="I645"/>
      <pageMargins left="0.7" right="0.7" top="0.75" bottom="0.75" header="0.3" footer="0.3"/>
      <pageSetup paperSize="9" orientation="portrait" r:id="rId2"/>
    </customSheetView>
  </customSheetViews>
  <conditionalFormatting sqref="Q536:Q537">
    <cfRule type="duplicateValues" dxfId="695" priority="393"/>
  </conditionalFormatting>
  <conditionalFormatting sqref="Q508">
    <cfRule type="duplicateValues" dxfId="694" priority="392"/>
  </conditionalFormatting>
  <conditionalFormatting sqref="R56">
    <cfRule type="duplicateValues" dxfId="693" priority="391"/>
  </conditionalFormatting>
  <conditionalFormatting sqref="R87:R89">
    <cfRule type="duplicateValues" dxfId="692" priority="390"/>
  </conditionalFormatting>
  <conditionalFormatting sqref="R93:R94">
    <cfRule type="duplicateValues" dxfId="691" priority="389"/>
  </conditionalFormatting>
  <conditionalFormatting sqref="R111:R113">
    <cfRule type="duplicateValues" dxfId="690" priority="388"/>
  </conditionalFormatting>
  <conditionalFormatting sqref="R133:R134">
    <cfRule type="duplicateValues" dxfId="689" priority="387"/>
  </conditionalFormatting>
  <conditionalFormatting sqref="R162:R163">
    <cfRule type="duplicateValues" dxfId="688" priority="386"/>
  </conditionalFormatting>
  <conditionalFormatting sqref="R40">
    <cfRule type="duplicateValues" dxfId="687" priority="385"/>
  </conditionalFormatting>
  <conditionalFormatting sqref="R42">
    <cfRule type="duplicateValues" dxfId="686" priority="384"/>
  </conditionalFormatting>
  <conditionalFormatting sqref="R44">
    <cfRule type="duplicateValues" dxfId="685" priority="383"/>
  </conditionalFormatting>
  <conditionalFormatting sqref="R46">
    <cfRule type="duplicateValues" dxfId="684" priority="382"/>
  </conditionalFormatting>
  <conditionalFormatting sqref="R91">
    <cfRule type="duplicateValues" dxfId="683" priority="381"/>
  </conditionalFormatting>
  <conditionalFormatting sqref="R96">
    <cfRule type="duplicateValues" dxfId="682" priority="380"/>
  </conditionalFormatting>
  <conditionalFormatting sqref="R115">
    <cfRule type="duplicateValues" dxfId="681" priority="379"/>
  </conditionalFormatting>
  <conditionalFormatting sqref="R117">
    <cfRule type="duplicateValues" dxfId="680" priority="378"/>
  </conditionalFormatting>
  <conditionalFormatting sqref="R119">
    <cfRule type="duplicateValues" dxfId="679" priority="377"/>
  </conditionalFormatting>
  <conditionalFormatting sqref="R137">
    <cfRule type="duplicateValues" dxfId="678" priority="376"/>
  </conditionalFormatting>
  <conditionalFormatting sqref="R166">
    <cfRule type="duplicateValues" dxfId="677" priority="375"/>
  </conditionalFormatting>
  <conditionalFormatting sqref="R197">
    <cfRule type="duplicateValues" dxfId="676" priority="374"/>
  </conditionalFormatting>
  <conditionalFormatting sqref="R199">
    <cfRule type="duplicateValues" dxfId="675" priority="373"/>
  </conditionalFormatting>
  <conditionalFormatting sqref="R212">
    <cfRule type="duplicateValues" dxfId="674" priority="372"/>
  </conditionalFormatting>
  <conditionalFormatting sqref="AJ12">
    <cfRule type="duplicateValues" dxfId="673" priority="371"/>
  </conditionalFormatting>
  <conditionalFormatting sqref="R472 R460 R464 R466:R467 R469:R470 R462">
    <cfRule type="duplicateValues" dxfId="672" priority="370"/>
  </conditionalFormatting>
  <conditionalFormatting sqref="R508">
    <cfRule type="duplicateValues" dxfId="671" priority="368"/>
    <cfRule type="duplicateValues" dxfId="670" priority="369"/>
  </conditionalFormatting>
  <conditionalFormatting sqref="R508">
    <cfRule type="duplicateValues" dxfId="669" priority="367"/>
  </conditionalFormatting>
  <conditionalFormatting sqref="R508">
    <cfRule type="duplicateValues" dxfId="668" priority="365"/>
    <cfRule type="duplicateValues" dxfId="667" priority="366"/>
  </conditionalFormatting>
  <conditionalFormatting sqref="R501:R502">
    <cfRule type="duplicateValues" dxfId="666" priority="364"/>
  </conditionalFormatting>
  <conditionalFormatting sqref="R31:R32">
    <cfRule type="duplicateValues" dxfId="665" priority="363"/>
  </conditionalFormatting>
  <conditionalFormatting sqref="R606">
    <cfRule type="duplicateValues" dxfId="664" priority="362"/>
  </conditionalFormatting>
  <conditionalFormatting sqref="R607">
    <cfRule type="duplicateValues" dxfId="663" priority="361"/>
  </conditionalFormatting>
  <conditionalFormatting sqref="R22">
    <cfRule type="duplicateValues" dxfId="662" priority="360"/>
  </conditionalFormatting>
  <conditionalFormatting sqref="R28">
    <cfRule type="duplicateValues" dxfId="661" priority="359"/>
  </conditionalFormatting>
  <conditionalFormatting sqref="R64:R66">
    <cfRule type="duplicateValues" dxfId="660" priority="358"/>
  </conditionalFormatting>
  <conditionalFormatting sqref="R70:R71">
    <cfRule type="duplicateValues" dxfId="659" priority="357"/>
  </conditionalFormatting>
  <conditionalFormatting sqref="R68">
    <cfRule type="duplicateValues" dxfId="658" priority="356"/>
  </conditionalFormatting>
  <conditionalFormatting sqref="R73">
    <cfRule type="duplicateValues" dxfId="657" priority="355"/>
  </conditionalFormatting>
  <conditionalFormatting sqref="R58:R59">
    <cfRule type="duplicateValues" dxfId="656" priority="354"/>
  </conditionalFormatting>
  <conditionalFormatting sqref="R147:R148">
    <cfRule type="duplicateValues" dxfId="655" priority="353"/>
  </conditionalFormatting>
  <conditionalFormatting sqref="R151">
    <cfRule type="duplicateValues" dxfId="654" priority="352"/>
  </conditionalFormatting>
  <conditionalFormatting sqref="R180">
    <cfRule type="duplicateValues" dxfId="653" priority="351"/>
  </conditionalFormatting>
  <conditionalFormatting sqref="R182">
    <cfRule type="duplicateValues" dxfId="652" priority="350"/>
  </conditionalFormatting>
  <conditionalFormatting sqref="R214">
    <cfRule type="duplicateValues" dxfId="651" priority="349"/>
  </conditionalFormatting>
  <conditionalFormatting sqref="R49:R50">
    <cfRule type="duplicateValues" dxfId="650" priority="348"/>
  </conditionalFormatting>
  <conditionalFormatting sqref="R178">
    <cfRule type="duplicateValues" dxfId="649" priority="347"/>
  </conditionalFormatting>
  <conditionalFormatting sqref="R195">
    <cfRule type="duplicateValues" dxfId="648" priority="346"/>
  </conditionalFormatting>
  <conditionalFormatting sqref="R135">
    <cfRule type="duplicateValues" dxfId="647" priority="345"/>
  </conditionalFormatting>
  <conditionalFormatting sqref="R149">
    <cfRule type="duplicateValues" dxfId="646" priority="344"/>
  </conditionalFormatting>
  <conditionalFormatting sqref="R164">
    <cfRule type="duplicateValues" dxfId="645" priority="343"/>
  </conditionalFormatting>
  <conditionalFormatting sqref="R29">
    <cfRule type="duplicateValues" dxfId="644" priority="342"/>
  </conditionalFormatting>
  <conditionalFormatting sqref="R47">
    <cfRule type="duplicateValues" dxfId="643" priority="341"/>
  </conditionalFormatting>
  <conditionalFormatting sqref="R184">
    <cfRule type="duplicateValues" dxfId="642" priority="340"/>
  </conditionalFormatting>
  <conditionalFormatting sqref="R185">
    <cfRule type="duplicateValues" dxfId="641" priority="339"/>
  </conditionalFormatting>
  <conditionalFormatting sqref="R201">
    <cfRule type="duplicateValues" dxfId="640" priority="338"/>
  </conditionalFormatting>
  <conditionalFormatting sqref="R202">
    <cfRule type="duplicateValues" dxfId="639" priority="337"/>
  </conditionalFormatting>
  <conditionalFormatting sqref="R139:R140">
    <cfRule type="duplicateValues" dxfId="638" priority="336"/>
  </conditionalFormatting>
  <conditionalFormatting sqref="R153:R154">
    <cfRule type="duplicateValues" dxfId="637" priority="335"/>
  </conditionalFormatting>
  <conditionalFormatting sqref="R168">
    <cfRule type="duplicateValues" dxfId="636" priority="334"/>
  </conditionalFormatting>
  <conditionalFormatting sqref="R121">
    <cfRule type="duplicateValues" dxfId="635" priority="333"/>
  </conditionalFormatting>
  <conditionalFormatting sqref="R170">
    <cfRule type="duplicateValues" dxfId="634" priority="332"/>
  </conditionalFormatting>
  <conditionalFormatting sqref="R98">
    <cfRule type="duplicateValues" dxfId="633" priority="331"/>
  </conditionalFormatting>
  <conditionalFormatting sqref="R75">
    <cfRule type="duplicateValues" dxfId="632" priority="330"/>
  </conditionalFormatting>
  <conditionalFormatting sqref="R156">
    <cfRule type="duplicateValues" dxfId="631" priority="329"/>
  </conditionalFormatting>
  <conditionalFormatting sqref="R142">
    <cfRule type="duplicateValues" dxfId="630" priority="328"/>
  </conditionalFormatting>
  <conditionalFormatting sqref="N16">
    <cfRule type="duplicateValues" dxfId="629" priority="327"/>
  </conditionalFormatting>
  <conditionalFormatting sqref="O35">
    <cfRule type="duplicateValues" dxfId="628" priority="326"/>
  </conditionalFormatting>
  <conditionalFormatting sqref="O54">
    <cfRule type="duplicateValues" dxfId="627" priority="325"/>
  </conditionalFormatting>
  <conditionalFormatting sqref="P57">
    <cfRule type="duplicateValues" dxfId="626" priority="324"/>
  </conditionalFormatting>
  <conditionalFormatting sqref="N53">
    <cfRule type="duplicateValues" dxfId="625" priority="323"/>
  </conditionalFormatting>
  <conditionalFormatting sqref="M15">
    <cfRule type="duplicateValues" dxfId="624" priority="322"/>
  </conditionalFormatting>
  <conditionalFormatting sqref="M173">
    <cfRule type="duplicateValues" dxfId="623" priority="321"/>
  </conditionalFormatting>
  <conditionalFormatting sqref="N174">
    <cfRule type="duplicateValues" dxfId="622" priority="320"/>
  </conditionalFormatting>
  <conditionalFormatting sqref="O175">
    <cfRule type="duplicateValues" dxfId="621" priority="319"/>
  </conditionalFormatting>
  <conditionalFormatting sqref="N159">
    <cfRule type="duplicateValues" dxfId="620" priority="318"/>
  </conditionalFormatting>
  <conditionalFormatting sqref="N130">
    <cfRule type="duplicateValues" dxfId="619" priority="317"/>
  </conditionalFormatting>
  <conditionalFormatting sqref="N108">
    <cfRule type="duplicateValues" dxfId="618" priority="316"/>
  </conditionalFormatting>
  <conditionalFormatting sqref="O109">
    <cfRule type="duplicateValues" dxfId="617" priority="315"/>
  </conditionalFormatting>
  <conditionalFormatting sqref="O85">
    <cfRule type="duplicateValues" dxfId="616" priority="314"/>
  </conditionalFormatting>
  <conditionalFormatting sqref="N61">
    <cfRule type="duplicateValues" dxfId="615" priority="313"/>
  </conditionalFormatting>
  <conditionalFormatting sqref="O210">
    <cfRule type="duplicateValues" dxfId="614" priority="312"/>
  </conditionalFormatting>
  <conditionalFormatting sqref="P63">
    <cfRule type="duplicateValues" dxfId="613" priority="311"/>
  </conditionalFormatting>
  <conditionalFormatting sqref="P86">
    <cfRule type="duplicateValues" dxfId="612" priority="310"/>
  </conditionalFormatting>
  <conditionalFormatting sqref="P110">
    <cfRule type="duplicateValues" dxfId="611" priority="309"/>
  </conditionalFormatting>
  <conditionalFormatting sqref="M60">
    <cfRule type="duplicateValues" dxfId="610" priority="308"/>
  </conditionalFormatting>
  <conditionalFormatting sqref="P132">
    <cfRule type="duplicateValues" dxfId="609" priority="307"/>
  </conditionalFormatting>
  <conditionalFormatting sqref="O131">
    <cfRule type="duplicateValues" dxfId="608" priority="306"/>
  </conditionalFormatting>
  <conditionalFormatting sqref="P146">
    <cfRule type="duplicateValues" dxfId="607" priority="305"/>
  </conditionalFormatting>
  <conditionalFormatting sqref="O145">
    <cfRule type="duplicateValues" dxfId="606" priority="304"/>
  </conditionalFormatting>
  <conditionalFormatting sqref="P161">
    <cfRule type="duplicateValues" dxfId="605" priority="303"/>
  </conditionalFormatting>
  <conditionalFormatting sqref="O160">
    <cfRule type="duplicateValues" dxfId="604" priority="302"/>
  </conditionalFormatting>
  <conditionalFormatting sqref="M129">
    <cfRule type="duplicateValues" dxfId="603" priority="301"/>
  </conditionalFormatting>
  <conditionalFormatting sqref="P176">
    <cfRule type="duplicateValues" dxfId="602" priority="300"/>
  </conditionalFormatting>
  <conditionalFormatting sqref="P193">
    <cfRule type="duplicateValues" dxfId="601" priority="299"/>
  </conditionalFormatting>
  <conditionalFormatting sqref="P211">
    <cfRule type="duplicateValues" dxfId="600" priority="298"/>
  </conditionalFormatting>
  <conditionalFormatting sqref="P231">
    <cfRule type="duplicateValues" dxfId="599" priority="297"/>
  </conditionalFormatting>
  <conditionalFormatting sqref="P234">
    <cfRule type="duplicateValues" dxfId="598" priority="296"/>
  </conditionalFormatting>
  <conditionalFormatting sqref="P238">
    <cfRule type="duplicateValues" dxfId="597" priority="295"/>
  </conditionalFormatting>
  <conditionalFormatting sqref="P241">
    <cfRule type="duplicateValues" dxfId="596" priority="294"/>
  </conditionalFormatting>
  <conditionalFormatting sqref="P251">
    <cfRule type="duplicateValues" dxfId="595" priority="293"/>
  </conditionalFormatting>
  <conditionalFormatting sqref="P257">
    <cfRule type="duplicateValues" dxfId="594" priority="292"/>
  </conditionalFormatting>
  <conditionalFormatting sqref="P259">
    <cfRule type="duplicateValues" dxfId="593" priority="291"/>
  </conditionalFormatting>
  <conditionalFormatting sqref="P272">
    <cfRule type="duplicateValues" dxfId="592" priority="290"/>
  </conditionalFormatting>
  <conditionalFormatting sqref="P274">
    <cfRule type="duplicateValues" dxfId="591" priority="289"/>
  </conditionalFormatting>
  <conditionalFormatting sqref="P282">
    <cfRule type="duplicateValues" dxfId="590" priority="288"/>
  </conditionalFormatting>
  <conditionalFormatting sqref="M419">
    <cfRule type="duplicateValues" dxfId="589" priority="287"/>
  </conditionalFormatting>
  <conditionalFormatting sqref="O17">
    <cfRule type="duplicateValues" dxfId="588" priority="286"/>
  </conditionalFormatting>
  <conditionalFormatting sqref="O62">
    <cfRule type="duplicateValues" dxfId="587" priority="285"/>
  </conditionalFormatting>
  <conditionalFormatting sqref="P18">
    <cfRule type="duplicateValues" dxfId="586" priority="284"/>
  </conditionalFormatting>
  <conditionalFormatting sqref="P36">
    <cfRule type="duplicateValues" dxfId="585" priority="283"/>
  </conditionalFormatting>
  <conditionalFormatting sqref="P55">
    <cfRule type="duplicateValues" dxfId="584" priority="282"/>
  </conditionalFormatting>
  <conditionalFormatting sqref="P21">
    <cfRule type="duplicateValues" dxfId="583" priority="281"/>
  </conditionalFormatting>
  <conditionalFormatting sqref="P23">
    <cfRule type="duplicateValues" dxfId="582" priority="280"/>
  </conditionalFormatting>
  <conditionalFormatting sqref="P25">
    <cfRule type="duplicateValues" dxfId="581" priority="279"/>
  </conditionalFormatting>
  <conditionalFormatting sqref="P27">
    <cfRule type="duplicateValues" dxfId="580" priority="278"/>
  </conditionalFormatting>
  <conditionalFormatting sqref="P30">
    <cfRule type="duplicateValues" dxfId="579" priority="277"/>
  </conditionalFormatting>
  <conditionalFormatting sqref="P39">
    <cfRule type="duplicateValues" dxfId="578" priority="276"/>
  </conditionalFormatting>
  <conditionalFormatting sqref="P41">
    <cfRule type="duplicateValues" dxfId="577" priority="275"/>
  </conditionalFormatting>
  <conditionalFormatting sqref="P43">
    <cfRule type="duplicateValues" dxfId="576" priority="274"/>
  </conditionalFormatting>
  <conditionalFormatting sqref="P45">
    <cfRule type="duplicateValues" dxfId="575" priority="273"/>
  </conditionalFormatting>
  <conditionalFormatting sqref="P48">
    <cfRule type="duplicateValues" dxfId="574" priority="272"/>
  </conditionalFormatting>
  <conditionalFormatting sqref="P67">
    <cfRule type="duplicateValues" dxfId="573" priority="271"/>
  </conditionalFormatting>
  <conditionalFormatting sqref="P69">
    <cfRule type="duplicateValues" dxfId="572" priority="270"/>
  </conditionalFormatting>
  <conditionalFormatting sqref="P72">
    <cfRule type="duplicateValues" dxfId="571" priority="269"/>
  </conditionalFormatting>
  <conditionalFormatting sqref="P74">
    <cfRule type="duplicateValues" dxfId="570" priority="268"/>
  </conditionalFormatting>
  <conditionalFormatting sqref="P76">
    <cfRule type="duplicateValues" dxfId="569" priority="267"/>
  </conditionalFormatting>
  <conditionalFormatting sqref="P90">
    <cfRule type="duplicateValues" dxfId="568" priority="266"/>
  </conditionalFormatting>
  <conditionalFormatting sqref="P92">
    <cfRule type="duplicateValues" dxfId="567" priority="265"/>
  </conditionalFormatting>
  <conditionalFormatting sqref="P95">
    <cfRule type="duplicateValues" dxfId="566" priority="264"/>
  </conditionalFormatting>
  <conditionalFormatting sqref="P97">
    <cfRule type="duplicateValues" dxfId="565" priority="263"/>
  </conditionalFormatting>
  <conditionalFormatting sqref="P99">
    <cfRule type="duplicateValues" dxfId="564" priority="262"/>
  </conditionalFormatting>
  <conditionalFormatting sqref="P114">
    <cfRule type="duplicateValues" dxfId="563" priority="261"/>
  </conditionalFormatting>
  <conditionalFormatting sqref="P116">
    <cfRule type="duplicateValues" dxfId="562" priority="260"/>
  </conditionalFormatting>
  <conditionalFormatting sqref="P118">
    <cfRule type="duplicateValues" dxfId="561" priority="259"/>
  </conditionalFormatting>
  <conditionalFormatting sqref="P120">
    <cfRule type="duplicateValues" dxfId="560" priority="258"/>
  </conditionalFormatting>
  <conditionalFormatting sqref="P122">
    <cfRule type="duplicateValues" dxfId="559" priority="257"/>
  </conditionalFormatting>
  <conditionalFormatting sqref="P136">
    <cfRule type="duplicateValues" dxfId="558" priority="256"/>
  </conditionalFormatting>
  <conditionalFormatting sqref="P138">
    <cfRule type="duplicateValues" dxfId="557" priority="255"/>
  </conditionalFormatting>
  <conditionalFormatting sqref="P141">
    <cfRule type="duplicateValues" dxfId="556" priority="254"/>
  </conditionalFormatting>
  <conditionalFormatting sqref="P150">
    <cfRule type="duplicateValues" dxfId="555" priority="253"/>
  </conditionalFormatting>
  <conditionalFormatting sqref="P152">
    <cfRule type="duplicateValues" dxfId="554" priority="252"/>
  </conditionalFormatting>
  <conditionalFormatting sqref="P155">
    <cfRule type="duplicateValues" dxfId="553" priority="251"/>
  </conditionalFormatting>
  <conditionalFormatting sqref="P165">
    <cfRule type="duplicateValues" dxfId="552" priority="250"/>
  </conditionalFormatting>
  <conditionalFormatting sqref="P167">
    <cfRule type="duplicateValues" dxfId="551" priority="249"/>
  </conditionalFormatting>
  <conditionalFormatting sqref="P169">
    <cfRule type="duplicateValues" dxfId="550" priority="248"/>
  </conditionalFormatting>
  <conditionalFormatting sqref="N209">
    <cfRule type="duplicateValues" dxfId="549" priority="247"/>
  </conditionalFormatting>
  <conditionalFormatting sqref="O192">
    <cfRule type="duplicateValues" dxfId="548" priority="246"/>
  </conditionalFormatting>
  <conditionalFormatting sqref="P179">
    <cfRule type="duplicateValues" dxfId="547" priority="245"/>
  </conditionalFormatting>
  <conditionalFormatting sqref="P181">
    <cfRule type="duplicateValues" dxfId="546" priority="244"/>
  </conditionalFormatting>
  <conditionalFormatting sqref="P183">
    <cfRule type="duplicateValues" dxfId="545" priority="243"/>
  </conditionalFormatting>
  <conditionalFormatting sqref="P196">
    <cfRule type="duplicateValues" dxfId="544" priority="242"/>
  </conditionalFormatting>
  <conditionalFormatting sqref="P198">
    <cfRule type="duplicateValues" dxfId="543" priority="241"/>
  </conditionalFormatting>
  <conditionalFormatting sqref="P200">
    <cfRule type="duplicateValues" dxfId="542" priority="240"/>
  </conditionalFormatting>
  <conditionalFormatting sqref="P213">
    <cfRule type="duplicateValues" dxfId="541" priority="239"/>
  </conditionalFormatting>
  <conditionalFormatting sqref="P215">
    <cfRule type="duplicateValues" dxfId="540" priority="238"/>
  </conditionalFormatting>
  <conditionalFormatting sqref="N60:P60">
    <cfRule type="duplicateValues" dxfId="539" priority="394"/>
  </conditionalFormatting>
  <conditionalFormatting sqref="N129:Q129">
    <cfRule type="duplicateValues" dxfId="538" priority="395"/>
  </conditionalFormatting>
  <conditionalFormatting sqref="R638 R626 R623 R550 R547 R529 R526 R524 R520 R517 R514 R215 R213 R211 R200 R198 R196 R193 R183 R181 R179 R176 R169 R167 R165 R161 R155 R152 R150 R146 R141 R138 R136 R132 R122 R120 R118 R116 R114 R110 R99 R97 R95 R92 R90 R86 R76 R74 R72 R69 R67 R63 R57 R55 R48 R45 R43 R41 R39 R36 R30 R27 R25 R23 R21 R18 R636 R633">
    <cfRule type="duplicateValues" dxfId="537" priority="237"/>
  </conditionalFormatting>
  <conditionalFormatting sqref="R632 R640 R635 R625 R622 R546 R541 R538 R535 R532 R523 R510 R503 R500 R497 R210 R192 R175 R160 R145 R131 R109 R85 R62 R54 R35 R17">
    <cfRule type="duplicateValues" dxfId="536" priority="236"/>
  </conditionalFormatting>
  <conditionalFormatting sqref="R645">
    <cfRule type="duplicateValues" dxfId="535" priority="231"/>
  </conditionalFormatting>
  <conditionalFormatting sqref="R645">
    <cfRule type="duplicateValues" dxfId="534" priority="232"/>
  </conditionalFormatting>
  <conditionalFormatting sqref="R645">
    <cfRule type="duplicateValues" dxfId="533" priority="233"/>
  </conditionalFormatting>
  <conditionalFormatting sqref="R645">
    <cfRule type="duplicateValues" dxfId="532" priority="230"/>
  </conditionalFormatting>
  <conditionalFormatting sqref="R645">
    <cfRule type="duplicateValues" dxfId="531" priority="229"/>
  </conditionalFormatting>
  <conditionalFormatting sqref="R645">
    <cfRule type="duplicateValues" dxfId="530" priority="228"/>
  </conditionalFormatting>
  <conditionalFormatting sqref="R645">
    <cfRule type="duplicateValues" dxfId="529" priority="227"/>
  </conditionalFormatting>
  <conditionalFormatting sqref="R645">
    <cfRule type="duplicateValues" dxfId="528" priority="234"/>
  </conditionalFormatting>
  <conditionalFormatting sqref="R645">
    <cfRule type="duplicateValues" dxfId="527" priority="226"/>
  </conditionalFormatting>
  <conditionalFormatting sqref="R645">
    <cfRule type="duplicateValues" dxfId="526" priority="235"/>
  </conditionalFormatting>
  <conditionalFormatting sqref="M444">
    <cfRule type="duplicateValues" dxfId="525" priority="225"/>
  </conditionalFormatting>
  <conditionalFormatting sqref="R419">
    <cfRule type="duplicateValues" dxfId="524" priority="224"/>
  </conditionalFormatting>
  <conditionalFormatting sqref="R444">
    <cfRule type="duplicateValues" dxfId="523" priority="223"/>
  </conditionalFormatting>
  <conditionalFormatting sqref="R231">
    <cfRule type="duplicateValues" dxfId="522" priority="222"/>
  </conditionalFormatting>
  <conditionalFormatting sqref="R234">
    <cfRule type="duplicateValues" dxfId="521" priority="221"/>
  </conditionalFormatting>
  <conditionalFormatting sqref="R238">
    <cfRule type="duplicateValues" dxfId="520" priority="220"/>
  </conditionalFormatting>
  <conditionalFormatting sqref="R241">
    <cfRule type="duplicateValues" dxfId="519" priority="219"/>
  </conditionalFormatting>
  <conditionalFormatting sqref="R251">
    <cfRule type="duplicateValues" dxfId="518" priority="218"/>
  </conditionalFormatting>
  <conditionalFormatting sqref="R257">
    <cfRule type="duplicateValues" dxfId="517" priority="217"/>
  </conditionalFormatting>
  <conditionalFormatting sqref="R259">
    <cfRule type="duplicateValues" dxfId="516" priority="216"/>
  </conditionalFormatting>
  <conditionalFormatting sqref="R272">
    <cfRule type="duplicateValues" dxfId="515" priority="215"/>
  </conditionalFormatting>
  <conditionalFormatting sqref="R274">
    <cfRule type="duplicateValues" dxfId="514" priority="214"/>
  </conditionalFormatting>
  <conditionalFormatting sqref="R282">
    <cfRule type="duplicateValues" dxfId="513" priority="213"/>
  </conditionalFormatting>
  <conditionalFormatting sqref="R24">
    <cfRule type="duplicateValues" dxfId="512" priority="212"/>
  </conditionalFormatting>
  <conditionalFormatting sqref="R26">
    <cfRule type="duplicateValues" dxfId="511" priority="211"/>
  </conditionalFormatting>
  <conditionalFormatting sqref="R617 R609 R588 R568 R561 R506 R495 R474 R458 R129 R60 R15 R173">
    <cfRule type="duplicateValues" dxfId="510" priority="396"/>
  </conditionalFormatting>
  <conditionalFormatting sqref="R621 R618 R612 R610 R605 R602 R599 R596 R593 R589 R584 R580 R578 R575 R572 R569 R557 R509 R507 R496 R493 R491 R489 R486 R483 R480 R478 R475 R468 R465 R463 R459 R209 R174 R159 R130 R108 R61 R53 R16">
    <cfRule type="duplicateValues" dxfId="509" priority="397"/>
  </conditionalFormatting>
  <conditionalFormatting sqref="R194">
    <cfRule type="duplicateValues" dxfId="508" priority="398"/>
  </conditionalFormatting>
  <conditionalFormatting sqref="R177">
    <cfRule type="duplicateValues" dxfId="507" priority="399"/>
  </conditionalFormatting>
  <conditionalFormatting sqref="R37:R38">
    <cfRule type="duplicateValues" dxfId="506" priority="400"/>
  </conditionalFormatting>
  <conditionalFormatting sqref="R19:R20">
    <cfRule type="duplicateValues" dxfId="505" priority="401"/>
  </conditionalFormatting>
  <conditionalFormatting sqref="R646:R647 R216 R512:R513 R630 R627 R634 R637 R639 R223:R224 R504:R505 R299:R300 R326:R327 R476:R477 R611 R619:R620 R228:R229 R232:R233 R235:R236 R239:R240 R242:R243 R245:R246 R248:R249 R252:R256 R258 R260:R262 R264:R266 R269:R270 R273 R283:R284 R287:R288 R290:R291 R294:R297 R302:R303 R305:R306 R308 R314:R315 R318:R319 R321:R324 R329:R332 R334:R335 R337:R338 R340:R341 R344:R345 R351:R358 R360:R367 R370:R377 R379:R386 R388:R389 R392:R393 R395:R396 R398:R399 R402:R403 R405:R406 R408:R409 R411:R412 R414:R415 R417:R418 R479 R481:R482 R484:R485 R487:R488 R490 R492 R494 R498:R499 R515:R516 R518:R519 R521:R522 R525 R527:R528 R530:R531 R533:R534 R536:R537 R539:R540 R542:R545 R548:R549 R551:R552 R558 R562:R565 R570:R571 R573:R574 R576:R577 R579 R581:R583 R585:R586 R590:R592 R594:R595 R597 R600:R601 R603:R604 R613:R614 R624 R641 R643 R275:R279 R554:R556">
    <cfRule type="duplicateValues" dxfId="504" priority="402"/>
  </conditionalFormatting>
  <conditionalFormatting sqref="R13">
    <cfRule type="duplicateValues" dxfId="503" priority="210"/>
  </conditionalFormatting>
  <conditionalFormatting sqref="R644:R645 R642 R587 R566:R567 R473 R559:R560 R457 R615:R616 R608 R14">
    <cfRule type="duplicateValues" dxfId="502" priority="403"/>
  </conditionalFormatting>
  <conditionalFormatting sqref="R644:R645 R642 R587 R566:R567 R473 R559:R560 R457 R615:R616 R608 R14">
    <cfRule type="duplicateValues" dxfId="501" priority="404"/>
    <cfRule type="duplicateValues" dxfId="500" priority="405"/>
  </conditionalFormatting>
  <conditionalFormatting sqref="R628">
    <cfRule type="duplicateValues" dxfId="499" priority="209"/>
  </conditionalFormatting>
  <conditionalFormatting sqref="R225:R226">
    <cfRule type="duplicateValues" dxfId="498" priority="208"/>
  </conditionalFormatting>
  <conditionalFormatting sqref="R7 R11:R12">
    <cfRule type="duplicateValues" dxfId="497" priority="406"/>
  </conditionalFormatting>
  <conditionalFormatting sqref="R598">
    <cfRule type="duplicateValues" dxfId="496" priority="207"/>
  </conditionalFormatting>
  <conditionalFormatting sqref="R187">
    <cfRule type="duplicateValues" dxfId="495" priority="206"/>
  </conditionalFormatting>
  <conditionalFormatting sqref="P186">
    <cfRule type="duplicateValues" dxfId="494" priority="205"/>
  </conditionalFormatting>
  <conditionalFormatting sqref="R186">
    <cfRule type="duplicateValues" dxfId="493" priority="204"/>
  </conditionalFormatting>
  <conditionalFormatting sqref="R204">
    <cfRule type="duplicateValues" dxfId="492" priority="203"/>
  </conditionalFormatting>
  <conditionalFormatting sqref="P203">
    <cfRule type="duplicateValues" dxfId="491" priority="202"/>
  </conditionalFormatting>
  <conditionalFormatting sqref="R203">
    <cfRule type="duplicateValues" dxfId="490" priority="201"/>
  </conditionalFormatting>
  <conditionalFormatting sqref="R218">
    <cfRule type="duplicateValues" dxfId="489" priority="200"/>
  </conditionalFormatting>
  <conditionalFormatting sqref="R217">
    <cfRule type="duplicateValues" dxfId="488" priority="199"/>
  </conditionalFormatting>
  <conditionalFormatting sqref="P217">
    <cfRule type="duplicateValues" dxfId="487" priority="198"/>
  </conditionalFormatting>
  <conditionalFormatting sqref="P33">
    <cfRule type="duplicateValues" dxfId="486" priority="197"/>
  </conditionalFormatting>
  <conditionalFormatting sqref="R33">
    <cfRule type="duplicateValues" dxfId="485" priority="196"/>
  </conditionalFormatting>
  <conditionalFormatting sqref="R34">
    <cfRule type="duplicateValues" dxfId="484" priority="195"/>
  </conditionalFormatting>
  <conditionalFormatting sqref="P51">
    <cfRule type="duplicateValues" dxfId="483" priority="194"/>
  </conditionalFormatting>
  <conditionalFormatting sqref="R51">
    <cfRule type="duplicateValues" dxfId="482" priority="193"/>
  </conditionalFormatting>
  <conditionalFormatting sqref="R52">
    <cfRule type="duplicateValues" dxfId="481" priority="192"/>
  </conditionalFormatting>
  <conditionalFormatting sqref="P188">
    <cfRule type="duplicateValues" dxfId="480" priority="191"/>
  </conditionalFormatting>
  <conditionalFormatting sqref="R188">
    <cfRule type="duplicateValues" dxfId="479" priority="190"/>
  </conditionalFormatting>
  <conditionalFormatting sqref="R189">
    <cfRule type="duplicateValues" dxfId="478" priority="189"/>
  </conditionalFormatting>
  <conditionalFormatting sqref="P205">
    <cfRule type="duplicateValues" dxfId="477" priority="188"/>
  </conditionalFormatting>
  <conditionalFormatting sqref="R206">
    <cfRule type="duplicateValues" dxfId="476" priority="187"/>
  </conditionalFormatting>
  <conditionalFormatting sqref="R205">
    <cfRule type="duplicateValues" dxfId="475" priority="186"/>
  </conditionalFormatting>
  <conditionalFormatting sqref="R461">
    <cfRule type="duplicateValues" dxfId="474" priority="185"/>
  </conditionalFormatting>
  <conditionalFormatting sqref="R554:R1048576 R449:R552 R293:R308 R7:R76 R108:R122 R85:R99 R312:R345 R282:R291 R129:R142 R145:R156 R192:R206 R159:R170 R173:R189 R209:R279 R349:R429 R432:R447">
    <cfRule type="duplicateValues" dxfId="473" priority="184"/>
  </conditionalFormatting>
  <conditionalFormatting sqref="R292">
    <cfRule type="duplicateValues" dxfId="472" priority="407"/>
  </conditionalFormatting>
  <conditionalFormatting sqref="R309:R311">
    <cfRule type="duplicateValues" dxfId="471" priority="183"/>
  </conditionalFormatting>
  <conditionalFormatting sqref="R309:R311">
    <cfRule type="duplicateValues" dxfId="470" priority="182"/>
  </conditionalFormatting>
  <conditionalFormatting sqref="P280">
    <cfRule type="duplicateValues" dxfId="469" priority="181"/>
  </conditionalFormatting>
  <conditionalFormatting sqref="R280">
    <cfRule type="duplicateValues" dxfId="468" priority="180"/>
  </conditionalFormatting>
  <conditionalFormatting sqref="R280">
    <cfRule type="duplicateValues" dxfId="467" priority="179"/>
  </conditionalFormatting>
  <conditionalFormatting sqref="R281">
    <cfRule type="duplicateValues" dxfId="466" priority="178"/>
  </conditionalFormatting>
  <conditionalFormatting sqref="R281">
    <cfRule type="duplicateValues" dxfId="465" priority="177"/>
  </conditionalFormatting>
  <conditionalFormatting sqref="P143">
    <cfRule type="duplicateValues" dxfId="464" priority="176"/>
  </conditionalFormatting>
  <conditionalFormatting sqref="R143">
    <cfRule type="duplicateValues" dxfId="463" priority="174"/>
  </conditionalFormatting>
  <conditionalFormatting sqref="R144">
    <cfRule type="duplicateValues" dxfId="462" priority="175"/>
  </conditionalFormatting>
  <conditionalFormatting sqref="R143:R144">
    <cfRule type="duplicateValues" dxfId="461" priority="173"/>
  </conditionalFormatting>
  <conditionalFormatting sqref="P190">
    <cfRule type="duplicateValues" dxfId="460" priority="172"/>
  </conditionalFormatting>
  <conditionalFormatting sqref="R191">
    <cfRule type="duplicateValues" dxfId="459" priority="171"/>
  </conditionalFormatting>
  <conditionalFormatting sqref="R191">
    <cfRule type="duplicateValues" dxfId="458" priority="170"/>
  </conditionalFormatting>
  <conditionalFormatting sqref="R190">
    <cfRule type="duplicateValues" dxfId="457" priority="169"/>
  </conditionalFormatting>
  <conditionalFormatting sqref="P157">
    <cfRule type="duplicateValues" dxfId="456" priority="168"/>
  </conditionalFormatting>
  <conditionalFormatting sqref="R157">
    <cfRule type="duplicateValues" dxfId="455" priority="166"/>
  </conditionalFormatting>
  <conditionalFormatting sqref="R158">
    <cfRule type="duplicateValues" dxfId="454" priority="167"/>
  </conditionalFormatting>
  <conditionalFormatting sqref="R157:R158">
    <cfRule type="duplicateValues" dxfId="453" priority="165"/>
  </conditionalFormatting>
  <conditionalFormatting sqref="P207">
    <cfRule type="duplicateValues" dxfId="452" priority="164"/>
  </conditionalFormatting>
  <conditionalFormatting sqref="R208">
    <cfRule type="duplicateValues" dxfId="451" priority="163"/>
  </conditionalFormatting>
  <conditionalFormatting sqref="R208">
    <cfRule type="duplicateValues" dxfId="450" priority="162"/>
  </conditionalFormatting>
  <conditionalFormatting sqref="R207">
    <cfRule type="duplicateValues" dxfId="449" priority="161"/>
  </conditionalFormatting>
  <conditionalFormatting sqref="R172">
    <cfRule type="duplicateValues" dxfId="448" priority="160"/>
  </conditionalFormatting>
  <conditionalFormatting sqref="P171">
    <cfRule type="duplicateValues" dxfId="447" priority="159"/>
  </conditionalFormatting>
  <conditionalFormatting sqref="R172">
    <cfRule type="duplicateValues" dxfId="446" priority="158"/>
  </conditionalFormatting>
  <conditionalFormatting sqref="R171">
    <cfRule type="duplicateValues" dxfId="445" priority="157"/>
  </conditionalFormatting>
  <conditionalFormatting sqref="R553">
    <cfRule type="duplicateValues" dxfId="444" priority="156"/>
  </conditionalFormatting>
  <conditionalFormatting sqref="R553">
    <cfRule type="duplicateValues" dxfId="443" priority="155"/>
  </conditionalFormatting>
  <conditionalFormatting sqref="R448">
    <cfRule type="duplicateValues" dxfId="442" priority="154"/>
  </conditionalFormatting>
  <conditionalFormatting sqref="R347:R348">
    <cfRule type="duplicateValues" dxfId="441" priority="153"/>
  </conditionalFormatting>
  <conditionalFormatting sqref="R346:R348">
    <cfRule type="duplicateValues" dxfId="440" priority="152"/>
  </conditionalFormatting>
  <conditionalFormatting sqref="D56">
    <cfRule type="duplicateValues" dxfId="439" priority="139"/>
  </conditionalFormatting>
  <conditionalFormatting sqref="D87:D89">
    <cfRule type="duplicateValues" dxfId="438" priority="138"/>
  </conditionalFormatting>
  <conditionalFormatting sqref="D93:D94">
    <cfRule type="duplicateValues" dxfId="437" priority="137"/>
  </conditionalFormatting>
  <conditionalFormatting sqref="D111:D113">
    <cfRule type="duplicateValues" dxfId="436" priority="136"/>
  </conditionalFormatting>
  <conditionalFormatting sqref="D133:D134">
    <cfRule type="duplicateValues" dxfId="435" priority="135"/>
  </conditionalFormatting>
  <conditionalFormatting sqref="D162:D163">
    <cfRule type="duplicateValues" dxfId="434" priority="134"/>
  </conditionalFormatting>
  <conditionalFormatting sqref="D40">
    <cfRule type="duplicateValues" dxfId="433" priority="133"/>
  </conditionalFormatting>
  <conditionalFormatting sqref="D42">
    <cfRule type="duplicateValues" dxfId="432" priority="132"/>
  </conditionalFormatting>
  <conditionalFormatting sqref="D44">
    <cfRule type="duplicateValues" dxfId="431" priority="131"/>
  </conditionalFormatting>
  <conditionalFormatting sqref="D46">
    <cfRule type="duplicateValues" dxfId="430" priority="130"/>
  </conditionalFormatting>
  <conditionalFormatting sqref="D91">
    <cfRule type="duplicateValues" dxfId="429" priority="129"/>
  </conditionalFormatting>
  <conditionalFormatting sqref="D96">
    <cfRule type="duplicateValues" dxfId="428" priority="128"/>
  </conditionalFormatting>
  <conditionalFormatting sqref="D115">
    <cfRule type="duplicateValues" dxfId="427" priority="127"/>
  </conditionalFormatting>
  <conditionalFormatting sqref="D117">
    <cfRule type="duplicateValues" dxfId="426" priority="126"/>
  </conditionalFormatting>
  <conditionalFormatting sqref="D119">
    <cfRule type="duplicateValues" dxfId="425" priority="125"/>
  </conditionalFormatting>
  <conditionalFormatting sqref="D137">
    <cfRule type="duplicateValues" dxfId="424" priority="124"/>
  </conditionalFormatting>
  <conditionalFormatting sqref="D166">
    <cfRule type="duplicateValues" dxfId="423" priority="123"/>
  </conditionalFormatting>
  <conditionalFormatting sqref="D197">
    <cfRule type="duplicateValues" dxfId="422" priority="122"/>
  </conditionalFormatting>
  <conditionalFormatting sqref="D199">
    <cfRule type="duplicateValues" dxfId="421" priority="121"/>
  </conditionalFormatting>
  <conditionalFormatting sqref="D212">
    <cfRule type="duplicateValues" dxfId="420" priority="120"/>
  </conditionalFormatting>
  <conditionalFormatting sqref="D472 D460 D464 D466:D467 D469:D470 D462">
    <cfRule type="duplicateValues" dxfId="419" priority="119"/>
  </conditionalFormatting>
  <conditionalFormatting sqref="D508">
    <cfRule type="duplicateValues" dxfId="418" priority="117"/>
    <cfRule type="duplicateValues" dxfId="417" priority="118"/>
  </conditionalFormatting>
  <conditionalFormatting sqref="D508">
    <cfRule type="duplicateValues" dxfId="416" priority="116"/>
  </conditionalFormatting>
  <conditionalFormatting sqref="D508">
    <cfRule type="duplicateValues" dxfId="415" priority="114"/>
    <cfRule type="duplicateValues" dxfId="414" priority="115"/>
  </conditionalFormatting>
  <conditionalFormatting sqref="D501:D502">
    <cfRule type="duplicateValues" dxfId="413" priority="113"/>
  </conditionalFormatting>
  <conditionalFormatting sqref="D31:D32">
    <cfRule type="duplicateValues" dxfId="412" priority="112"/>
  </conditionalFormatting>
  <conditionalFormatting sqref="D606">
    <cfRule type="duplicateValues" dxfId="411" priority="111"/>
  </conditionalFormatting>
  <conditionalFormatting sqref="D607">
    <cfRule type="duplicateValues" dxfId="410" priority="110"/>
  </conditionalFormatting>
  <conditionalFormatting sqref="D22">
    <cfRule type="duplicateValues" dxfId="409" priority="109"/>
  </conditionalFormatting>
  <conditionalFormatting sqref="D28">
    <cfRule type="duplicateValues" dxfId="408" priority="108"/>
  </conditionalFormatting>
  <conditionalFormatting sqref="D64:D66">
    <cfRule type="duplicateValues" dxfId="407" priority="107"/>
  </conditionalFormatting>
  <conditionalFormatting sqref="D70:D71">
    <cfRule type="duplicateValues" dxfId="406" priority="106"/>
  </conditionalFormatting>
  <conditionalFormatting sqref="D68">
    <cfRule type="duplicateValues" dxfId="405" priority="105"/>
  </conditionalFormatting>
  <conditionalFormatting sqref="D73">
    <cfRule type="duplicateValues" dxfId="404" priority="104"/>
  </conditionalFormatting>
  <conditionalFormatting sqref="D58:D59">
    <cfRule type="duplicateValues" dxfId="403" priority="103"/>
  </conditionalFormatting>
  <conditionalFormatting sqref="D147:D148">
    <cfRule type="duplicateValues" dxfId="402" priority="102"/>
  </conditionalFormatting>
  <conditionalFormatting sqref="D151">
    <cfRule type="duplicateValues" dxfId="401" priority="101"/>
  </conditionalFormatting>
  <conditionalFormatting sqref="D180">
    <cfRule type="duplicateValues" dxfId="400" priority="100"/>
  </conditionalFormatting>
  <conditionalFormatting sqref="D182">
    <cfRule type="duplicateValues" dxfId="399" priority="99"/>
  </conditionalFormatting>
  <conditionalFormatting sqref="D214">
    <cfRule type="duplicateValues" dxfId="398" priority="98"/>
  </conditionalFormatting>
  <conditionalFormatting sqref="D49:D50">
    <cfRule type="duplicateValues" dxfId="397" priority="97"/>
  </conditionalFormatting>
  <conditionalFormatting sqref="D178">
    <cfRule type="duplicateValues" dxfId="396" priority="96"/>
  </conditionalFormatting>
  <conditionalFormatting sqref="D195">
    <cfRule type="duplicateValues" dxfId="395" priority="95"/>
  </conditionalFormatting>
  <conditionalFormatting sqref="D135">
    <cfRule type="duplicateValues" dxfId="394" priority="94"/>
  </conditionalFormatting>
  <conditionalFormatting sqref="D149">
    <cfRule type="duplicateValues" dxfId="393" priority="93"/>
  </conditionalFormatting>
  <conditionalFormatting sqref="D164">
    <cfRule type="duplicateValues" dxfId="392" priority="92"/>
  </conditionalFormatting>
  <conditionalFormatting sqref="D29">
    <cfRule type="duplicateValues" dxfId="391" priority="91"/>
  </conditionalFormatting>
  <conditionalFormatting sqref="D47">
    <cfRule type="duplicateValues" dxfId="390" priority="90"/>
  </conditionalFormatting>
  <conditionalFormatting sqref="D184">
    <cfRule type="duplicateValues" dxfId="389" priority="89"/>
  </conditionalFormatting>
  <conditionalFormatting sqref="D185">
    <cfRule type="duplicateValues" dxfId="388" priority="88"/>
  </conditionalFormatting>
  <conditionalFormatting sqref="D201">
    <cfRule type="duplicateValues" dxfId="387" priority="87"/>
  </conditionalFormatting>
  <conditionalFormatting sqref="D202">
    <cfRule type="duplicateValues" dxfId="386" priority="86"/>
  </conditionalFormatting>
  <conditionalFormatting sqref="D139:D140">
    <cfRule type="duplicateValues" dxfId="385" priority="85"/>
  </conditionalFormatting>
  <conditionalFormatting sqref="D153:D154">
    <cfRule type="duplicateValues" dxfId="384" priority="84"/>
  </conditionalFormatting>
  <conditionalFormatting sqref="D168">
    <cfRule type="duplicateValues" dxfId="383" priority="83"/>
  </conditionalFormatting>
  <conditionalFormatting sqref="D121">
    <cfRule type="duplicateValues" dxfId="382" priority="82"/>
  </conditionalFormatting>
  <conditionalFormatting sqref="D170">
    <cfRule type="duplicateValues" dxfId="381" priority="81"/>
  </conditionalFormatting>
  <conditionalFormatting sqref="D98">
    <cfRule type="duplicateValues" dxfId="380" priority="80"/>
  </conditionalFormatting>
  <conditionalFormatting sqref="D75">
    <cfRule type="duplicateValues" dxfId="379" priority="79"/>
  </conditionalFormatting>
  <conditionalFormatting sqref="D156">
    <cfRule type="duplicateValues" dxfId="378" priority="78"/>
  </conditionalFormatting>
  <conditionalFormatting sqref="D142">
    <cfRule type="duplicateValues" dxfId="377" priority="77"/>
  </conditionalFormatting>
  <conditionalFormatting sqref="D638 D626 D623 D550 D547 D529 D526 D524 D520 D517 D514 D215 D213 D211 D200 D198 D196 D193 D183 D181 D179 D176 D169 D167 D165 D161 D155 D152 D150 D146 D141 D138 D136 D132 D122 D120 D118 D116 D114 D110 D99 D97 D95 D92 D90 D86 D76 D74 D72 D69 D67 D63 D57 D55 D48 D45 D43 D41 D39 D36 D30 D27 D25 D23 D21 D18 D636 D633">
    <cfRule type="duplicateValues" dxfId="376" priority="76"/>
  </conditionalFormatting>
  <conditionalFormatting sqref="D632 D640 D635 D625 D622 D546 D541 D538 D535 D532 D523 D510 D503 D500 D497 D210 D192 D175 D160 D145 D131 D109 D85 D62 D54 D35 D17">
    <cfRule type="duplicateValues" dxfId="375" priority="75"/>
  </conditionalFormatting>
  <conditionalFormatting sqref="D645">
    <cfRule type="duplicateValues" dxfId="374" priority="70"/>
  </conditionalFormatting>
  <conditionalFormatting sqref="D645">
    <cfRule type="duplicateValues" dxfId="373" priority="71"/>
  </conditionalFormatting>
  <conditionalFormatting sqref="D645">
    <cfRule type="duplicateValues" dxfId="372" priority="72"/>
  </conditionalFormatting>
  <conditionalFormatting sqref="D645">
    <cfRule type="duplicateValues" dxfId="371" priority="69"/>
  </conditionalFormatting>
  <conditionalFormatting sqref="D645">
    <cfRule type="duplicateValues" dxfId="370" priority="68"/>
  </conditionalFormatting>
  <conditionalFormatting sqref="D645">
    <cfRule type="duplicateValues" dxfId="369" priority="67"/>
  </conditionalFormatting>
  <conditionalFormatting sqref="D645">
    <cfRule type="duplicateValues" dxfId="368" priority="66"/>
  </conditionalFormatting>
  <conditionalFormatting sqref="D645">
    <cfRule type="duplicateValues" dxfId="367" priority="73"/>
  </conditionalFormatting>
  <conditionalFormatting sqref="D645">
    <cfRule type="duplicateValues" dxfId="366" priority="65"/>
  </conditionalFormatting>
  <conditionalFormatting sqref="D645">
    <cfRule type="duplicateValues" dxfId="365" priority="74"/>
  </conditionalFormatting>
  <conditionalFormatting sqref="D419">
    <cfRule type="duplicateValues" dxfId="364" priority="64"/>
  </conditionalFormatting>
  <conditionalFormatting sqref="D444">
    <cfRule type="duplicateValues" dxfId="363" priority="63"/>
  </conditionalFormatting>
  <conditionalFormatting sqref="D231">
    <cfRule type="duplicateValues" dxfId="362" priority="62"/>
  </conditionalFormatting>
  <conditionalFormatting sqref="D234">
    <cfRule type="duplicateValues" dxfId="361" priority="61"/>
  </conditionalFormatting>
  <conditionalFormatting sqref="D238">
    <cfRule type="duplicateValues" dxfId="360" priority="60"/>
  </conditionalFormatting>
  <conditionalFormatting sqref="D241">
    <cfRule type="duplicateValues" dxfId="359" priority="59"/>
  </conditionalFormatting>
  <conditionalFormatting sqref="D251">
    <cfRule type="duplicateValues" dxfId="358" priority="58"/>
  </conditionalFormatting>
  <conditionalFormatting sqref="D257">
    <cfRule type="duplicateValues" dxfId="357" priority="57"/>
  </conditionalFormatting>
  <conditionalFormatting sqref="D259">
    <cfRule type="duplicateValues" dxfId="356" priority="56"/>
  </conditionalFormatting>
  <conditionalFormatting sqref="D272">
    <cfRule type="duplicateValues" dxfId="355" priority="55"/>
  </conditionalFormatting>
  <conditionalFormatting sqref="D274">
    <cfRule type="duplicateValues" dxfId="354" priority="54"/>
  </conditionalFormatting>
  <conditionalFormatting sqref="D282">
    <cfRule type="duplicateValues" dxfId="353" priority="53"/>
  </conditionalFormatting>
  <conditionalFormatting sqref="D24">
    <cfRule type="duplicateValues" dxfId="352" priority="52"/>
  </conditionalFormatting>
  <conditionalFormatting sqref="D26">
    <cfRule type="duplicateValues" dxfId="351" priority="51"/>
  </conditionalFormatting>
  <conditionalFormatting sqref="D617 D609 D588 D568 D561 D506 D495 D474 D458 D129 D60 D15 D173">
    <cfRule type="duplicateValues" dxfId="350" priority="140"/>
  </conditionalFormatting>
  <conditionalFormatting sqref="D621 D618 D612 D610 D605 D602 D599 D596 D593 D589 D584 D580 D578 D575 D572 D569 D557 D509 D507 D496 D493 D491 D489 D486 D483 D480 D478 D475 D468 D465 D463 D459 D209 D174 D159 D130 D108 D61 D53 D16">
    <cfRule type="duplicateValues" dxfId="349" priority="141"/>
  </conditionalFormatting>
  <conditionalFormatting sqref="D194">
    <cfRule type="duplicateValues" dxfId="348" priority="142"/>
  </conditionalFormatting>
  <conditionalFormatting sqref="D177">
    <cfRule type="duplicateValues" dxfId="347" priority="143"/>
  </conditionalFormatting>
  <conditionalFormatting sqref="D37:D38">
    <cfRule type="duplicateValues" dxfId="346" priority="144"/>
  </conditionalFormatting>
  <conditionalFormatting sqref="D19:D20">
    <cfRule type="duplicateValues" dxfId="345" priority="145"/>
  </conditionalFormatting>
  <conditionalFormatting sqref="D646:D647 D216 D512:D513 D630 D627 D634 D637 D639 D223:D224 D504:D505 D299:D300 D326:D327 D476:D477 D611 D619:D620 D228:D229 D232:D233 D235:D236 D239:D240 D242:D243 D245:D246 D248:D249 D252:D256 D258 D260:D262 D264:D266 D269:D270 D273 D283:D284 D287:D288 D290:D291 D294:D297 D302:D303 D305:D306 D308 D314:D315 D318:D319 D321:D324 D329:D332 D334:D335 D337:D338 D340:D341 D344:D345 D351:D358 D360:D367 D370:D377 D379:D386 D388:D389 D392:D393 D395:D396 D398:D399 D402:D403 D405:D406 D408:D409 D411:D412 D414:D415 D417:D418 D479 D481:D482 D484:D485 D487:D488 D490 D492 D494 D498:D499 D515:D516 D518:D519 D521:D522 D525 D527:D528 D530:D531 D533:D534 D536:D537 D539:D540 D542:D545 D548:D549 D551:D552 D558 D562:D565 D570:D571 D573:D574 D576:D577 D579 D581:D583 D585:D586 D590:D592 D594:D595 D597 D600:D601 D603:D604 D613:D614 D624 D641 D643 D275:D279 D554:D556">
    <cfRule type="duplicateValues" dxfId="344" priority="146"/>
  </conditionalFormatting>
  <conditionalFormatting sqref="D13">
    <cfRule type="duplicateValues" dxfId="343" priority="50"/>
  </conditionalFormatting>
  <conditionalFormatting sqref="D644:D645 D642 D587 D566:D567 D473 D559:D560 D457 D615:D616 D608 D14">
    <cfRule type="duplicateValues" dxfId="342" priority="147"/>
  </conditionalFormatting>
  <conditionalFormatting sqref="D644:D645 D642 D587 D566:D567 D473 D559:D560 D457 D615:D616 D608 D14">
    <cfRule type="duplicateValues" dxfId="341" priority="148"/>
    <cfRule type="duplicateValues" dxfId="340" priority="149"/>
  </conditionalFormatting>
  <conditionalFormatting sqref="D628">
    <cfRule type="duplicateValues" dxfId="339" priority="49"/>
  </conditionalFormatting>
  <conditionalFormatting sqref="D225:D226">
    <cfRule type="duplicateValues" dxfId="338" priority="48"/>
  </conditionalFormatting>
  <conditionalFormatting sqref="D7 D11">
    <cfRule type="duplicateValues" dxfId="337" priority="150"/>
  </conditionalFormatting>
  <conditionalFormatting sqref="D598">
    <cfRule type="duplicateValues" dxfId="336" priority="47"/>
  </conditionalFormatting>
  <conditionalFormatting sqref="D187">
    <cfRule type="duplicateValues" dxfId="335" priority="46"/>
  </conditionalFormatting>
  <conditionalFormatting sqref="D186">
    <cfRule type="duplicateValues" dxfId="334" priority="45"/>
  </conditionalFormatting>
  <conditionalFormatting sqref="D204">
    <cfRule type="duplicateValues" dxfId="333" priority="44"/>
  </conditionalFormatting>
  <conditionalFormatting sqref="D203">
    <cfRule type="duplicateValues" dxfId="332" priority="43"/>
  </conditionalFormatting>
  <conditionalFormatting sqref="D218">
    <cfRule type="duplicateValues" dxfId="331" priority="42"/>
  </conditionalFormatting>
  <conditionalFormatting sqref="D217">
    <cfRule type="duplicateValues" dxfId="330" priority="41"/>
  </conditionalFormatting>
  <conditionalFormatting sqref="D33">
    <cfRule type="duplicateValues" dxfId="329" priority="40"/>
  </conditionalFormatting>
  <conditionalFormatting sqref="D34">
    <cfRule type="duplicateValues" dxfId="328" priority="39"/>
  </conditionalFormatting>
  <conditionalFormatting sqref="D51">
    <cfRule type="duplicateValues" dxfId="327" priority="38"/>
  </conditionalFormatting>
  <conditionalFormatting sqref="D52">
    <cfRule type="duplicateValues" dxfId="326" priority="37"/>
  </conditionalFormatting>
  <conditionalFormatting sqref="D188">
    <cfRule type="duplicateValues" dxfId="325" priority="36"/>
  </conditionalFormatting>
  <conditionalFormatting sqref="D189">
    <cfRule type="duplicateValues" dxfId="324" priority="35"/>
  </conditionalFormatting>
  <conditionalFormatting sqref="D206">
    <cfRule type="duplicateValues" dxfId="323" priority="34"/>
  </conditionalFormatting>
  <conditionalFormatting sqref="D205">
    <cfRule type="duplicateValues" dxfId="322" priority="33"/>
  </conditionalFormatting>
  <conditionalFormatting sqref="D461">
    <cfRule type="duplicateValues" dxfId="321" priority="32"/>
  </conditionalFormatting>
  <conditionalFormatting sqref="D554:D1048576 D449:D552 D293:D308 D7:D11 D108:D122 D85:D99 D312:D345 D282:D291 D129:D142 D145:D156 D192:D206 D159:D170 D173:D189 D209:D279 D349:D429 D13:D76 D432:D447">
    <cfRule type="duplicateValues" dxfId="320" priority="31"/>
  </conditionalFormatting>
  <conditionalFormatting sqref="D292">
    <cfRule type="duplicateValues" dxfId="319" priority="151"/>
  </conditionalFormatting>
  <conditionalFormatting sqref="D309:D311">
    <cfRule type="duplicateValues" dxfId="318" priority="30"/>
  </conditionalFormatting>
  <conditionalFormatting sqref="D309:D311">
    <cfRule type="duplicateValues" dxfId="317" priority="29"/>
  </conditionalFormatting>
  <conditionalFormatting sqref="D280">
    <cfRule type="duplicateValues" dxfId="316" priority="28"/>
  </conditionalFormatting>
  <conditionalFormatting sqref="D280">
    <cfRule type="duplicateValues" dxfId="315" priority="27"/>
  </conditionalFormatting>
  <conditionalFormatting sqref="D281">
    <cfRule type="duplicateValues" dxfId="314" priority="26"/>
  </conditionalFormatting>
  <conditionalFormatting sqref="D281">
    <cfRule type="duplicateValues" dxfId="313" priority="25"/>
  </conditionalFormatting>
  <conditionalFormatting sqref="D143">
    <cfRule type="duplicateValues" dxfId="312" priority="23"/>
  </conditionalFormatting>
  <conditionalFormatting sqref="D144">
    <cfRule type="duplicateValues" dxfId="311" priority="24"/>
  </conditionalFormatting>
  <conditionalFormatting sqref="D143:D144">
    <cfRule type="duplicateValues" dxfId="310" priority="22"/>
  </conditionalFormatting>
  <conditionalFormatting sqref="D191">
    <cfRule type="duplicateValues" dxfId="309" priority="21"/>
  </conditionalFormatting>
  <conditionalFormatting sqref="D191">
    <cfRule type="duplicateValues" dxfId="308" priority="20"/>
  </conditionalFormatting>
  <conditionalFormatting sqref="D190">
    <cfRule type="duplicateValues" dxfId="307" priority="19"/>
  </conditionalFormatting>
  <conditionalFormatting sqref="D157">
    <cfRule type="duplicateValues" dxfId="306" priority="17"/>
  </conditionalFormatting>
  <conditionalFormatting sqref="D158">
    <cfRule type="duplicateValues" dxfId="305" priority="18"/>
  </conditionalFormatting>
  <conditionalFormatting sqref="D157:D158">
    <cfRule type="duplicateValues" dxfId="304" priority="16"/>
  </conditionalFormatting>
  <conditionalFormatting sqref="D208">
    <cfRule type="duplicateValues" dxfId="303" priority="15"/>
  </conditionalFormatting>
  <conditionalFormatting sqref="D208">
    <cfRule type="duplicateValues" dxfId="302" priority="14"/>
  </conditionalFormatting>
  <conditionalFormatting sqref="D207">
    <cfRule type="duplicateValues" dxfId="301" priority="13"/>
  </conditionalFormatting>
  <conditionalFormatting sqref="D172">
    <cfRule type="duplicateValues" dxfId="300" priority="12"/>
  </conditionalFormatting>
  <conditionalFormatting sqref="D172">
    <cfRule type="duplicateValues" dxfId="299" priority="11"/>
  </conditionalFormatting>
  <conditionalFormatting sqref="D171">
    <cfRule type="duplicateValues" dxfId="298" priority="10"/>
  </conditionalFormatting>
  <conditionalFormatting sqref="D553">
    <cfRule type="duplicateValues" dxfId="297" priority="9"/>
  </conditionalFormatting>
  <conditionalFormatting sqref="D553">
    <cfRule type="duplicateValues" dxfId="296" priority="8"/>
  </conditionalFormatting>
  <conditionalFormatting sqref="D448">
    <cfRule type="duplicateValues" dxfId="295" priority="7"/>
  </conditionalFormatting>
  <conditionalFormatting sqref="D347:D348">
    <cfRule type="duplicateValues" dxfId="294" priority="6"/>
  </conditionalFormatting>
  <conditionalFormatting sqref="D346:D348">
    <cfRule type="duplicateValues" dxfId="293" priority="5"/>
  </conditionalFormatting>
  <conditionalFormatting sqref="R430:R431">
    <cfRule type="duplicateValues" dxfId="292" priority="4"/>
  </conditionalFormatting>
  <conditionalFormatting sqref="D430:D431">
    <cfRule type="duplicateValues" dxfId="291" priority="3"/>
  </conditionalFormatting>
  <conditionalFormatting sqref="R438:R439">
    <cfRule type="duplicateValues" dxfId="290" priority="2"/>
  </conditionalFormatting>
  <conditionalFormatting sqref="D438:D439">
    <cfRule type="duplicateValues" dxfId="289" priority="1"/>
  </conditionalFormatting>
  <pageMargins left="0.7" right="0.7" top="0.75" bottom="0.75" header="0.3" footer="0.3"/>
  <pageSetup paperSize="9" orientation="portrait" r:id="rId3"/>
  <customProperties>
    <customPr name="EpmWorksheetKeyString_GUID" r:id="rId4"/>
  </customPropertie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tabColor rgb="FFFF7C80"/>
  </sheetPr>
  <dimension ref="A1:I343"/>
  <sheetViews>
    <sheetView showGridLines="0" topLeftCell="E1" zoomScaleNormal="100" workbookViewId="0">
      <selection activeCell="J13" sqref="J13"/>
    </sheetView>
  </sheetViews>
  <sheetFormatPr baseColWidth="10" defaultColWidth="85.85546875" defaultRowHeight="12"/>
  <cols>
    <col min="1" max="2" width="25.5703125" style="200" customWidth="1"/>
    <col min="3" max="3" width="84.85546875" style="200" customWidth="1"/>
    <col min="4" max="4" width="25.5703125" style="404" customWidth="1"/>
    <col min="5" max="9" width="25.5703125" style="200" customWidth="1"/>
    <col min="10" max="16384" width="85.85546875" style="200"/>
  </cols>
  <sheetData>
    <row r="1" spans="1:9" s="371" customFormat="1" ht="16.5" customHeight="1">
      <c r="A1" s="372" t="s">
        <v>2088</v>
      </c>
      <c r="B1" s="354" t="s">
        <v>2089</v>
      </c>
      <c r="C1" s="354" t="s">
        <v>166</v>
      </c>
      <c r="D1" s="354" t="s">
        <v>2540</v>
      </c>
      <c r="E1" s="354" t="s">
        <v>2553</v>
      </c>
      <c r="F1" s="354" t="s">
        <v>2554</v>
      </c>
      <c r="G1" s="354" t="s">
        <v>2582</v>
      </c>
      <c r="H1" s="354" t="s">
        <v>2588</v>
      </c>
      <c r="I1" s="354" t="s">
        <v>2587</v>
      </c>
    </row>
    <row r="2" spans="1:9" ht="12" customHeight="1">
      <c r="A2" s="201"/>
      <c r="B2" s="201"/>
      <c r="C2" s="201" t="s">
        <v>0</v>
      </c>
      <c r="D2" s="406" t="s">
        <v>1380</v>
      </c>
      <c r="E2" s="68" t="s">
        <v>2547</v>
      </c>
      <c r="F2" s="68" t="s">
        <v>2547</v>
      </c>
      <c r="G2" s="68" t="s">
        <v>2547</v>
      </c>
      <c r="H2" s="68" t="s">
        <v>2547</v>
      </c>
      <c r="I2" s="68" t="s">
        <v>2547</v>
      </c>
    </row>
    <row r="3" spans="1:9" ht="12" customHeight="1">
      <c r="A3" s="202"/>
      <c r="B3" s="202"/>
      <c r="C3" s="202" t="s">
        <v>1381</v>
      </c>
      <c r="D3" s="406" t="s">
        <v>1380</v>
      </c>
      <c r="E3" s="68" t="s">
        <v>2547</v>
      </c>
      <c r="F3" s="68" t="s">
        <v>2547</v>
      </c>
      <c r="G3" s="68" t="s">
        <v>2547</v>
      </c>
      <c r="H3" s="68" t="s">
        <v>2547</v>
      </c>
      <c r="I3" s="68" t="s">
        <v>2547</v>
      </c>
    </row>
    <row r="4" spans="1:9" ht="12" customHeight="1">
      <c r="A4" s="201"/>
      <c r="B4" s="201"/>
      <c r="C4" s="201" t="s">
        <v>1382</v>
      </c>
      <c r="D4" s="406" t="s">
        <v>1380</v>
      </c>
      <c r="E4" s="68" t="s">
        <v>2547</v>
      </c>
      <c r="F4" s="68" t="s">
        <v>2547</v>
      </c>
      <c r="G4" s="68" t="s">
        <v>2547</v>
      </c>
      <c r="H4" s="68" t="s">
        <v>2547</v>
      </c>
      <c r="I4" s="68" t="s">
        <v>2547</v>
      </c>
    </row>
    <row r="5" spans="1:9" ht="12" customHeight="1">
      <c r="A5" s="201"/>
      <c r="B5" s="201"/>
      <c r="C5" s="201" t="s">
        <v>47</v>
      </c>
      <c r="D5" s="406" t="s">
        <v>1380</v>
      </c>
      <c r="E5" s="68" t="s">
        <v>2547</v>
      </c>
      <c r="F5" s="68" t="s">
        <v>2547</v>
      </c>
      <c r="G5" s="68" t="s">
        <v>2547</v>
      </c>
      <c r="H5" s="68" t="s">
        <v>2547</v>
      </c>
      <c r="I5" s="68" t="s">
        <v>2547</v>
      </c>
    </row>
    <row r="6" spans="1:9" ht="12" customHeight="1">
      <c r="A6" s="201"/>
      <c r="B6" s="201"/>
      <c r="C6" s="201" t="s">
        <v>170</v>
      </c>
      <c r="D6" s="402" t="s">
        <v>1380</v>
      </c>
      <c r="E6" s="68" t="s">
        <v>2548</v>
      </c>
      <c r="F6" s="68" t="s">
        <v>2552</v>
      </c>
      <c r="G6" s="68" t="s">
        <v>2552</v>
      </c>
      <c r="H6" s="68" t="s">
        <v>2552</v>
      </c>
      <c r="I6" s="68" t="s">
        <v>2552</v>
      </c>
    </row>
    <row r="7" spans="1:9" ht="12" customHeight="1">
      <c r="A7" s="201"/>
      <c r="B7" s="201"/>
      <c r="C7" s="201" t="s">
        <v>1383</v>
      </c>
      <c r="D7" s="406" t="s">
        <v>1380</v>
      </c>
      <c r="E7" s="68" t="s">
        <v>2547</v>
      </c>
      <c r="F7" s="68" t="s">
        <v>2547</v>
      </c>
      <c r="G7" s="68" t="s">
        <v>2547</v>
      </c>
      <c r="H7" s="68" t="s">
        <v>2547</v>
      </c>
      <c r="I7" s="68" t="s">
        <v>2547</v>
      </c>
    </row>
    <row r="8" spans="1:9" ht="12" customHeight="1">
      <c r="A8" s="201"/>
      <c r="B8" s="201"/>
      <c r="C8" s="201" t="s">
        <v>1062</v>
      </c>
      <c r="D8" s="402" t="s">
        <v>1380</v>
      </c>
      <c r="E8" s="68" t="s">
        <v>2548</v>
      </c>
      <c r="F8" s="68" t="s">
        <v>2552</v>
      </c>
      <c r="G8" s="68" t="s">
        <v>2552</v>
      </c>
      <c r="H8" s="68" t="s">
        <v>2552</v>
      </c>
      <c r="I8" s="68" t="s">
        <v>2552</v>
      </c>
    </row>
    <row r="9" spans="1:9" ht="12" customHeight="1" thickBot="1">
      <c r="A9" s="203" t="s">
        <v>921</v>
      </c>
      <c r="B9" s="203" t="s">
        <v>921</v>
      </c>
      <c r="C9" s="203" t="s">
        <v>921</v>
      </c>
      <c r="D9" s="405" t="s">
        <v>165</v>
      </c>
      <c r="E9" s="68"/>
      <c r="F9" s="68"/>
      <c r="G9" s="68"/>
      <c r="H9" s="68"/>
      <c r="I9" s="68"/>
    </row>
    <row r="10" spans="1:9" ht="12" customHeight="1" thickTop="1" thickBot="1">
      <c r="A10" s="373" t="s">
        <v>1384</v>
      </c>
      <c r="B10" s="373" t="s">
        <v>1384</v>
      </c>
      <c r="C10" s="374" t="s">
        <v>1385</v>
      </c>
      <c r="D10" s="405" t="s">
        <v>171</v>
      </c>
      <c r="E10" s="68"/>
      <c r="F10" s="68"/>
      <c r="G10" s="68"/>
      <c r="H10" s="68"/>
      <c r="I10" s="68"/>
    </row>
    <row r="11" spans="1:9" ht="12" customHeight="1" thickTop="1">
      <c r="A11" s="358" t="s">
        <v>1991</v>
      </c>
      <c r="B11" s="358" t="s">
        <v>1991</v>
      </c>
      <c r="C11" s="201" t="s">
        <v>1992</v>
      </c>
      <c r="D11" s="405" t="s">
        <v>171</v>
      </c>
      <c r="E11" s="68"/>
      <c r="F11" s="68"/>
      <c r="G11" s="68"/>
      <c r="H11" s="68"/>
      <c r="I11" s="68"/>
    </row>
    <row r="12" spans="1:9" ht="12" customHeight="1">
      <c r="A12" s="358" t="s">
        <v>1993</v>
      </c>
      <c r="B12" s="358" t="s">
        <v>1993</v>
      </c>
      <c r="C12" s="201" t="s">
        <v>1994</v>
      </c>
      <c r="D12" s="405" t="s">
        <v>171</v>
      </c>
      <c r="E12" s="68"/>
      <c r="F12" s="68"/>
      <c r="G12" s="68"/>
      <c r="H12" s="68"/>
      <c r="I12" s="68"/>
    </row>
    <row r="13" spans="1:9" ht="12" customHeight="1">
      <c r="A13" s="358" t="s">
        <v>1995</v>
      </c>
      <c r="B13" s="358" t="s">
        <v>1995</v>
      </c>
      <c r="C13" s="201" t="s">
        <v>1996</v>
      </c>
      <c r="D13" s="405" t="s">
        <v>171</v>
      </c>
      <c r="E13" s="68"/>
      <c r="F13" s="68"/>
      <c r="G13" s="68"/>
      <c r="H13" s="68"/>
      <c r="I13" s="68"/>
    </row>
    <row r="14" spans="1:9" ht="12" customHeight="1" thickBot="1">
      <c r="A14" s="358" t="s">
        <v>1997</v>
      </c>
      <c r="B14" s="358" t="s">
        <v>1997</v>
      </c>
      <c r="C14" s="201" t="s">
        <v>1998</v>
      </c>
      <c r="D14" s="405" t="s">
        <v>171</v>
      </c>
      <c r="E14" s="68"/>
      <c r="F14" s="68"/>
      <c r="G14" s="68"/>
      <c r="H14" s="68"/>
      <c r="I14" s="68"/>
    </row>
    <row r="15" spans="1:9" ht="12" customHeight="1" thickTop="1" thickBot="1">
      <c r="A15" s="373" t="s">
        <v>1386</v>
      </c>
      <c r="B15" s="373" t="s">
        <v>1386</v>
      </c>
      <c r="C15" s="374" t="s">
        <v>1881</v>
      </c>
      <c r="D15" s="405" t="s">
        <v>171</v>
      </c>
      <c r="E15" s="68"/>
      <c r="F15" s="68"/>
      <c r="G15" s="68"/>
      <c r="H15" s="68"/>
      <c r="I15" s="68"/>
    </row>
    <row r="16" spans="1:9" ht="12" customHeight="1" thickTop="1" thickBot="1">
      <c r="A16" s="373" t="s">
        <v>1387</v>
      </c>
      <c r="B16" s="373" t="s">
        <v>1387</v>
      </c>
      <c r="C16" s="374" t="s">
        <v>2410</v>
      </c>
      <c r="D16" s="405" t="s">
        <v>171</v>
      </c>
      <c r="E16" s="68"/>
      <c r="F16" s="68"/>
      <c r="G16" s="68"/>
      <c r="H16" s="68"/>
      <c r="I16" s="68"/>
    </row>
    <row r="17" spans="1:9" ht="12" customHeight="1" thickTop="1">
      <c r="A17" s="358" t="s">
        <v>922</v>
      </c>
      <c r="B17" s="358" t="s">
        <v>922</v>
      </c>
      <c r="C17" s="201" t="s">
        <v>1882</v>
      </c>
      <c r="D17" s="405" t="s">
        <v>165</v>
      </c>
      <c r="E17" s="68"/>
      <c r="F17" s="68"/>
      <c r="G17" s="68"/>
      <c r="H17" s="68"/>
      <c r="I17" s="68"/>
    </row>
    <row r="18" spans="1:9" ht="12" customHeight="1">
      <c r="A18" s="201" t="s">
        <v>923</v>
      </c>
      <c r="B18" s="201" t="s">
        <v>923</v>
      </c>
      <c r="C18" s="201" t="s">
        <v>1883</v>
      </c>
      <c r="D18" s="405" t="s">
        <v>171</v>
      </c>
      <c r="E18" s="68"/>
      <c r="F18" s="68"/>
      <c r="G18" s="68"/>
      <c r="H18" s="68"/>
      <c r="I18" s="68"/>
    </row>
    <row r="19" spans="1:9" ht="12" customHeight="1">
      <c r="A19" s="355" t="s">
        <v>1886</v>
      </c>
      <c r="B19" s="355" t="s">
        <v>1886</v>
      </c>
      <c r="C19" s="355" t="s">
        <v>1884</v>
      </c>
      <c r="D19" s="405" t="s">
        <v>171</v>
      </c>
      <c r="E19" s="68"/>
      <c r="F19" s="68"/>
      <c r="G19" s="68"/>
      <c r="H19" s="68"/>
      <c r="I19" s="68"/>
    </row>
    <row r="20" spans="1:9" ht="12" customHeight="1">
      <c r="A20" s="355" t="s">
        <v>1887</v>
      </c>
      <c r="B20" s="355" t="s">
        <v>1887</v>
      </c>
      <c r="C20" s="355" t="s">
        <v>1885</v>
      </c>
      <c r="D20" s="405" t="s">
        <v>171</v>
      </c>
      <c r="E20" s="68"/>
      <c r="F20" s="68"/>
      <c r="G20" s="205"/>
      <c r="H20" s="68"/>
      <c r="I20" s="205"/>
    </row>
    <row r="21" spans="1:9" ht="12" customHeight="1">
      <c r="A21" s="201" t="s">
        <v>924</v>
      </c>
      <c r="B21" s="201" t="s">
        <v>924</v>
      </c>
      <c r="C21" s="201" t="s">
        <v>1888</v>
      </c>
      <c r="D21" s="405" t="s">
        <v>171</v>
      </c>
      <c r="E21" s="68"/>
      <c r="F21" s="68"/>
      <c r="G21" s="68"/>
      <c r="H21" s="68"/>
      <c r="I21" s="68"/>
    </row>
    <row r="22" spans="1:9" ht="12" customHeight="1">
      <c r="A22" s="355" t="s">
        <v>1889</v>
      </c>
      <c r="B22" s="355" t="s">
        <v>1889</v>
      </c>
      <c r="C22" s="355" t="s">
        <v>2035</v>
      </c>
      <c r="D22" s="405" t="s">
        <v>171</v>
      </c>
      <c r="E22" s="68"/>
      <c r="F22" s="68"/>
      <c r="G22" s="68"/>
      <c r="H22" s="68"/>
      <c r="I22" s="68"/>
    </row>
    <row r="23" spans="1:9" ht="12" customHeight="1">
      <c r="A23" s="355" t="s">
        <v>1890</v>
      </c>
      <c r="B23" s="355" t="s">
        <v>1890</v>
      </c>
      <c r="C23" s="355" t="s">
        <v>1893</v>
      </c>
      <c r="D23" s="405" t="s">
        <v>171</v>
      </c>
      <c r="E23" s="68"/>
      <c r="F23" s="68"/>
      <c r="G23" s="68"/>
      <c r="H23" s="68"/>
      <c r="I23" s="68"/>
    </row>
    <row r="24" spans="1:9" ht="12" customHeight="1">
      <c r="A24" s="355" t="s">
        <v>1891</v>
      </c>
      <c r="B24" s="355" t="s">
        <v>1891</v>
      </c>
      <c r="C24" s="355" t="s">
        <v>1894</v>
      </c>
      <c r="D24" s="405" t="s">
        <v>171</v>
      </c>
      <c r="E24" s="68"/>
      <c r="F24" s="68"/>
      <c r="G24" s="68"/>
      <c r="H24" s="68"/>
      <c r="I24" s="68"/>
    </row>
    <row r="25" spans="1:9" ht="12" customHeight="1">
      <c r="A25" s="355" t="s">
        <v>1892</v>
      </c>
      <c r="B25" s="355" t="s">
        <v>1892</v>
      </c>
      <c r="C25" s="355" t="s">
        <v>1895</v>
      </c>
      <c r="D25" s="405" t="s">
        <v>171</v>
      </c>
      <c r="E25" s="68"/>
      <c r="F25" s="68"/>
      <c r="G25" s="68"/>
      <c r="H25" s="68"/>
      <c r="I25" s="68"/>
    </row>
    <row r="26" spans="1:9" ht="12" customHeight="1">
      <c r="A26" s="358" t="s">
        <v>925</v>
      </c>
      <c r="B26" s="358" t="s">
        <v>925</v>
      </c>
      <c r="C26" s="201" t="s">
        <v>1388</v>
      </c>
      <c r="D26" s="405" t="s">
        <v>171</v>
      </c>
      <c r="E26" s="68"/>
      <c r="F26" s="68"/>
      <c r="G26" s="68"/>
      <c r="H26" s="68"/>
      <c r="I26" s="68"/>
    </row>
    <row r="27" spans="1:9" ht="12" customHeight="1">
      <c r="A27" s="201" t="s">
        <v>926</v>
      </c>
      <c r="B27" s="201" t="s">
        <v>926</v>
      </c>
      <c r="C27" s="201" t="s">
        <v>928</v>
      </c>
      <c r="D27" s="405" t="s">
        <v>171</v>
      </c>
      <c r="E27" s="68"/>
      <c r="F27" s="68"/>
      <c r="G27" s="68"/>
      <c r="H27" s="68"/>
      <c r="I27" s="68"/>
    </row>
    <row r="28" spans="1:9" ht="12" customHeight="1">
      <c r="A28" s="355" t="s">
        <v>2030</v>
      </c>
      <c r="B28" s="355" t="s">
        <v>2030</v>
      </c>
      <c r="C28" s="355" t="s">
        <v>928</v>
      </c>
      <c r="D28" s="405" t="s">
        <v>165</v>
      </c>
      <c r="E28" s="68"/>
      <c r="F28" s="68"/>
      <c r="G28" s="68"/>
      <c r="H28" s="68"/>
      <c r="I28" s="68"/>
    </row>
    <row r="29" spans="1:9" ht="12" customHeight="1">
      <c r="A29" s="355" t="s">
        <v>2031</v>
      </c>
      <c r="B29" s="355" t="s">
        <v>2031</v>
      </c>
      <c r="C29" s="355" t="s">
        <v>1389</v>
      </c>
      <c r="D29" s="406" t="s">
        <v>1390</v>
      </c>
      <c r="E29" s="68" t="s">
        <v>2547</v>
      </c>
      <c r="F29" s="68" t="s">
        <v>2547</v>
      </c>
      <c r="G29" s="68" t="s">
        <v>2547</v>
      </c>
      <c r="H29" s="68" t="s">
        <v>2547</v>
      </c>
      <c r="I29" s="68" t="s">
        <v>2547</v>
      </c>
    </row>
    <row r="30" spans="1:9" ht="12" customHeight="1">
      <c r="A30" s="355" t="s">
        <v>2032</v>
      </c>
      <c r="B30" s="355" t="s">
        <v>2032</v>
      </c>
      <c r="C30" s="355" t="s">
        <v>1391</v>
      </c>
      <c r="D30" s="406" t="s">
        <v>1390</v>
      </c>
      <c r="E30" s="68" t="s">
        <v>2547</v>
      </c>
      <c r="F30" s="68" t="s">
        <v>2547</v>
      </c>
      <c r="G30" s="68" t="s">
        <v>2547</v>
      </c>
      <c r="H30" s="68" t="s">
        <v>2547</v>
      </c>
      <c r="I30" s="68" t="s">
        <v>2547</v>
      </c>
    </row>
    <row r="31" spans="1:9" ht="12" customHeight="1">
      <c r="A31" s="355" t="s">
        <v>2033</v>
      </c>
      <c r="B31" s="355" t="s">
        <v>2033</v>
      </c>
      <c r="C31" s="355" t="s">
        <v>929</v>
      </c>
      <c r="D31" s="406" t="s">
        <v>1390</v>
      </c>
      <c r="E31" s="68" t="s">
        <v>2547</v>
      </c>
      <c r="F31" s="68" t="s">
        <v>2547</v>
      </c>
      <c r="G31" s="68" t="s">
        <v>2547</v>
      </c>
      <c r="H31" s="68" t="s">
        <v>2547</v>
      </c>
      <c r="I31" s="68" t="s">
        <v>2547</v>
      </c>
    </row>
    <row r="32" spans="1:9" ht="12" customHeight="1">
      <c r="A32" s="201" t="s">
        <v>927</v>
      </c>
      <c r="B32" s="201" t="s">
        <v>927</v>
      </c>
      <c r="C32" s="201" t="s">
        <v>1392</v>
      </c>
      <c r="D32" s="406" t="s">
        <v>2034</v>
      </c>
      <c r="E32" s="68" t="s">
        <v>2547</v>
      </c>
      <c r="F32" s="68" t="s">
        <v>2547</v>
      </c>
      <c r="G32" s="68" t="s">
        <v>2547</v>
      </c>
      <c r="H32" s="68" t="s">
        <v>2547</v>
      </c>
      <c r="I32" s="68" t="s">
        <v>2547</v>
      </c>
    </row>
    <row r="33" spans="1:9" ht="12" customHeight="1" thickBot="1">
      <c r="A33" s="353" t="s">
        <v>930</v>
      </c>
      <c r="B33" s="353" t="s">
        <v>930</v>
      </c>
      <c r="C33" s="203" t="s">
        <v>930</v>
      </c>
      <c r="D33" s="405" t="s">
        <v>165</v>
      </c>
      <c r="E33" s="68"/>
      <c r="F33" s="68"/>
      <c r="G33" s="68"/>
      <c r="H33" s="68"/>
      <c r="I33" s="68"/>
    </row>
    <row r="34" spans="1:9" ht="12" customHeight="1" thickTop="1" thickBot="1">
      <c r="A34" s="373" t="s">
        <v>1393</v>
      </c>
      <c r="B34" s="373" t="s">
        <v>1393</v>
      </c>
      <c r="C34" s="374" t="s">
        <v>930</v>
      </c>
      <c r="D34" s="405" t="s">
        <v>171</v>
      </c>
      <c r="E34" s="68"/>
      <c r="F34" s="68"/>
      <c r="G34" s="68"/>
      <c r="H34" s="68"/>
      <c r="I34" s="68"/>
    </row>
    <row r="35" spans="1:9" ht="12" customHeight="1" thickTop="1">
      <c r="A35" s="358" t="s">
        <v>172</v>
      </c>
      <c r="B35" s="358" t="s">
        <v>172</v>
      </c>
      <c r="C35" s="201" t="s">
        <v>931</v>
      </c>
      <c r="D35" s="405" t="s">
        <v>171</v>
      </c>
      <c r="E35" s="68"/>
      <c r="F35" s="68"/>
      <c r="G35" s="68"/>
      <c r="H35" s="68"/>
      <c r="I35" s="68"/>
    </row>
    <row r="36" spans="1:9" ht="12" customHeight="1">
      <c r="A36" s="201" t="s">
        <v>932</v>
      </c>
      <c r="B36" s="201" t="s">
        <v>932</v>
      </c>
      <c r="C36" s="201" t="s">
        <v>1896</v>
      </c>
      <c r="D36" s="405" t="s">
        <v>171</v>
      </c>
      <c r="E36" s="68"/>
      <c r="F36" s="68"/>
      <c r="G36" s="68"/>
      <c r="H36" s="68"/>
      <c r="I36" s="68"/>
    </row>
    <row r="37" spans="1:9" ht="12" customHeight="1">
      <c r="A37" s="201" t="s">
        <v>933</v>
      </c>
      <c r="B37" s="201" t="s">
        <v>933</v>
      </c>
      <c r="C37" s="201" t="s">
        <v>1897</v>
      </c>
      <c r="D37" s="405" t="s">
        <v>165</v>
      </c>
      <c r="E37" s="68"/>
      <c r="F37" s="68"/>
      <c r="G37" s="68"/>
      <c r="H37" s="68"/>
      <c r="I37" s="68"/>
    </row>
    <row r="38" spans="1:9" ht="12" customHeight="1">
      <c r="A38" s="201" t="s">
        <v>934</v>
      </c>
      <c r="B38" s="201" t="s">
        <v>934</v>
      </c>
      <c r="C38" s="201" t="s">
        <v>1898</v>
      </c>
      <c r="D38" s="405" t="s">
        <v>171</v>
      </c>
      <c r="E38" s="68"/>
      <c r="F38" s="68"/>
      <c r="G38" s="68"/>
      <c r="H38" s="68"/>
      <c r="I38" s="68"/>
    </row>
    <row r="39" spans="1:9" ht="12" customHeight="1">
      <c r="A39" s="358" t="s">
        <v>174</v>
      </c>
      <c r="B39" s="358" t="s">
        <v>174</v>
      </c>
      <c r="C39" s="201" t="s">
        <v>1394</v>
      </c>
      <c r="D39" s="405" t="s">
        <v>171</v>
      </c>
      <c r="E39" s="68"/>
      <c r="F39" s="68"/>
      <c r="G39" s="68"/>
      <c r="H39" s="68"/>
      <c r="I39" s="68"/>
    </row>
    <row r="40" spans="1:9" ht="12" customHeight="1" thickBot="1">
      <c r="A40" s="353" t="s">
        <v>935</v>
      </c>
      <c r="B40" s="353" t="s">
        <v>935</v>
      </c>
      <c r="C40" s="203" t="s">
        <v>935</v>
      </c>
      <c r="D40" s="405" t="s">
        <v>165</v>
      </c>
      <c r="E40" s="68"/>
      <c r="F40" s="68"/>
      <c r="G40" s="68"/>
      <c r="H40" s="68"/>
      <c r="I40" s="68"/>
    </row>
    <row r="41" spans="1:9" ht="12" customHeight="1" thickTop="1" thickBot="1">
      <c r="A41" s="373" t="s">
        <v>1395</v>
      </c>
      <c r="B41" s="373" t="s">
        <v>1395</v>
      </c>
      <c r="C41" s="374" t="s">
        <v>935</v>
      </c>
      <c r="D41" s="405" t="s">
        <v>165</v>
      </c>
      <c r="E41" s="68"/>
      <c r="F41" s="68"/>
      <c r="G41" s="68"/>
      <c r="H41" s="68"/>
      <c r="I41" s="68"/>
    </row>
    <row r="42" spans="1:9" ht="12" customHeight="1" thickTop="1">
      <c r="A42" s="358" t="s">
        <v>179</v>
      </c>
      <c r="B42" s="358" t="s">
        <v>179</v>
      </c>
      <c r="C42" s="201" t="s">
        <v>173</v>
      </c>
      <c r="D42" s="405" t="s">
        <v>171</v>
      </c>
      <c r="E42" s="68"/>
      <c r="F42" s="68"/>
      <c r="G42" s="68"/>
      <c r="H42" s="68"/>
      <c r="I42" s="68"/>
    </row>
    <row r="43" spans="1:9" ht="12" customHeight="1">
      <c r="A43" s="358" t="s">
        <v>180</v>
      </c>
      <c r="B43" s="358" t="s">
        <v>180</v>
      </c>
      <c r="C43" s="201" t="s">
        <v>175</v>
      </c>
      <c r="D43" s="405" t="s">
        <v>171</v>
      </c>
      <c r="E43" s="68"/>
      <c r="F43" s="68"/>
      <c r="G43" s="68"/>
      <c r="H43" s="68"/>
      <c r="I43" s="68"/>
    </row>
    <row r="44" spans="1:9" ht="12" customHeight="1">
      <c r="A44" s="358" t="s">
        <v>181</v>
      </c>
      <c r="B44" s="358" t="s">
        <v>181</v>
      </c>
      <c r="C44" s="201" t="s">
        <v>176</v>
      </c>
      <c r="D44" s="405" t="s">
        <v>171</v>
      </c>
      <c r="E44" s="68"/>
      <c r="F44" s="68"/>
      <c r="G44" s="68"/>
      <c r="H44" s="68"/>
      <c r="I44" s="68"/>
    </row>
    <row r="45" spans="1:9" ht="12" customHeight="1">
      <c r="A45" s="358" t="s">
        <v>182</v>
      </c>
      <c r="B45" s="358" t="s">
        <v>182</v>
      </c>
      <c r="C45" s="201" t="s">
        <v>177</v>
      </c>
      <c r="D45" s="405" t="s">
        <v>171</v>
      </c>
      <c r="E45" s="68"/>
      <c r="F45" s="68"/>
      <c r="G45" s="68"/>
      <c r="H45" s="68"/>
      <c r="I45" s="68"/>
    </row>
    <row r="46" spans="1:9" ht="12" customHeight="1">
      <c r="A46" s="358" t="s">
        <v>936</v>
      </c>
      <c r="B46" s="358" t="s">
        <v>936</v>
      </c>
      <c r="C46" s="201" t="s">
        <v>178</v>
      </c>
      <c r="D46" s="402" t="s">
        <v>1380</v>
      </c>
      <c r="E46" s="68" t="s">
        <v>2548</v>
      </c>
      <c r="F46" s="68" t="s">
        <v>2548</v>
      </c>
      <c r="G46" s="68" t="s">
        <v>2548</v>
      </c>
      <c r="H46" s="68" t="s">
        <v>2548</v>
      </c>
      <c r="I46" s="68" t="s">
        <v>2586</v>
      </c>
    </row>
    <row r="47" spans="1:9" ht="12" customHeight="1">
      <c r="A47" s="362" t="s">
        <v>2136</v>
      </c>
      <c r="B47" s="360" t="s">
        <v>168</v>
      </c>
      <c r="C47" s="201" t="s">
        <v>2479</v>
      </c>
      <c r="D47" s="402" t="s">
        <v>1390</v>
      </c>
      <c r="E47" s="68" t="s">
        <v>2548</v>
      </c>
      <c r="F47" s="68" t="s">
        <v>2548</v>
      </c>
      <c r="G47" s="68" t="s">
        <v>2548</v>
      </c>
      <c r="H47" s="68" t="s">
        <v>2548</v>
      </c>
      <c r="I47" s="68" t="s">
        <v>2586</v>
      </c>
    </row>
    <row r="48" spans="1:9" ht="12" customHeight="1">
      <c r="A48" s="358" t="s">
        <v>573</v>
      </c>
      <c r="B48" s="358" t="s">
        <v>2136</v>
      </c>
      <c r="C48" s="201" t="s">
        <v>937</v>
      </c>
      <c r="D48" s="406" t="s">
        <v>1380</v>
      </c>
      <c r="E48" s="68" t="s">
        <v>2547</v>
      </c>
      <c r="F48" s="68" t="s">
        <v>2547</v>
      </c>
      <c r="G48" s="68" t="s">
        <v>2547</v>
      </c>
      <c r="H48" s="68" t="s">
        <v>2547</v>
      </c>
      <c r="I48" s="68" t="s">
        <v>2547</v>
      </c>
    </row>
    <row r="49" spans="1:9" ht="12" customHeight="1">
      <c r="A49" s="358" t="s">
        <v>2137</v>
      </c>
      <c r="B49" s="358" t="s">
        <v>2137</v>
      </c>
      <c r="C49" s="201" t="s">
        <v>2138</v>
      </c>
      <c r="D49" s="402" t="s">
        <v>1380</v>
      </c>
      <c r="E49" s="68" t="s">
        <v>2548</v>
      </c>
      <c r="F49" s="68" t="s">
        <v>2548</v>
      </c>
      <c r="G49" s="68" t="s">
        <v>2548</v>
      </c>
      <c r="H49" s="68" t="s">
        <v>2548</v>
      </c>
      <c r="I49" s="68" t="s">
        <v>2548</v>
      </c>
    </row>
    <row r="50" spans="1:9" ht="12" customHeight="1">
      <c r="A50" s="366" t="s">
        <v>2140</v>
      </c>
      <c r="B50" s="360" t="s">
        <v>168</v>
      </c>
      <c r="C50" s="201" t="s">
        <v>2141</v>
      </c>
      <c r="D50" s="405" t="s">
        <v>165</v>
      </c>
      <c r="E50" s="68"/>
      <c r="F50" s="68"/>
      <c r="G50" s="68"/>
      <c r="H50" s="68"/>
      <c r="I50" s="68"/>
    </row>
    <row r="51" spans="1:9" ht="12" customHeight="1">
      <c r="A51" s="363" t="s">
        <v>2139</v>
      </c>
      <c r="B51" s="361" t="s">
        <v>168</v>
      </c>
      <c r="C51" s="201" t="s">
        <v>2142</v>
      </c>
      <c r="D51" s="403" t="s">
        <v>1380</v>
      </c>
      <c r="E51" s="68" t="s">
        <v>2484</v>
      </c>
      <c r="F51" s="68" t="s">
        <v>2547</v>
      </c>
      <c r="G51" s="68" t="s">
        <v>2547</v>
      </c>
      <c r="H51" s="68" t="s">
        <v>2547</v>
      </c>
      <c r="I51" s="68" t="s">
        <v>2547</v>
      </c>
    </row>
    <row r="52" spans="1:9" ht="12" customHeight="1">
      <c r="A52" s="363" t="s">
        <v>2139</v>
      </c>
      <c r="B52" s="361" t="s">
        <v>168</v>
      </c>
      <c r="C52" s="201" t="s">
        <v>2143</v>
      </c>
      <c r="D52" s="403" t="s">
        <v>1380</v>
      </c>
      <c r="E52" s="68" t="s">
        <v>2484</v>
      </c>
      <c r="F52" s="68" t="s">
        <v>2547</v>
      </c>
      <c r="G52" s="68" t="s">
        <v>2547</v>
      </c>
      <c r="H52" s="68" t="s">
        <v>2547</v>
      </c>
      <c r="I52" s="68" t="s">
        <v>2547</v>
      </c>
    </row>
    <row r="53" spans="1:9" ht="12" customHeight="1">
      <c r="A53" s="362" t="s">
        <v>2144</v>
      </c>
      <c r="B53" s="360" t="s">
        <v>168</v>
      </c>
      <c r="C53" s="201" t="s">
        <v>2145</v>
      </c>
      <c r="D53" s="403" t="s">
        <v>1380</v>
      </c>
      <c r="E53" s="68" t="s">
        <v>2484</v>
      </c>
      <c r="F53" s="68" t="s">
        <v>2547</v>
      </c>
      <c r="G53" s="68" t="s">
        <v>2547</v>
      </c>
      <c r="H53" s="68" t="s">
        <v>2547</v>
      </c>
      <c r="I53" s="68" t="s">
        <v>2547</v>
      </c>
    </row>
    <row r="54" spans="1:9" ht="12" customHeight="1">
      <c r="A54" s="362" t="s">
        <v>2412</v>
      </c>
      <c r="B54" s="360" t="s">
        <v>168</v>
      </c>
      <c r="C54" s="201" t="s">
        <v>2413</v>
      </c>
      <c r="D54" s="405" t="s">
        <v>168</v>
      </c>
      <c r="E54" s="68"/>
      <c r="F54" s="68"/>
      <c r="G54" s="68"/>
      <c r="H54" s="68"/>
      <c r="I54" s="68"/>
    </row>
    <row r="55" spans="1:9" ht="12" customHeight="1" thickBot="1">
      <c r="A55" s="353" t="s">
        <v>938</v>
      </c>
      <c r="B55" s="353" t="s">
        <v>938</v>
      </c>
      <c r="C55" s="203" t="s">
        <v>938</v>
      </c>
      <c r="D55" s="405" t="s">
        <v>165</v>
      </c>
      <c r="E55" s="68"/>
      <c r="F55" s="68"/>
      <c r="G55" s="68"/>
      <c r="H55" s="68"/>
      <c r="I55" s="68"/>
    </row>
    <row r="56" spans="1:9" ht="12" customHeight="1" thickTop="1" thickBot="1">
      <c r="A56" s="373" t="s">
        <v>1396</v>
      </c>
      <c r="B56" s="373" t="s">
        <v>1396</v>
      </c>
      <c r="C56" s="374" t="s">
        <v>1397</v>
      </c>
      <c r="D56" s="405" t="s">
        <v>165</v>
      </c>
      <c r="E56" s="68"/>
      <c r="F56" s="68"/>
      <c r="G56" s="68"/>
      <c r="H56" s="68"/>
      <c r="I56" s="68"/>
    </row>
    <row r="57" spans="1:9" ht="12" customHeight="1" thickTop="1">
      <c r="A57" s="358" t="s">
        <v>183</v>
      </c>
      <c r="B57" s="358" t="s">
        <v>183</v>
      </c>
      <c r="C57" s="201" t="s">
        <v>184</v>
      </c>
      <c r="D57" s="406" t="s">
        <v>1380</v>
      </c>
      <c r="E57" s="68" t="s">
        <v>2547</v>
      </c>
      <c r="F57" s="68" t="s">
        <v>2547</v>
      </c>
      <c r="G57" s="68" t="s">
        <v>2547</v>
      </c>
      <c r="H57" s="68" t="s">
        <v>2547</v>
      </c>
      <c r="I57" s="68" t="s">
        <v>2547</v>
      </c>
    </row>
    <row r="58" spans="1:9" ht="12" customHeight="1">
      <c r="A58" s="358" t="s">
        <v>185</v>
      </c>
      <c r="B58" s="358" t="s">
        <v>185</v>
      </c>
      <c r="C58" s="201" t="s">
        <v>1398</v>
      </c>
      <c r="D58" s="405" t="s">
        <v>171</v>
      </c>
      <c r="E58" s="68"/>
      <c r="F58" s="68"/>
      <c r="G58" s="68"/>
      <c r="H58" s="68"/>
      <c r="I58" s="68"/>
    </row>
    <row r="59" spans="1:9" ht="12" customHeight="1">
      <c r="A59" s="201" t="s">
        <v>186</v>
      </c>
      <c r="B59" s="201" t="s">
        <v>186</v>
      </c>
      <c r="C59" s="201" t="s">
        <v>1399</v>
      </c>
      <c r="D59" s="406" t="s">
        <v>1380</v>
      </c>
      <c r="E59" s="68" t="s">
        <v>2547</v>
      </c>
      <c r="F59" s="68" t="s">
        <v>2547</v>
      </c>
      <c r="G59" s="68" t="s">
        <v>2547</v>
      </c>
      <c r="H59" s="68" t="s">
        <v>2547</v>
      </c>
      <c r="I59" s="68" t="s">
        <v>2547</v>
      </c>
    </row>
    <row r="60" spans="1:9" ht="12" customHeight="1">
      <c r="A60" s="201" t="s">
        <v>247</v>
      </c>
      <c r="B60" s="201" t="s">
        <v>247</v>
      </c>
      <c r="C60" s="201" t="s">
        <v>1400</v>
      </c>
      <c r="D60" s="406" t="s">
        <v>1380</v>
      </c>
      <c r="E60" s="68" t="s">
        <v>2547</v>
      </c>
      <c r="F60" s="68" t="s">
        <v>2547</v>
      </c>
      <c r="G60" s="68" t="s">
        <v>2547</v>
      </c>
      <c r="H60" s="68" t="s">
        <v>2547</v>
      </c>
      <c r="I60" s="68" t="s">
        <v>2547</v>
      </c>
    </row>
    <row r="61" spans="1:9" ht="12" customHeight="1">
      <c r="A61" s="358" t="s">
        <v>187</v>
      </c>
      <c r="B61" s="358" t="s">
        <v>187</v>
      </c>
      <c r="C61" s="201" t="s">
        <v>1854</v>
      </c>
      <c r="D61" s="405" t="s">
        <v>171</v>
      </c>
      <c r="E61" s="68"/>
      <c r="F61" s="68"/>
      <c r="G61" s="68"/>
      <c r="H61" s="68"/>
      <c r="I61" s="68"/>
    </row>
    <row r="62" spans="1:9" ht="12" customHeight="1">
      <c r="A62" s="358" t="s">
        <v>188</v>
      </c>
      <c r="B62" s="358" t="s">
        <v>188</v>
      </c>
      <c r="C62" s="201" t="s">
        <v>90</v>
      </c>
      <c r="D62" s="406" t="s">
        <v>1380</v>
      </c>
      <c r="E62" s="68" t="s">
        <v>2547</v>
      </c>
      <c r="F62" s="68" t="s">
        <v>2547</v>
      </c>
      <c r="G62" s="68" t="s">
        <v>2547</v>
      </c>
      <c r="H62" s="68" t="s">
        <v>2547</v>
      </c>
      <c r="I62" s="68" t="s">
        <v>2547</v>
      </c>
    </row>
    <row r="63" spans="1:9" ht="12" customHeight="1">
      <c r="A63" s="358" t="s">
        <v>2147</v>
      </c>
      <c r="B63" s="360" t="s">
        <v>168</v>
      </c>
      <c r="C63" s="201" t="s">
        <v>2146</v>
      </c>
      <c r="D63" s="406" t="s">
        <v>1380</v>
      </c>
      <c r="E63" s="68" t="s">
        <v>2547</v>
      </c>
      <c r="F63" s="68" t="s">
        <v>2547</v>
      </c>
      <c r="G63" s="68" t="s">
        <v>2547</v>
      </c>
      <c r="H63" s="68" t="s">
        <v>2547</v>
      </c>
      <c r="I63" s="68" t="s">
        <v>2547</v>
      </c>
    </row>
    <row r="64" spans="1:9" ht="12" customHeight="1">
      <c r="A64" s="358" t="s">
        <v>2148</v>
      </c>
      <c r="B64" s="361" t="s">
        <v>168</v>
      </c>
      <c r="C64" s="201" t="s">
        <v>93</v>
      </c>
      <c r="D64" s="406" t="s">
        <v>1380</v>
      </c>
      <c r="E64" s="68" t="s">
        <v>2547</v>
      </c>
      <c r="F64" s="68" t="s">
        <v>2547</v>
      </c>
      <c r="G64" s="68" t="s">
        <v>2547</v>
      </c>
      <c r="H64" s="68" t="s">
        <v>2547</v>
      </c>
      <c r="I64" s="68" t="s">
        <v>2547</v>
      </c>
    </row>
    <row r="65" spans="1:9" ht="12" customHeight="1" thickBot="1">
      <c r="A65" s="201" t="s">
        <v>2149</v>
      </c>
      <c r="B65" s="361" t="s">
        <v>168</v>
      </c>
      <c r="C65" s="201" t="s">
        <v>2150</v>
      </c>
      <c r="D65" s="406" t="s">
        <v>1380</v>
      </c>
      <c r="E65" s="68" t="s">
        <v>2547</v>
      </c>
      <c r="F65" s="68" t="s">
        <v>2547</v>
      </c>
      <c r="G65" s="68" t="s">
        <v>2547</v>
      </c>
      <c r="H65" s="68" t="s">
        <v>2547</v>
      </c>
      <c r="I65" s="68" t="s">
        <v>2547</v>
      </c>
    </row>
    <row r="66" spans="1:9" ht="12" customHeight="1" thickTop="1" thickBot="1">
      <c r="A66" s="373" t="s">
        <v>1899</v>
      </c>
      <c r="B66" s="373" t="s">
        <v>1899</v>
      </c>
      <c r="C66" s="374" t="s">
        <v>2274</v>
      </c>
      <c r="D66" s="405" t="s">
        <v>165</v>
      </c>
      <c r="E66" s="68"/>
      <c r="F66" s="68"/>
      <c r="G66" s="68"/>
      <c r="H66" s="68"/>
      <c r="I66" s="68"/>
    </row>
    <row r="67" spans="1:9" ht="12" customHeight="1" thickTop="1">
      <c r="A67" s="366" t="s">
        <v>939</v>
      </c>
      <c r="B67" s="360" t="s">
        <v>168</v>
      </c>
      <c r="C67" s="201" t="s">
        <v>2151</v>
      </c>
      <c r="D67" s="405" t="s">
        <v>165</v>
      </c>
      <c r="E67" s="68"/>
      <c r="F67" s="68"/>
      <c r="G67" s="68"/>
      <c r="H67" s="68"/>
      <c r="I67" s="68"/>
    </row>
    <row r="68" spans="1:9" ht="12" customHeight="1">
      <c r="A68" s="363" t="s">
        <v>1901</v>
      </c>
      <c r="B68" s="361" t="s">
        <v>168</v>
      </c>
      <c r="C68" s="201" t="s">
        <v>2152</v>
      </c>
      <c r="D68" s="406" t="s">
        <v>1380</v>
      </c>
      <c r="E68" s="68" t="s">
        <v>2547</v>
      </c>
      <c r="F68" s="68" t="s">
        <v>2547</v>
      </c>
      <c r="G68" s="68" t="s">
        <v>2547</v>
      </c>
      <c r="H68" s="68" t="s">
        <v>2547</v>
      </c>
      <c r="I68" s="68"/>
    </row>
    <row r="69" spans="1:9" ht="12" customHeight="1" thickBot="1">
      <c r="A69" s="363" t="s">
        <v>1906</v>
      </c>
      <c r="B69" s="359" t="s">
        <v>168</v>
      </c>
      <c r="C69" s="201" t="s">
        <v>2406</v>
      </c>
      <c r="D69" s="402" t="s">
        <v>1380</v>
      </c>
      <c r="E69" s="68" t="s">
        <v>2548</v>
      </c>
      <c r="F69" s="68" t="s">
        <v>2547</v>
      </c>
      <c r="G69" s="68" t="s">
        <v>2547</v>
      </c>
      <c r="H69" s="68" t="s">
        <v>2583</v>
      </c>
      <c r="I69" s="68"/>
    </row>
    <row r="70" spans="1:9" ht="12" customHeight="1" thickTop="1" thickBot="1">
      <c r="A70" s="373" t="s">
        <v>1401</v>
      </c>
      <c r="B70" s="373" t="s">
        <v>1401</v>
      </c>
      <c r="C70" s="374" t="s">
        <v>1402</v>
      </c>
      <c r="D70" s="405" t="s">
        <v>171</v>
      </c>
      <c r="E70" s="68"/>
      <c r="F70" s="68"/>
      <c r="G70" s="68"/>
      <c r="H70" s="68"/>
      <c r="I70" s="68"/>
    </row>
    <row r="71" spans="1:9" ht="12" customHeight="1" thickTop="1">
      <c r="A71" s="358" t="s">
        <v>301</v>
      </c>
      <c r="B71" s="358" t="s">
        <v>939</v>
      </c>
      <c r="C71" s="201" t="s">
        <v>1900</v>
      </c>
      <c r="D71" s="405" t="s">
        <v>171</v>
      </c>
      <c r="E71" s="68"/>
      <c r="F71" s="68"/>
      <c r="G71" s="68"/>
      <c r="H71" s="68"/>
      <c r="I71" s="68"/>
    </row>
    <row r="72" spans="1:9" ht="12" customHeight="1">
      <c r="A72" s="201" t="s">
        <v>1939</v>
      </c>
      <c r="B72" s="201" t="s">
        <v>1901</v>
      </c>
      <c r="C72" s="201" t="s">
        <v>1902</v>
      </c>
      <c r="D72" s="405" t="s">
        <v>171</v>
      </c>
      <c r="E72" s="68"/>
      <c r="F72" s="68"/>
      <c r="G72" s="68"/>
      <c r="H72" s="68"/>
      <c r="I72" s="68"/>
    </row>
    <row r="73" spans="1:9" ht="12" customHeight="1">
      <c r="A73" s="201" t="s">
        <v>1940</v>
      </c>
      <c r="B73" s="201" t="s">
        <v>1906</v>
      </c>
      <c r="C73" s="201" t="s">
        <v>1903</v>
      </c>
      <c r="D73" s="405" t="s">
        <v>171</v>
      </c>
      <c r="E73" s="68"/>
      <c r="F73" s="68"/>
      <c r="G73" s="68"/>
      <c r="H73" s="68"/>
      <c r="I73" s="68"/>
    </row>
    <row r="74" spans="1:9" ht="12" customHeight="1">
      <c r="A74" s="201" t="s">
        <v>1941</v>
      </c>
      <c r="B74" s="201" t="s">
        <v>1907</v>
      </c>
      <c r="C74" s="201" t="s">
        <v>1904</v>
      </c>
      <c r="D74" s="405" t="s">
        <v>171</v>
      </c>
      <c r="E74" s="68"/>
      <c r="F74" s="68"/>
      <c r="G74" s="68"/>
      <c r="H74" s="68"/>
      <c r="I74" s="68"/>
    </row>
    <row r="75" spans="1:9" ht="12" customHeight="1">
      <c r="A75" s="201" t="s">
        <v>1942</v>
      </c>
      <c r="B75" s="201" t="s">
        <v>1908</v>
      </c>
      <c r="C75" s="201" t="s">
        <v>1905</v>
      </c>
      <c r="D75" s="405" t="s">
        <v>171</v>
      </c>
      <c r="E75" s="68"/>
      <c r="F75" s="68"/>
      <c r="G75" s="68"/>
      <c r="H75" s="68"/>
      <c r="I75" s="68" t="s">
        <v>2547</v>
      </c>
    </row>
    <row r="76" spans="1:9" ht="12" customHeight="1">
      <c r="A76" s="358" t="s">
        <v>189</v>
      </c>
      <c r="B76" s="358" t="s">
        <v>1909</v>
      </c>
      <c r="C76" s="201" t="s">
        <v>1910</v>
      </c>
      <c r="D76" s="405" t="s">
        <v>171</v>
      </c>
      <c r="E76" s="68"/>
      <c r="F76" s="68"/>
      <c r="G76" s="68"/>
      <c r="H76" s="68"/>
      <c r="I76" s="68"/>
    </row>
    <row r="77" spans="1:9" ht="12" customHeight="1">
      <c r="A77" s="201" t="s">
        <v>191</v>
      </c>
      <c r="B77" s="201" t="s">
        <v>1912</v>
      </c>
      <c r="C77" s="201" t="s">
        <v>1911</v>
      </c>
      <c r="D77" s="405" t="s">
        <v>171</v>
      </c>
      <c r="E77" s="68"/>
      <c r="F77" s="68"/>
      <c r="G77" s="68"/>
      <c r="H77" s="68"/>
      <c r="I77" s="68" t="s">
        <v>2547</v>
      </c>
    </row>
    <row r="78" spans="1:9" ht="12" customHeight="1">
      <c r="A78" s="201" t="s">
        <v>193</v>
      </c>
      <c r="B78" s="201" t="s">
        <v>1913</v>
      </c>
      <c r="C78" s="201" t="s">
        <v>1904</v>
      </c>
      <c r="D78" s="405" t="s">
        <v>171</v>
      </c>
      <c r="E78" s="68"/>
      <c r="F78" s="68"/>
      <c r="G78" s="68"/>
      <c r="H78" s="68"/>
      <c r="I78" s="68" t="s">
        <v>2547</v>
      </c>
    </row>
    <row r="79" spans="1:9" ht="12" customHeight="1">
      <c r="A79" s="358" t="s">
        <v>194</v>
      </c>
      <c r="B79" s="358" t="s">
        <v>1914</v>
      </c>
      <c r="C79" s="201" t="s">
        <v>69</v>
      </c>
      <c r="D79" s="406" t="s">
        <v>1380</v>
      </c>
      <c r="E79" s="68" t="s">
        <v>2547</v>
      </c>
      <c r="F79" s="68" t="s">
        <v>2547</v>
      </c>
      <c r="G79" s="68" t="s">
        <v>2547</v>
      </c>
      <c r="H79" s="68" t="s">
        <v>2547</v>
      </c>
      <c r="I79" s="68" t="s">
        <v>2547</v>
      </c>
    </row>
    <row r="80" spans="1:9" ht="12" customHeight="1">
      <c r="A80" s="358" t="s">
        <v>2027</v>
      </c>
      <c r="B80" s="358" t="s">
        <v>1915</v>
      </c>
      <c r="C80" s="201" t="s">
        <v>190</v>
      </c>
      <c r="D80" s="405" t="s">
        <v>165</v>
      </c>
      <c r="E80" s="68"/>
      <c r="F80" s="68"/>
      <c r="G80" s="68"/>
      <c r="H80" s="68"/>
      <c r="I80" s="68" t="s">
        <v>2547</v>
      </c>
    </row>
    <row r="81" spans="1:9" ht="12" customHeight="1">
      <c r="A81" s="201" t="s">
        <v>2028</v>
      </c>
      <c r="B81" s="201" t="s">
        <v>1916</v>
      </c>
      <c r="C81" s="201" t="s">
        <v>940</v>
      </c>
      <c r="D81" s="406" t="s">
        <v>1380</v>
      </c>
      <c r="E81" s="68" t="s">
        <v>2547</v>
      </c>
      <c r="F81" s="68" t="s">
        <v>2547</v>
      </c>
      <c r="G81" s="68" t="s">
        <v>2547</v>
      </c>
      <c r="H81" s="68" t="s">
        <v>2547</v>
      </c>
      <c r="I81" s="68" t="s">
        <v>2547</v>
      </c>
    </row>
    <row r="82" spans="1:9" ht="12" customHeight="1">
      <c r="A82" s="201" t="s">
        <v>2029</v>
      </c>
      <c r="B82" s="201" t="s">
        <v>1917</v>
      </c>
      <c r="C82" s="201" t="s">
        <v>942</v>
      </c>
      <c r="D82" s="406" t="s">
        <v>1380</v>
      </c>
      <c r="E82" s="68" t="s">
        <v>2547</v>
      </c>
      <c r="F82" s="68" t="s">
        <v>2547</v>
      </c>
      <c r="G82" s="68" t="s">
        <v>2547</v>
      </c>
      <c r="H82" s="68" t="s">
        <v>2547</v>
      </c>
      <c r="I82" s="68" t="s">
        <v>2547</v>
      </c>
    </row>
    <row r="83" spans="1:9" ht="12" customHeight="1">
      <c r="A83" s="201" t="s">
        <v>2153</v>
      </c>
      <c r="B83" s="201" t="s">
        <v>1918</v>
      </c>
      <c r="C83" s="201" t="s">
        <v>941</v>
      </c>
      <c r="D83" s="406" t="s">
        <v>1380</v>
      </c>
      <c r="E83" s="68" t="s">
        <v>2547</v>
      </c>
      <c r="F83" s="68" t="s">
        <v>2547</v>
      </c>
      <c r="G83" s="68" t="s">
        <v>2547</v>
      </c>
      <c r="H83" s="68" t="s">
        <v>2547</v>
      </c>
      <c r="I83" s="68" t="s">
        <v>2547</v>
      </c>
    </row>
    <row r="84" spans="1:9" ht="12" customHeight="1">
      <c r="A84" s="201" t="s">
        <v>1846</v>
      </c>
      <c r="B84" s="201" t="s">
        <v>1919</v>
      </c>
      <c r="C84" s="201" t="s">
        <v>943</v>
      </c>
      <c r="D84" s="406" t="s">
        <v>1380</v>
      </c>
      <c r="E84" s="68" t="s">
        <v>2547</v>
      </c>
      <c r="F84" s="68" t="s">
        <v>2547</v>
      </c>
      <c r="G84" s="68" t="s">
        <v>2547</v>
      </c>
      <c r="H84" s="68" t="s">
        <v>2547</v>
      </c>
      <c r="I84" s="68" t="s">
        <v>2548</v>
      </c>
    </row>
    <row r="85" spans="1:9" ht="12" customHeight="1">
      <c r="A85" s="201" t="s">
        <v>2154</v>
      </c>
      <c r="B85" s="201" t="s">
        <v>1920</v>
      </c>
      <c r="C85" s="201" t="s">
        <v>1403</v>
      </c>
      <c r="D85" s="406" t="s">
        <v>1380</v>
      </c>
      <c r="E85" s="68" t="s">
        <v>2547</v>
      </c>
      <c r="F85" s="68" t="s">
        <v>2547</v>
      </c>
      <c r="G85" s="68" t="s">
        <v>2547</v>
      </c>
      <c r="H85" s="68" t="s">
        <v>2547</v>
      </c>
      <c r="I85" s="68" t="s">
        <v>2548</v>
      </c>
    </row>
    <row r="86" spans="1:9" ht="12" customHeight="1">
      <c r="A86" s="201" t="s">
        <v>2155</v>
      </c>
      <c r="B86" s="201" t="s">
        <v>1921</v>
      </c>
      <c r="C86" s="201" t="s">
        <v>213</v>
      </c>
      <c r="D86" s="406" t="s">
        <v>1380</v>
      </c>
      <c r="E86" s="68" t="s">
        <v>2547</v>
      </c>
      <c r="F86" s="68" t="s">
        <v>2547</v>
      </c>
      <c r="G86" s="68" t="s">
        <v>2547</v>
      </c>
      <c r="H86" s="68" t="s">
        <v>2547</v>
      </c>
      <c r="I86" s="68"/>
    </row>
    <row r="87" spans="1:9" ht="12" customHeight="1">
      <c r="A87" s="201" t="s">
        <v>2322</v>
      </c>
      <c r="B87" s="201" t="s">
        <v>1985</v>
      </c>
      <c r="C87" s="201" t="s">
        <v>1404</v>
      </c>
      <c r="D87" s="406" t="s">
        <v>1380</v>
      </c>
      <c r="E87" s="68" t="s">
        <v>2547</v>
      </c>
      <c r="F87" s="68" t="s">
        <v>2547</v>
      </c>
      <c r="G87" s="68" t="s">
        <v>2547</v>
      </c>
      <c r="H87" s="68" t="s">
        <v>2547</v>
      </c>
      <c r="I87" s="68" t="s">
        <v>2547</v>
      </c>
    </row>
    <row r="88" spans="1:9" ht="12" customHeight="1">
      <c r="A88" s="363" t="s">
        <v>2156</v>
      </c>
      <c r="B88" s="359" t="s">
        <v>168</v>
      </c>
      <c r="C88" s="201" t="s">
        <v>2206</v>
      </c>
      <c r="D88" s="402" t="s">
        <v>1380</v>
      </c>
      <c r="E88" s="68" t="s">
        <v>2548</v>
      </c>
      <c r="F88" s="68" t="s">
        <v>2548</v>
      </c>
      <c r="G88" s="68" t="s">
        <v>2548</v>
      </c>
      <c r="H88" s="68" t="s">
        <v>2548</v>
      </c>
      <c r="I88" s="68" t="s">
        <v>2547</v>
      </c>
    </row>
    <row r="89" spans="1:9" ht="12" customHeight="1">
      <c r="A89" s="363" t="s">
        <v>2205</v>
      </c>
      <c r="B89" s="359" t="s">
        <v>168</v>
      </c>
      <c r="C89" s="201" t="s">
        <v>2207</v>
      </c>
      <c r="D89" s="402" t="s">
        <v>1380</v>
      </c>
      <c r="E89" s="68" t="s">
        <v>2548</v>
      </c>
      <c r="F89" s="68" t="s">
        <v>2548</v>
      </c>
      <c r="G89" s="68" t="s">
        <v>2548</v>
      </c>
      <c r="H89" s="68" t="s">
        <v>2548</v>
      </c>
      <c r="I89" s="68" t="s">
        <v>2547</v>
      </c>
    </row>
    <row r="90" spans="1:9" ht="12" customHeight="1">
      <c r="A90" s="358" t="s">
        <v>196</v>
      </c>
      <c r="B90" s="358" t="s">
        <v>1922</v>
      </c>
      <c r="C90" s="201" t="s">
        <v>195</v>
      </c>
      <c r="D90" s="405" t="s">
        <v>171</v>
      </c>
      <c r="E90" s="68"/>
      <c r="F90" s="68"/>
      <c r="G90" s="68"/>
      <c r="H90" s="68"/>
      <c r="I90" s="68" t="s">
        <v>2547</v>
      </c>
    </row>
    <row r="91" spans="1:9" ht="12" customHeight="1">
      <c r="A91" s="201" t="s">
        <v>2157</v>
      </c>
      <c r="B91" s="201" t="s">
        <v>1923</v>
      </c>
      <c r="C91" s="201" t="s">
        <v>1405</v>
      </c>
      <c r="D91" s="406" t="s">
        <v>1380</v>
      </c>
      <c r="E91" s="68" t="s">
        <v>2547</v>
      </c>
      <c r="F91" s="68" t="s">
        <v>2547</v>
      </c>
      <c r="G91" s="68" t="s">
        <v>2547</v>
      </c>
      <c r="H91" s="68" t="s">
        <v>2547</v>
      </c>
      <c r="I91" s="68" t="s">
        <v>2547</v>
      </c>
    </row>
    <row r="92" spans="1:9" ht="12" customHeight="1">
      <c r="A92" s="201" t="s">
        <v>2158</v>
      </c>
      <c r="B92" s="201" t="s">
        <v>1924</v>
      </c>
      <c r="C92" s="201" t="s">
        <v>1406</v>
      </c>
      <c r="D92" s="406" t="s">
        <v>1380</v>
      </c>
      <c r="E92" s="68" t="s">
        <v>2547</v>
      </c>
      <c r="F92" s="68" t="s">
        <v>2547</v>
      </c>
      <c r="G92" s="68" t="s">
        <v>2547</v>
      </c>
      <c r="H92" s="68" t="s">
        <v>2547</v>
      </c>
      <c r="I92" s="68" t="s">
        <v>2547</v>
      </c>
    </row>
    <row r="93" spans="1:9" ht="12" customHeight="1">
      <c r="A93" s="201" t="s">
        <v>2159</v>
      </c>
      <c r="B93" s="201" t="s">
        <v>1925</v>
      </c>
      <c r="C93" s="201" t="s">
        <v>1407</v>
      </c>
      <c r="D93" s="406" t="s">
        <v>1380</v>
      </c>
      <c r="E93" s="68" t="s">
        <v>2547</v>
      </c>
      <c r="F93" s="68" t="s">
        <v>2547</v>
      </c>
      <c r="G93" s="68" t="s">
        <v>2547</v>
      </c>
      <c r="H93" s="68" t="s">
        <v>2547</v>
      </c>
      <c r="I93" s="68"/>
    </row>
    <row r="94" spans="1:9" ht="12" customHeight="1">
      <c r="A94" s="362" t="s">
        <v>2160</v>
      </c>
      <c r="B94" s="359" t="s">
        <v>168</v>
      </c>
      <c r="C94" s="201" t="s">
        <v>2209</v>
      </c>
      <c r="D94" s="407" t="s">
        <v>1380</v>
      </c>
      <c r="E94" s="68" t="s">
        <v>2548</v>
      </c>
      <c r="F94" s="68" t="s">
        <v>2547</v>
      </c>
      <c r="G94" s="68" t="s">
        <v>2547</v>
      </c>
      <c r="H94" s="68" t="s">
        <v>2547</v>
      </c>
      <c r="I94" s="68" t="s">
        <v>2547</v>
      </c>
    </row>
    <row r="95" spans="1:9" ht="12" customHeight="1">
      <c r="A95" s="358" t="s">
        <v>2208</v>
      </c>
      <c r="B95" s="358" t="s">
        <v>1926</v>
      </c>
      <c r="C95" s="201" t="s">
        <v>4</v>
      </c>
      <c r="D95" s="405" t="s">
        <v>165</v>
      </c>
      <c r="E95" s="68" t="s">
        <v>2549</v>
      </c>
      <c r="F95" s="68" t="s">
        <v>2547</v>
      </c>
      <c r="G95" s="68" t="s">
        <v>2547</v>
      </c>
      <c r="H95" s="68" t="s">
        <v>2547</v>
      </c>
      <c r="I95" s="68" t="s">
        <v>2547</v>
      </c>
    </row>
    <row r="96" spans="1:9" ht="12" customHeight="1">
      <c r="A96" s="358" t="s">
        <v>2161</v>
      </c>
      <c r="B96" s="358" t="s">
        <v>1927</v>
      </c>
      <c r="C96" s="201" t="s">
        <v>2131</v>
      </c>
      <c r="D96" s="406" t="s">
        <v>1380</v>
      </c>
      <c r="E96" s="68" t="s">
        <v>2547</v>
      </c>
      <c r="F96" s="68" t="s">
        <v>2547</v>
      </c>
      <c r="G96" s="68" t="s">
        <v>2547</v>
      </c>
      <c r="H96" s="68" t="s">
        <v>2547</v>
      </c>
      <c r="I96" s="68"/>
    </row>
    <row r="97" spans="1:9" ht="12" customHeight="1">
      <c r="A97" s="358" t="s">
        <v>2323</v>
      </c>
      <c r="B97" s="358" t="s">
        <v>1928</v>
      </c>
      <c r="C97" s="201" t="s">
        <v>2212</v>
      </c>
      <c r="D97" s="405" t="s">
        <v>165</v>
      </c>
      <c r="E97" s="68"/>
      <c r="F97" s="68"/>
      <c r="G97" s="68"/>
      <c r="H97" s="68"/>
      <c r="I97" s="68" t="s">
        <v>2547</v>
      </c>
    </row>
    <row r="98" spans="1:9" ht="12" customHeight="1">
      <c r="A98" s="202" t="s">
        <v>2211</v>
      </c>
      <c r="B98" s="359" t="s">
        <v>168</v>
      </c>
      <c r="C98" s="201" t="s">
        <v>2212</v>
      </c>
      <c r="D98" s="406" t="s">
        <v>1380</v>
      </c>
      <c r="E98" s="68" t="s">
        <v>2547</v>
      </c>
      <c r="F98" s="68" t="s">
        <v>2547</v>
      </c>
      <c r="G98" s="68" t="s">
        <v>2547</v>
      </c>
      <c r="H98" s="68" t="s">
        <v>2547</v>
      </c>
      <c r="I98" s="68" t="s">
        <v>2547</v>
      </c>
    </row>
    <row r="99" spans="1:9" ht="12" customHeight="1">
      <c r="A99" s="202" t="s">
        <v>2213</v>
      </c>
      <c r="B99" s="359" t="s">
        <v>168</v>
      </c>
      <c r="C99" s="201" t="s">
        <v>2212</v>
      </c>
      <c r="D99" s="406" t="s">
        <v>1380</v>
      </c>
      <c r="E99" s="68" t="s">
        <v>2547</v>
      </c>
      <c r="F99" s="68" t="s">
        <v>2547</v>
      </c>
      <c r="G99" s="68" t="s">
        <v>2547</v>
      </c>
      <c r="H99" s="68" t="s">
        <v>2547</v>
      </c>
      <c r="I99" s="68" t="s">
        <v>2547</v>
      </c>
    </row>
    <row r="100" spans="1:9" ht="12" customHeight="1">
      <c r="A100" s="358" t="s">
        <v>2210</v>
      </c>
      <c r="B100" s="358" t="s">
        <v>1929</v>
      </c>
      <c r="C100" s="201" t="s">
        <v>2214</v>
      </c>
      <c r="D100" s="405" t="s">
        <v>165</v>
      </c>
      <c r="E100" s="68"/>
      <c r="F100" s="68"/>
      <c r="G100" s="68"/>
      <c r="H100" s="68"/>
      <c r="I100" s="68" t="s">
        <v>2547</v>
      </c>
    </row>
    <row r="101" spans="1:9" ht="12" customHeight="1">
      <c r="A101" s="202" t="s">
        <v>2215</v>
      </c>
      <c r="B101" s="359" t="s">
        <v>168</v>
      </c>
      <c r="C101" s="201" t="s">
        <v>2216</v>
      </c>
      <c r="D101" s="402" t="s">
        <v>1380</v>
      </c>
      <c r="E101" s="68" t="s">
        <v>2549</v>
      </c>
      <c r="F101" s="68" t="s">
        <v>2547</v>
      </c>
      <c r="G101" s="68" t="s">
        <v>2547</v>
      </c>
      <c r="H101" s="68" t="s">
        <v>2547</v>
      </c>
      <c r="I101" s="68"/>
    </row>
    <row r="102" spans="1:9" ht="12" customHeight="1">
      <c r="A102" s="201" t="s">
        <v>2217</v>
      </c>
      <c r="B102" s="201" t="s">
        <v>1930</v>
      </c>
      <c r="C102" s="201" t="s">
        <v>944</v>
      </c>
      <c r="D102" s="402" t="s">
        <v>1380</v>
      </c>
      <c r="E102" s="68" t="s">
        <v>2547</v>
      </c>
      <c r="F102" s="68" t="s">
        <v>2547</v>
      </c>
      <c r="G102" s="68" t="s">
        <v>2547</v>
      </c>
      <c r="H102" s="68" t="s">
        <v>2547</v>
      </c>
      <c r="I102" s="68"/>
    </row>
    <row r="103" spans="1:9" ht="12" customHeight="1">
      <c r="A103" s="363" t="s">
        <v>2218</v>
      </c>
      <c r="B103" s="359" t="s">
        <v>168</v>
      </c>
      <c r="C103" s="201" t="s">
        <v>2219</v>
      </c>
      <c r="D103" s="402" t="s">
        <v>1380</v>
      </c>
      <c r="E103" s="68" t="s">
        <v>2549</v>
      </c>
      <c r="F103" s="68" t="s">
        <v>2547</v>
      </c>
      <c r="G103" s="68" t="s">
        <v>2547</v>
      </c>
      <c r="H103" s="68" t="s">
        <v>2547</v>
      </c>
      <c r="I103" s="68"/>
    </row>
    <row r="104" spans="1:9" ht="12" customHeight="1">
      <c r="A104" s="201" t="s">
        <v>2220</v>
      </c>
      <c r="B104" s="201" t="s">
        <v>1931</v>
      </c>
      <c r="C104" s="201" t="s">
        <v>945</v>
      </c>
      <c r="D104" s="406" t="s">
        <v>1380</v>
      </c>
      <c r="E104" s="68" t="s">
        <v>2547</v>
      </c>
      <c r="F104" s="68" t="s">
        <v>2547</v>
      </c>
      <c r="G104" s="68" t="s">
        <v>2547</v>
      </c>
      <c r="H104" s="68" t="s">
        <v>2547</v>
      </c>
      <c r="I104" s="68"/>
    </row>
    <row r="105" spans="1:9" ht="12" customHeight="1" thickBot="1">
      <c r="A105" s="358" t="s">
        <v>2221</v>
      </c>
      <c r="B105" s="359" t="s">
        <v>168</v>
      </c>
      <c r="C105" s="201" t="s">
        <v>2222</v>
      </c>
      <c r="D105" s="405" t="s">
        <v>171</v>
      </c>
      <c r="E105" s="68"/>
      <c r="F105" s="68"/>
      <c r="G105" s="68"/>
      <c r="H105" s="68"/>
      <c r="I105" s="68"/>
    </row>
    <row r="106" spans="1:9" ht="12" customHeight="1" thickTop="1" thickBot="1">
      <c r="A106" s="373" t="s">
        <v>1408</v>
      </c>
      <c r="B106" s="373" t="s">
        <v>1401</v>
      </c>
      <c r="C106" s="374" t="s">
        <v>1409</v>
      </c>
      <c r="D106" s="405" t="s">
        <v>165</v>
      </c>
      <c r="E106" s="68"/>
      <c r="F106" s="68"/>
      <c r="G106" s="68"/>
      <c r="H106" s="68"/>
      <c r="I106" s="68"/>
    </row>
    <row r="107" spans="1:9" ht="12" customHeight="1" thickTop="1">
      <c r="A107" s="358" t="s">
        <v>197</v>
      </c>
      <c r="B107" s="358" t="s">
        <v>301</v>
      </c>
      <c r="C107" s="201" t="s">
        <v>1933</v>
      </c>
      <c r="D107" s="405" t="s">
        <v>171</v>
      </c>
      <c r="E107" s="68"/>
      <c r="F107" s="68"/>
      <c r="G107" s="68"/>
      <c r="H107" s="68"/>
      <c r="I107" s="68"/>
    </row>
    <row r="108" spans="1:9" ht="12" customHeight="1">
      <c r="A108" s="201" t="s">
        <v>2326</v>
      </c>
      <c r="B108" s="201" t="s">
        <v>1939</v>
      </c>
      <c r="C108" s="201" t="s">
        <v>1934</v>
      </c>
      <c r="D108" s="405" t="s">
        <v>171</v>
      </c>
      <c r="E108" s="68"/>
      <c r="F108" s="68"/>
      <c r="G108" s="68"/>
      <c r="H108" s="68"/>
      <c r="I108" s="68"/>
    </row>
    <row r="109" spans="1:9" ht="12" customHeight="1">
      <c r="A109" s="201" t="s">
        <v>2327</v>
      </c>
      <c r="B109" s="201" t="s">
        <v>1940</v>
      </c>
      <c r="C109" s="201" t="s">
        <v>1935</v>
      </c>
      <c r="D109" s="405" t="s">
        <v>171</v>
      </c>
      <c r="E109" s="68"/>
      <c r="F109" s="68"/>
      <c r="G109" s="68"/>
      <c r="H109" s="68"/>
      <c r="I109" s="68"/>
    </row>
    <row r="110" spans="1:9" ht="12" customHeight="1">
      <c r="A110" s="201" t="s">
        <v>2328</v>
      </c>
      <c r="B110" s="201" t="s">
        <v>1941</v>
      </c>
      <c r="C110" s="201" t="s">
        <v>1936</v>
      </c>
      <c r="D110" s="405" t="s">
        <v>171</v>
      </c>
      <c r="E110" s="68"/>
      <c r="F110" s="68"/>
      <c r="G110" s="68"/>
      <c r="H110" s="68"/>
      <c r="I110" s="68"/>
    </row>
    <row r="111" spans="1:9" ht="12" customHeight="1">
      <c r="A111" s="201" t="s">
        <v>2329</v>
      </c>
      <c r="B111" s="201" t="s">
        <v>1942</v>
      </c>
      <c r="C111" s="201" t="s">
        <v>1937</v>
      </c>
      <c r="D111" s="405" t="s">
        <v>171</v>
      </c>
      <c r="E111" s="68"/>
      <c r="F111" s="68"/>
      <c r="G111" s="68"/>
      <c r="H111" s="68"/>
      <c r="I111" s="68"/>
    </row>
    <row r="112" spans="1:9" ht="12" customHeight="1">
      <c r="A112" s="201" t="s">
        <v>2330</v>
      </c>
      <c r="B112" s="201" t="s">
        <v>1943</v>
      </c>
      <c r="C112" s="201" t="s">
        <v>1938</v>
      </c>
      <c r="D112" s="405" t="s">
        <v>171</v>
      </c>
      <c r="E112" s="68"/>
      <c r="F112" s="68"/>
      <c r="G112" s="68"/>
      <c r="H112" s="68"/>
      <c r="I112" s="68"/>
    </row>
    <row r="113" spans="1:9" ht="12" customHeight="1">
      <c r="A113" s="201" t="s">
        <v>165</v>
      </c>
      <c r="B113" s="201" t="s">
        <v>165</v>
      </c>
      <c r="C113" s="201" t="s">
        <v>1932</v>
      </c>
      <c r="D113" s="405" t="s">
        <v>171</v>
      </c>
      <c r="E113" s="68"/>
      <c r="F113" s="68"/>
      <c r="G113" s="68"/>
      <c r="H113" s="68"/>
      <c r="I113" s="68"/>
    </row>
    <row r="114" spans="1:9" ht="12" customHeight="1">
      <c r="A114" s="201" t="s">
        <v>165</v>
      </c>
      <c r="B114" s="201" t="s">
        <v>165</v>
      </c>
      <c r="C114" s="201" t="s">
        <v>1945</v>
      </c>
      <c r="D114" s="405" t="s">
        <v>171</v>
      </c>
      <c r="E114" s="68"/>
      <c r="F114" s="68"/>
      <c r="G114" s="68"/>
      <c r="H114" s="68"/>
      <c r="I114" s="68"/>
    </row>
    <row r="115" spans="1:9" ht="12" customHeight="1">
      <c r="A115" s="201" t="s">
        <v>165</v>
      </c>
      <c r="B115" s="201" t="s">
        <v>165</v>
      </c>
      <c r="C115" s="201" t="s">
        <v>1946</v>
      </c>
      <c r="D115" s="405" t="s">
        <v>171</v>
      </c>
      <c r="E115" s="68"/>
      <c r="F115" s="68"/>
      <c r="G115" s="68"/>
      <c r="H115" s="68"/>
      <c r="I115" s="68"/>
    </row>
    <row r="116" spans="1:9" ht="12" customHeight="1">
      <c r="A116" s="201" t="s">
        <v>2331</v>
      </c>
      <c r="B116" s="201" t="s">
        <v>1944</v>
      </c>
      <c r="C116" s="201" t="s">
        <v>1947</v>
      </c>
      <c r="D116" s="405" t="s">
        <v>171</v>
      </c>
      <c r="E116" s="68"/>
      <c r="F116" s="68"/>
      <c r="G116" s="68"/>
      <c r="H116" s="68"/>
      <c r="I116" s="68"/>
    </row>
    <row r="117" spans="1:9" ht="12" customHeight="1">
      <c r="A117" s="201" t="s">
        <v>2332</v>
      </c>
      <c r="B117" s="201" t="s">
        <v>1962</v>
      </c>
      <c r="C117" s="201" t="s">
        <v>1948</v>
      </c>
      <c r="D117" s="405" t="s">
        <v>171</v>
      </c>
      <c r="E117" s="68"/>
      <c r="F117" s="68"/>
      <c r="G117" s="68"/>
      <c r="H117" s="68"/>
      <c r="I117" s="68"/>
    </row>
    <row r="118" spans="1:9" ht="12" customHeight="1">
      <c r="A118" s="201" t="s">
        <v>2333</v>
      </c>
      <c r="B118" s="201" t="s">
        <v>1963</v>
      </c>
      <c r="C118" s="201" t="s">
        <v>1949</v>
      </c>
      <c r="D118" s="405" t="s">
        <v>171</v>
      </c>
      <c r="E118" s="68"/>
      <c r="F118" s="68"/>
      <c r="G118" s="68"/>
      <c r="H118" s="68"/>
      <c r="I118" s="68"/>
    </row>
    <row r="119" spans="1:9" ht="12" customHeight="1">
      <c r="A119" s="201" t="s">
        <v>2334</v>
      </c>
      <c r="B119" s="201" t="s">
        <v>1964</v>
      </c>
      <c r="C119" s="201" t="s">
        <v>1950</v>
      </c>
      <c r="D119" s="405" t="s">
        <v>171</v>
      </c>
      <c r="E119" s="68"/>
      <c r="F119" s="68"/>
      <c r="G119" s="68"/>
      <c r="H119" s="68"/>
      <c r="I119" s="68"/>
    </row>
    <row r="120" spans="1:9" ht="12" customHeight="1">
      <c r="A120" s="201" t="s">
        <v>2335</v>
      </c>
      <c r="B120" s="201" t="s">
        <v>1965</v>
      </c>
      <c r="C120" s="201" t="s">
        <v>1951</v>
      </c>
      <c r="D120" s="405" t="s">
        <v>171</v>
      </c>
      <c r="E120" s="68"/>
      <c r="F120" s="68"/>
      <c r="G120" s="68"/>
      <c r="H120" s="68"/>
      <c r="I120" s="68"/>
    </row>
    <row r="121" spans="1:9" ht="12" customHeight="1">
      <c r="A121" s="201" t="s">
        <v>2336</v>
      </c>
      <c r="B121" s="201" t="s">
        <v>1966</v>
      </c>
      <c r="C121" s="201" t="s">
        <v>1952</v>
      </c>
      <c r="D121" s="405" t="s">
        <v>171</v>
      </c>
      <c r="E121" s="68"/>
      <c r="F121" s="68"/>
      <c r="G121" s="68"/>
      <c r="H121" s="68"/>
      <c r="I121" s="68"/>
    </row>
    <row r="122" spans="1:9" ht="12" customHeight="1">
      <c r="A122" s="201" t="s">
        <v>2337</v>
      </c>
      <c r="B122" s="201" t="s">
        <v>1967</v>
      </c>
      <c r="C122" s="201" t="s">
        <v>2038</v>
      </c>
      <c r="D122" s="405" t="s">
        <v>171</v>
      </c>
      <c r="E122" s="68"/>
      <c r="F122" s="68"/>
      <c r="G122" s="68"/>
      <c r="H122" s="68"/>
      <c r="I122" s="68"/>
    </row>
    <row r="123" spans="1:9" ht="12" customHeight="1">
      <c r="A123" s="201" t="s">
        <v>2185</v>
      </c>
      <c r="B123" s="201" t="s">
        <v>1968</v>
      </c>
      <c r="C123" s="201" t="s">
        <v>1953</v>
      </c>
      <c r="D123" s="405" t="s">
        <v>171</v>
      </c>
      <c r="E123" s="68"/>
      <c r="F123" s="68"/>
      <c r="G123" s="68"/>
      <c r="H123" s="68"/>
      <c r="I123" s="68"/>
    </row>
    <row r="124" spans="1:9" ht="12" customHeight="1">
      <c r="A124" s="201" t="s">
        <v>2162</v>
      </c>
      <c r="B124" s="201" t="s">
        <v>1969</v>
      </c>
      <c r="C124" s="201" t="s">
        <v>1954</v>
      </c>
      <c r="D124" s="405" t="s">
        <v>171</v>
      </c>
      <c r="E124" s="68"/>
      <c r="F124" s="68"/>
      <c r="G124" s="68"/>
      <c r="H124" s="68"/>
      <c r="I124" s="68"/>
    </row>
    <row r="125" spans="1:9" ht="12" customHeight="1">
      <c r="A125" s="201" t="s">
        <v>165</v>
      </c>
      <c r="B125" s="201" t="s">
        <v>165</v>
      </c>
      <c r="C125" s="201" t="s">
        <v>1955</v>
      </c>
      <c r="D125" s="405" t="s">
        <v>171</v>
      </c>
      <c r="E125" s="68"/>
      <c r="F125" s="68"/>
      <c r="G125" s="68"/>
      <c r="H125" s="68"/>
      <c r="I125" s="68"/>
    </row>
    <row r="126" spans="1:9" ht="12" customHeight="1">
      <c r="A126" s="201" t="s">
        <v>165</v>
      </c>
      <c r="B126" s="201" t="s">
        <v>165</v>
      </c>
      <c r="C126" s="201" t="s">
        <v>1956</v>
      </c>
      <c r="D126" s="405" t="s">
        <v>171</v>
      </c>
      <c r="E126" s="68"/>
      <c r="F126" s="68"/>
      <c r="G126" s="68"/>
      <c r="H126" s="68"/>
      <c r="I126" s="68"/>
    </row>
    <row r="127" spans="1:9" ht="12" customHeight="1">
      <c r="A127" s="201" t="s">
        <v>165</v>
      </c>
      <c r="B127" s="201" t="s">
        <v>165</v>
      </c>
      <c r="C127" s="201" t="s">
        <v>1957</v>
      </c>
      <c r="D127" s="405" t="s">
        <v>171</v>
      </c>
      <c r="E127" s="68"/>
      <c r="F127" s="68"/>
      <c r="G127" s="68"/>
      <c r="H127" s="68"/>
      <c r="I127" s="68"/>
    </row>
    <row r="128" spans="1:9" ht="12" customHeight="1">
      <c r="A128" s="201" t="s">
        <v>165</v>
      </c>
      <c r="B128" s="201" t="s">
        <v>165</v>
      </c>
      <c r="C128" s="201" t="s">
        <v>1958</v>
      </c>
      <c r="D128" s="405" t="s">
        <v>171</v>
      </c>
      <c r="E128" s="68"/>
      <c r="F128" s="68"/>
      <c r="G128" s="68"/>
      <c r="H128" s="68"/>
      <c r="I128" s="68"/>
    </row>
    <row r="129" spans="1:9" ht="12" customHeight="1">
      <c r="A129" s="201" t="s">
        <v>165</v>
      </c>
      <c r="B129" s="201" t="s">
        <v>165</v>
      </c>
      <c r="C129" s="201" t="s">
        <v>1959</v>
      </c>
      <c r="D129" s="405" t="s">
        <v>171</v>
      </c>
      <c r="E129" s="68"/>
      <c r="F129" s="68"/>
      <c r="G129" s="68"/>
      <c r="H129" s="68"/>
      <c r="I129" s="68"/>
    </row>
    <row r="130" spans="1:9" ht="12" customHeight="1">
      <c r="A130" s="201" t="s">
        <v>165</v>
      </c>
      <c r="B130" s="201" t="s">
        <v>165</v>
      </c>
      <c r="C130" s="201" t="s">
        <v>1960</v>
      </c>
      <c r="D130" s="405" t="s">
        <v>171</v>
      </c>
      <c r="E130" s="68"/>
      <c r="F130" s="68"/>
      <c r="G130" s="68"/>
      <c r="H130" s="68"/>
      <c r="I130" s="68"/>
    </row>
    <row r="131" spans="1:9" ht="12" customHeight="1">
      <c r="A131" s="201" t="s">
        <v>165</v>
      </c>
      <c r="B131" s="201" t="s">
        <v>165</v>
      </c>
      <c r="C131" s="201" t="s">
        <v>1961</v>
      </c>
      <c r="D131" s="405" t="s">
        <v>171</v>
      </c>
      <c r="E131" s="68"/>
      <c r="F131" s="68"/>
      <c r="G131" s="68"/>
      <c r="H131" s="68"/>
      <c r="I131" s="68"/>
    </row>
    <row r="132" spans="1:9" ht="12" customHeight="1">
      <c r="A132" s="358" t="s">
        <v>198</v>
      </c>
      <c r="B132" s="358" t="s">
        <v>189</v>
      </c>
      <c r="C132" s="201" t="s">
        <v>1999</v>
      </c>
      <c r="D132" s="405" t="s">
        <v>171</v>
      </c>
      <c r="E132" s="68"/>
      <c r="F132" s="68"/>
      <c r="G132" s="68"/>
      <c r="H132" s="68"/>
      <c r="I132" s="68"/>
    </row>
    <row r="133" spans="1:9" ht="12" customHeight="1">
      <c r="A133" s="201" t="s">
        <v>2163</v>
      </c>
      <c r="B133" s="201" t="s">
        <v>191</v>
      </c>
      <c r="C133" s="201" t="s">
        <v>2000</v>
      </c>
      <c r="D133" s="405" t="s">
        <v>171</v>
      </c>
      <c r="E133" s="68"/>
      <c r="F133" s="68"/>
      <c r="G133" s="68"/>
      <c r="H133" s="68"/>
      <c r="I133" s="68"/>
    </row>
    <row r="134" spans="1:9" ht="12" customHeight="1">
      <c r="A134" s="201" t="s">
        <v>2164</v>
      </c>
      <c r="B134" s="201" t="s">
        <v>193</v>
      </c>
      <c r="C134" s="201" t="s">
        <v>2001</v>
      </c>
      <c r="D134" s="405" t="s">
        <v>171</v>
      </c>
      <c r="E134" s="68"/>
      <c r="F134" s="68"/>
      <c r="G134" s="68"/>
      <c r="H134" s="68"/>
      <c r="I134" s="68"/>
    </row>
    <row r="135" spans="1:9" ht="12" customHeight="1">
      <c r="A135" s="201" t="s">
        <v>2165</v>
      </c>
      <c r="B135" s="201" t="s">
        <v>2002</v>
      </c>
      <c r="C135" s="201" t="s">
        <v>1947</v>
      </c>
      <c r="D135" s="405" t="s">
        <v>171</v>
      </c>
      <c r="E135" s="68"/>
      <c r="F135" s="68"/>
      <c r="G135" s="68"/>
      <c r="H135" s="68"/>
      <c r="I135" s="68"/>
    </row>
    <row r="136" spans="1:9" ht="12" customHeight="1">
      <c r="A136" s="201" t="s">
        <v>2166</v>
      </c>
      <c r="B136" s="201" t="s">
        <v>2003</v>
      </c>
      <c r="C136" s="201" t="s">
        <v>2006</v>
      </c>
      <c r="D136" s="405" t="s">
        <v>171</v>
      </c>
      <c r="E136" s="68"/>
      <c r="F136" s="68"/>
      <c r="G136" s="68"/>
      <c r="H136" s="68"/>
      <c r="I136" s="68"/>
    </row>
    <row r="137" spans="1:9" ht="12" customHeight="1">
      <c r="A137" s="201" t="s">
        <v>2167</v>
      </c>
      <c r="B137" s="201" t="s">
        <v>2004</v>
      </c>
      <c r="C137" s="201" t="s">
        <v>2007</v>
      </c>
      <c r="D137" s="405" t="s">
        <v>171</v>
      </c>
      <c r="E137" s="68"/>
      <c r="F137" s="68"/>
      <c r="G137" s="68"/>
      <c r="H137" s="68"/>
      <c r="I137" s="68"/>
    </row>
    <row r="138" spans="1:9" ht="12" customHeight="1">
      <c r="A138" s="201" t="s">
        <v>2168</v>
      </c>
      <c r="B138" s="201" t="s">
        <v>572</v>
      </c>
      <c r="C138" s="201" t="s">
        <v>2008</v>
      </c>
      <c r="D138" s="405" t="s">
        <v>171</v>
      </c>
      <c r="E138" s="68"/>
      <c r="F138" s="68"/>
      <c r="G138" s="68"/>
      <c r="H138" s="68"/>
      <c r="I138" s="68"/>
    </row>
    <row r="139" spans="1:9" s="357" customFormat="1" ht="12" customHeight="1">
      <c r="A139" s="355" t="s">
        <v>2169</v>
      </c>
      <c r="B139" s="355" t="s">
        <v>2009</v>
      </c>
      <c r="C139" s="355" t="s">
        <v>2010</v>
      </c>
      <c r="D139" s="405" t="s">
        <v>171</v>
      </c>
      <c r="E139" s="68"/>
      <c r="F139" s="68"/>
      <c r="G139" s="68"/>
      <c r="H139" s="68"/>
      <c r="I139" s="68"/>
    </row>
    <row r="140" spans="1:9" s="357" customFormat="1" ht="12" customHeight="1">
      <c r="A140" s="355" t="s">
        <v>2170</v>
      </c>
      <c r="B140" s="355" t="s">
        <v>2011</v>
      </c>
      <c r="C140" s="355" t="s">
        <v>2012</v>
      </c>
      <c r="D140" s="405" t="s">
        <v>171</v>
      </c>
      <c r="E140" s="68"/>
      <c r="F140" s="68"/>
      <c r="G140" s="68"/>
      <c r="H140" s="68"/>
      <c r="I140" s="68" t="s">
        <v>2547</v>
      </c>
    </row>
    <row r="141" spans="1:9" s="357" customFormat="1" ht="12" customHeight="1">
      <c r="A141" s="355" t="s">
        <v>2171</v>
      </c>
      <c r="B141" s="355" t="s">
        <v>2013</v>
      </c>
      <c r="C141" s="355" t="s">
        <v>2014</v>
      </c>
      <c r="D141" s="405" t="s">
        <v>171</v>
      </c>
      <c r="E141" s="68"/>
      <c r="F141" s="68"/>
      <c r="G141" s="68"/>
      <c r="H141" s="68"/>
      <c r="I141" s="68" t="s">
        <v>2547</v>
      </c>
    </row>
    <row r="142" spans="1:9" ht="12" customHeight="1">
      <c r="A142" s="201" t="s">
        <v>2172</v>
      </c>
      <c r="B142" s="201" t="s">
        <v>2005</v>
      </c>
      <c r="C142" s="201" t="s">
        <v>2015</v>
      </c>
      <c r="D142" s="405" t="s">
        <v>171</v>
      </c>
      <c r="E142" s="68"/>
      <c r="F142" s="68"/>
      <c r="G142" s="68"/>
      <c r="H142" s="68"/>
      <c r="I142" s="68" t="s">
        <v>2547</v>
      </c>
    </row>
    <row r="143" spans="1:9" ht="12" customHeight="1">
      <c r="A143" s="358" t="s">
        <v>199</v>
      </c>
      <c r="B143" s="359" t="s">
        <v>168</v>
      </c>
      <c r="C143" s="358" t="s">
        <v>1880</v>
      </c>
      <c r="D143" s="405" t="s">
        <v>165</v>
      </c>
      <c r="E143" s="68"/>
      <c r="F143" s="68"/>
      <c r="G143" s="68"/>
      <c r="H143" s="68"/>
      <c r="I143" s="68" t="s">
        <v>2547</v>
      </c>
    </row>
    <row r="144" spans="1:9" ht="12" customHeight="1">
      <c r="A144" s="363" t="s">
        <v>2173</v>
      </c>
      <c r="B144" s="359" t="s">
        <v>168</v>
      </c>
      <c r="C144" s="201" t="s">
        <v>2188</v>
      </c>
      <c r="D144" s="406" t="s">
        <v>1380</v>
      </c>
      <c r="E144" s="68" t="s">
        <v>2549</v>
      </c>
      <c r="F144" s="68" t="s">
        <v>2547</v>
      </c>
      <c r="G144" s="68" t="s">
        <v>2547</v>
      </c>
      <c r="H144" s="68" t="s">
        <v>2547</v>
      </c>
      <c r="I144" s="68" t="s">
        <v>2547</v>
      </c>
    </row>
    <row r="145" spans="1:9" ht="12" customHeight="1">
      <c r="A145" s="367" t="s">
        <v>2174</v>
      </c>
      <c r="B145" s="359" t="s">
        <v>168</v>
      </c>
      <c r="C145" s="355" t="s">
        <v>2189</v>
      </c>
      <c r="D145" s="406" t="s">
        <v>1380</v>
      </c>
      <c r="E145" s="68" t="s">
        <v>2547</v>
      </c>
      <c r="F145" s="68" t="s">
        <v>2547</v>
      </c>
      <c r="G145" s="68" t="s">
        <v>2547</v>
      </c>
      <c r="H145" s="68" t="s">
        <v>2547</v>
      </c>
      <c r="I145" s="68" t="s">
        <v>2547</v>
      </c>
    </row>
    <row r="146" spans="1:9" ht="12" customHeight="1">
      <c r="A146" s="367" t="s">
        <v>2175</v>
      </c>
      <c r="B146" s="359" t="s">
        <v>168</v>
      </c>
      <c r="C146" s="355" t="s">
        <v>2190</v>
      </c>
      <c r="D146" s="406" t="s">
        <v>1380</v>
      </c>
      <c r="E146" s="68" t="s">
        <v>2547</v>
      </c>
      <c r="F146" s="68" t="s">
        <v>2547</v>
      </c>
      <c r="G146" s="68" t="s">
        <v>2547</v>
      </c>
      <c r="H146" s="68" t="s">
        <v>2547</v>
      </c>
      <c r="I146" s="68" t="s">
        <v>2547</v>
      </c>
    </row>
    <row r="147" spans="1:9" ht="12" customHeight="1">
      <c r="A147" s="367" t="s">
        <v>2176</v>
      </c>
      <c r="B147" s="359" t="s">
        <v>168</v>
      </c>
      <c r="C147" s="355" t="s">
        <v>2191</v>
      </c>
      <c r="D147" s="406" t="s">
        <v>1380</v>
      </c>
      <c r="E147" s="68" t="s">
        <v>2547</v>
      </c>
      <c r="F147" s="68" t="s">
        <v>2547</v>
      </c>
      <c r="G147" s="68" t="s">
        <v>2547</v>
      </c>
      <c r="H147" s="68" t="s">
        <v>2547</v>
      </c>
      <c r="I147" s="68" t="s">
        <v>2547</v>
      </c>
    </row>
    <row r="148" spans="1:9" ht="12" customHeight="1">
      <c r="A148" s="363" t="s">
        <v>1091</v>
      </c>
      <c r="B148" s="359" t="s">
        <v>168</v>
      </c>
      <c r="C148" s="201" t="s">
        <v>2197</v>
      </c>
      <c r="D148" s="406" t="s">
        <v>1380</v>
      </c>
      <c r="E148" s="68" t="s">
        <v>2547</v>
      </c>
      <c r="F148" s="68" t="s">
        <v>2547</v>
      </c>
      <c r="G148" s="68" t="s">
        <v>2547</v>
      </c>
      <c r="H148" s="68" t="s">
        <v>2547</v>
      </c>
      <c r="I148" s="68" t="s">
        <v>2547</v>
      </c>
    </row>
    <row r="149" spans="1:9" ht="12" customHeight="1">
      <c r="A149" s="367" t="s">
        <v>2177</v>
      </c>
      <c r="B149" s="359" t="s">
        <v>168</v>
      </c>
      <c r="C149" s="355" t="s">
        <v>2198</v>
      </c>
      <c r="D149" s="406" t="s">
        <v>1380</v>
      </c>
      <c r="E149" s="68" t="s">
        <v>2547</v>
      </c>
      <c r="F149" s="68" t="s">
        <v>2547</v>
      </c>
      <c r="G149" s="68" t="s">
        <v>2547</v>
      </c>
      <c r="H149" s="68" t="s">
        <v>2547</v>
      </c>
      <c r="I149" s="68" t="s">
        <v>2547</v>
      </c>
    </row>
    <row r="150" spans="1:9" ht="12" customHeight="1">
      <c r="A150" s="367" t="s">
        <v>2178</v>
      </c>
      <c r="B150" s="359" t="s">
        <v>168</v>
      </c>
      <c r="C150" s="355" t="s">
        <v>2199</v>
      </c>
      <c r="D150" s="406" t="s">
        <v>1380</v>
      </c>
      <c r="E150" s="68" t="s">
        <v>2547</v>
      </c>
      <c r="F150" s="68" t="s">
        <v>2547</v>
      </c>
      <c r="G150" s="68" t="s">
        <v>2547</v>
      </c>
      <c r="H150" s="68" t="s">
        <v>2547</v>
      </c>
      <c r="I150" s="68" t="s">
        <v>2547</v>
      </c>
    </row>
    <row r="151" spans="1:9" ht="12" customHeight="1">
      <c r="A151" s="367" t="s">
        <v>2179</v>
      </c>
      <c r="B151" s="359" t="s">
        <v>168</v>
      </c>
      <c r="C151" s="355" t="s">
        <v>2200</v>
      </c>
      <c r="D151" s="406" t="s">
        <v>1380</v>
      </c>
      <c r="E151" s="68" t="s">
        <v>2547</v>
      </c>
      <c r="F151" s="68" t="s">
        <v>2547</v>
      </c>
      <c r="G151" s="68" t="s">
        <v>2547</v>
      </c>
      <c r="H151" s="68" t="s">
        <v>2547</v>
      </c>
      <c r="I151" s="68" t="s">
        <v>2547</v>
      </c>
    </row>
    <row r="152" spans="1:9" ht="12" customHeight="1">
      <c r="A152" s="363" t="s">
        <v>2180</v>
      </c>
      <c r="B152" s="359" t="s">
        <v>168</v>
      </c>
      <c r="C152" s="201" t="s">
        <v>2192</v>
      </c>
      <c r="D152" s="402" t="s">
        <v>1380</v>
      </c>
      <c r="E152" s="68" t="s">
        <v>2547</v>
      </c>
      <c r="F152" s="68" t="s">
        <v>2547</v>
      </c>
      <c r="G152" s="68" t="s">
        <v>2547</v>
      </c>
      <c r="H152" s="68" t="s">
        <v>2547</v>
      </c>
      <c r="I152" s="68" t="s">
        <v>2547</v>
      </c>
    </row>
    <row r="153" spans="1:9" ht="12" customHeight="1">
      <c r="A153" s="367" t="s">
        <v>2181</v>
      </c>
      <c r="B153" s="359" t="s">
        <v>168</v>
      </c>
      <c r="C153" s="355" t="s">
        <v>2193</v>
      </c>
      <c r="D153" s="402" t="s">
        <v>1380</v>
      </c>
      <c r="E153" s="68" t="s">
        <v>2547</v>
      </c>
      <c r="F153" s="68" t="s">
        <v>2547</v>
      </c>
      <c r="G153" s="68" t="s">
        <v>2547</v>
      </c>
      <c r="H153" s="68" t="s">
        <v>2547</v>
      </c>
      <c r="I153" s="68" t="s">
        <v>2547</v>
      </c>
    </row>
    <row r="154" spans="1:9" ht="12" customHeight="1">
      <c r="A154" s="367" t="s">
        <v>2182</v>
      </c>
      <c r="B154" s="359" t="s">
        <v>168</v>
      </c>
      <c r="C154" s="355" t="s">
        <v>2194</v>
      </c>
      <c r="D154" s="402" t="s">
        <v>1380</v>
      </c>
      <c r="E154" s="68" t="s">
        <v>2547</v>
      </c>
      <c r="F154" s="68" t="s">
        <v>2547</v>
      </c>
      <c r="G154" s="68" t="s">
        <v>2547</v>
      </c>
      <c r="H154" s="68" t="s">
        <v>2547</v>
      </c>
      <c r="I154" s="68" t="s">
        <v>2547</v>
      </c>
    </row>
    <row r="155" spans="1:9" ht="12" customHeight="1">
      <c r="A155" s="367" t="s">
        <v>2196</v>
      </c>
      <c r="B155" s="359" t="s">
        <v>168</v>
      </c>
      <c r="C155" s="355" t="s">
        <v>2195</v>
      </c>
      <c r="D155" s="402" t="s">
        <v>1380</v>
      </c>
      <c r="E155" s="68" t="s">
        <v>2547</v>
      </c>
      <c r="F155" s="68" t="s">
        <v>2547</v>
      </c>
      <c r="G155" s="68" t="s">
        <v>2547</v>
      </c>
      <c r="H155" s="68" t="s">
        <v>2547</v>
      </c>
      <c r="I155" s="68" t="s">
        <v>2547</v>
      </c>
    </row>
    <row r="156" spans="1:9" ht="12" customHeight="1">
      <c r="A156" s="363" t="s">
        <v>2338</v>
      </c>
      <c r="B156" s="359" t="s">
        <v>168</v>
      </c>
      <c r="C156" s="201" t="s">
        <v>2204</v>
      </c>
      <c r="D156" s="402" t="s">
        <v>1380</v>
      </c>
      <c r="E156" s="68" t="s">
        <v>2547</v>
      </c>
      <c r="F156" s="68" t="s">
        <v>2547</v>
      </c>
      <c r="G156" s="68" t="s">
        <v>2547</v>
      </c>
      <c r="H156" s="68" t="s">
        <v>2547</v>
      </c>
      <c r="I156" s="68" t="s">
        <v>2547</v>
      </c>
    </row>
    <row r="157" spans="1:9" ht="12" customHeight="1">
      <c r="A157" s="367" t="s">
        <v>2339</v>
      </c>
      <c r="B157" s="359" t="s">
        <v>168</v>
      </c>
      <c r="C157" s="355" t="s">
        <v>2201</v>
      </c>
      <c r="D157" s="402" t="s">
        <v>1380</v>
      </c>
      <c r="E157" s="68" t="s">
        <v>2547</v>
      </c>
      <c r="F157" s="68" t="s">
        <v>2547</v>
      </c>
      <c r="G157" s="68" t="s">
        <v>2547</v>
      </c>
      <c r="H157" s="68" t="s">
        <v>2547</v>
      </c>
      <c r="I157" s="68"/>
    </row>
    <row r="158" spans="1:9" ht="12" customHeight="1">
      <c r="A158" s="367" t="s">
        <v>2340</v>
      </c>
      <c r="B158" s="359" t="s">
        <v>168</v>
      </c>
      <c r="C158" s="355" t="s">
        <v>2202</v>
      </c>
      <c r="D158" s="402" t="s">
        <v>1380</v>
      </c>
      <c r="E158" s="68" t="s">
        <v>2547</v>
      </c>
      <c r="F158" s="68" t="s">
        <v>2547</v>
      </c>
      <c r="G158" s="68" t="s">
        <v>2547</v>
      </c>
      <c r="H158" s="68" t="s">
        <v>2547</v>
      </c>
      <c r="I158" s="68" t="s">
        <v>2547</v>
      </c>
    </row>
    <row r="159" spans="1:9" ht="12" customHeight="1">
      <c r="A159" s="367" t="s">
        <v>2341</v>
      </c>
      <c r="B159" s="359" t="s">
        <v>168</v>
      </c>
      <c r="C159" s="355" t="s">
        <v>2203</v>
      </c>
      <c r="D159" s="402" t="s">
        <v>1380</v>
      </c>
      <c r="E159" s="68" t="s">
        <v>2549</v>
      </c>
      <c r="F159" s="68" t="s">
        <v>2547</v>
      </c>
      <c r="G159" s="68" t="s">
        <v>2547</v>
      </c>
      <c r="H159" s="68" t="s">
        <v>2547</v>
      </c>
      <c r="I159" s="68" t="s">
        <v>2547</v>
      </c>
    </row>
    <row r="160" spans="1:9" ht="12" customHeight="1">
      <c r="A160" s="368" t="s">
        <v>2183</v>
      </c>
      <c r="B160" s="359" t="s">
        <v>168</v>
      </c>
      <c r="C160" s="365" t="s">
        <v>2223</v>
      </c>
      <c r="D160" s="405" t="s">
        <v>1380</v>
      </c>
      <c r="E160" s="68" t="s">
        <v>2547</v>
      </c>
      <c r="F160" s="68" t="s">
        <v>2547</v>
      </c>
      <c r="G160" s="68" t="s">
        <v>2547</v>
      </c>
      <c r="H160" s="68" t="s">
        <v>2547</v>
      </c>
      <c r="I160" s="68" t="s">
        <v>2547</v>
      </c>
    </row>
    <row r="161" spans="1:9" ht="12" customHeight="1">
      <c r="A161" s="366" t="s">
        <v>2184</v>
      </c>
      <c r="B161" s="358" t="s">
        <v>194</v>
      </c>
      <c r="C161" s="358" t="s">
        <v>946</v>
      </c>
      <c r="D161" s="405" t="s">
        <v>165</v>
      </c>
      <c r="E161" s="68"/>
      <c r="F161" s="68"/>
      <c r="G161" s="68"/>
      <c r="H161" s="68"/>
      <c r="I161" s="68" t="s">
        <v>2547</v>
      </c>
    </row>
    <row r="162" spans="1:9" ht="12" customHeight="1">
      <c r="A162" s="201" t="s">
        <v>2186</v>
      </c>
      <c r="B162" s="201" t="s">
        <v>2016</v>
      </c>
      <c r="C162" s="201" t="s">
        <v>1410</v>
      </c>
      <c r="D162" s="406" t="s">
        <v>1380</v>
      </c>
      <c r="E162" s="68" t="s">
        <v>2547</v>
      </c>
      <c r="F162" s="68" t="s">
        <v>2547</v>
      </c>
      <c r="G162" s="68" t="s">
        <v>2547</v>
      </c>
      <c r="H162" s="68" t="s">
        <v>2547</v>
      </c>
      <c r="I162" s="68" t="s">
        <v>2547</v>
      </c>
    </row>
    <row r="163" spans="1:9" ht="12" customHeight="1">
      <c r="A163" s="355" t="s">
        <v>2224</v>
      </c>
      <c r="B163" s="355" t="s">
        <v>2017</v>
      </c>
      <c r="C163" s="355" t="s">
        <v>1411</v>
      </c>
      <c r="D163" s="406" t="s">
        <v>1380</v>
      </c>
      <c r="E163" s="68" t="s">
        <v>2547</v>
      </c>
      <c r="F163" s="68" t="s">
        <v>2547</v>
      </c>
      <c r="G163" s="68" t="s">
        <v>2547</v>
      </c>
      <c r="H163" s="68" t="s">
        <v>2547</v>
      </c>
      <c r="I163" s="68" t="s">
        <v>2547</v>
      </c>
    </row>
    <row r="164" spans="1:9" ht="12" customHeight="1">
      <c r="A164" s="355" t="s">
        <v>2225</v>
      </c>
      <c r="B164" s="355" t="s">
        <v>2018</v>
      </c>
      <c r="C164" s="355" t="s">
        <v>1412</v>
      </c>
      <c r="D164" s="406" t="s">
        <v>1380</v>
      </c>
      <c r="E164" s="68" t="s">
        <v>2547</v>
      </c>
      <c r="F164" s="68" t="s">
        <v>2547</v>
      </c>
      <c r="G164" s="68" t="s">
        <v>2547</v>
      </c>
      <c r="H164" s="68" t="s">
        <v>2547</v>
      </c>
      <c r="I164" s="68" t="s">
        <v>2547</v>
      </c>
    </row>
    <row r="165" spans="1:9" ht="12" customHeight="1">
      <c r="A165" s="355" t="s">
        <v>2226</v>
      </c>
      <c r="B165" s="355" t="s">
        <v>2019</v>
      </c>
      <c r="C165" s="355" t="s">
        <v>1413</v>
      </c>
      <c r="D165" s="406" t="s">
        <v>1380</v>
      </c>
      <c r="E165" s="68" t="s">
        <v>2547</v>
      </c>
      <c r="F165" s="68" t="s">
        <v>2547</v>
      </c>
      <c r="G165" s="68" t="s">
        <v>2547</v>
      </c>
      <c r="H165" s="68" t="s">
        <v>2547</v>
      </c>
      <c r="I165" s="68" t="s">
        <v>2547</v>
      </c>
    </row>
    <row r="166" spans="1:9" ht="12" customHeight="1">
      <c r="A166" s="201" t="s">
        <v>2187</v>
      </c>
      <c r="B166" s="201" t="s">
        <v>2020</v>
      </c>
      <c r="C166" s="201" t="s">
        <v>1414</v>
      </c>
      <c r="D166" s="406" t="s">
        <v>1380</v>
      </c>
      <c r="E166" s="68" t="s">
        <v>2547</v>
      </c>
      <c r="F166" s="68" t="s">
        <v>2547</v>
      </c>
      <c r="G166" s="68" t="s">
        <v>2547</v>
      </c>
      <c r="H166" s="68" t="s">
        <v>2547</v>
      </c>
      <c r="I166" s="68"/>
    </row>
    <row r="167" spans="1:9" ht="12" customHeight="1">
      <c r="A167" s="355" t="s">
        <v>2227</v>
      </c>
      <c r="B167" s="355" t="s">
        <v>2021</v>
      </c>
      <c r="C167" s="355" t="s">
        <v>1415</v>
      </c>
      <c r="D167" s="406" t="s">
        <v>1380</v>
      </c>
      <c r="E167" s="68" t="s">
        <v>2547</v>
      </c>
      <c r="F167" s="68" t="s">
        <v>2547</v>
      </c>
      <c r="G167" s="68" t="s">
        <v>2547</v>
      </c>
      <c r="H167" s="68" t="s">
        <v>2547</v>
      </c>
      <c r="I167" s="68" t="s">
        <v>2547</v>
      </c>
    </row>
    <row r="168" spans="1:9" ht="12" customHeight="1">
      <c r="A168" s="355" t="s">
        <v>2228</v>
      </c>
      <c r="B168" s="355" t="s">
        <v>2022</v>
      </c>
      <c r="C168" s="355" t="s">
        <v>1416</v>
      </c>
      <c r="D168" s="406" t="s">
        <v>1380</v>
      </c>
      <c r="E168" s="68" t="s">
        <v>2547</v>
      </c>
      <c r="F168" s="68" t="s">
        <v>2547</v>
      </c>
      <c r="G168" s="68" t="s">
        <v>2547</v>
      </c>
      <c r="H168" s="68" t="s">
        <v>2547</v>
      </c>
      <c r="I168" s="68" t="s">
        <v>2547</v>
      </c>
    </row>
    <row r="169" spans="1:9" ht="12" customHeight="1">
      <c r="A169" s="355" t="s">
        <v>2229</v>
      </c>
      <c r="B169" s="355" t="s">
        <v>2023</v>
      </c>
      <c r="C169" s="355" t="s">
        <v>1417</v>
      </c>
      <c r="D169" s="406" t="s">
        <v>1380</v>
      </c>
      <c r="E169" s="68" t="s">
        <v>2547</v>
      </c>
      <c r="F169" s="68" t="s">
        <v>2547</v>
      </c>
      <c r="G169" s="68" t="s">
        <v>2547</v>
      </c>
      <c r="H169" s="68" t="s">
        <v>2547</v>
      </c>
      <c r="I169" s="68"/>
    </row>
    <row r="170" spans="1:9" ht="12" customHeight="1">
      <c r="A170" s="204" t="s">
        <v>168</v>
      </c>
      <c r="B170" s="361" t="s">
        <v>2024</v>
      </c>
      <c r="C170" s="201" t="s">
        <v>1970</v>
      </c>
      <c r="D170" s="405" t="s">
        <v>165</v>
      </c>
      <c r="E170" s="68"/>
      <c r="F170" s="68"/>
      <c r="G170" s="68"/>
      <c r="H170" s="68"/>
      <c r="I170" s="68" t="s">
        <v>2547</v>
      </c>
    </row>
    <row r="171" spans="1:9" ht="12" customHeight="1">
      <c r="A171" s="204" t="s">
        <v>168</v>
      </c>
      <c r="B171" s="364" t="s">
        <v>2025</v>
      </c>
      <c r="C171" s="355" t="s">
        <v>211</v>
      </c>
      <c r="D171" s="406" t="s">
        <v>1380</v>
      </c>
      <c r="E171" s="68" t="s">
        <v>2547</v>
      </c>
      <c r="F171" s="68" t="s">
        <v>2547</v>
      </c>
      <c r="G171" s="68" t="s">
        <v>2547</v>
      </c>
      <c r="H171" s="68" t="s">
        <v>2547</v>
      </c>
      <c r="I171" s="68" t="s">
        <v>2547</v>
      </c>
    </row>
    <row r="172" spans="1:9" ht="12" customHeight="1">
      <c r="A172" s="204" t="s">
        <v>168</v>
      </c>
      <c r="B172" s="364" t="s">
        <v>2026</v>
      </c>
      <c r="C172" s="355" t="s">
        <v>80</v>
      </c>
      <c r="D172" s="406" t="s">
        <v>1380</v>
      </c>
      <c r="E172" s="68" t="s">
        <v>2547</v>
      </c>
      <c r="F172" s="68" t="s">
        <v>2547</v>
      </c>
      <c r="G172" s="68" t="s">
        <v>2547</v>
      </c>
      <c r="H172" s="68" t="s">
        <v>2547</v>
      </c>
      <c r="I172" s="68" t="s">
        <v>2547</v>
      </c>
    </row>
    <row r="173" spans="1:9" ht="12" customHeight="1">
      <c r="A173" s="358" t="s">
        <v>2230</v>
      </c>
      <c r="B173" s="358" t="s">
        <v>2027</v>
      </c>
      <c r="C173" s="201" t="s">
        <v>1877</v>
      </c>
      <c r="D173" s="405" t="s">
        <v>165</v>
      </c>
      <c r="E173" s="68"/>
      <c r="F173" s="68"/>
      <c r="G173" s="68"/>
      <c r="H173" s="68"/>
      <c r="I173" s="68"/>
    </row>
    <row r="174" spans="1:9" ht="12" customHeight="1">
      <c r="A174" s="201" t="s">
        <v>2231</v>
      </c>
      <c r="B174" s="201" t="s">
        <v>2028</v>
      </c>
      <c r="C174" s="201" t="s">
        <v>211</v>
      </c>
      <c r="D174" s="406" t="s">
        <v>1380</v>
      </c>
      <c r="E174" s="68" t="s">
        <v>2547</v>
      </c>
      <c r="F174" s="68" t="s">
        <v>2547</v>
      </c>
      <c r="G174" s="68" t="s">
        <v>2547</v>
      </c>
      <c r="H174" s="68" t="s">
        <v>2547</v>
      </c>
      <c r="I174" s="68" t="s">
        <v>2552</v>
      </c>
    </row>
    <row r="175" spans="1:9" ht="12" customHeight="1">
      <c r="A175" s="201" t="s">
        <v>2232</v>
      </c>
      <c r="B175" s="201" t="s">
        <v>2029</v>
      </c>
      <c r="C175" s="201" t="s">
        <v>80</v>
      </c>
      <c r="D175" s="406" t="s">
        <v>1380</v>
      </c>
      <c r="E175" s="68" t="s">
        <v>2547</v>
      </c>
      <c r="F175" s="68" t="s">
        <v>2547</v>
      </c>
      <c r="G175" s="68" t="s">
        <v>2547</v>
      </c>
      <c r="H175" s="68" t="s">
        <v>2547</v>
      </c>
      <c r="I175" s="68" t="s">
        <v>2552</v>
      </c>
    </row>
    <row r="176" spans="1:9" ht="12" customHeight="1">
      <c r="A176" s="358" t="s">
        <v>2233</v>
      </c>
      <c r="B176" s="358" t="s">
        <v>196</v>
      </c>
      <c r="C176" s="201" t="s">
        <v>947</v>
      </c>
      <c r="D176" s="406" t="s">
        <v>1380</v>
      </c>
      <c r="E176" s="68" t="s">
        <v>2547</v>
      </c>
      <c r="F176" s="68" t="s">
        <v>2547</v>
      </c>
      <c r="G176" s="68" t="s">
        <v>2547</v>
      </c>
      <c r="H176" s="68" t="s">
        <v>2547</v>
      </c>
      <c r="I176" s="68" t="s">
        <v>2547</v>
      </c>
    </row>
    <row r="177" spans="1:9" ht="12" customHeight="1">
      <c r="A177" s="358" t="s">
        <v>2234</v>
      </c>
      <c r="B177" s="359" t="s">
        <v>168</v>
      </c>
      <c r="C177" s="201" t="s">
        <v>2237</v>
      </c>
      <c r="D177" s="405" t="s">
        <v>165</v>
      </c>
      <c r="E177" s="68"/>
      <c r="F177" s="68"/>
      <c r="G177" s="68"/>
      <c r="H177" s="68"/>
      <c r="I177" s="68" t="s">
        <v>2584</v>
      </c>
    </row>
    <row r="178" spans="1:9" ht="12" customHeight="1">
      <c r="A178" s="363" t="s">
        <v>2238</v>
      </c>
      <c r="B178" s="204" t="s">
        <v>168</v>
      </c>
      <c r="C178" s="201" t="s">
        <v>2236</v>
      </c>
      <c r="D178" s="403" t="s">
        <v>1380</v>
      </c>
      <c r="E178" s="68" t="s">
        <v>2484</v>
      </c>
      <c r="F178" s="68" t="s">
        <v>2552</v>
      </c>
      <c r="G178" s="68" t="s">
        <v>2552</v>
      </c>
      <c r="H178" s="68" t="s">
        <v>2552</v>
      </c>
      <c r="I178" s="68" t="s">
        <v>2547</v>
      </c>
    </row>
    <row r="179" spans="1:9" ht="12" customHeight="1">
      <c r="A179" s="363" t="s">
        <v>2239</v>
      </c>
      <c r="B179" s="204" t="s">
        <v>168</v>
      </c>
      <c r="C179" s="201" t="s">
        <v>2235</v>
      </c>
      <c r="D179" s="403" t="s">
        <v>1380</v>
      </c>
      <c r="E179" s="68" t="s">
        <v>2484</v>
      </c>
      <c r="F179" s="68" t="s">
        <v>2552</v>
      </c>
      <c r="G179" s="68" t="s">
        <v>2552</v>
      </c>
      <c r="H179" s="68" t="s">
        <v>2552</v>
      </c>
      <c r="I179" s="68"/>
    </row>
    <row r="180" spans="1:9" ht="12" customHeight="1">
      <c r="A180" s="362" t="s">
        <v>2240</v>
      </c>
      <c r="B180" s="359" t="s">
        <v>168</v>
      </c>
      <c r="C180" s="201" t="s">
        <v>2242</v>
      </c>
      <c r="D180" s="403" t="s">
        <v>1380</v>
      </c>
      <c r="E180" s="68" t="s">
        <v>2484</v>
      </c>
      <c r="F180" s="68" t="s">
        <v>2547</v>
      </c>
      <c r="G180" s="68" t="s">
        <v>2547</v>
      </c>
      <c r="H180" s="68" t="s">
        <v>2547</v>
      </c>
      <c r="I180" s="68" t="s">
        <v>2547</v>
      </c>
    </row>
    <row r="181" spans="1:9" ht="12" customHeight="1">
      <c r="A181" s="362" t="s">
        <v>2243</v>
      </c>
      <c r="B181" s="359" t="s">
        <v>168</v>
      </c>
      <c r="C181" s="201" t="s">
        <v>2244</v>
      </c>
      <c r="D181" s="403" t="s">
        <v>1380</v>
      </c>
      <c r="E181" s="68" t="s">
        <v>2484</v>
      </c>
      <c r="F181" s="68" t="s">
        <v>2484</v>
      </c>
      <c r="G181" s="68" t="s">
        <v>2484</v>
      </c>
      <c r="H181" s="68" t="s">
        <v>2584</v>
      </c>
      <c r="I181" s="68" t="s">
        <v>2547</v>
      </c>
    </row>
    <row r="182" spans="1:9" ht="12" customHeight="1" thickBot="1">
      <c r="A182" s="362" t="s">
        <v>2241</v>
      </c>
      <c r="B182" s="359"/>
      <c r="C182" s="201" t="s">
        <v>2485</v>
      </c>
      <c r="D182" s="402" t="s">
        <v>1380</v>
      </c>
      <c r="E182" s="68" t="s">
        <v>2548</v>
      </c>
      <c r="F182" s="68" t="s">
        <v>2548</v>
      </c>
      <c r="G182" s="68" t="s">
        <v>2548</v>
      </c>
      <c r="H182" s="68" t="s">
        <v>2548</v>
      </c>
      <c r="I182" s="68"/>
    </row>
    <row r="183" spans="1:9" ht="12" customHeight="1" thickTop="1" thickBot="1">
      <c r="A183" s="373" t="s">
        <v>1847</v>
      </c>
      <c r="B183" s="373" t="s">
        <v>1408</v>
      </c>
      <c r="C183" s="374" t="s">
        <v>2247</v>
      </c>
      <c r="D183" s="405" t="s">
        <v>165</v>
      </c>
      <c r="E183" s="68"/>
      <c r="F183" s="68"/>
      <c r="G183" s="68"/>
      <c r="H183" s="68"/>
      <c r="I183" s="68" t="s">
        <v>2547</v>
      </c>
    </row>
    <row r="184" spans="1:9" ht="12" customHeight="1" thickTop="1">
      <c r="A184" s="362" t="s">
        <v>2249</v>
      </c>
      <c r="B184" s="359" t="s">
        <v>168</v>
      </c>
      <c r="C184" s="201" t="s">
        <v>6</v>
      </c>
      <c r="D184" s="405" t="s">
        <v>1983</v>
      </c>
      <c r="E184" s="68"/>
      <c r="F184" s="68" t="s">
        <v>2547</v>
      </c>
      <c r="G184" s="68" t="s">
        <v>2547</v>
      </c>
      <c r="H184" s="68" t="s">
        <v>2547</v>
      </c>
      <c r="I184" s="68" t="s">
        <v>2547</v>
      </c>
    </row>
    <row r="185" spans="1:9" ht="12" customHeight="1" thickBot="1">
      <c r="A185" s="362" t="s">
        <v>2250</v>
      </c>
      <c r="B185" s="359" t="s">
        <v>168</v>
      </c>
      <c r="C185" s="201" t="s">
        <v>2248</v>
      </c>
      <c r="D185" s="402" t="s">
        <v>1983</v>
      </c>
      <c r="E185" s="68"/>
      <c r="F185" s="68" t="s">
        <v>2547</v>
      </c>
      <c r="G185" s="68" t="s">
        <v>2547</v>
      </c>
      <c r="H185" s="68" t="s">
        <v>2547</v>
      </c>
      <c r="I185" s="68"/>
    </row>
    <row r="186" spans="1:9" ht="12" customHeight="1" thickTop="1" thickBot="1">
      <c r="A186" s="373" t="s">
        <v>1418</v>
      </c>
      <c r="B186" s="373" t="s">
        <v>1847</v>
      </c>
      <c r="C186" s="374" t="s">
        <v>1419</v>
      </c>
      <c r="D186" s="405" t="s">
        <v>165</v>
      </c>
      <c r="E186" s="68"/>
      <c r="F186" s="68"/>
      <c r="G186" s="68"/>
      <c r="H186" s="68"/>
      <c r="I186" s="68" t="s">
        <v>2547</v>
      </c>
    </row>
    <row r="187" spans="1:9" ht="12" customHeight="1" thickTop="1">
      <c r="A187" s="358" t="s">
        <v>2253</v>
      </c>
      <c r="B187" s="358" t="s">
        <v>197</v>
      </c>
      <c r="C187" s="201" t="s">
        <v>1878</v>
      </c>
      <c r="D187" s="406" t="s">
        <v>1380</v>
      </c>
      <c r="E187" s="68" t="s">
        <v>2547</v>
      </c>
      <c r="F187" s="68" t="s">
        <v>2547</v>
      </c>
      <c r="G187" s="68" t="s">
        <v>2547</v>
      </c>
      <c r="H187" s="68" t="s">
        <v>2547</v>
      </c>
      <c r="I187" s="68"/>
    </row>
    <row r="188" spans="1:9" ht="12" customHeight="1">
      <c r="A188" s="358" t="s">
        <v>2254</v>
      </c>
      <c r="B188" s="358" t="s">
        <v>198</v>
      </c>
      <c r="C188" s="201" t="s">
        <v>92</v>
      </c>
      <c r="D188" s="406" t="s">
        <v>1380</v>
      </c>
      <c r="E188" s="68" t="s">
        <v>2547</v>
      </c>
      <c r="F188" s="68" t="s">
        <v>2547</v>
      </c>
      <c r="G188" s="68" t="s">
        <v>2547</v>
      </c>
      <c r="H188" s="68" t="s">
        <v>2547</v>
      </c>
      <c r="I188" s="68" t="s">
        <v>2547</v>
      </c>
    </row>
    <row r="189" spans="1:9" ht="12" customHeight="1">
      <c r="A189" s="362" t="s">
        <v>2342</v>
      </c>
      <c r="B189" s="359" t="s">
        <v>168</v>
      </c>
      <c r="C189" s="201" t="s">
        <v>2251</v>
      </c>
      <c r="D189" s="405" t="s">
        <v>171</v>
      </c>
      <c r="E189" s="68"/>
      <c r="F189" s="68"/>
      <c r="G189" s="68"/>
      <c r="H189" s="68"/>
      <c r="I189" s="68" t="s">
        <v>2547</v>
      </c>
    </row>
    <row r="190" spans="1:9" ht="12" customHeight="1" thickBot="1">
      <c r="A190" s="358" t="s">
        <v>2343</v>
      </c>
      <c r="B190" s="358" t="s">
        <v>199</v>
      </c>
      <c r="C190" s="201" t="s">
        <v>1971</v>
      </c>
      <c r="D190" s="406" t="s">
        <v>1380</v>
      </c>
      <c r="E190" s="68" t="s">
        <v>2547</v>
      </c>
      <c r="F190" s="68" t="s">
        <v>2547</v>
      </c>
      <c r="G190" s="68" t="s">
        <v>2547</v>
      </c>
      <c r="H190" s="68" t="s">
        <v>2547</v>
      </c>
      <c r="I190" s="68"/>
    </row>
    <row r="191" spans="1:9" ht="12" customHeight="1" thickTop="1" thickBot="1">
      <c r="A191" s="373" t="s">
        <v>1848</v>
      </c>
      <c r="B191" s="373" t="s">
        <v>168</v>
      </c>
      <c r="C191" s="374" t="s">
        <v>2252</v>
      </c>
      <c r="D191" s="405" t="s">
        <v>165</v>
      </c>
      <c r="E191" s="68"/>
      <c r="F191" s="68"/>
      <c r="G191" s="68"/>
      <c r="H191" s="68"/>
      <c r="I191" s="68" t="s">
        <v>2547</v>
      </c>
    </row>
    <row r="192" spans="1:9" ht="12" customHeight="1" thickTop="1">
      <c r="A192" s="362" t="s">
        <v>200</v>
      </c>
      <c r="B192" s="359" t="s">
        <v>168</v>
      </c>
      <c r="C192" s="201" t="s">
        <v>2255</v>
      </c>
      <c r="D192" s="402" t="s">
        <v>1983</v>
      </c>
      <c r="E192" s="68" t="s">
        <v>2547</v>
      </c>
      <c r="F192" s="68" t="s">
        <v>2547</v>
      </c>
      <c r="G192" s="68" t="s">
        <v>2547</v>
      </c>
      <c r="H192" s="68" t="s">
        <v>2547</v>
      </c>
      <c r="I192" s="68" t="s">
        <v>2547</v>
      </c>
    </row>
    <row r="193" spans="1:9" ht="12" customHeight="1" thickBot="1">
      <c r="A193" s="362" t="s">
        <v>201</v>
      </c>
      <c r="B193" s="359" t="s">
        <v>168</v>
      </c>
      <c r="C193" s="201" t="s">
        <v>2256</v>
      </c>
      <c r="D193" s="402" t="s">
        <v>1983</v>
      </c>
      <c r="E193" s="68" t="s">
        <v>2547</v>
      </c>
      <c r="F193" s="68" t="s">
        <v>2547</v>
      </c>
      <c r="G193" s="68" t="s">
        <v>2547</v>
      </c>
      <c r="H193" s="68" t="s">
        <v>2547</v>
      </c>
      <c r="I193" s="68"/>
    </row>
    <row r="194" spans="1:9" ht="12" customHeight="1" thickTop="1" thickBot="1">
      <c r="A194" s="373" t="s">
        <v>1849</v>
      </c>
      <c r="B194" s="373" t="s">
        <v>168</v>
      </c>
      <c r="C194" s="374" t="s">
        <v>2257</v>
      </c>
      <c r="D194" s="405" t="s">
        <v>165</v>
      </c>
      <c r="E194" s="68"/>
      <c r="F194" s="68"/>
      <c r="G194" s="68"/>
      <c r="H194" s="68"/>
      <c r="I194" s="68" t="s">
        <v>2547</v>
      </c>
    </row>
    <row r="195" spans="1:9" ht="12" customHeight="1" thickTop="1">
      <c r="A195" s="362" t="s">
        <v>2260</v>
      </c>
      <c r="B195" s="359" t="s">
        <v>168</v>
      </c>
      <c r="C195" s="201" t="s">
        <v>2258</v>
      </c>
      <c r="D195" s="406" t="s">
        <v>1380</v>
      </c>
      <c r="E195" s="68"/>
      <c r="F195" s="68" t="s">
        <v>2547</v>
      </c>
      <c r="G195" s="68" t="s">
        <v>2547</v>
      </c>
      <c r="H195" s="68" t="s">
        <v>2547</v>
      </c>
      <c r="I195" s="68" t="s">
        <v>2552</v>
      </c>
    </row>
    <row r="196" spans="1:9" ht="12" customHeight="1" thickBot="1">
      <c r="A196" s="362" t="s">
        <v>2261</v>
      </c>
      <c r="B196" s="359" t="s">
        <v>168</v>
      </c>
      <c r="C196" s="201" t="s">
        <v>2259</v>
      </c>
      <c r="D196" s="406" t="s">
        <v>1380</v>
      </c>
      <c r="E196" s="68"/>
      <c r="F196" s="68" t="s">
        <v>2547</v>
      </c>
      <c r="G196" s="68" t="s">
        <v>2547</v>
      </c>
      <c r="H196" s="68" t="s">
        <v>2547</v>
      </c>
      <c r="I196" s="68"/>
    </row>
    <row r="197" spans="1:9" ht="12" customHeight="1" thickTop="1" thickBot="1">
      <c r="A197" s="373" t="s">
        <v>1850</v>
      </c>
      <c r="B197" s="373" t="s">
        <v>168</v>
      </c>
      <c r="C197" s="374" t="s">
        <v>2262</v>
      </c>
      <c r="D197" s="405" t="s">
        <v>165</v>
      </c>
      <c r="E197" s="68"/>
      <c r="F197" s="68"/>
      <c r="G197" s="68"/>
      <c r="H197" s="68"/>
      <c r="I197" s="68" t="s">
        <v>2547</v>
      </c>
    </row>
    <row r="198" spans="1:9" ht="12" customHeight="1" thickTop="1">
      <c r="A198" s="362" t="s">
        <v>2374</v>
      </c>
      <c r="B198" s="359" t="s">
        <v>168</v>
      </c>
      <c r="C198" s="201" t="s">
        <v>2263</v>
      </c>
      <c r="D198" s="403" t="s">
        <v>1380</v>
      </c>
      <c r="E198" s="68" t="s">
        <v>2484</v>
      </c>
      <c r="F198" s="68" t="s">
        <v>2552</v>
      </c>
      <c r="G198" s="68" t="s">
        <v>2547</v>
      </c>
      <c r="H198" s="68" t="s">
        <v>2547</v>
      </c>
      <c r="I198" s="68" t="s">
        <v>2552</v>
      </c>
    </row>
    <row r="199" spans="1:9" ht="12" customHeight="1">
      <c r="A199" s="362" t="s">
        <v>2375</v>
      </c>
      <c r="B199" s="359" t="s">
        <v>168</v>
      </c>
      <c r="C199" s="201" t="s">
        <v>2264</v>
      </c>
      <c r="D199" s="403" t="s">
        <v>1380</v>
      </c>
      <c r="E199" s="68" t="s">
        <v>2484</v>
      </c>
      <c r="F199" s="68" t="s">
        <v>2552</v>
      </c>
      <c r="G199" s="68" t="s">
        <v>2552</v>
      </c>
      <c r="H199" s="68" t="s">
        <v>2552</v>
      </c>
      <c r="I199" s="68" t="s">
        <v>2552</v>
      </c>
    </row>
    <row r="200" spans="1:9" ht="12" customHeight="1">
      <c r="A200" s="363" t="s">
        <v>2376</v>
      </c>
      <c r="B200" s="204" t="s">
        <v>168</v>
      </c>
      <c r="C200" s="201" t="s">
        <v>2265</v>
      </c>
      <c r="D200" s="405" t="s">
        <v>171</v>
      </c>
      <c r="E200" s="68"/>
      <c r="F200" s="68"/>
      <c r="G200" s="68"/>
      <c r="H200" s="68"/>
      <c r="I200" s="68" t="s">
        <v>2552</v>
      </c>
    </row>
    <row r="201" spans="1:9" ht="12" customHeight="1">
      <c r="A201" s="363" t="s">
        <v>2377</v>
      </c>
      <c r="B201" s="204" t="s">
        <v>168</v>
      </c>
      <c r="C201" s="201" t="s">
        <v>2266</v>
      </c>
      <c r="D201" s="403" t="s">
        <v>1380</v>
      </c>
      <c r="E201" s="68" t="s">
        <v>2484</v>
      </c>
      <c r="F201" s="68" t="s">
        <v>2552</v>
      </c>
      <c r="G201" s="68" t="s">
        <v>2547</v>
      </c>
      <c r="H201" s="68" t="s">
        <v>2547</v>
      </c>
      <c r="I201" s="68" t="s">
        <v>2552</v>
      </c>
    </row>
    <row r="202" spans="1:9" ht="12" customHeight="1">
      <c r="A202" s="363" t="s">
        <v>2378</v>
      </c>
      <c r="B202" s="204" t="s">
        <v>168</v>
      </c>
      <c r="C202" s="201" t="s">
        <v>2267</v>
      </c>
      <c r="D202" s="403" t="s">
        <v>1380</v>
      </c>
      <c r="E202" s="68" t="s">
        <v>2484</v>
      </c>
      <c r="F202" s="68" t="s">
        <v>2552</v>
      </c>
      <c r="G202" s="68" t="s">
        <v>2552</v>
      </c>
      <c r="H202" s="68" t="s">
        <v>2552</v>
      </c>
      <c r="I202" s="68" t="s">
        <v>2552</v>
      </c>
    </row>
    <row r="203" spans="1:9" ht="12" customHeight="1">
      <c r="A203" s="363" t="s">
        <v>2379</v>
      </c>
      <c r="B203" s="204" t="s">
        <v>168</v>
      </c>
      <c r="C203" s="201" t="s">
        <v>2268</v>
      </c>
      <c r="D203" s="403" t="s">
        <v>1380</v>
      </c>
      <c r="E203" s="68" t="s">
        <v>2484</v>
      </c>
      <c r="F203" s="68" t="s">
        <v>2552</v>
      </c>
      <c r="G203" s="68" t="s">
        <v>2552</v>
      </c>
      <c r="H203" s="68" t="s">
        <v>2552</v>
      </c>
      <c r="I203" s="68"/>
    </row>
    <row r="204" spans="1:9" ht="12" customHeight="1">
      <c r="A204" s="363" t="s">
        <v>2380</v>
      </c>
      <c r="B204" s="204" t="s">
        <v>168</v>
      </c>
      <c r="C204" s="201" t="s">
        <v>2269</v>
      </c>
      <c r="D204" s="403" t="s">
        <v>1380</v>
      </c>
      <c r="E204" s="68" t="s">
        <v>2484</v>
      </c>
      <c r="F204" s="68" t="s">
        <v>2552</v>
      </c>
      <c r="G204" s="68" t="s">
        <v>2552</v>
      </c>
      <c r="H204" s="68" t="s">
        <v>2552</v>
      </c>
      <c r="I204" s="68"/>
    </row>
    <row r="205" spans="1:9" ht="12" customHeight="1">
      <c r="A205" s="363" t="s">
        <v>2381</v>
      </c>
      <c r="B205" s="204" t="s">
        <v>168</v>
      </c>
      <c r="C205" s="201" t="s">
        <v>2270</v>
      </c>
      <c r="D205" s="403" t="s">
        <v>1380</v>
      </c>
      <c r="E205" s="68" t="s">
        <v>2484</v>
      </c>
      <c r="F205" s="68" t="s">
        <v>2552</v>
      </c>
      <c r="G205" s="68" t="s">
        <v>2552</v>
      </c>
      <c r="H205" s="68" t="s">
        <v>2552</v>
      </c>
      <c r="I205" s="68" t="s">
        <v>2547</v>
      </c>
    </row>
    <row r="206" spans="1:9" ht="12" customHeight="1">
      <c r="A206" s="363" t="s">
        <v>2382</v>
      </c>
      <c r="B206" s="204" t="s">
        <v>168</v>
      </c>
      <c r="C206" s="201" t="s">
        <v>2271</v>
      </c>
      <c r="D206" s="403" t="s">
        <v>1380</v>
      </c>
      <c r="E206" s="68" t="s">
        <v>2484</v>
      </c>
      <c r="F206" s="68" t="s">
        <v>2552</v>
      </c>
      <c r="G206" s="68" t="s">
        <v>2552</v>
      </c>
      <c r="H206" s="68" t="s">
        <v>2552</v>
      </c>
      <c r="I206" s="68" t="s">
        <v>2547</v>
      </c>
    </row>
    <row r="207" spans="1:9" ht="12" customHeight="1" thickBot="1">
      <c r="A207" s="353" t="s">
        <v>948</v>
      </c>
      <c r="B207" s="353" t="s">
        <v>948</v>
      </c>
      <c r="C207" s="203"/>
      <c r="D207" s="405" t="s">
        <v>165</v>
      </c>
      <c r="E207" s="68"/>
      <c r="F207" s="68"/>
      <c r="G207" s="68"/>
      <c r="H207" s="68"/>
      <c r="I207" s="68"/>
    </row>
    <row r="208" spans="1:9" ht="12" customHeight="1" thickTop="1" thickBot="1">
      <c r="A208" s="373" t="s">
        <v>1420</v>
      </c>
      <c r="B208" s="373" t="s">
        <v>1847</v>
      </c>
      <c r="C208" s="374" t="s">
        <v>1421</v>
      </c>
      <c r="D208" s="405" t="s">
        <v>165</v>
      </c>
      <c r="E208" s="68"/>
      <c r="F208" s="68"/>
      <c r="G208" s="68"/>
      <c r="H208" s="68"/>
      <c r="I208" s="68" t="s">
        <v>2547</v>
      </c>
    </row>
    <row r="209" spans="1:9" ht="12" customHeight="1" thickTop="1">
      <c r="A209" s="358" t="s">
        <v>204</v>
      </c>
      <c r="B209" s="378">
        <v>10</v>
      </c>
      <c r="C209" s="201" t="s">
        <v>20</v>
      </c>
      <c r="D209" s="406" t="s">
        <v>1380</v>
      </c>
      <c r="E209" s="68" t="s">
        <v>2549</v>
      </c>
      <c r="F209" s="68" t="s">
        <v>2547</v>
      </c>
      <c r="G209" s="68" t="s">
        <v>2547</v>
      </c>
      <c r="H209" s="68" t="s">
        <v>2547</v>
      </c>
      <c r="I209" s="68" t="s">
        <v>2547</v>
      </c>
    </row>
    <row r="210" spans="1:9" ht="12" customHeight="1" thickBot="1">
      <c r="A210" s="362" t="s">
        <v>205</v>
      </c>
      <c r="B210" s="359" t="s">
        <v>168</v>
      </c>
      <c r="C210" s="201" t="s">
        <v>2272</v>
      </c>
      <c r="D210" s="406" t="s">
        <v>1380</v>
      </c>
      <c r="E210" s="68" t="s">
        <v>2549</v>
      </c>
      <c r="F210" s="68" t="s">
        <v>2547</v>
      </c>
      <c r="G210" s="68" t="s">
        <v>2547</v>
      </c>
      <c r="H210" s="68" t="s">
        <v>2547</v>
      </c>
      <c r="I210" s="68" t="s">
        <v>2552</v>
      </c>
    </row>
    <row r="211" spans="1:9" ht="12" customHeight="1" thickTop="1" thickBot="1">
      <c r="A211" s="373" t="s">
        <v>1973</v>
      </c>
      <c r="B211" s="373" t="s">
        <v>1418</v>
      </c>
      <c r="C211" s="374" t="s">
        <v>2275</v>
      </c>
      <c r="D211" s="405" t="s">
        <v>165</v>
      </c>
      <c r="E211" s="68"/>
      <c r="F211" s="68"/>
      <c r="G211" s="68"/>
      <c r="H211" s="68"/>
      <c r="I211" s="68"/>
    </row>
    <row r="212" spans="1:9" ht="12" customHeight="1" thickTop="1">
      <c r="A212" s="366" t="s">
        <v>2276</v>
      </c>
      <c r="B212" s="378" t="s">
        <v>203</v>
      </c>
      <c r="C212" s="201" t="s">
        <v>21</v>
      </c>
      <c r="D212" s="406" t="s">
        <v>1380</v>
      </c>
      <c r="E212" s="68" t="s">
        <v>2547</v>
      </c>
      <c r="F212" s="68" t="s">
        <v>2547</v>
      </c>
      <c r="G212" s="68" t="s">
        <v>2547</v>
      </c>
      <c r="H212" s="68" t="s">
        <v>2547</v>
      </c>
      <c r="I212" s="68" t="s">
        <v>2547</v>
      </c>
    </row>
    <row r="213" spans="1:9" ht="12" customHeight="1">
      <c r="A213" s="362" t="s">
        <v>2278</v>
      </c>
      <c r="B213" s="359" t="s">
        <v>168</v>
      </c>
      <c r="C213" s="201" t="s">
        <v>2277</v>
      </c>
      <c r="D213" s="402" t="s">
        <v>192</v>
      </c>
      <c r="E213" s="68" t="s">
        <v>2548</v>
      </c>
      <c r="F213" s="68" t="s">
        <v>2548</v>
      </c>
      <c r="G213" s="68" t="s">
        <v>2548</v>
      </c>
      <c r="H213" s="68" t="s">
        <v>2547</v>
      </c>
      <c r="I213" s="68" t="s">
        <v>2547</v>
      </c>
    </row>
    <row r="214" spans="1:9" ht="12" customHeight="1" thickBot="1">
      <c r="A214" s="362" t="s">
        <v>2279</v>
      </c>
      <c r="B214" s="359" t="s">
        <v>168</v>
      </c>
      <c r="C214" s="201" t="s">
        <v>2280</v>
      </c>
      <c r="D214" s="402" t="s">
        <v>1380</v>
      </c>
      <c r="E214" s="68" t="s">
        <v>2548</v>
      </c>
      <c r="F214" s="68" t="s">
        <v>2552</v>
      </c>
      <c r="G214" s="68" t="s">
        <v>2552</v>
      </c>
      <c r="H214" s="68" t="s">
        <v>2552</v>
      </c>
      <c r="I214" s="68"/>
    </row>
    <row r="215" spans="1:9" ht="12" customHeight="1" thickTop="1" thickBot="1">
      <c r="A215" s="373" t="s">
        <v>1974</v>
      </c>
      <c r="B215" s="373"/>
      <c r="C215" s="374" t="s">
        <v>2281</v>
      </c>
      <c r="D215" s="405" t="s">
        <v>165</v>
      </c>
      <c r="E215" s="68"/>
      <c r="F215" s="68"/>
      <c r="G215" s="68"/>
      <c r="H215" s="68"/>
      <c r="I215" s="68" t="s">
        <v>2547</v>
      </c>
    </row>
    <row r="216" spans="1:9" ht="12" customHeight="1" thickTop="1">
      <c r="A216" s="362" t="s">
        <v>2282</v>
      </c>
      <c r="B216" s="359" t="s">
        <v>168</v>
      </c>
      <c r="C216" s="201" t="s">
        <v>2283</v>
      </c>
      <c r="D216" s="402" t="s">
        <v>1380</v>
      </c>
      <c r="E216" s="68" t="s">
        <v>2549</v>
      </c>
      <c r="F216" s="68" t="s">
        <v>2547</v>
      </c>
      <c r="G216" s="68" t="s">
        <v>2547</v>
      </c>
      <c r="H216" s="68" t="s">
        <v>2547</v>
      </c>
      <c r="I216" s="68" t="s">
        <v>2547</v>
      </c>
    </row>
    <row r="217" spans="1:9" ht="12" customHeight="1" thickBot="1">
      <c r="A217" s="362" t="s">
        <v>2284</v>
      </c>
      <c r="B217" s="359" t="s">
        <v>168</v>
      </c>
      <c r="C217" s="201" t="s">
        <v>2273</v>
      </c>
      <c r="D217" s="403" t="s">
        <v>1380</v>
      </c>
      <c r="E217" s="68" t="s">
        <v>2549</v>
      </c>
      <c r="F217" s="68" t="s">
        <v>2547</v>
      </c>
      <c r="G217" s="68" t="s">
        <v>2547</v>
      </c>
      <c r="H217" s="68" t="s">
        <v>2547</v>
      </c>
      <c r="I217" s="68" t="s">
        <v>2547</v>
      </c>
    </row>
    <row r="218" spans="1:9" ht="12" customHeight="1" thickTop="1" thickBot="1">
      <c r="A218" s="373" t="s">
        <v>1422</v>
      </c>
      <c r="B218" s="373" t="s">
        <v>1848</v>
      </c>
      <c r="C218" s="374" t="s">
        <v>1423</v>
      </c>
      <c r="D218" s="405" t="s">
        <v>165</v>
      </c>
      <c r="E218" s="68"/>
      <c r="F218" s="68"/>
      <c r="G218" s="68"/>
      <c r="H218" s="68"/>
      <c r="I218" s="68" t="s">
        <v>2547</v>
      </c>
    </row>
    <row r="219" spans="1:9" ht="12" customHeight="1" thickTop="1">
      <c r="A219" s="358" t="s">
        <v>2288</v>
      </c>
      <c r="B219" s="358" t="s">
        <v>200</v>
      </c>
      <c r="C219" s="201" t="s">
        <v>2285</v>
      </c>
      <c r="D219" s="406" t="s">
        <v>1380</v>
      </c>
      <c r="E219" s="68" t="s">
        <v>2549</v>
      </c>
      <c r="F219" s="68" t="s">
        <v>2547</v>
      </c>
      <c r="G219" s="68" t="s">
        <v>2547</v>
      </c>
      <c r="H219" s="68" t="s">
        <v>2547</v>
      </c>
      <c r="I219" s="68" t="s">
        <v>2547</v>
      </c>
    </row>
    <row r="220" spans="1:9" ht="12" customHeight="1">
      <c r="A220" s="358" t="s">
        <v>2289</v>
      </c>
      <c r="B220" s="358"/>
      <c r="C220" s="201" t="s">
        <v>1781</v>
      </c>
      <c r="D220" s="406" t="s">
        <v>1380</v>
      </c>
      <c r="E220" s="68" t="s">
        <v>2547</v>
      </c>
      <c r="F220" s="68" t="s">
        <v>2547</v>
      </c>
      <c r="G220" s="68" t="s">
        <v>2547</v>
      </c>
      <c r="H220" s="68" t="s">
        <v>2547</v>
      </c>
      <c r="I220" s="68" t="s">
        <v>2547</v>
      </c>
    </row>
    <row r="221" spans="1:9" ht="12" customHeight="1">
      <c r="A221" s="358" t="s">
        <v>2290</v>
      </c>
      <c r="B221" s="358" t="s">
        <v>201</v>
      </c>
      <c r="C221" s="201" t="s">
        <v>84</v>
      </c>
      <c r="D221" s="406" t="s">
        <v>1380</v>
      </c>
      <c r="E221" s="68" t="s">
        <v>2547</v>
      </c>
      <c r="F221" s="68" t="s">
        <v>2547</v>
      </c>
      <c r="G221" s="68" t="s">
        <v>2547</v>
      </c>
      <c r="H221" s="68" t="s">
        <v>2547</v>
      </c>
      <c r="I221" s="68" t="s">
        <v>2547</v>
      </c>
    </row>
    <row r="222" spans="1:9" ht="12" customHeight="1">
      <c r="A222" s="362" t="s">
        <v>2291</v>
      </c>
      <c r="B222" s="359" t="s">
        <v>168</v>
      </c>
      <c r="C222" s="201" t="s">
        <v>2286</v>
      </c>
      <c r="D222" s="402" t="s">
        <v>1380</v>
      </c>
      <c r="E222" s="68" t="s">
        <v>2547</v>
      </c>
      <c r="F222" s="68" t="s">
        <v>2547</v>
      </c>
      <c r="G222" s="68" t="s">
        <v>2547</v>
      </c>
      <c r="H222" s="68" t="s">
        <v>2547</v>
      </c>
      <c r="I222" s="68"/>
    </row>
    <row r="223" spans="1:9" ht="12" customHeight="1">
      <c r="A223" s="362" t="s">
        <v>2292</v>
      </c>
      <c r="B223" s="359" t="s">
        <v>168</v>
      </c>
      <c r="C223" s="202" t="s">
        <v>2287</v>
      </c>
      <c r="D223" s="402" t="s">
        <v>1380</v>
      </c>
      <c r="E223" s="68" t="s">
        <v>2547</v>
      </c>
      <c r="F223" s="68" t="s">
        <v>2547</v>
      </c>
      <c r="G223" s="68" t="s">
        <v>2547</v>
      </c>
      <c r="H223" s="68" t="s">
        <v>2547</v>
      </c>
      <c r="I223" s="68" t="s">
        <v>2547</v>
      </c>
    </row>
    <row r="224" spans="1:9" ht="12" customHeight="1" thickBot="1">
      <c r="A224" s="358" t="s">
        <v>2344</v>
      </c>
      <c r="B224" s="358" t="s">
        <v>202</v>
      </c>
      <c r="C224" s="201" t="s">
        <v>206</v>
      </c>
      <c r="D224" s="406" t="s">
        <v>1380</v>
      </c>
      <c r="E224" s="68" t="s">
        <v>2549</v>
      </c>
      <c r="F224" s="68" t="s">
        <v>2547</v>
      </c>
      <c r="G224" s="68" t="s">
        <v>2547</v>
      </c>
      <c r="H224" s="68" t="s">
        <v>2547</v>
      </c>
      <c r="I224" s="68" t="s">
        <v>2552</v>
      </c>
    </row>
    <row r="225" spans="1:9" ht="12" customHeight="1" thickTop="1" thickBot="1">
      <c r="A225" s="373" t="s">
        <v>1975</v>
      </c>
      <c r="B225" s="373" t="s">
        <v>1849</v>
      </c>
      <c r="C225" s="374" t="s">
        <v>1972</v>
      </c>
      <c r="D225" s="406" t="s">
        <v>1380</v>
      </c>
      <c r="E225" s="68" t="s">
        <v>2547</v>
      </c>
      <c r="F225" s="68" t="s">
        <v>2547</v>
      </c>
      <c r="G225" s="68" t="s">
        <v>2547</v>
      </c>
      <c r="H225" s="68" t="s">
        <v>2547</v>
      </c>
      <c r="I225" s="68" t="s">
        <v>2552</v>
      </c>
    </row>
    <row r="226" spans="1:9" ht="12" customHeight="1" thickTop="1" thickBot="1">
      <c r="A226" s="373" t="s">
        <v>1424</v>
      </c>
      <c r="B226" s="373" t="s">
        <v>1850</v>
      </c>
      <c r="C226" s="374" t="s">
        <v>1425</v>
      </c>
      <c r="D226" s="407" t="s">
        <v>1380</v>
      </c>
      <c r="E226" s="68" t="s">
        <v>2547</v>
      </c>
      <c r="F226" s="68" t="s">
        <v>2547</v>
      </c>
      <c r="G226" s="68"/>
      <c r="H226" s="68"/>
      <c r="I226" s="68"/>
    </row>
    <row r="227" spans="1:9" ht="12" customHeight="1" thickTop="1">
      <c r="A227" s="358"/>
      <c r="B227" s="358"/>
      <c r="C227" s="201" t="s">
        <v>2296</v>
      </c>
      <c r="D227" s="402" t="s">
        <v>1380</v>
      </c>
      <c r="E227" s="68" t="s">
        <v>2548</v>
      </c>
      <c r="F227" s="68" t="s">
        <v>2548</v>
      </c>
      <c r="G227" s="68" t="s">
        <v>2547</v>
      </c>
      <c r="H227" s="68" t="s">
        <v>2547</v>
      </c>
      <c r="I227" s="68" t="s">
        <v>2548</v>
      </c>
    </row>
    <row r="228" spans="1:9" ht="12" customHeight="1">
      <c r="A228" s="362"/>
      <c r="B228" s="358"/>
      <c r="C228" s="201" t="s">
        <v>2297</v>
      </c>
      <c r="D228" s="402" t="s">
        <v>2298</v>
      </c>
      <c r="E228" s="68" t="s">
        <v>2548</v>
      </c>
      <c r="F228" s="68" t="s">
        <v>2548</v>
      </c>
      <c r="G228" s="68" t="s">
        <v>2552</v>
      </c>
      <c r="H228" s="68" t="s">
        <v>2552</v>
      </c>
      <c r="I228" s="68" t="s">
        <v>2547</v>
      </c>
    </row>
    <row r="229" spans="1:9" ht="12" customHeight="1" thickBot="1">
      <c r="A229" s="362"/>
      <c r="B229" s="358"/>
      <c r="C229" s="201" t="s">
        <v>2299</v>
      </c>
      <c r="D229" s="402" t="s">
        <v>2298</v>
      </c>
      <c r="E229" s="68" t="s">
        <v>2548</v>
      </c>
      <c r="F229" s="68" t="s">
        <v>2548</v>
      </c>
      <c r="G229" s="68" t="s">
        <v>2552</v>
      </c>
      <c r="H229" s="68" t="s">
        <v>2552</v>
      </c>
      <c r="I229" s="68"/>
    </row>
    <row r="230" spans="1:9" ht="12" customHeight="1" thickTop="1" thickBot="1">
      <c r="A230" s="373" t="s">
        <v>2293</v>
      </c>
      <c r="B230" s="373" t="s">
        <v>1420</v>
      </c>
      <c r="C230" s="374" t="s">
        <v>1426</v>
      </c>
      <c r="D230" s="405" t="s">
        <v>171</v>
      </c>
      <c r="E230" s="68"/>
      <c r="F230" s="68"/>
      <c r="G230" s="68"/>
      <c r="H230" s="68"/>
      <c r="I230" s="68"/>
    </row>
    <row r="231" spans="1:9" ht="12" customHeight="1" thickTop="1">
      <c r="A231" s="358" t="s">
        <v>2294</v>
      </c>
      <c r="B231" s="358" t="s">
        <v>204</v>
      </c>
      <c r="C231" s="358" t="s">
        <v>949</v>
      </c>
      <c r="D231" s="402" t="s">
        <v>1380</v>
      </c>
      <c r="E231" s="68" t="s">
        <v>2548</v>
      </c>
      <c r="F231" s="68" t="s">
        <v>2548</v>
      </c>
      <c r="G231" s="68" t="s">
        <v>2548</v>
      </c>
      <c r="H231" s="68" t="s">
        <v>2548</v>
      </c>
      <c r="I231" s="68"/>
    </row>
    <row r="232" spans="1:9" ht="12" customHeight="1">
      <c r="A232" s="358" t="s">
        <v>2295</v>
      </c>
      <c r="B232" s="358" t="s">
        <v>205</v>
      </c>
      <c r="C232" s="358" t="s">
        <v>950</v>
      </c>
      <c r="D232" s="402" t="s">
        <v>1380</v>
      </c>
      <c r="E232" s="68" t="s">
        <v>2484</v>
      </c>
      <c r="F232" s="68" t="s">
        <v>2548</v>
      </c>
      <c r="G232" s="68" t="s">
        <v>2547</v>
      </c>
      <c r="H232" s="68" t="s">
        <v>2547</v>
      </c>
      <c r="I232" s="68"/>
    </row>
    <row r="233" spans="1:9" ht="12" customHeight="1" thickBot="1">
      <c r="A233" s="353" t="s">
        <v>951</v>
      </c>
      <c r="B233" s="353" t="s">
        <v>951</v>
      </c>
      <c r="C233" s="203"/>
      <c r="D233" s="405" t="s">
        <v>165</v>
      </c>
      <c r="E233" s="68"/>
      <c r="F233" s="68"/>
      <c r="G233" s="68"/>
      <c r="H233" s="68"/>
      <c r="I233" s="68" t="s">
        <v>2547</v>
      </c>
    </row>
    <row r="234" spans="1:9" ht="12" customHeight="1" thickTop="1" thickBot="1">
      <c r="A234" s="373" t="s">
        <v>2300</v>
      </c>
      <c r="B234" s="373" t="s">
        <v>1974</v>
      </c>
      <c r="C234" s="374" t="s">
        <v>1427</v>
      </c>
      <c r="D234" s="405" t="s">
        <v>171</v>
      </c>
      <c r="E234" s="68"/>
      <c r="F234" s="68"/>
      <c r="G234" s="68"/>
      <c r="H234" s="68"/>
      <c r="I234" s="68" t="s">
        <v>2547</v>
      </c>
    </row>
    <row r="235" spans="1:9" ht="12" customHeight="1" thickTop="1" thickBot="1">
      <c r="A235" s="373" t="s">
        <v>2301</v>
      </c>
      <c r="B235" s="373" t="s">
        <v>1422</v>
      </c>
      <c r="C235" s="374" t="s">
        <v>1428</v>
      </c>
      <c r="D235" s="405" t="s">
        <v>171</v>
      </c>
      <c r="E235" s="68"/>
      <c r="F235" s="68"/>
      <c r="G235" s="68"/>
      <c r="H235" s="68"/>
      <c r="I235" s="68" t="s">
        <v>2547</v>
      </c>
    </row>
    <row r="236" spans="1:9" ht="12" customHeight="1" thickTop="1" thickBot="1">
      <c r="A236" s="373" t="s">
        <v>2302</v>
      </c>
      <c r="B236" s="373" t="s">
        <v>168</v>
      </c>
      <c r="C236" s="374" t="s">
        <v>2304</v>
      </c>
      <c r="D236" s="402" t="s">
        <v>165</v>
      </c>
      <c r="E236" s="68"/>
      <c r="F236" s="68"/>
      <c r="G236" s="68"/>
      <c r="H236" s="68"/>
      <c r="I236" s="68" t="s">
        <v>2547</v>
      </c>
    </row>
    <row r="237" spans="1:9" ht="12" customHeight="1" thickTop="1">
      <c r="A237" s="362" t="s">
        <v>2305</v>
      </c>
      <c r="B237" s="358"/>
      <c r="C237" s="358" t="s">
        <v>2309</v>
      </c>
      <c r="D237" s="402" t="s">
        <v>1380</v>
      </c>
      <c r="E237" s="68" t="s">
        <v>2548</v>
      </c>
      <c r="F237" s="68" t="s">
        <v>2548</v>
      </c>
      <c r="G237" s="68" t="s">
        <v>2548</v>
      </c>
      <c r="H237" s="68" t="s">
        <v>2547</v>
      </c>
      <c r="I237" s="68" t="s">
        <v>2547</v>
      </c>
    </row>
    <row r="238" spans="1:9" ht="12" customHeight="1">
      <c r="A238" s="362" t="s">
        <v>2306</v>
      </c>
      <c r="B238" s="358"/>
      <c r="C238" s="358" t="s">
        <v>2310</v>
      </c>
      <c r="D238" s="402" t="s">
        <v>1380</v>
      </c>
      <c r="E238" s="68" t="s">
        <v>2548</v>
      </c>
      <c r="F238" s="68" t="s">
        <v>2548</v>
      </c>
      <c r="G238" s="68" t="s">
        <v>2548</v>
      </c>
      <c r="H238" s="68" t="s">
        <v>2547</v>
      </c>
      <c r="I238" s="68"/>
    </row>
    <row r="239" spans="1:9" ht="12" customHeight="1">
      <c r="A239" s="362" t="s">
        <v>2307</v>
      </c>
      <c r="B239" s="358"/>
      <c r="C239" s="358" t="s">
        <v>2311</v>
      </c>
      <c r="D239" s="402" t="s">
        <v>1380</v>
      </c>
      <c r="E239" s="68" t="s">
        <v>2548</v>
      </c>
      <c r="F239" s="68" t="s">
        <v>2548</v>
      </c>
      <c r="G239" s="68" t="s">
        <v>2548</v>
      </c>
      <c r="H239" s="68" t="s">
        <v>2583</v>
      </c>
      <c r="I239" s="68" t="s">
        <v>2547</v>
      </c>
    </row>
    <row r="240" spans="1:9" ht="12" customHeight="1">
      <c r="A240" s="362" t="s">
        <v>2308</v>
      </c>
      <c r="B240" s="358"/>
      <c r="C240" s="358" t="s">
        <v>2313</v>
      </c>
      <c r="D240" s="402" t="s">
        <v>1380</v>
      </c>
      <c r="E240" s="68" t="s">
        <v>2548</v>
      </c>
      <c r="F240" s="68" t="s">
        <v>2551</v>
      </c>
      <c r="G240" s="68" t="s">
        <v>2547</v>
      </c>
      <c r="H240" s="68" t="s">
        <v>2547</v>
      </c>
      <c r="I240" s="68" t="s">
        <v>2547</v>
      </c>
    </row>
    <row r="241" spans="1:9" ht="12" customHeight="1" thickBot="1">
      <c r="A241" s="362" t="s">
        <v>2312</v>
      </c>
      <c r="B241" s="358"/>
      <c r="C241" s="358" t="s">
        <v>2314</v>
      </c>
      <c r="D241" s="402" t="s">
        <v>1380</v>
      </c>
      <c r="E241" s="68" t="s">
        <v>2548</v>
      </c>
      <c r="F241" s="68" t="s">
        <v>2551</v>
      </c>
      <c r="G241" s="68" t="s">
        <v>2547</v>
      </c>
      <c r="H241" s="68" t="s">
        <v>2547</v>
      </c>
      <c r="I241" s="68"/>
    </row>
    <row r="242" spans="1:9" ht="12" customHeight="1" thickTop="1" thickBot="1">
      <c r="A242" s="373" t="s">
        <v>2303</v>
      </c>
      <c r="B242" s="373" t="s">
        <v>1975</v>
      </c>
      <c r="C242" s="374" t="s">
        <v>1976</v>
      </c>
      <c r="D242" s="405" t="s">
        <v>171</v>
      </c>
      <c r="E242" s="68"/>
      <c r="F242" s="68"/>
      <c r="G242" s="68"/>
      <c r="H242" s="68"/>
      <c r="I242" s="68"/>
    </row>
    <row r="243" spans="1:9" ht="12" customHeight="1" thickTop="1">
      <c r="A243" s="358" t="s">
        <v>2132</v>
      </c>
      <c r="B243" s="358" t="s">
        <v>1977</v>
      </c>
      <c r="C243" s="358" t="s">
        <v>1429</v>
      </c>
      <c r="D243" s="406" t="s">
        <v>1380</v>
      </c>
      <c r="E243" s="68" t="s">
        <v>2547</v>
      </c>
      <c r="F243" s="68" t="s">
        <v>2547</v>
      </c>
      <c r="G243" s="68" t="s">
        <v>2547</v>
      </c>
      <c r="H243" s="68" t="s">
        <v>2547</v>
      </c>
      <c r="I243" s="68"/>
    </row>
    <row r="244" spans="1:9" ht="12" customHeight="1" thickBot="1">
      <c r="A244" s="358" t="s">
        <v>2134</v>
      </c>
      <c r="B244" s="358" t="s">
        <v>1978</v>
      </c>
      <c r="C244" s="358" t="s">
        <v>1430</v>
      </c>
      <c r="D244" s="406" t="s">
        <v>1380</v>
      </c>
      <c r="E244" s="68" t="s">
        <v>2547</v>
      </c>
      <c r="F244" s="68" t="s">
        <v>2547</v>
      </c>
      <c r="G244" s="68" t="s">
        <v>2547</v>
      </c>
      <c r="H244" s="68" t="s">
        <v>2547</v>
      </c>
      <c r="I244" s="68"/>
    </row>
    <row r="245" spans="1:9" ht="12" customHeight="1" thickTop="1" thickBot="1">
      <c r="A245" s="375" t="s">
        <v>168</v>
      </c>
      <c r="B245" s="373" t="s">
        <v>1424</v>
      </c>
      <c r="C245" s="374" t="s">
        <v>1979</v>
      </c>
      <c r="D245" s="405" t="s">
        <v>171</v>
      </c>
      <c r="E245" s="68"/>
      <c r="F245" s="68"/>
      <c r="G245" s="68"/>
      <c r="H245" s="68"/>
      <c r="I245" s="68"/>
    </row>
    <row r="246" spans="1:9" ht="12" customHeight="1" thickTop="1">
      <c r="A246" s="376" t="s">
        <v>2122</v>
      </c>
      <c r="B246" s="358" t="s">
        <v>1980</v>
      </c>
      <c r="C246" s="376" t="s">
        <v>3</v>
      </c>
      <c r="D246" s="406" t="s">
        <v>1380</v>
      </c>
      <c r="E246" s="68"/>
      <c r="F246" s="68"/>
      <c r="G246" s="68"/>
      <c r="H246" s="68"/>
      <c r="I246" s="68"/>
    </row>
    <row r="247" spans="1:9" ht="12" customHeight="1">
      <c r="A247" s="376" t="s">
        <v>2123</v>
      </c>
      <c r="B247" s="358" t="s">
        <v>1851</v>
      </c>
      <c r="C247" s="376" t="s">
        <v>952</v>
      </c>
      <c r="D247" s="406" t="s">
        <v>1380</v>
      </c>
      <c r="E247" s="68"/>
      <c r="F247" s="68"/>
      <c r="G247" s="68"/>
      <c r="H247" s="68"/>
      <c r="I247" s="68"/>
    </row>
    <row r="248" spans="1:9" ht="12" customHeight="1">
      <c r="A248" s="377" t="s">
        <v>2124</v>
      </c>
      <c r="B248" s="358" t="s">
        <v>1852</v>
      </c>
      <c r="C248" s="377" t="s">
        <v>953</v>
      </c>
      <c r="D248" s="406" t="s">
        <v>1380</v>
      </c>
      <c r="E248" s="68"/>
      <c r="F248" s="68"/>
      <c r="G248" s="68"/>
      <c r="H248" s="68"/>
      <c r="I248" s="68"/>
    </row>
    <row r="249" spans="1:9" ht="12" customHeight="1" thickBot="1">
      <c r="A249" s="377" t="s">
        <v>2125</v>
      </c>
      <c r="B249" s="358" t="s">
        <v>1853</v>
      </c>
      <c r="C249" s="376" t="s">
        <v>954</v>
      </c>
      <c r="D249" s="406" t="s">
        <v>1380</v>
      </c>
      <c r="E249" s="68"/>
      <c r="F249" s="68"/>
      <c r="G249" s="68"/>
      <c r="H249" s="68"/>
      <c r="I249" s="68"/>
    </row>
    <row r="250" spans="1:9" ht="12" customHeight="1" thickTop="1" thickBot="1">
      <c r="A250" s="373" t="s">
        <v>2317</v>
      </c>
      <c r="B250" s="373"/>
      <c r="C250" s="374" t="s">
        <v>1979</v>
      </c>
      <c r="D250" s="405" t="s">
        <v>165</v>
      </c>
      <c r="E250" s="68"/>
      <c r="F250" s="68"/>
      <c r="G250" s="68"/>
      <c r="H250" s="68"/>
      <c r="I250" s="68" t="s">
        <v>2548</v>
      </c>
    </row>
    <row r="251" spans="1:9" ht="12" customHeight="1" thickTop="1">
      <c r="A251" s="366" t="s">
        <v>2090</v>
      </c>
      <c r="B251" s="359"/>
      <c r="C251" s="358" t="s">
        <v>2133</v>
      </c>
      <c r="D251" s="405" t="s">
        <v>165</v>
      </c>
      <c r="E251" s="68"/>
      <c r="F251" s="68"/>
      <c r="G251" s="68"/>
      <c r="H251" s="68"/>
      <c r="I251" s="68" t="s">
        <v>2548</v>
      </c>
    </row>
    <row r="252" spans="1:9" ht="12" customHeight="1">
      <c r="A252" s="202" t="s">
        <v>2345</v>
      </c>
      <c r="B252" s="359"/>
      <c r="C252" s="201" t="s">
        <v>2085</v>
      </c>
      <c r="D252" s="405" t="s">
        <v>165</v>
      </c>
      <c r="E252" s="68"/>
      <c r="F252" s="68"/>
      <c r="G252" s="68"/>
      <c r="H252" s="68"/>
      <c r="I252" s="68"/>
    </row>
    <row r="253" spans="1:9" ht="12" customHeight="1">
      <c r="A253" s="202" t="s">
        <v>2346</v>
      </c>
      <c r="B253" s="204"/>
      <c r="C253" s="201" t="s">
        <v>2073</v>
      </c>
      <c r="D253" s="405" t="s">
        <v>165</v>
      </c>
      <c r="E253" s="68"/>
      <c r="F253" s="68"/>
      <c r="G253" s="68"/>
      <c r="H253" s="68"/>
      <c r="I253" s="68" t="s">
        <v>2548</v>
      </c>
    </row>
    <row r="254" spans="1:9" ht="12" customHeight="1">
      <c r="A254" s="202" t="s">
        <v>2347</v>
      </c>
      <c r="B254" s="356"/>
      <c r="C254" s="355" t="s">
        <v>2087</v>
      </c>
      <c r="D254" s="407" t="s">
        <v>1380</v>
      </c>
      <c r="E254" s="68" t="s">
        <v>2548</v>
      </c>
      <c r="F254" s="68" t="s">
        <v>2548</v>
      </c>
      <c r="G254" s="68" t="s">
        <v>2548</v>
      </c>
      <c r="H254" s="68" t="s">
        <v>2548</v>
      </c>
      <c r="I254" s="68" t="s">
        <v>2548</v>
      </c>
    </row>
    <row r="255" spans="1:9" ht="12" customHeight="1">
      <c r="A255" s="367" t="s">
        <v>2348</v>
      </c>
      <c r="B255" s="356"/>
      <c r="C255" s="355" t="s">
        <v>2074</v>
      </c>
      <c r="D255" s="407" t="s">
        <v>1380</v>
      </c>
      <c r="E255" s="68" t="s">
        <v>2548</v>
      </c>
      <c r="F255" s="68" t="s">
        <v>2548</v>
      </c>
      <c r="G255" s="68" t="s">
        <v>2548</v>
      </c>
      <c r="H255" s="68" t="s">
        <v>2548</v>
      </c>
      <c r="I255" s="68"/>
    </row>
    <row r="256" spans="1:9" ht="12" customHeight="1">
      <c r="A256" s="202" t="s">
        <v>2349</v>
      </c>
      <c r="B256" s="204"/>
      <c r="C256" s="201" t="s">
        <v>2084</v>
      </c>
      <c r="D256" s="405" t="s">
        <v>165</v>
      </c>
      <c r="E256" s="68"/>
      <c r="F256" s="68"/>
      <c r="G256" s="68"/>
      <c r="H256" s="68"/>
      <c r="I256" s="68" t="s">
        <v>2548</v>
      </c>
    </row>
    <row r="257" spans="1:9" ht="12" customHeight="1">
      <c r="A257" s="367" t="s">
        <v>2350</v>
      </c>
      <c r="B257" s="356"/>
      <c r="C257" s="355" t="s">
        <v>2075</v>
      </c>
      <c r="D257" s="407" t="s">
        <v>1380</v>
      </c>
      <c r="E257" s="68" t="s">
        <v>2548</v>
      </c>
      <c r="F257" s="68" t="s">
        <v>2548</v>
      </c>
      <c r="G257" s="68" t="s">
        <v>2548</v>
      </c>
      <c r="H257" s="68" t="s">
        <v>2548</v>
      </c>
      <c r="I257" s="68" t="s">
        <v>2548</v>
      </c>
    </row>
    <row r="258" spans="1:9" ht="12" customHeight="1">
      <c r="A258" s="367" t="s">
        <v>2351</v>
      </c>
      <c r="B258" s="356"/>
      <c r="C258" s="355" t="s">
        <v>2076</v>
      </c>
      <c r="D258" s="407" t="s">
        <v>1380</v>
      </c>
      <c r="E258" s="68" t="s">
        <v>2548</v>
      </c>
      <c r="F258" s="68" t="s">
        <v>2548</v>
      </c>
      <c r="G258" s="68" t="s">
        <v>2548</v>
      </c>
      <c r="H258" s="68" t="s">
        <v>2548</v>
      </c>
      <c r="I258" s="68"/>
    </row>
    <row r="259" spans="1:9" ht="12" customHeight="1">
      <c r="A259" s="202" t="s">
        <v>2352</v>
      </c>
      <c r="B259" s="204"/>
      <c r="C259" s="201" t="s">
        <v>2077</v>
      </c>
      <c r="D259" s="405" t="s">
        <v>165</v>
      </c>
      <c r="E259" s="68"/>
      <c r="F259" s="68"/>
      <c r="G259" s="68"/>
      <c r="H259" s="68"/>
      <c r="I259" s="68"/>
    </row>
    <row r="260" spans="1:9" ht="12" customHeight="1">
      <c r="A260" s="370" t="s">
        <v>2353</v>
      </c>
      <c r="B260" s="356"/>
      <c r="C260" s="355" t="s">
        <v>2407</v>
      </c>
      <c r="D260" s="407" t="s">
        <v>1380</v>
      </c>
      <c r="E260" s="68" t="s">
        <v>2548</v>
      </c>
      <c r="F260" s="68" t="s">
        <v>2548</v>
      </c>
      <c r="G260" s="68" t="s">
        <v>2548</v>
      </c>
      <c r="H260" s="68" t="s">
        <v>2548</v>
      </c>
      <c r="I260" s="68" t="s">
        <v>2548</v>
      </c>
    </row>
    <row r="261" spans="1:9" ht="12" customHeight="1">
      <c r="A261" s="367" t="s">
        <v>2354</v>
      </c>
      <c r="B261" s="356"/>
      <c r="C261" s="355" t="s">
        <v>2408</v>
      </c>
      <c r="D261" s="407" t="s">
        <v>1380</v>
      </c>
      <c r="E261" s="68" t="s">
        <v>2548</v>
      </c>
      <c r="F261" s="68" t="s">
        <v>2548</v>
      </c>
      <c r="G261" s="68" t="s">
        <v>2548</v>
      </c>
      <c r="H261" s="68" t="s">
        <v>2548</v>
      </c>
      <c r="I261" s="68" t="s">
        <v>2548</v>
      </c>
    </row>
    <row r="262" spans="1:9" ht="12" customHeight="1">
      <c r="A262" s="202" t="s">
        <v>2355</v>
      </c>
      <c r="B262" s="204"/>
      <c r="C262" s="201" t="s">
        <v>2078</v>
      </c>
      <c r="D262" s="405" t="s">
        <v>165</v>
      </c>
      <c r="E262" s="68"/>
      <c r="F262" s="68"/>
      <c r="G262" s="68"/>
      <c r="H262" s="68"/>
      <c r="I262" s="68"/>
    </row>
    <row r="263" spans="1:9" ht="12" customHeight="1">
      <c r="A263" s="202" t="s">
        <v>2356</v>
      </c>
      <c r="B263" s="204"/>
      <c r="C263" s="201" t="s">
        <v>2079</v>
      </c>
      <c r="D263" s="405" t="s">
        <v>165</v>
      </c>
      <c r="E263" s="68"/>
      <c r="F263" s="68"/>
      <c r="G263" s="68"/>
      <c r="H263" s="68"/>
      <c r="I263" s="68" t="s">
        <v>2548</v>
      </c>
    </row>
    <row r="264" spans="1:9" ht="12" customHeight="1">
      <c r="A264" s="202" t="s">
        <v>2357</v>
      </c>
      <c r="B264" s="204"/>
      <c r="C264" s="201" t="s">
        <v>2080</v>
      </c>
      <c r="D264" s="407" t="s">
        <v>1380</v>
      </c>
      <c r="E264" s="68" t="s">
        <v>2548</v>
      </c>
      <c r="F264" s="68" t="s">
        <v>2548</v>
      </c>
      <c r="G264" s="68" t="s">
        <v>2548</v>
      </c>
      <c r="H264" s="68" t="s">
        <v>2548</v>
      </c>
      <c r="I264" s="68"/>
    </row>
    <row r="265" spans="1:9" ht="12" customHeight="1">
      <c r="A265" s="367" t="s">
        <v>2358</v>
      </c>
      <c r="B265" s="356"/>
      <c r="C265" s="355" t="s">
        <v>2081</v>
      </c>
      <c r="D265" s="407" t="s">
        <v>1380</v>
      </c>
      <c r="E265" s="68" t="s">
        <v>2548</v>
      </c>
      <c r="F265" s="68" t="s">
        <v>2548</v>
      </c>
      <c r="G265" s="68" t="s">
        <v>2548</v>
      </c>
      <c r="H265" s="68" t="s">
        <v>2548</v>
      </c>
      <c r="I265" s="68"/>
    </row>
    <row r="266" spans="1:9" ht="12" customHeight="1">
      <c r="A266" s="363" t="s">
        <v>2359</v>
      </c>
      <c r="B266" s="204"/>
      <c r="C266" s="201" t="s">
        <v>2082</v>
      </c>
      <c r="D266" s="405" t="s">
        <v>171</v>
      </c>
      <c r="E266" s="68"/>
      <c r="F266" s="68"/>
      <c r="G266" s="68"/>
      <c r="H266" s="68"/>
      <c r="I266" s="68"/>
    </row>
    <row r="267" spans="1:9" ht="12" customHeight="1">
      <c r="A267" s="363" t="s">
        <v>2360</v>
      </c>
      <c r="B267" s="204"/>
      <c r="C267" s="201" t="s">
        <v>2083</v>
      </c>
      <c r="D267" s="402" t="s">
        <v>1984</v>
      </c>
      <c r="E267" s="68" t="s">
        <v>2548</v>
      </c>
      <c r="F267" s="68" t="s">
        <v>2548</v>
      </c>
      <c r="G267" s="68" t="s">
        <v>2548</v>
      </c>
      <c r="H267" s="68" t="s">
        <v>2548</v>
      </c>
      <c r="I267" s="68" t="s">
        <v>2548</v>
      </c>
    </row>
    <row r="268" spans="1:9" ht="12" customHeight="1">
      <c r="A268" s="363" t="s">
        <v>2361</v>
      </c>
      <c r="B268" s="204"/>
      <c r="C268" s="358" t="s">
        <v>2118</v>
      </c>
      <c r="D268" s="405" t="s">
        <v>171</v>
      </c>
      <c r="E268" s="68"/>
      <c r="F268" s="68"/>
      <c r="G268" s="68"/>
      <c r="H268" s="68"/>
      <c r="I268" s="68"/>
    </row>
    <row r="269" spans="1:9" ht="12" customHeight="1">
      <c r="A269" s="363" t="s">
        <v>2362</v>
      </c>
      <c r="B269" s="204"/>
      <c r="C269" s="358" t="s">
        <v>2119</v>
      </c>
      <c r="D269" s="405" t="s">
        <v>165</v>
      </c>
      <c r="E269" s="68"/>
      <c r="F269" s="68"/>
      <c r="G269" s="68"/>
      <c r="H269" s="68"/>
      <c r="I269" s="68"/>
    </row>
    <row r="270" spans="1:9" ht="12" customHeight="1">
      <c r="A270" s="367" t="s">
        <v>2363</v>
      </c>
      <c r="B270" s="356"/>
      <c r="C270" s="355" t="s">
        <v>2120</v>
      </c>
      <c r="D270" s="405" t="s">
        <v>171</v>
      </c>
      <c r="E270" s="68"/>
      <c r="F270" s="68"/>
      <c r="G270" s="68"/>
      <c r="H270" s="68"/>
      <c r="I270" s="68" t="s">
        <v>2547</v>
      </c>
    </row>
    <row r="271" spans="1:9" ht="12" customHeight="1">
      <c r="A271" s="367" t="s">
        <v>2364</v>
      </c>
      <c r="B271" s="356"/>
      <c r="C271" s="355" t="s">
        <v>2121</v>
      </c>
      <c r="D271" s="402" t="s">
        <v>1984</v>
      </c>
      <c r="E271" s="68" t="s">
        <v>2548</v>
      </c>
      <c r="F271" s="68" t="s">
        <v>2548</v>
      </c>
      <c r="G271" s="68" t="s">
        <v>2548</v>
      </c>
      <c r="H271" s="68" t="s">
        <v>2548</v>
      </c>
      <c r="I271" s="68" t="s">
        <v>2547</v>
      </c>
    </row>
    <row r="272" spans="1:9" ht="12" customHeight="1">
      <c r="A272" s="366" t="s">
        <v>2091</v>
      </c>
      <c r="B272" s="359"/>
      <c r="C272" s="358" t="s">
        <v>2135</v>
      </c>
      <c r="D272" s="405" t="s">
        <v>165</v>
      </c>
      <c r="E272" s="68"/>
      <c r="F272" s="68"/>
      <c r="G272" s="68"/>
      <c r="H272" s="68"/>
      <c r="I272" s="68"/>
    </row>
    <row r="273" spans="1:9" ht="12" customHeight="1">
      <c r="A273" s="202" t="s">
        <v>2092</v>
      </c>
      <c r="B273" s="359"/>
      <c r="C273" s="201" t="s">
        <v>2129</v>
      </c>
      <c r="D273" s="405" t="s">
        <v>165</v>
      </c>
      <c r="E273" s="68"/>
      <c r="F273" s="68"/>
      <c r="G273" s="68"/>
      <c r="H273" s="68"/>
      <c r="I273" s="68" t="s">
        <v>2547</v>
      </c>
    </row>
    <row r="274" spans="1:9" ht="12" customHeight="1">
      <c r="A274" s="370" t="s">
        <v>2365</v>
      </c>
      <c r="B274" s="359" t="s">
        <v>1980</v>
      </c>
      <c r="C274" s="355" t="s">
        <v>3</v>
      </c>
      <c r="D274" s="406" t="s">
        <v>1380</v>
      </c>
      <c r="E274" s="68" t="s">
        <v>2547</v>
      </c>
      <c r="F274" s="68" t="s">
        <v>2547</v>
      </c>
      <c r="G274" s="68" t="s">
        <v>2547</v>
      </c>
      <c r="H274" s="68" t="s">
        <v>2547</v>
      </c>
      <c r="I274" s="68" t="s">
        <v>2547</v>
      </c>
    </row>
    <row r="275" spans="1:9" ht="12" customHeight="1">
      <c r="A275" s="370" t="s">
        <v>2366</v>
      </c>
      <c r="B275" s="359" t="s">
        <v>1851</v>
      </c>
      <c r="C275" s="355" t="s">
        <v>952</v>
      </c>
      <c r="D275" s="406" t="s">
        <v>1380</v>
      </c>
      <c r="E275" s="68" t="s">
        <v>2547</v>
      </c>
      <c r="F275" s="68" t="s">
        <v>2547</v>
      </c>
      <c r="G275" s="68" t="s">
        <v>2547</v>
      </c>
      <c r="H275" s="68" t="s">
        <v>2547</v>
      </c>
      <c r="I275" s="68"/>
    </row>
    <row r="276" spans="1:9" ht="12" customHeight="1">
      <c r="A276" s="202" t="s">
        <v>2093</v>
      </c>
      <c r="B276" s="359"/>
      <c r="C276" s="201" t="s">
        <v>2245</v>
      </c>
      <c r="D276" s="405" t="s">
        <v>165</v>
      </c>
      <c r="E276" s="68"/>
      <c r="F276" s="68"/>
      <c r="G276" s="68"/>
      <c r="H276" s="68"/>
      <c r="I276" s="68" t="s">
        <v>2547</v>
      </c>
    </row>
    <row r="277" spans="1:9" s="357" customFormat="1" ht="12" customHeight="1">
      <c r="A277" s="370" t="s">
        <v>2367</v>
      </c>
      <c r="B277" s="359" t="s">
        <v>1852</v>
      </c>
      <c r="C277" s="355" t="s">
        <v>953</v>
      </c>
      <c r="D277" s="409" t="s">
        <v>1380</v>
      </c>
      <c r="E277" s="68" t="s">
        <v>2548</v>
      </c>
      <c r="F277" s="68" t="s">
        <v>2548</v>
      </c>
      <c r="G277" s="68" t="s">
        <v>2548</v>
      </c>
      <c r="H277" s="68" t="s">
        <v>2548</v>
      </c>
      <c r="I277" s="68" t="s">
        <v>2547</v>
      </c>
    </row>
    <row r="278" spans="1:9" s="357" customFormat="1" ht="12" customHeight="1">
      <c r="A278" s="370" t="s">
        <v>2368</v>
      </c>
      <c r="B278" s="359" t="s">
        <v>1853</v>
      </c>
      <c r="C278" s="355" t="s">
        <v>954</v>
      </c>
      <c r="D278" s="409" t="s">
        <v>1380</v>
      </c>
      <c r="E278" s="68" t="s">
        <v>2484</v>
      </c>
      <c r="F278" s="68" t="s">
        <v>2547</v>
      </c>
      <c r="G278" s="68" t="s">
        <v>2547</v>
      </c>
      <c r="H278" s="68" t="s">
        <v>2547</v>
      </c>
      <c r="I278" s="68" t="s">
        <v>2547</v>
      </c>
    </row>
    <row r="279" spans="1:9" ht="12" customHeight="1">
      <c r="A279" s="202" t="s">
        <v>2369</v>
      </c>
      <c r="B279" s="359"/>
      <c r="C279" s="201" t="s">
        <v>2246</v>
      </c>
      <c r="D279" s="405" t="s">
        <v>165</v>
      </c>
      <c r="E279" s="68"/>
      <c r="F279" s="68"/>
      <c r="G279" s="68"/>
      <c r="H279" s="68"/>
      <c r="I279" s="68" t="s">
        <v>2548</v>
      </c>
    </row>
    <row r="280" spans="1:9" s="357" customFormat="1" ht="12" customHeight="1">
      <c r="A280" s="367" t="s">
        <v>2370</v>
      </c>
      <c r="B280" s="369"/>
      <c r="C280" s="355" t="s">
        <v>2126</v>
      </c>
      <c r="D280" s="409" t="s">
        <v>1380</v>
      </c>
      <c r="E280" s="68" t="s">
        <v>2548</v>
      </c>
      <c r="F280" s="68" t="s">
        <v>2548</v>
      </c>
      <c r="G280" s="68" t="s">
        <v>2548</v>
      </c>
      <c r="H280" s="68" t="s">
        <v>2547</v>
      </c>
      <c r="I280" s="68" t="s">
        <v>2548</v>
      </c>
    </row>
    <row r="281" spans="1:9" s="357" customFormat="1" ht="12" customHeight="1">
      <c r="A281" s="367" t="s">
        <v>2371</v>
      </c>
      <c r="B281" s="369"/>
      <c r="C281" s="355" t="s">
        <v>2127</v>
      </c>
      <c r="D281" s="409" t="s">
        <v>1380</v>
      </c>
      <c r="E281" s="68" t="s">
        <v>2548</v>
      </c>
      <c r="F281" s="68" t="s">
        <v>2548</v>
      </c>
      <c r="G281" s="68" t="s">
        <v>2548</v>
      </c>
      <c r="H281" s="68" t="s">
        <v>2547</v>
      </c>
      <c r="I281" s="68"/>
    </row>
    <row r="282" spans="1:9" s="357" customFormat="1" ht="12" customHeight="1">
      <c r="A282" s="367" t="s">
        <v>2372</v>
      </c>
      <c r="B282" s="369"/>
      <c r="C282" s="355" t="s">
        <v>2128</v>
      </c>
      <c r="D282" s="409" t="s">
        <v>1380</v>
      </c>
      <c r="E282" s="68" t="s">
        <v>2548</v>
      </c>
      <c r="F282" s="68" t="s">
        <v>2548</v>
      </c>
      <c r="G282" s="68" t="s">
        <v>2548</v>
      </c>
      <c r="H282" s="68" t="s">
        <v>2547</v>
      </c>
      <c r="I282" s="68"/>
    </row>
    <row r="283" spans="1:9" ht="12" customHeight="1">
      <c r="A283" s="367" t="s">
        <v>2373</v>
      </c>
      <c r="B283" s="204"/>
      <c r="C283" s="355" t="s">
        <v>2130</v>
      </c>
      <c r="D283" s="405" t="s">
        <v>1984</v>
      </c>
      <c r="E283" s="68" t="s">
        <v>2548</v>
      </c>
      <c r="F283" s="68" t="s">
        <v>2548</v>
      </c>
      <c r="G283" s="68" t="s">
        <v>2548</v>
      </c>
      <c r="H283" s="68" t="s">
        <v>2548</v>
      </c>
      <c r="I283" s="68"/>
    </row>
    <row r="284" spans="1:9" ht="12" customHeight="1">
      <c r="A284" s="367" t="s">
        <v>2384</v>
      </c>
      <c r="B284" s="204"/>
      <c r="C284" s="355" t="s">
        <v>2409</v>
      </c>
      <c r="D284" s="408" t="s">
        <v>1380</v>
      </c>
      <c r="E284" s="68" t="s">
        <v>2548</v>
      </c>
      <c r="F284" s="68" t="s">
        <v>2548</v>
      </c>
      <c r="G284" s="68" t="s">
        <v>2548</v>
      </c>
      <c r="H284" s="68" t="s">
        <v>2548</v>
      </c>
      <c r="I284" s="68" t="s">
        <v>2548</v>
      </c>
    </row>
    <row r="285" spans="1:9" ht="12" customHeight="1">
      <c r="A285" s="359" t="s">
        <v>2318</v>
      </c>
      <c r="B285" s="359"/>
      <c r="C285" s="204" t="s">
        <v>2320</v>
      </c>
      <c r="D285" s="405" t="s">
        <v>165</v>
      </c>
      <c r="E285" s="68"/>
      <c r="F285" s="68"/>
      <c r="G285" s="68"/>
      <c r="H285" s="68"/>
      <c r="I285" s="68" t="s">
        <v>2548</v>
      </c>
    </row>
    <row r="286" spans="1:9" ht="12" customHeight="1">
      <c r="A286" s="366" t="s">
        <v>2094</v>
      </c>
      <c r="B286" s="359"/>
      <c r="C286" s="358" t="s">
        <v>2101</v>
      </c>
      <c r="D286" s="405" t="s">
        <v>165</v>
      </c>
      <c r="E286" s="68"/>
      <c r="F286" s="68"/>
      <c r="G286" s="68"/>
      <c r="H286" s="68"/>
      <c r="I286" s="68"/>
    </row>
    <row r="287" spans="1:9" ht="12" customHeight="1">
      <c r="A287" s="366" t="s">
        <v>2095</v>
      </c>
      <c r="B287" s="359"/>
      <c r="C287" s="358" t="s">
        <v>2102</v>
      </c>
      <c r="D287" s="405" t="s">
        <v>165</v>
      </c>
      <c r="E287" s="68"/>
      <c r="F287" s="68"/>
      <c r="G287" s="68"/>
      <c r="H287" s="68"/>
      <c r="I287" s="68" t="s">
        <v>2548</v>
      </c>
    </row>
    <row r="288" spans="1:9" ht="12" customHeight="1">
      <c r="A288" s="202" t="s">
        <v>2096</v>
      </c>
      <c r="B288" s="204"/>
      <c r="C288" s="355" t="s">
        <v>2103</v>
      </c>
      <c r="D288" s="407" t="s">
        <v>1380</v>
      </c>
      <c r="E288" s="68" t="s">
        <v>2548</v>
      </c>
      <c r="F288" s="68" t="s">
        <v>2548</v>
      </c>
      <c r="G288" s="68" t="s">
        <v>2548</v>
      </c>
      <c r="H288" s="68" t="s">
        <v>2548</v>
      </c>
      <c r="I288" s="68" t="s">
        <v>2548</v>
      </c>
    </row>
    <row r="289" spans="1:9" ht="12" customHeight="1">
      <c r="A289" s="363" t="s">
        <v>2097</v>
      </c>
      <c r="B289" s="204"/>
      <c r="C289" s="355" t="s">
        <v>2104</v>
      </c>
      <c r="D289" s="407" t="s">
        <v>1380</v>
      </c>
      <c r="E289" s="68" t="s">
        <v>2548</v>
      </c>
      <c r="F289" s="68" t="s">
        <v>2548</v>
      </c>
      <c r="G289" s="68" t="s">
        <v>2548</v>
      </c>
      <c r="H289" s="68" t="s">
        <v>2548</v>
      </c>
      <c r="I289" s="68"/>
    </row>
    <row r="290" spans="1:9" ht="12" customHeight="1">
      <c r="A290" s="366" t="s">
        <v>2098</v>
      </c>
      <c r="B290" s="359"/>
      <c r="C290" s="358" t="s">
        <v>2105</v>
      </c>
      <c r="D290" s="405" t="s">
        <v>165</v>
      </c>
      <c r="E290" s="68"/>
      <c r="F290" s="68"/>
      <c r="G290" s="68"/>
      <c r="H290" s="68"/>
      <c r="I290" s="68"/>
    </row>
    <row r="291" spans="1:9" ht="12" customHeight="1">
      <c r="A291" s="363" t="s">
        <v>2099</v>
      </c>
      <c r="B291" s="204"/>
      <c r="C291" s="355" t="s">
        <v>2426</v>
      </c>
      <c r="D291" s="407" t="s">
        <v>1380</v>
      </c>
      <c r="E291" s="68" t="s">
        <v>2548</v>
      </c>
      <c r="F291" s="68" t="s">
        <v>2548</v>
      </c>
      <c r="G291" s="68" t="s">
        <v>2548</v>
      </c>
      <c r="H291" s="68" t="s">
        <v>2548</v>
      </c>
      <c r="I291" s="68"/>
    </row>
    <row r="292" spans="1:9" ht="12" customHeight="1">
      <c r="A292" s="363" t="s">
        <v>2100</v>
      </c>
      <c r="B292" s="204"/>
      <c r="C292" s="355" t="s">
        <v>2427</v>
      </c>
      <c r="D292" s="407" t="s">
        <v>1380</v>
      </c>
      <c r="E292" s="68" t="s">
        <v>2548</v>
      </c>
      <c r="F292" s="68" t="s">
        <v>2548</v>
      </c>
      <c r="G292" s="68" t="s">
        <v>2548</v>
      </c>
      <c r="H292" s="68" t="s">
        <v>2548</v>
      </c>
      <c r="I292" s="68"/>
    </row>
    <row r="293" spans="1:9" ht="12" customHeight="1">
      <c r="A293" s="359" t="s">
        <v>2319</v>
      </c>
      <c r="B293" s="359"/>
      <c r="C293" s="204" t="s">
        <v>2321</v>
      </c>
      <c r="D293" s="405" t="s">
        <v>165</v>
      </c>
      <c r="E293" s="68"/>
      <c r="F293" s="68"/>
      <c r="G293" s="68"/>
      <c r="H293" s="68"/>
      <c r="I293" s="68"/>
    </row>
    <row r="294" spans="1:9" ht="12" customHeight="1">
      <c r="A294" s="362" t="s">
        <v>2385</v>
      </c>
      <c r="B294" s="359"/>
      <c r="C294" s="358" t="s">
        <v>2106</v>
      </c>
      <c r="D294" s="405" t="s">
        <v>171</v>
      </c>
      <c r="E294" s="68"/>
      <c r="F294" s="68"/>
      <c r="G294" s="68"/>
      <c r="H294" s="68"/>
      <c r="I294" s="68"/>
    </row>
    <row r="295" spans="1:9" ht="12" customHeight="1">
      <c r="A295" s="362" t="s">
        <v>2386</v>
      </c>
      <c r="B295" s="359"/>
      <c r="C295" s="358" t="s">
        <v>2107</v>
      </c>
      <c r="D295" s="405" t="s">
        <v>171</v>
      </c>
      <c r="E295" s="68"/>
      <c r="F295" s="68"/>
      <c r="G295" s="68"/>
      <c r="H295" s="68"/>
      <c r="I295" s="68"/>
    </row>
    <row r="296" spans="1:9" ht="12" customHeight="1">
      <c r="A296" s="363" t="s">
        <v>2387</v>
      </c>
      <c r="B296" s="204"/>
      <c r="C296" s="201" t="s">
        <v>2108</v>
      </c>
      <c r="D296" s="405" t="s">
        <v>171</v>
      </c>
      <c r="E296" s="68"/>
      <c r="F296" s="68"/>
      <c r="G296" s="68"/>
      <c r="H296" s="68"/>
      <c r="I296" s="68" t="s">
        <v>2547</v>
      </c>
    </row>
    <row r="297" spans="1:9" ht="12" customHeight="1">
      <c r="A297" s="363" t="s">
        <v>2388</v>
      </c>
      <c r="B297" s="204"/>
      <c r="C297" s="201" t="s">
        <v>2109</v>
      </c>
      <c r="D297" s="405" t="s">
        <v>171</v>
      </c>
      <c r="E297" s="68"/>
      <c r="F297" s="68"/>
      <c r="G297" s="68"/>
      <c r="H297" s="68"/>
      <c r="I297" s="68" t="s">
        <v>2548</v>
      </c>
    </row>
    <row r="298" spans="1:9" ht="12" customHeight="1">
      <c r="A298" s="363" t="s">
        <v>2389</v>
      </c>
      <c r="B298" s="204"/>
      <c r="C298" s="201" t="s">
        <v>2110</v>
      </c>
      <c r="D298" s="405" t="s">
        <v>171</v>
      </c>
      <c r="E298" s="68"/>
      <c r="F298" s="68"/>
      <c r="G298" s="68"/>
      <c r="H298" s="68"/>
      <c r="I298" s="68"/>
    </row>
    <row r="299" spans="1:9" ht="12" customHeight="1">
      <c r="A299" s="362" t="s">
        <v>2390</v>
      </c>
      <c r="B299" s="359"/>
      <c r="C299" s="358" t="s">
        <v>2111</v>
      </c>
      <c r="D299" s="405" t="s">
        <v>171</v>
      </c>
      <c r="E299" s="68"/>
      <c r="F299" s="68"/>
      <c r="G299" s="68"/>
      <c r="H299" s="68"/>
      <c r="I299" s="68"/>
    </row>
    <row r="300" spans="1:9" ht="12" customHeight="1">
      <c r="A300" s="363" t="s">
        <v>2391</v>
      </c>
      <c r="B300" s="204"/>
      <c r="C300" s="201" t="s">
        <v>2112</v>
      </c>
      <c r="D300" s="402" t="s">
        <v>1380</v>
      </c>
      <c r="E300" s="68" t="s">
        <v>2548</v>
      </c>
      <c r="F300" s="68" t="s">
        <v>2548</v>
      </c>
      <c r="G300" s="68" t="s">
        <v>2548</v>
      </c>
      <c r="H300" s="68" t="s">
        <v>2548</v>
      </c>
      <c r="I300" s="68" t="s">
        <v>2548</v>
      </c>
    </row>
    <row r="301" spans="1:9" ht="12" customHeight="1">
      <c r="A301" s="363" t="s">
        <v>2392</v>
      </c>
      <c r="B301" s="204"/>
      <c r="C301" s="201" t="s">
        <v>2113</v>
      </c>
      <c r="D301" s="402" t="s">
        <v>1984</v>
      </c>
      <c r="E301" s="68" t="s">
        <v>2548</v>
      </c>
      <c r="F301" s="68" t="s">
        <v>2548</v>
      </c>
      <c r="G301" s="68" t="s">
        <v>2548</v>
      </c>
      <c r="H301" s="68" t="s">
        <v>2548</v>
      </c>
      <c r="I301" s="68"/>
    </row>
    <row r="302" spans="1:9" ht="12" customHeight="1">
      <c r="A302" s="363" t="s">
        <v>2393</v>
      </c>
      <c r="B302" s="204"/>
      <c r="C302" s="201" t="s">
        <v>2114</v>
      </c>
      <c r="D302" s="405" t="s">
        <v>171</v>
      </c>
      <c r="E302" s="68"/>
      <c r="F302" s="68"/>
      <c r="G302" s="68"/>
      <c r="H302" s="68"/>
      <c r="I302" s="68"/>
    </row>
    <row r="303" spans="1:9" ht="12" customHeight="1">
      <c r="A303" s="363" t="s">
        <v>2394</v>
      </c>
      <c r="B303" s="204"/>
      <c r="C303" s="201" t="s">
        <v>2115</v>
      </c>
      <c r="D303" s="405" t="s">
        <v>171</v>
      </c>
      <c r="E303" s="68"/>
      <c r="F303" s="68"/>
      <c r="G303" s="68"/>
      <c r="H303" s="68"/>
    </row>
    <row r="304" spans="1:9" ht="12" customHeight="1">
      <c r="A304" s="363" t="s">
        <v>2395</v>
      </c>
      <c r="B304" s="204"/>
      <c r="C304" s="201" t="s">
        <v>2401</v>
      </c>
      <c r="D304" s="405" t="s">
        <v>2402</v>
      </c>
      <c r="E304" s="68" t="s">
        <v>2548</v>
      </c>
      <c r="F304" s="68" t="s">
        <v>2548</v>
      </c>
      <c r="G304" s="68" t="s">
        <v>2548</v>
      </c>
      <c r="H304" s="68" t="s">
        <v>2548</v>
      </c>
      <c r="I304" s="68"/>
    </row>
    <row r="305" spans="1:9" ht="12" customHeight="1">
      <c r="A305" s="363" t="s">
        <v>2400</v>
      </c>
      <c r="B305" s="204"/>
      <c r="C305" s="201" t="s">
        <v>2116</v>
      </c>
      <c r="D305" s="405" t="s">
        <v>171</v>
      </c>
      <c r="E305" s="68"/>
      <c r="F305" s="68"/>
      <c r="G305" s="68"/>
      <c r="H305" s="68"/>
      <c r="I305" s="68"/>
    </row>
    <row r="306" spans="1:9" ht="12" customHeight="1">
      <c r="A306" s="362" t="s">
        <v>2396</v>
      </c>
      <c r="B306" s="359"/>
      <c r="C306" s="358" t="s">
        <v>2117</v>
      </c>
      <c r="D306" s="405" t="s">
        <v>171</v>
      </c>
      <c r="E306" s="68"/>
      <c r="F306" s="68"/>
      <c r="G306" s="68"/>
      <c r="H306" s="68"/>
      <c r="I306" s="68"/>
    </row>
    <row r="307" spans="1:9" ht="18.75">
      <c r="A307" s="1161" t="s">
        <v>2430</v>
      </c>
      <c r="B307" s="1161"/>
      <c r="C307" s="1161"/>
      <c r="D307" s="1161"/>
      <c r="E307" s="400"/>
      <c r="F307" s="423"/>
      <c r="I307" s="68"/>
    </row>
    <row r="308" spans="1:9" ht="12" customHeight="1">
      <c r="A308" s="202"/>
      <c r="B308" s="204"/>
      <c r="C308" s="201" t="s">
        <v>2414</v>
      </c>
      <c r="D308" s="401"/>
      <c r="E308" s="68"/>
      <c r="F308" s="68"/>
      <c r="G308" s="68"/>
      <c r="H308" s="68"/>
      <c r="I308" s="68"/>
    </row>
    <row r="309" spans="1:9" ht="12" customHeight="1">
      <c r="A309" s="202"/>
      <c r="B309" s="204"/>
      <c r="C309" s="201" t="s">
        <v>2403</v>
      </c>
      <c r="D309" s="401"/>
      <c r="E309" s="68"/>
      <c r="F309" s="68"/>
      <c r="G309" s="68"/>
      <c r="H309" s="68"/>
      <c r="I309" s="68"/>
    </row>
    <row r="310" spans="1:9" ht="12" customHeight="1">
      <c r="A310" s="202"/>
      <c r="B310" s="204"/>
      <c r="C310" s="201" t="s">
        <v>2316</v>
      </c>
      <c r="D310" s="401"/>
      <c r="E310" s="68"/>
      <c r="F310" s="68"/>
      <c r="G310" s="68"/>
      <c r="H310" s="68"/>
      <c r="I310" s="68"/>
    </row>
    <row r="311" spans="1:9" ht="12" customHeight="1">
      <c r="A311" s="202"/>
      <c r="B311" s="204"/>
      <c r="C311" s="201" t="s">
        <v>2399</v>
      </c>
      <c r="D311" s="401"/>
      <c r="E311" s="68"/>
      <c r="F311" s="68"/>
      <c r="G311" s="68"/>
      <c r="H311" s="68"/>
      <c r="I311" s="68"/>
    </row>
    <row r="312" spans="1:9" ht="12" customHeight="1">
      <c r="A312" s="202"/>
      <c r="B312" s="204"/>
      <c r="C312" s="201" t="s">
        <v>2404</v>
      </c>
      <c r="D312" s="401"/>
      <c r="E312" s="68"/>
      <c r="F312" s="68"/>
      <c r="G312" s="68"/>
      <c r="H312" s="68"/>
      <c r="I312" s="68"/>
    </row>
    <row r="313" spans="1:9" ht="12" customHeight="1">
      <c r="A313" s="202"/>
      <c r="B313" s="204"/>
      <c r="C313" s="201" t="s">
        <v>2405</v>
      </c>
      <c r="D313" s="401"/>
      <c r="E313" s="68"/>
      <c r="F313" s="68"/>
      <c r="G313" s="68"/>
      <c r="H313" s="68"/>
      <c r="I313" s="68"/>
    </row>
    <row r="314" spans="1:9" ht="12" customHeight="1">
      <c r="A314" s="362"/>
      <c r="B314" s="204"/>
      <c r="C314" s="201" t="s">
        <v>2397</v>
      </c>
      <c r="D314" s="401"/>
      <c r="E314" s="68"/>
      <c r="F314" s="68"/>
      <c r="G314" s="68"/>
      <c r="H314" s="68"/>
      <c r="I314" s="68"/>
    </row>
    <row r="315" spans="1:9" ht="12" customHeight="1">
      <c r="A315" s="362"/>
      <c r="B315" s="204"/>
      <c r="C315" s="201" t="s">
        <v>2398</v>
      </c>
      <c r="D315" s="401"/>
      <c r="E315" s="68"/>
      <c r="F315" s="68"/>
      <c r="G315" s="68"/>
      <c r="H315" s="68"/>
      <c r="I315" s="68"/>
    </row>
    <row r="316" spans="1:9" ht="12" customHeight="1">
      <c r="A316" s="362"/>
      <c r="B316" s="204"/>
      <c r="C316" s="201" t="s">
        <v>2425</v>
      </c>
      <c r="D316" s="401"/>
      <c r="E316" s="68"/>
      <c r="F316" s="68"/>
      <c r="G316" s="68"/>
      <c r="H316" s="68"/>
    </row>
    <row r="317" spans="1:9" ht="12" customHeight="1">
      <c r="A317" s="362"/>
      <c r="B317" s="204"/>
      <c r="C317" s="201" t="s">
        <v>2415</v>
      </c>
      <c r="D317" s="401"/>
      <c r="E317" s="68"/>
      <c r="F317" s="68"/>
      <c r="G317" s="68"/>
      <c r="H317" s="68"/>
    </row>
    <row r="318" spans="1:9" ht="12" customHeight="1">
      <c r="A318" s="362"/>
      <c r="B318" s="204"/>
      <c r="C318" s="201" t="s">
        <v>2421</v>
      </c>
      <c r="D318" s="401"/>
      <c r="E318" s="68"/>
      <c r="F318" s="68"/>
      <c r="G318" s="68"/>
      <c r="H318" s="68"/>
    </row>
    <row r="319" spans="1:9" ht="12" customHeight="1">
      <c r="A319" s="362"/>
      <c r="B319" s="204"/>
      <c r="C319" s="201" t="s">
        <v>2424</v>
      </c>
      <c r="D319" s="401"/>
      <c r="E319" s="68"/>
      <c r="F319" s="68"/>
      <c r="G319" s="68"/>
      <c r="H319" s="68"/>
    </row>
    <row r="323" spans="1:2" ht="12.75" thickBot="1">
      <c r="A323" s="199" t="s">
        <v>2550</v>
      </c>
      <c r="B323" s="404"/>
    </row>
    <row r="324" spans="1:2">
      <c r="A324" s="421" t="s">
        <v>2484</v>
      </c>
      <c r="B324" s="412">
        <f>COUNTIF(E:E,A324)</f>
        <v>17</v>
      </c>
    </row>
    <row r="325" spans="1:2">
      <c r="A325" s="413" t="s">
        <v>2549</v>
      </c>
      <c r="B325" s="414">
        <f>COUNTIF(E:E,A325)</f>
        <v>11</v>
      </c>
    </row>
    <row r="326" spans="1:2">
      <c r="A326" s="413" t="s">
        <v>2552</v>
      </c>
      <c r="B326" s="414">
        <f>COUNTIF(E:E,A326)</f>
        <v>0</v>
      </c>
    </row>
    <row r="327" spans="1:2">
      <c r="A327" s="413" t="s">
        <v>2548</v>
      </c>
      <c r="B327" s="414">
        <f>COUNTIF(E:E,A327)</f>
        <v>44</v>
      </c>
    </row>
    <row r="328" spans="1:2">
      <c r="A328" s="413" t="s">
        <v>2547</v>
      </c>
      <c r="B328" s="414">
        <f>COUNTIF(E:E,A328)</f>
        <v>78</v>
      </c>
    </row>
    <row r="329" spans="1:2" ht="12.75" thickBot="1">
      <c r="A329" s="415" t="s">
        <v>57</v>
      </c>
      <c r="B329" s="416">
        <f>SUM(B324:B328)</f>
        <v>150</v>
      </c>
    </row>
    <row r="330" spans="1:2">
      <c r="B330" s="404"/>
    </row>
    <row r="331" spans="1:2" ht="12.75" thickBot="1">
      <c r="B331" s="404"/>
    </row>
    <row r="332" spans="1:2">
      <c r="A332" s="411" t="s">
        <v>2484</v>
      </c>
      <c r="B332" s="417">
        <f>B324/$B$329</f>
        <v>0.11333333333333333</v>
      </c>
    </row>
    <row r="333" spans="1:2">
      <c r="A333" s="413" t="s">
        <v>2549</v>
      </c>
      <c r="B333" s="418">
        <f>B325/$B$329</f>
        <v>7.3333333333333334E-2</v>
      </c>
    </row>
    <row r="334" spans="1:2">
      <c r="A334" s="413" t="s">
        <v>2548</v>
      </c>
      <c r="B334" s="418">
        <f>B327/$B$329</f>
        <v>0.29333333333333333</v>
      </c>
    </row>
    <row r="335" spans="1:2">
      <c r="A335" s="413" t="s">
        <v>2547</v>
      </c>
      <c r="B335" s="418">
        <f>B328/$B$329</f>
        <v>0.52</v>
      </c>
    </row>
    <row r="336" spans="1:2" ht="12.75" thickBot="1">
      <c r="A336" s="419" t="s">
        <v>2552</v>
      </c>
      <c r="B336" s="420">
        <f>B326/$B$329</f>
        <v>0</v>
      </c>
    </row>
    <row r="343" spans="1:1" ht="15">
      <c r="A343"/>
    </row>
  </sheetData>
  <autoFilter ref="A1:D315" xr:uid="{00000000-0009-0000-0000-000006000000}"/>
  <customSheetViews>
    <customSheetView guid="{6357C996-BE12-4F66-ACBB-1F9F08F8885C}" showGridLines="0" showAutoFilter="1" state="hidden" topLeftCell="E1">
      <selection activeCell="J13" sqref="J13"/>
      <pageMargins left="0.7" right="0.7" top="0.75" bottom="0.75" header="0.3" footer="0.3"/>
      <pageSetup paperSize="9" orientation="portrait" r:id="rId1"/>
      <autoFilter ref="A1:D315" xr:uid="{418AF54C-BC8A-447A-BE2C-45008B0E0BA7}"/>
    </customSheetView>
    <customSheetView guid="{5874C782-5C34-4C4C-BCC6-3692259149CA}" showGridLines="0" showAutoFilter="1" state="hidden" topLeftCell="E1">
      <selection activeCell="J13" sqref="J13"/>
      <pageMargins left="0.7" right="0.7" top="0.75" bottom="0.75" header="0.3" footer="0.3"/>
      <pageSetup paperSize="9" orientation="portrait" r:id="rId2"/>
      <autoFilter ref="A1:D315" xr:uid="{9CA2A415-D554-4EC1-ADE2-0962130A74D5}"/>
    </customSheetView>
  </customSheetViews>
  <mergeCells count="1">
    <mergeCell ref="A307:D307"/>
  </mergeCells>
  <conditionalFormatting sqref="E2:E306">
    <cfRule type="containsText" dxfId="288" priority="271" operator="containsText" text="Contrôler avec la publication 2022">
      <formula>NOT(ISERROR(SEARCH("Contrôler avec la publication 2022",E2)))</formula>
    </cfRule>
    <cfRule type="containsText" dxfId="287" priority="277" operator="containsText" text="Contrôler avec la publication 2022">
      <formula>NOT(ISERROR(SEARCH("Contrôler avec la publication 2022",E2)))</formula>
    </cfRule>
    <cfRule type="containsText" dxfId="286" priority="286" operator="containsText" text="en cours">
      <formula>NOT(ISERROR(SEARCH("en cours",E2)))</formula>
    </cfRule>
    <cfRule type="containsText" dxfId="285" priority="287" operator="containsText" text="Terminé">
      <formula>NOT(ISERROR(SEARCH("Terminé",E2)))</formula>
    </cfRule>
    <cfRule type="containsText" dxfId="284" priority="290" operator="containsText" text="En cours">
      <formula>NOT(ISERROR(SEARCH("En cours",E2)))</formula>
    </cfRule>
    <cfRule type="containsText" dxfId="283" priority="291" operator="containsText" text="A démarrer">
      <formula>NOT(ISERROR(SEARCH("A démarrer",E2)))</formula>
    </cfRule>
  </conditionalFormatting>
  <conditionalFormatting sqref="E3:E8">
    <cfRule type="containsText" dxfId="282" priority="282" operator="containsText" text="en cours">
      <formula>NOT(ISERROR(SEARCH("en cours",E3)))</formula>
    </cfRule>
    <cfRule type="containsText" dxfId="281" priority="283" operator="containsText" text="Terminé">
      <formula>NOT(ISERROR(SEARCH("Terminé",E3)))</formula>
    </cfRule>
    <cfRule type="containsText" dxfId="280" priority="284" operator="containsText" text="En cours">
      <formula>NOT(ISERROR(SEARCH("En cours",E3)))</formula>
    </cfRule>
    <cfRule type="containsText" dxfId="279" priority="285" operator="containsText" text="A démarrer">
      <formula>NOT(ISERROR(SEARCH("A démarrer",E3)))</formula>
    </cfRule>
  </conditionalFormatting>
  <conditionalFormatting sqref="E9:E50 E52:E306">
    <cfRule type="containsText" dxfId="278" priority="278" operator="containsText" text="en cours">
      <formula>NOT(ISERROR(SEARCH("en cours",E9)))</formula>
    </cfRule>
    <cfRule type="containsText" dxfId="277" priority="279" operator="containsText" text="Terminé">
      <formula>NOT(ISERROR(SEARCH("Terminé",E9)))</formula>
    </cfRule>
    <cfRule type="containsText" dxfId="276" priority="280" operator="containsText" text="En cours">
      <formula>NOT(ISERROR(SEARCH("En cours",E9)))</formula>
    </cfRule>
    <cfRule type="containsText" dxfId="275" priority="281" operator="containsText" text="A démarrer">
      <formula>NOT(ISERROR(SEARCH("A démarrer",E9)))</formula>
    </cfRule>
  </conditionalFormatting>
  <conditionalFormatting sqref="E51">
    <cfRule type="containsText" dxfId="274" priority="272" operator="containsText" text="Contrôler avec la publication 2022">
      <formula>NOT(ISERROR(SEARCH("Contrôler avec la publication 2022",E51)))</formula>
    </cfRule>
    <cfRule type="containsText" dxfId="273" priority="273" operator="containsText" text="en cours">
      <formula>NOT(ISERROR(SEARCH("en cours",E51)))</formula>
    </cfRule>
    <cfRule type="containsText" dxfId="272" priority="274" operator="containsText" text="Terminé">
      <formula>NOT(ISERROR(SEARCH("Terminé",E51)))</formula>
    </cfRule>
    <cfRule type="containsText" dxfId="271" priority="275" operator="containsText" text="En cours">
      <formula>NOT(ISERROR(SEARCH("En cours",E51)))</formula>
    </cfRule>
    <cfRule type="containsText" dxfId="270" priority="276" operator="containsText" text="A démarrer">
      <formula>NOT(ISERROR(SEARCH("A démarrer",E51)))</formula>
    </cfRule>
  </conditionalFormatting>
  <conditionalFormatting sqref="E52:E53">
    <cfRule type="containsText" dxfId="269" priority="266" operator="containsText" text="Contrôler avec la publication 2022">
      <formula>NOT(ISERROR(SEARCH("Contrôler avec la publication 2022",E52)))</formula>
    </cfRule>
    <cfRule type="containsText" dxfId="268" priority="267" operator="containsText" text="en cours">
      <formula>NOT(ISERROR(SEARCH("en cours",E52)))</formula>
    </cfRule>
    <cfRule type="containsText" dxfId="267" priority="268" operator="containsText" text="Terminé">
      <formula>NOT(ISERROR(SEARCH("Terminé",E52)))</formula>
    </cfRule>
    <cfRule type="containsText" dxfId="266" priority="269" operator="containsText" text="En cours">
      <formula>NOT(ISERROR(SEARCH("En cours",E52)))</formula>
    </cfRule>
    <cfRule type="containsText" dxfId="265" priority="270" operator="containsText" text="A démarrer">
      <formula>NOT(ISERROR(SEARCH("A démarrer",E52)))</formula>
    </cfRule>
  </conditionalFormatting>
  <conditionalFormatting sqref="E52:E53">
    <cfRule type="containsText" dxfId="264" priority="261" operator="containsText" text="Contrôler avec la publication 2022">
      <formula>NOT(ISERROR(SEARCH("Contrôler avec la publication 2022",E52)))</formula>
    </cfRule>
    <cfRule type="containsText" dxfId="263" priority="262" operator="containsText" text="en cours">
      <formula>NOT(ISERROR(SEARCH("en cours",E52)))</formula>
    </cfRule>
    <cfRule type="containsText" dxfId="262" priority="263" operator="containsText" text="Terminé">
      <formula>NOT(ISERROR(SEARCH("Terminé",E52)))</formula>
    </cfRule>
    <cfRule type="containsText" dxfId="261" priority="264" operator="containsText" text="En cours">
      <formula>NOT(ISERROR(SEARCH("En cours",E52)))</formula>
    </cfRule>
    <cfRule type="containsText" dxfId="260" priority="265" operator="containsText" text="A démarrer">
      <formula>NOT(ISERROR(SEARCH("A démarrer",E52)))</formula>
    </cfRule>
  </conditionalFormatting>
  <conditionalFormatting sqref="E52">
    <cfRule type="containsText" dxfId="259" priority="256" operator="containsText" text="Contrôler avec la publication 2022">
      <formula>NOT(ISERROR(SEARCH("Contrôler avec la publication 2022",E52)))</formula>
    </cfRule>
    <cfRule type="containsText" dxfId="258" priority="257" operator="containsText" text="en cours">
      <formula>NOT(ISERROR(SEARCH("en cours",E52)))</formula>
    </cfRule>
    <cfRule type="containsText" dxfId="257" priority="258" operator="containsText" text="Terminé">
      <formula>NOT(ISERROR(SEARCH("Terminé",E52)))</formula>
    </cfRule>
    <cfRule type="containsText" dxfId="256" priority="259" operator="containsText" text="En cours">
      <formula>NOT(ISERROR(SEARCH("En cours",E52)))</formula>
    </cfRule>
    <cfRule type="containsText" dxfId="255" priority="260" operator="containsText" text="A démarrer">
      <formula>NOT(ISERROR(SEARCH("A démarrer",E52)))</formula>
    </cfRule>
  </conditionalFormatting>
  <conditionalFormatting sqref="E2">
    <cfRule type="containsText" dxfId="254" priority="255" operator="containsText" text="Contrôler avec la publication 2022">
      <formula>NOT(ISERROR(SEARCH("Contrôler avec la publication 2022",E2)))</formula>
    </cfRule>
  </conditionalFormatting>
  <conditionalFormatting sqref="E3:E61">
    <cfRule type="containsText" dxfId="253" priority="254" operator="containsText" text="Contrôler avec la publication 2022">
      <formula>NOT(ISERROR(SEARCH("Contrôler avec la publication 2022",E3)))</formula>
    </cfRule>
  </conditionalFormatting>
  <conditionalFormatting sqref="E62">
    <cfRule type="containsText" dxfId="252" priority="253" operator="containsText" text="Contrôler avec la publication 2022">
      <formula>NOT(ISERROR(SEARCH("Contrôler avec la publication 2022",E62)))</formula>
    </cfRule>
  </conditionalFormatting>
  <conditionalFormatting sqref="E63">
    <cfRule type="containsText" dxfId="251" priority="252" operator="containsText" text="Contrôler avec la publication 2022">
      <formula>NOT(ISERROR(SEARCH("Contrôler avec la publication 2022",E63)))</formula>
    </cfRule>
  </conditionalFormatting>
  <conditionalFormatting sqref="E64">
    <cfRule type="containsText" dxfId="250" priority="251" operator="containsText" text="Contrôler avec la publication 2022">
      <formula>NOT(ISERROR(SEARCH("Contrôler avec la publication 2022",E64)))</formula>
    </cfRule>
  </conditionalFormatting>
  <conditionalFormatting sqref="E65">
    <cfRule type="containsText" dxfId="249" priority="250" operator="containsText" text="Contrôler avec la publication 2022">
      <formula>NOT(ISERROR(SEARCH("Contrôler avec la publication 2022",E65)))</formula>
    </cfRule>
  </conditionalFormatting>
  <conditionalFormatting sqref="E68">
    <cfRule type="containsText" dxfId="248" priority="249" operator="containsText" text="Contrôler avec la publication 2022">
      <formula>NOT(ISERROR(SEARCH("Contrôler avec la publication 2022",E68)))</formula>
    </cfRule>
  </conditionalFormatting>
  <conditionalFormatting sqref="E69">
    <cfRule type="containsText" dxfId="247" priority="248" operator="containsText" text="Contrôler avec la publication 2022">
      <formula>NOT(ISERROR(SEARCH("Contrôler avec la publication 2022",E69)))</formula>
    </cfRule>
  </conditionalFormatting>
  <conditionalFormatting sqref="E79">
    <cfRule type="containsText" dxfId="246" priority="247" operator="containsText" text="Contrôler avec la publication 2022">
      <formula>NOT(ISERROR(SEARCH("Contrôler avec la publication 2022",E79)))</formula>
    </cfRule>
  </conditionalFormatting>
  <conditionalFormatting sqref="E81">
    <cfRule type="containsText" dxfId="245" priority="246" operator="containsText" text="Contrôler avec la publication 2022">
      <formula>NOT(ISERROR(SEARCH("Contrôler avec la publication 2022",E81)))</formula>
    </cfRule>
  </conditionalFormatting>
  <conditionalFormatting sqref="E82:E87">
    <cfRule type="containsText" dxfId="244" priority="245" operator="containsText" text="Contrôler avec la publication 2022">
      <formula>NOT(ISERROR(SEARCH("Contrôler avec la publication 2022",E82)))</formula>
    </cfRule>
  </conditionalFormatting>
  <conditionalFormatting sqref="E91">
    <cfRule type="containsText" dxfId="243" priority="244" operator="containsText" text="Contrôler avec la publication 2022">
      <formula>NOT(ISERROR(SEARCH("Contrôler avec la publication 2022",E91)))</formula>
    </cfRule>
  </conditionalFormatting>
  <conditionalFormatting sqref="E92">
    <cfRule type="containsText" dxfId="242" priority="243" operator="containsText" text="Contrôler avec la publication 2022">
      <formula>NOT(ISERROR(SEARCH("Contrôler avec la publication 2022",E92)))</formula>
    </cfRule>
  </conditionalFormatting>
  <conditionalFormatting sqref="E93">
    <cfRule type="containsText" dxfId="241" priority="242" operator="containsText" text="Contrôler avec la publication 2022">
      <formula>NOT(ISERROR(SEARCH("Contrôler avec la publication 2022",E93)))</formula>
    </cfRule>
  </conditionalFormatting>
  <conditionalFormatting sqref="E94">
    <cfRule type="containsText" dxfId="240" priority="241" operator="containsText" text="Contrôler avec la publication 2022">
      <formula>NOT(ISERROR(SEARCH("Contrôler avec la publication 2022",E94)))</formula>
    </cfRule>
  </conditionalFormatting>
  <conditionalFormatting sqref="E178">
    <cfRule type="containsText" dxfId="239" priority="236" operator="containsText" text="Contrôler avec la publication 2022">
      <formula>NOT(ISERROR(SEARCH("Contrôler avec la publication 2022",E178)))</formula>
    </cfRule>
    <cfRule type="containsText" dxfId="238" priority="237" operator="containsText" text="en cours">
      <formula>NOT(ISERROR(SEARCH("en cours",E178)))</formula>
    </cfRule>
    <cfRule type="containsText" dxfId="237" priority="238" operator="containsText" text="Terminé">
      <formula>NOT(ISERROR(SEARCH("Terminé",E178)))</formula>
    </cfRule>
    <cfRule type="containsText" dxfId="236" priority="239" operator="containsText" text="En cours">
      <formula>NOT(ISERROR(SEARCH("En cours",E178)))</formula>
    </cfRule>
    <cfRule type="containsText" dxfId="235" priority="240" operator="containsText" text="A démarrer">
      <formula>NOT(ISERROR(SEARCH("A démarrer",E178)))</formula>
    </cfRule>
  </conditionalFormatting>
  <conditionalFormatting sqref="E178">
    <cfRule type="containsText" dxfId="234" priority="235" operator="containsText" text="Contrôler avec la publication 2022">
      <formula>NOT(ISERROR(SEARCH("Contrôler avec la publication 2022",E178)))</formula>
    </cfRule>
  </conditionalFormatting>
  <conditionalFormatting sqref="E179">
    <cfRule type="containsText" dxfId="233" priority="230" operator="containsText" text="Contrôler avec la publication 2022">
      <formula>NOT(ISERROR(SEARCH("Contrôler avec la publication 2022",E179)))</formula>
    </cfRule>
    <cfRule type="containsText" dxfId="232" priority="231" operator="containsText" text="en cours">
      <formula>NOT(ISERROR(SEARCH("en cours",E179)))</formula>
    </cfRule>
    <cfRule type="containsText" dxfId="231" priority="232" operator="containsText" text="Terminé">
      <formula>NOT(ISERROR(SEARCH("Terminé",E179)))</formula>
    </cfRule>
    <cfRule type="containsText" dxfId="230" priority="233" operator="containsText" text="En cours">
      <formula>NOT(ISERROR(SEARCH("En cours",E179)))</formula>
    </cfRule>
    <cfRule type="containsText" dxfId="229" priority="234" operator="containsText" text="A démarrer">
      <formula>NOT(ISERROR(SEARCH("A démarrer",E179)))</formula>
    </cfRule>
  </conditionalFormatting>
  <conditionalFormatting sqref="E179">
    <cfRule type="containsText" dxfId="228" priority="229" operator="containsText" text="Contrôler avec la publication 2022">
      <formula>NOT(ISERROR(SEARCH("Contrôler avec la publication 2022",E179)))</formula>
    </cfRule>
  </conditionalFormatting>
  <conditionalFormatting sqref="E180:E182">
    <cfRule type="containsText" dxfId="227" priority="224" operator="containsText" text="Contrôler avec la publication 2022">
      <formula>NOT(ISERROR(SEARCH("Contrôler avec la publication 2022",E180)))</formula>
    </cfRule>
    <cfRule type="containsText" dxfId="226" priority="225" operator="containsText" text="en cours">
      <formula>NOT(ISERROR(SEARCH("en cours",E180)))</formula>
    </cfRule>
    <cfRule type="containsText" dxfId="225" priority="226" operator="containsText" text="Terminé">
      <formula>NOT(ISERROR(SEARCH("Terminé",E180)))</formula>
    </cfRule>
    <cfRule type="containsText" dxfId="224" priority="227" operator="containsText" text="En cours">
      <formula>NOT(ISERROR(SEARCH("En cours",E180)))</formula>
    </cfRule>
    <cfRule type="containsText" dxfId="223" priority="228" operator="containsText" text="A démarrer">
      <formula>NOT(ISERROR(SEARCH("A démarrer",E180)))</formula>
    </cfRule>
  </conditionalFormatting>
  <conditionalFormatting sqref="E180:E182">
    <cfRule type="containsText" dxfId="222" priority="223" operator="containsText" text="Contrôler avec la publication 2022">
      <formula>NOT(ISERROR(SEARCH("Contrôler avec la publication 2022",E180)))</formula>
    </cfRule>
  </conditionalFormatting>
  <conditionalFormatting sqref="E198:E199">
    <cfRule type="containsText" dxfId="221" priority="218" operator="containsText" text="Contrôler avec la publication 2022">
      <formula>NOT(ISERROR(SEARCH("Contrôler avec la publication 2022",E198)))</formula>
    </cfRule>
    <cfRule type="containsText" dxfId="220" priority="219" operator="containsText" text="en cours">
      <formula>NOT(ISERROR(SEARCH("en cours",E198)))</formula>
    </cfRule>
    <cfRule type="containsText" dxfId="219" priority="220" operator="containsText" text="Terminé">
      <formula>NOT(ISERROR(SEARCH("Terminé",E198)))</formula>
    </cfRule>
    <cfRule type="containsText" dxfId="218" priority="221" operator="containsText" text="En cours">
      <formula>NOT(ISERROR(SEARCH("En cours",E198)))</formula>
    </cfRule>
    <cfRule type="containsText" dxfId="217" priority="222" operator="containsText" text="A démarrer">
      <formula>NOT(ISERROR(SEARCH("A démarrer",E198)))</formula>
    </cfRule>
  </conditionalFormatting>
  <conditionalFormatting sqref="E198:E199">
    <cfRule type="containsText" dxfId="216" priority="217" operator="containsText" text="Contrôler avec la publication 2022">
      <formula>NOT(ISERROR(SEARCH("Contrôler avec la publication 2022",E198)))</formula>
    </cfRule>
  </conditionalFormatting>
  <conditionalFormatting sqref="E201:E206">
    <cfRule type="containsText" dxfId="215" priority="212" operator="containsText" text="Contrôler avec la publication 2022">
      <formula>NOT(ISERROR(SEARCH("Contrôler avec la publication 2022",E201)))</formula>
    </cfRule>
    <cfRule type="containsText" dxfId="214" priority="213" operator="containsText" text="en cours">
      <formula>NOT(ISERROR(SEARCH("en cours",E201)))</formula>
    </cfRule>
    <cfRule type="containsText" dxfId="213" priority="214" operator="containsText" text="Terminé">
      <formula>NOT(ISERROR(SEARCH("Terminé",E201)))</formula>
    </cfRule>
    <cfRule type="containsText" dxfId="212" priority="215" operator="containsText" text="En cours">
      <formula>NOT(ISERROR(SEARCH("En cours",E201)))</formula>
    </cfRule>
    <cfRule type="containsText" dxfId="211" priority="216" operator="containsText" text="A démarrer">
      <formula>NOT(ISERROR(SEARCH("A démarrer",E201)))</formula>
    </cfRule>
  </conditionalFormatting>
  <conditionalFormatting sqref="E201:E206">
    <cfRule type="containsText" dxfId="210" priority="211" operator="containsText" text="Contrôler avec la publication 2022">
      <formula>NOT(ISERROR(SEARCH("Contrôler avec la publication 2022",E201)))</formula>
    </cfRule>
  </conditionalFormatting>
  <conditionalFormatting sqref="A324">
    <cfRule type="containsText" dxfId="209" priority="180" operator="containsText" text="En cours">
      <formula>NOT(ISERROR(SEARCH("En cours",A324)))</formula>
    </cfRule>
    <cfRule type="containsText" dxfId="208" priority="185" operator="containsText" text=" En cours">
      <formula>NOT(ISERROR(SEARCH(" En cours",A324)))</formula>
    </cfRule>
    <cfRule type="containsText" dxfId="207" priority="186" operator="containsText" text="Contrôler avec la publication 2022">
      <formula>NOT(ISERROR(SEARCH("Contrôler avec la publication 2022",A324)))</formula>
    </cfRule>
    <cfRule type="containsText" dxfId="206" priority="187" operator="containsText" text="A démarrer ">
      <formula>NOT(ISERROR(SEARCH("A démarrer ",A324)))</formula>
    </cfRule>
    <cfRule type="containsText" dxfId="205" priority="188" operator="containsText" text="Terminé">
      <formula>NOT(ISERROR(SEARCH("Terminé",A324)))</formula>
    </cfRule>
  </conditionalFormatting>
  <conditionalFormatting sqref="A324">
    <cfRule type="containsText" dxfId="204" priority="181" operator="containsText" text=" En cours">
      <formula>NOT(ISERROR(SEARCH(" En cours",A324)))</formula>
    </cfRule>
    <cfRule type="containsText" dxfId="203" priority="182" operator="containsText" text="Contrôler avec la publication 2022">
      <formula>NOT(ISERROR(SEARCH("Contrôler avec la publication 2022",A324)))</formula>
    </cfRule>
    <cfRule type="containsText" dxfId="202" priority="183" operator="containsText" text="A démarrer ">
      <formula>NOT(ISERROR(SEARCH("A démarrer ",A324)))</formula>
    </cfRule>
    <cfRule type="containsText" dxfId="201" priority="184" operator="containsText" text="Terminé">
      <formula>NOT(ISERROR(SEARCH("Terminé",A324)))</formula>
    </cfRule>
  </conditionalFormatting>
  <conditionalFormatting sqref="A332">
    <cfRule type="containsText" dxfId="200" priority="171" operator="containsText" text="En cours">
      <formula>NOT(ISERROR(SEARCH("En cours",A332)))</formula>
    </cfRule>
    <cfRule type="containsText" dxfId="199" priority="176" operator="containsText" text=" En cours">
      <formula>NOT(ISERROR(SEARCH(" En cours",A332)))</formula>
    </cfRule>
    <cfRule type="containsText" dxfId="198" priority="177" operator="containsText" text="Contrôler avec la publication 2022">
      <formula>NOT(ISERROR(SEARCH("Contrôler avec la publication 2022",A332)))</formula>
    </cfRule>
    <cfRule type="containsText" dxfId="197" priority="178" operator="containsText" text="A démarrer ">
      <formula>NOT(ISERROR(SEARCH("A démarrer ",A332)))</formula>
    </cfRule>
    <cfRule type="containsText" dxfId="196" priority="179" operator="containsText" text="Terminé">
      <formula>NOT(ISERROR(SEARCH("Terminé",A332)))</formula>
    </cfRule>
  </conditionalFormatting>
  <conditionalFormatting sqref="A332">
    <cfRule type="containsText" dxfId="195" priority="172" operator="containsText" text=" En cours">
      <formula>NOT(ISERROR(SEARCH(" En cours",A332)))</formula>
    </cfRule>
    <cfRule type="containsText" dxfId="194" priority="173" operator="containsText" text="Contrôler avec la publication 2022">
      <formula>NOT(ISERROR(SEARCH("Contrôler avec la publication 2022",A332)))</formula>
    </cfRule>
    <cfRule type="containsText" dxfId="193" priority="174" operator="containsText" text="A démarrer ">
      <formula>NOT(ISERROR(SEARCH("A démarrer ",A332)))</formula>
    </cfRule>
    <cfRule type="containsText" dxfId="192" priority="175" operator="containsText" text="Terminé">
      <formula>NOT(ISERROR(SEARCH("Terminé",A332)))</formula>
    </cfRule>
  </conditionalFormatting>
  <conditionalFormatting sqref="A332">
    <cfRule type="containsText" dxfId="191" priority="190" operator="containsText" text="Contrôler avec la publication 2022">
      <formula>NOT(ISERROR(SEARCH("Contrôler avec la publication 2022",A331)))</formula>
    </cfRule>
    <cfRule type="containsText" dxfId="190" priority="191" operator="containsText" text="Contrôler avec la publication 2022">
      <formula>NOT(ISERROR(SEARCH("Contrôler avec la publication 2022",A331)))</formula>
    </cfRule>
    <cfRule type="containsText" dxfId="189" priority="196" operator="containsText" text="en cours">
      <formula>NOT(ISERROR(SEARCH("en cours",A331)))</formula>
    </cfRule>
    <cfRule type="containsText" dxfId="188" priority="197" operator="containsText" text="Terminé">
      <formula>NOT(ISERROR(SEARCH("Terminé",A331)))</formula>
    </cfRule>
    <cfRule type="containsText" dxfId="187" priority="198" operator="containsText" text="En cours">
      <formula>NOT(ISERROR(SEARCH("En cours",A331)))</formula>
    </cfRule>
    <cfRule type="containsText" dxfId="186" priority="199" operator="containsText" text="A démarrer">
      <formula>NOT(ISERROR(SEARCH("A démarrer",A331)))</formula>
    </cfRule>
  </conditionalFormatting>
  <conditionalFormatting sqref="A332">
    <cfRule type="containsText" dxfId="185" priority="192" operator="containsText" text="en cours">
      <formula>NOT(ISERROR(SEARCH("en cours",A331)))</formula>
    </cfRule>
    <cfRule type="containsText" dxfId="184" priority="193" operator="containsText" text="Terminé">
      <formula>NOT(ISERROR(SEARCH("Terminé",A331)))</formula>
    </cfRule>
    <cfRule type="containsText" dxfId="183" priority="194" operator="containsText" text="En cours">
      <formula>NOT(ISERROR(SEARCH("En cours",A331)))</formula>
    </cfRule>
    <cfRule type="containsText" dxfId="182" priority="195" operator="containsText" text="A démarrer">
      <formula>NOT(ISERROR(SEARCH("A démarrer",A331)))</formula>
    </cfRule>
  </conditionalFormatting>
  <conditionalFormatting sqref="A332">
    <cfRule type="containsText" dxfId="181" priority="189" operator="containsText" text="Contrôler avec la publication 2022">
      <formula>NOT(ISERROR(SEARCH("Contrôler avec la publication 2022",A331)))</formula>
    </cfRule>
  </conditionalFormatting>
  <conditionalFormatting sqref="A324">
    <cfRule type="containsText" dxfId="180" priority="200" operator="containsText" text="Contrôler avec la publication 2022">
      <formula>NOT(ISERROR(SEARCH("Contrôler avec la publication 2022",A324)))</formula>
    </cfRule>
    <cfRule type="containsText" dxfId="179" priority="201" operator="containsText" text="Contrôler avec la publication 2022">
      <formula>NOT(ISERROR(SEARCH("Contrôler avec la publication 2022",A324)))</formula>
    </cfRule>
    <cfRule type="containsText" dxfId="178" priority="202" operator="containsText" text="en cours">
      <formula>NOT(ISERROR(SEARCH("en cours",A324)))</formula>
    </cfRule>
    <cfRule type="containsText" dxfId="177" priority="203" operator="containsText" text="Terminé">
      <formula>NOT(ISERROR(SEARCH("Terminé",A324)))</formula>
    </cfRule>
    <cfRule type="containsText" dxfId="176" priority="204" operator="containsText" text="En cours">
      <formula>NOT(ISERROR(SEARCH("En cours",A324)))</formula>
    </cfRule>
    <cfRule type="containsText" dxfId="175" priority="205" operator="containsText" text="A démarrer">
      <formula>NOT(ISERROR(SEARCH("A démarrer",A324)))</formula>
    </cfRule>
  </conditionalFormatting>
  <conditionalFormatting sqref="A324">
    <cfRule type="containsText" dxfId="174" priority="206" operator="containsText" text="en cours">
      <formula>NOT(ISERROR(SEARCH("en cours",A324)))</formula>
    </cfRule>
    <cfRule type="containsText" dxfId="173" priority="207" operator="containsText" text="Terminé">
      <formula>NOT(ISERROR(SEARCH("Terminé",A324)))</formula>
    </cfRule>
    <cfRule type="containsText" dxfId="172" priority="208" operator="containsText" text="En cours">
      <formula>NOT(ISERROR(SEARCH("En cours",A324)))</formula>
    </cfRule>
    <cfRule type="containsText" dxfId="171" priority="209" operator="containsText" text="A démarrer">
      <formula>NOT(ISERROR(SEARCH("A démarrer",A324)))</formula>
    </cfRule>
  </conditionalFormatting>
  <conditionalFormatting sqref="A324">
    <cfRule type="containsText" dxfId="170" priority="210" operator="containsText" text="Contrôler avec la publication 2022">
      <formula>NOT(ISERROR(SEARCH("Contrôler avec la publication 2022",A324)))</formula>
    </cfRule>
  </conditionalFormatting>
  <conditionalFormatting sqref="F2:F306">
    <cfRule type="containsText" dxfId="169" priority="152" operator="containsText" text="Contrôler avec la publication 2022">
      <formula>NOT(ISERROR(SEARCH("Contrôler avec la publication 2022",F2)))</formula>
    </cfRule>
    <cfRule type="containsText" dxfId="168" priority="158" operator="containsText" text="Contrôler avec la publication 2022">
      <formula>NOT(ISERROR(SEARCH("Contrôler avec la publication 2022",F2)))</formula>
    </cfRule>
    <cfRule type="containsText" dxfId="167" priority="167" operator="containsText" text="en cours">
      <formula>NOT(ISERROR(SEARCH("en cours",F2)))</formula>
    </cfRule>
    <cfRule type="containsText" dxfId="166" priority="168" operator="containsText" text="Terminé">
      <formula>NOT(ISERROR(SEARCH("Terminé",F2)))</formula>
    </cfRule>
    <cfRule type="containsText" dxfId="165" priority="169" operator="containsText" text="En cours">
      <formula>NOT(ISERROR(SEARCH("En cours",F2)))</formula>
    </cfRule>
    <cfRule type="containsText" dxfId="164" priority="170" operator="containsText" text="A démarrer">
      <formula>NOT(ISERROR(SEARCH("A démarrer",F2)))</formula>
    </cfRule>
  </conditionalFormatting>
  <conditionalFormatting sqref="F3:F8">
    <cfRule type="containsText" dxfId="163" priority="163" operator="containsText" text="en cours">
      <formula>NOT(ISERROR(SEARCH("en cours",F3)))</formula>
    </cfRule>
    <cfRule type="containsText" dxfId="162" priority="164" operator="containsText" text="Terminé">
      <formula>NOT(ISERROR(SEARCH("Terminé",F3)))</formula>
    </cfRule>
    <cfRule type="containsText" dxfId="161" priority="165" operator="containsText" text="En cours">
      <formula>NOT(ISERROR(SEARCH("En cours",F3)))</formula>
    </cfRule>
    <cfRule type="containsText" dxfId="160" priority="166" operator="containsText" text="A démarrer">
      <formula>NOT(ISERROR(SEARCH("A démarrer",F3)))</formula>
    </cfRule>
  </conditionalFormatting>
  <conditionalFormatting sqref="F9:F50 F52:F306">
    <cfRule type="containsText" dxfId="159" priority="159" operator="containsText" text="en cours">
      <formula>NOT(ISERROR(SEARCH("en cours",F9)))</formula>
    </cfRule>
    <cfRule type="containsText" dxfId="158" priority="160" operator="containsText" text="Terminé">
      <formula>NOT(ISERROR(SEARCH("Terminé",F9)))</formula>
    </cfRule>
    <cfRule type="containsText" dxfId="157" priority="161" operator="containsText" text="En cours">
      <formula>NOT(ISERROR(SEARCH("En cours",F9)))</formula>
    </cfRule>
    <cfRule type="containsText" dxfId="156" priority="162" operator="containsText" text="A démarrer">
      <formula>NOT(ISERROR(SEARCH("A démarrer",F9)))</formula>
    </cfRule>
  </conditionalFormatting>
  <conditionalFormatting sqref="F51">
    <cfRule type="containsText" dxfId="155" priority="153" operator="containsText" text="Contrôler avec la publication 2022">
      <formula>NOT(ISERROR(SEARCH("Contrôler avec la publication 2022",F51)))</formula>
    </cfRule>
    <cfRule type="containsText" dxfId="154" priority="154" operator="containsText" text="en cours">
      <formula>NOT(ISERROR(SEARCH("en cours",F51)))</formula>
    </cfRule>
    <cfRule type="containsText" dxfId="153" priority="155" operator="containsText" text="Terminé">
      <formula>NOT(ISERROR(SEARCH("Terminé",F51)))</formula>
    </cfRule>
    <cfRule type="containsText" dxfId="152" priority="156" operator="containsText" text="En cours">
      <formula>NOT(ISERROR(SEARCH("En cours",F51)))</formula>
    </cfRule>
    <cfRule type="containsText" dxfId="151" priority="157" operator="containsText" text="A démarrer">
      <formula>NOT(ISERROR(SEARCH("A démarrer",F51)))</formula>
    </cfRule>
  </conditionalFormatting>
  <conditionalFormatting sqref="F52:F53">
    <cfRule type="containsText" dxfId="150" priority="147" operator="containsText" text="Contrôler avec la publication 2022">
      <formula>NOT(ISERROR(SEARCH("Contrôler avec la publication 2022",F52)))</formula>
    </cfRule>
    <cfRule type="containsText" dxfId="149" priority="148" operator="containsText" text="en cours">
      <formula>NOT(ISERROR(SEARCH("en cours",F52)))</formula>
    </cfRule>
    <cfRule type="containsText" dxfId="148" priority="149" operator="containsText" text="Terminé">
      <formula>NOT(ISERROR(SEARCH("Terminé",F52)))</formula>
    </cfRule>
    <cfRule type="containsText" dxfId="147" priority="150" operator="containsText" text="En cours">
      <formula>NOT(ISERROR(SEARCH("En cours",F52)))</formula>
    </cfRule>
    <cfRule type="containsText" dxfId="146" priority="151" operator="containsText" text="A démarrer">
      <formula>NOT(ISERROR(SEARCH("A démarrer",F52)))</formula>
    </cfRule>
  </conditionalFormatting>
  <conditionalFormatting sqref="F52:F53">
    <cfRule type="containsText" dxfId="145" priority="142" operator="containsText" text="Contrôler avec la publication 2022">
      <formula>NOT(ISERROR(SEARCH("Contrôler avec la publication 2022",F52)))</formula>
    </cfRule>
    <cfRule type="containsText" dxfId="144" priority="143" operator="containsText" text="en cours">
      <formula>NOT(ISERROR(SEARCH("en cours",F52)))</formula>
    </cfRule>
    <cfRule type="containsText" dxfId="143" priority="144" operator="containsText" text="Terminé">
      <formula>NOT(ISERROR(SEARCH("Terminé",F52)))</formula>
    </cfRule>
    <cfRule type="containsText" dxfId="142" priority="145" operator="containsText" text="En cours">
      <formula>NOT(ISERROR(SEARCH("En cours",F52)))</formula>
    </cfRule>
    <cfRule type="containsText" dxfId="141" priority="146" operator="containsText" text="A démarrer">
      <formula>NOT(ISERROR(SEARCH("A démarrer",F52)))</formula>
    </cfRule>
  </conditionalFormatting>
  <conditionalFormatting sqref="F52">
    <cfRule type="containsText" dxfId="140" priority="137" operator="containsText" text="Contrôler avec la publication 2022">
      <formula>NOT(ISERROR(SEARCH("Contrôler avec la publication 2022",F52)))</formula>
    </cfRule>
    <cfRule type="containsText" dxfId="139" priority="138" operator="containsText" text="en cours">
      <formula>NOT(ISERROR(SEARCH("en cours",F52)))</formula>
    </cfRule>
    <cfRule type="containsText" dxfId="138" priority="139" operator="containsText" text="Terminé">
      <formula>NOT(ISERROR(SEARCH("Terminé",F52)))</formula>
    </cfRule>
    <cfRule type="containsText" dxfId="137" priority="140" operator="containsText" text="En cours">
      <formula>NOT(ISERROR(SEARCH("En cours",F52)))</formula>
    </cfRule>
    <cfRule type="containsText" dxfId="136" priority="141" operator="containsText" text="A démarrer">
      <formula>NOT(ISERROR(SEARCH("A démarrer",F52)))</formula>
    </cfRule>
  </conditionalFormatting>
  <conditionalFormatting sqref="F2">
    <cfRule type="containsText" dxfId="135" priority="136" operator="containsText" text="Contrôler avec la publication 2022">
      <formula>NOT(ISERROR(SEARCH("Contrôler avec la publication 2022",F2)))</formula>
    </cfRule>
  </conditionalFormatting>
  <conditionalFormatting sqref="F3:F61">
    <cfRule type="containsText" dxfId="134" priority="135" operator="containsText" text="Contrôler avec la publication 2022">
      <formula>NOT(ISERROR(SEARCH("Contrôler avec la publication 2022",F3)))</formula>
    </cfRule>
  </conditionalFormatting>
  <conditionalFormatting sqref="F62">
    <cfRule type="containsText" dxfId="133" priority="134" operator="containsText" text="Contrôler avec la publication 2022">
      <formula>NOT(ISERROR(SEARCH("Contrôler avec la publication 2022",F62)))</formula>
    </cfRule>
  </conditionalFormatting>
  <conditionalFormatting sqref="F63">
    <cfRule type="containsText" dxfId="132" priority="133" operator="containsText" text="Contrôler avec la publication 2022">
      <formula>NOT(ISERROR(SEARCH("Contrôler avec la publication 2022",F63)))</formula>
    </cfRule>
  </conditionalFormatting>
  <conditionalFormatting sqref="F64">
    <cfRule type="containsText" dxfId="131" priority="132" operator="containsText" text="Contrôler avec la publication 2022">
      <formula>NOT(ISERROR(SEARCH("Contrôler avec la publication 2022",F64)))</formula>
    </cfRule>
  </conditionalFormatting>
  <conditionalFormatting sqref="F65">
    <cfRule type="containsText" dxfId="130" priority="131" operator="containsText" text="Contrôler avec la publication 2022">
      <formula>NOT(ISERROR(SEARCH("Contrôler avec la publication 2022",F65)))</formula>
    </cfRule>
  </conditionalFormatting>
  <conditionalFormatting sqref="F68">
    <cfRule type="containsText" dxfId="129" priority="130" operator="containsText" text="Contrôler avec la publication 2022">
      <formula>NOT(ISERROR(SEARCH("Contrôler avec la publication 2022",F68)))</formula>
    </cfRule>
  </conditionalFormatting>
  <conditionalFormatting sqref="F69">
    <cfRule type="containsText" dxfId="128" priority="129" operator="containsText" text="Contrôler avec la publication 2022">
      <formula>NOT(ISERROR(SEARCH("Contrôler avec la publication 2022",F69)))</formula>
    </cfRule>
  </conditionalFormatting>
  <conditionalFormatting sqref="F79">
    <cfRule type="containsText" dxfId="127" priority="128" operator="containsText" text="Contrôler avec la publication 2022">
      <formula>NOT(ISERROR(SEARCH("Contrôler avec la publication 2022",F79)))</formula>
    </cfRule>
  </conditionalFormatting>
  <conditionalFormatting sqref="F81">
    <cfRule type="containsText" dxfId="126" priority="127" operator="containsText" text="Contrôler avec la publication 2022">
      <formula>NOT(ISERROR(SEARCH("Contrôler avec la publication 2022",F81)))</formula>
    </cfRule>
  </conditionalFormatting>
  <conditionalFormatting sqref="F82:F87">
    <cfRule type="containsText" dxfId="125" priority="126" operator="containsText" text="Contrôler avec la publication 2022">
      <formula>NOT(ISERROR(SEARCH("Contrôler avec la publication 2022",F82)))</formula>
    </cfRule>
  </conditionalFormatting>
  <conditionalFormatting sqref="F91">
    <cfRule type="containsText" dxfId="124" priority="125" operator="containsText" text="Contrôler avec la publication 2022">
      <formula>NOT(ISERROR(SEARCH("Contrôler avec la publication 2022",F91)))</formula>
    </cfRule>
  </conditionalFormatting>
  <conditionalFormatting sqref="F92">
    <cfRule type="containsText" dxfId="123" priority="124" operator="containsText" text="Contrôler avec la publication 2022">
      <formula>NOT(ISERROR(SEARCH("Contrôler avec la publication 2022",F92)))</formula>
    </cfRule>
  </conditionalFormatting>
  <conditionalFormatting sqref="F93">
    <cfRule type="containsText" dxfId="122" priority="123" operator="containsText" text="Contrôler avec la publication 2022">
      <formula>NOT(ISERROR(SEARCH("Contrôler avec la publication 2022",F93)))</formula>
    </cfRule>
  </conditionalFormatting>
  <conditionalFormatting sqref="F94">
    <cfRule type="containsText" dxfId="121" priority="122" operator="containsText" text="Contrôler avec la publication 2022">
      <formula>NOT(ISERROR(SEARCH("Contrôler avec la publication 2022",F94)))</formula>
    </cfRule>
  </conditionalFormatting>
  <conditionalFormatting sqref="F178">
    <cfRule type="containsText" dxfId="120" priority="117" operator="containsText" text="Contrôler avec la publication 2022">
      <formula>NOT(ISERROR(SEARCH("Contrôler avec la publication 2022",F178)))</formula>
    </cfRule>
    <cfRule type="containsText" dxfId="119" priority="118" operator="containsText" text="en cours">
      <formula>NOT(ISERROR(SEARCH("en cours",F178)))</formula>
    </cfRule>
    <cfRule type="containsText" dxfId="118" priority="119" operator="containsText" text="Terminé">
      <formula>NOT(ISERROR(SEARCH("Terminé",F178)))</formula>
    </cfRule>
    <cfRule type="containsText" dxfId="117" priority="120" operator="containsText" text="En cours">
      <formula>NOT(ISERROR(SEARCH("En cours",F178)))</formula>
    </cfRule>
    <cfRule type="containsText" dxfId="116" priority="121" operator="containsText" text="A démarrer">
      <formula>NOT(ISERROR(SEARCH("A démarrer",F178)))</formula>
    </cfRule>
  </conditionalFormatting>
  <conditionalFormatting sqref="F178">
    <cfRule type="containsText" dxfId="115" priority="116" operator="containsText" text="Contrôler avec la publication 2022">
      <formula>NOT(ISERROR(SEARCH("Contrôler avec la publication 2022",F178)))</formula>
    </cfRule>
  </conditionalFormatting>
  <conditionalFormatting sqref="F179">
    <cfRule type="containsText" dxfId="114" priority="111" operator="containsText" text="Contrôler avec la publication 2022">
      <formula>NOT(ISERROR(SEARCH("Contrôler avec la publication 2022",F179)))</formula>
    </cfRule>
    <cfRule type="containsText" dxfId="113" priority="112" operator="containsText" text="en cours">
      <formula>NOT(ISERROR(SEARCH("en cours",F179)))</formula>
    </cfRule>
    <cfRule type="containsText" dxfId="112" priority="113" operator="containsText" text="Terminé">
      <formula>NOT(ISERROR(SEARCH("Terminé",F179)))</formula>
    </cfRule>
    <cfRule type="containsText" dxfId="111" priority="114" operator="containsText" text="En cours">
      <formula>NOT(ISERROR(SEARCH("En cours",F179)))</formula>
    </cfRule>
    <cfRule type="containsText" dxfId="110" priority="115" operator="containsText" text="A démarrer">
      <formula>NOT(ISERROR(SEARCH("A démarrer",F179)))</formula>
    </cfRule>
  </conditionalFormatting>
  <conditionalFormatting sqref="F179">
    <cfRule type="containsText" dxfId="109" priority="110" operator="containsText" text="Contrôler avec la publication 2022">
      <formula>NOT(ISERROR(SEARCH("Contrôler avec la publication 2022",F179)))</formula>
    </cfRule>
  </conditionalFormatting>
  <conditionalFormatting sqref="F180:F182">
    <cfRule type="containsText" dxfId="108" priority="105" operator="containsText" text="Contrôler avec la publication 2022">
      <formula>NOT(ISERROR(SEARCH("Contrôler avec la publication 2022",F180)))</formula>
    </cfRule>
    <cfRule type="containsText" dxfId="107" priority="106" operator="containsText" text="en cours">
      <formula>NOT(ISERROR(SEARCH("en cours",F180)))</formula>
    </cfRule>
    <cfRule type="containsText" dxfId="106" priority="107" operator="containsText" text="Terminé">
      <formula>NOT(ISERROR(SEARCH("Terminé",F180)))</formula>
    </cfRule>
    <cfRule type="containsText" dxfId="105" priority="108" operator="containsText" text="En cours">
      <formula>NOT(ISERROR(SEARCH("En cours",F180)))</formula>
    </cfRule>
    <cfRule type="containsText" dxfId="104" priority="109" operator="containsText" text="A démarrer">
      <formula>NOT(ISERROR(SEARCH("A démarrer",F180)))</formula>
    </cfRule>
  </conditionalFormatting>
  <conditionalFormatting sqref="F180:F182">
    <cfRule type="containsText" dxfId="103" priority="104" operator="containsText" text="Contrôler avec la publication 2022">
      <formula>NOT(ISERROR(SEARCH("Contrôler avec la publication 2022",F180)))</formula>
    </cfRule>
  </conditionalFormatting>
  <conditionalFormatting sqref="F198:F199">
    <cfRule type="containsText" dxfId="102" priority="99" operator="containsText" text="Contrôler avec la publication 2022">
      <formula>NOT(ISERROR(SEARCH("Contrôler avec la publication 2022",F198)))</formula>
    </cfRule>
    <cfRule type="containsText" dxfId="101" priority="100" operator="containsText" text="en cours">
      <formula>NOT(ISERROR(SEARCH("en cours",F198)))</formula>
    </cfRule>
    <cfRule type="containsText" dxfId="100" priority="101" operator="containsText" text="Terminé">
      <formula>NOT(ISERROR(SEARCH("Terminé",F198)))</formula>
    </cfRule>
    <cfRule type="containsText" dxfId="99" priority="102" operator="containsText" text="En cours">
      <formula>NOT(ISERROR(SEARCH("En cours",F198)))</formula>
    </cfRule>
    <cfRule type="containsText" dxfId="98" priority="103" operator="containsText" text="A démarrer">
      <formula>NOT(ISERROR(SEARCH("A démarrer",F198)))</formula>
    </cfRule>
  </conditionalFormatting>
  <conditionalFormatting sqref="F198:F199">
    <cfRule type="containsText" dxfId="97" priority="98" operator="containsText" text="Contrôler avec la publication 2022">
      <formula>NOT(ISERROR(SEARCH("Contrôler avec la publication 2022",F198)))</formula>
    </cfRule>
  </conditionalFormatting>
  <conditionalFormatting sqref="F201:F206">
    <cfRule type="containsText" dxfId="96" priority="93" operator="containsText" text="Contrôler avec la publication 2022">
      <formula>NOT(ISERROR(SEARCH("Contrôler avec la publication 2022",F201)))</formula>
    </cfRule>
    <cfRule type="containsText" dxfId="95" priority="94" operator="containsText" text="en cours">
      <formula>NOT(ISERROR(SEARCH("en cours",F201)))</formula>
    </cfRule>
    <cfRule type="containsText" dxfId="94" priority="95" operator="containsText" text="Terminé">
      <formula>NOT(ISERROR(SEARCH("Terminé",F201)))</formula>
    </cfRule>
    <cfRule type="containsText" dxfId="93" priority="96" operator="containsText" text="En cours">
      <formula>NOT(ISERROR(SEARCH("En cours",F201)))</formula>
    </cfRule>
    <cfRule type="containsText" dxfId="92" priority="97" operator="containsText" text="A démarrer">
      <formula>NOT(ISERROR(SEARCH("A démarrer",F201)))</formula>
    </cfRule>
  </conditionalFormatting>
  <conditionalFormatting sqref="F201:F206">
    <cfRule type="containsText" dxfId="91" priority="92" operator="containsText" text="Contrôler avec la publication 2022">
      <formula>NOT(ISERROR(SEARCH("Contrôler avec la publication 2022",F201)))</formula>
    </cfRule>
  </conditionalFormatting>
  <conditionalFormatting sqref="G2:G306">
    <cfRule type="containsText" dxfId="90" priority="67" operator="containsText" text="En cours">
      <formula>NOT(ISERROR(SEARCH("En cours",G2)))</formula>
    </cfRule>
    <cfRule type="containsText" dxfId="89" priority="72" operator="containsText" text=" En cours">
      <formula>NOT(ISERROR(SEARCH(" En cours",G2)))</formula>
    </cfRule>
    <cfRule type="containsText" dxfId="88" priority="73" operator="containsText" text="Contrôler avec la publication 2022">
      <formula>NOT(ISERROR(SEARCH("Contrôler avec la publication 2022",G2)))</formula>
    </cfRule>
    <cfRule type="containsText" dxfId="87" priority="74" operator="containsText" text="A démarrer ">
      <formula>NOT(ISERROR(SEARCH("A démarrer ",G2)))</formula>
    </cfRule>
    <cfRule type="containsText" dxfId="86" priority="75" operator="containsText" text="Terminé">
      <formula>NOT(ISERROR(SEARCH("Terminé",G2)))</formula>
    </cfRule>
  </conditionalFormatting>
  <conditionalFormatting sqref="G3:G306">
    <cfRule type="containsText" dxfId="85" priority="68" operator="containsText" text=" En cours">
      <formula>NOT(ISERROR(SEARCH(" En cours",G3)))</formula>
    </cfRule>
    <cfRule type="containsText" dxfId="84" priority="69" operator="containsText" text="Contrôler avec la publication 2022">
      <formula>NOT(ISERROR(SEARCH("Contrôler avec la publication 2022",G3)))</formula>
    </cfRule>
    <cfRule type="containsText" dxfId="83" priority="70" operator="containsText" text="A démarrer ">
      <formula>NOT(ISERROR(SEARCH("A démarrer ",G3)))</formula>
    </cfRule>
    <cfRule type="containsText" dxfId="82" priority="71" operator="containsText" text="Terminé">
      <formula>NOT(ISERROR(SEARCH("Terminé",G3)))</formula>
    </cfRule>
  </conditionalFormatting>
  <conditionalFormatting sqref="G51:G53 G201:G206 G178:G182 G6 G8 G198:G199">
    <cfRule type="containsText" dxfId="81" priority="76" operator="containsText" text="Contrôler avec la publication 2022">
      <formula>NOT(ISERROR(SEARCH("Contrôler avec la publication 2022",G6)))</formula>
    </cfRule>
    <cfRule type="containsText" dxfId="80" priority="77" operator="containsText" text="en cours">
      <formula>NOT(ISERROR(SEARCH("en cours",G6)))</formula>
    </cfRule>
    <cfRule type="containsText" dxfId="79" priority="78" operator="containsText" text="Terminé">
      <formula>NOT(ISERROR(SEARCH("Terminé",G6)))</formula>
    </cfRule>
    <cfRule type="containsText" dxfId="78" priority="79" operator="containsText" text="En cours">
      <formula>NOT(ISERROR(SEARCH("En cours",G6)))</formula>
    </cfRule>
    <cfRule type="containsText" dxfId="77" priority="80" operator="containsText" text="A démarrer">
      <formula>NOT(ISERROR(SEARCH("A démarrer",G6)))</formula>
    </cfRule>
  </conditionalFormatting>
  <conditionalFormatting sqref="G2:G306">
    <cfRule type="containsText" dxfId="76" priority="81" operator="containsText" text="Contrôler avec la publication 2022">
      <formula>NOT(ISERROR(SEARCH("Contrôler avec la publication 2022",G2)))</formula>
    </cfRule>
    <cfRule type="containsText" dxfId="75" priority="82" operator="containsText" text="Contrôler avec la publication 2022">
      <formula>NOT(ISERROR(SEARCH("Contrôler avec la publication 2022",G2)))</formula>
    </cfRule>
    <cfRule type="containsText" dxfId="74" priority="83" operator="containsText" text="en cours">
      <formula>NOT(ISERROR(SEARCH("en cours",G2)))</formula>
    </cfRule>
    <cfRule type="containsText" dxfId="73" priority="84" operator="containsText" text="Terminé">
      <formula>NOT(ISERROR(SEARCH("Terminé",G2)))</formula>
    </cfRule>
    <cfRule type="containsText" dxfId="72" priority="85" operator="containsText" text="En cours">
      <formula>NOT(ISERROR(SEARCH("En cours",G2)))</formula>
    </cfRule>
    <cfRule type="containsText" dxfId="71" priority="86" operator="containsText" text="A démarrer">
      <formula>NOT(ISERROR(SEARCH("A démarrer",G2)))</formula>
    </cfRule>
  </conditionalFormatting>
  <conditionalFormatting sqref="G3:G50 G52:G306">
    <cfRule type="containsText" dxfId="70" priority="87" operator="containsText" text="en cours">
      <formula>NOT(ISERROR(SEARCH("en cours",G3)))</formula>
    </cfRule>
    <cfRule type="containsText" dxfId="69" priority="88" operator="containsText" text="Terminé">
      <formula>NOT(ISERROR(SEARCH("Terminé",G3)))</formula>
    </cfRule>
    <cfRule type="containsText" dxfId="68" priority="89" operator="containsText" text="En cours">
      <formula>NOT(ISERROR(SEARCH("En cours",G3)))</formula>
    </cfRule>
    <cfRule type="containsText" dxfId="67" priority="90" operator="containsText" text="A démarrer">
      <formula>NOT(ISERROR(SEARCH("A démarrer",G3)))</formula>
    </cfRule>
  </conditionalFormatting>
  <conditionalFormatting sqref="G2:G306">
    <cfRule type="containsText" dxfId="66" priority="91" operator="containsText" text="Contrôler avec la publication 2022">
      <formula>NOT(ISERROR(SEARCH("Contrôler avec la publication 2022",G2)))</formula>
    </cfRule>
  </conditionalFormatting>
  <conditionalFormatting sqref="H2:H306">
    <cfRule type="containsText" dxfId="65" priority="42" operator="containsText" text="En cours">
      <formula>NOT(ISERROR(SEARCH("En cours",H2)))</formula>
    </cfRule>
    <cfRule type="containsText" dxfId="64" priority="47" operator="containsText" text=" En cours">
      <formula>NOT(ISERROR(SEARCH(" En cours",H2)))</formula>
    </cfRule>
    <cfRule type="containsText" dxfId="63" priority="48" operator="containsText" text="Contrôler avec la publication 2022">
      <formula>NOT(ISERROR(SEARCH("Contrôler avec la publication 2022",H2)))</formula>
    </cfRule>
    <cfRule type="containsText" dxfId="62" priority="49" operator="containsText" text="A démarrer ">
      <formula>NOT(ISERROR(SEARCH("A démarrer ",H2)))</formula>
    </cfRule>
    <cfRule type="containsText" dxfId="61" priority="50" operator="containsText" text="Terminé">
      <formula>NOT(ISERROR(SEARCH("Terminé",H2)))</formula>
    </cfRule>
  </conditionalFormatting>
  <conditionalFormatting sqref="H3:H306">
    <cfRule type="containsText" dxfId="60" priority="43" operator="containsText" text=" En cours">
      <formula>NOT(ISERROR(SEARCH(" En cours",H3)))</formula>
    </cfRule>
    <cfRule type="containsText" dxfId="59" priority="44" operator="containsText" text="Contrôler avec la publication 2022">
      <formula>NOT(ISERROR(SEARCH("Contrôler avec la publication 2022",H3)))</formula>
    </cfRule>
    <cfRule type="containsText" dxfId="58" priority="45" operator="containsText" text="A démarrer ">
      <formula>NOT(ISERROR(SEARCH("A démarrer ",H3)))</formula>
    </cfRule>
    <cfRule type="containsText" dxfId="57" priority="46" operator="containsText" text="Terminé">
      <formula>NOT(ISERROR(SEARCH("Terminé",H3)))</formula>
    </cfRule>
  </conditionalFormatting>
  <conditionalFormatting sqref="H51:H53 H201:H206 H178:H182 H6 H8 H198:H199">
    <cfRule type="containsText" dxfId="56" priority="51" operator="containsText" text="Contrôler avec la publication 2022">
      <formula>NOT(ISERROR(SEARCH("Contrôler avec la publication 2022",H6)))</formula>
    </cfRule>
    <cfRule type="containsText" dxfId="55" priority="52" operator="containsText" text="en cours">
      <formula>NOT(ISERROR(SEARCH("en cours",H6)))</formula>
    </cfRule>
    <cfRule type="containsText" dxfId="54" priority="53" operator="containsText" text="Terminé">
      <formula>NOT(ISERROR(SEARCH("Terminé",H6)))</formula>
    </cfRule>
    <cfRule type="containsText" dxfId="53" priority="54" operator="containsText" text="En cours">
      <formula>NOT(ISERROR(SEARCH("En cours",H6)))</formula>
    </cfRule>
    <cfRule type="containsText" dxfId="52" priority="55" operator="containsText" text="A démarrer">
      <formula>NOT(ISERROR(SEARCH("A démarrer",H6)))</formula>
    </cfRule>
  </conditionalFormatting>
  <conditionalFormatting sqref="H2:H306">
    <cfRule type="containsText" dxfId="51" priority="56" operator="containsText" text="Contrôler avec la publication 2022">
      <formula>NOT(ISERROR(SEARCH("Contrôler avec la publication 2022",H2)))</formula>
    </cfRule>
    <cfRule type="containsText" dxfId="50" priority="57" operator="containsText" text="Contrôler avec la publication 2022">
      <formula>NOT(ISERROR(SEARCH("Contrôler avec la publication 2022",H2)))</formula>
    </cfRule>
    <cfRule type="containsText" dxfId="49" priority="58" operator="containsText" text="en cours">
      <formula>NOT(ISERROR(SEARCH("en cours",H2)))</formula>
    </cfRule>
    <cfRule type="containsText" dxfId="48" priority="59" operator="containsText" text="Terminé">
      <formula>NOT(ISERROR(SEARCH("Terminé",H2)))</formula>
    </cfRule>
    <cfRule type="containsText" dxfId="47" priority="60" operator="containsText" text="En cours">
      <formula>NOT(ISERROR(SEARCH("En cours",H2)))</formula>
    </cfRule>
    <cfRule type="containsText" dxfId="46" priority="61" operator="containsText" text="A démarrer">
      <formula>NOT(ISERROR(SEARCH("A démarrer",H2)))</formula>
    </cfRule>
  </conditionalFormatting>
  <conditionalFormatting sqref="H52:H306 H3:H50">
    <cfRule type="containsText" dxfId="45" priority="62" operator="containsText" text="en cours">
      <formula>NOT(ISERROR(SEARCH("en cours",H3)))</formula>
    </cfRule>
    <cfRule type="containsText" dxfId="44" priority="63" operator="containsText" text="Terminé">
      <formula>NOT(ISERROR(SEARCH("Terminé",H3)))</formula>
    </cfRule>
    <cfRule type="containsText" dxfId="43" priority="64" operator="containsText" text="En cours">
      <formula>NOT(ISERROR(SEARCH("En cours",H3)))</formula>
    </cfRule>
    <cfRule type="containsText" dxfId="42" priority="65" operator="containsText" text="A démarrer">
      <formula>NOT(ISERROR(SEARCH("A démarrer",H3)))</formula>
    </cfRule>
  </conditionalFormatting>
  <conditionalFormatting sqref="H2:H306">
    <cfRule type="containsText" dxfId="41" priority="66" operator="containsText" text="Contrôler avec la publication 2022">
      <formula>NOT(ISERROR(SEARCH("Contrôler avec la publication 2022",H2)))</formula>
    </cfRule>
  </conditionalFormatting>
  <conditionalFormatting sqref="I2:I302">
    <cfRule type="containsText" dxfId="40" priority="1" operator="containsText" text="En cours">
      <formula>NOT(ISERROR(SEARCH("En cours",I2)))</formula>
    </cfRule>
    <cfRule type="containsText" dxfId="39" priority="6" operator="containsText" text=" En cours">
      <formula>NOT(ISERROR(SEARCH(" En cours",I2)))</formula>
    </cfRule>
    <cfRule type="containsText" dxfId="38" priority="7" operator="containsText" text="Contrôler avec la publication 2022">
      <formula>NOT(ISERROR(SEARCH("Contrôler avec la publication 2022",I2)))</formula>
    </cfRule>
    <cfRule type="containsText" dxfId="37" priority="8" operator="containsText" text="A démarrer ">
      <formula>NOT(ISERROR(SEARCH("A démarrer ",I2)))</formula>
    </cfRule>
    <cfRule type="containsText" dxfId="36" priority="9" operator="containsText" text="Terminé">
      <formula>NOT(ISERROR(SEARCH("Terminé",I2)))</formula>
    </cfRule>
  </conditionalFormatting>
  <conditionalFormatting sqref="I3:I302">
    <cfRule type="containsText" dxfId="35" priority="2" operator="containsText" text=" En cours">
      <formula>NOT(ISERROR(SEARCH(" En cours",I3)))</formula>
    </cfRule>
    <cfRule type="containsText" dxfId="34" priority="3" operator="containsText" text="Contrôler avec la publication 2022">
      <formula>NOT(ISERROR(SEARCH("Contrôler avec la publication 2022",I3)))</formula>
    </cfRule>
    <cfRule type="containsText" dxfId="33" priority="4" operator="containsText" text="A démarrer ">
      <formula>NOT(ISERROR(SEARCH("A démarrer ",I3)))</formula>
    </cfRule>
    <cfRule type="containsText" dxfId="32" priority="5" operator="containsText" text="Terminé">
      <formula>NOT(ISERROR(SEARCH("Terminé",I3)))</formula>
    </cfRule>
  </conditionalFormatting>
  <conditionalFormatting sqref="I197:I202 I174:I178 I194:I195">
    <cfRule type="containsText" dxfId="31" priority="10" operator="containsText" text="Contrôler avec la publication 2022">
      <formula>NOT(ISERROR(SEARCH("Contrôler avec la publication 2022",I178)))</formula>
    </cfRule>
    <cfRule type="containsText" dxfId="30" priority="11" operator="containsText" text="en cours">
      <formula>NOT(ISERROR(SEARCH("en cours",I178)))</formula>
    </cfRule>
    <cfRule type="containsText" dxfId="29" priority="12" operator="containsText" text="Terminé">
      <formula>NOT(ISERROR(SEARCH("Terminé",I178)))</formula>
    </cfRule>
    <cfRule type="containsText" dxfId="28" priority="13" operator="containsText" text="En cours">
      <formula>NOT(ISERROR(SEARCH("En cours",I178)))</formula>
    </cfRule>
    <cfRule type="containsText" dxfId="27" priority="14" operator="containsText" text="A démarrer">
      <formula>NOT(ISERROR(SEARCH("A démarrer",I178)))</formula>
    </cfRule>
  </conditionalFormatting>
  <conditionalFormatting sqref="I66:I302">
    <cfRule type="containsText" dxfId="26" priority="15" operator="containsText" text="Contrôler avec la publication 2022">
      <formula>NOT(ISERROR(SEARCH("Contrôler avec la publication 2022",I70)))</formula>
    </cfRule>
    <cfRule type="containsText" dxfId="25" priority="16" operator="containsText" text="Contrôler avec la publication 2022">
      <formula>NOT(ISERROR(SEARCH("Contrôler avec la publication 2022",I70)))</formula>
    </cfRule>
    <cfRule type="containsText" dxfId="24" priority="17" operator="containsText" text="en cours">
      <formula>NOT(ISERROR(SEARCH("en cours",I70)))</formula>
    </cfRule>
    <cfRule type="containsText" dxfId="23" priority="18" operator="containsText" text="Terminé">
      <formula>NOT(ISERROR(SEARCH("Terminé",I70)))</formula>
    </cfRule>
    <cfRule type="containsText" dxfId="22" priority="19" operator="containsText" text="En cours">
      <formula>NOT(ISERROR(SEARCH("En cours",I70)))</formula>
    </cfRule>
    <cfRule type="containsText" dxfId="21" priority="20" operator="containsText" text="A démarrer">
      <formula>NOT(ISERROR(SEARCH("A démarrer",I70)))</formula>
    </cfRule>
  </conditionalFormatting>
  <conditionalFormatting sqref="I66:I302">
    <cfRule type="containsText" dxfId="20" priority="21" operator="containsText" text="en cours">
      <formula>NOT(ISERROR(SEARCH("en cours",I70)))</formula>
    </cfRule>
    <cfRule type="containsText" dxfId="19" priority="22" operator="containsText" text="Terminé">
      <formula>NOT(ISERROR(SEARCH("Terminé",I70)))</formula>
    </cfRule>
    <cfRule type="containsText" dxfId="18" priority="23" operator="containsText" text="En cours">
      <formula>NOT(ISERROR(SEARCH("En cours",I70)))</formula>
    </cfRule>
    <cfRule type="containsText" dxfId="17" priority="24" operator="containsText" text="A démarrer">
      <formula>NOT(ISERROR(SEARCH("A démarrer",I70)))</formula>
    </cfRule>
  </conditionalFormatting>
  <conditionalFormatting sqref="I66:I302">
    <cfRule type="containsText" dxfId="16" priority="25" operator="containsText" text="Contrôler avec la publication 2022">
      <formula>NOT(ISERROR(SEARCH("Contrôler avec la publication 2022",I70)))</formula>
    </cfRule>
  </conditionalFormatting>
  <conditionalFormatting sqref="I51:I53 I6 I8">
    <cfRule type="containsText" dxfId="15" priority="26" operator="containsText" text="Contrôler avec la publication 2022">
      <formula>NOT(ISERROR(SEARCH("Contrôler avec la publication 2022",I6)))</formula>
    </cfRule>
    <cfRule type="containsText" dxfId="14" priority="27" operator="containsText" text="en cours">
      <formula>NOT(ISERROR(SEARCH("en cours",I6)))</formula>
    </cfRule>
    <cfRule type="containsText" dxfId="13" priority="28" operator="containsText" text="Terminé">
      <formula>NOT(ISERROR(SEARCH("Terminé",I6)))</formula>
    </cfRule>
    <cfRule type="containsText" dxfId="12" priority="29" operator="containsText" text="En cours">
      <formula>NOT(ISERROR(SEARCH("En cours",I6)))</formula>
    </cfRule>
    <cfRule type="containsText" dxfId="11" priority="30" operator="containsText" text="A démarrer">
      <formula>NOT(ISERROR(SEARCH("A démarrer",I6)))</formula>
    </cfRule>
  </conditionalFormatting>
  <conditionalFormatting sqref="I2:I65">
    <cfRule type="containsText" dxfId="10" priority="31" operator="containsText" text="Contrôler avec la publication 2022">
      <formula>NOT(ISERROR(SEARCH("Contrôler avec la publication 2022",I2)))</formula>
    </cfRule>
    <cfRule type="containsText" dxfId="9" priority="32" operator="containsText" text="Contrôler avec la publication 2022">
      <formula>NOT(ISERROR(SEARCH("Contrôler avec la publication 2022",I2)))</formula>
    </cfRule>
    <cfRule type="containsText" dxfId="8" priority="33" operator="containsText" text="en cours">
      <formula>NOT(ISERROR(SEARCH("en cours",I2)))</formula>
    </cfRule>
    <cfRule type="containsText" dxfId="7" priority="34" operator="containsText" text="Terminé">
      <formula>NOT(ISERROR(SEARCH("Terminé",I2)))</formula>
    </cfRule>
    <cfRule type="containsText" dxfId="6" priority="35" operator="containsText" text="En cours">
      <formula>NOT(ISERROR(SEARCH("En cours",I2)))</formula>
    </cfRule>
    <cfRule type="containsText" dxfId="5" priority="36" operator="containsText" text="A démarrer">
      <formula>NOT(ISERROR(SEARCH("A démarrer",I2)))</formula>
    </cfRule>
  </conditionalFormatting>
  <conditionalFormatting sqref="I52:I65 I3:I50">
    <cfRule type="containsText" dxfId="4" priority="37" operator="containsText" text="en cours">
      <formula>NOT(ISERROR(SEARCH("en cours",I3)))</formula>
    </cfRule>
    <cfRule type="containsText" dxfId="3" priority="38" operator="containsText" text="Terminé">
      <formula>NOT(ISERROR(SEARCH("Terminé",I3)))</formula>
    </cfRule>
    <cfRule type="containsText" dxfId="2" priority="39" operator="containsText" text="En cours">
      <formula>NOT(ISERROR(SEARCH("En cours",I3)))</formula>
    </cfRule>
    <cfRule type="containsText" dxfId="1" priority="40" operator="containsText" text="A démarrer">
      <formula>NOT(ISERROR(SEARCH("A démarrer",I3)))</formula>
    </cfRule>
  </conditionalFormatting>
  <conditionalFormatting sqref="I2:I65">
    <cfRule type="containsText" dxfId="0" priority="41" operator="containsText" text="Contrôler avec la publication 2022">
      <formula>NOT(ISERROR(SEARCH("Contrôler avec la publication 2022",I2)))</formula>
    </cfRule>
  </conditionalFormatting>
  <hyperlinks>
    <hyperlink ref="C109" location="_Toc138243065" display="_Toc138243065" xr:uid="{00000000-0004-0000-0600-000000000000}"/>
    <hyperlink ref="C111" location="_Toc138243069" display="_Toc138243069" xr:uid="{00000000-0004-0000-0600-000001000000}"/>
    <hyperlink ref="C112" location="_Toc138243070" display="_Toc138243070" xr:uid="{00000000-0004-0000-0600-000002000000}"/>
    <hyperlink ref="C113" location="_Toc138243071" display="_Toc138243071" xr:uid="{00000000-0004-0000-0600-000003000000}"/>
  </hyperlinks>
  <pageMargins left="0.7" right="0.7" top="0.75" bottom="0.75" header="0.3" footer="0.3"/>
  <pageSetup paperSize="9" orientation="portrait" r:id="rId3"/>
  <customProperties>
    <customPr name="EpmWorksheetKeyString_GUID" r:id="rId4"/>
  </customPropertie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Feuil6"/>
  <dimension ref="A2:D34"/>
  <sheetViews>
    <sheetView showGridLines="0" tabSelected="1" zoomScale="80" zoomScaleNormal="80" workbookViewId="0">
      <selection activeCell="A19" sqref="A19"/>
    </sheetView>
  </sheetViews>
  <sheetFormatPr baseColWidth="10" defaultColWidth="10.85546875" defaultRowHeight="12" outlineLevelCol="1"/>
  <cols>
    <col min="1" max="1" width="66.7109375" style="206" customWidth="1"/>
    <col min="2" max="2" width="11.85546875" style="206" customWidth="1"/>
    <col min="3" max="3" width="13.7109375" style="206" bestFit="1" customWidth="1"/>
    <col min="4" max="4" width="10.85546875" style="206" customWidth="1" outlineLevel="1"/>
    <col min="5" max="16384" width="10.85546875" style="206"/>
  </cols>
  <sheetData>
    <row r="2" spans="1:3" ht="18.75">
      <c r="A2" s="452" t="s">
        <v>1874</v>
      </c>
    </row>
    <row r="4" spans="1:3" s="208" customFormat="1" ht="21" customHeight="1">
      <c r="A4" s="209" t="s">
        <v>1</v>
      </c>
      <c r="B4" s="379">
        <v>45657</v>
      </c>
      <c r="C4" s="380">
        <v>45291</v>
      </c>
    </row>
    <row r="5" spans="1:3" ht="12" customHeight="1">
      <c r="A5" s="211" t="s">
        <v>2629</v>
      </c>
      <c r="B5" s="212">
        <v>153270</v>
      </c>
      <c r="C5" s="213">
        <v>207668.69859944901</v>
      </c>
    </row>
    <row r="6" spans="1:3" ht="12" customHeight="1">
      <c r="A6" s="211" t="s">
        <v>1114</v>
      </c>
      <c r="B6" s="212">
        <v>0</v>
      </c>
      <c r="C6" s="213">
        <v>0</v>
      </c>
    </row>
    <row r="7" spans="1:3" ht="12" customHeight="1" thickBot="1">
      <c r="A7" s="211" t="s">
        <v>12601</v>
      </c>
      <c r="B7" s="212">
        <v>2871276</v>
      </c>
      <c r="C7" s="213">
        <v>3526776.7722904501</v>
      </c>
    </row>
    <row r="8" spans="1:3" ht="12" customHeight="1" thickBot="1">
      <c r="A8" s="215" t="s">
        <v>133</v>
      </c>
      <c r="B8" s="216">
        <v>3024546</v>
      </c>
      <c r="C8" s="217">
        <v>3734445.4708898999</v>
      </c>
    </row>
    <row r="9" spans="1:3" ht="12" customHeight="1">
      <c r="A9" s="211" t="s">
        <v>1064</v>
      </c>
      <c r="B9" s="212">
        <v>6107629</v>
      </c>
      <c r="C9" s="213">
        <v>6652457.4165019197</v>
      </c>
    </row>
    <row r="10" spans="1:3" ht="12" customHeight="1">
      <c r="A10" s="211" t="s">
        <v>3</v>
      </c>
      <c r="B10" s="212">
        <v>3285058</v>
      </c>
      <c r="C10" s="213">
        <v>2085798</v>
      </c>
    </row>
    <row r="11" spans="1:3" ht="12" customHeight="1">
      <c r="A11" s="211" t="s">
        <v>1072</v>
      </c>
      <c r="B11" s="212">
        <v>201019003</v>
      </c>
      <c r="C11" s="213">
        <v>198583666</v>
      </c>
    </row>
    <row r="12" spans="1:3" ht="12" customHeight="1">
      <c r="A12" s="211" t="s">
        <v>1439</v>
      </c>
      <c r="B12" s="212">
        <v>184489227</v>
      </c>
      <c r="C12" s="213">
        <v>202451839.547308</v>
      </c>
    </row>
    <row r="13" spans="1:3" ht="12" customHeight="1" thickBot="1">
      <c r="A13" s="211" t="s">
        <v>1073</v>
      </c>
      <c r="B13" s="212">
        <v>986051</v>
      </c>
      <c r="C13" s="213">
        <v>1678372</v>
      </c>
    </row>
    <row r="14" spans="1:3" ht="12" customHeight="1" thickBot="1">
      <c r="A14" s="215" t="s">
        <v>1065</v>
      </c>
      <c r="B14" s="216">
        <v>395886969</v>
      </c>
      <c r="C14" s="217">
        <v>411452133.767533</v>
      </c>
    </row>
    <row r="15" spans="1:3" ht="12" customHeight="1" thickBot="1">
      <c r="A15" s="215" t="s">
        <v>1066</v>
      </c>
      <c r="B15" s="219">
        <v>0</v>
      </c>
      <c r="C15" s="220">
        <v>2012</v>
      </c>
    </row>
    <row r="16" spans="1:3" ht="12" customHeight="1" thickBot="1">
      <c r="A16" s="215" t="s">
        <v>5</v>
      </c>
      <c r="B16" s="216">
        <v>1096111</v>
      </c>
      <c r="C16" s="217">
        <v>1104360.0430515599</v>
      </c>
    </row>
    <row r="17" spans="1:3" ht="16.5" customHeight="1">
      <c r="A17" s="211" t="s">
        <v>1863</v>
      </c>
      <c r="B17" s="212">
        <v>241787</v>
      </c>
      <c r="C17" s="213">
        <v>355669.26202397997</v>
      </c>
    </row>
    <row r="18" spans="1:3" ht="12" customHeight="1" thickBot="1">
      <c r="A18" s="211" t="s">
        <v>1864</v>
      </c>
      <c r="B18" s="212">
        <v>91415</v>
      </c>
      <c r="C18" s="213">
        <v>141924</v>
      </c>
    </row>
    <row r="19" spans="1:3" ht="12" customHeight="1" thickBot="1">
      <c r="A19" s="221" t="s">
        <v>1443</v>
      </c>
      <c r="B19" s="222">
        <v>333202</v>
      </c>
      <c r="C19" s="223">
        <v>497593.26202397997</v>
      </c>
    </row>
    <row r="20" spans="1:3" ht="12.75" customHeight="1">
      <c r="A20" s="211" t="s">
        <v>12595</v>
      </c>
      <c r="B20" s="212">
        <v>5920322</v>
      </c>
      <c r="C20" s="213">
        <v>8532281</v>
      </c>
    </row>
    <row r="21" spans="1:3" ht="12" customHeight="1" thickBot="1">
      <c r="A21" s="211" t="s">
        <v>1867</v>
      </c>
      <c r="B21" s="212">
        <v>60883</v>
      </c>
      <c r="C21" s="213">
        <v>78643.534186280696</v>
      </c>
    </row>
    <row r="22" spans="1:3" ht="12" customHeight="1" thickBot="1">
      <c r="A22" s="221" t="s">
        <v>1442</v>
      </c>
      <c r="B22" s="222">
        <v>5981205</v>
      </c>
      <c r="C22" s="223">
        <v>8610924.5341862794</v>
      </c>
    </row>
    <row r="23" spans="1:3" ht="12" customHeight="1" thickBot="1">
      <c r="A23" s="211" t="s">
        <v>1860</v>
      </c>
      <c r="B23" s="212">
        <v>14484</v>
      </c>
      <c r="C23" s="213">
        <v>15094.5634881808</v>
      </c>
    </row>
    <row r="24" spans="1:3" ht="12" customHeight="1" thickBot="1">
      <c r="A24" s="215" t="s">
        <v>1856</v>
      </c>
      <c r="B24" s="216">
        <v>6328891</v>
      </c>
      <c r="C24" s="223">
        <v>9123612.3596984409</v>
      </c>
    </row>
    <row r="25" spans="1:3" ht="12" customHeight="1">
      <c r="A25" s="211" t="s">
        <v>1067</v>
      </c>
      <c r="B25" s="212">
        <v>123223</v>
      </c>
      <c r="C25" s="213">
        <v>348015.90782945999</v>
      </c>
    </row>
    <row r="26" spans="1:3" ht="12" customHeight="1">
      <c r="A26" s="211" t="s">
        <v>6</v>
      </c>
      <c r="B26" s="212">
        <v>7617782</v>
      </c>
      <c r="C26" s="213">
        <v>6580546.1782878703</v>
      </c>
    </row>
    <row r="27" spans="1:3" ht="12" customHeight="1">
      <c r="A27" s="211" t="s">
        <v>2248</v>
      </c>
      <c r="B27" s="212">
        <v>411819</v>
      </c>
      <c r="C27" s="213">
        <v>462310.48417910899</v>
      </c>
    </row>
    <row r="28" spans="1:3" ht="12" customHeight="1">
      <c r="A28" s="211" t="s">
        <v>1068</v>
      </c>
      <c r="B28" s="212">
        <v>548962</v>
      </c>
      <c r="C28" s="213">
        <v>753711.87280390901</v>
      </c>
    </row>
    <row r="29" spans="1:3" ht="12" customHeight="1" thickBot="1">
      <c r="A29" s="211" t="s">
        <v>1069</v>
      </c>
      <c r="B29" s="212">
        <v>972266</v>
      </c>
      <c r="C29" s="213">
        <v>937643.12789137696</v>
      </c>
    </row>
    <row r="30" spans="1:3" ht="12" customHeight="1" thickBot="1">
      <c r="A30" s="215" t="s">
        <v>7</v>
      </c>
      <c r="B30" s="216">
        <v>9674052</v>
      </c>
      <c r="C30" s="217">
        <v>9082227.5709917247</v>
      </c>
    </row>
    <row r="31" spans="1:3" ht="12" customHeight="1" thickBot="1">
      <c r="A31" s="215" t="s">
        <v>1070</v>
      </c>
      <c r="B31" s="216">
        <v>17286422</v>
      </c>
      <c r="C31" s="217">
        <v>0</v>
      </c>
    </row>
    <row r="32" spans="1:3" ht="12" customHeight="1">
      <c r="A32" s="224" t="s">
        <v>208</v>
      </c>
      <c r="B32" s="225">
        <v>1451126</v>
      </c>
      <c r="C32" s="226">
        <v>1934398.9962807</v>
      </c>
    </row>
    <row r="33" spans="1:3" ht="13.5" customHeight="1">
      <c r="A33" s="227" t="s">
        <v>9</v>
      </c>
      <c r="B33" s="228">
        <v>434748123</v>
      </c>
      <c r="C33" s="229">
        <v>436433190.20844501</v>
      </c>
    </row>
    <row r="34" spans="1:3">
      <c r="A34" s="230"/>
    </row>
  </sheetData>
  <customSheetViews>
    <customSheetView guid="{9861AEDC-A168-4FA5-BC34-0FF06E2D98B0}" showGridLines="0" hiddenRows="1" topLeftCell="A4">
      <selection activeCell="F4" sqref="F1:H1048576"/>
      <pageMargins left="0.7" right="0.7" top="0.75" bottom="0.75" header="0.3" footer="0.3"/>
      <pageSetup paperSize="9" orientation="portrait" r:id="rId1"/>
    </customSheetView>
    <customSheetView guid="{6026142C-022D-477E-A086-A3D1CB0201B2}" showGridLines="0" hiddenRows="1">
      <selection activeCell="G13" sqref="G13"/>
      <pageMargins left="0.7" right="0.7" top="0.75" bottom="0.75" header="0.3" footer="0.3"/>
      <pageSetup paperSize="9" orientation="portrait" r:id="rId2"/>
    </customSheetView>
    <customSheetView guid="{0988812C-B87C-4041-945B-D3D481C0E3B2}" showGridLines="0" hiddenRows="1">
      <selection activeCell="A23" sqref="A23"/>
      <pageMargins left="0.7" right="0.7" top="0.75" bottom="0.75" header="0.3" footer="0.3"/>
      <pageSetup paperSize="9" orientation="portrait" r:id="rId3"/>
    </customSheetView>
    <customSheetView guid="{9B5412D3-CE8B-4D5C-87A1-6A92385B5055}">
      <selection activeCell="L10" sqref="L10"/>
      <pageMargins left="0.7" right="0.7" top="0.75" bottom="0.75" header="0.3" footer="0.3"/>
      <pageSetup paperSize="9" orientation="portrait" r:id="rId4"/>
    </customSheetView>
    <customSheetView guid="{1E6FDA0A-7324-47B7-8781-F649F81C62F2}">
      <selection activeCell="F1" sqref="F1:F1048576"/>
      <pageMargins left="0.7" right="0.7" top="0.75" bottom="0.75" header="0.3" footer="0.3"/>
      <pageSetup paperSize="9" orientation="portrait" r:id="rId5"/>
    </customSheetView>
    <customSheetView guid="{10FE0AC7-DC28-4361-9D3E-E82A44C052DC}" showGridLines="0" hiddenRows="1" topLeftCell="C1">
      <selection activeCell="D4" sqref="D4:H30"/>
      <pageMargins left="0.7" right="0.7" top="0.75" bottom="0.75" header="0.3" footer="0.3"/>
      <pageSetup paperSize="9" orientation="portrait" r:id="rId6"/>
    </customSheetView>
    <customSheetView guid="{15FEF1C5-8ED8-40F7-B190-479F9E1DDCD0}" showGridLines="0" hiddenRows="1">
      <selection activeCell="A16" sqref="A16"/>
      <pageMargins left="0.7" right="0.7" top="0.75" bottom="0.75" header="0.3" footer="0.3"/>
      <pageSetup paperSize="9" orientation="portrait" r:id="rId7"/>
    </customSheetView>
    <customSheetView guid="{4561BCBD-DB5E-4D30-A9CE-7BB23B692C5E}" showGridLines="0" hiddenRows="1">
      <selection activeCell="G13" sqref="G13"/>
      <pageMargins left="0.7" right="0.7" top="0.75" bottom="0.75" header="0.3" footer="0.3"/>
      <pageSetup paperSize="9" orientation="portrait" r:id="rId8"/>
    </customSheetView>
    <customSheetView guid="{B96AA43F-C6B6-4097-9127-C885199888B4}" showGridLines="0" hiddenRows="1" topLeftCell="A4">
      <selection activeCell="F4" sqref="F1:H1048576"/>
      <pageMargins left="0.7" right="0.7" top="0.75" bottom="0.75" header="0.3" footer="0.3"/>
      <pageSetup paperSize="9" orientation="portrait" r:id="rId9"/>
    </customSheetView>
    <customSheetView guid="{6357C996-BE12-4F66-ACBB-1F9F08F8885C}" showGridLines="0">
      <selection activeCell="M17" sqref="M17"/>
      <pageMargins left="0.7" right="0.7" top="0.75" bottom="0.75" header="0.3" footer="0.3"/>
      <pageSetup paperSize="9" orientation="portrait" r:id="rId10"/>
    </customSheetView>
    <customSheetView guid="{5874C782-5C34-4C4C-BCC6-3692259149CA}" showGridLines="0">
      <selection activeCell="M17" sqref="M17"/>
      <pageMargins left="0.7" right="0.7" top="0.75" bottom="0.75" header="0.3" footer="0.3"/>
      <pageSetup paperSize="9" orientation="portrait" r:id="rId11"/>
    </customSheetView>
  </customSheetViews>
  <pageMargins left="0.7" right="0.7" top="0.75" bottom="0.75" header="0.3" footer="0.3"/>
  <pageSetup paperSize="9" orientation="portrait" r:id="rId12"/>
  <customProperties>
    <customPr name="EpmWorksheetKeyString_GUID" r:id="rId13"/>
  </customPropertie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Feuil7"/>
  <dimension ref="A1:C305"/>
  <sheetViews>
    <sheetView showGridLines="0" zoomScale="80" zoomScaleNormal="80" workbookViewId="0">
      <selection activeCell="A19" sqref="A19"/>
    </sheetView>
  </sheetViews>
  <sheetFormatPr baseColWidth="10" defaultColWidth="10.85546875" defaultRowHeight="12" outlineLevelRow="1"/>
  <cols>
    <col min="1" max="1" width="69.28515625" style="189" bestFit="1" customWidth="1"/>
    <col min="2" max="2" width="11.85546875" style="189" customWidth="1"/>
    <col min="3" max="3" width="12.7109375" style="189" bestFit="1" customWidth="1"/>
    <col min="4" max="16384" width="10.85546875" style="200"/>
  </cols>
  <sheetData>
    <row r="1" spans="1:3">
      <c r="B1" s="200"/>
    </row>
    <row r="3" spans="1:3" ht="15.75">
      <c r="A3" s="352" t="s">
        <v>1875</v>
      </c>
    </row>
    <row r="4" spans="1:3">
      <c r="A4" s="237"/>
    </row>
    <row r="6" spans="1:3" s="189" customFormat="1" ht="21" customHeight="1">
      <c r="A6" s="238" t="s">
        <v>1</v>
      </c>
      <c r="B6" s="379">
        <v>45657</v>
      </c>
      <c r="C6" s="380">
        <v>45291</v>
      </c>
    </row>
    <row r="7" spans="1:3" ht="12" customHeight="1">
      <c r="A7" s="239" t="s">
        <v>10</v>
      </c>
      <c r="B7" s="240">
        <v>686618</v>
      </c>
      <c r="C7" s="241">
        <v>686618.12460000103</v>
      </c>
    </row>
    <row r="8" spans="1:3" ht="12" customHeight="1">
      <c r="A8" s="239" t="s">
        <v>6632</v>
      </c>
      <c r="B8" s="240">
        <v>1736332</v>
      </c>
      <c r="C8" s="241">
        <v>1736332</v>
      </c>
    </row>
    <row r="9" spans="1:3" ht="12" customHeight="1">
      <c r="A9" s="242" t="s">
        <v>50</v>
      </c>
      <c r="B9" s="240">
        <v>-11240350</v>
      </c>
      <c r="C9" s="241">
        <v>-9959892</v>
      </c>
    </row>
    <row r="10" spans="1:3" ht="11.25" customHeight="1">
      <c r="A10" s="243" t="s">
        <v>1170</v>
      </c>
      <c r="B10" s="240">
        <v>42774</v>
      </c>
      <c r="C10" s="241">
        <v>71296</v>
      </c>
    </row>
    <row r="11" spans="1:3" ht="12" customHeight="1">
      <c r="A11" s="244" t="s">
        <v>1212</v>
      </c>
      <c r="B11" s="240">
        <v>-83565</v>
      </c>
      <c r="C11" s="241">
        <v>-70520.1267000152</v>
      </c>
    </row>
    <row r="12" spans="1:3" ht="12" customHeight="1">
      <c r="A12" s="242" t="s">
        <v>1444</v>
      </c>
      <c r="B12" s="240">
        <v>9495325</v>
      </c>
      <c r="C12" s="241">
        <v>8754058.3740775026</v>
      </c>
    </row>
    <row r="13" spans="1:3" ht="12" hidden="1" customHeight="1" outlineLevel="1">
      <c r="A13" s="242" t="s">
        <v>6794</v>
      </c>
      <c r="B13" s="240">
        <v>9507264</v>
      </c>
      <c r="C13" s="241">
        <v>8766802.0740423594</v>
      </c>
    </row>
    <row r="14" spans="1:3" ht="12" hidden="1" customHeight="1" outlineLevel="1">
      <c r="A14" s="239" t="s">
        <v>6934</v>
      </c>
      <c r="B14" s="240">
        <v>-11939</v>
      </c>
      <c r="C14" s="241">
        <v>-12743.6999648567</v>
      </c>
    </row>
    <row r="15" spans="1:3" ht="12" customHeight="1" collapsed="1">
      <c r="A15" s="239" t="s">
        <v>12</v>
      </c>
      <c r="B15" s="240">
        <v>1387750</v>
      </c>
      <c r="C15" s="241">
        <v>1881315</v>
      </c>
    </row>
    <row r="16" spans="1:3" ht="12" customHeight="1">
      <c r="A16" s="239" t="s">
        <v>12607</v>
      </c>
      <c r="B16" s="240">
        <v>15279656</v>
      </c>
      <c r="C16" s="241">
        <v>15204118.923160899</v>
      </c>
    </row>
    <row r="17" spans="1:3" ht="12" customHeight="1">
      <c r="A17" s="239" t="s">
        <v>546</v>
      </c>
      <c r="B17" s="240">
        <v>1606060</v>
      </c>
      <c r="C17" s="241">
        <v>1717019.36707624</v>
      </c>
    </row>
    <row r="18" spans="1:3" ht="12" customHeight="1" thickBot="1">
      <c r="A18" s="239" t="s">
        <v>1451</v>
      </c>
      <c r="B18" s="240">
        <v>-1390184</v>
      </c>
      <c r="C18" s="241">
        <v>-908043</v>
      </c>
    </row>
    <row r="19" spans="1:3" ht="12.75" customHeight="1" thickBot="1">
      <c r="A19" s="245" t="s">
        <v>14</v>
      </c>
      <c r="B19" s="246">
        <v>17520415</v>
      </c>
      <c r="C19" s="247">
        <v>19112302.678826101</v>
      </c>
    </row>
    <row r="20" spans="1:3" ht="12" customHeight="1" thickBot="1">
      <c r="A20" s="248" t="s">
        <v>1434</v>
      </c>
      <c r="B20" s="249">
        <v>3588827</v>
      </c>
      <c r="C20" s="241">
        <v>4147684</v>
      </c>
    </row>
    <row r="21" spans="1:3" ht="12" customHeight="1" thickBot="1">
      <c r="A21" s="245" t="s">
        <v>1071</v>
      </c>
      <c r="B21" s="246">
        <v>21109243</v>
      </c>
      <c r="C21" s="247">
        <v>23259987.5160411</v>
      </c>
    </row>
    <row r="22" spans="1:3">
      <c r="A22" s="250" t="s">
        <v>1868</v>
      </c>
      <c r="B22" s="240">
        <v>362240502</v>
      </c>
      <c r="C22" s="241">
        <v>374410250.38654703</v>
      </c>
    </row>
    <row r="23" spans="1:3" ht="12" customHeight="1" thickBot="1">
      <c r="A23" s="250" t="s">
        <v>1870</v>
      </c>
      <c r="B23" s="240">
        <v>923082</v>
      </c>
      <c r="C23" s="241">
        <v>984201</v>
      </c>
    </row>
    <row r="24" spans="1:3" ht="12" customHeight="1" thickBot="1">
      <c r="A24" s="252" t="s">
        <v>1862</v>
      </c>
      <c r="B24" s="253">
        <v>363163584</v>
      </c>
      <c r="C24" s="254">
        <v>375394451.38654703</v>
      </c>
    </row>
    <row r="25" spans="1:3" ht="12" customHeight="1">
      <c r="A25" s="250" t="s">
        <v>12596</v>
      </c>
      <c r="B25" s="240">
        <v>1915</v>
      </c>
      <c r="C25" s="241">
        <v>25555</v>
      </c>
    </row>
    <row r="26" spans="1:3" ht="12" customHeight="1" thickBot="1">
      <c r="A26" s="250" t="s">
        <v>1871</v>
      </c>
      <c r="B26" s="240">
        <v>0</v>
      </c>
      <c r="C26" s="241">
        <v>9573</v>
      </c>
    </row>
    <row r="27" spans="1:3" ht="12" customHeight="1" thickBot="1">
      <c r="A27" s="252" t="s">
        <v>1861</v>
      </c>
      <c r="B27" s="253">
        <v>1915</v>
      </c>
      <c r="C27" s="254">
        <v>35128</v>
      </c>
    </row>
    <row r="28" spans="1:3" ht="12" customHeight="1" thickBot="1">
      <c r="A28" s="250" t="s">
        <v>1441</v>
      </c>
      <c r="B28" s="240">
        <v>2019252</v>
      </c>
      <c r="C28" s="241">
        <v>2395261.1696072202</v>
      </c>
    </row>
    <row r="29" spans="1:3" ht="12" hidden="1" customHeight="1" outlineLevel="1" thickBot="1">
      <c r="A29" s="255" t="s">
        <v>1171</v>
      </c>
      <c r="B29" s="240">
        <v>0</v>
      </c>
      <c r="C29" s="241">
        <v>0</v>
      </c>
    </row>
    <row r="30" spans="1:3" ht="12" customHeight="1" collapsed="1" thickBot="1">
      <c r="A30" s="245" t="s">
        <v>7802</v>
      </c>
      <c r="B30" s="246">
        <v>365184752</v>
      </c>
      <c r="C30" s="247">
        <v>377824840.55615401</v>
      </c>
    </row>
    <row r="31" spans="1:3" ht="12" customHeight="1" thickBot="1">
      <c r="A31" s="245" t="s">
        <v>2570</v>
      </c>
      <c r="B31" s="256">
        <v>242092</v>
      </c>
      <c r="C31" s="257">
        <v>286349</v>
      </c>
    </row>
    <row r="32" spans="1:3" ht="12" customHeight="1" thickBot="1">
      <c r="A32" s="239" t="s">
        <v>17</v>
      </c>
      <c r="B32" s="240">
        <v>7338068</v>
      </c>
      <c r="C32" s="251">
        <v>6768973</v>
      </c>
    </row>
    <row r="33" spans="1:3" ht="12" customHeight="1" thickBot="1">
      <c r="A33" s="245" t="s">
        <v>2571</v>
      </c>
      <c r="B33" s="246">
        <v>7338128</v>
      </c>
      <c r="C33" s="247">
        <v>6768973</v>
      </c>
    </row>
    <row r="34" spans="1:3" ht="12" customHeight="1">
      <c r="A34" s="239" t="s">
        <v>8437</v>
      </c>
      <c r="B34" s="240">
        <v>17057770</v>
      </c>
      <c r="C34" s="241">
        <v>18869673</v>
      </c>
    </row>
    <row r="35" spans="1:3" ht="12" customHeight="1">
      <c r="A35" s="239" t="s">
        <v>8456</v>
      </c>
      <c r="B35" s="240">
        <v>491135</v>
      </c>
      <c r="C35" s="241">
        <v>346839</v>
      </c>
    </row>
    <row r="36" spans="1:3" ht="12" customHeight="1">
      <c r="A36" s="239" t="s">
        <v>8471</v>
      </c>
      <c r="B36" s="240">
        <v>118627</v>
      </c>
      <c r="C36" s="241">
        <v>183672</v>
      </c>
    </row>
    <row r="37" spans="1:3" ht="12" customHeight="1">
      <c r="A37" s="239" t="s">
        <v>8504</v>
      </c>
      <c r="B37" s="240">
        <v>90110</v>
      </c>
      <c r="C37" s="241">
        <v>105614</v>
      </c>
    </row>
    <row r="38" spans="1:3" ht="12" customHeight="1">
      <c r="A38" s="239" t="s">
        <v>8511</v>
      </c>
      <c r="B38" s="240">
        <v>268855</v>
      </c>
      <c r="C38" s="241">
        <v>73212.983214592095</v>
      </c>
    </row>
    <row r="39" spans="1:3" ht="12" customHeight="1">
      <c r="A39" s="239" t="s">
        <v>18</v>
      </c>
      <c r="B39" s="240">
        <v>640538</v>
      </c>
      <c r="C39" s="241">
        <v>816211</v>
      </c>
    </row>
    <row r="40" spans="1:3" ht="12" customHeight="1">
      <c r="A40" s="239" t="s">
        <v>8733</v>
      </c>
      <c r="B40" s="240">
        <v>764913</v>
      </c>
      <c r="C40" s="241">
        <v>771276.69106875604</v>
      </c>
    </row>
    <row r="41" spans="1:3" ht="12" customHeight="1" thickBot="1">
      <c r="A41" s="258" t="s">
        <v>2263</v>
      </c>
      <c r="B41" s="259">
        <v>5159240</v>
      </c>
      <c r="C41" s="260">
        <v>7126542.1686412804</v>
      </c>
    </row>
    <row r="42" spans="1:3" ht="12" customHeight="1" thickBot="1">
      <c r="A42" s="261" t="s">
        <v>2572</v>
      </c>
      <c r="B42" s="262">
        <v>24591189</v>
      </c>
      <c r="C42" s="263">
        <v>28293041</v>
      </c>
    </row>
    <row r="43" spans="1:3" ht="12" customHeight="1">
      <c r="A43" s="264" t="s">
        <v>9107</v>
      </c>
      <c r="B43" s="265">
        <v>16282722</v>
      </c>
      <c r="C43" s="266">
        <v>0</v>
      </c>
    </row>
    <row r="44" spans="1:3" ht="13.5" customHeight="1">
      <c r="A44" s="267" t="s">
        <v>19</v>
      </c>
      <c r="B44" s="268">
        <v>434748127</v>
      </c>
      <c r="C44" s="269">
        <v>436433192.643444</v>
      </c>
    </row>
    <row r="304" spans="2:2">
      <c r="B304" s="189" t="s">
        <v>2418</v>
      </c>
    </row>
    <row r="305" spans="2:2">
      <c r="B305" s="189" t="s">
        <v>2423</v>
      </c>
    </row>
  </sheetData>
  <customSheetViews>
    <customSheetView guid="{9861AEDC-A168-4FA5-BC34-0FF06E2D98B0}" scale="90" showGridLines="0" hiddenRows="1" topLeftCell="A7">
      <selection activeCell="D43" sqref="D43"/>
      <pageMargins left="0.7" right="0.7" top="0.75" bottom="0.75" header="0.3" footer="0.3"/>
      <pageSetup paperSize="9" orientation="portrait" r:id="rId1"/>
    </customSheetView>
    <customSheetView guid="{6026142C-022D-477E-A086-A3D1CB0201B2}" showGridLines="0" hiddenColumns="1" topLeftCell="A13">
      <selection activeCell="A10" sqref="A10"/>
      <pageMargins left="0.7" right="0.7" top="0.75" bottom="0.75" header="0.3" footer="0.3"/>
      <pageSetup paperSize="9" orientation="portrait" r:id="rId2"/>
    </customSheetView>
    <customSheetView guid="{0988812C-B87C-4041-945B-D3D481C0E3B2}" showGridLines="0" hiddenColumns="1" topLeftCell="A13">
      <selection activeCell="G26" sqref="G26"/>
      <pageMargins left="0.7" right="0.7" top="0.75" bottom="0.75" header="0.3" footer="0.3"/>
      <pageSetup paperSize="9" orientation="portrait" r:id="rId3"/>
    </customSheetView>
    <customSheetView guid="{9B5412D3-CE8B-4D5C-87A1-6A92385B5055}">
      <selection activeCell="D6" sqref="D6:G6"/>
      <pageMargins left="0.7" right="0.7" top="0.75" bottom="0.75" header="0.3" footer="0.3"/>
      <pageSetup paperSize="9" orientation="portrait" r:id="rId4"/>
    </customSheetView>
    <customSheetView guid="{1E6FDA0A-7324-47B7-8781-F649F81C62F2}">
      <selection activeCell="F1" sqref="F1:F1048576"/>
      <pageMargins left="0.7" right="0.7" top="0.75" bottom="0.75" header="0.3" footer="0.3"/>
      <pageSetup paperSize="9" orientation="portrait" r:id="rId5"/>
    </customSheetView>
    <customSheetView guid="{10FE0AC7-DC28-4361-9D3E-E82A44C052DC}" showGridLines="0" hiddenRows="1">
      <selection activeCell="D6" sqref="D6:H40"/>
      <pageMargins left="0.7" right="0.7" top="0.75" bottom="0.75" header="0.3" footer="0.3"/>
      <pageSetup paperSize="9" orientation="portrait" r:id="rId6"/>
    </customSheetView>
    <customSheetView guid="{15FEF1C5-8ED8-40F7-B190-479F9E1DDCD0}" showGridLines="0" hiddenColumns="1" topLeftCell="A16">
      <selection activeCell="D47" sqref="D47"/>
      <pageMargins left="0.7" right="0.7" top="0.75" bottom="0.75" header="0.3" footer="0.3"/>
      <pageSetup paperSize="9" orientation="portrait" r:id="rId7"/>
    </customSheetView>
    <customSheetView guid="{4561BCBD-DB5E-4D30-A9CE-7BB23B692C5E}" showGridLines="0" hiddenColumns="1" topLeftCell="A13">
      <selection activeCell="A10" sqref="A10"/>
      <pageMargins left="0.7" right="0.7" top="0.75" bottom="0.75" header="0.3" footer="0.3"/>
      <pageSetup paperSize="9" orientation="portrait" r:id="rId8"/>
    </customSheetView>
    <customSheetView guid="{B96AA43F-C6B6-4097-9127-C885199888B4}" scale="90" showGridLines="0" hiddenRows="1" topLeftCell="A7">
      <selection activeCell="D43" sqref="D43"/>
      <pageMargins left="0.7" right="0.7" top="0.75" bottom="0.75" header="0.3" footer="0.3"/>
      <pageSetup paperSize="9" orientation="portrait" r:id="rId9"/>
    </customSheetView>
    <customSheetView guid="{6357C996-BE12-4F66-ACBB-1F9F08F8885C}" showGridLines="0" hiddenRows="1" topLeftCell="A21">
      <selection activeCell="J46" sqref="J46"/>
      <pageMargins left="0.7" right="0.7" top="0.75" bottom="0.75" header="0.3" footer="0.3"/>
      <pageSetup paperSize="9" orientation="portrait" r:id="rId10"/>
    </customSheetView>
    <customSheetView guid="{5874C782-5C34-4C4C-BCC6-3692259149CA}" showGridLines="0" hiddenRows="1" topLeftCell="A21">
      <selection activeCell="J46" sqref="J46"/>
      <pageMargins left="0.7" right="0.7" top="0.75" bottom="0.75" header="0.3" footer="0.3"/>
      <pageSetup paperSize="9" orientation="portrait" r:id="rId11"/>
    </customSheetView>
  </customSheetViews>
  <pageMargins left="0.7" right="0.7" top="0.75" bottom="0.75" header="0.3" footer="0.3"/>
  <pageSetup paperSize="9" orientation="portrait" r:id="rId12"/>
  <customProperties>
    <customPr name="EpmWorksheetKeyString_GUID" r:id="rId13"/>
  </customPropertie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Feuil9"/>
  <dimension ref="A1:E133"/>
  <sheetViews>
    <sheetView showGridLines="0" zoomScaleNormal="100" workbookViewId="0">
      <selection activeCell="A19" sqref="A19"/>
    </sheetView>
  </sheetViews>
  <sheetFormatPr baseColWidth="10" defaultColWidth="10.85546875" defaultRowHeight="12" outlineLevelRow="1" outlineLevelCol="1"/>
  <cols>
    <col min="1" max="1" width="1.140625" style="214" customWidth="1"/>
    <col min="2" max="2" width="72.42578125" style="235" bestFit="1" customWidth="1"/>
    <col min="3" max="3" width="12.140625" style="433" customWidth="1"/>
    <col min="4" max="4" width="12.140625" style="270" customWidth="1"/>
    <col min="5" max="5" width="10.85546875" style="206" customWidth="1" outlineLevel="1"/>
    <col min="6" max="16384" width="10.85546875" style="206"/>
  </cols>
  <sheetData>
    <row r="1" spans="2:4" ht="15.75">
      <c r="B1" s="352" t="s">
        <v>1381</v>
      </c>
    </row>
    <row r="2" spans="2:4">
      <c r="B2" s="271"/>
    </row>
    <row r="3" spans="2:4">
      <c r="B3" s="272"/>
      <c r="D3" s="433"/>
    </row>
    <row r="4" spans="2:4" ht="21" customHeight="1">
      <c r="B4" s="232" t="s">
        <v>1</v>
      </c>
      <c r="C4" s="435">
        <v>45657</v>
      </c>
      <c r="D4" s="434">
        <v>45291</v>
      </c>
    </row>
    <row r="5" spans="2:4" ht="12" customHeight="1">
      <c r="B5" s="273" t="s">
        <v>20</v>
      </c>
      <c r="C5" s="274">
        <v>11016344</v>
      </c>
      <c r="D5" s="298">
        <v>11003129.7876323</v>
      </c>
    </row>
    <row r="6" spans="2:4">
      <c r="B6" s="273" t="s">
        <v>21</v>
      </c>
      <c r="C6" s="274">
        <v>-8065547</v>
      </c>
      <c r="D6" s="298">
        <v>-7705834.0591050005</v>
      </c>
    </row>
    <row r="7" spans="2:4" ht="12.75" thickBot="1">
      <c r="B7" s="275" t="s">
        <v>1074</v>
      </c>
      <c r="C7" s="274">
        <v>-58730</v>
      </c>
      <c r="D7" s="298">
        <v>-86819.091407861706</v>
      </c>
    </row>
    <row r="8" spans="2:4" ht="12" customHeight="1" thickBot="1">
      <c r="B8" s="276" t="s">
        <v>23</v>
      </c>
      <c r="C8" s="277">
        <v>2892066</v>
      </c>
      <c r="D8" s="449">
        <v>3210476.6371194399</v>
      </c>
    </row>
    <row r="9" spans="2:4" ht="12" customHeight="1">
      <c r="B9" s="278" t="s">
        <v>24</v>
      </c>
      <c r="C9" s="274">
        <v>5812041</v>
      </c>
      <c r="D9" s="298">
        <v>5754195.8810270503</v>
      </c>
    </row>
    <row r="10" spans="2:4" ht="24">
      <c r="B10" s="278" t="s">
        <v>12609</v>
      </c>
      <c r="C10" s="274">
        <v>749209</v>
      </c>
      <c r="D10" s="298">
        <v>176669.29172066701</v>
      </c>
    </row>
    <row r="11" spans="2:4" ht="12" customHeight="1">
      <c r="B11" s="273" t="s">
        <v>25</v>
      </c>
      <c r="C11" s="274">
        <v>97</v>
      </c>
      <c r="D11" s="298">
        <v>77</v>
      </c>
    </row>
    <row r="12" spans="2:4" ht="12" customHeight="1">
      <c r="B12" s="273" t="s">
        <v>26</v>
      </c>
      <c r="C12" s="274">
        <v>9334917</v>
      </c>
      <c r="D12" s="298">
        <v>7266155.4291660497</v>
      </c>
    </row>
    <row r="13" spans="2:4" ht="12" customHeight="1">
      <c r="B13" s="273" t="s">
        <v>1034</v>
      </c>
      <c r="C13" s="274">
        <v>-16996</v>
      </c>
      <c r="D13" s="298">
        <v>-72367.328238127797</v>
      </c>
    </row>
    <row r="14" spans="2:4" ht="12" customHeight="1">
      <c r="B14" s="273" t="s">
        <v>1445</v>
      </c>
      <c r="C14" s="274">
        <v>-374440</v>
      </c>
      <c r="D14" s="298">
        <v>168436</v>
      </c>
    </row>
    <row r="15" spans="2:4" ht="12" customHeight="1">
      <c r="B15" s="278" t="s">
        <v>1446</v>
      </c>
      <c r="C15" s="274">
        <v>-14534801</v>
      </c>
      <c r="D15" s="298">
        <v>-13517055.1898154</v>
      </c>
    </row>
    <row r="16" spans="2:4" ht="12" customHeight="1" thickBot="1">
      <c r="B16" s="279" t="s">
        <v>28</v>
      </c>
      <c r="C16" s="280">
        <v>97161</v>
      </c>
      <c r="D16" s="450">
        <v>877653</v>
      </c>
    </row>
    <row r="17" spans="1:4" ht="12" customHeight="1" thickBot="1">
      <c r="B17" s="276" t="s">
        <v>29</v>
      </c>
      <c r="C17" s="281">
        <v>1067188</v>
      </c>
      <c r="D17" s="302">
        <v>653764.08386027603</v>
      </c>
    </row>
    <row r="18" spans="1:4" s="207" customFormat="1" ht="12" customHeight="1">
      <c r="A18" s="214"/>
      <c r="B18" s="282" t="s">
        <v>1172</v>
      </c>
      <c r="C18" s="274">
        <v>48425</v>
      </c>
      <c r="D18" s="298">
        <v>47640.0687915815</v>
      </c>
    </row>
    <row r="19" spans="1:4" s="207" customFormat="1" ht="12" customHeight="1" outlineLevel="1">
      <c r="A19" s="214"/>
      <c r="B19" s="283" t="s">
        <v>2638</v>
      </c>
      <c r="C19" s="274">
        <v>1113</v>
      </c>
      <c r="D19" s="298">
        <v>0</v>
      </c>
    </row>
    <row r="20" spans="1:4" s="207" customFormat="1" ht="12" customHeight="1" outlineLevel="1">
      <c r="A20" s="214"/>
      <c r="B20" s="283" t="s">
        <v>30</v>
      </c>
      <c r="C20" s="274">
        <v>-884446</v>
      </c>
      <c r="D20" s="298">
        <v>-839409.21662372095</v>
      </c>
    </row>
    <row r="21" spans="1:4" s="207" customFormat="1" ht="12" customHeight="1" thickBot="1">
      <c r="A21" s="214"/>
      <c r="B21" s="283" t="s">
        <v>30</v>
      </c>
      <c r="C21" s="274">
        <v>-883333</v>
      </c>
      <c r="D21" s="298">
        <v>-839409.21662372095</v>
      </c>
    </row>
    <row r="22" spans="1:4" s="207" customFormat="1" ht="12" customHeight="1" thickBot="1">
      <c r="A22" s="214"/>
      <c r="B22" s="276" t="s">
        <v>207</v>
      </c>
      <c r="C22" s="281">
        <v>-834908</v>
      </c>
      <c r="D22" s="302">
        <v>-791769.1478321394</v>
      </c>
    </row>
    <row r="23" spans="1:4" s="207" customFormat="1" ht="12.75" customHeight="1" thickBot="1">
      <c r="A23" s="214"/>
      <c r="B23" s="284" t="s">
        <v>31</v>
      </c>
      <c r="C23" s="277">
        <v>3124346</v>
      </c>
      <c r="D23" s="449">
        <v>3072471.57314758</v>
      </c>
    </row>
    <row r="24" spans="1:4" s="207" customFormat="1" ht="14.25" customHeight="1" thickBot="1">
      <c r="A24" s="214"/>
      <c r="B24" s="285" t="s">
        <v>32</v>
      </c>
      <c r="C24" s="274">
        <v>31420</v>
      </c>
      <c r="D24" s="298">
        <v>8515.3080113101096</v>
      </c>
    </row>
    <row r="25" spans="1:4" s="207" customFormat="1" ht="12.75" customHeight="1" thickBot="1">
      <c r="A25" s="214"/>
      <c r="B25" s="276" t="s">
        <v>33</v>
      </c>
      <c r="C25" s="277">
        <v>3155767</v>
      </c>
      <c r="D25" s="449">
        <v>3080986.8811588902</v>
      </c>
    </row>
    <row r="26" spans="1:4" s="207" customFormat="1" ht="12" customHeight="1">
      <c r="A26" s="214"/>
      <c r="B26" s="286" t="s">
        <v>34</v>
      </c>
      <c r="C26" s="274">
        <v>-212510</v>
      </c>
      <c r="D26" s="298">
        <v>-192627</v>
      </c>
    </row>
    <row r="27" spans="1:4" s="207" customFormat="1" ht="12" customHeight="1">
      <c r="A27" s="214"/>
      <c r="B27" s="287" t="s">
        <v>35</v>
      </c>
      <c r="C27" s="274">
        <v>-34782</v>
      </c>
      <c r="D27" s="298">
        <v>-35988.800336197099</v>
      </c>
    </row>
    <row r="28" spans="1:4" s="207" customFormat="1" ht="12" customHeight="1">
      <c r="A28" s="214"/>
      <c r="B28" s="287" t="s">
        <v>36</v>
      </c>
      <c r="C28" s="274">
        <v>95028</v>
      </c>
      <c r="D28" s="298">
        <v>71988.437418036498</v>
      </c>
    </row>
    <row r="29" spans="1:4" s="207" customFormat="1" ht="12" customHeight="1">
      <c r="A29" s="214"/>
      <c r="B29" s="287" t="s">
        <v>37</v>
      </c>
      <c r="C29" s="274">
        <v>-1020859</v>
      </c>
      <c r="D29" s="298">
        <v>-880503.03397054004</v>
      </c>
    </row>
    <row r="30" spans="1:4" s="207" customFormat="1" ht="12.75" thickBot="1">
      <c r="A30" s="214"/>
      <c r="B30" s="233" t="s">
        <v>1075</v>
      </c>
      <c r="C30" s="274">
        <v>-26345</v>
      </c>
      <c r="D30" s="298">
        <v>0</v>
      </c>
    </row>
    <row r="31" spans="1:4" s="207" customFormat="1" ht="12" customHeight="1" thickBot="1">
      <c r="A31" s="214"/>
      <c r="B31" s="276" t="s">
        <v>38</v>
      </c>
      <c r="C31" s="277">
        <v>1956299</v>
      </c>
      <c r="D31" s="449">
        <v>2043856.4842701899</v>
      </c>
    </row>
    <row r="32" spans="1:4" s="207" customFormat="1" ht="12" customHeight="1" thickBot="1">
      <c r="A32" s="214"/>
      <c r="B32" s="234" t="s">
        <v>1434</v>
      </c>
      <c r="C32" s="274">
        <v>350238</v>
      </c>
      <c r="D32" s="298">
        <v>326837.11719394301</v>
      </c>
    </row>
    <row r="33" spans="1:4" s="207" customFormat="1" ht="12" customHeight="1" thickBot="1">
      <c r="A33" s="214"/>
      <c r="B33" s="1145" t="s">
        <v>91</v>
      </c>
      <c r="C33" s="1146">
        <v>1606060</v>
      </c>
      <c r="D33" s="1146">
        <v>1717019.36707624</v>
      </c>
    </row>
    <row r="34" spans="1:4">
      <c r="C34" s="289"/>
      <c r="D34" s="289"/>
    </row>
    <row r="132" spans="2:4">
      <c r="B132" s="235" t="s">
        <v>192</v>
      </c>
      <c r="D132" s="270" t="s">
        <v>2417</v>
      </c>
    </row>
    <row r="133" spans="2:4">
      <c r="B133" s="235" t="s">
        <v>192</v>
      </c>
      <c r="D133" s="270" t="s">
        <v>2422</v>
      </c>
    </row>
  </sheetData>
  <customSheetViews>
    <customSheetView guid="{9861AEDC-A168-4FA5-BC34-0FF06E2D98B0}" showGridLines="0" hiddenRows="1" topLeftCell="A4">
      <selection activeCell="C34" sqref="C34"/>
      <pageMargins left="0.7" right="0.7" top="0.75" bottom="0.75" header="0.3" footer="0.3"/>
      <pageSetup paperSize="9" orientation="portrait" r:id="rId1"/>
    </customSheetView>
    <customSheetView guid="{6026142C-022D-477E-A086-A3D1CB0201B2}" showGridLines="0" hiddenRows="1" topLeftCell="A16">
      <selection activeCell="F29" sqref="E29:F29"/>
      <pageMargins left="0.7" right="0.7" top="0.75" bottom="0.75" header="0.3" footer="0.3"/>
      <pageSetup paperSize="9" orientation="portrait" r:id="rId2"/>
    </customSheetView>
    <customSheetView guid="{0988812C-B87C-4041-945B-D3D481C0E3B2}" showGridLines="0" hiddenRows="1" topLeftCell="A5">
      <selection activeCell="H5" sqref="H1:I1048576"/>
      <pageMargins left="0.7" right="0.7" top="0.75" bottom="0.75" header="0.3" footer="0.3"/>
      <pageSetup paperSize="9" orientation="portrait" r:id="rId3"/>
    </customSheetView>
    <customSheetView guid="{9B5412D3-CE8B-4D5C-87A1-6A92385B5055}">
      <selection activeCell="A8" sqref="A8"/>
      <pageMargins left="0.7" right="0.7" top="0.75" bottom="0.75" header="0.3" footer="0.3"/>
      <pageSetup paperSize="9" orientation="portrait" r:id="rId4"/>
    </customSheetView>
    <customSheetView guid="{1E6FDA0A-7324-47B7-8781-F649F81C62F2}">
      <selection activeCell="A8" sqref="A8"/>
      <pageMargins left="0.7" right="0.7" top="0.75" bottom="0.75" header="0.3" footer="0.3"/>
      <pageSetup paperSize="9" orientation="portrait" r:id="rId5"/>
    </customSheetView>
    <customSheetView guid="{10FE0AC7-DC28-4361-9D3E-E82A44C052DC}" showGridLines="0" topLeftCell="A16">
      <selection activeCell="F23" sqref="F23"/>
      <pageMargins left="0.7" right="0.7" top="0.75" bottom="0.75" header="0.3" footer="0.3"/>
      <pageSetup paperSize="9" orientation="portrait" r:id="rId6"/>
    </customSheetView>
    <customSheetView guid="{15FEF1C5-8ED8-40F7-B190-479F9E1DDCD0}" showGridLines="0" hiddenRows="1" topLeftCell="A4">
      <selection activeCell="C27" sqref="C27"/>
      <pageMargins left="0.7" right="0.7" top="0.75" bottom="0.75" header="0.3" footer="0.3"/>
      <pageSetup paperSize="9" orientation="portrait" r:id="rId7"/>
    </customSheetView>
    <customSheetView guid="{4561BCBD-DB5E-4D30-A9CE-7BB23B692C5E}" showGridLines="0" hiddenRows="1" topLeftCell="A16">
      <selection activeCell="F29" sqref="E29:F29"/>
      <pageMargins left="0.7" right="0.7" top="0.75" bottom="0.75" header="0.3" footer="0.3"/>
      <pageSetup paperSize="9" orientation="portrait" r:id="rId8"/>
    </customSheetView>
    <customSheetView guid="{B96AA43F-C6B6-4097-9127-C885199888B4}" showGridLines="0" hiddenRows="1" topLeftCell="A4">
      <selection activeCell="C34" sqref="C34"/>
      <pageMargins left="0.7" right="0.7" top="0.75" bottom="0.75" header="0.3" footer="0.3"/>
      <pageSetup paperSize="9" orientation="portrait" r:id="rId9"/>
    </customSheetView>
    <customSheetView guid="{6357C996-BE12-4F66-ACBB-1F9F08F8885C}" showGridLines="0" hiddenRows="1">
      <selection activeCell="J46" sqref="J46"/>
      <pageMargins left="0.7" right="0.7" top="0.75" bottom="0.75" header="0.3" footer="0.3"/>
      <pageSetup paperSize="9" orientation="portrait" r:id="rId10"/>
    </customSheetView>
    <customSheetView guid="{5874C782-5C34-4C4C-BCC6-3692259149CA}" showGridLines="0" hiddenRows="1">
      <selection activeCell="J46" sqref="J46"/>
      <pageMargins left="0.7" right="0.7" top="0.75" bottom="0.75" header="0.3" footer="0.3"/>
      <pageSetup paperSize="9" orientation="portrait" r:id="rId11"/>
    </customSheetView>
  </customSheetViews>
  <pageMargins left="0.7" right="0.7" top="0.75" bottom="0.75" header="0.3" footer="0.3"/>
  <pageSetup paperSize="9" orientation="portrait" r:id="rId12"/>
  <customProperties>
    <customPr name="EpmWorksheetKeyString_GUID" r:id="rId13"/>
  </customPropertie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Feuilles de calcul</vt:lpstr>
      </vt:variant>
      <vt:variant>
        <vt:i4>17</vt:i4>
      </vt:variant>
      <vt:variant>
        <vt:lpstr>Plages nommées</vt:lpstr>
      </vt:variant>
      <vt:variant>
        <vt:i4>3</vt:i4>
      </vt:variant>
    </vt:vector>
  </HeadingPairs>
  <TitlesOfParts>
    <vt:vector size="20" baseType="lpstr">
      <vt:lpstr>9.5.4 (2)</vt:lpstr>
      <vt:lpstr>9.5.5 (2)</vt:lpstr>
      <vt:lpstr>A-DET</vt:lpstr>
      <vt:lpstr>L-DET</vt:lpstr>
      <vt:lpstr>R-DET</vt:lpstr>
      <vt:lpstr>Evolution</vt:lpstr>
      <vt:lpstr>Actif</vt:lpstr>
      <vt:lpstr>Passif</vt:lpstr>
      <vt:lpstr>Résultat</vt:lpstr>
      <vt:lpstr>Etat OCI</vt:lpstr>
      <vt:lpstr>TVCP</vt:lpstr>
      <vt:lpstr>5.7 old</vt:lpstr>
      <vt:lpstr>Formule Compilation</vt:lpstr>
      <vt:lpstr>Controle note 20</vt:lpstr>
      <vt:lpstr>Rapprochement TFT 2023</vt:lpstr>
      <vt:lpstr>Note 6.4.1</vt:lpstr>
      <vt:lpstr>Note 6.4.2</vt:lpstr>
      <vt:lpstr>'5.7 old'!_Toc137557724</vt:lpstr>
      <vt:lpstr>Evolution!_Toc138344583</vt:lpstr>
      <vt:lpstr>Evolution!_Toc345065087</vt:lpstr>
    </vt:vector>
  </TitlesOfParts>
  <Company>CNP Assurances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CACCIUTTOLO Aymeric (Prestataire)</dc:creator>
  <cp:lastModifiedBy>MENNERET Franck</cp:lastModifiedBy>
  <cp:lastPrinted>2023-12-20T08:39:20Z</cp:lastPrinted>
  <dcterms:created xsi:type="dcterms:W3CDTF">2021-12-14T08:59:25Z</dcterms:created>
  <dcterms:modified xsi:type="dcterms:W3CDTF">2025-03-24T08:21:08Z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d9b4fdc8-09b3-4311-8f77-000164ee6eab_Enabled">
    <vt:lpwstr>true</vt:lpwstr>
  </property>
  <property fmtid="{D5CDD505-2E9C-101B-9397-08002B2CF9AE}" pid="3" name="MSIP_Label_d9b4fdc8-09b3-4311-8f77-000164ee6eab_SetDate">
    <vt:lpwstr>2021-12-14T08:59:26Z</vt:lpwstr>
  </property>
  <property fmtid="{D5CDD505-2E9C-101B-9397-08002B2CF9AE}" pid="4" name="MSIP_Label_d9b4fdc8-09b3-4311-8f77-000164ee6eab_Method">
    <vt:lpwstr>Standard</vt:lpwstr>
  </property>
  <property fmtid="{D5CDD505-2E9C-101B-9397-08002B2CF9AE}" pid="5" name="MSIP_Label_d9b4fdc8-09b3-4311-8f77-000164ee6eab_Name">
    <vt:lpwstr>Interne</vt:lpwstr>
  </property>
  <property fmtid="{D5CDD505-2E9C-101B-9397-08002B2CF9AE}" pid="6" name="MSIP_Label_d9b4fdc8-09b3-4311-8f77-000164ee6eab_SiteId">
    <vt:lpwstr>fab7e728-037c-497d-9a94-644655015ab8</vt:lpwstr>
  </property>
  <property fmtid="{D5CDD505-2E9C-101B-9397-08002B2CF9AE}" pid="7" name="MSIP_Label_d9b4fdc8-09b3-4311-8f77-000164ee6eab_ActionId">
    <vt:lpwstr>903e4fef-0958-4155-bf96-5141807a1bb4</vt:lpwstr>
  </property>
  <property fmtid="{D5CDD505-2E9C-101B-9397-08002B2CF9AE}" pid="8" name="MSIP_Label_d9b4fdc8-09b3-4311-8f77-000164ee6eab_ContentBits">
    <vt:lpwstr>0</vt:lpwstr>
  </property>
</Properties>
</file>